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4.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showInkAnnotation="0" codeName="ThisWorkbook"/>
  <mc:AlternateContent xmlns:mc="http://schemas.openxmlformats.org/markup-compatibility/2006">
    <mc:Choice Requires="x15">
      <x15ac:absPath xmlns:x15ac="http://schemas.microsoft.com/office/spreadsheetml/2010/11/ac" url="https://franklinenergy-my.sharepoint.com/personal/jsteele_franklinenergy_com/Documents/Reference Material/71525_calc_updates/Final - Locked/"/>
    </mc:Choice>
  </mc:AlternateContent>
  <xr:revisionPtr revIDLastSave="452" documentId="8_{301AC19E-A46E-4C89-A663-AB164DB39659}" xr6:coauthVersionLast="47" xr6:coauthVersionMax="47" xr10:uidLastSave="{17ED6869-4C70-44C4-88F9-900375949B4B}"/>
  <bookViews>
    <workbookView xWindow="-120" yWindow="-120" windowWidth="29040" windowHeight="15720" xr2:uid="{57C665C9-F5D4-45AA-8D79-B58EFB27B59D}"/>
  </bookViews>
  <sheets>
    <sheet name="Instructions" sheetId="1" r:id="rId1"/>
    <sheet name="Project Summary" sheetId="4" r:id="rId2"/>
    <sheet name="Fixture Code Generator" sheetId="12" r:id="rId3"/>
    <sheet name="Fixture Identities" sheetId="2" r:id="rId4"/>
    <sheet name="General Information" sheetId="10" r:id="rId5"/>
    <sheet name="Lighting Inventory" sheetId="3" r:id="rId6"/>
    <sheet name="Lookup Tables" sheetId="8" state="hidden" r:id="rId7"/>
    <sheet name="Inspection Sheet" sheetId="11" state="hidden" r:id="rId8"/>
    <sheet name="Engineering Changelog" sheetId="14" state="hidden" r:id="rId9"/>
    <sheet name="Data Export" sheetId="9" state="hidden" r:id="rId10"/>
    <sheet name="Appendix C" sheetId="13" state="hidden" r:id="rId11"/>
  </sheets>
  <definedNames>
    <definedName name="_xlnm._FilterDatabase" localSheetId="3" hidden="1">'Fixture Identities'!$A$5:$L$1031</definedName>
    <definedName name="_xlnm._FilterDatabase" localSheetId="5" hidden="1">'Lighting Inventory'!$A$1:$CD$261</definedName>
    <definedName name="_xlnm._FilterDatabase" localSheetId="6" hidden="1">'Lookup Tables'!$AH$5:$AU$102</definedName>
    <definedName name="Area_description">'Lookup Tables'!$Y$6:$Y$14</definedName>
    <definedName name="Building_Type_Exterior">'Lookup Tables'!$A$55:$A$59</definedName>
    <definedName name="Building_Type_Interior">'Lookup Tables'!$A$6:$A$54</definedName>
    <definedName name="Calculation_Method_NC">'Lookup Tables'!$U$27:$U$29</definedName>
    <definedName name="CFL_Fixtures">'Lookup Tables'!#REF!</definedName>
    <definedName name="CFL_Lamps">'Lookup Tables'!#REF!</definedName>
    <definedName name="Cooled">'Lookup Tables'!$R$9:$R$13</definedName>
    <definedName name="Custom">'Fixture Identities'!$A$974:$A$1023</definedName>
    <definedName name="EFLH_App_Prescribed">'Lookup Tables'!$T$27:$T$28</definedName>
    <definedName name="EFLH_prescribed">'Lookup Tables'!$S$35</definedName>
    <definedName name="EFLH_schedules">'Lookup Tables'!$S$36:$S$43</definedName>
    <definedName name="Exit">'Lookup Tables'!$AI$14:$AI$15</definedName>
    <definedName name="ext_lighting_controls">'Lookup Tables'!$R$23</definedName>
    <definedName name="Ext_Lighting_Description">'Lookup Tables'!$A$55:$A$59</definedName>
    <definedName name="exterior_controls">'Lookup Tables'!$R$123:$R$132</definedName>
    <definedName name="Flu_Fixt">'Lookup Tables'!$AI$6:$AI$9</definedName>
    <definedName name="Flu_Ret">'Lookup Tables'!$AI$10:$AI$13</definedName>
    <definedName name="Heated">'Lookup Tables'!$R$6:$R$8</definedName>
    <definedName name="HID">'Lookup Tables'!$AI$100</definedName>
    <definedName name="Hours_choice">'Lookup Tables'!$T$27:$T$28</definedName>
    <definedName name="Induction">'Lookup Tables'!$AI$97:$AI$99</definedName>
    <definedName name="Interior_controls">'Lookup Tables'!$R$91:$R$101</definedName>
    <definedName name="Interior_or_Exterior">'Lookup Tables'!$S$27:$S$28</definedName>
    <definedName name="LED_Box_Signs">'Lookup Tables'!$AI$93</definedName>
    <definedName name="LED_Fixt_Ext">'Lookup Tables'!$AI$45:$AI$57</definedName>
    <definedName name="LED_Fixt_Ext_250">'Lookup Tables'!$AI$58:$AI$70</definedName>
    <definedName name="LED_Fixt_Int">'Lookup Tables'!$AI$25:$AI$34</definedName>
    <definedName name="LED_Fixt_Int_250">'Lookup Tables'!$AI$35:$AI$44</definedName>
    <definedName name="LED_Fridge">'Lookup Tables'!$AI$94:$AI$96</definedName>
    <definedName name="LED_Lamps">'Lookup Tables'!$AI$16:$AI$24</definedName>
    <definedName name="LED_Ret_Ext">'Lookup Tables'!$AI$80:$AI$88</definedName>
    <definedName name="LED_Ret_Int">'Lookup Tables'!$AI$71:$AI$79</definedName>
    <definedName name="LED_Signs">'Lookup Tables'!$AI$89:$AI$92</definedName>
    <definedName name="Lighting_Controls">'Lookup Tables'!$R$17:$R$22</definedName>
    <definedName name="Lighting_zone">'Lookup Tables'!$C$108:$G$108</definedName>
    <definedName name="NC_Building_Type">'Lookup Tables'!$A$6:$A$54</definedName>
    <definedName name="NC_Calc_Method">'Lookup Tables'!$U$30</definedName>
    <definedName name="NC_CFL_Fixtures">'Lookup Tables'!#REF!</definedName>
    <definedName name="NC_CFL_Lamps">'Lookup Tables'!#REF!</definedName>
    <definedName name="NC_Exterior_Fixt">'Lookup Tables'!$AI$137:$AI$149</definedName>
    <definedName name="NC_Facility_Type">'Lookup Tables'!$A$60</definedName>
    <definedName name="NC_Fixture_Category_Ext">'Lookup Tables'!$AF$143:$AF$148</definedName>
    <definedName name="NC_Fixture_Category_Int">'Lookup Tables'!$AF$129:$AF$134</definedName>
    <definedName name="NC_Fluorescent_Fixt">'Lookup Tables'!$AI$114:$AI$117</definedName>
    <definedName name="NC_Induction">'Lookup Tables'!$AI$150:$AI$152</definedName>
    <definedName name="NC_Interior_Fixt">'Lookup Tables'!$AI$127:$AI$136</definedName>
    <definedName name="NC_LED_Lamps">'Lookup Tables'!$AI$118:$AI$126</definedName>
    <definedName name="NC_LED_Signage">'Lookup Tables'!#REF!</definedName>
    <definedName name="NC_Refrigerated_Case_Lighting">'Lookup Tables'!$AI$94:$AI$96</definedName>
    <definedName name="NC_Space_Type_Ext">'Lookup Tables'!$B$83:$B$102</definedName>
    <definedName name="NC_Space_Type_Int">'Lookup Tables'!$N$6:$N$97</definedName>
    <definedName name="No_Change">'Lookup Tables'!$AI$102</definedName>
    <definedName name="Not_Applicable">'Lookup Tables'!$B$131</definedName>
    <definedName name="Not_DLC_ES">'Lookup Tables'!$AD$25</definedName>
    <definedName name="Opcos">'Lookup Tables'!$V$17:$V$20</definedName>
    <definedName name="Pre_controls">'Lookup Tables'!$R$17:$R$23</definedName>
    <definedName name="Proj_Type">'Lookup Tables'!$R$27:$R$28</definedName>
    <definedName name="Reporting_Categories">'Lookup Tables'!$Y$18:$Y$35</definedName>
    <definedName name="Ret">'Lookup Tables'!$AD$6:$AD$22</definedName>
    <definedName name="Ret_Fixture_Category_Ext">'Lookup Tables'!$AD$48:$AD$60</definedName>
    <definedName name="Ret_Fixture_Category_Int">'Lookup Tables'!$AD$29:$AD$42</definedName>
    <definedName name="Sector">'Lookup Tables'!$Y$39:$Y$41</definedName>
    <definedName name="Select_IE">'Lookup Tables'!$A$61</definedName>
    <definedName name="Uncooled">'Lookup Tables'!$R$10</definedName>
    <definedName name="Unheated">'Lookup Tables'!$R$8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4" i="4" l="1"/>
  <c r="AM153" i="8" s="1"/>
  <c r="GM24" i="3"/>
  <c r="GM25" i="3"/>
  <c r="GM26" i="3"/>
  <c r="GM27" i="3"/>
  <c r="GM28" i="3"/>
  <c r="GM29" i="3"/>
  <c r="GM30" i="3"/>
  <c r="GM31" i="3"/>
  <c r="GM32" i="3"/>
  <c r="GM33" i="3"/>
  <c r="GM34" i="3"/>
  <c r="GM35" i="3"/>
  <c r="GM36" i="3"/>
  <c r="GM37" i="3"/>
  <c r="GM38" i="3"/>
  <c r="GM39" i="3"/>
  <c r="GM40" i="3"/>
  <c r="GM41" i="3"/>
  <c r="GM42" i="3"/>
  <c r="GM43" i="3"/>
  <c r="GM44" i="3"/>
  <c r="GM45" i="3"/>
  <c r="GM46" i="3"/>
  <c r="GM47" i="3"/>
  <c r="GM48" i="3"/>
  <c r="GM49" i="3"/>
  <c r="GM50" i="3"/>
  <c r="GM51" i="3"/>
  <c r="GM52" i="3"/>
  <c r="GM53" i="3"/>
  <c r="GM54" i="3"/>
  <c r="GM55" i="3"/>
  <c r="GM56" i="3"/>
  <c r="GM57" i="3"/>
  <c r="GM58" i="3"/>
  <c r="GM59" i="3"/>
  <c r="GM60" i="3"/>
  <c r="GM61" i="3"/>
  <c r="GM62" i="3"/>
  <c r="GM63" i="3"/>
  <c r="GM64" i="3"/>
  <c r="GM65" i="3"/>
  <c r="GM66" i="3"/>
  <c r="GM67" i="3"/>
  <c r="GM68" i="3"/>
  <c r="GM69" i="3"/>
  <c r="GM70" i="3"/>
  <c r="GM71" i="3"/>
  <c r="GM72" i="3"/>
  <c r="GM73" i="3"/>
  <c r="GM74" i="3"/>
  <c r="GM75" i="3"/>
  <c r="GM76" i="3"/>
  <c r="GM77" i="3"/>
  <c r="GM78" i="3"/>
  <c r="GM79" i="3"/>
  <c r="GM80" i="3"/>
  <c r="GM81" i="3"/>
  <c r="GM82" i="3"/>
  <c r="GM83" i="3"/>
  <c r="GM84" i="3"/>
  <c r="GM85" i="3"/>
  <c r="GM86" i="3"/>
  <c r="GM87" i="3"/>
  <c r="GM88" i="3"/>
  <c r="GM89" i="3"/>
  <c r="GM90" i="3"/>
  <c r="GM91" i="3"/>
  <c r="GM92" i="3"/>
  <c r="GM93" i="3"/>
  <c r="GM94" i="3"/>
  <c r="GM95" i="3"/>
  <c r="GM96" i="3"/>
  <c r="GM97" i="3"/>
  <c r="GM98" i="3"/>
  <c r="GM99" i="3"/>
  <c r="GM100" i="3"/>
  <c r="GM101" i="3"/>
  <c r="GM102" i="3"/>
  <c r="GM103" i="3"/>
  <c r="GM104" i="3"/>
  <c r="GM105" i="3"/>
  <c r="GM106" i="3"/>
  <c r="GM107" i="3"/>
  <c r="GM108" i="3"/>
  <c r="GM109" i="3"/>
  <c r="GM110" i="3"/>
  <c r="GM111" i="3"/>
  <c r="GM112" i="3"/>
  <c r="GM113" i="3"/>
  <c r="GM114" i="3"/>
  <c r="GM115" i="3"/>
  <c r="GM116" i="3"/>
  <c r="GM117" i="3"/>
  <c r="GM118" i="3"/>
  <c r="GM119" i="3"/>
  <c r="GM120" i="3"/>
  <c r="GM121" i="3"/>
  <c r="GM122" i="3"/>
  <c r="GM123" i="3"/>
  <c r="GM124" i="3"/>
  <c r="GM125" i="3"/>
  <c r="GM126" i="3"/>
  <c r="GM127" i="3"/>
  <c r="GM128" i="3"/>
  <c r="GM129" i="3"/>
  <c r="GM130" i="3"/>
  <c r="GM131" i="3"/>
  <c r="GM132" i="3"/>
  <c r="GM133" i="3"/>
  <c r="GM134" i="3"/>
  <c r="GM135" i="3"/>
  <c r="GM136" i="3"/>
  <c r="GM137" i="3"/>
  <c r="GM138" i="3"/>
  <c r="GM139" i="3"/>
  <c r="GM140" i="3"/>
  <c r="GM141" i="3"/>
  <c r="GM142" i="3"/>
  <c r="GM143" i="3"/>
  <c r="GM144" i="3"/>
  <c r="GM145" i="3"/>
  <c r="GM146" i="3"/>
  <c r="GM147" i="3"/>
  <c r="GM148" i="3"/>
  <c r="GM149" i="3"/>
  <c r="GM150" i="3"/>
  <c r="GM151" i="3"/>
  <c r="GM152" i="3"/>
  <c r="GM153" i="3"/>
  <c r="GM154" i="3"/>
  <c r="GM155" i="3"/>
  <c r="GM156" i="3"/>
  <c r="GM157" i="3"/>
  <c r="GM158" i="3"/>
  <c r="GM159" i="3"/>
  <c r="GM160" i="3"/>
  <c r="GM161" i="3"/>
  <c r="GM162" i="3"/>
  <c r="GM163" i="3"/>
  <c r="GM164" i="3"/>
  <c r="GM165" i="3"/>
  <c r="GM166" i="3"/>
  <c r="GM167" i="3"/>
  <c r="GM168" i="3"/>
  <c r="GM169" i="3"/>
  <c r="GM170" i="3"/>
  <c r="GM171" i="3"/>
  <c r="GM172" i="3"/>
  <c r="GM173" i="3"/>
  <c r="GM174" i="3"/>
  <c r="GM175" i="3"/>
  <c r="GM176" i="3"/>
  <c r="GM177" i="3"/>
  <c r="GM178" i="3"/>
  <c r="GM179" i="3"/>
  <c r="GM180" i="3"/>
  <c r="GM181" i="3"/>
  <c r="GM182" i="3"/>
  <c r="GM183" i="3"/>
  <c r="GM184" i="3"/>
  <c r="GM185" i="3"/>
  <c r="GM186" i="3"/>
  <c r="GM187" i="3"/>
  <c r="GM188" i="3"/>
  <c r="GM189" i="3"/>
  <c r="GM190" i="3"/>
  <c r="GM191" i="3"/>
  <c r="GM192" i="3"/>
  <c r="GM193" i="3"/>
  <c r="GM194" i="3"/>
  <c r="GM195" i="3"/>
  <c r="GM196" i="3"/>
  <c r="GM197" i="3"/>
  <c r="GM198" i="3"/>
  <c r="GM199" i="3"/>
  <c r="GM200" i="3"/>
  <c r="GM201" i="3"/>
  <c r="GM202" i="3"/>
  <c r="GM203" i="3"/>
  <c r="GM204" i="3"/>
  <c r="GM205" i="3"/>
  <c r="GM206" i="3"/>
  <c r="GM207" i="3"/>
  <c r="GM208" i="3"/>
  <c r="GM209" i="3"/>
  <c r="GM210" i="3"/>
  <c r="GM211" i="3"/>
  <c r="GM212" i="3"/>
  <c r="GM213" i="3"/>
  <c r="GM214" i="3"/>
  <c r="GM215" i="3"/>
  <c r="GM216" i="3"/>
  <c r="GM217" i="3"/>
  <c r="GM218" i="3"/>
  <c r="GM219" i="3"/>
  <c r="GM220" i="3"/>
  <c r="GM221" i="3"/>
  <c r="GM222" i="3"/>
  <c r="GM223" i="3"/>
  <c r="GM224" i="3"/>
  <c r="GM225" i="3"/>
  <c r="GM226" i="3"/>
  <c r="GM227" i="3"/>
  <c r="GM228" i="3"/>
  <c r="GM229" i="3"/>
  <c r="GM230" i="3"/>
  <c r="GM231" i="3"/>
  <c r="GM232" i="3"/>
  <c r="GM233" i="3"/>
  <c r="GM234" i="3"/>
  <c r="GM235" i="3"/>
  <c r="GM236" i="3"/>
  <c r="GM237" i="3"/>
  <c r="GM238" i="3"/>
  <c r="GM239" i="3"/>
  <c r="GM240" i="3"/>
  <c r="GM241" i="3"/>
  <c r="GM242" i="3"/>
  <c r="GM243" i="3"/>
  <c r="GM244" i="3"/>
  <c r="GM245" i="3"/>
  <c r="GM246" i="3"/>
  <c r="GM247" i="3"/>
  <c r="GM248" i="3"/>
  <c r="GM249" i="3"/>
  <c r="GM250" i="3"/>
  <c r="GM251" i="3"/>
  <c r="GM252" i="3"/>
  <c r="GM253" i="3"/>
  <c r="GM254" i="3"/>
  <c r="GM255" i="3"/>
  <c r="GM256" i="3"/>
  <c r="GM257" i="3"/>
  <c r="GM258" i="3"/>
  <c r="GM259" i="3"/>
  <c r="GM260" i="3"/>
  <c r="GI24" i="3"/>
  <c r="GI25" i="3"/>
  <c r="GI26" i="3"/>
  <c r="GI27" i="3"/>
  <c r="GI28" i="3"/>
  <c r="GI29" i="3"/>
  <c r="GI30" i="3"/>
  <c r="GI31" i="3"/>
  <c r="GI32" i="3"/>
  <c r="GI33" i="3"/>
  <c r="GI34" i="3"/>
  <c r="GI35" i="3"/>
  <c r="GI36" i="3"/>
  <c r="GI37" i="3"/>
  <c r="GI38" i="3"/>
  <c r="GI39" i="3"/>
  <c r="GI40" i="3"/>
  <c r="GI41" i="3"/>
  <c r="GI42" i="3"/>
  <c r="GI43" i="3"/>
  <c r="GI44" i="3"/>
  <c r="GI45" i="3"/>
  <c r="GI46" i="3"/>
  <c r="GI47" i="3"/>
  <c r="GI48" i="3"/>
  <c r="GI49" i="3"/>
  <c r="GI50" i="3"/>
  <c r="GI51" i="3"/>
  <c r="GI52" i="3"/>
  <c r="GI53" i="3"/>
  <c r="GI54" i="3"/>
  <c r="GI55" i="3"/>
  <c r="GI56" i="3"/>
  <c r="GI57" i="3"/>
  <c r="GI58" i="3"/>
  <c r="GI59" i="3"/>
  <c r="GI60" i="3"/>
  <c r="GI61" i="3"/>
  <c r="GI62" i="3"/>
  <c r="GI63" i="3"/>
  <c r="GI64" i="3"/>
  <c r="GI65" i="3"/>
  <c r="GI66" i="3"/>
  <c r="GI67" i="3"/>
  <c r="GI68" i="3"/>
  <c r="GI69" i="3"/>
  <c r="GI70" i="3"/>
  <c r="GI71" i="3"/>
  <c r="GI72" i="3"/>
  <c r="GI73" i="3"/>
  <c r="GI74" i="3"/>
  <c r="GI75" i="3"/>
  <c r="GI76" i="3"/>
  <c r="GI77" i="3"/>
  <c r="GI78" i="3"/>
  <c r="GI79" i="3"/>
  <c r="GI80" i="3"/>
  <c r="GI81" i="3"/>
  <c r="GI82" i="3"/>
  <c r="GI83" i="3"/>
  <c r="GI84" i="3"/>
  <c r="GI85" i="3"/>
  <c r="GI86" i="3"/>
  <c r="GI87" i="3"/>
  <c r="GI88" i="3"/>
  <c r="GI89" i="3"/>
  <c r="GI90" i="3"/>
  <c r="GI91" i="3"/>
  <c r="GI92" i="3"/>
  <c r="GI93" i="3"/>
  <c r="GI94" i="3"/>
  <c r="GI95" i="3"/>
  <c r="GI96" i="3"/>
  <c r="GI97" i="3"/>
  <c r="GI98" i="3"/>
  <c r="GI99" i="3"/>
  <c r="GI100" i="3"/>
  <c r="GI101" i="3"/>
  <c r="GI102" i="3"/>
  <c r="GI103" i="3"/>
  <c r="GI104" i="3"/>
  <c r="GI105" i="3"/>
  <c r="GI106" i="3"/>
  <c r="GI107" i="3"/>
  <c r="GI108" i="3"/>
  <c r="GI109" i="3"/>
  <c r="GI110" i="3"/>
  <c r="GI111" i="3"/>
  <c r="GI112" i="3"/>
  <c r="GI113" i="3"/>
  <c r="GI114" i="3"/>
  <c r="GI115" i="3"/>
  <c r="GI116" i="3"/>
  <c r="GI117" i="3"/>
  <c r="GI118" i="3"/>
  <c r="GI119" i="3"/>
  <c r="GI120" i="3"/>
  <c r="GI121" i="3"/>
  <c r="GI122" i="3"/>
  <c r="GI123" i="3"/>
  <c r="GI124" i="3"/>
  <c r="GI125" i="3"/>
  <c r="GI126" i="3"/>
  <c r="GI127" i="3"/>
  <c r="GI128" i="3"/>
  <c r="GI129" i="3"/>
  <c r="GI130" i="3"/>
  <c r="GI131" i="3"/>
  <c r="GI132" i="3"/>
  <c r="GI133" i="3"/>
  <c r="GI134" i="3"/>
  <c r="GI135" i="3"/>
  <c r="GI136" i="3"/>
  <c r="GI137" i="3"/>
  <c r="GI138" i="3"/>
  <c r="GI139" i="3"/>
  <c r="GI140" i="3"/>
  <c r="GI141" i="3"/>
  <c r="GI142" i="3"/>
  <c r="GI143" i="3"/>
  <c r="GI144" i="3"/>
  <c r="GI145" i="3"/>
  <c r="GI146" i="3"/>
  <c r="GI147" i="3"/>
  <c r="GI148" i="3"/>
  <c r="GI149" i="3"/>
  <c r="GI150" i="3"/>
  <c r="GI151" i="3"/>
  <c r="GI152" i="3"/>
  <c r="GI153" i="3"/>
  <c r="GI154" i="3"/>
  <c r="GI155" i="3"/>
  <c r="GI156" i="3"/>
  <c r="GI157" i="3"/>
  <c r="GI158" i="3"/>
  <c r="GI159" i="3"/>
  <c r="GI160" i="3"/>
  <c r="GI161" i="3"/>
  <c r="GI162" i="3"/>
  <c r="GI163" i="3"/>
  <c r="GI164" i="3"/>
  <c r="GI165" i="3"/>
  <c r="GI166" i="3"/>
  <c r="GI167" i="3"/>
  <c r="GI168" i="3"/>
  <c r="GI169" i="3"/>
  <c r="GI170" i="3"/>
  <c r="GI171" i="3"/>
  <c r="GI172" i="3"/>
  <c r="GI173" i="3"/>
  <c r="GI174" i="3"/>
  <c r="GI175" i="3"/>
  <c r="GI176" i="3"/>
  <c r="GI177" i="3"/>
  <c r="GI178" i="3"/>
  <c r="GI179" i="3"/>
  <c r="GI180" i="3"/>
  <c r="GI181" i="3"/>
  <c r="GI182" i="3"/>
  <c r="GI183" i="3"/>
  <c r="GI184" i="3"/>
  <c r="GI185" i="3"/>
  <c r="GI186" i="3"/>
  <c r="GI187" i="3"/>
  <c r="GI188" i="3"/>
  <c r="GI189" i="3"/>
  <c r="GI190" i="3"/>
  <c r="GI191" i="3"/>
  <c r="GI192" i="3"/>
  <c r="GI193" i="3"/>
  <c r="GI194" i="3"/>
  <c r="GI195" i="3"/>
  <c r="GI196" i="3"/>
  <c r="GI197" i="3"/>
  <c r="GI198" i="3"/>
  <c r="GI199" i="3"/>
  <c r="GI200" i="3"/>
  <c r="GI201" i="3"/>
  <c r="GI202" i="3"/>
  <c r="GI203" i="3"/>
  <c r="GI204" i="3"/>
  <c r="GI205" i="3"/>
  <c r="GI206" i="3"/>
  <c r="GI207" i="3"/>
  <c r="GI208" i="3"/>
  <c r="GI209" i="3"/>
  <c r="GI210" i="3"/>
  <c r="GI211" i="3"/>
  <c r="GI212" i="3"/>
  <c r="GI213" i="3"/>
  <c r="GI214" i="3"/>
  <c r="GI215" i="3"/>
  <c r="GI216" i="3"/>
  <c r="GI217" i="3"/>
  <c r="GI218" i="3"/>
  <c r="GI219" i="3"/>
  <c r="GI220" i="3"/>
  <c r="GI221" i="3"/>
  <c r="GI222" i="3"/>
  <c r="GI223" i="3"/>
  <c r="GI224" i="3"/>
  <c r="GI225" i="3"/>
  <c r="GI226" i="3"/>
  <c r="GI227" i="3"/>
  <c r="GI228" i="3"/>
  <c r="GI229" i="3"/>
  <c r="GI230" i="3"/>
  <c r="GI231" i="3"/>
  <c r="GI232" i="3"/>
  <c r="GI233" i="3"/>
  <c r="GI234" i="3"/>
  <c r="GI235" i="3"/>
  <c r="GI236" i="3"/>
  <c r="GI237" i="3"/>
  <c r="GI238" i="3"/>
  <c r="GI239" i="3"/>
  <c r="GI240" i="3"/>
  <c r="GI241" i="3"/>
  <c r="GI242" i="3"/>
  <c r="GI243" i="3"/>
  <c r="GI244" i="3"/>
  <c r="GI245" i="3"/>
  <c r="GI246" i="3"/>
  <c r="GI247" i="3"/>
  <c r="GI248" i="3"/>
  <c r="GI249" i="3"/>
  <c r="GI250" i="3"/>
  <c r="GI251" i="3"/>
  <c r="GI252" i="3"/>
  <c r="GI253" i="3"/>
  <c r="GI254" i="3"/>
  <c r="GI255" i="3"/>
  <c r="GI256" i="3"/>
  <c r="GI257" i="3"/>
  <c r="GI258" i="3"/>
  <c r="GI259" i="3"/>
  <c r="GI260"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AM121" i="8" l="1"/>
  <c r="U106" i="8"/>
  <c r="AM16" i="8"/>
  <c r="AM36" i="8"/>
  <c r="AM52" i="8"/>
  <c r="AM72" i="8"/>
  <c r="AM88" i="8"/>
  <c r="AM119" i="8"/>
  <c r="AM135" i="8"/>
  <c r="U107" i="8"/>
  <c r="AM17" i="8"/>
  <c r="AM37" i="8"/>
  <c r="AM53" i="8"/>
  <c r="AM73" i="8"/>
  <c r="AM89" i="8"/>
  <c r="AM120" i="8"/>
  <c r="AM136" i="8"/>
  <c r="AM124" i="8"/>
  <c r="AM6" i="8"/>
  <c r="AM42" i="8"/>
  <c r="AM144" i="8"/>
  <c r="U97" i="8"/>
  <c r="AM9" i="8"/>
  <c r="AM22" i="8"/>
  <c r="AM45" i="8"/>
  <c r="AM63" i="8"/>
  <c r="AM82" i="8"/>
  <c r="AM99" i="8"/>
  <c r="AM128" i="8"/>
  <c r="AM146" i="8"/>
  <c r="AM18" i="8"/>
  <c r="AM93" i="8"/>
  <c r="U111" i="8"/>
  <c r="AM78" i="8"/>
  <c r="U98" i="8"/>
  <c r="AM12" i="8"/>
  <c r="AM25" i="8"/>
  <c r="AM48" i="8"/>
  <c r="AM64" i="8"/>
  <c r="AM84" i="8"/>
  <c r="AM100" i="8"/>
  <c r="AM131" i="8"/>
  <c r="AM147" i="8"/>
  <c r="AM75" i="8"/>
  <c r="AM97" i="8"/>
  <c r="AM125" i="8"/>
  <c r="U99" i="8"/>
  <c r="AM13" i="8"/>
  <c r="AM28" i="8"/>
  <c r="AM49" i="8"/>
  <c r="AM65" i="8"/>
  <c r="AM85" i="8"/>
  <c r="AM101" i="8"/>
  <c r="AM132" i="8"/>
  <c r="AM148" i="8"/>
  <c r="AM122" i="8"/>
  <c r="AM41" i="8"/>
  <c r="AM62" i="8"/>
  <c r="U100" i="8"/>
  <c r="AM14" i="8"/>
  <c r="AM30" i="8"/>
  <c r="AM50" i="8"/>
  <c r="AM66" i="8"/>
  <c r="AM86" i="8"/>
  <c r="AM102" i="8"/>
  <c r="AM133" i="8"/>
  <c r="AM149" i="8"/>
  <c r="U108" i="8"/>
  <c r="AM38" i="8"/>
  <c r="AM54" i="8"/>
  <c r="AM74" i="8"/>
  <c r="AM90" i="8"/>
  <c r="AM137" i="8"/>
  <c r="U91" i="8"/>
  <c r="U109" i="8"/>
  <c r="AM21" i="8"/>
  <c r="AM39" i="8"/>
  <c r="AM57" i="8"/>
  <c r="AM140" i="8"/>
  <c r="U94" i="8"/>
  <c r="U110" i="8"/>
  <c r="AM26" i="8"/>
  <c r="AM40" i="8"/>
  <c r="AM60" i="8"/>
  <c r="AM76" i="8"/>
  <c r="AM96" i="8"/>
  <c r="AM123" i="8"/>
  <c r="AM143" i="8"/>
  <c r="U95" i="8"/>
  <c r="AM27" i="8"/>
  <c r="AM61" i="8"/>
  <c r="AM77" i="8"/>
  <c r="AM145" i="8"/>
  <c r="U96" i="8"/>
  <c r="AM29" i="8"/>
  <c r="AM98" i="8"/>
  <c r="U103" i="8"/>
  <c r="AM15" i="8"/>
  <c r="AM33" i="8"/>
  <c r="AM51" i="8"/>
  <c r="AM69" i="8"/>
  <c r="AM87" i="8"/>
  <c r="AM116" i="8"/>
  <c r="AM134" i="8"/>
  <c r="AM152" i="8"/>
  <c r="U101" i="8"/>
  <c r="AM7" i="8"/>
  <c r="AM19" i="8"/>
  <c r="AM31" i="8"/>
  <c r="AM43" i="8"/>
  <c r="AM55" i="8"/>
  <c r="AM67" i="8"/>
  <c r="AM79" i="8"/>
  <c r="AM91" i="8"/>
  <c r="AM114" i="8"/>
  <c r="AM126" i="8"/>
  <c r="AM138" i="8"/>
  <c r="AM150" i="8"/>
  <c r="U102" i="8"/>
  <c r="AM8" i="8"/>
  <c r="AM20" i="8"/>
  <c r="AM32" i="8"/>
  <c r="AM44" i="8"/>
  <c r="AM56" i="8"/>
  <c r="AM68" i="8"/>
  <c r="AM80" i="8"/>
  <c r="AM92" i="8"/>
  <c r="AM115" i="8"/>
  <c r="AM127" i="8"/>
  <c r="AM139" i="8"/>
  <c r="AM151" i="8"/>
  <c r="U92" i="8"/>
  <c r="U104" i="8"/>
  <c r="AM10" i="8"/>
  <c r="AM23" i="8"/>
  <c r="AM34" i="8"/>
  <c r="AM46" i="8"/>
  <c r="AM58" i="8"/>
  <c r="AM70" i="8"/>
  <c r="AM81" i="8"/>
  <c r="AM94" i="8"/>
  <c r="AM117" i="8"/>
  <c r="AM129" i="8"/>
  <c r="AM141" i="8"/>
  <c r="AM154" i="8"/>
  <c r="U93" i="8"/>
  <c r="U105" i="8"/>
  <c r="AM11" i="8"/>
  <c r="AM24" i="8"/>
  <c r="AM35" i="8"/>
  <c r="AM47" i="8"/>
  <c r="AM59" i="8"/>
  <c r="AM71" i="8"/>
  <c r="AM83" i="8"/>
  <c r="AM95" i="8"/>
  <c r="AM118" i="8"/>
  <c r="AM130" i="8"/>
  <c r="AM142" i="8"/>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C84" i="8"/>
  <c r="C85" i="8"/>
  <c r="C86" i="8"/>
  <c r="C87" i="8"/>
  <c r="C88" i="8"/>
  <c r="C89" i="8"/>
  <c r="C90" i="8"/>
  <c r="C91" i="8"/>
  <c r="C92" i="8"/>
  <c r="C93" i="8"/>
  <c r="C94" i="8"/>
  <c r="C95" i="8"/>
  <c r="C96" i="8"/>
  <c r="C97" i="8"/>
  <c r="C98" i="8"/>
  <c r="C99" i="8"/>
  <c r="C100" i="8"/>
  <c r="C101" i="8"/>
  <c r="C83" i="8"/>
  <c r="BH50" i="3" l="1"/>
  <c r="BX33" i="3"/>
  <c r="BY33" i="3" s="1"/>
  <c r="BZ33" i="3"/>
  <c r="CA33" i="3" s="1"/>
  <c r="BX34" i="3"/>
  <c r="BY34" i="3" s="1"/>
  <c r="BZ34" i="3"/>
  <c r="CA34" i="3" s="1"/>
  <c r="BX35" i="3"/>
  <c r="BY35" i="3" s="1"/>
  <c r="BZ35" i="3"/>
  <c r="CA35" i="3" s="1"/>
  <c r="BX36" i="3"/>
  <c r="BY36" i="3" s="1"/>
  <c r="BZ36" i="3"/>
  <c r="CA36" i="3" s="1"/>
  <c r="BX37" i="3"/>
  <c r="BY37" i="3" s="1"/>
  <c r="BZ37" i="3"/>
  <c r="CA37" i="3" s="1"/>
  <c r="BX38" i="3"/>
  <c r="BY38" i="3" s="1"/>
  <c r="BZ38" i="3"/>
  <c r="CA38" i="3" s="1"/>
  <c r="BX39" i="3"/>
  <c r="BY39" i="3" s="1"/>
  <c r="BZ39" i="3"/>
  <c r="CA39" i="3" s="1"/>
  <c r="BX40" i="3"/>
  <c r="BY40" i="3" s="1"/>
  <c r="BZ40" i="3"/>
  <c r="CA40" i="3" s="1"/>
  <c r="BX41" i="3"/>
  <c r="BY41" i="3" s="1"/>
  <c r="BZ41" i="3"/>
  <c r="CA41" i="3" s="1"/>
  <c r="BX42" i="3"/>
  <c r="BY42" i="3" s="1"/>
  <c r="BZ42" i="3"/>
  <c r="CA42" i="3" s="1"/>
  <c r="BX43" i="3"/>
  <c r="BY43" i="3" s="1"/>
  <c r="BZ43" i="3"/>
  <c r="CA43" i="3" s="1"/>
  <c r="BX44" i="3"/>
  <c r="BY44" i="3" s="1"/>
  <c r="BZ44" i="3"/>
  <c r="CA44" i="3" s="1"/>
  <c r="BX45" i="3"/>
  <c r="BY45" i="3" s="1"/>
  <c r="BZ45" i="3"/>
  <c r="CA45" i="3" s="1"/>
  <c r="BX46" i="3"/>
  <c r="BY46" i="3" s="1"/>
  <c r="BZ46" i="3"/>
  <c r="CA46" i="3" s="1"/>
  <c r="BX47" i="3"/>
  <c r="BY47" i="3" s="1"/>
  <c r="BZ47" i="3"/>
  <c r="CA47" i="3" s="1"/>
  <c r="BX48" i="3"/>
  <c r="BY48" i="3" s="1"/>
  <c r="BZ48" i="3"/>
  <c r="CA48" i="3" s="1"/>
  <c r="BX49" i="3"/>
  <c r="BY49" i="3" s="1"/>
  <c r="BZ49" i="3"/>
  <c r="CA49" i="3" s="1"/>
  <c r="BX50" i="3"/>
  <c r="BY50" i="3" s="1"/>
  <c r="BZ50" i="3"/>
  <c r="CA50" i="3" s="1"/>
  <c r="BX51" i="3"/>
  <c r="BY51" i="3" s="1"/>
  <c r="BZ51" i="3"/>
  <c r="CA51" i="3" s="1"/>
  <c r="BX52" i="3"/>
  <c r="BY52" i="3" s="1"/>
  <c r="BZ52" i="3"/>
  <c r="CA52" i="3" s="1"/>
  <c r="BX53" i="3"/>
  <c r="BY53" i="3" s="1"/>
  <c r="BZ53" i="3"/>
  <c r="CA53" i="3" s="1"/>
  <c r="BX54" i="3"/>
  <c r="BY54" i="3" s="1"/>
  <c r="BZ54" i="3"/>
  <c r="CA54" i="3" s="1"/>
  <c r="BX55" i="3"/>
  <c r="BY55" i="3" s="1"/>
  <c r="BZ55" i="3"/>
  <c r="CA55" i="3" s="1"/>
  <c r="BX56" i="3"/>
  <c r="BY56" i="3" s="1"/>
  <c r="BZ56" i="3"/>
  <c r="CA56" i="3" s="1"/>
  <c r="BX57" i="3"/>
  <c r="BY57" i="3" s="1"/>
  <c r="BZ57" i="3"/>
  <c r="CA57" i="3" s="1"/>
  <c r="BX58" i="3"/>
  <c r="BY58" i="3" s="1"/>
  <c r="BZ58" i="3"/>
  <c r="CA58" i="3" s="1"/>
  <c r="BX59" i="3"/>
  <c r="BY59" i="3" s="1"/>
  <c r="BZ59" i="3"/>
  <c r="CA59" i="3" s="1"/>
  <c r="BX60" i="3"/>
  <c r="BY60" i="3" s="1"/>
  <c r="BZ60" i="3"/>
  <c r="CA60" i="3" s="1"/>
  <c r="BX61" i="3"/>
  <c r="BY61" i="3" s="1"/>
  <c r="BZ61" i="3"/>
  <c r="CA61" i="3" s="1"/>
  <c r="BX62" i="3"/>
  <c r="BY62" i="3" s="1"/>
  <c r="BZ62" i="3"/>
  <c r="CA62" i="3" s="1"/>
  <c r="BX63" i="3"/>
  <c r="BY63" i="3" s="1"/>
  <c r="BZ63" i="3"/>
  <c r="CA63" i="3" s="1"/>
  <c r="BX64" i="3"/>
  <c r="BY64" i="3" s="1"/>
  <c r="BZ64" i="3"/>
  <c r="CA64" i="3" s="1"/>
  <c r="BX65" i="3"/>
  <c r="BY65" i="3" s="1"/>
  <c r="BZ65" i="3"/>
  <c r="CA65" i="3" s="1"/>
  <c r="BX66" i="3"/>
  <c r="BY66" i="3" s="1"/>
  <c r="BZ66" i="3"/>
  <c r="CA66" i="3" s="1"/>
  <c r="BX67" i="3"/>
  <c r="BY67" i="3" s="1"/>
  <c r="BZ67" i="3"/>
  <c r="CA67" i="3" s="1"/>
  <c r="BX68" i="3"/>
  <c r="BY68" i="3" s="1"/>
  <c r="BZ68" i="3"/>
  <c r="CA68" i="3" s="1"/>
  <c r="BX69" i="3"/>
  <c r="BY69" i="3" s="1"/>
  <c r="BZ69" i="3"/>
  <c r="CA69" i="3" s="1"/>
  <c r="BX70" i="3"/>
  <c r="BY70" i="3" s="1"/>
  <c r="BZ70" i="3"/>
  <c r="CA70" i="3" s="1"/>
  <c r="BX71" i="3"/>
  <c r="BY71" i="3" s="1"/>
  <c r="BZ71" i="3"/>
  <c r="CA71" i="3" s="1"/>
  <c r="BX72" i="3"/>
  <c r="BY72" i="3" s="1"/>
  <c r="BZ72" i="3"/>
  <c r="CA72" i="3" s="1"/>
  <c r="BX73" i="3"/>
  <c r="BY73" i="3" s="1"/>
  <c r="BZ73" i="3"/>
  <c r="CA73" i="3" s="1"/>
  <c r="BX74" i="3"/>
  <c r="BY74" i="3" s="1"/>
  <c r="BZ74" i="3"/>
  <c r="CA74" i="3" s="1"/>
  <c r="BX75" i="3"/>
  <c r="BY75" i="3" s="1"/>
  <c r="BZ75" i="3"/>
  <c r="CA75" i="3" s="1"/>
  <c r="BX76" i="3"/>
  <c r="BY76" i="3" s="1"/>
  <c r="BZ76" i="3"/>
  <c r="CA76" i="3" s="1"/>
  <c r="BX77" i="3"/>
  <c r="BY77" i="3" s="1"/>
  <c r="BZ77" i="3"/>
  <c r="CA77" i="3" s="1"/>
  <c r="BX78" i="3"/>
  <c r="BY78" i="3" s="1"/>
  <c r="BZ78" i="3"/>
  <c r="CA78" i="3" s="1"/>
  <c r="BX79" i="3"/>
  <c r="BY79" i="3" s="1"/>
  <c r="BZ79" i="3"/>
  <c r="CA79" i="3" s="1"/>
  <c r="BX80" i="3"/>
  <c r="BY80" i="3" s="1"/>
  <c r="BZ80" i="3"/>
  <c r="CA80" i="3" s="1"/>
  <c r="BX81" i="3"/>
  <c r="BY81" i="3" s="1"/>
  <c r="BZ81" i="3"/>
  <c r="CA81" i="3" s="1"/>
  <c r="BX82" i="3"/>
  <c r="BY82" i="3" s="1"/>
  <c r="BZ82" i="3"/>
  <c r="CA82" i="3" s="1"/>
  <c r="BX83" i="3"/>
  <c r="BY83" i="3" s="1"/>
  <c r="BZ83" i="3"/>
  <c r="CA83" i="3" s="1"/>
  <c r="BX84" i="3"/>
  <c r="BY84" i="3" s="1"/>
  <c r="BZ84" i="3"/>
  <c r="CA84" i="3" s="1"/>
  <c r="BX85" i="3"/>
  <c r="BY85" i="3" s="1"/>
  <c r="BZ85" i="3"/>
  <c r="CA85" i="3" s="1"/>
  <c r="BX86" i="3"/>
  <c r="BY86" i="3" s="1"/>
  <c r="BZ86" i="3"/>
  <c r="CA86" i="3" s="1"/>
  <c r="BX87" i="3"/>
  <c r="BY87" i="3" s="1"/>
  <c r="BZ87" i="3"/>
  <c r="CA87" i="3" s="1"/>
  <c r="BX88" i="3"/>
  <c r="BY88" i="3" s="1"/>
  <c r="BZ88" i="3"/>
  <c r="CA88" i="3" s="1"/>
  <c r="BX89" i="3"/>
  <c r="BY89" i="3" s="1"/>
  <c r="BZ89" i="3"/>
  <c r="CA89" i="3" s="1"/>
  <c r="BX90" i="3"/>
  <c r="BY90" i="3" s="1"/>
  <c r="BZ90" i="3"/>
  <c r="CA90" i="3" s="1"/>
  <c r="BX91" i="3"/>
  <c r="BY91" i="3" s="1"/>
  <c r="BZ91" i="3"/>
  <c r="CA91" i="3" s="1"/>
  <c r="BX92" i="3"/>
  <c r="BY92" i="3" s="1"/>
  <c r="BZ92" i="3"/>
  <c r="CA92" i="3" s="1"/>
  <c r="BX93" i="3"/>
  <c r="BY93" i="3" s="1"/>
  <c r="BZ93" i="3"/>
  <c r="CA93" i="3" s="1"/>
  <c r="BX94" i="3"/>
  <c r="BY94" i="3" s="1"/>
  <c r="BZ94" i="3"/>
  <c r="CA94" i="3" s="1"/>
  <c r="BX95" i="3"/>
  <c r="BY95" i="3" s="1"/>
  <c r="BZ95" i="3"/>
  <c r="CA95" i="3" s="1"/>
  <c r="BX96" i="3"/>
  <c r="BY96" i="3" s="1"/>
  <c r="BZ96" i="3"/>
  <c r="CA96" i="3" s="1"/>
  <c r="BX97" i="3"/>
  <c r="BY97" i="3" s="1"/>
  <c r="BZ97" i="3"/>
  <c r="CA97" i="3" s="1"/>
  <c r="BX98" i="3"/>
  <c r="BY98" i="3" s="1"/>
  <c r="BZ98" i="3"/>
  <c r="CA98" i="3" s="1"/>
  <c r="BX99" i="3"/>
  <c r="BY99" i="3" s="1"/>
  <c r="BZ99" i="3"/>
  <c r="CA99" i="3" s="1"/>
  <c r="BX100" i="3"/>
  <c r="BY100" i="3" s="1"/>
  <c r="BZ100" i="3"/>
  <c r="CA100" i="3" s="1"/>
  <c r="BX101" i="3"/>
  <c r="BY101" i="3" s="1"/>
  <c r="BZ101" i="3"/>
  <c r="CA101" i="3" s="1"/>
  <c r="BX102" i="3"/>
  <c r="BY102" i="3" s="1"/>
  <c r="BZ102" i="3"/>
  <c r="CA102" i="3" s="1"/>
  <c r="BX103" i="3"/>
  <c r="BY103" i="3" s="1"/>
  <c r="BZ103" i="3"/>
  <c r="CA103" i="3" s="1"/>
  <c r="BX104" i="3"/>
  <c r="BY104" i="3" s="1"/>
  <c r="BZ104" i="3"/>
  <c r="CA104" i="3" s="1"/>
  <c r="BX105" i="3"/>
  <c r="BY105" i="3" s="1"/>
  <c r="BZ105" i="3"/>
  <c r="CA105" i="3" s="1"/>
  <c r="BX106" i="3"/>
  <c r="BY106" i="3" s="1"/>
  <c r="BZ106" i="3"/>
  <c r="CA106" i="3" s="1"/>
  <c r="BX107" i="3"/>
  <c r="BY107" i="3" s="1"/>
  <c r="BZ107" i="3"/>
  <c r="CA107" i="3" s="1"/>
  <c r="BX108" i="3"/>
  <c r="BY108" i="3" s="1"/>
  <c r="BZ108" i="3"/>
  <c r="CA108" i="3" s="1"/>
  <c r="BX109" i="3"/>
  <c r="BY109" i="3" s="1"/>
  <c r="BZ109" i="3"/>
  <c r="CA109" i="3" s="1"/>
  <c r="BX110" i="3"/>
  <c r="BY110" i="3" s="1"/>
  <c r="BZ110" i="3"/>
  <c r="CA110" i="3" s="1"/>
  <c r="BX111" i="3"/>
  <c r="BY111" i="3" s="1"/>
  <c r="BZ111" i="3"/>
  <c r="CA111" i="3" s="1"/>
  <c r="BX112" i="3"/>
  <c r="BY112" i="3" s="1"/>
  <c r="BZ112" i="3"/>
  <c r="CA112" i="3" s="1"/>
  <c r="BX113" i="3"/>
  <c r="BY113" i="3" s="1"/>
  <c r="BZ113" i="3"/>
  <c r="CA113" i="3" s="1"/>
  <c r="BX114" i="3"/>
  <c r="BY114" i="3" s="1"/>
  <c r="BZ114" i="3"/>
  <c r="CA114" i="3" s="1"/>
  <c r="BX115" i="3"/>
  <c r="BY115" i="3" s="1"/>
  <c r="BZ115" i="3"/>
  <c r="CA115" i="3" s="1"/>
  <c r="BX116" i="3"/>
  <c r="BY116" i="3" s="1"/>
  <c r="BZ116" i="3"/>
  <c r="CA116" i="3" s="1"/>
  <c r="BX117" i="3"/>
  <c r="BY117" i="3" s="1"/>
  <c r="BZ117" i="3"/>
  <c r="CA117" i="3" s="1"/>
  <c r="BX118" i="3"/>
  <c r="BY118" i="3" s="1"/>
  <c r="BZ118" i="3"/>
  <c r="CA118" i="3" s="1"/>
  <c r="BX119" i="3"/>
  <c r="BY119" i="3" s="1"/>
  <c r="BZ119" i="3"/>
  <c r="CA119" i="3" s="1"/>
  <c r="BX120" i="3"/>
  <c r="BY120" i="3" s="1"/>
  <c r="BZ120" i="3"/>
  <c r="CA120" i="3" s="1"/>
  <c r="BX121" i="3"/>
  <c r="BY121" i="3" s="1"/>
  <c r="BZ121" i="3"/>
  <c r="CA121" i="3" s="1"/>
  <c r="BX122" i="3"/>
  <c r="BY122" i="3" s="1"/>
  <c r="BZ122" i="3"/>
  <c r="CA122" i="3" s="1"/>
  <c r="BX123" i="3"/>
  <c r="BY123" i="3" s="1"/>
  <c r="BZ123" i="3"/>
  <c r="CA123" i="3" s="1"/>
  <c r="BX124" i="3"/>
  <c r="BY124" i="3" s="1"/>
  <c r="BZ124" i="3"/>
  <c r="CA124" i="3" s="1"/>
  <c r="BX125" i="3"/>
  <c r="BY125" i="3" s="1"/>
  <c r="BZ125" i="3"/>
  <c r="CA125" i="3" s="1"/>
  <c r="BX126" i="3"/>
  <c r="BY126" i="3" s="1"/>
  <c r="BZ126" i="3"/>
  <c r="CA126" i="3" s="1"/>
  <c r="BX127" i="3"/>
  <c r="BY127" i="3" s="1"/>
  <c r="BZ127" i="3"/>
  <c r="CA127" i="3" s="1"/>
  <c r="BX128" i="3"/>
  <c r="BY128" i="3" s="1"/>
  <c r="BZ128" i="3"/>
  <c r="CA128" i="3" s="1"/>
  <c r="BX129" i="3"/>
  <c r="BY129" i="3" s="1"/>
  <c r="BZ129" i="3"/>
  <c r="CA129" i="3" s="1"/>
  <c r="BX130" i="3"/>
  <c r="BY130" i="3" s="1"/>
  <c r="BZ130" i="3"/>
  <c r="CA130" i="3" s="1"/>
  <c r="BX131" i="3"/>
  <c r="BY131" i="3" s="1"/>
  <c r="BZ131" i="3"/>
  <c r="CA131" i="3" s="1"/>
  <c r="BX132" i="3"/>
  <c r="BY132" i="3" s="1"/>
  <c r="BZ132" i="3"/>
  <c r="CA132" i="3" s="1"/>
  <c r="BX133" i="3"/>
  <c r="BY133" i="3" s="1"/>
  <c r="BZ133" i="3"/>
  <c r="CA133" i="3" s="1"/>
  <c r="BX134" i="3"/>
  <c r="BY134" i="3" s="1"/>
  <c r="BZ134" i="3"/>
  <c r="CA134" i="3" s="1"/>
  <c r="BX135" i="3"/>
  <c r="BY135" i="3" s="1"/>
  <c r="BZ135" i="3"/>
  <c r="CA135" i="3" s="1"/>
  <c r="BX136" i="3"/>
  <c r="BY136" i="3" s="1"/>
  <c r="BZ136" i="3"/>
  <c r="CA136" i="3" s="1"/>
  <c r="BX137" i="3"/>
  <c r="BY137" i="3" s="1"/>
  <c r="BZ137" i="3"/>
  <c r="CA137" i="3" s="1"/>
  <c r="BX138" i="3"/>
  <c r="BY138" i="3" s="1"/>
  <c r="BZ138" i="3"/>
  <c r="CA138" i="3" s="1"/>
  <c r="BX139" i="3"/>
  <c r="BY139" i="3" s="1"/>
  <c r="BZ139" i="3"/>
  <c r="CA139" i="3" s="1"/>
  <c r="BX140" i="3"/>
  <c r="BY140" i="3" s="1"/>
  <c r="BZ140" i="3"/>
  <c r="CA140" i="3" s="1"/>
  <c r="BX141" i="3"/>
  <c r="BY141" i="3" s="1"/>
  <c r="BZ141" i="3"/>
  <c r="CA141" i="3" s="1"/>
  <c r="BX142" i="3"/>
  <c r="BY142" i="3" s="1"/>
  <c r="BZ142" i="3"/>
  <c r="CA142" i="3" s="1"/>
  <c r="BX143" i="3"/>
  <c r="BY143" i="3" s="1"/>
  <c r="BZ143" i="3"/>
  <c r="CA143" i="3" s="1"/>
  <c r="BX144" i="3"/>
  <c r="BY144" i="3" s="1"/>
  <c r="BZ144" i="3"/>
  <c r="CA144" i="3" s="1"/>
  <c r="BX145" i="3"/>
  <c r="BY145" i="3" s="1"/>
  <c r="BZ145" i="3"/>
  <c r="CA145" i="3" s="1"/>
  <c r="BX146" i="3"/>
  <c r="BY146" i="3" s="1"/>
  <c r="BZ146" i="3"/>
  <c r="CA146" i="3" s="1"/>
  <c r="BX147" i="3"/>
  <c r="BY147" i="3" s="1"/>
  <c r="BZ147" i="3"/>
  <c r="CA147" i="3" s="1"/>
  <c r="BX148" i="3"/>
  <c r="BY148" i="3" s="1"/>
  <c r="BZ148" i="3"/>
  <c r="CA148" i="3" s="1"/>
  <c r="BX149" i="3"/>
  <c r="BY149" i="3" s="1"/>
  <c r="BZ149" i="3"/>
  <c r="CA149" i="3" s="1"/>
  <c r="BX150" i="3"/>
  <c r="BY150" i="3" s="1"/>
  <c r="BZ150" i="3"/>
  <c r="CA150" i="3" s="1"/>
  <c r="BX151" i="3"/>
  <c r="BY151" i="3" s="1"/>
  <c r="BZ151" i="3"/>
  <c r="CA151" i="3" s="1"/>
  <c r="BX152" i="3"/>
  <c r="BY152" i="3" s="1"/>
  <c r="BZ152" i="3"/>
  <c r="CA152" i="3" s="1"/>
  <c r="BX153" i="3"/>
  <c r="BY153" i="3" s="1"/>
  <c r="BZ153" i="3"/>
  <c r="CA153" i="3" s="1"/>
  <c r="BX154" i="3"/>
  <c r="BY154" i="3" s="1"/>
  <c r="BZ154" i="3"/>
  <c r="CA154" i="3" s="1"/>
  <c r="BX155" i="3"/>
  <c r="BY155" i="3" s="1"/>
  <c r="BZ155" i="3"/>
  <c r="CA155" i="3" s="1"/>
  <c r="BX156" i="3"/>
  <c r="BY156" i="3" s="1"/>
  <c r="BZ156" i="3"/>
  <c r="CA156" i="3" s="1"/>
  <c r="BX157" i="3"/>
  <c r="BY157" i="3" s="1"/>
  <c r="BZ157" i="3"/>
  <c r="CA157" i="3" s="1"/>
  <c r="BX158" i="3"/>
  <c r="BY158" i="3" s="1"/>
  <c r="BZ158" i="3"/>
  <c r="CA158" i="3" s="1"/>
  <c r="BX159" i="3"/>
  <c r="BY159" i="3" s="1"/>
  <c r="BZ159" i="3"/>
  <c r="CA159" i="3" s="1"/>
  <c r="BX160" i="3"/>
  <c r="BY160" i="3" s="1"/>
  <c r="BZ160" i="3"/>
  <c r="CA160" i="3" s="1"/>
  <c r="BX161" i="3"/>
  <c r="BY161" i="3" s="1"/>
  <c r="BZ161" i="3"/>
  <c r="CA161" i="3" s="1"/>
  <c r="BX162" i="3"/>
  <c r="BY162" i="3" s="1"/>
  <c r="BZ162" i="3"/>
  <c r="CA162" i="3" s="1"/>
  <c r="BX163" i="3"/>
  <c r="BY163" i="3" s="1"/>
  <c r="BZ163" i="3"/>
  <c r="CA163" i="3" s="1"/>
  <c r="BX164" i="3"/>
  <c r="BY164" i="3" s="1"/>
  <c r="BZ164" i="3"/>
  <c r="CA164" i="3" s="1"/>
  <c r="BX165" i="3"/>
  <c r="BY165" i="3" s="1"/>
  <c r="BZ165" i="3"/>
  <c r="CA165" i="3" s="1"/>
  <c r="BX166" i="3"/>
  <c r="BY166" i="3" s="1"/>
  <c r="BZ166" i="3"/>
  <c r="CA166" i="3" s="1"/>
  <c r="BX167" i="3"/>
  <c r="BY167" i="3" s="1"/>
  <c r="BZ167" i="3"/>
  <c r="CA167" i="3" s="1"/>
  <c r="BX168" i="3"/>
  <c r="BY168" i="3" s="1"/>
  <c r="BZ168" i="3"/>
  <c r="CA168" i="3" s="1"/>
  <c r="BX169" i="3"/>
  <c r="BY169" i="3" s="1"/>
  <c r="BZ169" i="3"/>
  <c r="CA169" i="3" s="1"/>
  <c r="BX170" i="3"/>
  <c r="BY170" i="3" s="1"/>
  <c r="BZ170" i="3"/>
  <c r="CA170" i="3" s="1"/>
  <c r="BX171" i="3"/>
  <c r="BY171" i="3" s="1"/>
  <c r="BZ171" i="3"/>
  <c r="CA171" i="3" s="1"/>
  <c r="BX172" i="3"/>
  <c r="BY172" i="3" s="1"/>
  <c r="BZ172" i="3"/>
  <c r="CA172" i="3" s="1"/>
  <c r="BX173" i="3"/>
  <c r="BY173" i="3" s="1"/>
  <c r="BZ173" i="3"/>
  <c r="CA173" i="3" s="1"/>
  <c r="BX174" i="3"/>
  <c r="BY174" i="3" s="1"/>
  <c r="BZ174" i="3"/>
  <c r="CA174" i="3" s="1"/>
  <c r="BX175" i="3"/>
  <c r="BY175" i="3" s="1"/>
  <c r="BZ175" i="3"/>
  <c r="CA175" i="3" s="1"/>
  <c r="BX176" i="3"/>
  <c r="BY176" i="3" s="1"/>
  <c r="BZ176" i="3"/>
  <c r="CA176" i="3" s="1"/>
  <c r="BX177" i="3"/>
  <c r="BY177" i="3" s="1"/>
  <c r="BZ177" i="3"/>
  <c r="CA177" i="3" s="1"/>
  <c r="BX178" i="3"/>
  <c r="BY178" i="3" s="1"/>
  <c r="BZ178" i="3"/>
  <c r="CA178" i="3" s="1"/>
  <c r="BX179" i="3"/>
  <c r="BY179" i="3" s="1"/>
  <c r="BZ179" i="3"/>
  <c r="CA179" i="3" s="1"/>
  <c r="BX180" i="3"/>
  <c r="BY180" i="3" s="1"/>
  <c r="BZ180" i="3"/>
  <c r="CA180" i="3" s="1"/>
  <c r="BX181" i="3"/>
  <c r="BY181" i="3" s="1"/>
  <c r="BZ181" i="3"/>
  <c r="CA181" i="3" s="1"/>
  <c r="BX182" i="3"/>
  <c r="BY182" i="3" s="1"/>
  <c r="BZ182" i="3"/>
  <c r="CA182" i="3" s="1"/>
  <c r="BX183" i="3"/>
  <c r="BY183" i="3" s="1"/>
  <c r="BZ183" i="3"/>
  <c r="CA183" i="3" s="1"/>
  <c r="BX184" i="3"/>
  <c r="BY184" i="3" s="1"/>
  <c r="BZ184" i="3"/>
  <c r="CA184" i="3" s="1"/>
  <c r="BX185" i="3"/>
  <c r="BY185" i="3" s="1"/>
  <c r="BZ185" i="3"/>
  <c r="CA185" i="3" s="1"/>
  <c r="BX186" i="3"/>
  <c r="BY186" i="3" s="1"/>
  <c r="BZ186" i="3"/>
  <c r="CA186" i="3" s="1"/>
  <c r="BX187" i="3"/>
  <c r="BY187" i="3" s="1"/>
  <c r="BZ187" i="3"/>
  <c r="CA187" i="3" s="1"/>
  <c r="BX188" i="3"/>
  <c r="BY188" i="3" s="1"/>
  <c r="BZ188" i="3"/>
  <c r="CA188" i="3" s="1"/>
  <c r="BX189" i="3"/>
  <c r="BY189" i="3" s="1"/>
  <c r="BZ189" i="3"/>
  <c r="CA189" i="3" s="1"/>
  <c r="BX190" i="3"/>
  <c r="BY190" i="3" s="1"/>
  <c r="BZ190" i="3"/>
  <c r="CA190" i="3" s="1"/>
  <c r="BX191" i="3"/>
  <c r="BY191" i="3" s="1"/>
  <c r="BZ191" i="3"/>
  <c r="CA191" i="3" s="1"/>
  <c r="BX192" i="3"/>
  <c r="BY192" i="3" s="1"/>
  <c r="BZ192" i="3"/>
  <c r="CA192" i="3" s="1"/>
  <c r="BX193" i="3"/>
  <c r="BY193" i="3" s="1"/>
  <c r="BZ193" i="3"/>
  <c r="CA193" i="3" s="1"/>
  <c r="BX194" i="3"/>
  <c r="BY194" i="3" s="1"/>
  <c r="BZ194" i="3"/>
  <c r="CA194" i="3" s="1"/>
  <c r="BX195" i="3"/>
  <c r="BY195" i="3" s="1"/>
  <c r="BZ195" i="3"/>
  <c r="CA195" i="3" s="1"/>
  <c r="BX196" i="3"/>
  <c r="BY196" i="3" s="1"/>
  <c r="BZ196" i="3"/>
  <c r="CA196" i="3" s="1"/>
  <c r="BX197" i="3"/>
  <c r="BY197" i="3" s="1"/>
  <c r="BZ197" i="3"/>
  <c r="CA197" i="3" s="1"/>
  <c r="BX198" i="3"/>
  <c r="BY198" i="3" s="1"/>
  <c r="BZ198" i="3"/>
  <c r="CA198" i="3" s="1"/>
  <c r="BX199" i="3"/>
  <c r="BY199" i="3" s="1"/>
  <c r="BZ199" i="3"/>
  <c r="CA199" i="3" s="1"/>
  <c r="BX200" i="3"/>
  <c r="BY200" i="3" s="1"/>
  <c r="BZ200" i="3"/>
  <c r="CA200" i="3" s="1"/>
  <c r="BX201" i="3"/>
  <c r="BY201" i="3" s="1"/>
  <c r="BZ201" i="3"/>
  <c r="CA201" i="3" s="1"/>
  <c r="BX202" i="3"/>
  <c r="BY202" i="3" s="1"/>
  <c r="BZ202" i="3"/>
  <c r="CA202" i="3" s="1"/>
  <c r="BX203" i="3"/>
  <c r="BY203" i="3" s="1"/>
  <c r="BZ203" i="3"/>
  <c r="CA203" i="3" s="1"/>
  <c r="BX204" i="3"/>
  <c r="BY204" i="3" s="1"/>
  <c r="BZ204" i="3"/>
  <c r="CA204" i="3" s="1"/>
  <c r="BX205" i="3"/>
  <c r="BY205" i="3" s="1"/>
  <c r="BZ205" i="3"/>
  <c r="CA205" i="3" s="1"/>
  <c r="BX206" i="3"/>
  <c r="BY206" i="3" s="1"/>
  <c r="BZ206" i="3"/>
  <c r="CA206" i="3" s="1"/>
  <c r="BX207" i="3"/>
  <c r="BY207" i="3" s="1"/>
  <c r="BZ207" i="3"/>
  <c r="CA207" i="3" s="1"/>
  <c r="BX208" i="3"/>
  <c r="BY208" i="3" s="1"/>
  <c r="BZ208" i="3"/>
  <c r="CA208" i="3" s="1"/>
  <c r="BX209" i="3"/>
  <c r="BY209" i="3" s="1"/>
  <c r="BZ209" i="3"/>
  <c r="CA209" i="3" s="1"/>
  <c r="BX210" i="3"/>
  <c r="BY210" i="3" s="1"/>
  <c r="BZ210" i="3"/>
  <c r="CA210" i="3" s="1"/>
  <c r="BX211" i="3"/>
  <c r="BY211" i="3" s="1"/>
  <c r="BZ211" i="3"/>
  <c r="CA211" i="3" s="1"/>
  <c r="BX212" i="3"/>
  <c r="BY212" i="3" s="1"/>
  <c r="BZ212" i="3"/>
  <c r="CA212" i="3" s="1"/>
  <c r="BX213" i="3"/>
  <c r="BY213" i="3" s="1"/>
  <c r="BZ213" i="3"/>
  <c r="CA213" i="3" s="1"/>
  <c r="BX214" i="3"/>
  <c r="BY214" i="3" s="1"/>
  <c r="BZ214" i="3"/>
  <c r="CA214" i="3" s="1"/>
  <c r="BX215" i="3"/>
  <c r="BY215" i="3" s="1"/>
  <c r="BZ215" i="3"/>
  <c r="CA215" i="3" s="1"/>
  <c r="BX216" i="3"/>
  <c r="BY216" i="3" s="1"/>
  <c r="BZ216" i="3"/>
  <c r="CA216" i="3" s="1"/>
  <c r="BX217" i="3"/>
  <c r="BY217" i="3" s="1"/>
  <c r="BZ217" i="3"/>
  <c r="CA217" i="3" s="1"/>
  <c r="BX218" i="3"/>
  <c r="BY218" i="3" s="1"/>
  <c r="BZ218" i="3"/>
  <c r="CA218" i="3" s="1"/>
  <c r="BX219" i="3"/>
  <c r="BY219" i="3" s="1"/>
  <c r="BZ219" i="3"/>
  <c r="CA219" i="3" s="1"/>
  <c r="BX220" i="3"/>
  <c r="BY220" i="3" s="1"/>
  <c r="BZ220" i="3"/>
  <c r="CA220" i="3" s="1"/>
  <c r="BX221" i="3"/>
  <c r="BY221" i="3" s="1"/>
  <c r="BZ221" i="3"/>
  <c r="CA221" i="3" s="1"/>
  <c r="BX222" i="3"/>
  <c r="BY222" i="3" s="1"/>
  <c r="BZ222" i="3"/>
  <c r="CA222" i="3" s="1"/>
  <c r="BX223" i="3"/>
  <c r="BY223" i="3" s="1"/>
  <c r="BZ223" i="3"/>
  <c r="CA223" i="3" s="1"/>
  <c r="BX224" i="3"/>
  <c r="BY224" i="3" s="1"/>
  <c r="BZ224" i="3"/>
  <c r="CA224" i="3" s="1"/>
  <c r="BX225" i="3"/>
  <c r="BY225" i="3" s="1"/>
  <c r="BZ225" i="3"/>
  <c r="CA225" i="3" s="1"/>
  <c r="BX226" i="3"/>
  <c r="BY226" i="3" s="1"/>
  <c r="BZ226" i="3"/>
  <c r="CA226" i="3" s="1"/>
  <c r="BX227" i="3"/>
  <c r="BY227" i="3" s="1"/>
  <c r="BZ227" i="3"/>
  <c r="CA227" i="3" s="1"/>
  <c r="BX228" i="3"/>
  <c r="BY228" i="3" s="1"/>
  <c r="BZ228" i="3"/>
  <c r="CA228" i="3" s="1"/>
  <c r="BX229" i="3"/>
  <c r="BY229" i="3" s="1"/>
  <c r="BZ229" i="3"/>
  <c r="CA229" i="3" s="1"/>
  <c r="BX230" i="3"/>
  <c r="BY230" i="3" s="1"/>
  <c r="BZ230" i="3"/>
  <c r="CA230" i="3" s="1"/>
  <c r="BX231" i="3"/>
  <c r="BY231" i="3" s="1"/>
  <c r="BZ231" i="3"/>
  <c r="CA231" i="3" s="1"/>
  <c r="BX232" i="3"/>
  <c r="BY232" i="3" s="1"/>
  <c r="BZ232" i="3"/>
  <c r="CA232" i="3" s="1"/>
  <c r="BX233" i="3"/>
  <c r="BY233" i="3" s="1"/>
  <c r="BZ233" i="3"/>
  <c r="CA233" i="3" s="1"/>
  <c r="BX234" i="3"/>
  <c r="BY234" i="3" s="1"/>
  <c r="BZ234" i="3"/>
  <c r="CA234" i="3" s="1"/>
  <c r="BX235" i="3"/>
  <c r="BY235" i="3" s="1"/>
  <c r="BZ235" i="3"/>
  <c r="CA235" i="3" s="1"/>
  <c r="BX236" i="3"/>
  <c r="BY236" i="3" s="1"/>
  <c r="BZ236" i="3"/>
  <c r="CA236" i="3" s="1"/>
  <c r="BX237" i="3"/>
  <c r="BY237" i="3" s="1"/>
  <c r="BZ237" i="3"/>
  <c r="CA237" i="3" s="1"/>
  <c r="BX238" i="3"/>
  <c r="BY238" i="3" s="1"/>
  <c r="BZ238" i="3"/>
  <c r="CA238" i="3" s="1"/>
  <c r="BX239" i="3"/>
  <c r="BY239" i="3" s="1"/>
  <c r="BZ239" i="3"/>
  <c r="CA239" i="3" s="1"/>
  <c r="BX240" i="3"/>
  <c r="BY240" i="3" s="1"/>
  <c r="BZ240" i="3"/>
  <c r="CA240" i="3" s="1"/>
  <c r="BX241" i="3"/>
  <c r="BY241" i="3" s="1"/>
  <c r="BZ241" i="3"/>
  <c r="CA241" i="3" s="1"/>
  <c r="BX242" i="3"/>
  <c r="BY242" i="3" s="1"/>
  <c r="BZ242" i="3"/>
  <c r="CA242" i="3" s="1"/>
  <c r="BX243" i="3"/>
  <c r="BY243" i="3" s="1"/>
  <c r="BZ243" i="3"/>
  <c r="CA243" i="3" s="1"/>
  <c r="BX244" i="3"/>
  <c r="BY244" i="3" s="1"/>
  <c r="BZ244" i="3"/>
  <c r="CA244" i="3" s="1"/>
  <c r="BX245" i="3"/>
  <c r="BY245" i="3" s="1"/>
  <c r="BZ245" i="3"/>
  <c r="CA245" i="3" s="1"/>
  <c r="BX246" i="3"/>
  <c r="BY246" i="3" s="1"/>
  <c r="BZ246" i="3"/>
  <c r="CA246" i="3" s="1"/>
  <c r="BX247" i="3"/>
  <c r="BY247" i="3" s="1"/>
  <c r="BZ247" i="3"/>
  <c r="CA247" i="3" s="1"/>
  <c r="BX248" i="3"/>
  <c r="BY248" i="3" s="1"/>
  <c r="BZ248" i="3"/>
  <c r="CA248" i="3" s="1"/>
  <c r="BX249" i="3"/>
  <c r="BY249" i="3" s="1"/>
  <c r="BZ249" i="3"/>
  <c r="CA249" i="3" s="1"/>
  <c r="BX250" i="3"/>
  <c r="BY250" i="3" s="1"/>
  <c r="BZ250" i="3"/>
  <c r="CA250" i="3" s="1"/>
  <c r="BX251" i="3"/>
  <c r="BY251" i="3" s="1"/>
  <c r="BZ251" i="3"/>
  <c r="CA251" i="3" s="1"/>
  <c r="BX252" i="3"/>
  <c r="BY252" i="3" s="1"/>
  <c r="BZ252" i="3"/>
  <c r="CA252" i="3" s="1"/>
  <c r="BX253" i="3"/>
  <c r="BY253" i="3" s="1"/>
  <c r="BZ253" i="3"/>
  <c r="CA253" i="3" s="1"/>
  <c r="BX254" i="3"/>
  <c r="BY254" i="3" s="1"/>
  <c r="BZ254" i="3"/>
  <c r="CA254" i="3" s="1"/>
  <c r="BX255" i="3"/>
  <c r="BY255" i="3" s="1"/>
  <c r="BZ255" i="3"/>
  <c r="CA255" i="3" s="1"/>
  <c r="BX256" i="3"/>
  <c r="BY256" i="3" s="1"/>
  <c r="BZ256" i="3"/>
  <c r="CA256" i="3" s="1"/>
  <c r="BX257" i="3"/>
  <c r="BY257" i="3" s="1"/>
  <c r="BZ257" i="3"/>
  <c r="CA257" i="3" s="1"/>
  <c r="BX258" i="3"/>
  <c r="BY258" i="3" s="1"/>
  <c r="BZ258" i="3"/>
  <c r="CA258" i="3" s="1"/>
  <c r="BX259" i="3"/>
  <c r="BY259" i="3" s="1"/>
  <c r="BZ259" i="3"/>
  <c r="CA259" i="3" s="1"/>
  <c r="BX260" i="3"/>
  <c r="BY260" i="3" s="1"/>
  <c r="BZ260" i="3"/>
  <c r="CA260" i="3" s="1"/>
  <c r="CQ12" i="3"/>
  <c r="CQ13" i="3"/>
  <c r="CQ14" i="3"/>
  <c r="CQ15" i="3"/>
  <c r="CQ16" i="3"/>
  <c r="CQ17" i="3"/>
  <c r="CQ18" i="3"/>
  <c r="CQ19" i="3"/>
  <c r="CQ20" i="3"/>
  <c r="CQ21" i="3"/>
  <c r="CQ22" i="3"/>
  <c r="CQ23" i="3"/>
  <c r="CQ24" i="3"/>
  <c r="CQ25" i="3"/>
  <c r="CQ26" i="3"/>
  <c r="CQ27" i="3"/>
  <c r="CQ28" i="3"/>
  <c r="CQ29" i="3"/>
  <c r="CQ30" i="3"/>
  <c r="CQ31" i="3"/>
  <c r="CQ32" i="3"/>
  <c r="CQ33" i="3"/>
  <c r="CQ34" i="3"/>
  <c r="CQ35" i="3"/>
  <c r="CQ36" i="3"/>
  <c r="CQ37" i="3"/>
  <c r="CQ38" i="3"/>
  <c r="CQ39" i="3"/>
  <c r="CQ40" i="3"/>
  <c r="CQ41" i="3"/>
  <c r="CQ42" i="3"/>
  <c r="CQ43" i="3"/>
  <c r="CQ44" i="3"/>
  <c r="CQ45" i="3"/>
  <c r="CQ46" i="3"/>
  <c r="CQ47" i="3"/>
  <c r="CQ48" i="3"/>
  <c r="CQ49" i="3"/>
  <c r="CQ50" i="3"/>
  <c r="CQ51" i="3"/>
  <c r="CQ52" i="3"/>
  <c r="CQ53" i="3"/>
  <c r="CQ54" i="3"/>
  <c r="CQ55" i="3"/>
  <c r="CQ56" i="3"/>
  <c r="CQ57" i="3"/>
  <c r="CQ58" i="3"/>
  <c r="CQ59" i="3"/>
  <c r="CQ60" i="3"/>
  <c r="CQ61" i="3"/>
  <c r="CQ62" i="3"/>
  <c r="CQ63" i="3"/>
  <c r="CQ64" i="3"/>
  <c r="CQ65" i="3"/>
  <c r="CQ66" i="3"/>
  <c r="CQ67" i="3"/>
  <c r="CQ68" i="3"/>
  <c r="CQ69" i="3"/>
  <c r="CQ70" i="3"/>
  <c r="CQ71" i="3"/>
  <c r="CQ72" i="3"/>
  <c r="CQ73" i="3"/>
  <c r="CQ74" i="3"/>
  <c r="CQ75" i="3"/>
  <c r="CQ76" i="3"/>
  <c r="CQ77" i="3"/>
  <c r="CQ78" i="3"/>
  <c r="CQ79" i="3"/>
  <c r="CQ80" i="3"/>
  <c r="CQ81" i="3"/>
  <c r="CQ82" i="3"/>
  <c r="CQ83" i="3"/>
  <c r="CQ84" i="3"/>
  <c r="CQ85" i="3"/>
  <c r="CQ86" i="3"/>
  <c r="CQ87" i="3"/>
  <c r="CQ88" i="3"/>
  <c r="CQ89" i="3"/>
  <c r="CQ90" i="3"/>
  <c r="CQ91" i="3"/>
  <c r="CQ92" i="3"/>
  <c r="CQ93" i="3"/>
  <c r="CQ94" i="3"/>
  <c r="CQ95" i="3"/>
  <c r="CQ96" i="3"/>
  <c r="CQ97" i="3"/>
  <c r="CQ98" i="3"/>
  <c r="CQ99" i="3"/>
  <c r="CQ100" i="3"/>
  <c r="CQ101" i="3"/>
  <c r="CQ102" i="3"/>
  <c r="CQ103" i="3"/>
  <c r="CQ104" i="3"/>
  <c r="CQ105" i="3"/>
  <c r="CQ106" i="3"/>
  <c r="CQ107" i="3"/>
  <c r="CQ108" i="3"/>
  <c r="CQ109" i="3"/>
  <c r="CQ110" i="3"/>
  <c r="CQ111" i="3"/>
  <c r="CQ112" i="3"/>
  <c r="CQ113" i="3"/>
  <c r="CQ114" i="3"/>
  <c r="CQ115" i="3"/>
  <c r="CQ116" i="3"/>
  <c r="CQ117" i="3"/>
  <c r="CQ118" i="3"/>
  <c r="CQ119" i="3"/>
  <c r="CQ120" i="3"/>
  <c r="CQ121" i="3"/>
  <c r="CQ122" i="3"/>
  <c r="CQ123" i="3"/>
  <c r="CQ124" i="3"/>
  <c r="CQ125" i="3"/>
  <c r="CQ126" i="3"/>
  <c r="CQ127" i="3"/>
  <c r="CQ128" i="3"/>
  <c r="CQ129" i="3"/>
  <c r="CQ130" i="3"/>
  <c r="CQ131" i="3"/>
  <c r="CQ132" i="3"/>
  <c r="CQ133" i="3"/>
  <c r="CQ134" i="3"/>
  <c r="CQ135" i="3"/>
  <c r="CQ136" i="3"/>
  <c r="CQ137" i="3"/>
  <c r="CQ138" i="3"/>
  <c r="CQ139" i="3"/>
  <c r="CQ140" i="3"/>
  <c r="CQ141" i="3"/>
  <c r="CQ142" i="3"/>
  <c r="CQ143" i="3"/>
  <c r="CQ144" i="3"/>
  <c r="CQ145" i="3"/>
  <c r="CQ146" i="3"/>
  <c r="CQ147" i="3"/>
  <c r="CQ148" i="3"/>
  <c r="CQ149" i="3"/>
  <c r="CQ150" i="3"/>
  <c r="CQ151" i="3"/>
  <c r="CQ152" i="3"/>
  <c r="CQ153" i="3"/>
  <c r="CQ154" i="3"/>
  <c r="CQ155" i="3"/>
  <c r="CQ156" i="3"/>
  <c r="CQ157" i="3"/>
  <c r="CQ158" i="3"/>
  <c r="CQ159" i="3"/>
  <c r="CQ160" i="3"/>
  <c r="CQ161" i="3"/>
  <c r="CQ162" i="3"/>
  <c r="CQ163" i="3"/>
  <c r="CQ164" i="3"/>
  <c r="CQ165" i="3"/>
  <c r="CQ166" i="3"/>
  <c r="CQ167" i="3"/>
  <c r="CQ168" i="3"/>
  <c r="CQ169" i="3"/>
  <c r="CQ170" i="3"/>
  <c r="CQ171" i="3"/>
  <c r="CQ172" i="3"/>
  <c r="CQ173" i="3"/>
  <c r="CQ174" i="3"/>
  <c r="CQ175" i="3"/>
  <c r="CQ176" i="3"/>
  <c r="CQ177" i="3"/>
  <c r="CQ178" i="3"/>
  <c r="CQ179" i="3"/>
  <c r="CQ180" i="3"/>
  <c r="CQ181" i="3"/>
  <c r="CQ182" i="3"/>
  <c r="CQ183" i="3"/>
  <c r="CQ184" i="3"/>
  <c r="CQ185" i="3"/>
  <c r="CQ186" i="3"/>
  <c r="CQ187" i="3"/>
  <c r="CQ188" i="3"/>
  <c r="CQ189" i="3"/>
  <c r="CQ190" i="3"/>
  <c r="CQ191" i="3"/>
  <c r="CQ192" i="3"/>
  <c r="CQ193" i="3"/>
  <c r="CQ194" i="3"/>
  <c r="CQ195" i="3"/>
  <c r="CQ196" i="3"/>
  <c r="CQ197" i="3"/>
  <c r="CQ198" i="3"/>
  <c r="CQ199" i="3"/>
  <c r="CQ200" i="3"/>
  <c r="CQ201" i="3"/>
  <c r="CQ202" i="3"/>
  <c r="CQ203" i="3"/>
  <c r="CQ204" i="3"/>
  <c r="CQ205" i="3"/>
  <c r="CQ206" i="3"/>
  <c r="CQ207" i="3"/>
  <c r="CQ208" i="3"/>
  <c r="CQ209" i="3"/>
  <c r="CQ210" i="3"/>
  <c r="CQ211" i="3"/>
  <c r="CQ212" i="3"/>
  <c r="CQ213" i="3"/>
  <c r="CQ214" i="3"/>
  <c r="CQ215" i="3"/>
  <c r="CQ216" i="3"/>
  <c r="CQ217" i="3"/>
  <c r="CQ218" i="3"/>
  <c r="CQ219" i="3"/>
  <c r="CQ220" i="3"/>
  <c r="CQ221" i="3"/>
  <c r="CQ222" i="3"/>
  <c r="CQ223" i="3"/>
  <c r="CQ224" i="3"/>
  <c r="CQ225" i="3"/>
  <c r="CQ226" i="3"/>
  <c r="CQ227" i="3"/>
  <c r="CQ228" i="3"/>
  <c r="CQ229" i="3"/>
  <c r="CQ230" i="3"/>
  <c r="CQ231" i="3"/>
  <c r="CQ232" i="3"/>
  <c r="CQ233" i="3"/>
  <c r="CQ234" i="3"/>
  <c r="CQ235" i="3"/>
  <c r="CQ236" i="3"/>
  <c r="CQ237" i="3"/>
  <c r="CQ238" i="3"/>
  <c r="CQ239" i="3"/>
  <c r="CQ240" i="3"/>
  <c r="CQ241" i="3"/>
  <c r="CQ242" i="3"/>
  <c r="CQ243" i="3"/>
  <c r="CQ244" i="3"/>
  <c r="CQ245" i="3"/>
  <c r="CQ246" i="3"/>
  <c r="CQ247" i="3"/>
  <c r="CQ248" i="3"/>
  <c r="CQ249" i="3"/>
  <c r="CQ250" i="3"/>
  <c r="CQ251" i="3"/>
  <c r="CQ252" i="3"/>
  <c r="CQ253" i="3"/>
  <c r="CQ254" i="3"/>
  <c r="CQ255" i="3"/>
  <c r="CQ256" i="3"/>
  <c r="CQ257" i="3"/>
  <c r="CQ258" i="3"/>
  <c r="CQ259" i="3"/>
  <c r="CQ260" i="3"/>
  <c r="CQ11" i="3"/>
  <c r="GI11" i="3"/>
  <c r="GI12" i="3"/>
  <c r="GI13" i="3"/>
  <c r="GI14" i="3"/>
  <c r="GI15" i="3"/>
  <c r="GI16" i="3"/>
  <c r="GI17" i="3"/>
  <c r="GI18" i="3"/>
  <c r="GI19" i="3"/>
  <c r="GI20" i="3"/>
  <c r="GI21" i="3"/>
  <c r="GI22" i="3"/>
  <c r="GI23" i="3"/>
  <c r="T12" i="3" l="1"/>
  <c r="U12" i="3"/>
  <c r="T13" i="3"/>
  <c r="U13" i="3"/>
  <c r="T14" i="3"/>
  <c r="U14" i="3"/>
  <c r="T15" i="3"/>
  <c r="U15" i="3"/>
  <c r="T16" i="3"/>
  <c r="U16" i="3"/>
  <c r="T17" i="3"/>
  <c r="U17" i="3"/>
  <c r="T18" i="3"/>
  <c r="U18" i="3"/>
  <c r="T19" i="3"/>
  <c r="U19" i="3"/>
  <c r="T20" i="3"/>
  <c r="U20" i="3"/>
  <c r="T21" i="3"/>
  <c r="U21" i="3"/>
  <c r="T22" i="3"/>
  <c r="U22" i="3"/>
  <c r="T23" i="3"/>
  <c r="U23" i="3"/>
  <c r="T24" i="3"/>
  <c r="U24" i="3"/>
  <c r="T25" i="3"/>
  <c r="U25" i="3"/>
  <c r="T26" i="3"/>
  <c r="U26" i="3"/>
  <c r="T27" i="3"/>
  <c r="U27" i="3"/>
  <c r="T28" i="3"/>
  <c r="U28" i="3"/>
  <c r="T29" i="3"/>
  <c r="U29" i="3"/>
  <c r="T30" i="3"/>
  <c r="U30" i="3"/>
  <c r="T31" i="3"/>
  <c r="U31" i="3"/>
  <c r="T32" i="3"/>
  <c r="U32" i="3"/>
  <c r="T33" i="3"/>
  <c r="U33" i="3"/>
  <c r="T34" i="3"/>
  <c r="U34" i="3"/>
  <c r="T35" i="3"/>
  <c r="U35" i="3"/>
  <c r="T36" i="3"/>
  <c r="U36" i="3"/>
  <c r="T37" i="3"/>
  <c r="U37" i="3"/>
  <c r="T38" i="3"/>
  <c r="U38" i="3"/>
  <c r="T39" i="3"/>
  <c r="U39" i="3"/>
  <c r="T40" i="3"/>
  <c r="U40" i="3"/>
  <c r="T41" i="3"/>
  <c r="U41" i="3"/>
  <c r="T42" i="3"/>
  <c r="U42" i="3"/>
  <c r="T43" i="3"/>
  <c r="U43" i="3"/>
  <c r="T44" i="3"/>
  <c r="U44" i="3"/>
  <c r="T45" i="3"/>
  <c r="U45" i="3"/>
  <c r="T46" i="3"/>
  <c r="U46" i="3"/>
  <c r="T47" i="3"/>
  <c r="U47" i="3"/>
  <c r="T48" i="3"/>
  <c r="U48" i="3"/>
  <c r="T49" i="3"/>
  <c r="U49" i="3"/>
  <c r="T50" i="3"/>
  <c r="U50" i="3"/>
  <c r="T51" i="3"/>
  <c r="U51" i="3"/>
  <c r="T52" i="3"/>
  <c r="U52" i="3"/>
  <c r="T53" i="3"/>
  <c r="U53" i="3"/>
  <c r="T54" i="3"/>
  <c r="U54" i="3"/>
  <c r="T55" i="3"/>
  <c r="U55" i="3"/>
  <c r="T56" i="3"/>
  <c r="U56" i="3"/>
  <c r="T57" i="3"/>
  <c r="U57" i="3"/>
  <c r="T58" i="3"/>
  <c r="U58" i="3"/>
  <c r="T59" i="3"/>
  <c r="U59" i="3"/>
  <c r="T60" i="3"/>
  <c r="U60" i="3"/>
  <c r="T61" i="3"/>
  <c r="U61" i="3"/>
  <c r="T62" i="3"/>
  <c r="U62" i="3"/>
  <c r="T63" i="3"/>
  <c r="U63" i="3"/>
  <c r="T64" i="3"/>
  <c r="U64" i="3"/>
  <c r="T65" i="3"/>
  <c r="U65" i="3"/>
  <c r="T66" i="3"/>
  <c r="U66" i="3"/>
  <c r="T67" i="3"/>
  <c r="U67" i="3"/>
  <c r="T68" i="3"/>
  <c r="U68" i="3"/>
  <c r="T69" i="3"/>
  <c r="U69" i="3"/>
  <c r="T70" i="3"/>
  <c r="U70" i="3"/>
  <c r="T71" i="3"/>
  <c r="U71" i="3"/>
  <c r="T72" i="3"/>
  <c r="U72" i="3"/>
  <c r="T73" i="3"/>
  <c r="U73" i="3"/>
  <c r="T74" i="3"/>
  <c r="U74" i="3"/>
  <c r="T75" i="3"/>
  <c r="U75" i="3"/>
  <c r="T76" i="3"/>
  <c r="U76" i="3"/>
  <c r="T77" i="3"/>
  <c r="U77" i="3"/>
  <c r="T78" i="3"/>
  <c r="U78" i="3"/>
  <c r="T79" i="3"/>
  <c r="U79" i="3"/>
  <c r="T80" i="3"/>
  <c r="U80" i="3"/>
  <c r="T81" i="3"/>
  <c r="U81" i="3"/>
  <c r="T82" i="3"/>
  <c r="U82" i="3"/>
  <c r="T83" i="3"/>
  <c r="U83" i="3"/>
  <c r="T84" i="3"/>
  <c r="U84" i="3"/>
  <c r="T85" i="3"/>
  <c r="U85" i="3"/>
  <c r="T86" i="3"/>
  <c r="U86" i="3"/>
  <c r="T87" i="3"/>
  <c r="U87" i="3"/>
  <c r="T88" i="3"/>
  <c r="U88" i="3"/>
  <c r="T89" i="3"/>
  <c r="U89" i="3"/>
  <c r="T90" i="3"/>
  <c r="U90" i="3"/>
  <c r="T91" i="3"/>
  <c r="U91" i="3"/>
  <c r="T92" i="3"/>
  <c r="U92" i="3"/>
  <c r="T93" i="3"/>
  <c r="U93" i="3"/>
  <c r="T94" i="3"/>
  <c r="U94" i="3"/>
  <c r="T95" i="3"/>
  <c r="U95" i="3"/>
  <c r="T96" i="3"/>
  <c r="U96" i="3"/>
  <c r="T97" i="3"/>
  <c r="U97" i="3"/>
  <c r="T98" i="3"/>
  <c r="U98" i="3"/>
  <c r="T99" i="3"/>
  <c r="U99" i="3"/>
  <c r="T100" i="3"/>
  <c r="U100" i="3"/>
  <c r="T101" i="3"/>
  <c r="U101" i="3"/>
  <c r="T102" i="3"/>
  <c r="U102" i="3"/>
  <c r="T103" i="3"/>
  <c r="U103" i="3"/>
  <c r="T104" i="3"/>
  <c r="U104" i="3"/>
  <c r="T105" i="3"/>
  <c r="U105" i="3"/>
  <c r="T106" i="3"/>
  <c r="U106" i="3"/>
  <c r="T107" i="3"/>
  <c r="U107" i="3"/>
  <c r="T108" i="3"/>
  <c r="U108" i="3"/>
  <c r="T109" i="3"/>
  <c r="U109" i="3"/>
  <c r="T110" i="3"/>
  <c r="U110" i="3"/>
  <c r="T111" i="3"/>
  <c r="U111" i="3"/>
  <c r="T112" i="3"/>
  <c r="U112" i="3"/>
  <c r="T113" i="3"/>
  <c r="U113" i="3"/>
  <c r="T114" i="3"/>
  <c r="U114" i="3"/>
  <c r="T115" i="3"/>
  <c r="U115" i="3"/>
  <c r="T116" i="3"/>
  <c r="U116" i="3"/>
  <c r="T117" i="3"/>
  <c r="U117" i="3"/>
  <c r="T118" i="3"/>
  <c r="U118" i="3"/>
  <c r="T119" i="3"/>
  <c r="U119" i="3"/>
  <c r="T120" i="3"/>
  <c r="U120" i="3"/>
  <c r="T121" i="3"/>
  <c r="U121" i="3"/>
  <c r="T122" i="3"/>
  <c r="U122" i="3"/>
  <c r="T123" i="3"/>
  <c r="U123" i="3"/>
  <c r="T124" i="3"/>
  <c r="U124" i="3"/>
  <c r="T125" i="3"/>
  <c r="U125" i="3"/>
  <c r="T126" i="3"/>
  <c r="U126" i="3"/>
  <c r="T127" i="3"/>
  <c r="U127" i="3"/>
  <c r="T128" i="3"/>
  <c r="U128" i="3"/>
  <c r="T129" i="3"/>
  <c r="U129" i="3"/>
  <c r="T130" i="3"/>
  <c r="U130" i="3"/>
  <c r="T131" i="3"/>
  <c r="U131" i="3"/>
  <c r="T132" i="3"/>
  <c r="U132" i="3"/>
  <c r="T133" i="3"/>
  <c r="U133" i="3"/>
  <c r="T134" i="3"/>
  <c r="U134" i="3"/>
  <c r="T135" i="3"/>
  <c r="U135" i="3"/>
  <c r="T136" i="3"/>
  <c r="U136" i="3"/>
  <c r="T137" i="3"/>
  <c r="U137" i="3"/>
  <c r="T138" i="3"/>
  <c r="U138" i="3"/>
  <c r="T139" i="3"/>
  <c r="U139" i="3"/>
  <c r="T140" i="3"/>
  <c r="U140" i="3"/>
  <c r="T141" i="3"/>
  <c r="U141" i="3"/>
  <c r="T142" i="3"/>
  <c r="U142" i="3"/>
  <c r="T143" i="3"/>
  <c r="U143" i="3"/>
  <c r="T144" i="3"/>
  <c r="U144" i="3"/>
  <c r="T145" i="3"/>
  <c r="U145" i="3"/>
  <c r="T146" i="3"/>
  <c r="U146" i="3"/>
  <c r="T147" i="3"/>
  <c r="U147" i="3"/>
  <c r="T148" i="3"/>
  <c r="U148" i="3"/>
  <c r="T149" i="3"/>
  <c r="U149" i="3"/>
  <c r="T150" i="3"/>
  <c r="U150" i="3"/>
  <c r="T151" i="3"/>
  <c r="U151" i="3"/>
  <c r="T152" i="3"/>
  <c r="U152" i="3"/>
  <c r="T153" i="3"/>
  <c r="U153" i="3"/>
  <c r="T154" i="3"/>
  <c r="U154" i="3"/>
  <c r="T155" i="3"/>
  <c r="U155" i="3"/>
  <c r="T156" i="3"/>
  <c r="U156" i="3"/>
  <c r="T157" i="3"/>
  <c r="U157" i="3"/>
  <c r="T158" i="3"/>
  <c r="U158" i="3"/>
  <c r="T159" i="3"/>
  <c r="U159" i="3"/>
  <c r="T160" i="3"/>
  <c r="U160" i="3"/>
  <c r="T161" i="3"/>
  <c r="U161" i="3"/>
  <c r="T162" i="3"/>
  <c r="U162" i="3"/>
  <c r="T163" i="3"/>
  <c r="U163" i="3"/>
  <c r="T164" i="3"/>
  <c r="U164" i="3"/>
  <c r="T165" i="3"/>
  <c r="U165" i="3"/>
  <c r="T166" i="3"/>
  <c r="U166" i="3"/>
  <c r="T167" i="3"/>
  <c r="U167" i="3"/>
  <c r="T168" i="3"/>
  <c r="U168" i="3"/>
  <c r="T169" i="3"/>
  <c r="U169" i="3"/>
  <c r="T170" i="3"/>
  <c r="U170" i="3"/>
  <c r="T171" i="3"/>
  <c r="U171" i="3"/>
  <c r="T172" i="3"/>
  <c r="U172" i="3"/>
  <c r="T173" i="3"/>
  <c r="U173" i="3"/>
  <c r="T174" i="3"/>
  <c r="U174" i="3"/>
  <c r="T175" i="3"/>
  <c r="U175" i="3"/>
  <c r="T176" i="3"/>
  <c r="U176" i="3"/>
  <c r="T177" i="3"/>
  <c r="U177" i="3"/>
  <c r="T178" i="3"/>
  <c r="U178" i="3"/>
  <c r="T179" i="3"/>
  <c r="U179" i="3"/>
  <c r="T180" i="3"/>
  <c r="U180" i="3"/>
  <c r="T181" i="3"/>
  <c r="U181" i="3"/>
  <c r="T182" i="3"/>
  <c r="U182" i="3"/>
  <c r="T183" i="3"/>
  <c r="U183" i="3"/>
  <c r="T184" i="3"/>
  <c r="U184" i="3"/>
  <c r="T185" i="3"/>
  <c r="U185" i="3"/>
  <c r="T186" i="3"/>
  <c r="U186" i="3"/>
  <c r="T187" i="3"/>
  <c r="U187" i="3"/>
  <c r="T188" i="3"/>
  <c r="U188" i="3"/>
  <c r="T189" i="3"/>
  <c r="U189" i="3"/>
  <c r="T190" i="3"/>
  <c r="U190" i="3"/>
  <c r="T191" i="3"/>
  <c r="U191" i="3"/>
  <c r="T192" i="3"/>
  <c r="U192" i="3"/>
  <c r="T193" i="3"/>
  <c r="U193" i="3"/>
  <c r="T194" i="3"/>
  <c r="U194" i="3"/>
  <c r="T195" i="3"/>
  <c r="U195" i="3"/>
  <c r="T196" i="3"/>
  <c r="U196" i="3"/>
  <c r="T197" i="3"/>
  <c r="U197" i="3"/>
  <c r="T198" i="3"/>
  <c r="U198" i="3"/>
  <c r="T199" i="3"/>
  <c r="U199" i="3"/>
  <c r="T200" i="3"/>
  <c r="U200" i="3"/>
  <c r="T201" i="3"/>
  <c r="U201" i="3"/>
  <c r="T202" i="3"/>
  <c r="U202" i="3"/>
  <c r="T203" i="3"/>
  <c r="U203" i="3"/>
  <c r="T204" i="3"/>
  <c r="U204" i="3"/>
  <c r="T205" i="3"/>
  <c r="U205" i="3"/>
  <c r="T206" i="3"/>
  <c r="U206" i="3"/>
  <c r="T207" i="3"/>
  <c r="U207" i="3"/>
  <c r="T208" i="3"/>
  <c r="U208" i="3"/>
  <c r="T209" i="3"/>
  <c r="U209" i="3"/>
  <c r="T210" i="3"/>
  <c r="U210" i="3"/>
  <c r="T211" i="3"/>
  <c r="U211" i="3"/>
  <c r="T212" i="3"/>
  <c r="U212" i="3"/>
  <c r="T213" i="3"/>
  <c r="U213" i="3"/>
  <c r="T214" i="3"/>
  <c r="U214" i="3"/>
  <c r="T215" i="3"/>
  <c r="U215" i="3"/>
  <c r="T216" i="3"/>
  <c r="U216" i="3"/>
  <c r="T217" i="3"/>
  <c r="U217" i="3"/>
  <c r="T218" i="3"/>
  <c r="U218" i="3"/>
  <c r="T219" i="3"/>
  <c r="U219" i="3"/>
  <c r="T220" i="3"/>
  <c r="U220" i="3"/>
  <c r="T221" i="3"/>
  <c r="U221" i="3"/>
  <c r="T222" i="3"/>
  <c r="U222" i="3"/>
  <c r="T223" i="3"/>
  <c r="U223" i="3"/>
  <c r="T224" i="3"/>
  <c r="U224" i="3"/>
  <c r="T225" i="3"/>
  <c r="U225" i="3"/>
  <c r="T226" i="3"/>
  <c r="U226" i="3"/>
  <c r="T227" i="3"/>
  <c r="U227" i="3"/>
  <c r="T228" i="3"/>
  <c r="U228" i="3"/>
  <c r="T229" i="3"/>
  <c r="U229" i="3"/>
  <c r="T230" i="3"/>
  <c r="U230" i="3"/>
  <c r="T231" i="3"/>
  <c r="U231" i="3"/>
  <c r="T232" i="3"/>
  <c r="U232" i="3"/>
  <c r="T233" i="3"/>
  <c r="U233" i="3"/>
  <c r="T234" i="3"/>
  <c r="U234" i="3"/>
  <c r="T235" i="3"/>
  <c r="U235" i="3"/>
  <c r="T236" i="3"/>
  <c r="U236" i="3"/>
  <c r="T237" i="3"/>
  <c r="U237" i="3"/>
  <c r="T238" i="3"/>
  <c r="U238" i="3"/>
  <c r="T239" i="3"/>
  <c r="U239" i="3"/>
  <c r="T240" i="3"/>
  <c r="U240" i="3"/>
  <c r="T241" i="3"/>
  <c r="U241" i="3"/>
  <c r="T242" i="3"/>
  <c r="U242" i="3"/>
  <c r="T243" i="3"/>
  <c r="U243" i="3"/>
  <c r="T244" i="3"/>
  <c r="U244" i="3"/>
  <c r="T245" i="3"/>
  <c r="U245" i="3"/>
  <c r="T246" i="3"/>
  <c r="U246" i="3"/>
  <c r="T247" i="3"/>
  <c r="U247" i="3"/>
  <c r="T248" i="3"/>
  <c r="U248" i="3"/>
  <c r="T249" i="3"/>
  <c r="U249" i="3"/>
  <c r="T250" i="3"/>
  <c r="U250" i="3"/>
  <c r="T251" i="3"/>
  <c r="U251" i="3"/>
  <c r="T252" i="3"/>
  <c r="U252" i="3"/>
  <c r="T253" i="3"/>
  <c r="U253" i="3"/>
  <c r="T254" i="3"/>
  <c r="U254" i="3"/>
  <c r="T255" i="3"/>
  <c r="U255" i="3"/>
  <c r="T256" i="3"/>
  <c r="U256" i="3"/>
  <c r="T257" i="3"/>
  <c r="U257" i="3"/>
  <c r="T258" i="3"/>
  <c r="U258" i="3"/>
  <c r="T259" i="3"/>
  <c r="U259" i="3"/>
  <c r="T260" i="3"/>
  <c r="U260" i="3"/>
  <c r="BF11" i="3"/>
  <c r="BF12" i="3" l="1"/>
  <c r="BF13" i="3"/>
  <c r="BF14" i="3"/>
  <c r="BF15" i="3"/>
  <c r="BF16" i="3"/>
  <c r="BF17" i="3"/>
  <c r="BF18" i="3"/>
  <c r="BF19" i="3"/>
  <c r="BF20" i="3"/>
  <c r="BF21" i="3"/>
  <c r="BF22" i="3"/>
  <c r="BF23" i="3"/>
  <c r="B4" i="13" l="1"/>
  <c r="F57" i="11"/>
  <c r="T11" i="3"/>
  <c r="U11" i="3"/>
  <c r="BQ260" i="3" l="1"/>
  <c r="FF260" i="3" s="1" a="1"/>
  <c r="FF260" i="3" s="1"/>
  <c r="BE13" i="3"/>
  <c r="BE14" i="3"/>
  <c r="BE15" i="3"/>
  <c r="BE16" i="3"/>
  <c r="BE17" i="3"/>
  <c r="BE18" i="3"/>
  <c r="BE19" i="3"/>
  <c r="BE20" i="3"/>
  <c r="BE21" i="3"/>
  <c r="BE22" i="3"/>
  <c r="BE23" i="3"/>
  <c r="BE11" i="3"/>
  <c r="BE12" i="3"/>
  <c r="AS11" i="3"/>
  <c r="AS12" i="3"/>
  <c r="AS13" i="3"/>
  <c r="AS14" i="3"/>
  <c r="AS15" i="3"/>
  <c r="AS16" i="3"/>
  <c r="AS17" i="3"/>
  <c r="AS18" i="3"/>
  <c r="AS19" i="3"/>
  <c r="AS20" i="3"/>
  <c r="AS21" i="3"/>
  <c r="AS22" i="3"/>
  <c r="AS23" i="3"/>
  <c r="AS24" i="3"/>
  <c r="AS25" i="3"/>
  <c r="AS26" i="3"/>
  <c r="AS27" i="3"/>
  <c r="CH11" i="3" l="1"/>
  <c r="CI11" i="3"/>
  <c r="CJ11" i="3"/>
  <c r="CK11" i="3"/>
  <c r="CL11" i="3"/>
  <c r="CM11" i="3"/>
  <c r="CN11" i="3"/>
  <c r="CP11" i="3"/>
  <c r="CH12" i="3"/>
  <c r="CI12" i="3"/>
  <c r="CJ12" i="3"/>
  <c r="CK12" i="3"/>
  <c r="CL12" i="3"/>
  <c r="CM12" i="3"/>
  <c r="CN12" i="3"/>
  <c r="CP12" i="3"/>
  <c r="BW13" i="3" l="1" a="1"/>
  <c r="BW13" i="3" s="1"/>
  <c r="CH13" i="3" l="1"/>
  <c r="CI13" i="3"/>
  <c r="CJ13" i="3"/>
  <c r="CK13" i="3"/>
  <c r="CL13" i="3"/>
  <c r="CM13" i="3"/>
  <c r="CN13" i="3"/>
  <c r="CP13" i="3"/>
  <c r="CH14" i="3"/>
  <c r="CI14" i="3"/>
  <c r="CJ14" i="3"/>
  <c r="CK14" i="3"/>
  <c r="CL14" i="3"/>
  <c r="CM14" i="3"/>
  <c r="CN14" i="3"/>
  <c r="CP14" i="3"/>
  <c r="CH15" i="3"/>
  <c r="CI15" i="3"/>
  <c r="CJ15" i="3"/>
  <c r="CK15" i="3"/>
  <c r="CL15" i="3"/>
  <c r="CM15" i="3"/>
  <c r="CN15" i="3"/>
  <c r="CP15" i="3"/>
  <c r="CH16" i="3"/>
  <c r="CI16" i="3"/>
  <c r="CJ16" i="3"/>
  <c r="CK16" i="3"/>
  <c r="CL16" i="3"/>
  <c r="CM16" i="3"/>
  <c r="CN16" i="3"/>
  <c r="CP16" i="3"/>
  <c r="J828" i="2" l="1"/>
  <c r="J829" i="2"/>
  <c r="J830" i="2"/>
  <c r="J831" i="2"/>
  <c r="J832" i="2"/>
  <c r="J827" i="2"/>
  <c r="I802" i="2" l="1"/>
  <c r="I803" i="2"/>
  <c r="I804" i="2"/>
  <c r="I805" i="2"/>
  <c r="I806" i="2"/>
  <c r="I807" i="2"/>
  <c r="I808" i="2"/>
  <c r="I809" i="2"/>
  <c r="I810" i="2"/>
  <c r="I811" i="2"/>
  <c r="I812" i="2"/>
  <c r="I813" i="2"/>
  <c r="I814" i="2"/>
  <c r="I815" i="2"/>
  <c r="I816" i="2"/>
  <c r="I817" i="2"/>
  <c r="I818" i="2"/>
  <c r="I819" i="2"/>
  <c r="I820" i="2"/>
  <c r="I821" i="2"/>
  <c r="I822" i="2"/>
  <c r="I823" i="2"/>
  <c r="I824" i="2"/>
  <c r="I825" i="2"/>
  <c r="I826" i="2"/>
  <c r="I833" i="2"/>
  <c r="I834" i="2"/>
  <c r="I835" i="2"/>
  <c r="I836" i="2"/>
  <c r="I837" i="2"/>
  <c r="I838" i="2"/>
  <c r="I801" i="2"/>
  <c r="I770" i="2"/>
  <c r="I771" i="2"/>
  <c r="I772" i="2"/>
  <c r="I773" i="2"/>
  <c r="I774" i="2"/>
  <c r="I775" i="2"/>
  <c r="I776" i="2"/>
  <c r="I777" i="2"/>
  <c r="I778" i="2"/>
  <c r="I779" i="2"/>
  <c r="I780" i="2"/>
  <c r="I781" i="2"/>
  <c r="I782" i="2"/>
  <c r="I783" i="2"/>
  <c r="I784" i="2"/>
  <c r="I785" i="2"/>
  <c r="I786" i="2"/>
  <c r="I788" i="2"/>
  <c r="I789" i="2"/>
  <c r="I790" i="2"/>
  <c r="I791" i="2"/>
  <c r="I792" i="2"/>
  <c r="I793" i="2"/>
  <c r="I794" i="2"/>
  <c r="I795" i="2"/>
  <c r="I796" i="2"/>
  <c r="I797" i="2"/>
  <c r="I798" i="2"/>
  <c r="I799" i="2"/>
  <c r="I800" i="2"/>
  <c r="I769" i="2"/>
  <c r="X260" i="3" l="1"/>
  <c r="X259" i="3"/>
  <c r="X258" i="3"/>
  <c r="X257" i="3"/>
  <c r="X256" i="3"/>
  <c r="X255" i="3"/>
  <c r="X254" i="3"/>
  <c r="X253" i="3"/>
  <c r="X252" i="3"/>
  <c r="X251" i="3"/>
  <c r="X250" i="3"/>
  <c r="X249" i="3"/>
  <c r="X248" i="3"/>
  <c r="X247" i="3"/>
  <c r="X246" i="3"/>
  <c r="X245" i="3"/>
  <c r="X244" i="3"/>
  <c r="X243" i="3"/>
  <c r="X242" i="3"/>
  <c r="X241" i="3"/>
  <c r="X240" i="3"/>
  <c r="X239" i="3"/>
  <c r="X238" i="3"/>
  <c r="X237" i="3"/>
  <c r="X236" i="3"/>
  <c r="X235" i="3"/>
  <c r="X234" i="3"/>
  <c r="X233" i="3"/>
  <c r="X232" i="3"/>
  <c r="X231" i="3"/>
  <c r="X230" i="3"/>
  <c r="X229" i="3"/>
  <c r="X228" i="3"/>
  <c r="X227" i="3"/>
  <c r="X226" i="3"/>
  <c r="X225" i="3"/>
  <c r="X224" i="3"/>
  <c r="X223" i="3"/>
  <c r="X222" i="3"/>
  <c r="X221" i="3"/>
  <c r="X220" i="3"/>
  <c r="X219" i="3"/>
  <c r="X218" i="3"/>
  <c r="X217" i="3"/>
  <c r="X216" i="3"/>
  <c r="X215" i="3"/>
  <c r="X214" i="3"/>
  <c r="X213" i="3"/>
  <c r="X212" i="3"/>
  <c r="X211" i="3"/>
  <c r="X210" i="3"/>
  <c r="X209" i="3"/>
  <c r="X208" i="3"/>
  <c r="X207" i="3"/>
  <c r="X206" i="3"/>
  <c r="X205" i="3"/>
  <c r="X204" i="3"/>
  <c r="X203" i="3"/>
  <c r="X202" i="3"/>
  <c r="X201" i="3"/>
  <c r="X200" i="3"/>
  <c r="X199" i="3"/>
  <c r="X198" i="3"/>
  <c r="X197" i="3"/>
  <c r="X196" i="3"/>
  <c r="X195" i="3"/>
  <c r="X194" i="3"/>
  <c r="X193" i="3"/>
  <c r="X192" i="3"/>
  <c r="X191" i="3"/>
  <c r="X190" i="3"/>
  <c r="X189" i="3"/>
  <c r="X188" i="3"/>
  <c r="X187" i="3"/>
  <c r="X186" i="3"/>
  <c r="X185" i="3"/>
  <c r="X184" i="3"/>
  <c r="X183" i="3"/>
  <c r="X182" i="3"/>
  <c r="X181" i="3"/>
  <c r="X180" i="3"/>
  <c r="X179" i="3"/>
  <c r="X178" i="3"/>
  <c r="X177" i="3"/>
  <c r="X176" i="3"/>
  <c r="X175" i="3"/>
  <c r="X174" i="3"/>
  <c r="X173" i="3"/>
  <c r="X172" i="3"/>
  <c r="X171" i="3"/>
  <c r="X170" i="3"/>
  <c r="X169" i="3"/>
  <c r="X168" i="3"/>
  <c r="X167" i="3"/>
  <c r="X166" i="3"/>
  <c r="X165" i="3"/>
  <c r="X164" i="3"/>
  <c r="X163" i="3"/>
  <c r="X162" i="3"/>
  <c r="X161" i="3"/>
  <c r="X160" i="3"/>
  <c r="X159" i="3"/>
  <c r="X158" i="3"/>
  <c r="X157" i="3"/>
  <c r="X156" i="3"/>
  <c r="X155" i="3"/>
  <c r="X154" i="3"/>
  <c r="X153" i="3"/>
  <c r="X152" i="3"/>
  <c r="X151" i="3"/>
  <c r="X150" i="3"/>
  <c r="X149" i="3"/>
  <c r="X148" i="3"/>
  <c r="X147" i="3"/>
  <c r="X146" i="3"/>
  <c r="X145" i="3"/>
  <c r="X144" i="3"/>
  <c r="X143" i="3"/>
  <c r="X142" i="3"/>
  <c r="X141" i="3"/>
  <c r="X140" i="3"/>
  <c r="X139" i="3"/>
  <c r="X138" i="3"/>
  <c r="X137" i="3"/>
  <c r="X136" i="3"/>
  <c r="X135" i="3"/>
  <c r="X134" i="3"/>
  <c r="X133" i="3"/>
  <c r="X132" i="3"/>
  <c r="X131" i="3"/>
  <c r="X130" i="3"/>
  <c r="X129" i="3"/>
  <c r="X128" i="3"/>
  <c r="X127" i="3"/>
  <c r="X126" i="3"/>
  <c r="X125" i="3"/>
  <c r="X124" i="3"/>
  <c r="X123" i="3"/>
  <c r="X122" i="3"/>
  <c r="X121" i="3"/>
  <c r="X120" i="3"/>
  <c r="X119" i="3"/>
  <c r="X118" i="3"/>
  <c r="X117" i="3"/>
  <c r="X116" i="3"/>
  <c r="X115" i="3"/>
  <c r="X114" i="3"/>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3" i="3"/>
  <c r="X82" i="3"/>
  <c r="X81" i="3"/>
  <c r="X80" i="3"/>
  <c r="X79"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X39" i="3"/>
  <c r="X38" i="3"/>
  <c r="X37" i="3"/>
  <c r="X36" i="3"/>
  <c r="X35" i="3"/>
  <c r="X34" i="3"/>
  <c r="X33" i="3"/>
  <c r="X32" i="3"/>
  <c r="X31" i="3"/>
  <c r="X30" i="3"/>
  <c r="X29" i="3"/>
  <c r="X28" i="3"/>
  <c r="X27" i="3"/>
  <c r="X26" i="3"/>
  <c r="X25" i="3"/>
  <c r="X24" i="3"/>
  <c r="X23" i="3"/>
  <c r="X22" i="3"/>
  <c r="X21" i="3"/>
  <c r="X20" i="3"/>
  <c r="X19" i="3"/>
  <c r="X18" i="3"/>
  <c r="X17" i="3"/>
  <c r="X16" i="3"/>
  <c r="X15" i="3"/>
  <c r="X14" i="3"/>
  <c r="X13" i="3"/>
  <c r="X12" i="3"/>
  <c r="X11" i="3"/>
  <c r="CB260" i="3" l="1"/>
  <c r="CC260" i="3" s="1"/>
  <c r="GQ260" i="3"/>
  <c r="BP260" i="3"/>
  <c r="BL260" i="3"/>
  <c r="BK260" i="3"/>
  <c r="BJ260" i="3"/>
  <c r="BI260" i="3"/>
  <c r="AK158" i="8" l="1"/>
  <c r="AK159" i="8"/>
  <c r="AK160" i="8"/>
  <c r="AK161" i="8"/>
  <c r="AK162" i="8"/>
  <c r="AK163" i="8"/>
  <c r="AK164" i="8"/>
  <c r="AK165" i="8"/>
  <c r="AK166" i="8"/>
  <c r="AK167" i="8"/>
  <c r="AK168" i="8"/>
  <c r="AS260" i="3" l="1"/>
  <c r="AS259" i="3"/>
  <c r="AS258" i="3"/>
  <c r="AS257" i="3"/>
  <c r="AS256" i="3"/>
  <c r="AS255" i="3"/>
  <c r="AS254" i="3"/>
  <c r="AS253" i="3"/>
  <c r="AS252" i="3"/>
  <c r="AS251" i="3"/>
  <c r="AS250" i="3"/>
  <c r="AS249" i="3"/>
  <c r="AS248" i="3"/>
  <c r="AS247" i="3"/>
  <c r="AS246" i="3"/>
  <c r="AS245" i="3"/>
  <c r="AS244" i="3"/>
  <c r="AS243" i="3"/>
  <c r="AS242" i="3"/>
  <c r="AS241" i="3"/>
  <c r="AS240" i="3"/>
  <c r="AS239" i="3"/>
  <c r="AS238" i="3"/>
  <c r="AS237" i="3"/>
  <c r="AS236" i="3"/>
  <c r="AS235" i="3"/>
  <c r="AS234" i="3"/>
  <c r="AS233" i="3"/>
  <c r="AS232" i="3"/>
  <c r="AS231" i="3"/>
  <c r="AS230" i="3"/>
  <c r="AS229" i="3"/>
  <c r="AS228" i="3"/>
  <c r="AS227" i="3"/>
  <c r="AS226" i="3"/>
  <c r="AS225" i="3"/>
  <c r="AS224" i="3"/>
  <c r="AS223" i="3"/>
  <c r="AS222" i="3"/>
  <c r="AS221" i="3"/>
  <c r="AS220" i="3"/>
  <c r="AS219" i="3"/>
  <c r="AS218" i="3"/>
  <c r="AS217" i="3"/>
  <c r="AS216" i="3"/>
  <c r="AS215" i="3"/>
  <c r="AS214" i="3"/>
  <c r="AS213" i="3"/>
  <c r="AS212" i="3"/>
  <c r="AS211" i="3"/>
  <c r="AS210" i="3"/>
  <c r="AS209" i="3"/>
  <c r="AS208" i="3"/>
  <c r="AS207" i="3"/>
  <c r="AS206" i="3"/>
  <c r="AS205" i="3"/>
  <c r="AS204" i="3"/>
  <c r="AS203" i="3"/>
  <c r="AS202" i="3"/>
  <c r="AS201" i="3"/>
  <c r="AS200" i="3"/>
  <c r="AS199" i="3"/>
  <c r="AS198" i="3"/>
  <c r="AS197" i="3"/>
  <c r="AS196" i="3"/>
  <c r="AS195" i="3"/>
  <c r="AS194" i="3"/>
  <c r="AS193" i="3"/>
  <c r="AS192" i="3"/>
  <c r="AS191" i="3"/>
  <c r="AS190" i="3"/>
  <c r="AS189" i="3"/>
  <c r="AS188" i="3"/>
  <c r="AS187" i="3"/>
  <c r="AS186" i="3"/>
  <c r="AS185" i="3"/>
  <c r="AS184" i="3"/>
  <c r="AS183" i="3"/>
  <c r="AS182" i="3"/>
  <c r="AS181" i="3"/>
  <c r="AS180" i="3"/>
  <c r="AS179" i="3"/>
  <c r="AS178" i="3"/>
  <c r="AS177" i="3"/>
  <c r="AS176" i="3"/>
  <c r="AS175" i="3"/>
  <c r="AS174" i="3"/>
  <c r="AS173" i="3"/>
  <c r="AS172" i="3"/>
  <c r="AS171" i="3"/>
  <c r="AS170" i="3"/>
  <c r="AS169" i="3"/>
  <c r="AS168" i="3"/>
  <c r="AS167" i="3"/>
  <c r="AS166" i="3"/>
  <c r="AS165" i="3"/>
  <c r="AS164" i="3"/>
  <c r="AS163" i="3"/>
  <c r="AS162" i="3"/>
  <c r="AS161" i="3"/>
  <c r="AS160" i="3"/>
  <c r="AS159" i="3"/>
  <c r="AS158" i="3"/>
  <c r="AS157" i="3"/>
  <c r="AS156" i="3"/>
  <c r="AS155" i="3"/>
  <c r="AS154" i="3"/>
  <c r="AS153" i="3"/>
  <c r="AS152" i="3"/>
  <c r="AS151" i="3"/>
  <c r="AS150" i="3"/>
  <c r="AS149" i="3"/>
  <c r="AS148" i="3"/>
  <c r="AS147" i="3"/>
  <c r="AS146" i="3"/>
  <c r="AS145" i="3"/>
  <c r="AS144" i="3"/>
  <c r="AS143" i="3"/>
  <c r="AS142" i="3"/>
  <c r="AS141" i="3"/>
  <c r="AS140" i="3"/>
  <c r="AS139" i="3"/>
  <c r="AS138" i="3"/>
  <c r="AS137" i="3"/>
  <c r="AS136" i="3"/>
  <c r="AS135" i="3"/>
  <c r="AS134" i="3"/>
  <c r="AS133" i="3"/>
  <c r="AS132" i="3"/>
  <c r="AS131" i="3"/>
  <c r="AS130" i="3"/>
  <c r="AS129" i="3"/>
  <c r="AS128" i="3"/>
  <c r="AS127" i="3"/>
  <c r="AS126" i="3"/>
  <c r="AS125" i="3"/>
  <c r="AS124" i="3"/>
  <c r="AS123" i="3"/>
  <c r="AS122" i="3"/>
  <c r="AS121" i="3"/>
  <c r="AS120" i="3"/>
  <c r="AS119" i="3"/>
  <c r="AS118" i="3"/>
  <c r="AS117" i="3"/>
  <c r="AS116" i="3"/>
  <c r="AS115" i="3"/>
  <c r="AS114" i="3"/>
  <c r="AS113" i="3"/>
  <c r="AS112" i="3"/>
  <c r="AS111" i="3"/>
  <c r="AS110" i="3"/>
  <c r="AS109" i="3"/>
  <c r="AS108" i="3"/>
  <c r="AS107" i="3"/>
  <c r="AS106" i="3"/>
  <c r="AS105" i="3"/>
  <c r="AS104" i="3"/>
  <c r="AS103" i="3"/>
  <c r="AS102" i="3"/>
  <c r="AS101" i="3"/>
  <c r="AS100" i="3"/>
  <c r="AS99" i="3"/>
  <c r="AS98" i="3"/>
  <c r="AS97" i="3"/>
  <c r="AS96" i="3"/>
  <c r="AS95" i="3"/>
  <c r="AS94" i="3"/>
  <c r="AS93" i="3"/>
  <c r="AS92" i="3"/>
  <c r="AS91" i="3"/>
  <c r="AS90" i="3"/>
  <c r="AS89" i="3"/>
  <c r="AS88" i="3"/>
  <c r="AS87" i="3"/>
  <c r="AS86" i="3"/>
  <c r="AS85" i="3"/>
  <c r="AS84" i="3"/>
  <c r="AS83" i="3"/>
  <c r="AS82" i="3"/>
  <c r="AS81" i="3"/>
  <c r="AS80" i="3"/>
  <c r="AS79" i="3"/>
  <c r="AS78" i="3"/>
  <c r="AS77" i="3"/>
  <c r="AS76" i="3"/>
  <c r="AS75" i="3"/>
  <c r="AS74" i="3"/>
  <c r="AS73" i="3"/>
  <c r="AS72" i="3"/>
  <c r="AS71" i="3"/>
  <c r="AS70" i="3"/>
  <c r="AS69" i="3"/>
  <c r="AS68" i="3"/>
  <c r="AS67" i="3"/>
  <c r="AS66" i="3"/>
  <c r="AS65" i="3"/>
  <c r="AS64" i="3"/>
  <c r="AS63" i="3"/>
  <c r="AS62" i="3"/>
  <c r="AS61" i="3"/>
  <c r="AS60" i="3"/>
  <c r="AS59" i="3"/>
  <c r="AS58" i="3"/>
  <c r="AS57" i="3"/>
  <c r="AS56" i="3"/>
  <c r="AS55" i="3"/>
  <c r="AS54" i="3"/>
  <c r="AS53" i="3"/>
  <c r="AS52" i="3"/>
  <c r="AS51" i="3"/>
  <c r="AS50" i="3"/>
  <c r="AS49" i="3"/>
  <c r="AS48" i="3"/>
  <c r="AS47" i="3"/>
  <c r="AS46" i="3"/>
  <c r="AS45" i="3"/>
  <c r="AS44" i="3"/>
  <c r="AS43" i="3"/>
  <c r="AS42" i="3"/>
  <c r="AS41" i="3"/>
  <c r="AS40" i="3"/>
  <c r="AS39" i="3"/>
  <c r="AS38" i="3"/>
  <c r="AS37" i="3"/>
  <c r="AS36" i="3"/>
  <c r="AS35" i="3"/>
  <c r="AS34" i="3"/>
  <c r="AS33" i="3"/>
  <c r="AS32" i="3"/>
  <c r="AS31" i="3"/>
  <c r="AS30" i="3"/>
  <c r="AS29" i="3"/>
  <c r="AS28" i="3"/>
  <c r="AS261" i="3" l="1"/>
  <c r="BH260" i="3"/>
  <c r="AH260" i="3"/>
  <c r="AH259" i="3"/>
  <c r="AH258" i="3"/>
  <c r="AH257" i="3"/>
  <c r="AH256" i="3"/>
  <c r="AH255" i="3"/>
  <c r="AH254" i="3"/>
  <c r="AH253" i="3"/>
  <c r="AH252" i="3"/>
  <c r="AH251" i="3"/>
  <c r="AH250" i="3"/>
  <c r="AH249" i="3"/>
  <c r="AH248" i="3"/>
  <c r="AH247" i="3"/>
  <c r="AH246" i="3"/>
  <c r="AH245" i="3"/>
  <c r="AH244" i="3"/>
  <c r="AH243" i="3"/>
  <c r="AH242" i="3"/>
  <c r="AH241" i="3"/>
  <c r="AH240" i="3"/>
  <c r="AH239" i="3"/>
  <c r="AH238" i="3"/>
  <c r="AH237" i="3"/>
  <c r="AH236" i="3"/>
  <c r="AH235" i="3"/>
  <c r="AH234" i="3"/>
  <c r="AH233" i="3"/>
  <c r="AH232" i="3"/>
  <c r="AH231" i="3"/>
  <c r="AH230" i="3"/>
  <c r="AH229" i="3"/>
  <c r="AH228" i="3"/>
  <c r="AH227" i="3"/>
  <c r="AH226" i="3"/>
  <c r="AH225" i="3"/>
  <c r="AH224" i="3"/>
  <c r="AH223" i="3"/>
  <c r="AH222" i="3"/>
  <c r="AH221" i="3"/>
  <c r="AH220" i="3"/>
  <c r="AH219" i="3"/>
  <c r="AH218" i="3"/>
  <c r="AH217" i="3"/>
  <c r="AH216" i="3"/>
  <c r="AH215" i="3"/>
  <c r="AH214" i="3"/>
  <c r="AH213" i="3"/>
  <c r="AH212" i="3"/>
  <c r="AH211" i="3"/>
  <c r="AH210" i="3"/>
  <c r="AH209" i="3"/>
  <c r="AH208" i="3"/>
  <c r="AH207" i="3"/>
  <c r="AH206" i="3"/>
  <c r="AH205" i="3"/>
  <c r="AH204" i="3"/>
  <c r="AH203" i="3"/>
  <c r="AH202" i="3"/>
  <c r="AH201" i="3"/>
  <c r="AH200" i="3"/>
  <c r="AH199" i="3"/>
  <c r="AH198" i="3"/>
  <c r="AH197" i="3"/>
  <c r="AH196" i="3"/>
  <c r="AH195" i="3"/>
  <c r="AH194" i="3"/>
  <c r="AH193" i="3"/>
  <c r="AH192" i="3"/>
  <c r="AH191" i="3"/>
  <c r="AH190" i="3"/>
  <c r="AH189" i="3"/>
  <c r="AH188" i="3"/>
  <c r="AH187" i="3"/>
  <c r="AH186" i="3"/>
  <c r="AH185" i="3"/>
  <c r="AH184" i="3"/>
  <c r="AH183" i="3"/>
  <c r="AH182" i="3"/>
  <c r="AH181" i="3"/>
  <c r="AH180" i="3"/>
  <c r="AH179" i="3"/>
  <c r="AH178" i="3"/>
  <c r="AH177" i="3"/>
  <c r="AH176" i="3"/>
  <c r="AH175" i="3"/>
  <c r="AH174" i="3"/>
  <c r="AH173" i="3"/>
  <c r="AH172" i="3"/>
  <c r="AH171" i="3"/>
  <c r="AH170" i="3"/>
  <c r="AH169" i="3"/>
  <c r="AH168" i="3"/>
  <c r="AH167" i="3"/>
  <c r="AH166" i="3"/>
  <c r="AH165" i="3"/>
  <c r="AH164" i="3"/>
  <c r="AH163" i="3"/>
  <c r="AH162" i="3"/>
  <c r="AH161" i="3"/>
  <c r="AH160" i="3"/>
  <c r="AH159" i="3"/>
  <c r="AH158" i="3"/>
  <c r="AH157" i="3"/>
  <c r="AH156" i="3"/>
  <c r="AH155" i="3"/>
  <c r="AH154" i="3"/>
  <c r="AH153" i="3"/>
  <c r="AH152" i="3"/>
  <c r="AH151" i="3"/>
  <c r="AH150" i="3"/>
  <c r="AH149" i="3"/>
  <c r="AH148" i="3"/>
  <c r="AH147" i="3"/>
  <c r="AH146" i="3"/>
  <c r="AH145" i="3"/>
  <c r="AH144" i="3"/>
  <c r="AH143" i="3"/>
  <c r="AH142" i="3"/>
  <c r="AH141" i="3"/>
  <c r="AH140" i="3"/>
  <c r="AH139" i="3"/>
  <c r="AH138" i="3"/>
  <c r="AH137" i="3"/>
  <c r="AH136" i="3"/>
  <c r="AH135" i="3"/>
  <c r="AH134" i="3"/>
  <c r="AH133" i="3"/>
  <c r="AH132" i="3"/>
  <c r="AH131" i="3"/>
  <c r="AH130" i="3"/>
  <c r="AH129" i="3"/>
  <c r="AH128" i="3"/>
  <c r="AH127" i="3"/>
  <c r="AH126" i="3"/>
  <c r="AH125" i="3"/>
  <c r="AH124" i="3"/>
  <c r="AH123" i="3"/>
  <c r="AH122" i="3"/>
  <c r="AH121" i="3"/>
  <c r="AH120" i="3"/>
  <c r="AH119" i="3"/>
  <c r="AH118" i="3"/>
  <c r="AH117" i="3"/>
  <c r="AH116" i="3"/>
  <c r="AH115" i="3"/>
  <c r="AH114" i="3"/>
  <c r="AH113" i="3"/>
  <c r="AH112" i="3"/>
  <c r="AH111" i="3"/>
  <c r="AH110" i="3"/>
  <c r="AH109" i="3"/>
  <c r="AH108" i="3"/>
  <c r="AH107" i="3"/>
  <c r="AH106" i="3"/>
  <c r="AH105" i="3"/>
  <c r="AH104" i="3"/>
  <c r="AH103" i="3"/>
  <c r="AH102" i="3"/>
  <c r="AH101" i="3"/>
  <c r="AH100" i="3"/>
  <c r="AH99" i="3"/>
  <c r="AH98" i="3"/>
  <c r="AH97" i="3"/>
  <c r="AH96" i="3"/>
  <c r="AH95" i="3"/>
  <c r="AH94" i="3"/>
  <c r="AH93" i="3"/>
  <c r="AH92" i="3"/>
  <c r="AH91" i="3"/>
  <c r="AH90" i="3"/>
  <c r="AH89" i="3"/>
  <c r="AH88" i="3"/>
  <c r="AH87" i="3"/>
  <c r="AH86" i="3"/>
  <c r="AH85" i="3"/>
  <c r="AH84" i="3"/>
  <c r="AH83" i="3"/>
  <c r="AH82" i="3"/>
  <c r="AH81" i="3"/>
  <c r="AH80" i="3"/>
  <c r="AH79" i="3"/>
  <c r="AH78" i="3"/>
  <c r="AH77" i="3"/>
  <c r="AH76" i="3"/>
  <c r="AH75" i="3"/>
  <c r="AH74" i="3"/>
  <c r="AH73" i="3"/>
  <c r="AH72" i="3"/>
  <c r="AH71" i="3"/>
  <c r="AH70" i="3"/>
  <c r="AH69" i="3"/>
  <c r="AH68" i="3"/>
  <c r="AH67" i="3"/>
  <c r="AH66" i="3"/>
  <c r="AH65" i="3"/>
  <c r="AH64" i="3"/>
  <c r="AH63" i="3"/>
  <c r="AH62" i="3"/>
  <c r="AH61" i="3"/>
  <c r="AH60" i="3"/>
  <c r="AH59" i="3"/>
  <c r="AH58" i="3"/>
  <c r="AH57" i="3"/>
  <c r="AH56" i="3"/>
  <c r="AH55" i="3"/>
  <c r="AH54" i="3"/>
  <c r="AH53" i="3"/>
  <c r="AH52" i="3"/>
  <c r="AH51" i="3"/>
  <c r="AH50" i="3"/>
  <c r="AH49" i="3"/>
  <c r="AH48" i="3"/>
  <c r="AH47" i="3"/>
  <c r="AH46" i="3"/>
  <c r="AH45" i="3"/>
  <c r="AH44" i="3"/>
  <c r="AH43" i="3"/>
  <c r="AH42" i="3"/>
  <c r="AH41" i="3"/>
  <c r="AH40" i="3"/>
  <c r="AH39" i="3"/>
  <c r="AH38" i="3"/>
  <c r="AH37" i="3"/>
  <c r="AH36" i="3"/>
  <c r="AH35" i="3"/>
  <c r="AH34" i="3"/>
  <c r="AH33" i="3"/>
  <c r="AH32" i="3"/>
  <c r="AH31" i="3"/>
  <c r="AH30" i="3"/>
  <c r="AH29" i="3"/>
  <c r="AH28" i="3"/>
  <c r="AH27" i="3"/>
  <c r="AH26" i="3"/>
  <c r="AH25" i="3"/>
  <c r="AH24" i="3"/>
  <c r="AH23" i="3"/>
  <c r="AH22" i="3"/>
  <c r="AH21" i="3"/>
  <c r="AH20" i="3"/>
  <c r="AH19" i="3"/>
  <c r="AH18" i="3"/>
  <c r="AH17" i="3"/>
  <c r="AH16" i="3"/>
  <c r="AH15" i="3"/>
  <c r="AH14" i="3"/>
  <c r="AH13" i="3"/>
  <c r="AH12" i="3"/>
  <c r="AH11" i="3"/>
  <c r="K11" i="3"/>
  <c r="L11" i="3" s="1"/>
  <c r="F19" i="10" l="1"/>
  <c r="B253" i="9"/>
  <c r="C253" i="9" s="1"/>
  <c r="B254" i="9"/>
  <c r="AK254" i="9" s="1"/>
  <c r="B255" i="9"/>
  <c r="Q255" i="9" s="1"/>
  <c r="B256" i="9"/>
  <c r="B257" i="9"/>
  <c r="C257" i="9" s="1"/>
  <c r="B258" i="9"/>
  <c r="H258" i="9" s="1"/>
  <c r="B259" i="9"/>
  <c r="E259" i="9" s="1"/>
  <c r="B260" i="9"/>
  <c r="Q260" i="9" s="1"/>
  <c r="B261" i="9"/>
  <c r="C261" i="9" s="1"/>
  <c r="B262" i="9"/>
  <c r="E262" i="9" s="1"/>
  <c r="B263" i="9"/>
  <c r="N263" i="9" s="1"/>
  <c r="B264" i="9"/>
  <c r="I264" i="9" s="1"/>
  <c r="B265" i="9"/>
  <c r="J265" i="9" s="1"/>
  <c r="B266" i="9"/>
  <c r="J266" i="9" s="1"/>
  <c r="B267" i="9"/>
  <c r="O267" i="9" s="1"/>
  <c r="B268" i="9"/>
  <c r="B269" i="9"/>
  <c r="U269" i="9" s="1"/>
  <c r="V269" i="9" s="1"/>
  <c r="B270" i="9"/>
  <c r="I270" i="9" s="1"/>
  <c r="B271" i="9"/>
  <c r="AD271" i="9" s="1"/>
  <c r="B272" i="9"/>
  <c r="J272" i="9" s="1"/>
  <c r="B273" i="9"/>
  <c r="B274" i="9"/>
  <c r="L274" i="9" s="1"/>
  <c r="B275" i="9"/>
  <c r="I275" i="9" s="1"/>
  <c r="B276" i="9"/>
  <c r="I276" i="9" s="1"/>
  <c r="B277" i="9"/>
  <c r="I277" i="9" s="1"/>
  <c r="B278" i="9"/>
  <c r="B279" i="9"/>
  <c r="L279" i="9" s="1"/>
  <c r="B280" i="9"/>
  <c r="U280" i="9" s="1"/>
  <c r="B281" i="9"/>
  <c r="E281" i="9" s="1"/>
  <c r="B282" i="9"/>
  <c r="B283" i="9"/>
  <c r="G283" i="9" s="1"/>
  <c r="B284" i="9"/>
  <c r="B285" i="9"/>
  <c r="B286" i="9"/>
  <c r="AL286" i="9" s="1"/>
  <c r="B287" i="9"/>
  <c r="K287" i="9" s="1"/>
  <c r="Z287" i="9" s="1"/>
  <c r="AA287" i="9" s="1"/>
  <c r="B288" i="9"/>
  <c r="H288" i="9" s="1"/>
  <c r="B289" i="9"/>
  <c r="K289" i="9" s="1"/>
  <c r="Z289" i="9" s="1"/>
  <c r="AA289" i="9" s="1"/>
  <c r="B290" i="9"/>
  <c r="H290" i="9" s="1"/>
  <c r="B291" i="9"/>
  <c r="B292" i="9"/>
  <c r="I292" i="9" s="1"/>
  <c r="B293" i="9"/>
  <c r="C293" i="9" s="1"/>
  <c r="B294" i="9"/>
  <c r="W294" i="9" s="1"/>
  <c r="B295" i="9"/>
  <c r="I295" i="9" s="1"/>
  <c r="B296" i="9"/>
  <c r="H296" i="9" s="1"/>
  <c r="B297" i="9"/>
  <c r="AC297" i="9" s="1"/>
  <c r="B298" i="9"/>
  <c r="H298" i="9" s="1"/>
  <c r="B299" i="9"/>
  <c r="R299" i="9" s="1"/>
  <c r="B300" i="9"/>
  <c r="H300" i="9" s="1"/>
  <c r="B301" i="9"/>
  <c r="AE301" i="9" s="1"/>
  <c r="BC301" i="9" s="1"/>
  <c r="B302" i="9"/>
  <c r="C302" i="9" s="1"/>
  <c r="B303" i="9"/>
  <c r="K303" i="9" s="1"/>
  <c r="Z303" i="9" s="1"/>
  <c r="AA303" i="9" s="1"/>
  <c r="B304" i="9"/>
  <c r="AH304" i="9" s="1"/>
  <c r="B305" i="9"/>
  <c r="B306" i="9"/>
  <c r="AD306" i="9" s="1"/>
  <c r="B307" i="9"/>
  <c r="B308" i="9"/>
  <c r="N308" i="9" s="1"/>
  <c r="B309" i="9"/>
  <c r="O309" i="9" s="1"/>
  <c r="B310" i="9"/>
  <c r="C310" i="9" s="1"/>
  <c r="B311" i="9"/>
  <c r="K311" i="9" s="1"/>
  <c r="Z311" i="9" s="1"/>
  <c r="AA311" i="9" s="1"/>
  <c r="B312" i="9"/>
  <c r="J312" i="9" s="1"/>
  <c r="B313" i="9"/>
  <c r="C313" i="9" s="1"/>
  <c r="B314" i="9"/>
  <c r="AQ314" i="9" s="1"/>
  <c r="B315" i="9"/>
  <c r="B316" i="9"/>
  <c r="E316" i="9" s="1"/>
  <c r="B317" i="9"/>
  <c r="AM317" i="9" s="1"/>
  <c r="B318" i="9"/>
  <c r="G318" i="9" s="1"/>
  <c r="B319" i="9"/>
  <c r="K319" i="9" s="1"/>
  <c r="Z319" i="9" s="1"/>
  <c r="AA319" i="9" s="1"/>
  <c r="B320" i="9"/>
  <c r="AJ320" i="9" s="1"/>
  <c r="B321" i="9"/>
  <c r="C321" i="9" s="1"/>
  <c r="B322" i="9"/>
  <c r="AB322" i="9" s="1"/>
  <c r="B323" i="9"/>
  <c r="O323" i="9" s="1"/>
  <c r="B324" i="9"/>
  <c r="G324" i="9" s="1"/>
  <c r="B325" i="9"/>
  <c r="N325" i="9" s="1"/>
  <c r="B326" i="9"/>
  <c r="L326" i="9" s="1"/>
  <c r="B327" i="9"/>
  <c r="O327" i="9" s="1"/>
  <c r="B328" i="9"/>
  <c r="K328" i="9" s="1"/>
  <c r="Z328" i="9" s="1"/>
  <c r="AA328" i="9" s="1"/>
  <c r="B329" i="9"/>
  <c r="C329" i="9" s="1"/>
  <c r="B330" i="9"/>
  <c r="L330" i="9" s="1"/>
  <c r="B331" i="9"/>
  <c r="D331" i="9" s="1"/>
  <c r="B332" i="9"/>
  <c r="B333" i="9"/>
  <c r="M333" i="9" s="1"/>
  <c r="B334" i="9"/>
  <c r="AK334" i="9" s="1"/>
  <c r="B335" i="9"/>
  <c r="AD335" i="9" s="1"/>
  <c r="B336" i="9"/>
  <c r="J336" i="9" s="1"/>
  <c r="B337" i="9"/>
  <c r="AF337" i="9" s="1"/>
  <c r="AG337" i="9" s="1"/>
  <c r="B338" i="9"/>
  <c r="AJ338" i="9" s="1"/>
  <c r="B339" i="9"/>
  <c r="AB339" i="9" s="1"/>
  <c r="B340" i="9"/>
  <c r="D340" i="9" s="1"/>
  <c r="B341" i="9"/>
  <c r="D341" i="9" s="1"/>
  <c r="B342" i="9"/>
  <c r="G342" i="9" s="1"/>
  <c r="B343" i="9"/>
  <c r="O343" i="9" s="1"/>
  <c r="B344" i="9"/>
  <c r="G344" i="9" s="1"/>
  <c r="B345" i="9"/>
  <c r="AN345" i="9" s="1"/>
  <c r="B346" i="9"/>
  <c r="C346" i="9" s="1"/>
  <c r="B347" i="9"/>
  <c r="AI347" i="9" s="1"/>
  <c r="B348" i="9"/>
  <c r="H348" i="9" s="1"/>
  <c r="B349" i="9"/>
  <c r="G349" i="9" s="1"/>
  <c r="B350" i="9"/>
  <c r="F350" i="9" s="1"/>
  <c r="B351" i="9"/>
  <c r="D351" i="9" s="1"/>
  <c r="B352" i="9"/>
  <c r="C352" i="9" s="1"/>
  <c r="B353" i="9"/>
  <c r="T353" i="9" s="1"/>
  <c r="B354" i="9"/>
  <c r="S354" i="9" s="1"/>
  <c r="B355" i="9"/>
  <c r="H355" i="9" s="1"/>
  <c r="B356" i="9"/>
  <c r="H356" i="9" s="1"/>
  <c r="B357" i="9"/>
  <c r="K357" i="9" s="1"/>
  <c r="Z357" i="9" s="1"/>
  <c r="AA357" i="9" s="1"/>
  <c r="B358" i="9"/>
  <c r="AF358" i="9" s="1"/>
  <c r="AG358" i="9" s="1"/>
  <c r="B359" i="9"/>
  <c r="C359" i="9" s="1"/>
  <c r="B360" i="9"/>
  <c r="AD360" i="9" s="1"/>
  <c r="B361" i="9"/>
  <c r="AI361" i="9" s="1"/>
  <c r="B362" i="9"/>
  <c r="AD362" i="9" s="1"/>
  <c r="B363" i="9"/>
  <c r="B364" i="9"/>
  <c r="AX364" i="9" s="1"/>
  <c r="B365" i="9"/>
  <c r="I365" i="9" s="1"/>
  <c r="B366" i="9"/>
  <c r="B367" i="9"/>
  <c r="Y367" i="9" s="1"/>
  <c r="B368" i="9"/>
  <c r="C368" i="9" s="1"/>
  <c r="B369" i="9"/>
  <c r="G369" i="9" s="1"/>
  <c r="B370" i="9"/>
  <c r="Q370" i="9" s="1"/>
  <c r="B371" i="9"/>
  <c r="D371" i="9" s="1"/>
  <c r="B372" i="9"/>
  <c r="F372" i="9" s="1"/>
  <c r="B373" i="9"/>
  <c r="B374" i="9"/>
  <c r="J374" i="9" s="1"/>
  <c r="B375" i="9"/>
  <c r="AP375" i="9" s="1"/>
  <c r="B376" i="9"/>
  <c r="X376" i="9" s="1"/>
  <c r="B377" i="9"/>
  <c r="I377" i="9" s="1"/>
  <c r="B378" i="9"/>
  <c r="AR378" i="9" s="1"/>
  <c r="B379" i="9"/>
  <c r="B380" i="9"/>
  <c r="C380" i="9" s="1"/>
  <c r="B381" i="9"/>
  <c r="H381" i="9" s="1"/>
  <c r="B382" i="9"/>
  <c r="D382" i="9" s="1"/>
  <c r="B383" i="9"/>
  <c r="B384" i="9"/>
  <c r="Y384" i="9" s="1"/>
  <c r="B385" i="9"/>
  <c r="AO385" i="9" s="1"/>
  <c r="B386" i="9"/>
  <c r="R386" i="9" s="1"/>
  <c r="B387" i="9"/>
  <c r="H387" i="9" s="1"/>
  <c r="B388" i="9"/>
  <c r="E388" i="9" s="1"/>
  <c r="B389" i="9"/>
  <c r="AX389" i="9" s="1"/>
  <c r="B390" i="9"/>
  <c r="R390" i="9" s="1"/>
  <c r="B391" i="9"/>
  <c r="C391" i="9" s="1"/>
  <c r="B392" i="9"/>
  <c r="B393" i="9"/>
  <c r="AK393" i="9" s="1"/>
  <c r="B394" i="9"/>
  <c r="P394" i="9" s="1"/>
  <c r="B395" i="9"/>
  <c r="N395" i="9" s="1"/>
  <c r="B396" i="9"/>
  <c r="N396" i="9" s="1"/>
  <c r="B397" i="9"/>
  <c r="AC397" i="9" s="1"/>
  <c r="B398" i="9"/>
  <c r="G398" i="9" s="1"/>
  <c r="B399" i="9"/>
  <c r="AX399" i="9" s="1"/>
  <c r="B400" i="9"/>
  <c r="C400" i="9" s="1"/>
  <c r="B401" i="9"/>
  <c r="J401" i="9" s="1"/>
  <c r="B402" i="9"/>
  <c r="B403" i="9"/>
  <c r="AH403" i="9" s="1"/>
  <c r="B404" i="9"/>
  <c r="E404" i="9" s="1"/>
  <c r="B405" i="9"/>
  <c r="I405" i="9" s="1"/>
  <c r="B406" i="9"/>
  <c r="D406" i="9" s="1"/>
  <c r="B407" i="9"/>
  <c r="B408" i="9"/>
  <c r="L408" i="9" s="1"/>
  <c r="B409" i="9"/>
  <c r="C409" i="9" s="1"/>
  <c r="B410" i="9"/>
  <c r="AC410" i="9" s="1"/>
  <c r="B411" i="9"/>
  <c r="AW411" i="9" s="1"/>
  <c r="B412" i="9"/>
  <c r="B413" i="9"/>
  <c r="W413" i="9" s="1"/>
  <c r="B414" i="9"/>
  <c r="W414" i="9" s="1"/>
  <c r="B415" i="9"/>
  <c r="F415" i="9" s="1"/>
  <c r="B416" i="9"/>
  <c r="C416" i="9" s="1"/>
  <c r="B417" i="9"/>
  <c r="C417" i="9" s="1"/>
  <c r="B418" i="9"/>
  <c r="F418" i="9" s="1"/>
  <c r="B419" i="9"/>
  <c r="S419" i="9" s="1"/>
  <c r="B420" i="9"/>
  <c r="B421" i="9"/>
  <c r="U421" i="9" s="1"/>
  <c r="B422" i="9"/>
  <c r="D422" i="9" s="1"/>
  <c r="B423" i="9"/>
  <c r="D423" i="9" s="1"/>
  <c r="B424" i="9"/>
  <c r="AK424" i="9" s="1"/>
  <c r="B425" i="9"/>
  <c r="H425" i="9" s="1"/>
  <c r="B426" i="9"/>
  <c r="I426" i="9" s="1"/>
  <c r="B427" i="9"/>
  <c r="I427" i="9" s="1"/>
  <c r="B428" i="9"/>
  <c r="G428" i="9" s="1"/>
  <c r="B429" i="9"/>
  <c r="C429" i="9" s="1"/>
  <c r="B430" i="9"/>
  <c r="I430" i="9" s="1"/>
  <c r="B431" i="9"/>
  <c r="C431" i="9" s="1"/>
  <c r="B432" i="9"/>
  <c r="P432" i="9" s="1"/>
  <c r="B433" i="9"/>
  <c r="D433" i="9" s="1"/>
  <c r="B434" i="9"/>
  <c r="C434" i="9" s="1"/>
  <c r="B435" i="9"/>
  <c r="D435" i="9" s="1"/>
  <c r="B436" i="9"/>
  <c r="I436" i="9" s="1"/>
  <c r="B437" i="9"/>
  <c r="J437" i="9" s="1"/>
  <c r="B438" i="9"/>
  <c r="P438" i="9" s="1"/>
  <c r="B439" i="9"/>
  <c r="C439" i="9" s="1"/>
  <c r="B440" i="9"/>
  <c r="D440" i="9" s="1"/>
  <c r="B441" i="9"/>
  <c r="AK441" i="9" s="1"/>
  <c r="B442" i="9"/>
  <c r="B443" i="9"/>
  <c r="S443" i="9" s="1"/>
  <c r="B444" i="9"/>
  <c r="L444" i="9" s="1"/>
  <c r="B445" i="9"/>
  <c r="H445" i="9" s="1"/>
  <c r="B446" i="9"/>
  <c r="H446" i="9" s="1"/>
  <c r="B447" i="9"/>
  <c r="D447" i="9" s="1"/>
  <c r="B448" i="9"/>
  <c r="T448" i="9" s="1"/>
  <c r="B449" i="9"/>
  <c r="AS449" i="9" s="1"/>
  <c r="B450" i="9"/>
  <c r="L450" i="9" s="1"/>
  <c r="B451" i="9"/>
  <c r="Q451" i="9" s="1"/>
  <c r="B452" i="9"/>
  <c r="AO452" i="9" s="1"/>
  <c r="B453" i="9"/>
  <c r="H453" i="9" s="1"/>
  <c r="B454" i="9"/>
  <c r="E454" i="9" s="1"/>
  <c r="B455" i="9"/>
  <c r="E455" i="9" s="1"/>
  <c r="B456" i="9"/>
  <c r="F456" i="9" s="1"/>
  <c r="B457" i="9"/>
  <c r="C457" i="9" s="1"/>
  <c r="B458" i="9"/>
  <c r="C458" i="9" s="1"/>
  <c r="B459" i="9"/>
  <c r="B460" i="9"/>
  <c r="I460" i="9" s="1"/>
  <c r="B461" i="9"/>
  <c r="C461" i="9" s="1"/>
  <c r="B462" i="9"/>
  <c r="F462" i="9" s="1"/>
  <c r="B463" i="9"/>
  <c r="G463" i="9" s="1"/>
  <c r="B464" i="9"/>
  <c r="U464" i="9" s="1"/>
  <c r="V464" i="9" s="1"/>
  <c r="B465" i="9"/>
  <c r="AQ465" i="9" s="1"/>
  <c r="B466" i="9"/>
  <c r="I466" i="9" s="1"/>
  <c r="B467" i="9"/>
  <c r="AL467" i="9" s="1"/>
  <c r="B468" i="9"/>
  <c r="M468" i="9" s="1"/>
  <c r="B469" i="9"/>
  <c r="I469" i="9" s="1"/>
  <c r="B470" i="9"/>
  <c r="C470" i="9" s="1"/>
  <c r="B471" i="9"/>
  <c r="L471" i="9" s="1"/>
  <c r="B472" i="9"/>
  <c r="D472" i="9" s="1"/>
  <c r="B473" i="9"/>
  <c r="E473" i="9" s="1"/>
  <c r="B474" i="9"/>
  <c r="C474" i="9" s="1"/>
  <c r="B475" i="9"/>
  <c r="AN475" i="9" s="1"/>
  <c r="B476" i="9"/>
  <c r="P476" i="9" s="1"/>
  <c r="B477" i="9"/>
  <c r="K477" i="9" s="1"/>
  <c r="Z477" i="9" s="1"/>
  <c r="AA477" i="9" s="1"/>
  <c r="B478" i="9"/>
  <c r="H478" i="9" s="1"/>
  <c r="B479" i="9"/>
  <c r="D479" i="9" s="1"/>
  <c r="B480" i="9"/>
  <c r="AR480" i="9" s="1"/>
  <c r="B481" i="9"/>
  <c r="C481" i="9" s="1"/>
  <c r="B482" i="9"/>
  <c r="AJ482" i="9" s="1"/>
  <c r="B483" i="9"/>
  <c r="D483" i="9" s="1"/>
  <c r="B484" i="9"/>
  <c r="I484" i="9" s="1"/>
  <c r="B485" i="9"/>
  <c r="E485" i="9" s="1"/>
  <c r="B486" i="9"/>
  <c r="S486" i="9" s="1"/>
  <c r="B487" i="9"/>
  <c r="I487" i="9" s="1"/>
  <c r="B488" i="9"/>
  <c r="O488" i="9" s="1"/>
  <c r="B489" i="9"/>
  <c r="T489" i="9" s="1"/>
  <c r="B490" i="9"/>
  <c r="D490" i="9" s="1"/>
  <c r="B491" i="9"/>
  <c r="I491" i="9" s="1"/>
  <c r="B492" i="9"/>
  <c r="AJ492" i="9" s="1"/>
  <c r="B493" i="9"/>
  <c r="I493" i="9" s="1"/>
  <c r="B494" i="9"/>
  <c r="O494" i="9" s="1"/>
  <c r="B495" i="9"/>
  <c r="G495" i="9" s="1"/>
  <c r="B496" i="9"/>
  <c r="G496" i="9" s="1"/>
  <c r="B497" i="9"/>
  <c r="J497" i="9" s="1"/>
  <c r="B498" i="9"/>
  <c r="A498" i="9" s="1"/>
  <c r="B499" i="9"/>
  <c r="E499" i="9" s="1"/>
  <c r="B500" i="9"/>
  <c r="U500" i="9" s="1"/>
  <c r="V500" i="9" s="1"/>
  <c r="AS427" i="9" l="1"/>
  <c r="AE427" i="9"/>
  <c r="BC427" i="9" s="1"/>
  <c r="O342" i="9"/>
  <c r="H444" i="9"/>
  <c r="AI342" i="9"/>
  <c r="R342" i="9"/>
  <c r="AT319" i="9"/>
  <c r="Q384" i="9"/>
  <c r="AZ427" i="9"/>
  <c r="AY427" i="9" s="1"/>
  <c r="R359" i="9"/>
  <c r="AM427" i="9"/>
  <c r="AB469" i="9"/>
  <c r="F457" i="9"/>
  <c r="Y342" i="9"/>
  <c r="AQ365" i="9"/>
  <c r="AM319" i="9"/>
  <c r="T354" i="9"/>
  <c r="AF319" i="9"/>
  <c r="AG319" i="9" s="1"/>
  <c r="BA342" i="9"/>
  <c r="AW342" i="9"/>
  <c r="AR342" i="9"/>
  <c r="N495" i="9"/>
  <c r="AQ342" i="9"/>
  <c r="AP342" i="9"/>
  <c r="AC342" i="9"/>
  <c r="Q427" i="9"/>
  <c r="AW338" i="9"/>
  <c r="F319" i="9"/>
  <c r="AZ469" i="9"/>
  <c r="AY469" i="9" s="1"/>
  <c r="AP296" i="9"/>
  <c r="AV469" i="9"/>
  <c r="AU403" i="9"/>
  <c r="AQ469" i="9"/>
  <c r="W260" i="9"/>
  <c r="AN469" i="9"/>
  <c r="AX440" i="9"/>
  <c r="T495" i="9"/>
  <c r="AE469" i="9"/>
  <c r="BC469" i="9" s="1"/>
  <c r="AS448" i="9"/>
  <c r="AB357" i="9"/>
  <c r="AW319" i="9"/>
  <c r="K312" i="9"/>
  <c r="Z312" i="9" s="1"/>
  <c r="AA312" i="9" s="1"/>
  <c r="AX266" i="9"/>
  <c r="AU470" i="9"/>
  <c r="AR385" i="9"/>
  <c r="AQ470" i="9"/>
  <c r="AC444" i="9"/>
  <c r="U435" i="9"/>
  <c r="V435" i="9" s="1"/>
  <c r="AJ427" i="9"/>
  <c r="AZ418" i="9"/>
  <c r="AY418" i="9" s="1"/>
  <c r="C500" i="9"/>
  <c r="S491" i="9"/>
  <c r="Q470" i="9"/>
  <c r="AT469" i="9"/>
  <c r="Y469" i="9"/>
  <c r="AR469" i="9"/>
  <c r="R469" i="9"/>
  <c r="AD460" i="9"/>
  <c r="BD460" i="9" s="1"/>
  <c r="AI450" i="9"/>
  <c r="AL427" i="9"/>
  <c r="AZ342" i="9"/>
  <c r="AY342" i="9" s="1"/>
  <c r="Q342" i="9"/>
  <c r="Q469" i="9"/>
  <c r="H342" i="9"/>
  <c r="AM469" i="9"/>
  <c r="F342" i="9"/>
  <c r="C491" i="9"/>
  <c r="AL469" i="9"/>
  <c r="AH440" i="9"/>
  <c r="J427" i="9"/>
  <c r="AW406" i="9"/>
  <c r="BA356" i="9"/>
  <c r="AV259" i="9"/>
  <c r="AJ469" i="9"/>
  <c r="AK466" i="9"/>
  <c r="AD447" i="9"/>
  <c r="E427" i="9"/>
  <c r="AC406" i="9"/>
  <c r="AB356" i="9"/>
  <c r="AM342" i="9"/>
  <c r="BA469" i="9"/>
  <c r="AH469" i="9"/>
  <c r="AH428" i="9"/>
  <c r="AC384" i="9"/>
  <c r="F356" i="9"/>
  <c r="AJ342" i="9"/>
  <c r="AX299" i="9"/>
  <c r="AE428" i="9"/>
  <c r="BC428" i="9" s="1"/>
  <c r="AX469" i="9"/>
  <c r="AD469" i="9"/>
  <c r="BD469" i="9" s="1"/>
  <c r="AX344" i="9"/>
  <c r="S288" i="9"/>
  <c r="AB342" i="9"/>
  <c r="AT370" i="9"/>
  <c r="AS469" i="9"/>
  <c r="S469" i="9"/>
  <c r="AL296" i="9"/>
  <c r="AB495" i="9"/>
  <c r="M489" i="9"/>
  <c r="T484" i="9"/>
  <c r="AI469" i="9"/>
  <c r="AI460" i="9"/>
  <c r="I401" i="9"/>
  <c r="L394" i="9"/>
  <c r="AM357" i="9"/>
  <c r="BB342" i="9"/>
  <c r="AN342" i="9"/>
  <c r="T342" i="9"/>
  <c r="AH323" i="9"/>
  <c r="AL276" i="9"/>
  <c r="Y260" i="9"/>
  <c r="K394" i="9"/>
  <c r="Z394" i="9" s="1"/>
  <c r="AA394" i="9" s="1"/>
  <c r="N376" i="9"/>
  <c r="BB308" i="9"/>
  <c r="AC300" i="9"/>
  <c r="N276" i="9"/>
  <c r="AQ349" i="9"/>
  <c r="K329" i="9"/>
  <c r="Z329" i="9" s="1"/>
  <c r="AA329" i="9" s="1"/>
  <c r="AV308" i="9"/>
  <c r="D300" i="9"/>
  <c r="H276" i="9"/>
  <c r="Y486" i="9"/>
  <c r="AH481" i="9"/>
  <c r="Q472" i="9"/>
  <c r="H435" i="9"/>
  <c r="AB428" i="9"/>
  <c r="D427" i="9"/>
  <c r="AV418" i="9"/>
  <c r="G403" i="9"/>
  <c r="AV342" i="9"/>
  <c r="AH342" i="9"/>
  <c r="N342" i="9"/>
  <c r="AI320" i="9"/>
  <c r="BB299" i="9"/>
  <c r="D292" i="9"/>
  <c r="AD259" i="9"/>
  <c r="BD259" i="9" s="1"/>
  <c r="X486" i="9"/>
  <c r="L457" i="9"/>
  <c r="AL418" i="9"/>
  <c r="N409" i="9"/>
  <c r="E403" i="9"/>
  <c r="M397" i="9"/>
  <c r="AU342" i="9"/>
  <c r="AF342" i="9"/>
  <c r="AG342" i="9" s="1"/>
  <c r="L342" i="9"/>
  <c r="AQ327" i="9"/>
  <c r="U313" i="9"/>
  <c r="V313" i="9" s="1"/>
  <c r="AI463" i="9"/>
  <c r="H434" i="9"/>
  <c r="K418" i="9"/>
  <c r="Z418" i="9" s="1"/>
  <c r="AA418" i="9" s="1"/>
  <c r="D403" i="9"/>
  <c r="C397" i="9"/>
  <c r="AT342" i="9"/>
  <c r="AE342" i="9"/>
  <c r="BC342" i="9" s="1"/>
  <c r="J342" i="9"/>
  <c r="BB281" i="9"/>
  <c r="AS262" i="9"/>
  <c r="AZ479" i="9"/>
  <c r="AY479" i="9" s="1"/>
  <c r="N463" i="9"/>
  <c r="S380" i="9"/>
  <c r="AR345" i="9"/>
  <c r="AS342" i="9"/>
  <c r="AD342" i="9"/>
  <c r="BD342" i="9" s="1"/>
  <c r="I342" i="9"/>
  <c r="AB335" i="9"/>
  <c r="AQ312" i="9"/>
  <c r="J304" i="9"/>
  <c r="AD290" i="9"/>
  <c r="BD290" i="9" s="1"/>
  <c r="AM484" i="9"/>
  <c r="AT496" i="9"/>
  <c r="AI484" i="9"/>
  <c r="N478" i="9"/>
  <c r="AN470" i="9"/>
  <c r="P469" i="9"/>
  <c r="T455" i="9"/>
  <c r="Q447" i="9"/>
  <c r="AD440" i="9"/>
  <c r="BD440" i="9" s="1"/>
  <c r="C432" i="9"/>
  <c r="AI401" i="9"/>
  <c r="AU260" i="9"/>
  <c r="AC484" i="9"/>
  <c r="E415" i="9"/>
  <c r="AB401" i="9"/>
  <c r="AL394" i="9"/>
  <c r="AP323" i="9"/>
  <c r="AM260" i="9"/>
  <c r="AF495" i="9"/>
  <c r="AG495" i="9" s="1"/>
  <c r="P489" i="9"/>
  <c r="U484" i="9"/>
  <c r="V484" i="9" s="1"/>
  <c r="AU460" i="9"/>
  <c r="AH427" i="9"/>
  <c r="AH421" i="9"/>
  <c r="O406" i="9"/>
  <c r="U401" i="9"/>
  <c r="V401" i="9" s="1"/>
  <c r="O394" i="9"/>
  <c r="E377" i="9"/>
  <c r="AO342" i="9"/>
  <c r="X342" i="9"/>
  <c r="A342" i="9"/>
  <c r="AI323" i="9"/>
  <c r="G301" i="9"/>
  <c r="D296" i="9"/>
  <c r="AH260" i="9"/>
  <c r="AQ297" i="9"/>
  <c r="AE259" i="9"/>
  <c r="BC259" i="9" s="1"/>
  <c r="AN491" i="9"/>
  <c r="N489" i="9"/>
  <c r="AJ484" i="9"/>
  <c r="P481" i="9"/>
  <c r="AR474" i="9"/>
  <c r="P472" i="9"/>
  <c r="AL460" i="9"/>
  <c r="H457" i="9"/>
  <c r="AE450" i="9"/>
  <c r="BC450" i="9" s="1"/>
  <c r="AO427" i="9"/>
  <c r="L427" i="9"/>
  <c r="F421" i="9"/>
  <c r="AZ415" i="9"/>
  <c r="AY415" i="9" s="1"/>
  <c r="D415" i="9"/>
  <c r="AK403" i="9"/>
  <c r="AH401" i="9"/>
  <c r="L397" i="9"/>
  <c r="T394" i="9"/>
  <c r="T384" i="9"/>
  <c r="AB377" i="9"/>
  <c r="AH357" i="9"/>
  <c r="J356" i="9"/>
  <c r="BB333" i="9"/>
  <c r="AB324" i="9"/>
  <c r="AC310" i="9"/>
  <c r="K304" i="9"/>
  <c r="Z304" i="9" s="1"/>
  <c r="AA304" i="9" s="1"/>
  <c r="F300" i="9"/>
  <c r="AM297" i="9"/>
  <c r="J292" i="9"/>
  <c r="BB257" i="9"/>
  <c r="AT415" i="9"/>
  <c r="AZ333" i="9"/>
  <c r="AY333" i="9" s="1"/>
  <c r="X259" i="9"/>
  <c r="A481" i="9"/>
  <c r="AS415" i="9"/>
  <c r="P388" i="9"/>
  <c r="E384" i="9"/>
  <c r="AK370" i="9"/>
  <c r="AF349" i="9"/>
  <c r="AG349" i="9" s="1"/>
  <c r="AV333" i="9"/>
  <c r="BB266" i="9"/>
  <c r="W259" i="9"/>
  <c r="AR333" i="9"/>
  <c r="N259" i="9"/>
  <c r="AU472" i="9"/>
  <c r="AP415" i="9"/>
  <c r="AZ356" i="9"/>
  <c r="AY356" i="9" s="1"/>
  <c r="AQ333" i="9"/>
  <c r="AN266" i="9"/>
  <c r="M259" i="9"/>
  <c r="AQ415" i="9"/>
  <c r="AW490" i="9"/>
  <c r="AM499" i="9"/>
  <c r="G490" i="9"/>
  <c r="AQ472" i="9"/>
  <c r="BB427" i="9"/>
  <c r="AF427" i="9"/>
  <c r="AG427" i="9" s="1"/>
  <c r="AM415" i="9"/>
  <c r="A406" i="9"/>
  <c r="BA394" i="9"/>
  <c r="AP356" i="9"/>
  <c r="X347" i="9"/>
  <c r="AX342" i="9"/>
  <c r="AL342" i="9"/>
  <c r="W342" i="9"/>
  <c r="E342" i="9"/>
  <c r="BB335" i="9"/>
  <c r="AP333" i="9"/>
  <c r="L328" i="9"/>
  <c r="T323" i="9"/>
  <c r="AE319" i="9"/>
  <c r="BC319" i="9" s="1"/>
  <c r="S313" i="9"/>
  <c r="W308" i="9"/>
  <c r="AS301" i="9"/>
  <c r="AV299" i="9"/>
  <c r="C296" i="9"/>
  <c r="R290" i="9"/>
  <c r="AK266" i="9"/>
  <c r="F259" i="9"/>
  <c r="AQ253" i="9"/>
  <c r="AW472" i="9"/>
  <c r="AK472" i="9"/>
  <c r="AI415" i="9"/>
  <c r="AW405" i="9"/>
  <c r="BA401" i="9"/>
  <c r="AZ394" i="9"/>
  <c r="AY394" i="9" s="1"/>
  <c r="AL358" i="9"/>
  <c r="AO356" i="9"/>
  <c r="AK342" i="9"/>
  <c r="U342" i="9"/>
  <c r="V342" i="9" s="1"/>
  <c r="D342" i="9"/>
  <c r="AP335" i="9"/>
  <c r="AL333" i="9"/>
  <c r="P323" i="9"/>
  <c r="S319" i="9"/>
  <c r="M308" i="9"/>
  <c r="AJ299" i="9"/>
  <c r="Y266" i="9"/>
  <c r="AR261" i="9"/>
  <c r="BB457" i="9"/>
  <c r="AW489" i="9"/>
  <c r="AH472" i="9"/>
  <c r="P470" i="9"/>
  <c r="AT457" i="9"/>
  <c r="N432" i="9"/>
  <c r="AX427" i="9"/>
  <c r="X427" i="9"/>
  <c r="AJ424" i="9"/>
  <c r="S418" i="9"/>
  <c r="AF415" i="9"/>
  <c r="AG415" i="9" s="1"/>
  <c r="O409" i="9"/>
  <c r="G405" i="9"/>
  <c r="AZ401" i="9"/>
  <c r="AY401" i="9" s="1"/>
  <c r="AT394" i="9"/>
  <c r="AZ391" i="9"/>
  <c r="AY391" i="9" s="1"/>
  <c r="AD380" i="9"/>
  <c r="BD380" i="9" s="1"/>
  <c r="T358" i="9"/>
  <c r="AN356" i="9"/>
  <c r="AU353" i="9"/>
  <c r="AF335" i="9"/>
  <c r="AG335" i="9" s="1"/>
  <c r="AB333" i="9"/>
  <c r="AV327" i="9"/>
  <c r="N319" i="9"/>
  <c r="G308" i="9"/>
  <c r="M299" i="9"/>
  <c r="AM289" i="9"/>
  <c r="P266" i="9"/>
  <c r="AD261" i="9"/>
  <c r="BD261" i="9" s="1"/>
  <c r="AU259" i="9"/>
  <c r="AX258" i="9"/>
  <c r="AP481" i="9"/>
  <c r="AF472" i="9"/>
  <c r="AG472" i="9" s="1"/>
  <c r="J470" i="9"/>
  <c r="AQ457" i="9"/>
  <c r="AV427" i="9"/>
  <c r="W427" i="9"/>
  <c r="AD415" i="9"/>
  <c r="BD415" i="9" s="1"/>
  <c r="AX401" i="9"/>
  <c r="BB397" i="9"/>
  <c r="AR394" i="9"/>
  <c r="AD391" i="9"/>
  <c r="BD391" i="9" s="1"/>
  <c r="BB384" i="9"/>
  <c r="AD372" i="9"/>
  <c r="BD372" i="9" s="1"/>
  <c r="AM356" i="9"/>
  <c r="S333" i="9"/>
  <c r="AT300" i="9"/>
  <c r="K266" i="9"/>
  <c r="Z266" i="9" s="1"/>
  <c r="AA266" i="9" s="1"/>
  <c r="Q261" i="9"/>
  <c r="AS259" i="9"/>
  <c r="AW258" i="9"/>
  <c r="AS489" i="9"/>
  <c r="R498" i="9"/>
  <c r="J493" i="9"/>
  <c r="AQ489" i="9"/>
  <c r="BB484" i="9"/>
  <c r="AO481" i="9"/>
  <c r="AM476" i="9"/>
  <c r="AD472" i="9"/>
  <c r="BD472" i="9" s="1"/>
  <c r="H470" i="9"/>
  <c r="W461" i="9"/>
  <c r="AP457" i="9"/>
  <c r="AO438" i="9"/>
  <c r="AU427" i="9"/>
  <c r="S427" i="9"/>
  <c r="O415" i="9"/>
  <c r="AS401" i="9"/>
  <c r="AZ397" i="9"/>
  <c r="AY397" i="9" s="1"/>
  <c r="AQ394" i="9"/>
  <c r="U391" i="9"/>
  <c r="V391" i="9" s="1"/>
  <c r="AV384" i="9"/>
  <c r="Y372" i="9"/>
  <c r="R365" i="9"/>
  <c r="AU357" i="9"/>
  <c r="AH356" i="9"/>
  <c r="AE345" i="9"/>
  <c r="BC345" i="9" s="1"/>
  <c r="Q335" i="9"/>
  <c r="P333" i="9"/>
  <c r="E319" i="9"/>
  <c r="AS300" i="9"/>
  <c r="AO298" i="9"/>
  <c r="J293" i="9"/>
  <c r="AE288" i="9"/>
  <c r="BC288" i="9" s="1"/>
  <c r="H266" i="9"/>
  <c r="I261" i="9"/>
  <c r="AO259" i="9"/>
  <c r="AM258" i="9"/>
  <c r="AU498" i="9"/>
  <c r="AF498" i="9"/>
  <c r="AG498" i="9" s="1"/>
  <c r="L498" i="9"/>
  <c r="AE489" i="9"/>
  <c r="BC489" i="9" s="1"/>
  <c r="AU484" i="9"/>
  <c r="AJ481" i="9"/>
  <c r="S472" i="9"/>
  <c r="AM457" i="9"/>
  <c r="AV450" i="9"/>
  <c r="AT427" i="9"/>
  <c r="R427" i="9"/>
  <c r="G415" i="9"/>
  <c r="C408" i="9"/>
  <c r="BA403" i="9"/>
  <c r="AO401" i="9"/>
  <c r="AM397" i="9"/>
  <c r="AO394" i="9"/>
  <c r="H391" i="9"/>
  <c r="AI384" i="9"/>
  <c r="T372" i="9"/>
  <c r="AS357" i="9"/>
  <c r="AC356" i="9"/>
  <c r="E351" i="9"/>
  <c r="AW340" i="9"/>
  <c r="H333" i="9"/>
  <c r="AZ320" i="9"/>
  <c r="AY320" i="9" s="1"/>
  <c r="AE311" i="9"/>
  <c r="BC311" i="9" s="1"/>
  <c r="AN300" i="9"/>
  <c r="G293" i="9"/>
  <c r="AD288" i="9"/>
  <c r="BD288" i="9" s="1"/>
  <c r="E266" i="9"/>
  <c r="F261" i="9"/>
  <c r="AL259" i="9"/>
  <c r="E258" i="9"/>
  <c r="AD436" i="9"/>
  <c r="BD436" i="9" s="1"/>
  <c r="Q491" i="9"/>
  <c r="C498" i="9"/>
  <c r="F495" i="9"/>
  <c r="BA491" i="9"/>
  <c r="AI491" i="9"/>
  <c r="O491" i="9"/>
  <c r="AS490" i="9"/>
  <c r="AP489" i="9"/>
  <c r="H489" i="9"/>
  <c r="AT485" i="9"/>
  <c r="O484" i="9"/>
  <c r="AF481" i="9"/>
  <c r="AG481" i="9" s="1"/>
  <c r="J479" i="9"/>
  <c r="O469" i="9"/>
  <c r="X460" i="9"/>
  <c r="AZ454" i="9"/>
  <c r="AY454" i="9" s="1"/>
  <c r="AD450" i="9"/>
  <c r="BD450" i="9" s="1"/>
  <c r="AL446" i="9"/>
  <c r="AV436" i="9"/>
  <c r="W436" i="9"/>
  <c r="AV431" i="9"/>
  <c r="T428" i="9"/>
  <c r="P427" i="9"/>
  <c r="C423" i="9"/>
  <c r="BB408" i="9"/>
  <c r="G401" i="9"/>
  <c r="J397" i="9"/>
  <c r="AM394" i="9"/>
  <c r="D394" i="9"/>
  <c r="AT386" i="9"/>
  <c r="AI374" i="9"/>
  <c r="G372" i="9"/>
  <c r="N370" i="9"/>
  <c r="AX365" i="9"/>
  <c r="BA359" i="9"/>
  <c r="AE357" i="9"/>
  <c r="BC357" i="9" s="1"/>
  <c r="I333" i="9"/>
  <c r="AU328" i="9"/>
  <c r="AT327" i="9"/>
  <c r="S324" i="9"/>
  <c r="R323" i="9"/>
  <c r="U303" i="9"/>
  <c r="V303" i="9" s="1"/>
  <c r="AL300" i="9"/>
  <c r="AU299" i="9"/>
  <c r="AN297" i="9"/>
  <c r="AJ296" i="9"/>
  <c r="BB292" i="9"/>
  <c r="L288" i="9"/>
  <c r="BA281" i="9"/>
  <c r="AX271" i="9"/>
  <c r="AW261" i="9"/>
  <c r="E261" i="9"/>
  <c r="K260" i="9"/>
  <c r="Z260" i="9" s="1"/>
  <c r="AA260" i="9" s="1"/>
  <c r="AJ491" i="9"/>
  <c r="AK296" i="9"/>
  <c r="AX491" i="9"/>
  <c r="AH491" i="9"/>
  <c r="N491" i="9"/>
  <c r="AM490" i="9"/>
  <c r="AM489" i="9"/>
  <c r="G489" i="9"/>
  <c r="AH485" i="9"/>
  <c r="H484" i="9"/>
  <c r="Y481" i="9"/>
  <c r="H472" i="9"/>
  <c r="L469" i="9"/>
  <c r="G466" i="9"/>
  <c r="P460" i="9"/>
  <c r="AH457" i="9"/>
  <c r="L454" i="9"/>
  <c r="T450" i="9"/>
  <c r="AU436" i="9"/>
  <c r="U436" i="9"/>
  <c r="V436" i="9" s="1"/>
  <c r="Q428" i="9"/>
  <c r="AX408" i="9"/>
  <c r="AT406" i="9"/>
  <c r="AX404" i="9"/>
  <c r="C401" i="9"/>
  <c r="AD374" i="9"/>
  <c r="BD374" i="9" s="1"/>
  <c r="AR328" i="9"/>
  <c r="AV309" i="9"/>
  <c r="AC296" i="9"/>
  <c r="AZ292" i="9"/>
  <c r="AY292" i="9" s="1"/>
  <c r="AO281" i="9"/>
  <c r="AR271" i="9"/>
  <c r="I260" i="9"/>
  <c r="X436" i="9"/>
  <c r="AW328" i="9"/>
  <c r="AZ500" i="9"/>
  <c r="AY500" i="9" s="1"/>
  <c r="AH500" i="9"/>
  <c r="X497" i="9"/>
  <c r="AV491" i="9"/>
  <c r="AF491" i="9"/>
  <c r="AG491" i="9" s="1"/>
  <c r="L491" i="9"/>
  <c r="T490" i="9"/>
  <c r="AJ489" i="9"/>
  <c r="F489" i="9"/>
  <c r="L485" i="9"/>
  <c r="U481" i="9"/>
  <c r="AS478" i="9"/>
  <c r="C472" i="9"/>
  <c r="K469" i="9"/>
  <c r="Z469" i="9" s="1"/>
  <c r="AA469" i="9" s="1"/>
  <c r="AN461" i="9"/>
  <c r="K460" i="9"/>
  <c r="Z460" i="9" s="1"/>
  <c r="AA460" i="9" s="1"/>
  <c r="AD457" i="9"/>
  <c r="BD457" i="9" s="1"/>
  <c r="N450" i="9"/>
  <c r="AR436" i="9"/>
  <c r="S436" i="9"/>
  <c r="E428" i="9"/>
  <c r="AZ422" i="9"/>
  <c r="AY422" i="9" s="1"/>
  <c r="AU408" i="9"/>
  <c r="AP406" i="9"/>
  <c r="AL404" i="9"/>
  <c r="AJ394" i="9"/>
  <c r="A394" i="9"/>
  <c r="AC374" i="9"/>
  <c r="BA371" i="9"/>
  <c r="AD365" i="9"/>
  <c r="BD365" i="9" s="1"/>
  <c r="I357" i="9"/>
  <c r="Q356" i="9"/>
  <c r="AC344" i="9"/>
  <c r="AP341" i="9"/>
  <c r="G333" i="9"/>
  <c r="AL328" i="9"/>
  <c r="AJ327" i="9"/>
  <c r="AZ323" i="9"/>
  <c r="AY323" i="9" s="1"/>
  <c r="K323" i="9"/>
  <c r="Z323" i="9" s="1"/>
  <c r="AA323" i="9" s="1"/>
  <c r="AS319" i="9"/>
  <c r="AU317" i="9"/>
  <c r="AP312" i="9"/>
  <c r="AU309" i="9"/>
  <c r="AI302" i="9"/>
  <c r="Y300" i="9"/>
  <c r="AI299" i="9"/>
  <c r="Y297" i="9"/>
  <c r="Y296" i="9"/>
  <c r="AO292" i="9"/>
  <c r="S290" i="9"/>
  <c r="BB287" i="9"/>
  <c r="AJ281" i="9"/>
  <c r="AC271" i="9"/>
  <c r="AM266" i="9"/>
  <c r="BA264" i="9"/>
  <c r="AP261" i="9"/>
  <c r="A261" i="9"/>
  <c r="F260" i="9"/>
  <c r="Y436" i="9"/>
  <c r="AW493" i="9"/>
  <c r="AU491" i="9"/>
  <c r="AE491" i="9"/>
  <c r="BC491" i="9" s="1"/>
  <c r="K491" i="9"/>
  <c r="Z491" i="9" s="1"/>
  <c r="AA491" i="9" s="1"/>
  <c r="R490" i="9"/>
  <c r="AF489" i="9"/>
  <c r="AG489" i="9" s="1"/>
  <c r="C489" i="9"/>
  <c r="S481" i="9"/>
  <c r="AK478" i="9"/>
  <c r="J469" i="9"/>
  <c r="AE461" i="9"/>
  <c r="BC461" i="9" s="1"/>
  <c r="F460" i="9"/>
  <c r="O457" i="9"/>
  <c r="AD453" i="9"/>
  <c r="BD453" i="9" s="1"/>
  <c r="K450" i="9"/>
  <c r="Z450" i="9" s="1"/>
  <c r="AA450" i="9" s="1"/>
  <c r="AI444" i="9"/>
  <c r="AU438" i="9"/>
  <c r="AP436" i="9"/>
  <c r="O436" i="9"/>
  <c r="AL429" i="9"/>
  <c r="C428" i="9"/>
  <c r="G427" i="9"/>
  <c r="X422" i="9"/>
  <c r="AH415" i="9"/>
  <c r="AR408" i="9"/>
  <c r="AD406" i="9"/>
  <c r="BD406" i="9" s="1"/>
  <c r="AX396" i="9"/>
  <c r="AI394" i="9"/>
  <c r="M393" i="9"/>
  <c r="BB388" i="9"/>
  <c r="AU382" i="9"/>
  <c r="AL377" i="9"/>
  <c r="O374" i="9"/>
  <c r="AT371" i="9"/>
  <c r="BB368" i="9"/>
  <c r="U365" i="9"/>
  <c r="V365" i="9" s="1"/>
  <c r="AM358" i="9"/>
  <c r="G357" i="9"/>
  <c r="O356" i="9"/>
  <c r="AO341" i="9"/>
  <c r="AW337" i="9"/>
  <c r="D333" i="9"/>
  <c r="AF328" i="9"/>
  <c r="AG328" i="9" s="1"/>
  <c r="N327" i="9"/>
  <c r="AX323" i="9"/>
  <c r="J323" i="9"/>
  <c r="AN319" i="9"/>
  <c r="J317" i="9"/>
  <c r="AK312" i="9"/>
  <c r="AP309" i="9"/>
  <c r="AF302" i="9"/>
  <c r="AG302" i="9" s="1"/>
  <c r="U300" i="9"/>
  <c r="V300" i="9" s="1"/>
  <c r="AD299" i="9"/>
  <c r="W297" i="9"/>
  <c r="W296" i="9"/>
  <c r="AU293" i="9"/>
  <c r="AL292" i="9"/>
  <c r="L281" i="9"/>
  <c r="S271" i="9"/>
  <c r="AL266" i="9"/>
  <c r="AS264" i="9"/>
  <c r="AO261" i="9"/>
  <c r="BB260" i="9"/>
  <c r="E260" i="9"/>
  <c r="S259" i="9"/>
  <c r="AW436" i="9"/>
  <c r="AC491" i="9"/>
  <c r="H469" i="9"/>
  <c r="AO436" i="9"/>
  <c r="L436" i="9"/>
  <c r="AP432" i="9"/>
  <c r="AK408" i="9"/>
  <c r="Y394" i="9"/>
  <c r="AU388" i="9"/>
  <c r="AS382" i="9"/>
  <c r="AI377" i="9"/>
  <c r="F374" i="9"/>
  <c r="AN371" i="9"/>
  <c r="AZ368" i="9"/>
  <c r="AY368" i="9" s="1"/>
  <c r="L356" i="9"/>
  <c r="BA351" i="9"/>
  <c r="BA348" i="9"/>
  <c r="AX343" i="9"/>
  <c r="AF341" i="9"/>
  <c r="AG341" i="9" s="1"/>
  <c r="AQ337" i="9"/>
  <c r="AE328" i="9"/>
  <c r="BC328" i="9" s="1"/>
  <c r="L327" i="9"/>
  <c r="AV323" i="9"/>
  <c r="I323" i="9"/>
  <c r="AI312" i="9"/>
  <c r="AO309" i="9"/>
  <c r="W302" i="9"/>
  <c r="R300" i="9"/>
  <c r="S299" i="9"/>
  <c r="U296" i="9"/>
  <c r="V296" i="9" s="1"/>
  <c r="AS293" i="9"/>
  <c r="AJ292" i="9"/>
  <c r="G290" i="9"/>
  <c r="K281" i="9"/>
  <c r="Z281" i="9" s="1"/>
  <c r="AA281" i="9" s="1"/>
  <c r="AT274" i="9"/>
  <c r="Q271" i="9"/>
  <c r="AQ264" i="9"/>
  <c r="AM261" i="9"/>
  <c r="AT491" i="9"/>
  <c r="AK493" i="9"/>
  <c r="AS491" i="9"/>
  <c r="AB491" i="9"/>
  <c r="H491" i="9"/>
  <c r="AB489" i="9"/>
  <c r="O481" i="9"/>
  <c r="E469" i="9"/>
  <c r="BA464" i="9"/>
  <c r="AM436" i="9"/>
  <c r="K436" i="9"/>
  <c r="Z436" i="9" s="1"/>
  <c r="AA436" i="9" s="1"/>
  <c r="AM432" i="9"/>
  <c r="BA428" i="9"/>
  <c r="AJ408" i="9"/>
  <c r="X406" i="9"/>
  <c r="W394" i="9"/>
  <c r="AT388" i="9"/>
  <c r="K382" i="9"/>
  <c r="Z382" i="9" s="1"/>
  <c r="AA382" i="9" s="1"/>
  <c r="X371" i="9"/>
  <c r="AV368" i="9"/>
  <c r="W358" i="9"/>
  <c r="AU351" i="9"/>
  <c r="AJ348" i="9"/>
  <c r="AB343" i="9"/>
  <c r="AD341" i="9"/>
  <c r="BD341" i="9" s="1"/>
  <c r="AB328" i="9"/>
  <c r="I327" i="9"/>
  <c r="AS323" i="9"/>
  <c r="D323" i="9"/>
  <c r="N312" i="9"/>
  <c r="M309" i="9"/>
  <c r="I300" i="9"/>
  <c r="N299" i="9"/>
  <c r="BB296" i="9"/>
  <c r="T296" i="9"/>
  <c r="AQ293" i="9"/>
  <c r="AH292" i="9"/>
  <c r="F281" i="9"/>
  <c r="AP274" i="9"/>
  <c r="J271" i="9"/>
  <c r="AD266" i="9"/>
  <c r="BD266" i="9" s="1"/>
  <c r="AM264" i="9"/>
  <c r="AK261" i="9"/>
  <c r="AN260" i="9"/>
  <c r="A260" i="9"/>
  <c r="AJ493" i="9"/>
  <c r="AR491" i="9"/>
  <c r="X491" i="9"/>
  <c r="G491" i="9"/>
  <c r="BB489" i="9"/>
  <c r="Y489" i="9"/>
  <c r="AW481" i="9"/>
  <c r="I481" i="9"/>
  <c r="AX477" i="9"/>
  <c r="D469" i="9"/>
  <c r="W464" i="9"/>
  <c r="AZ460" i="9"/>
  <c r="AY460" i="9" s="1"/>
  <c r="AO458" i="9"/>
  <c r="BB437" i="9"/>
  <c r="AL436" i="9"/>
  <c r="H436" i="9"/>
  <c r="AL432" i="9"/>
  <c r="AZ428" i="9"/>
  <c r="AY428" i="9" s="1"/>
  <c r="C427" i="9"/>
  <c r="AV409" i="9"/>
  <c r="AI408" i="9"/>
  <c r="AC388" i="9"/>
  <c r="U371" i="9"/>
  <c r="V371" i="9" s="1"/>
  <c r="AI368" i="9"/>
  <c r="AE351" i="9"/>
  <c r="BC351" i="9" s="1"/>
  <c r="N341" i="9"/>
  <c r="X328" i="9"/>
  <c r="L309" i="9"/>
  <c r="BA296" i="9"/>
  <c r="S296" i="9"/>
  <c r="AP293" i="9"/>
  <c r="AC292" i="9"/>
  <c r="AK274" i="9"/>
  <c r="AM491" i="9"/>
  <c r="A325" i="9"/>
  <c r="P491" i="9"/>
  <c r="AV493" i="9"/>
  <c r="AW495" i="9"/>
  <c r="W493" i="9"/>
  <c r="AQ491" i="9"/>
  <c r="U491" i="9"/>
  <c r="V491" i="9" s="1"/>
  <c r="E491" i="9"/>
  <c r="AZ489" i="9"/>
  <c r="AY489" i="9" s="1"/>
  <c r="X489" i="9"/>
  <c r="AZ486" i="9"/>
  <c r="AY486" i="9" s="1"/>
  <c r="AV481" i="9"/>
  <c r="E481" i="9"/>
  <c r="AM477" i="9"/>
  <c r="W469" i="9"/>
  <c r="C469" i="9"/>
  <c r="J464" i="9"/>
  <c r="AD437" i="9"/>
  <c r="AI436" i="9"/>
  <c r="E436" i="9"/>
  <c r="X432" i="9"/>
  <c r="AU428" i="9"/>
  <c r="AX415" i="9"/>
  <c r="N415" i="9"/>
  <c r="AM409" i="9"/>
  <c r="T408" i="9"/>
  <c r="E406" i="9"/>
  <c r="AI403" i="9"/>
  <c r="S394" i="9"/>
  <c r="AV391" i="9"/>
  <c r="X388" i="9"/>
  <c r="AH384" i="9"/>
  <c r="AN381" i="9"/>
  <c r="AU372" i="9"/>
  <c r="R371" i="9"/>
  <c r="AC368" i="9"/>
  <c r="C356" i="9"/>
  <c r="AB351" i="9"/>
  <c r="H341" i="9"/>
  <c r="AW330" i="9"/>
  <c r="S328" i="9"/>
  <c r="AZ326" i="9"/>
  <c r="AY326" i="9" s="1"/>
  <c r="AL323" i="9"/>
  <c r="T319" i="9"/>
  <c r="BB314" i="9"/>
  <c r="G312" i="9"/>
  <c r="K309" i="9"/>
  <c r="Z309" i="9" s="1"/>
  <c r="AA309" i="9" s="1"/>
  <c r="U304" i="9"/>
  <c r="V304" i="9" s="1"/>
  <c r="AX296" i="9"/>
  <c r="J296" i="9"/>
  <c r="O293" i="9"/>
  <c r="O292" i="9"/>
  <c r="BB283" i="9"/>
  <c r="U274" i="9"/>
  <c r="U261" i="9"/>
  <c r="V261" i="9" s="1"/>
  <c r="AL260" i="9"/>
  <c r="AJ253" i="9"/>
  <c r="AX436" i="9"/>
  <c r="J491" i="9"/>
  <c r="K493" i="9"/>
  <c r="Z493" i="9" s="1"/>
  <c r="AA493" i="9" s="1"/>
  <c r="AO491" i="9"/>
  <c r="T491" i="9"/>
  <c r="D491" i="9"/>
  <c r="AX489" i="9"/>
  <c r="W489" i="9"/>
  <c r="AL486" i="9"/>
  <c r="E464" i="9"/>
  <c r="AQ460" i="9"/>
  <c r="AU456" i="9"/>
  <c r="BB450" i="9"/>
  <c r="AT447" i="9"/>
  <c r="I437" i="9"/>
  <c r="AF436" i="9"/>
  <c r="AG436" i="9" s="1"/>
  <c r="C436" i="9"/>
  <c r="U432" i="9"/>
  <c r="V432" i="9" s="1"/>
  <c r="AR428" i="9"/>
  <c r="AV415" i="9"/>
  <c r="J415" i="9"/>
  <c r="AJ409" i="9"/>
  <c r="F408" i="9"/>
  <c r="AE403" i="9"/>
  <c r="BC403" i="9" s="1"/>
  <c r="AO397" i="9"/>
  <c r="AS391" i="9"/>
  <c r="Q388" i="9"/>
  <c r="AE384" i="9"/>
  <c r="BC384" i="9" s="1"/>
  <c r="J381" i="9"/>
  <c r="AS372" i="9"/>
  <c r="N371" i="9"/>
  <c r="W368" i="9"/>
  <c r="S351" i="9"/>
  <c r="E341" i="9"/>
  <c r="M328" i="9"/>
  <c r="AJ323" i="9"/>
  <c r="F309" i="9"/>
  <c r="Q304" i="9"/>
  <c r="AS298" i="9"/>
  <c r="AQ296" i="9"/>
  <c r="G296" i="9"/>
  <c r="M293" i="9"/>
  <c r="L292" i="9"/>
  <c r="AI288" i="9"/>
  <c r="AK283" i="9"/>
  <c r="K274" i="9"/>
  <c r="Z274" i="9" s="1"/>
  <c r="AA274" i="9" s="1"/>
  <c r="M266" i="9"/>
  <c r="AX262" i="9"/>
  <c r="S261" i="9"/>
  <c r="AK260" i="9"/>
  <c r="AE473" i="9"/>
  <c r="BC473" i="9" s="1"/>
  <c r="S420" i="9"/>
  <c r="AE420" i="9"/>
  <c r="BC420" i="9" s="1"/>
  <c r="F420" i="9"/>
  <c r="G420" i="9"/>
  <c r="I420" i="9"/>
  <c r="X420" i="9"/>
  <c r="AE495" i="9"/>
  <c r="BC495" i="9" s="1"/>
  <c r="AR485" i="9"/>
  <c r="AQ481" i="9"/>
  <c r="Q481" i="9"/>
  <c r="AC479" i="9"/>
  <c r="AV477" i="9"/>
  <c r="AU474" i="9"/>
  <c r="AC473" i="9"/>
  <c r="BB472" i="9"/>
  <c r="R472" i="9"/>
  <c r="AF470" i="9"/>
  <c r="AG470" i="9" s="1"/>
  <c r="AU469" i="9"/>
  <c r="AF469" i="9"/>
  <c r="AG469" i="9" s="1"/>
  <c r="N469" i="9"/>
  <c r="AF466" i="9"/>
  <c r="AG466" i="9" s="1"/>
  <c r="F466" i="9"/>
  <c r="S464" i="9"/>
  <c r="AM461" i="9"/>
  <c r="AE460" i="9"/>
  <c r="BC460" i="9" s="1"/>
  <c r="AR458" i="9"/>
  <c r="AC457" i="9"/>
  <c r="AX454" i="9"/>
  <c r="I454" i="9"/>
  <c r="AW450" i="9"/>
  <c r="R448" i="9"/>
  <c r="AE446" i="9"/>
  <c r="BC446" i="9" s="1"/>
  <c r="BA438" i="9"/>
  <c r="G434" i="9"/>
  <c r="S432" i="9"/>
  <c r="AZ429" i="9"/>
  <c r="AY429" i="9" s="1"/>
  <c r="AF428" i="9"/>
  <c r="AG428" i="9" s="1"/>
  <c r="D428" i="9"/>
  <c r="L421" i="9"/>
  <c r="AL406" i="9"/>
  <c r="AD388" i="9"/>
  <c r="BD388" i="9" s="1"/>
  <c r="R376" i="9"/>
  <c r="AE376" i="9"/>
  <c r="BC376" i="9" s="1"/>
  <c r="AM376" i="9"/>
  <c r="AP376" i="9"/>
  <c r="AT376" i="9"/>
  <c r="AU376" i="9"/>
  <c r="E376" i="9"/>
  <c r="AE372" i="9"/>
  <c r="BC372" i="9" s="1"/>
  <c r="H363" i="9"/>
  <c r="G363" i="9"/>
  <c r="Y363" i="9"/>
  <c r="AP363" i="9"/>
  <c r="AF351" i="9"/>
  <c r="AG351" i="9" s="1"/>
  <c r="C349" i="9"/>
  <c r="AH349" i="9"/>
  <c r="H349" i="9"/>
  <c r="AR349" i="9"/>
  <c r="I349" i="9"/>
  <c r="AS349" i="9"/>
  <c r="J349" i="9"/>
  <c r="AW349" i="9"/>
  <c r="T349" i="9"/>
  <c r="AX349" i="9"/>
  <c r="U349" i="9"/>
  <c r="V349" i="9" s="1"/>
  <c r="W349" i="9"/>
  <c r="AZ349" i="9"/>
  <c r="AY349" i="9" s="1"/>
  <c r="AB349" i="9"/>
  <c r="AC349" i="9"/>
  <c r="AD477" i="9"/>
  <c r="BD477" i="9" s="1"/>
  <c r="AC466" i="9"/>
  <c r="BB453" i="9"/>
  <c r="AP433" i="9"/>
  <c r="AK429" i="9"/>
  <c r="AT422" i="9"/>
  <c r="G362" i="9"/>
  <c r="AC362" i="9"/>
  <c r="E345" i="9"/>
  <c r="AM345" i="9"/>
  <c r="I345" i="9"/>
  <c r="AS345" i="9"/>
  <c r="M345" i="9"/>
  <c r="AU345" i="9"/>
  <c r="N345" i="9"/>
  <c r="AX345" i="9"/>
  <c r="O345" i="9"/>
  <c r="BA345" i="9"/>
  <c r="S345" i="9"/>
  <c r="W345" i="9"/>
  <c r="Y345" i="9"/>
  <c r="AC345" i="9"/>
  <c r="W485" i="9"/>
  <c r="T473" i="9"/>
  <c r="AZ466" i="9"/>
  <c r="AY466" i="9" s="1"/>
  <c r="H464" i="9"/>
  <c r="AB458" i="9"/>
  <c r="AQ454" i="9"/>
  <c r="S495" i="9"/>
  <c r="BB486" i="9"/>
  <c r="N485" i="9"/>
  <c r="AN481" i="9"/>
  <c r="J481" i="9"/>
  <c r="BB478" i="9"/>
  <c r="N477" i="9"/>
  <c r="AZ473" i="9"/>
  <c r="AY473" i="9" s="1"/>
  <c r="Q473" i="9"/>
  <c r="AR472" i="9"/>
  <c r="L472" i="9"/>
  <c r="AX466" i="9"/>
  <c r="Y466" i="9"/>
  <c r="G464" i="9"/>
  <c r="S460" i="9"/>
  <c r="S458" i="9"/>
  <c r="AN454" i="9"/>
  <c r="AU453" i="9"/>
  <c r="AO447" i="9"/>
  <c r="AK444" i="9"/>
  <c r="AQ440" i="9"/>
  <c r="T433" i="9"/>
  <c r="AI429" i="9"/>
  <c r="AX428" i="9"/>
  <c r="U428" i="9"/>
  <c r="AC422" i="9"/>
  <c r="AX420" i="9"/>
  <c r="AR418" i="9"/>
  <c r="Y406" i="9"/>
  <c r="BA381" i="9"/>
  <c r="AI348" i="9"/>
  <c r="A345" i="9"/>
  <c r="AB348" i="9"/>
  <c r="AX473" i="9"/>
  <c r="AV434" i="9"/>
  <c r="AE429" i="9"/>
  <c r="BC429" i="9" s="1"/>
  <c r="AW420" i="9"/>
  <c r="D499" i="9"/>
  <c r="L495" i="9"/>
  <c r="O489" i="9"/>
  <c r="AM486" i="9"/>
  <c r="C485" i="9"/>
  <c r="AI481" i="9"/>
  <c r="G481" i="9"/>
  <c r="AQ478" i="9"/>
  <c r="A477" i="9"/>
  <c r="AS473" i="9"/>
  <c r="N473" i="9"/>
  <c r="AN472" i="9"/>
  <c r="F472" i="9"/>
  <c r="AO469" i="9"/>
  <c r="X469" i="9"/>
  <c r="F469" i="9"/>
  <c r="AS466" i="9"/>
  <c r="T466" i="9"/>
  <c r="AX464" i="9"/>
  <c r="C464" i="9"/>
  <c r="AX460" i="9"/>
  <c r="O460" i="9"/>
  <c r="AH454" i="9"/>
  <c r="Y453" i="9"/>
  <c r="U450" i="9"/>
  <c r="V450" i="9" s="1"/>
  <c r="X447" i="9"/>
  <c r="AH444" i="9"/>
  <c r="AE440" i="9"/>
  <c r="BC440" i="9" s="1"/>
  <c r="AS437" i="9"/>
  <c r="M436" i="9"/>
  <c r="AQ434" i="9"/>
  <c r="BB432" i="9"/>
  <c r="AS431" i="9"/>
  <c r="AB429" i="9"/>
  <c r="AT428" i="9"/>
  <c r="S428" i="9"/>
  <c r="W422" i="9"/>
  <c r="AU420" i="9"/>
  <c r="AI418" i="9"/>
  <c r="S406" i="9"/>
  <c r="AR400" i="9"/>
  <c r="AK381" i="9"/>
  <c r="G354" i="9"/>
  <c r="O354" i="9"/>
  <c r="U354" i="9"/>
  <c r="V354" i="9" s="1"/>
  <c r="AO354" i="9"/>
  <c r="AS354" i="9"/>
  <c r="BA354" i="9"/>
  <c r="I348" i="9"/>
  <c r="E407" i="9"/>
  <c r="AN407" i="9"/>
  <c r="AS407" i="9"/>
  <c r="H388" i="9"/>
  <c r="AB388" i="9"/>
  <c r="BA388" i="9"/>
  <c r="F388" i="9"/>
  <c r="AI388" i="9"/>
  <c r="I388" i="9"/>
  <c r="AM388" i="9"/>
  <c r="J388" i="9"/>
  <c r="AN388" i="9"/>
  <c r="L388" i="9"/>
  <c r="AO388" i="9"/>
  <c r="N388" i="9"/>
  <c r="AR388" i="9"/>
  <c r="U388" i="9"/>
  <c r="V388" i="9" s="1"/>
  <c r="AW388" i="9"/>
  <c r="AH381" i="9"/>
  <c r="I372" i="9"/>
  <c r="D372" i="9"/>
  <c r="AB372" i="9"/>
  <c r="AW372" i="9"/>
  <c r="H372" i="9"/>
  <c r="AI372" i="9"/>
  <c r="K372" i="9"/>
  <c r="Z372" i="9" s="1"/>
  <c r="AA372" i="9" s="1"/>
  <c r="AK372" i="9"/>
  <c r="M372" i="9"/>
  <c r="AN372" i="9"/>
  <c r="N372" i="9"/>
  <c r="AP372" i="9"/>
  <c r="P372" i="9"/>
  <c r="AQ372" i="9"/>
  <c r="R372" i="9"/>
  <c r="AR372" i="9"/>
  <c r="A372" i="9"/>
  <c r="U372" i="9"/>
  <c r="V372" i="9" s="1"/>
  <c r="AT372" i="9"/>
  <c r="H351" i="9"/>
  <c r="C351" i="9"/>
  <c r="AC351" i="9"/>
  <c r="BB351" i="9"/>
  <c r="L351" i="9"/>
  <c r="AI351" i="9"/>
  <c r="M351" i="9"/>
  <c r="AN351" i="9"/>
  <c r="N351" i="9"/>
  <c r="AO351" i="9"/>
  <c r="P351" i="9"/>
  <c r="AP351" i="9"/>
  <c r="Q351" i="9"/>
  <c r="AR351" i="9"/>
  <c r="R351" i="9"/>
  <c r="AS351" i="9"/>
  <c r="Y351" i="9"/>
  <c r="AV351" i="9"/>
  <c r="AT454" i="9"/>
  <c r="AQ466" i="9"/>
  <c r="P466" i="9"/>
  <c r="AS420" i="9"/>
  <c r="AS495" i="9"/>
  <c r="D495" i="9"/>
  <c r="AC478" i="9"/>
  <c r="G476" i="9"/>
  <c r="AQ473" i="9"/>
  <c r="I473" i="9"/>
  <c r="AP466" i="9"/>
  <c r="N466" i="9"/>
  <c r="AQ464" i="9"/>
  <c r="AR460" i="9"/>
  <c r="J460" i="9"/>
  <c r="X454" i="9"/>
  <c r="T452" i="9"/>
  <c r="L447" i="9"/>
  <c r="AB444" i="9"/>
  <c r="F440" i="9"/>
  <c r="AB437" i="9"/>
  <c r="AI434" i="9"/>
  <c r="BB430" i="9"/>
  <c r="M429" i="9"/>
  <c r="AN428" i="9"/>
  <c r="P428" i="9"/>
  <c r="BB421" i="9"/>
  <c r="AQ420" i="9"/>
  <c r="N418" i="9"/>
  <c r="BA406" i="9"/>
  <c r="N406" i="9"/>
  <c r="AB381" i="9"/>
  <c r="L348" i="9"/>
  <c r="C348" i="9"/>
  <c r="AC348" i="9"/>
  <c r="BB348" i="9"/>
  <c r="J348" i="9"/>
  <c r="AK348" i="9"/>
  <c r="M348" i="9"/>
  <c r="AN348" i="9"/>
  <c r="N348" i="9"/>
  <c r="AO348" i="9"/>
  <c r="O348" i="9"/>
  <c r="AP348" i="9"/>
  <c r="T348" i="9"/>
  <c r="AU348" i="9"/>
  <c r="U348" i="9"/>
  <c r="V348" i="9" s="1"/>
  <c r="AV348" i="9"/>
  <c r="AW348" i="9"/>
  <c r="A348" i="9"/>
  <c r="Y348" i="9"/>
  <c r="AZ348" i="9"/>
  <c r="AY348" i="9" s="1"/>
  <c r="C307" i="9"/>
  <c r="G307" i="9"/>
  <c r="H307" i="9"/>
  <c r="O307" i="9"/>
  <c r="S307" i="9"/>
  <c r="AL307" i="9"/>
  <c r="AN307" i="9"/>
  <c r="AR307" i="9"/>
  <c r="AS307" i="9"/>
  <c r="AZ307" i="9"/>
  <c r="AY307" i="9" s="1"/>
  <c r="BA466" i="9"/>
  <c r="O473" i="9"/>
  <c r="X466" i="9"/>
  <c r="K473" i="9"/>
  <c r="Z473" i="9" s="1"/>
  <c r="AA473" i="9" s="1"/>
  <c r="AT464" i="9"/>
  <c r="X429" i="9"/>
  <c r="AQ495" i="9"/>
  <c r="G473" i="9"/>
  <c r="AN466" i="9"/>
  <c r="AM464" i="9"/>
  <c r="X434" i="9"/>
  <c r="AP430" i="9"/>
  <c r="L429" i="9"/>
  <c r="AM428" i="9"/>
  <c r="N428" i="9"/>
  <c r="AU421" i="9"/>
  <c r="AD420" i="9"/>
  <c r="BD420" i="9" s="1"/>
  <c r="C396" i="9"/>
  <c r="AL396" i="9"/>
  <c r="J373" i="9"/>
  <c r="H373" i="9"/>
  <c r="X373" i="9"/>
  <c r="AI373" i="9"/>
  <c r="AJ373" i="9"/>
  <c r="AK373" i="9"/>
  <c r="K332" i="9"/>
  <c r="Z332" i="9" s="1"/>
  <c r="AA332" i="9" s="1"/>
  <c r="C332" i="9"/>
  <c r="I332" i="9"/>
  <c r="J332" i="9"/>
  <c r="U332" i="9"/>
  <c r="V332" i="9" s="1"/>
  <c r="X332" i="9"/>
  <c r="AH332" i="9"/>
  <c r="AM332" i="9"/>
  <c r="AN332" i="9"/>
  <c r="AO332" i="9"/>
  <c r="AV332" i="9"/>
  <c r="AD454" i="9"/>
  <c r="BD454" i="9" s="1"/>
  <c r="AL434" i="9"/>
  <c r="AO473" i="9"/>
  <c r="M466" i="9"/>
  <c r="U454" i="9"/>
  <c r="V454" i="9" s="1"/>
  <c r="AN495" i="9"/>
  <c r="AZ481" i="9"/>
  <c r="AY481" i="9" s="1"/>
  <c r="W481" i="9"/>
  <c r="X475" i="9"/>
  <c r="AI473" i="9"/>
  <c r="D473" i="9"/>
  <c r="AE472" i="9"/>
  <c r="BC472" i="9" s="1"/>
  <c r="AM466" i="9"/>
  <c r="K466" i="9"/>
  <c r="Z466" i="9" s="1"/>
  <c r="AA466" i="9" s="1"/>
  <c r="AF464" i="9"/>
  <c r="AG464" i="9" s="1"/>
  <c r="AM460" i="9"/>
  <c r="C460" i="9"/>
  <c r="D455" i="9"/>
  <c r="T454" i="9"/>
  <c r="A447" i="9"/>
  <c r="E444" i="9"/>
  <c r="A440" i="9"/>
  <c r="H437" i="9"/>
  <c r="F436" i="9"/>
  <c r="U434" i="9"/>
  <c r="V434" i="9" s="1"/>
  <c r="AF432" i="9"/>
  <c r="AG432" i="9" s="1"/>
  <c r="AC430" i="9"/>
  <c r="G429" i="9"/>
  <c r="AJ428" i="9"/>
  <c r="L428" i="9"/>
  <c r="E424" i="9"/>
  <c r="AR421" i="9"/>
  <c r="W420" i="9"/>
  <c r="AV406" i="9"/>
  <c r="I392" i="9"/>
  <c r="K392" i="9"/>
  <c r="Z392" i="9" s="1"/>
  <c r="AA392" i="9" s="1"/>
  <c r="AL392" i="9"/>
  <c r="AU392" i="9"/>
  <c r="AX392" i="9"/>
  <c r="AX388" i="9"/>
  <c r="Y376" i="9"/>
  <c r="BB372" i="9"/>
  <c r="AK349" i="9"/>
  <c r="AB473" i="9"/>
  <c r="AD466" i="9"/>
  <c r="BD466" i="9" s="1"/>
  <c r="AW466" i="9"/>
  <c r="AL454" i="9"/>
  <c r="AR473" i="9"/>
  <c r="AI495" i="9"/>
  <c r="BA485" i="9"/>
  <c r="R475" i="9"/>
  <c r="AH473" i="9"/>
  <c r="C473" i="9"/>
  <c r="AL466" i="9"/>
  <c r="J466" i="9"/>
  <c r="AE464" i="9"/>
  <c r="BC464" i="9" s="1"/>
  <c r="N454" i="9"/>
  <c r="AS446" i="9"/>
  <c r="AV439" i="9"/>
  <c r="P434" i="9"/>
  <c r="O430" i="9"/>
  <c r="D429" i="9"/>
  <c r="AI428" i="9"/>
  <c r="J428" i="9"/>
  <c r="AK421" i="9"/>
  <c r="R420" i="9"/>
  <c r="E418" i="9"/>
  <c r="AU418" i="9"/>
  <c r="X418" i="9"/>
  <c r="Y418" i="9"/>
  <c r="AB418" i="9"/>
  <c r="AO418" i="9"/>
  <c r="C412" i="9"/>
  <c r="AD412" i="9"/>
  <c r="BD412" i="9" s="1"/>
  <c r="AF412" i="9"/>
  <c r="AG412" i="9" s="1"/>
  <c r="AR412" i="9"/>
  <c r="I406" i="9"/>
  <c r="T406" i="9"/>
  <c r="AU406" i="9"/>
  <c r="F406" i="9"/>
  <c r="AH406" i="9"/>
  <c r="G406" i="9"/>
  <c r="AI406" i="9"/>
  <c r="K406" i="9"/>
  <c r="Z406" i="9" s="1"/>
  <c r="AA406" i="9" s="1"/>
  <c r="AJ406" i="9"/>
  <c r="Q406" i="9"/>
  <c r="AQ406" i="9"/>
  <c r="R383" i="9"/>
  <c r="AD383" i="9"/>
  <c r="BD383" i="9" s="1"/>
  <c r="AE383" i="9"/>
  <c r="BC383" i="9" s="1"/>
  <c r="AR383" i="9"/>
  <c r="F381" i="9"/>
  <c r="E381" i="9"/>
  <c r="AI381" i="9"/>
  <c r="K381" i="9"/>
  <c r="Z381" i="9" s="1"/>
  <c r="AA381" i="9" s="1"/>
  <c r="AO381" i="9"/>
  <c r="M381" i="9"/>
  <c r="AP381" i="9"/>
  <c r="Q381" i="9"/>
  <c r="AR381" i="9"/>
  <c r="R381" i="9"/>
  <c r="AT381" i="9"/>
  <c r="T381" i="9"/>
  <c r="AX381" i="9"/>
  <c r="Y381" i="9"/>
  <c r="AZ381" i="9"/>
  <c r="AY381" i="9" s="1"/>
  <c r="AC381" i="9"/>
  <c r="Y409" i="9"/>
  <c r="H408" i="9"/>
  <c r="T401" i="9"/>
  <c r="AP397" i="9"/>
  <c r="AI391" i="9"/>
  <c r="S384" i="9"/>
  <c r="BB380" i="9"/>
  <c r="K377" i="9"/>
  <c r="Z377" i="9" s="1"/>
  <c r="AA377" i="9" s="1"/>
  <c r="G374" i="9"/>
  <c r="AQ370" i="9"/>
  <c r="AD368" i="9"/>
  <c r="BD368" i="9" s="1"/>
  <c r="AC365" i="9"/>
  <c r="AD356" i="9"/>
  <c r="BD356" i="9" s="1"/>
  <c r="E356" i="9"/>
  <c r="AW353" i="9"/>
  <c r="AM350" i="9"/>
  <c r="AE341" i="9"/>
  <c r="BC341" i="9" s="1"/>
  <c r="C341" i="9"/>
  <c r="AT337" i="9"/>
  <c r="AC335" i="9"/>
  <c r="AX331" i="9"/>
  <c r="AV328" i="9"/>
  <c r="Q328" i="9"/>
  <c r="AM327" i="9"/>
  <c r="H327" i="9"/>
  <c r="U320" i="9"/>
  <c r="V320" i="9" s="1"/>
  <c r="J319" i="9"/>
  <c r="G317" i="9"/>
  <c r="AJ312" i="9"/>
  <c r="C312" i="9"/>
  <c r="AQ309" i="9"/>
  <c r="AX308" i="9"/>
  <c r="F308" i="9"/>
  <c r="AQ306" i="9"/>
  <c r="U302" i="9"/>
  <c r="V302" i="9" s="1"/>
  <c r="E301" i="9"/>
  <c r="AM300" i="9"/>
  <c r="S300" i="9"/>
  <c r="C300" i="9"/>
  <c r="X297" i="9"/>
  <c r="AO296" i="9"/>
  <c r="F296" i="9"/>
  <c r="AR293" i="9"/>
  <c r="BA292" i="9"/>
  <c r="AD292" i="9"/>
  <c r="BD292" i="9" s="1"/>
  <c r="C292" i="9"/>
  <c r="AH289" i="9"/>
  <c r="K288" i="9"/>
  <c r="Z288" i="9" s="1"/>
  <c r="AA288" i="9" s="1"/>
  <c r="AQ283" i="9"/>
  <c r="AI281" i="9"/>
  <c r="AZ276" i="9"/>
  <c r="AY276" i="9" s="1"/>
  <c r="AL274" i="9"/>
  <c r="R271" i="9"/>
  <c r="BA266" i="9"/>
  <c r="AC266" i="9"/>
  <c r="D266" i="9"/>
  <c r="AO262" i="9"/>
  <c r="AD260" i="9"/>
  <c r="BD260" i="9" s="1"/>
  <c r="AX259" i="9"/>
  <c r="Q259" i="9"/>
  <c r="AF258" i="9"/>
  <c r="AG258" i="9" s="1"/>
  <c r="AT257" i="9"/>
  <c r="AW254" i="9"/>
  <c r="BB302" i="9"/>
  <c r="T302" i="9"/>
  <c r="AZ263" i="9"/>
  <c r="AY263" i="9" s="1"/>
  <c r="AL262" i="9"/>
  <c r="AE258" i="9"/>
  <c r="BC258" i="9" s="1"/>
  <c r="AS257" i="9"/>
  <c r="AS254" i="9"/>
  <c r="AZ360" i="9"/>
  <c r="AY360" i="9" s="1"/>
  <c r="AP353" i="9"/>
  <c r="BB341" i="9"/>
  <c r="Y341" i="9"/>
  <c r="K337" i="9"/>
  <c r="Z337" i="9" s="1"/>
  <c r="AA337" i="9" s="1"/>
  <c r="AH327" i="9"/>
  <c r="AU316" i="9"/>
  <c r="AH312" i="9"/>
  <c r="AU308" i="9"/>
  <c r="AX302" i="9"/>
  <c r="S302" i="9"/>
  <c r="BA300" i="9"/>
  <c r="AK300" i="9"/>
  <c r="Q300" i="9"/>
  <c r="O297" i="9"/>
  <c r="AX292" i="9"/>
  <c r="W292" i="9"/>
  <c r="AX288" i="9"/>
  <c r="AB283" i="9"/>
  <c r="AU266" i="9"/>
  <c r="W266" i="9"/>
  <c r="BA265" i="9"/>
  <c r="AT263" i="9"/>
  <c r="AI262" i="9"/>
  <c r="AD258" i="9"/>
  <c r="AM257" i="9"/>
  <c r="AM254" i="9"/>
  <c r="Y415" i="9"/>
  <c r="D401" i="9"/>
  <c r="AL397" i="9"/>
  <c r="W395" i="9"/>
  <c r="L391" i="9"/>
  <c r="J380" i="9"/>
  <c r="BB374" i="9"/>
  <c r="AS371" i="9"/>
  <c r="J370" i="9"/>
  <c r="P368" i="9"/>
  <c r="AL360" i="9"/>
  <c r="AX356" i="9"/>
  <c r="W356" i="9"/>
  <c r="X353" i="9"/>
  <c r="Y343" i="9"/>
  <c r="M342" i="9"/>
  <c r="BA341" i="9"/>
  <c r="X341" i="9"/>
  <c r="AR340" i="9"/>
  <c r="F337" i="9"/>
  <c r="C335" i="9"/>
  <c r="AO328" i="9"/>
  <c r="H328" i="9"/>
  <c r="AE327" i="9"/>
  <c r="BC327" i="9" s="1"/>
  <c r="U326" i="9"/>
  <c r="V326" i="9" s="1"/>
  <c r="AS316" i="9"/>
  <c r="AB312" i="9"/>
  <c r="H311" i="9"/>
  <c r="AH309" i="9"/>
  <c r="AJ308" i="9"/>
  <c r="AS304" i="9"/>
  <c r="AV302" i="9"/>
  <c r="O302" i="9"/>
  <c r="AZ300" i="9"/>
  <c r="AY300" i="9" s="1"/>
  <c r="AJ300" i="9"/>
  <c r="P300" i="9"/>
  <c r="L297" i="9"/>
  <c r="AI293" i="9"/>
  <c r="AT292" i="9"/>
  <c r="U292" i="9"/>
  <c r="V292" i="9" s="1"/>
  <c r="AX290" i="9"/>
  <c r="AU288" i="9"/>
  <c r="M287" i="9"/>
  <c r="T283" i="9"/>
  <c r="H281" i="9"/>
  <c r="M276" i="9"/>
  <c r="R274" i="9"/>
  <c r="C271" i="9"/>
  <c r="AT266" i="9"/>
  <c r="T266" i="9"/>
  <c r="AV265" i="9"/>
  <c r="AK263" i="9"/>
  <c r="AH262" i="9"/>
  <c r="AL261" i="9"/>
  <c r="BA260" i="9"/>
  <c r="U260" i="9"/>
  <c r="V260" i="9" s="1"/>
  <c r="AT259" i="9"/>
  <c r="L259" i="9"/>
  <c r="Y258" i="9"/>
  <c r="AL257" i="9"/>
  <c r="AC254" i="9"/>
  <c r="S415" i="9"/>
  <c r="AF397" i="9"/>
  <c r="AG397" i="9" s="1"/>
  <c r="AU374" i="9"/>
  <c r="I368" i="9"/>
  <c r="AI360" i="9"/>
  <c r="AU356" i="9"/>
  <c r="S356" i="9"/>
  <c r="U353" i="9"/>
  <c r="V353" i="9" s="1"/>
  <c r="AX341" i="9"/>
  <c r="T341" i="9"/>
  <c r="E337" i="9"/>
  <c r="BA329" i="9"/>
  <c r="AB327" i="9"/>
  <c r="AK318" i="9"/>
  <c r="AM316" i="9"/>
  <c r="AZ312" i="9"/>
  <c r="AY312" i="9" s="1"/>
  <c r="Y312" i="9"/>
  <c r="AE309" i="9"/>
  <c r="BC309" i="9" s="1"/>
  <c r="AI308" i="9"/>
  <c r="AO304" i="9"/>
  <c r="AS302" i="9"/>
  <c r="L302" i="9"/>
  <c r="AX300" i="9"/>
  <c r="AI300" i="9"/>
  <c r="O300" i="9"/>
  <c r="BB297" i="9"/>
  <c r="K297" i="9"/>
  <c r="Z297" i="9" s="1"/>
  <c r="AA297" i="9" s="1"/>
  <c r="AH293" i="9"/>
  <c r="AS292" i="9"/>
  <c r="R292" i="9"/>
  <c r="AT290" i="9"/>
  <c r="AT288" i="9"/>
  <c r="S283" i="9"/>
  <c r="AS266" i="9"/>
  <c r="R266" i="9"/>
  <c r="AT265" i="9"/>
  <c r="AI263" i="9"/>
  <c r="Q262" i="9"/>
  <c r="AX260" i="9"/>
  <c r="P260" i="9"/>
  <c r="U258" i="9"/>
  <c r="V258" i="9" s="1"/>
  <c r="W257" i="9"/>
  <c r="AB254" i="9"/>
  <c r="R415" i="9"/>
  <c r="AW384" i="9"/>
  <c r="AN374" i="9"/>
  <c r="AH371" i="9"/>
  <c r="H369" i="9"/>
  <c r="E368" i="9"/>
  <c r="T360" i="9"/>
  <c r="AQ356" i="9"/>
  <c r="R356" i="9"/>
  <c r="Q353" i="9"/>
  <c r="K342" i="9"/>
  <c r="Z342" i="9" s="1"/>
  <c r="AA342" i="9" s="1"/>
  <c r="AW341" i="9"/>
  <c r="S341" i="9"/>
  <c r="AO339" i="9"/>
  <c r="D337" i="9"/>
  <c r="AV334" i="9"/>
  <c r="Y333" i="9"/>
  <c r="AO329" i="9"/>
  <c r="AI328" i="9"/>
  <c r="AZ327" i="9"/>
  <c r="AY327" i="9" s="1"/>
  <c r="Y327" i="9"/>
  <c r="S325" i="9"/>
  <c r="AX321" i="9"/>
  <c r="AJ318" i="9"/>
  <c r="AF316" i="9"/>
  <c r="AG316" i="9" s="1"/>
  <c r="AX312" i="9"/>
  <c r="R312" i="9"/>
  <c r="AM310" i="9"/>
  <c r="AC309" i="9"/>
  <c r="AE308" i="9"/>
  <c r="BC308" i="9" s="1"/>
  <c r="AI304" i="9"/>
  <c r="AM302" i="9"/>
  <c r="H302" i="9"/>
  <c r="AW300" i="9"/>
  <c r="AH300" i="9"/>
  <c r="L300" i="9"/>
  <c r="BA297" i="9"/>
  <c r="J297" i="9"/>
  <c r="U293" i="9"/>
  <c r="V293" i="9" s="1"/>
  <c r="AP292" i="9"/>
  <c r="Q292" i="9"/>
  <c r="AK290" i="9"/>
  <c r="AL288" i="9"/>
  <c r="U286" i="9"/>
  <c r="V286" i="9" s="1"/>
  <c r="C283" i="9"/>
  <c r="AK270" i="9"/>
  <c r="AO266" i="9"/>
  <c r="Q266" i="9"/>
  <c r="AH265" i="9"/>
  <c r="R263" i="9"/>
  <c r="K262" i="9"/>
  <c r="Z262" i="9" s="1"/>
  <c r="AA262" i="9" s="1"/>
  <c r="AW260" i="9"/>
  <c r="O260" i="9"/>
  <c r="N258" i="9"/>
  <c r="R257" i="9"/>
  <c r="M254" i="9"/>
  <c r="AJ374" i="9"/>
  <c r="S360" i="9"/>
  <c r="E353" i="9"/>
  <c r="AR341" i="9"/>
  <c r="Q341" i="9"/>
  <c r="AL334" i="9"/>
  <c r="AF329" i="9"/>
  <c r="AG329" i="9" s="1"/>
  <c r="AX327" i="9"/>
  <c r="U327" i="9"/>
  <c r="V327" i="9" s="1"/>
  <c r="AW321" i="9"/>
  <c r="M318" i="9"/>
  <c r="J316" i="9"/>
  <c r="AW312" i="9"/>
  <c r="Q312" i="9"/>
  <c r="AF310" i="9"/>
  <c r="AG310" i="9" s="1"/>
  <c r="AD308" i="9"/>
  <c r="AL302" i="9"/>
  <c r="G302" i="9"/>
  <c r="AV300" i="9"/>
  <c r="AE300" i="9"/>
  <c r="BC300" i="9" s="1"/>
  <c r="K300" i="9"/>
  <c r="Z300" i="9" s="1"/>
  <c r="AA300" i="9" s="1"/>
  <c r="AW294" i="9"/>
  <c r="P286" i="9"/>
  <c r="P280" i="9"/>
  <c r="X275" i="9"/>
  <c r="P265" i="9"/>
  <c r="Q263" i="9"/>
  <c r="G262" i="9"/>
  <c r="BB258" i="9"/>
  <c r="G258" i="9"/>
  <c r="Q257" i="9"/>
  <c r="I254" i="9"/>
  <c r="AQ341" i="9"/>
  <c r="O341" i="9"/>
  <c r="AX338" i="9"/>
  <c r="S334" i="9"/>
  <c r="AC329" i="9"/>
  <c r="AW327" i="9"/>
  <c r="S327" i="9"/>
  <c r="AH321" i="9"/>
  <c r="L318" i="9"/>
  <c r="H316" i="9"/>
  <c r="AV312" i="9"/>
  <c r="P312" i="9"/>
  <c r="AE310" i="9"/>
  <c r="BC310" i="9" s="1"/>
  <c r="X308" i="9"/>
  <c r="AK302" i="9"/>
  <c r="F302" i="9"/>
  <c r="AU300" i="9"/>
  <c r="AD300" i="9"/>
  <c r="J300" i="9"/>
  <c r="AP297" i="9"/>
  <c r="AF294" i="9"/>
  <c r="AG294" i="9" s="1"/>
  <c r="AM292" i="9"/>
  <c r="N292" i="9"/>
  <c r="I286" i="9"/>
  <c r="C280" i="9"/>
  <c r="W275" i="9"/>
  <c r="M263" i="9"/>
  <c r="F262" i="9"/>
  <c r="BA258" i="9"/>
  <c r="F258" i="9"/>
  <c r="F257" i="9"/>
  <c r="J275" i="9"/>
  <c r="A257" i="9"/>
  <c r="AD377" i="9"/>
  <c r="BD377" i="9" s="1"/>
  <c r="U374" i="9"/>
  <c r="V374" i="9" s="1"/>
  <c r="AQ368" i="9"/>
  <c r="AL356" i="9"/>
  <c r="G356" i="9"/>
  <c r="AL341" i="9"/>
  <c r="F341" i="9"/>
  <c r="BB337" i="9"/>
  <c r="AN335" i="9"/>
  <c r="BB328" i="9"/>
  <c r="T328" i="9"/>
  <c r="AS327" i="9"/>
  <c r="J327" i="9"/>
  <c r="M317" i="9"/>
  <c r="AO312" i="9"/>
  <c r="L308" i="9"/>
  <c r="AE302" i="9"/>
  <c r="BC302" i="9" s="1"/>
  <c r="AF301" i="9"/>
  <c r="AG301" i="9" s="1"/>
  <c r="AQ300" i="9"/>
  <c r="W300" i="9"/>
  <c r="E300" i="9"/>
  <c r="AB297" i="9"/>
  <c r="AI292" i="9"/>
  <c r="E292" i="9"/>
  <c r="O288" i="9"/>
  <c r="AI266" i="9"/>
  <c r="F266" i="9"/>
  <c r="AW262" i="9"/>
  <c r="AT258" i="9"/>
  <c r="A258" i="9"/>
  <c r="G500" i="9"/>
  <c r="O500" i="9"/>
  <c r="AJ500" i="9"/>
  <c r="P500" i="9"/>
  <c r="AM500" i="9"/>
  <c r="R500" i="9"/>
  <c r="AN500" i="9"/>
  <c r="F500" i="9"/>
  <c r="AD500" i="9"/>
  <c r="BD500" i="9" s="1"/>
  <c r="AU500" i="9"/>
  <c r="BB500" i="9"/>
  <c r="X500" i="9"/>
  <c r="AR499" i="9"/>
  <c r="AH496" i="9"/>
  <c r="AP490" i="9"/>
  <c r="P490" i="9"/>
  <c r="AO485" i="9"/>
  <c r="H485" i="9"/>
  <c r="E478" i="9"/>
  <c r="AB478" i="9"/>
  <c r="J478" i="9"/>
  <c r="AD478" i="9"/>
  <c r="BD478" i="9" s="1"/>
  <c r="L478" i="9"/>
  <c r="AF478" i="9"/>
  <c r="AG478" i="9" s="1"/>
  <c r="AZ478" i="9"/>
  <c r="AY478" i="9" s="1"/>
  <c r="M478" i="9"/>
  <c r="AJ478" i="9"/>
  <c r="BA478" i="9"/>
  <c r="A478" i="9"/>
  <c r="U478" i="9"/>
  <c r="V478" i="9" s="1"/>
  <c r="AP478" i="9"/>
  <c r="BA500" i="9"/>
  <c r="W500" i="9"/>
  <c r="AO499" i="9"/>
  <c r="AO490" i="9"/>
  <c r="M490" i="9"/>
  <c r="AE486" i="9"/>
  <c r="BC486" i="9" s="1"/>
  <c r="AI485" i="9"/>
  <c r="AI479" i="9"/>
  <c r="AM478" i="9"/>
  <c r="W462" i="9"/>
  <c r="O462" i="9"/>
  <c r="U462" i="9"/>
  <c r="V462" i="9" s="1"/>
  <c r="AI462" i="9"/>
  <c r="AJ462" i="9"/>
  <c r="AK462" i="9"/>
  <c r="AV462" i="9"/>
  <c r="C462" i="9"/>
  <c r="H465" i="9"/>
  <c r="AX465" i="9"/>
  <c r="AI465" i="9"/>
  <c r="K459" i="9"/>
  <c r="Z459" i="9" s="1"/>
  <c r="AA459" i="9" s="1"/>
  <c r="H459" i="9"/>
  <c r="R459" i="9"/>
  <c r="AM459" i="9"/>
  <c r="AR459" i="9"/>
  <c r="AV500" i="9"/>
  <c r="T500" i="9"/>
  <c r="AI499" i="9"/>
  <c r="I485" i="9"/>
  <c r="O485" i="9"/>
  <c r="AJ485" i="9"/>
  <c r="P485" i="9"/>
  <c r="AL485" i="9"/>
  <c r="Q485" i="9"/>
  <c r="AM485" i="9"/>
  <c r="G485" i="9"/>
  <c r="AC485" i="9"/>
  <c r="AV485" i="9"/>
  <c r="AQ468" i="9"/>
  <c r="AT500" i="9"/>
  <c r="L500" i="9"/>
  <c r="AB499" i="9"/>
  <c r="AJ490" i="9"/>
  <c r="E490" i="9"/>
  <c r="AE485" i="9"/>
  <c r="BC485" i="9" s="1"/>
  <c r="R483" i="9"/>
  <c r="AV483" i="9"/>
  <c r="Y478" i="9"/>
  <c r="E475" i="9"/>
  <c r="AM475" i="9"/>
  <c r="AR475" i="9"/>
  <c r="BA475" i="9"/>
  <c r="O475" i="9"/>
  <c r="AJ468" i="9"/>
  <c r="AK490" i="9"/>
  <c r="F490" i="9"/>
  <c r="AF485" i="9"/>
  <c r="AG485" i="9" s="1"/>
  <c r="AR500" i="9"/>
  <c r="K500" i="9"/>
  <c r="Z500" i="9" s="1"/>
  <c r="AA500" i="9" s="1"/>
  <c r="X499" i="9"/>
  <c r="AI490" i="9"/>
  <c r="M486" i="9"/>
  <c r="H486" i="9"/>
  <c r="I486" i="9"/>
  <c r="K486" i="9"/>
  <c r="Z486" i="9" s="1"/>
  <c r="AA486" i="9" s="1"/>
  <c r="AK486" i="9"/>
  <c r="X485" i="9"/>
  <c r="X482" i="9"/>
  <c r="N479" i="9"/>
  <c r="S479" i="9"/>
  <c r="X478" i="9"/>
  <c r="AI468" i="9"/>
  <c r="I496" i="9"/>
  <c r="H496" i="9"/>
  <c r="T496" i="9"/>
  <c r="U496" i="9"/>
  <c r="V496" i="9" s="1"/>
  <c r="AU496" i="9"/>
  <c r="AP500" i="9"/>
  <c r="I490" i="9"/>
  <c r="J490" i="9"/>
  <c r="AC490" i="9"/>
  <c r="AT490" i="9"/>
  <c r="K490" i="9"/>
  <c r="Z490" i="9" s="1"/>
  <c r="AA490" i="9" s="1"/>
  <c r="AF490" i="9"/>
  <c r="AG490" i="9" s="1"/>
  <c r="AU490" i="9"/>
  <c r="L490" i="9"/>
  <c r="AH490" i="9"/>
  <c r="AV490" i="9"/>
  <c r="C490" i="9"/>
  <c r="S490" i="9"/>
  <c r="AN490" i="9"/>
  <c r="R478" i="9"/>
  <c r="Y468" i="9"/>
  <c r="R499" i="9"/>
  <c r="BB490" i="9"/>
  <c r="AO500" i="9"/>
  <c r="H500" i="9"/>
  <c r="Q499" i="9"/>
  <c r="C497" i="9"/>
  <c r="AM497" i="9"/>
  <c r="BA497" i="9"/>
  <c r="AE494" i="9"/>
  <c r="BC494" i="9" s="1"/>
  <c r="BA490" i="9"/>
  <c r="Y490" i="9"/>
  <c r="AZ485" i="9"/>
  <c r="AY485" i="9" s="1"/>
  <c r="U485" i="9"/>
  <c r="V485" i="9" s="1"/>
  <c r="BA481" i="9"/>
  <c r="AW478" i="9"/>
  <c r="P478" i="9"/>
  <c r="W468" i="9"/>
  <c r="AT463" i="9"/>
  <c r="J500" i="9"/>
  <c r="AU494" i="9"/>
  <c r="AB490" i="9"/>
  <c r="AI500" i="9"/>
  <c r="D500" i="9"/>
  <c r="BB496" i="9"/>
  <c r="S494" i="9"/>
  <c r="AZ490" i="9"/>
  <c r="AY490" i="9" s="1"/>
  <c r="X490" i="9"/>
  <c r="AX485" i="9"/>
  <c r="T485" i="9"/>
  <c r="H481" i="9"/>
  <c r="K481" i="9"/>
  <c r="Z481" i="9" s="1"/>
  <c r="AA481" i="9" s="1"/>
  <c r="AB481" i="9"/>
  <c r="AS481" i="9"/>
  <c r="M481" i="9"/>
  <c r="AC481" i="9"/>
  <c r="AT481" i="9"/>
  <c r="N481" i="9"/>
  <c r="AD481" i="9"/>
  <c r="BD481" i="9" s="1"/>
  <c r="AU481" i="9"/>
  <c r="D481" i="9"/>
  <c r="T481" i="9"/>
  <c r="AK481" i="9"/>
  <c r="AV478" i="9"/>
  <c r="O478" i="9"/>
  <c r="G477" i="9"/>
  <c r="S477" i="9"/>
  <c r="AE477" i="9"/>
  <c r="BC477" i="9" s="1"/>
  <c r="AF477" i="9"/>
  <c r="AG477" i="9" s="1"/>
  <c r="AI477" i="9"/>
  <c r="H477" i="9"/>
  <c r="AO463" i="9"/>
  <c r="F468" i="9"/>
  <c r="AL468" i="9"/>
  <c r="C468" i="9"/>
  <c r="AX468" i="9"/>
  <c r="G468" i="9"/>
  <c r="K468" i="9"/>
  <c r="Z468" i="9" s="1"/>
  <c r="AA468" i="9" s="1"/>
  <c r="I468" i="9"/>
  <c r="AD468" i="9"/>
  <c r="BD468" i="9" s="1"/>
  <c r="I499" i="9"/>
  <c r="J499" i="9"/>
  <c r="AT499" i="9"/>
  <c r="L499" i="9"/>
  <c r="AU499" i="9"/>
  <c r="O499" i="9"/>
  <c r="AZ499" i="9"/>
  <c r="AY499" i="9" s="1"/>
  <c r="AH499" i="9"/>
  <c r="AF500" i="9"/>
  <c r="AG500" i="9" s="1"/>
  <c r="BB499" i="9"/>
  <c r="AI496" i="9"/>
  <c r="AR490" i="9"/>
  <c r="Q490" i="9"/>
  <c r="AQ485" i="9"/>
  <c r="J485" i="9"/>
  <c r="L480" i="9"/>
  <c r="F480" i="9"/>
  <c r="K480" i="9"/>
  <c r="Z480" i="9" s="1"/>
  <c r="AA480" i="9" s="1"/>
  <c r="AK480" i="9"/>
  <c r="AO478" i="9"/>
  <c r="C478" i="9"/>
  <c r="D467" i="9"/>
  <c r="AX467" i="9"/>
  <c r="AO496" i="9"/>
  <c r="AN478" i="9"/>
  <c r="E463" i="9"/>
  <c r="R463" i="9"/>
  <c r="AU463" i="9"/>
  <c r="S463" i="9"/>
  <c r="AX463" i="9"/>
  <c r="T463" i="9"/>
  <c r="BA463" i="9"/>
  <c r="W463" i="9"/>
  <c r="BB463" i="9"/>
  <c r="AB463" i="9"/>
  <c r="A463" i="9"/>
  <c r="AH463" i="9"/>
  <c r="AC463" i="9"/>
  <c r="F463" i="9"/>
  <c r="AL463" i="9"/>
  <c r="K463" i="9"/>
  <c r="Z463" i="9" s="1"/>
  <c r="AA463" i="9" s="1"/>
  <c r="AS463" i="9"/>
  <c r="AN498" i="9"/>
  <c r="AI489" i="9"/>
  <c r="I489" i="9"/>
  <c r="X484" i="9"/>
  <c r="AM473" i="9"/>
  <c r="J473" i="9"/>
  <c r="AO472" i="9"/>
  <c r="M472" i="9"/>
  <c r="W470" i="9"/>
  <c r="AW469" i="9"/>
  <c r="AK469" i="9"/>
  <c r="T469" i="9"/>
  <c r="G469" i="9"/>
  <c r="BB466" i="9"/>
  <c r="AO466" i="9"/>
  <c r="AB466" i="9"/>
  <c r="L466" i="9"/>
  <c r="Q464" i="9"/>
  <c r="AP460" i="9"/>
  <c r="N460" i="9"/>
  <c r="AX458" i="9"/>
  <c r="N455" i="9"/>
  <c r="AS451" i="9"/>
  <c r="AF451" i="9"/>
  <c r="AG451" i="9" s="1"/>
  <c r="O451" i="9"/>
  <c r="A451" i="9"/>
  <c r="Y450" i="9"/>
  <c r="AM448" i="9"/>
  <c r="U445" i="9"/>
  <c r="V445" i="9" s="1"/>
  <c r="AJ444" i="9"/>
  <c r="F444" i="9"/>
  <c r="AV440" i="9"/>
  <c r="AX439" i="9"/>
  <c r="E439" i="9"/>
  <c r="AE437" i="9"/>
  <c r="BC437" i="9" s="1"/>
  <c r="AS436" i="9"/>
  <c r="AC436" i="9"/>
  <c r="J436" i="9"/>
  <c r="I435" i="9"/>
  <c r="Y432" i="9"/>
  <c r="AT431" i="9"/>
  <c r="AQ430" i="9"/>
  <c r="AD430" i="9"/>
  <c r="BD430" i="9" s="1"/>
  <c r="P430" i="9"/>
  <c r="C430" i="9"/>
  <c r="AJ429" i="9"/>
  <c r="H429" i="9"/>
  <c r="AW427" i="9"/>
  <c r="AK427" i="9"/>
  <c r="T427" i="9"/>
  <c r="F427" i="9"/>
  <c r="BA422" i="9"/>
  <c r="AM421" i="9"/>
  <c r="AI412" i="9"/>
  <c r="AL408" i="9"/>
  <c r="AU407" i="9"/>
  <c r="AT400" i="9"/>
  <c r="I397" i="9"/>
  <c r="P397" i="9"/>
  <c r="AS397" i="9"/>
  <c r="S397" i="9"/>
  <c r="AV397" i="9"/>
  <c r="X397" i="9"/>
  <c r="AX397" i="9"/>
  <c r="F397" i="9"/>
  <c r="AJ397" i="9"/>
  <c r="C386" i="9"/>
  <c r="H386" i="9"/>
  <c r="N386" i="9"/>
  <c r="P386" i="9"/>
  <c r="C383" i="9"/>
  <c r="D383" i="9"/>
  <c r="L383" i="9"/>
  <c r="P383" i="9"/>
  <c r="AS383" i="9"/>
  <c r="AR451" i="9"/>
  <c r="AE451" i="9"/>
  <c r="BC451" i="9" s="1"/>
  <c r="N451" i="9"/>
  <c r="P445" i="9"/>
  <c r="S400" i="9"/>
  <c r="AX400" i="9"/>
  <c r="X400" i="9"/>
  <c r="BB400" i="9"/>
  <c r="AB400" i="9"/>
  <c r="F400" i="9"/>
  <c r="AL400" i="9"/>
  <c r="AF456" i="9"/>
  <c r="AG456" i="9" s="1"/>
  <c r="C455" i="9"/>
  <c r="AQ451" i="9"/>
  <c r="AC451" i="9"/>
  <c r="M451" i="9"/>
  <c r="C448" i="9"/>
  <c r="J445" i="9"/>
  <c r="AR439" i="9"/>
  <c r="AM431" i="9"/>
  <c r="BA430" i="9"/>
  <c r="AO430" i="9"/>
  <c r="AB430" i="9"/>
  <c r="N430" i="9"/>
  <c r="A430" i="9"/>
  <c r="C405" i="9"/>
  <c r="U405" i="9"/>
  <c r="V405" i="9" s="1"/>
  <c r="AX405" i="9"/>
  <c r="W405" i="9"/>
  <c r="X405" i="9"/>
  <c r="F405" i="9"/>
  <c r="AP405" i="9"/>
  <c r="AO400" i="9"/>
  <c r="F361" i="9"/>
  <c r="G361" i="9"/>
  <c r="AV361" i="9"/>
  <c r="AD456" i="9"/>
  <c r="BD456" i="9" s="1"/>
  <c r="AP451" i="9"/>
  <c r="AB451" i="9"/>
  <c r="L451" i="9"/>
  <c r="F445" i="9"/>
  <c r="AM439" i="9"/>
  <c r="AL431" i="9"/>
  <c r="AZ430" i="9"/>
  <c r="AY430" i="9" s="1"/>
  <c r="AN430" i="9"/>
  <c r="Y430" i="9"/>
  <c r="M430" i="9"/>
  <c r="AF421" i="9"/>
  <c r="AG421" i="9" s="1"/>
  <c r="AC412" i="9"/>
  <c r="AI407" i="9"/>
  <c r="AU405" i="9"/>
  <c r="A405" i="9"/>
  <c r="AI400" i="9"/>
  <c r="AM398" i="9"/>
  <c r="C370" i="9"/>
  <c r="R370" i="9"/>
  <c r="AV370" i="9"/>
  <c r="X370" i="9"/>
  <c r="AE370" i="9"/>
  <c r="BC370" i="9" s="1"/>
  <c r="AF370" i="9"/>
  <c r="AG370" i="9" s="1"/>
  <c r="AH370" i="9"/>
  <c r="H370" i="9"/>
  <c r="AO370" i="9"/>
  <c r="L370" i="9"/>
  <c r="AR370" i="9"/>
  <c r="AO451" i="9"/>
  <c r="Y451" i="9"/>
  <c r="AJ439" i="9"/>
  <c r="AH431" i="9"/>
  <c r="AM430" i="9"/>
  <c r="X430" i="9"/>
  <c r="L430" i="9"/>
  <c r="BB423" i="9"/>
  <c r="AB421" i="9"/>
  <c r="T412" i="9"/>
  <c r="AE407" i="9"/>
  <c r="BC407" i="9" s="1"/>
  <c r="AS405" i="9"/>
  <c r="AH400" i="9"/>
  <c r="AE398" i="9"/>
  <c r="BC398" i="9" s="1"/>
  <c r="AV387" i="9"/>
  <c r="K451" i="9"/>
  <c r="Z451" i="9" s="1"/>
  <c r="AA451" i="9" s="1"/>
  <c r="AV484" i="9"/>
  <c r="G484" i="9"/>
  <c r="AV466" i="9"/>
  <c r="AJ466" i="9"/>
  <c r="S466" i="9"/>
  <c r="E466" i="9"/>
  <c r="Q458" i="9"/>
  <c r="X457" i="9"/>
  <c r="BA455" i="9"/>
  <c r="BA451" i="9"/>
  <c r="AN451" i="9"/>
  <c r="X451" i="9"/>
  <c r="I451" i="9"/>
  <c r="AS450" i="9"/>
  <c r="I450" i="9"/>
  <c r="BB444" i="9"/>
  <c r="Y444" i="9"/>
  <c r="AQ441" i="9"/>
  <c r="AB440" i="9"/>
  <c r="AF439" i="9"/>
  <c r="AG439" i="9" s="1"/>
  <c r="AF438" i="9"/>
  <c r="AG438" i="9" s="1"/>
  <c r="AV432" i="9"/>
  <c r="L432" i="9"/>
  <c r="X431" i="9"/>
  <c r="AX430" i="9"/>
  <c r="AL430" i="9"/>
  <c r="W430" i="9"/>
  <c r="K430" i="9"/>
  <c r="Z430" i="9" s="1"/>
  <c r="AA430" i="9" s="1"/>
  <c r="AX429" i="9"/>
  <c r="U429" i="9"/>
  <c r="V429" i="9" s="1"/>
  <c r="AR427" i="9"/>
  <c r="AD427" i="9"/>
  <c r="BD427" i="9" s="1"/>
  <c r="O427" i="9"/>
  <c r="A427" i="9"/>
  <c r="AW423" i="9"/>
  <c r="W421" i="9"/>
  <c r="C420" i="9"/>
  <c r="K420" i="9"/>
  <c r="Z420" i="9" s="1"/>
  <c r="AA420" i="9" s="1"/>
  <c r="AL420" i="9"/>
  <c r="M420" i="9"/>
  <c r="AM420" i="9"/>
  <c r="N420" i="9"/>
  <c r="Y420" i="9"/>
  <c r="BB420" i="9"/>
  <c r="AE413" i="9"/>
  <c r="BC413" i="9" s="1"/>
  <c r="Q412" i="9"/>
  <c r="S408" i="9"/>
  <c r="AC407" i="9"/>
  <c r="AQ405" i="9"/>
  <c r="O403" i="9"/>
  <c r="R403" i="9"/>
  <c r="AB403" i="9"/>
  <c r="AR403" i="9"/>
  <c r="AE400" i="9"/>
  <c r="BC400" i="9" s="1"/>
  <c r="W398" i="9"/>
  <c r="AB397" i="9"/>
  <c r="AX395" i="9"/>
  <c r="AR387" i="9"/>
  <c r="D384" i="9"/>
  <c r="K384" i="9"/>
  <c r="Z384" i="9" s="1"/>
  <c r="AA384" i="9" s="1"/>
  <c r="AJ384" i="9"/>
  <c r="M384" i="9"/>
  <c r="AN384" i="9"/>
  <c r="N384" i="9"/>
  <c r="AP384" i="9"/>
  <c r="AB384" i="9"/>
  <c r="AX384" i="9"/>
  <c r="A469" i="9"/>
  <c r="AU466" i="9"/>
  <c r="AI466" i="9"/>
  <c r="R466" i="9"/>
  <c r="D466" i="9"/>
  <c r="AC460" i="9"/>
  <c r="A460" i="9"/>
  <c r="J458" i="9"/>
  <c r="U457" i="9"/>
  <c r="V457" i="9" s="1"/>
  <c r="AR455" i="9"/>
  <c r="H454" i="9"/>
  <c r="AZ451" i="9"/>
  <c r="AY451" i="9" s="1"/>
  <c r="AM451" i="9"/>
  <c r="W451" i="9"/>
  <c r="H451" i="9"/>
  <c r="AR450" i="9"/>
  <c r="H450" i="9"/>
  <c r="AL447" i="9"/>
  <c r="AZ445" i="9"/>
  <c r="AY445" i="9" s="1"/>
  <c r="AX444" i="9"/>
  <c r="T444" i="9"/>
  <c r="AE441" i="9"/>
  <c r="BC441" i="9" s="1"/>
  <c r="P440" i="9"/>
  <c r="AD439" i="9"/>
  <c r="BD439" i="9" s="1"/>
  <c r="Y438" i="9"/>
  <c r="BB436" i="9"/>
  <c r="AK436" i="9"/>
  <c r="R436" i="9"/>
  <c r="AZ435" i="9"/>
  <c r="AY435" i="9" s="1"/>
  <c r="AS432" i="9"/>
  <c r="G432" i="9"/>
  <c r="W431" i="9"/>
  <c r="AW430" i="9"/>
  <c r="AK430" i="9"/>
  <c r="J430" i="9"/>
  <c r="AV429" i="9"/>
  <c r="T429" i="9"/>
  <c r="AQ427" i="9"/>
  <c r="AC427" i="9"/>
  <c r="N427" i="9"/>
  <c r="AQ423" i="9"/>
  <c r="I422" i="9"/>
  <c r="R421" i="9"/>
  <c r="AI420" i="9"/>
  <c r="AO419" i="9"/>
  <c r="P412" i="9"/>
  <c r="M408" i="9"/>
  <c r="W407" i="9"/>
  <c r="AK405" i="9"/>
  <c r="AD400" i="9"/>
  <c r="BD400" i="9" s="1"/>
  <c r="T398" i="9"/>
  <c r="Y397" i="9"/>
  <c r="AN395" i="9"/>
  <c r="C394" i="9"/>
  <c r="E394" i="9"/>
  <c r="AD394" i="9"/>
  <c r="BD394" i="9" s="1"/>
  <c r="AU394" i="9"/>
  <c r="F394" i="9"/>
  <c r="AE394" i="9"/>
  <c r="BC394" i="9" s="1"/>
  <c r="AV394" i="9"/>
  <c r="G394" i="9"/>
  <c r="AH394" i="9"/>
  <c r="AX394" i="9"/>
  <c r="Q394" i="9"/>
  <c r="AN394" i="9"/>
  <c r="AF387" i="9"/>
  <c r="AG387" i="9" s="1"/>
  <c r="AT384" i="9"/>
  <c r="F376" i="9"/>
  <c r="C376" i="9"/>
  <c r="AC376" i="9"/>
  <c r="AV376" i="9"/>
  <c r="J376" i="9"/>
  <c r="AF376" i="9"/>
  <c r="AG376" i="9" s="1"/>
  <c r="BA376" i="9"/>
  <c r="K376" i="9"/>
  <c r="Z376" i="9" s="1"/>
  <c r="AA376" i="9" s="1"/>
  <c r="AH376" i="9"/>
  <c r="BB376" i="9"/>
  <c r="L376" i="9"/>
  <c r="AJ376" i="9"/>
  <c r="M376" i="9"/>
  <c r="AL376" i="9"/>
  <c r="Q376" i="9"/>
  <c r="AO376" i="9"/>
  <c r="S376" i="9"/>
  <c r="AQ376" i="9"/>
  <c r="BA370" i="9"/>
  <c r="AT367" i="9"/>
  <c r="BB451" i="9"/>
  <c r="AR489" i="9"/>
  <c r="U489" i="9"/>
  <c r="V489" i="9" s="1"/>
  <c r="AP484" i="9"/>
  <c r="AT473" i="9"/>
  <c r="S473" i="9"/>
  <c r="BA472" i="9"/>
  <c r="W472" i="9"/>
  <c r="AX470" i="9"/>
  <c r="BB469" i="9"/>
  <c r="AP469" i="9"/>
  <c r="AC469" i="9"/>
  <c r="M469" i="9"/>
  <c r="AT466" i="9"/>
  <c r="AH466" i="9"/>
  <c r="Q466" i="9"/>
  <c r="C466" i="9"/>
  <c r="AH464" i="9"/>
  <c r="Y460" i="9"/>
  <c r="H458" i="9"/>
  <c r="S457" i="9"/>
  <c r="AO455" i="9"/>
  <c r="AX451" i="9"/>
  <c r="AL451" i="9"/>
  <c r="U451" i="9"/>
  <c r="V451" i="9" s="1"/>
  <c r="G451" i="9"/>
  <c r="AK450" i="9"/>
  <c r="G450" i="9"/>
  <c r="AF447" i="9"/>
  <c r="AG447" i="9" s="1"/>
  <c r="AS445" i="9"/>
  <c r="AW444" i="9"/>
  <c r="P444" i="9"/>
  <c r="AC441" i="9"/>
  <c r="O440" i="9"/>
  <c r="X439" i="9"/>
  <c r="L438" i="9"/>
  <c r="AZ436" i="9"/>
  <c r="AY436" i="9" s="1"/>
  <c r="AJ436" i="9"/>
  <c r="P436" i="9"/>
  <c r="AV435" i="9"/>
  <c r="AQ432" i="9"/>
  <c r="D432" i="9"/>
  <c r="T431" i="9"/>
  <c r="AV430" i="9"/>
  <c r="AJ430" i="9"/>
  <c r="U430" i="9"/>
  <c r="V430" i="9" s="1"/>
  <c r="H430" i="9"/>
  <c r="AS429" i="9"/>
  <c r="P429" i="9"/>
  <c r="AP427" i="9"/>
  <c r="AB427" i="9"/>
  <c r="M427" i="9"/>
  <c r="AO425" i="9"/>
  <c r="AB423" i="9"/>
  <c r="P421" i="9"/>
  <c r="AF420" i="9"/>
  <c r="AG420" i="9" s="1"/>
  <c r="AN419" i="9"/>
  <c r="O412" i="9"/>
  <c r="S407" i="9"/>
  <c r="AF405" i="9"/>
  <c r="AG405" i="9" s="1"/>
  <c r="G404" i="9"/>
  <c r="I404" i="9"/>
  <c r="AE404" i="9"/>
  <c r="BC404" i="9" s="1"/>
  <c r="R400" i="9"/>
  <c r="O397" i="9"/>
  <c r="AF395" i="9"/>
  <c r="AG395" i="9" s="1"/>
  <c r="Q387" i="9"/>
  <c r="AQ384" i="9"/>
  <c r="AW383" i="9"/>
  <c r="AX376" i="9"/>
  <c r="AT375" i="9"/>
  <c r="AU370" i="9"/>
  <c r="AL455" i="9"/>
  <c r="AW451" i="9"/>
  <c r="AK451" i="9"/>
  <c r="T451" i="9"/>
  <c r="F451" i="9"/>
  <c r="AO445" i="9"/>
  <c r="AT444" i="9"/>
  <c r="N444" i="9"/>
  <c r="P441" i="9"/>
  <c r="R439" i="9"/>
  <c r="AR435" i="9"/>
  <c r="P431" i="9"/>
  <c r="AU430" i="9"/>
  <c r="AI430" i="9"/>
  <c r="T430" i="9"/>
  <c r="G430" i="9"/>
  <c r="AQ429" i="9"/>
  <c r="O429" i="9"/>
  <c r="AC425" i="9"/>
  <c r="T423" i="9"/>
  <c r="AH419" i="9"/>
  <c r="AW412" i="9"/>
  <c r="F412" i="9"/>
  <c r="H407" i="9"/>
  <c r="AE405" i="9"/>
  <c r="BC405" i="9" s="1"/>
  <c r="P400" i="9"/>
  <c r="P398" i="9"/>
  <c r="AQ398" i="9"/>
  <c r="AT398" i="9"/>
  <c r="AU398" i="9"/>
  <c r="K398" i="9"/>
  <c r="Z398" i="9" s="1"/>
  <c r="AA398" i="9" s="1"/>
  <c r="AC367" i="9"/>
  <c r="C367" i="9"/>
  <c r="E367" i="9"/>
  <c r="N367" i="9"/>
  <c r="X367" i="9"/>
  <c r="AM367" i="9"/>
  <c r="AV367" i="9"/>
  <c r="AR466" i="9"/>
  <c r="AE466" i="9"/>
  <c r="BC466" i="9" s="1"/>
  <c r="O466" i="9"/>
  <c r="A466" i="9"/>
  <c r="AF455" i="9"/>
  <c r="AG455" i="9" s="1"/>
  <c r="AV451" i="9"/>
  <c r="AJ451" i="9"/>
  <c r="S451" i="9"/>
  <c r="E451" i="9"/>
  <c r="AF450" i="9"/>
  <c r="AG450" i="9" s="1"/>
  <c r="AI445" i="9"/>
  <c r="AQ444" i="9"/>
  <c r="M444" i="9"/>
  <c r="F441" i="9"/>
  <c r="P439" i="9"/>
  <c r="A438" i="9"/>
  <c r="AE435" i="9"/>
  <c r="BC435" i="9" s="1"/>
  <c r="J431" i="9"/>
  <c r="AT430" i="9"/>
  <c r="AH430" i="9"/>
  <c r="S430" i="9"/>
  <c r="F430" i="9"/>
  <c r="AP429" i="9"/>
  <c r="N429" i="9"/>
  <c r="BA427" i="9"/>
  <c r="AN427" i="9"/>
  <c r="Y427" i="9"/>
  <c r="K427" i="9"/>
  <c r="Z427" i="9" s="1"/>
  <c r="AA427" i="9" s="1"/>
  <c r="AB425" i="9"/>
  <c r="R423" i="9"/>
  <c r="AV421" i="9"/>
  <c r="H421" i="9"/>
  <c r="AV412" i="9"/>
  <c r="Y405" i="9"/>
  <c r="M400" i="9"/>
  <c r="D387" i="9"/>
  <c r="AX387" i="9"/>
  <c r="K387" i="9"/>
  <c r="Z387" i="9" s="1"/>
  <c r="AA387" i="9" s="1"/>
  <c r="F375" i="9"/>
  <c r="C375" i="9"/>
  <c r="AS375" i="9"/>
  <c r="U455" i="9"/>
  <c r="V455" i="9" s="1"/>
  <c r="AU451" i="9"/>
  <c r="AI451" i="9"/>
  <c r="R451" i="9"/>
  <c r="C451" i="9"/>
  <c r="AD445" i="9"/>
  <c r="BD445" i="9" s="1"/>
  <c r="AO444" i="9"/>
  <c r="K439" i="9"/>
  <c r="Z439" i="9" s="1"/>
  <c r="AA439" i="9" s="1"/>
  <c r="Y435" i="9"/>
  <c r="AZ431" i="9"/>
  <c r="AY431" i="9" s="1"/>
  <c r="I431" i="9"/>
  <c r="AS430" i="9"/>
  <c r="AF430" i="9"/>
  <c r="AG430" i="9" s="1"/>
  <c r="R430" i="9"/>
  <c r="E430" i="9"/>
  <c r="J425" i="9"/>
  <c r="G419" i="9"/>
  <c r="H419" i="9"/>
  <c r="P419" i="9"/>
  <c r="Q419" i="9"/>
  <c r="AU419" i="9"/>
  <c r="D412" i="9"/>
  <c r="G412" i="9"/>
  <c r="AJ412" i="9"/>
  <c r="L412" i="9"/>
  <c r="AM412" i="9"/>
  <c r="N412" i="9"/>
  <c r="AN412" i="9"/>
  <c r="Y412" i="9"/>
  <c r="BA412" i="9"/>
  <c r="J407" i="9"/>
  <c r="AX407" i="9"/>
  <c r="N407" i="9"/>
  <c r="AZ407" i="9"/>
  <c r="AY407" i="9" s="1"/>
  <c r="O407" i="9"/>
  <c r="BA407" i="9"/>
  <c r="AH407" i="9"/>
  <c r="O405" i="9"/>
  <c r="J400" i="9"/>
  <c r="G395" i="9"/>
  <c r="U395" i="9"/>
  <c r="V395" i="9" s="1"/>
  <c r="AT451" i="9"/>
  <c r="AH451" i="9"/>
  <c r="AC445" i="9"/>
  <c r="BA439" i="9"/>
  <c r="J439" i="9"/>
  <c r="AR430" i="9"/>
  <c r="AE430" i="9"/>
  <c r="BC430" i="9" s="1"/>
  <c r="Q430" i="9"/>
  <c r="D430" i="9"/>
  <c r="AQ412" i="9"/>
  <c r="U408" i="9"/>
  <c r="V408" i="9" s="1"/>
  <c r="W408" i="9"/>
  <c r="X408" i="9"/>
  <c r="AD408" i="9"/>
  <c r="BD408" i="9" s="1"/>
  <c r="K408" i="9"/>
  <c r="Z408" i="9" s="1"/>
  <c r="AA408" i="9" s="1"/>
  <c r="AQ408" i="9"/>
  <c r="K405" i="9"/>
  <c r="Z405" i="9" s="1"/>
  <c r="AA405" i="9" s="1"/>
  <c r="AU400" i="9"/>
  <c r="E400" i="9"/>
  <c r="C378" i="9"/>
  <c r="BB378" i="9"/>
  <c r="W370" i="9"/>
  <c r="AJ415" i="9"/>
  <c r="K415" i="9"/>
  <c r="Z415" i="9" s="1"/>
  <c r="AA415" i="9" s="1"/>
  <c r="AZ406" i="9"/>
  <c r="AY406" i="9" s="1"/>
  <c r="AF406" i="9"/>
  <c r="AG406" i="9" s="1"/>
  <c r="J406" i="9"/>
  <c r="N401" i="9"/>
  <c r="AH391" i="9"/>
  <c r="AZ388" i="9"/>
  <c r="AY388" i="9" s="1"/>
  <c r="AH388" i="9"/>
  <c r="K388" i="9"/>
  <c r="Z388" i="9" s="1"/>
  <c r="AA388" i="9" s="1"/>
  <c r="AJ381" i="9"/>
  <c r="L381" i="9"/>
  <c r="O377" i="9"/>
  <c r="W374" i="9"/>
  <c r="AF372" i="9"/>
  <c r="AG372" i="9" s="1"/>
  <c r="J372" i="9"/>
  <c r="AE371" i="9"/>
  <c r="BC371" i="9" s="1"/>
  <c r="AX368" i="9"/>
  <c r="AB368" i="9"/>
  <c r="AL365" i="9"/>
  <c r="R363" i="9"/>
  <c r="AT360" i="9"/>
  <c r="AX358" i="9"/>
  <c r="AI357" i="9"/>
  <c r="BB356" i="9"/>
  <c r="AJ356" i="9"/>
  <c r="K356" i="9"/>
  <c r="Z356" i="9" s="1"/>
  <c r="AA356" i="9" s="1"/>
  <c r="AH354" i="9"/>
  <c r="AQ353" i="9"/>
  <c r="S353" i="9"/>
  <c r="AT352" i="9"/>
  <c r="AQ351" i="9"/>
  <c r="AD351" i="9"/>
  <c r="BD351" i="9" s="1"/>
  <c r="O351" i="9"/>
  <c r="A351" i="9"/>
  <c r="X350" i="9"/>
  <c r="O349" i="9"/>
  <c r="AX348" i="9"/>
  <c r="AL348" i="9"/>
  <c r="W348" i="9"/>
  <c r="K348" i="9"/>
  <c r="Z348" i="9" s="1"/>
  <c r="AA348" i="9" s="1"/>
  <c r="AM347" i="9"/>
  <c r="AT345" i="9"/>
  <c r="Q345" i="9"/>
  <c r="AV344" i="9"/>
  <c r="S344" i="9"/>
  <c r="AU343" i="9"/>
  <c r="T343" i="9"/>
  <c r="R339" i="9"/>
  <c r="AJ334" i="9"/>
  <c r="AX333" i="9"/>
  <c r="AI332" i="9"/>
  <c r="AX329" i="9"/>
  <c r="T329" i="9"/>
  <c r="P326" i="9"/>
  <c r="Q325" i="9"/>
  <c r="AR323" i="9"/>
  <c r="AO319" i="9"/>
  <c r="S315" i="9"/>
  <c r="D315" i="9"/>
  <c r="S350" i="9"/>
  <c r="AP344" i="9"/>
  <c r="Q344" i="9"/>
  <c r="AT343" i="9"/>
  <c r="N343" i="9"/>
  <c r="E339" i="9"/>
  <c r="AI334" i="9"/>
  <c r="AU329" i="9"/>
  <c r="Q329" i="9"/>
  <c r="BB326" i="9"/>
  <c r="O326" i="9"/>
  <c r="S303" i="9"/>
  <c r="AW303" i="9"/>
  <c r="W303" i="9"/>
  <c r="AZ303" i="9"/>
  <c r="AY303" i="9" s="1"/>
  <c r="X303" i="9"/>
  <c r="BA303" i="9"/>
  <c r="E303" i="9"/>
  <c r="AI303" i="9"/>
  <c r="F303" i="9"/>
  <c r="AJ303" i="9"/>
  <c r="G303" i="9"/>
  <c r="AK303" i="9"/>
  <c r="J303" i="9"/>
  <c r="AM303" i="9"/>
  <c r="R303" i="9"/>
  <c r="AV303" i="9"/>
  <c r="F377" i="9"/>
  <c r="AS368" i="9"/>
  <c r="U368" i="9"/>
  <c r="V368" i="9" s="1"/>
  <c r="AO353" i="9"/>
  <c r="N353" i="9"/>
  <c r="BB350" i="9"/>
  <c r="R350" i="9"/>
  <c r="AO344" i="9"/>
  <c r="O344" i="9"/>
  <c r="AS343" i="9"/>
  <c r="M343" i="9"/>
  <c r="AS340" i="9"/>
  <c r="D339" i="9"/>
  <c r="AH334" i="9"/>
  <c r="AX330" i="9"/>
  <c r="AT329" i="9"/>
  <c r="N329" i="9"/>
  <c r="BA326" i="9"/>
  <c r="F325" i="9"/>
  <c r="K325" i="9"/>
  <c r="Z325" i="9" s="1"/>
  <c r="AA325" i="9" s="1"/>
  <c r="AW325" i="9"/>
  <c r="T325" i="9"/>
  <c r="AD325" i="9"/>
  <c r="BD325" i="9" s="1"/>
  <c r="AF325" i="9"/>
  <c r="AG325" i="9" s="1"/>
  <c r="E325" i="9"/>
  <c r="AU325" i="9"/>
  <c r="AL353" i="9"/>
  <c r="M353" i="9"/>
  <c r="BA350" i="9"/>
  <c r="Q350" i="9"/>
  <c r="AI346" i="9"/>
  <c r="AM344" i="9"/>
  <c r="N344" i="9"/>
  <c r="AN343" i="9"/>
  <c r="K343" i="9"/>
  <c r="Z343" i="9" s="1"/>
  <c r="AA343" i="9" s="1"/>
  <c r="R326" i="9"/>
  <c r="AV326" i="9"/>
  <c r="C326" i="9"/>
  <c r="AH326" i="9"/>
  <c r="D326" i="9"/>
  <c r="AI326" i="9"/>
  <c r="E326" i="9"/>
  <c r="AJ326" i="9"/>
  <c r="Q326" i="9"/>
  <c r="AU326" i="9"/>
  <c r="AD291" i="9"/>
  <c r="BD291" i="9" s="1"/>
  <c r="E291" i="9"/>
  <c r="AE291" i="9"/>
  <c r="BC291" i="9" s="1"/>
  <c r="AK291" i="9"/>
  <c r="AR291" i="9"/>
  <c r="BB369" i="9"/>
  <c r="AP368" i="9"/>
  <c r="O368" i="9"/>
  <c r="W357" i="9"/>
  <c r="AJ353" i="9"/>
  <c r="L353" i="9"/>
  <c r="AM351" i="9"/>
  <c r="X351" i="9"/>
  <c r="K351" i="9"/>
  <c r="Z351" i="9" s="1"/>
  <c r="AA351" i="9" s="1"/>
  <c r="AV350" i="9"/>
  <c r="L350" i="9"/>
  <c r="AT348" i="9"/>
  <c r="AH348" i="9"/>
  <c r="S348" i="9"/>
  <c r="G348" i="9"/>
  <c r="AF346" i="9"/>
  <c r="AG346" i="9" s="1"/>
  <c r="AL344" i="9"/>
  <c r="L344" i="9"/>
  <c r="AM343" i="9"/>
  <c r="J343" i="9"/>
  <c r="AK340" i="9"/>
  <c r="P334" i="9"/>
  <c r="AR330" i="9"/>
  <c r="AN329" i="9"/>
  <c r="J329" i="9"/>
  <c r="AX326" i="9"/>
  <c r="BA325" i="9"/>
  <c r="H319" i="9"/>
  <c r="I319" i="9"/>
  <c r="AB319" i="9"/>
  <c r="AQ319" i="9"/>
  <c r="O319" i="9"/>
  <c r="AI319" i="9"/>
  <c r="AX319" i="9"/>
  <c r="P319" i="9"/>
  <c r="AK319" i="9"/>
  <c r="AZ319" i="9"/>
  <c r="AY319" i="9" s="1"/>
  <c r="A319" i="9"/>
  <c r="Q319" i="9"/>
  <c r="AL319" i="9"/>
  <c r="BA319" i="9"/>
  <c r="G319" i="9"/>
  <c r="Y319" i="9"/>
  <c r="AP319" i="9"/>
  <c r="H317" i="9"/>
  <c r="T317" i="9"/>
  <c r="Y317" i="9"/>
  <c r="AD317" i="9"/>
  <c r="BD317" i="9" s="1"/>
  <c r="AX317" i="9"/>
  <c r="L314" i="9"/>
  <c r="M314" i="9"/>
  <c r="K314" i="9"/>
  <c r="Z314" i="9" s="1"/>
  <c r="AA314" i="9" s="1"/>
  <c r="U396" i="9"/>
  <c r="V396" i="9" s="1"/>
  <c r="D392" i="9"/>
  <c r="F391" i="9"/>
  <c r="AS388" i="9"/>
  <c r="W388" i="9"/>
  <c r="D388" i="9"/>
  <c r="AW381" i="9"/>
  <c r="D381" i="9"/>
  <c r="AX377" i="9"/>
  <c r="AX374" i="9"/>
  <c r="D374" i="9"/>
  <c r="J371" i="9"/>
  <c r="AE369" i="9"/>
  <c r="BC369" i="9" s="1"/>
  <c r="AO368" i="9"/>
  <c r="N368" i="9"/>
  <c r="F365" i="9"/>
  <c r="Q362" i="9"/>
  <c r="P360" i="9"/>
  <c r="S358" i="9"/>
  <c r="U357" i="9"/>
  <c r="V357" i="9" s="1"/>
  <c r="AT356" i="9"/>
  <c r="X356" i="9"/>
  <c r="D356" i="9"/>
  <c r="F354" i="9"/>
  <c r="AF353" i="9"/>
  <c r="AG353" i="9" s="1"/>
  <c r="H353" i="9"/>
  <c r="AZ351" i="9"/>
  <c r="AY351" i="9" s="1"/>
  <c r="AL351" i="9"/>
  <c r="W351" i="9"/>
  <c r="J351" i="9"/>
  <c r="AU350" i="9"/>
  <c r="I350" i="9"/>
  <c r="AS348" i="9"/>
  <c r="AF348" i="9"/>
  <c r="AG348" i="9" s="1"/>
  <c r="R348" i="9"/>
  <c r="F348" i="9"/>
  <c r="S346" i="9"/>
  <c r="AI345" i="9"/>
  <c r="H345" i="9"/>
  <c r="AF344" i="9"/>
  <c r="AG344" i="9" s="1"/>
  <c r="F344" i="9"/>
  <c r="AL343" i="9"/>
  <c r="I343" i="9"/>
  <c r="Y340" i="9"/>
  <c r="N334" i="9"/>
  <c r="N333" i="9"/>
  <c r="X333" i="9"/>
  <c r="J333" i="9"/>
  <c r="AM333" i="9"/>
  <c r="L333" i="9"/>
  <c r="AN333" i="9"/>
  <c r="U333" i="9"/>
  <c r="V333" i="9" s="1"/>
  <c r="Q332" i="9"/>
  <c r="AH330" i="9"/>
  <c r="AM329" i="9"/>
  <c r="I329" i="9"/>
  <c r="AS326" i="9"/>
  <c r="AZ325" i="9"/>
  <c r="AY325" i="9" s="1"/>
  <c r="A323" i="9"/>
  <c r="N323" i="9"/>
  <c r="AF323" i="9"/>
  <c r="AG323" i="9" s="1"/>
  <c r="AU323" i="9"/>
  <c r="E323" i="9"/>
  <c r="U323" i="9"/>
  <c r="V323" i="9" s="1"/>
  <c r="AM323" i="9"/>
  <c r="BB323" i="9"/>
  <c r="F323" i="9"/>
  <c r="W323" i="9"/>
  <c r="AN323" i="9"/>
  <c r="H323" i="9"/>
  <c r="X323" i="9"/>
  <c r="AO323" i="9"/>
  <c r="L323" i="9"/>
  <c r="AD323" i="9"/>
  <c r="BD323" i="9" s="1"/>
  <c r="AT323" i="9"/>
  <c r="F320" i="9"/>
  <c r="BA320" i="9"/>
  <c r="C320" i="9"/>
  <c r="AD319" i="9"/>
  <c r="BD319" i="9" s="1"/>
  <c r="H304" i="9"/>
  <c r="O304" i="9"/>
  <c r="AM304" i="9"/>
  <c r="S304" i="9"/>
  <c r="AQ304" i="9"/>
  <c r="T304" i="9"/>
  <c r="AR304" i="9"/>
  <c r="D304" i="9"/>
  <c r="AT304" i="9"/>
  <c r="E304" i="9"/>
  <c r="AB304" i="9"/>
  <c r="AX304" i="9"/>
  <c r="G304" i="9"/>
  <c r="AC304" i="9"/>
  <c r="AZ304" i="9"/>
  <c r="AY304" i="9" s="1"/>
  <c r="I304" i="9"/>
  <c r="AE304" i="9"/>
  <c r="BC304" i="9" s="1"/>
  <c r="BA304" i="9"/>
  <c r="N304" i="9"/>
  <c r="AL304" i="9"/>
  <c r="X415" i="9"/>
  <c r="A415" i="9"/>
  <c r="AQ377" i="9"/>
  <c r="C371" i="9"/>
  <c r="AB369" i="9"/>
  <c r="AN368" i="9"/>
  <c r="L368" i="9"/>
  <c r="J360" i="9"/>
  <c r="M358" i="9"/>
  <c r="P357" i="9"/>
  <c r="AE353" i="9"/>
  <c r="BC353" i="9" s="1"/>
  <c r="G353" i="9"/>
  <c r="AX351" i="9"/>
  <c r="AK351" i="9"/>
  <c r="I351" i="9"/>
  <c r="AP350" i="9"/>
  <c r="E350" i="9"/>
  <c r="A349" i="9"/>
  <c r="AR348" i="9"/>
  <c r="AE348" i="9"/>
  <c r="BC348" i="9" s="1"/>
  <c r="Q348" i="9"/>
  <c r="E348" i="9"/>
  <c r="O346" i="9"/>
  <c r="AF345" i="9"/>
  <c r="AG345" i="9" s="1"/>
  <c r="AE344" i="9"/>
  <c r="BC344" i="9" s="1"/>
  <c r="E344" i="9"/>
  <c r="AH343" i="9"/>
  <c r="H343" i="9"/>
  <c r="P342" i="9"/>
  <c r="C342" i="9"/>
  <c r="AK341" i="9"/>
  <c r="M341" i="9"/>
  <c r="W340" i="9"/>
  <c r="AV338" i="9"/>
  <c r="AZ336" i="9"/>
  <c r="AY336" i="9" s="1"/>
  <c r="BA334" i="9"/>
  <c r="M334" i="9"/>
  <c r="AJ333" i="9"/>
  <c r="AZ332" i="9"/>
  <c r="AY332" i="9" s="1"/>
  <c r="L332" i="9"/>
  <c r="X330" i="9"/>
  <c r="AI329" i="9"/>
  <c r="H329" i="9"/>
  <c r="AM326" i="9"/>
  <c r="AX325" i="9"/>
  <c r="AC323" i="9"/>
  <c r="AN322" i="9"/>
  <c r="AC319" i="9"/>
  <c r="H312" i="9"/>
  <c r="M312" i="9"/>
  <c r="AD312" i="9"/>
  <c r="BD312" i="9" s="1"/>
  <c r="AU312" i="9"/>
  <c r="D312" i="9"/>
  <c r="S312" i="9"/>
  <c r="AL312" i="9"/>
  <c r="BA312" i="9"/>
  <c r="E312" i="9"/>
  <c r="W312" i="9"/>
  <c r="AM312" i="9"/>
  <c r="BB312" i="9"/>
  <c r="F312" i="9"/>
  <c r="X312" i="9"/>
  <c r="AN312" i="9"/>
  <c r="L312" i="9"/>
  <c r="AC312" i="9"/>
  <c r="AT312" i="9"/>
  <c r="AX303" i="9"/>
  <c r="AD295" i="9"/>
  <c r="BD295" i="9" s="1"/>
  <c r="E295" i="9"/>
  <c r="AE295" i="9"/>
  <c r="BC295" i="9" s="1"/>
  <c r="AH295" i="9"/>
  <c r="AN295" i="9"/>
  <c r="AO295" i="9"/>
  <c r="C295" i="9"/>
  <c r="T415" i="9"/>
  <c r="AM406" i="9"/>
  <c r="R406" i="9"/>
  <c r="BB391" i="9"/>
  <c r="AP388" i="9"/>
  <c r="T388" i="9"/>
  <c r="X381" i="9"/>
  <c r="A381" i="9"/>
  <c r="AN377" i="9"/>
  <c r="U369" i="9"/>
  <c r="V369" i="9" s="1"/>
  <c r="AL368" i="9"/>
  <c r="K368" i="9"/>
  <c r="Z368" i="9" s="1"/>
  <c r="AA368" i="9" s="1"/>
  <c r="J357" i="9"/>
  <c r="AX353" i="9"/>
  <c r="AD353" i="9"/>
  <c r="BD353" i="9" s="1"/>
  <c r="F353" i="9"/>
  <c r="AW351" i="9"/>
  <c r="AJ351" i="9"/>
  <c r="U351" i="9"/>
  <c r="V351" i="9" s="1"/>
  <c r="F351" i="9"/>
  <c r="AO350" i="9"/>
  <c r="C350" i="9"/>
  <c r="AQ348" i="9"/>
  <c r="AD348" i="9"/>
  <c r="BD348" i="9" s="1"/>
  <c r="P348" i="9"/>
  <c r="D348" i="9"/>
  <c r="J346" i="9"/>
  <c r="AD344" i="9"/>
  <c r="BD344" i="9" s="1"/>
  <c r="C344" i="9"/>
  <c r="AF343" i="9"/>
  <c r="AG343" i="9" s="1"/>
  <c r="C343" i="9"/>
  <c r="AJ341" i="9"/>
  <c r="L341" i="9"/>
  <c r="H340" i="9"/>
  <c r="AX334" i="9"/>
  <c r="J334" i="9"/>
  <c r="AD333" i="9"/>
  <c r="BD333" i="9" s="1"/>
  <c r="AX332" i="9"/>
  <c r="AL326" i="9"/>
  <c r="AP325" i="9"/>
  <c r="BA323" i="9"/>
  <c r="AB323" i="9"/>
  <c r="BB319" i="9"/>
  <c r="W319" i="9"/>
  <c r="C306" i="9"/>
  <c r="M306" i="9"/>
  <c r="AH306" i="9"/>
  <c r="AP306" i="9"/>
  <c r="L306" i="9"/>
  <c r="AS303" i="9"/>
  <c r="AK273" i="9"/>
  <c r="U273" i="9"/>
  <c r="V273" i="9" s="1"/>
  <c r="AL273" i="9"/>
  <c r="AR273" i="9"/>
  <c r="K273" i="9"/>
  <c r="Z273" i="9" s="1"/>
  <c r="AA273" i="9" s="1"/>
  <c r="H330" i="9"/>
  <c r="S330" i="9"/>
  <c r="P330" i="9"/>
  <c r="A329" i="9"/>
  <c r="F329" i="9"/>
  <c r="X329" i="9"/>
  <c r="AS329" i="9"/>
  <c r="O329" i="9"/>
  <c r="AJ329" i="9"/>
  <c r="BB329" i="9"/>
  <c r="P329" i="9"/>
  <c r="AL329" i="9"/>
  <c r="E329" i="9"/>
  <c r="W329" i="9"/>
  <c r="AR329" i="9"/>
  <c r="AF326" i="9"/>
  <c r="AG326" i="9" s="1"/>
  <c r="AJ325" i="9"/>
  <c r="L322" i="9"/>
  <c r="G322" i="9"/>
  <c r="AN303" i="9"/>
  <c r="AH368" i="9"/>
  <c r="F368" i="9"/>
  <c r="AQ363" i="9"/>
  <c r="S359" i="9"/>
  <c r="AT357" i="9"/>
  <c r="H357" i="9"/>
  <c r="AV353" i="9"/>
  <c r="W353" i="9"/>
  <c r="C353" i="9"/>
  <c r="AL350" i="9"/>
  <c r="BA344" i="9"/>
  <c r="Y344" i="9"/>
  <c r="AZ343" i="9"/>
  <c r="AY343" i="9" s="1"/>
  <c r="A343" i="9"/>
  <c r="A340" i="9"/>
  <c r="AO334" i="9"/>
  <c r="A334" i="9"/>
  <c r="A330" i="9"/>
  <c r="AD329" i="9"/>
  <c r="BD329" i="9" s="1"/>
  <c r="AC326" i="9"/>
  <c r="AI325" i="9"/>
  <c r="AD303" i="9"/>
  <c r="BD303" i="9" s="1"/>
  <c r="AF350" i="9"/>
  <c r="AG350" i="9" s="1"/>
  <c r="X344" i="9"/>
  <c r="J285" i="9"/>
  <c r="K285" i="9"/>
  <c r="Z285" i="9" s="1"/>
  <c r="AA285" i="9" s="1"/>
  <c r="L285" i="9"/>
  <c r="AI285" i="9"/>
  <c r="AJ285" i="9"/>
  <c r="AM285" i="9"/>
  <c r="AP285" i="9"/>
  <c r="AQ285" i="9"/>
  <c r="I285" i="9"/>
  <c r="AL268" i="9"/>
  <c r="AK268" i="9"/>
  <c r="AS353" i="9"/>
  <c r="AW352" i="9"/>
  <c r="AE350" i="9"/>
  <c r="BC350" i="9" s="1"/>
  <c r="AM348" i="9"/>
  <c r="X348" i="9"/>
  <c r="AQ347" i="9"/>
  <c r="AW344" i="9"/>
  <c r="T344" i="9"/>
  <c r="AW343" i="9"/>
  <c r="U343" i="9"/>
  <c r="V343" i="9" s="1"/>
  <c r="P332" i="9"/>
  <c r="F332" i="9"/>
  <c r="AF332" i="9"/>
  <c r="AG332" i="9" s="1"/>
  <c r="BB332" i="9"/>
  <c r="R332" i="9"/>
  <c r="AS332" i="9"/>
  <c r="T332" i="9"/>
  <c r="AU332" i="9"/>
  <c r="E332" i="9"/>
  <c r="AD332" i="9"/>
  <c r="BD332" i="9" s="1"/>
  <c r="BA332" i="9"/>
  <c r="AZ329" i="9"/>
  <c r="AY329" i="9" s="1"/>
  <c r="U329" i="9"/>
  <c r="V329" i="9" s="1"/>
  <c r="T326" i="9"/>
  <c r="R325" i="9"/>
  <c r="AR319" i="9"/>
  <c r="M319" i="9"/>
  <c r="AR317" i="9"/>
  <c r="O303" i="9"/>
  <c r="L284" i="9"/>
  <c r="R284" i="9"/>
  <c r="T284" i="9"/>
  <c r="Y284" i="9"/>
  <c r="AD284" i="9"/>
  <c r="BD284" i="9" s="1"/>
  <c r="AF284" i="9"/>
  <c r="AG284" i="9" s="1"/>
  <c r="AQ284" i="9"/>
  <c r="AW284" i="9"/>
  <c r="AX284" i="9"/>
  <c r="BB284" i="9"/>
  <c r="K284" i="9"/>
  <c r="Z284" i="9" s="1"/>
  <c r="AA284" i="9" s="1"/>
  <c r="Q278" i="9"/>
  <c r="AK278" i="9"/>
  <c r="AV278" i="9"/>
  <c r="BA278" i="9"/>
  <c r="E278" i="9"/>
  <c r="C256" i="9"/>
  <c r="S256" i="9"/>
  <c r="Y256" i="9"/>
  <c r="AL256" i="9"/>
  <c r="AS256" i="9"/>
  <c r="I256" i="9"/>
  <c r="AK328" i="9"/>
  <c r="N328" i="9"/>
  <c r="M327" i="9"/>
  <c r="AN310" i="9"/>
  <c r="AL309" i="9"/>
  <c r="A309" i="9"/>
  <c r="T308" i="9"/>
  <c r="T307" i="9"/>
  <c r="AR302" i="9"/>
  <c r="M302" i="9"/>
  <c r="H301" i="9"/>
  <c r="X300" i="9"/>
  <c r="G300" i="9"/>
  <c r="AE299" i="9"/>
  <c r="BC299" i="9" s="1"/>
  <c r="AZ297" i="9"/>
  <c r="AY297" i="9" s="1"/>
  <c r="N297" i="9"/>
  <c r="AM296" i="9"/>
  <c r="I296" i="9"/>
  <c r="AL293" i="9"/>
  <c r="K292" i="9"/>
  <c r="Z292" i="9" s="1"/>
  <c r="AA292" i="9" s="1"/>
  <c r="AZ290" i="9"/>
  <c r="AY290" i="9" s="1"/>
  <c r="T290" i="9"/>
  <c r="AS289" i="9"/>
  <c r="AV288" i="9"/>
  <c r="AF288" i="9"/>
  <c r="AG288" i="9" s="1"/>
  <c r="M288" i="9"/>
  <c r="U283" i="9"/>
  <c r="V283" i="9" s="1"/>
  <c r="AP281" i="9"/>
  <c r="BB275" i="9"/>
  <c r="AM274" i="9"/>
  <c r="M274" i="9"/>
  <c r="AZ266" i="9"/>
  <c r="AY266" i="9" s="1"/>
  <c r="AF266" i="9"/>
  <c r="AG266" i="9" s="1"/>
  <c r="I266" i="9"/>
  <c r="AL265" i="9"/>
  <c r="BB264" i="9"/>
  <c r="AD263" i="9"/>
  <c r="BD263" i="9" s="1"/>
  <c r="AJ262" i="9"/>
  <c r="A262" i="9"/>
  <c r="R261" i="9"/>
  <c r="AP260" i="9"/>
  <c r="N260" i="9"/>
  <c r="T258" i="9"/>
  <c r="Y257" i="9"/>
  <c r="AL254" i="9"/>
  <c r="AK253" i="9"/>
  <c r="H274" i="9"/>
  <c r="AR267" i="9"/>
  <c r="AR255" i="9"/>
  <c r="AD253" i="9"/>
  <c r="BD253" i="9" s="1"/>
  <c r="AR290" i="9"/>
  <c r="N290" i="9"/>
  <c r="AC289" i="9"/>
  <c r="AR288" i="9"/>
  <c r="AC288" i="9"/>
  <c r="J288" i="9"/>
  <c r="AZ283" i="9"/>
  <c r="AY283" i="9" s="1"/>
  <c r="R283" i="9"/>
  <c r="AE274" i="9"/>
  <c r="BC274" i="9" s="1"/>
  <c r="G274" i="9"/>
  <c r="AQ267" i="9"/>
  <c r="Y265" i="9"/>
  <c r="AC255" i="9"/>
  <c r="X253" i="9"/>
  <c r="AZ328" i="9"/>
  <c r="AY328" i="9" s="1"/>
  <c r="AD328" i="9"/>
  <c r="BD328" i="9" s="1"/>
  <c r="F328" i="9"/>
  <c r="AB309" i="9"/>
  <c r="T293" i="9"/>
  <c r="AQ290" i="9"/>
  <c r="M290" i="9"/>
  <c r="U289" i="9"/>
  <c r="V289" i="9" s="1"/>
  <c r="AQ288" i="9"/>
  <c r="Y288" i="9"/>
  <c r="F288" i="9"/>
  <c r="AX283" i="9"/>
  <c r="I283" i="9"/>
  <c r="AC281" i="9"/>
  <c r="AX279" i="9"/>
  <c r="AS276" i="9"/>
  <c r="AD274" i="9"/>
  <c r="BD274" i="9" s="1"/>
  <c r="F274" i="9"/>
  <c r="AZ269" i="9"/>
  <c r="AY269" i="9" s="1"/>
  <c r="AJ267" i="9"/>
  <c r="X265" i="9"/>
  <c r="W262" i="9"/>
  <c r="S255" i="9"/>
  <c r="W253" i="9"/>
  <c r="AX328" i="9"/>
  <c r="AC328" i="9"/>
  <c r="D328" i="9"/>
  <c r="AF327" i="9"/>
  <c r="AG327" i="9" s="1"/>
  <c r="D327" i="9"/>
  <c r="AX318" i="9"/>
  <c r="Q310" i="9"/>
  <c r="P309" i="9"/>
  <c r="AR308" i="9"/>
  <c r="C308" i="9"/>
  <c r="D307" i="9"/>
  <c r="L299" i="9"/>
  <c r="AL297" i="9"/>
  <c r="A297" i="9"/>
  <c r="S293" i="9"/>
  <c r="AP290" i="9"/>
  <c r="J290" i="9"/>
  <c r="F289" i="9"/>
  <c r="AP288" i="9"/>
  <c r="W288" i="9"/>
  <c r="E288" i="9"/>
  <c r="AS283" i="9"/>
  <c r="H283" i="9"/>
  <c r="N279" i="9"/>
  <c r="AP276" i="9"/>
  <c r="BB274" i="9"/>
  <c r="Y274" i="9"/>
  <c r="E274" i="9"/>
  <c r="AK271" i="9"/>
  <c r="AX269" i="9"/>
  <c r="U267" i="9"/>
  <c r="V267" i="9" s="1"/>
  <c r="AP266" i="9"/>
  <c r="U266" i="9"/>
  <c r="V266" i="9" s="1"/>
  <c r="C266" i="9"/>
  <c r="S265" i="9"/>
  <c r="C264" i="9"/>
  <c r="A263" i="9"/>
  <c r="S262" i="9"/>
  <c r="E257" i="9"/>
  <c r="R255" i="9"/>
  <c r="C254" i="9"/>
  <c r="S253" i="9"/>
  <c r="AW318" i="9"/>
  <c r="AT301" i="9"/>
  <c r="X296" i="9"/>
  <c r="AW293" i="9"/>
  <c r="R293" i="9"/>
  <c r="AL290" i="9"/>
  <c r="I290" i="9"/>
  <c r="E289" i="9"/>
  <c r="AO288" i="9"/>
  <c r="T288" i="9"/>
  <c r="D288" i="9"/>
  <c r="AR283" i="9"/>
  <c r="D283" i="9"/>
  <c r="Y281" i="9"/>
  <c r="AM276" i="9"/>
  <c r="AU274" i="9"/>
  <c r="X274" i="9"/>
  <c r="C274" i="9"/>
  <c r="AT269" i="9"/>
  <c r="T267" i="9"/>
  <c r="R265" i="9"/>
  <c r="BA262" i="9"/>
  <c r="R262" i="9"/>
  <c r="I255" i="9"/>
  <c r="R253" i="9"/>
  <c r="AC269" i="9"/>
  <c r="N267" i="9"/>
  <c r="F255" i="9"/>
  <c r="BB253" i="9"/>
  <c r="L253" i="9"/>
  <c r="AR301" i="9"/>
  <c r="AH290" i="9"/>
  <c r="F290" i="9"/>
  <c r="BB288" i="9"/>
  <c r="AK288" i="9"/>
  <c r="R288" i="9"/>
  <c r="A288" i="9"/>
  <c r="AR274" i="9"/>
  <c r="T274" i="9"/>
  <c r="J269" i="9"/>
  <c r="L265" i="9"/>
  <c r="BA253" i="9"/>
  <c r="I253" i="9"/>
  <c r="AM301" i="9"/>
  <c r="AE290" i="9"/>
  <c r="BC290" i="9" s="1"/>
  <c r="D290" i="9"/>
  <c r="BA288" i="9"/>
  <c r="AJ288" i="9"/>
  <c r="Q288" i="9"/>
  <c r="AH283" i="9"/>
  <c r="AQ274" i="9"/>
  <c r="S274" i="9"/>
  <c r="I269" i="9"/>
  <c r="A267" i="9"/>
  <c r="AU265" i="9"/>
  <c r="K265" i="9"/>
  <c r="Z265" i="9" s="1"/>
  <c r="AA265" i="9" s="1"/>
  <c r="AU253" i="9"/>
  <c r="G253" i="9"/>
  <c r="P328" i="9"/>
  <c r="BB290" i="9"/>
  <c r="AB290" i="9"/>
  <c r="BA289" i="9"/>
  <c r="AW288" i="9"/>
  <c r="AH288" i="9"/>
  <c r="N288" i="9"/>
  <c r="Y283" i="9"/>
  <c r="AO274" i="9"/>
  <c r="N274" i="9"/>
  <c r="AS265" i="9"/>
  <c r="A265" i="9"/>
  <c r="AP253" i="9"/>
  <c r="A253" i="9"/>
  <c r="AD487" i="9"/>
  <c r="BD487" i="9" s="1"/>
  <c r="AM496" i="9"/>
  <c r="AL499" i="9"/>
  <c r="X496" i="9"/>
  <c r="AO494" i="9"/>
  <c r="AN493" i="9"/>
  <c r="N493" i="9"/>
  <c r="A493" i="9"/>
  <c r="AI487" i="9"/>
  <c r="BB483" i="9"/>
  <c r="AW499" i="9"/>
  <c r="T499" i="9"/>
  <c r="G499" i="9"/>
  <c r="AK496" i="9"/>
  <c r="W496" i="9"/>
  <c r="K496" i="9"/>
  <c r="Z496" i="9" s="1"/>
  <c r="AA496" i="9" s="1"/>
  <c r="AV495" i="9"/>
  <c r="R495" i="9"/>
  <c r="AZ493" i="9"/>
  <c r="AY493" i="9" s="1"/>
  <c r="AM493" i="9"/>
  <c r="Y493" i="9"/>
  <c r="M493" i="9"/>
  <c r="AE490" i="9"/>
  <c r="BC490" i="9" s="1"/>
  <c r="O490" i="9"/>
  <c r="Q487" i="9"/>
  <c r="AS500" i="9"/>
  <c r="AB500" i="9"/>
  <c r="I500" i="9"/>
  <c r="AV499" i="9"/>
  <c r="AJ499" i="9"/>
  <c r="S499" i="9"/>
  <c r="F499" i="9"/>
  <c r="AV496" i="9"/>
  <c r="AJ496" i="9"/>
  <c r="J496" i="9"/>
  <c r="AU495" i="9"/>
  <c r="P495" i="9"/>
  <c r="AF494" i="9"/>
  <c r="AG494" i="9" s="1"/>
  <c r="AX493" i="9"/>
  <c r="AL493" i="9"/>
  <c r="X493" i="9"/>
  <c r="L493" i="9"/>
  <c r="AQ490" i="9"/>
  <c r="AD490" i="9"/>
  <c r="BD490" i="9" s="1"/>
  <c r="N490" i="9"/>
  <c r="A490" i="9"/>
  <c r="AK489" i="9"/>
  <c r="R489" i="9"/>
  <c r="A489" i="9"/>
  <c r="AS487" i="9"/>
  <c r="AF487" i="9"/>
  <c r="AG487" i="9" s="1"/>
  <c r="P487" i="9"/>
  <c r="C487" i="9"/>
  <c r="W486" i="9"/>
  <c r="AS485" i="9"/>
  <c r="AB485" i="9"/>
  <c r="AW484" i="9"/>
  <c r="AK484" i="9"/>
  <c r="J484" i="9"/>
  <c r="AX483" i="9"/>
  <c r="AB483" i="9"/>
  <c r="G483" i="9"/>
  <c r="AE482" i="9"/>
  <c r="BC482" i="9" s="1"/>
  <c r="BB481" i="9"/>
  <c r="AM481" i="9"/>
  <c r="V481" i="9"/>
  <c r="I478" i="9"/>
  <c r="K478" i="9"/>
  <c r="Z478" i="9" s="1"/>
  <c r="AA478" i="9" s="1"/>
  <c r="W478" i="9"/>
  <c r="AL478" i="9"/>
  <c r="AX478" i="9"/>
  <c r="D478" i="9"/>
  <c r="Q478" i="9"/>
  <c r="AE478" i="9"/>
  <c r="BC478" i="9" s="1"/>
  <c r="AR478" i="9"/>
  <c r="F478" i="9"/>
  <c r="S478" i="9"/>
  <c r="AH478" i="9"/>
  <c r="AT478" i="9"/>
  <c r="G478" i="9"/>
  <c r="T478" i="9"/>
  <c r="AI478" i="9"/>
  <c r="AU478" i="9"/>
  <c r="W477" i="9"/>
  <c r="AN476" i="9"/>
  <c r="H476" i="9"/>
  <c r="AO475" i="9"/>
  <c r="S475" i="9"/>
  <c r="AX474" i="9"/>
  <c r="AI472" i="9"/>
  <c r="O472" i="9"/>
  <c r="AZ467" i="9"/>
  <c r="AY467" i="9" s="1"/>
  <c r="AS465" i="9"/>
  <c r="AP463" i="9"/>
  <c r="O463" i="9"/>
  <c r="AF461" i="9"/>
  <c r="AG461" i="9" s="1"/>
  <c r="AV459" i="9"/>
  <c r="AV457" i="9"/>
  <c r="P457" i="9"/>
  <c r="AJ456" i="9"/>
  <c r="AU454" i="9"/>
  <c r="Q454" i="9"/>
  <c r="AI453" i="9"/>
  <c r="I424" i="9"/>
  <c r="K424" i="9"/>
  <c r="Z424" i="9" s="1"/>
  <c r="AA424" i="9" s="1"/>
  <c r="W424" i="9"/>
  <c r="AL424" i="9"/>
  <c r="AX424" i="9"/>
  <c r="L424" i="9"/>
  <c r="X424" i="9"/>
  <c r="AM424" i="9"/>
  <c r="AZ424" i="9"/>
  <c r="AY424" i="9" s="1"/>
  <c r="A424" i="9"/>
  <c r="N424" i="9"/>
  <c r="AB424" i="9"/>
  <c r="AO424" i="9"/>
  <c r="BB424" i="9"/>
  <c r="C424" i="9"/>
  <c r="P424" i="9"/>
  <c r="AD424" i="9"/>
  <c r="BD424" i="9" s="1"/>
  <c r="AQ424" i="9"/>
  <c r="D424" i="9"/>
  <c r="Q424" i="9"/>
  <c r="AE424" i="9"/>
  <c r="BC424" i="9" s="1"/>
  <c r="AR424" i="9"/>
  <c r="F424" i="9"/>
  <c r="S424" i="9"/>
  <c r="AH424" i="9"/>
  <c r="AT424" i="9"/>
  <c r="G424" i="9"/>
  <c r="T424" i="9"/>
  <c r="AI424" i="9"/>
  <c r="AU424" i="9"/>
  <c r="H424" i="9"/>
  <c r="AN424" i="9"/>
  <c r="J424" i="9"/>
  <c r="AP424" i="9"/>
  <c r="M424" i="9"/>
  <c r="AS424" i="9"/>
  <c r="O424" i="9"/>
  <c r="AV424" i="9"/>
  <c r="R424" i="9"/>
  <c r="AW424" i="9"/>
  <c r="U424" i="9"/>
  <c r="V424" i="9" s="1"/>
  <c r="BA424" i="9"/>
  <c r="Y424" i="9"/>
  <c r="AC424" i="9"/>
  <c r="AF424" i="9"/>
  <c r="AG424" i="9" s="1"/>
  <c r="AS499" i="9"/>
  <c r="AF499" i="9"/>
  <c r="AG499" i="9" s="1"/>
  <c r="P499" i="9"/>
  <c r="C499" i="9"/>
  <c r="AS496" i="9"/>
  <c r="AF496" i="9"/>
  <c r="AG496" i="9" s="1"/>
  <c r="S496" i="9"/>
  <c r="F496" i="9"/>
  <c r="Q494" i="9"/>
  <c r="AU493" i="9"/>
  <c r="AI493" i="9"/>
  <c r="U493" i="9"/>
  <c r="V493" i="9" s="1"/>
  <c r="H493" i="9"/>
  <c r="BB487" i="9"/>
  <c r="AP487" i="9"/>
  <c r="AC487" i="9"/>
  <c r="M487" i="9"/>
  <c r="AT484" i="9"/>
  <c r="AH484" i="9"/>
  <c r="S484" i="9"/>
  <c r="F484" i="9"/>
  <c r="AS483" i="9"/>
  <c r="Y483" i="9"/>
  <c r="W482" i="9"/>
  <c r="AI480" i="9"/>
  <c r="U480" i="9"/>
  <c r="V480" i="9" s="1"/>
  <c r="BB480" i="9"/>
  <c r="E479" i="9"/>
  <c r="T479" i="9"/>
  <c r="C479" i="9"/>
  <c r="AX479" i="9"/>
  <c r="AH476" i="9"/>
  <c r="BB475" i="9"/>
  <c r="AL475" i="9"/>
  <c r="M475" i="9"/>
  <c r="AK474" i="9"/>
  <c r="AH467" i="9"/>
  <c r="AE465" i="9"/>
  <c r="BC465" i="9" s="1"/>
  <c r="S461" i="9"/>
  <c r="AI459" i="9"/>
  <c r="W456" i="9"/>
  <c r="U453" i="9"/>
  <c r="V453" i="9" s="1"/>
  <c r="O448" i="9"/>
  <c r="AU448" i="9"/>
  <c r="H448" i="9"/>
  <c r="W448" i="9"/>
  <c r="AN448" i="9"/>
  <c r="BB448" i="9"/>
  <c r="D448" i="9"/>
  <c r="U448" i="9"/>
  <c r="V448" i="9" s="1"/>
  <c r="AP448" i="9"/>
  <c r="E448" i="9"/>
  <c r="X448" i="9"/>
  <c r="AR448" i="9"/>
  <c r="F448" i="9"/>
  <c r="I448" i="9"/>
  <c r="AC448" i="9"/>
  <c r="AT448" i="9"/>
  <c r="J448" i="9"/>
  <c r="AD448" i="9"/>
  <c r="BD448" i="9" s="1"/>
  <c r="AV448" i="9"/>
  <c r="K448" i="9"/>
  <c r="Z448" i="9" s="1"/>
  <c r="AA448" i="9" s="1"/>
  <c r="AF448" i="9"/>
  <c r="AG448" i="9" s="1"/>
  <c r="AX448" i="9"/>
  <c r="L448" i="9"/>
  <c r="AH448" i="9"/>
  <c r="N448" i="9"/>
  <c r="P448" i="9"/>
  <c r="AJ448" i="9"/>
  <c r="BA448" i="9"/>
  <c r="Q448" i="9"/>
  <c r="AL448" i="9"/>
  <c r="AQ443" i="9"/>
  <c r="AT493" i="9"/>
  <c r="AS484" i="9"/>
  <c r="U483" i="9"/>
  <c r="V483" i="9" s="1"/>
  <c r="T482" i="9"/>
  <c r="AE467" i="9"/>
  <c r="BC467" i="9" s="1"/>
  <c r="AD465" i="9"/>
  <c r="BD465" i="9" s="1"/>
  <c r="Q461" i="9"/>
  <c r="AF459" i="9"/>
  <c r="AG459" i="9" s="1"/>
  <c r="U456" i="9"/>
  <c r="V456" i="9" s="1"/>
  <c r="M453" i="9"/>
  <c r="AN443" i="9"/>
  <c r="AQ487" i="9"/>
  <c r="AR496" i="9"/>
  <c r="R496" i="9"/>
  <c r="E496" i="9"/>
  <c r="L494" i="9"/>
  <c r="AH493" i="9"/>
  <c r="T493" i="9"/>
  <c r="G493" i="9"/>
  <c r="BA487" i="9"/>
  <c r="AO487" i="9"/>
  <c r="AB487" i="9"/>
  <c r="L487" i="9"/>
  <c r="AF484" i="9"/>
  <c r="AG484" i="9" s="1"/>
  <c r="R484" i="9"/>
  <c r="E484" i="9"/>
  <c r="AQ483" i="9"/>
  <c r="BA482" i="9"/>
  <c r="AE476" i="9"/>
  <c r="BC476" i="9" s="1"/>
  <c r="AJ475" i="9"/>
  <c r="L475" i="9"/>
  <c r="AI474" i="9"/>
  <c r="AQ499" i="9"/>
  <c r="AD499" i="9"/>
  <c r="BD499" i="9" s="1"/>
  <c r="N499" i="9"/>
  <c r="A499" i="9"/>
  <c r="AQ496" i="9"/>
  <c r="AD496" i="9"/>
  <c r="BD496" i="9" s="1"/>
  <c r="Q496" i="9"/>
  <c r="D496" i="9"/>
  <c r="C495" i="9"/>
  <c r="D494" i="9"/>
  <c r="AS493" i="9"/>
  <c r="AF493" i="9"/>
  <c r="AG493" i="9" s="1"/>
  <c r="S493" i="9"/>
  <c r="F493" i="9"/>
  <c r="AX490" i="9"/>
  <c r="AL490" i="9"/>
  <c r="W490" i="9"/>
  <c r="H490" i="9"/>
  <c r="AU489" i="9"/>
  <c r="AD489" i="9"/>
  <c r="BD489" i="9" s="1"/>
  <c r="K489" i="9"/>
  <c r="Z489" i="9" s="1"/>
  <c r="AA489" i="9" s="1"/>
  <c r="AZ487" i="9"/>
  <c r="AY487" i="9" s="1"/>
  <c r="AN487" i="9"/>
  <c r="Y487" i="9"/>
  <c r="K487" i="9"/>
  <c r="Z487" i="9" s="1"/>
  <c r="AA487" i="9" s="1"/>
  <c r="AV486" i="9"/>
  <c r="D486" i="9"/>
  <c r="AR484" i="9"/>
  <c r="AE484" i="9"/>
  <c r="BC484" i="9" s="1"/>
  <c r="Q484" i="9"/>
  <c r="D484" i="9"/>
  <c r="AP483" i="9"/>
  <c r="S483" i="9"/>
  <c r="AZ482" i="9"/>
  <c r="AY482" i="9" s="1"/>
  <c r="K482" i="9"/>
  <c r="Z482" i="9" s="1"/>
  <c r="AA482" i="9" s="1"/>
  <c r="F481" i="9"/>
  <c r="R481" i="9"/>
  <c r="AE481" i="9"/>
  <c r="BC481" i="9" s="1"/>
  <c r="AR481" i="9"/>
  <c r="L481" i="9"/>
  <c r="X481" i="9"/>
  <c r="AL481" i="9"/>
  <c r="AX481" i="9"/>
  <c r="AS479" i="9"/>
  <c r="AU477" i="9"/>
  <c r="AC476" i="9"/>
  <c r="AZ475" i="9"/>
  <c r="AY475" i="9" s="1"/>
  <c r="AI475" i="9"/>
  <c r="K475" i="9"/>
  <c r="Z475" i="9" s="1"/>
  <c r="AA475" i="9" s="1"/>
  <c r="AE474" i="9"/>
  <c r="BC474" i="9" s="1"/>
  <c r="AT472" i="9"/>
  <c r="AB472" i="9"/>
  <c r="E472" i="9"/>
  <c r="AB467" i="9"/>
  <c r="X465" i="9"/>
  <c r="AF463" i="9"/>
  <c r="AG463" i="9" s="1"/>
  <c r="H462" i="9"/>
  <c r="AD462" i="9"/>
  <c r="BD462" i="9" s="1"/>
  <c r="AF462" i="9"/>
  <c r="AG462" i="9" s="1"/>
  <c r="G462" i="9"/>
  <c r="AL462" i="9"/>
  <c r="M462" i="9"/>
  <c r="AS462" i="9"/>
  <c r="S462" i="9"/>
  <c r="AX462" i="9"/>
  <c r="T462" i="9"/>
  <c r="BB462" i="9"/>
  <c r="P461" i="9"/>
  <c r="X459" i="9"/>
  <c r="AJ457" i="9"/>
  <c r="R456" i="9"/>
  <c r="AI454" i="9"/>
  <c r="I453" i="9"/>
  <c r="T443" i="9"/>
  <c r="A487" i="9"/>
  <c r="AE499" i="9"/>
  <c r="BC499" i="9" s="1"/>
  <c r="AE496" i="9"/>
  <c r="BC496" i="9" s="1"/>
  <c r="AP499" i="9"/>
  <c r="AC499" i="9"/>
  <c r="M499" i="9"/>
  <c r="AP496" i="9"/>
  <c r="AC496" i="9"/>
  <c r="P496" i="9"/>
  <c r="C496" i="9"/>
  <c r="C494" i="9"/>
  <c r="AR493" i="9"/>
  <c r="AE493" i="9"/>
  <c r="BC493" i="9" s="1"/>
  <c r="R493" i="9"/>
  <c r="E493" i="9"/>
  <c r="AM487" i="9"/>
  <c r="X487" i="9"/>
  <c r="J487" i="9"/>
  <c r="AQ484" i="9"/>
  <c r="AD484" i="9"/>
  <c r="BD484" i="9" s="1"/>
  <c r="P484" i="9"/>
  <c r="C484" i="9"/>
  <c r="AN483" i="9"/>
  <c r="AV482" i="9"/>
  <c r="J482" i="9"/>
  <c r="AQ479" i="9"/>
  <c r="C477" i="9"/>
  <c r="X477" i="9"/>
  <c r="AW477" i="9"/>
  <c r="M477" i="9"/>
  <c r="AL477" i="9"/>
  <c r="O477" i="9"/>
  <c r="AQ477" i="9"/>
  <c r="R477" i="9"/>
  <c r="AS477" i="9"/>
  <c r="U476" i="9"/>
  <c r="V476" i="9" s="1"/>
  <c r="AE475" i="9"/>
  <c r="BC475" i="9" s="1"/>
  <c r="J475" i="9"/>
  <c r="S474" i="9"/>
  <c r="AS472" i="9"/>
  <c r="U467" i="9"/>
  <c r="V467" i="9" s="1"/>
  <c r="W465" i="9"/>
  <c r="I463" i="9"/>
  <c r="C463" i="9"/>
  <c r="P463" i="9"/>
  <c r="AD463" i="9"/>
  <c r="BD463" i="9" s="1"/>
  <c r="AQ463" i="9"/>
  <c r="D463" i="9"/>
  <c r="Q463" i="9"/>
  <c r="AE463" i="9"/>
  <c r="BC463" i="9" s="1"/>
  <c r="AR463" i="9"/>
  <c r="H463" i="9"/>
  <c r="U463" i="9"/>
  <c r="V463" i="9" s="1"/>
  <c r="AJ463" i="9"/>
  <c r="AV463" i="9"/>
  <c r="J463" i="9"/>
  <c r="AK463" i="9"/>
  <c r="AW463" i="9"/>
  <c r="L463" i="9"/>
  <c r="X463" i="9"/>
  <c r="AM463" i="9"/>
  <c r="M463" i="9"/>
  <c r="Y463" i="9"/>
  <c r="AN463" i="9"/>
  <c r="AZ463" i="9"/>
  <c r="AY463" i="9" s="1"/>
  <c r="AX461" i="9"/>
  <c r="K461" i="9"/>
  <c r="Z461" i="9" s="1"/>
  <c r="AA461" i="9" s="1"/>
  <c r="W459" i="9"/>
  <c r="I457" i="9"/>
  <c r="D457" i="9"/>
  <c r="Q457" i="9"/>
  <c r="AE457" i="9"/>
  <c r="BC457" i="9" s="1"/>
  <c r="AR457" i="9"/>
  <c r="E457" i="9"/>
  <c r="R457" i="9"/>
  <c r="AF457" i="9"/>
  <c r="AG457" i="9" s="1"/>
  <c r="AS457" i="9"/>
  <c r="G457" i="9"/>
  <c r="T457" i="9"/>
  <c r="AI457" i="9"/>
  <c r="AU457" i="9"/>
  <c r="J457" i="9"/>
  <c r="AK457" i="9"/>
  <c r="AW457" i="9"/>
  <c r="K457" i="9"/>
  <c r="Z457" i="9" s="1"/>
  <c r="AA457" i="9" s="1"/>
  <c r="W457" i="9"/>
  <c r="AL457" i="9"/>
  <c r="AX457" i="9"/>
  <c r="M457" i="9"/>
  <c r="Y457" i="9"/>
  <c r="AN457" i="9"/>
  <c r="AZ457" i="9"/>
  <c r="AY457" i="9" s="1"/>
  <c r="A457" i="9"/>
  <c r="N457" i="9"/>
  <c r="AB457" i="9"/>
  <c r="AO457" i="9"/>
  <c r="BA457" i="9"/>
  <c r="L456" i="9"/>
  <c r="J454" i="9"/>
  <c r="AJ454" i="9"/>
  <c r="AV454" i="9"/>
  <c r="K454" i="9"/>
  <c r="Z454" i="9" s="1"/>
  <c r="AA454" i="9" s="1"/>
  <c r="W454" i="9"/>
  <c r="AK454" i="9"/>
  <c r="AW454" i="9"/>
  <c r="A454" i="9"/>
  <c r="M454" i="9"/>
  <c r="Y454" i="9"/>
  <c r="AM454" i="9"/>
  <c r="C454" i="9"/>
  <c r="O454" i="9"/>
  <c r="AB454" i="9"/>
  <c r="AO454" i="9"/>
  <c r="BA454" i="9"/>
  <c r="D454" i="9"/>
  <c r="P454" i="9"/>
  <c r="AC454" i="9"/>
  <c r="AP454" i="9"/>
  <c r="BB454" i="9"/>
  <c r="F454" i="9"/>
  <c r="R454" i="9"/>
  <c r="AE454" i="9"/>
  <c r="BC454" i="9" s="1"/>
  <c r="AR454" i="9"/>
  <c r="G454" i="9"/>
  <c r="S454" i="9"/>
  <c r="AF454" i="9"/>
  <c r="AG454" i="9" s="1"/>
  <c r="AS454" i="9"/>
  <c r="AZ448" i="9"/>
  <c r="AY448" i="9" s="1"/>
  <c r="AR433" i="9"/>
  <c r="AE487" i="9"/>
  <c r="BC487" i="9" s="1"/>
  <c r="F483" i="9"/>
  <c r="C483" i="9"/>
  <c r="X483" i="9"/>
  <c r="M483" i="9"/>
  <c r="AF483" i="9"/>
  <c r="AG483" i="9" s="1"/>
  <c r="AL476" i="9"/>
  <c r="AD493" i="9"/>
  <c r="BD493" i="9" s="1"/>
  <c r="Q493" i="9"/>
  <c r="D493" i="9"/>
  <c r="AX487" i="9"/>
  <c r="AL487" i="9"/>
  <c r="W487" i="9"/>
  <c r="H487" i="9"/>
  <c r="AM483" i="9"/>
  <c r="P483" i="9"/>
  <c r="AN482" i="9"/>
  <c r="I482" i="9"/>
  <c r="Q476" i="9"/>
  <c r="AX475" i="9"/>
  <c r="AC475" i="9"/>
  <c r="H475" i="9"/>
  <c r="L474" i="9"/>
  <c r="Q467" i="9"/>
  <c r="O465" i="9"/>
  <c r="AU461" i="9"/>
  <c r="J461" i="9"/>
  <c r="I456" i="9"/>
  <c r="C453" i="9"/>
  <c r="K453" i="9"/>
  <c r="Z453" i="9" s="1"/>
  <c r="AA453" i="9" s="1"/>
  <c r="AE453" i="9"/>
  <c r="BC453" i="9" s="1"/>
  <c r="AW453" i="9"/>
  <c r="L453" i="9"/>
  <c r="AF453" i="9"/>
  <c r="AG453" i="9" s="1"/>
  <c r="AX453" i="9"/>
  <c r="N453" i="9"/>
  <c r="AJ453" i="9"/>
  <c r="R453" i="9"/>
  <c r="S453" i="9"/>
  <c r="AL453" i="9"/>
  <c r="A453" i="9"/>
  <c r="T453" i="9"/>
  <c r="AP453" i="9"/>
  <c r="F453" i="9"/>
  <c r="W453" i="9"/>
  <c r="AR453" i="9"/>
  <c r="G453" i="9"/>
  <c r="X453" i="9"/>
  <c r="AS453" i="9"/>
  <c r="H443" i="9"/>
  <c r="O443" i="9"/>
  <c r="AW443" i="9"/>
  <c r="G443" i="9"/>
  <c r="X443" i="9"/>
  <c r="AP443" i="9"/>
  <c r="C443" i="9"/>
  <c r="U443" i="9"/>
  <c r="V443" i="9" s="1"/>
  <c r="AR443" i="9"/>
  <c r="D443" i="9"/>
  <c r="Y443" i="9"/>
  <c r="AS443" i="9"/>
  <c r="F443" i="9"/>
  <c r="AB443" i="9"/>
  <c r="AT443" i="9"/>
  <c r="I443" i="9"/>
  <c r="AD443" i="9"/>
  <c r="BD443" i="9" s="1"/>
  <c r="AV443" i="9"/>
  <c r="J443" i="9"/>
  <c r="AE443" i="9"/>
  <c r="BC443" i="9" s="1"/>
  <c r="AX443" i="9"/>
  <c r="L443" i="9"/>
  <c r="AF443" i="9"/>
  <c r="AG443" i="9" s="1"/>
  <c r="AZ443" i="9"/>
  <c r="AY443" i="9" s="1"/>
  <c r="M443" i="9"/>
  <c r="AH443" i="9"/>
  <c r="BB443" i="9"/>
  <c r="N443" i="9"/>
  <c r="AJ443" i="9"/>
  <c r="P443" i="9"/>
  <c r="AL443" i="9"/>
  <c r="R443" i="9"/>
  <c r="AM443" i="9"/>
  <c r="O487" i="9"/>
  <c r="N487" i="9"/>
  <c r="AU483" i="9"/>
  <c r="AB496" i="9"/>
  <c r="O496" i="9"/>
  <c r="AQ493" i="9"/>
  <c r="BA499" i="9"/>
  <c r="AN499" i="9"/>
  <c r="Y499" i="9"/>
  <c r="K499" i="9"/>
  <c r="Z499" i="9" s="1"/>
  <c r="AA499" i="9" s="1"/>
  <c r="BA496" i="9"/>
  <c r="AN496" i="9"/>
  <c r="N496" i="9"/>
  <c r="A496" i="9"/>
  <c r="AT494" i="9"/>
  <c r="AP493" i="9"/>
  <c r="AC493" i="9"/>
  <c r="P493" i="9"/>
  <c r="C493" i="9"/>
  <c r="AW487" i="9"/>
  <c r="AK487" i="9"/>
  <c r="T487" i="9"/>
  <c r="G487" i="9"/>
  <c r="BA484" i="9"/>
  <c r="AO484" i="9"/>
  <c r="AB484" i="9"/>
  <c r="N484" i="9"/>
  <c r="A484" i="9"/>
  <c r="AL483" i="9"/>
  <c r="N483" i="9"/>
  <c r="AM482" i="9"/>
  <c r="H482" i="9"/>
  <c r="AQ480" i="9"/>
  <c r="AH479" i="9"/>
  <c r="BA476" i="9"/>
  <c r="AV475" i="9"/>
  <c r="AB475" i="9"/>
  <c r="F475" i="9"/>
  <c r="F474" i="9"/>
  <c r="I472" i="9"/>
  <c r="A472" i="9"/>
  <c r="N472" i="9"/>
  <c r="AC472" i="9"/>
  <c r="AP472" i="9"/>
  <c r="G472" i="9"/>
  <c r="T472" i="9"/>
  <c r="AJ472" i="9"/>
  <c r="AV472" i="9"/>
  <c r="J472" i="9"/>
  <c r="X472" i="9"/>
  <c r="AL472" i="9"/>
  <c r="AX472" i="9"/>
  <c r="K472" i="9"/>
  <c r="Z472" i="9" s="1"/>
  <c r="AA472" i="9" s="1"/>
  <c r="Y472" i="9"/>
  <c r="AM472" i="9"/>
  <c r="AZ472" i="9"/>
  <c r="AY472" i="9" s="1"/>
  <c r="O467" i="9"/>
  <c r="N465" i="9"/>
  <c r="AR461" i="9"/>
  <c r="G461" i="9"/>
  <c r="AW456" i="9"/>
  <c r="AV453" i="9"/>
  <c r="AO448" i="9"/>
  <c r="A443" i="9"/>
  <c r="U433" i="9"/>
  <c r="V433" i="9" s="1"/>
  <c r="AR487" i="9"/>
  <c r="I476" i="9"/>
  <c r="AF476" i="9"/>
  <c r="AG476" i="9" s="1"/>
  <c r="S476" i="9"/>
  <c r="AQ476" i="9"/>
  <c r="C476" i="9"/>
  <c r="AT476" i="9"/>
  <c r="E476" i="9"/>
  <c r="W476" i="9"/>
  <c r="AU476" i="9"/>
  <c r="Y496" i="9"/>
  <c r="AS494" i="9"/>
  <c r="BB493" i="9"/>
  <c r="AO493" i="9"/>
  <c r="AB493" i="9"/>
  <c r="O493" i="9"/>
  <c r="AV487" i="9"/>
  <c r="AJ487" i="9"/>
  <c r="S487" i="9"/>
  <c r="F487" i="9"/>
  <c r="AZ484" i="9"/>
  <c r="AY484" i="9" s="1"/>
  <c r="AN484" i="9"/>
  <c r="Y484" i="9"/>
  <c r="M484" i="9"/>
  <c r="AJ483" i="9"/>
  <c r="L483" i="9"/>
  <c r="AL482" i="9"/>
  <c r="E482" i="9"/>
  <c r="AX476" i="9"/>
  <c r="O476" i="9"/>
  <c r="AU475" i="9"/>
  <c r="Y475" i="9"/>
  <c r="C456" i="9"/>
  <c r="G456" i="9"/>
  <c r="X456" i="9"/>
  <c r="AR456" i="9"/>
  <c r="H456" i="9"/>
  <c r="Y456" i="9"/>
  <c r="AS456" i="9"/>
  <c r="K456" i="9"/>
  <c r="Z456" i="9" s="1"/>
  <c r="AA456" i="9" s="1"/>
  <c r="AE456" i="9"/>
  <c r="BC456" i="9" s="1"/>
  <c r="AV456" i="9"/>
  <c r="M456" i="9"/>
  <c r="AX456" i="9"/>
  <c r="N456" i="9"/>
  <c r="AI456" i="9"/>
  <c r="BB456" i="9"/>
  <c r="S456" i="9"/>
  <c r="AK456" i="9"/>
  <c r="A456" i="9"/>
  <c r="T456" i="9"/>
  <c r="AL456" i="9"/>
  <c r="M496" i="9"/>
  <c r="H499" i="9"/>
  <c r="AL496" i="9"/>
  <c r="L496" i="9"/>
  <c r="BA493" i="9"/>
  <c r="AU487" i="9"/>
  <c r="R487" i="9"/>
  <c r="E487" i="9"/>
  <c r="L484" i="9"/>
  <c r="K483" i="9"/>
  <c r="Z483" i="9" s="1"/>
  <c r="AA483" i="9" s="1"/>
  <c r="AS476" i="9"/>
  <c r="N476" i="9"/>
  <c r="I475" i="9"/>
  <c r="G475" i="9"/>
  <c r="T475" i="9"/>
  <c r="AK475" i="9"/>
  <c r="AW475" i="9"/>
  <c r="A475" i="9"/>
  <c r="N475" i="9"/>
  <c r="AD475" i="9"/>
  <c r="BD475" i="9" s="1"/>
  <c r="AQ475" i="9"/>
  <c r="C475" i="9"/>
  <c r="P475" i="9"/>
  <c r="AF475" i="9"/>
  <c r="AG475" i="9" s="1"/>
  <c r="AS475" i="9"/>
  <c r="D475" i="9"/>
  <c r="Q475" i="9"/>
  <c r="AH475" i="9"/>
  <c r="AT475" i="9"/>
  <c r="G474" i="9"/>
  <c r="AJ474" i="9"/>
  <c r="N474" i="9"/>
  <c r="T474" i="9"/>
  <c r="U474" i="9"/>
  <c r="V474" i="9" s="1"/>
  <c r="G467" i="9"/>
  <c r="S467" i="9"/>
  <c r="BA467" i="9"/>
  <c r="T467" i="9"/>
  <c r="C467" i="9"/>
  <c r="AI467" i="9"/>
  <c r="E467" i="9"/>
  <c r="AR467" i="9"/>
  <c r="K467" i="9"/>
  <c r="Z467" i="9" s="1"/>
  <c r="AA467" i="9" s="1"/>
  <c r="AT467" i="9"/>
  <c r="C465" i="9"/>
  <c r="R465" i="9"/>
  <c r="AU465" i="9"/>
  <c r="S465" i="9"/>
  <c r="AV465" i="9"/>
  <c r="G465" i="9"/>
  <c r="AF465" i="9"/>
  <c r="AG465" i="9" s="1"/>
  <c r="K465" i="9"/>
  <c r="Z465" i="9" s="1"/>
  <c r="AA465" i="9" s="1"/>
  <c r="AL465" i="9"/>
  <c r="M465" i="9"/>
  <c r="AM465" i="9"/>
  <c r="N461" i="9"/>
  <c r="AH461" i="9"/>
  <c r="AZ461" i="9"/>
  <c r="AY461" i="9" s="1"/>
  <c r="O461" i="9"/>
  <c r="AI461" i="9"/>
  <c r="BA461" i="9"/>
  <c r="D461" i="9"/>
  <c r="T461" i="9"/>
  <c r="AO461" i="9"/>
  <c r="E461" i="9"/>
  <c r="U461" i="9"/>
  <c r="V461" i="9" s="1"/>
  <c r="AQ461" i="9"/>
  <c r="H461" i="9"/>
  <c r="AB461" i="9"/>
  <c r="AS461" i="9"/>
  <c r="I461" i="9"/>
  <c r="AC461" i="9"/>
  <c r="AT461" i="9"/>
  <c r="C459" i="9"/>
  <c r="Y459" i="9"/>
  <c r="AW459" i="9"/>
  <c r="G459" i="9"/>
  <c r="AX459" i="9"/>
  <c r="I459" i="9"/>
  <c r="L459" i="9"/>
  <c r="AJ459" i="9"/>
  <c r="O459" i="9"/>
  <c r="AL459" i="9"/>
  <c r="S459" i="9"/>
  <c r="AP459" i="9"/>
  <c r="T459" i="9"/>
  <c r="AQ459" i="9"/>
  <c r="AQ456" i="9"/>
  <c r="AQ453" i="9"/>
  <c r="AI448" i="9"/>
  <c r="AZ496" i="9"/>
  <c r="AY496" i="9" s="1"/>
  <c r="AX499" i="9"/>
  <c r="W499" i="9"/>
  <c r="AX496" i="9"/>
  <c r="D482" i="9"/>
  <c r="C482" i="9"/>
  <c r="AF482" i="9"/>
  <c r="AG482" i="9" s="1"/>
  <c r="Q482" i="9"/>
  <c r="AT482" i="9"/>
  <c r="AK499" i="9"/>
  <c r="AW496" i="9"/>
  <c r="AL489" i="9"/>
  <c r="AT487" i="9"/>
  <c r="AH487" i="9"/>
  <c r="D487" i="9"/>
  <c r="AX484" i="9"/>
  <c r="AL484" i="9"/>
  <c r="W484" i="9"/>
  <c r="K484" i="9"/>
  <c r="Z484" i="9" s="1"/>
  <c r="AA484" i="9" s="1"/>
  <c r="AZ483" i="9"/>
  <c r="AY483" i="9" s="1"/>
  <c r="AE483" i="9"/>
  <c r="BC483" i="9" s="1"/>
  <c r="I483" i="9"/>
  <c r="AH482" i="9"/>
  <c r="Q479" i="9"/>
  <c r="AO476" i="9"/>
  <c r="J476" i="9"/>
  <c r="AP475" i="9"/>
  <c r="W475" i="9"/>
  <c r="BB474" i="9"/>
  <c r="AW465" i="9"/>
  <c r="A465" i="9"/>
  <c r="AL461" i="9"/>
  <c r="A459" i="9"/>
  <c r="AP456" i="9"/>
  <c r="AK453" i="9"/>
  <c r="AB448" i="9"/>
  <c r="I433" i="9"/>
  <c r="J433" i="9"/>
  <c r="AK433" i="9"/>
  <c r="AW433" i="9"/>
  <c r="K433" i="9"/>
  <c r="Z433" i="9" s="1"/>
  <c r="AA433" i="9" s="1"/>
  <c r="W433" i="9"/>
  <c r="AL433" i="9"/>
  <c r="AX433" i="9"/>
  <c r="M433" i="9"/>
  <c r="Y433" i="9"/>
  <c r="AN433" i="9"/>
  <c r="AZ433" i="9"/>
  <c r="AY433" i="9" s="1"/>
  <c r="C433" i="9"/>
  <c r="P433" i="9"/>
  <c r="AD433" i="9"/>
  <c r="BD433" i="9" s="1"/>
  <c r="AQ433" i="9"/>
  <c r="E433" i="9"/>
  <c r="X433" i="9"/>
  <c r="AS433" i="9"/>
  <c r="F433" i="9"/>
  <c r="AB433" i="9"/>
  <c r="AT433" i="9"/>
  <c r="G433" i="9"/>
  <c r="AC433" i="9"/>
  <c r="AU433" i="9"/>
  <c r="H433" i="9"/>
  <c r="AE433" i="9"/>
  <c r="BC433" i="9" s="1"/>
  <c r="AV433" i="9"/>
  <c r="L433" i="9"/>
  <c r="AF433" i="9"/>
  <c r="AG433" i="9" s="1"/>
  <c r="N433" i="9"/>
  <c r="AH433" i="9"/>
  <c r="BA433" i="9"/>
  <c r="O433" i="9"/>
  <c r="AI433" i="9"/>
  <c r="BB433" i="9"/>
  <c r="Q433" i="9"/>
  <c r="AJ433" i="9"/>
  <c r="R433" i="9"/>
  <c r="AM433" i="9"/>
  <c r="A433" i="9"/>
  <c r="S433" i="9"/>
  <c r="AO433" i="9"/>
  <c r="AS468" i="9"/>
  <c r="T468" i="9"/>
  <c r="AO464" i="9"/>
  <c r="P464" i="9"/>
  <c r="AW460" i="9"/>
  <c r="AK460" i="9"/>
  <c r="W460" i="9"/>
  <c r="H460" i="9"/>
  <c r="AP450" i="9"/>
  <c r="S450" i="9"/>
  <c r="BA447" i="9"/>
  <c r="P447" i="9"/>
  <c r="AD446" i="9"/>
  <c r="BD446" i="9" s="1"/>
  <c r="AR445" i="9"/>
  <c r="O445" i="9"/>
  <c r="D444" i="9"/>
  <c r="K444" i="9"/>
  <c r="Z444" i="9" s="1"/>
  <c r="AA444" i="9" s="1"/>
  <c r="AD444" i="9"/>
  <c r="BD444" i="9" s="1"/>
  <c r="AV444" i="9"/>
  <c r="A444" i="9"/>
  <c r="S444" i="9"/>
  <c r="AN444" i="9"/>
  <c r="AS440" i="9"/>
  <c r="N440" i="9"/>
  <c r="AT439" i="9"/>
  <c r="AC439" i="9"/>
  <c r="I439" i="9"/>
  <c r="AB438" i="9"/>
  <c r="AN435" i="9"/>
  <c r="G435" i="9"/>
  <c r="AH434" i="9"/>
  <c r="E434" i="9"/>
  <c r="AR468" i="9"/>
  <c r="S468" i="9"/>
  <c r="AN464" i="9"/>
  <c r="O464" i="9"/>
  <c r="AV460" i="9"/>
  <c r="AJ460" i="9"/>
  <c r="T460" i="9"/>
  <c r="G460" i="9"/>
  <c r="AL450" i="9"/>
  <c r="R450" i="9"/>
  <c r="AU447" i="9"/>
  <c r="M447" i="9"/>
  <c r="Y446" i="9"/>
  <c r="AP445" i="9"/>
  <c r="N445" i="9"/>
  <c r="AR444" i="9"/>
  <c r="W444" i="9"/>
  <c r="AX441" i="9"/>
  <c r="AR440" i="9"/>
  <c r="M440" i="9"/>
  <c r="AS439" i="9"/>
  <c r="AB439" i="9"/>
  <c r="F439" i="9"/>
  <c r="AL435" i="9"/>
  <c r="AE434" i="9"/>
  <c r="BC434" i="9" s="1"/>
  <c r="X446" i="9"/>
  <c r="K435" i="9"/>
  <c r="Z435" i="9" s="1"/>
  <c r="AA435" i="9" s="1"/>
  <c r="AJ435" i="9"/>
  <c r="L435" i="9"/>
  <c r="AK435" i="9"/>
  <c r="P435" i="9"/>
  <c r="AM435" i="9"/>
  <c r="A435" i="9"/>
  <c r="W435" i="9"/>
  <c r="AS435" i="9"/>
  <c r="I434" i="9"/>
  <c r="AB434" i="9"/>
  <c r="AS434" i="9"/>
  <c r="J434" i="9"/>
  <c r="AC434" i="9"/>
  <c r="AT434" i="9"/>
  <c r="N434" i="9"/>
  <c r="AF434" i="9"/>
  <c r="AG434" i="9" s="1"/>
  <c r="AX434" i="9"/>
  <c r="Q434" i="9"/>
  <c r="AJ434" i="9"/>
  <c r="AP468" i="9"/>
  <c r="L468" i="9"/>
  <c r="AL464" i="9"/>
  <c r="I464" i="9"/>
  <c r="AT460" i="9"/>
  <c r="AH460" i="9"/>
  <c r="R460" i="9"/>
  <c r="E460" i="9"/>
  <c r="AH458" i="9"/>
  <c r="AQ455" i="9"/>
  <c r="D451" i="9"/>
  <c r="P451" i="9"/>
  <c r="AD451" i="9"/>
  <c r="BD451" i="9" s="1"/>
  <c r="J451" i="9"/>
  <c r="AJ450" i="9"/>
  <c r="AP447" i="9"/>
  <c r="P446" i="9"/>
  <c r="AM445" i="9"/>
  <c r="I445" i="9"/>
  <c r="AP444" i="9"/>
  <c r="Q444" i="9"/>
  <c r="AP440" i="9"/>
  <c r="AP439" i="9"/>
  <c r="U439" i="9"/>
  <c r="V439" i="9" s="1"/>
  <c r="D439" i="9"/>
  <c r="X438" i="9"/>
  <c r="AD435" i="9"/>
  <c r="BD435" i="9" s="1"/>
  <c r="BA434" i="9"/>
  <c r="W434" i="9"/>
  <c r="AU432" i="9"/>
  <c r="AH416" i="9"/>
  <c r="AX411" i="9"/>
  <c r="AS460" i="9"/>
  <c r="AF460" i="9"/>
  <c r="AG460" i="9" s="1"/>
  <c r="Q460" i="9"/>
  <c r="D460" i="9"/>
  <c r="Y447" i="9"/>
  <c r="BB447" i="9"/>
  <c r="K447" i="9"/>
  <c r="Z447" i="9" s="1"/>
  <c r="AA447" i="9" s="1"/>
  <c r="AN447" i="9"/>
  <c r="O446" i="9"/>
  <c r="AJ445" i="9"/>
  <c r="T440" i="9"/>
  <c r="AW440" i="9"/>
  <c r="G440" i="9"/>
  <c r="AJ440" i="9"/>
  <c r="AO439" i="9"/>
  <c r="T439" i="9"/>
  <c r="AZ434" i="9"/>
  <c r="AY434" i="9" s="1"/>
  <c r="AC416" i="9"/>
  <c r="L446" i="9"/>
  <c r="H439" i="9"/>
  <c r="W439" i="9"/>
  <c r="AN439" i="9"/>
  <c r="BB439" i="9"/>
  <c r="O439" i="9"/>
  <c r="AU439" i="9"/>
  <c r="K411" i="9"/>
  <c r="Z411" i="9" s="1"/>
  <c r="AA411" i="9" s="1"/>
  <c r="AQ411" i="9"/>
  <c r="L411" i="9"/>
  <c r="AR411" i="9"/>
  <c r="U411" i="9"/>
  <c r="V411" i="9" s="1"/>
  <c r="BB411" i="9"/>
  <c r="F411" i="9"/>
  <c r="AK411" i="9"/>
  <c r="H411" i="9"/>
  <c r="I411" i="9"/>
  <c r="R411" i="9"/>
  <c r="S411" i="9"/>
  <c r="X411" i="9"/>
  <c r="Y411" i="9"/>
  <c r="AI411" i="9"/>
  <c r="AM411" i="9"/>
  <c r="AP411" i="9"/>
  <c r="BB446" i="9"/>
  <c r="C445" i="9"/>
  <c r="L445" i="9"/>
  <c r="AL445" i="9"/>
  <c r="X445" i="9"/>
  <c r="AX445" i="9"/>
  <c r="AL439" i="9"/>
  <c r="Q439" i="9"/>
  <c r="D438" i="9"/>
  <c r="AL438" i="9"/>
  <c r="K438" i="9"/>
  <c r="Z438" i="9" s="1"/>
  <c r="AA438" i="9" s="1"/>
  <c r="R438" i="9"/>
  <c r="BB438" i="9"/>
  <c r="BB435" i="9"/>
  <c r="X435" i="9"/>
  <c r="AR434" i="9"/>
  <c r="T434" i="9"/>
  <c r="A411" i="9"/>
  <c r="J446" i="9"/>
  <c r="I446" i="9"/>
  <c r="AR446" i="9"/>
  <c r="AB446" i="9"/>
  <c r="S416" i="9"/>
  <c r="AO416" i="9"/>
  <c r="T416" i="9"/>
  <c r="AQ416" i="9"/>
  <c r="D416" i="9"/>
  <c r="AX416" i="9"/>
  <c r="K416" i="9"/>
  <c r="Z416" i="9" s="1"/>
  <c r="AA416" i="9" s="1"/>
  <c r="AI416" i="9"/>
  <c r="E416" i="9"/>
  <c r="AL416" i="9"/>
  <c r="G416" i="9"/>
  <c r="AM416" i="9"/>
  <c r="I416" i="9"/>
  <c r="AR416" i="9"/>
  <c r="J416" i="9"/>
  <c r="AS416" i="9"/>
  <c r="N416" i="9"/>
  <c r="AZ416" i="9"/>
  <c r="AY416" i="9" s="1"/>
  <c r="Q416" i="9"/>
  <c r="BA416" i="9"/>
  <c r="U416" i="9"/>
  <c r="V416" i="9" s="1"/>
  <c r="AB416" i="9"/>
  <c r="G402" i="9"/>
  <c r="F402" i="9"/>
  <c r="AU402" i="9"/>
  <c r="L402" i="9"/>
  <c r="AW402" i="9"/>
  <c r="R402" i="9"/>
  <c r="BB402" i="9"/>
  <c r="S402" i="9"/>
  <c r="U402" i="9"/>
  <c r="V402" i="9" s="1"/>
  <c r="A402" i="9"/>
  <c r="AJ402" i="9"/>
  <c r="C402" i="9"/>
  <c r="N402" i="9"/>
  <c r="T402" i="9"/>
  <c r="AE402" i="9"/>
  <c r="BC402" i="9" s="1"/>
  <c r="AI402" i="9"/>
  <c r="AK402" i="9"/>
  <c r="AR402" i="9"/>
  <c r="AX402" i="9"/>
  <c r="BB460" i="9"/>
  <c r="AO460" i="9"/>
  <c r="AB460" i="9"/>
  <c r="M460" i="9"/>
  <c r="C450" i="9"/>
  <c r="F450" i="9"/>
  <c r="W450" i="9"/>
  <c r="AQ450" i="9"/>
  <c r="M450" i="9"/>
  <c r="AX450" i="9"/>
  <c r="AB447" i="9"/>
  <c r="AQ446" i="9"/>
  <c r="AB445" i="9"/>
  <c r="D441" i="9"/>
  <c r="Q441" i="9"/>
  <c r="U440" i="9"/>
  <c r="V440" i="9" s="1"/>
  <c r="AZ439" i="9"/>
  <c r="AY439" i="9" s="1"/>
  <c r="AI439" i="9"/>
  <c r="N439" i="9"/>
  <c r="AT438" i="9"/>
  <c r="S435" i="9"/>
  <c r="AO434" i="9"/>
  <c r="O434" i="9"/>
  <c r="W466" i="9"/>
  <c r="H466" i="9"/>
  <c r="AU464" i="9"/>
  <c r="BA460" i="9"/>
  <c r="AN460" i="9"/>
  <c r="L460" i="9"/>
  <c r="P455" i="9"/>
  <c r="AU450" i="9"/>
  <c r="X450" i="9"/>
  <c r="A450" i="9"/>
  <c r="AN446" i="9"/>
  <c r="BA445" i="9"/>
  <c r="W445" i="9"/>
  <c r="AZ444" i="9"/>
  <c r="AY444" i="9" s="1"/>
  <c r="AE444" i="9"/>
  <c r="BC444" i="9" s="1"/>
  <c r="G444" i="9"/>
  <c r="S440" i="9"/>
  <c r="AH439" i="9"/>
  <c r="L439" i="9"/>
  <c r="AR438" i="9"/>
  <c r="AX435" i="9"/>
  <c r="O435" i="9"/>
  <c r="AM434" i="9"/>
  <c r="L434" i="9"/>
  <c r="F432" i="9"/>
  <c r="I432" i="9"/>
  <c r="AB432" i="9"/>
  <c r="AX432" i="9"/>
  <c r="K432" i="9"/>
  <c r="Z432" i="9" s="1"/>
  <c r="AA432" i="9" s="1"/>
  <c r="AE432" i="9"/>
  <c r="BC432" i="9" s="1"/>
  <c r="AZ432" i="9"/>
  <c r="AY432" i="9" s="1"/>
  <c r="M432" i="9"/>
  <c r="AJ432" i="9"/>
  <c r="R432" i="9"/>
  <c r="AN432" i="9"/>
  <c r="I421" i="9"/>
  <c r="D421" i="9"/>
  <c r="Q421" i="9"/>
  <c r="AD421" i="9"/>
  <c r="BD421" i="9" s="1"/>
  <c r="AQ421" i="9"/>
  <c r="A421" i="9"/>
  <c r="N421" i="9"/>
  <c r="AN421" i="9"/>
  <c r="AZ421" i="9"/>
  <c r="AY421" i="9" s="1"/>
  <c r="C421" i="9"/>
  <c r="S421" i="9"/>
  <c r="AI421" i="9"/>
  <c r="AW421" i="9"/>
  <c r="E421" i="9"/>
  <c r="T421" i="9"/>
  <c r="AJ421" i="9"/>
  <c r="AX421" i="9"/>
  <c r="G421" i="9"/>
  <c r="V421" i="9"/>
  <c r="AL421" i="9"/>
  <c r="BA421" i="9"/>
  <c r="J421" i="9"/>
  <c r="X421" i="9"/>
  <c r="AO421" i="9"/>
  <c r="K421" i="9"/>
  <c r="Z421" i="9" s="1"/>
  <c r="AA421" i="9" s="1"/>
  <c r="Y421" i="9"/>
  <c r="AP421" i="9"/>
  <c r="M421" i="9"/>
  <c r="AC421" i="9"/>
  <c r="AS421" i="9"/>
  <c r="O421" i="9"/>
  <c r="AE421" i="9"/>
  <c r="BC421" i="9" s="1"/>
  <c r="AT421" i="9"/>
  <c r="O425" i="9"/>
  <c r="I418" i="9"/>
  <c r="C418" i="9"/>
  <c r="P418" i="9"/>
  <c r="AF418" i="9"/>
  <c r="AG418" i="9" s="1"/>
  <c r="AS418" i="9"/>
  <c r="D418" i="9"/>
  <c r="Q418" i="9"/>
  <c r="AH418" i="9"/>
  <c r="AT418" i="9"/>
  <c r="G418" i="9"/>
  <c r="T418" i="9"/>
  <c r="AK418" i="9"/>
  <c r="AW418" i="9"/>
  <c r="M418" i="9"/>
  <c r="AC418" i="9"/>
  <c r="AP418" i="9"/>
  <c r="BB418" i="9"/>
  <c r="G413" i="9"/>
  <c r="AX413" i="9"/>
  <c r="AI409" i="9"/>
  <c r="K409" i="9"/>
  <c r="Z409" i="9" s="1"/>
  <c r="AA409" i="9" s="1"/>
  <c r="N425" i="9"/>
  <c r="J422" i="9"/>
  <c r="BA419" i="9"/>
  <c r="O419" i="9"/>
  <c r="AQ418" i="9"/>
  <c r="W418" i="9"/>
  <c r="A418" i="9"/>
  <c r="AF409" i="9"/>
  <c r="AG409" i="9" s="1"/>
  <c r="G409" i="9"/>
  <c r="P404" i="9"/>
  <c r="AT404" i="9"/>
  <c r="Q404" i="9"/>
  <c r="AU404" i="9"/>
  <c r="U404" i="9"/>
  <c r="V404" i="9" s="1"/>
  <c r="BA404" i="9"/>
  <c r="W404" i="9"/>
  <c r="C404" i="9"/>
  <c r="AF404" i="9"/>
  <c r="AG404" i="9" s="1"/>
  <c r="H404" i="9"/>
  <c r="AM404" i="9"/>
  <c r="I403" i="9"/>
  <c r="J403" i="9"/>
  <c r="X403" i="9"/>
  <c r="AM403" i="9"/>
  <c r="K403" i="9"/>
  <c r="Z403" i="9" s="1"/>
  <c r="AA403" i="9" s="1"/>
  <c r="Y403" i="9"/>
  <c r="AN403" i="9"/>
  <c r="AZ403" i="9"/>
  <c r="AY403" i="9" s="1"/>
  <c r="M403" i="9"/>
  <c r="AC403" i="9"/>
  <c r="AP403" i="9"/>
  <c r="BB403" i="9"/>
  <c r="A403" i="9"/>
  <c r="N403" i="9"/>
  <c r="AD403" i="9"/>
  <c r="BD403" i="9" s="1"/>
  <c r="AQ403" i="9"/>
  <c r="C403" i="9"/>
  <c r="P403" i="9"/>
  <c r="AF403" i="9"/>
  <c r="AG403" i="9" s="1"/>
  <c r="AS403" i="9"/>
  <c r="F403" i="9"/>
  <c r="S403" i="9"/>
  <c r="AJ403" i="9"/>
  <c r="AV403" i="9"/>
  <c r="BA409" i="9"/>
  <c r="AE409" i="9"/>
  <c r="BC409" i="9" s="1"/>
  <c r="F409" i="9"/>
  <c r="X437" i="9"/>
  <c r="AT436" i="9"/>
  <c r="AH436" i="9"/>
  <c r="T436" i="9"/>
  <c r="G436" i="9"/>
  <c r="K431" i="9"/>
  <c r="Z431" i="9" s="1"/>
  <c r="AA431" i="9" s="1"/>
  <c r="AW429" i="9"/>
  <c r="AD429" i="9"/>
  <c r="BD429" i="9" s="1"/>
  <c r="I429" i="9"/>
  <c r="AV428" i="9"/>
  <c r="O428" i="9"/>
  <c r="G425" i="9"/>
  <c r="C422" i="9"/>
  <c r="AT419" i="9"/>
  <c r="AN418" i="9"/>
  <c r="R418" i="9"/>
  <c r="F417" i="9"/>
  <c r="AE417" i="9"/>
  <c r="BC417" i="9" s="1"/>
  <c r="AU415" i="9"/>
  <c r="AC415" i="9"/>
  <c r="AZ412" i="9"/>
  <c r="AY412" i="9" s="1"/>
  <c r="AE412" i="9"/>
  <c r="BC412" i="9" s="1"/>
  <c r="K412" i="9"/>
  <c r="Z412" i="9" s="1"/>
  <c r="AA412" i="9" s="1"/>
  <c r="AZ409" i="9"/>
  <c r="AY409" i="9" s="1"/>
  <c r="AD409" i="9"/>
  <c r="BD409" i="9" s="1"/>
  <c r="D409" i="9"/>
  <c r="AO404" i="9"/>
  <c r="AX403" i="9"/>
  <c r="W403" i="9"/>
  <c r="I400" i="9"/>
  <c r="G400" i="9"/>
  <c r="T400" i="9"/>
  <c r="AJ400" i="9"/>
  <c r="AV400" i="9"/>
  <c r="H400" i="9"/>
  <c r="W400" i="9"/>
  <c r="AK400" i="9"/>
  <c r="AW400" i="9"/>
  <c r="K400" i="9"/>
  <c r="Z400" i="9" s="1"/>
  <c r="AA400" i="9" s="1"/>
  <c r="Y400" i="9"/>
  <c r="AM400" i="9"/>
  <c r="AZ400" i="9"/>
  <c r="AY400" i="9" s="1"/>
  <c r="L400" i="9"/>
  <c r="AN400" i="9"/>
  <c r="BA400" i="9"/>
  <c r="A400" i="9"/>
  <c r="N400" i="9"/>
  <c r="AC400" i="9"/>
  <c r="AP400" i="9"/>
  <c r="D400" i="9"/>
  <c r="Q400" i="9"/>
  <c r="AF400" i="9"/>
  <c r="AG400" i="9" s="1"/>
  <c r="AS400" i="9"/>
  <c r="C419" i="9"/>
  <c r="AE419" i="9"/>
  <c r="BC419" i="9" s="1"/>
  <c r="E419" i="9"/>
  <c r="AF419" i="9"/>
  <c r="AG419" i="9" s="1"/>
  <c r="I419" i="9"/>
  <c r="AM419" i="9"/>
  <c r="U419" i="9"/>
  <c r="V419" i="9" s="1"/>
  <c r="AX419" i="9"/>
  <c r="AM418" i="9"/>
  <c r="O418" i="9"/>
  <c r="AW409" i="9"/>
  <c r="AC409" i="9"/>
  <c r="AN404" i="9"/>
  <c r="AW403" i="9"/>
  <c r="T403" i="9"/>
  <c r="C355" i="9"/>
  <c r="M355" i="9"/>
  <c r="AU355" i="9"/>
  <c r="O355" i="9"/>
  <c r="AW355" i="9"/>
  <c r="R355" i="9"/>
  <c r="BB355" i="9"/>
  <c r="S355" i="9"/>
  <c r="AE355" i="9"/>
  <c r="BC355" i="9" s="1"/>
  <c r="AI355" i="9"/>
  <c r="K355" i="9"/>
  <c r="Z355" i="9" s="1"/>
  <c r="AA355" i="9" s="1"/>
  <c r="AR355" i="9"/>
  <c r="AJ355" i="9"/>
  <c r="AK355" i="9"/>
  <c r="AL355" i="9"/>
  <c r="A355" i="9"/>
  <c r="T355" i="9"/>
  <c r="I409" i="9"/>
  <c r="H409" i="9"/>
  <c r="W409" i="9"/>
  <c r="AK409" i="9"/>
  <c r="AX409" i="9"/>
  <c r="J409" i="9"/>
  <c r="X409" i="9"/>
  <c r="AL409" i="9"/>
  <c r="L409" i="9"/>
  <c r="AN409" i="9"/>
  <c r="M409" i="9"/>
  <c r="AB409" i="9"/>
  <c r="AO409" i="9"/>
  <c r="BB409" i="9"/>
  <c r="E409" i="9"/>
  <c r="R409" i="9"/>
  <c r="AH409" i="9"/>
  <c r="AU409" i="9"/>
  <c r="S399" i="9"/>
  <c r="AI399" i="9"/>
  <c r="AQ436" i="9"/>
  <c r="AE436" i="9"/>
  <c r="BC436" i="9" s="1"/>
  <c r="Q436" i="9"/>
  <c r="D436" i="9"/>
  <c r="AR429" i="9"/>
  <c r="W429" i="9"/>
  <c r="F429" i="9"/>
  <c r="AS428" i="9"/>
  <c r="AC428" i="9"/>
  <c r="K428" i="9"/>
  <c r="Z428" i="9" s="1"/>
  <c r="AA428" i="9" s="1"/>
  <c r="BA425" i="9"/>
  <c r="AU422" i="9"/>
  <c r="AL419" i="9"/>
  <c r="BA418" i="9"/>
  <c r="AJ418" i="9"/>
  <c r="L418" i="9"/>
  <c r="I415" i="9"/>
  <c r="L415" i="9"/>
  <c r="AN415" i="9"/>
  <c r="BA415" i="9"/>
  <c r="M415" i="9"/>
  <c r="AB415" i="9"/>
  <c r="AO415" i="9"/>
  <c r="BB415" i="9"/>
  <c r="C415" i="9"/>
  <c r="P415" i="9"/>
  <c r="AE415" i="9"/>
  <c r="BC415" i="9" s="1"/>
  <c r="AR415" i="9"/>
  <c r="H415" i="9"/>
  <c r="W415" i="9"/>
  <c r="AK415" i="9"/>
  <c r="AW415" i="9"/>
  <c r="AT412" i="9"/>
  <c r="AT409" i="9"/>
  <c r="T409" i="9"/>
  <c r="A409" i="9"/>
  <c r="AH404" i="9"/>
  <c r="AT403" i="9"/>
  <c r="Q403" i="9"/>
  <c r="D398" i="9"/>
  <c r="AX398" i="9"/>
  <c r="E398" i="9"/>
  <c r="AC398" i="9"/>
  <c r="BA398" i="9"/>
  <c r="H398" i="9"/>
  <c r="AF398" i="9"/>
  <c r="AG398" i="9" s="1"/>
  <c r="J398" i="9"/>
  <c r="AL398" i="9"/>
  <c r="N398" i="9"/>
  <c r="AN398" i="9"/>
  <c r="U398" i="9"/>
  <c r="V398" i="9" s="1"/>
  <c r="AS398" i="9"/>
  <c r="AR409" i="9"/>
  <c r="S409" i="9"/>
  <c r="AQ428" i="9"/>
  <c r="X428" i="9"/>
  <c r="H428" i="9"/>
  <c r="AM425" i="9"/>
  <c r="W419" i="9"/>
  <c r="AE418" i="9"/>
  <c r="BC418" i="9" s="1"/>
  <c r="J418" i="9"/>
  <c r="I412" i="9"/>
  <c r="H412" i="9"/>
  <c r="W412" i="9"/>
  <c r="AK412" i="9"/>
  <c r="AX412" i="9"/>
  <c r="J412" i="9"/>
  <c r="X412" i="9"/>
  <c r="AL412" i="9"/>
  <c r="M412" i="9"/>
  <c r="AB412" i="9"/>
  <c r="AO412" i="9"/>
  <c r="BB412" i="9"/>
  <c r="E412" i="9"/>
  <c r="R412" i="9"/>
  <c r="AH412" i="9"/>
  <c r="AU412" i="9"/>
  <c r="AQ409" i="9"/>
  <c r="Q409" i="9"/>
  <c r="S404" i="9"/>
  <c r="AO403" i="9"/>
  <c r="L403" i="9"/>
  <c r="BA436" i="9"/>
  <c r="AN436" i="9"/>
  <c r="AB436" i="9"/>
  <c r="N436" i="9"/>
  <c r="A436" i="9"/>
  <c r="AJ431" i="9"/>
  <c r="AN429" i="9"/>
  <c r="S429" i="9"/>
  <c r="A429" i="9"/>
  <c r="AO428" i="9"/>
  <c r="V428" i="9"/>
  <c r="AI427" i="9"/>
  <c r="U427" i="9"/>
  <c r="V427" i="9" s="1"/>
  <c r="H427" i="9"/>
  <c r="AI425" i="9"/>
  <c r="AU423" i="9"/>
  <c r="AF422" i="9"/>
  <c r="AG422" i="9" s="1"/>
  <c r="AX418" i="9"/>
  <c r="AD418" i="9"/>
  <c r="BD418" i="9" s="1"/>
  <c r="H418" i="9"/>
  <c r="AL415" i="9"/>
  <c r="Q415" i="9"/>
  <c r="F414" i="9"/>
  <c r="AE414" i="9"/>
  <c r="BC414" i="9" s="1"/>
  <c r="AX414" i="9"/>
  <c r="AP412" i="9"/>
  <c r="S412" i="9"/>
  <c r="A412" i="9"/>
  <c r="AP409" i="9"/>
  <c r="P409" i="9"/>
  <c r="I407" i="9"/>
  <c r="P407" i="9"/>
  <c r="AL407" i="9"/>
  <c r="Q407" i="9"/>
  <c r="AM407" i="9"/>
  <c r="C407" i="9"/>
  <c r="T407" i="9"/>
  <c r="AQ407" i="9"/>
  <c r="D407" i="9"/>
  <c r="U407" i="9"/>
  <c r="V407" i="9" s="1"/>
  <c r="AR407" i="9"/>
  <c r="G407" i="9"/>
  <c r="AB407" i="9"/>
  <c r="AT407" i="9"/>
  <c r="K407" i="9"/>
  <c r="Z407" i="9" s="1"/>
  <c r="AA407" i="9" s="1"/>
  <c r="AF407" i="9"/>
  <c r="AG407" i="9" s="1"/>
  <c r="O404" i="9"/>
  <c r="AL403" i="9"/>
  <c r="H403" i="9"/>
  <c r="AQ400" i="9"/>
  <c r="O400" i="9"/>
  <c r="AO398" i="9"/>
  <c r="AK420" i="9"/>
  <c r="O420" i="9"/>
  <c r="AM408" i="9"/>
  <c r="N408" i="9"/>
  <c r="AX406" i="9"/>
  <c r="AK406" i="9"/>
  <c r="W406" i="9"/>
  <c r="H406" i="9"/>
  <c r="AV405" i="9"/>
  <c r="AD405" i="9"/>
  <c r="BD405" i="9" s="1"/>
  <c r="H405" i="9"/>
  <c r="AC401" i="9"/>
  <c r="E401" i="9"/>
  <c r="BA397" i="9"/>
  <c r="AN397" i="9"/>
  <c r="N397" i="9"/>
  <c r="A397" i="9"/>
  <c r="AH395" i="9"/>
  <c r="BB394" i="9"/>
  <c r="AP394" i="9"/>
  <c r="AB394" i="9"/>
  <c r="H394" i="9"/>
  <c r="AZ392" i="9"/>
  <c r="AY392" i="9" s="1"/>
  <c r="AJ391" i="9"/>
  <c r="O391" i="9"/>
  <c r="AZ387" i="9"/>
  <c r="AY387" i="9" s="1"/>
  <c r="W387" i="9"/>
  <c r="X383" i="9"/>
  <c r="C382" i="9"/>
  <c r="R382" i="9"/>
  <c r="AD382" i="9"/>
  <c r="BD382" i="9" s="1"/>
  <c r="AN382" i="9"/>
  <c r="BB382" i="9"/>
  <c r="P382" i="9"/>
  <c r="AT379" i="9"/>
  <c r="X379" i="9"/>
  <c r="AW373" i="9"/>
  <c r="AI363" i="9"/>
  <c r="AE359" i="9"/>
  <c r="BC359" i="9" s="1"/>
  <c r="AC354" i="9"/>
  <c r="AW397" i="9"/>
  <c r="AK397" i="9"/>
  <c r="W397" i="9"/>
  <c r="K397" i="9"/>
  <c r="Z397" i="9" s="1"/>
  <c r="AA397" i="9" s="1"/>
  <c r="AT392" i="9"/>
  <c r="AF391" i="9"/>
  <c r="AG391" i="9" s="1"/>
  <c r="G391" i="9"/>
  <c r="AU387" i="9"/>
  <c r="J387" i="9"/>
  <c r="AE378" i="9"/>
  <c r="BC378" i="9" s="1"/>
  <c r="Q359" i="9"/>
  <c r="AS352" i="9"/>
  <c r="F331" i="9"/>
  <c r="AE331" i="9"/>
  <c r="BC331" i="9" s="1"/>
  <c r="AZ331" i="9"/>
  <c r="AY331" i="9" s="1"/>
  <c r="G331" i="9"/>
  <c r="AF331" i="9"/>
  <c r="AG331" i="9" s="1"/>
  <c r="BA331" i="9"/>
  <c r="H331" i="9"/>
  <c r="AH331" i="9"/>
  <c r="BB331" i="9"/>
  <c r="K331" i="9"/>
  <c r="Z331" i="9" s="1"/>
  <c r="AA331" i="9" s="1"/>
  <c r="AJ331" i="9"/>
  <c r="P331" i="9"/>
  <c r="AK331" i="9"/>
  <c r="Q331" i="9"/>
  <c r="AL331" i="9"/>
  <c r="W331" i="9"/>
  <c r="AT331" i="9"/>
  <c r="S331" i="9"/>
  <c r="X331" i="9"/>
  <c r="Y331" i="9"/>
  <c r="AD331" i="9"/>
  <c r="BD331" i="9" s="1"/>
  <c r="AN331" i="9"/>
  <c r="AR331" i="9"/>
  <c r="AU331" i="9"/>
  <c r="AV331" i="9"/>
  <c r="R331" i="9"/>
  <c r="F385" i="9"/>
  <c r="AI385" i="9"/>
  <c r="AL385" i="9"/>
  <c r="Y378" i="9"/>
  <c r="L359" i="9"/>
  <c r="AM352" i="9"/>
  <c r="A331" i="9"/>
  <c r="AV420" i="9"/>
  <c r="H420" i="9"/>
  <c r="AE408" i="9"/>
  <c r="BC408" i="9" s="1"/>
  <c r="G408" i="9"/>
  <c r="AR406" i="9"/>
  <c r="AE406" i="9"/>
  <c r="BC406" i="9" s="1"/>
  <c r="P406" i="9"/>
  <c r="C406" i="9"/>
  <c r="AM405" i="9"/>
  <c r="S405" i="9"/>
  <c r="AR401" i="9"/>
  <c r="S401" i="9"/>
  <c r="AU397" i="9"/>
  <c r="AI397" i="9"/>
  <c r="U397" i="9"/>
  <c r="V397" i="9" s="1"/>
  <c r="H397" i="9"/>
  <c r="T395" i="9"/>
  <c r="AW394" i="9"/>
  <c r="AK394" i="9"/>
  <c r="R394" i="9"/>
  <c r="AH392" i="9"/>
  <c r="AU391" i="9"/>
  <c r="AC391" i="9"/>
  <c r="E391" i="9"/>
  <c r="AO387" i="9"/>
  <c r="G387" i="9"/>
  <c r="AZ383" i="9"/>
  <c r="AY383" i="9" s="1"/>
  <c r="O378" i="9"/>
  <c r="Y375" i="9"/>
  <c r="M373" i="9"/>
  <c r="J363" i="9"/>
  <c r="D360" i="9"/>
  <c r="AP360" i="9"/>
  <c r="G360" i="9"/>
  <c r="W360" i="9"/>
  <c r="AQ360" i="9"/>
  <c r="H360" i="9"/>
  <c r="AR360" i="9"/>
  <c r="I360" i="9"/>
  <c r="AB360" i="9"/>
  <c r="AS360" i="9"/>
  <c r="K360" i="9"/>
  <c r="Z360" i="9" s="1"/>
  <c r="AA360" i="9" s="1"/>
  <c r="AE360" i="9"/>
  <c r="BC360" i="9" s="1"/>
  <c r="AU360" i="9"/>
  <c r="N360" i="9"/>
  <c r="AF360" i="9"/>
  <c r="AG360" i="9" s="1"/>
  <c r="AX360" i="9"/>
  <c r="O360" i="9"/>
  <c r="AH360" i="9"/>
  <c r="C360" i="9"/>
  <c r="U360" i="9"/>
  <c r="V360" i="9" s="1"/>
  <c r="AN360" i="9"/>
  <c r="BD360" i="9"/>
  <c r="D359" i="9"/>
  <c r="L358" i="9"/>
  <c r="F358" i="9"/>
  <c r="Y358" i="9"/>
  <c r="AR358" i="9"/>
  <c r="G358" i="9"/>
  <c r="AU358" i="9"/>
  <c r="H358" i="9"/>
  <c r="AD358" i="9"/>
  <c r="BD358" i="9" s="1"/>
  <c r="AV358" i="9"/>
  <c r="K358" i="9"/>
  <c r="Z358" i="9" s="1"/>
  <c r="AA358" i="9" s="1"/>
  <c r="AE358" i="9"/>
  <c r="BC358" i="9" s="1"/>
  <c r="AW358" i="9"/>
  <c r="N358" i="9"/>
  <c r="AI358" i="9"/>
  <c r="BB358" i="9"/>
  <c r="O358" i="9"/>
  <c r="AJ358" i="9"/>
  <c r="R358" i="9"/>
  <c r="AK358" i="9"/>
  <c r="C358" i="9"/>
  <c r="X358" i="9"/>
  <c r="AQ358" i="9"/>
  <c r="AU354" i="9"/>
  <c r="I354" i="9"/>
  <c r="AB352" i="9"/>
  <c r="AL405" i="9"/>
  <c r="R405" i="9"/>
  <c r="AQ401" i="9"/>
  <c r="Q401" i="9"/>
  <c r="AT397" i="9"/>
  <c r="AH397" i="9"/>
  <c r="T397" i="9"/>
  <c r="G397" i="9"/>
  <c r="BA395" i="9"/>
  <c r="Q395" i="9"/>
  <c r="I394" i="9"/>
  <c r="J394" i="9"/>
  <c r="X394" i="9"/>
  <c r="M394" i="9"/>
  <c r="AC394" i="9"/>
  <c r="AB392" i="9"/>
  <c r="AT391" i="9"/>
  <c r="X391" i="9"/>
  <c r="AK387" i="9"/>
  <c r="G383" i="9"/>
  <c r="I383" i="9"/>
  <c r="AH383" i="9"/>
  <c r="M383" i="9"/>
  <c r="AN383" i="9"/>
  <c r="O383" i="9"/>
  <c r="AP383" i="9"/>
  <c r="S383" i="9"/>
  <c r="AT383" i="9"/>
  <c r="A383" i="9"/>
  <c r="T383" i="9"/>
  <c r="AV383" i="9"/>
  <c r="F383" i="9"/>
  <c r="AF383" i="9"/>
  <c r="AG383" i="9" s="1"/>
  <c r="F367" i="9"/>
  <c r="J367" i="9"/>
  <c r="AF367" i="9"/>
  <c r="AG367" i="9" s="1"/>
  <c r="BA367" i="9"/>
  <c r="K367" i="9"/>
  <c r="Z367" i="9" s="1"/>
  <c r="AA367" i="9" s="1"/>
  <c r="AH367" i="9"/>
  <c r="BB367" i="9"/>
  <c r="L367" i="9"/>
  <c r="AJ367" i="9"/>
  <c r="M367" i="9"/>
  <c r="AL367" i="9"/>
  <c r="Q367" i="9"/>
  <c r="AO367" i="9"/>
  <c r="R367" i="9"/>
  <c r="AP367" i="9"/>
  <c r="S367" i="9"/>
  <c r="AQ367" i="9"/>
  <c r="G367" i="9"/>
  <c r="AE367" i="9"/>
  <c r="BC367" i="9" s="1"/>
  <c r="AX367" i="9"/>
  <c r="BB360" i="9"/>
  <c r="BB359" i="9"/>
  <c r="A358" i="9"/>
  <c r="AT354" i="9"/>
  <c r="U352" i="9"/>
  <c r="V352" i="9" s="1"/>
  <c r="I391" i="9"/>
  <c r="K391" i="9"/>
  <c r="Z391" i="9" s="1"/>
  <c r="AA391" i="9" s="1"/>
  <c r="W391" i="9"/>
  <c r="AL391" i="9"/>
  <c r="AX391" i="9"/>
  <c r="M391" i="9"/>
  <c r="Y391" i="9"/>
  <c r="AN391" i="9"/>
  <c r="A391" i="9"/>
  <c r="N391" i="9"/>
  <c r="AB391" i="9"/>
  <c r="AO391" i="9"/>
  <c r="BA391" i="9"/>
  <c r="D391" i="9"/>
  <c r="Q391" i="9"/>
  <c r="AE391" i="9"/>
  <c r="BC391" i="9" s="1"/>
  <c r="J391" i="9"/>
  <c r="AK391" i="9"/>
  <c r="AW391" i="9"/>
  <c r="F387" i="9"/>
  <c r="P387" i="9"/>
  <c r="AJ387" i="9"/>
  <c r="BB387" i="9"/>
  <c r="R387" i="9"/>
  <c r="AL387" i="9"/>
  <c r="A387" i="9"/>
  <c r="S387" i="9"/>
  <c r="AN387" i="9"/>
  <c r="E387" i="9"/>
  <c r="Y387" i="9"/>
  <c r="AT387" i="9"/>
  <c r="L387" i="9"/>
  <c r="AH387" i="9"/>
  <c r="BA387" i="9"/>
  <c r="G378" i="9"/>
  <c r="AK378" i="9"/>
  <c r="AS378" i="9"/>
  <c r="A378" i="9"/>
  <c r="AT378" i="9"/>
  <c r="J378" i="9"/>
  <c r="N378" i="9"/>
  <c r="AI378" i="9"/>
  <c r="C366" i="9"/>
  <c r="K366" i="9"/>
  <c r="Z366" i="9" s="1"/>
  <c r="AA366" i="9" s="1"/>
  <c r="Y366" i="9"/>
  <c r="AL366" i="9"/>
  <c r="H359" i="9"/>
  <c r="F359" i="9"/>
  <c r="X359" i="9"/>
  <c r="AP359" i="9"/>
  <c r="G359" i="9"/>
  <c r="AB359" i="9"/>
  <c r="AQ359" i="9"/>
  <c r="J359" i="9"/>
  <c r="AC359" i="9"/>
  <c r="AT359" i="9"/>
  <c r="K359" i="9"/>
  <c r="Z359" i="9" s="1"/>
  <c r="AA359" i="9" s="1"/>
  <c r="AD359" i="9"/>
  <c r="BD359" i="9" s="1"/>
  <c r="AU359" i="9"/>
  <c r="N359" i="9"/>
  <c r="AH359" i="9"/>
  <c r="AX359" i="9"/>
  <c r="O359" i="9"/>
  <c r="AI359" i="9"/>
  <c r="P359" i="9"/>
  <c r="AJ359" i="9"/>
  <c r="AZ359" i="9"/>
  <c r="AY359" i="9" s="1"/>
  <c r="E359" i="9"/>
  <c r="W359" i="9"/>
  <c r="AO359" i="9"/>
  <c r="T352" i="9"/>
  <c r="AO406" i="9"/>
  <c r="AB406" i="9"/>
  <c r="M406" i="9"/>
  <c r="AI405" i="9"/>
  <c r="N405" i="9"/>
  <c r="AM401" i="9"/>
  <c r="K401" i="9"/>
  <c r="Z401" i="9" s="1"/>
  <c r="AA401" i="9" s="1"/>
  <c r="AR397" i="9"/>
  <c r="AE397" i="9"/>
  <c r="BC397" i="9" s="1"/>
  <c r="R397" i="9"/>
  <c r="E397" i="9"/>
  <c r="AQ395" i="9"/>
  <c r="E395" i="9"/>
  <c r="AR393" i="9"/>
  <c r="J392" i="9"/>
  <c r="AR391" i="9"/>
  <c r="T391" i="9"/>
  <c r="AS390" i="9"/>
  <c r="AE387" i="9"/>
  <c r="BC387" i="9" s="1"/>
  <c r="I375" i="9"/>
  <c r="K375" i="9"/>
  <c r="Z375" i="9" s="1"/>
  <c r="AA375" i="9" s="1"/>
  <c r="P375" i="9"/>
  <c r="R375" i="9"/>
  <c r="W375" i="9"/>
  <c r="AH375" i="9"/>
  <c r="AL375" i="9"/>
  <c r="AM375" i="9"/>
  <c r="H375" i="9"/>
  <c r="AW375" i="9"/>
  <c r="Q373" i="9"/>
  <c r="AP373" i="9"/>
  <c r="S373" i="9"/>
  <c r="AQ373" i="9"/>
  <c r="T373" i="9"/>
  <c r="AT373" i="9"/>
  <c r="W373" i="9"/>
  <c r="AV373" i="9"/>
  <c r="E373" i="9"/>
  <c r="AC373" i="9"/>
  <c r="AX373" i="9"/>
  <c r="F373" i="9"/>
  <c r="AE373" i="9"/>
  <c r="BC373" i="9" s="1"/>
  <c r="BA373" i="9"/>
  <c r="G373" i="9"/>
  <c r="AH373" i="9"/>
  <c r="N373" i="9"/>
  <c r="AL373" i="9"/>
  <c r="I363" i="9"/>
  <c r="M363" i="9"/>
  <c r="AD363" i="9"/>
  <c r="BD363" i="9" s="1"/>
  <c r="AT363" i="9"/>
  <c r="N363" i="9"/>
  <c r="AE363" i="9"/>
  <c r="BC363" i="9" s="1"/>
  <c r="AU363" i="9"/>
  <c r="O363" i="9"/>
  <c r="AF363" i="9"/>
  <c r="AG363" i="9" s="1"/>
  <c r="AW363" i="9"/>
  <c r="A363" i="9"/>
  <c r="P363" i="9"/>
  <c r="AH363" i="9"/>
  <c r="AX363" i="9"/>
  <c r="C363" i="9"/>
  <c r="S363" i="9"/>
  <c r="AK363" i="9"/>
  <c r="AZ363" i="9"/>
  <c r="AY363" i="9" s="1"/>
  <c r="D363" i="9"/>
  <c r="T363" i="9"/>
  <c r="AM363" i="9"/>
  <c r="BB363" i="9"/>
  <c r="F363" i="9"/>
  <c r="U363" i="9"/>
  <c r="V363" i="9" s="1"/>
  <c r="AN363" i="9"/>
  <c r="K363" i="9"/>
  <c r="Z363" i="9" s="1"/>
  <c r="AA363" i="9" s="1"/>
  <c r="AB363" i="9"/>
  <c r="AS363" i="9"/>
  <c r="AV359" i="9"/>
  <c r="H354" i="9"/>
  <c r="K354" i="9"/>
  <c r="Z354" i="9" s="1"/>
  <c r="AA354" i="9" s="1"/>
  <c r="X354" i="9"/>
  <c r="AK354" i="9"/>
  <c r="AW354" i="9"/>
  <c r="L354" i="9"/>
  <c r="Y354" i="9"/>
  <c r="AL354" i="9"/>
  <c r="AX354" i="9"/>
  <c r="M354" i="9"/>
  <c r="AM354" i="9"/>
  <c r="A354" i="9"/>
  <c r="N354" i="9"/>
  <c r="AB354" i="9"/>
  <c r="AN354" i="9"/>
  <c r="AZ354" i="9"/>
  <c r="AY354" i="9" s="1"/>
  <c r="C354" i="9"/>
  <c r="P354" i="9"/>
  <c r="AD354" i="9"/>
  <c r="BD354" i="9" s="1"/>
  <c r="AP354" i="9"/>
  <c r="BB354" i="9"/>
  <c r="D354" i="9"/>
  <c r="Q354" i="9"/>
  <c r="AE354" i="9"/>
  <c r="BC354" i="9" s="1"/>
  <c r="AQ354" i="9"/>
  <c r="E354" i="9"/>
  <c r="R354" i="9"/>
  <c r="AF354" i="9"/>
  <c r="AG354" i="9" s="1"/>
  <c r="AR354" i="9"/>
  <c r="J354" i="9"/>
  <c r="W354" i="9"/>
  <c r="AJ354" i="9"/>
  <c r="AV354" i="9"/>
  <c r="N352" i="9"/>
  <c r="AP420" i="9"/>
  <c r="U420" i="9"/>
  <c r="V420" i="9" s="1"/>
  <c r="A420" i="9"/>
  <c r="AS408" i="9"/>
  <c r="BB406" i="9"/>
  <c r="AN406" i="9"/>
  <c r="L406" i="9"/>
  <c r="BB405" i="9"/>
  <c r="M405" i="9"/>
  <c r="AL401" i="9"/>
  <c r="AQ397" i="9"/>
  <c r="AD397" i="9"/>
  <c r="BD397" i="9" s="1"/>
  <c r="Q397" i="9"/>
  <c r="D397" i="9"/>
  <c r="AO395" i="9"/>
  <c r="D395" i="9"/>
  <c r="AS394" i="9"/>
  <c r="AF394" i="9"/>
  <c r="AG394" i="9" s="1"/>
  <c r="N394" i="9"/>
  <c r="AQ391" i="9"/>
  <c r="S391" i="9"/>
  <c r="AD387" i="9"/>
  <c r="BD387" i="9" s="1"/>
  <c r="AL383" i="9"/>
  <c r="AU367" i="9"/>
  <c r="AR363" i="9"/>
  <c r="AM360" i="9"/>
  <c r="AN359" i="9"/>
  <c r="AP358" i="9"/>
  <c r="AI354" i="9"/>
  <c r="AP391" i="9"/>
  <c r="R391" i="9"/>
  <c r="C390" i="9"/>
  <c r="AP390" i="9"/>
  <c r="AX390" i="9"/>
  <c r="U390" i="9"/>
  <c r="V390" i="9" s="1"/>
  <c r="AM359" i="9"/>
  <c r="I352" i="9"/>
  <c r="E352" i="9"/>
  <c r="AE352" i="9"/>
  <c r="BC352" i="9" s="1"/>
  <c r="AU352" i="9"/>
  <c r="G352" i="9"/>
  <c r="BA352" i="9"/>
  <c r="H352" i="9"/>
  <c r="AH352" i="9"/>
  <c r="K352" i="9"/>
  <c r="Z352" i="9" s="1"/>
  <c r="AA352" i="9" s="1"/>
  <c r="AI352" i="9"/>
  <c r="M352" i="9"/>
  <c r="AK352" i="9"/>
  <c r="P352" i="9"/>
  <c r="AN352" i="9"/>
  <c r="Q352" i="9"/>
  <c r="AO352" i="9"/>
  <c r="S352" i="9"/>
  <c r="AQ352" i="9"/>
  <c r="D352" i="9"/>
  <c r="AF352" i="9"/>
  <c r="AG352" i="9" s="1"/>
  <c r="AX352" i="9"/>
  <c r="AL395" i="9"/>
  <c r="C393" i="9"/>
  <c r="W393" i="9"/>
  <c r="BB393" i="9"/>
  <c r="O393" i="9"/>
  <c r="W392" i="9"/>
  <c r="AI392" i="9"/>
  <c r="N392" i="9"/>
  <c r="AM391" i="9"/>
  <c r="P391" i="9"/>
  <c r="X387" i="9"/>
  <c r="AL359" i="9"/>
  <c r="AK386" i="9"/>
  <c r="AK380" i="9"/>
  <c r="AS377" i="9"/>
  <c r="L377" i="9"/>
  <c r="AL374" i="9"/>
  <c r="I374" i="9"/>
  <c r="AE362" i="9"/>
  <c r="BC362" i="9" s="1"/>
  <c r="AX347" i="9"/>
  <c r="K345" i="9"/>
  <c r="Z345" i="9" s="1"/>
  <c r="AA345" i="9" s="1"/>
  <c r="X345" i="9"/>
  <c r="AK345" i="9"/>
  <c r="AW345" i="9"/>
  <c r="D345" i="9"/>
  <c r="P345" i="9"/>
  <c r="AD345" i="9"/>
  <c r="BD345" i="9" s="1"/>
  <c r="AP345" i="9"/>
  <c r="BB345" i="9"/>
  <c r="M305" i="9"/>
  <c r="K305" i="9"/>
  <c r="Z305" i="9" s="1"/>
  <c r="AA305" i="9" s="1"/>
  <c r="AK305" i="9"/>
  <c r="L305" i="9"/>
  <c r="AL305" i="9"/>
  <c r="N305" i="9"/>
  <c r="AQ305" i="9"/>
  <c r="S305" i="9"/>
  <c r="AS305" i="9"/>
  <c r="T305" i="9"/>
  <c r="AU305" i="9"/>
  <c r="C305" i="9"/>
  <c r="AD305" i="9"/>
  <c r="BD305" i="9" s="1"/>
  <c r="AE305" i="9"/>
  <c r="BC305" i="9" s="1"/>
  <c r="AJ305" i="9"/>
  <c r="AR305" i="9"/>
  <c r="AW305" i="9"/>
  <c r="A305" i="9"/>
  <c r="AX305" i="9"/>
  <c r="F305" i="9"/>
  <c r="G305" i="9"/>
  <c r="R305" i="9"/>
  <c r="H315" i="9"/>
  <c r="F315" i="9"/>
  <c r="W315" i="9"/>
  <c r="AL315" i="9"/>
  <c r="BA315" i="9"/>
  <c r="G315" i="9"/>
  <c r="X315" i="9"/>
  <c r="AM315" i="9"/>
  <c r="BB315" i="9"/>
  <c r="J315" i="9"/>
  <c r="Y315" i="9"/>
  <c r="AN315" i="9"/>
  <c r="L315" i="9"/>
  <c r="AB315" i="9"/>
  <c r="AP315" i="9"/>
  <c r="M315" i="9"/>
  <c r="AC315" i="9"/>
  <c r="AQ315" i="9"/>
  <c r="C315" i="9"/>
  <c r="Q315" i="9"/>
  <c r="AI315" i="9"/>
  <c r="AW315" i="9"/>
  <c r="E315" i="9"/>
  <c r="AK315" i="9"/>
  <c r="K315" i="9"/>
  <c r="Z315" i="9" s="1"/>
  <c r="AA315" i="9" s="1"/>
  <c r="AO315" i="9"/>
  <c r="N315" i="9"/>
  <c r="AT315" i="9"/>
  <c r="O315" i="9"/>
  <c r="AU315" i="9"/>
  <c r="P315" i="9"/>
  <c r="AV315" i="9"/>
  <c r="R315" i="9"/>
  <c r="AX315" i="9"/>
  <c r="AD315" i="9"/>
  <c r="BD315" i="9" s="1"/>
  <c r="A315" i="9"/>
  <c r="AE315" i="9"/>
  <c r="BC315" i="9" s="1"/>
  <c r="X365" i="9"/>
  <c r="N362" i="9"/>
  <c r="AZ357" i="9"/>
  <c r="AY357" i="9" s="1"/>
  <c r="C357" i="9"/>
  <c r="AT349" i="9"/>
  <c r="Y349" i="9"/>
  <c r="R347" i="9"/>
  <c r="AQ345" i="9"/>
  <c r="AB345" i="9"/>
  <c r="L345" i="9"/>
  <c r="F339" i="9"/>
  <c r="L339" i="9"/>
  <c r="AS339" i="9"/>
  <c r="M339" i="9"/>
  <c r="AT339" i="9"/>
  <c r="O339" i="9"/>
  <c r="Q339" i="9"/>
  <c r="Y339" i="9"/>
  <c r="D334" i="9"/>
  <c r="E334" i="9"/>
  <c r="W334" i="9"/>
  <c r="AP334" i="9"/>
  <c r="F334" i="9"/>
  <c r="X334" i="9"/>
  <c r="AQ334" i="9"/>
  <c r="G334" i="9"/>
  <c r="AB334" i="9"/>
  <c r="AR334" i="9"/>
  <c r="H334" i="9"/>
  <c r="AC334" i="9"/>
  <c r="AT334" i="9"/>
  <c r="L334" i="9"/>
  <c r="AE334" i="9"/>
  <c r="BC334" i="9" s="1"/>
  <c r="AW334" i="9"/>
  <c r="AF321" i="9"/>
  <c r="AG321" i="9" s="1"/>
  <c r="AH377" i="9"/>
  <c r="AZ374" i="9"/>
  <c r="AY374" i="9" s="1"/>
  <c r="X374" i="9"/>
  <c r="W365" i="9"/>
  <c r="F362" i="9"/>
  <c r="D349" i="9"/>
  <c r="AN349" i="9"/>
  <c r="M349" i="9"/>
  <c r="AE349" i="9"/>
  <c r="BC349" i="9" s="1"/>
  <c r="AU349" i="9"/>
  <c r="L347" i="9"/>
  <c r="D346" i="9"/>
  <c r="T346" i="9"/>
  <c r="AU346" i="9"/>
  <c r="AO345" i="9"/>
  <c r="J345" i="9"/>
  <c r="G347" i="9"/>
  <c r="H321" i="9"/>
  <c r="AL321" i="9"/>
  <c r="I321" i="9"/>
  <c r="AM321" i="9"/>
  <c r="J321" i="9"/>
  <c r="AN321" i="9"/>
  <c r="P321" i="9"/>
  <c r="AV321" i="9"/>
  <c r="G321" i="9"/>
  <c r="O321" i="9"/>
  <c r="S321" i="9"/>
  <c r="T321" i="9"/>
  <c r="X321" i="9"/>
  <c r="Y321" i="9"/>
  <c r="AJ321" i="9"/>
  <c r="A321" i="9"/>
  <c r="AQ321" i="9"/>
  <c r="AL388" i="9"/>
  <c r="R388" i="9"/>
  <c r="C388" i="9"/>
  <c r="G384" i="9"/>
  <c r="W377" i="9"/>
  <c r="G376" i="9"/>
  <c r="AS374" i="9"/>
  <c r="R374" i="9"/>
  <c r="AM372" i="9"/>
  <c r="S372" i="9"/>
  <c r="C372" i="9"/>
  <c r="BA365" i="9"/>
  <c r="O365" i="9"/>
  <c r="AR357" i="9"/>
  <c r="T357" i="9"/>
  <c r="I353" i="9"/>
  <c r="AC353" i="9"/>
  <c r="AR353" i="9"/>
  <c r="AM349" i="9"/>
  <c r="S349" i="9"/>
  <c r="AX346" i="9"/>
  <c r="AZ345" i="9"/>
  <c r="AY345" i="9" s="1"/>
  <c r="AL345" i="9"/>
  <c r="U345" i="9"/>
  <c r="V345" i="9" s="1"/>
  <c r="G345" i="9"/>
  <c r="AM339" i="9"/>
  <c r="L337" i="9"/>
  <c r="R337" i="9"/>
  <c r="S337" i="9"/>
  <c r="AC337" i="9"/>
  <c r="AE337" i="9"/>
  <c r="BC337" i="9" s="1"/>
  <c r="AH337" i="9"/>
  <c r="K335" i="9"/>
  <c r="Z335" i="9" s="1"/>
  <c r="AA335" i="9" s="1"/>
  <c r="H335" i="9"/>
  <c r="AR335" i="9"/>
  <c r="I335" i="9"/>
  <c r="AS335" i="9"/>
  <c r="O335" i="9"/>
  <c r="AT335" i="9"/>
  <c r="P335" i="9"/>
  <c r="AZ335" i="9"/>
  <c r="AY335" i="9" s="1"/>
  <c r="W335" i="9"/>
  <c r="AD334" i="9"/>
  <c r="BD334" i="9" s="1"/>
  <c r="BB386" i="9"/>
  <c r="F384" i="9"/>
  <c r="BB377" i="9"/>
  <c r="P377" i="9"/>
  <c r="AQ374" i="9"/>
  <c r="P374" i="9"/>
  <c r="A370" i="9"/>
  <c r="AZ365" i="9"/>
  <c r="AY365" i="9" s="1"/>
  <c r="G365" i="9"/>
  <c r="BB362" i="9"/>
  <c r="AE361" i="9"/>
  <c r="BC361" i="9" s="1"/>
  <c r="AQ357" i="9"/>
  <c r="S357" i="9"/>
  <c r="AI356" i="9"/>
  <c r="P356" i="9"/>
  <c r="AK353" i="9"/>
  <c r="R353" i="9"/>
  <c r="A353" i="9"/>
  <c r="AL349" i="9"/>
  <c r="P349" i="9"/>
  <c r="AQ346" i="9"/>
  <c r="AJ345" i="9"/>
  <c r="T345" i="9"/>
  <c r="F345" i="9"/>
  <c r="AL339" i="9"/>
  <c r="E338" i="9"/>
  <c r="D338" i="9"/>
  <c r="N338" i="9"/>
  <c r="U338" i="9"/>
  <c r="V338" i="9" s="1"/>
  <c r="AB338" i="9"/>
  <c r="AU338" i="9"/>
  <c r="T334" i="9"/>
  <c r="AZ315" i="9"/>
  <c r="AY315" i="9" s="1"/>
  <c r="BB305" i="9"/>
  <c r="AT362" i="9"/>
  <c r="AJ315" i="9"/>
  <c r="W305" i="9"/>
  <c r="AV388" i="9"/>
  <c r="AF388" i="9"/>
  <c r="AG388" i="9" s="1"/>
  <c r="O388" i="9"/>
  <c r="AQ386" i="9"/>
  <c r="AS380" i="9"/>
  <c r="AV377" i="9"/>
  <c r="N377" i="9"/>
  <c r="AM374" i="9"/>
  <c r="K374" i="9"/>
  <c r="Z374" i="9" s="1"/>
  <c r="AA374" i="9" s="1"/>
  <c r="AX372" i="9"/>
  <c r="AH372" i="9"/>
  <c r="O372" i="9"/>
  <c r="AC370" i="9"/>
  <c r="AR369" i="9"/>
  <c r="S368" i="9"/>
  <c r="AS365" i="9"/>
  <c r="D365" i="9"/>
  <c r="AN362" i="9"/>
  <c r="AL357" i="9"/>
  <c r="AV356" i="9"/>
  <c r="AE356" i="9"/>
  <c r="BC356" i="9" s="1"/>
  <c r="N356" i="9"/>
  <c r="BA353" i="9"/>
  <c r="AI353" i="9"/>
  <c r="O353" i="9"/>
  <c r="BA349" i="9"/>
  <c r="AI349" i="9"/>
  <c r="N349" i="9"/>
  <c r="AH346" i="9"/>
  <c r="AV345" i="9"/>
  <c r="AH345" i="9"/>
  <c r="R345" i="9"/>
  <c r="C345" i="9"/>
  <c r="AF339" i="9"/>
  <c r="AG339" i="9" s="1"/>
  <c r="AZ334" i="9"/>
  <c r="AY334" i="9" s="1"/>
  <c r="Q334" i="9"/>
  <c r="AH315" i="9"/>
  <c r="U305" i="9"/>
  <c r="V305" i="9" s="1"/>
  <c r="H320" i="9"/>
  <c r="AC320" i="9"/>
  <c r="AS320" i="9"/>
  <c r="I320" i="9"/>
  <c r="AD320" i="9"/>
  <c r="BD320" i="9" s="1"/>
  <c r="AT320" i="9"/>
  <c r="J320" i="9"/>
  <c r="AF320" i="9"/>
  <c r="AG320" i="9" s="1"/>
  <c r="AU320" i="9"/>
  <c r="N320" i="9"/>
  <c r="AH320" i="9"/>
  <c r="AQ318" i="9"/>
  <c r="J318" i="9"/>
  <c r="AR316" i="9"/>
  <c r="G316" i="9"/>
  <c r="AM306" i="9"/>
  <c r="G306" i="9"/>
  <c r="AN298" i="9"/>
  <c r="A326" i="9"/>
  <c r="H326" i="9"/>
  <c r="BB320" i="9"/>
  <c r="W320" i="9"/>
  <c r="A320" i="9"/>
  <c r="AM318" i="9"/>
  <c r="AQ316" i="9"/>
  <c r="AI306" i="9"/>
  <c r="I301" i="9"/>
  <c r="O301" i="9"/>
  <c r="AH301" i="9"/>
  <c r="BA301" i="9"/>
  <c r="P301" i="9"/>
  <c r="AI301" i="9"/>
  <c r="Q301" i="9"/>
  <c r="AL301" i="9"/>
  <c r="C301" i="9"/>
  <c r="T301" i="9"/>
  <c r="AN301" i="9"/>
  <c r="D301" i="9"/>
  <c r="U301" i="9"/>
  <c r="V301" i="9" s="1"/>
  <c r="AQ301" i="9"/>
  <c r="J301" i="9"/>
  <c r="AC301" i="9"/>
  <c r="AU301" i="9"/>
  <c r="P318" i="9"/>
  <c r="AN318" i="9"/>
  <c r="S318" i="9"/>
  <c r="AO318" i="9"/>
  <c r="A318" i="9"/>
  <c r="W318" i="9"/>
  <c r="AP318" i="9"/>
  <c r="E318" i="9"/>
  <c r="AB318" i="9"/>
  <c r="AU318" i="9"/>
  <c r="F318" i="9"/>
  <c r="AC318" i="9"/>
  <c r="AV318" i="9"/>
  <c r="N316" i="9"/>
  <c r="AH316" i="9"/>
  <c r="AZ316" i="9"/>
  <c r="AY316" i="9" s="1"/>
  <c r="O316" i="9"/>
  <c r="AI316" i="9"/>
  <c r="BA316" i="9"/>
  <c r="P316" i="9"/>
  <c r="AL316" i="9"/>
  <c r="C316" i="9"/>
  <c r="S316" i="9"/>
  <c r="AN316" i="9"/>
  <c r="D316" i="9"/>
  <c r="T316" i="9"/>
  <c r="AO316" i="9"/>
  <c r="I316" i="9"/>
  <c r="AC316" i="9"/>
  <c r="AT316" i="9"/>
  <c r="H306" i="9"/>
  <c r="D306" i="9"/>
  <c r="R306" i="9"/>
  <c r="AJ306" i="9"/>
  <c r="AW306" i="9"/>
  <c r="E306" i="9"/>
  <c r="S306" i="9"/>
  <c r="AK306" i="9"/>
  <c r="AX306" i="9"/>
  <c r="F306" i="9"/>
  <c r="W306" i="9"/>
  <c r="AL306" i="9"/>
  <c r="AZ306" i="9"/>
  <c r="AY306" i="9" s="1"/>
  <c r="J306" i="9"/>
  <c r="Y306" i="9"/>
  <c r="AN306" i="9"/>
  <c r="BB306" i="9"/>
  <c r="K306" i="9"/>
  <c r="Z306" i="9" s="1"/>
  <c r="AA306" i="9" s="1"/>
  <c r="AO306" i="9"/>
  <c r="A306" i="9"/>
  <c r="O306" i="9"/>
  <c r="AE306" i="9"/>
  <c r="BC306" i="9" s="1"/>
  <c r="AT306" i="9"/>
  <c r="G298" i="9"/>
  <c r="N298" i="9"/>
  <c r="O298" i="9"/>
  <c r="P298" i="9"/>
  <c r="Q298" i="9"/>
  <c r="AC298" i="9"/>
  <c r="AE298" i="9"/>
  <c r="BC298" i="9" s="1"/>
  <c r="AT298" i="9"/>
  <c r="AT351" i="9"/>
  <c r="AH351" i="9"/>
  <c r="T351" i="9"/>
  <c r="G351" i="9"/>
  <c r="AS350" i="9"/>
  <c r="M350" i="9"/>
  <c r="AJ344" i="9"/>
  <c r="M344" i="9"/>
  <c r="AR343" i="9"/>
  <c r="W343" i="9"/>
  <c r="D343" i="9"/>
  <c r="S342" i="9"/>
  <c r="AV341" i="9"/>
  <c r="AC341" i="9"/>
  <c r="G341" i="9"/>
  <c r="O340" i="9"/>
  <c r="AK333" i="9"/>
  <c r="T333" i="9"/>
  <c r="F333" i="9"/>
  <c r="AT332" i="9"/>
  <c r="W332" i="9"/>
  <c r="D332" i="9"/>
  <c r="AV329" i="9"/>
  <c r="AH329" i="9"/>
  <c r="R329" i="9"/>
  <c r="D329" i="9"/>
  <c r="AQ328" i="9"/>
  <c r="Y328" i="9"/>
  <c r="G328" i="9"/>
  <c r="AR327" i="9"/>
  <c r="X327" i="9"/>
  <c r="G327" i="9"/>
  <c r="AT326" i="9"/>
  <c r="AD326" i="9"/>
  <c r="BD326" i="9" s="1"/>
  <c r="N326" i="9"/>
  <c r="AV320" i="9"/>
  <c r="T320" i="9"/>
  <c r="AI318" i="9"/>
  <c r="AW317" i="9"/>
  <c r="L317" i="9"/>
  <c r="AE316" i="9"/>
  <c r="BC316" i="9" s="1"/>
  <c r="X314" i="9"/>
  <c r="AU311" i="9"/>
  <c r="I310" i="9"/>
  <c r="H309" i="9"/>
  <c r="C309" i="9"/>
  <c r="Q309" i="9"/>
  <c r="AI309" i="9"/>
  <c r="AW309" i="9"/>
  <c r="D309" i="9"/>
  <c r="R309" i="9"/>
  <c r="AJ309" i="9"/>
  <c r="AX309" i="9"/>
  <c r="E309" i="9"/>
  <c r="S309" i="9"/>
  <c r="AK309" i="9"/>
  <c r="G309" i="9"/>
  <c r="X309" i="9"/>
  <c r="AM309" i="9"/>
  <c r="BA309" i="9"/>
  <c r="J309" i="9"/>
  <c r="Y309" i="9"/>
  <c r="AN309" i="9"/>
  <c r="BB309" i="9"/>
  <c r="N309" i="9"/>
  <c r="AD309" i="9"/>
  <c r="BD309" i="9" s="1"/>
  <c r="AT309" i="9"/>
  <c r="AM307" i="9"/>
  <c r="AC306" i="9"/>
  <c r="AB301" i="9"/>
  <c r="F279" i="9"/>
  <c r="Q279" i="9"/>
  <c r="AL279" i="9"/>
  <c r="R279" i="9"/>
  <c r="AN279" i="9"/>
  <c r="C279" i="9"/>
  <c r="X279" i="9"/>
  <c r="AS279" i="9"/>
  <c r="E279" i="9"/>
  <c r="I279" i="9"/>
  <c r="AB279" i="9"/>
  <c r="J279" i="9"/>
  <c r="AC279" i="9"/>
  <c r="AZ279" i="9"/>
  <c r="AY279" i="9" s="1"/>
  <c r="K279" i="9"/>
  <c r="Z279" i="9" s="1"/>
  <c r="AA279" i="9" s="1"/>
  <c r="AH279" i="9"/>
  <c r="BA279" i="9"/>
  <c r="U279" i="9"/>
  <c r="V279" i="9" s="1"/>
  <c r="AI279" i="9"/>
  <c r="AJ279" i="9"/>
  <c r="AO279" i="9"/>
  <c r="AP279" i="9"/>
  <c r="AT279" i="9"/>
  <c r="D279" i="9"/>
  <c r="AR320" i="9"/>
  <c r="S320" i="9"/>
  <c r="AH318" i="9"/>
  <c r="AB316" i="9"/>
  <c r="H310" i="9"/>
  <c r="I307" i="9"/>
  <c r="J307" i="9"/>
  <c r="AB307" i="9"/>
  <c r="AT307" i="9"/>
  <c r="K307" i="9"/>
  <c r="Z307" i="9" s="1"/>
  <c r="AA307" i="9" s="1"/>
  <c r="AC307" i="9"/>
  <c r="AU307" i="9"/>
  <c r="N307" i="9"/>
  <c r="AE307" i="9"/>
  <c r="BC307" i="9" s="1"/>
  <c r="AX307" i="9"/>
  <c r="P307" i="9"/>
  <c r="AH307" i="9"/>
  <c r="BA307" i="9"/>
  <c r="Q307" i="9"/>
  <c r="AI307" i="9"/>
  <c r="E307" i="9"/>
  <c r="AQ307" i="9"/>
  <c r="AB306" i="9"/>
  <c r="W301" i="9"/>
  <c r="AW333" i="9"/>
  <c r="AH333" i="9"/>
  <c r="R333" i="9"/>
  <c r="C333" i="9"/>
  <c r="AN328" i="9"/>
  <c r="W328" i="9"/>
  <c r="E328" i="9"/>
  <c r="AN327" i="9"/>
  <c r="T327" i="9"/>
  <c r="C327" i="9"/>
  <c r="AR326" i="9"/>
  <c r="AB326" i="9"/>
  <c r="K326" i="9"/>
  <c r="Z326" i="9" s="1"/>
  <c r="AA326" i="9" s="1"/>
  <c r="AP320" i="9"/>
  <c r="Q320" i="9"/>
  <c r="AD318" i="9"/>
  <c r="BD318" i="9" s="1"/>
  <c r="AT317" i="9"/>
  <c r="W316" i="9"/>
  <c r="AF307" i="9"/>
  <c r="AG307" i="9" s="1"/>
  <c r="BA306" i="9"/>
  <c r="X306" i="9"/>
  <c r="M291" i="9"/>
  <c r="F291" i="9"/>
  <c r="AH291" i="9"/>
  <c r="L291" i="9"/>
  <c r="AL291" i="9"/>
  <c r="N291" i="9"/>
  <c r="AQ291" i="9"/>
  <c r="G291" i="9"/>
  <c r="AT291" i="9"/>
  <c r="K291" i="9"/>
  <c r="Z291" i="9" s="1"/>
  <c r="AA291" i="9" s="1"/>
  <c r="AU291" i="9"/>
  <c r="R291" i="9"/>
  <c r="AW291" i="9"/>
  <c r="S291" i="9"/>
  <c r="AX291" i="9"/>
  <c r="T291" i="9"/>
  <c r="BA291" i="9"/>
  <c r="W291" i="9"/>
  <c r="BB291" i="9"/>
  <c r="AC291" i="9"/>
  <c r="A291" i="9"/>
  <c r="AJ291" i="9"/>
  <c r="AP326" i="9"/>
  <c r="J326" i="9"/>
  <c r="AO320" i="9"/>
  <c r="O320" i="9"/>
  <c r="BB318" i="9"/>
  <c r="X318" i="9"/>
  <c r="U316" i="9"/>
  <c r="V316" i="9" s="1"/>
  <c r="N310" i="9"/>
  <c r="J310" i="9"/>
  <c r="AO310" i="9"/>
  <c r="O310" i="9"/>
  <c r="AQ310" i="9"/>
  <c r="P310" i="9"/>
  <c r="AS310" i="9"/>
  <c r="S310" i="9"/>
  <c r="AU310" i="9"/>
  <c r="W310" i="9"/>
  <c r="AX310" i="9"/>
  <c r="G310" i="9"/>
  <c r="AH310" i="9"/>
  <c r="AV306" i="9"/>
  <c r="Q306" i="9"/>
  <c r="S301" i="9"/>
  <c r="AK343" i="9"/>
  <c r="P343" i="9"/>
  <c r="AT333" i="9"/>
  <c r="AF333" i="9"/>
  <c r="AG333" i="9" s="1"/>
  <c r="O333" i="9"/>
  <c r="A333" i="9"/>
  <c r="AL327" i="9"/>
  <c r="P327" i="9"/>
  <c r="A327" i="9"/>
  <c r="AO326" i="9"/>
  <c r="X326" i="9"/>
  <c r="I326" i="9"/>
  <c r="AN320" i="9"/>
  <c r="M320" i="9"/>
  <c r="BA318" i="9"/>
  <c r="O318" i="9"/>
  <c r="I317" i="9"/>
  <c r="N317" i="9"/>
  <c r="AI317" i="9"/>
  <c r="BB317" i="9"/>
  <c r="R317" i="9"/>
  <c r="AJ317" i="9"/>
  <c r="S317" i="9"/>
  <c r="AL317" i="9"/>
  <c r="C317" i="9"/>
  <c r="U317" i="9"/>
  <c r="V317" i="9" s="1"/>
  <c r="AP317" i="9"/>
  <c r="F317" i="9"/>
  <c r="X317" i="9"/>
  <c r="AQ317" i="9"/>
  <c r="K317" i="9"/>
  <c r="Z317" i="9" s="1"/>
  <c r="AA317" i="9" s="1"/>
  <c r="AF317" i="9"/>
  <c r="AG317" i="9" s="1"/>
  <c r="AV317" i="9"/>
  <c r="Q316" i="9"/>
  <c r="C314" i="9"/>
  <c r="AD314" i="9"/>
  <c r="BD314" i="9" s="1"/>
  <c r="AI314" i="9"/>
  <c r="A314" i="9"/>
  <c r="AJ314" i="9"/>
  <c r="F314" i="9"/>
  <c r="AR314" i="9"/>
  <c r="I314" i="9"/>
  <c r="AW314" i="9"/>
  <c r="U314" i="9"/>
  <c r="V314" i="9" s="1"/>
  <c r="F311" i="9"/>
  <c r="AX311" i="9"/>
  <c r="X311" i="9"/>
  <c r="W307" i="9"/>
  <c r="AU306" i="9"/>
  <c r="P306" i="9"/>
  <c r="AZ301" i="9"/>
  <c r="AY301" i="9" s="1"/>
  <c r="N301" i="9"/>
  <c r="C299" i="9"/>
  <c r="T299" i="9"/>
  <c r="AK299" i="9"/>
  <c r="F299" i="9"/>
  <c r="U299" i="9"/>
  <c r="V299" i="9" s="1"/>
  <c r="AL299" i="9"/>
  <c r="BD299" i="9"/>
  <c r="G299" i="9"/>
  <c r="W299" i="9"/>
  <c r="AM299" i="9"/>
  <c r="H299" i="9"/>
  <c r="X299" i="9"/>
  <c r="AP299" i="9"/>
  <c r="I299" i="9"/>
  <c r="Y299" i="9"/>
  <c r="AQ299" i="9"/>
  <c r="K299" i="9"/>
  <c r="Z299" i="9" s="1"/>
  <c r="AA299" i="9" s="1"/>
  <c r="AR299" i="9"/>
  <c r="O299" i="9"/>
  <c r="AF299" i="9"/>
  <c r="AG299" i="9" s="1"/>
  <c r="AW299" i="9"/>
  <c r="G295" i="9"/>
  <c r="S295" i="9"/>
  <c r="J295" i="9"/>
  <c r="AS295" i="9"/>
  <c r="K295" i="9"/>
  <c r="Z295" i="9" s="1"/>
  <c r="AA295" i="9" s="1"/>
  <c r="AU295" i="9"/>
  <c r="L295" i="9"/>
  <c r="AV295" i="9"/>
  <c r="P295" i="9"/>
  <c r="AZ295" i="9"/>
  <c r="AY295" i="9" s="1"/>
  <c r="W295" i="9"/>
  <c r="BA295" i="9"/>
  <c r="X295" i="9"/>
  <c r="D295" i="9"/>
  <c r="AM295" i="9"/>
  <c r="U287" i="9"/>
  <c r="V287" i="9" s="1"/>
  <c r="W287" i="9"/>
  <c r="AE287" i="9"/>
  <c r="BC287" i="9" s="1"/>
  <c r="AJ287" i="9"/>
  <c r="A287" i="9"/>
  <c r="AK287" i="9"/>
  <c r="N287" i="9"/>
  <c r="R287" i="9"/>
  <c r="AC287" i="9"/>
  <c r="AD287" i="9"/>
  <c r="BD287" i="9" s="1"/>
  <c r="AM287" i="9"/>
  <c r="AO287" i="9"/>
  <c r="AU287" i="9"/>
  <c r="AV287" i="9"/>
  <c r="C287" i="9"/>
  <c r="AI343" i="9"/>
  <c r="AM341" i="9"/>
  <c r="R341" i="9"/>
  <c r="A341" i="9"/>
  <c r="AS333" i="9"/>
  <c r="AE333" i="9"/>
  <c r="BC333" i="9" s="1"/>
  <c r="AL332" i="9"/>
  <c r="AP329" i="9"/>
  <c r="AB329" i="9"/>
  <c r="L329" i="9"/>
  <c r="BA328" i="9"/>
  <c r="AJ328" i="9"/>
  <c r="R328" i="9"/>
  <c r="A328" i="9"/>
  <c r="AK327" i="9"/>
  <c r="AN326" i="9"/>
  <c r="W326" i="9"/>
  <c r="F326" i="9"/>
  <c r="AN324" i="9"/>
  <c r="N322" i="9"/>
  <c r="AX322" i="9"/>
  <c r="AM320" i="9"/>
  <c r="G320" i="9"/>
  <c r="AZ318" i="9"/>
  <c r="AY318" i="9" s="1"/>
  <c r="N318" i="9"/>
  <c r="AH317" i="9"/>
  <c r="AX316" i="9"/>
  <c r="K316" i="9"/>
  <c r="Z316" i="9" s="1"/>
  <c r="AA316" i="9" s="1"/>
  <c r="AT310" i="9"/>
  <c r="AZ309" i="9"/>
  <c r="AY309" i="9" s="1"/>
  <c r="W309" i="9"/>
  <c r="U307" i="9"/>
  <c r="V307" i="9" s="1"/>
  <c r="AS306" i="9"/>
  <c r="N306" i="9"/>
  <c r="H303" i="9"/>
  <c r="L303" i="9"/>
  <c r="Y303" i="9"/>
  <c r="AO303" i="9"/>
  <c r="BB303" i="9"/>
  <c r="M303" i="9"/>
  <c r="AB303" i="9"/>
  <c r="AP303" i="9"/>
  <c r="A303" i="9"/>
  <c r="N303" i="9"/>
  <c r="AC303" i="9"/>
  <c r="AQ303" i="9"/>
  <c r="C303" i="9"/>
  <c r="P303" i="9"/>
  <c r="AE303" i="9"/>
  <c r="BC303" i="9" s="1"/>
  <c r="AT303" i="9"/>
  <c r="D303" i="9"/>
  <c r="Q303" i="9"/>
  <c r="AH303" i="9"/>
  <c r="AU303" i="9"/>
  <c r="I303" i="9"/>
  <c r="AL303" i="9"/>
  <c r="AX301" i="9"/>
  <c r="K301" i="9"/>
  <c r="Z301" i="9" s="1"/>
  <c r="AA301" i="9" s="1"/>
  <c r="AS299" i="9"/>
  <c r="A299" i="9"/>
  <c r="H297" i="9"/>
  <c r="C297" i="9"/>
  <c r="P297" i="9"/>
  <c r="AD297" i="9"/>
  <c r="BD297" i="9" s="1"/>
  <c r="AS297" i="9"/>
  <c r="D297" i="9"/>
  <c r="Q297" i="9"/>
  <c r="AE297" i="9"/>
  <c r="BC297" i="9" s="1"/>
  <c r="AT297" i="9"/>
  <c r="E297" i="9"/>
  <c r="R297" i="9"/>
  <c r="AH297" i="9"/>
  <c r="AU297" i="9"/>
  <c r="F297" i="9"/>
  <c r="S297" i="9"/>
  <c r="AI297" i="9"/>
  <c r="AV297" i="9"/>
  <c r="G297" i="9"/>
  <c r="U297" i="9"/>
  <c r="V297" i="9" s="1"/>
  <c r="AJ297" i="9"/>
  <c r="AW297" i="9"/>
  <c r="I297" i="9"/>
  <c r="AK297" i="9"/>
  <c r="AX297" i="9"/>
  <c r="M297" i="9"/>
  <c r="AO297" i="9"/>
  <c r="BD308" i="9"/>
  <c r="AF308" i="9"/>
  <c r="AG308" i="9" s="1"/>
  <c r="H308" i="9"/>
  <c r="AN285" i="9"/>
  <c r="R280" i="9"/>
  <c r="D280" i="9"/>
  <c r="N280" i="9"/>
  <c r="AB280" i="9"/>
  <c r="AQ280" i="9"/>
  <c r="AW280" i="9"/>
  <c r="AX280" i="9"/>
  <c r="AQ276" i="9"/>
  <c r="N275" i="9"/>
  <c r="C270" i="9"/>
  <c r="AB270" i="9"/>
  <c r="AD270" i="9"/>
  <c r="BD270" i="9" s="1"/>
  <c r="AH270" i="9"/>
  <c r="J270" i="9"/>
  <c r="AN270" i="9"/>
  <c r="K270" i="9"/>
  <c r="Z270" i="9" s="1"/>
  <c r="AA270" i="9" s="1"/>
  <c r="AP270" i="9"/>
  <c r="N270" i="9"/>
  <c r="AR270" i="9"/>
  <c r="R270" i="9"/>
  <c r="AZ270" i="9"/>
  <c r="AY270" i="9" s="1"/>
  <c r="T270" i="9"/>
  <c r="BB270" i="9"/>
  <c r="U270" i="9"/>
  <c r="V270" i="9" s="1"/>
  <c r="R285" i="9"/>
  <c r="AO285" i="9"/>
  <c r="C285" i="9"/>
  <c r="AU285" i="9"/>
  <c r="D285" i="9"/>
  <c r="AV285" i="9"/>
  <c r="E285" i="9"/>
  <c r="AB285" i="9"/>
  <c r="AX285" i="9"/>
  <c r="C276" i="9"/>
  <c r="J276" i="9"/>
  <c r="Y276" i="9"/>
  <c r="AN276" i="9"/>
  <c r="BB276" i="9"/>
  <c r="K276" i="9"/>
  <c r="Z276" i="9" s="1"/>
  <c r="AA276" i="9" s="1"/>
  <c r="AO276" i="9"/>
  <c r="A276" i="9"/>
  <c r="O276" i="9"/>
  <c r="AE276" i="9"/>
  <c r="BC276" i="9" s="1"/>
  <c r="AR276" i="9"/>
  <c r="D276" i="9"/>
  <c r="R276" i="9"/>
  <c r="AT276" i="9"/>
  <c r="E276" i="9"/>
  <c r="S276" i="9"/>
  <c r="AH276" i="9"/>
  <c r="AU276" i="9"/>
  <c r="F276" i="9"/>
  <c r="T276" i="9"/>
  <c r="AI276" i="9"/>
  <c r="AW276" i="9"/>
  <c r="G276" i="9"/>
  <c r="U276" i="9"/>
  <c r="V276" i="9" s="1"/>
  <c r="AK276" i="9"/>
  <c r="AX276" i="9"/>
  <c r="C275" i="9"/>
  <c r="D275" i="9"/>
  <c r="AC275" i="9"/>
  <c r="AX275" i="9"/>
  <c r="G275" i="9"/>
  <c r="AD275" i="9"/>
  <c r="BD275" i="9" s="1"/>
  <c r="AZ275" i="9"/>
  <c r="AY275" i="9" s="1"/>
  <c r="M275" i="9"/>
  <c r="AJ275" i="9"/>
  <c r="O275" i="9"/>
  <c r="AN275" i="9"/>
  <c r="P275" i="9"/>
  <c r="AO275" i="9"/>
  <c r="Q275" i="9"/>
  <c r="AP275" i="9"/>
  <c r="U275" i="9"/>
  <c r="V275" i="9" s="1"/>
  <c r="AQ275" i="9"/>
  <c r="AH285" i="9"/>
  <c r="AF276" i="9"/>
  <c r="AG276" i="9" s="1"/>
  <c r="BA275" i="9"/>
  <c r="A275" i="9"/>
  <c r="G273" i="9"/>
  <c r="O273" i="9"/>
  <c r="R273" i="9"/>
  <c r="AO273" i="9"/>
  <c r="T273" i="9"/>
  <c r="AQ273" i="9"/>
  <c r="C273" i="9"/>
  <c r="Y273" i="9"/>
  <c r="AU273" i="9"/>
  <c r="D273" i="9"/>
  <c r="AB273" i="9"/>
  <c r="AW273" i="9"/>
  <c r="E273" i="9"/>
  <c r="AC273" i="9"/>
  <c r="BB273" i="9"/>
  <c r="H273" i="9"/>
  <c r="AD273" i="9"/>
  <c r="BD273" i="9" s="1"/>
  <c r="I273" i="9"/>
  <c r="AE273" i="9"/>
  <c r="BC273" i="9" s="1"/>
  <c r="J273" i="9"/>
  <c r="AI273" i="9"/>
  <c r="AS308" i="9"/>
  <c r="U308" i="9"/>
  <c r="V308" i="9" s="1"/>
  <c r="AW296" i="9"/>
  <c r="AI296" i="9"/>
  <c r="R296" i="9"/>
  <c r="AC285" i="9"/>
  <c r="S284" i="9"/>
  <c r="AC284" i="9"/>
  <c r="BA284" i="9"/>
  <c r="E284" i="9"/>
  <c r="AH284" i="9"/>
  <c r="F284" i="9"/>
  <c r="AK284" i="9"/>
  <c r="J284" i="9"/>
  <c r="AP284" i="9"/>
  <c r="AZ280" i="9"/>
  <c r="AY280" i="9" s="1"/>
  <c r="AD276" i="9"/>
  <c r="BD276" i="9" s="1"/>
  <c r="AW275" i="9"/>
  <c r="AX272" i="9"/>
  <c r="AV296" i="9"/>
  <c r="P296" i="9"/>
  <c r="C294" i="9"/>
  <c r="AD294" i="9"/>
  <c r="BD294" i="9" s="1"/>
  <c r="AE293" i="9"/>
  <c r="BC293" i="9" s="1"/>
  <c r="F293" i="9"/>
  <c r="AK286" i="9"/>
  <c r="T286" i="9"/>
  <c r="AN286" i="9"/>
  <c r="AX286" i="9"/>
  <c r="X285" i="9"/>
  <c r="AV284" i="9"/>
  <c r="A284" i="9"/>
  <c r="AB276" i="9"/>
  <c r="AV275" i="9"/>
  <c r="AN272" i="9"/>
  <c r="AK325" i="9"/>
  <c r="D325" i="9"/>
  <c r="Q323" i="9"/>
  <c r="C323" i="9"/>
  <c r="R319" i="9"/>
  <c r="D319" i="9"/>
  <c r="AM308" i="9"/>
  <c r="S308" i="9"/>
  <c r="C304" i="9"/>
  <c r="AP300" i="9"/>
  <c r="AB300" i="9"/>
  <c r="N300" i="9"/>
  <c r="A300" i="9"/>
  <c r="AU296" i="9"/>
  <c r="AF296" i="9"/>
  <c r="AG296" i="9" s="1"/>
  <c r="N296" i="9"/>
  <c r="AZ293" i="9"/>
  <c r="AY293" i="9" s="1"/>
  <c r="AD293" i="9"/>
  <c r="BD293" i="9" s="1"/>
  <c r="D293" i="9"/>
  <c r="A286" i="9"/>
  <c r="U285" i="9"/>
  <c r="V285" i="9" s="1"/>
  <c r="AT284" i="9"/>
  <c r="AK280" i="9"/>
  <c r="AW278" i="9"/>
  <c r="AX278" i="9"/>
  <c r="M278" i="9"/>
  <c r="R278" i="9"/>
  <c r="AC278" i="9"/>
  <c r="AD278" i="9"/>
  <c r="BD278" i="9" s="1"/>
  <c r="AJ278" i="9"/>
  <c r="W276" i="9"/>
  <c r="AK275" i="9"/>
  <c r="L272" i="9"/>
  <c r="C319" i="9"/>
  <c r="AR313" i="9"/>
  <c r="AE312" i="9"/>
  <c r="BC312" i="9" s="1"/>
  <c r="O312" i="9"/>
  <c r="A312" i="9"/>
  <c r="AL308" i="9"/>
  <c r="O308" i="9"/>
  <c r="AD302" i="9"/>
  <c r="BD302" i="9" s="1"/>
  <c r="BB300" i="9"/>
  <c r="AO300" i="9"/>
  <c r="M300" i="9"/>
  <c r="AS296" i="9"/>
  <c r="AE296" i="9"/>
  <c r="BC296" i="9" s="1"/>
  <c r="M296" i="9"/>
  <c r="AX293" i="9"/>
  <c r="AB293" i="9"/>
  <c r="BB285" i="9"/>
  <c r="Q285" i="9"/>
  <c r="AR284" i="9"/>
  <c r="AD280" i="9"/>
  <c r="BD280" i="9" s="1"/>
  <c r="AI275" i="9"/>
  <c r="AL270" i="9"/>
  <c r="AO313" i="9"/>
  <c r="AK308" i="9"/>
  <c r="AR296" i="9"/>
  <c r="AD296" i="9"/>
  <c r="BD296" i="9" s="1"/>
  <c r="K296" i="9"/>
  <c r="Z296" i="9" s="1"/>
  <c r="AA296" i="9" s="1"/>
  <c r="N293" i="9"/>
  <c r="AK293" i="9"/>
  <c r="BA285" i="9"/>
  <c r="N285" i="9"/>
  <c r="BA276" i="9"/>
  <c r="Q276" i="9"/>
  <c r="AH275" i="9"/>
  <c r="AT273" i="9"/>
  <c r="K272" i="9"/>
  <c r="Z272" i="9" s="1"/>
  <c r="AA272" i="9" s="1"/>
  <c r="D272" i="9"/>
  <c r="AS272" i="9"/>
  <c r="E272" i="9"/>
  <c r="AU272" i="9"/>
  <c r="I272" i="9"/>
  <c r="AV272" i="9"/>
  <c r="P272" i="9"/>
  <c r="W272" i="9"/>
  <c r="X272" i="9"/>
  <c r="AD272" i="9"/>
  <c r="BD272" i="9" s="1"/>
  <c r="AE272" i="9"/>
  <c r="BC272" i="9" s="1"/>
  <c r="AH272" i="9"/>
  <c r="AP283" i="9"/>
  <c r="N283" i="9"/>
  <c r="AX281" i="9"/>
  <c r="T281" i="9"/>
  <c r="AS269" i="9"/>
  <c r="AH267" i="9"/>
  <c r="M267" i="9"/>
  <c r="AF264" i="9"/>
  <c r="AG264" i="9" s="1"/>
  <c r="AS263" i="9"/>
  <c r="AC263" i="9"/>
  <c r="J263" i="9"/>
  <c r="AV262" i="9"/>
  <c r="AE262" i="9"/>
  <c r="BC262" i="9" s="1"/>
  <c r="N262" i="9"/>
  <c r="BB261" i="9"/>
  <c r="AH261" i="9"/>
  <c r="O261" i="9"/>
  <c r="AS258" i="9"/>
  <c r="R258" i="9"/>
  <c r="BA257" i="9"/>
  <c r="AK257" i="9"/>
  <c r="P257" i="9"/>
  <c r="BB256" i="9"/>
  <c r="AK256" i="9"/>
  <c r="R256" i="9"/>
  <c r="A256" i="9"/>
  <c r="AX253" i="9"/>
  <c r="AI253" i="9"/>
  <c r="Q253" i="9"/>
  <c r="AU292" i="9"/>
  <c r="AB292" i="9"/>
  <c r="F292" i="9"/>
  <c r="AS290" i="9"/>
  <c r="U290" i="9"/>
  <c r="V290" i="9" s="1"/>
  <c r="C290" i="9"/>
  <c r="AM288" i="9"/>
  <c r="X288" i="9"/>
  <c r="G288" i="9"/>
  <c r="AN283" i="9"/>
  <c r="M283" i="9"/>
  <c r="AR281" i="9"/>
  <c r="S281" i="9"/>
  <c r="BA274" i="9"/>
  <c r="AH274" i="9"/>
  <c r="Q274" i="9"/>
  <c r="A274" i="9"/>
  <c r="AW271" i="9"/>
  <c r="AQ269" i="9"/>
  <c r="BB267" i="9"/>
  <c r="AE267" i="9"/>
  <c r="BC267" i="9" s="1"/>
  <c r="J267" i="9"/>
  <c r="AW266" i="9"/>
  <c r="AH266" i="9"/>
  <c r="O266" i="9"/>
  <c r="A266" i="9"/>
  <c r="R264" i="9"/>
  <c r="AR263" i="9"/>
  <c r="AB263" i="9"/>
  <c r="I263" i="9"/>
  <c r="AU262" i="9"/>
  <c r="AD262" i="9"/>
  <c r="BD262" i="9" s="1"/>
  <c r="M262" i="9"/>
  <c r="BA261" i="9"/>
  <c r="AF261" i="9"/>
  <c r="AG261" i="9" s="1"/>
  <c r="N261" i="9"/>
  <c r="AZ260" i="9"/>
  <c r="AY260" i="9" s="1"/>
  <c r="AC260" i="9"/>
  <c r="D260" i="9"/>
  <c r="AK259" i="9"/>
  <c r="I259" i="9"/>
  <c r="AQ258" i="9"/>
  <c r="Q258" i="9"/>
  <c r="AZ257" i="9"/>
  <c r="AY257" i="9" s="1"/>
  <c r="AI257" i="9"/>
  <c r="O257" i="9"/>
  <c r="BA256" i="9"/>
  <c r="AJ256" i="9"/>
  <c r="Q256" i="9"/>
  <c r="BA255" i="9"/>
  <c r="A255" i="9"/>
  <c r="U254" i="9"/>
  <c r="V254" i="9" s="1"/>
  <c r="AW253" i="9"/>
  <c r="AH253" i="9"/>
  <c r="N253" i="9"/>
  <c r="AL283" i="9"/>
  <c r="J283" i="9"/>
  <c r="AQ281" i="9"/>
  <c r="M281" i="9"/>
  <c r="AX274" i="9"/>
  <c r="AF274" i="9"/>
  <c r="AG274" i="9" s="1"/>
  <c r="O274" i="9"/>
  <c r="AT271" i="9"/>
  <c r="AD269" i="9"/>
  <c r="BD269" i="9" s="1"/>
  <c r="AX267" i="9"/>
  <c r="AD267" i="9"/>
  <c r="BD267" i="9" s="1"/>
  <c r="H267" i="9"/>
  <c r="N266" i="9"/>
  <c r="H264" i="9"/>
  <c r="AP263" i="9"/>
  <c r="Y263" i="9"/>
  <c r="F263" i="9"/>
  <c r="AT262" i="9"/>
  <c r="AC262" i="9"/>
  <c r="L262" i="9"/>
  <c r="AX261" i="9"/>
  <c r="AE261" i="9"/>
  <c r="BC261" i="9" s="1"/>
  <c r="M261" i="9"/>
  <c r="AI259" i="9"/>
  <c r="G259" i="9"/>
  <c r="AO258" i="9"/>
  <c r="O258" i="9"/>
  <c r="AH257" i="9"/>
  <c r="N257" i="9"/>
  <c r="AX256" i="9"/>
  <c r="AI256" i="9"/>
  <c r="N256" i="9"/>
  <c r="AS255" i="9"/>
  <c r="BA254" i="9"/>
  <c r="Q254" i="9"/>
  <c r="AV253" i="9"/>
  <c r="AE253" i="9"/>
  <c r="BC253" i="9" s="1"/>
  <c r="M253" i="9"/>
  <c r="AW267" i="9"/>
  <c r="AC267" i="9"/>
  <c r="G267" i="9"/>
  <c r="AO263" i="9"/>
  <c r="W263" i="9"/>
  <c r="E263" i="9"/>
  <c r="AX257" i="9"/>
  <c r="AD257" i="9"/>
  <c r="BD257" i="9" s="1"/>
  <c r="M257" i="9"/>
  <c r="AW256" i="9"/>
  <c r="AH256" i="9"/>
  <c r="M256" i="9"/>
  <c r="AV267" i="9"/>
  <c r="Y267" i="9"/>
  <c r="F267" i="9"/>
  <c r="AM263" i="9"/>
  <c r="U263" i="9"/>
  <c r="V263" i="9" s="1"/>
  <c r="D263" i="9"/>
  <c r="AQ262" i="9"/>
  <c r="Y262" i="9"/>
  <c r="J262" i="9"/>
  <c r="AT261" i="9"/>
  <c r="AC261" i="9"/>
  <c r="H261" i="9"/>
  <c r="AL258" i="9"/>
  <c r="J258" i="9"/>
  <c r="AW257" i="9"/>
  <c r="AC257" i="9"/>
  <c r="J257" i="9"/>
  <c r="AV256" i="9"/>
  <c r="AE256" i="9"/>
  <c r="BC256" i="9" s="1"/>
  <c r="L256" i="9"/>
  <c r="AQ255" i="9"/>
  <c r="AU254" i="9"/>
  <c r="K254" i="9"/>
  <c r="Z254" i="9" s="1"/>
  <c r="AA254" i="9" s="1"/>
  <c r="AT253" i="9"/>
  <c r="AC253" i="9"/>
  <c r="K253" i="9"/>
  <c r="Z253" i="9" s="1"/>
  <c r="AA253" i="9" s="1"/>
  <c r="AM290" i="9"/>
  <c r="O290" i="9"/>
  <c r="AP289" i="9"/>
  <c r="AD283" i="9"/>
  <c r="BD283" i="9" s="1"/>
  <c r="F283" i="9"/>
  <c r="AK281" i="9"/>
  <c r="J281" i="9"/>
  <c r="AS274" i="9"/>
  <c r="AC274" i="9"/>
  <c r="K269" i="9"/>
  <c r="Z269" i="9" s="1"/>
  <c r="AA269" i="9" s="1"/>
  <c r="AS267" i="9"/>
  <c r="E267" i="9"/>
  <c r="AR266" i="9"/>
  <c r="AB266" i="9"/>
  <c r="BA263" i="9"/>
  <c r="AL263" i="9"/>
  <c r="T263" i="9"/>
  <c r="C263" i="9"/>
  <c r="AP262" i="9"/>
  <c r="X262" i="9"/>
  <c r="I262" i="9"/>
  <c r="AS261" i="9"/>
  <c r="Y261" i="9"/>
  <c r="G261" i="9"/>
  <c r="AT260" i="9"/>
  <c r="BB259" i="9"/>
  <c r="AC259" i="9"/>
  <c r="BD258" i="9"/>
  <c r="AK258" i="9"/>
  <c r="AU257" i="9"/>
  <c r="AB257" i="9"/>
  <c r="I257" i="9"/>
  <c r="AU256" i="9"/>
  <c r="AD256" i="9"/>
  <c r="BD256" i="9" s="1"/>
  <c r="K256" i="9"/>
  <c r="Z256" i="9" s="1"/>
  <c r="AA256" i="9" s="1"/>
  <c r="AK255" i="9"/>
  <c r="AT254" i="9"/>
  <c r="J254" i="9"/>
  <c r="AS253" i="9"/>
  <c r="Y253" i="9"/>
  <c r="J253" i="9"/>
  <c r="AT256" i="9"/>
  <c r="AC256" i="9"/>
  <c r="J256" i="9"/>
  <c r="AD281" i="9"/>
  <c r="BD281" i="9" s="1"/>
  <c r="BB269" i="9"/>
  <c r="D269" i="9"/>
  <c r="AP267" i="9"/>
  <c r="S267" i="9"/>
  <c r="AX263" i="9"/>
  <c r="AH263" i="9"/>
  <c r="P263" i="9"/>
  <c r="BB262" i="9"/>
  <c r="AK262" i="9"/>
  <c r="U262" i="9"/>
  <c r="V262" i="9" s="1"/>
  <c r="T261" i="9"/>
  <c r="AO257" i="9"/>
  <c r="D257" i="9"/>
  <c r="AQ256" i="9"/>
  <c r="X256" i="9"/>
  <c r="G256" i="9"/>
  <c r="AO253" i="9"/>
  <c r="F253" i="9"/>
  <c r="AM267" i="9"/>
  <c r="Q267" i="9"/>
  <c r="AW263" i="9"/>
  <c r="O263" i="9"/>
  <c r="AN257" i="9"/>
  <c r="U257" i="9"/>
  <c r="V257" i="9" s="1"/>
  <c r="AP256" i="9"/>
  <c r="W256" i="9"/>
  <c r="F256" i="9"/>
  <c r="AL253" i="9"/>
  <c r="U253" i="9"/>
  <c r="V253" i="9" s="1"/>
  <c r="E253" i="9"/>
  <c r="AK267" i="9"/>
  <c r="AU263" i="9"/>
  <c r="AF263" i="9"/>
  <c r="AG263" i="9" s="1"/>
  <c r="AO256" i="9"/>
  <c r="U256" i="9"/>
  <c r="V256" i="9" s="1"/>
  <c r="E256" i="9"/>
  <c r="P492" i="9"/>
  <c r="AS488" i="9"/>
  <c r="AX471" i="9"/>
  <c r="J452" i="9"/>
  <c r="AH452" i="9"/>
  <c r="AT452" i="9"/>
  <c r="K452" i="9"/>
  <c r="Z452" i="9" s="1"/>
  <c r="AA452" i="9" s="1"/>
  <c r="W452" i="9"/>
  <c r="AI452" i="9"/>
  <c r="AU452" i="9"/>
  <c r="L452" i="9"/>
  <c r="X452" i="9"/>
  <c r="AJ452" i="9"/>
  <c r="AV452" i="9"/>
  <c r="A452" i="9"/>
  <c r="M452" i="9"/>
  <c r="Y452" i="9"/>
  <c r="AK452" i="9"/>
  <c r="AW452" i="9"/>
  <c r="F452" i="9"/>
  <c r="R452" i="9"/>
  <c r="AD452" i="9"/>
  <c r="BD452" i="9" s="1"/>
  <c r="AP452" i="9"/>
  <c r="BB452" i="9"/>
  <c r="K449" i="9"/>
  <c r="Z449" i="9" s="1"/>
  <c r="AA449" i="9" s="1"/>
  <c r="E449" i="9"/>
  <c r="Q449" i="9"/>
  <c r="H449" i="9"/>
  <c r="AH449" i="9"/>
  <c r="AT449" i="9"/>
  <c r="I449" i="9"/>
  <c r="W449" i="9"/>
  <c r="AI449" i="9"/>
  <c r="AU449" i="9"/>
  <c r="J449" i="9"/>
  <c r="X449" i="9"/>
  <c r="AJ449" i="9"/>
  <c r="AV449" i="9"/>
  <c r="L449" i="9"/>
  <c r="Y449" i="9"/>
  <c r="AK449" i="9"/>
  <c r="AW449" i="9"/>
  <c r="C449" i="9"/>
  <c r="R449" i="9"/>
  <c r="AD449" i="9"/>
  <c r="BD449" i="9" s="1"/>
  <c r="AP449" i="9"/>
  <c r="BB449" i="9"/>
  <c r="W442" i="9"/>
  <c r="AC500" i="9"/>
  <c r="Q500" i="9"/>
  <c r="E500" i="9"/>
  <c r="BB498" i="9"/>
  <c r="AM498" i="9"/>
  <c r="Y498" i="9"/>
  <c r="K498" i="9"/>
  <c r="Z498" i="9" s="1"/>
  <c r="AA498" i="9" s="1"/>
  <c r="AZ497" i="9"/>
  <c r="AY497" i="9" s="1"/>
  <c r="AL497" i="9"/>
  <c r="W497" i="9"/>
  <c r="I497" i="9"/>
  <c r="AP495" i="9"/>
  <c r="M495" i="9"/>
  <c r="AN494" i="9"/>
  <c r="K494" i="9"/>
  <c r="Z494" i="9" s="1"/>
  <c r="AA494" i="9" s="1"/>
  <c r="AR492" i="9"/>
  <c r="AD492" i="9"/>
  <c r="BD492" i="9" s="1"/>
  <c r="O492" i="9"/>
  <c r="A492" i="9"/>
  <c r="E489" i="9"/>
  <c r="Q489" i="9"/>
  <c r="AC489" i="9"/>
  <c r="AO489" i="9"/>
  <c r="BA489" i="9"/>
  <c r="J489" i="9"/>
  <c r="AH489" i="9"/>
  <c r="AT489" i="9"/>
  <c r="AR488" i="9"/>
  <c r="AC488" i="9"/>
  <c r="AU486" i="9"/>
  <c r="AF486" i="9"/>
  <c r="AG486" i="9" s="1"/>
  <c r="R486" i="9"/>
  <c r="C486" i="9"/>
  <c r="A485" i="9"/>
  <c r="M485" i="9"/>
  <c r="Y485" i="9"/>
  <c r="AK485" i="9"/>
  <c r="AW485" i="9"/>
  <c r="F485" i="9"/>
  <c r="R485" i="9"/>
  <c r="AD485" i="9"/>
  <c r="BD485" i="9" s="1"/>
  <c r="AP485" i="9"/>
  <c r="BB485" i="9"/>
  <c r="AW483" i="9"/>
  <c r="AI483" i="9"/>
  <c r="T483" i="9"/>
  <c r="AU482" i="9"/>
  <c r="S482" i="9"/>
  <c r="AJ480" i="9"/>
  <c r="T480" i="9"/>
  <c r="C480" i="9"/>
  <c r="AR479" i="9"/>
  <c r="AB479" i="9"/>
  <c r="K479" i="9"/>
  <c r="Z479" i="9" s="1"/>
  <c r="AA479" i="9" s="1"/>
  <c r="AP477" i="9"/>
  <c r="Y477" i="9"/>
  <c r="I477" i="9"/>
  <c r="L476" i="9"/>
  <c r="X476" i="9"/>
  <c r="AJ476" i="9"/>
  <c r="AV476" i="9"/>
  <c r="A476" i="9"/>
  <c r="M476" i="9"/>
  <c r="Y476" i="9"/>
  <c r="AK476" i="9"/>
  <c r="AW476" i="9"/>
  <c r="F476" i="9"/>
  <c r="R476" i="9"/>
  <c r="AD476" i="9"/>
  <c r="BD476" i="9" s="1"/>
  <c r="AP476" i="9"/>
  <c r="BB476" i="9"/>
  <c r="AS474" i="9"/>
  <c r="AD474" i="9"/>
  <c r="BD474" i="9" s="1"/>
  <c r="M474" i="9"/>
  <c r="BA473" i="9"/>
  <c r="AL473" i="9"/>
  <c r="U473" i="9"/>
  <c r="V473" i="9" s="1"/>
  <c r="AW471" i="9"/>
  <c r="R471" i="9"/>
  <c r="A471" i="9"/>
  <c r="AO470" i="9"/>
  <c r="I470" i="9"/>
  <c r="BB468" i="9"/>
  <c r="AK468" i="9"/>
  <c r="U468" i="9"/>
  <c r="V468" i="9" s="1"/>
  <c r="AS467" i="9"/>
  <c r="AC467" i="9"/>
  <c r="N467" i="9"/>
  <c r="AP465" i="9"/>
  <c r="Y465" i="9"/>
  <c r="I465" i="9"/>
  <c r="L464" i="9"/>
  <c r="X464" i="9"/>
  <c r="AJ464" i="9"/>
  <c r="AV464" i="9"/>
  <c r="A464" i="9"/>
  <c r="M464" i="9"/>
  <c r="Y464" i="9"/>
  <c r="AK464" i="9"/>
  <c r="AW464" i="9"/>
  <c r="F464" i="9"/>
  <c r="R464" i="9"/>
  <c r="AD464" i="9"/>
  <c r="BD464" i="9" s="1"/>
  <c r="AP464" i="9"/>
  <c r="BB464" i="9"/>
  <c r="AU462" i="9"/>
  <c r="AE462" i="9"/>
  <c r="BC462" i="9" s="1"/>
  <c r="N462" i="9"/>
  <c r="D459" i="9"/>
  <c r="P459" i="9"/>
  <c r="AB459" i="9"/>
  <c r="AN459" i="9"/>
  <c r="AZ459" i="9"/>
  <c r="AY459" i="9" s="1"/>
  <c r="E459" i="9"/>
  <c r="Q459" i="9"/>
  <c r="AC459" i="9"/>
  <c r="AO459" i="9"/>
  <c r="BA459" i="9"/>
  <c r="J459" i="9"/>
  <c r="AH459" i="9"/>
  <c r="AT459" i="9"/>
  <c r="AQ458" i="9"/>
  <c r="I458" i="9"/>
  <c r="O455" i="9"/>
  <c r="AN452" i="9"/>
  <c r="S452" i="9"/>
  <c r="AR449" i="9"/>
  <c r="A449" i="9"/>
  <c r="C447" i="9"/>
  <c r="O447" i="9"/>
  <c r="AM447" i="9"/>
  <c r="I447" i="9"/>
  <c r="U447" i="9"/>
  <c r="V447" i="9" s="1"/>
  <c r="AS447" i="9"/>
  <c r="E447" i="9"/>
  <c r="S447" i="9"/>
  <c r="AH447" i="9"/>
  <c r="AV447" i="9"/>
  <c r="F447" i="9"/>
  <c r="T447" i="9"/>
  <c r="AI447" i="9"/>
  <c r="AW447" i="9"/>
  <c r="G447" i="9"/>
  <c r="AJ447" i="9"/>
  <c r="AX447" i="9"/>
  <c r="H447" i="9"/>
  <c r="W447" i="9"/>
  <c r="AK447" i="9"/>
  <c r="AZ447" i="9"/>
  <c r="AY447" i="9" s="1"/>
  <c r="N447" i="9"/>
  <c r="AC447" i="9"/>
  <c r="AQ447" i="9"/>
  <c r="AK446" i="9"/>
  <c r="AU442" i="9"/>
  <c r="AZ441" i="9"/>
  <c r="AY441" i="9" s="1"/>
  <c r="AD441" i="9"/>
  <c r="BD441" i="9" s="1"/>
  <c r="AN438" i="9"/>
  <c r="M438" i="9"/>
  <c r="AR437" i="9"/>
  <c r="A488" i="9"/>
  <c r="M488" i="9"/>
  <c r="Y488" i="9"/>
  <c r="AK488" i="9"/>
  <c r="AW488" i="9"/>
  <c r="F488" i="9"/>
  <c r="R488" i="9"/>
  <c r="AD488" i="9"/>
  <c r="BD488" i="9" s="1"/>
  <c r="AP488" i="9"/>
  <c r="BB488" i="9"/>
  <c r="AI471" i="9"/>
  <c r="G442" i="9"/>
  <c r="S442" i="9"/>
  <c r="AE442" i="9"/>
  <c r="BC442" i="9" s="1"/>
  <c r="AQ442" i="9"/>
  <c r="A442" i="9"/>
  <c r="M442" i="9"/>
  <c r="Y442" i="9"/>
  <c r="AK442" i="9"/>
  <c r="AW442" i="9"/>
  <c r="K442" i="9"/>
  <c r="Z442" i="9" s="1"/>
  <c r="AA442" i="9" s="1"/>
  <c r="AN442" i="9"/>
  <c r="BB442" i="9"/>
  <c r="L442" i="9"/>
  <c r="AO442" i="9"/>
  <c r="N442" i="9"/>
  <c r="AB442" i="9"/>
  <c r="AP442" i="9"/>
  <c r="O442" i="9"/>
  <c r="AC442" i="9"/>
  <c r="AR442" i="9"/>
  <c r="F442" i="9"/>
  <c r="U442" i="9"/>
  <c r="V442" i="9" s="1"/>
  <c r="AI442" i="9"/>
  <c r="AX442" i="9"/>
  <c r="X494" i="9"/>
  <c r="AQ492" i="9"/>
  <c r="AB488" i="9"/>
  <c r="P486" i="9"/>
  <c r="AV471" i="9"/>
  <c r="AF471" i="9"/>
  <c r="AG471" i="9" s="1"/>
  <c r="O471" i="9"/>
  <c r="AM452" i="9"/>
  <c r="Q452" i="9"/>
  <c r="AQ449" i="9"/>
  <c r="U449" i="9"/>
  <c r="V449" i="9" s="1"/>
  <c r="AT442" i="9"/>
  <c r="T442" i="9"/>
  <c r="C441" i="9"/>
  <c r="O441" i="9"/>
  <c r="AM441" i="9"/>
  <c r="I441" i="9"/>
  <c r="U441" i="9"/>
  <c r="V441" i="9" s="1"/>
  <c r="AS441" i="9"/>
  <c r="J441" i="9"/>
  <c r="X441" i="9"/>
  <c r="AL441" i="9"/>
  <c r="BA441" i="9"/>
  <c r="K441" i="9"/>
  <c r="Z441" i="9" s="1"/>
  <c r="AA441" i="9" s="1"/>
  <c r="Y441" i="9"/>
  <c r="AN441" i="9"/>
  <c r="BB441" i="9"/>
  <c r="L441" i="9"/>
  <c r="AO441" i="9"/>
  <c r="M441" i="9"/>
  <c r="AB441" i="9"/>
  <c r="AP441" i="9"/>
  <c r="E441" i="9"/>
  <c r="S441" i="9"/>
  <c r="AH441" i="9"/>
  <c r="AV441" i="9"/>
  <c r="AQ437" i="9"/>
  <c r="P437" i="9"/>
  <c r="I498" i="9"/>
  <c r="H497" i="9"/>
  <c r="AM494" i="9"/>
  <c r="J494" i="9"/>
  <c r="N492" i="9"/>
  <c r="N488" i="9"/>
  <c r="D480" i="9"/>
  <c r="P480" i="9"/>
  <c r="AB480" i="9"/>
  <c r="AN480" i="9"/>
  <c r="AZ480" i="9"/>
  <c r="AY480" i="9" s="1"/>
  <c r="E480" i="9"/>
  <c r="Q480" i="9"/>
  <c r="AC480" i="9"/>
  <c r="AO480" i="9"/>
  <c r="BA480" i="9"/>
  <c r="J480" i="9"/>
  <c r="AH480" i="9"/>
  <c r="AT480" i="9"/>
  <c r="AI497" i="9"/>
  <c r="K495" i="9"/>
  <c r="Z495" i="9" s="1"/>
  <c r="AA495" i="9" s="1"/>
  <c r="I494" i="9"/>
  <c r="L488" i="9"/>
  <c r="AR486" i="9"/>
  <c r="A486" i="9"/>
  <c r="A482" i="9"/>
  <c r="M482" i="9"/>
  <c r="Y482" i="9"/>
  <c r="AK482" i="9"/>
  <c r="AW482" i="9"/>
  <c r="F482" i="9"/>
  <c r="R482" i="9"/>
  <c r="AD482" i="9"/>
  <c r="BD482" i="9" s="1"/>
  <c r="AP482" i="9"/>
  <c r="BB482" i="9"/>
  <c r="A480" i="9"/>
  <c r="I479" i="9"/>
  <c r="K474" i="9"/>
  <c r="Z474" i="9" s="1"/>
  <c r="AA474" i="9" s="1"/>
  <c r="AU471" i="9"/>
  <c r="AE471" i="9"/>
  <c r="BC471" i="9" s="1"/>
  <c r="N471" i="9"/>
  <c r="AM470" i="9"/>
  <c r="G470" i="9"/>
  <c r="D468" i="9"/>
  <c r="P468" i="9"/>
  <c r="AB468" i="9"/>
  <c r="AN468" i="9"/>
  <c r="AZ468" i="9"/>
  <c r="AY468" i="9" s="1"/>
  <c r="E468" i="9"/>
  <c r="Q468" i="9"/>
  <c r="AC468" i="9"/>
  <c r="AO468" i="9"/>
  <c r="BA468" i="9"/>
  <c r="J468" i="9"/>
  <c r="AH468" i="9"/>
  <c r="AT468" i="9"/>
  <c r="AQ467" i="9"/>
  <c r="J467" i="9"/>
  <c r="AR462" i="9"/>
  <c r="L462" i="9"/>
  <c r="AN458" i="9"/>
  <c r="W458" i="9"/>
  <c r="G458" i="9"/>
  <c r="AZ455" i="9"/>
  <c r="AY455" i="9" s="1"/>
  <c r="AE455" i="9"/>
  <c r="BC455" i="9" s="1"/>
  <c r="I455" i="9"/>
  <c r="AL452" i="9"/>
  <c r="P452" i="9"/>
  <c r="AO449" i="9"/>
  <c r="T449" i="9"/>
  <c r="AS442" i="9"/>
  <c r="R442" i="9"/>
  <c r="AW441" i="9"/>
  <c r="W441" i="9"/>
  <c r="A441" i="9"/>
  <c r="AN437" i="9"/>
  <c r="O437" i="9"/>
  <c r="AZ426" i="9"/>
  <c r="AY426" i="9" s="1"/>
  <c r="AZ498" i="9"/>
  <c r="AY498" i="9" s="1"/>
  <c r="AJ497" i="9"/>
  <c r="BA494" i="9"/>
  <c r="AX480" i="9"/>
  <c r="W498" i="9"/>
  <c r="G497" i="9"/>
  <c r="Y495" i="9"/>
  <c r="AD486" i="9"/>
  <c r="BD486" i="9" s="1"/>
  <c r="AW480" i="9"/>
  <c r="AO479" i="9"/>
  <c r="AX500" i="9"/>
  <c r="AL500" i="9"/>
  <c r="N500" i="9"/>
  <c r="AX498" i="9"/>
  <c r="AJ498" i="9"/>
  <c r="U498" i="9"/>
  <c r="V498" i="9" s="1"/>
  <c r="G498" i="9"/>
  <c r="AV497" i="9"/>
  <c r="T497" i="9"/>
  <c r="E497" i="9"/>
  <c r="AZ495" i="9"/>
  <c r="AY495" i="9" s="1"/>
  <c r="AL495" i="9"/>
  <c r="X495" i="9"/>
  <c r="I495" i="9"/>
  <c r="AJ494" i="9"/>
  <c r="H494" i="9"/>
  <c r="AN492" i="9"/>
  <c r="L492" i="9"/>
  <c r="AN488" i="9"/>
  <c r="K488" i="9"/>
  <c r="Z488" i="9" s="1"/>
  <c r="AA488" i="9" s="1"/>
  <c r="AQ486" i="9"/>
  <c r="AB486" i="9"/>
  <c r="N486" i="9"/>
  <c r="E483" i="9"/>
  <c r="Q483" i="9"/>
  <c r="AC483" i="9"/>
  <c r="AO483" i="9"/>
  <c r="BA483" i="9"/>
  <c r="J483" i="9"/>
  <c r="AH483" i="9"/>
  <c r="AT483" i="9"/>
  <c r="AR482" i="9"/>
  <c r="AC482" i="9"/>
  <c r="O482" i="9"/>
  <c r="AV480" i="9"/>
  <c r="AF480" i="9"/>
  <c r="AG480" i="9" s="1"/>
  <c r="O480" i="9"/>
  <c r="AN479" i="9"/>
  <c r="W479" i="9"/>
  <c r="H479" i="9"/>
  <c r="BB477" i="9"/>
  <c r="AK477" i="9"/>
  <c r="U477" i="9"/>
  <c r="V477" i="9" s="1"/>
  <c r="F477" i="9"/>
  <c r="AP474" i="9"/>
  <c r="Y474" i="9"/>
  <c r="I474" i="9"/>
  <c r="L473" i="9"/>
  <c r="X473" i="9"/>
  <c r="AJ473" i="9"/>
  <c r="AV473" i="9"/>
  <c r="A473" i="9"/>
  <c r="M473" i="9"/>
  <c r="Y473" i="9"/>
  <c r="AK473" i="9"/>
  <c r="AW473" i="9"/>
  <c r="F473" i="9"/>
  <c r="R473" i="9"/>
  <c r="AD473" i="9"/>
  <c r="BD473" i="9" s="1"/>
  <c r="AP473" i="9"/>
  <c r="BB473" i="9"/>
  <c r="AS471" i="9"/>
  <c r="AD471" i="9"/>
  <c r="BD471" i="9" s="1"/>
  <c r="M471" i="9"/>
  <c r="BA470" i="9"/>
  <c r="AL470" i="9"/>
  <c r="U470" i="9"/>
  <c r="V470" i="9" s="1"/>
  <c r="E470" i="9"/>
  <c r="AW468" i="9"/>
  <c r="R468" i="9"/>
  <c r="A468" i="9"/>
  <c r="AO467" i="9"/>
  <c r="I467" i="9"/>
  <c r="BB465" i="9"/>
  <c r="AK465" i="9"/>
  <c r="U465" i="9"/>
  <c r="V465" i="9" s="1"/>
  <c r="F465" i="9"/>
  <c r="AS464" i="9"/>
  <c r="AC464" i="9"/>
  <c r="N464" i="9"/>
  <c r="AQ462" i="9"/>
  <c r="K462" i="9"/>
  <c r="Z462" i="9" s="1"/>
  <c r="AA462" i="9" s="1"/>
  <c r="AU459" i="9"/>
  <c r="AE459" i="9"/>
  <c r="BC459" i="9" s="1"/>
  <c r="N459" i="9"/>
  <c r="AM458" i="9"/>
  <c r="E458" i="9"/>
  <c r="AC455" i="9"/>
  <c r="H455" i="9"/>
  <c r="O452" i="9"/>
  <c r="AN449" i="9"/>
  <c r="S449" i="9"/>
  <c r="K446" i="9"/>
  <c r="Z446" i="9" s="1"/>
  <c r="AA446" i="9" s="1"/>
  <c r="W446" i="9"/>
  <c r="AI446" i="9"/>
  <c r="AU446" i="9"/>
  <c r="E446" i="9"/>
  <c r="Q446" i="9"/>
  <c r="AC446" i="9"/>
  <c r="AO446" i="9"/>
  <c r="BA446" i="9"/>
  <c r="C446" i="9"/>
  <c r="R446" i="9"/>
  <c r="AF446" i="9"/>
  <c r="AG446" i="9" s="1"/>
  <c r="AT446" i="9"/>
  <c r="D446" i="9"/>
  <c r="S446" i="9"/>
  <c r="AV446" i="9"/>
  <c r="F446" i="9"/>
  <c r="T446" i="9"/>
  <c r="AH446" i="9"/>
  <c r="AW446" i="9"/>
  <c r="G446" i="9"/>
  <c r="U446" i="9"/>
  <c r="V446" i="9" s="1"/>
  <c r="AJ446" i="9"/>
  <c r="AX446" i="9"/>
  <c r="M446" i="9"/>
  <c r="AP446" i="9"/>
  <c r="AM442" i="9"/>
  <c r="Q442" i="9"/>
  <c r="AU441" i="9"/>
  <c r="AE438" i="9"/>
  <c r="BC438" i="9" s="1"/>
  <c r="J438" i="9"/>
  <c r="AM437" i="9"/>
  <c r="N437" i="9"/>
  <c r="AF426" i="9"/>
  <c r="AG426" i="9" s="1"/>
  <c r="AV442" i="9"/>
  <c r="AL498" i="9"/>
  <c r="AS486" i="9"/>
  <c r="AK498" i="9"/>
  <c r="H498" i="9"/>
  <c r="U497" i="9"/>
  <c r="V497" i="9" s="1"/>
  <c r="AM495" i="9"/>
  <c r="W494" i="9"/>
  <c r="AO488" i="9"/>
  <c r="O486" i="9"/>
  <c r="AS482" i="9"/>
  <c r="P482" i="9"/>
  <c r="R480" i="9"/>
  <c r="AQ474" i="9"/>
  <c r="AH497" i="9"/>
  <c r="AW500" i="9"/>
  <c r="AK500" i="9"/>
  <c r="Y500" i="9"/>
  <c r="M500" i="9"/>
  <c r="A500" i="9"/>
  <c r="AW498" i="9"/>
  <c r="AI498" i="9"/>
  <c r="T498" i="9"/>
  <c r="F498" i="9"/>
  <c r="AU497" i="9"/>
  <c r="S497" i="9"/>
  <c r="D497" i="9"/>
  <c r="AK495" i="9"/>
  <c r="W495" i="9"/>
  <c r="H495" i="9"/>
  <c r="AX494" i="9"/>
  <c r="AI494" i="9"/>
  <c r="U494" i="9"/>
  <c r="V494" i="9" s="1"/>
  <c r="G494" i="9"/>
  <c r="BB492" i="9"/>
  <c r="AM492" i="9"/>
  <c r="Y492" i="9"/>
  <c r="K492" i="9"/>
  <c r="Z492" i="9" s="1"/>
  <c r="AA492" i="9" s="1"/>
  <c r="AZ491" i="9"/>
  <c r="AY491" i="9" s="1"/>
  <c r="AL491" i="9"/>
  <c r="W491" i="9"/>
  <c r="AN489" i="9"/>
  <c r="L489" i="9"/>
  <c r="BA488" i="9"/>
  <c r="AM488" i="9"/>
  <c r="X488" i="9"/>
  <c r="J488" i="9"/>
  <c r="AP486" i="9"/>
  <c r="AN485" i="9"/>
  <c r="K485" i="9"/>
  <c r="Z485" i="9" s="1"/>
  <c r="AA485" i="9" s="1"/>
  <c r="AR483" i="9"/>
  <c r="AD483" i="9"/>
  <c r="BD483" i="9" s="1"/>
  <c r="O483" i="9"/>
  <c r="A483" i="9"/>
  <c r="AQ482" i="9"/>
  <c r="AB482" i="9"/>
  <c r="N482" i="9"/>
  <c r="AU480" i="9"/>
  <c r="AE480" i="9"/>
  <c r="BC480" i="9" s="1"/>
  <c r="N480" i="9"/>
  <c r="AM479" i="9"/>
  <c r="G479" i="9"/>
  <c r="AJ477" i="9"/>
  <c r="T477" i="9"/>
  <c r="AR476" i="9"/>
  <c r="AB476" i="9"/>
  <c r="K476" i="9"/>
  <c r="Z476" i="9" s="1"/>
  <c r="AA476" i="9" s="1"/>
  <c r="AM474" i="9"/>
  <c r="X474" i="9"/>
  <c r="H474" i="9"/>
  <c r="AU473" i="9"/>
  <c r="AF473" i="9"/>
  <c r="AG473" i="9" s="1"/>
  <c r="P473" i="9"/>
  <c r="AR471" i="9"/>
  <c r="AZ470" i="9"/>
  <c r="AY470" i="9" s="1"/>
  <c r="AI470" i="9"/>
  <c r="T470" i="9"/>
  <c r="D470" i="9"/>
  <c r="AV468" i="9"/>
  <c r="AF468" i="9"/>
  <c r="AG468" i="9" s="1"/>
  <c r="O468" i="9"/>
  <c r="AN467" i="9"/>
  <c r="W467" i="9"/>
  <c r="H467" i="9"/>
  <c r="AJ465" i="9"/>
  <c r="T465" i="9"/>
  <c r="AR464" i="9"/>
  <c r="AB464" i="9"/>
  <c r="K464" i="9"/>
  <c r="Z464" i="9" s="1"/>
  <c r="AA464" i="9" s="1"/>
  <c r="AP462" i="9"/>
  <c r="Y462" i="9"/>
  <c r="I462" i="9"/>
  <c r="L461" i="9"/>
  <c r="X461" i="9"/>
  <c r="AJ461" i="9"/>
  <c r="AV461" i="9"/>
  <c r="A461" i="9"/>
  <c r="M461" i="9"/>
  <c r="Y461" i="9"/>
  <c r="AK461" i="9"/>
  <c r="AW461" i="9"/>
  <c r="F461" i="9"/>
  <c r="R461" i="9"/>
  <c r="AD461" i="9"/>
  <c r="BD461" i="9" s="1"/>
  <c r="AP461" i="9"/>
  <c r="BB461" i="9"/>
  <c r="AS459" i="9"/>
  <c r="AD459" i="9"/>
  <c r="BD459" i="9" s="1"/>
  <c r="M459" i="9"/>
  <c r="BA458" i="9"/>
  <c r="AL458" i="9"/>
  <c r="U458" i="9"/>
  <c r="V458" i="9" s="1"/>
  <c r="D458" i="9"/>
  <c r="AX455" i="9"/>
  <c r="AB455" i="9"/>
  <c r="G455" i="9"/>
  <c r="BA452" i="9"/>
  <c r="AF452" i="9"/>
  <c r="AG452" i="9" s="1"/>
  <c r="N452" i="9"/>
  <c r="AM449" i="9"/>
  <c r="P449" i="9"/>
  <c r="AR447" i="9"/>
  <c r="R447" i="9"/>
  <c r="AZ446" i="9"/>
  <c r="AY446" i="9" s="1"/>
  <c r="A446" i="9"/>
  <c r="AL442" i="9"/>
  <c r="P442" i="9"/>
  <c r="AT441" i="9"/>
  <c r="T441" i="9"/>
  <c r="K440" i="9"/>
  <c r="Z440" i="9" s="1"/>
  <c r="AA440" i="9" s="1"/>
  <c r="W440" i="9"/>
  <c r="AI440" i="9"/>
  <c r="AU440" i="9"/>
  <c r="E440" i="9"/>
  <c r="Q440" i="9"/>
  <c r="AC440" i="9"/>
  <c r="AO440" i="9"/>
  <c r="BA440" i="9"/>
  <c r="H440" i="9"/>
  <c r="AK440" i="9"/>
  <c r="I440" i="9"/>
  <c r="X440" i="9"/>
  <c r="AL440" i="9"/>
  <c r="AZ440" i="9"/>
  <c r="AY440" i="9" s="1"/>
  <c r="J440" i="9"/>
  <c r="Y440" i="9"/>
  <c r="AM440" i="9"/>
  <c r="BB440" i="9"/>
  <c r="L440" i="9"/>
  <c r="AN440" i="9"/>
  <c r="C440" i="9"/>
  <c r="R440" i="9"/>
  <c r="AF440" i="9"/>
  <c r="AG440" i="9" s="1"/>
  <c r="AT440" i="9"/>
  <c r="AD438" i="9"/>
  <c r="BD438" i="9" s="1"/>
  <c r="AL437" i="9"/>
  <c r="L437" i="9"/>
  <c r="AB426" i="9"/>
  <c r="P488" i="9"/>
  <c r="D471" i="9"/>
  <c r="P471" i="9"/>
  <c r="AB471" i="9"/>
  <c r="AN471" i="9"/>
  <c r="AZ471" i="9"/>
  <c r="AY471" i="9" s="1"/>
  <c r="E471" i="9"/>
  <c r="Q471" i="9"/>
  <c r="AC471" i="9"/>
  <c r="AO471" i="9"/>
  <c r="BA471" i="9"/>
  <c r="J471" i="9"/>
  <c r="AH471" i="9"/>
  <c r="AT471" i="9"/>
  <c r="X498" i="9"/>
  <c r="AB492" i="9"/>
  <c r="AQ488" i="9"/>
  <c r="E486" i="9"/>
  <c r="Q486" i="9"/>
  <c r="AC486" i="9"/>
  <c r="AO486" i="9"/>
  <c r="BA486" i="9"/>
  <c r="J486" i="9"/>
  <c r="AH486" i="9"/>
  <c r="AT486" i="9"/>
  <c r="S480" i="9"/>
  <c r="AX497" i="9"/>
  <c r="BB495" i="9"/>
  <c r="AZ494" i="9"/>
  <c r="AY494" i="9" s="1"/>
  <c r="AL494" i="9"/>
  <c r="AP492" i="9"/>
  <c r="M492" i="9"/>
  <c r="AV498" i="9"/>
  <c r="S498" i="9"/>
  <c r="D498" i="9"/>
  <c r="AT497" i="9"/>
  <c r="AF497" i="9"/>
  <c r="AG497" i="9" s="1"/>
  <c r="Q497" i="9"/>
  <c r="AX495" i="9"/>
  <c r="AJ495" i="9"/>
  <c r="U495" i="9"/>
  <c r="V495" i="9" s="1"/>
  <c r="AV494" i="9"/>
  <c r="AH494" i="9"/>
  <c r="T494" i="9"/>
  <c r="E494" i="9"/>
  <c r="AZ492" i="9"/>
  <c r="AY492" i="9" s="1"/>
  <c r="AL492" i="9"/>
  <c r="X492" i="9"/>
  <c r="I492" i="9"/>
  <c r="AZ488" i="9"/>
  <c r="AY488" i="9" s="1"/>
  <c r="AL488" i="9"/>
  <c r="W488" i="9"/>
  <c r="I488" i="9"/>
  <c r="AN486" i="9"/>
  <c r="L486" i="9"/>
  <c r="AO482" i="9"/>
  <c r="L482" i="9"/>
  <c r="AS480" i="9"/>
  <c r="AD480" i="9"/>
  <c r="BD480" i="9" s="1"/>
  <c r="M480" i="9"/>
  <c r="BA479" i="9"/>
  <c r="AL479" i="9"/>
  <c r="U479" i="9"/>
  <c r="V479" i="9" s="1"/>
  <c r="D477" i="9"/>
  <c r="P477" i="9"/>
  <c r="AB477" i="9"/>
  <c r="AN477" i="9"/>
  <c r="AZ477" i="9"/>
  <c r="AY477" i="9" s="1"/>
  <c r="E477" i="9"/>
  <c r="Q477" i="9"/>
  <c r="AC477" i="9"/>
  <c r="AO477" i="9"/>
  <c r="BA477" i="9"/>
  <c r="J477" i="9"/>
  <c r="AH477" i="9"/>
  <c r="AT477" i="9"/>
  <c r="AL474" i="9"/>
  <c r="W474" i="9"/>
  <c r="AQ471" i="9"/>
  <c r="K471" i="9"/>
  <c r="Z471" i="9" s="1"/>
  <c r="AA471" i="9" s="1"/>
  <c r="AH470" i="9"/>
  <c r="S470" i="9"/>
  <c r="AU468" i="9"/>
  <c r="AE468" i="9"/>
  <c r="BC468" i="9" s="1"/>
  <c r="N468" i="9"/>
  <c r="AM467" i="9"/>
  <c r="D465" i="9"/>
  <c r="P465" i="9"/>
  <c r="AB465" i="9"/>
  <c r="AN465" i="9"/>
  <c r="AZ465" i="9"/>
  <c r="AY465" i="9" s="1"/>
  <c r="E465" i="9"/>
  <c r="Q465" i="9"/>
  <c r="AC465" i="9"/>
  <c r="AO465" i="9"/>
  <c r="BA465" i="9"/>
  <c r="J465" i="9"/>
  <c r="AH465" i="9"/>
  <c r="AT465" i="9"/>
  <c r="AM462" i="9"/>
  <c r="X462" i="9"/>
  <c r="AZ458" i="9"/>
  <c r="AY458" i="9" s="1"/>
  <c r="AI458" i="9"/>
  <c r="T458" i="9"/>
  <c r="AS455" i="9"/>
  <c r="AZ452" i="9"/>
  <c r="AY452" i="9" s="1"/>
  <c r="AE452" i="9"/>
  <c r="BC452" i="9" s="1"/>
  <c r="I452" i="9"/>
  <c r="AL449" i="9"/>
  <c r="O449" i="9"/>
  <c r="AJ442" i="9"/>
  <c r="J442" i="9"/>
  <c r="AR441" i="9"/>
  <c r="R441" i="9"/>
  <c r="C438" i="9"/>
  <c r="O438" i="9"/>
  <c r="AM438" i="9"/>
  <c r="I438" i="9"/>
  <c r="U438" i="9"/>
  <c r="V438" i="9" s="1"/>
  <c r="AS438" i="9"/>
  <c r="E438" i="9"/>
  <c r="S438" i="9"/>
  <c r="AH438" i="9"/>
  <c r="AV438" i="9"/>
  <c r="F438" i="9"/>
  <c r="T438" i="9"/>
  <c r="AI438" i="9"/>
  <c r="AW438" i="9"/>
  <c r="G438" i="9"/>
  <c r="AJ438" i="9"/>
  <c r="AX438" i="9"/>
  <c r="H438" i="9"/>
  <c r="W438" i="9"/>
  <c r="AK438" i="9"/>
  <c r="AZ438" i="9"/>
  <c r="AY438" i="9" s="1"/>
  <c r="N438" i="9"/>
  <c r="AC438" i="9"/>
  <c r="AQ438" i="9"/>
  <c r="AK437" i="9"/>
  <c r="L410" i="9"/>
  <c r="X410" i="9"/>
  <c r="AJ410" i="9"/>
  <c r="AV410" i="9"/>
  <c r="A410" i="9"/>
  <c r="M410" i="9"/>
  <c r="Y410" i="9"/>
  <c r="AK410" i="9"/>
  <c r="AW410" i="9"/>
  <c r="F410" i="9"/>
  <c r="R410" i="9"/>
  <c r="AD410" i="9"/>
  <c r="BD410" i="9" s="1"/>
  <c r="AP410" i="9"/>
  <c r="BB410" i="9"/>
  <c r="O410" i="9"/>
  <c r="AE410" i="9"/>
  <c r="BC410" i="9" s="1"/>
  <c r="AT410" i="9"/>
  <c r="E410" i="9"/>
  <c r="U410" i="9"/>
  <c r="V410" i="9" s="1"/>
  <c r="AL410" i="9"/>
  <c r="BA410" i="9"/>
  <c r="G410" i="9"/>
  <c r="AM410" i="9"/>
  <c r="H410" i="9"/>
  <c r="W410" i="9"/>
  <c r="AN410" i="9"/>
  <c r="K410" i="9"/>
  <c r="Z410" i="9" s="1"/>
  <c r="AA410" i="9" s="1"/>
  <c r="AB410" i="9"/>
  <c r="AR410" i="9"/>
  <c r="D410" i="9"/>
  <c r="I410" i="9"/>
  <c r="AH410" i="9"/>
  <c r="J410" i="9"/>
  <c r="AI410" i="9"/>
  <c r="N410" i="9"/>
  <c r="AO410" i="9"/>
  <c r="P410" i="9"/>
  <c r="AQ410" i="9"/>
  <c r="Q410" i="9"/>
  <c r="AS410" i="9"/>
  <c r="S410" i="9"/>
  <c r="AU410" i="9"/>
  <c r="T410" i="9"/>
  <c r="AX410" i="9"/>
  <c r="AZ410" i="9"/>
  <c r="AY410" i="9" s="1"/>
  <c r="C410" i="9"/>
  <c r="AF410" i="9"/>
  <c r="AG410" i="9" s="1"/>
  <c r="AE488" i="9"/>
  <c r="BC488" i="9" s="1"/>
  <c r="A497" i="9"/>
  <c r="M497" i="9"/>
  <c r="Y497" i="9"/>
  <c r="AK497" i="9"/>
  <c r="AW497" i="9"/>
  <c r="F497" i="9"/>
  <c r="R497" i="9"/>
  <c r="AD497" i="9"/>
  <c r="BD497" i="9" s="1"/>
  <c r="AP497" i="9"/>
  <c r="BB497" i="9"/>
  <c r="W492" i="9"/>
  <c r="H492" i="9"/>
  <c r="AP471" i="9"/>
  <c r="Y471" i="9"/>
  <c r="I471" i="9"/>
  <c r="L470" i="9"/>
  <c r="X470" i="9"/>
  <c r="AJ470" i="9"/>
  <c r="AV470" i="9"/>
  <c r="A470" i="9"/>
  <c r="M470" i="9"/>
  <c r="Y470" i="9"/>
  <c r="AK470" i="9"/>
  <c r="AW470" i="9"/>
  <c r="F470" i="9"/>
  <c r="R470" i="9"/>
  <c r="AD470" i="9"/>
  <c r="BD470" i="9" s="1"/>
  <c r="AP470" i="9"/>
  <c r="BB470" i="9"/>
  <c r="K458" i="9"/>
  <c r="Z458" i="9" s="1"/>
  <c r="AA458" i="9" s="1"/>
  <c r="L458" i="9"/>
  <c r="X458" i="9"/>
  <c r="AJ458" i="9"/>
  <c r="AV458" i="9"/>
  <c r="A458" i="9"/>
  <c r="M458" i="9"/>
  <c r="Y458" i="9"/>
  <c r="AK458" i="9"/>
  <c r="AW458" i="9"/>
  <c r="F458" i="9"/>
  <c r="R458" i="9"/>
  <c r="AD458" i="9"/>
  <c r="BD458" i="9" s="1"/>
  <c r="AP458" i="9"/>
  <c r="BB458" i="9"/>
  <c r="AC452" i="9"/>
  <c r="H452" i="9"/>
  <c r="N449" i="9"/>
  <c r="AH442" i="9"/>
  <c r="I442" i="9"/>
  <c r="E426" i="9"/>
  <c r="Q426" i="9"/>
  <c r="AC426" i="9"/>
  <c r="AO426" i="9"/>
  <c r="BA426" i="9"/>
  <c r="J426" i="9"/>
  <c r="AH426" i="9"/>
  <c r="AT426" i="9"/>
  <c r="M426" i="9"/>
  <c r="AP426" i="9"/>
  <c r="D426" i="9"/>
  <c r="S426" i="9"/>
  <c r="AV426" i="9"/>
  <c r="F426" i="9"/>
  <c r="T426" i="9"/>
  <c r="AI426" i="9"/>
  <c r="AW426" i="9"/>
  <c r="G426" i="9"/>
  <c r="U426" i="9"/>
  <c r="V426" i="9" s="1"/>
  <c r="AJ426" i="9"/>
  <c r="AX426" i="9"/>
  <c r="K426" i="9"/>
  <c r="Z426" i="9" s="1"/>
  <c r="AA426" i="9" s="1"/>
  <c r="Y426" i="9"/>
  <c r="AM426" i="9"/>
  <c r="BB426" i="9"/>
  <c r="H426" i="9"/>
  <c r="AE426" i="9"/>
  <c r="BC426" i="9" s="1"/>
  <c r="L426" i="9"/>
  <c r="AK426" i="9"/>
  <c r="N426" i="9"/>
  <c r="AL426" i="9"/>
  <c r="O426" i="9"/>
  <c r="AN426" i="9"/>
  <c r="P426" i="9"/>
  <c r="AQ426" i="9"/>
  <c r="R426" i="9"/>
  <c r="AR426" i="9"/>
  <c r="W426" i="9"/>
  <c r="AS426" i="9"/>
  <c r="X426" i="9"/>
  <c r="AU426" i="9"/>
  <c r="A426" i="9"/>
  <c r="C426" i="9"/>
  <c r="AD426" i="9"/>
  <c r="BD426" i="9" s="1"/>
  <c r="AS492" i="9"/>
  <c r="AK492" i="9"/>
  <c r="AX488" i="9"/>
  <c r="AI488" i="9"/>
  <c r="U488" i="9"/>
  <c r="V488" i="9" s="1"/>
  <c r="G488" i="9"/>
  <c r="AM471" i="9"/>
  <c r="X471" i="9"/>
  <c r="H471" i="9"/>
  <c r="AX452" i="9"/>
  <c r="AB452" i="9"/>
  <c r="G452" i="9"/>
  <c r="BA449" i="9"/>
  <c r="AF449" i="9"/>
  <c r="AG449" i="9" s="1"/>
  <c r="M449" i="9"/>
  <c r="H442" i="9"/>
  <c r="E492" i="9"/>
  <c r="Q492" i="9"/>
  <c r="AC492" i="9"/>
  <c r="AO492" i="9"/>
  <c r="BA492" i="9"/>
  <c r="J492" i="9"/>
  <c r="AH492" i="9"/>
  <c r="AT492" i="9"/>
  <c r="AS497" i="9"/>
  <c r="AJ488" i="9"/>
  <c r="AS498" i="9"/>
  <c r="P498" i="9"/>
  <c r="AC497" i="9"/>
  <c r="AX492" i="9"/>
  <c r="AR498" i="9"/>
  <c r="N497" i="9"/>
  <c r="P494" i="9"/>
  <c r="AW492" i="9"/>
  <c r="T488" i="9"/>
  <c r="AP480" i="9"/>
  <c r="Y480" i="9"/>
  <c r="I480" i="9"/>
  <c r="L479" i="9"/>
  <c r="X479" i="9"/>
  <c r="AJ479" i="9"/>
  <c r="AV479" i="9"/>
  <c r="A479" i="9"/>
  <c r="M479" i="9"/>
  <c r="Y479" i="9"/>
  <c r="AK479" i="9"/>
  <c r="AW479" i="9"/>
  <c r="F479" i="9"/>
  <c r="R479" i="9"/>
  <c r="AD479" i="9"/>
  <c r="BD479" i="9" s="1"/>
  <c r="AP479" i="9"/>
  <c r="BB479" i="9"/>
  <c r="D474" i="9"/>
  <c r="P474" i="9"/>
  <c r="AB474" i="9"/>
  <c r="AN474" i="9"/>
  <c r="AZ474" i="9"/>
  <c r="AY474" i="9" s="1"/>
  <c r="E474" i="9"/>
  <c r="Q474" i="9"/>
  <c r="AC474" i="9"/>
  <c r="AO474" i="9"/>
  <c r="BA474" i="9"/>
  <c r="J474" i="9"/>
  <c r="AH474" i="9"/>
  <c r="AT474" i="9"/>
  <c r="AL471" i="9"/>
  <c r="W471" i="9"/>
  <c r="G471" i="9"/>
  <c r="AT470" i="9"/>
  <c r="AE470" i="9"/>
  <c r="BC470" i="9" s="1"/>
  <c r="O470" i="9"/>
  <c r="AU458" i="9"/>
  <c r="AF458" i="9"/>
  <c r="AG458" i="9" s="1"/>
  <c r="P458" i="9"/>
  <c r="J455" i="9"/>
  <c r="AH455" i="9"/>
  <c r="AT455" i="9"/>
  <c r="K455" i="9"/>
  <c r="Z455" i="9" s="1"/>
  <c r="AA455" i="9" s="1"/>
  <c r="W455" i="9"/>
  <c r="AI455" i="9"/>
  <c r="AU455" i="9"/>
  <c r="L455" i="9"/>
  <c r="X455" i="9"/>
  <c r="AJ455" i="9"/>
  <c r="AV455" i="9"/>
  <c r="A455" i="9"/>
  <c r="M455" i="9"/>
  <c r="Y455" i="9"/>
  <c r="AK455" i="9"/>
  <c r="AW455" i="9"/>
  <c r="F455" i="9"/>
  <c r="R455" i="9"/>
  <c r="AD455" i="9"/>
  <c r="BD455" i="9" s="1"/>
  <c r="AP455" i="9"/>
  <c r="BB455" i="9"/>
  <c r="AS452" i="9"/>
  <c r="E452" i="9"/>
  <c r="AZ449" i="9"/>
  <c r="AY449" i="9" s="1"/>
  <c r="AE449" i="9"/>
  <c r="BC449" i="9" s="1"/>
  <c r="G449" i="9"/>
  <c r="BA442" i="9"/>
  <c r="AF442" i="9"/>
  <c r="AG442" i="9" s="1"/>
  <c r="E442" i="9"/>
  <c r="AJ441" i="9"/>
  <c r="N441" i="9"/>
  <c r="K437" i="9"/>
  <c r="Z437" i="9" s="1"/>
  <c r="AA437" i="9" s="1"/>
  <c r="W437" i="9"/>
  <c r="AI437" i="9"/>
  <c r="AU437" i="9"/>
  <c r="E437" i="9"/>
  <c r="Q437" i="9"/>
  <c r="AC437" i="9"/>
  <c r="AO437" i="9"/>
  <c r="BA437" i="9"/>
  <c r="C437" i="9"/>
  <c r="R437" i="9"/>
  <c r="AF437" i="9"/>
  <c r="AG437" i="9" s="1"/>
  <c r="AT437" i="9"/>
  <c r="D437" i="9"/>
  <c r="S437" i="9"/>
  <c r="AV437" i="9"/>
  <c r="F437" i="9"/>
  <c r="T437" i="9"/>
  <c r="AH437" i="9"/>
  <c r="AW437" i="9"/>
  <c r="G437" i="9"/>
  <c r="U437" i="9"/>
  <c r="V437" i="9" s="1"/>
  <c r="AJ437" i="9"/>
  <c r="AX437" i="9"/>
  <c r="M437" i="9"/>
  <c r="AP437" i="9"/>
  <c r="BD437" i="9"/>
  <c r="AE497" i="9"/>
  <c r="BC497" i="9" s="1"/>
  <c r="E498" i="9"/>
  <c r="Q498" i="9"/>
  <c r="AC498" i="9"/>
  <c r="AO498" i="9"/>
  <c r="BA498" i="9"/>
  <c r="J498" i="9"/>
  <c r="AH498" i="9"/>
  <c r="AT498" i="9"/>
  <c r="O497" i="9"/>
  <c r="G492" i="9"/>
  <c r="AD498" i="9"/>
  <c r="BD498" i="9" s="1"/>
  <c r="AQ497" i="9"/>
  <c r="AI492" i="9"/>
  <c r="F492" i="9"/>
  <c r="AV488" i="9"/>
  <c r="AB498" i="9"/>
  <c r="E495" i="9"/>
  <c r="Q495" i="9"/>
  <c r="AC495" i="9"/>
  <c r="AO495" i="9"/>
  <c r="BA495" i="9"/>
  <c r="J495" i="9"/>
  <c r="AH495" i="9"/>
  <c r="AT495" i="9"/>
  <c r="AR494" i="9"/>
  <c r="AC494" i="9"/>
  <c r="AU488" i="9"/>
  <c r="S488" i="9"/>
  <c r="AJ486" i="9"/>
  <c r="G486" i="9"/>
  <c r="AU479" i="9"/>
  <c r="A474" i="9"/>
  <c r="BB471" i="9"/>
  <c r="AK471" i="9"/>
  <c r="U471" i="9"/>
  <c r="V471" i="9" s="1"/>
  <c r="F471" i="9"/>
  <c r="AS470" i="9"/>
  <c r="AC470" i="9"/>
  <c r="N470" i="9"/>
  <c r="L467" i="9"/>
  <c r="X467" i="9"/>
  <c r="AJ467" i="9"/>
  <c r="AV467" i="9"/>
  <c r="A467" i="9"/>
  <c r="M467" i="9"/>
  <c r="Y467" i="9"/>
  <c r="AK467" i="9"/>
  <c r="AW467" i="9"/>
  <c r="F467" i="9"/>
  <c r="R467" i="9"/>
  <c r="AD467" i="9"/>
  <c r="BD467" i="9" s="1"/>
  <c r="AP467" i="9"/>
  <c r="BB467" i="9"/>
  <c r="D462" i="9"/>
  <c r="P462" i="9"/>
  <c r="AB462" i="9"/>
  <c r="AN462" i="9"/>
  <c r="AZ462" i="9"/>
  <c r="AY462" i="9" s="1"/>
  <c r="E462" i="9"/>
  <c r="Q462" i="9"/>
  <c r="AC462" i="9"/>
  <c r="AO462" i="9"/>
  <c r="BA462" i="9"/>
  <c r="J462" i="9"/>
  <c r="AH462" i="9"/>
  <c r="AT462" i="9"/>
  <c r="AT458" i="9"/>
  <c r="AE458" i="9"/>
  <c r="BC458" i="9" s="1"/>
  <c r="O458" i="9"/>
  <c r="AN455" i="9"/>
  <c r="S455" i="9"/>
  <c r="AR452" i="9"/>
  <c r="D452" i="9"/>
  <c r="AC449" i="9"/>
  <c r="F449" i="9"/>
  <c r="AZ442" i="9"/>
  <c r="AY442" i="9" s="1"/>
  <c r="AD442" i="9"/>
  <c r="BD442" i="9" s="1"/>
  <c r="D442" i="9"/>
  <c r="AI441" i="9"/>
  <c r="H441" i="9"/>
  <c r="AZ437" i="9"/>
  <c r="AY437" i="9" s="1"/>
  <c r="A437" i="9"/>
  <c r="AE492" i="9"/>
  <c r="BC492" i="9" s="1"/>
  <c r="S471" i="9"/>
  <c r="P497" i="9"/>
  <c r="H488" i="9"/>
  <c r="AE498" i="9"/>
  <c r="BC498" i="9" s="1"/>
  <c r="AR497" i="9"/>
  <c r="U492" i="9"/>
  <c r="V492" i="9" s="1"/>
  <c r="O498" i="9"/>
  <c r="AB497" i="9"/>
  <c r="A494" i="9"/>
  <c r="M494" i="9"/>
  <c r="Y494" i="9"/>
  <c r="AK494" i="9"/>
  <c r="AW494" i="9"/>
  <c r="F494" i="9"/>
  <c r="R494" i="9"/>
  <c r="AD494" i="9"/>
  <c r="BD494" i="9" s="1"/>
  <c r="AP494" i="9"/>
  <c r="BB494" i="9"/>
  <c r="T492" i="9"/>
  <c r="AH488" i="9"/>
  <c r="E488" i="9"/>
  <c r="AQ498" i="9"/>
  <c r="N498" i="9"/>
  <c r="AO497" i="9"/>
  <c r="L497" i="9"/>
  <c r="AV492" i="9"/>
  <c r="S492" i="9"/>
  <c r="D492" i="9"/>
  <c r="D488" i="9"/>
  <c r="AX486" i="9"/>
  <c r="U486" i="9"/>
  <c r="V486" i="9" s="1"/>
  <c r="AM480" i="9"/>
  <c r="X480" i="9"/>
  <c r="H480" i="9"/>
  <c r="AF479" i="9"/>
  <c r="AG479" i="9" s="1"/>
  <c r="P479" i="9"/>
  <c r="AW474" i="9"/>
  <c r="R474" i="9"/>
  <c r="AQ500" i="9"/>
  <c r="AE500" i="9"/>
  <c r="BC500" i="9" s="1"/>
  <c r="S500" i="9"/>
  <c r="AP498" i="9"/>
  <c r="M498" i="9"/>
  <c r="AN497" i="9"/>
  <c r="K497" i="9"/>
  <c r="Z497" i="9" s="1"/>
  <c r="AA497" i="9" s="1"/>
  <c r="AR495" i="9"/>
  <c r="AD495" i="9"/>
  <c r="BD495" i="9" s="1"/>
  <c r="O495" i="9"/>
  <c r="A495" i="9"/>
  <c r="AQ494" i="9"/>
  <c r="AB494" i="9"/>
  <c r="N494" i="9"/>
  <c r="AU492" i="9"/>
  <c r="AF492" i="9"/>
  <c r="AG492" i="9" s="1"/>
  <c r="R492" i="9"/>
  <c r="C492" i="9"/>
  <c r="A491" i="9"/>
  <c r="M491" i="9"/>
  <c r="Y491" i="9"/>
  <c r="AK491" i="9"/>
  <c r="AW491" i="9"/>
  <c r="F491" i="9"/>
  <c r="R491" i="9"/>
  <c r="AD491" i="9"/>
  <c r="BD491" i="9" s="1"/>
  <c r="AP491" i="9"/>
  <c r="BB491" i="9"/>
  <c r="AV489" i="9"/>
  <c r="S489" i="9"/>
  <c r="D489" i="9"/>
  <c r="AT488" i="9"/>
  <c r="AF488" i="9"/>
  <c r="AG488" i="9" s="1"/>
  <c r="Q488" i="9"/>
  <c r="C488" i="9"/>
  <c r="AW486" i="9"/>
  <c r="AI486" i="9"/>
  <c r="T486" i="9"/>
  <c r="F486" i="9"/>
  <c r="AU485" i="9"/>
  <c r="S485" i="9"/>
  <c r="D485" i="9"/>
  <c r="AK483" i="9"/>
  <c r="W483" i="9"/>
  <c r="H483" i="9"/>
  <c r="AX482" i="9"/>
  <c r="AI482" i="9"/>
  <c r="U482" i="9"/>
  <c r="V482" i="9" s="1"/>
  <c r="G482" i="9"/>
  <c r="AL480" i="9"/>
  <c r="W480" i="9"/>
  <c r="G480" i="9"/>
  <c r="AT479" i="9"/>
  <c r="AE479" i="9"/>
  <c r="BC479" i="9" s="1"/>
  <c r="O479" i="9"/>
  <c r="AR477" i="9"/>
  <c r="L477" i="9"/>
  <c r="AZ476" i="9"/>
  <c r="AY476" i="9" s="1"/>
  <c r="AI476" i="9"/>
  <c r="T476" i="9"/>
  <c r="D476" i="9"/>
  <c r="AV474" i="9"/>
  <c r="AF474" i="9"/>
  <c r="AG474" i="9" s="1"/>
  <c r="O474" i="9"/>
  <c r="AN473" i="9"/>
  <c r="W473" i="9"/>
  <c r="H473" i="9"/>
  <c r="AJ471" i="9"/>
  <c r="T471" i="9"/>
  <c r="C471" i="9"/>
  <c r="AR470" i="9"/>
  <c r="AB470" i="9"/>
  <c r="K470" i="9"/>
  <c r="Z470" i="9" s="1"/>
  <c r="AA470" i="9" s="1"/>
  <c r="AM468" i="9"/>
  <c r="X468" i="9"/>
  <c r="H468" i="9"/>
  <c r="AU467" i="9"/>
  <c r="AF467" i="9"/>
  <c r="AG467" i="9" s="1"/>
  <c r="P467" i="9"/>
  <c r="AR465" i="9"/>
  <c r="L465" i="9"/>
  <c r="AZ464" i="9"/>
  <c r="AY464" i="9" s="1"/>
  <c r="AI464" i="9"/>
  <c r="T464" i="9"/>
  <c r="D464" i="9"/>
  <c r="AW462" i="9"/>
  <c r="R462" i="9"/>
  <c r="A462" i="9"/>
  <c r="BB459" i="9"/>
  <c r="AK459" i="9"/>
  <c r="U459" i="9"/>
  <c r="V459" i="9" s="1"/>
  <c r="F459" i="9"/>
  <c r="AS458" i="9"/>
  <c r="AC458" i="9"/>
  <c r="N458" i="9"/>
  <c r="AM455" i="9"/>
  <c r="Q455" i="9"/>
  <c r="AQ452" i="9"/>
  <c r="U452" i="9"/>
  <c r="V452" i="9" s="1"/>
  <c r="C452" i="9"/>
  <c r="AX449" i="9"/>
  <c r="AB449" i="9"/>
  <c r="D449" i="9"/>
  <c r="BD447" i="9"/>
  <c r="AE447" i="9"/>
  <c r="BC447" i="9" s="1"/>
  <c r="J447" i="9"/>
  <c r="AM446" i="9"/>
  <c r="N446" i="9"/>
  <c r="X442" i="9"/>
  <c r="C442" i="9"/>
  <c r="AF441" i="9"/>
  <c r="AG441" i="9" s="1"/>
  <c r="G441" i="9"/>
  <c r="AP438" i="9"/>
  <c r="Q438" i="9"/>
  <c r="Y437" i="9"/>
  <c r="AT456" i="9"/>
  <c r="AH456" i="9"/>
  <c r="J456" i="9"/>
  <c r="AT453" i="9"/>
  <c r="AH453" i="9"/>
  <c r="J453" i="9"/>
  <c r="AT450" i="9"/>
  <c r="AH450" i="9"/>
  <c r="J450" i="9"/>
  <c r="G448" i="9"/>
  <c r="S448" i="9"/>
  <c r="AE448" i="9"/>
  <c r="BC448" i="9" s="1"/>
  <c r="AQ448" i="9"/>
  <c r="A448" i="9"/>
  <c r="M448" i="9"/>
  <c r="Y448" i="9"/>
  <c r="AK448" i="9"/>
  <c r="AW448" i="9"/>
  <c r="BB445" i="9"/>
  <c r="AN445" i="9"/>
  <c r="K445" i="9"/>
  <c r="Z445" i="9" s="1"/>
  <c r="AA445" i="9" s="1"/>
  <c r="BA444" i="9"/>
  <c r="AL444" i="9"/>
  <c r="X444" i="9"/>
  <c r="J444" i="9"/>
  <c r="AK443" i="9"/>
  <c r="G439" i="9"/>
  <c r="S439" i="9"/>
  <c r="AE439" i="9"/>
  <c r="BC439" i="9" s="1"/>
  <c r="AQ439" i="9"/>
  <c r="A439" i="9"/>
  <c r="M439" i="9"/>
  <c r="Y439" i="9"/>
  <c r="AK439" i="9"/>
  <c r="AW439" i="9"/>
  <c r="E435" i="9"/>
  <c r="Q435" i="9"/>
  <c r="AC435" i="9"/>
  <c r="AO435" i="9"/>
  <c r="BA435" i="9"/>
  <c r="J435" i="9"/>
  <c r="AH435" i="9"/>
  <c r="AT435" i="9"/>
  <c r="F435" i="9"/>
  <c r="T435" i="9"/>
  <c r="AI435" i="9"/>
  <c r="AW435" i="9"/>
  <c r="M435" i="9"/>
  <c r="AP435" i="9"/>
  <c r="N435" i="9"/>
  <c r="AB435" i="9"/>
  <c r="AQ435" i="9"/>
  <c r="C435" i="9"/>
  <c r="R435" i="9"/>
  <c r="AF435" i="9"/>
  <c r="AG435" i="9" s="1"/>
  <c r="AU435" i="9"/>
  <c r="AN431" i="9"/>
  <c r="Q431" i="9"/>
  <c r="AJ425" i="9"/>
  <c r="L425" i="9"/>
  <c r="AV423" i="9"/>
  <c r="Y423" i="9"/>
  <c r="AE422" i="9"/>
  <c r="BC422" i="9" s="1"/>
  <c r="BB417" i="9"/>
  <c r="A417" i="9"/>
  <c r="BB414" i="9"/>
  <c r="X414" i="9"/>
  <c r="D411" i="9"/>
  <c r="P411" i="9"/>
  <c r="AB411" i="9"/>
  <c r="AN411" i="9"/>
  <c r="AZ411" i="9"/>
  <c r="AY411" i="9" s="1"/>
  <c r="E411" i="9"/>
  <c r="Q411" i="9"/>
  <c r="AC411" i="9"/>
  <c r="AO411" i="9"/>
  <c r="BA411" i="9"/>
  <c r="J411" i="9"/>
  <c r="AH411" i="9"/>
  <c r="AT411" i="9"/>
  <c r="G411" i="9"/>
  <c r="W411" i="9"/>
  <c r="AL411" i="9"/>
  <c r="M411" i="9"/>
  <c r="AD411" i="9"/>
  <c r="BD411" i="9" s="1"/>
  <c r="AS411" i="9"/>
  <c r="N411" i="9"/>
  <c r="AE411" i="9"/>
  <c r="BC411" i="9" s="1"/>
  <c r="AU411" i="9"/>
  <c r="O411" i="9"/>
  <c r="AF411" i="9"/>
  <c r="AG411" i="9" s="1"/>
  <c r="AV411" i="9"/>
  <c r="C411" i="9"/>
  <c r="T411" i="9"/>
  <c r="AJ411" i="9"/>
  <c r="AE425" i="9"/>
  <c r="BC425" i="9" s="1"/>
  <c r="AS423" i="9"/>
  <c r="S423" i="9"/>
  <c r="A422" i="9"/>
  <c r="M422" i="9"/>
  <c r="Y422" i="9"/>
  <c r="AK422" i="9"/>
  <c r="AW422" i="9"/>
  <c r="F422" i="9"/>
  <c r="R422" i="9"/>
  <c r="AD422" i="9"/>
  <c r="BD422" i="9" s="1"/>
  <c r="AP422" i="9"/>
  <c r="BB422" i="9"/>
  <c r="N422" i="9"/>
  <c r="AB422" i="9"/>
  <c r="AQ422" i="9"/>
  <c r="E422" i="9"/>
  <c r="T422" i="9"/>
  <c r="AH422" i="9"/>
  <c r="AV422" i="9"/>
  <c r="G422" i="9"/>
  <c r="U422" i="9"/>
  <c r="V422" i="9" s="1"/>
  <c r="AI422" i="9"/>
  <c r="AX422" i="9"/>
  <c r="H422" i="9"/>
  <c r="AJ422" i="9"/>
  <c r="K422" i="9"/>
  <c r="Z422" i="9" s="1"/>
  <c r="AA422" i="9" s="1"/>
  <c r="AN422" i="9"/>
  <c r="AX417" i="9"/>
  <c r="U417" i="9"/>
  <c r="V417" i="9" s="1"/>
  <c r="AV414" i="9"/>
  <c r="U414" i="9"/>
  <c r="V414" i="9" s="1"/>
  <c r="AU413" i="9"/>
  <c r="AW417" i="9"/>
  <c r="T417" i="9"/>
  <c r="AU414" i="9"/>
  <c r="S414" i="9"/>
  <c r="AT413" i="9"/>
  <c r="Q413" i="9"/>
  <c r="A425" i="9"/>
  <c r="M425" i="9"/>
  <c r="Y425" i="9"/>
  <c r="AK425" i="9"/>
  <c r="AW425" i="9"/>
  <c r="F425" i="9"/>
  <c r="R425" i="9"/>
  <c r="AD425" i="9"/>
  <c r="BD425" i="9" s="1"/>
  <c r="AP425" i="9"/>
  <c r="BB425" i="9"/>
  <c r="K425" i="9"/>
  <c r="Z425" i="9" s="1"/>
  <c r="AA425" i="9" s="1"/>
  <c r="AN425" i="9"/>
  <c r="C425" i="9"/>
  <c r="Q425" i="9"/>
  <c r="AF425" i="9"/>
  <c r="AG425" i="9" s="1"/>
  <c r="AT425" i="9"/>
  <c r="D425" i="9"/>
  <c r="S425" i="9"/>
  <c r="AU425" i="9"/>
  <c r="E425" i="9"/>
  <c r="T425" i="9"/>
  <c r="AH425" i="9"/>
  <c r="AV425" i="9"/>
  <c r="I425" i="9"/>
  <c r="W425" i="9"/>
  <c r="AL425" i="9"/>
  <c r="AZ425" i="9"/>
  <c r="AY425" i="9" s="1"/>
  <c r="AN423" i="9"/>
  <c r="P423" i="9"/>
  <c r="AU417" i="9"/>
  <c r="S417" i="9"/>
  <c r="AP414" i="9"/>
  <c r="O414" i="9"/>
  <c r="AS413" i="9"/>
  <c r="P413" i="9"/>
  <c r="U499" i="9"/>
  <c r="V499" i="9" s="1"/>
  <c r="U490" i="9"/>
  <c r="V490" i="9" s="1"/>
  <c r="U487" i="9"/>
  <c r="V487" i="9" s="1"/>
  <c r="U475" i="9"/>
  <c r="V475" i="9" s="1"/>
  <c r="U472" i="9"/>
  <c r="V472" i="9" s="1"/>
  <c r="U469" i="9"/>
  <c r="V469" i="9" s="1"/>
  <c r="U466" i="9"/>
  <c r="V466" i="9" s="1"/>
  <c r="U460" i="9"/>
  <c r="V460" i="9" s="1"/>
  <c r="BA456" i="9"/>
  <c r="AO456" i="9"/>
  <c r="AC456" i="9"/>
  <c r="Q456" i="9"/>
  <c r="E456" i="9"/>
  <c r="BA453" i="9"/>
  <c r="AO453" i="9"/>
  <c r="AC453" i="9"/>
  <c r="Q453" i="9"/>
  <c r="E453" i="9"/>
  <c r="BA450" i="9"/>
  <c r="AO450" i="9"/>
  <c r="AC450" i="9"/>
  <c r="Q450" i="9"/>
  <c r="E450" i="9"/>
  <c r="AV445" i="9"/>
  <c r="AH445" i="9"/>
  <c r="T445" i="9"/>
  <c r="E445" i="9"/>
  <c r="AU444" i="9"/>
  <c r="AF444" i="9"/>
  <c r="AG444" i="9" s="1"/>
  <c r="R444" i="9"/>
  <c r="K443" i="9"/>
  <c r="Z443" i="9" s="1"/>
  <c r="AA443" i="9" s="1"/>
  <c r="W443" i="9"/>
  <c r="AI443" i="9"/>
  <c r="AU443" i="9"/>
  <c r="E443" i="9"/>
  <c r="Q443" i="9"/>
  <c r="AC443" i="9"/>
  <c r="AO443" i="9"/>
  <c r="BA443" i="9"/>
  <c r="AF431" i="9"/>
  <c r="AG431" i="9" s="1"/>
  <c r="H431" i="9"/>
  <c r="AM423" i="9"/>
  <c r="N423" i="9"/>
  <c r="AS422" i="9"/>
  <c r="S422" i="9"/>
  <c r="AR417" i="9"/>
  <c r="R417" i="9"/>
  <c r="AM414" i="9"/>
  <c r="N414" i="9"/>
  <c r="AQ413" i="9"/>
  <c r="O413" i="9"/>
  <c r="AZ456" i="9"/>
  <c r="AY456" i="9" s="1"/>
  <c r="AN456" i="9"/>
  <c r="AB456" i="9"/>
  <c r="P456" i="9"/>
  <c r="D456" i="9"/>
  <c r="AZ453" i="9"/>
  <c r="AY453" i="9" s="1"/>
  <c r="AN453" i="9"/>
  <c r="AB453" i="9"/>
  <c r="P453" i="9"/>
  <c r="D453" i="9"/>
  <c r="AZ450" i="9"/>
  <c r="AY450" i="9" s="1"/>
  <c r="AN450" i="9"/>
  <c r="AB450" i="9"/>
  <c r="P450" i="9"/>
  <c r="D450" i="9"/>
  <c r="AU445" i="9"/>
  <c r="R445" i="9"/>
  <c r="D445" i="9"/>
  <c r="C444" i="9"/>
  <c r="O444" i="9"/>
  <c r="AM444" i="9"/>
  <c r="I444" i="9"/>
  <c r="U444" i="9"/>
  <c r="V444" i="9" s="1"/>
  <c r="AS444" i="9"/>
  <c r="BA431" i="9"/>
  <c r="AE431" i="9"/>
  <c r="BC431" i="9" s="1"/>
  <c r="E431" i="9"/>
  <c r="AX425" i="9"/>
  <c r="X425" i="9"/>
  <c r="AI423" i="9"/>
  <c r="L423" i="9"/>
  <c r="AR422" i="9"/>
  <c r="Q422" i="9"/>
  <c r="AQ417" i="9"/>
  <c r="N417" i="9"/>
  <c r="AL414" i="9"/>
  <c r="I414" i="9"/>
  <c r="AN413" i="9"/>
  <c r="N413" i="9"/>
  <c r="D399" i="9"/>
  <c r="P399" i="9"/>
  <c r="AB399" i="9"/>
  <c r="AN399" i="9"/>
  <c r="AZ399" i="9"/>
  <c r="AY399" i="9" s="1"/>
  <c r="E399" i="9"/>
  <c r="Q399" i="9"/>
  <c r="AC399" i="9"/>
  <c r="AO399" i="9"/>
  <c r="BA399" i="9"/>
  <c r="J399" i="9"/>
  <c r="AH399" i="9"/>
  <c r="AT399" i="9"/>
  <c r="C399" i="9"/>
  <c r="T399" i="9"/>
  <c r="AJ399" i="9"/>
  <c r="F399" i="9"/>
  <c r="U399" i="9"/>
  <c r="V399" i="9" s="1"/>
  <c r="AK399" i="9"/>
  <c r="BB399" i="9"/>
  <c r="G399" i="9"/>
  <c r="W399" i="9"/>
  <c r="AL399" i="9"/>
  <c r="H399" i="9"/>
  <c r="X399" i="9"/>
  <c r="AM399" i="9"/>
  <c r="I399" i="9"/>
  <c r="Y399" i="9"/>
  <c r="AP399" i="9"/>
  <c r="K399" i="9"/>
  <c r="Z399" i="9" s="1"/>
  <c r="AA399" i="9" s="1"/>
  <c r="AQ399" i="9"/>
  <c r="L399" i="9"/>
  <c r="AR399" i="9"/>
  <c r="M399" i="9"/>
  <c r="AD399" i="9"/>
  <c r="BD399" i="9" s="1"/>
  <c r="AS399" i="9"/>
  <c r="N399" i="9"/>
  <c r="AE399" i="9"/>
  <c r="BC399" i="9" s="1"/>
  <c r="AU399" i="9"/>
  <c r="O399" i="9"/>
  <c r="AF399" i="9"/>
  <c r="AG399" i="9" s="1"/>
  <c r="AV399" i="9"/>
  <c r="A399" i="9"/>
  <c r="R399" i="9"/>
  <c r="AW399" i="9"/>
  <c r="AM456" i="9"/>
  <c r="O456" i="9"/>
  <c r="AM453" i="9"/>
  <c r="O453" i="9"/>
  <c r="AM450" i="9"/>
  <c r="O450" i="9"/>
  <c r="AT445" i="9"/>
  <c r="AF445" i="9"/>
  <c r="AG445" i="9" s="1"/>
  <c r="Q445" i="9"/>
  <c r="AS425" i="9"/>
  <c r="K423" i="9"/>
  <c r="Z423" i="9" s="1"/>
  <c r="AA423" i="9" s="1"/>
  <c r="AO422" i="9"/>
  <c r="P422" i="9"/>
  <c r="AK417" i="9"/>
  <c r="L417" i="9"/>
  <c r="AK414" i="9"/>
  <c r="H414" i="9"/>
  <c r="AM413" i="9"/>
  <c r="J413" i="9"/>
  <c r="G445" i="9"/>
  <c r="S445" i="9"/>
  <c r="AE445" i="9"/>
  <c r="BC445" i="9" s="1"/>
  <c r="AQ445" i="9"/>
  <c r="A445" i="9"/>
  <c r="M445" i="9"/>
  <c r="Y445" i="9"/>
  <c r="AK445" i="9"/>
  <c r="AW445" i="9"/>
  <c r="A431" i="9"/>
  <c r="M431" i="9"/>
  <c r="Y431" i="9"/>
  <c r="AK431" i="9"/>
  <c r="AW431" i="9"/>
  <c r="F431" i="9"/>
  <c r="R431" i="9"/>
  <c r="AD431" i="9"/>
  <c r="BD431" i="9" s="1"/>
  <c r="AP431" i="9"/>
  <c r="BB431" i="9"/>
  <c r="G431" i="9"/>
  <c r="U431" i="9"/>
  <c r="V431" i="9" s="1"/>
  <c r="AI431" i="9"/>
  <c r="AX431" i="9"/>
  <c r="L431" i="9"/>
  <c r="AO431" i="9"/>
  <c r="N431" i="9"/>
  <c r="AB431" i="9"/>
  <c r="AQ431" i="9"/>
  <c r="O431" i="9"/>
  <c r="AC431" i="9"/>
  <c r="AR431" i="9"/>
  <c r="D431" i="9"/>
  <c r="S431" i="9"/>
  <c r="AU431" i="9"/>
  <c r="AR425" i="9"/>
  <c r="U425" i="9"/>
  <c r="V425" i="9" s="1"/>
  <c r="AF423" i="9"/>
  <c r="AG423" i="9" s="1"/>
  <c r="F423" i="9"/>
  <c r="AM422" i="9"/>
  <c r="O422" i="9"/>
  <c r="AJ417" i="9"/>
  <c r="K417" i="9"/>
  <c r="Z417" i="9" s="1"/>
  <c r="AA417" i="9" s="1"/>
  <c r="AI414" i="9"/>
  <c r="G414" i="9"/>
  <c r="H413" i="9"/>
  <c r="AQ425" i="9"/>
  <c r="P425" i="9"/>
  <c r="AE423" i="9"/>
  <c r="BC423" i="9" s="1"/>
  <c r="AL422" i="9"/>
  <c r="L422" i="9"/>
  <c r="AI417" i="9"/>
  <c r="AF414" i="9"/>
  <c r="AG414" i="9" s="1"/>
  <c r="AF413" i="9"/>
  <c r="AG413" i="9" s="1"/>
  <c r="G389" i="9"/>
  <c r="S389" i="9"/>
  <c r="AE389" i="9"/>
  <c r="BC389" i="9" s="1"/>
  <c r="AQ389" i="9"/>
  <c r="H389" i="9"/>
  <c r="T389" i="9"/>
  <c r="AF389" i="9"/>
  <c r="AG389" i="9" s="1"/>
  <c r="AR389" i="9"/>
  <c r="L389" i="9"/>
  <c r="X389" i="9"/>
  <c r="AJ389" i="9"/>
  <c r="AV389" i="9"/>
  <c r="A389" i="9"/>
  <c r="M389" i="9"/>
  <c r="Y389" i="9"/>
  <c r="AK389" i="9"/>
  <c r="AW389" i="9"/>
  <c r="C389" i="9"/>
  <c r="O389" i="9"/>
  <c r="AM389" i="9"/>
  <c r="F389" i="9"/>
  <c r="R389" i="9"/>
  <c r="AD389" i="9"/>
  <c r="BD389" i="9" s="1"/>
  <c r="AP389" i="9"/>
  <c r="BB389" i="9"/>
  <c r="D389" i="9"/>
  <c r="AB389" i="9"/>
  <c r="AZ389" i="9"/>
  <c r="AY389" i="9" s="1"/>
  <c r="E389" i="9"/>
  <c r="AC389" i="9"/>
  <c r="BA389" i="9"/>
  <c r="I389" i="9"/>
  <c r="J389" i="9"/>
  <c r="AH389" i="9"/>
  <c r="K389" i="9"/>
  <c r="Z389" i="9" s="1"/>
  <c r="AA389" i="9" s="1"/>
  <c r="AI389" i="9"/>
  <c r="N389" i="9"/>
  <c r="AL389" i="9"/>
  <c r="P389" i="9"/>
  <c r="AN389" i="9"/>
  <c r="Q389" i="9"/>
  <c r="AO389" i="9"/>
  <c r="U389" i="9"/>
  <c r="V389" i="9" s="1"/>
  <c r="AS389" i="9"/>
  <c r="AT389" i="9"/>
  <c r="W389" i="9"/>
  <c r="AU389" i="9"/>
  <c r="D414" i="9"/>
  <c r="P414" i="9"/>
  <c r="AB414" i="9"/>
  <c r="AN414" i="9"/>
  <c r="AZ414" i="9"/>
  <c r="AY414" i="9" s="1"/>
  <c r="E414" i="9"/>
  <c r="Q414" i="9"/>
  <c r="AC414" i="9"/>
  <c r="AO414" i="9"/>
  <c r="BA414" i="9"/>
  <c r="J414" i="9"/>
  <c r="AH414" i="9"/>
  <c r="AT414" i="9"/>
  <c r="C414" i="9"/>
  <c r="T414" i="9"/>
  <c r="AJ414" i="9"/>
  <c r="K414" i="9"/>
  <c r="Z414" i="9" s="1"/>
  <c r="AA414" i="9" s="1"/>
  <c r="AQ414" i="9"/>
  <c r="L414" i="9"/>
  <c r="AR414" i="9"/>
  <c r="M414" i="9"/>
  <c r="AD414" i="9"/>
  <c r="BD414" i="9" s="1"/>
  <c r="AS414" i="9"/>
  <c r="A414" i="9"/>
  <c r="R414" i="9"/>
  <c r="AW414" i="9"/>
  <c r="L413" i="9"/>
  <c r="X413" i="9"/>
  <c r="AJ413" i="9"/>
  <c r="AV413" i="9"/>
  <c r="A413" i="9"/>
  <c r="M413" i="9"/>
  <c r="Y413" i="9"/>
  <c r="AK413" i="9"/>
  <c r="AW413" i="9"/>
  <c r="F413" i="9"/>
  <c r="R413" i="9"/>
  <c r="AD413" i="9"/>
  <c r="BD413" i="9" s="1"/>
  <c r="AP413" i="9"/>
  <c r="BB413" i="9"/>
  <c r="K413" i="9"/>
  <c r="Z413" i="9" s="1"/>
  <c r="AA413" i="9" s="1"/>
  <c r="AB413" i="9"/>
  <c r="AR413" i="9"/>
  <c r="C413" i="9"/>
  <c r="S413" i="9"/>
  <c r="AH413" i="9"/>
  <c r="D413" i="9"/>
  <c r="T413" i="9"/>
  <c r="AI413" i="9"/>
  <c r="AZ413" i="9"/>
  <c r="AY413" i="9" s="1"/>
  <c r="E413" i="9"/>
  <c r="U413" i="9"/>
  <c r="V413" i="9" s="1"/>
  <c r="AL413" i="9"/>
  <c r="BA413" i="9"/>
  <c r="I413" i="9"/>
  <c r="AO413" i="9"/>
  <c r="E423" i="9"/>
  <c r="Q423" i="9"/>
  <c r="AC423" i="9"/>
  <c r="AO423" i="9"/>
  <c r="BA423" i="9"/>
  <c r="J423" i="9"/>
  <c r="AH423" i="9"/>
  <c r="AT423" i="9"/>
  <c r="A423" i="9"/>
  <c r="O423" i="9"/>
  <c r="AD423" i="9"/>
  <c r="BD423" i="9" s="1"/>
  <c r="AR423" i="9"/>
  <c r="G423" i="9"/>
  <c r="U423" i="9"/>
  <c r="V423" i="9" s="1"/>
  <c r="AJ423" i="9"/>
  <c r="AX423" i="9"/>
  <c r="H423" i="9"/>
  <c r="W423" i="9"/>
  <c r="AK423" i="9"/>
  <c r="I423" i="9"/>
  <c r="X423" i="9"/>
  <c r="AL423" i="9"/>
  <c r="AZ423" i="9"/>
  <c r="AY423" i="9" s="1"/>
  <c r="M423" i="9"/>
  <c r="AP423" i="9"/>
  <c r="D417" i="9"/>
  <c r="P417" i="9"/>
  <c r="AB417" i="9"/>
  <c r="AN417" i="9"/>
  <c r="AZ417" i="9"/>
  <c r="AY417" i="9" s="1"/>
  <c r="E417" i="9"/>
  <c r="Q417" i="9"/>
  <c r="AC417" i="9"/>
  <c r="AO417" i="9"/>
  <c r="BA417" i="9"/>
  <c r="J417" i="9"/>
  <c r="AH417" i="9"/>
  <c r="AT417" i="9"/>
  <c r="O417" i="9"/>
  <c r="AF417" i="9"/>
  <c r="AG417" i="9" s="1"/>
  <c r="AV417" i="9"/>
  <c r="G417" i="9"/>
  <c r="W417" i="9"/>
  <c r="AL417" i="9"/>
  <c r="H417" i="9"/>
  <c r="X417" i="9"/>
  <c r="AM417" i="9"/>
  <c r="I417" i="9"/>
  <c r="Y417" i="9"/>
  <c r="AP417" i="9"/>
  <c r="M417" i="9"/>
  <c r="AD417" i="9"/>
  <c r="BD417" i="9" s="1"/>
  <c r="AS417" i="9"/>
  <c r="Y414" i="9"/>
  <c r="AC413" i="9"/>
  <c r="A434" i="9"/>
  <c r="M434" i="9"/>
  <c r="Y434" i="9"/>
  <c r="AK434" i="9"/>
  <c r="AW434" i="9"/>
  <c r="F434" i="9"/>
  <c r="R434" i="9"/>
  <c r="AD434" i="9"/>
  <c r="BD434" i="9" s="1"/>
  <c r="AP434" i="9"/>
  <c r="BB434" i="9"/>
  <c r="AW432" i="9"/>
  <c r="AI432" i="9"/>
  <c r="T432" i="9"/>
  <c r="L419" i="9"/>
  <c r="X419" i="9"/>
  <c r="AJ419" i="9"/>
  <c r="AV419" i="9"/>
  <c r="A419" i="9"/>
  <c r="M419" i="9"/>
  <c r="Y419" i="9"/>
  <c r="AK419" i="9"/>
  <c r="AW419" i="9"/>
  <c r="F419" i="9"/>
  <c r="R419" i="9"/>
  <c r="AD419" i="9"/>
  <c r="BD419" i="9" s="1"/>
  <c r="AP419" i="9"/>
  <c r="BB419" i="9"/>
  <c r="L404" i="9"/>
  <c r="X404" i="9"/>
  <c r="AJ404" i="9"/>
  <c r="AV404" i="9"/>
  <c r="A404" i="9"/>
  <c r="M404" i="9"/>
  <c r="Y404" i="9"/>
  <c r="AK404" i="9"/>
  <c r="AW404" i="9"/>
  <c r="F404" i="9"/>
  <c r="R404" i="9"/>
  <c r="AD404" i="9"/>
  <c r="BD404" i="9" s="1"/>
  <c r="AP404" i="9"/>
  <c r="BB404" i="9"/>
  <c r="AS402" i="9"/>
  <c r="AD402" i="9"/>
  <c r="BD402" i="9" s="1"/>
  <c r="M402" i="9"/>
  <c r="AW396" i="9"/>
  <c r="AF396" i="9"/>
  <c r="AG396" i="9" s="1"/>
  <c r="M396" i="9"/>
  <c r="AZ395" i="9"/>
  <c r="AY395" i="9" s="1"/>
  <c r="P395" i="9"/>
  <c r="AI393" i="9"/>
  <c r="N393" i="9"/>
  <c r="G392" i="9"/>
  <c r="S392" i="9"/>
  <c r="AE392" i="9"/>
  <c r="BC392" i="9" s="1"/>
  <c r="AQ392" i="9"/>
  <c r="H392" i="9"/>
  <c r="T392" i="9"/>
  <c r="AF392" i="9"/>
  <c r="AG392" i="9" s="1"/>
  <c r="AR392" i="9"/>
  <c r="L392" i="9"/>
  <c r="X392" i="9"/>
  <c r="AJ392" i="9"/>
  <c r="AV392" i="9"/>
  <c r="A392" i="9"/>
  <c r="M392" i="9"/>
  <c r="Y392" i="9"/>
  <c r="AK392" i="9"/>
  <c r="AW392" i="9"/>
  <c r="C392" i="9"/>
  <c r="O392" i="9"/>
  <c r="AM392" i="9"/>
  <c r="F392" i="9"/>
  <c r="R392" i="9"/>
  <c r="AD392" i="9"/>
  <c r="BD392" i="9" s="1"/>
  <c r="AP392" i="9"/>
  <c r="BB392" i="9"/>
  <c r="AM390" i="9"/>
  <c r="O390" i="9"/>
  <c r="AM386" i="9"/>
  <c r="W385" i="9"/>
  <c r="AV396" i="9"/>
  <c r="AD396" i="9"/>
  <c r="BD396" i="9" s="1"/>
  <c r="L396" i="9"/>
  <c r="AL390" i="9"/>
  <c r="N390" i="9"/>
  <c r="E386" i="9"/>
  <c r="Q386" i="9"/>
  <c r="AC386" i="9"/>
  <c r="AO386" i="9"/>
  <c r="BA386" i="9"/>
  <c r="K386" i="9"/>
  <c r="Z386" i="9" s="1"/>
  <c r="AA386" i="9" s="1"/>
  <c r="W386" i="9"/>
  <c r="AI386" i="9"/>
  <c r="AU386" i="9"/>
  <c r="F386" i="9"/>
  <c r="T386" i="9"/>
  <c r="AH386" i="9"/>
  <c r="AW386" i="9"/>
  <c r="G386" i="9"/>
  <c r="U386" i="9"/>
  <c r="V386" i="9" s="1"/>
  <c r="AJ386" i="9"/>
  <c r="AX386" i="9"/>
  <c r="I386" i="9"/>
  <c r="X386" i="9"/>
  <c r="AL386" i="9"/>
  <c r="AZ386" i="9"/>
  <c r="AY386" i="9" s="1"/>
  <c r="L386" i="9"/>
  <c r="AN386" i="9"/>
  <c r="M386" i="9"/>
  <c r="AP386" i="9"/>
  <c r="A386" i="9"/>
  <c r="O386" i="9"/>
  <c r="AD386" i="9"/>
  <c r="BD386" i="9" s="1"/>
  <c r="AR386" i="9"/>
  <c r="D386" i="9"/>
  <c r="S386" i="9"/>
  <c r="AV386" i="9"/>
  <c r="U385" i="9"/>
  <c r="V385" i="9" s="1"/>
  <c r="AQ402" i="9"/>
  <c r="K402" i="9"/>
  <c r="Z402" i="9" s="1"/>
  <c r="AA402" i="9" s="1"/>
  <c r="AU396" i="9"/>
  <c r="K396" i="9"/>
  <c r="Z396" i="9" s="1"/>
  <c r="AA396" i="9" s="1"/>
  <c r="AU395" i="9"/>
  <c r="AE395" i="9"/>
  <c r="BC395" i="9" s="1"/>
  <c r="K395" i="9"/>
  <c r="Z395" i="9" s="1"/>
  <c r="AA395" i="9" s="1"/>
  <c r="AF393" i="9"/>
  <c r="AG393" i="9" s="1"/>
  <c r="K393" i="9"/>
  <c r="Z393" i="9" s="1"/>
  <c r="AA393" i="9" s="1"/>
  <c r="AK390" i="9"/>
  <c r="M390" i="9"/>
  <c r="AF386" i="9"/>
  <c r="AG386" i="9" s="1"/>
  <c r="P385" i="9"/>
  <c r="E432" i="9"/>
  <c r="Q432" i="9"/>
  <c r="AC432" i="9"/>
  <c r="AO432" i="9"/>
  <c r="BA432" i="9"/>
  <c r="J432" i="9"/>
  <c r="AH432" i="9"/>
  <c r="AT432" i="9"/>
  <c r="AS419" i="9"/>
  <c r="AC419" i="9"/>
  <c r="N419" i="9"/>
  <c r="L416" i="9"/>
  <c r="X416" i="9"/>
  <c r="AJ416" i="9"/>
  <c r="AV416" i="9"/>
  <c r="A416" i="9"/>
  <c r="M416" i="9"/>
  <c r="Y416" i="9"/>
  <c r="AK416" i="9"/>
  <c r="AW416" i="9"/>
  <c r="F416" i="9"/>
  <c r="R416" i="9"/>
  <c r="AD416" i="9"/>
  <c r="BD416" i="9" s="1"/>
  <c r="AP416" i="9"/>
  <c r="BB416" i="9"/>
  <c r="D408" i="9"/>
  <c r="P408" i="9"/>
  <c r="AB408" i="9"/>
  <c r="AN408" i="9"/>
  <c r="AZ408" i="9"/>
  <c r="AY408" i="9" s="1"/>
  <c r="E408" i="9"/>
  <c r="Q408" i="9"/>
  <c r="AC408" i="9"/>
  <c r="AO408" i="9"/>
  <c r="BA408" i="9"/>
  <c r="J408" i="9"/>
  <c r="AH408" i="9"/>
  <c r="AT408" i="9"/>
  <c r="AS404" i="9"/>
  <c r="AC404" i="9"/>
  <c r="N404" i="9"/>
  <c r="AP402" i="9"/>
  <c r="Y402" i="9"/>
  <c r="I402" i="9"/>
  <c r="L401" i="9"/>
  <c r="X401" i="9"/>
  <c r="AJ401" i="9"/>
  <c r="AV401" i="9"/>
  <c r="A401" i="9"/>
  <c r="M401" i="9"/>
  <c r="Y401" i="9"/>
  <c r="AK401" i="9"/>
  <c r="AW401" i="9"/>
  <c r="F401" i="9"/>
  <c r="R401" i="9"/>
  <c r="AD401" i="9"/>
  <c r="BD401" i="9" s="1"/>
  <c r="AP401" i="9"/>
  <c r="BB401" i="9"/>
  <c r="L398" i="9"/>
  <c r="X398" i="9"/>
  <c r="AJ398" i="9"/>
  <c r="AV398" i="9"/>
  <c r="A398" i="9"/>
  <c r="M398" i="9"/>
  <c r="Y398" i="9"/>
  <c r="AK398" i="9"/>
  <c r="AW398" i="9"/>
  <c r="C398" i="9"/>
  <c r="O398" i="9"/>
  <c r="F398" i="9"/>
  <c r="R398" i="9"/>
  <c r="AD398" i="9"/>
  <c r="BD398" i="9" s="1"/>
  <c r="AP398" i="9"/>
  <c r="BB398" i="9"/>
  <c r="AS396" i="9"/>
  <c r="I396" i="9"/>
  <c r="AT395" i="9"/>
  <c r="AC395" i="9"/>
  <c r="J395" i="9"/>
  <c r="AX393" i="9"/>
  <c r="AD393" i="9"/>
  <c r="BD393" i="9" s="1"/>
  <c r="I393" i="9"/>
  <c r="AS392" i="9"/>
  <c r="U392" i="9"/>
  <c r="V392" i="9" s="1"/>
  <c r="I390" i="9"/>
  <c r="AE386" i="9"/>
  <c r="BC386" i="9" s="1"/>
  <c r="AZ385" i="9"/>
  <c r="AY385" i="9" s="1"/>
  <c r="L385" i="9"/>
  <c r="AN434" i="9"/>
  <c r="K434" i="9"/>
  <c r="Z434" i="9" s="1"/>
  <c r="AA434" i="9" s="1"/>
  <c r="AR432" i="9"/>
  <c r="AD432" i="9"/>
  <c r="BD432" i="9" s="1"/>
  <c r="O432" i="9"/>
  <c r="A432" i="9"/>
  <c r="AU429" i="9"/>
  <c r="AF429" i="9"/>
  <c r="AG429" i="9" s="1"/>
  <c r="R429" i="9"/>
  <c r="A428" i="9"/>
  <c r="M428" i="9"/>
  <c r="Y428" i="9"/>
  <c r="AK428" i="9"/>
  <c r="AW428" i="9"/>
  <c r="F428" i="9"/>
  <c r="R428" i="9"/>
  <c r="AD428" i="9"/>
  <c r="BD428" i="9" s="1"/>
  <c r="AP428" i="9"/>
  <c r="BB428" i="9"/>
  <c r="AJ420" i="9"/>
  <c r="T420" i="9"/>
  <c r="AR419" i="9"/>
  <c r="AB419" i="9"/>
  <c r="K419" i="9"/>
  <c r="Z419" i="9" s="1"/>
  <c r="AA419" i="9" s="1"/>
  <c r="AU416" i="9"/>
  <c r="AF416" i="9"/>
  <c r="AG416" i="9" s="1"/>
  <c r="P416" i="9"/>
  <c r="AW408" i="9"/>
  <c r="R408" i="9"/>
  <c r="A408" i="9"/>
  <c r="AO407" i="9"/>
  <c r="AJ405" i="9"/>
  <c r="T405" i="9"/>
  <c r="AR404" i="9"/>
  <c r="AB404" i="9"/>
  <c r="K404" i="9"/>
  <c r="Z404" i="9" s="1"/>
  <c r="AA404" i="9" s="1"/>
  <c r="AM402" i="9"/>
  <c r="X402" i="9"/>
  <c r="H402" i="9"/>
  <c r="AU401" i="9"/>
  <c r="AF401" i="9"/>
  <c r="AG401" i="9" s="1"/>
  <c r="P401" i="9"/>
  <c r="AZ398" i="9"/>
  <c r="AY398" i="9" s="1"/>
  <c r="AI398" i="9"/>
  <c r="S398" i="9"/>
  <c r="AR396" i="9"/>
  <c r="Y396" i="9"/>
  <c r="H396" i="9"/>
  <c r="AS395" i="9"/>
  <c r="AB395" i="9"/>
  <c r="I395" i="9"/>
  <c r="AW393" i="9"/>
  <c r="H393" i="9"/>
  <c r="AO392" i="9"/>
  <c r="Q392" i="9"/>
  <c r="AF390" i="9"/>
  <c r="AG390" i="9" s="1"/>
  <c r="H390" i="9"/>
  <c r="AB386" i="9"/>
  <c r="AX385" i="9"/>
  <c r="I385" i="9"/>
  <c r="E429" i="9"/>
  <c r="Q429" i="9"/>
  <c r="AC429" i="9"/>
  <c r="AO429" i="9"/>
  <c r="BA429" i="9"/>
  <c r="J429" i="9"/>
  <c r="AH429" i="9"/>
  <c r="AT429" i="9"/>
  <c r="D420" i="9"/>
  <c r="P420" i="9"/>
  <c r="AB420" i="9"/>
  <c r="AN420" i="9"/>
  <c r="AZ420" i="9"/>
  <c r="AY420" i="9" s="1"/>
  <c r="E420" i="9"/>
  <c r="Q420" i="9"/>
  <c r="AC420" i="9"/>
  <c r="AO420" i="9"/>
  <c r="BA420" i="9"/>
  <c r="J420" i="9"/>
  <c r="AH420" i="9"/>
  <c r="AT420" i="9"/>
  <c r="AQ419" i="9"/>
  <c r="J419" i="9"/>
  <c r="AT416" i="9"/>
  <c r="AE416" i="9"/>
  <c r="BC416" i="9" s="1"/>
  <c r="O416" i="9"/>
  <c r="AV408" i="9"/>
  <c r="AF408" i="9"/>
  <c r="AG408" i="9" s="1"/>
  <c r="O408" i="9"/>
  <c r="D405" i="9"/>
  <c r="P405" i="9"/>
  <c r="AB405" i="9"/>
  <c r="AN405" i="9"/>
  <c r="AZ405" i="9"/>
  <c r="AY405" i="9" s="1"/>
  <c r="E405" i="9"/>
  <c r="Q405" i="9"/>
  <c r="AC405" i="9"/>
  <c r="AO405" i="9"/>
  <c r="BA405" i="9"/>
  <c r="J405" i="9"/>
  <c r="AH405" i="9"/>
  <c r="AT405" i="9"/>
  <c r="AQ404" i="9"/>
  <c r="J404" i="9"/>
  <c r="AL402" i="9"/>
  <c r="W402" i="9"/>
  <c r="AT401" i="9"/>
  <c r="AE401" i="9"/>
  <c r="BC401" i="9" s="1"/>
  <c r="O401" i="9"/>
  <c r="AH398" i="9"/>
  <c r="Q398" i="9"/>
  <c r="AP396" i="9"/>
  <c r="X396" i="9"/>
  <c r="F396" i="9"/>
  <c r="AR395" i="9"/>
  <c r="AU393" i="9"/>
  <c r="F393" i="9"/>
  <c r="AN392" i="9"/>
  <c r="P392" i="9"/>
  <c r="BB390" i="9"/>
  <c r="AD390" i="9"/>
  <c r="BD390" i="9" s="1"/>
  <c r="F390" i="9"/>
  <c r="Y386" i="9"/>
  <c r="AS385" i="9"/>
  <c r="D364" i="9"/>
  <c r="P364" i="9"/>
  <c r="AB364" i="9"/>
  <c r="AN364" i="9"/>
  <c r="AZ364" i="9"/>
  <c r="AY364" i="9" s="1"/>
  <c r="I364" i="9"/>
  <c r="U364" i="9"/>
  <c r="V364" i="9" s="1"/>
  <c r="AS364" i="9"/>
  <c r="C364" i="9"/>
  <c r="R364" i="9"/>
  <c r="AF364" i="9"/>
  <c r="AG364" i="9" s="1"/>
  <c r="AU364" i="9"/>
  <c r="J364" i="9"/>
  <c r="X364" i="9"/>
  <c r="AL364" i="9"/>
  <c r="BA364" i="9"/>
  <c r="K364" i="9"/>
  <c r="Z364" i="9" s="1"/>
  <c r="AA364" i="9" s="1"/>
  <c r="Y364" i="9"/>
  <c r="AM364" i="9"/>
  <c r="BB364" i="9"/>
  <c r="L364" i="9"/>
  <c r="AO364" i="9"/>
  <c r="A364" i="9"/>
  <c r="O364" i="9"/>
  <c r="AD364" i="9"/>
  <c r="BD364" i="9" s="1"/>
  <c r="AR364" i="9"/>
  <c r="F364" i="9"/>
  <c r="AE364" i="9"/>
  <c r="BC364" i="9" s="1"/>
  <c r="G364" i="9"/>
  <c r="AH364" i="9"/>
  <c r="H364" i="9"/>
  <c r="AI364" i="9"/>
  <c r="M364" i="9"/>
  <c r="AJ364" i="9"/>
  <c r="N364" i="9"/>
  <c r="AK364" i="9"/>
  <c r="Q364" i="9"/>
  <c r="AP364" i="9"/>
  <c r="S364" i="9"/>
  <c r="AQ364" i="9"/>
  <c r="T364" i="9"/>
  <c r="AT364" i="9"/>
  <c r="AV364" i="9"/>
  <c r="W364" i="9"/>
  <c r="AW364" i="9"/>
  <c r="E364" i="9"/>
  <c r="AC364" i="9"/>
  <c r="AM396" i="9"/>
  <c r="W396" i="9"/>
  <c r="AS393" i="9"/>
  <c r="Y393" i="9"/>
  <c r="A385" i="9"/>
  <c r="M385" i="9"/>
  <c r="Y385" i="9"/>
  <c r="AK385" i="9"/>
  <c r="AW385" i="9"/>
  <c r="G385" i="9"/>
  <c r="S385" i="9"/>
  <c r="AE385" i="9"/>
  <c r="BC385" i="9" s="1"/>
  <c r="AQ385" i="9"/>
  <c r="D385" i="9"/>
  <c r="R385" i="9"/>
  <c r="AU385" i="9"/>
  <c r="E385" i="9"/>
  <c r="T385" i="9"/>
  <c r="AH385" i="9"/>
  <c r="AV385" i="9"/>
  <c r="H385" i="9"/>
  <c r="AJ385" i="9"/>
  <c r="J385" i="9"/>
  <c r="X385" i="9"/>
  <c r="AM385" i="9"/>
  <c r="BA385" i="9"/>
  <c r="K385" i="9"/>
  <c r="Z385" i="9" s="1"/>
  <c r="AA385" i="9" s="1"/>
  <c r="AN385" i="9"/>
  <c r="BB385" i="9"/>
  <c r="N385" i="9"/>
  <c r="AB385" i="9"/>
  <c r="AP385" i="9"/>
  <c r="O385" i="9"/>
  <c r="AC385" i="9"/>
  <c r="C385" i="9"/>
  <c r="Q385" i="9"/>
  <c r="AF385" i="9"/>
  <c r="AG385" i="9" s="1"/>
  <c r="AT385" i="9"/>
  <c r="D396" i="9"/>
  <c r="P396" i="9"/>
  <c r="AB396" i="9"/>
  <c r="AN396" i="9"/>
  <c r="AZ396" i="9"/>
  <c r="AY396" i="9" s="1"/>
  <c r="E396" i="9"/>
  <c r="Q396" i="9"/>
  <c r="AC396" i="9"/>
  <c r="AO396" i="9"/>
  <c r="BA396" i="9"/>
  <c r="G396" i="9"/>
  <c r="S396" i="9"/>
  <c r="AE396" i="9"/>
  <c r="BC396" i="9" s="1"/>
  <c r="AQ396" i="9"/>
  <c r="J396" i="9"/>
  <c r="AH396" i="9"/>
  <c r="AT396" i="9"/>
  <c r="L393" i="9"/>
  <c r="X393" i="9"/>
  <c r="AJ393" i="9"/>
  <c r="AV393" i="9"/>
  <c r="D393" i="9"/>
  <c r="P393" i="9"/>
  <c r="AB393" i="9"/>
  <c r="AN393" i="9"/>
  <c r="AZ393" i="9"/>
  <c r="AY393" i="9" s="1"/>
  <c r="E393" i="9"/>
  <c r="Q393" i="9"/>
  <c r="AC393" i="9"/>
  <c r="AO393" i="9"/>
  <c r="BA393" i="9"/>
  <c r="G393" i="9"/>
  <c r="S393" i="9"/>
  <c r="AE393" i="9"/>
  <c r="BC393" i="9" s="1"/>
  <c r="AQ393" i="9"/>
  <c r="J393" i="9"/>
  <c r="AH393" i="9"/>
  <c r="AT393" i="9"/>
  <c r="K390" i="9"/>
  <c r="Z390" i="9" s="1"/>
  <c r="AA390" i="9" s="1"/>
  <c r="W390" i="9"/>
  <c r="AI390" i="9"/>
  <c r="AU390" i="9"/>
  <c r="L390" i="9"/>
  <c r="X390" i="9"/>
  <c r="AJ390" i="9"/>
  <c r="AV390" i="9"/>
  <c r="D390" i="9"/>
  <c r="P390" i="9"/>
  <c r="AB390" i="9"/>
  <c r="AN390" i="9"/>
  <c r="AZ390" i="9"/>
  <c r="AY390" i="9" s="1"/>
  <c r="E390" i="9"/>
  <c r="Q390" i="9"/>
  <c r="AC390" i="9"/>
  <c r="AO390" i="9"/>
  <c r="BA390" i="9"/>
  <c r="G390" i="9"/>
  <c r="S390" i="9"/>
  <c r="AE390" i="9"/>
  <c r="BC390" i="9" s="1"/>
  <c r="AQ390" i="9"/>
  <c r="J390" i="9"/>
  <c r="AH390" i="9"/>
  <c r="AT390" i="9"/>
  <c r="D379" i="9"/>
  <c r="P379" i="9"/>
  <c r="AB379" i="9"/>
  <c r="AN379" i="9"/>
  <c r="AZ379" i="9"/>
  <c r="AY379" i="9" s="1"/>
  <c r="I379" i="9"/>
  <c r="U379" i="9"/>
  <c r="V379" i="9" s="1"/>
  <c r="AS379" i="9"/>
  <c r="M379" i="9"/>
  <c r="AP379" i="9"/>
  <c r="F379" i="9"/>
  <c r="T379" i="9"/>
  <c r="AI379" i="9"/>
  <c r="AW379" i="9"/>
  <c r="G379" i="9"/>
  <c r="AJ379" i="9"/>
  <c r="AX379" i="9"/>
  <c r="K379" i="9"/>
  <c r="Z379" i="9" s="1"/>
  <c r="AA379" i="9" s="1"/>
  <c r="Y379" i="9"/>
  <c r="AM379" i="9"/>
  <c r="BB379" i="9"/>
  <c r="E379" i="9"/>
  <c r="AC379" i="9"/>
  <c r="AV379" i="9"/>
  <c r="H379" i="9"/>
  <c r="AD379" i="9"/>
  <c r="BD379" i="9" s="1"/>
  <c r="J379" i="9"/>
  <c r="AE379" i="9"/>
  <c r="BC379" i="9" s="1"/>
  <c r="BA379" i="9"/>
  <c r="L379" i="9"/>
  <c r="AF379" i="9"/>
  <c r="AG379" i="9" s="1"/>
  <c r="N379" i="9"/>
  <c r="AH379" i="9"/>
  <c r="O379" i="9"/>
  <c r="AK379" i="9"/>
  <c r="Q379" i="9"/>
  <c r="AL379" i="9"/>
  <c r="R379" i="9"/>
  <c r="AO379" i="9"/>
  <c r="S379" i="9"/>
  <c r="AQ379" i="9"/>
  <c r="A379" i="9"/>
  <c r="W379" i="9"/>
  <c r="AR379" i="9"/>
  <c r="C379" i="9"/>
  <c r="AU379" i="9"/>
  <c r="D402" i="9"/>
  <c r="P402" i="9"/>
  <c r="AB402" i="9"/>
  <c r="AN402" i="9"/>
  <c r="AZ402" i="9"/>
  <c r="AY402" i="9" s="1"/>
  <c r="E402" i="9"/>
  <c r="Q402" i="9"/>
  <c r="AC402" i="9"/>
  <c r="AO402" i="9"/>
  <c r="BA402" i="9"/>
  <c r="J402" i="9"/>
  <c r="AH402" i="9"/>
  <c r="AT402" i="9"/>
  <c r="AK396" i="9"/>
  <c r="T396" i="9"/>
  <c r="A396" i="9"/>
  <c r="H395" i="9"/>
  <c r="L395" i="9"/>
  <c r="X395" i="9"/>
  <c r="AJ395" i="9"/>
  <c r="AV395" i="9"/>
  <c r="A395" i="9"/>
  <c r="M395" i="9"/>
  <c r="Y395" i="9"/>
  <c r="AK395" i="9"/>
  <c r="AW395" i="9"/>
  <c r="C395" i="9"/>
  <c r="O395" i="9"/>
  <c r="AM395" i="9"/>
  <c r="F395" i="9"/>
  <c r="R395" i="9"/>
  <c r="AD395" i="9"/>
  <c r="BD395" i="9" s="1"/>
  <c r="AP395" i="9"/>
  <c r="BB395" i="9"/>
  <c r="AP393" i="9"/>
  <c r="U393" i="9"/>
  <c r="V393" i="9" s="1"/>
  <c r="A393" i="9"/>
  <c r="AW390" i="9"/>
  <c r="Y390" i="9"/>
  <c r="A390" i="9"/>
  <c r="BB396" i="9"/>
  <c r="AJ396" i="9"/>
  <c r="R396" i="9"/>
  <c r="AM393" i="9"/>
  <c r="T393" i="9"/>
  <c r="AU434" i="9"/>
  <c r="S434" i="9"/>
  <c r="D434" i="9"/>
  <c r="AK432" i="9"/>
  <c r="W432" i="9"/>
  <c r="H432" i="9"/>
  <c r="BB429" i="9"/>
  <c r="AM429" i="9"/>
  <c r="Y429" i="9"/>
  <c r="K429" i="9"/>
  <c r="Z429" i="9" s="1"/>
  <c r="AA429" i="9" s="1"/>
  <c r="AL428" i="9"/>
  <c r="W428" i="9"/>
  <c r="I428" i="9"/>
  <c r="AR420" i="9"/>
  <c r="L420" i="9"/>
  <c r="AZ419" i="9"/>
  <c r="AY419" i="9" s="1"/>
  <c r="AI419" i="9"/>
  <c r="T419" i="9"/>
  <c r="D419" i="9"/>
  <c r="AN416" i="9"/>
  <c r="W416" i="9"/>
  <c r="H416" i="9"/>
  <c r="AP408" i="9"/>
  <c r="Y408" i="9"/>
  <c r="I408" i="9"/>
  <c r="L407" i="9"/>
  <c r="X407" i="9"/>
  <c r="AJ407" i="9"/>
  <c r="AV407" i="9"/>
  <c r="A407" i="9"/>
  <c r="M407" i="9"/>
  <c r="Y407" i="9"/>
  <c r="AK407" i="9"/>
  <c r="AW407" i="9"/>
  <c r="F407" i="9"/>
  <c r="R407" i="9"/>
  <c r="AD407" i="9"/>
  <c r="BD407" i="9" s="1"/>
  <c r="AP407" i="9"/>
  <c r="BB407" i="9"/>
  <c r="AR405" i="9"/>
  <c r="L405" i="9"/>
  <c r="AZ404" i="9"/>
  <c r="AY404" i="9" s="1"/>
  <c r="AI404" i="9"/>
  <c r="T404" i="9"/>
  <c r="D404" i="9"/>
  <c r="AV402" i="9"/>
  <c r="AF402" i="9"/>
  <c r="AG402" i="9" s="1"/>
  <c r="O402" i="9"/>
  <c r="AN401" i="9"/>
  <c r="W401" i="9"/>
  <c r="H401" i="9"/>
  <c r="AR398" i="9"/>
  <c r="AB398" i="9"/>
  <c r="I398" i="9"/>
  <c r="AI396" i="9"/>
  <c r="O396" i="9"/>
  <c r="AI395" i="9"/>
  <c r="S395" i="9"/>
  <c r="AL393" i="9"/>
  <c r="R393" i="9"/>
  <c r="BA392" i="9"/>
  <c r="AC392" i="9"/>
  <c r="E392" i="9"/>
  <c r="AR390" i="9"/>
  <c r="T390" i="9"/>
  <c r="AS386" i="9"/>
  <c r="J386" i="9"/>
  <c r="AD385" i="9"/>
  <c r="BD385" i="9" s="1"/>
  <c r="AJ388" i="9"/>
  <c r="AW387" i="9"/>
  <c r="AI387" i="9"/>
  <c r="T387" i="9"/>
  <c r="AR384" i="9"/>
  <c r="AD384" i="9"/>
  <c r="BD384" i="9" s="1"/>
  <c r="P384" i="9"/>
  <c r="A384" i="9"/>
  <c r="AQ383" i="9"/>
  <c r="AB383" i="9"/>
  <c r="N383" i="9"/>
  <c r="AO382" i="9"/>
  <c r="L382" i="9"/>
  <c r="BB381" i="9"/>
  <c r="AL381" i="9"/>
  <c r="W381" i="9"/>
  <c r="AT380" i="9"/>
  <c r="AE380" i="9"/>
  <c r="BC380" i="9" s="1"/>
  <c r="K380" i="9"/>
  <c r="Z380" i="9" s="1"/>
  <c r="AA380" i="9" s="1"/>
  <c r="AM378" i="9"/>
  <c r="P378" i="9"/>
  <c r="AZ377" i="9"/>
  <c r="AY377" i="9" s="1"/>
  <c r="AC377" i="9"/>
  <c r="AN375" i="9"/>
  <c r="T375" i="9"/>
  <c r="BA374" i="9"/>
  <c r="D373" i="9"/>
  <c r="P373" i="9"/>
  <c r="AB373" i="9"/>
  <c r="AN373" i="9"/>
  <c r="AZ373" i="9"/>
  <c r="AY373" i="9" s="1"/>
  <c r="I373" i="9"/>
  <c r="U373" i="9"/>
  <c r="V373" i="9" s="1"/>
  <c r="AS373" i="9"/>
  <c r="C373" i="9"/>
  <c r="R373" i="9"/>
  <c r="AF373" i="9"/>
  <c r="AG373" i="9" s="1"/>
  <c r="AU373" i="9"/>
  <c r="K373" i="9"/>
  <c r="Z373" i="9" s="1"/>
  <c r="AA373" i="9" s="1"/>
  <c r="Y373" i="9"/>
  <c r="AM373" i="9"/>
  <c r="BB373" i="9"/>
  <c r="L373" i="9"/>
  <c r="AO373" i="9"/>
  <c r="A373" i="9"/>
  <c r="O373" i="9"/>
  <c r="AD373" i="9"/>
  <c r="BD373" i="9" s="1"/>
  <c r="AR373" i="9"/>
  <c r="AU371" i="9"/>
  <c r="AL370" i="9"/>
  <c r="O370" i="9"/>
  <c r="AS369" i="9"/>
  <c r="AM366" i="9"/>
  <c r="P366" i="9"/>
  <c r="AU365" i="9"/>
  <c r="AU362" i="9"/>
  <c r="W362" i="9"/>
  <c r="AX361" i="9"/>
  <c r="W361" i="9"/>
  <c r="BA382" i="9"/>
  <c r="AM382" i="9"/>
  <c r="X382" i="9"/>
  <c r="J382" i="9"/>
  <c r="AR380" i="9"/>
  <c r="AB380" i="9"/>
  <c r="I380" i="9"/>
  <c r="H371" i="9"/>
  <c r="T371" i="9"/>
  <c r="AF371" i="9"/>
  <c r="AG371" i="9" s="1"/>
  <c r="AR371" i="9"/>
  <c r="A371" i="9"/>
  <c r="M371" i="9"/>
  <c r="Y371" i="9"/>
  <c r="AK371" i="9"/>
  <c r="AW371" i="9"/>
  <c r="O371" i="9"/>
  <c r="AC371" i="9"/>
  <c r="AQ371" i="9"/>
  <c r="G371" i="9"/>
  <c r="AJ371" i="9"/>
  <c r="I371" i="9"/>
  <c r="W371" i="9"/>
  <c r="AL371" i="9"/>
  <c r="AZ371" i="9"/>
  <c r="AY371" i="9" s="1"/>
  <c r="L371" i="9"/>
  <c r="AO371" i="9"/>
  <c r="AQ369" i="9"/>
  <c r="P369" i="9"/>
  <c r="AK366" i="9"/>
  <c r="J366" i="9"/>
  <c r="AS362" i="9"/>
  <c r="P362" i="9"/>
  <c r="AU361" i="9"/>
  <c r="S361" i="9"/>
  <c r="I387" i="9"/>
  <c r="U387" i="9"/>
  <c r="V387" i="9" s="1"/>
  <c r="AS387" i="9"/>
  <c r="C387" i="9"/>
  <c r="O387" i="9"/>
  <c r="AM387" i="9"/>
  <c r="AO384" i="9"/>
  <c r="L384" i="9"/>
  <c r="BB383" i="9"/>
  <c r="AM383" i="9"/>
  <c r="Y383" i="9"/>
  <c r="J383" i="9"/>
  <c r="AZ382" i="9"/>
  <c r="AY382" i="9" s="1"/>
  <c r="AL382" i="9"/>
  <c r="W382" i="9"/>
  <c r="I382" i="9"/>
  <c r="I381" i="9"/>
  <c r="U381" i="9"/>
  <c r="V381" i="9" s="1"/>
  <c r="AS381" i="9"/>
  <c r="C381" i="9"/>
  <c r="O381" i="9"/>
  <c r="AM381" i="9"/>
  <c r="G381" i="9"/>
  <c r="S381" i="9"/>
  <c r="AE381" i="9"/>
  <c r="BC381" i="9" s="1"/>
  <c r="AQ381" i="9"/>
  <c r="AQ380" i="9"/>
  <c r="F380" i="9"/>
  <c r="AF378" i="9"/>
  <c r="AG378" i="9" s="1"/>
  <c r="M378" i="9"/>
  <c r="H377" i="9"/>
  <c r="T377" i="9"/>
  <c r="AF377" i="9"/>
  <c r="AG377" i="9" s="1"/>
  <c r="AR377" i="9"/>
  <c r="A377" i="9"/>
  <c r="M377" i="9"/>
  <c r="Y377" i="9"/>
  <c r="AK377" i="9"/>
  <c r="AW377" i="9"/>
  <c r="J377" i="9"/>
  <c r="X377" i="9"/>
  <c r="AM377" i="9"/>
  <c r="BA377" i="9"/>
  <c r="C377" i="9"/>
  <c r="Q377" i="9"/>
  <c r="AE377" i="9"/>
  <c r="BC377" i="9" s="1"/>
  <c r="AT377" i="9"/>
  <c r="D377" i="9"/>
  <c r="R377" i="9"/>
  <c r="AU377" i="9"/>
  <c r="G377" i="9"/>
  <c r="AJ377" i="9"/>
  <c r="AK375" i="9"/>
  <c r="M375" i="9"/>
  <c r="AP371" i="9"/>
  <c r="S371" i="9"/>
  <c r="AP369" i="9"/>
  <c r="O369" i="9"/>
  <c r="AH366" i="9"/>
  <c r="I366" i="9"/>
  <c r="AM365" i="9"/>
  <c r="P365" i="9"/>
  <c r="AP362" i="9"/>
  <c r="O362" i="9"/>
  <c r="AP361" i="9"/>
  <c r="O361" i="9"/>
  <c r="AJ382" i="9"/>
  <c r="H382" i="9"/>
  <c r="AP380" i="9"/>
  <c r="X380" i="9"/>
  <c r="E380" i="9"/>
  <c r="AM369" i="9"/>
  <c r="N369" i="9"/>
  <c r="AF366" i="9"/>
  <c r="AG366" i="9" s="1"/>
  <c r="H366" i="9"/>
  <c r="AM361" i="9"/>
  <c r="N361" i="9"/>
  <c r="U418" i="9"/>
  <c r="V418" i="9" s="1"/>
  <c r="U415" i="9"/>
  <c r="V415" i="9" s="1"/>
  <c r="AS412" i="9"/>
  <c r="U412" i="9"/>
  <c r="V412" i="9" s="1"/>
  <c r="AS409" i="9"/>
  <c r="U409" i="9"/>
  <c r="V409" i="9" s="1"/>
  <c r="AS406" i="9"/>
  <c r="U406" i="9"/>
  <c r="V406" i="9" s="1"/>
  <c r="U403" i="9"/>
  <c r="V403" i="9" s="1"/>
  <c r="U400" i="9"/>
  <c r="V400" i="9" s="1"/>
  <c r="U394" i="9"/>
  <c r="V394" i="9" s="1"/>
  <c r="A388" i="9"/>
  <c r="M388" i="9"/>
  <c r="Y388" i="9"/>
  <c r="AK388" i="9"/>
  <c r="G388" i="9"/>
  <c r="S388" i="9"/>
  <c r="AE388" i="9"/>
  <c r="BC388" i="9" s="1"/>
  <c r="AQ388" i="9"/>
  <c r="AQ387" i="9"/>
  <c r="AC387" i="9"/>
  <c r="N387" i="9"/>
  <c r="BA384" i="9"/>
  <c r="AL384" i="9"/>
  <c r="X384" i="9"/>
  <c r="J384" i="9"/>
  <c r="AK383" i="9"/>
  <c r="H383" i="9"/>
  <c r="AX382" i="9"/>
  <c r="AI382" i="9"/>
  <c r="U382" i="9"/>
  <c r="V382" i="9" s="1"/>
  <c r="F382" i="9"/>
  <c r="AV381" i="9"/>
  <c r="AF381" i="9"/>
  <c r="AG381" i="9" s="1"/>
  <c r="P381" i="9"/>
  <c r="AN380" i="9"/>
  <c r="W380" i="9"/>
  <c r="D380" i="9"/>
  <c r="AD378" i="9"/>
  <c r="BD378" i="9" s="1"/>
  <c r="H378" i="9"/>
  <c r="AP377" i="9"/>
  <c r="U377" i="9"/>
  <c r="V377" i="9" s="1"/>
  <c r="BB375" i="9"/>
  <c r="AF375" i="9"/>
  <c r="AG375" i="9" s="1"/>
  <c r="J375" i="9"/>
  <c r="H374" i="9"/>
  <c r="T374" i="9"/>
  <c r="AF374" i="9"/>
  <c r="AG374" i="9" s="1"/>
  <c r="AR374" i="9"/>
  <c r="A374" i="9"/>
  <c r="M374" i="9"/>
  <c r="Y374" i="9"/>
  <c r="AK374" i="9"/>
  <c r="AW374" i="9"/>
  <c r="E374" i="9"/>
  <c r="S374" i="9"/>
  <c r="AH374" i="9"/>
  <c r="AV374" i="9"/>
  <c r="L374" i="9"/>
  <c r="AO374" i="9"/>
  <c r="N374" i="9"/>
  <c r="AB374" i="9"/>
  <c r="AP374" i="9"/>
  <c r="C374" i="9"/>
  <c r="Q374" i="9"/>
  <c r="AE374" i="9"/>
  <c r="BC374" i="9" s="1"/>
  <c r="AT374" i="9"/>
  <c r="AM371" i="9"/>
  <c r="Q371" i="9"/>
  <c r="AD370" i="9"/>
  <c r="BD370" i="9" s="1"/>
  <c r="AK369" i="9"/>
  <c r="M369" i="9"/>
  <c r="BB366" i="9"/>
  <c r="AE366" i="9"/>
  <c r="BC366" i="9" s="1"/>
  <c r="F366" i="9"/>
  <c r="AJ365" i="9"/>
  <c r="J365" i="9"/>
  <c r="AM362" i="9"/>
  <c r="K362" i="9"/>
  <c r="Z362" i="9" s="1"/>
  <c r="AA362" i="9" s="1"/>
  <c r="AL361" i="9"/>
  <c r="J361" i="9"/>
  <c r="AP387" i="9"/>
  <c r="AB387" i="9"/>
  <c r="M387" i="9"/>
  <c r="AZ384" i="9"/>
  <c r="AY384" i="9" s="1"/>
  <c r="AK384" i="9"/>
  <c r="W384" i="9"/>
  <c r="H384" i="9"/>
  <c r="AX383" i="9"/>
  <c r="AJ383" i="9"/>
  <c r="U383" i="9"/>
  <c r="V383" i="9" s="1"/>
  <c r="AV382" i="9"/>
  <c r="AH382" i="9"/>
  <c r="T382" i="9"/>
  <c r="E382" i="9"/>
  <c r="AU381" i="9"/>
  <c r="AD381" i="9"/>
  <c r="BD381" i="9" s="1"/>
  <c r="N381" i="9"/>
  <c r="AL380" i="9"/>
  <c r="U380" i="9"/>
  <c r="V380" i="9" s="1"/>
  <c r="AX378" i="9"/>
  <c r="AB378" i="9"/>
  <c r="AO377" i="9"/>
  <c r="S377" i="9"/>
  <c r="AZ375" i="9"/>
  <c r="AY375" i="9" s="1"/>
  <c r="AE375" i="9"/>
  <c r="BC375" i="9" s="1"/>
  <c r="AI371" i="9"/>
  <c r="P371" i="9"/>
  <c r="D370" i="9"/>
  <c r="P370" i="9"/>
  <c r="AB370" i="9"/>
  <c r="AN370" i="9"/>
  <c r="AZ370" i="9"/>
  <c r="AY370" i="9" s="1"/>
  <c r="I370" i="9"/>
  <c r="U370" i="9"/>
  <c r="V370" i="9" s="1"/>
  <c r="AS370" i="9"/>
  <c r="M370" i="9"/>
  <c r="AP370" i="9"/>
  <c r="E370" i="9"/>
  <c r="S370" i="9"/>
  <c r="F370" i="9"/>
  <c r="T370" i="9"/>
  <c r="AI370" i="9"/>
  <c r="AW370" i="9"/>
  <c r="G370" i="9"/>
  <c r="AJ370" i="9"/>
  <c r="AX370" i="9"/>
  <c r="K370" i="9"/>
  <c r="Z370" i="9" s="1"/>
  <c r="AA370" i="9" s="1"/>
  <c r="Y370" i="9"/>
  <c r="AM370" i="9"/>
  <c r="BB370" i="9"/>
  <c r="AI369" i="9"/>
  <c r="J369" i="9"/>
  <c r="AZ366" i="9"/>
  <c r="AY366" i="9" s="1"/>
  <c r="AI365" i="9"/>
  <c r="AH362" i="9"/>
  <c r="AK361" i="9"/>
  <c r="H361" i="9"/>
  <c r="H380" i="9"/>
  <c r="T380" i="9"/>
  <c r="A380" i="9"/>
  <c r="M380" i="9"/>
  <c r="Y380" i="9"/>
  <c r="O380" i="9"/>
  <c r="AC380" i="9"/>
  <c r="AO380" i="9"/>
  <c r="BA380" i="9"/>
  <c r="G380" i="9"/>
  <c r="AI380" i="9"/>
  <c r="AU380" i="9"/>
  <c r="L380" i="9"/>
  <c r="AM380" i="9"/>
  <c r="L366" i="9"/>
  <c r="X366" i="9"/>
  <c r="AJ366" i="9"/>
  <c r="AV366" i="9"/>
  <c r="E366" i="9"/>
  <c r="Q366" i="9"/>
  <c r="AC366" i="9"/>
  <c r="AO366" i="9"/>
  <c r="BA366" i="9"/>
  <c r="G366" i="9"/>
  <c r="U366" i="9"/>
  <c r="V366" i="9" s="1"/>
  <c r="AI366" i="9"/>
  <c r="AX366" i="9"/>
  <c r="M366" i="9"/>
  <c r="AP366" i="9"/>
  <c r="N366" i="9"/>
  <c r="AB366" i="9"/>
  <c r="AQ366" i="9"/>
  <c r="A366" i="9"/>
  <c r="O366" i="9"/>
  <c r="AD366" i="9"/>
  <c r="BD366" i="9" s="1"/>
  <c r="AR366" i="9"/>
  <c r="D366" i="9"/>
  <c r="S366" i="9"/>
  <c r="AU366" i="9"/>
  <c r="AT382" i="9"/>
  <c r="AF382" i="9"/>
  <c r="AG382" i="9" s="1"/>
  <c r="Q382" i="9"/>
  <c r="AZ380" i="9"/>
  <c r="AY380" i="9" s="1"/>
  <c r="AJ380" i="9"/>
  <c r="R380" i="9"/>
  <c r="L378" i="9"/>
  <c r="X378" i="9"/>
  <c r="AJ378" i="9"/>
  <c r="AV378" i="9"/>
  <c r="E378" i="9"/>
  <c r="Q378" i="9"/>
  <c r="AC378" i="9"/>
  <c r="AO378" i="9"/>
  <c r="BA378" i="9"/>
  <c r="K378" i="9"/>
  <c r="Z378" i="9" s="1"/>
  <c r="AA378" i="9" s="1"/>
  <c r="AN378" i="9"/>
  <c r="D378" i="9"/>
  <c r="S378" i="9"/>
  <c r="AU378" i="9"/>
  <c r="F378" i="9"/>
  <c r="T378" i="9"/>
  <c r="AH378" i="9"/>
  <c r="AW378" i="9"/>
  <c r="I378" i="9"/>
  <c r="W378" i="9"/>
  <c r="AL378" i="9"/>
  <c r="AZ378" i="9"/>
  <c r="AY378" i="9" s="1"/>
  <c r="BB371" i="9"/>
  <c r="K371" i="9"/>
  <c r="Z371" i="9" s="1"/>
  <c r="AA371" i="9" s="1"/>
  <c r="AD369" i="9"/>
  <c r="BD369" i="9" s="1"/>
  <c r="AW366" i="9"/>
  <c r="W366" i="9"/>
  <c r="H362" i="9"/>
  <c r="T362" i="9"/>
  <c r="AF362" i="9"/>
  <c r="AG362" i="9" s="1"/>
  <c r="AR362" i="9"/>
  <c r="BD362" i="9"/>
  <c r="I362" i="9"/>
  <c r="U362" i="9"/>
  <c r="V362" i="9" s="1"/>
  <c r="A362" i="9"/>
  <c r="M362" i="9"/>
  <c r="Y362" i="9"/>
  <c r="AK362" i="9"/>
  <c r="AW362" i="9"/>
  <c r="L362" i="9"/>
  <c r="AB362" i="9"/>
  <c r="AQ362" i="9"/>
  <c r="C362" i="9"/>
  <c r="R362" i="9"/>
  <c r="AI362" i="9"/>
  <c r="AX362" i="9"/>
  <c r="D362" i="9"/>
  <c r="S362" i="9"/>
  <c r="AJ362" i="9"/>
  <c r="E362" i="9"/>
  <c r="AL362" i="9"/>
  <c r="AZ362" i="9"/>
  <c r="AY362" i="9" s="1"/>
  <c r="J362" i="9"/>
  <c r="AO362" i="9"/>
  <c r="AF361" i="9"/>
  <c r="AG361" i="9" s="1"/>
  <c r="A382" i="9"/>
  <c r="M382" i="9"/>
  <c r="Y382" i="9"/>
  <c r="AK382" i="9"/>
  <c r="AW382" i="9"/>
  <c r="G382" i="9"/>
  <c r="S382" i="9"/>
  <c r="AE382" i="9"/>
  <c r="BC382" i="9" s="1"/>
  <c r="AQ382" i="9"/>
  <c r="AX380" i="9"/>
  <c r="AH380" i="9"/>
  <c r="Q380" i="9"/>
  <c r="L369" i="9"/>
  <c r="X369" i="9"/>
  <c r="AJ369" i="9"/>
  <c r="AV369" i="9"/>
  <c r="E369" i="9"/>
  <c r="Q369" i="9"/>
  <c r="AC369" i="9"/>
  <c r="AO369" i="9"/>
  <c r="BA369" i="9"/>
  <c r="K369" i="9"/>
  <c r="Z369" i="9" s="1"/>
  <c r="AA369" i="9" s="1"/>
  <c r="AN369" i="9"/>
  <c r="C369" i="9"/>
  <c r="R369" i="9"/>
  <c r="AF369" i="9"/>
  <c r="AG369" i="9" s="1"/>
  <c r="AT369" i="9"/>
  <c r="D369" i="9"/>
  <c r="S369" i="9"/>
  <c r="AU369" i="9"/>
  <c r="F369" i="9"/>
  <c r="T369" i="9"/>
  <c r="AH369" i="9"/>
  <c r="AW369" i="9"/>
  <c r="I369" i="9"/>
  <c r="W369" i="9"/>
  <c r="AL369" i="9"/>
  <c r="AZ369" i="9"/>
  <c r="AY369" i="9" s="1"/>
  <c r="AT366" i="9"/>
  <c r="D361" i="9"/>
  <c r="P361" i="9"/>
  <c r="AB361" i="9"/>
  <c r="AN361" i="9"/>
  <c r="AZ361" i="9"/>
  <c r="AY361" i="9" s="1"/>
  <c r="E361" i="9"/>
  <c r="Q361" i="9"/>
  <c r="AC361" i="9"/>
  <c r="AO361" i="9"/>
  <c r="BA361" i="9"/>
  <c r="I361" i="9"/>
  <c r="U361" i="9"/>
  <c r="V361" i="9" s="1"/>
  <c r="AS361" i="9"/>
  <c r="C361" i="9"/>
  <c r="T361" i="9"/>
  <c r="AJ361" i="9"/>
  <c r="K361" i="9"/>
  <c r="Z361" i="9" s="1"/>
  <c r="AA361" i="9" s="1"/>
  <c r="AQ361" i="9"/>
  <c r="L361" i="9"/>
  <c r="AR361" i="9"/>
  <c r="M361" i="9"/>
  <c r="AD361" i="9"/>
  <c r="BD361" i="9" s="1"/>
  <c r="AT361" i="9"/>
  <c r="A361" i="9"/>
  <c r="R361" i="9"/>
  <c r="AH361" i="9"/>
  <c r="AW361" i="9"/>
  <c r="AU384" i="9"/>
  <c r="AF384" i="9"/>
  <c r="AG384" i="9" s="1"/>
  <c r="R384" i="9"/>
  <c r="E383" i="9"/>
  <c r="Q383" i="9"/>
  <c r="AC383" i="9"/>
  <c r="AO383" i="9"/>
  <c r="BA383" i="9"/>
  <c r="K383" i="9"/>
  <c r="Z383" i="9" s="1"/>
  <c r="AA383" i="9" s="1"/>
  <c r="W383" i="9"/>
  <c r="AI383" i="9"/>
  <c r="AU383" i="9"/>
  <c r="AR382" i="9"/>
  <c r="AC382" i="9"/>
  <c r="O382" i="9"/>
  <c r="AW380" i="9"/>
  <c r="P380" i="9"/>
  <c r="AQ378" i="9"/>
  <c r="U378" i="9"/>
  <c r="V378" i="9" s="1"/>
  <c r="L375" i="9"/>
  <c r="X375" i="9"/>
  <c r="AJ375" i="9"/>
  <c r="AV375" i="9"/>
  <c r="E375" i="9"/>
  <c r="Q375" i="9"/>
  <c r="AC375" i="9"/>
  <c r="AO375" i="9"/>
  <c r="BA375" i="9"/>
  <c r="G375" i="9"/>
  <c r="U375" i="9"/>
  <c r="V375" i="9" s="1"/>
  <c r="AI375" i="9"/>
  <c r="AX375" i="9"/>
  <c r="N375" i="9"/>
  <c r="AB375" i="9"/>
  <c r="AQ375" i="9"/>
  <c r="A375" i="9"/>
  <c r="O375" i="9"/>
  <c r="AD375" i="9"/>
  <c r="BD375" i="9" s="1"/>
  <c r="AR375" i="9"/>
  <c r="D375" i="9"/>
  <c r="S375" i="9"/>
  <c r="AU375" i="9"/>
  <c r="AX371" i="9"/>
  <c r="AD371" i="9"/>
  <c r="BD371" i="9" s="1"/>
  <c r="F371" i="9"/>
  <c r="A369" i="9"/>
  <c r="AS366" i="9"/>
  <c r="T366" i="9"/>
  <c r="H365" i="9"/>
  <c r="T365" i="9"/>
  <c r="AF365" i="9"/>
  <c r="AG365" i="9" s="1"/>
  <c r="AR365" i="9"/>
  <c r="A365" i="9"/>
  <c r="M365" i="9"/>
  <c r="Y365" i="9"/>
  <c r="AK365" i="9"/>
  <c r="AW365" i="9"/>
  <c r="E365" i="9"/>
  <c r="S365" i="9"/>
  <c r="AH365" i="9"/>
  <c r="AV365" i="9"/>
  <c r="K365" i="9"/>
  <c r="Z365" i="9" s="1"/>
  <c r="AA365" i="9" s="1"/>
  <c r="AN365" i="9"/>
  <c r="BB365" i="9"/>
  <c r="L365" i="9"/>
  <c r="AO365" i="9"/>
  <c r="N365" i="9"/>
  <c r="AB365" i="9"/>
  <c r="AP365" i="9"/>
  <c r="C365" i="9"/>
  <c r="Q365" i="9"/>
  <c r="AE365" i="9"/>
  <c r="BC365" i="9" s="1"/>
  <c r="AT365" i="9"/>
  <c r="BA362" i="9"/>
  <c r="Y361" i="9"/>
  <c r="I384" i="9"/>
  <c r="U384" i="9"/>
  <c r="V384" i="9" s="1"/>
  <c r="AS384" i="9"/>
  <c r="C384" i="9"/>
  <c r="O384" i="9"/>
  <c r="AM384" i="9"/>
  <c r="AP382" i="9"/>
  <c r="AB382" i="9"/>
  <c r="N382" i="9"/>
  <c r="AV380" i="9"/>
  <c r="AF380" i="9"/>
  <c r="AG380" i="9" s="1"/>
  <c r="N380" i="9"/>
  <c r="AP378" i="9"/>
  <c r="R378" i="9"/>
  <c r="AV371" i="9"/>
  <c r="AB371" i="9"/>
  <c r="E371" i="9"/>
  <c r="AX369" i="9"/>
  <c r="Y369" i="9"/>
  <c r="AN366" i="9"/>
  <c r="R366" i="9"/>
  <c r="AV362" i="9"/>
  <c r="X362" i="9"/>
  <c r="BB361" i="9"/>
  <c r="X361" i="9"/>
  <c r="AW376" i="9"/>
  <c r="AI376" i="9"/>
  <c r="T376" i="9"/>
  <c r="AJ368" i="9"/>
  <c r="G368" i="9"/>
  <c r="AW367" i="9"/>
  <c r="AI367" i="9"/>
  <c r="T367" i="9"/>
  <c r="F357" i="9"/>
  <c r="R357" i="9"/>
  <c r="AD357" i="9"/>
  <c r="BD357" i="9" s="1"/>
  <c r="AP357" i="9"/>
  <c r="BB357" i="9"/>
  <c r="L357" i="9"/>
  <c r="X357" i="9"/>
  <c r="AJ357" i="9"/>
  <c r="AV357" i="9"/>
  <c r="A357" i="9"/>
  <c r="M357" i="9"/>
  <c r="Y357" i="9"/>
  <c r="AK357" i="9"/>
  <c r="AW357" i="9"/>
  <c r="E357" i="9"/>
  <c r="Q357" i="9"/>
  <c r="AC357" i="9"/>
  <c r="AO357" i="9"/>
  <c r="BA357" i="9"/>
  <c r="AV355" i="9"/>
  <c r="AD355" i="9"/>
  <c r="BD355" i="9" s="1"/>
  <c r="L355" i="9"/>
  <c r="G282" i="9"/>
  <c r="S282" i="9"/>
  <c r="AE282" i="9"/>
  <c r="BC282" i="9" s="1"/>
  <c r="AQ282" i="9"/>
  <c r="H282" i="9"/>
  <c r="T282" i="9"/>
  <c r="AF282" i="9"/>
  <c r="AG282" i="9" s="1"/>
  <c r="AR282" i="9"/>
  <c r="A282" i="9"/>
  <c r="M282" i="9"/>
  <c r="Y282" i="9"/>
  <c r="AK282" i="9"/>
  <c r="AW282" i="9"/>
  <c r="F282" i="9"/>
  <c r="W282" i="9"/>
  <c r="AM282" i="9"/>
  <c r="BB282" i="9"/>
  <c r="I282" i="9"/>
  <c r="X282" i="9"/>
  <c r="AN282" i="9"/>
  <c r="J282" i="9"/>
  <c r="AO282" i="9"/>
  <c r="O282" i="9"/>
  <c r="AD282" i="9"/>
  <c r="BD282" i="9" s="1"/>
  <c r="AU282" i="9"/>
  <c r="D282" i="9"/>
  <c r="AC282" i="9"/>
  <c r="AZ282" i="9"/>
  <c r="AY282" i="9" s="1"/>
  <c r="P282" i="9"/>
  <c r="AL282" i="9"/>
  <c r="Q282" i="9"/>
  <c r="AP282" i="9"/>
  <c r="R282" i="9"/>
  <c r="AS282" i="9"/>
  <c r="C282" i="9"/>
  <c r="AB282" i="9"/>
  <c r="AJ282" i="9"/>
  <c r="N282" i="9"/>
  <c r="U282" i="9"/>
  <c r="V282" i="9" s="1"/>
  <c r="AI282" i="9"/>
  <c r="E282" i="9"/>
  <c r="K282" i="9"/>
  <c r="Z282" i="9" s="1"/>
  <c r="AA282" i="9" s="1"/>
  <c r="L282" i="9"/>
  <c r="AH282" i="9"/>
  <c r="AT282" i="9"/>
  <c r="AV282" i="9"/>
  <c r="AX282" i="9"/>
  <c r="BA282" i="9"/>
  <c r="D376" i="9"/>
  <c r="P376" i="9"/>
  <c r="AB376" i="9"/>
  <c r="AN376" i="9"/>
  <c r="AZ376" i="9"/>
  <c r="AY376" i="9" s="1"/>
  <c r="I376" i="9"/>
  <c r="U376" i="9"/>
  <c r="V376" i="9" s="1"/>
  <c r="AS376" i="9"/>
  <c r="AU368" i="9"/>
  <c r="R368" i="9"/>
  <c r="D368" i="9"/>
  <c r="D367" i="9"/>
  <c r="P367" i="9"/>
  <c r="AB367" i="9"/>
  <c r="AN367" i="9"/>
  <c r="AZ367" i="9"/>
  <c r="AY367" i="9" s="1"/>
  <c r="I367" i="9"/>
  <c r="U367" i="9"/>
  <c r="V367" i="9" s="1"/>
  <c r="AS367" i="9"/>
  <c r="O357" i="9"/>
  <c r="AQ355" i="9"/>
  <c r="Y355" i="9"/>
  <c r="G355" i="9"/>
  <c r="AR376" i="9"/>
  <c r="AD376" i="9"/>
  <c r="BD376" i="9" s="1"/>
  <c r="O376" i="9"/>
  <c r="A376" i="9"/>
  <c r="AZ372" i="9"/>
  <c r="AY372" i="9" s="1"/>
  <c r="AL372" i="9"/>
  <c r="W372" i="9"/>
  <c r="AT368" i="9"/>
  <c r="AE368" i="9"/>
  <c r="BC368" i="9" s="1"/>
  <c r="Q368" i="9"/>
  <c r="AR367" i="9"/>
  <c r="AD367" i="9"/>
  <c r="BD367" i="9" s="1"/>
  <c r="O367" i="9"/>
  <c r="A367" i="9"/>
  <c r="AL363" i="9"/>
  <c r="W363" i="9"/>
  <c r="F360" i="9"/>
  <c r="R360" i="9"/>
  <c r="L360" i="9"/>
  <c r="X360" i="9"/>
  <c r="AJ360" i="9"/>
  <c r="AV360" i="9"/>
  <c r="A360" i="9"/>
  <c r="M360" i="9"/>
  <c r="Y360" i="9"/>
  <c r="AK360" i="9"/>
  <c r="AW360" i="9"/>
  <c r="E360" i="9"/>
  <c r="Q360" i="9"/>
  <c r="AC360" i="9"/>
  <c r="AO360" i="9"/>
  <c r="BA360" i="9"/>
  <c r="AX357" i="9"/>
  <c r="AF357" i="9"/>
  <c r="AG357" i="9" s="1"/>
  <c r="N357" i="9"/>
  <c r="AP355" i="9"/>
  <c r="X355" i="9"/>
  <c r="F355" i="9"/>
  <c r="H368" i="9"/>
  <c r="T368" i="9"/>
  <c r="AF368" i="9"/>
  <c r="AG368" i="9" s="1"/>
  <c r="AR368" i="9"/>
  <c r="A368" i="9"/>
  <c r="M368" i="9"/>
  <c r="Y368" i="9"/>
  <c r="AK368" i="9"/>
  <c r="AW368" i="9"/>
  <c r="AM355" i="9"/>
  <c r="W355" i="9"/>
  <c r="J355" i="9"/>
  <c r="AH355" i="9"/>
  <c r="AT355" i="9"/>
  <c r="D355" i="9"/>
  <c r="P355" i="9"/>
  <c r="AB355" i="9"/>
  <c r="AN355" i="9"/>
  <c r="AZ355" i="9"/>
  <c r="AY355" i="9" s="1"/>
  <c r="E355" i="9"/>
  <c r="Q355" i="9"/>
  <c r="AC355" i="9"/>
  <c r="AO355" i="9"/>
  <c r="BA355" i="9"/>
  <c r="I355" i="9"/>
  <c r="U355" i="9"/>
  <c r="V355" i="9" s="1"/>
  <c r="AS355" i="9"/>
  <c r="E336" i="9"/>
  <c r="Q336" i="9"/>
  <c r="AC336" i="9"/>
  <c r="AO336" i="9"/>
  <c r="BA336" i="9"/>
  <c r="K336" i="9"/>
  <c r="Z336" i="9" s="1"/>
  <c r="AA336" i="9" s="1"/>
  <c r="W336" i="9"/>
  <c r="AI336" i="9"/>
  <c r="AU336" i="9"/>
  <c r="N336" i="9"/>
  <c r="AB336" i="9"/>
  <c r="AQ336" i="9"/>
  <c r="F336" i="9"/>
  <c r="T336" i="9"/>
  <c r="AH336" i="9"/>
  <c r="AW336" i="9"/>
  <c r="G336" i="9"/>
  <c r="U336" i="9"/>
  <c r="V336" i="9" s="1"/>
  <c r="AJ336" i="9"/>
  <c r="AX336" i="9"/>
  <c r="H336" i="9"/>
  <c r="AK336" i="9"/>
  <c r="L336" i="9"/>
  <c r="AN336" i="9"/>
  <c r="D336" i="9"/>
  <c r="AE336" i="9"/>
  <c r="BC336" i="9" s="1"/>
  <c r="I336" i="9"/>
  <c r="AF336" i="9"/>
  <c r="AG336" i="9" s="1"/>
  <c r="M336" i="9"/>
  <c r="AL336" i="9"/>
  <c r="O336" i="9"/>
  <c r="AM336" i="9"/>
  <c r="P336" i="9"/>
  <c r="AP336" i="9"/>
  <c r="R336" i="9"/>
  <c r="AR336" i="9"/>
  <c r="S336" i="9"/>
  <c r="AS336" i="9"/>
  <c r="X336" i="9"/>
  <c r="AT336" i="9"/>
  <c r="A336" i="9"/>
  <c r="Y336" i="9"/>
  <c r="AV336" i="9"/>
  <c r="C336" i="9"/>
  <c r="AD336" i="9"/>
  <c r="BD336" i="9" s="1"/>
  <c r="BB336" i="9"/>
  <c r="AK376" i="9"/>
  <c r="W376" i="9"/>
  <c r="H376" i="9"/>
  <c r="L372" i="9"/>
  <c r="X372" i="9"/>
  <c r="AJ372" i="9"/>
  <c r="AV372" i="9"/>
  <c r="E372" i="9"/>
  <c r="Q372" i="9"/>
  <c r="AC372" i="9"/>
  <c r="AO372" i="9"/>
  <c r="BA372" i="9"/>
  <c r="BA368" i="9"/>
  <c r="AM368" i="9"/>
  <c r="X368" i="9"/>
  <c r="J368" i="9"/>
  <c r="AK367" i="9"/>
  <c r="W367" i="9"/>
  <c r="H367" i="9"/>
  <c r="L363" i="9"/>
  <c r="X363" i="9"/>
  <c r="AJ363" i="9"/>
  <c r="AV363" i="9"/>
  <c r="E363" i="9"/>
  <c r="Q363" i="9"/>
  <c r="AC363" i="9"/>
  <c r="AO363" i="9"/>
  <c r="BA363" i="9"/>
  <c r="J358" i="9"/>
  <c r="AH358" i="9"/>
  <c r="AT358" i="9"/>
  <c r="D358" i="9"/>
  <c r="P358" i="9"/>
  <c r="AB358" i="9"/>
  <c r="AN358" i="9"/>
  <c r="AZ358" i="9"/>
  <c r="AY358" i="9" s="1"/>
  <c r="E358" i="9"/>
  <c r="Q358" i="9"/>
  <c r="AC358" i="9"/>
  <c r="AO358" i="9"/>
  <c r="BA358" i="9"/>
  <c r="I358" i="9"/>
  <c r="U358" i="9"/>
  <c r="V358" i="9" s="1"/>
  <c r="AS358" i="9"/>
  <c r="AN357" i="9"/>
  <c r="D357" i="9"/>
  <c r="AX355" i="9"/>
  <c r="AF355" i="9"/>
  <c r="AG355" i="9" s="1"/>
  <c r="N355" i="9"/>
  <c r="D347" i="9"/>
  <c r="P347" i="9"/>
  <c r="AB347" i="9"/>
  <c r="AN347" i="9"/>
  <c r="AZ347" i="9"/>
  <c r="AY347" i="9" s="1"/>
  <c r="I347" i="9"/>
  <c r="U347" i="9"/>
  <c r="V347" i="9" s="1"/>
  <c r="AS347" i="9"/>
  <c r="J347" i="9"/>
  <c r="AH347" i="9"/>
  <c r="AT347" i="9"/>
  <c r="E347" i="9"/>
  <c r="T347" i="9"/>
  <c r="AK347" i="9"/>
  <c r="BA347" i="9"/>
  <c r="F347" i="9"/>
  <c r="W347" i="9"/>
  <c r="AL347" i="9"/>
  <c r="BB347" i="9"/>
  <c r="H347" i="9"/>
  <c r="Y347" i="9"/>
  <c r="AO347" i="9"/>
  <c r="K347" i="9"/>
  <c r="Z347" i="9" s="1"/>
  <c r="AA347" i="9" s="1"/>
  <c r="AP347" i="9"/>
  <c r="M347" i="9"/>
  <c r="AC347" i="9"/>
  <c r="AR347" i="9"/>
  <c r="N347" i="9"/>
  <c r="AD347" i="9"/>
  <c r="BD347" i="9" s="1"/>
  <c r="AU347" i="9"/>
  <c r="O347" i="9"/>
  <c r="AE347" i="9"/>
  <c r="BC347" i="9" s="1"/>
  <c r="AV347" i="9"/>
  <c r="A347" i="9"/>
  <c r="Q347" i="9"/>
  <c r="AF347" i="9"/>
  <c r="AG347" i="9" s="1"/>
  <c r="AW347" i="9"/>
  <c r="C347" i="9"/>
  <c r="S347" i="9"/>
  <c r="AJ347" i="9"/>
  <c r="AW359" i="9"/>
  <c r="AK359" i="9"/>
  <c r="Y359" i="9"/>
  <c r="M359" i="9"/>
  <c r="A359" i="9"/>
  <c r="AW356" i="9"/>
  <c r="AK356" i="9"/>
  <c r="Y356" i="9"/>
  <c r="M356" i="9"/>
  <c r="A356" i="9"/>
  <c r="D353" i="9"/>
  <c r="P353" i="9"/>
  <c r="AB353" i="9"/>
  <c r="AN353" i="9"/>
  <c r="AZ353" i="9"/>
  <c r="AY353" i="9" s="1"/>
  <c r="J353" i="9"/>
  <c r="AH353" i="9"/>
  <c r="AT353" i="9"/>
  <c r="AR352" i="9"/>
  <c r="AC352" i="9"/>
  <c r="O352" i="9"/>
  <c r="A352" i="9"/>
  <c r="AW350" i="9"/>
  <c r="AI350" i="9"/>
  <c r="T350" i="9"/>
  <c r="L349" i="9"/>
  <c r="X349" i="9"/>
  <c r="AJ349" i="9"/>
  <c r="AV349" i="9"/>
  <c r="E349" i="9"/>
  <c r="Q349" i="9"/>
  <c r="F349" i="9"/>
  <c r="R349" i="9"/>
  <c r="AD349" i="9"/>
  <c r="BD349" i="9" s="1"/>
  <c r="AP349" i="9"/>
  <c r="BB349" i="9"/>
  <c r="AR346" i="9"/>
  <c r="K346" i="9"/>
  <c r="Z346" i="9" s="1"/>
  <c r="AA346" i="9" s="1"/>
  <c r="AQ344" i="9"/>
  <c r="AL340" i="9"/>
  <c r="P340" i="9"/>
  <c r="AZ339" i="9"/>
  <c r="AY339" i="9" s="1"/>
  <c r="AD339" i="9"/>
  <c r="BD339" i="9" s="1"/>
  <c r="AO338" i="9"/>
  <c r="P338" i="9"/>
  <c r="AU337" i="9"/>
  <c r="T337" i="9"/>
  <c r="AJ335" i="9"/>
  <c r="AN346" i="9"/>
  <c r="Y346" i="9"/>
  <c r="I346" i="9"/>
  <c r="AI340" i="9"/>
  <c r="N340" i="9"/>
  <c r="AI338" i="9"/>
  <c r="L338" i="9"/>
  <c r="M324" i="9"/>
  <c r="D350" i="9"/>
  <c r="P350" i="9"/>
  <c r="AB350" i="9"/>
  <c r="AN350" i="9"/>
  <c r="AZ350" i="9"/>
  <c r="AY350" i="9" s="1"/>
  <c r="J350" i="9"/>
  <c r="AH350" i="9"/>
  <c r="AT350" i="9"/>
  <c r="AM346" i="9"/>
  <c r="W346" i="9"/>
  <c r="H346" i="9"/>
  <c r="AZ340" i="9"/>
  <c r="AY340" i="9" s="1"/>
  <c r="M340" i="9"/>
  <c r="K339" i="9"/>
  <c r="Z339" i="9" s="1"/>
  <c r="AA339" i="9" s="1"/>
  <c r="W339" i="9"/>
  <c r="AI339" i="9"/>
  <c r="AU339" i="9"/>
  <c r="C339" i="9"/>
  <c r="P339" i="9"/>
  <c r="AC339" i="9"/>
  <c r="AP339" i="9"/>
  <c r="H339" i="9"/>
  <c r="U339" i="9"/>
  <c r="V339" i="9" s="1"/>
  <c r="AH339" i="9"/>
  <c r="AV339" i="9"/>
  <c r="I339" i="9"/>
  <c r="AJ339" i="9"/>
  <c r="AW339" i="9"/>
  <c r="J339" i="9"/>
  <c r="X339" i="9"/>
  <c r="AK339" i="9"/>
  <c r="AX339" i="9"/>
  <c r="A339" i="9"/>
  <c r="N339" i="9"/>
  <c r="AN339" i="9"/>
  <c r="BA339" i="9"/>
  <c r="AH338" i="9"/>
  <c r="H338" i="9"/>
  <c r="AO337" i="9"/>
  <c r="Q337" i="9"/>
  <c r="AX324" i="9"/>
  <c r="L324" i="9"/>
  <c r="I322" i="9"/>
  <c r="U322" i="9"/>
  <c r="V322" i="9" s="1"/>
  <c r="AS322" i="9"/>
  <c r="J322" i="9"/>
  <c r="AH322" i="9"/>
  <c r="AT322" i="9"/>
  <c r="C322" i="9"/>
  <c r="O322" i="9"/>
  <c r="AM322" i="9"/>
  <c r="M322" i="9"/>
  <c r="AC322" i="9"/>
  <c r="AR322" i="9"/>
  <c r="P322" i="9"/>
  <c r="AE322" i="9"/>
  <c r="BC322" i="9" s="1"/>
  <c r="AV322" i="9"/>
  <c r="A322" i="9"/>
  <c r="Q322" i="9"/>
  <c r="AF322" i="9"/>
  <c r="AG322" i="9" s="1"/>
  <c r="AW322" i="9"/>
  <c r="D322" i="9"/>
  <c r="S322" i="9"/>
  <c r="AJ322" i="9"/>
  <c r="AZ322" i="9"/>
  <c r="AY322" i="9" s="1"/>
  <c r="E322" i="9"/>
  <c r="T322" i="9"/>
  <c r="AK322" i="9"/>
  <c r="BA322" i="9"/>
  <c r="F322" i="9"/>
  <c r="W322" i="9"/>
  <c r="AL322" i="9"/>
  <c r="BB322" i="9"/>
  <c r="H322" i="9"/>
  <c r="Y322" i="9"/>
  <c r="AO322" i="9"/>
  <c r="K322" i="9"/>
  <c r="Z322" i="9" s="1"/>
  <c r="AA322" i="9" s="1"/>
  <c r="AP322" i="9"/>
  <c r="AS359" i="9"/>
  <c r="U359" i="9"/>
  <c r="V359" i="9" s="1"/>
  <c r="I359" i="9"/>
  <c r="AS356" i="9"/>
  <c r="U356" i="9"/>
  <c r="V356" i="9" s="1"/>
  <c r="I356" i="9"/>
  <c r="Y352" i="9"/>
  <c r="J352" i="9"/>
  <c r="AR350" i="9"/>
  <c r="AD350" i="9"/>
  <c r="BD350" i="9" s="1"/>
  <c r="O350" i="9"/>
  <c r="A350" i="9"/>
  <c r="AL346" i="9"/>
  <c r="G346" i="9"/>
  <c r="D344" i="9"/>
  <c r="P344" i="9"/>
  <c r="AB344" i="9"/>
  <c r="AN344" i="9"/>
  <c r="AZ344" i="9"/>
  <c r="AY344" i="9" s="1"/>
  <c r="I344" i="9"/>
  <c r="U344" i="9"/>
  <c r="V344" i="9" s="1"/>
  <c r="AS344" i="9"/>
  <c r="J344" i="9"/>
  <c r="AH344" i="9"/>
  <c r="AT344" i="9"/>
  <c r="K344" i="9"/>
  <c r="Z344" i="9" s="1"/>
  <c r="AA344" i="9" s="1"/>
  <c r="W344" i="9"/>
  <c r="AI344" i="9"/>
  <c r="AU344" i="9"/>
  <c r="AF340" i="9"/>
  <c r="AG340" i="9" s="1"/>
  <c r="K340" i="9"/>
  <c r="Z340" i="9" s="1"/>
  <c r="AA340" i="9" s="1"/>
  <c r="AR339" i="9"/>
  <c r="T339" i="9"/>
  <c r="F338" i="9"/>
  <c r="AN337" i="9"/>
  <c r="N337" i="9"/>
  <c r="A335" i="9"/>
  <c r="M335" i="9"/>
  <c r="Y335" i="9"/>
  <c r="AK335" i="9"/>
  <c r="AW335" i="9"/>
  <c r="G335" i="9"/>
  <c r="S335" i="9"/>
  <c r="AE335" i="9"/>
  <c r="BC335" i="9" s="1"/>
  <c r="AQ335" i="9"/>
  <c r="L335" i="9"/>
  <c r="AO335" i="9"/>
  <c r="BD335" i="9"/>
  <c r="D335" i="9"/>
  <c r="R335" i="9"/>
  <c r="AU335" i="9"/>
  <c r="E335" i="9"/>
  <c r="T335" i="9"/>
  <c r="AH335" i="9"/>
  <c r="AV335" i="9"/>
  <c r="F335" i="9"/>
  <c r="U335" i="9"/>
  <c r="V335" i="9" s="1"/>
  <c r="AI335" i="9"/>
  <c r="AX335" i="9"/>
  <c r="J335" i="9"/>
  <c r="X335" i="9"/>
  <c r="AM335" i="9"/>
  <c r="BA335" i="9"/>
  <c r="AV330" i="9"/>
  <c r="O330" i="9"/>
  <c r="AS324" i="9"/>
  <c r="I324" i="9"/>
  <c r="AU322" i="9"/>
  <c r="AR359" i="9"/>
  <c r="AF359" i="9"/>
  <c r="AG359" i="9" s="1"/>
  <c r="T359" i="9"/>
  <c r="AR356" i="9"/>
  <c r="AF356" i="9"/>
  <c r="AG356" i="9" s="1"/>
  <c r="T356" i="9"/>
  <c r="BB353" i="9"/>
  <c r="AM353" i="9"/>
  <c r="Y353" i="9"/>
  <c r="K353" i="9"/>
  <c r="Z353" i="9" s="1"/>
  <c r="AA353" i="9" s="1"/>
  <c r="AZ352" i="9"/>
  <c r="AY352" i="9" s="1"/>
  <c r="AL352" i="9"/>
  <c r="W352" i="9"/>
  <c r="AQ350" i="9"/>
  <c r="AC350" i="9"/>
  <c r="N350" i="9"/>
  <c r="AO349" i="9"/>
  <c r="K349" i="9"/>
  <c r="Z349" i="9" s="1"/>
  <c r="AA349" i="9" s="1"/>
  <c r="AZ346" i="9"/>
  <c r="AY346" i="9" s="1"/>
  <c r="AK346" i="9"/>
  <c r="U346" i="9"/>
  <c r="V346" i="9" s="1"/>
  <c r="BB344" i="9"/>
  <c r="AK344" i="9"/>
  <c r="R344" i="9"/>
  <c r="A344" i="9"/>
  <c r="L343" i="9"/>
  <c r="X343" i="9"/>
  <c r="AJ343" i="9"/>
  <c r="AV343" i="9"/>
  <c r="E343" i="9"/>
  <c r="Q343" i="9"/>
  <c r="AC343" i="9"/>
  <c r="AO343" i="9"/>
  <c r="BA343" i="9"/>
  <c r="F343" i="9"/>
  <c r="R343" i="9"/>
  <c r="AD343" i="9"/>
  <c r="BD343" i="9" s="1"/>
  <c r="AP343" i="9"/>
  <c r="BB343" i="9"/>
  <c r="G343" i="9"/>
  <c r="S343" i="9"/>
  <c r="AE343" i="9"/>
  <c r="BC343" i="9" s="1"/>
  <c r="AQ343" i="9"/>
  <c r="AX340" i="9"/>
  <c r="AB340" i="9"/>
  <c r="I340" i="9"/>
  <c r="AQ339" i="9"/>
  <c r="S339" i="9"/>
  <c r="BB338" i="9"/>
  <c r="AD338" i="9"/>
  <c r="BD338" i="9" s="1"/>
  <c r="AI337" i="9"/>
  <c r="AT330" i="9"/>
  <c r="N330" i="9"/>
  <c r="AR324" i="9"/>
  <c r="AQ322" i="9"/>
  <c r="E324" i="9"/>
  <c r="Q324" i="9"/>
  <c r="AC324" i="9"/>
  <c r="AO324" i="9"/>
  <c r="BA324" i="9"/>
  <c r="F324" i="9"/>
  <c r="R324" i="9"/>
  <c r="AD324" i="9"/>
  <c r="BD324" i="9" s="1"/>
  <c r="AP324" i="9"/>
  <c r="BB324" i="9"/>
  <c r="K324" i="9"/>
  <c r="Z324" i="9" s="1"/>
  <c r="AA324" i="9" s="1"/>
  <c r="W324" i="9"/>
  <c r="AI324" i="9"/>
  <c r="AU324" i="9"/>
  <c r="H324" i="9"/>
  <c r="X324" i="9"/>
  <c r="AM324" i="9"/>
  <c r="J324" i="9"/>
  <c r="AQ324" i="9"/>
  <c r="N324" i="9"/>
  <c r="AE324" i="9"/>
  <c r="BC324" i="9" s="1"/>
  <c r="AT324" i="9"/>
  <c r="O324" i="9"/>
  <c r="AF324" i="9"/>
  <c r="AG324" i="9" s="1"/>
  <c r="AV324" i="9"/>
  <c r="A324" i="9"/>
  <c r="P324" i="9"/>
  <c r="AW324" i="9"/>
  <c r="C324" i="9"/>
  <c r="T324" i="9"/>
  <c r="AJ324" i="9"/>
  <c r="D324" i="9"/>
  <c r="U324" i="9"/>
  <c r="V324" i="9" s="1"/>
  <c r="AK324" i="9"/>
  <c r="AZ324" i="9"/>
  <c r="AY324" i="9" s="1"/>
  <c r="L346" i="9"/>
  <c r="X346" i="9"/>
  <c r="AJ346" i="9"/>
  <c r="AV346" i="9"/>
  <c r="E346" i="9"/>
  <c r="Q346" i="9"/>
  <c r="AC346" i="9"/>
  <c r="AO346" i="9"/>
  <c r="BA346" i="9"/>
  <c r="F346" i="9"/>
  <c r="R346" i="9"/>
  <c r="AD346" i="9"/>
  <c r="BD346" i="9" s="1"/>
  <c r="AP346" i="9"/>
  <c r="BB346" i="9"/>
  <c r="AU340" i="9"/>
  <c r="A338" i="9"/>
  <c r="M338" i="9"/>
  <c r="Y338" i="9"/>
  <c r="AK338" i="9"/>
  <c r="G338" i="9"/>
  <c r="S338" i="9"/>
  <c r="AE338" i="9"/>
  <c r="BC338" i="9" s="1"/>
  <c r="AQ338" i="9"/>
  <c r="C338" i="9"/>
  <c r="Q338" i="9"/>
  <c r="AF338" i="9"/>
  <c r="AG338" i="9" s="1"/>
  <c r="AT338" i="9"/>
  <c r="I338" i="9"/>
  <c r="W338" i="9"/>
  <c r="AL338" i="9"/>
  <c r="J338" i="9"/>
  <c r="X338" i="9"/>
  <c r="AM338" i="9"/>
  <c r="AZ338" i="9"/>
  <c r="AY338" i="9" s="1"/>
  <c r="K338" i="9"/>
  <c r="Z338" i="9" s="1"/>
  <c r="AA338" i="9" s="1"/>
  <c r="AN338" i="9"/>
  <c r="BA338" i="9"/>
  <c r="O338" i="9"/>
  <c r="AC338" i="9"/>
  <c r="AR338" i="9"/>
  <c r="AM330" i="9"/>
  <c r="AL324" i="9"/>
  <c r="AI322" i="9"/>
  <c r="Y350" i="9"/>
  <c r="K350" i="9"/>
  <c r="Z350" i="9" s="1"/>
  <c r="AA350" i="9" s="1"/>
  <c r="AW346" i="9"/>
  <c r="P346" i="9"/>
  <c r="A346" i="9"/>
  <c r="C340" i="9"/>
  <c r="L340" i="9"/>
  <c r="X340" i="9"/>
  <c r="AJ340" i="9"/>
  <c r="AV340" i="9"/>
  <c r="E340" i="9"/>
  <c r="Q340" i="9"/>
  <c r="AC340" i="9"/>
  <c r="AO340" i="9"/>
  <c r="BA340" i="9"/>
  <c r="F340" i="9"/>
  <c r="R340" i="9"/>
  <c r="AD340" i="9"/>
  <c r="BD340" i="9" s="1"/>
  <c r="AP340" i="9"/>
  <c r="BB340" i="9"/>
  <c r="G340" i="9"/>
  <c r="S340" i="9"/>
  <c r="AE340" i="9"/>
  <c r="BC340" i="9" s="1"/>
  <c r="AQ340" i="9"/>
  <c r="J340" i="9"/>
  <c r="AH340" i="9"/>
  <c r="AT340" i="9"/>
  <c r="E330" i="9"/>
  <c r="Q330" i="9"/>
  <c r="AC330" i="9"/>
  <c r="AO330" i="9"/>
  <c r="BA330" i="9"/>
  <c r="F330" i="9"/>
  <c r="R330" i="9"/>
  <c r="AD330" i="9"/>
  <c r="BD330" i="9" s="1"/>
  <c r="AP330" i="9"/>
  <c r="BB330" i="9"/>
  <c r="K330" i="9"/>
  <c r="Z330" i="9" s="1"/>
  <c r="AA330" i="9" s="1"/>
  <c r="W330" i="9"/>
  <c r="AI330" i="9"/>
  <c r="AU330" i="9"/>
  <c r="M330" i="9"/>
  <c r="AB330" i="9"/>
  <c r="AS330" i="9"/>
  <c r="C330" i="9"/>
  <c r="T330" i="9"/>
  <c r="AJ330" i="9"/>
  <c r="D330" i="9"/>
  <c r="U330" i="9"/>
  <c r="V330" i="9" s="1"/>
  <c r="AK330" i="9"/>
  <c r="AZ330" i="9"/>
  <c r="AY330" i="9" s="1"/>
  <c r="G330" i="9"/>
  <c r="AL330" i="9"/>
  <c r="I330" i="9"/>
  <c r="Y330" i="9"/>
  <c r="AN330" i="9"/>
  <c r="J330" i="9"/>
  <c r="AQ330" i="9"/>
  <c r="AH324" i="9"/>
  <c r="AD322" i="9"/>
  <c r="BD322" i="9" s="1"/>
  <c r="AK350" i="9"/>
  <c r="W350" i="9"/>
  <c r="H350" i="9"/>
  <c r="AT346" i="9"/>
  <c r="AE346" i="9"/>
  <c r="BC346" i="9" s="1"/>
  <c r="N346" i="9"/>
  <c r="AN340" i="9"/>
  <c r="U340" i="9"/>
  <c r="V340" i="9" s="1"/>
  <c r="AS338" i="9"/>
  <c r="T338" i="9"/>
  <c r="I337" i="9"/>
  <c r="U337" i="9"/>
  <c r="V337" i="9" s="1"/>
  <c r="AS337" i="9"/>
  <c r="C337" i="9"/>
  <c r="O337" i="9"/>
  <c r="AM337" i="9"/>
  <c r="A337" i="9"/>
  <c r="P337" i="9"/>
  <c r="AD337" i="9"/>
  <c r="BD337" i="9" s="1"/>
  <c r="AR337" i="9"/>
  <c r="G337" i="9"/>
  <c r="AJ337" i="9"/>
  <c r="AX337" i="9"/>
  <c r="H337" i="9"/>
  <c r="W337" i="9"/>
  <c r="AK337" i="9"/>
  <c r="AZ337" i="9"/>
  <c r="AY337" i="9" s="1"/>
  <c r="J337" i="9"/>
  <c r="X337" i="9"/>
  <c r="AL337" i="9"/>
  <c r="BA337" i="9"/>
  <c r="M337" i="9"/>
  <c r="AB337" i="9"/>
  <c r="AP337" i="9"/>
  <c r="AF330" i="9"/>
  <c r="AG330" i="9" s="1"/>
  <c r="X322" i="9"/>
  <c r="L352" i="9"/>
  <c r="X352" i="9"/>
  <c r="AJ352" i="9"/>
  <c r="AV352" i="9"/>
  <c r="F352" i="9"/>
  <c r="R352" i="9"/>
  <c r="AD352" i="9"/>
  <c r="BD352" i="9" s="1"/>
  <c r="AP352" i="9"/>
  <c r="BB352" i="9"/>
  <c r="AX350" i="9"/>
  <c r="AJ350" i="9"/>
  <c r="U350" i="9"/>
  <c r="V350" i="9" s="1"/>
  <c r="G350" i="9"/>
  <c r="AS346" i="9"/>
  <c r="AB346" i="9"/>
  <c r="M346" i="9"/>
  <c r="AR344" i="9"/>
  <c r="H344" i="9"/>
  <c r="AM340" i="9"/>
  <c r="T340" i="9"/>
  <c r="BB339" i="9"/>
  <c r="AE339" i="9"/>
  <c r="BC339" i="9" s="1"/>
  <c r="G339" i="9"/>
  <c r="AP338" i="9"/>
  <c r="R338" i="9"/>
  <c r="AV337" i="9"/>
  <c r="Y337" i="9"/>
  <c r="AL335" i="9"/>
  <c r="N335" i="9"/>
  <c r="AE330" i="9"/>
  <c r="BC330" i="9" s="1"/>
  <c r="Y324" i="9"/>
  <c r="R322" i="9"/>
  <c r="I331" i="9"/>
  <c r="U331" i="9"/>
  <c r="V331" i="9" s="1"/>
  <c r="AS331" i="9"/>
  <c r="J331" i="9"/>
  <c r="C331" i="9"/>
  <c r="O331" i="9"/>
  <c r="AM331" i="9"/>
  <c r="AR325" i="9"/>
  <c r="AC325" i="9"/>
  <c r="M325" i="9"/>
  <c r="E321" i="9"/>
  <c r="Q321" i="9"/>
  <c r="AC321" i="9"/>
  <c r="AO321" i="9"/>
  <c r="BA321" i="9"/>
  <c r="F321" i="9"/>
  <c r="R321" i="9"/>
  <c r="AD321" i="9"/>
  <c r="BD321" i="9" s="1"/>
  <c r="AP321" i="9"/>
  <c r="BB321" i="9"/>
  <c r="K321" i="9"/>
  <c r="Z321" i="9" s="1"/>
  <c r="AA321" i="9" s="1"/>
  <c r="W321" i="9"/>
  <c r="AI321" i="9"/>
  <c r="AU321" i="9"/>
  <c r="AS314" i="9"/>
  <c r="Y314" i="9"/>
  <c r="AL313" i="9"/>
  <c r="Q313" i="9"/>
  <c r="AW311" i="9"/>
  <c r="G311" i="9"/>
  <c r="AF298" i="9"/>
  <c r="AG298" i="9" s="1"/>
  <c r="AB289" i="9"/>
  <c r="AQ325" i="9"/>
  <c r="AB325" i="9"/>
  <c r="L325" i="9"/>
  <c r="D314" i="9"/>
  <c r="P314" i="9"/>
  <c r="AB314" i="9"/>
  <c r="AN314" i="9"/>
  <c r="AZ314" i="9"/>
  <c r="AY314" i="9" s="1"/>
  <c r="E314" i="9"/>
  <c r="Q314" i="9"/>
  <c r="AC314" i="9"/>
  <c r="AO314" i="9"/>
  <c r="BA314" i="9"/>
  <c r="J314" i="9"/>
  <c r="AH314" i="9"/>
  <c r="AT314" i="9"/>
  <c r="N314" i="9"/>
  <c r="AE314" i="9"/>
  <c r="BC314" i="9" s="1"/>
  <c r="AU314" i="9"/>
  <c r="O314" i="9"/>
  <c r="AF314" i="9"/>
  <c r="AG314" i="9" s="1"/>
  <c r="AV314" i="9"/>
  <c r="G314" i="9"/>
  <c r="W314" i="9"/>
  <c r="AL314" i="9"/>
  <c r="AI313" i="9"/>
  <c r="P313" i="9"/>
  <c r="AV311" i="9"/>
  <c r="Y311" i="9"/>
  <c r="L298" i="9"/>
  <c r="X298" i="9"/>
  <c r="AJ298" i="9"/>
  <c r="AV298" i="9"/>
  <c r="A298" i="9"/>
  <c r="M298" i="9"/>
  <c r="Y298" i="9"/>
  <c r="AK298" i="9"/>
  <c r="AW298" i="9"/>
  <c r="F298" i="9"/>
  <c r="R298" i="9"/>
  <c r="AD298" i="9"/>
  <c r="BD298" i="9" s="1"/>
  <c r="AP298" i="9"/>
  <c r="BB298" i="9"/>
  <c r="K298" i="9"/>
  <c r="Z298" i="9" s="1"/>
  <c r="AA298" i="9" s="1"/>
  <c r="AB298" i="9"/>
  <c r="AR298" i="9"/>
  <c r="C298" i="9"/>
  <c r="S298" i="9"/>
  <c r="AH298" i="9"/>
  <c r="D298" i="9"/>
  <c r="T298" i="9"/>
  <c r="AI298" i="9"/>
  <c r="AZ298" i="9"/>
  <c r="AY298" i="9" s="1"/>
  <c r="E298" i="9"/>
  <c r="U298" i="9"/>
  <c r="V298" i="9" s="1"/>
  <c r="AL298" i="9"/>
  <c r="BA298" i="9"/>
  <c r="J298" i="9"/>
  <c r="AQ298" i="9"/>
  <c r="AX294" i="9"/>
  <c r="T294" i="9"/>
  <c r="AH313" i="9"/>
  <c r="N313" i="9"/>
  <c r="D311" i="9"/>
  <c r="P311" i="9"/>
  <c r="AB311" i="9"/>
  <c r="AN311" i="9"/>
  <c r="AZ311" i="9"/>
  <c r="AY311" i="9" s="1"/>
  <c r="E311" i="9"/>
  <c r="Q311" i="9"/>
  <c r="AC311" i="9"/>
  <c r="AO311" i="9"/>
  <c r="BA311" i="9"/>
  <c r="J311" i="9"/>
  <c r="AH311" i="9"/>
  <c r="AT311" i="9"/>
  <c r="L311" i="9"/>
  <c r="AR311" i="9"/>
  <c r="M311" i="9"/>
  <c r="AD311" i="9"/>
  <c r="BD311" i="9" s="1"/>
  <c r="AS311" i="9"/>
  <c r="C311" i="9"/>
  <c r="T311" i="9"/>
  <c r="AJ311" i="9"/>
  <c r="N294" i="9"/>
  <c r="AS277" i="9"/>
  <c r="AU341" i="9"/>
  <c r="AI341" i="9"/>
  <c r="W341" i="9"/>
  <c r="K341" i="9"/>
  <c r="Z341" i="9" s="1"/>
  <c r="AA341" i="9" s="1"/>
  <c r="A332" i="9"/>
  <c r="M332" i="9"/>
  <c r="Y332" i="9"/>
  <c r="AK332" i="9"/>
  <c r="AW332" i="9"/>
  <c r="G332" i="9"/>
  <c r="S332" i="9"/>
  <c r="AE332" i="9"/>
  <c r="BC332" i="9" s="1"/>
  <c r="AQ332" i="9"/>
  <c r="AQ331" i="9"/>
  <c r="AC331" i="9"/>
  <c r="N331" i="9"/>
  <c r="AO325" i="9"/>
  <c r="Y325" i="9"/>
  <c r="H325" i="9"/>
  <c r="AT321" i="9"/>
  <c r="AE321" i="9"/>
  <c r="BC321" i="9" s="1"/>
  <c r="N321" i="9"/>
  <c r="AP314" i="9"/>
  <c r="T314" i="9"/>
  <c r="BA313" i="9"/>
  <c r="K313" i="9"/>
  <c r="Z313" i="9" s="1"/>
  <c r="AA313" i="9" s="1"/>
  <c r="AQ311" i="9"/>
  <c r="W311" i="9"/>
  <c r="A311" i="9"/>
  <c r="AU294" i="9"/>
  <c r="K294" i="9"/>
  <c r="Z294" i="9" s="1"/>
  <c r="AA294" i="9" s="1"/>
  <c r="AZ289" i="9"/>
  <c r="AY289" i="9" s="1"/>
  <c r="R289" i="9"/>
  <c r="AR277" i="9"/>
  <c r="C268" i="9"/>
  <c r="O268" i="9"/>
  <c r="AM268" i="9"/>
  <c r="H268" i="9"/>
  <c r="T268" i="9"/>
  <c r="AF268" i="9"/>
  <c r="AG268" i="9" s="1"/>
  <c r="AR268" i="9"/>
  <c r="E268" i="9"/>
  <c r="S268" i="9"/>
  <c r="AH268" i="9"/>
  <c r="AV268" i="9"/>
  <c r="K268" i="9"/>
  <c r="Z268" i="9" s="1"/>
  <c r="AA268" i="9" s="1"/>
  <c r="Y268" i="9"/>
  <c r="AN268" i="9"/>
  <c r="BB268" i="9"/>
  <c r="M268" i="9"/>
  <c r="AB268" i="9"/>
  <c r="AP268" i="9"/>
  <c r="D268" i="9"/>
  <c r="W268" i="9"/>
  <c r="AQ268" i="9"/>
  <c r="F268" i="9"/>
  <c r="X268" i="9"/>
  <c r="AS268" i="9"/>
  <c r="N268" i="9"/>
  <c r="AZ268" i="9"/>
  <c r="AY268" i="9" s="1"/>
  <c r="R268" i="9"/>
  <c r="AT268" i="9"/>
  <c r="U268" i="9"/>
  <c r="V268" i="9" s="1"/>
  <c r="AU268" i="9"/>
  <c r="AW268" i="9"/>
  <c r="AX268" i="9"/>
  <c r="I268" i="9"/>
  <c r="AI268" i="9"/>
  <c r="AJ268" i="9"/>
  <c r="J268" i="9"/>
  <c r="L268" i="9"/>
  <c r="P268" i="9"/>
  <c r="AE268" i="9"/>
  <c r="BC268" i="9" s="1"/>
  <c r="Q268" i="9"/>
  <c r="AC268" i="9"/>
  <c r="AD268" i="9"/>
  <c r="BD268" i="9" s="1"/>
  <c r="AO268" i="9"/>
  <c r="BA268" i="9"/>
  <c r="A268" i="9"/>
  <c r="G268" i="9"/>
  <c r="AT341" i="9"/>
  <c r="AH341" i="9"/>
  <c r="J341" i="9"/>
  <c r="AU334" i="9"/>
  <c r="AF334" i="9"/>
  <c r="AG334" i="9" s="1"/>
  <c r="R334" i="9"/>
  <c r="E333" i="9"/>
  <c r="Q333" i="9"/>
  <c r="AC333" i="9"/>
  <c r="AO333" i="9"/>
  <c r="BA333" i="9"/>
  <c r="K333" i="9"/>
  <c r="Z333" i="9" s="1"/>
  <c r="AA333" i="9" s="1"/>
  <c r="W333" i="9"/>
  <c r="AI333" i="9"/>
  <c r="AU333" i="9"/>
  <c r="AR332" i="9"/>
  <c r="AC332" i="9"/>
  <c r="O332" i="9"/>
  <c r="AP331" i="9"/>
  <c r="AB331" i="9"/>
  <c r="M331" i="9"/>
  <c r="AP328" i="9"/>
  <c r="E327" i="9"/>
  <c r="Q327" i="9"/>
  <c r="AC327" i="9"/>
  <c r="AO327" i="9"/>
  <c r="BA327" i="9"/>
  <c r="F327" i="9"/>
  <c r="R327" i="9"/>
  <c r="AD327" i="9"/>
  <c r="BD327" i="9" s="1"/>
  <c r="AP327" i="9"/>
  <c r="BB327" i="9"/>
  <c r="K327" i="9"/>
  <c r="Z327" i="9" s="1"/>
  <c r="AA327" i="9" s="1"/>
  <c r="W327" i="9"/>
  <c r="AI327" i="9"/>
  <c r="AU327" i="9"/>
  <c r="AN325" i="9"/>
  <c r="X325" i="9"/>
  <c r="G325" i="9"/>
  <c r="AS321" i="9"/>
  <c r="AB321" i="9"/>
  <c r="M321" i="9"/>
  <c r="D320" i="9"/>
  <c r="P320" i="9"/>
  <c r="AB320" i="9"/>
  <c r="K320" i="9"/>
  <c r="Z320" i="9" s="1"/>
  <c r="AA320" i="9" s="1"/>
  <c r="X320" i="9"/>
  <c r="AK320" i="9"/>
  <c r="AW320" i="9"/>
  <c r="L320" i="9"/>
  <c r="Y320" i="9"/>
  <c r="AL320" i="9"/>
  <c r="AX320" i="9"/>
  <c r="E320" i="9"/>
  <c r="R320" i="9"/>
  <c r="AE320" i="9"/>
  <c r="BC320" i="9" s="1"/>
  <c r="AQ320" i="9"/>
  <c r="H318" i="9"/>
  <c r="T318" i="9"/>
  <c r="AF318" i="9"/>
  <c r="AG318" i="9" s="1"/>
  <c r="AR318" i="9"/>
  <c r="I318" i="9"/>
  <c r="U318" i="9"/>
  <c r="V318" i="9" s="1"/>
  <c r="C318" i="9"/>
  <c r="Q318" i="9"/>
  <c r="AE318" i="9"/>
  <c r="BC318" i="9" s="1"/>
  <c r="AS318" i="9"/>
  <c r="D318" i="9"/>
  <c r="R318" i="9"/>
  <c r="AT318" i="9"/>
  <c r="K318" i="9"/>
  <c r="Z318" i="9" s="1"/>
  <c r="AA318" i="9" s="1"/>
  <c r="Y318" i="9"/>
  <c r="AL318" i="9"/>
  <c r="AM314" i="9"/>
  <c r="S314" i="9"/>
  <c r="AZ313" i="9"/>
  <c r="AY313" i="9" s="1"/>
  <c r="AF313" i="9"/>
  <c r="AG313" i="9" s="1"/>
  <c r="J313" i="9"/>
  <c r="AP311" i="9"/>
  <c r="U311" i="9"/>
  <c r="V311" i="9" s="1"/>
  <c r="D308" i="9"/>
  <c r="P308" i="9"/>
  <c r="AB308" i="9"/>
  <c r="AN308" i="9"/>
  <c r="AZ308" i="9"/>
  <c r="AY308" i="9" s="1"/>
  <c r="E308" i="9"/>
  <c r="Q308" i="9"/>
  <c r="AC308" i="9"/>
  <c r="AO308" i="9"/>
  <c r="BA308" i="9"/>
  <c r="J308" i="9"/>
  <c r="AH308" i="9"/>
  <c r="AT308" i="9"/>
  <c r="I308" i="9"/>
  <c r="Y308" i="9"/>
  <c r="AP308" i="9"/>
  <c r="K308" i="9"/>
  <c r="Z308" i="9" s="1"/>
  <c r="AA308" i="9" s="1"/>
  <c r="AQ308" i="9"/>
  <c r="A308" i="9"/>
  <c r="R308" i="9"/>
  <c r="AW308" i="9"/>
  <c r="AI305" i="9"/>
  <c r="AU302" i="9"/>
  <c r="X302" i="9"/>
  <c r="AX298" i="9"/>
  <c r="W298" i="9"/>
  <c r="AQ294" i="9"/>
  <c r="J294" i="9"/>
  <c r="L289" i="9"/>
  <c r="AH277" i="9"/>
  <c r="AS341" i="9"/>
  <c r="U341" i="9"/>
  <c r="V341" i="9" s="1"/>
  <c r="I341" i="9"/>
  <c r="I334" i="9"/>
  <c r="U334" i="9"/>
  <c r="V334" i="9" s="1"/>
  <c r="AS334" i="9"/>
  <c r="C334" i="9"/>
  <c r="O334" i="9"/>
  <c r="AM334" i="9"/>
  <c r="AP332" i="9"/>
  <c r="AB332" i="9"/>
  <c r="N332" i="9"/>
  <c r="AO331" i="9"/>
  <c r="L331" i="9"/>
  <c r="BB325" i="9"/>
  <c r="AL325" i="9"/>
  <c r="W325" i="9"/>
  <c r="AR321" i="9"/>
  <c r="L321" i="9"/>
  <c r="AK314" i="9"/>
  <c r="R314" i="9"/>
  <c r="AC313" i="9"/>
  <c r="I313" i="9"/>
  <c r="AM311" i="9"/>
  <c r="S311" i="9"/>
  <c r="D302" i="9"/>
  <c r="P302" i="9"/>
  <c r="AB302" i="9"/>
  <c r="AN302" i="9"/>
  <c r="AZ302" i="9"/>
  <c r="AY302" i="9" s="1"/>
  <c r="E302" i="9"/>
  <c r="Q302" i="9"/>
  <c r="AC302" i="9"/>
  <c r="AO302" i="9"/>
  <c r="BA302" i="9"/>
  <c r="J302" i="9"/>
  <c r="AH302" i="9"/>
  <c r="AT302" i="9"/>
  <c r="I302" i="9"/>
  <c r="Y302" i="9"/>
  <c r="AP302" i="9"/>
  <c r="K302" i="9"/>
  <c r="Z302" i="9" s="1"/>
  <c r="AA302" i="9" s="1"/>
  <c r="AQ302" i="9"/>
  <c r="A302" i="9"/>
  <c r="R302" i="9"/>
  <c r="AW302" i="9"/>
  <c r="AU298" i="9"/>
  <c r="AM294" i="9"/>
  <c r="H294" i="9"/>
  <c r="AX289" i="9"/>
  <c r="AD277" i="9"/>
  <c r="BD277" i="9" s="1"/>
  <c r="AX313" i="9"/>
  <c r="AB313" i="9"/>
  <c r="E313" i="9"/>
  <c r="AL311" i="9"/>
  <c r="R311" i="9"/>
  <c r="AL294" i="9"/>
  <c r="AU313" i="9"/>
  <c r="D313" i="9"/>
  <c r="AK311" i="9"/>
  <c r="O311" i="9"/>
  <c r="D294" i="9"/>
  <c r="P294" i="9"/>
  <c r="AB294" i="9"/>
  <c r="AN294" i="9"/>
  <c r="AZ294" i="9"/>
  <c r="AY294" i="9" s="1"/>
  <c r="I294" i="9"/>
  <c r="U294" i="9"/>
  <c r="V294" i="9" s="1"/>
  <c r="AS294" i="9"/>
  <c r="L294" i="9"/>
  <c r="AO294" i="9"/>
  <c r="M294" i="9"/>
  <c r="AP294" i="9"/>
  <c r="E294" i="9"/>
  <c r="S294" i="9"/>
  <c r="AH294" i="9"/>
  <c r="AV294" i="9"/>
  <c r="G294" i="9"/>
  <c r="Y294" i="9"/>
  <c r="AT294" i="9"/>
  <c r="O294" i="9"/>
  <c r="AI294" i="9"/>
  <c r="BA294" i="9"/>
  <c r="Q294" i="9"/>
  <c r="AJ294" i="9"/>
  <c r="BB294" i="9"/>
  <c r="R294" i="9"/>
  <c r="AK294" i="9"/>
  <c r="F294" i="9"/>
  <c r="X294" i="9"/>
  <c r="AR294" i="9"/>
  <c r="J277" i="9"/>
  <c r="I325" i="9"/>
  <c r="U325" i="9"/>
  <c r="V325" i="9" s="1"/>
  <c r="AS325" i="9"/>
  <c r="J325" i="9"/>
  <c r="AH325" i="9"/>
  <c r="AT325" i="9"/>
  <c r="C325" i="9"/>
  <c r="O325" i="9"/>
  <c r="AM325" i="9"/>
  <c r="AS313" i="9"/>
  <c r="AI311" i="9"/>
  <c r="N311" i="9"/>
  <c r="AE294" i="9"/>
  <c r="BC294" i="9" s="1"/>
  <c r="A294" i="9"/>
  <c r="G289" i="9"/>
  <c r="S289" i="9"/>
  <c r="AE289" i="9"/>
  <c r="BC289" i="9" s="1"/>
  <c r="AQ289" i="9"/>
  <c r="H289" i="9"/>
  <c r="T289" i="9"/>
  <c r="AF289" i="9"/>
  <c r="AG289" i="9" s="1"/>
  <c r="AR289" i="9"/>
  <c r="A289" i="9"/>
  <c r="M289" i="9"/>
  <c r="Y289" i="9"/>
  <c r="AK289" i="9"/>
  <c r="AW289" i="9"/>
  <c r="I289" i="9"/>
  <c r="X289" i="9"/>
  <c r="AN289" i="9"/>
  <c r="J289" i="9"/>
  <c r="AO289" i="9"/>
  <c r="P289" i="9"/>
  <c r="AV289" i="9"/>
  <c r="D289" i="9"/>
  <c r="AU289" i="9"/>
  <c r="N289" i="9"/>
  <c r="AI289" i="9"/>
  <c r="BB289" i="9"/>
  <c r="O289" i="9"/>
  <c r="AJ289" i="9"/>
  <c r="Q289" i="9"/>
  <c r="AL289" i="9"/>
  <c r="C289" i="9"/>
  <c r="W289" i="9"/>
  <c r="AT289" i="9"/>
  <c r="L313" i="9"/>
  <c r="X313" i="9"/>
  <c r="AJ313" i="9"/>
  <c r="AV313" i="9"/>
  <c r="A313" i="9"/>
  <c r="M313" i="9"/>
  <c r="Y313" i="9"/>
  <c r="AK313" i="9"/>
  <c r="AW313" i="9"/>
  <c r="F313" i="9"/>
  <c r="R313" i="9"/>
  <c r="AD313" i="9"/>
  <c r="BD313" i="9" s="1"/>
  <c r="AP313" i="9"/>
  <c r="BB313" i="9"/>
  <c r="G313" i="9"/>
  <c r="AM313" i="9"/>
  <c r="H313" i="9"/>
  <c r="W313" i="9"/>
  <c r="AN313" i="9"/>
  <c r="O313" i="9"/>
  <c r="AE313" i="9"/>
  <c r="BC313" i="9" s="1"/>
  <c r="AT313" i="9"/>
  <c r="D277" i="9"/>
  <c r="K277" i="9"/>
  <c r="Z277" i="9" s="1"/>
  <c r="AA277" i="9" s="1"/>
  <c r="W277" i="9"/>
  <c r="AI277" i="9"/>
  <c r="AU277" i="9"/>
  <c r="L277" i="9"/>
  <c r="X277" i="9"/>
  <c r="AJ277" i="9"/>
  <c r="AV277" i="9"/>
  <c r="E277" i="9"/>
  <c r="Q277" i="9"/>
  <c r="AC277" i="9"/>
  <c r="AO277" i="9"/>
  <c r="BA277" i="9"/>
  <c r="O277" i="9"/>
  <c r="AE277" i="9"/>
  <c r="BC277" i="9" s="1"/>
  <c r="AT277" i="9"/>
  <c r="P277" i="9"/>
  <c r="AF277" i="9"/>
  <c r="AG277" i="9" s="1"/>
  <c r="AW277" i="9"/>
  <c r="A277" i="9"/>
  <c r="R277" i="9"/>
  <c r="AX277" i="9"/>
  <c r="G277" i="9"/>
  <c r="AM277" i="9"/>
  <c r="F277" i="9"/>
  <c r="AB277" i="9"/>
  <c r="BB277" i="9"/>
  <c r="N277" i="9"/>
  <c r="AN277" i="9"/>
  <c r="S277" i="9"/>
  <c r="AP277" i="9"/>
  <c r="T277" i="9"/>
  <c r="AQ277" i="9"/>
  <c r="C277" i="9"/>
  <c r="AZ277" i="9"/>
  <c r="AY277" i="9" s="1"/>
  <c r="AL277" i="9"/>
  <c r="H277" i="9"/>
  <c r="M277" i="9"/>
  <c r="U277" i="9"/>
  <c r="V277" i="9" s="1"/>
  <c r="Y277" i="9"/>
  <c r="AK277" i="9"/>
  <c r="AZ341" i="9"/>
  <c r="AY341" i="9" s="1"/>
  <c r="AN341" i="9"/>
  <c r="AB341" i="9"/>
  <c r="P341" i="9"/>
  <c r="BB334" i="9"/>
  <c r="AN334" i="9"/>
  <c r="Y334" i="9"/>
  <c r="K334" i="9"/>
  <c r="Z334" i="9" s="1"/>
  <c r="AA334" i="9" s="1"/>
  <c r="AJ332" i="9"/>
  <c r="H332" i="9"/>
  <c r="AW331" i="9"/>
  <c r="AI331" i="9"/>
  <c r="T331" i="9"/>
  <c r="E331" i="9"/>
  <c r="I328" i="9"/>
  <c r="U328" i="9"/>
  <c r="V328" i="9" s="1"/>
  <c r="AS328" i="9"/>
  <c r="J328" i="9"/>
  <c r="AH328" i="9"/>
  <c r="AT328" i="9"/>
  <c r="C328" i="9"/>
  <c r="O328" i="9"/>
  <c r="AM328" i="9"/>
  <c r="AV325" i="9"/>
  <c r="AE325" i="9"/>
  <c r="BC325" i="9" s="1"/>
  <c r="P325" i="9"/>
  <c r="AZ321" i="9"/>
  <c r="AY321" i="9" s="1"/>
  <c r="AK321" i="9"/>
  <c r="U321" i="9"/>
  <c r="V321" i="9" s="1"/>
  <c r="D321" i="9"/>
  <c r="AX314" i="9"/>
  <c r="H314" i="9"/>
  <c r="AQ313" i="9"/>
  <c r="T313" i="9"/>
  <c r="BB311" i="9"/>
  <c r="AF311" i="9"/>
  <c r="AG311" i="9" s="1"/>
  <c r="I311" i="9"/>
  <c r="L310" i="9"/>
  <c r="X310" i="9"/>
  <c r="AJ310" i="9"/>
  <c r="AV310" i="9"/>
  <c r="A310" i="9"/>
  <c r="M310" i="9"/>
  <c r="Y310" i="9"/>
  <c r="AK310" i="9"/>
  <c r="AW310" i="9"/>
  <c r="F310" i="9"/>
  <c r="R310" i="9"/>
  <c r="AD310" i="9"/>
  <c r="BD310" i="9" s="1"/>
  <c r="AP310" i="9"/>
  <c r="BB310" i="9"/>
  <c r="D310" i="9"/>
  <c r="T310" i="9"/>
  <c r="AI310" i="9"/>
  <c r="AZ310" i="9"/>
  <c r="AY310" i="9" s="1"/>
  <c r="E310" i="9"/>
  <c r="U310" i="9"/>
  <c r="V310" i="9" s="1"/>
  <c r="AL310" i="9"/>
  <c r="BA310" i="9"/>
  <c r="K310" i="9"/>
  <c r="Z310" i="9" s="1"/>
  <c r="AA310" i="9" s="1"/>
  <c r="AB310" i="9"/>
  <c r="AR310" i="9"/>
  <c r="D305" i="9"/>
  <c r="P305" i="9"/>
  <c r="AB305" i="9"/>
  <c r="AN305" i="9"/>
  <c r="AZ305" i="9"/>
  <c r="AY305" i="9" s="1"/>
  <c r="E305" i="9"/>
  <c r="Q305" i="9"/>
  <c r="AC305" i="9"/>
  <c r="AO305" i="9"/>
  <c r="BA305" i="9"/>
  <c r="J305" i="9"/>
  <c r="AH305" i="9"/>
  <c r="AT305" i="9"/>
  <c r="H305" i="9"/>
  <c r="X305" i="9"/>
  <c r="AM305" i="9"/>
  <c r="I305" i="9"/>
  <c r="Y305" i="9"/>
  <c r="AP305" i="9"/>
  <c r="O305" i="9"/>
  <c r="AF305" i="9"/>
  <c r="AG305" i="9" s="1"/>
  <c r="AV305" i="9"/>
  <c r="AJ302" i="9"/>
  <c r="N302" i="9"/>
  <c r="AM298" i="9"/>
  <c r="I298" i="9"/>
  <c r="AC294" i="9"/>
  <c r="AD289" i="9"/>
  <c r="BD289" i="9" s="1"/>
  <c r="L286" i="9"/>
  <c r="X286" i="9"/>
  <c r="AJ286" i="9"/>
  <c r="AV286" i="9"/>
  <c r="E286" i="9"/>
  <c r="Q286" i="9"/>
  <c r="AC286" i="9"/>
  <c r="AO286" i="9"/>
  <c r="BA286" i="9"/>
  <c r="C286" i="9"/>
  <c r="R286" i="9"/>
  <c r="AF286" i="9"/>
  <c r="AG286" i="9" s="1"/>
  <c r="AT286" i="9"/>
  <c r="D286" i="9"/>
  <c r="S286" i="9"/>
  <c r="AU286" i="9"/>
  <c r="J286" i="9"/>
  <c r="Y286" i="9"/>
  <c r="AM286" i="9"/>
  <c r="BB286" i="9"/>
  <c r="O286" i="9"/>
  <c r="AI286" i="9"/>
  <c r="F286" i="9"/>
  <c r="W286" i="9"/>
  <c r="AQ286" i="9"/>
  <c r="G286" i="9"/>
  <c r="AR286" i="9"/>
  <c r="H286" i="9"/>
  <c r="AS286" i="9"/>
  <c r="N286" i="9"/>
  <c r="AH286" i="9"/>
  <c r="AZ286" i="9"/>
  <c r="AY286" i="9" s="1"/>
  <c r="M286" i="9"/>
  <c r="AW286" i="9"/>
  <c r="AB286" i="9"/>
  <c r="AD286" i="9"/>
  <c r="BD286" i="9" s="1"/>
  <c r="AE286" i="9"/>
  <c r="BC286" i="9" s="1"/>
  <c r="K286" i="9"/>
  <c r="Z286" i="9" s="1"/>
  <c r="AA286" i="9" s="1"/>
  <c r="AP286" i="9"/>
  <c r="AQ329" i="9"/>
  <c r="AE329" i="9"/>
  <c r="BC329" i="9" s="1"/>
  <c r="S329" i="9"/>
  <c r="G329" i="9"/>
  <c r="AQ326" i="9"/>
  <c r="AE326" i="9"/>
  <c r="BC326" i="9" s="1"/>
  <c r="S326" i="9"/>
  <c r="G326" i="9"/>
  <c r="AQ323" i="9"/>
  <c r="AE323" i="9"/>
  <c r="BC323" i="9" s="1"/>
  <c r="S323" i="9"/>
  <c r="G323" i="9"/>
  <c r="AU319" i="9"/>
  <c r="AH319" i="9"/>
  <c r="U319" i="9"/>
  <c r="V319" i="9" s="1"/>
  <c r="AK317" i="9"/>
  <c r="W317" i="9"/>
  <c r="L316" i="9"/>
  <c r="X316" i="9"/>
  <c r="AJ316" i="9"/>
  <c r="AV316" i="9"/>
  <c r="A316" i="9"/>
  <c r="M316" i="9"/>
  <c r="Y316" i="9"/>
  <c r="AK316" i="9"/>
  <c r="AW316" i="9"/>
  <c r="F316" i="9"/>
  <c r="R316" i="9"/>
  <c r="AD316" i="9"/>
  <c r="BD316" i="9" s="1"/>
  <c r="AP316" i="9"/>
  <c r="BB316" i="9"/>
  <c r="AO307" i="9"/>
  <c r="AN304" i="9"/>
  <c r="W304" i="9"/>
  <c r="AO301" i="9"/>
  <c r="D299" i="9"/>
  <c r="P299" i="9"/>
  <c r="AB299" i="9"/>
  <c r="AN299" i="9"/>
  <c r="AZ299" i="9"/>
  <c r="AY299" i="9" s="1"/>
  <c r="E299" i="9"/>
  <c r="Q299" i="9"/>
  <c r="AC299" i="9"/>
  <c r="AO299" i="9"/>
  <c r="BA299" i="9"/>
  <c r="J299" i="9"/>
  <c r="AH299" i="9"/>
  <c r="AT299" i="9"/>
  <c r="AT295" i="9"/>
  <c r="K293" i="9"/>
  <c r="Z293" i="9" s="1"/>
  <c r="AA293" i="9" s="1"/>
  <c r="W293" i="9"/>
  <c r="L293" i="9"/>
  <c r="X293" i="9"/>
  <c r="AJ293" i="9"/>
  <c r="AV293" i="9"/>
  <c r="E293" i="9"/>
  <c r="Q293" i="9"/>
  <c r="AC293" i="9"/>
  <c r="AO293" i="9"/>
  <c r="BA293" i="9"/>
  <c r="H293" i="9"/>
  <c r="Y293" i="9"/>
  <c r="AM293" i="9"/>
  <c r="BB293" i="9"/>
  <c r="I293" i="9"/>
  <c r="AN293" i="9"/>
  <c r="A293" i="9"/>
  <c r="P293" i="9"/>
  <c r="AF293" i="9"/>
  <c r="AG293" i="9" s="1"/>
  <c r="AT293" i="9"/>
  <c r="AI291" i="9"/>
  <c r="AW287" i="9"/>
  <c r="H295" i="9"/>
  <c r="T295" i="9"/>
  <c r="AF295" i="9"/>
  <c r="AG295" i="9" s="1"/>
  <c r="AR295" i="9"/>
  <c r="A295" i="9"/>
  <c r="M295" i="9"/>
  <c r="Y295" i="9"/>
  <c r="AK295" i="9"/>
  <c r="AW295" i="9"/>
  <c r="N295" i="9"/>
  <c r="AB295" i="9"/>
  <c r="AP295" i="9"/>
  <c r="O295" i="9"/>
  <c r="AC295" i="9"/>
  <c r="AQ295" i="9"/>
  <c r="F295" i="9"/>
  <c r="U295" i="9"/>
  <c r="V295" i="9" s="1"/>
  <c r="AI295" i="9"/>
  <c r="AX295" i="9"/>
  <c r="D317" i="9"/>
  <c r="P317" i="9"/>
  <c r="AB317" i="9"/>
  <c r="AN317" i="9"/>
  <c r="AZ317" i="9"/>
  <c r="AY317" i="9" s="1"/>
  <c r="E317" i="9"/>
  <c r="Q317" i="9"/>
  <c r="AC317" i="9"/>
  <c r="AO317" i="9"/>
  <c r="BA317" i="9"/>
  <c r="L304" i="9"/>
  <c r="X304" i="9"/>
  <c r="AJ304" i="9"/>
  <c r="AV304" i="9"/>
  <c r="A304" i="9"/>
  <c r="M304" i="9"/>
  <c r="Y304" i="9"/>
  <c r="AK304" i="9"/>
  <c r="AW304" i="9"/>
  <c r="F304" i="9"/>
  <c r="R304" i="9"/>
  <c r="AD304" i="9"/>
  <c r="BD304" i="9" s="1"/>
  <c r="AP304" i="9"/>
  <c r="BB304" i="9"/>
  <c r="AL295" i="9"/>
  <c r="R295" i="9"/>
  <c r="K280" i="9"/>
  <c r="Z280" i="9" s="1"/>
  <c r="AA280" i="9" s="1"/>
  <c r="W280" i="9"/>
  <c r="AI280" i="9"/>
  <c r="AU280" i="9"/>
  <c r="L280" i="9"/>
  <c r="X280" i="9"/>
  <c r="AJ280" i="9"/>
  <c r="AV280" i="9"/>
  <c r="E280" i="9"/>
  <c r="Q280" i="9"/>
  <c r="AC280" i="9"/>
  <c r="AO280" i="9"/>
  <c r="BA280" i="9"/>
  <c r="G280" i="9"/>
  <c r="V280" i="9"/>
  <c r="AM280" i="9"/>
  <c r="H280" i="9"/>
  <c r="Y280" i="9"/>
  <c r="AN280" i="9"/>
  <c r="I280" i="9"/>
  <c r="AP280" i="9"/>
  <c r="O280" i="9"/>
  <c r="AE280" i="9"/>
  <c r="BC280" i="9" s="1"/>
  <c r="AT280" i="9"/>
  <c r="T280" i="9"/>
  <c r="AS280" i="9"/>
  <c r="F280" i="9"/>
  <c r="AF280" i="9"/>
  <c r="AG280" i="9" s="1"/>
  <c r="BB280" i="9"/>
  <c r="J280" i="9"/>
  <c r="M280" i="9"/>
  <c r="AH280" i="9"/>
  <c r="S280" i="9"/>
  <c r="AR280" i="9"/>
  <c r="C278" i="9"/>
  <c r="O278" i="9"/>
  <c r="AM278" i="9"/>
  <c r="D278" i="9"/>
  <c r="P278" i="9"/>
  <c r="AB278" i="9"/>
  <c r="AN278" i="9"/>
  <c r="AZ278" i="9"/>
  <c r="AY278" i="9" s="1"/>
  <c r="I278" i="9"/>
  <c r="U278" i="9"/>
  <c r="V278" i="9" s="1"/>
  <c r="AS278" i="9"/>
  <c r="G278" i="9"/>
  <c r="W278" i="9"/>
  <c r="AL278" i="9"/>
  <c r="H278" i="9"/>
  <c r="X278" i="9"/>
  <c r="AO278" i="9"/>
  <c r="J278" i="9"/>
  <c r="Y278" i="9"/>
  <c r="AP278" i="9"/>
  <c r="N278" i="9"/>
  <c r="AE278" i="9"/>
  <c r="BC278" i="9" s="1"/>
  <c r="AU278" i="9"/>
  <c r="T278" i="9"/>
  <c r="AT278" i="9"/>
  <c r="F278" i="9"/>
  <c r="AF278" i="9"/>
  <c r="AG278" i="9" s="1"/>
  <c r="BB278" i="9"/>
  <c r="K278" i="9"/>
  <c r="Z278" i="9" s="1"/>
  <c r="AA278" i="9" s="1"/>
  <c r="AH278" i="9"/>
  <c r="L278" i="9"/>
  <c r="AI278" i="9"/>
  <c r="S278" i="9"/>
  <c r="AR278" i="9"/>
  <c r="AW329" i="9"/>
  <c r="AK329" i="9"/>
  <c r="Y329" i="9"/>
  <c r="M329" i="9"/>
  <c r="AW326" i="9"/>
  <c r="AK326" i="9"/>
  <c r="Y326" i="9"/>
  <c r="M326" i="9"/>
  <c r="AW323" i="9"/>
  <c r="AK323" i="9"/>
  <c r="Y323" i="9"/>
  <c r="M323" i="9"/>
  <c r="L319" i="9"/>
  <c r="X319" i="9"/>
  <c r="AJ319" i="9"/>
  <c r="AV319" i="9"/>
  <c r="AS317" i="9"/>
  <c r="AE317" i="9"/>
  <c r="BC317" i="9" s="1"/>
  <c r="O317" i="9"/>
  <c r="A317" i="9"/>
  <c r="L307" i="9"/>
  <c r="X307" i="9"/>
  <c r="AJ307" i="9"/>
  <c r="AV307" i="9"/>
  <c r="A307" i="9"/>
  <c r="M307" i="9"/>
  <c r="Y307" i="9"/>
  <c r="AK307" i="9"/>
  <c r="AW307" i="9"/>
  <c r="F307" i="9"/>
  <c r="R307" i="9"/>
  <c r="AD307" i="9"/>
  <c r="BD307" i="9" s="1"/>
  <c r="AP307" i="9"/>
  <c r="BB307" i="9"/>
  <c r="AU304" i="9"/>
  <c r="AF304" i="9"/>
  <c r="AG304" i="9" s="1"/>
  <c r="P304" i="9"/>
  <c r="L301" i="9"/>
  <c r="X301" i="9"/>
  <c r="AJ301" i="9"/>
  <c r="AV301" i="9"/>
  <c r="A301" i="9"/>
  <c r="M301" i="9"/>
  <c r="Y301" i="9"/>
  <c r="AK301" i="9"/>
  <c r="AW301" i="9"/>
  <c r="F301" i="9"/>
  <c r="R301" i="9"/>
  <c r="AD301" i="9"/>
  <c r="BD301" i="9" s="1"/>
  <c r="AP301" i="9"/>
  <c r="BB301" i="9"/>
  <c r="BB295" i="9"/>
  <c r="AJ295" i="9"/>
  <c r="Q295" i="9"/>
  <c r="C291" i="9"/>
  <c r="O291" i="9"/>
  <c r="AM291" i="9"/>
  <c r="D291" i="9"/>
  <c r="P291" i="9"/>
  <c r="AB291" i="9"/>
  <c r="AN291" i="9"/>
  <c r="AZ291" i="9"/>
  <c r="AY291" i="9" s="1"/>
  <c r="I291" i="9"/>
  <c r="U291" i="9"/>
  <c r="V291" i="9" s="1"/>
  <c r="AS291" i="9"/>
  <c r="H291" i="9"/>
  <c r="X291" i="9"/>
  <c r="AO291" i="9"/>
  <c r="J291" i="9"/>
  <c r="Y291" i="9"/>
  <c r="AP291" i="9"/>
  <c r="Q291" i="9"/>
  <c r="AF291" i="9"/>
  <c r="AG291" i="9" s="1"/>
  <c r="AV291" i="9"/>
  <c r="D287" i="9"/>
  <c r="P287" i="9"/>
  <c r="AB287" i="9"/>
  <c r="AN287" i="9"/>
  <c r="AZ287" i="9"/>
  <c r="AY287" i="9" s="1"/>
  <c r="I287" i="9"/>
  <c r="E287" i="9"/>
  <c r="S287" i="9"/>
  <c r="AF287" i="9"/>
  <c r="AG287" i="9" s="1"/>
  <c r="AS287" i="9"/>
  <c r="F287" i="9"/>
  <c r="T287" i="9"/>
  <c r="AT287" i="9"/>
  <c r="L287" i="9"/>
  <c r="Y287" i="9"/>
  <c r="AL287" i="9"/>
  <c r="Q287" i="9"/>
  <c r="AI287" i="9"/>
  <c r="BA287" i="9"/>
  <c r="G287" i="9"/>
  <c r="X287" i="9"/>
  <c r="AP287" i="9"/>
  <c r="H287" i="9"/>
  <c r="AQ287" i="9"/>
  <c r="J287" i="9"/>
  <c r="AR287" i="9"/>
  <c r="O287" i="9"/>
  <c r="AH287" i="9"/>
  <c r="AX287" i="9"/>
  <c r="AL280" i="9"/>
  <c r="A280" i="9"/>
  <c r="AQ278" i="9"/>
  <c r="A278" i="9"/>
  <c r="D271" i="9"/>
  <c r="P271" i="9"/>
  <c r="AB271" i="9"/>
  <c r="AN271" i="9"/>
  <c r="AZ271" i="9"/>
  <c r="AY271" i="9" s="1"/>
  <c r="I271" i="9"/>
  <c r="U271" i="9"/>
  <c r="V271" i="9" s="1"/>
  <c r="AS271" i="9"/>
  <c r="K271" i="9"/>
  <c r="Z271" i="9" s="1"/>
  <c r="AA271" i="9" s="1"/>
  <c r="W271" i="9"/>
  <c r="AI271" i="9"/>
  <c r="AU271" i="9"/>
  <c r="G271" i="9"/>
  <c r="X271" i="9"/>
  <c r="AM271" i="9"/>
  <c r="H271" i="9"/>
  <c r="Y271" i="9"/>
  <c r="AO271" i="9"/>
  <c r="BD271" i="9"/>
  <c r="O271" i="9"/>
  <c r="AE271" i="9"/>
  <c r="BC271" i="9" s="1"/>
  <c r="AV271" i="9"/>
  <c r="L271" i="9"/>
  <c r="AF271" i="9"/>
  <c r="AG271" i="9" s="1"/>
  <c r="BA271" i="9"/>
  <c r="M271" i="9"/>
  <c r="AH271" i="9"/>
  <c r="BB271" i="9"/>
  <c r="N271" i="9"/>
  <c r="AJ271" i="9"/>
  <c r="A271" i="9"/>
  <c r="T271" i="9"/>
  <c r="AQ271" i="9"/>
  <c r="F271" i="9"/>
  <c r="AP271" i="9"/>
  <c r="E271" i="9"/>
  <c r="AL271" i="9"/>
  <c r="AT296" i="9"/>
  <c r="AH296" i="9"/>
  <c r="AN292" i="9"/>
  <c r="X292" i="9"/>
  <c r="AN290" i="9"/>
  <c r="Y290" i="9"/>
  <c r="C284" i="9"/>
  <c r="O284" i="9"/>
  <c r="AM284" i="9"/>
  <c r="D284" i="9"/>
  <c r="P284" i="9"/>
  <c r="AB284" i="9"/>
  <c r="AN284" i="9"/>
  <c r="AZ284" i="9"/>
  <c r="AY284" i="9" s="1"/>
  <c r="I284" i="9"/>
  <c r="U284" i="9"/>
  <c r="V284" i="9" s="1"/>
  <c r="AS284" i="9"/>
  <c r="G284" i="9"/>
  <c r="W284" i="9"/>
  <c r="AL284" i="9"/>
  <c r="H284" i="9"/>
  <c r="X284" i="9"/>
  <c r="AO284" i="9"/>
  <c r="N284" i="9"/>
  <c r="AE284" i="9"/>
  <c r="BC284" i="9" s="1"/>
  <c r="AU284" i="9"/>
  <c r="AO272" i="9"/>
  <c r="BA269" i="9"/>
  <c r="AS315" i="9"/>
  <c r="U315" i="9"/>
  <c r="V315" i="9" s="1"/>
  <c r="I315" i="9"/>
  <c r="AS312" i="9"/>
  <c r="U312" i="9"/>
  <c r="V312" i="9" s="1"/>
  <c r="I312" i="9"/>
  <c r="AS309" i="9"/>
  <c r="U309" i="9"/>
  <c r="V309" i="9" s="1"/>
  <c r="I309" i="9"/>
  <c r="U306" i="9"/>
  <c r="V306" i="9" s="1"/>
  <c r="I306" i="9"/>
  <c r="L296" i="9"/>
  <c r="E296" i="9"/>
  <c r="Q296" i="9"/>
  <c r="G292" i="9"/>
  <c r="S292" i="9"/>
  <c r="AE292" i="9"/>
  <c r="BC292" i="9" s="1"/>
  <c r="AQ292" i="9"/>
  <c r="H292" i="9"/>
  <c r="T292" i="9"/>
  <c r="AF292" i="9"/>
  <c r="AG292" i="9" s="1"/>
  <c r="AR292" i="9"/>
  <c r="A292" i="9"/>
  <c r="M292" i="9"/>
  <c r="Y292" i="9"/>
  <c r="AK292" i="9"/>
  <c r="AW292" i="9"/>
  <c r="K290" i="9"/>
  <c r="Z290" i="9" s="1"/>
  <c r="AA290" i="9" s="1"/>
  <c r="W290" i="9"/>
  <c r="AI290" i="9"/>
  <c r="AU290" i="9"/>
  <c r="L290" i="9"/>
  <c r="X290" i="9"/>
  <c r="AJ290" i="9"/>
  <c r="AV290" i="9"/>
  <c r="E290" i="9"/>
  <c r="Q290" i="9"/>
  <c r="AC290" i="9"/>
  <c r="AO290" i="9"/>
  <c r="BA290" i="9"/>
  <c r="AJ284" i="9"/>
  <c r="Q284" i="9"/>
  <c r="C281" i="9"/>
  <c r="O281" i="9"/>
  <c r="AM281" i="9"/>
  <c r="D281" i="9"/>
  <c r="P281" i="9"/>
  <c r="AB281" i="9"/>
  <c r="AN281" i="9"/>
  <c r="AZ281" i="9"/>
  <c r="AY281" i="9" s="1"/>
  <c r="I281" i="9"/>
  <c r="U281" i="9"/>
  <c r="V281" i="9" s="1"/>
  <c r="AS281" i="9"/>
  <c r="N281" i="9"/>
  <c r="AE281" i="9"/>
  <c r="BC281" i="9" s="1"/>
  <c r="AU281" i="9"/>
  <c r="Q281" i="9"/>
  <c r="AF281" i="9"/>
  <c r="AG281" i="9" s="1"/>
  <c r="AV281" i="9"/>
  <c r="A281" i="9"/>
  <c r="R281" i="9"/>
  <c r="AH281" i="9"/>
  <c r="AW281" i="9"/>
  <c r="G281" i="9"/>
  <c r="W281" i="9"/>
  <c r="AL281" i="9"/>
  <c r="H272" i="9"/>
  <c r="T272" i="9"/>
  <c r="AF272" i="9"/>
  <c r="AG272" i="9" s="1"/>
  <c r="AR272" i="9"/>
  <c r="C272" i="9"/>
  <c r="O272" i="9"/>
  <c r="AM272" i="9"/>
  <c r="M272" i="9"/>
  <c r="AB272" i="9"/>
  <c r="AP272" i="9"/>
  <c r="N272" i="9"/>
  <c r="AC272" i="9"/>
  <c r="AQ272" i="9"/>
  <c r="F272" i="9"/>
  <c r="U272" i="9"/>
  <c r="V272" i="9" s="1"/>
  <c r="AI272" i="9"/>
  <c r="AW272" i="9"/>
  <c r="Q272" i="9"/>
  <c r="AJ272" i="9"/>
  <c r="BA272" i="9"/>
  <c r="R272" i="9"/>
  <c r="AK272" i="9"/>
  <c r="BB272" i="9"/>
  <c r="A272" i="9"/>
  <c r="S272" i="9"/>
  <c r="AL272" i="9"/>
  <c r="G272" i="9"/>
  <c r="Y272" i="9"/>
  <c r="AT272" i="9"/>
  <c r="G269" i="9"/>
  <c r="L269" i="9"/>
  <c r="F269" i="9"/>
  <c r="T269" i="9"/>
  <c r="AF269" i="9"/>
  <c r="AG269" i="9" s="1"/>
  <c r="AR269" i="9"/>
  <c r="M269" i="9"/>
  <c r="Y269" i="9"/>
  <c r="AK269" i="9"/>
  <c r="AW269" i="9"/>
  <c r="A269" i="9"/>
  <c r="O269" i="9"/>
  <c r="AM269" i="9"/>
  <c r="E269" i="9"/>
  <c r="W269" i="9"/>
  <c r="AN269" i="9"/>
  <c r="H269" i="9"/>
  <c r="X269" i="9"/>
  <c r="AO269" i="9"/>
  <c r="P269" i="9"/>
  <c r="AE269" i="9"/>
  <c r="BC269" i="9" s="1"/>
  <c r="AU269" i="9"/>
  <c r="N269" i="9"/>
  <c r="AI269" i="9"/>
  <c r="Q269" i="9"/>
  <c r="AJ269" i="9"/>
  <c r="R269" i="9"/>
  <c r="AL269" i="9"/>
  <c r="S269" i="9"/>
  <c r="AP269" i="9"/>
  <c r="C269" i="9"/>
  <c r="AB269" i="9"/>
  <c r="AV269" i="9"/>
  <c r="AR315" i="9"/>
  <c r="AF315" i="9"/>
  <c r="AG315" i="9" s="1"/>
  <c r="T315" i="9"/>
  <c r="AR312" i="9"/>
  <c r="AF312" i="9"/>
  <c r="AG312" i="9" s="1"/>
  <c r="T312" i="9"/>
  <c r="AR309" i="9"/>
  <c r="AF309" i="9"/>
  <c r="AG309" i="9" s="1"/>
  <c r="T309" i="9"/>
  <c r="BD306" i="9"/>
  <c r="AR306" i="9"/>
  <c r="AF306" i="9"/>
  <c r="AG306" i="9" s="1"/>
  <c r="T306" i="9"/>
  <c r="AR303" i="9"/>
  <c r="AF303" i="9"/>
  <c r="AG303" i="9" s="1"/>
  <c r="T303" i="9"/>
  <c r="BD300" i="9"/>
  <c r="AR300" i="9"/>
  <c r="AF300" i="9"/>
  <c r="AG300" i="9" s="1"/>
  <c r="T300" i="9"/>
  <c r="AR297" i="9"/>
  <c r="AF297" i="9"/>
  <c r="AG297" i="9" s="1"/>
  <c r="T297" i="9"/>
  <c r="AZ296" i="9"/>
  <c r="AY296" i="9" s="1"/>
  <c r="AN296" i="9"/>
  <c r="AB296" i="9"/>
  <c r="O296" i="9"/>
  <c r="A296" i="9"/>
  <c r="AV292" i="9"/>
  <c r="P292" i="9"/>
  <c r="AW290" i="9"/>
  <c r="AF290" i="9"/>
  <c r="AG290" i="9" s="1"/>
  <c r="P290" i="9"/>
  <c r="A290" i="9"/>
  <c r="G285" i="9"/>
  <c r="S285" i="9"/>
  <c r="H285" i="9"/>
  <c r="T285" i="9"/>
  <c r="AF285" i="9"/>
  <c r="AG285" i="9" s="1"/>
  <c r="AR285" i="9"/>
  <c r="A285" i="9"/>
  <c r="M285" i="9"/>
  <c r="Y285" i="9"/>
  <c r="AK285" i="9"/>
  <c r="AW285" i="9"/>
  <c r="O285" i="9"/>
  <c r="AD285" i="9"/>
  <c r="BD285" i="9" s="1"/>
  <c r="AS285" i="9"/>
  <c r="P285" i="9"/>
  <c r="AE285" i="9"/>
  <c r="BC285" i="9" s="1"/>
  <c r="AT285" i="9"/>
  <c r="F285" i="9"/>
  <c r="W285" i="9"/>
  <c r="AL285" i="9"/>
  <c r="AZ285" i="9"/>
  <c r="AY285" i="9" s="1"/>
  <c r="AI284" i="9"/>
  <c r="M284" i="9"/>
  <c r="AT281" i="9"/>
  <c r="X281" i="9"/>
  <c r="AZ272" i="9"/>
  <c r="AY272" i="9" s="1"/>
  <c r="AH269" i="9"/>
  <c r="AS288" i="9"/>
  <c r="U288" i="9"/>
  <c r="V288" i="9" s="1"/>
  <c r="I288" i="9"/>
  <c r="AM283" i="9"/>
  <c r="BB279" i="9"/>
  <c r="AM279" i="9"/>
  <c r="W279" i="9"/>
  <c r="AU275" i="9"/>
  <c r="AB275" i="9"/>
  <c r="K275" i="9"/>
  <c r="Z275" i="9" s="1"/>
  <c r="AA275" i="9" s="1"/>
  <c r="AP273" i="9"/>
  <c r="W273" i="9"/>
  <c r="AI270" i="9"/>
  <c r="M270" i="9"/>
  <c r="AR264" i="9"/>
  <c r="J255" i="9"/>
  <c r="AH255" i="9"/>
  <c r="AT255" i="9"/>
  <c r="K255" i="9"/>
  <c r="Z255" i="9" s="1"/>
  <c r="AA255" i="9" s="1"/>
  <c r="W255" i="9"/>
  <c r="AI255" i="9"/>
  <c r="AU255" i="9"/>
  <c r="L255" i="9"/>
  <c r="X255" i="9"/>
  <c r="AJ255" i="9"/>
  <c r="AV255" i="9"/>
  <c r="D255" i="9"/>
  <c r="P255" i="9"/>
  <c r="AB255" i="9"/>
  <c r="AN255" i="9"/>
  <c r="AZ255" i="9"/>
  <c r="AY255" i="9" s="1"/>
  <c r="E255" i="9"/>
  <c r="U255" i="9"/>
  <c r="V255" i="9" s="1"/>
  <c r="AO255" i="9"/>
  <c r="M255" i="9"/>
  <c r="AD255" i="9"/>
  <c r="BD255" i="9" s="1"/>
  <c r="AW255" i="9"/>
  <c r="N255" i="9"/>
  <c r="AE255" i="9"/>
  <c r="BC255" i="9" s="1"/>
  <c r="AX255" i="9"/>
  <c r="O255" i="9"/>
  <c r="AF255" i="9"/>
  <c r="AG255" i="9" s="1"/>
  <c r="C255" i="9"/>
  <c r="T255" i="9"/>
  <c r="AM255" i="9"/>
  <c r="G255" i="9"/>
  <c r="AL255" i="9"/>
  <c r="H255" i="9"/>
  <c r="AP255" i="9"/>
  <c r="Y255" i="9"/>
  <c r="BB255" i="9"/>
  <c r="K264" i="9"/>
  <c r="Z264" i="9" s="1"/>
  <c r="AA264" i="9" s="1"/>
  <c r="W264" i="9"/>
  <c r="AI264" i="9"/>
  <c r="AU264" i="9"/>
  <c r="D264" i="9"/>
  <c r="P264" i="9"/>
  <c r="AB264" i="9"/>
  <c r="AN264" i="9"/>
  <c r="AZ264" i="9"/>
  <c r="AY264" i="9" s="1"/>
  <c r="M264" i="9"/>
  <c r="AP264" i="9"/>
  <c r="E264" i="9"/>
  <c r="S264" i="9"/>
  <c r="AV264" i="9"/>
  <c r="F264" i="9"/>
  <c r="T264" i="9"/>
  <c r="AH264" i="9"/>
  <c r="AW264" i="9"/>
  <c r="G264" i="9"/>
  <c r="U264" i="9"/>
  <c r="V264" i="9" s="1"/>
  <c r="AJ264" i="9"/>
  <c r="AX264" i="9"/>
  <c r="L264" i="9"/>
  <c r="AO264" i="9"/>
  <c r="J264" i="9"/>
  <c r="AK264" i="9"/>
  <c r="N264" i="9"/>
  <c r="AL264" i="9"/>
  <c r="X264" i="9"/>
  <c r="AT264" i="9"/>
  <c r="K283" i="9"/>
  <c r="Z283" i="9" s="1"/>
  <c r="AA283" i="9" s="1"/>
  <c r="W283" i="9"/>
  <c r="AI283" i="9"/>
  <c r="AU283" i="9"/>
  <c r="L283" i="9"/>
  <c r="X283" i="9"/>
  <c r="AJ283" i="9"/>
  <c r="AV283" i="9"/>
  <c r="E283" i="9"/>
  <c r="Q283" i="9"/>
  <c r="AC283" i="9"/>
  <c r="AO283" i="9"/>
  <c r="BA283" i="9"/>
  <c r="G279" i="9"/>
  <c r="S279" i="9"/>
  <c r="AE279" i="9"/>
  <c r="BC279" i="9" s="1"/>
  <c r="AQ279" i="9"/>
  <c r="H279" i="9"/>
  <c r="T279" i="9"/>
  <c r="AF279" i="9"/>
  <c r="AG279" i="9" s="1"/>
  <c r="AR279" i="9"/>
  <c r="A279" i="9"/>
  <c r="M279" i="9"/>
  <c r="Y279" i="9"/>
  <c r="AK279" i="9"/>
  <c r="AW279" i="9"/>
  <c r="L273" i="9"/>
  <c r="X273" i="9"/>
  <c r="AJ273" i="9"/>
  <c r="AV273" i="9"/>
  <c r="M273" i="9"/>
  <c r="AM273" i="9"/>
  <c r="AZ273" i="9"/>
  <c r="AY273" i="9" s="1"/>
  <c r="A273" i="9"/>
  <c r="N273" i="9"/>
  <c r="AN273" i="9"/>
  <c r="BA273" i="9"/>
  <c r="F273" i="9"/>
  <c r="S273" i="9"/>
  <c r="AF273" i="9"/>
  <c r="AG273" i="9" s="1"/>
  <c r="AS273" i="9"/>
  <c r="AX270" i="9"/>
  <c r="F270" i="9"/>
  <c r="AE264" i="9"/>
  <c r="BC264" i="9" s="1"/>
  <c r="A264" i="9"/>
  <c r="AZ288" i="9"/>
  <c r="AY288" i="9" s="1"/>
  <c r="AN288" i="9"/>
  <c r="AB288" i="9"/>
  <c r="P288" i="9"/>
  <c r="C288" i="9"/>
  <c r="AW283" i="9"/>
  <c r="AF283" i="9"/>
  <c r="AG283" i="9" s="1"/>
  <c r="P283" i="9"/>
  <c r="A283" i="9"/>
  <c r="AV279" i="9"/>
  <c r="P279" i="9"/>
  <c r="AM275" i="9"/>
  <c r="AH273" i="9"/>
  <c r="Q273" i="9"/>
  <c r="AT270" i="9"/>
  <c r="D270" i="9"/>
  <c r="AN265" i="9"/>
  <c r="AD264" i="9"/>
  <c r="BD264" i="9" s="1"/>
  <c r="AT283" i="9"/>
  <c r="AE283" i="9"/>
  <c r="BC283" i="9" s="1"/>
  <c r="O283" i="9"/>
  <c r="AU279" i="9"/>
  <c r="AD279" i="9"/>
  <c r="BD279" i="9" s="1"/>
  <c r="O279" i="9"/>
  <c r="H275" i="9"/>
  <c r="T275" i="9"/>
  <c r="AF275" i="9"/>
  <c r="AG275" i="9" s="1"/>
  <c r="AR275" i="9"/>
  <c r="E275" i="9"/>
  <c r="R275" i="9"/>
  <c r="AE275" i="9"/>
  <c r="BC275" i="9" s="1"/>
  <c r="AS275" i="9"/>
  <c r="F275" i="9"/>
  <c r="S275" i="9"/>
  <c r="AT275" i="9"/>
  <c r="L275" i="9"/>
  <c r="Y275" i="9"/>
  <c r="AL275" i="9"/>
  <c r="AX273" i="9"/>
  <c r="P273" i="9"/>
  <c r="AS270" i="9"/>
  <c r="Y270" i="9"/>
  <c r="C265" i="9"/>
  <c r="O265" i="9"/>
  <c r="AM265" i="9"/>
  <c r="H265" i="9"/>
  <c r="T265" i="9"/>
  <c r="AF265" i="9"/>
  <c r="AG265" i="9" s="1"/>
  <c r="AR265" i="9"/>
  <c r="N265" i="9"/>
  <c r="AC265" i="9"/>
  <c r="AQ265" i="9"/>
  <c r="F265" i="9"/>
  <c r="U265" i="9"/>
  <c r="V265" i="9" s="1"/>
  <c r="AI265" i="9"/>
  <c r="AW265" i="9"/>
  <c r="G265" i="9"/>
  <c r="AJ265" i="9"/>
  <c r="AX265" i="9"/>
  <c r="I265" i="9"/>
  <c r="W265" i="9"/>
  <c r="AK265" i="9"/>
  <c r="AZ265" i="9"/>
  <c r="AY265" i="9" s="1"/>
  <c r="M265" i="9"/>
  <c r="AB265" i="9"/>
  <c r="AP265" i="9"/>
  <c r="D265" i="9"/>
  <c r="AD265" i="9"/>
  <c r="BD265" i="9" s="1"/>
  <c r="BB265" i="9"/>
  <c r="E265" i="9"/>
  <c r="AE265" i="9"/>
  <c r="BC265" i="9" s="1"/>
  <c r="Q265" i="9"/>
  <c r="AO265" i="9"/>
  <c r="AC264" i="9"/>
  <c r="L270" i="9"/>
  <c r="X270" i="9"/>
  <c r="AJ270" i="9"/>
  <c r="AV270" i="9"/>
  <c r="E270" i="9"/>
  <c r="Q270" i="9"/>
  <c r="AC270" i="9"/>
  <c r="AO270" i="9"/>
  <c r="BA270" i="9"/>
  <c r="G270" i="9"/>
  <c r="S270" i="9"/>
  <c r="AE270" i="9"/>
  <c r="BC270" i="9" s="1"/>
  <c r="AQ270" i="9"/>
  <c r="O270" i="9"/>
  <c r="AF270" i="9"/>
  <c r="AG270" i="9" s="1"/>
  <c r="AU270" i="9"/>
  <c r="A270" i="9"/>
  <c r="P270" i="9"/>
  <c r="AW270" i="9"/>
  <c r="H270" i="9"/>
  <c r="W270" i="9"/>
  <c r="AM270" i="9"/>
  <c r="Y264" i="9"/>
  <c r="Q264" i="9"/>
  <c r="O264" i="9"/>
  <c r="D274" i="9"/>
  <c r="P274" i="9"/>
  <c r="AB274" i="9"/>
  <c r="AN274" i="9"/>
  <c r="AZ274" i="9"/>
  <c r="AY274" i="9" s="1"/>
  <c r="AC276" i="9"/>
  <c r="P276" i="9"/>
  <c r="AW274" i="9"/>
  <c r="AJ274" i="9"/>
  <c r="W274" i="9"/>
  <c r="J274" i="9"/>
  <c r="L276" i="9"/>
  <c r="X276" i="9"/>
  <c r="AJ276" i="9"/>
  <c r="AV276" i="9"/>
  <c r="AV274" i="9"/>
  <c r="AI274" i="9"/>
  <c r="V274" i="9"/>
  <c r="I274" i="9"/>
  <c r="A254" i="9"/>
  <c r="F254" i="9"/>
  <c r="R254" i="9"/>
  <c r="AD254" i="9"/>
  <c r="BD254" i="9" s="1"/>
  <c r="AP254" i="9"/>
  <c r="BB254" i="9"/>
  <c r="G254" i="9"/>
  <c r="S254" i="9"/>
  <c r="AE254" i="9"/>
  <c r="BC254" i="9" s="1"/>
  <c r="AQ254" i="9"/>
  <c r="H254" i="9"/>
  <c r="T254" i="9"/>
  <c r="AF254" i="9"/>
  <c r="AG254" i="9" s="1"/>
  <c r="AR254" i="9"/>
  <c r="L254" i="9"/>
  <c r="X254" i="9"/>
  <c r="AJ254" i="9"/>
  <c r="AV254" i="9"/>
  <c r="E254" i="9"/>
  <c r="Y254" i="9"/>
  <c r="AO254" i="9"/>
  <c r="N254" i="9"/>
  <c r="AX254" i="9"/>
  <c r="O254" i="9"/>
  <c r="AH254" i="9"/>
  <c r="P254" i="9"/>
  <c r="AI254" i="9"/>
  <c r="AZ254" i="9"/>
  <c r="AY254" i="9" s="1"/>
  <c r="D254" i="9"/>
  <c r="W254" i="9"/>
  <c r="AN254" i="9"/>
  <c r="K267" i="9"/>
  <c r="Z267" i="9" s="1"/>
  <c r="AA267" i="9" s="1"/>
  <c r="W267" i="9"/>
  <c r="AI267" i="9"/>
  <c r="AU267" i="9"/>
  <c r="D267" i="9"/>
  <c r="P267" i="9"/>
  <c r="AB267" i="9"/>
  <c r="AN267" i="9"/>
  <c r="AZ267" i="9"/>
  <c r="AY267" i="9" s="1"/>
  <c r="G260" i="9"/>
  <c r="S260" i="9"/>
  <c r="AE260" i="9"/>
  <c r="BC260" i="9" s="1"/>
  <c r="AQ260" i="9"/>
  <c r="H260" i="9"/>
  <c r="T260" i="9"/>
  <c r="AF260" i="9"/>
  <c r="AG260" i="9" s="1"/>
  <c r="AR260" i="9"/>
  <c r="L260" i="9"/>
  <c r="X260" i="9"/>
  <c r="AJ260" i="9"/>
  <c r="AV260" i="9"/>
  <c r="AP259" i="9"/>
  <c r="Y259" i="9"/>
  <c r="J259" i="9"/>
  <c r="K258" i="9"/>
  <c r="Z258" i="9" s="1"/>
  <c r="AA258" i="9" s="1"/>
  <c r="W258" i="9"/>
  <c r="AI258" i="9"/>
  <c r="AU258" i="9"/>
  <c r="L258" i="9"/>
  <c r="X258" i="9"/>
  <c r="AJ258" i="9"/>
  <c r="AV258" i="9"/>
  <c r="D258" i="9"/>
  <c r="P258" i="9"/>
  <c r="AB258" i="9"/>
  <c r="AN258" i="9"/>
  <c r="AZ258" i="9"/>
  <c r="AY258" i="9" s="1"/>
  <c r="AO267" i="9"/>
  <c r="L267" i="9"/>
  <c r="AS260" i="9"/>
  <c r="AB260" i="9"/>
  <c r="M260" i="9"/>
  <c r="BA259" i="9"/>
  <c r="AJ259" i="9"/>
  <c r="U259" i="9"/>
  <c r="V259" i="9" s="1"/>
  <c r="AR258" i="9"/>
  <c r="AC258" i="9"/>
  <c r="M258" i="9"/>
  <c r="C259" i="9"/>
  <c r="O259" i="9"/>
  <c r="AM259" i="9"/>
  <c r="D259" i="9"/>
  <c r="P259" i="9"/>
  <c r="AB259" i="9"/>
  <c r="AN259" i="9"/>
  <c r="AZ259" i="9"/>
  <c r="AY259" i="9" s="1"/>
  <c r="H259" i="9"/>
  <c r="T259" i="9"/>
  <c r="AF259" i="9"/>
  <c r="AG259" i="9" s="1"/>
  <c r="AR259" i="9"/>
  <c r="BA267" i="9"/>
  <c r="AL267" i="9"/>
  <c r="X267" i="9"/>
  <c r="I267" i="9"/>
  <c r="G263" i="9"/>
  <c r="S263" i="9"/>
  <c r="AE263" i="9"/>
  <c r="BC263" i="9" s="1"/>
  <c r="AQ263" i="9"/>
  <c r="H263" i="9"/>
  <c r="L263" i="9"/>
  <c r="X263" i="9"/>
  <c r="AJ263" i="9"/>
  <c r="AV263" i="9"/>
  <c r="K261" i="9"/>
  <c r="Z261" i="9" s="1"/>
  <c r="AA261" i="9" s="1"/>
  <c r="W261" i="9"/>
  <c r="AI261" i="9"/>
  <c r="AU261" i="9"/>
  <c r="L261" i="9"/>
  <c r="X261" i="9"/>
  <c r="AJ261" i="9"/>
  <c r="AV261" i="9"/>
  <c r="D261" i="9"/>
  <c r="P261" i="9"/>
  <c r="AB261" i="9"/>
  <c r="AN261" i="9"/>
  <c r="AZ261" i="9"/>
  <c r="AY261" i="9" s="1"/>
  <c r="AO260" i="9"/>
  <c r="J260" i="9"/>
  <c r="AW259" i="9"/>
  <c r="AH259" i="9"/>
  <c r="R259" i="9"/>
  <c r="A259" i="9"/>
  <c r="AP258" i="9"/>
  <c r="I258" i="9"/>
  <c r="G257" i="9"/>
  <c r="S257" i="9"/>
  <c r="AE257" i="9"/>
  <c r="BC257" i="9" s="1"/>
  <c r="AQ257" i="9"/>
  <c r="H257" i="9"/>
  <c r="T257" i="9"/>
  <c r="AF257" i="9"/>
  <c r="AG257" i="9" s="1"/>
  <c r="AR257" i="9"/>
  <c r="L257" i="9"/>
  <c r="X257" i="9"/>
  <c r="AJ257" i="9"/>
  <c r="AV257" i="9"/>
  <c r="AT267" i="9"/>
  <c r="AF267" i="9"/>
  <c r="AG267" i="9" s="1"/>
  <c r="R267" i="9"/>
  <c r="C267" i="9"/>
  <c r="G266" i="9"/>
  <c r="S266" i="9"/>
  <c r="AE266" i="9"/>
  <c r="BC266" i="9" s="1"/>
  <c r="AQ266" i="9"/>
  <c r="L266" i="9"/>
  <c r="X266" i="9"/>
  <c r="AJ266" i="9"/>
  <c r="AV266" i="9"/>
  <c r="BB263" i="9"/>
  <c r="AN263" i="9"/>
  <c r="K263" i="9"/>
  <c r="Z263" i="9" s="1"/>
  <c r="AA263" i="9" s="1"/>
  <c r="C262" i="9"/>
  <c r="O262" i="9"/>
  <c r="AM262" i="9"/>
  <c r="D262" i="9"/>
  <c r="P262" i="9"/>
  <c r="AB262" i="9"/>
  <c r="AN262" i="9"/>
  <c r="AZ262" i="9"/>
  <c r="AY262" i="9" s="1"/>
  <c r="H262" i="9"/>
  <c r="T262" i="9"/>
  <c r="AF262" i="9"/>
  <c r="AG262" i="9" s="1"/>
  <c r="AR262" i="9"/>
  <c r="AQ261" i="9"/>
  <c r="J261" i="9"/>
  <c r="AI260" i="9"/>
  <c r="R260" i="9"/>
  <c r="C260" i="9"/>
  <c r="AQ259" i="9"/>
  <c r="K259" i="9"/>
  <c r="Z259" i="9" s="1"/>
  <c r="AA259" i="9" s="1"/>
  <c r="AH258" i="9"/>
  <c r="S258" i="9"/>
  <c r="C258" i="9"/>
  <c r="AP257" i="9"/>
  <c r="K257" i="9"/>
  <c r="Z257" i="9" s="1"/>
  <c r="AA257" i="9" s="1"/>
  <c r="AR256" i="9"/>
  <c r="AF256" i="9"/>
  <c r="AG256" i="9" s="1"/>
  <c r="T256" i="9"/>
  <c r="H256" i="9"/>
  <c r="AR253" i="9"/>
  <c r="AF253" i="9"/>
  <c r="AG253" i="9" s="1"/>
  <c r="T253" i="9"/>
  <c r="H253" i="9"/>
  <c r="AZ256" i="9"/>
  <c r="AY256" i="9" s="1"/>
  <c r="AN256" i="9"/>
  <c r="AB256" i="9"/>
  <c r="P256" i="9"/>
  <c r="D256" i="9"/>
  <c r="AZ253" i="9"/>
  <c r="AY253" i="9" s="1"/>
  <c r="AN253" i="9"/>
  <c r="AB253" i="9"/>
  <c r="P253" i="9"/>
  <c r="D253" i="9"/>
  <c r="AM256" i="9"/>
  <c r="O256" i="9"/>
  <c r="AM253" i="9"/>
  <c r="O253" i="9"/>
  <c r="AC260" i="3" l="1"/>
  <c r="AC259" i="3"/>
  <c r="AC258" i="3"/>
  <c r="AC257" i="3"/>
  <c r="AC256" i="3"/>
  <c r="AC255" i="3"/>
  <c r="AC254" i="3"/>
  <c r="AC253" i="3"/>
  <c r="AC252" i="3"/>
  <c r="AC251" i="3"/>
  <c r="AC250" i="3"/>
  <c r="AC249" i="3"/>
  <c r="AC248" i="3"/>
  <c r="AC247" i="3"/>
  <c r="AC246" i="3"/>
  <c r="AC245" i="3"/>
  <c r="AC244" i="3"/>
  <c r="AC243" i="3"/>
  <c r="AC242" i="3"/>
  <c r="AC241" i="3"/>
  <c r="AC240" i="3"/>
  <c r="AC239" i="3"/>
  <c r="AC238" i="3"/>
  <c r="AC237" i="3"/>
  <c r="AC236" i="3"/>
  <c r="AC235" i="3"/>
  <c r="AC234" i="3"/>
  <c r="AC233" i="3"/>
  <c r="AC232" i="3"/>
  <c r="AC231" i="3"/>
  <c r="AC230" i="3"/>
  <c r="AC229" i="3"/>
  <c r="AC228" i="3"/>
  <c r="AC227" i="3"/>
  <c r="AC226" i="3"/>
  <c r="AC225" i="3"/>
  <c r="AC224" i="3"/>
  <c r="AC223" i="3"/>
  <c r="AC222" i="3"/>
  <c r="AC221" i="3"/>
  <c r="AC220" i="3"/>
  <c r="AC219" i="3"/>
  <c r="AC218" i="3"/>
  <c r="AC217" i="3"/>
  <c r="AC216" i="3"/>
  <c r="AC215" i="3"/>
  <c r="AC214" i="3"/>
  <c r="AC213" i="3"/>
  <c r="AC212" i="3"/>
  <c r="AC211" i="3"/>
  <c r="AC210" i="3"/>
  <c r="AC209" i="3"/>
  <c r="AC208" i="3"/>
  <c r="AC207" i="3"/>
  <c r="AC206" i="3"/>
  <c r="AC205" i="3"/>
  <c r="AC204" i="3"/>
  <c r="AC203" i="3"/>
  <c r="AC202" i="3"/>
  <c r="AC201" i="3"/>
  <c r="AC200" i="3"/>
  <c r="AC199" i="3"/>
  <c r="AC198" i="3"/>
  <c r="AC197" i="3"/>
  <c r="AC196" i="3"/>
  <c r="AC195" i="3"/>
  <c r="AC194" i="3"/>
  <c r="AC193" i="3"/>
  <c r="AC192" i="3"/>
  <c r="AC191" i="3"/>
  <c r="AC190" i="3"/>
  <c r="AC189" i="3"/>
  <c r="AC188" i="3"/>
  <c r="AC187" i="3"/>
  <c r="AC186" i="3"/>
  <c r="AC185" i="3"/>
  <c r="AC184" i="3"/>
  <c r="AC183" i="3"/>
  <c r="AC182" i="3"/>
  <c r="AC181" i="3"/>
  <c r="AC180" i="3"/>
  <c r="AC179" i="3"/>
  <c r="AC178" i="3"/>
  <c r="AC177" i="3"/>
  <c r="AC176" i="3"/>
  <c r="AC175" i="3"/>
  <c r="AC174" i="3"/>
  <c r="AC173" i="3"/>
  <c r="AC172" i="3"/>
  <c r="AC171" i="3"/>
  <c r="AC170" i="3"/>
  <c r="AC169" i="3"/>
  <c r="AC168" i="3"/>
  <c r="AC167" i="3"/>
  <c r="AC166" i="3"/>
  <c r="AC165" i="3"/>
  <c r="AC164" i="3"/>
  <c r="AC163" i="3"/>
  <c r="AC162" i="3"/>
  <c r="AC161" i="3"/>
  <c r="AC160" i="3"/>
  <c r="AC159" i="3"/>
  <c r="AC158" i="3"/>
  <c r="AC157" i="3"/>
  <c r="AC156" i="3"/>
  <c r="AC155" i="3"/>
  <c r="AC154" i="3"/>
  <c r="AC153" i="3"/>
  <c r="AC152" i="3"/>
  <c r="AC151" i="3"/>
  <c r="AC150" i="3"/>
  <c r="AC149" i="3"/>
  <c r="AC148" i="3"/>
  <c r="AC147" i="3"/>
  <c r="AC146" i="3"/>
  <c r="AC145" i="3"/>
  <c r="AC144" i="3"/>
  <c r="AC143" i="3"/>
  <c r="AC142" i="3"/>
  <c r="AC141" i="3"/>
  <c r="AC140" i="3"/>
  <c r="AC139" i="3"/>
  <c r="AC138" i="3"/>
  <c r="AC137" i="3"/>
  <c r="AC136" i="3"/>
  <c r="AC135" i="3"/>
  <c r="AC134" i="3"/>
  <c r="AC133" i="3"/>
  <c r="AC132" i="3"/>
  <c r="AC131" i="3"/>
  <c r="AC130" i="3"/>
  <c r="AC129" i="3"/>
  <c r="AC128" i="3"/>
  <c r="AC127" i="3"/>
  <c r="AC126" i="3"/>
  <c r="AC125" i="3"/>
  <c r="AC124" i="3"/>
  <c r="AC123" i="3"/>
  <c r="AC122" i="3"/>
  <c r="AC121" i="3"/>
  <c r="AC120" i="3"/>
  <c r="AC119" i="3"/>
  <c r="AC118" i="3"/>
  <c r="AC117" i="3"/>
  <c r="AC116" i="3"/>
  <c r="AC115" i="3"/>
  <c r="AC114" i="3"/>
  <c r="AC113" i="3"/>
  <c r="AC112" i="3"/>
  <c r="AC111" i="3"/>
  <c r="AC110" i="3"/>
  <c r="AC109" i="3"/>
  <c r="AC108" i="3"/>
  <c r="AC107" i="3"/>
  <c r="AC106" i="3"/>
  <c r="AC105" i="3"/>
  <c r="AC104" i="3"/>
  <c r="AC103" i="3"/>
  <c r="AC102" i="3"/>
  <c r="AC101" i="3"/>
  <c r="AC100" i="3"/>
  <c r="AC99" i="3"/>
  <c r="AC98" i="3"/>
  <c r="AC97" i="3"/>
  <c r="AC96" i="3"/>
  <c r="AC95" i="3"/>
  <c r="AC94" i="3"/>
  <c r="AC93" i="3"/>
  <c r="AC92" i="3"/>
  <c r="AC91" i="3"/>
  <c r="AC90" i="3"/>
  <c r="AC89" i="3"/>
  <c r="AC88" i="3"/>
  <c r="AC87" i="3"/>
  <c r="AC86" i="3"/>
  <c r="AC85" i="3"/>
  <c r="AC84" i="3"/>
  <c r="AC83" i="3"/>
  <c r="AC82" i="3"/>
  <c r="AC81" i="3"/>
  <c r="AC80" i="3"/>
  <c r="AC79" i="3"/>
  <c r="AC78" i="3"/>
  <c r="AC77" i="3"/>
  <c r="AC76" i="3"/>
  <c r="AC75" i="3"/>
  <c r="AC74" i="3"/>
  <c r="AC73" i="3"/>
  <c r="AC72" i="3"/>
  <c r="AC71" i="3"/>
  <c r="AC70" i="3"/>
  <c r="AC69" i="3"/>
  <c r="AC68" i="3"/>
  <c r="AC67" i="3"/>
  <c r="AC66" i="3"/>
  <c r="AC65" i="3"/>
  <c r="AC64" i="3"/>
  <c r="AC63" i="3"/>
  <c r="AC62" i="3"/>
  <c r="AC61" i="3"/>
  <c r="AC60" i="3"/>
  <c r="AC59" i="3"/>
  <c r="AC58" i="3"/>
  <c r="AC57" i="3"/>
  <c r="AC56" i="3"/>
  <c r="AC55" i="3"/>
  <c r="AC54" i="3"/>
  <c r="AC53" i="3"/>
  <c r="AC52" i="3"/>
  <c r="AC51" i="3"/>
  <c r="AC50" i="3"/>
  <c r="AC49" i="3"/>
  <c r="AC48" i="3"/>
  <c r="AC47" i="3"/>
  <c r="AC46" i="3"/>
  <c r="AC45" i="3"/>
  <c r="AC44" i="3"/>
  <c r="AC43" i="3"/>
  <c r="AC42" i="3"/>
  <c r="AC41" i="3"/>
  <c r="AC40" i="3"/>
  <c r="AC39" i="3"/>
  <c r="AC38" i="3"/>
  <c r="AC37" i="3"/>
  <c r="AC36" i="3"/>
  <c r="AC35" i="3"/>
  <c r="AC34" i="3"/>
  <c r="AC33" i="3"/>
  <c r="AC32" i="3"/>
  <c r="AC31" i="3"/>
  <c r="AC30" i="3"/>
  <c r="AC29" i="3"/>
  <c r="AC28" i="3"/>
  <c r="AC27" i="3"/>
  <c r="AC26" i="3"/>
  <c r="AC25" i="3"/>
  <c r="AC24" i="3"/>
  <c r="AC23" i="3"/>
  <c r="AC22" i="3"/>
  <c r="AC21" i="3"/>
  <c r="AC20" i="3"/>
  <c r="AC19" i="3"/>
  <c r="AC18" i="3"/>
  <c r="AC17" i="3"/>
  <c r="AC16" i="3"/>
  <c r="AC15" i="3"/>
  <c r="AC14" i="3"/>
  <c r="AC13" i="3"/>
  <c r="AC12" i="3"/>
  <c r="AC11" i="3"/>
  <c r="K12" i="3" l="1"/>
  <c r="G909" i="2" l="1"/>
  <c r="J909" i="2"/>
  <c r="G910" i="2"/>
  <c r="J910" i="2"/>
  <c r="G911" i="2"/>
  <c r="J911" i="2"/>
  <c r="G912" i="2"/>
  <c r="J912" i="2"/>
  <c r="G913" i="2"/>
  <c r="J913" i="2"/>
  <c r="G914" i="2"/>
  <c r="J914" i="2"/>
  <c r="J915" i="2"/>
  <c r="J916" i="2"/>
  <c r="AZ260" i="3" l="1"/>
  <c r="BA260" i="3"/>
  <c r="BR11" i="3" l="1"/>
  <c r="BT11" i="3"/>
  <c r="BS11" i="3" s="1" a="1"/>
  <c r="BS11" i="3" s="1"/>
  <c r="AI1" i="3" s="1"/>
  <c r="BU11" i="3"/>
  <c r="CF11" i="3" s="1" a="1"/>
  <c r="CF11" i="3" s="1"/>
  <c r="BV11" i="3"/>
  <c r="BW11" i="3" a="1"/>
  <c r="BW11" i="3" s="1"/>
  <c r="BR12" i="3"/>
  <c r="BT12" i="3"/>
  <c r="BS12" i="3" s="1" a="1"/>
  <c r="BS12" i="3" s="1"/>
  <c r="BU12" i="3"/>
  <c r="CF12" i="3" s="1" a="1"/>
  <c r="CF12" i="3" s="1"/>
  <c r="BV12" i="3"/>
  <c r="BW12" i="3" a="1"/>
  <c r="BW12" i="3" s="1"/>
  <c r="BR13" i="3"/>
  <c r="BT13" i="3"/>
  <c r="BS13" i="3" s="1" a="1"/>
  <c r="BS13" i="3" s="1"/>
  <c r="BU13" i="3"/>
  <c r="CF13" i="3" s="1" a="1"/>
  <c r="CF13" i="3" s="1"/>
  <c r="BV13" i="3"/>
  <c r="BR14" i="3"/>
  <c r="BT14" i="3"/>
  <c r="BS14" i="3" s="1" a="1"/>
  <c r="BS14" i="3" s="1"/>
  <c r="BU14" i="3"/>
  <c r="CF14" i="3" s="1" a="1"/>
  <c r="CF14" i="3" s="1"/>
  <c r="BV14" i="3"/>
  <c r="BW14" i="3" a="1"/>
  <c r="BW14" i="3" s="1"/>
  <c r="BR15" i="3"/>
  <c r="BS15" i="3" a="1"/>
  <c r="BS15" i="3" s="1"/>
  <c r="BT15" i="3"/>
  <c r="BU15" i="3"/>
  <c r="CF15" i="3" s="1" a="1"/>
  <c r="CF15" i="3" s="1"/>
  <c r="BV15" i="3"/>
  <c r="BW15" i="3" a="1"/>
  <c r="BW15" i="3" s="1"/>
  <c r="BR16" i="3"/>
  <c r="BS16" i="3" a="1"/>
  <c r="BS16" i="3" s="1"/>
  <c r="BT16" i="3"/>
  <c r="BU16" i="3"/>
  <c r="CF16" i="3" s="1" a="1"/>
  <c r="CF16" i="3" s="1"/>
  <c r="BV16" i="3"/>
  <c r="BW16" i="3" a="1"/>
  <c r="BW16" i="3" s="1"/>
  <c r="BR17" i="3"/>
  <c r="BS17" i="3" a="1"/>
  <c r="BS17" i="3" s="1"/>
  <c r="BT17" i="3"/>
  <c r="BU17" i="3"/>
  <c r="CF17" i="3" s="1" a="1"/>
  <c r="CF17" i="3" s="1"/>
  <c r="BV17" i="3"/>
  <c r="BW17" i="3" a="1"/>
  <c r="BW17" i="3" s="1"/>
  <c r="BR18" i="3"/>
  <c r="BS18" i="3" a="1"/>
  <c r="BS18" i="3" s="1"/>
  <c r="BT18" i="3"/>
  <c r="BU18" i="3"/>
  <c r="CF18" i="3" s="1" a="1"/>
  <c r="CF18" i="3" s="1"/>
  <c r="BV18" i="3"/>
  <c r="BW18" i="3" a="1"/>
  <c r="BW18" i="3" s="1"/>
  <c r="BR19" i="3"/>
  <c r="BS19" i="3" a="1"/>
  <c r="BS19" i="3" s="1"/>
  <c r="BT19" i="3"/>
  <c r="BU19" i="3"/>
  <c r="CF19" i="3" s="1" a="1"/>
  <c r="CF19" i="3" s="1"/>
  <c r="BV19" i="3"/>
  <c r="BW19" i="3" a="1"/>
  <c r="BW19" i="3" s="1"/>
  <c r="BR20" i="3"/>
  <c r="BS20" i="3" a="1"/>
  <c r="BS20" i="3" s="1"/>
  <c r="BT20" i="3"/>
  <c r="BU20" i="3"/>
  <c r="CF20" i="3" s="1" a="1"/>
  <c r="CF20" i="3" s="1"/>
  <c r="BV20" i="3"/>
  <c r="BW20" i="3" a="1"/>
  <c r="BW20" i="3" s="1"/>
  <c r="BR21" i="3"/>
  <c r="BS21" i="3" a="1"/>
  <c r="BS21" i="3" s="1"/>
  <c r="BT21" i="3"/>
  <c r="BU21" i="3"/>
  <c r="CF21" i="3" s="1" a="1"/>
  <c r="CF21" i="3" s="1"/>
  <c r="BV21" i="3"/>
  <c r="BW21" i="3" a="1"/>
  <c r="BW21" i="3" s="1"/>
  <c r="BR22" i="3"/>
  <c r="BS22" i="3" a="1"/>
  <c r="BS22" i="3" s="1"/>
  <c r="BT22" i="3"/>
  <c r="BU22" i="3"/>
  <c r="CF22" i="3" s="1" a="1"/>
  <c r="CF22" i="3" s="1"/>
  <c r="BV22" i="3"/>
  <c r="BW22" i="3" a="1"/>
  <c r="BW22" i="3" s="1"/>
  <c r="BR23" i="3"/>
  <c r="BS23" i="3" a="1"/>
  <c r="BS23" i="3" s="1"/>
  <c r="BT23" i="3"/>
  <c r="BU23" i="3"/>
  <c r="CF23" i="3" s="1" a="1"/>
  <c r="CF23" i="3" s="1"/>
  <c r="BV23" i="3"/>
  <c r="BW23" i="3" a="1"/>
  <c r="BW23" i="3" s="1"/>
  <c r="BR24" i="3"/>
  <c r="BS24" i="3" a="1"/>
  <c r="BS24" i="3" s="1"/>
  <c r="BT24" i="3"/>
  <c r="BU24" i="3"/>
  <c r="CF24" i="3" s="1" a="1"/>
  <c r="CF24" i="3" s="1"/>
  <c r="BV24" i="3"/>
  <c r="BW24" i="3" a="1"/>
  <c r="BW24" i="3" s="1"/>
  <c r="BR25" i="3"/>
  <c r="BS25" i="3" a="1"/>
  <c r="BS25" i="3" s="1"/>
  <c r="BT25" i="3"/>
  <c r="BU25" i="3"/>
  <c r="CF25" i="3" s="1" a="1"/>
  <c r="CF25" i="3" s="1"/>
  <c r="BV25" i="3"/>
  <c r="BW25" i="3" a="1"/>
  <c r="BW25" i="3" s="1"/>
  <c r="BR26" i="3"/>
  <c r="BS26" i="3" a="1"/>
  <c r="BS26" i="3" s="1"/>
  <c r="BT26" i="3"/>
  <c r="BU26" i="3"/>
  <c r="CF26" i="3" s="1" a="1"/>
  <c r="CF26" i="3" s="1"/>
  <c r="BV26" i="3"/>
  <c r="BW26" i="3" a="1"/>
  <c r="BW26" i="3" s="1"/>
  <c r="BR27" i="3"/>
  <c r="BS27" i="3" a="1"/>
  <c r="BS27" i="3" s="1"/>
  <c r="BT27" i="3"/>
  <c r="BU27" i="3"/>
  <c r="CF27" i="3" s="1" a="1"/>
  <c r="CF27" i="3" s="1"/>
  <c r="BV27" i="3"/>
  <c r="BW27" i="3" a="1"/>
  <c r="BW27" i="3" s="1"/>
  <c r="BR28" i="3"/>
  <c r="BS28" i="3" a="1"/>
  <c r="BS28" i="3" s="1"/>
  <c r="BT28" i="3"/>
  <c r="BU28" i="3"/>
  <c r="CF28" i="3" s="1" a="1"/>
  <c r="CF28" i="3" s="1"/>
  <c r="BV28" i="3"/>
  <c r="BW28" i="3" a="1"/>
  <c r="BW28" i="3" s="1"/>
  <c r="BR29" i="3"/>
  <c r="BS29" i="3" a="1"/>
  <c r="BS29" i="3" s="1"/>
  <c r="BT29" i="3"/>
  <c r="BU29" i="3"/>
  <c r="CF29" i="3" s="1" a="1"/>
  <c r="CF29" i="3" s="1"/>
  <c r="BV29" i="3"/>
  <c r="BW29" i="3" a="1"/>
  <c r="BW29" i="3" s="1"/>
  <c r="BR30" i="3"/>
  <c r="BS30" i="3" a="1"/>
  <c r="BS30" i="3" s="1"/>
  <c r="BT30" i="3"/>
  <c r="BU30" i="3"/>
  <c r="CF30" i="3" s="1" a="1"/>
  <c r="CF30" i="3" s="1"/>
  <c r="BV30" i="3"/>
  <c r="BW30" i="3" a="1"/>
  <c r="BW30" i="3" s="1"/>
  <c r="BR31" i="3"/>
  <c r="BS31" i="3" a="1"/>
  <c r="BS31" i="3" s="1"/>
  <c r="BT31" i="3"/>
  <c r="BU31" i="3"/>
  <c r="CF31" i="3" s="1" a="1"/>
  <c r="CF31" i="3" s="1"/>
  <c r="BV31" i="3"/>
  <c r="BW31" i="3" a="1"/>
  <c r="BW31" i="3" s="1"/>
  <c r="BR32" i="3"/>
  <c r="BS32" i="3" a="1"/>
  <c r="BS32" i="3" s="1"/>
  <c r="BT32" i="3"/>
  <c r="BU32" i="3"/>
  <c r="CF32" i="3" s="1" a="1"/>
  <c r="CF32" i="3" s="1"/>
  <c r="BV32" i="3"/>
  <c r="BW32" i="3" a="1"/>
  <c r="BW32" i="3" s="1"/>
  <c r="BR33" i="3"/>
  <c r="BS33" i="3" a="1"/>
  <c r="BS33" i="3" s="1"/>
  <c r="BT33" i="3"/>
  <c r="BU33" i="3"/>
  <c r="CF33" i="3" s="1" a="1"/>
  <c r="CF33" i="3" s="1"/>
  <c r="BV33" i="3"/>
  <c r="BW33" i="3" a="1"/>
  <c r="BW33" i="3" s="1"/>
  <c r="BR34" i="3"/>
  <c r="BS34" i="3" a="1"/>
  <c r="BS34" i="3" s="1"/>
  <c r="BT34" i="3"/>
  <c r="BU34" i="3"/>
  <c r="CF34" i="3" s="1" a="1"/>
  <c r="CF34" i="3" s="1"/>
  <c r="BV34" i="3"/>
  <c r="BW34" i="3" a="1"/>
  <c r="BW34" i="3" s="1"/>
  <c r="BR35" i="3"/>
  <c r="BS35" i="3" a="1"/>
  <c r="BS35" i="3" s="1"/>
  <c r="BT35" i="3"/>
  <c r="BU35" i="3"/>
  <c r="CF35" i="3" s="1" a="1"/>
  <c r="CF35" i="3" s="1"/>
  <c r="BV35" i="3"/>
  <c r="BW35" i="3" a="1"/>
  <c r="BW35" i="3" s="1"/>
  <c r="BR36" i="3"/>
  <c r="BS36" i="3" a="1"/>
  <c r="BS36" i="3" s="1"/>
  <c r="BT36" i="3"/>
  <c r="BU36" i="3"/>
  <c r="CF36" i="3" s="1" a="1"/>
  <c r="CF36" i="3" s="1"/>
  <c r="BV36" i="3"/>
  <c r="BW36" i="3" a="1"/>
  <c r="BW36" i="3" s="1"/>
  <c r="BR37" i="3"/>
  <c r="BS37" i="3" a="1"/>
  <c r="BS37" i="3" s="1"/>
  <c r="BT37" i="3"/>
  <c r="BU37" i="3"/>
  <c r="CF37" i="3" s="1" a="1"/>
  <c r="CF37" i="3" s="1"/>
  <c r="BV37" i="3"/>
  <c r="BW37" i="3" a="1"/>
  <c r="BW37" i="3" s="1"/>
  <c r="BR38" i="3"/>
  <c r="BS38" i="3" a="1"/>
  <c r="BS38" i="3" s="1"/>
  <c r="BT38" i="3"/>
  <c r="BU38" i="3"/>
  <c r="CF38" i="3" s="1" a="1"/>
  <c r="CF38" i="3" s="1"/>
  <c r="BV38" i="3"/>
  <c r="BW38" i="3" a="1"/>
  <c r="BW38" i="3" s="1"/>
  <c r="BR39" i="3"/>
  <c r="BS39" i="3" a="1"/>
  <c r="BS39" i="3" s="1"/>
  <c r="BT39" i="3"/>
  <c r="BU39" i="3"/>
  <c r="CF39" i="3" s="1" a="1"/>
  <c r="CF39" i="3" s="1"/>
  <c r="BV39" i="3"/>
  <c r="BW39" i="3" a="1"/>
  <c r="BW39" i="3" s="1"/>
  <c r="BR40" i="3"/>
  <c r="BS40" i="3" a="1"/>
  <c r="BS40" i="3" s="1"/>
  <c r="BT40" i="3"/>
  <c r="BU40" i="3"/>
  <c r="CF40" i="3" s="1" a="1"/>
  <c r="CF40" i="3" s="1"/>
  <c r="BV40" i="3"/>
  <c r="BW40" i="3" a="1"/>
  <c r="BW40" i="3" s="1"/>
  <c r="BR41" i="3"/>
  <c r="BS41" i="3" a="1"/>
  <c r="BS41" i="3" s="1"/>
  <c r="BT41" i="3"/>
  <c r="BU41" i="3"/>
  <c r="CF41" i="3" s="1" a="1"/>
  <c r="CF41" i="3" s="1"/>
  <c r="BV41" i="3"/>
  <c r="BW41" i="3" a="1"/>
  <c r="BW41" i="3" s="1"/>
  <c r="BR42" i="3"/>
  <c r="BS42" i="3" a="1"/>
  <c r="BS42" i="3" s="1"/>
  <c r="BT42" i="3"/>
  <c r="BU42" i="3"/>
  <c r="CF42" i="3" s="1" a="1"/>
  <c r="CF42" i="3" s="1"/>
  <c r="BV42" i="3"/>
  <c r="BW42" i="3" a="1"/>
  <c r="BW42" i="3" s="1"/>
  <c r="BR43" i="3"/>
  <c r="BS43" i="3" a="1"/>
  <c r="BS43" i="3" s="1"/>
  <c r="BT43" i="3"/>
  <c r="BU43" i="3"/>
  <c r="CF43" i="3" s="1" a="1"/>
  <c r="CF43" i="3" s="1"/>
  <c r="BV43" i="3"/>
  <c r="BW43" i="3" a="1"/>
  <c r="BW43" i="3" s="1"/>
  <c r="BR44" i="3"/>
  <c r="BS44" i="3" a="1"/>
  <c r="BS44" i="3" s="1"/>
  <c r="BT44" i="3"/>
  <c r="BU44" i="3"/>
  <c r="CF44" i="3" s="1" a="1"/>
  <c r="CF44" i="3" s="1"/>
  <c r="BV44" i="3"/>
  <c r="BW44" i="3" a="1"/>
  <c r="BW44" i="3" s="1"/>
  <c r="BR45" i="3"/>
  <c r="BS45" i="3" a="1"/>
  <c r="BS45" i="3" s="1"/>
  <c r="BT45" i="3"/>
  <c r="BU45" i="3"/>
  <c r="CF45" i="3" s="1" a="1"/>
  <c r="CF45" i="3" s="1"/>
  <c r="BV45" i="3"/>
  <c r="BW45" i="3" a="1"/>
  <c r="BW45" i="3" s="1"/>
  <c r="BR46" i="3"/>
  <c r="BS46" i="3" a="1"/>
  <c r="BS46" i="3" s="1"/>
  <c r="BT46" i="3"/>
  <c r="BU46" i="3"/>
  <c r="CF46" i="3" s="1" a="1"/>
  <c r="CF46" i="3" s="1"/>
  <c r="BV46" i="3"/>
  <c r="BW46" i="3" a="1"/>
  <c r="BW46" i="3" s="1"/>
  <c r="BR47" i="3"/>
  <c r="BS47" i="3" a="1"/>
  <c r="BS47" i="3" s="1"/>
  <c r="BT47" i="3"/>
  <c r="BU47" i="3"/>
  <c r="CF47" i="3" s="1" a="1"/>
  <c r="CF47" i="3" s="1"/>
  <c r="BV47" i="3"/>
  <c r="BW47" i="3" a="1"/>
  <c r="BW47" i="3" s="1"/>
  <c r="BR48" i="3"/>
  <c r="BS48" i="3" a="1"/>
  <c r="BS48" i="3" s="1"/>
  <c r="BT48" i="3"/>
  <c r="BU48" i="3"/>
  <c r="CF48" i="3" s="1" a="1"/>
  <c r="CF48" i="3" s="1"/>
  <c r="BV48" i="3"/>
  <c r="BW48" i="3" a="1"/>
  <c r="BW48" i="3" s="1"/>
  <c r="BR49" i="3"/>
  <c r="BS49" i="3" a="1"/>
  <c r="BS49" i="3" s="1"/>
  <c r="BT49" i="3"/>
  <c r="BU49" i="3"/>
  <c r="CF49" i="3" s="1" a="1"/>
  <c r="CF49" i="3" s="1"/>
  <c r="BV49" i="3"/>
  <c r="BW49" i="3" a="1"/>
  <c r="BW49" i="3" s="1"/>
  <c r="BR50" i="3"/>
  <c r="BS50" i="3" a="1"/>
  <c r="BS50" i="3" s="1"/>
  <c r="BT50" i="3"/>
  <c r="BU50" i="3"/>
  <c r="CF50" i="3" s="1" a="1"/>
  <c r="CF50" i="3" s="1"/>
  <c r="BV50" i="3"/>
  <c r="BW50" i="3" a="1"/>
  <c r="BW50" i="3" s="1"/>
  <c r="BR51" i="3"/>
  <c r="BS51" i="3" a="1"/>
  <c r="BS51" i="3" s="1"/>
  <c r="BT51" i="3"/>
  <c r="BU51" i="3"/>
  <c r="CF51" i="3" s="1" a="1"/>
  <c r="CF51" i="3" s="1"/>
  <c r="BV51" i="3"/>
  <c r="BW51" i="3" a="1"/>
  <c r="BW51" i="3" s="1"/>
  <c r="BR52" i="3"/>
  <c r="BS52" i="3" a="1"/>
  <c r="BS52" i="3" s="1"/>
  <c r="BT52" i="3"/>
  <c r="BU52" i="3"/>
  <c r="CF52" i="3" s="1" a="1"/>
  <c r="CF52" i="3" s="1"/>
  <c r="BV52" i="3"/>
  <c r="BW52" i="3" a="1"/>
  <c r="BW52" i="3" s="1"/>
  <c r="BR53" i="3"/>
  <c r="BS53" i="3" a="1"/>
  <c r="BS53" i="3" s="1"/>
  <c r="BT53" i="3"/>
  <c r="BU53" i="3"/>
  <c r="CF53" i="3" s="1" a="1"/>
  <c r="CF53" i="3" s="1"/>
  <c r="BV53" i="3"/>
  <c r="BW53" i="3" a="1"/>
  <c r="BW53" i="3" s="1"/>
  <c r="BR54" i="3"/>
  <c r="BS54" i="3" a="1"/>
  <c r="BS54" i="3" s="1"/>
  <c r="BT54" i="3"/>
  <c r="BU54" i="3"/>
  <c r="CF54" i="3" s="1" a="1"/>
  <c r="CF54" i="3" s="1"/>
  <c r="BV54" i="3"/>
  <c r="BW54" i="3" a="1"/>
  <c r="BW54" i="3" s="1"/>
  <c r="BR55" i="3"/>
  <c r="BS55" i="3" a="1"/>
  <c r="BS55" i="3" s="1"/>
  <c r="BT55" i="3"/>
  <c r="BU55" i="3"/>
  <c r="CF55" i="3" s="1" a="1"/>
  <c r="CF55" i="3" s="1"/>
  <c r="BV55" i="3"/>
  <c r="BW55" i="3" a="1"/>
  <c r="BW55" i="3" s="1"/>
  <c r="BR56" i="3"/>
  <c r="BS56" i="3" a="1"/>
  <c r="BS56" i="3" s="1"/>
  <c r="BT56" i="3"/>
  <c r="BU56" i="3"/>
  <c r="CF56" i="3" s="1" a="1"/>
  <c r="CF56" i="3" s="1"/>
  <c r="BV56" i="3"/>
  <c r="BW56" i="3" a="1"/>
  <c r="BW56" i="3" s="1"/>
  <c r="BR57" i="3"/>
  <c r="BS57" i="3" a="1"/>
  <c r="BS57" i="3" s="1"/>
  <c r="BT57" i="3"/>
  <c r="BU57" i="3"/>
  <c r="CF57" i="3" s="1" a="1"/>
  <c r="CF57" i="3" s="1"/>
  <c r="BV57" i="3"/>
  <c r="BW57" i="3" a="1"/>
  <c r="BW57" i="3" s="1"/>
  <c r="BR58" i="3"/>
  <c r="BS58" i="3" a="1"/>
  <c r="BS58" i="3" s="1"/>
  <c r="BT58" i="3"/>
  <c r="BU58" i="3"/>
  <c r="CF58" i="3" s="1" a="1"/>
  <c r="CF58" i="3" s="1"/>
  <c r="BV58" i="3"/>
  <c r="BW58" i="3" a="1"/>
  <c r="BW58" i="3" s="1"/>
  <c r="BR59" i="3"/>
  <c r="BS59" i="3" a="1"/>
  <c r="BS59" i="3" s="1"/>
  <c r="BT59" i="3"/>
  <c r="BU59" i="3"/>
  <c r="CF59" i="3" s="1" a="1"/>
  <c r="CF59" i="3" s="1"/>
  <c r="BV59" i="3"/>
  <c r="BW59" i="3" a="1"/>
  <c r="BW59" i="3" s="1"/>
  <c r="BR60" i="3"/>
  <c r="BS60" i="3" a="1"/>
  <c r="BS60" i="3" s="1"/>
  <c r="BT60" i="3"/>
  <c r="BU60" i="3"/>
  <c r="CF60" i="3" s="1" a="1"/>
  <c r="CF60" i="3" s="1"/>
  <c r="BV60" i="3"/>
  <c r="BW60" i="3" a="1"/>
  <c r="BW60" i="3" s="1"/>
  <c r="BR61" i="3"/>
  <c r="BS61" i="3" a="1"/>
  <c r="BS61" i="3" s="1"/>
  <c r="BT61" i="3"/>
  <c r="BU61" i="3"/>
  <c r="CF61" i="3" s="1" a="1"/>
  <c r="CF61" i="3" s="1"/>
  <c r="BV61" i="3"/>
  <c r="BW61" i="3" a="1"/>
  <c r="BW61" i="3" s="1"/>
  <c r="BR62" i="3"/>
  <c r="BS62" i="3" a="1"/>
  <c r="BS62" i="3" s="1"/>
  <c r="BT62" i="3"/>
  <c r="BU62" i="3"/>
  <c r="CF62" i="3" s="1" a="1"/>
  <c r="CF62" i="3" s="1"/>
  <c r="BV62" i="3"/>
  <c r="BW62" i="3" a="1"/>
  <c r="BW62" i="3" s="1"/>
  <c r="BR63" i="3"/>
  <c r="BS63" i="3" a="1"/>
  <c r="BS63" i="3" s="1"/>
  <c r="BT63" i="3"/>
  <c r="BU63" i="3"/>
  <c r="CF63" i="3" s="1" a="1"/>
  <c r="CF63" i="3" s="1"/>
  <c r="BV63" i="3"/>
  <c r="BW63" i="3" a="1"/>
  <c r="BW63" i="3" s="1"/>
  <c r="BR64" i="3"/>
  <c r="BT64" i="3"/>
  <c r="BS64" i="3" s="1" a="1"/>
  <c r="BS64" i="3" s="1"/>
  <c r="BU64" i="3"/>
  <c r="CF64" i="3" s="1" a="1"/>
  <c r="CF64" i="3" s="1"/>
  <c r="BV64" i="3"/>
  <c r="BW64" i="3" a="1"/>
  <c r="BW64" i="3" s="1"/>
  <c r="BR65" i="3"/>
  <c r="BS65" i="3" a="1"/>
  <c r="BS65" i="3" s="1"/>
  <c r="BT65" i="3"/>
  <c r="BU65" i="3"/>
  <c r="CF65" i="3" s="1" a="1"/>
  <c r="CF65" i="3" s="1"/>
  <c r="BV65" i="3"/>
  <c r="BW65" i="3" a="1"/>
  <c r="BW65" i="3" s="1"/>
  <c r="BR66" i="3"/>
  <c r="BT66" i="3"/>
  <c r="BS66" i="3" s="1" a="1"/>
  <c r="BS66" i="3" s="1"/>
  <c r="BU66" i="3"/>
  <c r="CF66" i="3" s="1" a="1"/>
  <c r="CF66" i="3" s="1"/>
  <c r="BV66" i="3"/>
  <c r="BW66" i="3" a="1"/>
  <c r="BW66" i="3" s="1"/>
  <c r="BR67" i="3"/>
  <c r="BS67" i="3" a="1"/>
  <c r="BS67" i="3" s="1"/>
  <c r="BT67" i="3"/>
  <c r="BU67" i="3"/>
  <c r="CF67" i="3" s="1" a="1"/>
  <c r="CF67" i="3" s="1"/>
  <c r="BV67" i="3"/>
  <c r="BW67" i="3" a="1"/>
  <c r="BW67" i="3" s="1"/>
  <c r="BR68" i="3"/>
  <c r="BS68" i="3" a="1"/>
  <c r="BS68" i="3" s="1"/>
  <c r="BT68" i="3"/>
  <c r="BU68" i="3"/>
  <c r="CF68" i="3" s="1" a="1"/>
  <c r="CF68" i="3" s="1"/>
  <c r="BV68" i="3"/>
  <c r="BW68" i="3" a="1"/>
  <c r="BW68" i="3" s="1"/>
  <c r="BR69" i="3"/>
  <c r="BS69" i="3" a="1"/>
  <c r="BS69" i="3" s="1"/>
  <c r="BT69" i="3"/>
  <c r="BU69" i="3"/>
  <c r="CF69" i="3" s="1" a="1"/>
  <c r="CF69" i="3" s="1"/>
  <c r="BV69" i="3"/>
  <c r="BW69" i="3" a="1"/>
  <c r="BW69" i="3" s="1"/>
  <c r="BR70" i="3"/>
  <c r="BS70" i="3" a="1"/>
  <c r="BS70" i="3" s="1"/>
  <c r="BT70" i="3"/>
  <c r="BU70" i="3"/>
  <c r="CF70" i="3" s="1" a="1"/>
  <c r="CF70" i="3" s="1"/>
  <c r="BV70" i="3"/>
  <c r="BW70" i="3" a="1"/>
  <c r="BW70" i="3" s="1"/>
  <c r="BR71" i="3"/>
  <c r="BS71" i="3" a="1"/>
  <c r="BS71" i="3" s="1"/>
  <c r="BT71" i="3"/>
  <c r="BU71" i="3"/>
  <c r="CF71" i="3" s="1" a="1"/>
  <c r="CF71" i="3" s="1"/>
  <c r="BV71" i="3"/>
  <c r="BW71" i="3" a="1"/>
  <c r="BW71" i="3" s="1"/>
  <c r="BR72" i="3"/>
  <c r="BS72" i="3" a="1"/>
  <c r="BS72" i="3" s="1"/>
  <c r="BT72" i="3"/>
  <c r="BU72" i="3"/>
  <c r="CF72" i="3" s="1" a="1"/>
  <c r="CF72" i="3" s="1"/>
  <c r="BV72" i="3"/>
  <c r="BW72" i="3" a="1"/>
  <c r="BW72" i="3" s="1"/>
  <c r="BR73" i="3"/>
  <c r="BS73" i="3" a="1"/>
  <c r="BS73" i="3" s="1"/>
  <c r="BT73" i="3"/>
  <c r="BU73" i="3"/>
  <c r="CF73" i="3" s="1" a="1"/>
  <c r="CF73" i="3" s="1"/>
  <c r="BV73" i="3"/>
  <c r="BW73" i="3" a="1"/>
  <c r="BW73" i="3" s="1"/>
  <c r="BR74" i="3"/>
  <c r="BS74" i="3" a="1"/>
  <c r="BS74" i="3" s="1"/>
  <c r="BT74" i="3"/>
  <c r="BU74" i="3"/>
  <c r="CF74" i="3" s="1" a="1"/>
  <c r="CF74" i="3" s="1"/>
  <c r="BV74" i="3"/>
  <c r="BW74" i="3" a="1"/>
  <c r="BW74" i="3" s="1"/>
  <c r="BR75" i="3"/>
  <c r="BS75" i="3" a="1"/>
  <c r="BS75" i="3" s="1"/>
  <c r="BT75" i="3"/>
  <c r="BU75" i="3"/>
  <c r="CF75" i="3" s="1" a="1"/>
  <c r="CF75" i="3" s="1"/>
  <c r="BV75" i="3"/>
  <c r="BW75" i="3" a="1"/>
  <c r="BW75" i="3" s="1"/>
  <c r="BR76" i="3"/>
  <c r="BS76" i="3" a="1"/>
  <c r="BS76" i="3" s="1"/>
  <c r="BT76" i="3"/>
  <c r="BU76" i="3"/>
  <c r="CF76" i="3" s="1" a="1"/>
  <c r="CF76" i="3" s="1"/>
  <c r="BV76" i="3"/>
  <c r="BW76" i="3" a="1"/>
  <c r="BW76" i="3" s="1"/>
  <c r="BR77" i="3"/>
  <c r="BS77" i="3" a="1"/>
  <c r="BS77" i="3" s="1"/>
  <c r="BT77" i="3"/>
  <c r="BU77" i="3"/>
  <c r="CF77" i="3" s="1" a="1"/>
  <c r="CF77" i="3" s="1"/>
  <c r="BV77" i="3"/>
  <c r="BW77" i="3" a="1"/>
  <c r="BW77" i="3" s="1"/>
  <c r="BR78" i="3"/>
  <c r="BS78" i="3" a="1"/>
  <c r="BS78" i="3" s="1"/>
  <c r="BT78" i="3"/>
  <c r="BU78" i="3"/>
  <c r="CF78" i="3" s="1" a="1"/>
  <c r="CF78" i="3" s="1"/>
  <c r="BV78" i="3"/>
  <c r="BW78" i="3" a="1"/>
  <c r="BW78" i="3" s="1"/>
  <c r="BR79" i="3"/>
  <c r="BS79" i="3" a="1"/>
  <c r="BS79" i="3" s="1"/>
  <c r="BT79" i="3"/>
  <c r="BU79" i="3"/>
  <c r="CF79" i="3" s="1" a="1"/>
  <c r="CF79" i="3" s="1"/>
  <c r="BV79" i="3"/>
  <c r="BW79" i="3" a="1"/>
  <c r="BW79" i="3" s="1"/>
  <c r="BR80" i="3"/>
  <c r="BS80" i="3" a="1"/>
  <c r="BS80" i="3" s="1"/>
  <c r="BT80" i="3"/>
  <c r="BU80" i="3"/>
  <c r="CF80" i="3" s="1" a="1"/>
  <c r="CF80" i="3" s="1"/>
  <c r="BV80" i="3"/>
  <c r="BW80" i="3" a="1"/>
  <c r="BW80" i="3" s="1"/>
  <c r="BR81" i="3"/>
  <c r="BS81" i="3" a="1"/>
  <c r="BS81" i="3" s="1"/>
  <c r="BT81" i="3"/>
  <c r="BU81" i="3"/>
  <c r="CF81" i="3" s="1" a="1"/>
  <c r="CF81" i="3" s="1"/>
  <c r="BV81" i="3"/>
  <c r="BW81" i="3" a="1"/>
  <c r="BW81" i="3" s="1"/>
  <c r="BR82" i="3"/>
  <c r="BS82" i="3" a="1"/>
  <c r="BS82" i="3" s="1"/>
  <c r="BT82" i="3"/>
  <c r="BU82" i="3"/>
  <c r="CF82" i="3" s="1" a="1"/>
  <c r="CF82" i="3" s="1"/>
  <c r="BV82" i="3"/>
  <c r="BW82" i="3" a="1"/>
  <c r="BW82" i="3" s="1"/>
  <c r="BR83" i="3"/>
  <c r="BS83" i="3" a="1"/>
  <c r="BS83" i="3" s="1"/>
  <c r="BT83" i="3"/>
  <c r="BU83" i="3"/>
  <c r="CF83" i="3" s="1" a="1"/>
  <c r="CF83" i="3" s="1"/>
  <c r="BV83" i="3"/>
  <c r="BW83" i="3" a="1"/>
  <c r="BW83" i="3" s="1"/>
  <c r="BR84" i="3"/>
  <c r="BS84" i="3" a="1"/>
  <c r="BS84" i="3" s="1"/>
  <c r="BT84" i="3"/>
  <c r="BU84" i="3"/>
  <c r="CF84" i="3" s="1" a="1"/>
  <c r="CF84" i="3" s="1"/>
  <c r="BV84" i="3"/>
  <c r="BW84" i="3" a="1"/>
  <c r="BW84" i="3" s="1"/>
  <c r="BR85" i="3"/>
  <c r="BS85" i="3" a="1"/>
  <c r="BS85" i="3" s="1"/>
  <c r="BT85" i="3"/>
  <c r="BU85" i="3"/>
  <c r="CF85" i="3" s="1" a="1"/>
  <c r="CF85" i="3" s="1"/>
  <c r="BV85" i="3"/>
  <c r="BW85" i="3" a="1"/>
  <c r="BW85" i="3" s="1"/>
  <c r="BR86" i="3"/>
  <c r="BS86" i="3" a="1"/>
  <c r="BS86" i="3" s="1"/>
  <c r="BT86" i="3"/>
  <c r="BU86" i="3"/>
  <c r="CF86" i="3" s="1" a="1"/>
  <c r="CF86" i="3" s="1"/>
  <c r="BV86" i="3"/>
  <c r="BW86" i="3" a="1"/>
  <c r="BW86" i="3" s="1"/>
  <c r="BR87" i="3"/>
  <c r="BS87" i="3" a="1"/>
  <c r="BS87" i="3" s="1"/>
  <c r="BT87" i="3"/>
  <c r="BU87" i="3"/>
  <c r="CF87" i="3" s="1" a="1"/>
  <c r="CF87" i="3" s="1"/>
  <c r="BV87" i="3"/>
  <c r="BW87" i="3" a="1"/>
  <c r="BW87" i="3" s="1"/>
  <c r="BR88" i="3"/>
  <c r="BS88" i="3" a="1"/>
  <c r="BS88" i="3" s="1"/>
  <c r="BT88" i="3"/>
  <c r="BU88" i="3"/>
  <c r="CF88" i="3" s="1" a="1"/>
  <c r="CF88" i="3" s="1"/>
  <c r="BV88" i="3"/>
  <c r="BW88" i="3" a="1"/>
  <c r="BW88" i="3" s="1"/>
  <c r="BR89" i="3"/>
  <c r="BS89" i="3" a="1"/>
  <c r="BS89" i="3" s="1"/>
  <c r="BT89" i="3"/>
  <c r="BU89" i="3"/>
  <c r="CF89" i="3" s="1" a="1"/>
  <c r="CF89" i="3" s="1"/>
  <c r="BV89" i="3"/>
  <c r="BW89" i="3" a="1"/>
  <c r="BW89" i="3" s="1"/>
  <c r="BR90" i="3"/>
  <c r="BS90" i="3" a="1"/>
  <c r="BS90" i="3" s="1"/>
  <c r="BT90" i="3"/>
  <c r="BU90" i="3"/>
  <c r="CF90" i="3" s="1" a="1"/>
  <c r="CF90" i="3" s="1"/>
  <c r="BV90" i="3"/>
  <c r="BW90" i="3" a="1"/>
  <c r="BW90" i="3" s="1"/>
  <c r="BR91" i="3"/>
  <c r="BS91" i="3" a="1"/>
  <c r="BS91" i="3" s="1"/>
  <c r="BT91" i="3"/>
  <c r="BU91" i="3"/>
  <c r="CF91" i="3" s="1" a="1"/>
  <c r="CF91" i="3" s="1"/>
  <c r="BV91" i="3"/>
  <c r="BW91" i="3" a="1"/>
  <c r="BW91" i="3" s="1"/>
  <c r="BR92" i="3"/>
  <c r="BS92" i="3" a="1"/>
  <c r="BS92" i="3" s="1"/>
  <c r="BT92" i="3"/>
  <c r="BU92" i="3"/>
  <c r="CF92" i="3" s="1" a="1"/>
  <c r="CF92" i="3" s="1"/>
  <c r="BV92" i="3"/>
  <c r="BW92" i="3" a="1"/>
  <c r="BW92" i="3" s="1"/>
  <c r="BR93" i="3"/>
  <c r="BS93" i="3" a="1"/>
  <c r="BS93" i="3" s="1"/>
  <c r="BT93" i="3"/>
  <c r="BU93" i="3"/>
  <c r="CF93" i="3" s="1" a="1"/>
  <c r="CF93" i="3" s="1"/>
  <c r="BV93" i="3"/>
  <c r="BW93" i="3" a="1"/>
  <c r="BW93" i="3" s="1"/>
  <c r="BR94" i="3"/>
  <c r="BS94" i="3" a="1"/>
  <c r="BS94" i="3" s="1"/>
  <c r="BT94" i="3"/>
  <c r="BU94" i="3"/>
  <c r="CF94" i="3" s="1" a="1"/>
  <c r="CF94" i="3" s="1"/>
  <c r="BV94" i="3"/>
  <c r="BW94" i="3" a="1"/>
  <c r="BW94" i="3" s="1"/>
  <c r="BR95" i="3"/>
  <c r="BS95" i="3" a="1"/>
  <c r="BS95" i="3" s="1"/>
  <c r="BT95" i="3"/>
  <c r="BU95" i="3"/>
  <c r="CF95" i="3" s="1" a="1"/>
  <c r="CF95" i="3" s="1"/>
  <c r="BV95" i="3"/>
  <c r="BW95" i="3" a="1"/>
  <c r="BW95" i="3" s="1"/>
  <c r="BR96" i="3"/>
  <c r="BS96" i="3" a="1"/>
  <c r="BS96" i="3" s="1"/>
  <c r="BT96" i="3"/>
  <c r="BU96" i="3"/>
  <c r="CF96" i="3" s="1" a="1"/>
  <c r="CF96" i="3" s="1"/>
  <c r="BV96" i="3"/>
  <c r="BW96" i="3" a="1"/>
  <c r="BW96" i="3" s="1"/>
  <c r="BR97" i="3"/>
  <c r="BS97" i="3" a="1"/>
  <c r="BS97" i="3" s="1"/>
  <c r="BT97" i="3"/>
  <c r="BU97" i="3"/>
  <c r="CF97" i="3" s="1" a="1"/>
  <c r="CF97" i="3" s="1"/>
  <c r="BV97" i="3"/>
  <c r="BW97" i="3" a="1"/>
  <c r="BW97" i="3" s="1"/>
  <c r="BR98" i="3"/>
  <c r="BS98" i="3" a="1"/>
  <c r="BS98" i="3" s="1"/>
  <c r="BT98" i="3"/>
  <c r="BU98" i="3"/>
  <c r="CF98" i="3" s="1" a="1"/>
  <c r="CF98" i="3" s="1"/>
  <c r="BV98" i="3"/>
  <c r="BW98" i="3" a="1"/>
  <c r="BW98" i="3" s="1"/>
  <c r="BR99" i="3"/>
  <c r="BS99" i="3" a="1"/>
  <c r="BS99" i="3" s="1"/>
  <c r="BT99" i="3"/>
  <c r="BU99" i="3"/>
  <c r="CF99" i="3" s="1" a="1"/>
  <c r="CF99" i="3" s="1"/>
  <c r="BV99" i="3"/>
  <c r="BW99" i="3" a="1"/>
  <c r="BW99" i="3" s="1"/>
  <c r="BR100" i="3"/>
  <c r="BS100" i="3" a="1"/>
  <c r="BS100" i="3" s="1"/>
  <c r="BT100" i="3"/>
  <c r="BU100" i="3"/>
  <c r="CF100" i="3" s="1" a="1"/>
  <c r="CF100" i="3" s="1"/>
  <c r="BV100" i="3"/>
  <c r="BW100" i="3" a="1"/>
  <c r="BW100" i="3" s="1"/>
  <c r="BR101" i="3"/>
  <c r="BS101" i="3" a="1"/>
  <c r="BS101" i="3" s="1"/>
  <c r="BT101" i="3"/>
  <c r="BU101" i="3"/>
  <c r="CF101" i="3" s="1" a="1"/>
  <c r="CF101" i="3" s="1"/>
  <c r="BV101" i="3"/>
  <c r="BW101" i="3" a="1"/>
  <c r="BW101" i="3" s="1"/>
  <c r="BR102" i="3"/>
  <c r="BS102" i="3" a="1"/>
  <c r="BS102" i="3" s="1"/>
  <c r="BT102" i="3"/>
  <c r="BU102" i="3"/>
  <c r="CF102" i="3" s="1" a="1"/>
  <c r="CF102" i="3" s="1"/>
  <c r="BV102" i="3"/>
  <c r="BW102" i="3" a="1"/>
  <c r="BW102" i="3" s="1"/>
  <c r="BR103" i="3"/>
  <c r="BS103" i="3" a="1"/>
  <c r="BS103" i="3" s="1"/>
  <c r="BT103" i="3"/>
  <c r="BU103" i="3"/>
  <c r="CF103" i="3" s="1" a="1"/>
  <c r="CF103" i="3" s="1"/>
  <c r="BV103" i="3"/>
  <c r="BW103" i="3" a="1"/>
  <c r="BW103" i="3" s="1"/>
  <c r="BR104" i="3"/>
  <c r="BS104" i="3" a="1"/>
  <c r="BS104" i="3" s="1"/>
  <c r="BT104" i="3"/>
  <c r="BU104" i="3"/>
  <c r="CF104" i="3" s="1" a="1"/>
  <c r="CF104" i="3" s="1"/>
  <c r="BV104" i="3"/>
  <c r="BW104" i="3" a="1"/>
  <c r="BW104" i="3" s="1"/>
  <c r="BR105" i="3"/>
  <c r="BS105" i="3" a="1"/>
  <c r="BS105" i="3" s="1"/>
  <c r="BT105" i="3"/>
  <c r="BU105" i="3"/>
  <c r="CF105" i="3" s="1" a="1"/>
  <c r="CF105" i="3" s="1"/>
  <c r="BV105" i="3"/>
  <c r="BW105" i="3" a="1"/>
  <c r="BW105" i="3" s="1"/>
  <c r="BR106" i="3"/>
  <c r="BS106" i="3" a="1"/>
  <c r="BS106" i="3" s="1"/>
  <c r="BT106" i="3"/>
  <c r="BU106" i="3"/>
  <c r="CF106" i="3" s="1" a="1"/>
  <c r="CF106" i="3" s="1"/>
  <c r="BV106" i="3"/>
  <c r="BW106" i="3" a="1"/>
  <c r="BW106" i="3" s="1"/>
  <c r="BR107" i="3"/>
  <c r="BS107" i="3" a="1"/>
  <c r="BS107" i="3" s="1"/>
  <c r="BT107" i="3"/>
  <c r="BU107" i="3"/>
  <c r="CF107" i="3" s="1" a="1"/>
  <c r="CF107" i="3" s="1"/>
  <c r="BV107" i="3"/>
  <c r="BW107" i="3" a="1"/>
  <c r="BW107" i="3" s="1"/>
  <c r="BR108" i="3"/>
  <c r="BS108" i="3" a="1"/>
  <c r="BS108" i="3" s="1"/>
  <c r="BT108" i="3"/>
  <c r="BU108" i="3"/>
  <c r="CF108" i="3" s="1" a="1"/>
  <c r="CF108" i="3" s="1"/>
  <c r="BV108" i="3"/>
  <c r="BW108" i="3" a="1"/>
  <c r="BW108" i="3" s="1"/>
  <c r="BR109" i="3"/>
  <c r="BS109" i="3" a="1"/>
  <c r="BS109" i="3" s="1"/>
  <c r="BT109" i="3"/>
  <c r="BU109" i="3"/>
  <c r="CF109" i="3" s="1" a="1"/>
  <c r="CF109" i="3" s="1"/>
  <c r="BV109" i="3"/>
  <c r="BW109" i="3" a="1"/>
  <c r="BW109" i="3" s="1"/>
  <c r="BR110" i="3"/>
  <c r="BS110" i="3" a="1"/>
  <c r="BS110" i="3" s="1"/>
  <c r="BT110" i="3"/>
  <c r="BU110" i="3"/>
  <c r="CF110" i="3" s="1" a="1"/>
  <c r="CF110" i="3" s="1"/>
  <c r="BV110" i="3"/>
  <c r="BW110" i="3" a="1"/>
  <c r="BW110" i="3" s="1"/>
  <c r="BR111" i="3"/>
  <c r="BS111" i="3" a="1"/>
  <c r="BS111" i="3" s="1"/>
  <c r="BT111" i="3"/>
  <c r="BU111" i="3"/>
  <c r="CF111" i="3" s="1" a="1"/>
  <c r="CF111" i="3" s="1"/>
  <c r="BV111" i="3"/>
  <c r="BW111" i="3" a="1"/>
  <c r="BW111" i="3" s="1"/>
  <c r="BR112" i="3"/>
  <c r="BS112" i="3" a="1"/>
  <c r="BS112" i="3" s="1"/>
  <c r="BT112" i="3"/>
  <c r="BU112" i="3"/>
  <c r="CF112" i="3" s="1" a="1"/>
  <c r="CF112" i="3" s="1"/>
  <c r="BV112" i="3"/>
  <c r="BW112" i="3" a="1"/>
  <c r="BW112" i="3" s="1"/>
  <c r="BR113" i="3"/>
  <c r="BS113" i="3" a="1"/>
  <c r="BS113" i="3" s="1"/>
  <c r="BT113" i="3"/>
  <c r="BU113" i="3"/>
  <c r="CF113" i="3" s="1" a="1"/>
  <c r="CF113" i="3" s="1"/>
  <c r="BV113" i="3"/>
  <c r="BW113" i="3" a="1"/>
  <c r="BW113" i="3" s="1"/>
  <c r="BR114" i="3"/>
  <c r="BS114" i="3" a="1"/>
  <c r="BS114" i="3" s="1"/>
  <c r="BT114" i="3"/>
  <c r="BU114" i="3"/>
  <c r="CF114" i="3" s="1" a="1"/>
  <c r="CF114" i="3" s="1"/>
  <c r="BV114" i="3"/>
  <c r="BW114" i="3" a="1"/>
  <c r="BW114" i="3" s="1"/>
  <c r="BR115" i="3"/>
  <c r="BS115" i="3" a="1"/>
  <c r="BS115" i="3" s="1"/>
  <c r="BT115" i="3"/>
  <c r="BU115" i="3"/>
  <c r="CF115" i="3" s="1" a="1"/>
  <c r="CF115" i="3" s="1"/>
  <c r="BV115" i="3"/>
  <c r="BW115" i="3" a="1"/>
  <c r="BW115" i="3" s="1"/>
  <c r="BR116" i="3"/>
  <c r="BS116" i="3" a="1"/>
  <c r="BS116" i="3" s="1"/>
  <c r="BT116" i="3"/>
  <c r="BU116" i="3"/>
  <c r="CF116" i="3" s="1" a="1"/>
  <c r="CF116" i="3" s="1"/>
  <c r="BV116" i="3"/>
  <c r="BW116" i="3" a="1"/>
  <c r="BW116" i="3" s="1"/>
  <c r="BR117" i="3"/>
  <c r="BS117" i="3" a="1"/>
  <c r="BS117" i="3" s="1"/>
  <c r="BT117" i="3"/>
  <c r="BU117" i="3"/>
  <c r="CF117" i="3" s="1" a="1"/>
  <c r="CF117" i="3" s="1"/>
  <c r="BV117" i="3"/>
  <c r="BW117" i="3" a="1"/>
  <c r="BW117" i="3" s="1"/>
  <c r="BR118" i="3"/>
  <c r="BS118" i="3" a="1"/>
  <c r="BS118" i="3" s="1"/>
  <c r="BT118" i="3"/>
  <c r="BU118" i="3"/>
  <c r="CF118" i="3" s="1" a="1"/>
  <c r="CF118" i="3" s="1"/>
  <c r="BV118" i="3"/>
  <c r="BW118" i="3" a="1"/>
  <c r="BW118" i="3" s="1"/>
  <c r="BR119" i="3"/>
  <c r="BS119" i="3" a="1"/>
  <c r="BS119" i="3" s="1"/>
  <c r="BT119" i="3"/>
  <c r="BU119" i="3"/>
  <c r="CF119" i="3" s="1" a="1"/>
  <c r="CF119" i="3" s="1"/>
  <c r="BV119" i="3"/>
  <c r="BW119" i="3" a="1"/>
  <c r="BW119" i="3" s="1"/>
  <c r="BR120" i="3"/>
  <c r="BS120" i="3" a="1"/>
  <c r="BS120" i="3" s="1"/>
  <c r="BT120" i="3"/>
  <c r="BU120" i="3"/>
  <c r="CF120" i="3" s="1" a="1"/>
  <c r="CF120" i="3" s="1"/>
  <c r="BV120" i="3"/>
  <c r="BW120" i="3" a="1"/>
  <c r="BW120" i="3" s="1"/>
  <c r="BR121" i="3"/>
  <c r="BS121" i="3" a="1"/>
  <c r="BS121" i="3" s="1"/>
  <c r="BT121" i="3"/>
  <c r="BU121" i="3"/>
  <c r="CF121" i="3" s="1" a="1"/>
  <c r="CF121" i="3" s="1"/>
  <c r="BV121" i="3"/>
  <c r="BW121" i="3" a="1"/>
  <c r="BW121" i="3" s="1"/>
  <c r="BR122" i="3"/>
  <c r="BS122" i="3" a="1"/>
  <c r="BS122" i="3" s="1"/>
  <c r="BT122" i="3"/>
  <c r="BU122" i="3"/>
  <c r="CF122" i="3" s="1" a="1"/>
  <c r="CF122" i="3" s="1"/>
  <c r="BV122" i="3"/>
  <c r="BW122" i="3" a="1"/>
  <c r="BW122" i="3" s="1"/>
  <c r="BR123" i="3"/>
  <c r="BS123" i="3" a="1"/>
  <c r="BS123" i="3" s="1"/>
  <c r="BT123" i="3"/>
  <c r="BU123" i="3"/>
  <c r="CF123" i="3" s="1" a="1"/>
  <c r="CF123" i="3" s="1"/>
  <c r="BV123" i="3"/>
  <c r="BW123" i="3" a="1"/>
  <c r="BW123" i="3" s="1"/>
  <c r="BR124" i="3"/>
  <c r="BS124" i="3" a="1"/>
  <c r="BS124" i="3" s="1"/>
  <c r="BT124" i="3"/>
  <c r="BU124" i="3"/>
  <c r="CF124" i="3" s="1" a="1"/>
  <c r="CF124" i="3" s="1"/>
  <c r="BV124" i="3"/>
  <c r="BW124" i="3" a="1"/>
  <c r="BW124" i="3" s="1"/>
  <c r="BR125" i="3"/>
  <c r="BS125" i="3" a="1"/>
  <c r="BS125" i="3" s="1"/>
  <c r="BT125" i="3"/>
  <c r="BU125" i="3"/>
  <c r="CF125" i="3" s="1" a="1"/>
  <c r="CF125" i="3" s="1"/>
  <c r="BV125" i="3"/>
  <c r="BW125" i="3" a="1"/>
  <c r="BW125" i="3" s="1"/>
  <c r="BR126" i="3"/>
  <c r="BS126" i="3" a="1"/>
  <c r="BS126" i="3" s="1"/>
  <c r="BT126" i="3"/>
  <c r="BU126" i="3"/>
  <c r="CF126" i="3" s="1" a="1"/>
  <c r="CF126" i="3" s="1"/>
  <c r="BV126" i="3"/>
  <c r="BW126" i="3" a="1"/>
  <c r="BW126" i="3" s="1"/>
  <c r="BR127" i="3"/>
  <c r="BS127" i="3" a="1"/>
  <c r="BS127" i="3" s="1"/>
  <c r="BT127" i="3"/>
  <c r="BU127" i="3"/>
  <c r="CF127" i="3" s="1" a="1"/>
  <c r="CF127" i="3" s="1"/>
  <c r="BV127" i="3"/>
  <c r="BW127" i="3" a="1"/>
  <c r="BW127" i="3" s="1"/>
  <c r="BR128" i="3"/>
  <c r="BS128" i="3" a="1"/>
  <c r="BS128" i="3" s="1"/>
  <c r="BT128" i="3"/>
  <c r="BU128" i="3"/>
  <c r="CF128" i="3" s="1" a="1"/>
  <c r="CF128" i="3" s="1"/>
  <c r="BV128" i="3"/>
  <c r="BW128" i="3" a="1"/>
  <c r="BW128" i="3" s="1"/>
  <c r="BR129" i="3"/>
  <c r="BS129" i="3" a="1"/>
  <c r="BS129" i="3" s="1"/>
  <c r="BT129" i="3"/>
  <c r="BU129" i="3"/>
  <c r="CF129" i="3" s="1" a="1"/>
  <c r="CF129" i="3" s="1"/>
  <c r="BV129" i="3"/>
  <c r="BW129" i="3" a="1"/>
  <c r="BW129" i="3" s="1"/>
  <c r="BR130" i="3"/>
  <c r="BS130" i="3" a="1"/>
  <c r="BS130" i="3" s="1"/>
  <c r="BT130" i="3"/>
  <c r="BU130" i="3"/>
  <c r="CF130" i="3" s="1" a="1"/>
  <c r="CF130" i="3" s="1"/>
  <c r="BV130" i="3"/>
  <c r="BW130" i="3" a="1"/>
  <c r="BW130" i="3" s="1"/>
  <c r="BR131" i="3"/>
  <c r="BS131" i="3" a="1"/>
  <c r="BS131" i="3" s="1"/>
  <c r="BT131" i="3"/>
  <c r="BU131" i="3"/>
  <c r="CF131" i="3" s="1" a="1"/>
  <c r="CF131" i="3" s="1"/>
  <c r="BV131" i="3"/>
  <c r="BW131" i="3" a="1"/>
  <c r="BW131" i="3" s="1"/>
  <c r="BR132" i="3"/>
  <c r="BS132" i="3" a="1"/>
  <c r="BS132" i="3" s="1"/>
  <c r="BT132" i="3"/>
  <c r="BU132" i="3"/>
  <c r="CF132" i="3" s="1" a="1"/>
  <c r="CF132" i="3" s="1"/>
  <c r="BV132" i="3"/>
  <c r="BW132" i="3" a="1"/>
  <c r="BW132" i="3" s="1"/>
  <c r="BR133" i="3"/>
  <c r="BS133" i="3" a="1"/>
  <c r="BS133" i="3" s="1"/>
  <c r="BT133" i="3"/>
  <c r="BU133" i="3"/>
  <c r="CF133" i="3" s="1" a="1"/>
  <c r="CF133" i="3" s="1"/>
  <c r="BV133" i="3"/>
  <c r="BW133" i="3" a="1"/>
  <c r="BW133" i="3" s="1"/>
  <c r="BR134" i="3"/>
  <c r="BS134" i="3" a="1"/>
  <c r="BS134" i="3" s="1"/>
  <c r="BT134" i="3"/>
  <c r="BU134" i="3"/>
  <c r="CF134" i="3" s="1" a="1"/>
  <c r="CF134" i="3" s="1"/>
  <c r="BV134" i="3"/>
  <c r="BW134" i="3" a="1"/>
  <c r="BW134" i="3" s="1"/>
  <c r="BR135" i="3"/>
  <c r="BS135" i="3" a="1"/>
  <c r="BS135" i="3" s="1"/>
  <c r="BT135" i="3"/>
  <c r="BU135" i="3"/>
  <c r="CF135" i="3" s="1" a="1"/>
  <c r="CF135" i="3" s="1"/>
  <c r="BV135" i="3"/>
  <c r="BW135" i="3" a="1"/>
  <c r="BW135" i="3" s="1"/>
  <c r="BR136" i="3"/>
  <c r="BS136" i="3" a="1"/>
  <c r="BS136" i="3" s="1"/>
  <c r="BT136" i="3"/>
  <c r="BU136" i="3"/>
  <c r="CF136" i="3" s="1" a="1"/>
  <c r="CF136" i="3" s="1"/>
  <c r="BV136" i="3"/>
  <c r="BW136" i="3" a="1"/>
  <c r="BW136" i="3" s="1"/>
  <c r="BR137" i="3"/>
  <c r="BS137" i="3" a="1"/>
  <c r="BS137" i="3" s="1"/>
  <c r="BT137" i="3"/>
  <c r="BU137" i="3"/>
  <c r="CF137" i="3" s="1" a="1"/>
  <c r="CF137" i="3" s="1"/>
  <c r="BV137" i="3"/>
  <c r="BW137" i="3" a="1"/>
  <c r="BW137" i="3" s="1"/>
  <c r="BR138" i="3"/>
  <c r="BS138" i="3" a="1"/>
  <c r="BS138" i="3" s="1"/>
  <c r="BT138" i="3"/>
  <c r="BU138" i="3"/>
  <c r="CF138" i="3" s="1" a="1"/>
  <c r="CF138" i="3" s="1"/>
  <c r="BV138" i="3"/>
  <c r="BW138" i="3" a="1"/>
  <c r="BW138" i="3" s="1"/>
  <c r="BR139" i="3"/>
  <c r="BS139" i="3" a="1"/>
  <c r="BS139" i="3" s="1"/>
  <c r="BT139" i="3"/>
  <c r="BU139" i="3"/>
  <c r="CF139" i="3" s="1" a="1"/>
  <c r="CF139" i="3" s="1"/>
  <c r="BV139" i="3"/>
  <c r="BW139" i="3" a="1"/>
  <c r="BW139" i="3" s="1"/>
  <c r="BR140" i="3"/>
  <c r="BS140" i="3" a="1"/>
  <c r="BS140" i="3" s="1"/>
  <c r="BT140" i="3"/>
  <c r="BU140" i="3"/>
  <c r="CF140" i="3" s="1" a="1"/>
  <c r="CF140" i="3" s="1"/>
  <c r="BV140" i="3"/>
  <c r="BW140" i="3" a="1"/>
  <c r="BW140" i="3" s="1"/>
  <c r="BR141" i="3"/>
  <c r="BS141" i="3" a="1"/>
  <c r="BS141" i="3" s="1"/>
  <c r="BT141" i="3"/>
  <c r="BU141" i="3"/>
  <c r="CF141" i="3" s="1" a="1"/>
  <c r="CF141" i="3" s="1"/>
  <c r="BV141" i="3"/>
  <c r="BW141" i="3" a="1"/>
  <c r="BW141" i="3" s="1"/>
  <c r="BR142" i="3"/>
  <c r="BS142" i="3" a="1"/>
  <c r="BS142" i="3" s="1"/>
  <c r="BT142" i="3"/>
  <c r="BU142" i="3"/>
  <c r="CF142" i="3" s="1" a="1"/>
  <c r="CF142" i="3" s="1"/>
  <c r="BV142" i="3"/>
  <c r="BW142" i="3" a="1"/>
  <c r="BW142" i="3" s="1"/>
  <c r="BR143" i="3"/>
  <c r="BS143" i="3" a="1"/>
  <c r="BS143" i="3" s="1"/>
  <c r="BT143" i="3"/>
  <c r="BU143" i="3"/>
  <c r="CF143" i="3" s="1" a="1"/>
  <c r="CF143" i="3" s="1"/>
  <c r="BV143" i="3"/>
  <c r="BW143" i="3" a="1"/>
  <c r="BW143" i="3" s="1"/>
  <c r="BR144" i="3"/>
  <c r="BS144" i="3" a="1"/>
  <c r="BS144" i="3" s="1"/>
  <c r="BT144" i="3"/>
  <c r="BU144" i="3"/>
  <c r="CF144" i="3" s="1" a="1"/>
  <c r="CF144" i="3" s="1"/>
  <c r="BV144" i="3"/>
  <c r="BW144" i="3" a="1"/>
  <c r="BW144" i="3" s="1"/>
  <c r="BR145" i="3"/>
  <c r="BS145" i="3" a="1"/>
  <c r="BS145" i="3" s="1"/>
  <c r="BT145" i="3"/>
  <c r="BU145" i="3"/>
  <c r="CF145" i="3" s="1" a="1"/>
  <c r="CF145" i="3" s="1"/>
  <c r="BV145" i="3"/>
  <c r="BW145" i="3" a="1"/>
  <c r="BW145" i="3" s="1"/>
  <c r="BR146" i="3"/>
  <c r="BS146" i="3" a="1"/>
  <c r="BS146" i="3" s="1"/>
  <c r="BT146" i="3"/>
  <c r="BU146" i="3"/>
  <c r="CF146" i="3" s="1" a="1"/>
  <c r="CF146" i="3" s="1"/>
  <c r="BV146" i="3"/>
  <c r="BW146" i="3" a="1"/>
  <c r="BW146" i="3" s="1"/>
  <c r="BR147" i="3"/>
  <c r="BS147" i="3" a="1"/>
  <c r="BS147" i="3" s="1"/>
  <c r="BT147" i="3"/>
  <c r="BU147" i="3"/>
  <c r="CF147" i="3" s="1" a="1"/>
  <c r="CF147" i="3" s="1"/>
  <c r="BV147" i="3"/>
  <c r="BW147" i="3" a="1"/>
  <c r="BW147" i="3" s="1"/>
  <c r="BR148" i="3"/>
  <c r="BS148" i="3" a="1"/>
  <c r="BS148" i="3" s="1"/>
  <c r="BT148" i="3"/>
  <c r="BU148" i="3"/>
  <c r="CF148" i="3" s="1" a="1"/>
  <c r="CF148" i="3" s="1"/>
  <c r="BV148" i="3"/>
  <c r="BW148" i="3" a="1"/>
  <c r="BW148" i="3" s="1"/>
  <c r="BR149" i="3"/>
  <c r="BS149" i="3" a="1"/>
  <c r="BS149" i="3" s="1"/>
  <c r="BT149" i="3"/>
  <c r="BU149" i="3"/>
  <c r="CF149" i="3" s="1" a="1"/>
  <c r="CF149" i="3" s="1"/>
  <c r="BV149" i="3"/>
  <c r="BW149" i="3" a="1"/>
  <c r="BW149" i="3" s="1"/>
  <c r="BR150" i="3"/>
  <c r="BS150" i="3" a="1"/>
  <c r="BS150" i="3" s="1"/>
  <c r="BT150" i="3"/>
  <c r="BU150" i="3"/>
  <c r="CF150" i="3" s="1" a="1"/>
  <c r="CF150" i="3" s="1"/>
  <c r="BV150" i="3"/>
  <c r="BW150" i="3" a="1"/>
  <c r="BW150" i="3" s="1"/>
  <c r="BR151" i="3"/>
  <c r="BS151" i="3" a="1"/>
  <c r="BS151" i="3" s="1"/>
  <c r="BT151" i="3"/>
  <c r="BU151" i="3"/>
  <c r="CF151" i="3" s="1" a="1"/>
  <c r="CF151" i="3" s="1"/>
  <c r="BV151" i="3"/>
  <c r="BW151" i="3" a="1"/>
  <c r="BW151" i="3" s="1"/>
  <c r="BR152" i="3"/>
  <c r="BS152" i="3" a="1"/>
  <c r="BS152" i="3" s="1"/>
  <c r="BT152" i="3"/>
  <c r="BU152" i="3"/>
  <c r="CF152" i="3" s="1" a="1"/>
  <c r="CF152" i="3" s="1"/>
  <c r="BV152" i="3"/>
  <c r="BW152" i="3" a="1"/>
  <c r="BW152" i="3" s="1"/>
  <c r="BR153" i="3"/>
  <c r="BS153" i="3" a="1"/>
  <c r="BS153" i="3" s="1"/>
  <c r="BT153" i="3"/>
  <c r="BU153" i="3"/>
  <c r="CF153" i="3" s="1" a="1"/>
  <c r="CF153" i="3" s="1"/>
  <c r="BV153" i="3"/>
  <c r="BW153" i="3" a="1"/>
  <c r="BW153" i="3" s="1"/>
  <c r="BR154" i="3"/>
  <c r="BS154" i="3" a="1"/>
  <c r="BS154" i="3" s="1"/>
  <c r="BT154" i="3"/>
  <c r="BU154" i="3"/>
  <c r="CF154" i="3" s="1" a="1"/>
  <c r="CF154" i="3" s="1"/>
  <c r="BV154" i="3"/>
  <c r="BW154" i="3" a="1"/>
  <c r="BW154" i="3" s="1"/>
  <c r="BR155" i="3"/>
  <c r="BS155" i="3" a="1"/>
  <c r="BS155" i="3" s="1"/>
  <c r="BT155" i="3"/>
  <c r="BU155" i="3"/>
  <c r="CF155" i="3" s="1" a="1"/>
  <c r="CF155" i="3" s="1"/>
  <c r="BV155" i="3"/>
  <c r="BW155" i="3" a="1"/>
  <c r="BW155" i="3" s="1"/>
  <c r="BR156" i="3"/>
  <c r="BS156" i="3" a="1"/>
  <c r="BS156" i="3" s="1"/>
  <c r="BT156" i="3"/>
  <c r="BU156" i="3"/>
  <c r="CF156" i="3" s="1" a="1"/>
  <c r="CF156" i="3" s="1"/>
  <c r="BV156" i="3"/>
  <c r="BW156" i="3" a="1"/>
  <c r="BW156" i="3" s="1"/>
  <c r="BR157" i="3"/>
  <c r="BS157" i="3" a="1"/>
  <c r="BS157" i="3" s="1"/>
  <c r="BT157" i="3"/>
  <c r="BU157" i="3"/>
  <c r="CF157" i="3" s="1" a="1"/>
  <c r="CF157" i="3" s="1"/>
  <c r="BV157" i="3"/>
  <c r="BW157" i="3" a="1"/>
  <c r="BW157" i="3" s="1"/>
  <c r="BR158" i="3"/>
  <c r="BS158" i="3" a="1"/>
  <c r="BS158" i="3" s="1"/>
  <c r="BT158" i="3"/>
  <c r="BU158" i="3"/>
  <c r="CF158" i="3" s="1" a="1"/>
  <c r="CF158" i="3" s="1"/>
  <c r="BV158" i="3"/>
  <c r="BW158" i="3" a="1"/>
  <c r="BW158" i="3" s="1"/>
  <c r="BR159" i="3"/>
  <c r="BS159" i="3" a="1"/>
  <c r="BS159" i="3" s="1"/>
  <c r="BT159" i="3"/>
  <c r="BU159" i="3"/>
  <c r="CF159" i="3" s="1" a="1"/>
  <c r="CF159" i="3" s="1"/>
  <c r="BV159" i="3"/>
  <c r="BW159" i="3" a="1"/>
  <c r="BW159" i="3" s="1"/>
  <c r="BR160" i="3"/>
  <c r="BS160" i="3" a="1"/>
  <c r="BS160" i="3" s="1"/>
  <c r="BT160" i="3"/>
  <c r="BU160" i="3"/>
  <c r="CF160" i="3" s="1" a="1"/>
  <c r="CF160" i="3" s="1"/>
  <c r="BV160" i="3"/>
  <c r="BW160" i="3" a="1"/>
  <c r="BW160" i="3" s="1"/>
  <c r="BR161" i="3"/>
  <c r="BS161" i="3" a="1"/>
  <c r="BS161" i="3" s="1"/>
  <c r="BT161" i="3"/>
  <c r="BU161" i="3"/>
  <c r="CF161" i="3" s="1" a="1"/>
  <c r="CF161" i="3" s="1"/>
  <c r="BV161" i="3"/>
  <c r="BW161" i="3" a="1"/>
  <c r="BW161" i="3" s="1"/>
  <c r="BR162" i="3"/>
  <c r="BS162" i="3" a="1"/>
  <c r="BS162" i="3" s="1"/>
  <c r="BT162" i="3"/>
  <c r="BU162" i="3"/>
  <c r="CF162" i="3" s="1" a="1"/>
  <c r="CF162" i="3" s="1"/>
  <c r="BV162" i="3"/>
  <c r="BW162" i="3" a="1"/>
  <c r="BW162" i="3" s="1"/>
  <c r="BR163" i="3"/>
  <c r="BS163" i="3" a="1"/>
  <c r="BS163" i="3" s="1"/>
  <c r="BT163" i="3"/>
  <c r="BU163" i="3"/>
  <c r="CF163" i="3" s="1" a="1"/>
  <c r="CF163" i="3" s="1"/>
  <c r="BV163" i="3"/>
  <c r="BW163" i="3" a="1"/>
  <c r="BW163" i="3" s="1"/>
  <c r="BR164" i="3"/>
  <c r="BS164" i="3" a="1"/>
  <c r="BS164" i="3" s="1"/>
  <c r="BT164" i="3"/>
  <c r="BU164" i="3"/>
  <c r="CF164" i="3" s="1" a="1"/>
  <c r="CF164" i="3" s="1"/>
  <c r="BV164" i="3"/>
  <c r="BW164" i="3" a="1"/>
  <c r="BW164" i="3" s="1"/>
  <c r="BR165" i="3"/>
  <c r="BS165" i="3" a="1"/>
  <c r="BS165" i="3" s="1"/>
  <c r="BT165" i="3"/>
  <c r="BU165" i="3"/>
  <c r="CF165" i="3" s="1" a="1"/>
  <c r="CF165" i="3" s="1"/>
  <c r="BV165" i="3"/>
  <c r="BW165" i="3" a="1"/>
  <c r="BW165" i="3" s="1"/>
  <c r="BR166" i="3"/>
  <c r="BS166" i="3" a="1"/>
  <c r="BS166" i="3" s="1"/>
  <c r="BT166" i="3"/>
  <c r="BU166" i="3"/>
  <c r="CF166" i="3" s="1" a="1"/>
  <c r="CF166" i="3" s="1"/>
  <c r="BV166" i="3"/>
  <c r="BW166" i="3" a="1"/>
  <c r="BW166" i="3" s="1"/>
  <c r="BR167" i="3"/>
  <c r="BS167" i="3" a="1"/>
  <c r="BS167" i="3" s="1"/>
  <c r="BT167" i="3"/>
  <c r="BU167" i="3"/>
  <c r="CF167" i="3" s="1" a="1"/>
  <c r="CF167" i="3" s="1"/>
  <c r="BV167" i="3"/>
  <c r="BW167" i="3" a="1"/>
  <c r="BW167" i="3" s="1"/>
  <c r="BR168" i="3"/>
  <c r="BS168" i="3" a="1"/>
  <c r="BS168" i="3" s="1"/>
  <c r="BT168" i="3"/>
  <c r="BU168" i="3"/>
  <c r="CF168" i="3" s="1" a="1"/>
  <c r="CF168" i="3" s="1"/>
  <c r="BV168" i="3"/>
  <c r="BW168" i="3" a="1"/>
  <c r="BW168" i="3" s="1"/>
  <c r="BR169" i="3"/>
  <c r="BS169" i="3" a="1"/>
  <c r="BS169" i="3" s="1"/>
  <c r="BT169" i="3"/>
  <c r="BU169" i="3"/>
  <c r="CF169" i="3" s="1" a="1"/>
  <c r="CF169" i="3" s="1"/>
  <c r="BV169" i="3"/>
  <c r="BW169" i="3" a="1"/>
  <c r="BW169" i="3" s="1"/>
  <c r="BR170" i="3"/>
  <c r="BS170" i="3" a="1"/>
  <c r="BS170" i="3" s="1"/>
  <c r="BT170" i="3"/>
  <c r="BU170" i="3"/>
  <c r="CF170" i="3" s="1" a="1"/>
  <c r="CF170" i="3" s="1"/>
  <c r="BV170" i="3"/>
  <c r="BW170" i="3" a="1"/>
  <c r="BW170" i="3" s="1"/>
  <c r="BR171" i="3"/>
  <c r="BS171" i="3" a="1"/>
  <c r="BS171" i="3" s="1"/>
  <c r="BT171" i="3"/>
  <c r="BU171" i="3"/>
  <c r="CF171" i="3" s="1" a="1"/>
  <c r="CF171" i="3" s="1"/>
  <c r="BV171" i="3"/>
  <c r="BW171" i="3" a="1"/>
  <c r="BW171" i="3" s="1"/>
  <c r="BR172" i="3"/>
  <c r="BS172" i="3" a="1"/>
  <c r="BS172" i="3" s="1"/>
  <c r="BT172" i="3"/>
  <c r="BU172" i="3"/>
  <c r="CF172" i="3" s="1" a="1"/>
  <c r="CF172" i="3" s="1"/>
  <c r="BV172" i="3"/>
  <c r="BW172" i="3" a="1"/>
  <c r="BW172" i="3" s="1"/>
  <c r="BR173" i="3"/>
  <c r="BS173" i="3" a="1"/>
  <c r="BS173" i="3" s="1"/>
  <c r="BT173" i="3"/>
  <c r="BU173" i="3"/>
  <c r="CF173" i="3" s="1" a="1"/>
  <c r="CF173" i="3" s="1"/>
  <c r="BV173" i="3"/>
  <c r="BW173" i="3" a="1"/>
  <c r="BW173" i="3" s="1"/>
  <c r="BR174" i="3"/>
  <c r="BS174" i="3" a="1"/>
  <c r="BS174" i="3" s="1"/>
  <c r="BT174" i="3"/>
  <c r="BU174" i="3"/>
  <c r="CF174" i="3" s="1" a="1"/>
  <c r="CF174" i="3" s="1"/>
  <c r="BV174" i="3"/>
  <c r="BW174" i="3" a="1"/>
  <c r="BW174" i="3" s="1"/>
  <c r="BR175" i="3"/>
  <c r="BS175" i="3" a="1"/>
  <c r="BS175" i="3" s="1"/>
  <c r="BT175" i="3"/>
  <c r="BU175" i="3"/>
  <c r="CF175" i="3" s="1" a="1"/>
  <c r="CF175" i="3" s="1"/>
  <c r="BV175" i="3"/>
  <c r="BW175" i="3" a="1"/>
  <c r="BW175" i="3" s="1"/>
  <c r="BR176" i="3"/>
  <c r="BS176" i="3" a="1"/>
  <c r="BS176" i="3" s="1"/>
  <c r="BT176" i="3"/>
  <c r="BU176" i="3"/>
  <c r="CF176" i="3" s="1" a="1"/>
  <c r="CF176" i="3" s="1"/>
  <c r="BV176" i="3"/>
  <c r="BW176" i="3" a="1"/>
  <c r="BW176" i="3" s="1"/>
  <c r="BR177" i="3"/>
  <c r="BS177" i="3" a="1"/>
  <c r="BS177" i="3" s="1"/>
  <c r="BT177" i="3"/>
  <c r="BU177" i="3"/>
  <c r="CF177" i="3" s="1" a="1"/>
  <c r="CF177" i="3" s="1"/>
  <c r="BV177" i="3"/>
  <c r="BW177" i="3" a="1"/>
  <c r="BW177" i="3" s="1"/>
  <c r="BR178" i="3"/>
  <c r="BS178" i="3" a="1"/>
  <c r="BS178" i="3" s="1"/>
  <c r="BT178" i="3"/>
  <c r="BU178" i="3"/>
  <c r="CF178" i="3" s="1" a="1"/>
  <c r="CF178" i="3" s="1"/>
  <c r="BV178" i="3"/>
  <c r="BW178" i="3" a="1"/>
  <c r="BW178" i="3" s="1"/>
  <c r="BR179" i="3"/>
  <c r="BS179" i="3" a="1"/>
  <c r="BS179" i="3" s="1"/>
  <c r="BT179" i="3"/>
  <c r="BU179" i="3"/>
  <c r="CF179" i="3" s="1" a="1"/>
  <c r="CF179" i="3" s="1"/>
  <c r="BV179" i="3"/>
  <c r="BW179" i="3" a="1"/>
  <c r="BW179" i="3" s="1"/>
  <c r="BR180" i="3"/>
  <c r="BS180" i="3" a="1"/>
  <c r="BS180" i="3" s="1"/>
  <c r="BT180" i="3"/>
  <c r="BU180" i="3"/>
  <c r="CF180" i="3" s="1" a="1"/>
  <c r="CF180" i="3" s="1"/>
  <c r="BV180" i="3"/>
  <c r="BW180" i="3" a="1"/>
  <c r="BW180" i="3" s="1"/>
  <c r="BR181" i="3"/>
  <c r="BS181" i="3" a="1"/>
  <c r="BS181" i="3" s="1"/>
  <c r="BT181" i="3"/>
  <c r="BU181" i="3"/>
  <c r="CF181" i="3" s="1" a="1"/>
  <c r="CF181" i="3" s="1"/>
  <c r="BV181" i="3"/>
  <c r="BW181" i="3" a="1"/>
  <c r="BW181" i="3" s="1"/>
  <c r="BR182" i="3"/>
  <c r="BS182" i="3" a="1"/>
  <c r="BS182" i="3" s="1"/>
  <c r="BT182" i="3"/>
  <c r="BU182" i="3"/>
  <c r="CF182" i="3" s="1" a="1"/>
  <c r="CF182" i="3" s="1"/>
  <c r="BV182" i="3"/>
  <c r="BW182" i="3" a="1"/>
  <c r="BW182" i="3" s="1"/>
  <c r="BR183" i="3"/>
  <c r="BS183" i="3" a="1"/>
  <c r="BS183" i="3" s="1"/>
  <c r="BT183" i="3"/>
  <c r="BU183" i="3"/>
  <c r="CF183" i="3" s="1" a="1"/>
  <c r="CF183" i="3" s="1"/>
  <c r="BV183" i="3"/>
  <c r="BW183" i="3" a="1"/>
  <c r="BW183" i="3" s="1"/>
  <c r="BR184" i="3"/>
  <c r="BS184" i="3" a="1"/>
  <c r="BS184" i="3" s="1"/>
  <c r="BT184" i="3"/>
  <c r="BU184" i="3"/>
  <c r="CF184" i="3" s="1" a="1"/>
  <c r="CF184" i="3" s="1"/>
  <c r="BV184" i="3"/>
  <c r="BW184" i="3" a="1"/>
  <c r="BW184" i="3" s="1"/>
  <c r="BR185" i="3"/>
  <c r="BS185" i="3" a="1"/>
  <c r="BS185" i="3" s="1"/>
  <c r="BT185" i="3"/>
  <c r="BU185" i="3"/>
  <c r="CF185" i="3" s="1" a="1"/>
  <c r="CF185" i="3" s="1"/>
  <c r="BV185" i="3"/>
  <c r="BW185" i="3" a="1"/>
  <c r="BW185" i="3" s="1"/>
  <c r="BR186" i="3"/>
  <c r="BS186" i="3" a="1"/>
  <c r="BS186" i="3" s="1"/>
  <c r="BT186" i="3"/>
  <c r="BU186" i="3"/>
  <c r="CF186" i="3" s="1" a="1"/>
  <c r="CF186" i="3" s="1"/>
  <c r="BV186" i="3"/>
  <c r="BW186" i="3" a="1"/>
  <c r="BW186" i="3" s="1"/>
  <c r="BR187" i="3"/>
  <c r="BS187" i="3" a="1"/>
  <c r="BS187" i="3" s="1"/>
  <c r="BT187" i="3"/>
  <c r="BU187" i="3"/>
  <c r="CF187" i="3" s="1" a="1"/>
  <c r="CF187" i="3" s="1"/>
  <c r="BV187" i="3"/>
  <c r="BW187" i="3" a="1"/>
  <c r="BW187" i="3" s="1"/>
  <c r="BR188" i="3"/>
  <c r="BS188" i="3" a="1"/>
  <c r="BS188" i="3" s="1"/>
  <c r="BT188" i="3"/>
  <c r="BU188" i="3"/>
  <c r="CF188" i="3" s="1" a="1"/>
  <c r="CF188" i="3" s="1"/>
  <c r="BV188" i="3"/>
  <c r="BW188" i="3" a="1"/>
  <c r="BW188" i="3" s="1"/>
  <c r="BR189" i="3"/>
  <c r="BS189" i="3" a="1"/>
  <c r="BS189" i="3" s="1"/>
  <c r="BT189" i="3"/>
  <c r="BU189" i="3"/>
  <c r="CF189" i="3" s="1" a="1"/>
  <c r="CF189" i="3" s="1"/>
  <c r="BV189" i="3"/>
  <c r="BW189" i="3" a="1"/>
  <c r="BW189" i="3" s="1"/>
  <c r="BR190" i="3"/>
  <c r="BS190" i="3" a="1"/>
  <c r="BS190" i="3" s="1"/>
  <c r="BT190" i="3"/>
  <c r="BU190" i="3"/>
  <c r="CF190" i="3" s="1" a="1"/>
  <c r="CF190" i="3" s="1"/>
  <c r="BV190" i="3"/>
  <c r="BW190" i="3" a="1"/>
  <c r="BW190" i="3" s="1"/>
  <c r="BR191" i="3"/>
  <c r="BS191" i="3" a="1"/>
  <c r="BS191" i="3" s="1"/>
  <c r="BT191" i="3"/>
  <c r="BU191" i="3"/>
  <c r="CF191" i="3" s="1" a="1"/>
  <c r="CF191" i="3" s="1"/>
  <c r="BV191" i="3"/>
  <c r="BW191" i="3" a="1"/>
  <c r="BW191" i="3" s="1"/>
  <c r="BR192" i="3"/>
  <c r="BS192" i="3" a="1"/>
  <c r="BS192" i="3" s="1"/>
  <c r="BT192" i="3"/>
  <c r="BU192" i="3"/>
  <c r="CF192" i="3" s="1" a="1"/>
  <c r="CF192" i="3" s="1"/>
  <c r="BV192" i="3"/>
  <c r="BW192" i="3" a="1"/>
  <c r="BW192" i="3" s="1"/>
  <c r="BR193" i="3"/>
  <c r="BS193" i="3" a="1"/>
  <c r="BS193" i="3" s="1"/>
  <c r="BT193" i="3"/>
  <c r="BU193" i="3"/>
  <c r="CF193" i="3" s="1" a="1"/>
  <c r="CF193" i="3" s="1"/>
  <c r="BV193" i="3"/>
  <c r="BW193" i="3" a="1"/>
  <c r="BW193" i="3" s="1"/>
  <c r="BR194" i="3"/>
  <c r="BS194" i="3" a="1"/>
  <c r="BS194" i="3" s="1"/>
  <c r="BT194" i="3"/>
  <c r="BU194" i="3"/>
  <c r="CF194" i="3" s="1" a="1"/>
  <c r="CF194" i="3" s="1"/>
  <c r="BV194" i="3"/>
  <c r="BW194" i="3" a="1"/>
  <c r="BW194" i="3" s="1"/>
  <c r="BR195" i="3"/>
  <c r="BS195" i="3" a="1"/>
  <c r="BS195" i="3" s="1"/>
  <c r="BT195" i="3"/>
  <c r="BU195" i="3"/>
  <c r="CF195" i="3" s="1" a="1"/>
  <c r="CF195" i="3" s="1"/>
  <c r="BV195" i="3"/>
  <c r="BW195" i="3" a="1"/>
  <c r="BW195" i="3" s="1"/>
  <c r="BR196" i="3"/>
  <c r="BS196" i="3" a="1"/>
  <c r="BS196" i="3" s="1"/>
  <c r="BT196" i="3"/>
  <c r="BU196" i="3"/>
  <c r="CF196" i="3" s="1" a="1"/>
  <c r="CF196" i="3" s="1"/>
  <c r="BV196" i="3"/>
  <c r="BW196" i="3" a="1"/>
  <c r="BW196" i="3" s="1"/>
  <c r="BR197" i="3"/>
  <c r="BS197" i="3" a="1"/>
  <c r="BS197" i="3" s="1"/>
  <c r="BT197" i="3"/>
  <c r="BU197" i="3"/>
  <c r="CF197" i="3" s="1" a="1"/>
  <c r="CF197" i="3" s="1"/>
  <c r="BV197" i="3"/>
  <c r="BW197" i="3" a="1"/>
  <c r="BW197" i="3" s="1"/>
  <c r="BR198" i="3"/>
  <c r="BS198" i="3" a="1"/>
  <c r="BS198" i="3" s="1"/>
  <c r="BT198" i="3"/>
  <c r="BU198" i="3"/>
  <c r="CF198" i="3" s="1" a="1"/>
  <c r="CF198" i="3" s="1"/>
  <c r="BV198" i="3"/>
  <c r="BW198" i="3" a="1"/>
  <c r="BW198" i="3" s="1"/>
  <c r="BR199" i="3"/>
  <c r="BS199" i="3" a="1"/>
  <c r="BS199" i="3" s="1"/>
  <c r="BT199" i="3"/>
  <c r="BU199" i="3"/>
  <c r="CF199" i="3" s="1" a="1"/>
  <c r="CF199" i="3" s="1"/>
  <c r="BV199" i="3"/>
  <c r="BW199" i="3" a="1"/>
  <c r="BW199" i="3" s="1"/>
  <c r="BR200" i="3"/>
  <c r="BS200" i="3" a="1"/>
  <c r="BS200" i="3" s="1"/>
  <c r="BT200" i="3"/>
  <c r="BU200" i="3"/>
  <c r="CF200" i="3" s="1" a="1"/>
  <c r="CF200" i="3" s="1"/>
  <c r="BV200" i="3"/>
  <c r="BW200" i="3" a="1"/>
  <c r="BW200" i="3" s="1"/>
  <c r="BR201" i="3"/>
  <c r="BS201" i="3" a="1"/>
  <c r="BS201" i="3" s="1"/>
  <c r="BT201" i="3"/>
  <c r="BU201" i="3"/>
  <c r="CF201" i="3" s="1" a="1"/>
  <c r="CF201" i="3" s="1"/>
  <c r="BV201" i="3"/>
  <c r="BW201" i="3" a="1"/>
  <c r="BW201" i="3" s="1"/>
  <c r="BR202" i="3"/>
  <c r="BS202" i="3" a="1"/>
  <c r="BS202" i="3" s="1"/>
  <c r="BT202" i="3"/>
  <c r="BU202" i="3"/>
  <c r="CF202" i="3" s="1" a="1"/>
  <c r="CF202" i="3" s="1"/>
  <c r="BV202" i="3"/>
  <c r="BW202" i="3" a="1"/>
  <c r="BW202" i="3" s="1"/>
  <c r="BR203" i="3"/>
  <c r="BS203" i="3" a="1"/>
  <c r="BS203" i="3" s="1"/>
  <c r="BT203" i="3"/>
  <c r="BU203" i="3"/>
  <c r="CF203" i="3" s="1" a="1"/>
  <c r="CF203" i="3" s="1"/>
  <c r="BV203" i="3"/>
  <c r="BW203" i="3" a="1"/>
  <c r="BW203" i="3" s="1"/>
  <c r="BR204" i="3"/>
  <c r="BS204" i="3" a="1"/>
  <c r="BS204" i="3" s="1"/>
  <c r="BT204" i="3"/>
  <c r="BU204" i="3"/>
  <c r="CF204" i="3" s="1" a="1"/>
  <c r="CF204" i="3" s="1"/>
  <c r="BV204" i="3"/>
  <c r="BW204" i="3" a="1"/>
  <c r="BW204" i="3" s="1"/>
  <c r="BR205" i="3"/>
  <c r="BS205" i="3" a="1"/>
  <c r="BS205" i="3" s="1"/>
  <c r="BT205" i="3"/>
  <c r="BU205" i="3"/>
  <c r="CF205" i="3" s="1" a="1"/>
  <c r="CF205" i="3" s="1"/>
  <c r="BV205" i="3"/>
  <c r="BW205" i="3" a="1"/>
  <c r="BW205" i="3" s="1"/>
  <c r="BR206" i="3"/>
  <c r="BS206" i="3" a="1"/>
  <c r="BS206" i="3" s="1"/>
  <c r="BT206" i="3"/>
  <c r="BU206" i="3"/>
  <c r="CF206" i="3" s="1" a="1"/>
  <c r="CF206" i="3" s="1"/>
  <c r="BV206" i="3"/>
  <c r="BW206" i="3" a="1"/>
  <c r="BW206" i="3" s="1"/>
  <c r="BR207" i="3"/>
  <c r="BS207" i="3" a="1"/>
  <c r="BS207" i="3" s="1"/>
  <c r="BT207" i="3"/>
  <c r="BU207" i="3"/>
  <c r="CF207" i="3" s="1" a="1"/>
  <c r="CF207" i="3" s="1"/>
  <c r="BV207" i="3"/>
  <c r="BW207" i="3" a="1"/>
  <c r="BW207" i="3" s="1"/>
  <c r="BR208" i="3"/>
  <c r="BS208" i="3" a="1"/>
  <c r="BS208" i="3" s="1"/>
  <c r="BT208" i="3"/>
  <c r="BU208" i="3"/>
  <c r="CF208" i="3" s="1" a="1"/>
  <c r="CF208" i="3" s="1"/>
  <c r="BV208" i="3"/>
  <c r="BW208" i="3" a="1"/>
  <c r="BW208" i="3" s="1"/>
  <c r="BR209" i="3"/>
  <c r="BS209" i="3" a="1"/>
  <c r="BS209" i="3" s="1"/>
  <c r="BT209" i="3"/>
  <c r="BU209" i="3"/>
  <c r="CF209" i="3" s="1" a="1"/>
  <c r="CF209" i="3" s="1"/>
  <c r="BV209" i="3"/>
  <c r="BW209" i="3" a="1"/>
  <c r="BW209" i="3" s="1"/>
  <c r="BR210" i="3"/>
  <c r="BS210" i="3" a="1"/>
  <c r="BS210" i="3" s="1"/>
  <c r="BT210" i="3"/>
  <c r="BU210" i="3"/>
  <c r="CF210" i="3" s="1" a="1"/>
  <c r="CF210" i="3" s="1"/>
  <c r="BV210" i="3"/>
  <c r="BW210" i="3" a="1"/>
  <c r="BW210" i="3" s="1"/>
  <c r="BR211" i="3"/>
  <c r="BS211" i="3" a="1"/>
  <c r="BS211" i="3" s="1"/>
  <c r="BT211" i="3"/>
  <c r="BU211" i="3"/>
  <c r="CF211" i="3" s="1" a="1"/>
  <c r="CF211" i="3" s="1"/>
  <c r="BV211" i="3"/>
  <c r="BW211" i="3" a="1"/>
  <c r="BW211" i="3" s="1"/>
  <c r="BR212" i="3"/>
  <c r="BS212" i="3" a="1"/>
  <c r="BS212" i="3" s="1"/>
  <c r="BT212" i="3"/>
  <c r="BU212" i="3"/>
  <c r="CF212" i="3" s="1" a="1"/>
  <c r="CF212" i="3" s="1"/>
  <c r="BV212" i="3"/>
  <c r="BW212" i="3" a="1"/>
  <c r="BW212" i="3" s="1"/>
  <c r="BR213" i="3"/>
  <c r="BS213" i="3" a="1"/>
  <c r="BS213" i="3" s="1"/>
  <c r="BT213" i="3"/>
  <c r="BU213" i="3"/>
  <c r="CF213" i="3" s="1" a="1"/>
  <c r="CF213" i="3" s="1"/>
  <c r="BV213" i="3"/>
  <c r="BW213" i="3" a="1"/>
  <c r="BW213" i="3" s="1"/>
  <c r="BR214" i="3"/>
  <c r="BS214" i="3" a="1"/>
  <c r="BS214" i="3" s="1"/>
  <c r="BT214" i="3"/>
  <c r="BU214" i="3"/>
  <c r="CF214" i="3" s="1" a="1"/>
  <c r="CF214" i="3" s="1"/>
  <c r="BV214" i="3"/>
  <c r="BW214" i="3" a="1"/>
  <c r="BW214" i="3" s="1"/>
  <c r="BR215" i="3"/>
  <c r="BS215" i="3" a="1"/>
  <c r="BS215" i="3" s="1"/>
  <c r="BT215" i="3"/>
  <c r="BU215" i="3"/>
  <c r="CF215" i="3" s="1" a="1"/>
  <c r="CF215" i="3" s="1"/>
  <c r="BV215" i="3"/>
  <c r="BW215" i="3" a="1"/>
  <c r="BW215" i="3" s="1"/>
  <c r="BR216" i="3"/>
  <c r="BS216" i="3" a="1"/>
  <c r="BS216" i="3" s="1"/>
  <c r="BT216" i="3"/>
  <c r="BU216" i="3"/>
  <c r="CF216" i="3" s="1" a="1"/>
  <c r="CF216" i="3" s="1"/>
  <c r="BV216" i="3"/>
  <c r="BW216" i="3" a="1"/>
  <c r="BW216" i="3" s="1"/>
  <c r="BR217" i="3"/>
  <c r="BS217" i="3" a="1"/>
  <c r="BS217" i="3" s="1"/>
  <c r="BT217" i="3"/>
  <c r="BU217" i="3"/>
  <c r="CF217" i="3" s="1" a="1"/>
  <c r="CF217" i="3" s="1"/>
  <c r="BV217" i="3"/>
  <c r="BW217" i="3" a="1"/>
  <c r="BW217" i="3" s="1"/>
  <c r="BR218" i="3"/>
  <c r="BS218" i="3" a="1"/>
  <c r="BS218" i="3" s="1"/>
  <c r="BT218" i="3"/>
  <c r="BU218" i="3"/>
  <c r="CF218" i="3" s="1" a="1"/>
  <c r="CF218" i="3" s="1"/>
  <c r="BV218" i="3"/>
  <c r="BW218" i="3" a="1"/>
  <c r="BW218" i="3" s="1"/>
  <c r="BR219" i="3"/>
  <c r="BS219" i="3" a="1"/>
  <c r="BS219" i="3" s="1"/>
  <c r="BT219" i="3"/>
  <c r="BU219" i="3"/>
  <c r="CF219" i="3" s="1" a="1"/>
  <c r="CF219" i="3" s="1"/>
  <c r="BV219" i="3"/>
  <c r="BW219" i="3" a="1"/>
  <c r="BW219" i="3" s="1"/>
  <c r="BR220" i="3"/>
  <c r="BS220" i="3" a="1"/>
  <c r="BS220" i="3" s="1"/>
  <c r="BT220" i="3"/>
  <c r="BU220" i="3"/>
  <c r="CF220" i="3" s="1" a="1"/>
  <c r="CF220" i="3" s="1"/>
  <c r="BV220" i="3"/>
  <c r="BW220" i="3" a="1"/>
  <c r="BW220" i="3" s="1"/>
  <c r="BR221" i="3"/>
  <c r="BS221" i="3" a="1"/>
  <c r="BS221" i="3" s="1"/>
  <c r="BT221" i="3"/>
  <c r="BU221" i="3"/>
  <c r="CF221" i="3" s="1" a="1"/>
  <c r="CF221" i="3" s="1"/>
  <c r="BV221" i="3"/>
  <c r="BW221" i="3" a="1"/>
  <c r="BW221" i="3" s="1"/>
  <c r="BR222" i="3"/>
  <c r="BS222" i="3" a="1"/>
  <c r="BS222" i="3" s="1"/>
  <c r="BT222" i="3"/>
  <c r="BU222" i="3"/>
  <c r="CF222" i="3" s="1" a="1"/>
  <c r="CF222" i="3" s="1"/>
  <c r="BV222" i="3"/>
  <c r="BW222" i="3" a="1"/>
  <c r="BW222" i="3" s="1"/>
  <c r="BR223" i="3"/>
  <c r="BS223" i="3" a="1"/>
  <c r="BS223" i="3" s="1"/>
  <c r="BT223" i="3"/>
  <c r="BU223" i="3"/>
  <c r="CF223" i="3" s="1" a="1"/>
  <c r="CF223" i="3" s="1"/>
  <c r="BV223" i="3"/>
  <c r="BW223" i="3" a="1"/>
  <c r="BW223" i="3" s="1"/>
  <c r="BR224" i="3"/>
  <c r="BS224" i="3" a="1"/>
  <c r="BS224" i="3" s="1"/>
  <c r="BT224" i="3"/>
  <c r="BU224" i="3"/>
  <c r="CF224" i="3" s="1" a="1"/>
  <c r="CF224" i="3" s="1"/>
  <c r="BV224" i="3"/>
  <c r="BW224" i="3" a="1"/>
  <c r="BW224" i="3" s="1"/>
  <c r="BR225" i="3"/>
  <c r="BS225" i="3" a="1"/>
  <c r="BS225" i="3" s="1"/>
  <c r="BT225" i="3"/>
  <c r="BU225" i="3"/>
  <c r="CF225" i="3" s="1" a="1"/>
  <c r="CF225" i="3" s="1"/>
  <c r="BV225" i="3"/>
  <c r="BW225" i="3" a="1"/>
  <c r="BW225" i="3" s="1"/>
  <c r="BR226" i="3"/>
  <c r="BS226" i="3" a="1"/>
  <c r="BS226" i="3" s="1"/>
  <c r="BT226" i="3"/>
  <c r="BU226" i="3"/>
  <c r="CF226" i="3" s="1" a="1"/>
  <c r="CF226" i="3" s="1"/>
  <c r="BV226" i="3"/>
  <c r="BW226" i="3" a="1"/>
  <c r="BW226" i="3" s="1"/>
  <c r="BR227" i="3"/>
  <c r="BS227" i="3" a="1"/>
  <c r="BS227" i="3" s="1"/>
  <c r="BT227" i="3"/>
  <c r="BU227" i="3"/>
  <c r="CF227" i="3" s="1" a="1"/>
  <c r="CF227" i="3" s="1"/>
  <c r="BV227" i="3"/>
  <c r="BW227" i="3" a="1"/>
  <c r="BW227" i="3" s="1"/>
  <c r="BR228" i="3"/>
  <c r="BS228" i="3" a="1"/>
  <c r="BS228" i="3" s="1"/>
  <c r="BT228" i="3"/>
  <c r="BU228" i="3"/>
  <c r="CF228" i="3" s="1" a="1"/>
  <c r="CF228" i="3" s="1"/>
  <c r="BV228" i="3"/>
  <c r="BW228" i="3" a="1"/>
  <c r="BW228" i="3" s="1"/>
  <c r="BR229" i="3"/>
  <c r="BS229" i="3" a="1"/>
  <c r="BS229" i="3" s="1"/>
  <c r="BT229" i="3"/>
  <c r="BU229" i="3"/>
  <c r="CF229" i="3" s="1" a="1"/>
  <c r="CF229" i="3" s="1"/>
  <c r="BV229" i="3"/>
  <c r="BW229" i="3" a="1"/>
  <c r="BW229" i="3" s="1"/>
  <c r="BR230" i="3"/>
  <c r="BS230" i="3" a="1"/>
  <c r="BS230" i="3" s="1"/>
  <c r="BT230" i="3"/>
  <c r="BU230" i="3"/>
  <c r="CF230" i="3" s="1" a="1"/>
  <c r="CF230" i="3" s="1"/>
  <c r="BV230" i="3"/>
  <c r="BW230" i="3" a="1"/>
  <c r="BW230" i="3" s="1"/>
  <c r="BR231" i="3"/>
  <c r="BS231" i="3" a="1"/>
  <c r="BS231" i="3" s="1"/>
  <c r="BT231" i="3"/>
  <c r="BU231" i="3"/>
  <c r="CF231" i="3" s="1" a="1"/>
  <c r="CF231" i="3" s="1"/>
  <c r="BV231" i="3"/>
  <c r="BW231" i="3" a="1"/>
  <c r="BW231" i="3" s="1"/>
  <c r="BR232" i="3"/>
  <c r="BS232" i="3" a="1"/>
  <c r="BS232" i="3" s="1"/>
  <c r="BT232" i="3"/>
  <c r="BU232" i="3"/>
  <c r="CF232" i="3" s="1" a="1"/>
  <c r="CF232" i="3" s="1"/>
  <c r="BV232" i="3"/>
  <c r="BW232" i="3" a="1"/>
  <c r="BW232" i="3" s="1"/>
  <c r="BR233" i="3"/>
  <c r="BS233" i="3" a="1"/>
  <c r="BS233" i="3" s="1"/>
  <c r="BT233" i="3"/>
  <c r="BU233" i="3"/>
  <c r="CF233" i="3" s="1" a="1"/>
  <c r="CF233" i="3" s="1"/>
  <c r="BV233" i="3"/>
  <c r="BW233" i="3" a="1"/>
  <c r="BW233" i="3" s="1"/>
  <c r="BR234" i="3"/>
  <c r="BS234" i="3" a="1"/>
  <c r="BS234" i="3" s="1"/>
  <c r="BT234" i="3"/>
  <c r="BU234" i="3"/>
  <c r="CF234" i="3" s="1" a="1"/>
  <c r="CF234" i="3" s="1"/>
  <c r="BV234" i="3"/>
  <c r="BW234" i="3" a="1"/>
  <c r="BW234" i="3" s="1"/>
  <c r="BR235" i="3"/>
  <c r="BS235" i="3" a="1"/>
  <c r="BS235" i="3" s="1"/>
  <c r="BT235" i="3"/>
  <c r="BU235" i="3"/>
  <c r="CF235" i="3" s="1" a="1"/>
  <c r="CF235" i="3" s="1"/>
  <c r="BV235" i="3"/>
  <c r="BW235" i="3" a="1"/>
  <c r="BW235" i="3" s="1"/>
  <c r="BR236" i="3"/>
  <c r="BS236" i="3" a="1"/>
  <c r="BS236" i="3" s="1"/>
  <c r="BT236" i="3"/>
  <c r="BU236" i="3"/>
  <c r="CF236" i="3" s="1" a="1"/>
  <c r="CF236" i="3" s="1"/>
  <c r="BV236" i="3"/>
  <c r="BW236" i="3" a="1"/>
  <c r="BW236" i="3" s="1"/>
  <c r="BR237" i="3"/>
  <c r="BS237" i="3" a="1"/>
  <c r="BS237" i="3" s="1"/>
  <c r="BT237" i="3"/>
  <c r="BU237" i="3"/>
  <c r="CF237" i="3" s="1" a="1"/>
  <c r="CF237" i="3" s="1"/>
  <c r="BV237" i="3"/>
  <c r="BW237" i="3" a="1"/>
  <c r="BW237" i="3" s="1"/>
  <c r="BR238" i="3"/>
  <c r="BS238" i="3" a="1"/>
  <c r="BS238" i="3" s="1"/>
  <c r="BT238" i="3"/>
  <c r="BU238" i="3"/>
  <c r="CF238" i="3" s="1" a="1"/>
  <c r="CF238" i="3" s="1"/>
  <c r="BV238" i="3"/>
  <c r="BW238" i="3" a="1"/>
  <c r="BW238" i="3" s="1"/>
  <c r="BR239" i="3"/>
  <c r="BS239" i="3" a="1"/>
  <c r="BS239" i="3" s="1"/>
  <c r="BT239" i="3"/>
  <c r="BU239" i="3"/>
  <c r="CF239" i="3" s="1" a="1"/>
  <c r="CF239" i="3" s="1"/>
  <c r="BV239" i="3"/>
  <c r="BW239" i="3" a="1"/>
  <c r="BW239" i="3" s="1"/>
  <c r="BR240" i="3"/>
  <c r="BS240" i="3" a="1"/>
  <c r="BS240" i="3" s="1"/>
  <c r="BT240" i="3"/>
  <c r="BU240" i="3"/>
  <c r="CF240" i="3" s="1" a="1"/>
  <c r="CF240" i="3" s="1"/>
  <c r="BV240" i="3"/>
  <c r="BW240" i="3" a="1"/>
  <c r="BW240" i="3" s="1"/>
  <c r="BR241" i="3"/>
  <c r="BS241" i="3" a="1"/>
  <c r="BS241" i="3" s="1"/>
  <c r="BT241" i="3"/>
  <c r="BU241" i="3"/>
  <c r="CF241" i="3" s="1" a="1"/>
  <c r="CF241" i="3" s="1"/>
  <c r="BV241" i="3"/>
  <c r="BW241" i="3" a="1"/>
  <c r="BW241" i="3" s="1"/>
  <c r="BR242" i="3"/>
  <c r="BS242" i="3" a="1"/>
  <c r="BS242" i="3" s="1"/>
  <c r="BT242" i="3"/>
  <c r="BU242" i="3"/>
  <c r="CF242" i="3" s="1" a="1"/>
  <c r="CF242" i="3" s="1"/>
  <c r="BV242" i="3"/>
  <c r="BW242" i="3" a="1"/>
  <c r="BW242" i="3" s="1"/>
  <c r="BR243" i="3"/>
  <c r="BS243" i="3" a="1"/>
  <c r="BS243" i="3" s="1"/>
  <c r="BT243" i="3"/>
  <c r="BU243" i="3"/>
  <c r="CF243" i="3" s="1" a="1"/>
  <c r="CF243" i="3" s="1"/>
  <c r="BV243" i="3"/>
  <c r="BW243" i="3" a="1"/>
  <c r="BW243" i="3" s="1"/>
  <c r="BR244" i="3"/>
  <c r="BS244" i="3" a="1"/>
  <c r="BS244" i="3" s="1"/>
  <c r="BT244" i="3"/>
  <c r="BU244" i="3"/>
  <c r="CF244" i="3" s="1" a="1"/>
  <c r="CF244" i="3" s="1"/>
  <c r="BV244" i="3"/>
  <c r="BW244" i="3" a="1"/>
  <c r="BW244" i="3" s="1"/>
  <c r="BR245" i="3"/>
  <c r="BS245" i="3" a="1"/>
  <c r="BS245" i="3" s="1"/>
  <c r="BT245" i="3"/>
  <c r="BU245" i="3"/>
  <c r="CF245" i="3" s="1" a="1"/>
  <c r="CF245" i="3" s="1"/>
  <c r="BV245" i="3"/>
  <c r="BW245" i="3" a="1"/>
  <c r="BW245" i="3" s="1"/>
  <c r="BR246" i="3"/>
  <c r="BS246" i="3" a="1"/>
  <c r="BS246" i="3" s="1"/>
  <c r="BT246" i="3"/>
  <c r="BU246" i="3"/>
  <c r="CF246" i="3" s="1" a="1"/>
  <c r="CF246" i="3" s="1"/>
  <c r="BV246" i="3"/>
  <c r="BW246" i="3" a="1"/>
  <c r="BW246" i="3" s="1"/>
  <c r="BR247" i="3"/>
  <c r="BS247" i="3" a="1"/>
  <c r="BS247" i="3" s="1"/>
  <c r="BT247" i="3"/>
  <c r="BU247" i="3"/>
  <c r="CF247" i="3" s="1" a="1"/>
  <c r="CF247" i="3" s="1"/>
  <c r="BV247" i="3"/>
  <c r="BW247" i="3" a="1"/>
  <c r="BW247" i="3" s="1"/>
  <c r="BR248" i="3"/>
  <c r="BS248" i="3" a="1"/>
  <c r="BS248" i="3" s="1"/>
  <c r="BT248" i="3"/>
  <c r="BU248" i="3"/>
  <c r="CF248" i="3" s="1" a="1"/>
  <c r="CF248" i="3" s="1"/>
  <c r="BV248" i="3"/>
  <c r="BW248" i="3" a="1"/>
  <c r="BW248" i="3" s="1"/>
  <c r="BR249" i="3"/>
  <c r="BS249" i="3" a="1"/>
  <c r="BS249" i="3" s="1"/>
  <c r="BT249" i="3"/>
  <c r="BU249" i="3"/>
  <c r="CF249" i="3" s="1" a="1"/>
  <c r="CF249" i="3" s="1"/>
  <c r="BV249" i="3"/>
  <c r="BW249" i="3" a="1"/>
  <c r="BW249" i="3" s="1"/>
  <c r="BR250" i="3"/>
  <c r="BS250" i="3" a="1"/>
  <c r="BS250" i="3" s="1"/>
  <c r="BT250" i="3"/>
  <c r="BU250" i="3"/>
  <c r="CF250" i="3" s="1" a="1"/>
  <c r="CF250" i="3" s="1"/>
  <c r="BV250" i="3"/>
  <c r="BW250" i="3" a="1"/>
  <c r="BW250" i="3" s="1"/>
  <c r="BR251" i="3"/>
  <c r="BS251" i="3" a="1"/>
  <c r="BS251" i="3" s="1"/>
  <c r="BT251" i="3"/>
  <c r="BU251" i="3"/>
  <c r="CF251" i="3" s="1" a="1"/>
  <c r="CF251" i="3" s="1"/>
  <c r="BV251" i="3"/>
  <c r="BW251" i="3" a="1"/>
  <c r="BW251" i="3" s="1"/>
  <c r="BR252" i="3"/>
  <c r="BS252" i="3" a="1"/>
  <c r="BS252" i="3" s="1"/>
  <c r="BT252" i="3"/>
  <c r="BU252" i="3"/>
  <c r="CF252" i="3" s="1" a="1"/>
  <c r="CF252" i="3" s="1"/>
  <c r="BV252" i="3"/>
  <c r="BW252" i="3" a="1"/>
  <c r="BW252" i="3" s="1"/>
  <c r="BR253" i="3"/>
  <c r="BS253" i="3" a="1"/>
  <c r="BS253" i="3" s="1"/>
  <c r="BT253" i="3"/>
  <c r="BU253" i="3"/>
  <c r="CF253" i="3" s="1" a="1"/>
  <c r="CF253" i="3" s="1"/>
  <c r="BV253" i="3"/>
  <c r="BW253" i="3" a="1"/>
  <c r="BW253" i="3" s="1"/>
  <c r="BR254" i="3"/>
  <c r="BS254" i="3" a="1"/>
  <c r="BS254" i="3" s="1"/>
  <c r="BT254" i="3"/>
  <c r="BU254" i="3"/>
  <c r="CF254" i="3" s="1" a="1"/>
  <c r="CF254" i="3" s="1"/>
  <c r="BV254" i="3"/>
  <c r="BW254" i="3" a="1"/>
  <c r="BW254" i="3" s="1"/>
  <c r="BR255" i="3"/>
  <c r="BS255" i="3" a="1"/>
  <c r="BS255" i="3" s="1"/>
  <c r="BT255" i="3"/>
  <c r="BU255" i="3"/>
  <c r="CF255" i="3" s="1" a="1"/>
  <c r="CF255" i="3" s="1"/>
  <c r="BV255" i="3"/>
  <c r="BW255" i="3" a="1"/>
  <c r="BW255" i="3" s="1"/>
  <c r="BR256" i="3"/>
  <c r="BS256" i="3" a="1"/>
  <c r="BS256" i="3" s="1"/>
  <c r="BT256" i="3"/>
  <c r="BU256" i="3"/>
  <c r="CF256" i="3" s="1" a="1"/>
  <c r="CF256" i="3" s="1"/>
  <c r="BV256" i="3"/>
  <c r="BW256" i="3" a="1"/>
  <c r="BW256" i="3" s="1"/>
  <c r="BR257" i="3"/>
  <c r="BS257" i="3" a="1"/>
  <c r="BS257" i="3" s="1"/>
  <c r="BT257" i="3"/>
  <c r="BU257" i="3"/>
  <c r="CF257" i="3" s="1" a="1"/>
  <c r="CF257" i="3" s="1"/>
  <c r="BV257" i="3"/>
  <c r="BW257" i="3" a="1"/>
  <c r="BW257" i="3" s="1"/>
  <c r="BR258" i="3"/>
  <c r="BS258" i="3" a="1"/>
  <c r="BS258" i="3" s="1"/>
  <c r="BT258" i="3"/>
  <c r="BU258" i="3"/>
  <c r="CF258" i="3" s="1" a="1"/>
  <c r="CF258" i="3" s="1"/>
  <c r="BV258" i="3"/>
  <c r="BW258" i="3" a="1"/>
  <c r="BW258" i="3" s="1"/>
  <c r="BR259" i="3"/>
  <c r="BS259" i="3" a="1"/>
  <c r="BS259" i="3" s="1"/>
  <c r="BT259" i="3"/>
  <c r="BU259" i="3"/>
  <c r="CF259" i="3" s="1" a="1"/>
  <c r="CF259" i="3" s="1"/>
  <c r="BV259" i="3"/>
  <c r="BW259" i="3" a="1"/>
  <c r="BW259" i="3" s="1"/>
  <c r="BM260" i="3"/>
  <c r="BN260" i="3"/>
  <c r="BR260" i="3"/>
  <c r="BS260" i="3" a="1"/>
  <c r="BS260" i="3" s="1"/>
  <c r="BT260" i="3"/>
  <c r="BU260" i="3"/>
  <c r="CF260" i="3" s="1" a="1"/>
  <c r="CF260" i="3" s="1"/>
  <c r="BV260" i="3"/>
  <c r="BW260" i="3" a="1"/>
  <c r="BW260" i="3" s="1"/>
  <c r="BW261" i="3" l="1"/>
  <c r="Y12" i="3" l="1" a="1"/>
  <c r="Y12" i="3" s="1"/>
  <c r="Y14" i="3" a="1"/>
  <c r="Y14" i="3" s="1"/>
  <c r="Y15" i="3" a="1"/>
  <c r="Y15" i="3" s="1"/>
  <c r="AA15" i="3" s="1"/>
  <c r="Y16" i="3" a="1"/>
  <c r="Y16" i="3" s="1"/>
  <c r="Y17" i="3" a="1"/>
  <c r="Y17" i="3" s="1"/>
  <c r="Y18" i="3" a="1"/>
  <c r="Y18" i="3" s="1"/>
  <c r="Y19" i="3" a="1"/>
  <c r="Y19" i="3" s="1"/>
  <c r="Y20" i="3" a="1"/>
  <c r="Y20" i="3" s="1"/>
  <c r="Y21" i="3" a="1"/>
  <c r="Y21" i="3" s="1"/>
  <c r="Y22" i="3" a="1"/>
  <c r="Y22" i="3" s="1"/>
  <c r="Y23" i="3" a="1"/>
  <c r="Y23" i="3" s="1"/>
  <c r="Y24" i="3" a="1"/>
  <c r="Y24" i="3" s="1"/>
  <c r="Y25" i="3" a="1"/>
  <c r="Y25" i="3" s="1"/>
  <c r="Y26" i="3" a="1"/>
  <c r="Y26" i="3" s="1"/>
  <c r="Y27" i="3" a="1"/>
  <c r="Y27" i="3" s="1"/>
  <c r="Y28" i="3" a="1"/>
  <c r="Y28" i="3" s="1"/>
  <c r="Y29" i="3" a="1"/>
  <c r="Y29" i="3" s="1"/>
  <c r="Y30" i="3" a="1"/>
  <c r="Y30" i="3" s="1"/>
  <c r="Y31" i="3" a="1"/>
  <c r="Y31" i="3" s="1"/>
  <c r="Y32" i="3" a="1"/>
  <c r="Y32" i="3" s="1"/>
  <c r="Y33" i="3" a="1"/>
  <c r="Y33" i="3" s="1"/>
  <c r="Y34" i="3" a="1"/>
  <c r="Y34" i="3" s="1"/>
  <c r="Y35" i="3" a="1"/>
  <c r="Y35" i="3" s="1"/>
  <c r="Y36" i="3" a="1"/>
  <c r="Y36" i="3" s="1"/>
  <c r="Y37" i="3" a="1"/>
  <c r="Y37" i="3" s="1"/>
  <c r="Y38" i="3" a="1"/>
  <c r="Y38" i="3" s="1"/>
  <c r="Y39" i="3" a="1"/>
  <c r="Y39" i="3" s="1"/>
  <c r="Y40" i="3" a="1"/>
  <c r="Y40" i="3" s="1"/>
  <c r="Y41" i="3" a="1"/>
  <c r="Y41" i="3" s="1"/>
  <c r="Y42" i="3" a="1"/>
  <c r="Y42" i="3" s="1"/>
  <c r="Y43" i="3" a="1"/>
  <c r="Y43" i="3" s="1"/>
  <c r="Y44" i="3" a="1"/>
  <c r="Y44" i="3" s="1"/>
  <c r="Y45" i="3" a="1"/>
  <c r="Y45" i="3" s="1"/>
  <c r="Y46" i="3" a="1"/>
  <c r="Y46" i="3" s="1"/>
  <c r="Y47" i="3" a="1"/>
  <c r="Y47" i="3" s="1"/>
  <c r="Y48" i="3" a="1"/>
  <c r="Y48" i="3" s="1"/>
  <c r="Y49" i="3" a="1"/>
  <c r="Y49" i="3" s="1"/>
  <c r="Y50" i="3" a="1"/>
  <c r="Y50" i="3" s="1"/>
  <c r="Y51" i="3" a="1"/>
  <c r="Y51" i="3" s="1"/>
  <c r="Y52" i="3" a="1"/>
  <c r="Y52" i="3" s="1"/>
  <c r="Y53" i="3" a="1"/>
  <c r="Y53" i="3" s="1"/>
  <c r="Y54" i="3" a="1"/>
  <c r="Y54" i="3" s="1"/>
  <c r="Y55" i="3" a="1"/>
  <c r="Y55" i="3" s="1"/>
  <c r="Y56" i="3" a="1"/>
  <c r="Y56" i="3" s="1"/>
  <c r="Y57" i="3" a="1"/>
  <c r="Y57" i="3" s="1"/>
  <c r="Y58" i="3" a="1"/>
  <c r="Y58" i="3" s="1"/>
  <c r="Y59" i="3" a="1"/>
  <c r="Y59" i="3" s="1"/>
  <c r="Y60" i="3" a="1"/>
  <c r="Y60" i="3" s="1"/>
  <c r="Y61" i="3" a="1"/>
  <c r="Y61" i="3" s="1"/>
  <c r="Y62" i="3" a="1"/>
  <c r="Y62" i="3" s="1"/>
  <c r="Y63" i="3" a="1"/>
  <c r="Y63" i="3" s="1"/>
  <c r="Y64" i="3" a="1"/>
  <c r="Y64" i="3" s="1"/>
  <c r="Y65" i="3" a="1"/>
  <c r="Y65" i="3" s="1"/>
  <c r="Y66" i="3" a="1"/>
  <c r="Y66" i="3" s="1"/>
  <c r="Y67" i="3" a="1"/>
  <c r="Y67" i="3" s="1"/>
  <c r="Y68" i="3" a="1"/>
  <c r="Y68" i="3" s="1"/>
  <c r="Y69" i="3" a="1"/>
  <c r="Y69" i="3" s="1"/>
  <c r="Y70" i="3" a="1"/>
  <c r="Y70" i="3" s="1"/>
  <c r="Y71" i="3" a="1"/>
  <c r="Y71" i="3" s="1"/>
  <c r="Y72" i="3" a="1"/>
  <c r="Y72" i="3" s="1"/>
  <c r="Y73" i="3" a="1"/>
  <c r="Y73" i="3" s="1"/>
  <c r="Y74" i="3" a="1"/>
  <c r="Y74" i="3" s="1"/>
  <c r="Y75" i="3" a="1"/>
  <c r="Y75" i="3" s="1"/>
  <c r="Y76" i="3" a="1"/>
  <c r="Y76" i="3" s="1"/>
  <c r="Y77" i="3" a="1"/>
  <c r="Y77" i="3" s="1"/>
  <c r="Y78" i="3" a="1"/>
  <c r="Y78" i="3" s="1"/>
  <c r="Y79" i="3" a="1"/>
  <c r="Y79" i="3" s="1"/>
  <c r="Y80" i="3" a="1"/>
  <c r="Y80" i="3" s="1"/>
  <c r="Y81" i="3" a="1"/>
  <c r="Y81" i="3" s="1"/>
  <c r="Y82" i="3" a="1"/>
  <c r="Y82" i="3" s="1"/>
  <c r="Y83" i="3" a="1"/>
  <c r="Y83" i="3" s="1"/>
  <c r="Y84" i="3" a="1"/>
  <c r="Y84" i="3" s="1"/>
  <c r="Y85" i="3" a="1"/>
  <c r="Y85" i="3" s="1"/>
  <c r="Y86" i="3" a="1"/>
  <c r="Y86" i="3" s="1"/>
  <c r="Y87" i="3" a="1"/>
  <c r="Y87" i="3" s="1"/>
  <c r="Y88" i="3" a="1"/>
  <c r="Y88" i="3" s="1"/>
  <c r="Y89" i="3" a="1"/>
  <c r="Y89" i="3" s="1"/>
  <c r="Y90" i="3" a="1"/>
  <c r="Y90" i="3" s="1"/>
  <c r="Y91" i="3" a="1"/>
  <c r="Y91" i="3" s="1"/>
  <c r="Y92" i="3" a="1"/>
  <c r="Y92" i="3" s="1"/>
  <c r="Y93" i="3" a="1"/>
  <c r="Y93" i="3" s="1"/>
  <c r="Y94" i="3" a="1"/>
  <c r="Y94" i="3" s="1"/>
  <c r="Y95" i="3" a="1"/>
  <c r="Y95" i="3" s="1"/>
  <c r="Y96" i="3" a="1"/>
  <c r="Y96" i="3" s="1"/>
  <c r="Y97" i="3" a="1"/>
  <c r="Y97" i="3" s="1"/>
  <c r="Y98" i="3" a="1"/>
  <c r="Y98" i="3" s="1"/>
  <c r="Y99" i="3" a="1"/>
  <c r="Y99" i="3" s="1"/>
  <c r="Y100" i="3" a="1"/>
  <c r="Y100" i="3" s="1"/>
  <c r="Y101" i="3" a="1"/>
  <c r="Y101" i="3" s="1"/>
  <c r="Y102" i="3" a="1"/>
  <c r="Y102" i="3" s="1"/>
  <c r="Y103" i="3" a="1"/>
  <c r="Y103" i="3" s="1"/>
  <c r="Y104" i="3" a="1"/>
  <c r="Y104" i="3" s="1"/>
  <c r="Y105" i="3" a="1"/>
  <c r="Y105" i="3" s="1"/>
  <c r="Y106" i="3" a="1"/>
  <c r="Y106" i="3" s="1"/>
  <c r="Y107" i="3" a="1"/>
  <c r="Y107" i="3" s="1"/>
  <c r="Y108" i="3" a="1"/>
  <c r="Y108" i="3" s="1"/>
  <c r="Y109" i="3" a="1"/>
  <c r="Y109" i="3" s="1"/>
  <c r="Y110" i="3" a="1"/>
  <c r="Y110" i="3" s="1"/>
  <c r="Y111" i="3" a="1"/>
  <c r="Y111" i="3" s="1"/>
  <c r="Y112" i="3" a="1"/>
  <c r="Y112" i="3" s="1"/>
  <c r="Y113" i="3" a="1"/>
  <c r="Y113" i="3" s="1"/>
  <c r="Y114" i="3" a="1"/>
  <c r="Y114" i="3" s="1"/>
  <c r="Y115" i="3" a="1"/>
  <c r="Y115" i="3" s="1"/>
  <c r="Y116" i="3" a="1"/>
  <c r="Y116" i="3" s="1"/>
  <c r="Y117" i="3" a="1"/>
  <c r="Y117" i="3" s="1"/>
  <c r="Y118" i="3" a="1"/>
  <c r="Y118" i="3" s="1"/>
  <c r="Y119" i="3" a="1"/>
  <c r="Y119" i="3" s="1"/>
  <c r="Y120" i="3" a="1"/>
  <c r="Y120" i="3" s="1"/>
  <c r="Y121" i="3" a="1"/>
  <c r="Y121" i="3" s="1"/>
  <c r="Y122" i="3" a="1"/>
  <c r="Y122" i="3" s="1"/>
  <c r="Y123" i="3" a="1"/>
  <c r="Y123" i="3" s="1"/>
  <c r="Y124" i="3" a="1"/>
  <c r="Y124" i="3" s="1"/>
  <c r="Y125" i="3" a="1"/>
  <c r="Y125" i="3" s="1"/>
  <c r="Y126" i="3" a="1"/>
  <c r="Y126" i="3" s="1"/>
  <c r="Y127" i="3" a="1"/>
  <c r="Y127" i="3" s="1"/>
  <c r="Y128" i="3" a="1"/>
  <c r="Y128" i="3" s="1"/>
  <c r="Y129" i="3" a="1"/>
  <c r="Y129" i="3" s="1"/>
  <c r="Y130" i="3" a="1"/>
  <c r="Y130" i="3" s="1"/>
  <c r="Y131" i="3" a="1"/>
  <c r="Y131" i="3" s="1"/>
  <c r="Y132" i="3" a="1"/>
  <c r="Y132" i="3" s="1"/>
  <c r="Y133" i="3" a="1"/>
  <c r="Y133" i="3" s="1"/>
  <c r="Y134" i="3" a="1"/>
  <c r="Y134" i="3" s="1"/>
  <c r="Y135" i="3" a="1"/>
  <c r="Y135" i="3" s="1"/>
  <c r="Y136" i="3" a="1"/>
  <c r="Y136" i="3" s="1"/>
  <c r="Y137" i="3" a="1"/>
  <c r="Y137" i="3" s="1"/>
  <c r="Y138" i="3" a="1"/>
  <c r="Y138" i="3" s="1"/>
  <c r="Y139" i="3" a="1"/>
  <c r="Y139" i="3" s="1"/>
  <c r="Y140" i="3" a="1"/>
  <c r="Y140" i="3" s="1"/>
  <c r="Y141" i="3" a="1"/>
  <c r="Y141" i="3" s="1"/>
  <c r="Y142" i="3" a="1"/>
  <c r="Y142" i="3" s="1"/>
  <c r="Y143" i="3" a="1"/>
  <c r="Y143" i="3" s="1"/>
  <c r="Y144" i="3" a="1"/>
  <c r="Y144" i="3" s="1"/>
  <c r="Y145" i="3" a="1"/>
  <c r="Y145" i="3" s="1"/>
  <c r="Y146" i="3" a="1"/>
  <c r="Y146" i="3" s="1"/>
  <c r="Y147" i="3" a="1"/>
  <c r="Y147" i="3" s="1"/>
  <c r="Y148" i="3" a="1"/>
  <c r="Y148" i="3" s="1"/>
  <c r="Y149" i="3" a="1"/>
  <c r="Y149" i="3" s="1"/>
  <c r="Y150" i="3" a="1"/>
  <c r="Y150" i="3" s="1"/>
  <c r="Y151" i="3" a="1"/>
  <c r="Y151" i="3" s="1"/>
  <c r="Y152" i="3" a="1"/>
  <c r="Y152" i="3" s="1"/>
  <c r="Y153" i="3" a="1"/>
  <c r="Y153" i="3" s="1"/>
  <c r="Y154" i="3" a="1"/>
  <c r="Y154" i="3" s="1"/>
  <c r="Y155" i="3" a="1"/>
  <c r="Y155" i="3" s="1"/>
  <c r="Y156" i="3" a="1"/>
  <c r="Y156" i="3" s="1"/>
  <c r="Y157" i="3" a="1"/>
  <c r="Y157" i="3" s="1"/>
  <c r="Y158" i="3" a="1"/>
  <c r="Y158" i="3" s="1"/>
  <c r="Y159" i="3" a="1"/>
  <c r="Y159" i="3" s="1"/>
  <c r="Y160" i="3" a="1"/>
  <c r="Y160" i="3" s="1"/>
  <c r="Y161" i="3" a="1"/>
  <c r="Y161" i="3" s="1"/>
  <c r="Y162" i="3" a="1"/>
  <c r="Y162" i="3" s="1"/>
  <c r="Y163" i="3" a="1"/>
  <c r="Y163" i="3" s="1"/>
  <c r="Y164" i="3" a="1"/>
  <c r="Y164" i="3" s="1"/>
  <c r="Y165" i="3" a="1"/>
  <c r="Y165" i="3" s="1"/>
  <c r="Y166" i="3" a="1"/>
  <c r="Y166" i="3" s="1"/>
  <c r="Y167" i="3" a="1"/>
  <c r="Y167" i="3" s="1"/>
  <c r="Y168" i="3" a="1"/>
  <c r="Y168" i="3" s="1"/>
  <c r="Y169" i="3" a="1"/>
  <c r="Y169" i="3" s="1"/>
  <c r="Y170" i="3" a="1"/>
  <c r="Y170" i="3" s="1"/>
  <c r="Y171" i="3" a="1"/>
  <c r="Y171" i="3" s="1"/>
  <c r="Y172" i="3" a="1"/>
  <c r="Y172" i="3" s="1"/>
  <c r="Y173" i="3" a="1"/>
  <c r="Y173" i="3" s="1"/>
  <c r="Y174" i="3" a="1"/>
  <c r="Y174" i="3" s="1"/>
  <c r="Y175" i="3" a="1"/>
  <c r="Y175" i="3" s="1"/>
  <c r="Y176" i="3" a="1"/>
  <c r="Y176" i="3" s="1"/>
  <c r="Y177" i="3" a="1"/>
  <c r="Y177" i="3" s="1"/>
  <c r="Y178" i="3" a="1"/>
  <c r="Y178" i="3" s="1"/>
  <c r="Y179" i="3" a="1"/>
  <c r="Y179" i="3" s="1"/>
  <c r="Y180" i="3" a="1"/>
  <c r="Y180" i="3" s="1"/>
  <c r="Y181" i="3" a="1"/>
  <c r="Y181" i="3" s="1"/>
  <c r="Y182" i="3" a="1"/>
  <c r="Y182" i="3" s="1"/>
  <c r="Y183" i="3" a="1"/>
  <c r="Y183" i="3" s="1"/>
  <c r="Y184" i="3" a="1"/>
  <c r="Y184" i="3" s="1"/>
  <c r="Y185" i="3" a="1"/>
  <c r="Y185" i="3" s="1"/>
  <c r="Y186" i="3" a="1"/>
  <c r="Y186" i="3" s="1"/>
  <c r="Y187" i="3" a="1"/>
  <c r="Y187" i="3" s="1"/>
  <c r="Y188" i="3" a="1"/>
  <c r="Y188" i="3" s="1"/>
  <c r="Y189" i="3" a="1"/>
  <c r="Y189" i="3" s="1"/>
  <c r="Y190" i="3" a="1"/>
  <c r="Y190" i="3" s="1"/>
  <c r="Y191" i="3" a="1"/>
  <c r="Y191" i="3" s="1"/>
  <c r="Y192" i="3" a="1"/>
  <c r="Y192" i="3" s="1"/>
  <c r="Y193" i="3" a="1"/>
  <c r="Y193" i="3" s="1"/>
  <c r="Y194" i="3" a="1"/>
  <c r="Y194" i="3" s="1"/>
  <c r="Y195" i="3" a="1"/>
  <c r="Y195" i="3" s="1"/>
  <c r="Y196" i="3" a="1"/>
  <c r="Y196" i="3" s="1"/>
  <c r="Y197" i="3" a="1"/>
  <c r="Y197" i="3" s="1"/>
  <c r="Y198" i="3" a="1"/>
  <c r="Y198" i="3" s="1"/>
  <c r="Y199" i="3" a="1"/>
  <c r="Y199" i="3" s="1"/>
  <c r="Y200" i="3" a="1"/>
  <c r="Y200" i="3" s="1"/>
  <c r="Y201" i="3" a="1"/>
  <c r="Y201" i="3" s="1"/>
  <c r="Y202" i="3" a="1"/>
  <c r="Y202" i="3" s="1"/>
  <c r="Y203" i="3" a="1"/>
  <c r="Y203" i="3" s="1"/>
  <c r="Y204" i="3" a="1"/>
  <c r="Y204" i="3" s="1"/>
  <c r="Y205" i="3" a="1"/>
  <c r="Y205" i="3" s="1"/>
  <c r="Y206" i="3" a="1"/>
  <c r="Y206" i="3" s="1"/>
  <c r="Y207" i="3" a="1"/>
  <c r="Y207" i="3" s="1"/>
  <c r="Y208" i="3" a="1"/>
  <c r="Y208" i="3" s="1"/>
  <c r="Y209" i="3" a="1"/>
  <c r="Y209" i="3" s="1"/>
  <c r="Y210" i="3" a="1"/>
  <c r="Y210" i="3" s="1"/>
  <c r="Y211" i="3" a="1"/>
  <c r="Y211" i="3" s="1"/>
  <c r="Y212" i="3" a="1"/>
  <c r="Y212" i="3" s="1"/>
  <c r="Y213" i="3" a="1"/>
  <c r="Y213" i="3" s="1"/>
  <c r="Y214" i="3" a="1"/>
  <c r="Y214" i="3" s="1"/>
  <c r="Y215" i="3" a="1"/>
  <c r="Y215" i="3" s="1"/>
  <c r="Y216" i="3" a="1"/>
  <c r="Y216" i="3" s="1"/>
  <c r="Y217" i="3" a="1"/>
  <c r="Y217" i="3" s="1"/>
  <c r="Y218" i="3" a="1"/>
  <c r="Y218" i="3" s="1"/>
  <c r="Y219" i="3" a="1"/>
  <c r="Y219" i="3" s="1"/>
  <c r="Y220" i="3" a="1"/>
  <c r="Y220" i="3" s="1"/>
  <c r="Y221" i="3" a="1"/>
  <c r="Y221" i="3" s="1"/>
  <c r="Y222" i="3" a="1"/>
  <c r="Y222" i="3" s="1"/>
  <c r="Y223" i="3" a="1"/>
  <c r="Y223" i="3" s="1"/>
  <c r="Y224" i="3" a="1"/>
  <c r="Y224" i="3" s="1"/>
  <c r="Y225" i="3" a="1"/>
  <c r="Y225" i="3" s="1"/>
  <c r="Y226" i="3" a="1"/>
  <c r="Y226" i="3" s="1"/>
  <c r="Y227" i="3" a="1"/>
  <c r="Y227" i="3" s="1"/>
  <c r="Y228" i="3" a="1"/>
  <c r="Y228" i="3" s="1"/>
  <c r="Y229" i="3" a="1"/>
  <c r="Y229" i="3" s="1"/>
  <c r="Y230" i="3" a="1"/>
  <c r="Y230" i="3" s="1"/>
  <c r="Y231" i="3" a="1"/>
  <c r="Y231" i="3" s="1"/>
  <c r="Y232" i="3" a="1"/>
  <c r="Y232" i="3" s="1"/>
  <c r="Y233" i="3" a="1"/>
  <c r="Y233" i="3" s="1"/>
  <c r="Y234" i="3" a="1"/>
  <c r="Y234" i="3" s="1"/>
  <c r="Y235" i="3" a="1"/>
  <c r="Y235" i="3" s="1"/>
  <c r="Y236" i="3" a="1"/>
  <c r="Y236" i="3" s="1"/>
  <c r="Y237" i="3" a="1"/>
  <c r="Y237" i="3" s="1"/>
  <c r="Y238" i="3" a="1"/>
  <c r="Y238" i="3" s="1"/>
  <c r="Y239" i="3" a="1"/>
  <c r="Y239" i="3" s="1"/>
  <c r="Y240" i="3" a="1"/>
  <c r="Y240" i="3" s="1"/>
  <c r="Y241" i="3" a="1"/>
  <c r="Y241" i="3" s="1"/>
  <c r="Y242" i="3" a="1"/>
  <c r="Y242" i="3" s="1"/>
  <c r="Y243" i="3" a="1"/>
  <c r="Y243" i="3" s="1"/>
  <c r="Y244" i="3" a="1"/>
  <c r="Y244" i="3" s="1"/>
  <c r="Y245" i="3" a="1"/>
  <c r="Y245" i="3" s="1"/>
  <c r="Y246" i="3" a="1"/>
  <c r="Y246" i="3" s="1"/>
  <c r="Y247" i="3" a="1"/>
  <c r="Y247" i="3" s="1"/>
  <c r="Y248" i="3" a="1"/>
  <c r="Y248" i="3" s="1"/>
  <c r="Y249" i="3" a="1"/>
  <c r="Y249" i="3" s="1"/>
  <c r="Y250" i="3" a="1"/>
  <c r="Y250" i="3" s="1"/>
  <c r="Y251" i="3" a="1"/>
  <c r="Y251" i="3" s="1"/>
  <c r="Y252" i="3" a="1"/>
  <c r="Y252" i="3" s="1"/>
  <c r="Y253" i="3" a="1"/>
  <c r="Y253" i="3" s="1"/>
  <c r="Y254" i="3" a="1"/>
  <c r="Y254" i="3" s="1"/>
  <c r="Y255" i="3" a="1"/>
  <c r="Y255" i="3" s="1"/>
  <c r="Y256" i="3" a="1"/>
  <c r="Y256" i="3" s="1"/>
  <c r="Y257" i="3" a="1"/>
  <c r="Y257" i="3" s="1"/>
  <c r="Y258" i="3" a="1"/>
  <c r="Y258" i="3" s="1"/>
  <c r="Y259" i="3" a="1"/>
  <c r="Y259" i="3" s="1"/>
  <c r="Y260" i="3" a="1"/>
  <c r="Y260" i="3" s="1"/>
  <c r="AA221" i="3" l="1"/>
  <c r="Z221" i="3"/>
  <c r="AA243" i="3"/>
  <c r="Z243" i="3"/>
  <c r="Z195" i="3"/>
  <c r="AA195" i="3"/>
  <c r="Z230" i="3"/>
  <c r="AA230" i="3"/>
  <c r="Z194" i="3"/>
  <c r="AA194" i="3"/>
  <c r="Z158" i="3"/>
  <c r="AA158" i="3"/>
  <c r="Z122" i="3"/>
  <c r="AA122" i="3"/>
  <c r="Z98" i="3"/>
  <c r="AA98" i="3"/>
  <c r="Z74" i="3"/>
  <c r="AA74" i="3"/>
  <c r="Z38" i="3"/>
  <c r="AA38" i="3"/>
  <c r="AA14" i="3"/>
  <c r="Z14" i="3"/>
  <c r="Z241" i="3"/>
  <c r="AA241" i="3"/>
  <c r="Z217" i="3"/>
  <c r="AA217" i="3"/>
  <c r="Z193" i="3"/>
  <c r="AA193" i="3"/>
  <c r="Z169" i="3"/>
  <c r="AA169" i="3"/>
  <c r="Z145" i="3"/>
  <c r="AA145" i="3"/>
  <c r="Z252" i="3"/>
  <c r="AA252" i="3"/>
  <c r="Z240" i="3"/>
  <c r="AA240" i="3"/>
  <c r="Z228" i="3"/>
  <c r="AA228" i="3"/>
  <c r="Z216" i="3"/>
  <c r="AA216" i="3"/>
  <c r="Z204" i="3"/>
  <c r="AA204" i="3"/>
  <c r="Z192" i="3"/>
  <c r="AA192" i="3"/>
  <c r="Z180" i="3"/>
  <c r="AA180" i="3"/>
  <c r="Z168" i="3"/>
  <c r="AA168" i="3"/>
  <c r="Z156" i="3"/>
  <c r="AA156" i="3"/>
  <c r="Z144" i="3"/>
  <c r="AA144" i="3"/>
  <c r="Z132" i="3"/>
  <c r="AA132" i="3"/>
  <c r="Z120" i="3"/>
  <c r="AA120" i="3"/>
  <c r="Z108" i="3"/>
  <c r="AA108" i="3"/>
  <c r="Z96" i="3"/>
  <c r="AA96" i="3"/>
  <c r="Z84" i="3"/>
  <c r="AA84" i="3"/>
  <c r="Z72" i="3"/>
  <c r="AA72" i="3"/>
  <c r="Z60" i="3"/>
  <c r="AA60" i="3"/>
  <c r="Z48" i="3"/>
  <c r="AA48" i="3"/>
  <c r="Z36" i="3"/>
  <c r="AA36" i="3"/>
  <c r="Z24" i="3"/>
  <c r="AA24" i="3"/>
  <c r="AA258" i="3"/>
  <c r="Z258" i="3"/>
  <c r="AA220" i="3"/>
  <c r="Z220" i="3"/>
  <c r="Z191" i="3"/>
  <c r="AA191" i="3"/>
  <c r="Z131" i="3"/>
  <c r="AA131" i="3"/>
  <c r="Z83" i="3"/>
  <c r="AA83" i="3"/>
  <c r="Z47" i="3"/>
  <c r="AA47" i="3"/>
  <c r="Z35" i="3"/>
  <c r="AA35" i="3"/>
  <c r="Z23" i="3"/>
  <c r="AA23" i="3"/>
  <c r="Z250" i="3"/>
  <c r="AA250" i="3"/>
  <c r="Z238" i="3"/>
  <c r="AA238" i="3"/>
  <c r="Z226" i="3"/>
  <c r="AA226" i="3"/>
  <c r="Z214" i="3"/>
  <c r="AA214" i="3"/>
  <c r="Z202" i="3"/>
  <c r="AA202" i="3"/>
  <c r="Z190" i="3"/>
  <c r="AA190" i="3"/>
  <c r="Z178" i="3"/>
  <c r="AA178" i="3"/>
  <c r="Z166" i="3"/>
  <c r="AA166" i="3"/>
  <c r="Z154" i="3"/>
  <c r="AA154" i="3"/>
  <c r="Z142" i="3"/>
  <c r="AA142" i="3"/>
  <c r="Z130" i="3"/>
  <c r="AA130" i="3"/>
  <c r="Z118" i="3"/>
  <c r="AA118" i="3"/>
  <c r="Z106" i="3"/>
  <c r="AA106" i="3"/>
  <c r="Z94" i="3"/>
  <c r="AA94" i="3"/>
  <c r="Z82" i="3"/>
  <c r="AA82" i="3"/>
  <c r="Z70" i="3"/>
  <c r="AA70" i="3"/>
  <c r="Z58" i="3"/>
  <c r="AA58" i="3"/>
  <c r="Z46" i="3"/>
  <c r="AA46" i="3"/>
  <c r="Z34" i="3"/>
  <c r="AA34" i="3"/>
  <c r="Z22" i="3"/>
  <c r="AA22" i="3"/>
  <c r="AA257" i="3"/>
  <c r="Z257" i="3"/>
  <c r="AA232" i="3"/>
  <c r="Z232" i="3"/>
  <c r="Z239" i="3"/>
  <c r="AA239" i="3"/>
  <c r="Z203" i="3"/>
  <c r="AA203" i="3"/>
  <c r="Z155" i="3"/>
  <c r="AA155" i="3"/>
  <c r="Z95" i="3"/>
  <c r="AA95" i="3"/>
  <c r="AA177" i="3"/>
  <c r="Z177" i="3"/>
  <c r="AA244" i="3"/>
  <c r="Z244" i="3"/>
  <c r="Z251" i="3"/>
  <c r="AA251" i="3"/>
  <c r="Z215" i="3"/>
  <c r="AA215" i="3"/>
  <c r="Z167" i="3"/>
  <c r="AA167" i="3"/>
  <c r="Z119" i="3"/>
  <c r="AA119" i="3"/>
  <c r="Z71" i="3"/>
  <c r="AA71" i="3"/>
  <c r="AA249" i="3"/>
  <c r="Z249" i="3"/>
  <c r="AA225" i="3"/>
  <c r="Z225" i="3"/>
  <c r="AA201" i="3"/>
  <c r="Z201" i="3"/>
  <c r="AA165" i="3"/>
  <c r="Z165" i="3"/>
  <c r="AA141" i="3"/>
  <c r="Z141" i="3"/>
  <c r="AA117" i="3"/>
  <c r="Z117" i="3"/>
  <c r="AA93" i="3"/>
  <c r="Z93" i="3"/>
  <c r="AA69" i="3"/>
  <c r="Z69" i="3"/>
  <c r="AA45" i="3"/>
  <c r="Z45" i="3"/>
  <c r="AA21" i="3"/>
  <c r="Z21" i="3"/>
  <c r="AA248" i="3"/>
  <c r="Z248" i="3"/>
  <c r="AA236" i="3"/>
  <c r="Z236" i="3"/>
  <c r="AA224" i="3"/>
  <c r="Z224" i="3"/>
  <c r="AA212" i="3"/>
  <c r="Z212" i="3"/>
  <c r="AA200" i="3"/>
  <c r="Z200" i="3"/>
  <c r="AA188" i="3"/>
  <c r="Z188" i="3"/>
  <c r="AA176" i="3"/>
  <c r="Z176" i="3"/>
  <c r="AA164" i="3"/>
  <c r="Z164" i="3"/>
  <c r="AA152" i="3"/>
  <c r="Z152" i="3"/>
  <c r="AA140" i="3"/>
  <c r="Z140" i="3"/>
  <c r="AA128" i="3"/>
  <c r="Z128" i="3"/>
  <c r="AA116" i="3"/>
  <c r="Z116" i="3"/>
  <c r="AA104" i="3"/>
  <c r="Z104" i="3"/>
  <c r="AA92" i="3"/>
  <c r="Z92" i="3"/>
  <c r="AA80" i="3"/>
  <c r="Z80" i="3"/>
  <c r="AA68" i="3"/>
  <c r="Z68" i="3"/>
  <c r="AA56" i="3"/>
  <c r="Z56" i="3"/>
  <c r="AA44" i="3"/>
  <c r="Z44" i="3"/>
  <c r="AA32" i="3"/>
  <c r="Z32" i="3"/>
  <c r="AA20" i="3"/>
  <c r="Z20" i="3"/>
  <c r="AA245" i="3"/>
  <c r="Z245" i="3"/>
  <c r="AA255" i="3"/>
  <c r="Z255" i="3"/>
  <c r="Z227" i="3"/>
  <c r="AA227" i="3"/>
  <c r="Z179" i="3"/>
  <c r="AA179" i="3"/>
  <c r="Z143" i="3"/>
  <c r="AA143" i="3"/>
  <c r="Z107" i="3"/>
  <c r="AA107" i="3"/>
  <c r="Z59" i="3"/>
  <c r="AA59" i="3"/>
  <c r="AA237" i="3"/>
  <c r="Z237" i="3"/>
  <c r="AA213" i="3"/>
  <c r="Z213" i="3"/>
  <c r="AA189" i="3"/>
  <c r="Z189" i="3"/>
  <c r="AA153" i="3"/>
  <c r="Z153" i="3"/>
  <c r="AA129" i="3"/>
  <c r="Z129" i="3"/>
  <c r="AA105" i="3"/>
  <c r="Z105" i="3"/>
  <c r="AA81" i="3"/>
  <c r="Z81" i="3"/>
  <c r="AA57" i="3"/>
  <c r="Z57" i="3"/>
  <c r="AA33" i="3"/>
  <c r="Z33" i="3"/>
  <c r="AA260" i="3"/>
  <c r="Z260" i="3"/>
  <c r="AA259" i="3"/>
  <c r="Z259" i="3"/>
  <c r="AA247" i="3"/>
  <c r="Z247" i="3"/>
  <c r="AA235" i="3"/>
  <c r="Z235" i="3"/>
  <c r="AA223" i="3"/>
  <c r="Z223" i="3"/>
  <c r="AA211" i="3"/>
  <c r="Z211" i="3"/>
  <c r="AA199" i="3"/>
  <c r="Z199" i="3"/>
  <c r="Z187" i="3"/>
  <c r="AA187" i="3"/>
  <c r="AA175" i="3"/>
  <c r="Z175" i="3"/>
  <c r="AA163" i="3"/>
  <c r="Z163" i="3"/>
  <c r="AA151" i="3"/>
  <c r="Z151" i="3"/>
  <c r="AA139" i="3"/>
  <c r="Z139" i="3"/>
  <c r="AA127" i="3"/>
  <c r="Z127" i="3"/>
  <c r="AA115" i="3"/>
  <c r="Z115" i="3"/>
  <c r="AA103" i="3"/>
  <c r="Z103" i="3"/>
  <c r="AA91" i="3"/>
  <c r="Z91" i="3"/>
  <c r="AA79" i="3"/>
  <c r="Z79" i="3"/>
  <c r="AA67" i="3"/>
  <c r="Z67" i="3"/>
  <c r="AA55" i="3"/>
  <c r="Z55" i="3"/>
  <c r="AA43" i="3"/>
  <c r="Z43" i="3"/>
  <c r="AA31" i="3"/>
  <c r="Z31" i="3"/>
  <c r="AA19" i="3"/>
  <c r="Z19" i="3"/>
  <c r="AA222" i="3"/>
  <c r="Z222" i="3"/>
  <c r="AA210" i="3"/>
  <c r="Z210" i="3"/>
  <c r="AA198" i="3"/>
  <c r="Z198" i="3"/>
  <c r="AA186" i="3"/>
  <c r="Z186" i="3"/>
  <c r="AA174" i="3"/>
  <c r="Z174" i="3"/>
  <c r="AA162" i="3"/>
  <c r="Z162" i="3"/>
  <c r="AA150" i="3"/>
  <c r="Z150" i="3"/>
  <c r="AA138" i="3"/>
  <c r="Z138" i="3"/>
  <c r="AA126" i="3"/>
  <c r="Z126" i="3"/>
  <c r="AA114" i="3"/>
  <c r="Z114" i="3"/>
  <c r="AA102" i="3"/>
  <c r="Z102" i="3"/>
  <c r="AA90" i="3"/>
  <c r="Z90" i="3"/>
  <c r="AA78" i="3"/>
  <c r="Z78" i="3"/>
  <c r="AA66" i="3"/>
  <c r="Z66" i="3"/>
  <c r="AA54" i="3"/>
  <c r="Z54" i="3"/>
  <c r="AA42" i="3"/>
  <c r="Z42" i="3"/>
  <c r="AA30" i="3"/>
  <c r="Z30" i="3"/>
  <c r="AA18" i="3"/>
  <c r="Z18" i="3"/>
  <c r="AA209" i="3"/>
  <c r="Z209" i="3"/>
  <c r="AA197" i="3"/>
  <c r="Z197" i="3"/>
  <c r="AA185" i="3"/>
  <c r="Z185" i="3"/>
  <c r="AA173" i="3"/>
  <c r="Z173" i="3"/>
  <c r="AA161" i="3"/>
  <c r="Z161" i="3"/>
  <c r="AA149" i="3"/>
  <c r="Z149" i="3"/>
  <c r="AA137" i="3"/>
  <c r="Z137" i="3"/>
  <c r="AA125" i="3"/>
  <c r="Z125" i="3"/>
  <c r="AA113" i="3"/>
  <c r="Z113" i="3"/>
  <c r="AA101" i="3"/>
  <c r="Z101" i="3"/>
  <c r="AA89" i="3"/>
  <c r="Z89" i="3"/>
  <c r="AA77" i="3"/>
  <c r="Z77" i="3"/>
  <c r="AA65" i="3"/>
  <c r="Z65" i="3"/>
  <c r="AA53" i="3"/>
  <c r="Z53" i="3"/>
  <c r="AA41" i="3"/>
  <c r="Z41" i="3"/>
  <c r="AA29" i="3"/>
  <c r="Z29" i="3"/>
  <c r="AA17" i="3"/>
  <c r="Z17" i="3"/>
  <c r="AA234" i="3"/>
  <c r="Z234" i="3"/>
  <c r="AA208" i="3"/>
  <c r="Z208" i="3"/>
  <c r="AA196" i="3"/>
  <c r="Z196" i="3"/>
  <c r="AA184" i="3"/>
  <c r="Z184" i="3"/>
  <c r="AA172" i="3"/>
  <c r="Z172" i="3"/>
  <c r="AA160" i="3"/>
  <c r="Z160" i="3"/>
  <c r="AA148" i="3"/>
  <c r="Z148" i="3"/>
  <c r="AA136" i="3"/>
  <c r="Z136" i="3"/>
  <c r="AA124" i="3"/>
  <c r="Z124" i="3"/>
  <c r="AA112" i="3"/>
  <c r="Z112" i="3"/>
  <c r="AA100" i="3"/>
  <c r="Z100" i="3"/>
  <c r="AA88" i="3"/>
  <c r="Z88" i="3"/>
  <c r="AA76" i="3"/>
  <c r="Z76" i="3"/>
  <c r="AA64" i="3"/>
  <c r="Z64" i="3"/>
  <c r="AA52" i="3"/>
  <c r="Z52" i="3"/>
  <c r="AA40" i="3"/>
  <c r="Z40" i="3"/>
  <c r="AA28" i="3"/>
  <c r="Z28" i="3"/>
  <c r="AA16" i="3"/>
  <c r="Z16" i="3"/>
  <c r="AA233" i="3"/>
  <c r="Z233" i="3"/>
  <c r="AA219" i="3"/>
  <c r="Z219" i="3"/>
  <c r="AA183" i="3"/>
  <c r="Z183" i="3"/>
  <c r="AA171" i="3"/>
  <c r="Z171" i="3"/>
  <c r="Z159" i="3"/>
  <c r="AA159" i="3"/>
  <c r="Z147" i="3"/>
  <c r="AA147" i="3"/>
  <c r="AA135" i="3"/>
  <c r="Z135" i="3"/>
  <c r="Z123" i="3"/>
  <c r="AA123" i="3"/>
  <c r="AA111" i="3"/>
  <c r="Z111" i="3"/>
  <c r="AA99" i="3"/>
  <c r="Z99" i="3"/>
  <c r="Z87" i="3"/>
  <c r="AA87" i="3"/>
  <c r="Z75" i="3"/>
  <c r="AA75" i="3"/>
  <c r="AA63" i="3"/>
  <c r="Z63" i="3"/>
  <c r="Z51" i="3"/>
  <c r="AA51" i="3"/>
  <c r="Z39" i="3"/>
  <c r="AA39" i="3"/>
  <c r="AA27" i="3"/>
  <c r="Z27" i="3"/>
  <c r="Z15" i="3"/>
  <c r="AA246" i="3"/>
  <c r="Z246" i="3"/>
  <c r="AA256" i="3"/>
  <c r="Z256" i="3"/>
  <c r="Z231" i="3"/>
  <c r="AA231" i="3"/>
  <c r="Z254" i="3"/>
  <c r="AA254" i="3"/>
  <c r="Z218" i="3"/>
  <c r="AA218" i="3"/>
  <c r="Z182" i="3"/>
  <c r="AA182" i="3"/>
  <c r="Z146" i="3"/>
  <c r="AA146" i="3"/>
  <c r="Z50" i="3"/>
  <c r="AA50" i="3"/>
  <c r="AA207" i="3"/>
  <c r="Z207" i="3"/>
  <c r="Z242" i="3"/>
  <c r="AA242" i="3"/>
  <c r="Z206" i="3"/>
  <c r="AA206" i="3"/>
  <c r="Z170" i="3"/>
  <c r="AA170" i="3"/>
  <c r="Z134" i="3"/>
  <c r="AA134" i="3"/>
  <c r="Z110" i="3"/>
  <c r="AA110" i="3"/>
  <c r="Z86" i="3"/>
  <c r="AA86" i="3"/>
  <c r="Z62" i="3"/>
  <c r="AA62" i="3"/>
  <c r="Z26" i="3"/>
  <c r="AA26" i="3"/>
  <c r="Z253" i="3"/>
  <c r="AA253" i="3"/>
  <c r="Z229" i="3"/>
  <c r="AA229" i="3"/>
  <c r="Z205" i="3"/>
  <c r="AA205" i="3"/>
  <c r="Z181" i="3"/>
  <c r="AA181" i="3"/>
  <c r="Z157" i="3"/>
  <c r="AA157" i="3"/>
  <c r="Z133" i="3"/>
  <c r="AA133" i="3"/>
  <c r="Z121" i="3"/>
  <c r="AA121" i="3"/>
  <c r="Z109" i="3"/>
  <c r="AA109" i="3"/>
  <c r="Z97" i="3"/>
  <c r="AA97" i="3"/>
  <c r="Z85" i="3"/>
  <c r="AA85" i="3"/>
  <c r="Z73" i="3"/>
  <c r="AA73" i="3"/>
  <c r="Z61" i="3"/>
  <c r="AA61" i="3"/>
  <c r="Z49" i="3"/>
  <c r="AA49" i="3"/>
  <c r="Z37" i="3"/>
  <c r="AA37" i="3"/>
  <c r="Z25" i="3"/>
  <c r="AA25" i="3"/>
  <c r="AA12" i="3"/>
  <c r="Z12" i="3"/>
  <c r="B252" i="9"/>
  <c r="I252" i="9" s="1"/>
  <c r="B251" i="9"/>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S251" i="9" l="1"/>
  <c r="L251" i="9"/>
  <c r="Q251" i="9"/>
  <c r="AS251" i="9"/>
  <c r="W251" i="9"/>
  <c r="AD251" i="9"/>
  <c r="BD251" i="9" s="1"/>
  <c r="AU251" i="9"/>
  <c r="R251" i="9"/>
  <c r="AN251" i="9"/>
  <c r="D252" i="9"/>
  <c r="AR251" i="9"/>
  <c r="O251" i="9"/>
  <c r="AL252" i="9"/>
  <c r="F251" i="9"/>
  <c r="K251" i="9"/>
  <c r="Z251" i="9" s="1"/>
  <c r="AA251" i="9" s="1"/>
  <c r="A252" i="9"/>
  <c r="AW251" i="9"/>
  <c r="AI251" i="9"/>
  <c r="L252" i="9"/>
  <c r="T251" i="9"/>
  <c r="J251" i="9"/>
  <c r="AF252" i="9"/>
  <c r="AG252" i="9" s="1"/>
  <c r="G251" i="9"/>
  <c r="AH251" i="9"/>
  <c r="AX252" i="9"/>
  <c r="AV251" i="9"/>
  <c r="M251" i="9"/>
  <c r="AC251" i="9"/>
  <c r="AR252" i="9"/>
  <c r="A251" i="9"/>
  <c r="AT251" i="9"/>
  <c r="E251" i="9"/>
  <c r="AQ252" i="9"/>
  <c r="C251" i="9"/>
  <c r="AF251" i="9"/>
  <c r="P251" i="9"/>
  <c r="BA252" i="9"/>
  <c r="H251" i="9"/>
  <c r="AM251" i="9"/>
  <c r="AB251" i="9"/>
  <c r="AB252" i="9"/>
  <c r="AE251" i="9"/>
  <c r="Y251" i="9"/>
  <c r="N251" i="9"/>
  <c r="D251" i="9"/>
  <c r="I251" i="9" s="1"/>
  <c r="K252" i="9"/>
  <c r="Z252" i="9" s="1"/>
  <c r="AA252" i="9" s="1"/>
  <c r="X251" i="9"/>
  <c r="AL251" i="9"/>
  <c r="AX251" i="9"/>
  <c r="AN252" i="9"/>
  <c r="J252" i="9"/>
  <c r="AK252" i="9"/>
  <c r="AZ252" i="9"/>
  <c r="AY252" i="9" s="1"/>
  <c r="H252" i="9"/>
  <c r="AV252" i="9"/>
  <c r="Q252" i="9"/>
  <c r="AS252" i="9"/>
  <c r="C252" i="9"/>
  <c r="F252" i="9"/>
  <c r="O252" i="9"/>
  <c r="AT252" i="9"/>
  <c r="AP252" i="9"/>
  <c r="R252" i="9"/>
  <c r="AU252" i="9"/>
  <c r="U252" i="9"/>
  <c r="V252" i="9" s="1"/>
  <c r="AE252" i="9"/>
  <c r="BC252" i="9" s="1"/>
  <c r="AJ252" i="9"/>
  <c r="E252" i="9"/>
  <c r="N252" i="9"/>
  <c r="AD252" i="9"/>
  <c r="BD252" i="9" s="1"/>
  <c r="AO252" i="9"/>
  <c r="AW252" i="9"/>
  <c r="M252" i="9"/>
  <c r="Y252" i="9"/>
  <c r="AH252" i="9"/>
  <c r="X252" i="9"/>
  <c r="AI252" i="9"/>
  <c r="T252" i="9"/>
  <c r="P252" i="9"/>
  <c r="AC252" i="9"/>
  <c r="G252" i="9"/>
  <c r="BB252" i="9"/>
  <c r="S252" i="9"/>
  <c r="AM252" i="9"/>
  <c r="W252" i="9"/>
  <c r="GM12" i="3"/>
  <c r="GM13" i="3"/>
  <c r="GM14" i="3"/>
  <c r="GM15" i="3"/>
  <c r="GM16" i="3"/>
  <c r="GM17" i="3"/>
  <c r="GM18" i="3"/>
  <c r="GM19" i="3"/>
  <c r="GM20" i="3"/>
  <c r="GM21" i="3"/>
  <c r="GM22" i="3"/>
  <c r="GM23" i="3"/>
  <c r="GM11" i="3"/>
  <c r="U251" i="9" l="1"/>
  <c r="V251" i="9" s="1"/>
  <c r="AG251" i="9"/>
  <c r="GL12" i="3"/>
  <c r="GL13" i="3"/>
  <c r="GL14" i="3"/>
  <c r="GL15" i="3"/>
  <c r="GL16" i="3"/>
  <c r="GL17" i="3"/>
  <c r="GL18" i="3"/>
  <c r="GL19" i="3"/>
  <c r="GL20" i="3"/>
  <c r="GL21" i="3"/>
  <c r="GL22" i="3"/>
  <c r="GL23" i="3"/>
  <c r="GL24" i="3"/>
  <c r="GL25" i="3"/>
  <c r="GL26" i="3"/>
  <c r="GL27" i="3"/>
  <c r="GL28" i="3"/>
  <c r="GL29" i="3"/>
  <c r="GL30" i="3"/>
  <c r="GL31" i="3"/>
  <c r="GL32" i="3"/>
  <c r="GL33" i="3"/>
  <c r="GL34" i="3"/>
  <c r="GL35" i="3"/>
  <c r="GL36" i="3"/>
  <c r="GL37" i="3"/>
  <c r="GL38" i="3"/>
  <c r="GL39" i="3"/>
  <c r="GL40" i="3"/>
  <c r="GL41" i="3"/>
  <c r="GL42" i="3"/>
  <c r="GL43" i="3"/>
  <c r="GL44" i="3"/>
  <c r="GL45" i="3"/>
  <c r="GL46" i="3"/>
  <c r="GL47" i="3"/>
  <c r="GL48" i="3"/>
  <c r="GL49" i="3"/>
  <c r="GL50" i="3"/>
  <c r="GL51" i="3"/>
  <c r="GL52" i="3"/>
  <c r="GL53" i="3"/>
  <c r="GL54" i="3"/>
  <c r="GL55" i="3"/>
  <c r="GL56" i="3"/>
  <c r="GL57" i="3"/>
  <c r="GL58" i="3"/>
  <c r="GL59" i="3"/>
  <c r="GL60" i="3"/>
  <c r="GL61" i="3"/>
  <c r="GL62" i="3"/>
  <c r="GL63" i="3"/>
  <c r="GL64" i="3"/>
  <c r="GL65" i="3"/>
  <c r="GL66" i="3"/>
  <c r="GL67" i="3"/>
  <c r="GL68" i="3"/>
  <c r="GL69" i="3"/>
  <c r="GL70" i="3"/>
  <c r="GL71" i="3"/>
  <c r="GL72" i="3"/>
  <c r="GL73" i="3"/>
  <c r="GL74" i="3"/>
  <c r="GL75" i="3"/>
  <c r="GL76" i="3"/>
  <c r="GL77" i="3"/>
  <c r="GL78" i="3"/>
  <c r="GL79" i="3"/>
  <c r="GL80" i="3"/>
  <c r="GL81" i="3"/>
  <c r="GL82" i="3"/>
  <c r="GL83" i="3"/>
  <c r="GL84" i="3"/>
  <c r="GL85" i="3"/>
  <c r="GL86" i="3"/>
  <c r="GL87" i="3"/>
  <c r="GL88" i="3"/>
  <c r="GL89" i="3"/>
  <c r="GL90" i="3"/>
  <c r="GL91" i="3"/>
  <c r="GL92" i="3"/>
  <c r="GL93" i="3"/>
  <c r="GL94" i="3"/>
  <c r="GL95" i="3"/>
  <c r="GL96" i="3"/>
  <c r="GL97" i="3"/>
  <c r="GL98" i="3"/>
  <c r="GL99" i="3"/>
  <c r="GL100" i="3"/>
  <c r="GL101" i="3"/>
  <c r="GL102" i="3"/>
  <c r="GL103" i="3"/>
  <c r="GL104" i="3"/>
  <c r="GL105" i="3"/>
  <c r="GL106" i="3"/>
  <c r="GL107" i="3"/>
  <c r="GL108" i="3"/>
  <c r="GL109" i="3"/>
  <c r="GL110" i="3"/>
  <c r="GL111" i="3"/>
  <c r="GL112" i="3"/>
  <c r="GL113" i="3"/>
  <c r="GL114" i="3"/>
  <c r="GL115" i="3"/>
  <c r="GL116" i="3"/>
  <c r="GL117" i="3"/>
  <c r="GL118" i="3"/>
  <c r="GL119" i="3"/>
  <c r="GL120" i="3"/>
  <c r="GL121" i="3"/>
  <c r="GL122" i="3"/>
  <c r="GL123" i="3"/>
  <c r="GL124" i="3"/>
  <c r="GL125" i="3"/>
  <c r="GL126" i="3"/>
  <c r="GL127" i="3"/>
  <c r="GL128" i="3"/>
  <c r="GL129" i="3"/>
  <c r="GL130" i="3"/>
  <c r="GL131" i="3"/>
  <c r="GL132" i="3"/>
  <c r="GL133" i="3"/>
  <c r="GL134" i="3"/>
  <c r="GL135" i="3"/>
  <c r="GL136" i="3"/>
  <c r="GL137" i="3"/>
  <c r="GL138" i="3"/>
  <c r="GL139" i="3"/>
  <c r="GL140" i="3"/>
  <c r="GL141" i="3"/>
  <c r="GL142" i="3"/>
  <c r="GL143" i="3"/>
  <c r="GL144" i="3"/>
  <c r="GL145" i="3"/>
  <c r="GL146" i="3"/>
  <c r="GL147" i="3"/>
  <c r="GL148" i="3"/>
  <c r="GL149" i="3"/>
  <c r="GL150" i="3"/>
  <c r="GL151" i="3"/>
  <c r="GL152" i="3"/>
  <c r="GL153" i="3"/>
  <c r="GL154" i="3"/>
  <c r="GL155" i="3"/>
  <c r="GL156" i="3"/>
  <c r="GL157" i="3"/>
  <c r="GL158" i="3"/>
  <c r="GL159" i="3"/>
  <c r="GL160" i="3"/>
  <c r="GL161" i="3"/>
  <c r="GL162" i="3"/>
  <c r="GL163" i="3"/>
  <c r="GL164" i="3"/>
  <c r="GL165" i="3"/>
  <c r="GL166" i="3"/>
  <c r="GL167" i="3"/>
  <c r="GL168" i="3"/>
  <c r="GL169" i="3"/>
  <c r="GL170" i="3"/>
  <c r="GL171" i="3"/>
  <c r="GL172" i="3"/>
  <c r="GL173" i="3"/>
  <c r="GL174" i="3"/>
  <c r="GL175" i="3"/>
  <c r="GL176" i="3"/>
  <c r="GL177" i="3"/>
  <c r="GL178" i="3"/>
  <c r="GL179" i="3"/>
  <c r="GL180" i="3"/>
  <c r="GL181" i="3"/>
  <c r="GL182" i="3"/>
  <c r="GL183" i="3"/>
  <c r="GL184" i="3"/>
  <c r="GL185" i="3"/>
  <c r="GL186" i="3"/>
  <c r="GL187" i="3"/>
  <c r="GL188" i="3"/>
  <c r="GL189" i="3"/>
  <c r="GL190" i="3"/>
  <c r="GL191" i="3"/>
  <c r="GL192" i="3"/>
  <c r="GL193" i="3"/>
  <c r="GL194" i="3"/>
  <c r="GL195" i="3"/>
  <c r="GL196" i="3"/>
  <c r="GL197" i="3"/>
  <c r="GL198" i="3"/>
  <c r="GL199" i="3"/>
  <c r="GL200" i="3"/>
  <c r="GL201" i="3"/>
  <c r="GL202" i="3"/>
  <c r="GL203" i="3"/>
  <c r="GL204" i="3"/>
  <c r="GL205" i="3"/>
  <c r="GL206" i="3"/>
  <c r="GL207" i="3"/>
  <c r="GL208" i="3"/>
  <c r="GL209" i="3"/>
  <c r="GL210" i="3"/>
  <c r="GL211" i="3"/>
  <c r="GL212" i="3"/>
  <c r="GL213" i="3"/>
  <c r="GL214" i="3"/>
  <c r="GL215" i="3"/>
  <c r="GL216" i="3"/>
  <c r="GL217" i="3"/>
  <c r="GL218" i="3"/>
  <c r="GL219" i="3"/>
  <c r="GL220" i="3"/>
  <c r="GL221" i="3"/>
  <c r="GL222" i="3"/>
  <c r="GL223" i="3"/>
  <c r="GL224" i="3"/>
  <c r="GL225" i="3"/>
  <c r="GL226" i="3"/>
  <c r="GL227" i="3"/>
  <c r="GL228" i="3"/>
  <c r="GL229" i="3"/>
  <c r="GL230" i="3"/>
  <c r="GL231" i="3"/>
  <c r="GL232" i="3"/>
  <c r="GL233" i="3"/>
  <c r="GL234" i="3"/>
  <c r="GL235" i="3"/>
  <c r="GL236" i="3"/>
  <c r="GL237" i="3"/>
  <c r="GL238" i="3"/>
  <c r="GL239" i="3"/>
  <c r="GL240" i="3"/>
  <c r="GL241" i="3"/>
  <c r="GL242" i="3"/>
  <c r="GL243" i="3"/>
  <c r="GL244" i="3"/>
  <c r="GL245" i="3"/>
  <c r="GL246" i="3"/>
  <c r="GL247" i="3"/>
  <c r="GL248" i="3"/>
  <c r="GL249" i="3"/>
  <c r="GL250" i="3"/>
  <c r="GL251" i="3"/>
  <c r="GL252" i="3"/>
  <c r="GL253" i="3"/>
  <c r="GL254" i="3"/>
  <c r="GL255" i="3"/>
  <c r="GL256" i="3"/>
  <c r="GL257" i="3"/>
  <c r="GL258" i="3"/>
  <c r="GL259" i="3"/>
  <c r="GL260" i="3"/>
  <c r="GL11" i="3"/>
  <c r="GK12" i="3"/>
  <c r="GK13" i="3"/>
  <c r="GK14" i="3"/>
  <c r="GK15" i="3"/>
  <c r="GK16" i="3"/>
  <c r="GK17" i="3"/>
  <c r="GK18" i="3"/>
  <c r="GK19" i="3"/>
  <c r="GK20" i="3"/>
  <c r="GK21" i="3"/>
  <c r="GK22" i="3"/>
  <c r="GK23" i="3"/>
  <c r="GK24" i="3"/>
  <c r="GK25" i="3"/>
  <c r="GK26" i="3"/>
  <c r="GK27" i="3"/>
  <c r="GK28" i="3"/>
  <c r="GK29" i="3"/>
  <c r="GK30" i="3"/>
  <c r="GK31" i="3"/>
  <c r="GK32" i="3"/>
  <c r="GK33" i="3"/>
  <c r="GK34" i="3"/>
  <c r="GK35" i="3"/>
  <c r="GK36" i="3"/>
  <c r="GK37" i="3"/>
  <c r="GK38" i="3"/>
  <c r="GK39" i="3"/>
  <c r="GK40" i="3"/>
  <c r="GK41" i="3"/>
  <c r="GK42" i="3"/>
  <c r="GK43" i="3"/>
  <c r="GK44" i="3"/>
  <c r="GK45" i="3"/>
  <c r="GK46" i="3"/>
  <c r="GK47" i="3"/>
  <c r="GK48" i="3"/>
  <c r="GK49" i="3"/>
  <c r="GK50" i="3"/>
  <c r="GK51" i="3"/>
  <c r="GK52" i="3"/>
  <c r="GK53" i="3"/>
  <c r="GK54" i="3"/>
  <c r="GK55" i="3"/>
  <c r="GK56" i="3"/>
  <c r="GK57" i="3"/>
  <c r="GK58" i="3"/>
  <c r="GK59" i="3"/>
  <c r="GK60" i="3"/>
  <c r="GK61" i="3"/>
  <c r="GK62" i="3"/>
  <c r="GK63" i="3"/>
  <c r="GK64" i="3"/>
  <c r="GK65" i="3"/>
  <c r="GK66" i="3"/>
  <c r="GK67" i="3"/>
  <c r="GK68" i="3"/>
  <c r="GK69" i="3"/>
  <c r="GK70" i="3"/>
  <c r="GK71" i="3"/>
  <c r="GK72" i="3"/>
  <c r="GK73" i="3"/>
  <c r="GK74" i="3"/>
  <c r="GK75" i="3"/>
  <c r="GK76" i="3"/>
  <c r="GK77" i="3"/>
  <c r="GK78" i="3"/>
  <c r="GK79" i="3"/>
  <c r="GK80" i="3"/>
  <c r="GK81" i="3"/>
  <c r="GK82" i="3"/>
  <c r="GK83" i="3"/>
  <c r="GK84" i="3"/>
  <c r="GK85" i="3"/>
  <c r="GK86" i="3"/>
  <c r="GK87" i="3"/>
  <c r="GK88" i="3"/>
  <c r="GK89" i="3"/>
  <c r="GK90" i="3"/>
  <c r="GK91" i="3"/>
  <c r="GK92" i="3"/>
  <c r="GK93" i="3"/>
  <c r="GK94" i="3"/>
  <c r="GK95" i="3"/>
  <c r="GK96" i="3"/>
  <c r="GK97" i="3"/>
  <c r="GK98" i="3"/>
  <c r="GK99" i="3"/>
  <c r="GK100" i="3"/>
  <c r="GK101" i="3"/>
  <c r="GK102" i="3"/>
  <c r="GK103" i="3"/>
  <c r="GK104" i="3"/>
  <c r="GK105" i="3"/>
  <c r="GK106" i="3"/>
  <c r="GK107" i="3"/>
  <c r="GK108" i="3"/>
  <c r="GK109" i="3"/>
  <c r="GK110" i="3"/>
  <c r="GK111" i="3"/>
  <c r="GK112" i="3"/>
  <c r="GK113" i="3"/>
  <c r="GK114" i="3"/>
  <c r="GK115" i="3"/>
  <c r="GK116" i="3"/>
  <c r="GK117" i="3"/>
  <c r="GK118" i="3"/>
  <c r="GK119" i="3"/>
  <c r="GK120" i="3"/>
  <c r="GK121" i="3"/>
  <c r="GK122" i="3"/>
  <c r="GK123" i="3"/>
  <c r="GK124" i="3"/>
  <c r="GK125" i="3"/>
  <c r="GK126" i="3"/>
  <c r="GK127" i="3"/>
  <c r="GK128" i="3"/>
  <c r="GK129" i="3"/>
  <c r="GK130" i="3"/>
  <c r="GK131" i="3"/>
  <c r="GK132" i="3"/>
  <c r="GK133" i="3"/>
  <c r="GK134" i="3"/>
  <c r="GK135" i="3"/>
  <c r="GK136" i="3"/>
  <c r="GK137" i="3"/>
  <c r="GK138" i="3"/>
  <c r="GK139" i="3"/>
  <c r="GK140" i="3"/>
  <c r="GK141" i="3"/>
  <c r="GK142" i="3"/>
  <c r="GK143" i="3"/>
  <c r="GK144" i="3"/>
  <c r="GK145" i="3"/>
  <c r="GK146" i="3"/>
  <c r="GK147" i="3"/>
  <c r="GK148" i="3"/>
  <c r="GK149" i="3"/>
  <c r="GK150" i="3"/>
  <c r="GK151" i="3"/>
  <c r="GK152" i="3"/>
  <c r="GK153" i="3"/>
  <c r="GK154" i="3"/>
  <c r="GK155" i="3"/>
  <c r="GK156" i="3"/>
  <c r="GK157" i="3"/>
  <c r="GK158" i="3"/>
  <c r="GK159" i="3"/>
  <c r="GK160" i="3"/>
  <c r="GK161" i="3"/>
  <c r="GK162" i="3"/>
  <c r="GK163" i="3"/>
  <c r="GK164" i="3"/>
  <c r="GK165" i="3"/>
  <c r="GK166" i="3"/>
  <c r="GK167" i="3"/>
  <c r="GK168" i="3"/>
  <c r="GK169" i="3"/>
  <c r="GK170" i="3"/>
  <c r="GK171" i="3"/>
  <c r="GK172" i="3"/>
  <c r="GK173" i="3"/>
  <c r="GK174" i="3"/>
  <c r="GK175" i="3"/>
  <c r="GK176" i="3"/>
  <c r="GK177" i="3"/>
  <c r="GK178" i="3"/>
  <c r="GK179" i="3"/>
  <c r="GK180" i="3"/>
  <c r="GK181" i="3"/>
  <c r="GK182" i="3"/>
  <c r="GK183" i="3"/>
  <c r="GK184" i="3"/>
  <c r="GK185" i="3"/>
  <c r="GK186" i="3"/>
  <c r="GK187" i="3"/>
  <c r="GK188" i="3"/>
  <c r="GK189" i="3"/>
  <c r="GK190" i="3"/>
  <c r="GK191" i="3"/>
  <c r="GK192" i="3"/>
  <c r="GK193" i="3"/>
  <c r="GK194" i="3"/>
  <c r="GK195" i="3"/>
  <c r="GK196" i="3"/>
  <c r="GK197" i="3"/>
  <c r="GK198" i="3"/>
  <c r="GK199" i="3"/>
  <c r="GK200" i="3"/>
  <c r="GK201" i="3"/>
  <c r="GK202" i="3"/>
  <c r="GK203" i="3"/>
  <c r="GK204" i="3"/>
  <c r="GK205" i="3"/>
  <c r="GK206" i="3"/>
  <c r="GK207" i="3"/>
  <c r="GK208" i="3"/>
  <c r="GK209" i="3"/>
  <c r="GK210" i="3"/>
  <c r="GK211" i="3"/>
  <c r="GK212" i="3"/>
  <c r="GK213" i="3"/>
  <c r="GK214" i="3"/>
  <c r="GK215" i="3"/>
  <c r="GK216" i="3"/>
  <c r="GK217" i="3"/>
  <c r="GK218" i="3"/>
  <c r="GK219" i="3"/>
  <c r="GK220" i="3"/>
  <c r="GK221" i="3"/>
  <c r="GK222" i="3"/>
  <c r="GK223" i="3"/>
  <c r="GK224" i="3"/>
  <c r="GK225" i="3"/>
  <c r="GK226" i="3"/>
  <c r="GK227" i="3"/>
  <c r="GK228" i="3"/>
  <c r="GK229" i="3"/>
  <c r="GK230" i="3"/>
  <c r="GK231" i="3"/>
  <c r="GK232" i="3"/>
  <c r="GK233" i="3"/>
  <c r="GK234" i="3"/>
  <c r="GK235" i="3"/>
  <c r="GK236" i="3"/>
  <c r="GK237" i="3"/>
  <c r="GK238" i="3"/>
  <c r="GK239" i="3"/>
  <c r="GK240" i="3"/>
  <c r="GK241" i="3"/>
  <c r="GK242" i="3"/>
  <c r="GK243" i="3"/>
  <c r="GK244" i="3"/>
  <c r="GK245" i="3"/>
  <c r="GK246" i="3"/>
  <c r="GK247" i="3"/>
  <c r="GK248" i="3"/>
  <c r="GK249" i="3"/>
  <c r="GK250" i="3"/>
  <c r="GK251" i="3"/>
  <c r="GK252" i="3"/>
  <c r="GK253" i="3"/>
  <c r="GK254" i="3"/>
  <c r="GK255" i="3"/>
  <c r="GK256" i="3"/>
  <c r="GK257" i="3"/>
  <c r="GK258" i="3"/>
  <c r="GK259" i="3"/>
  <c r="GK260" i="3"/>
  <c r="GK11" i="3"/>
  <c r="GJ12" i="3"/>
  <c r="GJ13" i="3"/>
  <c r="GJ14" i="3"/>
  <c r="GJ15" i="3"/>
  <c r="GJ16" i="3"/>
  <c r="GJ17" i="3"/>
  <c r="GJ18" i="3"/>
  <c r="GJ19" i="3"/>
  <c r="GJ20" i="3"/>
  <c r="GJ21" i="3"/>
  <c r="GJ22" i="3"/>
  <c r="GJ23" i="3"/>
  <c r="GJ24" i="3"/>
  <c r="GJ25" i="3"/>
  <c r="GJ26" i="3"/>
  <c r="GJ27" i="3"/>
  <c r="GJ28" i="3"/>
  <c r="GJ29" i="3"/>
  <c r="GJ30" i="3"/>
  <c r="GJ31" i="3"/>
  <c r="GJ32" i="3"/>
  <c r="GJ33" i="3"/>
  <c r="GJ34" i="3"/>
  <c r="GJ35" i="3"/>
  <c r="GJ36" i="3"/>
  <c r="GJ37" i="3"/>
  <c r="GJ38" i="3"/>
  <c r="GJ39" i="3"/>
  <c r="GJ40" i="3"/>
  <c r="GJ41" i="3"/>
  <c r="GJ42" i="3"/>
  <c r="GJ43" i="3"/>
  <c r="GJ44" i="3"/>
  <c r="GJ45" i="3"/>
  <c r="GJ46" i="3"/>
  <c r="GJ47" i="3"/>
  <c r="GJ48" i="3"/>
  <c r="GJ49" i="3"/>
  <c r="GJ50" i="3"/>
  <c r="GJ51" i="3"/>
  <c r="GJ52" i="3"/>
  <c r="GJ53" i="3"/>
  <c r="GJ54" i="3"/>
  <c r="GJ55" i="3"/>
  <c r="GJ56" i="3"/>
  <c r="GJ57" i="3"/>
  <c r="GJ58" i="3"/>
  <c r="GJ59" i="3"/>
  <c r="GJ60" i="3"/>
  <c r="GJ61" i="3"/>
  <c r="GJ62" i="3"/>
  <c r="GJ63" i="3"/>
  <c r="GJ64" i="3"/>
  <c r="GJ65" i="3"/>
  <c r="GJ66" i="3"/>
  <c r="GJ67" i="3"/>
  <c r="GJ68" i="3"/>
  <c r="GJ69" i="3"/>
  <c r="GJ70" i="3"/>
  <c r="GJ71" i="3"/>
  <c r="GJ72" i="3"/>
  <c r="GJ73" i="3"/>
  <c r="GJ74" i="3"/>
  <c r="GJ75" i="3"/>
  <c r="GJ76" i="3"/>
  <c r="GJ77" i="3"/>
  <c r="GJ78" i="3"/>
  <c r="GJ79" i="3"/>
  <c r="GJ80" i="3"/>
  <c r="GJ81" i="3"/>
  <c r="GJ82" i="3"/>
  <c r="GJ83" i="3"/>
  <c r="GJ84" i="3"/>
  <c r="GJ85" i="3"/>
  <c r="GJ86" i="3"/>
  <c r="GJ87" i="3"/>
  <c r="GJ88" i="3"/>
  <c r="GJ89" i="3"/>
  <c r="GJ90" i="3"/>
  <c r="GJ91" i="3"/>
  <c r="GJ92" i="3"/>
  <c r="GJ93" i="3"/>
  <c r="GJ94" i="3"/>
  <c r="GJ95" i="3"/>
  <c r="GJ96" i="3"/>
  <c r="GJ97" i="3"/>
  <c r="GJ98" i="3"/>
  <c r="GJ99" i="3"/>
  <c r="GJ100" i="3"/>
  <c r="GJ101" i="3"/>
  <c r="GJ102" i="3"/>
  <c r="GJ103" i="3"/>
  <c r="GJ104" i="3"/>
  <c r="GJ105" i="3"/>
  <c r="GJ106" i="3"/>
  <c r="GJ107" i="3"/>
  <c r="GJ108" i="3"/>
  <c r="GJ109" i="3"/>
  <c r="GJ110" i="3"/>
  <c r="GJ111" i="3"/>
  <c r="GJ112" i="3"/>
  <c r="GJ113" i="3"/>
  <c r="GJ114" i="3"/>
  <c r="GJ115" i="3"/>
  <c r="GJ116" i="3"/>
  <c r="GJ117" i="3"/>
  <c r="GJ118" i="3"/>
  <c r="GJ119" i="3"/>
  <c r="GJ120" i="3"/>
  <c r="GJ121" i="3"/>
  <c r="GJ122" i="3"/>
  <c r="GJ123" i="3"/>
  <c r="GJ124" i="3"/>
  <c r="GJ125" i="3"/>
  <c r="GJ126" i="3"/>
  <c r="GJ127" i="3"/>
  <c r="GJ128" i="3"/>
  <c r="GJ129" i="3"/>
  <c r="GJ130" i="3"/>
  <c r="GJ131" i="3"/>
  <c r="GJ132" i="3"/>
  <c r="GJ133" i="3"/>
  <c r="GJ134" i="3"/>
  <c r="GJ135" i="3"/>
  <c r="GJ136" i="3"/>
  <c r="GJ137" i="3"/>
  <c r="GJ138" i="3"/>
  <c r="GJ139" i="3"/>
  <c r="GJ140" i="3"/>
  <c r="GJ141" i="3"/>
  <c r="GJ142" i="3"/>
  <c r="GJ143" i="3"/>
  <c r="GJ144" i="3"/>
  <c r="GJ145" i="3"/>
  <c r="GJ146" i="3"/>
  <c r="GJ147" i="3"/>
  <c r="GJ148" i="3"/>
  <c r="GJ149" i="3"/>
  <c r="GJ150" i="3"/>
  <c r="GJ151" i="3"/>
  <c r="GJ152" i="3"/>
  <c r="GJ153" i="3"/>
  <c r="GJ154" i="3"/>
  <c r="GJ155" i="3"/>
  <c r="GJ156" i="3"/>
  <c r="GJ157" i="3"/>
  <c r="GJ158" i="3"/>
  <c r="GJ159" i="3"/>
  <c r="GJ160" i="3"/>
  <c r="GJ161" i="3"/>
  <c r="GJ162" i="3"/>
  <c r="GJ163" i="3"/>
  <c r="GJ164" i="3"/>
  <c r="GJ165" i="3"/>
  <c r="GJ166" i="3"/>
  <c r="GJ167" i="3"/>
  <c r="GJ168" i="3"/>
  <c r="GJ169" i="3"/>
  <c r="GJ170" i="3"/>
  <c r="GJ171" i="3"/>
  <c r="GJ172" i="3"/>
  <c r="GJ173" i="3"/>
  <c r="GJ174" i="3"/>
  <c r="GJ175" i="3"/>
  <c r="GJ176" i="3"/>
  <c r="GJ177" i="3"/>
  <c r="GJ178" i="3"/>
  <c r="GJ179" i="3"/>
  <c r="GJ180" i="3"/>
  <c r="GJ181" i="3"/>
  <c r="GJ182" i="3"/>
  <c r="GJ183" i="3"/>
  <c r="GJ184" i="3"/>
  <c r="GJ185" i="3"/>
  <c r="GJ186" i="3"/>
  <c r="GJ187" i="3"/>
  <c r="GJ188" i="3"/>
  <c r="GJ189" i="3"/>
  <c r="GJ190" i="3"/>
  <c r="GJ191" i="3"/>
  <c r="GJ192" i="3"/>
  <c r="GJ193" i="3"/>
  <c r="GJ194" i="3"/>
  <c r="GJ195" i="3"/>
  <c r="GJ196" i="3"/>
  <c r="GJ197" i="3"/>
  <c r="GJ198" i="3"/>
  <c r="GJ199" i="3"/>
  <c r="GJ200" i="3"/>
  <c r="GJ201" i="3"/>
  <c r="GJ202" i="3"/>
  <c r="GJ203" i="3"/>
  <c r="GJ204" i="3"/>
  <c r="GJ205" i="3"/>
  <c r="GJ206" i="3"/>
  <c r="GJ207" i="3"/>
  <c r="GJ208" i="3"/>
  <c r="GJ209" i="3"/>
  <c r="GJ210" i="3"/>
  <c r="GJ211" i="3"/>
  <c r="GJ212" i="3"/>
  <c r="GJ213" i="3"/>
  <c r="GJ214" i="3"/>
  <c r="GJ215" i="3"/>
  <c r="GJ216" i="3"/>
  <c r="GJ217" i="3"/>
  <c r="GJ218" i="3"/>
  <c r="GJ219" i="3"/>
  <c r="GJ220" i="3"/>
  <c r="GJ221" i="3"/>
  <c r="GJ222" i="3"/>
  <c r="GJ223" i="3"/>
  <c r="GJ224" i="3"/>
  <c r="GJ225" i="3"/>
  <c r="GJ226" i="3"/>
  <c r="GJ227" i="3"/>
  <c r="GJ228" i="3"/>
  <c r="GJ229" i="3"/>
  <c r="GJ230" i="3"/>
  <c r="GJ231" i="3"/>
  <c r="GJ232" i="3"/>
  <c r="GJ233" i="3"/>
  <c r="GJ234" i="3"/>
  <c r="GJ235" i="3"/>
  <c r="GJ236" i="3"/>
  <c r="GJ237" i="3"/>
  <c r="GJ238" i="3"/>
  <c r="GJ239" i="3"/>
  <c r="GJ240" i="3"/>
  <c r="GJ241" i="3"/>
  <c r="GJ242" i="3"/>
  <c r="GJ243" i="3"/>
  <c r="GJ244" i="3"/>
  <c r="GJ245" i="3"/>
  <c r="GJ246" i="3"/>
  <c r="GJ247" i="3"/>
  <c r="GJ248" i="3"/>
  <c r="GJ249" i="3"/>
  <c r="GJ250" i="3"/>
  <c r="GJ251" i="3"/>
  <c r="GJ252" i="3"/>
  <c r="GJ253" i="3"/>
  <c r="GJ254" i="3"/>
  <c r="GJ255" i="3"/>
  <c r="GJ256" i="3"/>
  <c r="GJ257" i="3"/>
  <c r="GJ258" i="3"/>
  <c r="GJ259" i="3"/>
  <c r="GJ260" i="3"/>
  <c r="GJ11" i="3"/>
  <c r="GH12" i="3" l="1"/>
  <c r="GH13" i="3"/>
  <c r="GH14" i="3"/>
  <c r="GH15" i="3"/>
  <c r="GH16" i="3"/>
  <c r="GH17" i="3"/>
  <c r="GH18" i="3"/>
  <c r="GH19" i="3"/>
  <c r="GH20" i="3"/>
  <c r="GH21" i="3"/>
  <c r="GH22" i="3"/>
  <c r="GH23" i="3"/>
  <c r="GH24" i="3"/>
  <c r="GH25" i="3"/>
  <c r="GH26" i="3"/>
  <c r="GH27" i="3"/>
  <c r="GH28" i="3"/>
  <c r="GH29" i="3"/>
  <c r="GH30" i="3"/>
  <c r="GH31" i="3"/>
  <c r="GH32" i="3"/>
  <c r="GH33" i="3"/>
  <c r="GH34" i="3"/>
  <c r="GH35" i="3"/>
  <c r="GH36" i="3"/>
  <c r="GH37" i="3"/>
  <c r="GH38" i="3"/>
  <c r="GH39" i="3"/>
  <c r="GH40" i="3"/>
  <c r="GH41" i="3"/>
  <c r="GH42" i="3"/>
  <c r="GH43" i="3"/>
  <c r="GH44" i="3"/>
  <c r="GH45" i="3"/>
  <c r="GH46" i="3"/>
  <c r="GH47" i="3"/>
  <c r="GH48" i="3"/>
  <c r="GH49" i="3"/>
  <c r="GH50" i="3"/>
  <c r="GH51" i="3"/>
  <c r="GH52" i="3"/>
  <c r="GH53" i="3"/>
  <c r="GH54" i="3"/>
  <c r="GH55" i="3"/>
  <c r="GH56" i="3"/>
  <c r="GH57" i="3"/>
  <c r="GH58" i="3"/>
  <c r="GH59" i="3"/>
  <c r="GH60" i="3"/>
  <c r="GH61" i="3"/>
  <c r="GH62" i="3"/>
  <c r="GH63" i="3"/>
  <c r="GH64" i="3"/>
  <c r="GH65" i="3"/>
  <c r="GH66" i="3"/>
  <c r="GH67" i="3"/>
  <c r="GH68" i="3"/>
  <c r="GH69" i="3"/>
  <c r="GH70" i="3"/>
  <c r="GH71" i="3"/>
  <c r="GH72" i="3"/>
  <c r="GH73" i="3"/>
  <c r="GH74" i="3"/>
  <c r="GH75" i="3"/>
  <c r="GH76" i="3"/>
  <c r="GH77" i="3"/>
  <c r="GH78" i="3"/>
  <c r="GH79" i="3"/>
  <c r="GH80" i="3"/>
  <c r="GH81" i="3"/>
  <c r="GH82" i="3"/>
  <c r="GH83" i="3"/>
  <c r="GH84" i="3"/>
  <c r="GH85" i="3"/>
  <c r="GH86" i="3"/>
  <c r="GH87" i="3"/>
  <c r="GH88" i="3"/>
  <c r="GH89" i="3"/>
  <c r="GH90" i="3"/>
  <c r="GH91" i="3"/>
  <c r="GH92" i="3"/>
  <c r="GH93" i="3"/>
  <c r="GH94" i="3"/>
  <c r="GH95" i="3"/>
  <c r="GH96" i="3"/>
  <c r="GH97" i="3"/>
  <c r="GH98" i="3"/>
  <c r="GH99" i="3"/>
  <c r="GH100" i="3"/>
  <c r="GH101" i="3"/>
  <c r="GH102" i="3"/>
  <c r="GH103" i="3"/>
  <c r="GH104" i="3"/>
  <c r="GH105" i="3"/>
  <c r="GH106" i="3"/>
  <c r="GH107" i="3"/>
  <c r="GH108" i="3"/>
  <c r="GH109" i="3"/>
  <c r="GH110" i="3"/>
  <c r="GH111" i="3"/>
  <c r="GH112" i="3"/>
  <c r="GH113" i="3"/>
  <c r="GH114" i="3"/>
  <c r="GH115" i="3"/>
  <c r="GH116" i="3"/>
  <c r="GH117" i="3"/>
  <c r="GH118" i="3"/>
  <c r="GH119" i="3"/>
  <c r="GH120" i="3"/>
  <c r="GH121" i="3"/>
  <c r="GH122" i="3"/>
  <c r="GH123" i="3"/>
  <c r="GH124" i="3"/>
  <c r="GH125" i="3"/>
  <c r="GH126" i="3"/>
  <c r="GH127" i="3"/>
  <c r="GH128" i="3"/>
  <c r="GH129" i="3"/>
  <c r="GH130" i="3"/>
  <c r="GH131" i="3"/>
  <c r="GH132" i="3"/>
  <c r="GH133" i="3"/>
  <c r="GH134" i="3"/>
  <c r="GH135" i="3"/>
  <c r="GH136" i="3"/>
  <c r="GH137" i="3"/>
  <c r="GH138" i="3"/>
  <c r="GH139" i="3"/>
  <c r="GH140" i="3"/>
  <c r="GH141" i="3"/>
  <c r="GH142" i="3"/>
  <c r="GH143" i="3"/>
  <c r="GH144" i="3"/>
  <c r="GH145" i="3"/>
  <c r="GH146" i="3"/>
  <c r="GH147" i="3"/>
  <c r="GH148" i="3"/>
  <c r="GH149" i="3"/>
  <c r="GH150" i="3"/>
  <c r="GH151" i="3"/>
  <c r="GH152" i="3"/>
  <c r="GH153" i="3"/>
  <c r="GH154" i="3"/>
  <c r="GH155" i="3"/>
  <c r="GH156" i="3"/>
  <c r="GH157" i="3"/>
  <c r="GH158" i="3"/>
  <c r="GH159" i="3"/>
  <c r="GH160" i="3"/>
  <c r="GH161" i="3"/>
  <c r="GH162" i="3"/>
  <c r="GH163" i="3"/>
  <c r="GH164" i="3"/>
  <c r="GH165" i="3"/>
  <c r="GH166" i="3"/>
  <c r="GH167" i="3"/>
  <c r="GH168" i="3"/>
  <c r="GH169" i="3"/>
  <c r="GH170" i="3"/>
  <c r="GH171" i="3"/>
  <c r="GH172" i="3"/>
  <c r="GH173" i="3"/>
  <c r="GH174" i="3"/>
  <c r="GH175" i="3"/>
  <c r="GH176" i="3"/>
  <c r="GH177" i="3"/>
  <c r="GH178" i="3"/>
  <c r="GH179" i="3"/>
  <c r="GH180" i="3"/>
  <c r="GH181" i="3"/>
  <c r="GH182" i="3"/>
  <c r="GH183" i="3"/>
  <c r="GH184" i="3"/>
  <c r="GH185" i="3"/>
  <c r="GH186" i="3"/>
  <c r="GH187" i="3"/>
  <c r="GH188" i="3"/>
  <c r="GH189" i="3"/>
  <c r="GH190" i="3"/>
  <c r="GH191" i="3"/>
  <c r="GH192" i="3"/>
  <c r="GH193" i="3"/>
  <c r="GH194" i="3"/>
  <c r="GH195" i="3"/>
  <c r="GH196" i="3"/>
  <c r="GH197" i="3"/>
  <c r="GH198" i="3"/>
  <c r="GH199" i="3"/>
  <c r="GH200" i="3"/>
  <c r="GH201" i="3"/>
  <c r="GH202" i="3"/>
  <c r="GH203" i="3"/>
  <c r="GH204" i="3"/>
  <c r="GH205" i="3"/>
  <c r="GH206" i="3"/>
  <c r="GH207" i="3"/>
  <c r="GH208" i="3"/>
  <c r="GH209" i="3"/>
  <c r="GH210" i="3"/>
  <c r="GH211" i="3"/>
  <c r="GH212" i="3"/>
  <c r="GH213" i="3"/>
  <c r="GH214" i="3"/>
  <c r="GH215" i="3"/>
  <c r="GH216" i="3"/>
  <c r="GH217" i="3"/>
  <c r="GH218" i="3"/>
  <c r="GH219" i="3"/>
  <c r="GH220" i="3"/>
  <c r="GH221" i="3"/>
  <c r="GH222" i="3"/>
  <c r="GH223" i="3"/>
  <c r="GH224" i="3"/>
  <c r="GH225" i="3"/>
  <c r="GH226" i="3"/>
  <c r="GH227" i="3"/>
  <c r="GH228" i="3"/>
  <c r="GH229" i="3"/>
  <c r="GH230" i="3"/>
  <c r="GH231" i="3"/>
  <c r="GH232" i="3"/>
  <c r="GH233" i="3"/>
  <c r="GH234" i="3"/>
  <c r="GH235" i="3"/>
  <c r="GH236" i="3"/>
  <c r="GH237" i="3"/>
  <c r="GH238" i="3"/>
  <c r="GH239" i="3"/>
  <c r="GH240" i="3"/>
  <c r="GH241" i="3"/>
  <c r="GH242" i="3"/>
  <c r="GH243" i="3"/>
  <c r="GH244" i="3"/>
  <c r="GH245" i="3"/>
  <c r="GH246" i="3"/>
  <c r="GH247" i="3"/>
  <c r="GH248" i="3"/>
  <c r="GH249" i="3"/>
  <c r="GH250" i="3"/>
  <c r="GH251" i="3"/>
  <c r="GH252" i="3"/>
  <c r="GH253" i="3"/>
  <c r="GH254" i="3"/>
  <c r="GH255" i="3"/>
  <c r="GH256" i="3"/>
  <c r="GH257" i="3"/>
  <c r="GH258" i="3"/>
  <c r="GH259" i="3"/>
  <c r="GH260" i="3"/>
  <c r="GH11" i="3"/>
  <c r="GB12" i="3" l="1" a="1"/>
  <c r="GB12" i="3" s="1"/>
  <c r="GB13" i="3" a="1"/>
  <c r="GB13" i="3" s="1"/>
  <c r="GB14" i="3" a="1"/>
  <c r="GB14" i="3" s="1"/>
  <c r="GB15" i="3" a="1"/>
  <c r="GB15" i="3" s="1"/>
  <c r="GB16" i="3" a="1"/>
  <c r="GB16" i="3" s="1"/>
  <c r="GB17" i="3" a="1"/>
  <c r="GB17" i="3" s="1"/>
  <c r="GB18" i="3" a="1"/>
  <c r="GB18" i="3" s="1"/>
  <c r="GB19" i="3" a="1"/>
  <c r="GB19" i="3" s="1"/>
  <c r="GC19" i="3" s="1"/>
  <c r="GB20" i="3" a="1"/>
  <c r="GB20" i="3" s="1"/>
  <c r="GC20" i="3" s="1"/>
  <c r="GB21" i="3" a="1"/>
  <c r="GB21" i="3" s="1"/>
  <c r="GC21" i="3" s="1"/>
  <c r="GB22" i="3" a="1"/>
  <c r="GB22" i="3" s="1"/>
  <c r="GC22" i="3" s="1"/>
  <c r="GB23" i="3" a="1"/>
  <c r="GB23" i="3" s="1"/>
  <c r="GC23" i="3" s="1"/>
  <c r="GB24" i="3" a="1"/>
  <c r="GB24" i="3" s="1"/>
  <c r="GC24" i="3" s="1"/>
  <c r="GB25" i="3" a="1"/>
  <c r="GB25" i="3" s="1"/>
  <c r="GC25" i="3" s="1"/>
  <c r="GB26" i="3" a="1"/>
  <c r="GB26" i="3" s="1"/>
  <c r="GC26" i="3" s="1"/>
  <c r="GB27" i="3" a="1"/>
  <c r="GB27" i="3" s="1"/>
  <c r="GC27" i="3" s="1"/>
  <c r="GB28" i="3" a="1"/>
  <c r="GB28" i="3" s="1"/>
  <c r="GC28" i="3" s="1"/>
  <c r="GB29" i="3" a="1"/>
  <c r="GB29" i="3" s="1"/>
  <c r="GC29" i="3" s="1"/>
  <c r="GB30" i="3" a="1"/>
  <c r="GB30" i="3" s="1"/>
  <c r="GC30" i="3" s="1"/>
  <c r="GB31" i="3" a="1"/>
  <c r="GB31" i="3" s="1"/>
  <c r="GB32" i="3" a="1"/>
  <c r="GB32" i="3" s="1"/>
  <c r="GB33" i="3" a="1"/>
  <c r="GB33" i="3" s="1"/>
  <c r="GB34" i="3" a="1"/>
  <c r="GB34" i="3" s="1"/>
  <c r="GB35" i="3" a="1"/>
  <c r="GB35" i="3" s="1"/>
  <c r="GB36" i="3" a="1"/>
  <c r="GB36" i="3" s="1"/>
  <c r="GC36" i="3" s="1"/>
  <c r="GB37" i="3" a="1"/>
  <c r="GB37" i="3" s="1"/>
  <c r="GB38" i="3" a="1"/>
  <c r="GB38" i="3" s="1"/>
  <c r="GB39" i="3" a="1"/>
  <c r="GB39" i="3" s="1"/>
  <c r="GB40" i="3" a="1"/>
  <c r="GB40" i="3" s="1"/>
  <c r="GC40" i="3" s="1"/>
  <c r="GB41" i="3" a="1"/>
  <c r="GB41" i="3" s="1"/>
  <c r="GC41" i="3" s="1"/>
  <c r="GB42" i="3" a="1"/>
  <c r="GB42" i="3" s="1"/>
  <c r="GC42" i="3" s="1"/>
  <c r="GB43" i="3" a="1"/>
  <c r="GB43" i="3" s="1"/>
  <c r="GC43" i="3" s="1"/>
  <c r="GB44" i="3" a="1"/>
  <c r="GB44" i="3" s="1"/>
  <c r="GC44" i="3" s="1"/>
  <c r="GB45" i="3" a="1"/>
  <c r="GB45" i="3" s="1"/>
  <c r="GC45" i="3" s="1"/>
  <c r="GB46" i="3" a="1"/>
  <c r="GB46" i="3" s="1"/>
  <c r="GB47" i="3" a="1"/>
  <c r="GB47" i="3" s="1"/>
  <c r="GB48" i="3" a="1"/>
  <c r="GB48" i="3" s="1"/>
  <c r="GB49" i="3" a="1"/>
  <c r="GB49" i="3" s="1"/>
  <c r="GB50" i="3" a="1"/>
  <c r="GB50" i="3" s="1"/>
  <c r="GB51" i="3" a="1"/>
  <c r="GB51" i="3" s="1"/>
  <c r="GC51" i="3" s="1"/>
  <c r="GB52" i="3" a="1"/>
  <c r="GB52" i="3" s="1"/>
  <c r="GC52" i="3" s="1"/>
  <c r="GB53" i="3" a="1"/>
  <c r="GB53" i="3" s="1"/>
  <c r="GB54" i="3" a="1"/>
  <c r="GB54" i="3" s="1"/>
  <c r="GB55" i="3" a="1"/>
  <c r="GB55" i="3" s="1"/>
  <c r="GC55" i="3" s="1"/>
  <c r="GB56" i="3" a="1"/>
  <c r="GB56" i="3" s="1"/>
  <c r="GC56" i="3" s="1"/>
  <c r="GB57" i="3" a="1"/>
  <c r="GB57" i="3" s="1"/>
  <c r="GC57" i="3" s="1"/>
  <c r="GB58" i="3" a="1"/>
  <c r="GB58" i="3" s="1"/>
  <c r="GC58" i="3" s="1"/>
  <c r="GB59" i="3" a="1"/>
  <c r="GB59" i="3" s="1"/>
  <c r="GC59" i="3" s="1"/>
  <c r="GB60" i="3" a="1"/>
  <c r="GB60" i="3" s="1"/>
  <c r="GC60" i="3" s="1"/>
  <c r="GB61" i="3" a="1"/>
  <c r="GB61" i="3" s="1"/>
  <c r="GC61" i="3" s="1"/>
  <c r="GB62" i="3" a="1"/>
  <c r="GB62" i="3" s="1"/>
  <c r="GC62" i="3" s="1"/>
  <c r="GB63" i="3" a="1"/>
  <c r="GB63" i="3" s="1"/>
  <c r="GC63" i="3" s="1"/>
  <c r="GB64" i="3" a="1"/>
  <c r="GB64" i="3" s="1"/>
  <c r="GC64" i="3" s="1"/>
  <c r="GB65" i="3" a="1"/>
  <c r="GB65" i="3" s="1"/>
  <c r="GC65" i="3" s="1"/>
  <c r="GB66" i="3" a="1"/>
  <c r="GB66" i="3" s="1"/>
  <c r="GC66" i="3" s="1"/>
  <c r="GB67" i="3" a="1"/>
  <c r="GB67" i="3" s="1"/>
  <c r="GB68" i="3" a="1"/>
  <c r="GB68" i="3" s="1"/>
  <c r="GB69" i="3" a="1"/>
  <c r="GB69" i="3" s="1"/>
  <c r="GB70" i="3" a="1"/>
  <c r="GB70" i="3" s="1"/>
  <c r="GB71" i="3" a="1"/>
  <c r="GB71" i="3" s="1"/>
  <c r="GC71" i="3" s="1"/>
  <c r="GB72" i="3" a="1"/>
  <c r="GB72" i="3" s="1"/>
  <c r="GC72" i="3" s="1"/>
  <c r="GB73" i="3" a="1"/>
  <c r="GB73" i="3" s="1"/>
  <c r="GC73" i="3" s="1"/>
  <c r="GB74" i="3" a="1"/>
  <c r="GB74" i="3" s="1"/>
  <c r="GC74" i="3" s="1"/>
  <c r="GB75" i="3" a="1"/>
  <c r="GB75" i="3" s="1"/>
  <c r="GC75" i="3" s="1"/>
  <c r="GB76" i="3" a="1"/>
  <c r="GB76" i="3" s="1"/>
  <c r="GC76" i="3" s="1"/>
  <c r="GB77" i="3" a="1"/>
  <c r="GB77" i="3" s="1"/>
  <c r="GC77" i="3" s="1"/>
  <c r="GB78" i="3" a="1"/>
  <c r="GB78" i="3" s="1"/>
  <c r="GC78" i="3" s="1"/>
  <c r="GB79" i="3" a="1"/>
  <c r="GB79" i="3" s="1"/>
  <c r="GC79" i="3" s="1"/>
  <c r="GB80" i="3" a="1"/>
  <c r="GB80" i="3" s="1"/>
  <c r="GC80" i="3" s="1"/>
  <c r="GB81" i="3" a="1"/>
  <c r="GB81" i="3" s="1"/>
  <c r="GC81" i="3" s="1"/>
  <c r="GB82" i="3" a="1"/>
  <c r="GB82" i="3" s="1"/>
  <c r="GC82" i="3" s="1"/>
  <c r="GB83" i="3" a="1"/>
  <c r="GB83" i="3" s="1"/>
  <c r="GC83" i="3" s="1"/>
  <c r="GB84" i="3" a="1"/>
  <c r="GB84" i="3" s="1"/>
  <c r="GC84" i="3" s="1"/>
  <c r="GB85" i="3" a="1"/>
  <c r="GB85" i="3" s="1"/>
  <c r="GC85" i="3" s="1"/>
  <c r="GB86" i="3" a="1"/>
  <c r="GB86" i="3" s="1"/>
  <c r="GC86" i="3" s="1"/>
  <c r="GB87" i="3" a="1"/>
  <c r="GB87" i="3" s="1"/>
  <c r="GC87" i="3" s="1"/>
  <c r="GB88" i="3" a="1"/>
  <c r="GB88" i="3" s="1"/>
  <c r="GC88" i="3" s="1"/>
  <c r="GB89" i="3" a="1"/>
  <c r="GB89" i="3" s="1"/>
  <c r="GC89" i="3" s="1"/>
  <c r="GB90" i="3" a="1"/>
  <c r="GB90" i="3" s="1"/>
  <c r="GC90" i="3" s="1"/>
  <c r="GB91" i="3" a="1"/>
  <c r="GB91" i="3" s="1"/>
  <c r="GC91" i="3" s="1"/>
  <c r="GB92" i="3" a="1"/>
  <c r="GB92" i="3" s="1"/>
  <c r="GB93" i="3" a="1"/>
  <c r="GB93" i="3" s="1"/>
  <c r="GB94" i="3" a="1"/>
  <c r="GB94" i="3" s="1"/>
  <c r="GC94" i="3" s="1"/>
  <c r="GB95" i="3" a="1"/>
  <c r="GB95" i="3" s="1"/>
  <c r="GB96" i="3" a="1"/>
  <c r="GB96" i="3" s="1"/>
  <c r="GB97" i="3" a="1"/>
  <c r="GB97" i="3" s="1"/>
  <c r="GB98" i="3" a="1"/>
  <c r="GB98" i="3" s="1"/>
  <c r="GB99" i="3" a="1"/>
  <c r="GB99" i="3" s="1"/>
  <c r="GB100" i="3" a="1"/>
  <c r="GB100" i="3" s="1"/>
  <c r="GB101" i="3" a="1"/>
  <c r="GB101" i="3" s="1"/>
  <c r="GB102" i="3" a="1"/>
  <c r="GB102" i="3" s="1"/>
  <c r="GC102" i="3" s="1"/>
  <c r="GB103" i="3" a="1"/>
  <c r="GB103" i="3" s="1"/>
  <c r="GB104" i="3" a="1"/>
  <c r="GB104" i="3" s="1"/>
  <c r="GB105" i="3" a="1"/>
  <c r="GB105" i="3" s="1"/>
  <c r="GB106" i="3" a="1"/>
  <c r="GB106" i="3" s="1"/>
  <c r="GB107" i="3" a="1"/>
  <c r="GB107" i="3" s="1"/>
  <c r="GC107" i="3" s="1"/>
  <c r="GB108" i="3" a="1"/>
  <c r="GB108" i="3" s="1"/>
  <c r="GC108" i="3" s="1"/>
  <c r="GB109" i="3" a="1"/>
  <c r="GB109" i="3" s="1"/>
  <c r="GB110" i="3" a="1"/>
  <c r="GB110" i="3" s="1"/>
  <c r="GC110" i="3" s="1"/>
  <c r="GB111" i="3" a="1"/>
  <c r="GB111" i="3" s="1"/>
  <c r="GB112" i="3" a="1"/>
  <c r="GB112" i="3" s="1"/>
  <c r="GC112" i="3" s="1"/>
  <c r="GB113" i="3" a="1"/>
  <c r="GB113" i="3" s="1"/>
  <c r="GC113" i="3" s="1"/>
  <c r="GB114" i="3" a="1"/>
  <c r="GB114" i="3" s="1"/>
  <c r="GB115" i="3" a="1"/>
  <c r="GB115" i="3" s="1"/>
  <c r="GC115" i="3" s="1"/>
  <c r="GB116" i="3" a="1"/>
  <c r="GB116" i="3" s="1"/>
  <c r="GC116" i="3" s="1"/>
  <c r="GB117" i="3" a="1"/>
  <c r="GB117" i="3" s="1"/>
  <c r="GC117" i="3" s="1"/>
  <c r="GB118" i="3" a="1"/>
  <c r="GB118" i="3" s="1"/>
  <c r="GC118" i="3" s="1"/>
  <c r="GB119" i="3" a="1"/>
  <c r="GB119" i="3" s="1"/>
  <c r="GC119" i="3" s="1"/>
  <c r="GB120" i="3" a="1"/>
  <c r="GB120" i="3" s="1"/>
  <c r="GC120" i="3" s="1"/>
  <c r="GB121" i="3" a="1"/>
  <c r="GB121" i="3" s="1"/>
  <c r="GC121" i="3" s="1"/>
  <c r="GB122" i="3" a="1"/>
  <c r="GB122" i="3" s="1"/>
  <c r="GC122" i="3" s="1"/>
  <c r="GB123" i="3" a="1"/>
  <c r="GB123" i="3" s="1"/>
  <c r="GC123" i="3" s="1"/>
  <c r="GB124" i="3" a="1"/>
  <c r="GB124" i="3" s="1"/>
  <c r="GC124" i="3" s="1"/>
  <c r="GB125" i="3" a="1"/>
  <c r="GB125" i="3" s="1"/>
  <c r="GC125" i="3" s="1"/>
  <c r="GB126" i="3" a="1"/>
  <c r="GB126" i="3" s="1"/>
  <c r="GC126" i="3" s="1"/>
  <c r="GB127" i="3" a="1"/>
  <c r="GB127" i="3" s="1"/>
  <c r="GC127" i="3" s="1"/>
  <c r="GB128" i="3" a="1"/>
  <c r="GB128" i="3" s="1"/>
  <c r="GC128" i="3" s="1"/>
  <c r="GB129" i="3" a="1"/>
  <c r="GB129" i="3" s="1"/>
  <c r="GC129" i="3" s="1"/>
  <c r="GB130" i="3" a="1"/>
  <c r="GB130" i="3" s="1"/>
  <c r="GC130" i="3" s="1"/>
  <c r="GB131" i="3" a="1"/>
  <c r="GB131" i="3" s="1"/>
  <c r="GC131" i="3" s="1"/>
  <c r="GB132" i="3" a="1"/>
  <c r="GB132" i="3" s="1"/>
  <c r="GB133" i="3" a="1"/>
  <c r="GB133" i="3" s="1"/>
  <c r="GB134" i="3" a="1"/>
  <c r="GB134" i="3" s="1"/>
  <c r="GB135" i="3" a="1"/>
  <c r="GB135" i="3" s="1"/>
  <c r="GB136" i="3" a="1"/>
  <c r="GB136" i="3" s="1"/>
  <c r="GC136" i="3" s="1"/>
  <c r="GB137" i="3" a="1"/>
  <c r="GB137" i="3" s="1"/>
  <c r="GC137" i="3" s="1"/>
  <c r="GB138" i="3" a="1"/>
  <c r="GB138" i="3" s="1"/>
  <c r="GC138" i="3" s="1"/>
  <c r="GB139" i="3" a="1"/>
  <c r="GB139" i="3" s="1"/>
  <c r="GC139" i="3" s="1"/>
  <c r="GB140" i="3" a="1"/>
  <c r="GB140" i="3" s="1"/>
  <c r="GC140" i="3" s="1"/>
  <c r="GB141" i="3" a="1"/>
  <c r="GB141" i="3" s="1"/>
  <c r="GC141" i="3" s="1"/>
  <c r="GB142" i="3" a="1"/>
  <c r="GB142" i="3" s="1"/>
  <c r="GC142" i="3" s="1"/>
  <c r="GB143" i="3" a="1"/>
  <c r="GB143" i="3" s="1"/>
  <c r="GC143" i="3" s="1"/>
  <c r="GB144" i="3" a="1"/>
  <c r="GB144" i="3" s="1"/>
  <c r="GC144" i="3" s="1"/>
  <c r="GB145" i="3" a="1"/>
  <c r="GB145" i="3" s="1"/>
  <c r="GC145" i="3" s="1"/>
  <c r="GB146" i="3" a="1"/>
  <c r="GB146" i="3" s="1"/>
  <c r="GC146" i="3" s="1"/>
  <c r="GB147" i="3" a="1"/>
  <c r="GB147" i="3" s="1"/>
  <c r="GC147" i="3" s="1"/>
  <c r="GB148" i="3" a="1"/>
  <c r="GB148" i="3" s="1"/>
  <c r="GC148" i="3" s="1"/>
  <c r="GB149" i="3" a="1"/>
  <c r="GB149" i="3" s="1"/>
  <c r="GC149" i="3" s="1"/>
  <c r="GB150" i="3" a="1"/>
  <c r="GB150" i="3" s="1"/>
  <c r="GC150" i="3" s="1"/>
  <c r="GB151" i="3" a="1"/>
  <c r="GB151" i="3" s="1"/>
  <c r="GC151" i="3" s="1"/>
  <c r="GB152" i="3" a="1"/>
  <c r="GB152" i="3" s="1"/>
  <c r="GC152" i="3" s="1"/>
  <c r="GB153" i="3" a="1"/>
  <c r="GB153" i="3" s="1"/>
  <c r="GC153" i="3" s="1"/>
  <c r="GB154" i="3" a="1"/>
  <c r="GB154" i="3" s="1"/>
  <c r="GC154" i="3" s="1"/>
  <c r="GB155" i="3" a="1"/>
  <c r="GB155" i="3" s="1"/>
  <c r="GC155" i="3" s="1"/>
  <c r="GB156" i="3" a="1"/>
  <c r="GB156" i="3" s="1"/>
  <c r="GC156" i="3" s="1"/>
  <c r="GB157" i="3" a="1"/>
  <c r="GB157" i="3" s="1"/>
  <c r="GC157" i="3" s="1"/>
  <c r="GB158" i="3" a="1"/>
  <c r="GB158" i="3" s="1"/>
  <c r="GC158" i="3" s="1"/>
  <c r="GB159" i="3" a="1"/>
  <c r="GB159" i="3" s="1"/>
  <c r="GC159" i="3" s="1"/>
  <c r="GB160" i="3" a="1"/>
  <c r="GB160" i="3" s="1"/>
  <c r="GC160" i="3" s="1"/>
  <c r="GB161" i="3" a="1"/>
  <c r="GB161" i="3" s="1"/>
  <c r="GC161" i="3" s="1"/>
  <c r="GB162" i="3" a="1"/>
  <c r="GB162" i="3" s="1"/>
  <c r="GC162" i="3" s="1"/>
  <c r="GB163" i="3" a="1"/>
  <c r="GB163" i="3" s="1"/>
  <c r="GC163" i="3" s="1"/>
  <c r="GB164" i="3" a="1"/>
  <c r="GB164" i="3" s="1"/>
  <c r="GC164" i="3" s="1"/>
  <c r="GB165" i="3" a="1"/>
  <c r="GB165" i="3" s="1"/>
  <c r="GC165" i="3" s="1"/>
  <c r="GB166" i="3" a="1"/>
  <c r="GB166" i="3" s="1"/>
  <c r="GC166" i="3" s="1"/>
  <c r="GB167" i="3" a="1"/>
  <c r="GB167" i="3" s="1"/>
  <c r="GC167" i="3" s="1"/>
  <c r="GB168" i="3" a="1"/>
  <c r="GB168" i="3" s="1"/>
  <c r="GC168" i="3" s="1"/>
  <c r="GB169" i="3" a="1"/>
  <c r="GB169" i="3" s="1"/>
  <c r="GC169" i="3" s="1"/>
  <c r="GB170" i="3" a="1"/>
  <c r="GB170" i="3" s="1"/>
  <c r="GC170" i="3" s="1"/>
  <c r="GB171" i="3" a="1"/>
  <c r="GB171" i="3" s="1"/>
  <c r="GC171" i="3" s="1"/>
  <c r="GB172" i="3" a="1"/>
  <c r="GB172" i="3" s="1"/>
  <c r="GC172" i="3" s="1"/>
  <c r="GB173" i="3" a="1"/>
  <c r="GB173" i="3" s="1"/>
  <c r="GC173" i="3" s="1"/>
  <c r="GB174" i="3" a="1"/>
  <c r="GB174" i="3" s="1"/>
  <c r="GC174" i="3" s="1"/>
  <c r="GB175" i="3" a="1"/>
  <c r="GB175" i="3" s="1"/>
  <c r="GC175" i="3" s="1"/>
  <c r="GB176" i="3" a="1"/>
  <c r="GB176" i="3" s="1"/>
  <c r="GC176" i="3" s="1"/>
  <c r="GB177" i="3" a="1"/>
  <c r="GB177" i="3" s="1"/>
  <c r="GC177" i="3" s="1"/>
  <c r="GB178" i="3" a="1"/>
  <c r="GB178" i="3" s="1"/>
  <c r="GC178" i="3" s="1"/>
  <c r="GB179" i="3" a="1"/>
  <c r="GB179" i="3" s="1"/>
  <c r="GC179" i="3" s="1"/>
  <c r="GB180" i="3" a="1"/>
  <c r="GB180" i="3" s="1"/>
  <c r="GC180" i="3" s="1"/>
  <c r="GB181" i="3" a="1"/>
  <c r="GB181" i="3" s="1"/>
  <c r="GC181" i="3" s="1"/>
  <c r="GB182" i="3" a="1"/>
  <c r="GB182" i="3" s="1"/>
  <c r="GC182" i="3" s="1"/>
  <c r="GB183" i="3" a="1"/>
  <c r="GB183" i="3" s="1"/>
  <c r="GC183" i="3" s="1"/>
  <c r="GB184" i="3" a="1"/>
  <c r="GB184" i="3" s="1"/>
  <c r="GC184" i="3" s="1"/>
  <c r="GB185" i="3" a="1"/>
  <c r="GB185" i="3" s="1"/>
  <c r="GC185" i="3" s="1"/>
  <c r="GB186" i="3" a="1"/>
  <c r="GB186" i="3" s="1"/>
  <c r="GC186" i="3" s="1"/>
  <c r="GB187" i="3" a="1"/>
  <c r="GB187" i="3" s="1"/>
  <c r="GC187" i="3" s="1"/>
  <c r="GB188" i="3" a="1"/>
  <c r="GB188" i="3" s="1"/>
  <c r="GC188" i="3" s="1"/>
  <c r="GB189" i="3" a="1"/>
  <c r="GB189" i="3" s="1"/>
  <c r="GC189" i="3" s="1"/>
  <c r="GB190" i="3" a="1"/>
  <c r="GB190" i="3" s="1"/>
  <c r="GC190" i="3" s="1"/>
  <c r="GB191" i="3" a="1"/>
  <c r="GB191" i="3" s="1"/>
  <c r="GC191" i="3" s="1"/>
  <c r="GB192" i="3" a="1"/>
  <c r="GB192" i="3" s="1"/>
  <c r="GC192" i="3" s="1"/>
  <c r="GB193" i="3" a="1"/>
  <c r="GB193" i="3" s="1"/>
  <c r="GC193" i="3" s="1"/>
  <c r="GB194" i="3" a="1"/>
  <c r="GB194" i="3" s="1"/>
  <c r="GC194" i="3" s="1"/>
  <c r="GB195" i="3" a="1"/>
  <c r="GB195" i="3" s="1"/>
  <c r="GC195" i="3" s="1"/>
  <c r="GB196" i="3" a="1"/>
  <c r="GB196" i="3" s="1"/>
  <c r="GC196" i="3" s="1"/>
  <c r="GB197" i="3" a="1"/>
  <c r="GB197" i="3" s="1"/>
  <c r="GC197" i="3" s="1"/>
  <c r="GB198" i="3" a="1"/>
  <c r="GB198" i="3" s="1"/>
  <c r="GC198" i="3" s="1"/>
  <c r="GB199" i="3" a="1"/>
  <c r="GB199" i="3" s="1"/>
  <c r="GC199" i="3" s="1"/>
  <c r="GB200" i="3" a="1"/>
  <c r="GB200" i="3" s="1"/>
  <c r="GC200" i="3" s="1"/>
  <c r="GB201" i="3" a="1"/>
  <c r="GB201" i="3" s="1"/>
  <c r="GC201" i="3" s="1"/>
  <c r="GB202" i="3" a="1"/>
  <c r="GB202" i="3" s="1"/>
  <c r="GC202" i="3" s="1"/>
  <c r="GB203" i="3" a="1"/>
  <c r="GB203" i="3" s="1"/>
  <c r="GC203" i="3" s="1"/>
  <c r="GB204" i="3" a="1"/>
  <c r="GB204" i="3" s="1"/>
  <c r="GC204" i="3" s="1"/>
  <c r="GB205" i="3" a="1"/>
  <c r="GB205" i="3" s="1"/>
  <c r="GC205" i="3" s="1"/>
  <c r="GB206" i="3" a="1"/>
  <c r="GB206" i="3" s="1"/>
  <c r="GC206" i="3" s="1"/>
  <c r="GB207" i="3" a="1"/>
  <c r="GB207" i="3" s="1"/>
  <c r="GC207" i="3" s="1"/>
  <c r="GB208" i="3" a="1"/>
  <c r="GB208" i="3" s="1"/>
  <c r="GC208" i="3" s="1"/>
  <c r="GB209" i="3" a="1"/>
  <c r="GB209" i="3" s="1"/>
  <c r="GC209" i="3" s="1"/>
  <c r="GB210" i="3" a="1"/>
  <c r="GB210" i="3" s="1"/>
  <c r="GC210" i="3" s="1"/>
  <c r="GB211" i="3" a="1"/>
  <c r="GB211" i="3" s="1"/>
  <c r="GC211" i="3" s="1"/>
  <c r="GB212" i="3" a="1"/>
  <c r="GB212" i="3" s="1"/>
  <c r="GC212" i="3" s="1"/>
  <c r="GB213" i="3" a="1"/>
  <c r="GB213" i="3" s="1"/>
  <c r="GC213" i="3" s="1"/>
  <c r="GB214" i="3" a="1"/>
  <c r="GB214" i="3" s="1"/>
  <c r="GC214" i="3" s="1"/>
  <c r="GB215" i="3" a="1"/>
  <c r="GB215" i="3" s="1"/>
  <c r="GC215" i="3" s="1"/>
  <c r="GB216" i="3" a="1"/>
  <c r="GB216" i="3" s="1"/>
  <c r="GC216" i="3" s="1"/>
  <c r="GB217" i="3" a="1"/>
  <c r="GB217" i="3" s="1"/>
  <c r="GC217" i="3" s="1"/>
  <c r="GB218" i="3" a="1"/>
  <c r="GB218" i="3" s="1"/>
  <c r="GC218" i="3" s="1"/>
  <c r="GB219" i="3" a="1"/>
  <c r="GB219" i="3" s="1"/>
  <c r="GC219" i="3" s="1"/>
  <c r="GB220" i="3" a="1"/>
  <c r="GB220" i="3" s="1"/>
  <c r="GC220" i="3" s="1"/>
  <c r="GB221" i="3" a="1"/>
  <c r="GB221" i="3" s="1"/>
  <c r="GC221" i="3" s="1"/>
  <c r="GB222" i="3" a="1"/>
  <c r="GB222" i="3" s="1"/>
  <c r="GC222" i="3" s="1"/>
  <c r="GB223" i="3" a="1"/>
  <c r="GB223" i="3" s="1"/>
  <c r="GC223" i="3" s="1"/>
  <c r="GB224" i="3" a="1"/>
  <c r="GB224" i="3" s="1"/>
  <c r="GC224" i="3" s="1"/>
  <c r="GB225" i="3" a="1"/>
  <c r="GB225" i="3" s="1"/>
  <c r="GC225" i="3" s="1"/>
  <c r="GB226" i="3" a="1"/>
  <c r="GB226" i="3" s="1"/>
  <c r="GC226" i="3" s="1"/>
  <c r="GB227" i="3" a="1"/>
  <c r="GB227" i="3" s="1"/>
  <c r="GC227" i="3" s="1"/>
  <c r="GB228" i="3" a="1"/>
  <c r="GB228" i="3" s="1"/>
  <c r="GC228" i="3" s="1"/>
  <c r="GB229" i="3" a="1"/>
  <c r="GB229" i="3" s="1"/>
  <c r="GC229" i="3" s="1"/>
  <c r="GB230" i="3" a="1"/>
  <c r="GB230" i="3" s="1"/>
  <c r="GC230" i="3" s="1"/>
  <c r="GB231" i="3" a="1"/>
  <c r="GB231" i="3" s="1"/>
  <c r="GC231" i="3" s="1"/>
  <c r="GB232" i="3" a="1"/>
  <c r="GB232" i="3" s="1"/>
  <c r="GC232" i="3" s="1"/>
  <c r="GB233" i="3" a="1"/>
  <c r="GB233" i="3" s="1"/>
  <c r="GC233" i="3" s="1"/>
  <c r="GB234" i="3" a="1"/>
  <c r="GB234" i="3" s="1"/>
  <c r="GC234" i="3" s="1"/>
  <c r="GB235" i="3" a="1"/>
  <c r="GB235" i="3" s="1"/>
  <c r="GC235" i="3" s="1"/>
  <c r="GB236" i="3" a="1"/>
  <c r="GB236" i="3" s="1"/>
  <c r="GC236" i="3" s="1"/>
  <c r="GB237" i="3" a="1"/>
  <c r="GB237" i="3" s="1"/>
  <c r="GC237" i="3" s="1"/>
  <c r="GB238" i="3" a="1"/>
  <c r="GB238" i="3" s="1"/>
  <c r="GC238" i="3" s="1"/>
  <c r="GB239" i="3" a="1"/>
  <c r="GB239" i="3" s="1"/>
  <c r="GC239" i="3" s="1"/>
  <c r="GB240" i="3" a="1"/>
  <c r="GB240" i="3" s="1"/>
  <c r="GC240" i="3" s="1"/>
  <c r="GB241" i="3" a="1"/>
  <c r="GB241" i="3" s="1"/>
  <c r="GC241" i="3" s="1"/>
  <c r="GB242" i="3" a="1"/>
  <c r="GB242" i="3" s="1"/>
  <c r="GC242" i="3" s="1"/>
  <c r="GB243" i="3" a="1"/>
  <c r="GB243" i="3" s="1"/>
  <c r="GC243" i="3" s="1"/>
  <c r="GB244" i="3" a="1"/>
  <c r="GB244" i="3" s="1"/>
  <c r="GC244" i="3" s="1"/>
  <c r="GB245" i="3" a="1"/>
  <c r="GB245" i="3" s="1"/>
  <c r="GC245" i="3" s="1"/>
  <c r="GB246" i="3" a="1"/>
  <c r="GB246" i="3" s="1"/>
  <c r="GC246" i="3" s="1"/>
  <c r="GB247" i="3" a="1"/>
  <c r="GB247" i="3" s="1"/>
  <c r="GC247" i="3" s="1"/>
  <c r="GB248" i="3" a="1"/>
  <c r="GB248" i="3" s="1"/>
  <c r="GC248" i="3" s="1"/>
  <c r="GB249" i="3" a="1"/>
  <c r="GB249" i="3" s="1"/>
  <c r="GC249" i="3" s="1"/>
  <c r="GB250" i="3" a="1"/>
  <c r="GB250" i="3" s="1"/>
  <c r="GC250" i="3" s="1"/>
  <c r="GB251" i="3" a="1"/>
  <c r="GB251" i="3" s="1"/>
  <c r="GC251" i="3" s="1"/>
  <c r="GB252" i="3" a="1"/>
  <c r="GB252" i="3" s="1"/>
  <c r="GC252" i="3" s="1"/>
  <c r="GB253" i="3" a="1"/>
  <c r="GB253" i="3" s="1"/>
  <c r="GC253" i="3" s="1"/>
  <c r="GB254" i="3" a="1"/>
  <c r="GB254" i="3" s="1"/>
  <c r="GC254" i="3" s="1"/>
  <c r="GB255" i="3" a="1"/>
  <c r="GB255" i="3" s="1"/>
  <c r="GC255" i="3" s="1"/>
  <c r="GB256" i="3" a="1"/>
  <c r="GB256" i="3" s="1"/>
  <c r="GC256" i="3" s="1"/>
  <c r="GB257" i="3" a="1"/>
  <c r="GB257" i="3" s="1"/>
  <c r="GC257" i="3" s="1"/>
  <c r="GB258" i="3" a="1"/>
  <c r="GB258" i="3" s="1"/>
  <c r="GC258" i="3" s="1"/>
  <c r="GB259" i="3" a="1"/>
  <c r="GB259" i="3" s="1"/>
  <c r="GC259" i="3" s="1"/>
  <c r="GB260" i="3" a="1"/>
  <c r="GB260" i="3" s="1"/>
  <c r="GC260" i="3" s="1"/>
  <c r="CB266" i="3"/>
  <c r="CB267" i="3" l="1"/>
  <c r="CM17" i="3" l="1"/>
  <c r="CM18" i="3"/>
  <c r="CM19" i="3"/>
  <c r="CM20" i="3"/>
  <c r="CM21" i="3"/>
  <c r="CM22" i="3"/>
  <c r="CM23" i="3"/>
  <c r="CM24" i="3"/>
  <c r="CM25" i="3"/>
  <c r="CM26" i="3"/>
  <c r="CM27" i="3"/>
  <c r="CM28" i="3"/>
  <c r="CM29" i="3"/>
  <c r="CM30" i="3"/>
  <c r="CM31" i="3"/>
  <c r="CM32" i="3"/>
  <c r="CM33" i="3"/>
  <c r="CM34" i="3"/>
  <c r="CM35" i="3"/>
  <c r="CM36" i="3"/>
  <c r="CM37" i="3"/>
  <c r="CM38" i="3"/>
  <c r="CM39" i="3"/>
  <c r="CM40" i="3"/>
  <c r="CM41" i="3"/>
  <c r="CM42" i="3"/>
  <c r="CM43" i="3"/>
  <c r="CM44" i="3"/>
  <c r="CM45" i="3"/>
  <c r="CM46" i="3"/>
  <c r="CM47" i="3"/>
  <c r="CM48" i="3"/>
  <c r="CM49" i="3"/>
  <c r="CM50" i="3"/>
  <c r="CM51" i="3"/>
  <c r="CM52" i="3"/>
  <c r="CM53" i="3"/>
  <c r="CM54" i="3"/>
  <c r="CM55" i="3"/>
  <c r="CM56" i="3"/>
  <c r="CM57" i="3"/>
  <c r="CM58" i="3"/>
  <c r="CM59" i="3"/>
  <c r="CM60" i="3"/>
  <c r="CM61" i="3"/>
  <c r="CM62" i="3"/>
  <c r="CM63" i="3"/>
  <c r="CM64" i="3"/>
  <c r="CM65" i="3"/>
  <c r="CM66" i="3"/>
  <c r="CM67" i="3"/>
  <c r="CM68" i="3"/>
  <c r="CM69" i="3"/>
  <c r="CM70" i="3"/>
  <c r="CM71" i="3"/>
  <c r="CM72" i="3"/>
  <c r="CM73" i="3"/>
  <c r="CM74" i="3"/>
  <c r="CM75" i="3"/>
  <c r="CM76" i="3"/>
  <c r="CM77" i="3"/>
  <c r="CM78" i="3"/>
  <c r="CM79" i="3"/>
  <c r="CM80" i="3"/>
  <c r="CM81" i="3"/>
  <c r="CM82" i="3"/>
  <c r="CM83" i="3"/>
  <c r="CM84" i="3"/>
  <c r="CM85" i="3"/>
  <c r="CM86" i="3"/>
  <c r="CM87" i="3"/>
  <c r="CM88" i="3"/>
  <c r="CM89" i="3"/>
  <c r="CM90" i="3"/>
  <c r="CM91" i="3"/>
  <c r="CM92" i="3"/>
  <c r="CM93" i="3"/>
  <c r="CM94" i="3"/>
  <c r="CM95" i="3"/>
  <c r="CM96" i="3"/>
  <c r="CM97" i="3"/>
  <c r="CM98" i="3"/>
  <c r="CM99" i="3"/>
  <c r="CM100" i="3"/>
  <c r="CM101" i="3"/>
  <c r="CM102" i="3"/>
  <c r="CM103" i="3"/>
  <c r="CM104" i="3"/>
  <c r="CM105" i="3"/>
  <c r="CM106" i="3"/>
  <c r="CM107" i="3"/>
  <c r="CM108" i="3"/>
  <c r="CM109" i="3"/>
  <c r="CM110" i="3"/>
  <c r="CM111" i="3"/>
  <c r="CM112" i="3"/>
  <c r="CM113" i="3"/>
  <c r="CM114" i="3"/>
  <c r="CM115" i="3"/>
  <c r="CM116" i="3"/>
  <c r="CM117" i="3"/>
  <c r="CM118" i="3"/>
  <c r="CM119" i="3"/>
  <c r="CM120" i="3"/>
  <c r="CM121" i="3"/>
  <c r="CM122" i="3"/>
  <c r="CM123" i="3"/>
  <c r="CM124" i="3"/>
  <c r="CM125" i="3"/>
  <c r="CM126" i="3"/>
  <c r="CM127" i="3"/>
  <c r="CM128" i="3"/>
  <c r="CM129" i="3"/>
  <c r="CM130" i="3"/>
  <c r="CM131" i="3"/>
  <c r="CM132" i="3"/>
  <c r="CM133" i="3"/>
  <c r="CM134" i="3"/>
  <c r="CM135" i="3"/>
  <c r="CM136" i="3"/>
  <c r="CM137" i="3"/>
  <c r="CM138" i="3"/>
  <c r="CM139" i="3"/>
  <c r="CM140" i="3"/>
  <c r="CM141" i="3"/>
  <c r="CM142" i="3"/>
  <c r="CM143" i="3"/>
  <c r="CM144" i="3"/>
  <c r="CM145" i="3"/>
  <c r="CM146" i="3"/>
  <c r="CM147" i="3"/>
  <c r="CM148" i="3"/>
  <c r="CM149" i="3"/>
  <c r="CM150" i="3"/>
  <c r="CM151" i="3"/>
  <c r="CM152" i="3"/>
  <c r="CM153" i="3"/>
  <c r="CM154" i="3"/>
  <c r="CM155" i="3"/>
  <c r="CM156" i="3"/>
  <c r="CM157" i="3"/>
  <c r="CM158" i="3"/>
  <c r="CM159" i="3"/>
  <c r="CM160" i="3"/>
  <c r="CM161" i="3"/>
  <c r="CM162" i="3"/>
  <c r="CM163" i="3"/>
  <c r="CM164" i="3"/>
  <c r="CM165" i="3"/>
  <c r="CM166" i="3"/>
  <c r="CM167" i="3"/>
  <c r="CM168" i="3"/>
  <c r="CM169" i="3"/>
  <c r="CM170" i="3"/>
  <c r="CM171" i="3"/>
  <c r="CM172" i="3"/>
  <c r="CM173" i="3"/>
  <c r="CM174" i="3"/>
  <c r="CM175" i="3"/>
  <c r="CM176" i="3"/>
  <c r="CM177" i="3"/>
  <c r="CM178" i="3"/>
  <c r="CM179" i="3"/>
  <c r="CM180" i="3"/>
  <c r="CM181" i="3"/>
  <c r="CM182" i="3"/>
  <c r="CM183" i="3"/>
  <c r="CM184" i="3"/>
  <c r="CM185" i="3"/>
  <c r="CM186" i="3"/>
  <c r="CM187" i="3"/>
  <c r="CM188" i="3"/>
  <c r="CM189" i="3"/>
  <c r="CM190" i="3"/>
  <c r="CM191" i="3"/>
  <c r="CM192" i="3"/>
  <c r="CM193" i="3"/>
  <c r="CM194" i="3"/>
  <c r="CM195" i="3"/>
  <c r="CM196" i="3"/>
  <c r="CM197" i="3"/>
  <c r="CM198" i="3"/>
  <c r="CM199" i="3"/>
  <c r="CM200" i="3"/>
  <c r="CM201" i="3"/>
  <c r="CM202" i="3"/>
  <c r="CM203" i="3"/>
  <c r="CM204" i="3"/>
  <c r="CM205" i="3"/>
  <c r="CM206" i="3"/>
  <c r="CM207" i="3"/>
  <c r="CM208" i="3"/>
  <c r="CM209" i="3"/>
  <c r="CM210" i="3"/>
  <c r="CM211" i="3"/>
  <c r="CM212" i="3"/>
  <c r="CM213" i="3"/>
  <c r="CM214" i="3"/>
  <c r="CM215" i="3"/>
  <c r="CM216" i="3"/>
  <c r="CM217" i="3"/>
  <c r="CM218" i="3"/>
  <c r="CM219" i="3"/>
  <c r="CM220" i="3"/>
  <c r="CM221" i="3"/>
  <c r="CM222" i="3"/>
  <c r="CM223" i="3"/>
  <c r="CM224" i="3"/>
  <c r="CM225" i="3"/>
  <c r="CM226" i="3"/>
  <c r="CM227" i="3"/>
  <c r="CM228" i="3"/>
  <c r="CM229" i="3"/>
  <c r="CM230" i="3"/>
  <c r="CM231" i="3"/>
  <c r="CM232" i="3"/>
  <c r="CM233" i="3"/>
  <c r="CM234" i="3"/>
  <c r="CM235" i="3"/>
  <c r="CM236" i="3"/>
  <c r="CM237" i="3"/>
  <c r="CM238" i="3"/>
  <c r="CM239" i="3"/>
  <c r="CM240" i="3"/>
  <c r="CM241" i="3"/>
  <c r="CM242" i="3"/>
  <c r="CM243" i="3"/>
  <c r="CM244" i="3"/>
  <c r="CM245" i="3"/>
  <c r="CM246" i="3"/>
  <c r="CM247" i="3"/>
  <c r="CM248" i="3"/>
  <c r="CM249" i="3"/>
  <c r="CM250" i="3"/>
  <c r="CM251" i="3"/>
  <c r="CM252" i="3"/>
  <c r="CM253" i="3"/>
  <c r="CM254" i="3"/>
  <c r="CM255" i="3"/>
  <c r="CM256" i="3"/>
  <c r="CM257" i="3"/>
  <c r="CM258" i="3"/>
  <c r="CM259" i="3"/>
  <c r="CM260" i="3"/>
  <c r="DH7" i="3" l="1"/>
  <c r="EC7" i="3"/>
  <c r="EX7" i="3"/>
  <c r="FU7" i="3"/>
  <c r="Y13" i="3" l="1" a="1"/>
  <c r="Y13" i="3" s="1"/>
  <c r="Y11" i="3" a="1"/>
  <c r="Y11" i="3" s="1"/>
  <c r="FW7" i="3"/>
  <c r="GB11" i="3" a="1"/>
  <c r="GB11" i="3" s="1"/>
  <c r="AA11" i="3" l="1"/>
  <c r="AA13" i="3"/>
  <c r="Z13" i="3"/>
  <c r="Z11" i="3"/>
  <c r="AB12" i="3" a="1"/>
  <c r="AB12" i="3" s="1"/>
  <c r="AB13" i="3" a="1"/>
  <c r="AB13" i="3" s="1"/>
  <c r="AB14" i="3" a="1"/>
  <c r="AB14" i="3" s="1"/>
  <c r="AB15" i="3" a="1"/>
  <c r="AB15" i="3" s="1"/>
  <c r="AB16" i="3" a="1"/>
  <c r="AB16" i="3" s="1"/>
  <c r="AB17" i="3" a="1"/>
  <c r="AB17" i="3" s="1"/>
  <c r="AB18" i="3" a="1"/>
  <c r="AB18" i="3" s="1"/>
  <c r="AB19" i="3" a="1"/>
  <c r="AB19" i="3" s="1"/>
  <c r="AB20" i="3" a="1"/>
  <c r="AB20" i="3" s="1"/>
  <c r="AB21" i="3" a="1"/>
  <c r="AB21" i="3" s="1"/>
  <c r="AB22" i="3" a="1"/>
  <c r="AB22" i="3" s="1"/>
  <c r="AB23" i="3" a="1"/>
  <c r="AB23" i="3" s="1"/>
  <c r="AB24" i="3" a="1"/>
  <c r="AB24" i="3" s="1"/>
  <c r="AB25" i="3" a="1"/>
  <c r="AB25" i="3" s="1"/>
  <c r="AB26" i="3" a="1"/>
  <c r="AB26" i="3" s="1"/>
  <c r="AB27" i="3" a="1"/>
  <c r="AB27" i="3" s="1"/>
  <c r="AB28" i="3" a="1"/>
  <c r="AB28" i="3" s="1"/>
  <c r="AB29" i="3" a="1"/>
  <c r="AB29" i="3" s="1"/>
  <c r="AB30" i="3" a="1"/>
  <c r="AB30" i="3" s="1"/>
  <c r="AB31" i="3" a="1"/>
  <c r="AB31" i="3" s="1"/>
  <c r="AB32" i="3" a="1"/>
  <c r="AB32" i="3" s="1"/>
  <c r="AB33" i="3" a="1"/>
  <c r="AB33" i="3" s="1"/>
  <c r="AB34" i="3" a="1"/>
  <c r="AB34" i="3" s="1"/>
  <c r="AB35" i="3" a="1"/>
  <c r="AB35" i="3" s="1"/>
  <c r="AB36" i="3" a="1"/>
  <c r="AB36" i="3" s="1"/>
  <c r="AB37" i="3" a="1"/>
  <c r="AB37" i="3" s="1"/>
  <c r="AB38" i="3" a="1"/>
  <c r="AB38" i="3" s="1"/>
  <c r="AB39" i="3" a="1"/>
  <c r="AB39" i="3" s="1"/>
  <c r="AB40" i="3" a="1"/>
  <c r="AB40" i="3" s="1"/>
  <c r="AB41" i="3" a="1"/>
  <c r="AB41" i="3" s="1"/>
  <c r="AB42" i="3" a="1"/>
  <c r="AB42" i="3" s="1"/>
  <c r="AB43" i="3" a="1"/>
  <c r="AB43" i="3" s="1"/>
  <c r="AB44" i="3" a="1"/>
  <c r="AB44" i="3" s="1"/>
  <c r="AB45" i="3" a="1"/>
  <c r="AB45" i="3" s="1"/>
  <c r="AB46" i="3" a="1"/>
  <c r="AB46" i="3" s="1"/>
  <c r="AB47" i="3" a="1"/>
  <c r="AB47" i="3" s="1"/>
  <c r="AB48" i="3" a="1"/>
  <c r="AB48" i="3" s="1"/>
  <c r="AB49" i="3" a="1"/>
  <c r="AB49" i="3" s="1"/>
  <c r="AB50" i="3" a="1"/>
  <c r="AB50" i="3" s="1"/>
  <c r="AB51" i="3" a="1"/>
  <c r="AB51" i="3" s="1"/>
  <c r="AB52" i="3" a="1"/>
  <c r="AB52" i="3" s="1"/>
  <c r="AB53" i="3" a="1"/>
  <c r="AB53" i="3" s="1"/>
  <c r="AB54" i="3" a="1"/>
  <c r="AB54" i="3" s="1"/>
  <c r="AB55" i="3" a="1"/>
  <c r="AB55" i="3" s="1"/>
  <c r="AB56" i="3" a="1"/>
  <c r="AB56" i="3" s="1"/>
  <c r="AB57" i="3" a="1"/>
  <c r="AB57" i="3" s="1"/>
  <c r="AB58" i="3" a="1"/>
  <c r="AB58" i="3" s="1"/>
  <c r="AB59" i="3" a="1"/>
  <c r="AB59" i="3" s="1"/>
  <c r="AB60" i="3" a="1"/>
  <c r="AB60" i="3" s="1"/>
  <c r="AB61" i="3" a="1"/>
  <c r="AB61" i="3" s="1"/>
  <c r="AB62" i="3" a="1"/>
  <c r="AB62" i="3" s="1"/>
  <c r="AB63" i="3" a="1"/>
  <c r="AB63" i="3" s="1"/>
  <c r="AB64" i="3" a="1"/>
  <c r="AB64" i="3" s="1"/>
  <c r="AB65" i="3" a="1"/>
  <c r="AB65" i="3" s="1"/>
  <c r="AB66" i="3" a="1"/>
  <c r="AB66" i="3" s="1"/>
  <c r="AB67" i="3" a="1"/>
  <c r="AB67" i="3" s="1"/>
  <c r="AB68" i="3" a="1"/>
  <c r="AB68" i="3" s="1"/>
  <c r="AB69" i="3" a="1"/>
  <c r="AB69" i="3" s="1"/>
  <c r="AB70" i="3" a="1"/>
  <c r="AB70" i="3" s="1"/>
  <c r="AB71" i="3" a="1"/>
  <c r="AB71" i="3" s="1"/>
  <c r="AB72" i="3" a="1"/>
  <c r="AB72" i="3" s="1"/>
  <c r="AB73" i="3" a="1"/>
  <c r="AB73" i="3" s="1"/>
  <c r="AB74" i="3" a="1"/>
  <c r="AB74" i="3" s="1"/>
  <c r="AB75" i="3" a="1"/>
  <c r="AB75" i="3" s="1"/>
  <c r="AB76" i="3" a="1"/>
  <c r="AB76" i="3" s="1"/>
  <c r="AB77" i="3" a="1"/>
  <c r="AB77" i="3" s="1"/>
  <c r="AB78" i="3" a="1"/>
  <c r="AB78" i="3" s="1"/>
  <c r="AB79" i="3" a="1"/>
  <c r="AB79" i="3" s="1"/>
  <c r="AB80" i="3" a="1"/>
  <c r="AB80" i="3" s="1"/>
  <c r="AB81" i="3" a="1"/>
  <c r="AB81" i="3" s="1"/>
  <c r="AB82" i="3" a="1"/>
  <c r="AB82" i="3" s="1"/>
  <c r="AB83" i="3" a="1"/>
  <c r="AB83" i="3" s="1"/>
  <c r="AB84" i="3" a="1"/>
  <c r="AB84" i="3" s="1"/>
  <c r="AB85" i="3" a="1"/>
  <c r="AB85" i="3" s="1"/>
  <c r="AB86" i="3" a="1"/>
  <c r="AB86" i="3" s="1"/>
  <c r="AB87" i="3" a="1"/>
  <c r="AB87" i="3" s="1"/>
  <c r="AB88" i="3" a="1"/>
  <c r="AB88" i="3" s="1"/>
  <c r="AB89" i="3" a="1"/>
  <c r="AB89" i="3" s="1"/>
  <c r="AB90" i="3" a="1"/>
  <c r="AB90" i="3" s="1"/>
  <c r="AB91" i="3" a="1"/>
  <c r="AB91" i="3" s="1"/>
  <c r="AB92" i="3" a="1"/>
  <c r="AB92" i="3" s="1"/>
  <c r="AB93" i="3" a="1"/>
  <c r="AB93" i="3" s="1"/>
  <c r="AB94" i="3" a="1"/>
  <c r="AB94" i="3" s="1"/>
  <c r="AB95" i="3" a="1"/>
  <c r="AB95" i="3" s="1"/>
  <c r="AB96" i="3" a="1"/>
  <c r="AB96" i="3" s="1"/>
  <c r="AB97" i="3" a="1"/>
  <c r="AB97" i="3" s="1"/>
  <c r="AB98" i="3" a="1"/>
  <c r="AB98" i="3" s="1"/>
  <c r="AB99" i="3" a="1"/>
  <c r="AB99" i="3" s="1"/>
  <c r="AB100" i="3" a="1"/>
  <c r="AB100" i="3" s="1"/>
  <c r="AB101" i="3" a="1"/>
  <c r="AB101" i="3" s="1"/>
  <c r="AB102" i="3" a="1"/>
  <c r="AB102" i="3" s="1"/>
  <c r="AB103" i="3" a="1"/>
  <c r="AB103" i="3" s="1"/>
  <c r="AB104" i="3" a="1"/>
  <c r="AB104" i="3" s="1"/>
  <c r="AB105" i="3" a="1"/>
  <c r="AB105" i="3" s="1"/>
  <c r="AB106" i="3" a="1"/>
  <c r="AB106" i="3" s="1"/>
  <c r="AB107" i="3" a="1"/>
  <c r="AB107" i="3" s="1"/>
  <c r="AB108" i="3" a="1"/>
  <c r="AB108" i="3" s="1"/>
  <c r="AB109" i="3" a="1"/>
  <c r="AB109" i="3" s="1"/>
  <c r="AB110" i="3" a="1"/>
  <c r="AB110" i="3" s="1"/>
  <c r="AB111" i="3" a="1"/>
  <c r="AB111" i="3" s="1"/>
  <c r="AB112" i="3" a="1"/>
  <c r="AB112" i="3" s="1"/>
  <c r="AB113" i="3" a="1"/>
  <c r="AB113" i="3" s="1"/>
  <c r="AB114" i="3" a="1"/>
  <c r="AB114" i="3" s="1"/>
  <c r="AB115" i="3" a="1"/>
  <c r="AB115" i="3" s="1"/>
  <c r="AB116" i="3" a="1"/>
  <c r="AB116" i="3" s="1"/>
  <c r="AB117" i="3" a="1"/>
  <c r="AB117" i="3" s="1"/>
  <c r="AB118" i="3" a="1"/>
  <c r="AB118" i="3" s="1"/>
  <c r="AB119" i="3" a="1"/>
  <c r="AB119" i="3" s="1"/>
  <c r="AB120" i="3" a="1"/>
  <c r="AB120" i="3" s="1"/>
  <c r="AB121" i="3" a="1"/>
  <c r="AB121" i="3" s="1"/>
  <c r="AB122" i="3" a="1"/>
  <c r="AB122" i="3" s="1"/>
  <c r="AB123" i="3" a="1"/>
  <c r="AB123" i="3" s="1"/>
  <c r="AB124" i="3" a="1"/>
  <c r="AB124" i="3" s="1"/>
  <c r="AB125" i="3" a="1"/>
  <c r="AB125" i="3" s="1"/>
  <c r="AB126" i="3" a="1"/>
  <c r="AB126" i="3" s="1"/>
  <c r="AB127" i="3" a="1"/>
  <c r="AB127" i="3" s="1"/>
  <c r="AB128" i="3" a="1"/>
  <c r="AB128" i="3" s="1"/>
  <c r="AB129" i="3" a="1"/>
  <c r="AB129" i="3" s="1"/>
  <c r="AB130" i="3" a="1"/>
  <c r="AB130" i="3" s="1"/>
  <c r="AB131" i="3" a="1"/>
  <c r="AB131" i="3" s="1"/>
  <c r="AB132" i="3" a="1"/>
  <c r="AB132" i="3" s="1"/>
  <c r="AB133" i="3" a="1"/>
  <c r="AB133" i="3" s="1"/>
  <c r="AB134" i="3" a="1"/>
  <c r="AB134" i="3" s="1"/>
  <c r="AB135" i="3" a="1"/>
  <c r="AB135" i="3" s="1"/>
  <c r="AB136" i="3" a="1"/>
  <c r="AB136" i="3" s="1"/>
  <c r="AB137" i="3" a="1"/>
  <c r="AB137" i="3" s="1"/>
  <c r="AB138" i="3" a="1"/>
  <c r="AB138" i="3" s="1"/>
  <c r="AB139" i="3" a="1"/>
  <c r="AB139" i="3" s="1"/>
  <c r="AB140" i="3" a="1"/>
  <c r="AB140" i="3" s="1"/>
  <c r="AB141" i="3" a="1"/>
  <c r="AB141" i="3" s="1"/>
  <c r="AB142" i="3" a="1"/>
  <c r="AB142" i="3" s="1"/>
  <c r="AB143" i="3" a="1"/>
  <c r="AB143" i="3" s="1"/>
  <c r="AB144" i="3" a="1"/>
  <c r="AB144" i="3" s="1"/>
  <c r="AB145" i="3" a="1"/>
  <c r="AB145" i="3" s="1"/>
  <c r="AB146" i="3" a="1"/>
  <c r="AB146" i="3" s="1"/>
  <c r="AB147" i="3" a="1"/>
  <c r="AB147" i="3" s="1"/>
  <c r="AB148" i="3" a="1"/>
  <c r="AB148" i="3" s="1"/>
  <c r="AB149" i="3" a="1"/>
  <c r="AB149" i="3" s="1"/>
  <c r="AB150" i="3" a="1"/>
  <c r="AB150" i="3" s="1"/>
  <c r="AB151" i="3" a="1"/>
  <c r="AB151" i="3" s="1"/>
  <c r="AB152" i="3" a="1"/>
  <c r="AB152" i="3" s="1"/>
  <c r="AB153" i="3" a="1"/>
  <c r="AB153" i="3" s="1"/>
  <c r="AB154" i="3" a="1"/>
  <c r="AB154" i="3" s="1"/>
  <c r="AB155" i="3" a="1"/>
  <c r="AB155" i="3" s="1"/>
  <c r="AB156" i="3" a="1"/>
  <c r="AB156" i="3" s="1"/>
  <c r="AB157" i="3" a="1"/>
  <c r="AB157" i="3" s="1"/>
  <c r="AB158" i="3" a="1"/>
  <c r="AB158" i="3" s="1"/>
  <c r="AB159" i="3" a="1"/>
  <c r="AB159" i="3" s="1"/>
  <c r="AB160" i="3" a="1"/>
  <c r="AB160" i="3" s="1"/>
  <c r="AB161" i="3" a="1"/>
  <c r="AB161" i="3" s="1"/>
  <c r="AB162" i="3" a="1"/>
  <c r="AB162" i="3" s="1"/>
  <c r="AB163" i="3" a="1"/>
  <c r="AB163" i="3" s="1"/>
  <c r="AB164" i="3" a="1"/>
  <c r="AB164" i="3" s="1"/>
  <c r="AB165" i="3" a="1"/>
  <c r="AB165" i="3" s="1"/>
  <c r="AB166" i="3" a="1"/>
  <c r="AB166" i="3" s="1"/>
  <c r="AB167" i="3" a="1"/>
  <c r="AB167" i="3" s="1"/>
  <c r="AB168" i="3" a="1"/>
  <c r="AB168" i="3" s="1"/>
  <c r="AB169" i="3" a="1"/>
  <c r="AB169" i="3" s="1"/>
  <c r="AB170" i="3" a="1"/>
  <c r="AB170" i="3" s="1"/>
  <c r="AB171" i="3" a="1"/>
  <c r="AB171" i="3" s="1"/>
  <c r="AB172" i="3" a="1"/>
  <c r="AB172" i="3" s="1"/>
  <c r="AB173" i="3" a="1"/>
  <c r="AB173" i="3" s="1"/>
  <c r="AB174" i="3" a="1"/>
  <c r="AB174" i="3" s="1"/>
  <c r="AB175" i="3" a="1"/>
  <c r="AB175" i="3" s="1"/>
  <c r="AB176" i="3" a="1"/>
  <c r="AB176" i="3" s="1"/>
  <c r="AB177" i="3" a="1"/>
  <c r="AB177" i="3" s="1"/>
  <c r="AB178" i="3" a="1"/>
  <c r="AB178" i="3" s="1"/>
  <c r="AB179" i="3" a="1"/>
  <c r="AB179" i="3" s="1"/>
  <c r="AB180" i="3" a="1"/>
  <c r="AB180" i="3" s="1"/>
  <c r="AB181" i="3" a="1"/>
  <c r="AB181" i="3" s="1"/>
  <c r="AB182" i="3" a="1"/>
  <c r="AB182" i="3" s="1"/>
  <c r="AB183" i="3" a="1"/>
  <c r="AB183" i="3" s="1"/>
  <c r="AB184" i="3" a="1"/>
  <c r="AB184" i="3" s="1"/>
  <c r="AB185" i="3" a="1"/>
  <c r="AB185" i="3" s="1"/>
  <c r="AB186" i="3" a="1"/>
  <c r="AB186" i="3" s="1"/>
  <c r="AB187" i="3" a="1"/>
  <c r="AB187" i="3" s="1"/>
  <c r="AB188" i="3" a="1"/>
  <c r="AB188" i="3" s="1"/>
  <c r="AB189" i="3" a="1"/>
  <c r="AB189" i="3" s="1"/>
  <c r="AB190" i="3" a="1"/>
  <c r="AB190" i="3" s="1"/>
  <c r="AB191" i="3" a="1"/>
  <c r="AB191" i="3" s="1"/>
  <c r="AB192" i="3" a="1"/>
  <c r="AB192" i="3" s="1"/>
  <c r="AB193" i="3" a="1"/>
  <c r="AB193" i="3" s="1"/>
  <c r="AB194" i="3" a="1"/>
  <c r="AB194" i="3" s="1"/>
  <c r="AB195" i="3" a="1"/>
  <c r="AB195" i="3" s="1"/>
  <c r="AB196" i="3" a="1"/>
  <c r="AB196" i="3" s="1"/>
  <c r="AB197" i="3" a="1"/>
  <c r="AB197" i="3" s="1"/>
  <c r="AB198" i="3" a="1"/>
  <c r="AB198" i="3" s="1"/>
  <c r="AB199" i="3" a="1"/>
  <c r="AB199" i="3" s="1"/>
  <c r="AB200" i="3" a="1"/>
  <c r="AB200" i="3" s="1"/>
  <c r="AB201" i="3" a="1"/>
  <c r="AB201" i="3" s="1"/>
  <c r="AB202" i="3" a="1"/>
  <c r="AB202" i="3" s="1"/>
  <c r="AB203" i="3" a="1"/>
  <c r="AB203" i="3" s="1"/>
  <c r="AB204" i="3" a="1"/>
  <c r="AB204" i="3" s="1"/>
  <c r="AB205" i="3" a="1"/>
  <c r="AB205" i="3" s="1"/>
  <c r="AB206" i="3" a="1"/>
  <c r="AB206" i="3" s="1"/>
  <c r="AB207" i="3" a="1"/>
  <c r="AB207" i="3" s="1"/>
  <c r="AB208" i="3" a="1"/>
  <c r="AB208" i="3" s="1"/>
  <c r="AB209" i="3" a="1"/>
  <c r="AB209" i="3" s="1"/>
  <c r="AB210" i="3" a="1"/>
  <c r="AB210" i="3" s="1"/>
  <c r="AB211" i="3" a="1"/>
  <c r="AB211" i="3" s="1"/>
  <c r="AB212" i="3" a="1"/>
  <c r="AB212" i="3" s="1"/>
  <c r="AB213" i="3" a="1"/>
  <c r="AB213" i="3" s="1"/>
  <c r="AB214" i="3" a="1"/>
  <c r="AB214" i="3" s="1"/>
  <c r="AB215" i="3" a="1"/>
  <c r="AB215" i="3" s="1"/>
  <c r="AB216" i="3" a="1"/>
  <c r="AB216" i="3" s="1"/>
  <c r="AB217" i="3" a="1"/>
  <c r="AB217" i="3" s="1"/>
  <c r="AB218" i="3" a="1"/>
  <c r="AB218" i="3" s="1"/>
  <c r="AB219" i="3" a="1"/>
  <c r="AB219" i="3" s="1"/>
  <c r="AB220" i="3" a="1"/>
  <c r="AB220" i="3" s="1"/>
  <c r="AB221" i="3" a="1"/>
  <c r="AB221" i="3" s="1"/>
  <c r="AB222" i="3" a="1"/>
  <c r="AB222" i="3" s="1"/>
  <c r="AB223" i="3" a="1"/>
  <c r="AB223" i="3" s="1"/>
  <c r="AB224" i="3" a="1"/>
  <c r="AB224" i="3" s="1"/>
  <c r="AB225" i="3" a="1"/>
  <c r="AB225" i="3" s="1"/>
  <c r="AB226" i="3" a="1"/>
  <c r="AB226" i="3" s="1"/>
  <c r="AB227" i="3" a="1"/>
  <c r="AB227" i="3" s="1"/>
  <c r="AB228" i="3" a="1"/>
  <c r="AB228" i="3" s="1"/>
  <c r="AB229" i="3" a="1"/>
  <c r="AB229" i="3" s="1"/>
  <c r="AB230" i="3" a="1"/>
  <c r="AB230" i="3" s="1"/>
  <c r="AB231" i="3" a="1"/>
  <c r="AB231" i="3" s="1"/>
  <c r="AB232" i="3" a="1"/>
  <c r="AB232" i="3" s="1"/>
  <c r="AB233" i="3" a="1"/>
  <c r="AB233" i="3" s="1"/>
  <c r="AB234" i="3" a="1"/>
  <c r="AB234" i="3" s="1"/>
  <c r="AB235" i="3" a="1"/>
  <c r="AB235" i="3" s="1"/>
  <c r="AB236" i="3" a="1"/>
  <c r="AB236" i="3" s="1"/>
  <c r="AB237" i="3" a="1"/>
  <c r="AB237" i="3" s="1"/>
  <c r="AB238" i="3" a="1"/>
  <c r="AB238" i="3" s="1"/>
  <c r="AB239" i="3" a="1"/>
  <c r="AB239" i="3" s="1"/>
  <c r="AB240" i="3" a="1"/>
  <c r="AB240" i="3" s="1"/>
  <c r="AB241" i="3" a="1"/>
  <c r="AB241" i="3" s="1"/>
  <c r="AB242" i="3" a="1"/>
  <c r="AB242" i="3" s="1"/>
  <c r="AB243" i="3" a="1"/>
  <c r="AB243" i="3" s="1"/>
  <c r="AB244" i="3" a="1"/>
  <c r="AB244" i="3" s="1"/>
  <c r="AB245" i="3" a="1"/>
  <c r="AB245" i="3" s="1"/>
  <c r="AB246" i="3" a="1"/>
  <c r="AB246" i="3" s="1"/>
  <c r="AB247" i="3" a="1"/>
  <c r="AB247" i="3" s="1"/>
  <c r="AB248" i="3" a="1"/>
  <c r="AB248" i="3" s="1"/>
  <c r="AB249" i="3" a="1"/>
  <c r="AB249" i="3" s="1"/>
  <c r="AB250" i="3" a="1"/>
  <c r="AB250" i="3" s="1"/>
  <c r="AB251" i="3" a="1"/>
  <c r="AB251" i="3" s="1"/>
  <c r="AB252" i="3" a="1"/>
  <c r="AB252" i="3" s="1"/>
  <c r="AB253" i="3" a="1"/>
  <c r="AB253" i="3" s="1"/>
  <c r="AB254" i="3" a="1"/>
  <c r="AB254" i="3" s="1"/>
  <c r="AB255" i="3" a="1"/>
  <c r="AB255" i="3" s="1"/>
  <c r="AB256" i="3" a="1"/>
  <c r="AB256" i="3" s="1"/>
  <c r="AB257" i="3" a="1"/>
  <c r="AB257" i="3" s="1"/>
  <c r="AB258" i="3" a="1"/>
  <c r="AB258" i="3" s="1"/>
  <c r="AB259" i="3" a="1"/>
  <c r="AB259" i="3" s="1"/>
  <c r="AB260" i="3" a="1"/>
  <c r="AB260" i="3" s="1"/>
  <c r="BO260" i="3" s="1"/>
  <c r="AB11" i="3" a="1"/>
  <c r="AB11" i="3" s="1"/>
  <c r="AZ196" i="3" l="1"/>
  <c r="BA196" i="3"/>
  <c r="AZ256" i="3"/>
  <c r="BA256" i="3"/>
  <c r="AZ224" i="3"/>
  <c r="BA224" i="3"/>
  <c r="AZ208" i="3"/>
  <c r="BA208" i="3"/>
  <c r="AZ184" i="3"/>
  <c r="BA184" i="3"/>
  <c r="AZ152" i="3"/>
  <c r="BA152" i="3"/>
  <c r="AZ247" i="3"/>
  <c r="BA247" i="3"/>
  <c r="AZ223" i="3"/>
  <c r="BA223" i="3"/>
  <c r="AZ207" i="3"/>
  <c r="BA207" i="3"/>
  <c r="AZ191" i="3"/>
  <c r="BA191" i="3"/>
  <c r="AZ167" i="3"/>
  <c r="BA167" i="3"/>
  <c r="AZ143" i="3"/>
  <c r="BA143" i="3"/>
  <c r="AZ254" i="3"/>
  <c r="BA254" i="3"/>
  <c r="AZ246" i="3"/>
  <c r="BA246" i="3"/>
  <c r="BA230" i="3"/>
  <c r="AZ230" i="3"/>
  <c r="BA214" i="3"/>
  <c r="AZ214" i="3"/>
  <c r="AZ206" i="3"/>
  <c r="BA206" i="3"/>
  <c r="BA190" i="3"/>
  <c r="AZ190" i="3"/>
  <c r="BA174" i="3"/>
  <c r="AZ174" i="3"/>
  <c r="AZ158" i="3"/>
  <c r="BA158" i="3"/>
  <c r="AZ142" i="3"/>
  <c r="BA142" i="3"/>
  <c r="AZ253" i="3"/>
  <c r="BA253" i="3"/>
  <c r="AZ245" i="3"/>
  <c r="BA245" i="3"/>
  <c r="AZ237" i="3"/>
  <c r="BA237" i="3"/>
  <c r="AZ229" i="3"/>
  <c r="BA229" i="3"/>
  <c r="AZ221" i="3"/>
  <c r="BA221" i="3"/>
  <c r="AZ213" i="3"/>
  <c r="BA213" i="3"/>
  <c r="AZ205" i="3"/>
  <c r="BA205" i="3"/>
  <c r="AZ197" i="3"/>
  <c r="BA197" i="3"/>
  <c r="AZ189" i="3"/>
  <c r="BA189" i="3"/>
  <c r="AZ181" i="3"/>
  <c r="BA181" i="3"/>
  <c r="AZ173" i="3"/>
  <c r="BA173" i="3"/>
  <c r="AZ165" i="3"/>
  <c r="BA165" i="3"/>
  <c r="AZ157" i="3"/>
  <c r="BA157" i="3"/>
  <c r="AZ149" i="3"/>
  <c r="BA149" i="3"/>
  <c r="AZ141" i="3"/>
  <c r="BA141" i="3"/>
  <c r="AZ236" i="3"/>
  <c r="BA236" i="3"/>
  <c r="AZ140" i="3"/>
  <c r="BA140" i="3"/>
  <c r="AZ204" i="3"/>
  <c r="BA204" i="3"/>
  <c r="AZ148" i="3"/>
  <c r="BA148" i="3"/>
  <c r="BA235" i="3"/>
  <c r="AZ235" i="3"/>
  <c r="AZ211" i="3"/>
  <c r="BA211" i="3"/>
  <c r="AZ179" i="3"/>
  <c r="BA179" i="3"/>
  <c r="AZ139" i="3"/>
  <c r="BA139" i="3"/>
  <c r="AZ252" i="3"/>
  <c r="BA252" i="3"/>
  <c r="AZ188" i="3"/>
  <c r="BA188" i="3"/>
  <c r="AZ251" i="3"/>
  <c r="BA251" i="3"/>
  <c r="AZ227" i="3"/>
  <c r="BA227" i="3"/>
  <c r="AZ203" i="3"/>
  <c r="BA203" i="3"/>
  <c r="AZ171" i="3"/>
  <c r="BA171" i="3"/>
  <c r="AZ155" i="3"/>
  <c r="BA155" i="3"/>
  <c r="AZ258" i="3"/>
  <c r="BA258" i="3"/>
  <c r="AZ242" i="3"/>
  <c r="BA242" i="3"/>
  <c r="AZ226" i="3"/>
  <c r="BA226" i="3"/>
  <c r="BA210" i="3"/>
  <c r="AZ210" i="3"/>
  <c r="BA194" i="3"/>
  <c r="AZ194" i="3"/>
  <c r="AZ178" i="3"/>
  <c r="BA178" i="3"/>
  <c r="BA162" i="3"/>
  <c r="AZ162" i="3"/>
  <c r="AZ138" i="3"/>
  <c r="BA138" i="3"/>
  <c r="AZ212" i="3"/>
  <c r="BA212" i="3"/>
  <c r="AZ172" i="3"/>
  <c r="BA172" i="3"/>
  <c r="BA259" i="3"/>
  <c r="AQ251" i="9" s="1"/>
  <c r="AZ259" i="3"/>
  <c r="AP251" i="9" s="1"/>
  <c r="BA243" i="3"/>
  <c r="AZ243" i="3"/>
  <c r="AZ219" i="3"/>
  <c r="BA219" i="3"/>
  <c r="AZ195" i="3"/>
  <c r="BA195" i="3"/>
  <c r="AZ187" i="3"/>
  <c r="BA187" i="3"/>
  <c r="AZ163" i="3"/>
  <c r="BA163" i="3"/>
  <c r="AZ147" i="3"/>
  <c r="BA147" i="3"/>
  <c r="BA250" i="3"/>
  <c r="AZ250" i="3"/>
  <c r="AZ234" i="3"/>
  <c r="BA234" i="3"/>
  <c r="AZ218" i="3"/>
  <c r="BA218" i="3"/>
  <c r="BA202" i="3"/>
  <c r="AZ202" i="3"/>
  <c r="AZ186" i="3"/>
  <c r="BA186" i="3"/>
  <c r="BA170" i="3"/>
  <c r="AZ170" i="3"/>
  <c r="BA154" i="3"/>
  <c r="AZ154" i="3"/>
  <c r="BA146" i="3"/>
  <c r="AZ146" i="3"/>
  <c r="AZ257" i="3"/>
  <c r="BA257" i="3"/>
  <c r="AZ249" i="3"/>
  <c r="BA249" i="3"/>
  <c r="AZ241" i="3"/>
  <c r="BA241" i="3"/>
  <c r="AZ233" i="3"/>
  <c r="BA233" i="3"/>
  <c r="AZ225" i="3"/>
  <c r="BA225" i="3"/>
  <c r="AZ217" i="3"/>
  <c r="BA217" i="3"/>
  <c r="AZ209" i="3"/>
  <c r="BA209" i="3"/>
  <c r="AZ201" i="3"/>
  <c r="BA201" i="3"/>
  <c r="AZ193" i="3"/>
  <c r="BA193" i="3"/>
  <c r="AZ185" i="3"/>
  <c r="BA185" i="3"/>
  <c r="AZ177" i="3"/>
  <c r="BA177" i="3"/>
  <c r="AZ169" i="3"/>
  <c r="BA169" i="3"/>
  <c r="AZ161" i="3"/>
  <c r="BA161" i="3"/>
  <c r="AZ153" i="3"/>
  <c r="BA153" i="3"/>
  <c r="AZ145" i="3"/>
  <c r="BA145" i="3"/>
  <c r="AZ228" i="3"/>
  <c r="BA228" i="3"/>
  <c r="AZ156" i="3"/>
  <c r="BA156" i="3"/>
  <c r="AZ240" i="3"/>
  <c r="BA240" i="3"/>
  <c r="AZ200" i="3"/>
  <c r="BA200" i="3"/>
  <c r="AZ160" i="3"/>
  <c r="BA160" i="3"/>
  <c r="AZ220" i="3"/>
  <c r="BA220" i="3"/>
  <c r="AZ164" i="3"/>
  <c r="BA164" i="3"/>
  <c r="AZ232" i="3"/>
  <c r="BA232" i="3"/>
  <c r="AZ192" i="3"/>
  <c r="BA192" i="3"/>
  <c r="AZ168" i="3"/>
  <c r="BA168" i="3"/>
  <c r="AZ144" i="3"/>
  <c r="BA144" i="3"/>
  <c r="AZ231" i="3"/>
  <c r="BA231" i="3"/>
  <c r="AZ199" i="3"/>
  <c r="BA199" i="3"/>
  <c r="AZ175" i="3"/>
  <c r="BA175" i="3"/>
  <c r="AZ151" i="3"/>
  <c r="BA151" i="3"/>
  <c r="AZ244" i="3"/>
  <c r="BA244" i="3"/>
  <c r="AZ180" i="3"/>
  <c r="BA180" i="3"/>
  <c r="AZ248" i="3"/>
  <c r="BA248" i="3"/>
  <c r="AZ216" i="3"/>
  <c r="BA216" i="3"/>
  <c r="AZ176" i="3"/>
  <c r="BA176" i="3"/>
  <c r="AZ255" i="3"/>
  <c r="BA255" i="3"/>
  <c r="AZ239" i="3"/>
  <c r="BA239" i="3"/>
  <c r="AZ215" i="3"/>
  <c r="BA215" i="3"/>
  <c r="AZ183" i="3"/>
  <c r="BA183" i="3"/>
  <c r="AZ159" i="3"/>
  <c r="BA159" i="3"/>
  <c r="BA238" i="3"/>
  <c r="AZ238" i="3"/>
  <c r="BA222" i="3"/>
  <c r="AZ222" i="3"/>
  <c r="AZ198" i="3"/>
  <c r="BA198" i="3"/>
  <c r="BA182" i="3"/>
  <c r="AZ182" i="3"/>
  <c r="AZ166" i="3"/>
  <c r="BA166" i="3"/>
  <c r="AZ150" i="3"/>
  <c r="BA150" i="3"/>
  <c r="BA133" i="3"/>
  <c r="AZ133" i="3"/>
  <c r="AZ125" i="3"/>
  <c r="BA125" i="3"/>
  <c r="AZ113" i="3"/>
  <c r="BA113" i="3"/>
  <c r="AZ101" i="3"/>
  <c r="BA101" i="3"/>
  <c r="AZ89" i="3"/>
  <c r="BA89" i="3"/>
  <c r="AZ81" i="3"/>
  <c r="BA81" i="3"/>
  <c r="AZ69" i="3"/>
  <c r="BA69" i="3"/>
  <c r="AZ57" i="3"/>
  <c r="BA57" i="3"/>
  <c r="BA45" i="3"/>
  <c r="BA33" i="3"/>
  <c r="BA25" i="3"/>
  <c r="BA13" i="3"/>
  <c r="AZ136" i="3"/>
  <c r="BA136" i="3"/>
  <c r="AZ132" i="3"/>
  <c r="BA132" i="3"/>
  <c r="AZ128" i="3"/>
  <c r="BA128" i="3"/>
  <c r="AZ124" i="3"/>
  <c r="BA124" i="3"/>
  <c r="AZ120" i="3"/>
  <c r="BA120" i="3"/>
  <c r="AZ116" i="3"/>
  <c r="BA116" i="3"/>
  <c r="AZ112" i="3"/>
  <c r="BA112" i="3"/>
  <c r="AZ108" i="3"/>
  <c r="BA108" i="3"/>
  <c r="AZ104" i="3"/>
  <c r="BA104" i="3"/>
  <c r="AZ100" i="3"/>
  <c r="BA100" i="3"/>
  <c r="AZ96" i="3"/>
  <c r="BA96" i="3"/>
  <c r="AZ92" i="3"/>
  <c r="BA92" i="3"/>
  <c r="AZ88" i="3"/>
  <c r="BA88" i="3"/>
  <c r="AZ84" i="3"/>
  <c r="BA84" i="3"/>
  <c r="AZ80" i="3"/>
  <c r="BA80" i="3"/>
  <c r="AZ76" i="3"/>
  <c r="BA76" i="3"/>
  <c r="AZ72" i="3"/>
  <c r="BA72" i="3"/>
  <c r="AZ68" i="3"/>
  <c r="BA68" i="3"/>
  <c r="AZ64" i="3"/>
  <c r="BA64" i="3"/>
  <c r="BA60" i="3"/>
  <c r="AZ56" i="3"/>
  <c r="BA56" i="3"/>
  <c r="AZ52" i="3"/>
  <c r="BA52" i="3"/>
  <c r="BA48" i="3"/>
  <c r="BA44" i="3"/>
  <c r="BA40" i="3"/>
  <c r="BA36" i="3"/>
  <c r="BA32" i="3"/>
  <c r="BA28" i="3"/>
  <c r="BA24" i="3"/>
  <c r="BA20" i="3"/>
  <c r="BA16" i="3"/>
  <c r="BA12" i="3"/>
  <c r="BA11" i="3"/>
  <c r="BA129" i="3"/>
  <c r="AZ129" i="3"/>
  <c r="BA117" i="3"/>
  <c r="AZ117" i="3"/>
  <c r="AZ109" i="3"/>
  <c r="BA109" i="3"/>
  <c r="AZ97" i="3"/>
  <c r="BA97" i="3"/>
  <c r="AZ85" i="3"/>
  <c r="BA85" i="3"/>
  <c r="AZ73" i="3"/>
  <c r="BA73" i="3"/>
  <c r="AZ65" i="3"/>
  <c r="BA65" i="3"/>
  <c r="BA53" i="3"/>
  <c r="BA41" i="3"/>
  <c r="BA29" i="3"/>
  <c r="BA17" i="3"/>
  <c r="AZ135" i="3"/>
  <c r="BA135" i="3"/>
  <c r="AZ131" i="3"/>
  <c r="BA131" i="3"/>
  <c r="AZ127" i="3"/>
  <c r="BA127" i="3"/>
  <c r="AZ123" i="3"/>
  <c r="BA123" i="3"/>
  <c r="AZ119" i="3"/>
  <c r="BA119" i="3"/>
  <c r="AZ115" i="3"/>
  <c r="BA115" i="3"/>
  <c r="AZ111" i="3"/>
  <c r="BA111" i="3"/>
  <c r="AZ107" i="3"/>
  <c r="BA107" i="3"/>
  <c r="AZ103" i="3"/>
  <c r="BA103" i="3"/>
  <c r="AZ99" i="3"/>
  <c r="BA99" i="3"/>
  <c r="AZ95" i="3"/>
  <c r="BA95" i="3"/>
  <c r="AZ91" i="3"/>
  <c r="BA91" i="3"/>
  <c r="AZ87" i="3"/>
  <c r="BA87" i="3"/>
  <c r="AZ83" i="3"/>
  <c r="BA83" i="3"/>
  <c r="AZ79" i="3"/>
  <c r="BA79" i="3"/>
  <c r="BA75" i="3"/>
  <c r="AZ75" i="3"/>
  <c r="AZ71" i="3"/>
  <c r="BA71" i="3"/>
  <c r="BA67" i="3"/>
  <c r="AZ67" i="3"/>
  <c r="AZ63" i="3"/>
  <c r="BA63" i="3"/>
  <c r="BA59" i="3"/>
  <c r="AZ59" i="3"/>
  <c r="BA55" i="3"/>
  <c r="BA51" i="3"/>
  <c r="AZ51" i="3"/>
  <c r="BA47" i="3"/>
  <c r="BA43" i="3"/>
  <c r="AZ39" i="3"/>
  <c r="BA39" i="3"/>
  <c r="BA35" i="3"/>
  <c r="BA31" i="3"/>
  <c r="BA27" i="3"/>
  <c r="BA23" i="3"/>
  <c r="BA19" i="3"/>
  <c r="BA15" i="3"/>
  <c r="BA137" i="3"/>
  <c r="AZ137" i="3"/>
  <c r="BA121" i="3"/>
  <c r="AZ121" i="3"/>
  <c r="AZ105" i="3"/>
  <c r="BA105" i="3"/>
  <c r="AZ93" i="3"/>
  <c r="BA93" i="3"/>
  <c r="AZ77" i="3"/>
  <c r="BA77" i="3"/>
  <c r="BA61" i="3"/>
  <c r="BA49" i="3"/>
  <c r="AZ37" i="3"/>
  <c r="BA37" i="3"/>
  <c r="BA21" i="3"/>
  <c r="AZ134" i="3"/>
  <c r="BA134" i="3"/>
  <c r="AZ130" i="3"/>
  <c r="BA130" i="3"/>
  <c r="AZ126" i="3"/>
  <c r="BA126" i="3"/>
  <c r="AZ122" i="3"/>
  <c r="BA122" i="3"/>
  <c r="AZ118" i="3"/>
  <c r="BA118" i="3"/>
  <c r="AZ114" i="3"/>
  <c r="BA114" i="3"/>
  <c r="AZ110" i="3"/>
  <c r="BA110" i="3"/>
  <c r="AZ106" i="3"/>
  <c r="BA106" i="3"/>
  <c r="AZ102" i="3"/>
  <c r="BA102" i="3"/>
  <c r="AZ98" i="3"/>
  <c r="BA98" i="3"/>
  <c r="AZ94" i="3"/>
  <c r="BA94" i="3"/>
  <c r="AZ90" i="3"/>
  <c r="BA90" i="3"/>
  <c r="AZ86" i="3"/>
  <c r="BA86" i="3"/>
  <c r="AZ82" i="3"/>
  <c r="BA82" i="3"/>
  <c r="AZ78" i="3"/>
  <c r="BA78" i="3"/>
  <c r="AZ74" i="3"/>
  <c r="BA74" i="3"/>
  <c r="AZ70" i="3"/>
  <c r="BA70" i="3"/>
  <c r="AZ66" i="3"/>
  <c r="BA66" i="3"/>
  <c r="BA62" i="3"/>
  <c r="AZ58" i="3"/>
  <c r="BA58" i="3"/>
  <c r="BA54" i="3"/>
  <c r="BA50" i="3"/>
  <c r="BA46" i="3"/>
  <c r="BA42" i="3"/>
  <c r="AZ38" i="3"/>
  <c r="BA38" i="3"/>
  <c r="BA34" i="3"/>
  <c r="BA30" i="3"/>
  <c r="BA26" i="3"/>
  <c r="BA22" i="3"/>
  <c r="BA18" i="3"/>
  <c r="BA14" i="3"/>
  <c r="AC101" i="12" l="1"/>
  <c r="AD56" i="8" l="1"/>
  <c r="AD37" i="8"/>
  <c r="S311" i="11" l="1"/>
  <c r="S312" i="11"/>
  <c r="S313" i="11"/>
  <c r="S314" i="11"/>
  <c r="S315" i="11"/>
  <c r="S316" i="11"/>
  <c r="S317" i="11"/>
  <c r="S318" i="11"/>
  <c r="S310" i="11"/>
  <c r="S309" i="11"/>
  <c r="R311" i="11"/>
  <c r="R312" i="11"/>
  <c r="R313" i="11"/>
  <c r="R314" i="11"/>
  <c r="R315" i="11"/>
  <c r="R316" i="11"/>
  <c r="R317" i="11"/>
  <c r="R318" i="11"/>
  <c r="R310" i="11"/>
  <c r="R309" i="11"/>
  <c r="M311" i="11"/>
  <c r="M312" i="11"/>
  <c r="M313" i="11"/>
  <c r="M314" i="11"/>
  <c r="M315" i="11"/>
  <c r="M316" i="11"/>
  <c r="M317" i="11"/>
  <c r="M318" i="11"/>
  <c r="M310" i="11"/>
  <c r="M309" i="11"/>
  <c r="K311" i="11"/>
  <c r="K312" i="11"/>
  <c r="K313" i="11"/>
  <c r="K314" i="11"/>
  <c r="K315" i="11"/>
  <c r="K316" i="11"/>
  <c r="K317" i="11"/>
  <c r="K318" i="11"/>
  <c r="K310" i="11"/>
  <c r="K309" i="11"/>
  <c r="I311" i="11"/>
  <c r="I312" i="11"/>
  <c r="I313" i="11"/>
  <c r="I314" i="11"/>
  <c r="I315" i="11"/>
  <c r="I316" i="11"/>
  <c r="I317" i="11"/>
  <c r="I318" i="11"/>
  <c r="I310" i="11"/>
  <c r="I309" i="11"/>
  <c r="H311" i="11"/>
  <c r="H312" i="11"/>
  <c r="H313" i="11"/>
  <c r="H314" i="11"/>
  <c r="H315" i="11"/>
  <c r="H316" i="11"/>
  <c r="H317" i="11"/>
  <c r="H318" i="11"/>
  <c r="H310" i="11"/>
  <c r="H309" i="11"/>
  <c r="G311" i="11"/>
  <c r="G312" i="11"/>
  <c r="G313" i="11"/>
  <c r="G314" i="11"/>
  <c r="G315" i="11"/>
  <c r="G316" i="11"/>
  <c r="G317" i="11"/>
  <c r="G318" i="11"/>
  <c r="G310" i="11"/>
  <c r="G309" i="11"/>
  <c r="F311" i="11"/>
  <c r="F312" i="11"/>
  <c r="F313" i="11"/>
  <c r="F314" i="11"/>
  <c r="F315" i="11"/>
  <c r="F316" i="11"/>
  <c r="F317" i="11"/>
  <c r="F318" i="11"/>
  <c r="F310" i="11"/>
  <c r="F309" i="11"/>
  <c r="C311" i="11"/>
  <c r="C312" i="11"/>
  <c r="C313" i="11"/>
  <c r="C314" i="11"/>
  <c r="C315" i="11"/>
  <c r="C316" i="11"/>
  <c r="C317" i="11"/>
  <c r="C318" i="11"/>
  <c r="C310" i="11"/>
  <c r="C309" i="11"/>
  <c r="B311" i="11"/>
  <c r="B312" i="11"/>
  <c r="B313" i="11"/>
  <c r="B314" i="11"/>
  <c r="B315" i="11"/>
  <c r="B316" i="11"/>
  <c r="B317" i="11"/>
  <c r="B318" i="11"/>
  <c r="B310" i="11"/>
  <c r="B309" i="11"/>
  <c r="T306" i="11"/>
  <c r="N306" i="11"/>
  <c r="D306" i="11"/>
  <c r="S268" i="11"/>
  <c r="S269" i="11"/>
  <c r="S270" i="11"/>
  <c r="S271" i="11"/>
  <c r="S272" i="11"/>
  <c r="S273" i="11"/>
  <c r="S274" i="11"/>
  <c r="S275" i="11"/>
  <c r="S276" i="11"/>
  <c r="S277" i="11"/>
  <c r="S278" i="11"/>
  <c r="S279" i="11"/>
  <c r="S280" i="11"/>
  <c r="S281" i="11"/>
  <c r="S282" i="11"/>
  <c r="S283" i="11"/>
  <c r="S284" i="11"/>
  <c r="S285" i="11"/>
  <c r="S286" i="11"/>
  <c r="S287" i="11"/>
  <c r="S288" i="11"/>
  <c r="S289" i="11"/>
  <c r="S290" i="11"/>
  <c r="S291" i="11"/>
  <c r="S292" i="11"/>
  <c r="S293" i="11"/>
  <c r="S294" i="11"/>
  <c r="S295" i="11"/>
  <c r="S296" i="11"/>
  <c r="S297" i="11"/>
  <c r="S298" i="11"/>
  <c r="S299" i="11"/>
  <c r="S300" i="11"/>
  <c r="S301" i="11"/>
  <c r="S302" i="11"/>
  <c r="S303" i="11"/>
  <c r="S304" i="11"/>
  <c r="S305" i="11"/>
  <c r="S267" i="11"/>
  <c r="S266" i="11"/>
  <c r="R268" i="11"/>
  <c r="R269" i="11"/>
  <c r="R270" i="11"/>
  <c r="R271" i="11"/>
  <c r="R272" i="11"/>
  <c r="R273" i="11"/>
  <c r="R274" i="11"/>
  <c r="R275" i="11"/>
  <c r="R276" i="11"/>
  <c r="R277" i="11"/>
  <c r="R278" i="11"/>
  <c r="R279" i="11"/>
  <c r="R280" i="11"/>
  <c r="R281" i="11"/>
  <c r="R282" i="11"/>
  <c r="R283" i="11"/>
  <c r="R284" i="11"/>
  <c r="R285" i="11"/>
  <c r="R286" i="11"/>
  <c r="R287" i="11"/>
  <c r="R288" i="11"/>
  <c r="R289" i="11"/>
  <c r="R290" i="11"/>
  <c r="R291" i="11"/>
  <c r="R292" i="11"/>
  <c r="R293" i="11"/>
  <c r="R294" i="11"/>
  <c r="R295" i="11"/>
  <c r="R296" i="11"/>
  <c r="R297" i="11"/>
  <c r="R298" i="11"/>
  <c r="R299" i="11"/>
  <c r="R300" i="11"/>
  <c r="R301" i="11"/>
  <c r="R302" i="11"/>
  <c r="R303" i="11"/>
  <c r="R304" i="11"/>
  <c r="R305" i="11"/>
  <c r="R267" i="11"/>
  <c r="R266" i="11"/>
  <c r="M268" i="11"/>
  <c r="M269" i="11"/>
  <c r="M270" i="11"/>
  <c r="M271" i="11"/>
  <c r="M272" i="11"/>
  <c r="M273" i="11"/>
  <c r="M274" i="11"/>
  <c r="M275" i="11"/>
  <c r="M276" i="11"/>
  <c r="M277" i="11"/>
  <c r="M278" i="11"/>
  <c r="M279" i="11"/>
  <c r="M280" i="11"/>
  <c r="M281" i="11"/>
  <c r="M282" i="11"/>
  <c r="M283" i="11"/>
  <c r="M284" i="11"/>
  <c r="M285" i="11"/>
  <c r="M286" i="11"/>
  <c r="M287" i="11"/>
  <c r="M288" i="11"/>
  <c r="M289" i="11"/>
  <c r="M290" i="11"/>
  <c r="M291" i="11"/>
  <c r="M292" i="11"/>
  <c r="M293" i="11"/>
  <c r="M294" i="11"/>
  <c r="M295" i="11"/>
  <c r="M296" i="11"/>
  <c r="M297" i="11"/>
  <c r="M298" i="11"/>
  <c r="M299" i="11"/>
  <c r="M300" i="11"/>
  <c r="M301" i="11"/>
  <c r="M302" i="11"/>
  <c r="M303" i="11"/>
  <c r="M304" i="11"/>
  <c r="M305" i="11"/>
  <c r="M267" i="11"/>
  <c r="M266" i="11"/>
  <c r="K268" i="11"/>
  <c r="K269" i="11"/>
  <c r="K270" i="11"/>
  <c r="K271" i="11"/>
  <c r="K272" i="11"/>
  <c r="K273" i="11"/>
  <c r="K274" i="11"/>
  <c r="K275" i="11"/>
  <c r="K276" i="11"/>
  <c r="K277" i="11"/>
  <c r="K278" i="11"/>
  <c r="K279" i="11"/>
  <c r="K280" i="11"/>
  <c r="K281" i="11"/>
  <c r="K282" i="11"/>
  <c r="K283" i="11"/>
  <c r="K284" i="11"/>
  <c r="K285" i="11"/>
  <c r="K286" i="11"/>
  <c r="K287" i="11"/>
  <c r="K288" i="11"/>
  <c r="K289" i="11"/>
  <c r="K290" i="11"/>
  <c r="K291" i="11"/>
  <c r="K292" i="11"/>
  <c r="K293" i="11"/>
  <c r="K294" i="11"/>
  <c r="K295" i="11"/>
  <c r="K296" i="11"/>
  <c r="K297" i="11"/>
  <c r="K298" i="11"/>
  <c r="K299" i="11"/>
  <c r="K300" i="11"/>
  <c r="K301" i="11"/>
  <c r="K302" i="11"/>
  <c r="K303" i="11"/>
  <c r="K304" i="11"/>
  <c r="K305" i="11"/>
  <c r="K267" i="11"/>
  <c r="K266" i="11"/>
  <c r="I268" i="11"/>
  <c r="I269" i="11"/>
  <c r="I270" i="11"/>
  <c r="I271" i="11"/>
  <c r="I272" i="11"/>
  <c r="I273" i="11"/>
  <c r="I274" i="11"/>
  <c r="I275" i="11"/>
  <c r="I276" i="11"/>
  <c r="I277" i="11"/>
  <c r="I278" i="11"/>
  <c r="I279" i="11"/>
  <c r="I280" i="11"/>
  <c r="I281" i="11"/>
  <c r="I282" i="11"/>
  <c r="I283" i="11"/>
  <c r="I284" i="11"/>
  <c r="I285" i="11"/>
  <c r="I286" i="11"/>
  <c r="I287" i="11"/>
  <c r="I288" i="11"/>
  <c r="I289" i="11"/>
  <c r="I290" i="11"/>
  <c r="I291" i="11"/>
  <c r="I292" i="11"/>
  <c r="I293" i="11"/>
  <c r="I294" i="11"/>
  <c r="I295" i="11"/>
  <c r="I296" i="11"/>
  <c r="I297" i="11"/>
  <c r="I298" i="11"/>
  <c r="I299" i="11"/>
  <c r="I300" i="11"/>
  <c r="I301" i="11"/>
  <c r="I302" i="11"/>
  <c r="I303" i="11"/>
  <c r="I304" i="11"/>
  <c r="I305" i="11"/>
  <c r="I267" i="11"/>
  <c r="I266" i="11"/>
  <c r="H268" i="11"/>
  <c r="H269" i="11"/>
  <c r="H270" i="11"/>
  <c r="H271" i="11"/>
  <c r="H272" i="11"/>
  <c r="H273" i="11"/>
  <c r="H274" i="11"/>
  <c r="H275" i="11"/>
  <c r="H276" i="11"/>
  <c r="H277" i="11"/>
  <c r="H278" i="11"/>
  <c r="H279" i="11"/>
  <c r="H280" i="11"/>
  <c r="H281" i="11"/>
  <c r="H282" i="11"/>
  <c r="H283" i="11"/>
  <c r="H284" i="11"/>
  <c r="H285" i="11"/>
  <c r="H286" i="11"/>
  <c r="H287" i="11"/>
  <c r="H288" i="11"/>
  <c r="H289" i="11"/>
  <c r="H290" i="11"/>
  <c r="H291" i="11"/>
  <c r="H292" i="11"/>
  <c r="H293" i="11"/>
  <c r="H294" i="11"/>
  <c r="H295" i="11"/>
  <c r="H296" i="11"/>
  <c r="H297" i="11"/>
  <c r="H298" i="11"/>
  <c r="H299" i="11"/>
  <c r="H300" i="11"/>
  <c r="H301" i="11"/>
  <c r="H302" i="11"/>
  <c r="H303" i="11"/>
  <c r="H304" i="11"/>
  <c r="H305" i="11"/>
  <c r="H267" i="11"/>
  <c r="H266" i="11"/>
  <c r="G268" i="11"/>
  <c r="G269" i="11"/>
  <c r="G270" i="11"/>
  <c r="G271" i="11"/>
  <c r="G272" i="11"/>
  <c r="G273" i="11"/>
  <c r="G274" i="11"/>
  <c r="G275" i="11"/>
  <c r="G276" i="11"/>
  <c r="G277" i="11"/>
  <c r="G278" i="11"/>
  <c r="G279" i="11"/>
  <c r="G280" i="11"/>
  <c r="G281" i="11"/>
  <c r="G282" i="11"/>
  <c r="G283" i="11"/>
  <c r="G284" i="11"/>
  <c r="G285" i="11"/>
  <c r="G286" i="11"/>
  <c r="G287" i="11"/>
  <c r="G288" i="11"/>
  <c r="G289" i="11"/>
  <c r="G290" i="11"/>
  <c r="G291" i="11"/>
  <c r="G292" i="11"/>
  <c r="G293" i="11"/>
  <c r="G294" i="11"/>
  <c r="G295" i="11"/>
  <c r="G296" i="11"/>
  <c r="G297" i="11"/>
  <c r="G298" i="11"/>
  <c r="G299" i="11"/>
  <c r="G300" i="11"/>
  <c r="G301" i="11"/>
  <c r="G302" i="11"/>
  <c r="G303" i="11"/>
  <c r="G304" i="11"/>
  <c r="G305" i="11"/>
  <c r="G267" i="11"/>
  <c r="G266" i="11"/>
  <c r="F268" i="11"/>
  <c r="F269" i="11"/>
  <c r="F270" i="11"/>
  <c r="F271" i="11"/>
  <c r="F272" i="11"/>
  <c r="F273" i="11"/>
  <c r="F274" i="11"/>
  <c r="F275" i="11"/>
  <c r="F276" i="11"/>
  <c r="F277" i="11"/>
  <c r="F278" i="11"/>
  <c r="F279" i="11"/>
  <c r="F280" i="11"/>
  <c r="F281" i="11"/>
  <c r="F282" i="11"/>
  <c r="F283" i="11"/>
  <c r="F284" i="11"/>
  <c r="F285" i="11"/>
  <c r="F286" i="11"/>
  <c r="F287" i="11"/>
  <c r="F288" i="11"/>
  <c r="F289" i="11"/>
  <c r="F290" i="11"/>
  <c r="F291" i="11"/>
  <c r="F292" i="11"/>
  <c r="F293" i="11"/>
  <c r="F294" i="11"/>
  <c r="F295" i="11"/>
  <c r="F296" i="11"/>
  <c r="F297" i="11"/>
  <c r="F298" i="11"/>
  <c r="F299" i="11"/>
  <c r="F300" i="11"/>
  <c r="F301" i="11"/>
  <c r="F302" i="11"/>
  <c r="F303" i="11"/>
  <c r="F304" i="11"/>
  <c r="F305" i="11"/>
  <c r="F267" i="11"/>
  <c r="F266"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267" i="11"/>
  <c r="C266" i="11"/>
  <c r="B268" i="11"/>
  <c r="B269" i="11"/>
  <c r="B270" i="11"/>
  <c r="B271" i="11"/>
  <c r="B272" i="11"/>
  <c r="B273" i="11"/>
  <c r="B274" i="11"/>
  <c r="B275" i="11"/>
  <c r="B276" i="11"/>
  <c r="B277" i="11"/>
  <c r="B278" i="11"/>
  <c r="B279" i="11"/>
  <c r="B280" i="11"/>
  <c r="B281" i="11"/>
  <c r="B282" i="11"/>
  <c r="B283" i="11"/>
  <c r="B284" i="11"/>
  <c r="B285" i="11"/>
  <c r="B286" i="11"/>
  <c r="B287" i="11"/>
  <c r="B288" i="11"/>
  <c r="B289" i="11"/>
  <c r="B290" i="11"/>
  <c r="B291" i="11"/>
  <c r="B292" i="11"/>
  <c r="B293" i="11"/>
  <c r="B294" i="11"/>
  <c r="B295" i="11"/>
  <c r="B296" i="11"/>
  <c r="B297" i="11"/>
  <c r="B298" i="11"/>
  <c r="B299" i="11"/>
  <c r="B300" i="11"/>
  <c r="B301" i="11"/>
  <c r="B302" i="11"/>
  <c r="B303" i="11"/>
  <c r="B304" i="11"/>
  <c r="B305" i="11"/>
  <c r="B267" i="11"/>
  <c r="B266" i="11"/>
  <c r="T263" i="11"/>
  <c r="N263" i="11"/>
  <c r="D263" i="11"/>
  <c r="S225" i="11"/>
  <c r="S226" i="11"/>
  <c r="S227" i="11"/>
  <c r="S228" i="11"/>
  <c r="S229" i="11"/>
  <c r="S230" i="11"/>
  <c r="S231" i="11"/>
  <c r="S232" i="11"/>
  <c r="S233" i="11"/>
  <c r="S234" i="11"/>
  <c r="S235" i="11"/>
  <c r="S236" i="11"/>
  <c r="S237" i="11"/>
  <c r="S238" i="11"/>
  <c r="S239" i="11"/>
  <c r="S240" i="11"/>
  <c r="S241" i="11"/>
  <c r="S242" i="11"/>
  <c r="S243" i="11"/>
  <c r="S244" i="11"/>
  <c r="S245" i="11"/>
  <c r="S246" i="11"/>
  <c r="S247" i="11"/>
  <c r="S248" i="11"/>
  <c r="S249" i="11"/>
  <c r="S250" i="11"/>
  <c r="S251" i="11"/>
  <c r="S252" i="11"/>
  <c r="S253" i="11"/>
  <c r="S254" i="11"/>
  <c r="S255" i="11"/>
  <c r="S256" i="11"/>
  <c r="S257" i="11"/>
  <c r="S258" i="11"/>
  <c r="S259" i="11"/>
  <c r="S260" i="11"/>
  <c r="S261" i="11"/>
  <c r="S262" i="11"/>
  <c r="S224" i="11"/>
  <c r="S223" i="11"/>
  <c r="R225" i="11"/>
  <c r="R226" i="11"/>
  <c r="R227" i="11"/>
  <c r="R228" i="11"/>
  <c r="R229" i="11"/>
  <c r="R230" i="11"/>
  <c r="R231" i="11"/>
  <c r="R232" i="11"/>
  <c r="R233" i="11"/>
  <c r="R234" i="11"/>
  <c r="R235" i="11"/>
  <c r="R236" i="11"/>
  <c r="R237" i="11"/>
  <c r="R238" i="11"/>
  <c r="R239" i="11"/>
  <c r="R240" i="11"/>
  <c r="R241" i="11"/>
  <c r="R242" i="11"/>
  <c r="R243" i="11"/>
  <c r="R244" i="11"/>
  <c r="R245" i="11"/>
  <c r="R246" i="11"/>
  <c r="R247" i="11"/>
  <c r="R248" i="11"/>
  <c r="R249" i="11"/>
  <c r="R250" i="11"/>
  <c r="R251" i="11"/>
  <c r="R252" i="11"/>
  <c r="R253" i="11"/>
  <c r="R254" i="11"/>
  <c r="R255" i="11"/>
  <c r="R256" i="11"/>
  <c r="R257" i="11"/>
  <c r="R258" i="11"/>
  <c r="R259" i="11"/>
  <c r="R260" i="11"/>
  <c r="R261" i="11"/>
  <c r="R262" i="11"/>
  <c r="R224" i="11"/>
  <c r="R223" i="11"/>
  <c r="M225" i="11"/>
  <c r="M226" i="11"/>
  <c r="M227" i="11"/>
  <c r="M228" i="11"/>
  <c r="M229" i="11"/>
  <c r="M230" i="11"/>
  <c r="M231" i="11"/>
  <c r="M232" i="11"/>
  <c r="M233" i="11"/>
  <c r="M234" i="11"/>
  <c r="M235" i="11"/>
  <c r="M236" i="11"/>
  <c r="M237" i="11"/>
  <c r="M238" i="11"/>
  <c r="M239" i="11"/>
  <c r="M240" i="11"/>
  <c r="M241" i="11"/>
  <c r="M242" i="11"/>
  <c r="M243" i="11"/>
  <c r="M244" i="11"/>
  <c r="M245" i="11"/>
  <c r="M246" i="11"/>
  <c r="M247" i="11"/>
  <c r="M248" i="11"/>
  <c r="M249" i="11"/>
  <c r="M250" i="11"/>
  <c r="M251" i="11"/>
  <c r="M252" i="11"/>
  <c r="M253" i="11"/>
  <c r="M254" i="11"/>
  <c r="M255" i="11"/>
  <c r="M256" i="11"/>
  <c r="M257" i="11"/>
  <c r="M258" i="11"/>
  <c r="M259" i="11"/>
  <c r="M260" i="11"/>
  <c r="M261" i="11"/>
  <c r="M262" i="11"/>
  <c r="M224" i="11"/>
  <c r="M223" i="11"/>
  <c r="K225" i="11"/>
  <c r="K226" i="11"/>
  <c r="K227" i="11"/>
  <c r="K228" i="11"/>
  <c r="K229" i="11"/>
  <c r="K230" i="11"/>
  <c r="K231" i="11"/>
  <c r="K232" i="11"/>
  <c r="K233" i="11"/>
  <c r="K234" i="11"/>
  <c r="K235" i="11"/>
  <c r="K236" i="11"/>
  <c r="K237" i="11"/>
  <c r="K238" i="11"/>
  <c r="K239" i="11"/>
  <c r="K240" i="11"/>
  <c r="K241" i="11"/>
  <c r="K242" i="11"/>
  <c r="K243" i="11"/>
  <c r="K244" i="11"/>
  <c r="K245" i="11"/>
  <c r="K246" i="11"/>
  <c r="K247" i="11"/>
  <c r="K248" i="11"/>
  <c r="K249" i="11"/>
  <c r="K250" i="11"/>
  <c r="K251" i="11"/>
  <c r="K252" i="11"/>
  <c r="K253" i="11"/>
  <c r="K254" i="11"/>
  <c r="K255" i="11"/>
  <c r="K256" i="11"/>
  <c r="K257" i="11"/>
  <c r="K258" i="11"/>
  <c r="K259" i="11"/>
  <c r="K260" i="11"/>
  <c r="K261" i="11"/>
  <c r="K262" i="11"/>
  <c r="K224" i="11"/>
  <c r="K223" i="11"/>
  <c r="I225" i="11"/>
  <c r="I226" i="11"/>
  <c r="I227" i="11"/>
  <c r="I228" i="11"/>
  <c r="I229" i="11"/>
  <c r="I230" i="11"/>
  <c r="I231" i="11"/>
  <c r="I232" i="11"/>
  <c r="I233" i="11"/>
  <c r="I234" i="11"/>
  <c r="I235" i="11"/>
  <c r="I236" i="11"/>
  <c r="I237" i="11"/>
  <c r="I238" i="11"/>
  <c r="I239" i="11"/>
  <c r="I240" i="11"/>
  <c r="I241" i="11"/>
  <c r="I242" i="11"/>
  <c r="I243" i="11"/>
  <c r="I244" i="11"/>
  <c r="I245" i="11"/>
  <c r="I246" i="11"/>
  <c r="I247" i="11"/>
  <c r="I248" i="11"/>
  <c r="I249" i="11"/>
  <c r="I250" i="11"/>
  <c r="I251" i="11"/>
  <c r="I252" i="11"/>
  <c r="I253" i="11"/>
  <c r="I254" i="11"/>
  <c r="I255" i="11"/>
  <c r="I256" i="11"/>
  <c r="I257" i="11"/>
  <c r="I258" i="11"/>
  <c r="I259" i="11"/>
  <c r="I260" i="11"/>
  <c r="I261" i="11"/>
  <c r="I262" i="11"/>
  <c r="I224" i="11"/>
  <c r="I223" i="11"/>
  <c r="H225" i="11"/>
  <c r="H226" i="11"/>
  <c r="H227" i="11"/>
  <c r="H228" i="11"/>
  <c r="H229" i="11"/>
  <c r="H230" i="11"/>
  <c r="H231" i="11"/>
  <c r="H232" i="11"/>
  <c r="H233" i="11"/>
  <c r="H234" i="11"/>
  <c r="H235" i="11"/>
  <c r="H236" i="11"/>
  <c r="H237" i="11"/>
  <c r="H238" i="11"/>
  <c r="H239" i="11"/>
  <c r="H240" i="11"/>
  <c r="H241" i="11"/>
  <c r="H242" i="11"/>
  <c r="H243" i="11"/>
  <c r="H244" i="11"/>
  <c r="H245" i="11"/>
  <c r="H246" i="11"/>
  <c r="H247" i="11"/>
  <c r="H248" i="11"/>
  <c r="H249" i="11"/>
  <c r="H250" i="11"/>
  <c r="H251" i="11"/>
  <c r="H252" i="11"/>
  <c r="H253" i="11"/>
  <c r="H254" i="11"/>
  <c r="H255" i="11"/>
  <c r="H256" i="11"/>
  <c r="H257" i="11"/>
  <c r="H258" i="11"/>
  <c r="H259" i="11"/>
  <c r="H260" i="11"/>
  <c r="H261" i="11"/>
  <c r="H262" i="11"/>
  <c r="H224" i="11"/>
  <c r="H223"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259" i="11"/>
  <c r="G260" i="11"/>
  <c r="G261" i="11"/>
  <c r="G262" i="11"/>
  <c r="G224" i="11"/>
  <c r="G223" i="11"/>
  <c r="F225" i="11"/>
  <c r="F226" i="11"/>
  <c r="F227" i="11"/>
  <c r="F228" i="11"/>
  <c r="F229" i="11"/>
  <c r="F230" i="11"/>
  <c r="F231" i="11"/>
  <c r="F232" i="11"/>
  <c r="F233" i="11"/>
  <c r="F234" i="11"/>
  <c r="F235" i="11"/>
  <c r="F236" i="11"/>
  <c r="F237" i="11"/>
  <c r="F238" i="11"/>
  <c r="F239" i="11"/>
  <c r="F240" i="11"/>
  <c r="F241" i="11"/>
  <c r="F242" i="11"/>
  <c r="F243" i="11"/>
  <c r="F244" i="11"/>
  <c r="F245" i="11"/>
  <c r="F246" i="11"/>
  <c r="F247" i="11"/>
  <c r="F248" i="11"/>
  <c r="F249" i="11"/>
  <c r="F250" i="11"/>
  <c r="F251" i="11"/>
  <c r="F252" i="11"/>
  <c r="F253" i="11"/>
  <c r="F254" i="11"/>
  <c r="F255" i="11"/>
  <c r="F256" i="11"/>
  <c r="F257" i="11"/>
  <c r="F258" i="11"/>
  <c r="F259" i="11"/>
  <c r="F260" i="11"/>
  <c r="F261" i="11"/>
  <c r="F262" i="11"/>
  <c r="F224" i="11"/>
  <c r="F223"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24" i="11"/>
  <c r="C223"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0" i="11"/>
  <c r="B251" i="11"/>
  <c r="B252" i="11"/>
  <c r="B253" i="11"/>
  <c r="B254" i="11"/>
  <c r="B255" i="11"/>
  <c r="B256" i="11"/>
  <c r="B257" i="11"/>
  <c r="B258" i="11"/>
  <c r="B259" i="11"/>
  <c r="B260" i="11"/>
  <c r="B261" i="11"/>
  <c r="B262" i="11"/>
  <c r="B224" i="11"/>
  <c r="B223" i="11"/>
  <c r="T220" i="11"/>
  <c r="N220" i="11"/>
  <c r="D220" i="11"/>
  <c r="S182" i="11"/>
  <c r="S183" i="11"/>
  <c r="S184" i="11"/>
  <c r="S185" i="11"/>
  <c r="S186" i="11"/>
  <c r="S187" i="11"/>
  <c r="S188" i="11"/>
  <c r="S189" i="11"/>
  <c r="S190" i="11"/>
  <c r="S191" i="11"/>
  <c r="S192" i="11"/>
  <c r="S193" i="11"/>
  <c r="S194" i="11"/>
  <c r="S195" i="11"/>
  <c r="S196" i="11"/>
  <c r="S197" i="11"/>
  <c r="S198" i="11"/>
  <c r="S199" i="11"/>
  <c r="S200" i="11"/>
  <c r="S201" i="11"/>
  <c r="S202" i="11"/>
  <c r="S203" i="11"/>
  <c r="S204" i="11"/>
  <c r="S205" i="11"/>
  <c r="S206" i="11"/>
  <c r="S207" i="11"/>
  <c r="S208" i="11"/>
  <c r="S209" i="11"/>
  <c r="S210" i="11"/>
  <c r="S211" i="11"/>
  <c r="S212" i="11"/>
  <c r="S213" i="11"/>
  <c r="S214" i="11"/>
  <c r="S215" i="11"/>
  <c r="S216" i="11"/>
  <c r="S217" i="11"/>
  <c r="S218" i="11"/>
  <c r="S219" i="11"/>
  <c r="S181" i="11"/>
  <c r="S180" i="11"/>
  <c r="R182" i="11"/>
  <c r="R183" i="11"/>
  <c r="R184" i="11"/>
  <c r="R185" i="11"/>
  <c r="R186" i="11"/>
  <c r="R187" i="11"/>
  <c r="R188" i="11"/>
  <c r="R189" i="11"/>
  <c r="R190" i="11"/>
  <c r="R191" i="11"/>
  <c r="R192" i="11"/>
  <c r="R193" i="11"/>
  <c r="R194" i="11"/>
  <c r="R195" i="11"/>
  <c r="R196" i="11"/>
  <c r="R197" i="11"/>
  <c r="R198" i="11"/>
  <c r="R199" i="11"/>
  <c r="R200" i="11"/>
  <c r="R201" i="11"/>
  <c r="R202" i="11"/>
  <c r="R203" i="11"/>
  <c r="R204" i="11"/>
  <c r="R205" i="11"/>
  <c r="R206" i="11"/>
  <c r="R207" i="11"/>
  <c r="R208" i="11"/>
  <c r="R209" i="11"/>
  <c r="R210" i="11"/>
  <c r="R211" i="11"/>
  <c r="R212" i="11"/>
  <c r="R213" i="11"/>
  <c r="R214" i="11"/>
  <c r="R215" i="11"/>
  <c r="R216" i="11"/>
  <c r="R217" i="11"/>
  <c r="R218" i="11"/>
  <c r="R219" i="11"/>
  <c r="R181" i="11"/>
  <c r="R180" i="11"/>
  <c r="M182" i="11"/>
  <c r="M183" i="11"/>
  <c r="M184" i="11"/>
  <c r="M185" i="11"/>
  <c r="M186" i="11"/>
  <c r="M187" i="11"/>
  <c r="M188" i="11"/>
  <c r="M189" i="11"/>
  <c r="M190" i="11"/>
  <c r="M191" i="11"/>
  <c r="M192" i="11"/>
  <c r="M193" i="11"/>
  <c r="M194" i="11"/>
  <c r="M195" i="11"/>
  <c r="M196" i="11"/>
  <c r="M197" i="11"/>
  <c r="M198" i="11"/>
  <c r="M199" i="11"/>
  <c r="M200" i="11"/>
  <c r="M201" i="11"/>
  <c r="M202" i="11"/>
  <c r="M203" i="11"/>
  <c r="M204" i="11"/>
  <c r="M205" i="11"/>
  <c r="M206" i="11"/>
  <c r="M207" i="11"/>
  <c r="M208" i="11"/>
  <c r="M209" i="11"/>
  <c r="M210" i="11"/>
  <c r="M211" i="11"/>
  <c r="M212" i="11"/>
  <c r="M213" i="11"/>
  <c r="M214" i="11"/>
  <c r="M215" i="11"/>
  <c r="M216" i="11"/>
  <c r="M217" i="11"/>
  <c r="M218" i="11"/>
  <c r="M219" i="11"/>
  <c r="M181" i="11"/>
  <c r="M180" i="11"/>
  <c r="K182" i="11"/>
  <c r="K183" i="11"/>
  <c r="K184" i="11"/>
  <c r="K185" i="11"/>
  <c r="K186" i="11"/>
  <c r="K187" i="11"/>
  <c r="K188" i="11"/>
  <c r="K189" i="11"/>
  <c r="K190" i="11"/>
  <c r="K191" i="11"/>
  <c r="K192" i="11"/>
  <c r="K193" i="11"/>
  <c r="K194" i="11"/>
  <c r="K195" i="11"/>
  <c r="K196" i="11"/>
  <c r="K197" i="11"/>
  <c r="K198" i="11"/>
  <c r="K199" i="11"/>
  <c r="K200" i="11"/>
  <c r="K201" i="11"/>
  <c r="K202" i="11"/>
  <c r="K203" i="11"/>
  <c r="K204" i="11"/>
  <c r="K205" i="11"/>
  <c r="K206" i="11"/>
  <c r="K207" i="11"/>
  <c r="K208" i="11"/>
  <c r="K209" i="11"/>
  <c r="K210" i="11"/>
  <c r="K211" i="11"/>
  <c r="K212" i="11"/>
  <c r="K213" i="11"/>
  <c r="K214" i="11"/>
  <c r="K215" i="11"/>
  <c r="K216" i="11"/>
  <c r="K217" i="11"/>
  <c r="K218" i="11"/>
  <c r="K219" i="11"/>
  <c r="K181" i="11"/>
  <c r="K180" i="11"/>
  <c r="I182" i="11"/>
  <c r="I183" i="11"/>
  <c r="I184" i="11"/>
  <c r="I185" i="11"/>
  <c r="I186" i="11"/>
  <c r="I187" i="11"/>
  <c r="I188" i="11"/>
  <c r="I189" i="11"/>
  <c r="I190" i="11"/>
  <c r="I191" i="11"/>
  <c r="I192" i="11"/>
  <c r="I193" i="11"/>
  <c r="I194" i="11"/>
  <c r="I195" i="11"/>
  <c r="I196" i="11"/>
  <c r="I197" i="11"/>
  <c r="I198" i="11"/>
  <c r="I199" i="11"/>
  <c r="I200" i="11"/>
  <c r="I201" i="11"/>
  <c r="I202" i="11"/>
  <c r="I203" i="11"/>
  <c r="I204" i="11"/>
  <c r="I205" i="11"/>
  <c r="I206" i="11"/>
  <c r="I207" i="11"/>
  <c r="I208" i="11"/>
  <c r="I209" i="11"/>
  <c r="I210" i="11"/>
  <c r="I211" i="11"/>
  <c r="I212" i="11"/>
  <c r="I213" i="11"/>
  <c r="I214" i="11"/>
  <c r="I215" i="11"/>
  <c r="I216" i="11"/>
  <c r="I217" i="11"/>
  <c r="I218" i="11"/>
  <c r="I219" i="11"/>
  <c r="I181" i="11"/>
  <c r="I180"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181" i="11"/>
  <c r="H180"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181" i="11"/>
  <c r="G180"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205" i="11"/>
  <c r="F206" i="11"/>
  <c r="F207" i="11"/>
  <c r="F208" i="11"/>
  <c r="F209" i="11"/>
  <c r="F210" i="11"/>
  <c r="F211" i="11"/>
  <c r="F212" i="11"/>
  <c r="F213" i="11"/>
  <c r="F214" i="11"/>
  <c r="F215" i="11"/>
  <c r="F216" i="11"/>
  <c r="F217" i="11"/>
  <c r="F218" i="11"/>
  <c r="F219" i="11"/>
  <c r="F181" i="11"/>
  <c r="F180"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181" i="11"/>
  <c r="C180"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181" i="11"/>
  <c r="B180" i="11"/>
  <c r="T177" i="11"/>
  <c r="N177" i="11"/>
  <c r="D177" i="11"/>
  <c r="S139" i="11"/>
  <c r="S140" i="11"/>
  <c r="S141" i="11"/>
  <c r="S142" i="11"/>
  <c r="S143" i="11"/>
  <c r="S144" i="11"/>
  <c r="S145" i="11"/>
  <c r="S146" i="11"/>
  <c r="S147" i="11"/>
  <c r="S148" i="11"/>
  <c r="S149" i="11"/>
  <c r="S150" i="11"/>
  <c r="S151" i="11"/>
  <c r="S152" i="11"/>
  <c r="S153" i="11"/>
  <c r="S154" i="11"/>
  <c r="S155" i="11"/>
  <c r="S156" i="11"/>
  <c r="S157" i="11"/>
  <c r="S158" i="11"/>
  <c r="S159" i="11"/>
  <c r="S160" i="11"/>
  <c r="S161" i="11"/>
  <c r="S162" i="11"/>
  <c r="S163" i="11"/>
  <c r="S164" i="11"/>
  <c r="S165" i="11"/>
  <c r="S166" i="11"/>
  <c r="S167" i="11"/>
  <c r="S168" i="11"/>
  <c r="S169" i="11"/>
  <c r="S170" i="11"/>
  <c r="S171" i="11"/>
  <c r="S172" i="11"/>
  <c r="S173" i="11"/>
  <c r="S174" i="11"/>
  <c r="S175" i="11"/>
  <c r="S176" i="11"/>
  <c r="S138" i="11"/>
  <c r="S137" i="11"/>
  <c r="S133" i="11"/>
  <c r="R139" i="11"/>
  <c r="R140" i="11"/>
  <c r="R141" i="11"/>
  <c r="R142" i="11"/>
  <c r="R143" i="11"/>
  <c r="R144" i="11"/>
  <c r="R145" i="11"/>
  <c r="R146" i="11"/>
  <c r="R147" i="11"/>
  <c r="R148" i="11"/>
  <c r="R149" i="11"/>
  <c r="R150" i="11"/>
  <c r="R151" i="11"/>
  <c r="R152" i="11"/>
  <c r="R153" i="11"/>
  <c r="R154" i="11"/>
  <c r="R155" i="11"/>
  <c r="R156" i="11"/>
  <c r="R157" i="11"/>
  <c r="R158" i="11"/>
  <c r="R159" i="11"/>
  <c r="R160" i="11"/>
  <c r="R161" i="11"/>
  <c r="R162" i="11"/>
  <c r="R163" i="11"/>
  <c r="R164" i="11"/>
  <c r="R165" i="11"/>
  <c r="R166" i="11"/>
  <c r="R167" i="11"/>
  <c r="R168" i="11"/>
  <c r="R169" i="11"/>
  <c r="R170" i="11"/>
  <c r="R171" i="11"/>
  <c r="R172" i="11"/>
  <c r="R173" i="11"/>
  <c r="R174" i="11"/>
  <c r="R175" i="11"/>
  <c r="R176" i="11"/>
  <c r="R138" i="11"/>
  <c r="R137" i="11"/>
  <c r="R133" i="11"/>
  <c r="M139" i="11"/>
  <c r="M140" i="11"/>
  <c r="M141" i="11"/>
  <c r="M142" i="11"/>
  <c r="M143" i="11"/>
  <c r="M144" i="11"/>
  <c r="M145" i="11"/>
  <c r="M146" i="11"/>
  <c r="M147" i="11"/>
  <c r="M148" i="11"/>
  <c r="M149" i="11"/>
  <c r="M150" i="11"/>
  <c r="M151" i="11"/>
  <c r="M152" i="11"/>
  <c r="M153" i="11"/>
  <c r="M154" i="11"/>
  <c r="M155" i="11"/>
  <c r="M156" i="11"/>
  <c r="M157" i="11"/>
  <c r="M158" i="11"/>
  <c r="M159" i="11"/>
  <c r="M160" i="11"/>
  <c r="M161" i="11"/>
  <c r="M162" i="11"/>
  <c r="M163" i="11"/>
  <c r="M164" i="11"/>
  <c r="M165" i="11"/>
  <c r="M166" i="11"/>
  <c r="M167" i="11"/>
  <c r="M168" i="11"/>
  <c r="M169" i="11"/>
  <c r="M170" i="11"/>
  <c r="M171" i="11"/>
  <c r="M172" i="11"/>
  <c r="M173" i="11"/>
  <c r="M174" i="11"/>
  <c r="M175" i="11"/>
  <c r="M176" i="11"/>
  <c r="M138" i="11"/>
  <c r="M137" i="11"/>
  <c r="K139" i="11"/>
  <c r="K140" i="11"/>
  <c r="K141" i="11"/>
  <c r="K142" i="11"/>
  <c r="K143" i="11"/>
  <c r="K144" i="11"/>
  <c r="K145" i="11"/>
  <c r="K146" i="11"/>
  <c r="K147" i="11"/>
  <c r="K148" i="11"/>
  <c r="K149" i="11"/>
  <c r="K150" i="11"/>
  <c r="K151" i="11"/>
  <c r="K152" i="11"/>
  <c r="K153" i="11"/>
  <c r="K154" i="11"/>
  <c r="K155" i="11"/>
  <c r="K156" i="11"/>
  <c r="K157" i="11"/>
  <c r="K158" i="11"/>
  <c r="K159" i="11"/>
  <c r="K160" i="11"/>
  <c r="K161" i="11"/>
  <c r="K162" i="11"/>
  <c r="K163" i="11"/>
  <c r="K164" i="11"/>
  <c r="K165" i="11"/>
  <c r="K166" i="11"/>
  <c r="K167" i="11"/>
  <c r="K168" i="11"/>
  <c r="K169" i="11"/>
  <c r="K170" i="11"/>
  <c r="K171" i="11"/>
  <c r="K172" i="11"/>
  <c r="K173" i="11"/>
  <c r="K174" i="11"/>
  <c r="K175" i="11"/>
  <c r="K176" i="11"/>
  <c r="K138" i="11"/>
  <c r="K137" i="11"/>
  <c r="K96" i="11" l="1"/>
  <c r="K97" i="11"/>
  <c r="K98" i="11"/>
  <c r="K99" i="11"/>
  <c r="K100" i="11"/>
  <c r="K101" i="11"/>
  <c r="K102" i="11"/>
  <c r="K103" i="11"/>
  <c r="K104" i="11"/>
  <c r="K105" i="11"/>
  <c r="K106" i="11"/>
  <c r="K107" i="11"/>
  <c r="K108" i="11"/>
  <c r="K109" i="11"/>
  <c r="K110" i="11"/>
  <c r="K111" i="11"/>
  <c r="K112" i="11"/>
  <c r="K113" i="11"/>
  <c r="K114" i="11"/>
  <c r="K115" i="11"/>
  <c r="K116" i="11"/>
  <c r="K117" i="11"/>
  <c r="K118" i="11"/>
  <c r="K119" i="11"/>
  <c r="K120" i="11"/>
  <c r="K121" i="11"/>
  <c r="K122" i="11"/>
  <c r="K123" i="11"/>
  <c r="K124" i="11"/>
  <c r="K125" i="11"/>
  <c r="K126" i="11"/>
  <c r="K127" i="11"/>
  <c r="K128" i="11"/>
  <c r="K129" i="11"/>
  <c r="K130" i="11"/>
  <c r="K131" i="11"/>
  <c r="K132" i="11"/>
  <c r="K133" i="11"/>
  <c r="F96" i="11"/>
  <c r="G96" i="11"/>
  <c r="H96" i="11"/>
  <c r="I96" i="11"/>
  <c r="F97" i="11"/>
  <c r="G97" i="11"/>
  <c r="H97" i="11"/>
  <c r="I97" i="11"/>
  <c r="F98" i="11"/>
  <c r="G98" i="11"/>
  <c r="H98" i="11"/>
  <c r="I98" i="11"/>
  <c r="F99" i="11"/>
  <c r="G99" i="11"/>
  <c r="H99" i="11"/>
  <c r="I99" i="11"/>
  <c r="F100" i="11"/>
  <c r="G100" i="11"/>
  <c r="H100" i="11"/>
  <c r="I100" i="11"/>
  <c r="F101" i="11"/>
  <c r="G101" i="11"/>
  <c r="H101" i="11"/>
  <c r="I101" i="11"/>
  <c r="F102" i="11"/>
  <c r="G102" i="11"/>
  <c r="H102" i="11"/>
  <c r="I102" i="11"/>
  <c r="F103" i="11"/>
  <c r="G103" i="11"/>
  <c r="H103" i="11"/>
  <c r="I103" i="11"/>
  <c r="F104" i="11"/>
  <c r="G104" i="11"/>
  <c r="H104" i="11"/>
  <c r="I104" i="11"/>
  <c r="F105" i="11"/>
  <c r="G105" i="11"/>
  <c r="H105" i="11"/>
  <c r="I105" i="11"/>
  <c r="F106" i="11"/>
  <c r="G106" i="11"/>
  <c r="H106" i="11"/>
  <c r="I106" i="11"/>
  <c r="F107" i="11"/>
  <c r="G107" i="11"/>
  <c r="H107" i="11"/>
  <c r="I107" i="11"/>
  <c r="F108" i="11"/>
  <c r="G108" i="11"/>
  <c r="H108" i="11"/>
  <c r="I108" i="11"/>
  <c r="F109" i="11"/>
  <c r="G109" i="11"/>
  <c r="H109" i="11"/>
  <c r="I109" i="11"/>
  <c r="F110" i="11"/>
  <c r="G110" i="11"/>
  <c r="H110" i="11"/>
  <c r="I110" i="11"/>
  <c r="F111" i="11"/>
  <c r="G111" i="11"/>
  <c r="H111" i="11"/>
  <c r="I111" i="11"/>
  <c r="F112" i="11"/>
  <c r="G112" i="11"/>
  <c r="H112" i="11"/>
  <c r="I112" i="11"/>
  <c r="F113" i="11"/>
  <c r="G113" i="11"/>
  <c r="H113" i="11"/>
  <c r="I113" i="11"/>
  <c r="F114" i="11"/>
  <c r="G114" i="11"/>
  <c r="H114" i="11"/>
  <c r="I114" i="11"/>
  <c r="F115" i="11"/>
  <c r="G115" i="11"/>
  <c r="H115" i="11"/>
  <c r="I115" i="11"/>
  <c r="F116" i="11"/>
  <c r="G116" i="11"/>
  <c r="H116" i="11"/>
  <c r="I116" i="11"/>
  <c r="F117" i="11"/>
  <c r="G117" i="11"/>
  <c r="H117" i="11"/>
  <c r="I117" i="11"/>
  <c r="F118" i="11"/>
  <c r="G118" i="11"/>
  <c r="H118" i="11"/>
  <c r="I118" i="11"/>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6" i="11"/>
  <c r="G126" i="11"/>
  <c r="H126" i="11"/>
  <c r="I126" i="11"/>
  <c r="F127" i="11"/>
  <c r="G127" i="11"/>
  <c r="H127" i="11"/>
  <c r="I127" i="11"/>
  <c r="F128" i="11"/>
  <c r="G128" i="11"/>
  <c r="H128" i="11"/>
  <c r="I128" i="11"/>
  <c r="F129" i="11"/>
  <c r="G129" i="11"/>
  <c r="H129" i="11"/>
  <c r="I129" i="11"/>
  <c r="F130" i="11"/>
  <c r="G130" i="11"/>
  <c r="H130" i="11"/>
  <c r="I130" i="11"/>
  <c r="F131" i="11"/>
  <c r="G131" i="11"/>
  <c r="H131" i="11"/>
  <c r="I131" i="11"/>
  <c r="F132" i="11"/>
  <c r="G132" i="11"/>
  <c r="H132" i="11"/>
  <c r="I132" i="11"/>
  <c r="F133" i="11"/>
  <c r="G133" i="11"/>
  <c r="H133" i="11"/>
  <c r="I133" i="11"/>
  <c r="M96" i="11"/>
  <c r="M97" i="11"/>
  <c r="M98" i="11"/>
  <c r="M99" i="11"/>
  <c r="M100" i="11"/>
  <c r="M101" i="11"/>
  <c r="M102" i="11"/>
  <c r="M103" i="11"/>
  <c r="M104" i="11"/>
  <c r="M105" i="11"/>
  <c r="M106" i="11"/>
  <c r="M107" i="11"/>
  <c r="M108" i="11"/>
  <c r="M109" i="11"/>
  <c r="M110" i="11"/>
  <c r="M111" i="11"/>
  <c r="M112" i="11"/>
  <c r="M113" i="11"/>
  <c r="M114" i="11"/>
  <c r="M115" i="11"/>
  <c r="M116" i="11"/>
  <c r="M117" i="11"/>
  <c r="M118" i="11"/>
  <c r="M119" i="11"/>
  <c r="M120" i="11"/>
  <c r="M121" i="11"/>
  <c r="M122" i="11"/>
  <c r="M123" i="11"/>
  <c r="M124" i="11"/>
  <c r="M125" i="11"/>
  <c r="M126" i="11"/>
  <c r="M127" i="11"/>
  <c r="M128" i="11"/>
  <c r="M129" i="11"/>
  <c r="M130" i="11"/>
  <c r="M131" i="11"/>
  <c r="M132" i="11"/>
  <c r="M133" i="11"/>
  <c r="R96" i="11"/>
  <c r="S96" i="11"/>
  <c r="R97" i="11"/>
  <c r="S97" i="11"/>
  <c r="R98" i="11"/>
  <c r="S98" i="11"/>
  <c r="R99" i="11"/>
  <c r="S99" i="11"/>
  <c r="R100" i="11"/>
  <c r="S100" i="11"/>
  <c r="R101" i="11"/>
  <c r="S101" i="11"/>
  <c r="R102" i="11"/>
  <c r="S102" i="11"/>
  <c r="R103" i="11"/>
  <c r="S103" i="11"/>
  <c r="R104" i="11"/>
  <c r="S104" i="11"/>
  <c r="R105" i="11"/>
  <c r="S105" i="11"/>
  <c r="R106" i="11"/>
  <c r="S106" i="11"/>
  <c r="R107" i="11"/>
  <c r="S107" i="11"/>
  <c r="R108" i="11"/>
  <c r="S108" i="11"/>
  <c r="R109" i="11"/>
  <c r="S109" i="11"/>
  <c r="R110" i="11"/>
  <c r="S110" i="11"/>
  <c r="R111" i="11"/>
  <c r="S111" i="11"/>
  <c r="R112" i="11"/>
  <c r="S112" i="11"/>
  <c r="R113" i="11"/>
  <c r="S113" i="11"/>
  <c r="R114" i="11"/>
  <c r="S114" i="11"/>
  <c r="R115" i="11"/>
  <c r="S115" i="11"/>
  <c r="R116" i="11"/>
  <c r="S116" i="11"/>
  <c r="R117" i="11"/>
  <c r="S117" i="11"/>
  <c r="R118" i="11"/>
  <c r="S118" i="11"/>
  <c r="R119" i="11"/>
  <c r="S119" i="11"/>
  <c r="R120" i="11"/>
  <c r="S120" i="11"/>
  <c r="R121" i="11"/>
  <c r="S121" i="11"/>
  <c r="R122" i="11"/>
  <c r="S122" i="11"/>
  <c r="R123" i="11"/>
  <c r="S123" i="11"/>
  <c r="R124" i="11"/>
  <c r="S124" i="11"/>
  <c r="R125" i="11"/>
  <c r="S125" i="11"/>
  <c r="R126" i="11"/>
  <c r="S126" i="11"/>
  <c r="R127" i="11"/>
  <c r="S127" i="11"/>
  <c r="R128" i="11"/>
  <c r="S128" i="11"/>
  <c r="R129" i="11"/>
  <c r="S129" i="11"/>
  <c r="R130" i="11"/>
  <c r="S130" i="11"/>
  <c r="R131" i="11"/>
  <c r="S131" i="11"/>
  <c r="R132" i="11"/>
  <c r="S132" i="11"/>
  <c r="S95" i="11"/>
  <c r="R94" i="11"/>
  <c r="M95" i="11"/>
  <c r="K95" i="11"/>
  <c r="F139" i="11"/>
  <c r="G139" i="11"/>
  <c r="H139" i="11"/>
  <c r="I139" i="11"/>
  <c r="F140" i="11"/>
  <c r="G140" i="11"/>
  <c r="H140" i="11"/>
  <c r="I140" i="11"/>
  <c r="F141" i="11"/>
  <c r="G141" i="11"/>
  <c r="H141" i="11"/>
  <c r="I141" i="11"/>
  <c r="F142" i="11"/>
  <c r="G142" i="11"/>
  <c r="H142" i="11"/>
  <c r="I142" i="11"/>
  <c r="F143" i="11"/>
  <c r="G143" i="11"/>
  <c r="H143" i="11"/>
  <c r="I143" i="11"/>
  <c r="F144" i="11"/>
  <c r="G144" i="11"/>
  <c r="H144" i="11"/>
  <c r="I144" i="11"/>
  <c r="F145" i="11"/>
  <c r="G145" i="11"/>
  <c r="H145" i="11"/>
  <c r="I145" i="11"/>
  <c r="F146" i="11"/>
  <c r="G146" i="11"/>
  <c r="H146" i="11"/>
  <c r="I146" i="11"/>
  <c r="F147" i="11"/>
  <c r="G147" i="11"/>
  <c r="H147" i="11"/>
  <c r="I147" i="11"/>
  <c r="F148" i="11"/>
  <c r="G148" i="11"/>
  <c r="H148" i="11"/>
  <c r="I148" i="11"/>
  <c r="F149" i="11"/>
  <c r="G149" i="11"/>
  <c r="H149" i="11"/>
  <c r="I149" i="11"/>
  <c r="F150" i="11"/>
  <c r="G150" i="11"/>
  <c r="H150" i="11"/>
  <c r="I150" i="11"/>
  <c r="F151" i="11"/>
  <c r="G151" i="11"/>
  <c r="H151" i="11"/>
  <c r="I151" i="11"/>
  <c r="F152" i="11"/>
  <c r="G152" i="11"/>
  <c r="H152" i="11"/>
  <c r="I152" i="11"/>
  <c r="F153" i="11"/>
  <c r="G153" i="11"/>
  <c r="H153" i="11"/>
  <c r="I153" i="11"/>
  <c r="F154" i="11"/>
  <c r="G154" i="11"/>
  <c r="H154" i="11"/>
  <c r="I154" i="11"/>
  <c r="F155" i="11"/>
  <c r="G155" i="11"/>
  <c r="H155" i="11"/>
  <c r="I155" i="11"/>
  <c r="F156" i="11"/>
  <c r="G156" i="11"/>
  <c r="H156" i="11"/>
  <c r="I156" i="11"/>
  <c r="F157" i="11"/>
  <c r="G157" i="11"/>
  <c r="H157" i="11"/>
  <c r="I157" i="11"/>
  <c r="F158" i="11"/>
  <c r="G158" i="11"/>
  <c r="H158" i="11"/>
  <c r="I158" i="11"/>
  <c r="F159" i="11"/>
  <c r="G159" i="11"/>
  <c r="H159" i="11"/>
  <c r="I159" i="11"/>
  <c r="F160" i="11"/>
  <c r="G160" i="11"/>
  <c r="H160" i="11"/>
  <c r="I160" i="11"/>
  <c r="F161" i="11"/>
  <c r="G161" i="11"/>
  <c r="H161" i="11"/>
  <c r="I161" i="11"/>
  <c r="F162" i="11"/>
  <c r="G162" i="11"/>
  <c r="H162" i="11"/>
  <c r="I162" i="11"/>
  <c r="F163" i="11"/>
  <c r="G163" i="11"/>
  <c r="H163" i="11"/>
  <c r="I163" i="11"/>
  <c r="F164" i="11"/>
  <c r="G164" i="11"/>
  <c r="H164" i="11"/>
  <c r="I164" i="11"/>
  <c r="F165" i="11"/>
  <c r="G165" i="11"/>
  <c r="H165" i="11"/>
  <c r="I165" i="11"/>
  <c r="F166" i="1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F175" i="11"/>
  <c r="G175" i="11"/>
  <c r="H175" i="11"/>
  <c r="I175" i="11"/>
  <c r="F176" i="11"/>
  <c r="G176" i="11"/>
  <c r="H176" i="11"/>
  <c r="I176" i="11"/>
  <c r="H138" i="11"/>
  <c r="I138" i="11"/>
  <c r="I137" i="11"/>
  <c r="H137" i="11"/>
  <c r="G138" i="11"/>
  <c r="G137" i="11"/>
  <c r="F138" i="11"/>
  <c r="F137"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38" i="11"/>
  <c r="C137"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38" i="11"/>
  <c r="B137"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7" i="13"/>
  <c r="D7" i="13" s="1"/>
  <c r="BM7" i="13" s="1"/>
  <c r="H7" i="13"/>
  <c r="N7" i="13"/>
  <c r="O7" i="13"/>
  <c r="B8" i="13"/>
  <c r="D8" i="13" s="1"/>
  <c r="BM8" i="13" s="1"/>
  <c r="H8" i="13"/>
  <c r="L8" i="13" s="1"/>
  <c r="N8" i="13"/>
  <c r="O8" i="13"/>
  <c r="B9" i="13"/>
  <c r="D9" i="13" s="1"/>
  <c r="BM9" i="13" s="1"/>
  <c r="H9" i="13"/>
  <c r="L9" i="13" s="1"/>
  <c r="N9" i="13"/>
  <c r="O9" i="13"/>
  <c r="B10" i="13"/>
  <c r="D10" i="13" s="1"/>
  <c r="BM10" i="13" s="1"/>
  <c r="H10" i="13"/>
  <c r="L10" i="13" s="1"/>
  <c r="N10" i="13"/>
  <c r="O10" i="13"/>
  <c r="B11" i="13"/>
  <c r="D11" i="13" s="1"/>
  <c r="BM11" i="13" s="1"/>
  <c r="H11" i="13"/>
  <c r="L11" i="13" s="1"/>
  <c r="N11" i="13"/>
  <c r="O11" i="13"/>
  <c r="B12" i="13"/>
  <c r="D12" i="13" s="1"/>
  <c r="BM12" i="13" s="1"/>
  <c r="H12" i="13"/>
  <c r="N12" i="13"/>
  <c r="O12" i="13"/>
  <c r="B13" i="13"/>
  <c r="D13" i="13" s="1"/>
  <c r="BM13" i="13" s="1"/>
  <c r="H13" i="13"/>
  <c r="L13" i="13" s="1"/>
  <c r="N13" i="13"/>
  <c r="O13" i="13"/>
  <c r="B14" i="13"/>
  <c r="D14" i="13" s="1"/>
  <c r="BM14" i="13" s="1"/>
  <c r="H14" i="13"/>
  <c r="N14" i="13"/>
  <c r="O14" i="13"/>
  <c r="B15" i="13"/>
  <c r="D15" i="13" s="1"/>
  <c r="BM15" i="13" s="1"/>
  <c r="H15" i="13"/>
  <c r="L15" i="13" s="1"/>
  <c r="N15" i="13"/>
  <c r="O15" i="13"/>
  <c r="B16" i="13"/>
  <c r="D16" i="13" s="1"/>
  <c r="BM16" i="13" s="1"/>
  <c r="H16" i="13"/>
  <c r="N16" i="13"/>
  <c r="O16" i="13"/>
  <c r="B17" i="13"/>
  <c r="D17" i="13" s="1"/>
  <c r="BM17" i="13" s="1"/>
  <c r="H17" i="13"/>
  <c r="L17" i="13" s="1"/>
  <c r="N17" i="13"/>
  <c r="O17" i="13"/>
  <c r="B18" i="13"/>
  <c r="D18" i="13" s="1"/>
  <c r="BM18" i="13" s="1"/>
  <c r="H18" i="13"/>
  <c r="N18" i="13"/>
  <c r="O18" i="13"/>
  <c r="B19" i="13"/>
  <c r="D19" i="13" s="1"/>
  <c r="BM19" i="13" s="1"/>
  <c r="H19" i="13"/>
  <c r="L19" i="13" s="1"/>
  <c r="N19" i="13"/>
  <c r="O19" i="13"/>
  <c r="B20" i="13"/>
  <c r="D20" i="13" s="1"/>
  <c r="BM20" i="13" s="1"/>
  <c r="H20" i="13"/>
  <c r="N20" i="13"/>
  <c r="O20" i="13"/>
  <c r="B21" i="13"/>
  <c r="D21" i="13" s="1"/>
  <c r="BM21" i="13" s="1"/>
  <c r="H21" i="13"/>
  <c r="L21" i="13" s="1"/>
  <c r="N21" i="13"/>
  <c r="O21" i="13"/>
  <c r="B22" i="13"/>
  <c r="D22" i="13" s="1"/>
  <c r="BM22" i="13" s="1"/>
  <c r="H22" i="13"/>
  <c r="N22" i="13"/>
  <c r="O22" i="13"/>
  <c r="B23" i="13"/>
  <c r="D23" i="13" s="1"/>
  <c r="BM23" i="13" s="1"/>
  <c r="H23" i="13"/>
  <c r="L23" i="13" s="1"/>
  <c r="N23" i="13"/>
  <c r="O23" i="13"/>
  <c r="B24" i="13"/>
  <c r="D24" i="13" s="1"/>
  <c r="BM24" i="13" s="1"/>
  <c r="H24" i="13"/>
  <c r="N24" i="13"/>
  <c r="O24" i="13"/>
  <c r="B25" i="13"/>
  <c r="D25" i="13" s="1"/>
  <c r="BM25" i="13" s="1"/>
  <c r="H25" i="13"/>
  <c r="L25" i="13" s="1"/>
  <c r="N25" i="13"/>
  <c r="O25" i="13"/>
  <c r="B26" i="13"/>
  <c r="D26" i="13" s="1"/>
  <c r="BM26" i="13" s="1"/>
  <c r="H26" i="13"/>
  <c r="N26" i="13"/>
  <c r="O26" i="13"/>
  <c r="B27" i="13"/>
  <c r="D27" i="13" s="1"/>
  <c r="BM27" i="13" s="1"/>
  <c r="H27" i="13"/>
  <c r="L27" i="13" s="1"/>
  <c r="N27" i="13"/>
  <c r="O27" i="13"/>
  <c r="B28" i="13"/>
  <c r="D28" i="13" s="1"/>
  <c r="BM28" i="13" s="1"/>
  <c r="H28" i="13"/>
  <c r="L28" i="13" s="1"/>
  <c r="N28" i="13"/>
  <c r="O28" i="13"/>
  <c r="B29" i="13"/>
  <c r="D29" i="13" s="1"/>
  <c r="BM29" i="13" s="1"/>
  <c r="H29" i="13"/>
  <c r="N29" i="13"/>
  <c r="O29" i="13"/>
  <c r="B30" i="13"/>
  <c r="D30" i="13" s="1"/>
  <c r="BM30" i="13" s="1"/>
  <c r="H30" i="13"/>
  <c r="L30" i="13" s="1"/>
  <c r="N30" i="13"/>
  <c r="O30" i="13"/>
  <c r="B31" i="13"/>
  <c r="D31" i="13" s="1"/>
  <c r="BM31" i="13" s="1"/>
  <c r="H31" i="13"/>
  <c r="L31" i="13" s="1"/>
  <c r="N31" i="13"/>
  <c r="O31" i="13"/>
  <c r="B32" i="13"/>
  <c r="D32" i="13" s="1"/>
  <c r="BM32" i="13" s="1"/>
  <c r="H32" i="13"/>
  <c r="N32" i="13"/>
  <c r="O32" i="13"/>
  <c r="B33" i="13"/>
  <c r="D33" i="13" s="1"/>
  <c r="BM33" i="13" s="1"/>
  <c r="H33" i="13"/>
  <c r="L33" i="13" s="1"/>
  <c r="N33" i="13"/>
  <c r="O33" i="13"/>
  <c r="B34" i="13"/>
  <c r="D34" i="13" s="1"/>
  <c r="BM34" i="13" s="1"/>
  <c r="H34" i="13"/>
  <c r="N34" i="13"/>
  <c r="O34" i="13"/>
  <c r="B35" i="13"/>
  <c r="D35" i="13" s="1"/>
  <c r="BM35" i="13" s="1"/>
  <c r="H35" i="13"/>
  <c r="N35" i="13"/>
  <c r="O35" i="13"/>
  <c r="B36" i="13"/>
  <c r="D36" i="13" s="1"/>
  <c r="BM36" i="13" s="1"/>
  <c r="H36" i="13"/>
  <c r="L36" i="13" s="1"/>
  <c r="N36" i="13"/>
  <c r="O36" i="13"/>
  <c r="B37" i="13"/>
  <c r="D37" i="13" s="1"/>
  <c r="BM37" i="13" s="1"/>
  <c r="H37" i="13"/>
  <c r="L37" i="13" s="1"/>
  <c r="N37" i="13"/>
  <c r="O37" i="13"/>
  <c r="B38" i="13"/>
  <c r="D38" i="13" s="1"/>
  <c r="BM38" i="13" s="1"/>
  <c r="H38" i="13"/>
  <c r="N38" i="13"/>
  <c r="O38" i="13"/>
  <c r="B39" i="13"/>
  <c r="D39" i="13" s="1"/>
  <c r="BM39" i="13" s="1"/>
  <c r="H39" i="13"/>
  <c r="N39" i="13"/>
  <c r="O39" i="13"/>
  <c r="B40" i="13"/>
  <c r="D40" i="13" s="1"/>
  <c r="BM40" i="13" s="1"/>
  <c r="H40" i="13"/>
  <c r="L40" i="13" s="1"/>
  <c r="N40" i="13"/>
  <c r="O40" i="13"/>
  <c r="B41" i="13"/>
  <c r="D41" i="13" s="1"/>
  <c r="BM41" i="13" s="1"/>
  <c r="H41" i="13"/>
  <c r="L41" i="13" s="1"/>
  <c r="N41" i="13"/>
  <c r="O41" i="13"/>
  <c r="B42" i="13"/>
  <c r="D42" i="13" s="1"/>
  <c r="BM42" i="13" s="1"/>
  <c r="H42" i="13"/>
  <c r="L42" i="13" s="1"/>
  <c r="N42" i="13"/>
  <c r="O42" i="13"/>
  <c r="B43" i="13"/>
  <c r="D43" i="13" s="1"/>
  <c r="BM43" i="13" s="1"/>
  <c r="H43" i="13"/>
  <c r="L43" i="13" s="1"/>
  <c r="N43" i="13"/>
  <c r="O43" i="13"/>
  <c r="B44" i="13"/>
  <c r="D44" i="13" s="1"/>
  <c r="BM44" i="13" s="1"/>
  <c r="H44" i="13"/>
  <c r="L44" i="13" s="1"/>
  <c r="N44" i="13"/>
  <c r="O44" i="13"/>
  <c r="B45" i="13"/>
  <c r="D45" i="13" s="1"/>
  <c r="BM45" i="13" s="1"/>
  <c r="H45" i="13"/>
  <c r="L45" i="13" s="1"/>
  <c r="N45" i="13"/>
  <c r="O45" i="13"/>
  <c r="B46" i="13"/>
  <c r="D46" i="13" s="1"/>
  <c r="BM46" i="13" s="1"/>
  <c r="H46" i="13"/>
  <c r="N46" i="13"/>
  <c r="O46" i="13"/>
  <c r="B47" i="13"/>
  <c r="D47" i="13" s="1"/>
  <c r="BM47" i="13" s="1"/>
  <c r="H47" i="13"/>
  <c r="N47" i="13"/>
  <c r="O47" i="13"/>
  <c r="B48" i="13"/>
  <c r="D48" i="13" s="1"/>
  <c r="BM48" i="13" s="1"/>
  <c r="H48" i="13"/>
  <c r="N48" i="13"/>
  <c r="O48" i="13"/>
  <c r="B49" i="13"/>
  <c r="D49" i="13" s="1"/>
  <c r="BM49" i="13" s="1"/>
  <c r="H49" i="13"/>
  <c r="N49" i="13"/>
  <c r="O49" i="13"/>
  <c r="B50" i="13"/>
  <c r="D50" i="13" s="1"/>
  <c r="BM50" i="13" s="1"/>
  <c r="H50" i="13"/>
  <c r="N50" i="13"/>
  <c r="O50" i="13"/>
  <c r="B51" i="13"/>
  <c r="D51" i="13" s="1"/>
  <c r="BM51" i="13" s="1"/>
  <c r="H51" i="13"/>
  <c r="N51" i="13"/>
  <c r="O51" i="13"/>
  <c r="B52" i="13"/>
  <c r="D52" i="13" s="1"/>
  <c r="BM52" i="13" s="1"/>
  <c r="H52" i="13"/>
  <c r="N52" i="13"/>
  <c r="O52" i="13"/>
  <c r="B53" i="13"/>
  <c r="D53" i="13" s="1"/>
  <c r="BM53" i="13" s="1"/>
  <c r="H53" i="13"/>
  <c r="N53" i="13"/>
  <c r="O53" i="13"/>
  <c r="B54" i="13"/>
  <c r="D54" i="13" s="1"/>
  <c r="BM54" i="13" s="1"/>
  <c r="H54" i="13"/>
  <c r="N54" i="13"/>
  <c r="O54" i="13"/>
  <c r="B55" i="13"/>
  <c r="D55" i="13" s="1"/>
  <c r="BM55" i="13" s="1"/>
  <c r="H55" i="13"/>
  <c r="N55" i="13"/>
  <c r="O55" i="13"/>
  <c r="B56" i="13"/>
  <c r="D56" i="13" s="1"/>
  <c r="BM56" i="13" s="1"/>
  <c r="H56" i="13"/>
  <c r="N56" i="13"/>
  <c r="O56" i="13"/>
  <c r="B57" i="13"/>
  <c r="D57" i="13" s="1"/>
  <c r="BM57" i="13" s="1"/>
  <c r="H57" i="13"/>
  <c r="N57" i="13"/>
  <c r="O57" i="13"/>
  <c r="B58" i="13"/>
  <c r="D58" i="13" s="1"/>
  <c r="BM58" i="13" s="1"/>
  <c r="H58" i="13"/>
  <c r="N58" i="13"/>
  <c r="O58" i="13"/>
  <c r="B59" i="13"/>
  <c r="D59" i="13" s="1"/>
  <c r="BM59" i="13" s="1"/>
  <c r="H59" i="13"/>
  <c r="N59" i="13"/>
  <c r="O59" i="13"/>
  <c r="B60" i="13"/>
  <c r="D60" i="13" s="1"/>
  <c r="BM60" i="13" s="1"/>
  <c r="H60" i="13"/>
  <c r="N60" i="13"/>
  <c r="O60" i="13"/>
  <c r="B61" i="13"/>
  <c r="D61" i="13" s="1"/>
  <c r="BM61" i="13" s="1"/>
  <c r="H61" i="13"/>
  <c r="L61" i="13" s="1"/>
  <c r="N61" i="13"/>
  <c r="O61" i="13"/>
  <c r="B62" i="13"/>
  <c r="D62" i="13" s="1"/>
  <c r="BM62" i="13" s="1"/>
  <c r="H62" i="13"/>
  <c r="L62" i="13" s="1"/>
  <c r="N62" i="13"/>
  <c r="O62" i="13"/>
  <c r="B63" i="13"/>
  <c r="D63" i="13" s="1"/>
  <c r="BM63" i="13" s="1"/>
  <c r="H63" i="13"/>
  <c r="L63" i="13" s="1"/>
  <c r="N63" i="13"/>
  <c r="O63" i="13"/>
  <c r="B64" i="13"/>
  <c r="D64" i="13" s="1"/>
  <c r="BM64" i="13" s="1"/>
  <c r="H64" i="13"/>
  <c r="N64" i="13"/>
  <c r="O64" i="13"/>
  <c r="B65" i="13"/>
  <c r="D65" i="13" s="1"/>
  <c r="BM65" i="13" s="1"/>
  <c r="H65" i="13"/>
  <c r="L65" i="13" s="1"/>
  <c r="N65" i="13"/>
  <c r="O65" i="13"/>
  <c r="B66" i="13"/>
  <c r="D66" i="13" s="1"/>
  <c r="BM66" i="13" s="1"/>
  <c r="H66" i="13"/>
  <c r="N66" i="13"/>
  <c r="O66" i="13"/>
  <c r="B67" i="13"/>
  <c r="D67" i="13" s="1"/>
  <c r="BM67" i="13" s="1"/>
  <c r="H67" i="13"/>
  <c r="N67" i="13"/>
  <c r="O67" i="13"/>
  <c r="B68" i="13"/>
  <c r="D68" i="13" s="1"/>
  <c r="BM68" i="13" s="1"/>
  <c r="H68" i="13"/>
  <c r="N68" i="13"/>
  <c r="O68" i="13"/>
  <c r="B69" i="13"/>
  <c r="D69" i="13" s="1"/>
  <c r="BM69" i="13" s="1"/>
  <c r="H69" i="13"/>
  <c r="L69" i="13" s="1"/>
  <c r="N69" i="13"/>
  <c r="O69" i="13"/>
  <c r="B70" i="13"/>
  <c r="D70" i="13" s="1"/>
  <c r="BM70" i="13" s="1"/>
  <c r="H70" i="13"/>
  <c r="N70" i="13"/>
  <c r="O70" i="13"/>
  <c r="B71" i="13"/>
  <c r="D71" i="13" s="1"/>
  <c r="BM71" i="13" s="1"/>
  <c r="H71" i="13"/>
  <c r="L71" i="13" s="1"/>
  <c r="N71" i="13"/>
  <c r="O71" i="13"/>
  <c r="B72" i="13"/>
  <c r="D72" i="13" s="1"/>
  <c r="BM72" i="13" s="1"/>
  <c r="H72" i="13"/>
  <c r="L72" i="13" s="1"/>
  <c r="N72" i="13"/>
  <c r="O72" i="13"/>
  <c r="B73" i="13"/>
  <c r="D73" i="13" s="1"/>
  <c r="BM73" i="13" s="1"/>
  <c r="H73" i="13"/>
  <c r="N73" i="13"/>
  <c r="O73" i="13"/>
  <c r="B74" i="13"/>
  <c r="D74" i="13" s="1"/>
  <c r="BM74" i="13" s="1"/>
  <c r="H74" i="13"/>
  <c r="N74" i="13"/>
  <c r="O74" i="13"/>
  <c r="B75" i="13"/>
  <c r="D75" i="13" s="1"/>
  <c r="BM75" i="13" s="1"/>
  <c r="H75" i="13"/>
  <c r="L75" i="13" s="1"/>
  <c r="N75" i="13"/>
  <c r="O75" i="13"/>
  <c r="B76" i="13"/>
  <c r="D76" i="13" s="1"/>
  <c r="BM76" i="13" s="1"/>
  <c r="H76" i="13"/>
  <c r="N76" i="13"/>
  <c r="O76" i="13"/>
  <c r="B77" i="13"/>
  <c r="D77" i="13" s="1"/>
  <c r="BM77" i="13" s="1"/>
  <c r="H77" i="13"/>
  <c r="N77" i="13"/>
  <c r="O77" i="13"/>
  <c r="B78" i="13"/>
  <c r="D78" i="13" s="1"/>
  <c r="BM78" i="13" s="1"/>
  <c r="H78" i="13"/>
  <c r="L78" i="13" s="1"/>
  <c r="N78" i="13"/>
  <c r="O78" i="13"/>
  <c r="B79" i="13"/>
  <c r="D79" i="13" s="1"/>
  <c r="BM79" i="13" s="1"/>
  <c r="H79" i="13"/>
  <c r="N79" i="13"/>
  <c r="O79" i="13"/>
  <c r="B80" i="13"/>
  <c r="D80" i="13" s="1"/>
  <c r="BM80" i="13" s="1"/>
  <c r="H80" i="13"/>
  <c r="L80" i="13" s="1"/>
  <c r="N80" i="13"/>
  <c r="O80" i="13"/>
  <c r="B81" i="13"/>
  <c r="D81" i="13" s="1"/>
  <c r="BM81" i="13" s="1"/>
  <c r="H81" i="13"/>
  <c r="N81" i="13"/>
  <c r="O81" i="13"/>
  <c r="B82" i="13"/>
  <c r="D82" i="13" s="1"/>
  <c r="BM82" i="13" s="1"/>
  <c r="H82" i="13"/>
  <c r="N82" i="13"/>
  <c r="O82" i="13"/>
  <c r="B83" i="13"/>
  <c r="D83" i="13" s="1"/>
  <c r="BM83" i="13" s="1"/>
  <c r="H83" i="13"/>
  <c r="L83" i="13" s="1"/>
  <c r="N83" i="13"/>
  <c r="O83" i="13"/>
  <c r="B84" i="13"/>
  <c r="D84" i="13" s="1"/>
  <c r="BM84" i="13" s="1"/>
  <c r="H84" i="13"/>
  <c r="L84" i="13" s="1"/>
  <c r="N84" i="13"/>
  <c r="O84" i="13"/>
  <c r="B85" i="13"/>
  <c r="D85" i="13" s="1"/>
  <c r="BM85" i="13" s="1"/>
  <c r="H85" i="13"/>
  <c r="N85" i="13"/>
  <c r="O85" i="13"/>
  <c r="B86" i="13"/>
  <c r="D86" i="13" s="1"/>
  <c r="BM86" i="13" s="1"/>
  <c r="H86" i="13"/>
  <c r="N86" i="13"/>
  <c r="O86" i="13"/>
  <c r="B87" i="13"/>
  <c r="D87" i="13" s="1"/>
  <c r="BM87" i="13" s="1"/>
  <c r="H87" i="13"/>
  <c r="L87" i="13" s="1"/>
  <c r="N87" i="13"/>
  <c r="O87" i="13"/>
  <c r="B88" i="13"/>
  <c r="D88" i="13" s="1"/>
  <c r="BM88" i="13" s="1"/>
  <c r="H88" i="13"/>
  <c r="L88" i="13" s="1"/>
  <c r="N88" i="13"/>
  <c r="O88" i="13"/>
  <c r="B89" i="13"/>
  <c r="D89" i="13" s="1"/>
  <c r="BM89" i="13" s="1"/>
  <c r="H89" i="13"/>
  <c r="N89" i="13"/>
  <c r="O89" i="13"/>
  <c r="B90" i="13"/>
  <c r="D90" i="13" s="1"/>
  <c r="BM90" i="13" s="1"/>
  <c r="H90" i="13"/>
  <c r="N90" i="13"/>
  <c r="O90" i="13"/>
  <c r="B91" i="13"/>
  <c r="H91" i="13"/>
  <c r="L91" i="13" s="1"/>
  <c r="N91" i="13"/>
  <c r="O91" i="13"/>
  <c r="B92" i="13"/>
  <c r="D92" i="13" s="1"/>
  <c r="BM92" i="13" s="1"/>
  <c r="H92" i="13"/>
  <c r="L92" i="13" s="1"/>
  <c r="N92" i="13"/>
  <c r="O92" i="13"/>
  <c r="B93" i="13"/>
  <c r="D93" i="13" s="1"/>
  <c r="BM93" i="13" s="1"/>
  <c r="H93" i="13"/>
  <c r="N93" i="13"/>
  <c r="O93" i="13"/>
  <c r="B94" i="13"/>
  <c r="D94" i="13" s="1"/>
  <c r="BM94" i="13" s="1"/>
  <c r="H94" i="13"/>
  <c r="N94" i="13"/>
  <c r="O94" i="13"/>
  <c r="B95" i="13"/>
  <c r="D95" i="13" s="1"/>
  <c r="BM95" i="13" s="1"/>
  <c r="H95" i="13"/>
  <c r="L95" i="13" s="1"/>
  <c r="N95" i="13"/>
  <c r="O95" i="13"/>
  <c r="B96" i="13"/>
  <c r="D96" i="13" s="1"/>
  <c r="BM96" i="13" s="1"/>
  <c r="H96" i="13"/>
  <c r="L96" i="13" s="1"/>
  <c r="N96" i="13"/>
  <c r="O96" i="13"/>
  <c r="B97" i="13"/>
  <c r="D97" i="13" s="1"/>
  <c r="BM97" i="13" s="1"/>
  <c r="H97" i="13"/>
  <c r="N97" i="13"/>
  <c r="O97" i="13"/>
  <c r="B98" i="13"/>
  <c r="D98" i="13" s="1"/>
  <c r="BM98" i="13" s="1"/>
  <c r="H98" i="13"/>
  <c r="N98" i="13"/>
  <c r="O98" i="13"/>
  <c r="B99" i="13"/>
  <c r="H99" i="13"/>
  <c r="L99" i="13" s="1"/>
  <c r="N99" i="13"/>
  <c r="O99" i="13"/>
  <c r="B100" i="13"/>
  <c r="D100" i="13" s="1"/>
  <c r="BM100" i="13" s="1"/>
  <c r="H100" i="13"/>
  <c r="L100" i="13" s="1"/>
  <c r="N100" i="13"/>
  <c r="O100" i="13"/>
  <c r="B101" i="13"/>
  <c r="D101" i="13" s="1"/>
  <c r="BM101" i="13" s="1"/>
  <c r="H101" i="13"/>
  <c r="N101" i="13"/>
  <c r="O101" i="13"/>
  <c r="B102" i="13"/>
  <c r="D102" i="13" s="1"/>
  <c r="BM102" i="13" s="1"/>
  <c r="H102" i="13"/>
  <c r="N102" i="13"/>
  <c r="O102" i="13"/>
  <c r="B103" i="13"/>
  <c r="D103" i="13" s="1"/>
  <c r="BM103" i="13" s="1"/>
  <c r="H103" i="13"/>
  <c r="L103" i="13" s="1"/>
  <c r="N103" i="13"/>
  <c r="O103" i="13"/>
  <c r="B104" i="13"/>
  <c r="D104" i="13" s="1"/>
  <c r="BM104" i="13" s="1"/>
  <c r="H104" i="13"/>
  <c r="L104" i="13" s="1"/>
  <c r="N104" i="13"/>
  <c r="O104" i="13"/>
  <c r="B105" i="13"/>
  <c r="D105" i="13" s="1"/>
  <c r="BM105" i="13" s="1"/>
  <c r="H105" i="13"/>
  <c r="N105" i="13"/>
  <c r="O105" i="13"/>
  <c r="B106" i="13"/>
  <c r="D106" i="13" s="1"/>
  <c r="BM106" i="13" s="1"/>
  <c r="H106" i="13"/>
  <c r="N106" i="13"/>
  <c r="O106" i="13"/>
  <c r="B107" i="13"/>
  <c r="D107" i="13" s="1"/>
  <c r="BM107" i="13" s="1"/>
  <c r="H107" i="13"/>
  <c r="L107" i="13" s="1"/>
  <c r="N107" i="13"/>
  <c r="O107" i="13"/>
  <c r="B108" i="13"/>
  <c r="D108" i="13" s="1"/>
  <c r="BM108" i="13" s="1"/>
  <c r="H108" i="13"/>
  <c r="L108" i="13" s="1"/>
  <c r="N108" i="13"/>
  <c r="O108" i="13"/>
  <c r="B109" i="13"/>
  <c r="D109" i="13" s="1"/>
  <c r="BM109" i="13" s="1"/>
  <c r="H109" i="13"/>
  <c r="N109" i="13"/>
  <c r="O109" i="13"/>
  <c r="B110" i="13"/>
  <c r="D110" i="13" s="1"/>
  <c r="BM110" i="13" s="1"/>
  <c r="H110" i="13"/>
  <c r="N110" i="13"/>
  <c r="O110" i="13"/>
  <c r="B111" i="13"/>
  <c r="D111" i="13" s="1"/>
  <c r="BM111" i="13" s="1"/>
  <c r="H111" i="13"/>
  <c r="L111" i="13" s="1"/>
  <c r="N111" i="13"/>
  <c r="O111" i="13"/>
  <c r="B112" i="13"/>
  <c r="D112" i="13" s="1"/>
  <c r="BM112" i="13" s="1"/>
  <c r="H112" i="13"/>
  <c r="L112" i="13" s="1"/>
  <c r="N112" i="13"/>
  <c r="O112" i="13"/>
  <c r="B113" i="13"/>
  <c r="D113" i="13" s="1"/>
  <c r="BM113" i="13" s="1"/>
  <c r="H113" i="13"/>
  <c r="N113" i="13"/>
  <c r="O113" i="13"/>
  <c r="B114" i="13"/>
  <c r="D114" i="13" s="1"/>
  <c r="BM114" i="13" s="1"/>
  <c r="H114" i="13"/>
  <c r="N114" i="13"/>
  <c r="O114" i="13"/>
  <c r="B115" i="13"/>
  <c r="D115" i="13" s="1"/>
  <c r="BM115" i="13" s="1"/>
  <c r="H115" i="13"/>
  <c r="L115" i="13" s="1"/>
  <c r="N115" i="13"/>
  <c r="O115" i="13"/>
  <c r="B116" i="13"/>
  <c r="D116" i="13" s="1"/>
  <c r="BM116" i="13" s="1"/>
  <c r="H116" i="13"/>
  <c r="L116" i="13" s="1"/>
  <c r="N116" i="13"/>
  <c r="O116" i="13"/>
  <c r="B117" i="13"/>
  <c r="D117" i="13" s="1"/>
  <c r="BM117" i="13" s="1"/>
  <c r="H117" i="13"/>
  <c r="N117" i="13"/>
  <c r="O117" i="13"/>
  <c r="B118" i="13"/>
  <c r="D118" i="13" s="1"/>
  <c r="BM118" i="13" s="1"/>
  <c r="H118" i="13"/>
  <c r="N118" i="13"/>
  <c r="O118" i="13"/>
  <c r="B119" i="13"/>
  <c r="D119" i="13" s="1"/>
  <c r="BM119" i="13" s="1"/>
  <c r="H119" i="13"/>
  <c r="L119" i="13" s="1"/>
  <c r="N119" i="13"/>
  <c r="O119" i="13"/>
  <c r="B120" i="13"/>
  <c r="D120" i="13" s="1"/>
  <c r="BM120" i="13" s="1"/>
  <c r="H120" i="13"/>
  <c r="N120" i="13"/>
  <c r="O120" i="13"/>
  <c r="B121" i="13"/>
  <c r="D121" i="13" s="1"/>
  <c r="BM121" i="13" s="1"/>
  <c r="H121" i="13"/>
  <c r="N121" i="13"/>
  <c r="O121" i="13"/>
  <c r="B122" i="13"/>
  <c r="D122" i="13" s="1"/>
  <c r="BM122" i="13" s="1"/>
  <c r="H122" i="13"/>
  <c r="L122" i="13" s="1"/>
  <c r="N122" i="13"/>
  <c r="O122" i="13"/>
  <c r="B123" i="13"/>
  <c r="D123" i="13" s="1"/>
  <c r="BM123" i="13" s="1"/>
  <c r="H123" i="13"/>
  <c r="L123" i="13" s="1"/>
  <c r="N123" i="13"/>
  <c r="O123" i="13"/>
  <c r="B124" i="13"/>
  <c r="D124" i="13" s="1"/>
  <c r="BM124" i="13" s="1"/>
  <c r="H124" i="13"/>
  <c r="N124" i="13"/>
  <c r="O124" i="13"/>
  <c r="B125" i="13"/>
  <c r="D125" i="13" s="1"/>
  <c r="BM125" i="13" s="1"/>
  <c r="H125" i="13"/>
  <c r="L125" i="13" s="1"/>
  <c r="N125" i="13"/>
  <c r="O125" i="13"/>
  <c r="B126" i="13"/>
  <c r="D126" i="13" s="1"/>
  <c r="BM126" i="13" s="1"/>
  <c r="H126" i="13"/>
  <c r="N126" i="13"/>
  <c r="O126" i="13"/>
  <c r="B127" i="13"/>
  <c r="D127" i="13" s="1"/>
  <c r="BM127" i="13" s="1"/>
  <c r="H127" i="13"/>
  <c r="L127" i="13" s="1"/>
  <c r="N127" i="13"/>
  <c r="O127" i="13"/>
  <c r="B128" i="13"/>
  <c r="D128" i="13" s="1"/>
  <c r="BM128" i="13" s="1"/>
  <c r="H128" i="13"/>
  <c r="N128" i="13"/>
  <c r="O128" i="13"/>
  <c r="B129" i="13"/>
  <c r="D129" i="13" s="1"/>
  <c r="BM129" i="13" s="1"/>
  <c r="H129" i="13"/>
  <c r="L129" i="13" s="1"/>
  <c r="N129" i="13"/>
  <c r="O129" i="13"/>
  <c r="B130" i="13"/>
  <c r="D130" i="13" s="1"/>
  <c r="BM130" i="13" s="1"/>
  <c r="H130" i="13"/>
  <c r="N130" i="13"/>
  <c r="O130" i="13"/>
  <c r="B131" i="13"/>
  <c r="D131" i="13" s="1"/>
  <c r="BM131" i="13" s="1"/>
  <c r="H131" i="13"/>
  <c r="L131" i="13" s="1"/>
  <c r="N131" i="13"/>
  <c r="O131" i="13"/>
  <c r="B132" i="13"/>
  <c r="D132" i="13" s="1"/>
  <c r="BM132" i="13" s="1"/>
  <c r="H132" i="13"/>
  <c r="N132" i="13"/>
  <c r="O132" i="13"/>
  <c r="B133" i="13"/>
  <c r="D133" i="13" s="1"/>
  <c r="BM133" i="13" s="1"/>
  <c r="H133" i="13"/>
  <c r="L133" i="13" s="1"/>
  <c r="N133" i="13"/>
  <c r="O133" i="13"/>
  <c r="B134" i="13"/>
  <c r="D134" i="13" s="1"/>
  <c r="BM134" i="13" s="1"/>
  <c r="H134" i="13"/>
  <c r="N134" i="13"/>
  <c r="O134" i="13"/>
  <c r="B135" i="13"/>
  <c r="D135" i="13" s="1"/>
  <c r="BM135" i="13" s="1"/>
  <c r="H135" i="13"/>
  <c r="L135" i="13" s="1"/>
  <c r="N135" i="13"/>
  <c r="O135" i="13"/>
  <c r="B136" i="13"/>
  <c r="D136" i="13" s="1"/>
  <c r="BM136" i="13" s="1"/>
  <c r="H136" i="13"/>
  <c r="N136" i="13"/>
  <c r="O136" i="13"/>
  <c r="B137" i="13"/>
  <c r="D137" i="13" s="1"/>
  <c r="BM137" i="13" s="1"/>
  <c r="H137" i="13"/>
  <c r="L137" i="13" s="1"/>
  <c r="N137" i="13"/>
  <c r="O137" i="13"/>
  <c r="B138" i="13"/>
  <c r="D138" i="13" s="1"/>
  <c r="BM138" i="13" s="1"/>
  <c r="H138" i="13"/>
  <c r="N138" i="13"/>
  <c r="O138" i="13"/>
  <c r="B139" i="13"/>
  <c r="D139" i="13" s="1"/>
  <c r="BM139" i="13" s="1"/>
  <c r="H139" i="13"/>
  <c r="L139" i="13" s="1"/>
  <c r="N139" i="13"/>
  <c r="O139" i="13"/>
  <c r="B140" i="13"/>
  <c r="D140" i="13" s="1"/>
  <c r="BM140" i="13" s="1"/>
  <c r="H140" i="13"/>
  <c r="L140" i="13" s="1"/>
  <c r="N140" i="13"/>
  <c r="O140" i="13"/>
  <c r="B141" i="13"/>
  <c r="D141" i="13" s="1"/>
  <c r="BM141" i="13" s="1"/>
  <c r="H141" i="13"/>
  <c r="N141" i="13"/>
  <c r="O141" i="13"/>
  <c r="B142" i="13"/>
  <c r="D142" i="13" s="1"/>
  <c r="BM142" i="13" s="1"/>
  <c r="H142" i="13"/>
  <c r="N142" i="13"/>
  <c r="O142" i="13"/>
  <c r="B143" i="13"/>
  <c r="D143" i="13" s="1"/>
  <c r="BM143" i="13" s="1"/>
  <c r="H143" i="13"/>
  <c r="L143" i="13" s="1"/>
  <c r="N143" i="13"/>
  <c r="O143" i="13"/>
  <c r="B144" i="13"/>
  <c r="D144" i="13" s="1"/>
  <c r="BM144" i="13" s="1"/>
  <c r="H144" i="13"/>
  <c r="L144" i="13" s="1"/>
  <c r="N144" i="13"/>
  <c r="O144" i="13"/>
  <c r="B145" i="13"/>
  <c r="D145" i="13" s="1"/>
  <c r="BM145" i="13" s="1"/>
  <c r="H145" i="13"/>
  <c r="N145" i="13"/>
  <c r="O145" i="13"/>
  <c r="B146" i="13"/>
  <c r="D146" i="13" s="1"/>
  <c r="BM146" i="13" s="1"/>
  <c r="H146" i="13"/>
  <c r="N146" i="13"/>
  <c r="O146" i="13"/>
  <c r="B147" i="13"/>
  <c r="D147" i="13" s="1"/>
  <c r="BM147" i="13" s="1"/>
  <c r="H147" i="13"/>
  <c r="L147" i="13" s="1"/>
  <c r="N147" i="13"/>
  <c r="O147" i="13"/>
  <c r="B148" i="13"/>
  <c r="H148" i="13"/>
  <c r="L148" i="13" s="1"/>
  <c r="N148" i="13"/>
  <c r="O148" i="13"/>
  <c r="B149" i="13"/>
  <c r="H149" i="13"/>
  <c r="N149" i="13"/>
  <c r="O149" i="13"/>
  <c r="B150" i="13"/>
  <c r="D150" i="13" s="1"/>
  <c r="BM150" i="13" s="1"/>
  <c r="H150" i="13"/>
  <c r="N150" i="13"/>
  <c r="O150" i="13"/>
  <c r="B151" i="13"/>
  <c r="D151" i="13" s="1"/>
  <c r="BM151" i="13" s="1"/>
  <c r="H151" i="13"/>
  <c r="N151" i="13"/>
  <c r="O151" i="13"/>
  <c r="B152" i="13"/>
  <c r="H152" i="13"/>
  <c r="L152" i="13" s="1"/>
  <c r="N152" i="13"/>
  <c r="O152" i="13"/>
  <c r="B153" i="13"/>
  <c r="D153" i="13" s="1"/>
  <c r="BM153" i="13" s="1"/>
  <c r="H153" i="13"/>
  <c r="N153" i="13"/>
  <c r="O153" i="13"/>
  <c r="B154" i="13"/>
  <c r="H154" i="13"/>
  <c r="L154" i="13" s="1"/>
  <c r="N154" i="13"/>
  <c r="O154" i="13"/>
  <c r="B155" i="13"/>
  <c r="D155" i="13" s="1"/>
  <c r="BM155" i="13" s="1"/>
  <c r="H155" i="13"/>
  <c r="N155" i="13"/>
  <c r="O155" i="13"/>
  <c r="B156" i="13"/>
  <c r="D156" i="13" s="1"/>
  <c r="BM156" i="13" s="1"/>
  <c r="H156" i="13"/>
  <c r="L156" i="13" s="1"/>
  <c r="N156" i="13"/>
  <c r="O156" i="13"/>
  <c r="B157" i="13"/>
  <c r="D157" i="13" s="1"/>
  <c r="BM157" i="13" s="1"/>
  <c r="H157" i="13"/>
  <c r="N157" i="13"/>
  <c r="O157" i="13"/>
  <c r="B158" i="13"/>
  <c r="D158" i="13" s="1"/>
  <c r="BM158" i="13" s="1"/>
  <c r="H158" i="13"/>
  <c r="L158" i="13" s="1"/>
  <c r="N158" i="13"/>
  <c r="O158" i="13"/>
  <c r="B159" i="13"/>
  <c r="D159" i="13" s="1"/>
  <c r="BM159" i="13" s="1"/>
  <c r="H159" i="13"/>
  <c r="N159" i="13"/>
  <c r="O159" i="13"/>
  <c r="B160" i="13"/>
  <c r="D160" i="13" s="1"/>
  <c r="BM160" i="13" s="1"/>
  <c r="H160" i="13"/>
  <c r="L160" i="13" s="1"/>
  <c r="N160" i="13"/>
  <c r="O160" i="13"/>
  <c r="B161" i="13"/>
  <c r="D161" i="13" s="1"/>
  <c r="BM161" i="13" s="1"/>
  <c r="H161" i="13"/>
  <c r="N161" i="13"/>
  <c r="O161" i="13"/>
  <c r="B162" i="13"/>
  <c r="D162" i="13" s="1"/>
  <c r="BM162" i="13" s="1"/>
  <c r="H162" i="13"/>
  <c r="L162" i="13" s="1"/>
  <c r="N162" i="13"/>
  <c r="O162" i="13"/>
  <c r="B163" i="13"/>
  <c r="D163" i="13" s="1"/>
  <c r="BM163" i="13" s="1"/>
  <c r="H163" i="13"/>
  <c r="N163" i="13"/>
  <c r="O163" i="13"/>
  <c r="B164" i="13"/>
  <c r="D164" i="13" s="1"/>
  <c r="BM164" i="13" s="1"/>
  <c r="H164" i="13"/>
  <c r="L164" i="13" s="1"/>
  <c r="N164" i="13"/>
  <c r="O164" i="13"/>
  <c r="B165" i="13"/>
  <c r="D165" i="13" s="1"/>
  <c r="BM165" i="13" s="1"/>
  <c r="H165" i="13"/>
  <c r="N165" i="13"/>
  <c r="O165" i="13"/>
  <c r="B166" i="13"/>
  <c r="D166" i="13" s="1"/>
  <c r="BM166" i="13" s="1"/>
  <c r="H166" i="13"/>
  <c r="N166" i="13"/>
  <c r="O166" i="13"/>
  <c r="B167" i="13"/>
  <c r="D167" i="13" s="1"/>
  <c r="BM167" i="13" s="1"/>
  <c r="H167" i="13"/>
  <c r="N167" i="13"/>
  <c r="O167" i="13"/>
  <c r="B168" i="13"/>
  <c r="D168" i="13" s="1"/>
  <c r="BM168" i="13" s="1"/>
  <c r="H168" i="13"/>
  <c r="L168" i="13" s="1"/>
  <c r="N168" i="13"/>
  <c r="O168" i="13"/>
  <c r="B169" i="13"/>
  <c r="D169" i="13" s="1"/>
  <c r="BM169" i="13" s="1"/>
  <c r="H169" i="13"/>
  <c r="L169" i="13" s="1"/>
  <c r="N169" i="13"/>
  <c r="O169" i="13"/>
  <c r="B170" i="13"/>
  <c r="D170" i="13" s="1"/>
  <c r="BM170" i="13" s="1"/>
  <c r="H170" i="13"/>
  <c r="N170" i="13"/>
  <c r="O170" i="13"/>
  <c r="B171" i="13"/>
  <c r="D171" i="13" s="1"/>
  <c r="BM171" i="13" s="1"/>
  <c r="H171" i="13"/>
  <c r="L171" i="13" s="1"/>
  <c r="N171" i="13"/>
  <c r="O171" i="13"/>
  <c r="B172" i="13"/>
  <c r="D172" i="13" s="1"/>
  <c r="BM172" i="13" s="1"/>
  <c r="H172" i="13"/>
  <c r="L172" i="13" s="1"/>
  <c r="N172" i="13"/>
  <c r="O172" i="13"/>
  <c r="B173" i="13"/>
  <c r="D173" i="13" s="1"/>
  <c r="BM173" i="13" s="1"/>
  <c r="H173" i="13"/>
  <c r="N173" i="13"/>
  <c r="O173" i="13"/>
  <c r="B174" i="13"/>
  <c r="D174" i="13" s="1"/>
  <c r="BM174" i="13" s="1"/>
  <c r="H174" i="13"/>
  <c r="N174" i="13"/>
  <c r="O174" i="13"/>
  <c r="B175" i="13"/>
  <c r="D175" i="13" s="1"/>
  <c r="BM175" i="13" s="1"/>
  <c r="H175" i="13"/>
  <c r="N175" i="13"/>
  <c r="O175" i="13"/>
  <c r="B176" i="13"/>
  <c r="D176" i="13" s="1"/>
  <c r="BM176" i="13" s="1"/>
  <c r="H176" i="13"/>
  <c r="L176" i="13" s="1"/>
  <c r="N176" i="13"/>
  <c r="O176" i="13"/>
  <c r="B177" i="13"/>
  <c r="D177" i="13" s="1"/>
  <c r="BM177" i="13" s="1"/>
  <c r="H177" i="13"/>
  <c r="N177" i="13"/>
  <c r="O177" i="13"/>
  <c r="B178" i="13"/>
  <c r="D178" i="13" s="1"/>
  <c r="BM178" i="13" s="1"/>
  <c r="H178" i="13"/>
  <c r="L178" i="13" s="1"/>
  <c r="N178" i="13"/>
  <c r="O178" i="13"/>
  <c r="B179" i="13"/>
  <c r="D179" i="13" s="1"/>
  <c r="BM179" i="13" s="1"/>
  <c r="H179" i="13"/>
  <c r="L179" i="13" s="1"/>
  <c r="N179" i="13"/>
  <c r="O179" i="13"/>
  <c r="B180" i="13"/>
  <c r="D180" i="13" s="1"/>
  <c r="BM180" i="13" s="1"/>
  <c r="H180" i="13"/>
  <c r="L180" i="13" s="1"/>
  <c r="N180" i="13"/>
  <c r="O180" i="13"/>
  <c r="B181" i="13"/>
  <c r="D181" i="13" s="1"/>
  <c r="BM181" i="13" s="1"/>
  <c r="H181" i="13"/>
  <c r="L181" i="13" s="1"/>
  <c r="N181" i="13"/>
  <c r="O181" i="13"/>
  <c r="B182" i="13"/>
  <c r="D182" i="13" s="1"/>
  <c r="BM182" i="13" s="1"/>
  <c r="H182" i="13"/>
  <c r="L182" i="13" s="1"/>
  <c r="N182" i="13"/>
  <c r="O182" i="13"/>
  <c r="B183" i="13"/>
  <c r="D183" i="13" s="1"/>
  <c r="BM183" i="13" s="1"/>
  <c r="H183" i="13"/>
  <c r="L183" i="13" s="1"/>
  <c r="N183" i="13"/>
  <c r="O183" i="13"/>
  <c r="B184" i="13"/>
  <c r="D184" i="13" s="1"/>
  <c r="BM184" i="13" s="1"/>
  <c r="H184" i="13"/>
  <c r="L184" i="13" s="1"/>
  <c r="N184" i="13"/>
  <c r="O184" i="13"/>
  <c r="B185" i="13"/>
  <c r="D185" i="13" s="1"/>
  <c r="BM185" i="13" s="1"/>
  <c r="H185" i="13"/>
  <c r="L185" i="13" s="1"/>
  <c r="N185" i="13"/>
  <c r="O185" i="13"/>
  <c r="B186" i="13"/>
  <c r="D186" i="13" s="1"/>
  <c r="BM186" i="13" s="1"/>
  <c r="H186" i="13"/>
  <c r="L186" i="13" s="1"/>
  <c r="N186" i="13"/>
  <c r="O186" i="13"/>
  <c r="B187" i="13"/>
  <c r="D187" i="13" s="1"/>
  <c r="BM187" i="13" s="1"/>
  <c r="H187" i="13"/>
  <c r="L187" i="13" s="1"/>
  <c r="N187" i="13"/>
  <c r="O187" i="13"/>
  <c r="B188" i="13"/>
  <c r="D188" i="13" s="1"/>
  <c r="BM188" i="13" s="1"/>
  <c r="H188" i="13"/>
  <c r="L188" i="13" s="1"/>
  <c r="N188" i="13"/>
  <c r="O188" i="13"/>
  <c r="B189" i="13"/>
  <c r="D189" i="13" s="1"/>
  <c r="BM189" i="13" s="1"/>
  <c r="H189" i="13"/>
  <c r="L189" i="13" s="1"/>
  <c r="N189" i="13"/>
  <c r="O189" i="13"/>
  <c r="B190" i="13"/>
  <c r="D190" i="13" s="1"/>
  <c r="BM190" i="13" s="1"/>
  <c r="H190" i="13"/>
  <c r="L190" i="13" s="1"/>
  <c r="N190" i="13"/>
  <c r="O190" i="13"/>
  <c r="B191" i="13"/>
  <c r="D191" i="13" s="1"/>
  <c r="BM191" i="13" s="1"/>
  <c r="H191" i="13"/>
  <c r="L191" i="13" s="1"/>
  <c r="N191" i="13"/>
  <c r="O191" i="13"/>
  <c r="B192" i="13"/>
  <c r="D192" i="13" s="1"/>
  <c r="BM192" i="13" s="1"/>
  <c r="H192" i="13"/>
  <c r="L192" i="13" s="1"/>
  <c r="N192" i="13"/>
  <c r="O192" i="13"/>
  <c r="B193" i="13"/>
  <c r="D193" i="13" s="1"/>
  <c r="BM193" i="13" s="1"/>
  <c r="H193" i="13"/>
  <c r="L193" i="13" s="1"/>
  <c r="N193" i="13"/>
  <c r="O193" i="13"/>
  <c r="B194" i="13"/>
  <c r="D194" i="13" s="1"/>
  <c r="BM194" i="13" s="1"/>
  <c r="H194" i="13"/>
  <c r="L194" i="13" s="1"/>
  <c r="N194" i="13"/>
  <c r="O194" i="13"/>
  <c r="B195" i="13"/>
  <c r="D195" i="13" s="1"/>
  <c r="BM195" i="13" s="1"/>
  <c r="H195" i="13"/>
  <c r="L195" i="13" s="1"/>
  <c r="N195" i="13"/>
  <c r="O195" i="13"/>
  <c r="B196" i="13"/>
  <c r="D196" i="13" s="1"/>
  <c r="BM196" i="13" s="1"/>
  <c r="H196" i="13"/>
  <c r="L196" i="13" s="1"/>
  <c r="N196" i="13"/>
  <c r="O196" i="13"/>
  <c r="B197" i="13"/>
  <c r="D197" i="13" s="1"/>
  <c r="BM197" i="13" s="1"/>
  <c r="H197" i="13"/>
  <c r="L197" i="13" s="1"/>
  <c r="N197" i="13"/>
  <c r="O197" i="13"/>
  <c r="B198" i="13"/>
  <c r="D198" i="13" s="1"/>
  <c r="BM198" i="13" s="1"/>
  <c r="H198" i="13"/>
  <c r="L198" i="13" s="1"/>
  <c r="N198" i="13"/>
  <c r="O198" i="13"/>
  <c r="B199" i="13"/>
  <c r="D199" i="13" s="1"/>
  <c r="BM199" i="13" s="1"/>
  <c r="H199" i="13"/>
  <c r="N199" i="13"/>
  <c r="O199" i="13"/>
  <c r="B200" i="13"/>
  <c r="D200" i="13" s="1"/>
  <c r="BM200" i="13" s="1"/>
  <c r="H200" i="13"/>
  <c r="L200" i="13" s="1"/>
  <c r="N200" i="13"/>
  <c r="O200" i="13"/>
  <c r="B201" i="13"/>
  <c r="D201" i="13" s="1"/>
  <c r="BM201" i="13" s="1"/>
  <c r="H201" i="13"/>
  <c r="N201" i="13"/>
  <c r="O201" i="13"/>
  <c r="B202" i="13"/>
  <c r="D202" i="13" s="1"/>
  <c r="BM202" i="13" s="1"/>
  <c r="H202" i="13"/>
  <c r="L202" i="13" s="1"/>
  <c r="N202" i="13"/>
  <c r="O202" i="13"/>
  <c r="B203" i="13"/>
  <c r="D203" i="13" s="1"/>
  <c r="BM203" i="13" s="1"/>
  <c r="H203" i="13"/>
  <c r="N203" i="13"/>
  <c r="O203" i="13"/>
  <c r="B204" i="13"/>
  <c r="D204" i="13" s="1"/>
  <c r="BM204" i="13" s="1"/>
  <c r="H204" i="13"/>
  <c r="L204" i="13" s="1"/>
  <c r="N204" i="13"/>
  <c r="O204" i="13"/>
  <c r="B205" i="13"/>
  <c r="D205" i="13" s="1"/>
  <c r="BM205" i="13" s="1"/>
  <c r="H205" i="13"/>
  <c r="N205" i="13"/>
  <c r="O205" i="13"/>
  <c r="B206" i="13"/>
  <c r="D206" i="13" s="1"/>
  <c r="BM206" i="13" s="1"/>
  <c r="H206" i="13"/>
  <c r="L206" i="13" s="1"/>
  <c r="N206" i="13"/>
  <c r="O206" i="13"/>
  <c r="B207" i="13"/>
  <c r="D207" i="13" s="1"/>
  <c r="BM207" i="13" s="1"/>
  <c r="H207" i="13"/>
  <c r="N207" i="13"/>
  <c r="O207" i="13"/>
  <c r="B208" i="13"/>
  <c r="D208" i="13" s="1"/>
  <c r="BM208" i="13" s="1"/>
  <c r="H208" i="13"/>
  <c r="L208" i="13" s="1"/>
  <c r="N208" i="13"/>
  <c r="O208" i="13"/>
  <c r="B209" i="13"/>
  <c r="D209" i="13" s="1"/>
  <c r="BM209" i="13" s="1"/>
  <c r="H209" i="13"/>
  <c r="N209" i="13"/>
  <c r="O209" i="13"/>
  <c r="B210" i="13"/>
  <c r="D210" i="13" s="1"/>
  <c r="BM210" i="13" s="1"/>
  <c r="H210" i="13"/>
  <c r="L210" i="13" s="1"/>
  <c r="N210" i="13"/>
  <c r="O210" i="13"/>
  <c r="B211" i="13"/>
  <c r="D211" i="13" s="1"/>
  <c r="BM211" i="13" s="1"/>
  <c r="H211" i="13"/>
  <c r="N211" i="13"/>
  <c r="O211" i="13"/>
  <c r="B212" i="13"/>
  <c r="D212" i="13" s="1"/>
  <c r="BM212" i="13" s="1"/>
  <c r="H212" i="13"/>
  <c r="L212" i="13" s="1"/>
  <c r="N212" i="13"/>
  <c r="O212" i="13"/>
  <c r="B213" i="13"/>
  <c r="D213" i="13" s="1"/>
  <c r="BM213" i="13" s="1"/>
  <c r="H213" i="13"/>
  <c r="N213" i="13"/>
  <c r="O213" i="13"/>
  <c r="B214" i="13"/>
  <c r="D214" i="13" s="1"/>
  <c r="BM214" i="13" s="1"/>
  <c r="H214" i="13"/>
  <c r="L214" i="13" s="1"/>
  <c r="N214" i="13"/>
  <c r="O214" i="13"/>
  <c r="B215" i="13"/>
  <c r="D215" i="13" s="1"/>
  <c r="BM215" i="13" s="1"/>
  <c r="H215" i="13"/>
  <c r="N215" i="13"/>
  <c r="O215" i="13"/>
  <c r="B216" i="13"/>
  <c r="D216" i="13" s="1"/>
  <c r="BM216" i="13" s="1"/>
  <c r="H216" i="13"/>
  <c r="L216" i="13" s="1"/>
  <c r="N216" i="13"/>
  <c r="O216" i="13"/>
  <c r="B217" i="13"/>
  <c r="D217" i="13" s="1"/>
  <c r="BM217" i="13" s="1"/>
  <c r="H217" i="13"/>
  <c r="N217" i="13"/>
  <c r="O217" i="13"/>
  <c r="B218" i="13"/>
  <c r="D218" i="13" s="1"/>
  <c r="BM218" i="13" s="1"/>
  <c r="H218" i="13"/>
  <c r="L218" i="13" s="1"/>
  <c r="N218" i="13"/>
  <c r="O218" i="13"/>
  <c r="B219" i="13"/>
  <c r="D219" i="13" s="1"/>
  <c r="BM219" i="13" s="1"/>
  <c r="H219" i="13"/>
  <c r="N219" i="13"/>
  <c r="O219" i="13"/>
  <c r="B220" i="13"/>
  <c r="D220" i="13" s="1"/>
  <c r="BM220" i="13" s="1"/>
  <c r="H220" i="13"/>
  <c r="L220" i="13" s="1"/>
  <c r="N220" i="13"/>
  <c r="O220" i="13"/>
  <c r="B221" i="13"/>
  <c r="D221" i="13" s="1"/>
  <c r="BM221" i="13" s="1"/>
  <c r="H221" i="13"/>
  <c r="N221" i="13"/>
  <c r="O221" i="13"/>
  <c r="B222" i="13"/>
  <c r="D222" i="13" s="1"/>
  <c r="BM222" i="13" s="1"/>
  <c r="H222" i="13"/>
  <c r="L222" i="13" s="1"/>
  <c r="N222" i="13"/>
  <c r="O222" i="13"/>
  <c r="B223" i="13"/>
  <c r="D223" i="13" s="1"/>
  <c r="BM223" i="13" s="1"/>
  <c r="H223" i="13"/>
  <c r="N223" i="13"/>
  <c r="O223" i="13"/>
  <c r="B224" i="13"/>
  <c r="D224" i="13" s="1"/>
  <c r="BM224" i="13" s="1"/>
  <c r="H224" i="13"/>
  <c r="L224" i="13" s="1"/>
  <c r="N224" i="13"/>
  <c r="O224" i="13"/>
  <c r="B225" i="13"/>
  <c r="D225" i="13" s="1"/>
  <c r="BM225" i="13" s="1"/>
  <c r="H225" i="13"/>
  <c r="N225" i="13"/>
  <c r="O225" i="13"/>
  <c r="B226" i="13"/>
  <c r="D226" i="13" s="1"/>
  <c r="BM226" i="13" s="1"/>
  <c r="H226" i="13"/>
  <c r="L226" i="13" s="1"/>
  <c r="N226" i="13"/>
  <c r="O226" i="13"/>
  <c r="B227" i="13"/>
  <c r="D227" i="13" s="1"/>
  <c r="BM227" i="13" s="1"/>
  <c r="H227" i="13"/>
  <c r="N227" i="13"/>
  <c r="O227" i="13"/>
  <c r="B228" i="13"/>
  <c r="D228" i="13" s="1"/>
  <c r="BM228" i="13" s="1"/>
  <c r="H228" i="13"/>
  <c r="L228" i="13" s="1"/>
  <c r="N228" i="13"/>
  <c r="O228" i="13"/>
  <c r="B229" i="13"/>
  <c r="D229" i="13" s="1"/>
  <c r="BM229" i="13" s="1"/>
  <c r="H229" i="13"/>
  <c r="N229" i="13"/>
  <c r="O229" i="13"/>
  <c r="B230" i="13"/>
  <c r="D230" i="13" s="1"/>
  <c r="BM230" i="13" s="1"/>
  <c r="H230" i="13"/>
  <c r="L230" i="13" s="1"/>
  <c r="N230" i="13"/>
  <c r="O230" i="13"/>
  <c r="B231" i="13"/>
  <c r="D231" i="13" s="1"/>
  <c r="BM231" i="13" s="1"/>
  <c r="H231" i="13"/>
  <c r="N231" i="13"/>
  <c r="O231" i="13"/>
  <c r="B232" i="13"/>
  <c r="D232" i="13" s="1"/>
  <c r="BM232" i="13" s="1"/>
  <c r="H232" i="13"/>
  <c r="L232" i="13" s="1"/>
  <c r="N232" i="13"/>
  <c r="O232" i="13"/>
  <c r="B233" i="13"/>
  <c r="D233" i="13" s="1"/>
  <c r="BM233" i="13" s="1"/>
  <c r="H233" i="13"/>
  <c r="N233" i="13"/>
  <c r="O233" i="13"/>
  <c r="B234" i="13"/>
  <c r="D234" i="13" s="1"/>
  <c r="BM234" i="13" s="1"/>
  <c r="H234" i="13"/>
  <c r="L234" i="13" s="1"/>
  <c r="N234" i="13"/>
  <c r="O234" i="13"/>
  <c r="B235" i="13"/>
  <c r="D235" i="13" s="1"/>
  <c r="BM235" i="13" s="1"/>
  <c r="H235" i="13"/>
  <c r="N235" i="13"/>
  <c r="O235" i="13"/>
  <c r="B236" i="13"/>
  <c r="D236" i="13" s="1"/>
  <c r="BM236" i="13" s="1"/>
  <c r="H236" i="13"/>
  <c r="L236" i="13" s="1"/>
  <c r="N236" i="13"/>
  <c r="O236" i="13"/>
  <c r="B237" i="13"/>
  <c r="D237" i="13" s="1"/>
  <c r="BM237" i="13" s="1"/>
  <c r="H237" i="13"/>
  <c r="N237" i="13"/>
  <c r="O237" i="13"/>
  <c r="B238" i="13"/>
  <c r="D238" i="13" s="1"/>
  <c r="BM238" i="13" s="1"/>
  <c r="H238" i="13"/>
  <c r="L238" i="13" s="1"/>
  <c r="N238" i="13"/>
  <c r="O238" i="13"/>
  <c r="B239" i="13"/>
  <c r="D239" i="13" s="1"/>
  <c r="BM239" i="13" s="1"/>
  <c r="H239" i="13"/>
  <c r="N239" i="13"/>
  <c r="O239" i="13"/>
  <c r="B240" i="13"/>
  <c r="D240" i="13" s="1"/>
  <c r="BM240" i="13" s="1"/>
  <c r="H240" i="13"/>
  <c r="L240" i="13" s="1"/>
  <c r="N240" i="13"/>
  <c r="O240" i="13"/>
  <c r="B241" i="13"/>
  <c r="D241" i="13" s="1"/>
  <c r="BM241" i="13" s="1"/>
  <c r="H241" i="13"/>
  <c r="N241" i="13"/>
  <c r="O241" i="13"/>
  <c r="B242" i="13"/>
  <c r="D242" i="13" s="1"/>
  <c r="BM242" i="13" s="1"/>
  <c r="H242" i="13"/>
  <c r="N242" i="13"/>
  <c r="O242" i="13"/>
  <c r="B243" i="13"/>
  <c r="D243" i="13" s="1"/>
  <c r="BM243" i="13" s="1"/>
  <c r="H243" i="13"/>
  <c r="N243" i="13"/>
  <c r="O243" i="13"/>
  <c r="B244" i="13"/>
  <c r="D244" i="13" s="1"/>
  <c r="BM244" i="13" s="1"/>
  <c r="H244" i="13"/>
  <c r="N244" i="13"/>
  <c r="O244" i="13"/>
  <c r="B245" i="13"/>
  <c r="D245" i="13" s="1"/>
  <c r="BM245" i="13" s="1"/>
  <c r="H245" i="13"/>
  <c r="N245" i="13"/>
  <c r="O245" i="13"/>
  <c r="B246" i="13"/>
  <c r="D246" i="13" s="1"/>
  <c r="BM246" i="13" s="1"/>
  <c r="H246" i="13"/>
  <c r="N246" i="13"/>
  <c r="O246" i="13"/>
  <c r="B247" i="13"/>
  <c r="D247" i="13" s="1"/>
  <c r="BM247" i="13" s="1"/>
  <c r="H247" i="13"/>
  <c r="L247" i="13" s="1"/>
  <c r="N247" i="13"/>
  <c r="O247" i="13"/>
  <c r="B248" i="13"/>
  <c r="D248" i="13" s="1"/>
  <c r="BM248" i="13" s="1"/>
  <c r="H248" i="13"/>
  <c r="N248" i="13"/>
  <c r="O248" i="13"/>
  <c r="B249" i="13"/>
  <c r="D249" i="13" s="1"/>
  <c r="BM249" i="13" s="1"/>
  <c r="H249" i="13"/>
  <c r="N249" i="13"/>
  <c r="O249" i="13"/>
  <c r="B250" i="13"/>
  <c r="D250" i="13" s="1"/>
  <c r="BM250" i="13" s="1"/>
  <c r="H250" i="13"/>
  <c r="N250" i="13"/>
  <c r="O250" i="13"/>
  <c r="B251" i="13"/>
  <c r="D251" i="13" s="1"/>
  <c r="BM251" i="13" s="1"/>
  <c r="H251" i="13"/>
  <c r="L251" i="13" s="1"/>
  <c r="N251" i="13"/>
  <c r="O251" i="13"/>
  <c r="K154" i="13" l="1"/>
  <c r="D154" i="13"/>
  <c r="BM154" i="13" s="1"/>
  <c r="K149" i="13"/>
  <c r="D149" i="13"/>
  <c r="BM149" i="13" s="1"/>
  <c r="K99" i="13"/>
  <c r="D99" i="13"/>
  <c r="BM99" i="13" s="1"/>
  <c r="G91" i="13"/>
  <c r="D91" i="13"/>
  <c r="BM91" i="13" s="1"/>
  <c r="K152" i="13"/>
  <c r="D152" i="13"/>
  <c r="BM152" i="13" s="1"/>
  <c r="C148" i="13"/>
  <c r="D148" i="13"/>
  <c r="BM148" i="13" s="1"/>
  <c r="E9" i="13"/>
  <c r="K201" i="13"/>
  <c r="K199" i="13"/>
  <c r="K162" i="13"/>
  <c r="K217" i="13"/>
  <c r="K172" i="13"/>
  <c r="K147" i="13"/>
  <c r="K215" i="13"/>
  <c r="K169" i="13"/>
  <c r="G143" i="13"/>
  <c r="K223" i="13"/>
  <c r="K175" i="13"/>
  <c r="K158" i="13"/>
  <c r="E143" i="13"/>
  <c r="G215" i="13"/>
  <c r="K207" i="13"/>
  <c r="G169" i="13"/>
  <c r="G147" i="13"/>
  <c r="C138" i="13"/>
  <c r="K114" i="13"/>
  <c r="C223" i="13"/>
  <c r="G165" i="13"/>
  <c r="G151" i="13"/>
  <c r="E147" i="13"/>
  <c r="C241" i="13"/>
  <c r="G168" i="13"/>
  <c r="E44" i="13"/>
  <c r="C215" i="13"/>
  <c r="G199" i="13"/>
  <c r="G177" i="13"/>
  <c r="K176" i="13"/>
  <c r="G175" i="13"/>
  <c r="C169" i="13"/>
  <c r="K168" i="13"/>
  <c r="K164" i="13"/>
  <c r="L145" i="13"/>
  <c r="E38" i="13"/>
  <c r="K231" i="13"/>
  <c r="C199" i="13"/>
  <c r="C175" i="13"/>
  <c r="K167" i="13"/>
  <c r="L163" i="13"/>
  <c r="G161" i="13"/>
  <c r="G159" i="13"/>
  <c r="L146" i="13"/>
  <c r="L142" i="13"/>
  <c r="C110" i="13"/>
  <c r="K94" i="13"/>
  <c r="E27" i="13"/>
  <c r="C231" i="13"/>
  <c r="G223" i="13"/>
  <c r="C207" i="13"/>
  <c r="K173" i="13"/>
  <c r="C173" i="13"/>
  <c r="G172" i="13"/>
  <c r="C171" i="13"/>
  <c r="C165" i="13"/>
  <c r="G164" i="13"/>
  <c r="C163" i="13"/>
  <c r="G162" i="13"/>
  <c r="L155" i="13"/>
  <c r="C155" i="13"/>
  <c r="G154" i="13"/>
  <c r="G149" i="13"/>
  <c r="C144" i="13"/>
  <c r="G95" i="13"/>
  <c r="G85" i="13"/>
  <c r="E21" i="13"/>
  <c r="E19" i="13"/>
  <c r="E17" i="13"/>
  <c r="E15" i="13"/>
  <c r="E13" i="13"/>
  <c r="E11" i="13"/>
  <c r="E10" i="13"/>
  <c r="E170" i="13"/>
  <c r="G141" i="13"/>
  <c r="C101" i="13"/>
  <c r="G94" i="13"/>
  <c r="E60" i="13"/>
  <c r="E43" i="13"/>
  <c r="E42" i="13"/>
  <c r="E41" i="13"/>
  <c r="E40" i="13"/>
  <c r="E39" i="13"/>
  <c r="E7" i="13"/>
  <c r="K233" i="13"/>
  <c r="K209" i="13"/>
  <c r="E174" i="13"/>
  <c r="G173" i="13"/>
  <c r="K171" i="13"/>
  <c r="G171" i="13"/>
  <c r="K165" i="13"/>
  <c r="K163" i="13"/>
  <c r="G163" i="13"/>
  <c r="C152" i="13"/>
  <c r="G148" i="13"/>
  <c r="G137" i="13"/>
  <c r="G133" i="13"/>
  <c r="G129" i="13"/>
  <c r="G125" i="13"/>
  <c r="K121" i="13"/>
  <c r="G115" i="13"/>
  <c r="K110" i="13"/>
  <c r="K98" i="13"/>
  <c r="C92" i="13"/>
  <c r="E46" i="13"/>
  <c r="E37" i="13"/>
  <c r="G240" i="13"/>
  <c r="G231" i="13"/>
  <c r="K225" i="13"/>
  <c r="G207" i="13"/>
  <c r="L177" i="13"/>
  <c r="C177" i="13"/>
  <c r="G176" i="13"/>
  <c r="L170" i="13"/>
  <c r="C167" i="13"/>
  <c r="E166" i="13"/>
  <c r="E165" i="13"/>
  <c r="L161" i="13"/>
  <c r="C161" i="13"/>
  <c r="K159" i="13"/>
  <c r="C159" i="13"/>
  <c r="G158" i="13"/>
  <c r="E157" i="13"/>
  <c r="G155" i="13"/>
  <c r="L151" i="13"/>
  <c r="L149" i="13"/>
  <c r="K148" i="13"/>
  <c r="G99" i="13"/>
  <c r="K91" i="13"/>
  <c r="C90" i="13"/>
  <c r="C87" i="13"/>
  <c r="E45" i="13"/>
  <c r="L175" i="13"/>
  <c r="L150" i="13"/>
  <c r="G97" i="13"/>
  <c r="G86" i="13"/>
  <c r="K86" i="13"/>
  <c r="G198" i="13"/>
  <c r="L153" i="13"/>
  <c r="G214" i="13"/>
  <c r="C211" i="13"/>
  <c r="K211" i="13"/>
  <c r="G211" i="13"/>
  <c r="G230" i="13"/>
  <c r="C227" i="13"/>
  <c r="K227" i="13"/>
  <c r="G227" i="13"/>
  <c r="C235" i="13"/>
  <c r="K235" i="13"/>
  <c r="G235" i="13"/>
  <c r="L174" i="13"/>
  <c r="L173" i="13"/>
  <c r="L165" i="13"/>
  <c r="C151" i="13"/>
  <c r="E151" i="13"/>
  <c r="K151" i="13"/>
  <c r="E150" i="13"/>
  <c r="G150" i="13"/>
  <c r="K150" i="13"/>
  <c r="C109" i="13"/>
  <c r="G109" i="13"/>
  <c r="K250" i="13"/>
  <c r="G222" i="13"/>
  <c r="C219" i="13"/>
  <c r="K219" i="13"/>
  <c r="G219" i="13"/>
  <c r="G206" i="13"/>
  <c r="C203" i="13"/>
  <c r="K203" i="13"/>
  <c r="G203" i="13"/>
  <c r="C117" i="13"/>
  <c r="E51" i="13"/>
  <c r="L167" i="13"/>
  <c r="L166" i="13"/>
  <c r="E160" i="13"/>
  <c r="K160" i="13"/>
  <c r="G160" i="13"/>
  <c r="C156" i="13"/>
  <c r="K156" i="13"/>
  <c r="C154" i="13"/>
  <c r="E154" i="13"/>
  <c r="C113" i="13"/>
  <c r="G234" i="13"/>
  <c r="G226" i="13"/>
  <c r="G218" i="13"/>
  <c r="G210" i="13"/>
  <c r="G202" i="13"/>
  <c r="G174" i="13"/>
  <c r="G167" i="13"/>
  <c r="G166" i="13"/>
  <c r="K161" i="13"/>
  <c r="E159" i="13"/>
  <c r="L157" i="13"/>
  <c r="K155" i="13"/>
  <c r="E155" i="13"/>
  <c r="C147" i="13"/>
  <c r="E146" i="13"/>
  <c r="K144" i="13"/>
  <c r="C143" i="13"/>
  <c r="E142" i="13"/>
  <c r="G241" i="13"/>
  <c r="C114" i="13"/>
  <c r="K241" i="13"/>
  <c r="K177" i="13"/>
  <c r="E173" i="13"/>
  <c r="L159" i="13"/>
  <c r="K146" i="13"/>
  <c r="G146" i="13"/>
  <c r="K143" i="13"/>
  <c r="K142" i="13"/>
  <c r="G142" i="13"/>
  <c r="K115" i="13"/>
  <c r="K95" i="13"/>
  <c r="K85" i="13"/>
  <c r="C136" i="13"/>
  <c r="G140" i="13"/>
  <c r="G134" i="13"/>
  <c r="C140" i="13"/>
  <c r="L141" i="13"/>
  <c r="G138" i="13"/>
  <c r="C132" i="13"/>
  <c r="G132" i="13"/>
  <c r="G128" i="13"/>
  <c r="C128" i="13"/>
  <c r="C126" i="13"/>
  <c r="L118" i="13"/>
  <c r="K120" i="13"/>
  <c r="G111" i="13"/>
  <c r="G110" i="13"/>
  <c r="G107" i="13"/>
  <c r="G113" i="13"/>
  <c r="K111" i="13"/>
  <c r="K107" i="13"/>
  <c r="L81" i="13"/>
  <c r="L77" i="13"/>
  <c r="L74" i="13"/>
  <c r="L76" i="13"/>
  <c r="L73" i="13"/>
  <c r="L70" i="13"/>
  <c r="L67" i="13"/>
  <c r="L66" i="13"/>
  <c r="K88" i="13"/>
  <c r="C98" i="13"/>
  <c r="C97" i="13"/>
  <c r="G93" i="13"/>
  <c r="C86" i="13"/>
  <c r="G84" i="13"/>
  <c r="G88" i="13"/>
  <c r="L82" i="13"/>
  <c r="C102" i="13"/>
  <c r="G98" i="13"/>
  <c r="C89" i="13"/>
  <c r="K84" i="13"/>
  <c r="L79" i="13"/>
  <c r="L56" i="13"/>
  <c r="L47" i="13"/>
  <c r="L50" i="13"/>
  <c r="L49" i="13"/>
  <c r="L46" i="13"/>
  <c r="L35" i="13"/>
  <c r="L12" i="13"/>
  <c r="L38" i="13"/>
  <c r="L68" i="13"/>
  <c r="L64" i="13"/>
  <c r="L59" i="13"/>
  <c r="L53" i="13"/>
  <c r="L39" i="13"/>
  <c r="E22" i="13"/>
  <c r="E14" i="13"/>
  <c r="E12" i="13"/>
  <c r="L48" i="13"/>
  <c r="L29" i="13"/>
  <c r="L52" i="13"/>
  <c r="L26" i="13"/>
  <c r="E16" i="13"/>
  <c r="E36" i="13"/>
  <c r="E20" i="13"/>
  <c r="L60" i="13"/>
  <c r="L55" i="13"/>
  <c r="E18" i="13"/>
  <c r="E8" i="13"/>
  <c r="E59" i="13"/>
  <c r="L58" i="13"/>
  <c r="L57" i="13"/>
  <c r="L51" i="13"/>
  <c r="E35" i="13"/>
  <c r="L34" i="13"/>
  <c r="L22" i="13"/>
  <c r="L20" i="13"/>
  <c r="L18" i="13"/>
  <c r="L16" i="13"/>
  <c r="L14" i="13"/>
  <c r="G250" i="13"/>
  <c r="C249" i="13"/>
  <c r="C248" i="13"/>
  <c r="L242" i="13"/>
  <c r="K239" i="13"/>
  <c r="C239" i="13"/>
  <c r="C237" i="13"/>
  <c r="G236" i="13"/>
  <c r="G233" i="13"/>
  <c r="C230" i="13"/>
  <c r="C229" i="13"/>
  <c r="G228" i="13"/>
  <c r="G225" i="13"/>
  <c r="C222" i="13"/>
  <c r="C221" i="13"/>
  <c r="G220" i="13"/>
  <c r="G217" i="13"/>
  <c r="C214" i="13"/>
  <c r="C213" i="13"/>
  <c r="G212" i="13"/>
  <c r="G209" i="13"/>
  <c r="C206" i="13"/>
  <c r="C205" i="13"/>
  <c r="G204" i="13"/>
  <c r="G201" i="13"/>
  <c r="C198" i="13"/>
  <c r="E177" i="13"/>
  <c r="K170" i="13"/>
  <c r="E169" i="13"/>
  <c r="C162" i="13"/>
  <c r="E161" i="13"/>
  <c r="C158" i="13"/>
  <c r="G156" i="13"/>
  <c r="E186" i="13"/>
  <c r="E184" i="13"/>
  <c r="E182" i="13"/>
  <c r="E180" i="13"/>
  <c r="E178" i="13"/>
  <c r="C170" i="13"/>
  <c r="C157" i="13"/>
  <c r="E153" i="13"/>
  <c r="C153" i="13"/>
  <c r="E152" i="13"/>
  <c r="G145" i="13"/>
  <c r="G144" i="13"/>
  <c r="G251" i="13"/>
  <c r="C250" i="13"/>
  <c r="G239" i="13"/>
  <c r="G237" i="13"/>
  <c r="C234" i="13"/>
  <c r="C233" i="13"/>
  <c r="G232" i="13"/>
  <c r="G229" i="13"/>
  <c r="C226" i="13"/>
  <c r="C225" i="13"/>
  <c r="G224" i="13"/>
  <c r="G221" i="13"/>
  <c r="C218" i="13"/>
  <c r="C217" i="13"/>
  <c r="G216" i="13"/>
  <c r="G213" i="13"/>
  <c r="C210" i="13"/>
  <c r="C209" i="13"/>
  <c r="G208" i="13"/>
  <c r="G205" i="13"/>
  <c r="C202" i="13"/>
  <c r="C201" i="13"/>
  <c r="G200" i="13"/>
  <c r="K174" i="13"/>
  <c r="K166" i="13"/>
  <c r="C160" i="13"/>
  <c r="K157" i="13"/>
  <c r="G157" i="13"/>
  <c r="E149" i="13"/>
  <c r="C149" i="13"/>
  <c r="E148" i="13"/>
  <c r="K145" i="13"/>
  <c r="E141" i="13"/>
  <c r="C141" i="13"/>
  <c r="G249" i="13"/>
  <c r="G248" i="13"/>
  <c r="K237" i="13"/>
  <c r="K229" i="13"/>
  <c r="K221" i="13"/>
  <c r="K213" i="13"/>
  <c r="K205" i="13"/>
  <c r="E185" i="13"/>
  <c r="E183" i="13"/>
  <c r="E181" i="13"/>
  <c r="E179" i="13"/>
  <c r="C174" i="13"/>
  <c r="G170" i="13"/>
  <c r="C166" i="13"/>
  <c r="E162" i="13"/>
  <c r="E158" i="13"/>
  <c r="E156" i="13"/>
  <c r="K153" i="13"/>
  <c r="G153" i="13"/>
  <c r="G152" i="13"/>
  <c r="E145" i="13"/>
  <c r="C145" i="13"/>
  <c r="E144" i="13"/>
  <c r="E140" i="13"/>
  <c r="C130" i="13"/>
  <c r="C125" i="13"/>
  <c r="C124" i="13"/>
  <c r="G123" i="13"/>
  <c r="L120" i="13"/>
  <c r="C120" i="13"/>
  <c r="K117" i="13"/>
  <c r="G114" i="13"/>
  <c r="C107" i="13"/>
  <c r="C106" i="13"/>
  <c r="C105" i="13"/>
  <c r="G104" i="13"/>
  <c r="K103" i="13"/>
  <c r="K102" i="13"/>
  <c r="G101" i="13"/>
  <c r="K92" i="13"/>
  <c r="E91" i="13"/>
  <c r="K89" i="13"/>
  <c r="E88" i="13"/>
  <c r="K87" i="13"/>
  <c r="E85" i="13"/>
  <c r="E83" i="13"/>
  <c r="E55" i="13"/>
  <c r="L54" i="13"/>
  <c r="E54" i="13"/>
  <c r="E47" i="13"/>
  <c r="E34" i="13"/>
  <c r="L32" i="13"/>
  <c r="E31" i="13"/>
  <c r="E26" i="13"/>
  <c r="L24" i="13"/>
  <c r="E23" i="13"/>
  <c r="C137" i="13"/>
  <c r="G135" i="13"/>
  <c r="C119" i="13"/>
  <c r="G116" i="13"/>
  <c r="C103" i="13"/>
  <c r="G100" i="13"/>
  <c r="E90" i="13"/>
  <c r="E57" i="13"/>
  <c r="E56" i="13"/>
  <c r="E49" i="13"/>
  <c r="E48" i="13"/>
  <c r="C45" i="13"/>
  <c r="C43" i="13"/>
  <c r="C41" i="13"/>
  <c r="C39" i="13"/>
  <c r="C37" i="13"/>
  <c r="E33" i="13"/>
  <c r="E28" i="13"/>
  <c r="E25" i="13"/>
  <c r="C21" i="13"/>
  <c r="C19" i="13"/>
  <c r="C17" i="13"/>
  <c r="C15" i="13"/>
  <c r="C13" i="13"/>
  <c r="C11" i="13"/>
  <c r="C9" i="13"/>
  <c r="L7" i="13"/>
  <c r="C133" i="13"/>
  <c r="G131" i="13"/>
  <c r="G130" i="13"/>
  <c r="G124" i="13"/>
  <c r="C122" i="13"/>
  <c r="K119" i="13"/>
  <c r="C118" i="13"/>
  <c r="C115" i="13"/>
  <c r="G112" i="13"/>
  <c r="G106" i="13"/>
  <c r="C99" i="13"/>
  <c r="G96" i="13"/>
  <c r="E92" i="13"/>
  <c r="G90" i="13"/>
  <c r="E89" i="13"/>
  <c r="E87" i="13"/>
  <c r="E58" i="13"/>
  <c r="E50" i="13"/>
  <c r="E30" i="13"/>
  <c r="C150" i="13"/>
  <c r="C146" i="13"/>
  <c r="C142" i="13"/>
  <c r="G139" i="13"/>
  <c r="G136" i="13"/>
  <c r="C134" i="13"/>
  <c r="C129" i="13"/>
  <c r="G127" i="13"/>
  <c r="G126" i="13"/>
  <c r="K124" i="13"/>
  <c r="K122" i="13"/>
  <c r="L121" i="13"/>
  <c r="C121" i="13"/>
  <c r="K118" i="13"/>
  <c r="L117" i="13"/>
  <c r="G117" i="13"/>
  <c r="C111" i="13"/>
  <c r="G108" i="13"/>
  <c r="K106" i="13"/>
  <c r="G105" i="13"/>
  <c r="G103" i="13"/>
  <c r="G102" i="13"/>
  <c r="C95" i="13"/>
  <c r="C94" i="13"/>
  <c r="C93" i="13"/>
  <c r="G92" i="13"/>
  <c r="C91" i="13"/>
  <c r="K90" i="13"/>
  <c r="G89" i="13"/>
  <c r="C88" i="13"/>
  <c r="G87" i="13"/>
  <c r="E86" i="13"/>
  <c r="C85" i="13"/>
  <c r="E53" i="13"/>
  <c r="E52" i="13"/>
  <c r="C46" i="13"/>
  <c r="C44" i="13"/>
  <c r="C42" i="13"/>
  <c r="C40" i="13"/>
  <c r="C38" i="13"/>
  <c r="C36" i="13"/>
  <c r="E32" i="13"/>
  <c r="E29" i="13"/>
  <c r="E24" i="13"/>
  <c r="C22" i="13"/>
  <c r="C20" i="13"/>
  <c r="C18" i="13"/>
  <c r="C16" i="13"/>
  <c r="C14" i="13"/>
  <c r="C12" i="13"/>
  <c r="C10" i="13"/>
  <c r="C8" i="13"/>
  <c r="C7" i="13"/>
  <c r="E247" i="13"/>
  <c r="C247" i="13"/>
  <c r="K247" i="13"/>
  <c r="C246" i="13"/>
  <c r="G246" i="13"/>
  <c r="K246" i="13"/>
  <c r="E246" i="13"/>
  <c r="C245" i="13"/>
  <c r="G245" i="13"/>
  <c r="K245" i="13"/>
  <c r="E245" i="13"/>
  <c r="C244" i="13"/>
  <c r="G244" i="13"/>
  <c r="K244" i="13"/>
  <c r="E244" i="13"/>
  <c r="C243" i="13"/>
  <c r="G243" i="13"/>
  <c r="K243" i="13"/>
  <c r="E243" i="13"/>
  <c r="E238" i="13"/>
  <c r="K238" i="13"/>
  <c r="C238" i="13"/>
  <c r="G238" i="13"/>
  <c r="C63" i="13"/>
  <c r="G63" i="13"/>
  <c r="K63" i="13"/>
  <c r="E63" i="13"/>
  <c r="L248" i="13"/>
  <c r="E251" i="13"/>
  <c r="C251" i="13"/>
  <c r="K251" i="13"/>
  <c r="G247" i="13"/>
  <c r="E248" i="13"/>
  <c r="E242" i="13"/>
  <c r="K242" i="13"/>
  <c r="C242" i="13"/>
  <c r="L239" i="13"/>
  <c r="L237" i="13"/>
  <c r="L233" i="13"/>
  <c r="L229" i="13"/>
  <c r="L225" i="13"/>
  <c r="L221" i="13"/>
  <c r="L217" i="13"/>
  <c r="L213" i="13"/>
  <c r="L209" i="13"/>
  <c r="L205" i="13"/>
  <c r="L201" i="13"/>
  <c r="L249" i="13"/>
  <c r="E249" i="13"/>
  <c r="K248" i="13"/>
  <c r="L241" i="13"/>
  <c r="E240" i="13"/>
  <c r="C240" i="13"/>
  <c r="K240" i="13"/>
  <c r="E236" i="13"/>
  <c r="C236" i="13"/>
  <c r="K236" i="13"/>
  <c r="E232" i="13"/>
  <c r="C232" i="13"/>
  <c r="K232" i="13"/>
  <c r="E228" i="13"/>
  <c r="C228" i="13"/>
  <c r="K228" i="13"/>
  <c r="E224" i="13"/>
  <c r="C224" i="13"/>
  <c r="K224" i="13"/>
  <c r="E220" i="13"/>
  <c r="C220" i="13"/>
  <c r="K220" i="13"/>
  <c r="E216" i="13"/>
  <c r="C216" i="13"/>
  <c r="K216" i="13"/>
  <c r="E212" i="13"/>
  <c r="C212" i="13"/>
  <c r="K212" i="13"/>
  <c r="E208" i="13"/>
  <c r="C208" i="13"/>
  <c r="K208" i="13"/>
  <c r="E204" i="13"/>
  <c r="C204" i="13"/>
  <c r="K204" i="13"/>
  <c r="E200" i="13"/>
  <c r="C200" i="13"/>
  <c r="K200" i="13"/>
  <c r="L250" i="13"/>
  <c r="E250" i="13"/>
  <c r="K249" i="13"/>
  <c r="L246" i="13"/>
  <c r="L245" i="13"/>
  <c r="L244" i="13"/>
  <c r="L243" i="13"/>
  <c r="G242" i="13"/>
  <c r="E241" i="13"/>
  <c r="E237" i="13"/>
  <c r="E233" i="13"/>
  <c r="E229" i="13"/>
  <c r="E225" i="13"/>
  <c r="E221" i="13"/>
  <c r="E217" i="13"/>
  <c r="E213" i="13"/>
  <c r="E209" i="13"/>
  <c r="E205" i="13"/>
  <c r="E201" i="13"/>
  <c r="C172" i="13"/>
  <c r="E172" i="13"/>
  <c r="C164" i="13"/>
  <c r="E164" i="13"/>
  <c r="E234" i="13"/>
  <c r="E230" i="13"/>
  <c r="E226" i="13"/>
  <c r="E222" i="13"/>
  <c r="E218" i="13"/>
  <c r="E214" i="13"/>
  <c r="E210" i="13"/>
  <c r="E206" i="13"/>
  <c r="E202" i="13"/>
  <c r="E198" i="13"/>
  <c r="E197" i="13"/>
  <c r="C197" i="13"/>
  <c r="G197" i="13"/>
  <c r="K197" i="13"/>
  <c r="E196" i="13"/>
  <c r="C196" i="13"/>
  <c r="G196" i="13"/>
  <c r="K196" i="13"/>
  <c r="E195" i="13"/>
  <c r="C195" i="13"/>
  <c r="G195" i="13"/>
  <c r="K195" i="13"/>
  <c r="E194" i="13"/>
  <c r="C194" i="13"/>
  <c r="G194" i="13"/>
  <c r="K194" i="13"/>
  <c r="E193" i="13"/>
  <c r="C193" i="13"/>
  <c r="G193" i="13"/>
  <c r="K193" i="13"/>
  <c r="E192" i="13"/>
  <c r="C192" i="13"/>
  <c r="G192" i="13"/>
  <c r="K192" i="13"/>
  <c r="E191" i="13"/>
  <c r="C191" i="13"/>
  <c r="G191" i="13"/>
  <c r="K191" i="13"/>
  <c r="E190" i="13"/>
  <c r="C190" i="13"/>
  <c r="G190" i="13"/>
  <c r="K190" i="13"/>
  <c r="E189" i="13"/>
  <c r="C189" i="13"/>
  <c r="G189" i="13"/>
  <c r="K189" i="13"/>
  <c r="E188" i="13"/>
  <c r="C188" i="13"/>
  <c r="G188" i="13"/>
  <c r="K188" i="13"/>
  <c r="E187" i="13"/>
  <c r="C187" i="13"/>
  <c r="G187" i="13"/>
  <c r="K187" i="13"/>
  <c r="E239" i="13"/>
  <c r="L235" i="13"/>
  <c r="E235" i="13"/>
  <c r="K234" i="13"/>
  <c r="L231" i="13"/>
  <c r="E231" i="13"/>
  <c r="K230" i="13"/>
  <c r="L227" i="13"/>
  <c r="E227" i="13"/>
  <c r="K226" i="13"/>
  <c r="L223" i="13"/>
  <c r="E223" i="13"/>
  <c r="K222" i="13"/>
  <c r="L219" i="13"/>
  <c r="E219" i="13"/>
  <c r="K218" i="13"/>
  <c r="L215" i="13"/>
  <c r="E215" i="13"/>
  <c r="K214" i="13"/>
  <c r="L211" i="13"/>
  <c r="E211" i="13"/>
  <c r="K210" i="13"/>
  <c r="L207" i="13"/>
  <c r="E207" i="13"/>
  <c r="K206" i="13"/>
  <c r="L203" i="13"/>
  <c r="E203" i="13"/>
  <c r="K202" i="13"/>
  <c r="L199" i="13"/>
  <c r="E199" i="13"/>
  <c r="K198" i="13"/>
  <c r="C176" i="13"/>
  <c r="E176" i="13"/>
  <c r="C168" i="13"/>
  <c r="E168" i="13"/>
  <c r="K186" i="13"/>
  <c r="G186" i="13"/>
  <c r="C186" i="13"/>
  <c r="K185" i="13"/>
  <c r="G185" i="13"/>
  <c r="C185" i="13"/>
  <c r="K184" i="13"/>
  <c r="G184" i="13"/>
  <c r="C184" i="13"/>
  <c r="K183" i="13"/>
  <c r="G183" i="13"/>
  <c r="C183" i="13"/>
  <c r="K182" i="13"/>
  <c r="G182" i="13"/>
  <c r="C182" i="13"/>
  <c r="K181" i="13"/>
  <c r="G181" i="13"/>
  <c r="C181" i="13"/>
  <c r="K180" i="13"/>
  <c r="G180" i="13"/>
  <c r="C180" i="13"/>
  <c r="K179" i="13"/>
  <c r="G179" i="13"/>
  <c r="C179" i="13"/>
  <c r="K178" i="13"/>
  <c r="G178" i="13"/>
  <c r="C178" i="13"/>
  <c r="L136" i="13"/>
  <c r="L132" i="13"/>
  <c r="L128" i="13"/>
  <c r="L124" i="13"/>
  <c r="E139" i="13"/>
  <c r="C139" i="13"/>
  <c r="E135" i="13"/>
  <c r="C135" i="13"/>
  <c r="E131" i="13"/>
  <c r="C131" i="13"/>
  <c r="E127" i="13"/>
  <c r="C127" i="13"/>
  <c r="E123" i="13"/>
  <c r="C123" i="13"/>
  <c r="K123" i="13"/>
  <c r="E175" i="13"/>
  <c r="E171" i="13"/>
  <c r="E167" i="13"/>
  <c r="E163" i="13"/>
  <c r="E136" i="13"/>
  <c r="E132" i="13"/>
  <c r="E128" i="13"/>
  <c r="E124" i="13"/>
  <c r="L85" i="13"/>
  <c r="E137" i="13"/>
  <c r="E133" i="13"/>
  <c r="E129" i="13"/>
  <c r="E125" i="13"/>
  <c r="E122" i="13"/>
  <c r="E121" i="13"/>
  <c r="E120" i="13"/>
  <c r="E119" i="13"/>
  <c r="E118" i="13"/>
  <c r="E116" i="13"/>
  <c r="C116" i="13"/>
  <c r="K116" i="13"/>
  <c r="E112" i="13"/>
  <c r="C112" i="13"/>
  <c r="K112" i="13"/>
  <c r="E108" i="13"/>
  <c r="C108" i="13"/>
  <c r="K108" i="13"/>
  <c r="E104" i="13"/>
  <c r="C104" i="13"/>
  <c r="K104" i="13"/>
  <c r="E100" i="13"/>
  <c r="C100" i="13"/>
  <c r="K100" i="13"/>
  <c r="E96" i="13"/>
  <c r="C96" i="13"/>
  <c r="K96" i="13"/>
  <c r="L138" i="13"/>
  <c r="E138" i="13"/>
  <c r="L134" i="13"/>
  <c r="E134" i="13"/>
  <c r="L130" i="13"/>
  <c r="E130" i="13"/>
  <c r="L126" i="13"/>
  <c r="E126" i="13"/>
  <c r="G122" i="13"/>
  <c r="G121" i="13"/>
  <c r="G120" i="13"/>
  <c r="G119" i="13"/>
  <c r="G118" i="13"/>
  <c r="L113" i="13"/>
  <c r="L109" i="13"/>
  <c r="L105" i="13"/>
  <c r="L101" i="13"/>
  <c r="L97" i="13"/>
  <c r="L93" i="13"/>
  <c r="L89" i="13"/>
  <c r="C79" i="13"/>
  <c r="G79" i="13"/>
  <c r="K79" i="13"/>
  <c r="E79" i="13"/>
  <c r="E113" i="13"/>
  <c r="E109" i="13"/>
  <c r="E105" i="13"/>
  <c r="E101" i="13"/>
  <c r="E97" i="13"/>
  <c r="E93" i="13"/>
  <c r="C84" i="13"/>
  <c r="E84" i="13"/>
  <c r="C67" i="13"/>
  <c r="G67" i="13"/>
  <c r="K67" i="13"/>
  <c r="E67" i="13"/>
  <c r="E117" i="13"/>
  <c r="L114" i="13"/>
  <c r="E114" i="13"/>
  <c r="K113" i="13"/>
  <c r="L110" i="13"/>
  <c r="E110" i="13"/>
  <c r="K109" i="13"/>
  <c r="L106" i="13"/>
  <c r="E106" i="13"/>
  <c r="K105" i="13"/>
  <c r="L102" i="13"/>
  <c r="E102" i="13"/>
  <c r="K101" i="13"/>
  <c r="L98" i="13"/>
  <c r="E98" i="13"/>
  <c r="K97" i="13"/>
  <c r="L94" i="13"/>
  <c r="E94" i="13"/>
  <c r="K93" i="13"/>
  <c r="L90" i="13"/>
  <c r="L86" i="13"/>
  <c r="C71" i="13"/>
  <c r="G71" i="13"/>
  <c r="K71" i="13"/>
  <c r="E71" i="13"/>
  <c r="E115" i="13"/>
  <c r="E111" i="13"/>
  <c r="E107" i="13"/>
  <c r="E103" i="13"/>
  <c r="E99" i="13"/>
  <c r="E95" i="13"/>
  <c r="C75" i="13"/>
  <c r="G75" i="13"/>
  <c r="K75" i="13"/>
  <c r="E75" i="13"/>
  <c r="C80" i="13"/>
  <c r="G80" i="13"/>
  <c r="K80" i="13"/>
  <c r="E80" i="13"/>
  <c r="C76" i="13"/>
  <c r="G76" i="13"/>
  <c r="K76" i="13"/>
  <c r="E76" i="13"/>
  <c r="C72" i="13"/>
  <c r="G72" i="13"/>
  <c r="E72" i="13"/>
  <c r="C68" i="13"/>
  <c r="G68" i="13"/>
  <c r="K68" i="13"/>
  <c r="E68" i="13"/>
  <c r="C64" i="13"/>
  <c r="G64" i="13"/>
  <c r="K64" i="13"/>
  <c r="E64" i="13"/>
  <c r="C83" i="13"/>
  <c r="G83" i="13"/>
  <c r="K83" i="13"/>
  <c r="C81" i="13"/>
  <c r="G81" i="13"/>
  <c r="K81" i="13"/>
  <c r="E81" i="13"/>
  <c r="C77" i="13"/>
  <c r="G77" i="13"/>
  <c r="K77" i="13"/>
  <c r="E77" i="13"/>
  <c r="C73" i="13"/>
  <c r="G73" i="13"/>
  <c r="K73" i="13"/>
  <c r="E73" i="13"/>
  <c r="C69" i="13"/>
  <c r="G69" i="13"/>
  <c r="K69" i="13"/>
  <c r="E69" i="13"/>
  <c r="C65" i="13"/>
  <c r="G65" i="13"/>
  <c r="K65" i="13"/>
  <c r="E65" i="13"/>
  <c r="C82" i="13"/>
  <c r="G82" i="13"/>
  <c r="K82" i="13"/>
  <c r="E82" i="13"/>
  <c r="C78" i="13"/>
  <c r="G78" i="13"/>
  <c r="K78" i="13"/>
  <c r="E78" i="13"/>
  <c r="C74" i="13"/>
  <c r="G74" i="13"/>
  <c r="K74" i="13"/>
  <c r="E74" i="13"/>
  <c r="C70" i="13"/>
  <c r="G70" i="13"/>
  <c r="K70" i="13"/>
  <c r="E70" i="13"/>
  <c r="C66" i="13"/>
  <c r="G66" i="13"/>
  <c r="K66" i="13"/>
  <c r="E66" i="13"/>
  <c r="C62" i="13"/>
  <c r="G62" i="13"/>
  <c r="K62" i="13"/>
  <c r="E62" i="13"/>
  <c r="C61" i="13"/>
  <c r="G61" i="13"/>
  <c r="C59" i="13"/>
  <c r="G59" i="13"/>
  <c r="C57" i="13"/>
  <c r="G57" i="13"/>
  <c r="C55" i="13"/>
  <c r="G55" i="13"/>
  <c r="C53" i="13"/>
  <c r="G53" i="13"/>
  <c r="C51" i="13"/>
  <c r="G51" i="13"/>
  <c r="C49" i="13"/>
  <c r="G49" i="13"/>
  <c r="C47" i="13"/>
  <c r="G47" i="13"/>
  <c r="C60" i="13"/>
  <c r="G60" i="13"/>
  <c r="E61" i="13"/>
  <c r="C58" i="13"/>
  <c r="G58" i="13"/>
  <c r="C56" i="13"/>
  <c r="G56" i="13"/>
  <c r="C54" i="13"/>
  <c r="G54" i="13"/>
  <c r="C52" i="13"/>
  <c r="G52" i="13"/>
  <c r="C50" i="13"/>
  <c r="G50" i="13"/>
  <c r="C48" i="13"/>
  <c r="G48" i="13"/>
  <c r="C35" i="13"/>
  <c r="C33" i="13"/>
  <c r="G33" i="13"/>
  <c r="C31" i="13"/>
  <c r="G31" i="13"/>
  <c r="C29" i="13"/>
  <c r="G29" i="13"/>
  <c r="C27" i="13"/>
  <c r="G27" i="13"/>
  <c r="C25" i="13"/>
  <c r="G25" i="13"/>
  <c r="C23" i="13"/>
  <c r="G23" i="13"/>
  <c r="G46" i="13"/>
  <c r="G45" i="13"/>
  <c r="G44" i="13"/>
  <c r="G43" i="13"/>
  <c r="G42" i="13"/>
  <c r="G41" i="13"/>
  <c r="G40" i="13"/>
  <c r="G39" i="13"/>
  <c r="G38" i="13"/>
  <c r="G37" i="13"/>
  <c r="G36" i="13"/>
  <c r="G35" i="13"/>
  <c r="C34" i="13"/>
  <c r="G34" i="13"/>
  <c r="C32" i="13"/>
  <c r="G32" i="13"/>
  <c r="C30" i="13"/>
  <c r="G30" i="13"/>
  <c r="C28" i="13"/>
  <c r="G28" i="13"/>
  <c r="C26" i="13"/>
  <c r="G26" i="13"/>
  <c r="C24" i="13"/>
  <c r="G24" i="13"/>
  <c r="G22" i="13"/>
  <c r="G21" i="13"/>
  <c r="G20" i="13"/>
  <c r="G19" i="13"/>
  <c r="G18" i="13"/>
  <c r="G17" i="13"/>
  <c r="G16" i="13"/>
  <c r="G15" i="13"/>
  <c r="G14" i="13"/>
  <c r="G13" i="13"/>
  <c r="G12" i="13"/>
  <c r="G11" i="13"/>
  <c r="G10" i="13"/>
  <c r="G9" i="13"/>
  <c r="G8" i="13"/>
  <c r="G7" i="13"/>
  <c r="L15" i="3"/>
  <c r="P15" i="3"/>
  <c r="AL15" i="3"/>
  <c r="AM15" i="3" s="1"/>
  <c r="BB15" i="3"/>
  <c r="BC15" i="3"/>
  <c r="BD15" i="3"/>
  <c r="P16" i="3"/>
  <c r="AL16" i="3"/>
  <c r="J7" i="13" s="1"/>
  <c r="BB16" i="3"/>
  <c r="BC16" i="3"/>
  <c r="BD16" i="3"/>
  <c r="L17" i="3"/>
  <c r="P17" i="3"/>
  <c r="AL17" i="3"/>
  <c r="J8" i="13" s="1"/>
  <c r="BB17" i="3"/>
  <c r="BC17" i="3"/>
  <c r="BD17" i="3"/>
  <c r="CH17" i="3"/>
  <c r="CI17" i="3"/>
  <c r="CJ17" i="3"/>
  <c r="CK17" i="3"/>
  <c r="CL17" i="3"/>
  <c r="CN17" i="3"/>
  <c r="CP17" i="3"/>
  <c r="P18" i="3"/>
  <c r="AL18" i="3"/>
  <c r="J9" i="13" s="1"/>
  <c r="BB18" i="3"/>
  <c r="BC18" i="3"/>
  <c r="BD18" i="3"/>
  <c r="CH18" i="3"/>
  <c r="CI18" i="3"/>
  <c r="CJ18" i="3"/>
  <c r="CK18" i="3"/>
  <c r="CL18" i="3"/>
  <c r="CN18" i="3"/>
  <c r="CP18" i="3"/>
  <c r="P19" i="3"/>
  <c r="AL19" i="3"/>
  <c r="J10" i="13" s="1"/>
  <c r="BB19" i="3"/>
  <c r="BC19" i="3"/>
  <c r="BD19" i="3"/>
  <c r="CH19" i="3"/>
  <c r="CI19" i="3"/>
  <c r="CJ19" i="3"/>
  <c r="CK19" i="3"/>
  <c r="CL19" i="3"/>
  <c r="CN19" i="3"/>
  <c r="CP19" i="3"/>
  <c r="L20" i="3"/>
  <c r="P20" i="3"/>
  <c r="AL20" i="3"/>
  <c r="J11" i="13" s="1"/>
  <c r="BB20" i="3"/>
  <c r="BC20" i="3"/>
  <c r="BD20" i="3"/>
  <c r="CH20" i="3"/>
  <c r="CI20" i="3"/>
  <c r="CJ20" i="3"/>
  <c r="CK20" i="3"/>
  <c r="CL20" i="3"/>
  <c r="CN20" i="3"/>
  <c r="CP20" i="3"/>
  <c r="P21" i="3"/>
  <c r="AL21" i="3"/>
  <c r="J12" i="13" s="1"/>
  <c r="BB21" i="3"/>
  <c r="BC21" i="3"/>
  <c r="BD21" i="3"/>
  <c r="CH21" i="3"/>
  <c r="CI21" i="3"/>
  <c r="CJ21" i="3"/>
  <c r="CK21" i="3"/>
  <c r="CL21" i="3"/>
  <c r="CN21" i="3"/>
  <c r="CP21" i="3"/>
  <c r="L22" i="3"/>
  <c r="P22" i="3"/>
  <c r="AL22" i="3"/>
  <c r="J13" i="13" s="1"/>
  <c r="BB22" i="3"/>
  <c r="BC22" i="3"/>
  <c r="BD22" i="3"/>
  <c r="CH22" i="3"/>
  <c r="CI22" i="3"/>
  <c r="CJ22" i="3"/>
  <c r="CK22" i="3"/>
  <c r="CL22" i="3"/>
  <c r="CN22" i="3"/>
  <c r="CP22" i="3"/>
  <c r="P23" i="3"/>
  <c r="AL23" i="3"/>
  <c r="J14" i="13" s="1"/>
  <c r="BB23" i="3"/>
  <c r="BC23" i="3"/>
  <c r="BD23" i="3"/>
  <c r="T14" i="13"/>
  <c r="CH23" i="3"/>
  <c r="CI23" i="3"/>
  <c r="CJ23" i="3"/>
  <c r="CK23" i="3"/>
  <c r="CL23" i="3"/>
  <c r="CN23" i="3"/>
  <c r="CP23" i="3"/>
  <c r="L24" i="3"/>
  <c r="P24" i="3"/>
  <c r="AL24" i="3"/>
  <c r="J15" i="13" s="1"/>
  <c r="BB24" i="3"/>
  <c r="BC24" i="3"/>
  <c r="BD24" i="3"/>
  <c r="T15" i="13"/>
  <c r="CH24" i="3"/>
  <c r="CI24" i="3"/>
  <c r="CJ24" i="3"/>
  <c r="CK24" i="3"/>
  <c r="CL24" i="3"/>
  <c r="CN24" i="3"/>
  <c r="CP24" i="3"/>
  <c r="P25" i="3"/>
  <c r="AL25" i="3"/>
  <c r="J16" i="13" s="1"/>
  <c r="BB25" i="3"/>
  <c r="BC25" i="3"/>
  <c r="BD25" i="3"/>
  <c r="T16" i="13"/>
  <c r="CH25" i="3"/>
  <c r="CI25" i="3"/>
  <c r="CJ25" i="3"/>
  <c r="CK25" i="3"/>
  <c r="CL25" i="3"/>
  <c r="CN25" i="3"/>
  <c r="CP25" i="3"/>
  <c r="P26" i="3"/>
  <c r="AL26" i="3"/>
  <c r="J17" i="13" s="1"/>
  <c r="BB26" i="3"/>
  <c r="BC26" i="3"/>
  <c r="BD26" i="3"/>
  <c r="T17" i="13"/>
  <c r="CH26" i="3"/>
  <c r="CI26" i="3"/>
  <c r="CJ26" i="3"/>
  <c r="CK26" i="3"/>
  <c r="CL26" i="3"/>
  <c r="CN26" i="3"/>
  <c r="CP26" i="3"/>
  <c r="P27" i="3"/>
  <c r="AL27" i="3"/>
  <c r="J18" i="13" s="1"/>
  <c r="BB27" i="3"/>
  <c r="S18" i="13" s="1"/>
  <c r="BC27" i="3"/>
  <c r="BD27" i="3"/>
  <c r="U18" i="13"/>
  <c r="CH27" i="3"/>
  <c r="CI27" i="3"/>
  <c r="CJ27" i="3"/>
  <c r="CK27" i="3"/>
  <c r="CL27" i="3"/>
  <c r="CN27" i="3"/>
  <c r="CP27" i="3"/>
  <c r="P28" i="3"/>
  <c r="AL28" i="3"/>
  <c r="J19" i="13" s="1"/>
  <c r="BB28" i="3"/>
  <c r="S19" i="13" s="1"/>
  <c r="BC28" i="3"/>
  <c r="BD28" i="3"/>
  <c r="T19" i="13"/>
  <c r="U19" i="13"/>
  <c r="CH28" i="3"/>
  <c r="CI28" i="3"/>
  <c r="CJ28" i="3"/>
  <c r="CK28" i="3"/>
  <c r="CL28" i="3"/>
  <c r="CN28" i="3"/>
  <c r="CP28" i="3"/>
  <c r="P29" i="3"/>
  <c r="AL29" i="3"/>
  <c r="J20" i="13" s="1"/>
  <c r="BB29" i="3"/>
  <c r="S20" i="13" s="1"/>
  <c r="BC29" i="3"/>
  <c r="BD29" i="3"/>
  <c r="U20" i="13"/>
  <c r="CH29" i="3"/>
  <c r="CI29" i="3"/>
  <c r="CJ29" i="3"/>
  <c r="CK29" i="3"/>
  <c r="CL29" i="3"/>
  <c r="CN29" i="3"/>
  <c r="CP29" i="3"/>
  <c r="P30" i="3"/>
  <c r="AL30" i="3"/>
  <c r="J21" i="13" s="1"/>
  <c r="BB30" i="3"/>
  <c r="S21" i="13" s="1"/>
  <c r="BC30" i="3"/>
  <c r="BD30" i="3"/>
  <c r="T21" i="13"/>
  <c r="U21" i="13"/>
  <c r="CH30" i="3"/>
  <c r="CI30" i="3"/>
  <c r="CJ30" i="3"/>
  <c r="CK30" i="3"/>
  <c r="CL30" i="3"/>
  <c r="CN30" i="3"/>
  <c r="CP30" i="3"/>
  <c r="P31" i="3"/>
  <c r="AL31" i="3"/>
  <c r="J22" i="13" s="1"/>
  <c r="BB31" i="3"/>
  <c r="S22" i="13" s="1"/>
  <c r="BC31" i="3"/>
  <c r="BD31" i="3"/>
  <c r="T22" i="13"/>
  <c r="U22" i="13"/>
  <c r="CH31" i="3"/>
  <c r="CI31" i="3"/>
  <c r="CJ31" i="3"/>
  <c r="CK31" i="3"/>
  <c r="CL31" i="3"/>
  <c r="CN31" i="3"/>
  <c r="CP31" i="3"/>
  <c r="P32" i="3"/>
  <c r="AL32" i="3"/>
  <c r="J23" i="13" s="1"/>
  <c r="BB32" i="3"/>
  <c r="S23" i="13" s="1"/>
  <c r="BC32" i="3"/>
  <c r="BD32" i="3"/>
  <c r="U23" i="13"/>
  <c r="CH32" i="3"/>
  <c r="CI32" i="3"/>
  <c r="CJ32" i="3"/>
  <c r="CK32" i="3"/>
  <c r="CL32" i="3"/>
  <c r="CN32" i="3"/>
  <c r="CP32" i="3"/>
  <c r="P33" i="3"/>
  <c r="AL33" i="3"/>
  <c r="J24" i="13" s="1"/>
  <c r="BB33" i="3"/>
  <c r="S24" i="13" s="1"/>
  <c r="BC33" i="3"/>
  <c r="BD33" i="3"/>
  <c r="U24" i="13"/>
  <c r="CH33" i="3"/>
  <c r="CI33" i="3"/>
  <c r="CJ33" i="3"/>
  <c r="CK33" i="3"/>
  <c r="CL33" i="3"/>
  <c r="CN33" i="3"/>
  <c r="CP33" i="3"/>
  <c r="P34" i="3"/>
  <c r="AL34" i="3"/>
  <c r="J25" i="13" s="1"/>
  <c r="BB34" i="3"/>
  <c r="S25" i="13" s="1"/>
  <c r="BC34" i="3"/>
  <c r="BD34" i="3"/>
  <c r="T25" i="13"/>
  <c r="U25" i="13"/>
  <c r="CH34" i="3"/>
  <c r="CI34" i="3"/>
  <c r="CJ34" i="3"/>
  <c r="CK34" i="3"/>
  <c r="CL34" i="3"/>
  <c r="CN34" i="3"/>
  <c r="CP34" i="3"/>
  <c r="P35" i="3"/>
  <c r="AL35" i="3"/>
  <c r="J26" i="13" s="1"/>
  <c r="BB35" i="3"/>
  <c r="S26" i="13" s="1"/>
  <c r="BC35" i="3"/>
  <c r="BD35" i="3"/>
  <c r="T26" i="13"/>
  <c r="U26" i="13"/>
  <c r="CH35" i="3"/>
  <c r="CI35" i="3"/>
  <c r="CJ35" i="3"/>
  <c r="CK35" i="3"/>
  <c r="CL35" i="3"/>
  <c r="CN35" i="3"/>
  <c r="CP35" i="3"/>
  <c r="P36" i="3"/>
  <c r="AL36" i="3"/>
  <c r="BB36" i="3"/>
  <c r="S27" i="13" s="1"/>
  <c r="BC36" i="3"/>
  <c r="BD36" i="3"/>
  <c r="U27" i="13"/>
  <c r="CH36" i="3"/>
  <c r="CI36" i="3"/>
  <c r="CJ36" i="3"/>
  <c r="CK36" i="3"/>
  <c r="CL36" i="3"/>
  <c r="CN36" i="3"/>
  <c r="CP36" i="3"/>
  <c r="F28" i="13"/>
  <c r="P37" i="3"/>
  <c r="AL37" i="3"/>
  <c r="J28" i="13" s="1"/>
  <c r="BB37" i="3"/>
  <c r="S28" i="13" s="1"/>
  <c r="BC37" i="3"/>
  <c r="BD37" i="3"/>
  <c r="T28" i="13"/>
  <c r="U28" i="13"/>
  <c r="CH37" i="3"/>
  <c r="CI37" i="3"/>
  <c r="CJ37" i="3"/>
  <c r="CK37" i="3"/>
  <c r="CL37" i="3"/>
  <c r="CN37" i="3"/>
  <c r="CP37" i="3"/>
  <c r="F29" i="13"/>
  <c r="P38" i="3"/>
  <c r="AL38" i="3"/>
  <c r="J29" i="13" s="1"/>
  <c r="BB38" i="3"/>
  <c r="S29" i="13" s="1"/>
  <c r="BC38" i="3"/>
  <c r="BD38" i="3"/>
  <c r="U29" i="13"/>
  <c r="CH38" i="3"/>
  <c r="CI38" i="3"/>
  <c r="CJ38" i="3"/>
  <c r="CK38" i="3"/>
  <c r="CL38" i="3"/>
  <c r="CN38" i="3"/>
  <c r="CP38" i="3"/>
  <c r="F30" i="13"/>
  <c r="P39" i="3"/>
  <c r="AL39" i="3"/>
  <c r="J30" i="13" s="1"/>
  <c r="BB39" i="3"/>
  <c r="S30" i="13" s="1"/>
  <c r="BC39" i="3"/>
  <c r="BD39" i="3"/>
  <c r="T30" i="13"/>
  <c r="U30" i="13"/>
  <c r="CH39" i="3"/>
  <c r="CI39" i="3"/>
  <c r="CJ39" i="3"/>
  <c r="CK39" i="3"/>
  <c r="CL39" i="3"/>
  <c r="CN39" i="3"/>
  <c r="CP39" i="3"/>
  <c r="P40" i="3"/>
  <c r="AL40" i="3"/>
  <c r="J31" i="13" s="1"/>
  <c r="BB40" i="3"/>
  <c r="S31" i="13" s="1"/>
  <c r="BC40" i="3"/>
  <c r="BD40" i="3"/>
  <c r="T31" i="13"/>
  <c r="U31" i="13"/>
  <c r="CH40" i="3"/>
  <c r="CI40" i="3"/>
  <c r="CJ40" i="3"/>
  <c r="CK40" i="3"/>
  <c r="CL40" i="3"/>
  <c r="CN40" i="3"/>
  <c r="CP40" i="3"/>
  <c r="P41" i="3"/>
  <c r="AL41" i="3"/>
  <c r="J32" i="13" s="1"/>
  <c r="BB41" i="3"/>
  <c r="S32" i="13" s="1"/>
  <c r="BC41" i="3"/>
  <c r="BD41" i="3"/>
  <c r="U32" i="13"/>
  <c r="CH41" i="3"/>
  <c r="CI41" i="3"/>
  <c r="CJ41" i="3"/>
  <c r="CK41" i="3"/>
  <c r="CL41" i="3"/>
  <c r="CN41" i="3"/>
  <c r="CP41" i="3"/>
  <c r="P42" i="3"/>
  <c r="AL42" i="3"/>
  <c r="J33" i="13" s="1"/>
  <c r="BB42" i="3"/>
  <c r="BC42" i="3"/>
  <c r="BD42" i="3"/>
  <c r="T33" i="13"/>
  <c r="U33" i="13"/>
  <c r="CH42" i="3"/>
  <c r="CI42" i="3"/>
  <c r="CJ42" i="3"/>
  <c r="CK42" i="3"/>
  <c r="CL42" i="3"/>
  <c r="CN42" i="3"/>
  <c r="CP42" i="3"/>
  <c r="P43" i="3"/>
  <c r="AL43" i="3"/>
  <c r="J34" i="13" s="1"/>
  <c r="BB43" i="3"/>
  <c r="BC43" i="3"/>
  <c r="BD43" i="3"/>
  <c r="T34" i="13"/>
  <c r="U34" i="13"/>
  <c r="CH43" i="3"/>
  <c r="CI43" i="3"/>
  <c r="CJ43" i="3"/>
  <c r="CK43" i="3"/>
  <c r="CL43" i="3"/>
  <c r="CN43" i="3"/>
  <c r="CP43" i="3"/>
  <c r="P44" i="3"/>
  <c r="AL44" i="3"/>
  <c r="J35" i="13" s="1"/>
  <c r="BB44" i="3"/>
  <c r="BC44" i="3"/>
  <c r="BD44" i="3"/>
  <c r="T35" i="13"/>
  <c r="U35" i="13"/>
  <c r="CH44" i="3"/>
  <c r="CI44" i="3"/>
  <c r="CJ44" i="3"/>
  <c r="CK44" i="3"/>
  <c r="CL44" i="3"/>
  <c r="CN44" i="3"/>
  <c r="CP44" i="3"/>
  <c r="P45" i="3"/>
  <c r="AL45" i="3"/>
  <c r="J36" i="13" s="1"/>
  <c r="BB45" i="3"/>
  <c r="S36" i="13" s="1"/>
  <c r="BC45" i="3"/>
  <c r="BD45" i="3"/>
  <c r="T36" i="13"/>
  <c r="U36" i="13"/>
  <c r="CH45" i="3"/>
  <c r="CI45" i="3"/>
  <c r="CJ45" i="3"/>
  <c r="CK45" i="3"/>
  <c r="CL45" i="3"/>
  <c r="CN45" i="3"/>
  <c r="CP45" i="3"/>
  <c r="P46" i="3"/>
  <c r="AL46" i="3"/>
  <c r="J37" i="13" s="1"/>
  <c r="BB46" i="3"/>
  <c r="S37" i="13" s="1"/>
  <c r="BC46" i="3"/>
  <c r="BD46" i="3"/>
  <c r="U37" i="13"/>
  <c r="CH46" i="3"/>
  <c r="CI46" i="3"/>
  <c r="CJ46" i="3"/>
  <c r="CK46" i="3"/>
  <c r="CL46" i="3"/>
  <c r="CN46" i="3"/>
  <c r="CP46" i="3"/>
  <c r="P47" i="3"/>
  <c r="AL47" i="3"/>
  <c r="J38" i="13" s="1"/>
  <c r="BB47" i="3"/>
  <c r="S38" i="13" s="1"/>
  <c r="BC47" i="3"/>
  <c r="BD47" i="3"/>
  <c r="T38" i="13"/>
  <c r="U38" i="13"/>
  <c r="CH47" i="3"/>
  <c r="CI47" i="3"/>
  <c r="CJ47" i="3"/>
  <c r="CK47" i="3"/>
  <c r="CL47" i="3"/>
  <c r="CN47" i="3"/>
  <c r="CP47" i="3"/>
  <c r="P48" i="3"/>
  <c r="AL48" i="3"/>
  <c r="J39" i="13" s="1"/>
  <c r="BB48" i="3"/>
  <c r="S39" i="13" s="1"/>
  <c r="BC48" i="3"/>
  <c r="BD48" i="3"/>
  <c r="U39" i="13"/>
  <c r="CH48" i="3"/>
  <c r="CI48" i="3"/>
  <c r="CJ48" i="3"/>
  <c r="CK48" i="3"/>
  <c r="CL48" i="3"/>
  <c r="CN48" i="3"/>
  <c r="CP48" i="3"/>
  <c r="P49" i="3"/>
  <c r="AL49" i="3"/>
  <c r="J40" i="13" s="1"/>
  <c r="BB49" i="3"/>
  <c r="BC49" i="3"/>
  <c r="BD49" i="3"/>
  <c r="T40" i="13"/>
  <c r="U40" i="13"/>
  <c r="CH49" i="3"/>
  <c r="CI49" i="3"/>
  <c r="CJ49" i="3"/>
  <c r="CK49" i="3"/>
  <c r="CL49" i="3"/>
  <c r="CN49" i="3"/>
  <c r="CP49" i="3"/>
  <c r="P50" i="3"/>
  <c r="AL50" i="3"/>
  <c r="J41" i="13" s="1"/>
  <c r="BB50" i="3"/>
  <c r="S41" i="13" s="1"/>
  <c r="BC50" i="3"/>
  <c r="BD50" i="3"/>
  <c r="T41" i="13"/>
  <c r="U41" i="13"/>
  <c r="CH50" i="3"/>
  <c r="CI50" i="3"/>
  <c r="CJ50" i="3"/>
  <c r="CK50" i="3"/>
  <c r="CL50" i="3"/>
  <c r="CN50" i="3"/>
  <c r="CP50" i="3"/>
  <c r="P51" i="3"/>
  <c r="R51" i="3" s="1"/>
  <c r="AL51" i="3"/>
  <c r="J42" i="13" s="1"/>
  <c r="BB51" i="3"/>
  <c r="S42" i="13" s="1"/>
  <c r="BC51" i="3"/>
  <c r="BD51" i="3"/>
  <c r="U42" i="13"/>
  <c r="CH51" i="3"/>
  <c r="CI51" i="3"/>
  <c r="CJ51" i="3"/>
  <c r="CK51" i="3"/>
  <c r="CL51" i="3"/>
  <c r="CN51" i="3"/>
  <c r="CP51" i="3"/>
  <c r="F43" i="13"/>
  <c r="P52" i="3"/>
  <c r="R52" i="3" s="1"/>
  <c r="AL52" i="3"/>
  <c r="J43" i="13" s="1"/>
  <c r="BB52" i="3"/>
  <c r="S43" i="13" s="1"/>
  <c r="BC52" i="3"/>
  <c r="BD52" i="3"/>
  <c r="T43" i="13"/>
  <c r="U43" i="13"/>
  <c r="CH52" i="3"/>
  <c r="CI52" i="3"/>
  <c r="CJ52" i="3"/>
  <c r="CK52" i="3"/>
  <c r="CL52" i="3"/>
  <c r="CN52" i="3"/>
  <c r="CP52" i="3"/>
  <c r="L53" i="3"/>
  <c r="P53" i="3"/>
  <c r="R53" i="3" s="1"/>
  <c r="AL53" i="3"/>
  <c r="J44" i="13" s="1"/>
  <c r="BB53" i="3"/>
  <c r="S44" i="13" s="1"/>
  <c r="BC53" i="3"/>
  <c r="BD53" i="3"/>
  <c r="U44" i="13"/>
  <c r="CH53" i="3"/>
  <c r="CI53" i="3"/>
  <c r="CJ53" i="3"/>
  <c r="CK53" i="3"/>
  <c r="CL53" i="3"/>
  <c r="CN53" i="3"/>
  <c r="CP53" i="3"/>
  <c r="P54" i="3"/>
  <c r="R54" i="3" s="1"/>
  <c r="AL54" i="3"/>
  <c r="J45" i="13" s="1"/>
  <c r="BB54" i="3"/>
  <c r="S45" i="13" s="1"/>
  <c r="BC54" i="3"/>
  <c r="BD54" i="3"/>
  <c r="T45" i="13"/>
  <c r="U45" i="13"/>
  <c r="CH54" i="3"/>
  <c r="CI54" i="3"/>
  <c r="CJ54" i="3"/>
  <c r="CK54" i="3"/>
  <c r="CL54" i="3"/>
  <c r="CN54" i="3"/>
  <c r="CP54" i="3"/>
  <c r="L55" i="3"/>
  <c r="P55" i="3"/>
  <c r="R55" i="3" s="1"/>
  <c r="AL55" i="3"/>
  <c r="J46" i="13" s="1"/>
  <c r="BB55" i="3"/>
  <c r="S46" i="13" s="1"/>
  <c r="BC55" i="3"/>
  <c r="BD55" i="3"/>
  <c r="T46" i="13"/>
  <c r="U46" i="13"/>
  <c r="CH55" i="3"/>
  <c r="CI55" i="3"/>
  <c r="CJ55" i="3"/>
  <c r="CK55" i="3"/>
  <c r="CL55" i="3"/>
  <c r="CN55" i="3"/>
  <c r="CP55" i="3"/>
  <c r="P56" i="3"/>
  <c r="R56" i="3" s="1"/>
  <c r="AL56" i="3"/>
  <c r="J47" i="13" s="1"/>
  <c r="BB56" i="3"/>
  <c r="S47" i="13" s="1"/>
  <c r="BC56" i="3"/>
  <c r="BD56" i="3"/>
  <c r="T47" i="13"/>
  <c r="U47" i="13"/>
  <c r="CH56" i="3"/>
  <c r="CI56" i="3"/>
  <c r="CJ56" i="3"/>
  <c r="CK56" i="3"/>
  <c r="CL56" i="3"/>
  <c r="CN56" i="3"/>
  <c r="CP56" i="3"/>
  <c r="P57" i="3"/>
  <c r="R57" i="3" s="1"/>
  <c r="AL57" i="3"/>
  <c r="J48" i="13" s="1"/>
  <c r="BB57" i="3"/>
  <c r="S48" i="13" s="1"/>
  <c r="BC57" i="3"/>
  <c r="BD57" i="3"/>
  <c r="U48" i="13"/>
  <c r="CH57" i="3"/>
  <c r="CI57" i="3"/>
  <c r="CJ57" i="3"/>
  <c r="CK57" i="3"/>
  <c r="CL57" i="3"/>
  <c r="CN57" i="3"/>
  <c r="CP57" i="3"/>
  <c r="L58" i="3"/>
  <c r="P58" i="3"/>
  <c r="R58" i="3" s="1"/>
  <c r="AL58" i="3"/>
  <c r="J49" i="13" s="1"/>
  <c r="BB58" i="3"/>
  <c r="S49" i="13" s="1"/>
  <c r="BC58" i="3"/>
  <c r="BD58" i="3"/>
  <c r="T49" i="13"/>
  <c r="U49" i="13"/>
  <c r="CH58" i="3"/>
  <c r="CI58" i="3"/>
  <c r="CJ58" i="3"/>
  <c r="CK58" i="3"/>
  <c r="CL58" i="3"/>
  <c r="CN58" i="3"/>
  <c r="CP58" i="3"/>
  <c r="L59" i="3"/>
  <c r="P59" i="3"/>
  <c r="R59" i="3" s="1"/>
  <c r="AL59" i="3"/>
  <c r="J50" i="13" s="1"/>
  <c r="BB59" i="3"/>
  <c r="S50" i="13" s="1"/>
  <c r="BC59" i="3"/>
  <c r="BD59" i="3"/>
  <c r="U50" i="13"/>
  <c r="CH59" i="3"/>
  <c r="CI59" i="3"/>
  <c r="CJ59" i="3"/>
  <c r="CK59" i="3"/>
  <c r="CL59" i="3"/>
  <c r="CN59" i="3"/>
  <c r="CP59" i="3"/>
  <c r="L60" i="3"/>
  <c r="P60" i="3"/>
  <c r="R60" i="3" s="1"/>
  <c r="AL60" i="3"/>
  <c r="J51" i="13" s="1"/>
  <c r="BB60" i="3"/>
  <c r="BC60" i="3"/>
  <c r="BD60" i="3"/>
  <c r="T51" i="13"/>
  <c r="U51" i="13"/>
  <c r="CH60" i="3"/>
  <c r="CI60" i="3"/>
  <c r="CJ60" i="3"/>
  <c r="CK60" i="3"/>
  <c r="CL60" i="3"/>
  <c r="CN60" i="3"/>
  <c r="CP60" i="3"/>
  <c r="L61" i="3"/>
  <c r="P61" i="3"/>
  <c r="R61" i="3" s="1"/>
  <c r="AL61" i="3"/>
  <c r="J52" i="13" s="1"/>
  <c r="BB61" i="3"/>
  <c r="S52" i="13" s="1"/>
  <c r="BC61" i="3"/>
  <c r="BD61" i="3"/>
  <c r="U52" i="13"/>
  <c r="CH61" i="3"/>
  <c r="CI61" i="3"/>
  <c r="CJ61" i="3"/>
  <c r="CK61" i="3"/>
  <c r="CL61" i="3"/>
  <c r="CN61" i="3"/>
  <c r="CP61" i="3"/>
  <c r="L62" i="3"/>
  <c r="P62" i="3"/>
  <c r="R62" i="3" s="1"/>
  <c r="AL62" i="3"/>
  <c r="J53" i="13" s="1"/>
  <c r="BB62" i="3"/>
  <c r="S53" i="13" s="1"/>
  <c r="BC62" i="3"/>
  <c r="BD62" i="3"/>
  <c r="T53" i="13"/>
  <c r="U53" i="13"/>
  <c r="CH62" i="3"/>
  <c r="CI62" i="3"/>
  <c r="CJ62" i="3"/>
  <c r="CK62" i="3"/>
  <c r="CL62" i="3"/>
  <c r="CN62" i="3"/>
  <c r="CP62" i="3"/>
  <c r="L63" i="3"/>
  <c r="P63" i="3"/>
  <c r="R63" i="3" s="1"/>
  <c r="AL63" i="3"/>
  <c r="J54" i="13" s="1"/>
  <c r="BB63" i="3"/>
  <c r="S54" i="13" s="1"/>
  <c r="BC63" i="3"/>
  <c r="BD63" i="3"/>
  <c r="T54" i="13"/>
  <c r="U54" i="13"/>
  <c r="CH63" i="3"/>
  <c r="CI63" i="3"/>
  <c r="CJ63" i="3"/>
  <c r="CK63" i="3"/>
  <c r="CL63" i="3"/>
  <c r="CN63" i="3"/>
  <c r="CP63" i="3"/>
  <c r="P64" i="3"/>
  <c r="R64" i="3" s="1"/>
  <c r="AL64" i="3"/>
  <c r="J55" i="13" s="1"/>
  <c r="BB64" i="3"/>
  <c r="S55" i="13" s="1"/>
  <c r="BC64" i="3"/>
  <c r="BD64" i="3"/>
  <c r="T55" i="13"/>
  <c r="U55" i="13"/>
  <c r="CH64" i="3"/>
  <c r="CI64" i="3"/>
  <c r="CJ64" i="3"/>
  <c r="CK64" i="3"/>
  <c r="CL64" i="3"/>
  <c r="CN64" i="3"/>
  <c r="CP64" i="3"/>
  <c r="L65" i="3"/>
  <c r="P65" i="3"/>
  <c r="R65" i="3" s="1"/>
  <c r="AL65" i="3"/>
  <c r="J56" i="13" s="1"/>
  <c r="BB65" i="3"/>
  <c r="S56" i="13" s="1"/>
  <c r="BC65" i="3"/>
  <c r="BD65" i="3"/>
  <c r="U56" i="13"/>
  <c r="CH65" i="3"/>
  <c r="CI65" i="3"/>
  <c r="CJ65" i="3"/>
  <c r="CK65" i="3"/>
  <c r="CL65" i="3"/>
  <c r="CN65" i="3"/>
  <c r="CP65" i="3"/>
  <c r="P66" i="3"/>
  <c r="R66" i="3" s="1"/>
  <c r="AL66" i="3"/>
  <c r="AM66" i="3" s="1"/>
  <c r="BB66" i="3"/>
  <c r="S57" i="13" s="1"/>
  <c r="BC66" i="3"/>
  <c r="BD66" i="3"/>
  <c r="T57" i="13"/>
  <c r="U57" i="13"/>
  <c r="CH66" i="3"/>
  <c r="CI66" i="3"/>
  <c r="CJ66" i="3"/>
  <c r="CK66" i="3"/>
  <c r="CL66" i="3"/>
  <c r="CN66" i="3"/>
  <c r="CP66" i="3"/>
  <c r="J110" i="11"/>
  <c r="P67" i="3"/>
  <c r="R67" i="3" s="1"/>
  <c r="AL67" i="3"/>
  <c r="J58" i="13" s="1"/>
  <c r="BB67" i="3"/>
  <c r="S58" i="13" s="1"/>
  <c r="BC67" i="3"/>
  <c r="BD67" i="3"/>
  <c r="T58" i="13"/>
  <c r="U58" i="13"/>
  <c r="CH67" i="3"/>
  <c r="CI67" i="3"/>
  <c r="CJ67" i="3"/>
  <c r="CK67" i="3"/>
  <c r="CL67" i="3"/>
  <c r="CN67" i="3"/>
  <c r="CP67" i="3"/>
  <c r="L68" i="3"/>
  <c r="P68" i="3"/>
  <c r="R68" i="3" s="1"/>
  <c r="AL68" i="3"/>
  <c r="J59" i="13" s="1"/>
  <c r="BB68" i="3"/>
  <c r="S59" i="13" s="1"/>
  <c r="BC68" i="3"/>
  <c r="BD68" i="3"/>
  <c r="T59" i="13"/>
  <c r="U59" i="13"/>
  <c r="CH68" i="3"/>
  <c r="CI68" i="3"/>
  <c r="CJ68" i="3"/>
  <c r="CK68" i="3"/>
  <c r="CL68" i="3"/>
  <c r="CN68" i="3"/>
  <c r="CP68" i="3"/>
  <c r="P69" i="3"/>
  <c r="R69" i="3" s="1"/>
  <c r="AL69" i="3"/>
  <c r="J60" i="13" s="1"/>
  <c r="BB69" i="3"/>
  <c r="S60" i="13" s="1"/>
  <c r="BC69" i="3"/>
  <c r="BD69" i="3"/>
  <c r="T60" i="13"/>
  <c r="U60" i="13"/>
  <c r="CH69" i="3"/>
  <c r="CI69" i="3"/>
  <c r="CJ69" i="3"/>
  <c r="CK69" i="3"/>
  <c r="CL69" i="3"/>
  <c r="CN69" i="3"/>
  <c r="CP69" i="3"/>
  <c r="L70" i="3"/>
  <c r="P70" i="3"/>
  <c r="R70" i="3" s="1"/>
  <c r="AL70" i="3"/>
  <c r="J61" i="13" s="1"/>
  <c r="BB70" i="3"/>
  <c r="S61" i="13" s="1"/>
  <c r="BC70" i="3"/>
  <c r="BD70" i="3"/>
  <c r="T61" i="13"/>
  <c r="U61" i="13"/>
  <c r="CH70" i="3"/>
  <c r="CI70" i="3"/>
  <c r="CJ70" i="3"/>
  <c r="CK70" i="3"/>
  <c r="CL70" i="3"/>
  <c r="CN70" i="3"/>
  <c r="CP70" i="3"/>
  <c r="L71" i="3"/>
  <c r="P71" i="3"/>
  <c r="R71" i="3" s="1"/>
  <c r="AL71" i="3"/>
  <c r="J62" i="13" s="1"/>
  <c r="BB71" i="3"/>
  <c r="S62" i="13" s="1"/>
  <c r="BC71" i="3"/>
  <c r="BD71" i="3"/>
  <c r="T62" i="13"/>
  <c r="U62" i="13"/>
  <c r="CH71" i="3"/>
  <c r="CI71" i="3"/>
  <c r="CJ71" i="3"/>
  <c r="CK71" i="3"/>
  <c r="CL71" i="3"/>
  <c r="CN71" i="3"/>
  <c r="CP71" i="3"/>
  <c r="L72" i="3"/>
  <c r="P72" i="3"/>
  <c r="R72" i="3" s="1"/>
  <c r="AL72" i="3"/>
  <c r="BB72" i="3"/>
  <c r="S63" i="13" s="1"/>
  <c r="BC72" i="3"/>
  <c r="BD72" i="3"/>
  <c r="T63" i="13"/>
  <c r="U63" i="13"/>
  <c r="CH72" i="3"/>
  <c r="CI72" i="3"/>
  <c r="CJ72" i="3"/>
  <c r="CK72" i="3"/>
  <c r="CL72" i="3"/>
  <c r="CN72" i="3"/>
  <c r="CP72" i="3"/>
  <c r="P73" i="3"/>
  <c r="R73" i="3" s="1"/>
  <c r="AL73" i="3"/>
  <c r="BB73" i="3"/>
  <c r="S64" i="13" s="1"/>
  <c r="BC73" i="3"/>
  <c r="BD73" i="3"/>
  <c r="T64" i="13"/>
  <c r="U64" i="13"/>
  <c r="CH73" i="3"/>
  <c r="CI73" i="3"/>
  <c r="CJ73" i="3"/>
  <c r="CK73" i="3"/>
  <c r="CL73" i="3"/>
  <c r="CN73" i="3"/>
  <c r="CP73" i="3"/>
  <c r="L74" i="3"/>
  <c r="P74" i="3"/>
  <c r="R74" i="3" s="1"/>
  <c r="AL74" i="3"/>
  <c r="J65" i="13" s="1"/>
  <c r="BB74" i="3"/>
  <c r="S65" i="13" s="1"/>
  <c r="BC74" i="3"/>
  <c r="BD74" i="3"/>
  <c r="T65" i="13"/>
  <c r="U65" i="13"/>
  <c r="CH74" i="3"/>
  <c r="CI74" i="3"/>
  <c r="CJ74" i="3"/>
  <c r="CK74" i="3"/>
  <c r="CL74" i="3"/>
  <c r="CN74" i="3"/>
  <c r="CP74" i="3"/>
  <c r="P75" i="3"/>
  <c r="R75" i="3" s="1"/>
  <c r="AL75" i="3"/>
  <c r="J66" i="13" s="1"/>
  <c r="BB75" i="3"/>
  <c r="S66" i="13" s="1"/>
  <c r="BC75" i="3"/>
  <c r="BD75" i="3"/>
  <c r="U66" i="13"/>
  <c r="CH75" i="3"/>
  <c r="CI75" i="3"/>
  <c r="CJ75" i="3"/>
  <c r="CK75" i="3"/>
  <c r="CL75" i="3"/>
  <c r="CN75" i="3"/>
  <c r="CP75" i="3"/>
  <c r="P76" i="3"/>
  <c r="R76" i="3" s="1"/>
  <c r="AL76" i="3"/>
  <c r="J67" i="13" s="1"/>
  <c r="BB76" i="3"/>
  <c r="S67" i="13" s="1"/>
  <c r="BC76" i="3"/>
  <c r="BD76" i="3"/>
  <c r="T67" i="13"/>
  <c r="U67" i="13"/>
  <c r="CH76" i="3"/>
  <c r="CI76" i="3"/>
  <c r="CJ76" i="3"/>
  <c r="CK76" i="3"/>
  <c r="CL76" i="3"/>
  <c r="CN76" i="3"/>
  <c r="CP76" i="3"/>
  <c r="L77" i="3"/>
  <c r="P77" i="3"/>
  <c r="R77" i="3" s="1"/>
  <c r="AL77" i="3"/>
  <c r="J68" i="13" s="1"/>
  <c r="BB77" i="3"/>
  <c r="BC77" i="3"/>
  <c r="BD77" i="3"/>
  <c r="T68" i="13"/>
  <c r="U68" i="13"/>
  <c r="CH77" i="3"/>
  <c r="CI77" i="3"/>
  <c r="CJ77" i="3"/>
  <c r="CK77" i="3"/>
  <c r="CL77" i="3"/>
  <c r="CN77" i="3"/>
  <c r="CP77" i="3"/>
  <c r="P78" i="3"/>
  <c r="R78" i="3" s="1"/>
  <c r="AL78" i="3"/>
  <c r="J69" i="13" s="1"/>
  <c r="BB78" i="3"/>
  <c r="S69" i="13" s="1"/>
  <c r="BC78" i="3"/>
  <c r="BD78" i="3"/>
  <c r="T69" i="13"/>
  <c r="U69" i="13"/>
  <c r="CH78" i="3"/>
  <c r="CI78" i="3"/>
  <c r="CJ78" i="3"/>
  <c r="CK78" i="3"/>
  <c r="CL78" i="3"/>
  <c r="CN78" i="3"/>
  <c r="CP78" i="3"/>
  <c r="P79" i="3"/>
  <c r="R79" i="3" s="1"/>
  <c r="AL79" i="3"/>
  <c r="J70" i="13" s="1"/>
  <c r="BB79" i="3"/>
  <c r="S70" i="13" s="1"/>
  <c r="BC79" i="3"/>
  <c r="BD79" i="3"/>
  <c r="U70" i="13"/>
  <c r="CH79" i="3"/>
  <c r="CI79" i="3"/>
  <c r="CJ79" i="3"/>
  <c r="CK79" i="3"/>
  <c r="CL79" i="3"/>
  <c r="CN79" i="3"/>
  <c r="CP79" i="3"/>
  <c r="AL80" i="3"/>
  <c r="J71" i="13" s="1"/>
  <c r="P80" i="3"/>
  <c r="R80" i="3" s="1"/>
  <c r="BB80" i="3"/>
  <c r="S71" i="13" s="1"/>
  <c r="BC80" i="3"/>
  <c r="BD80" i="3"/>
  <c r="T71" i="13"/>
  <c r="U71" i="13"/>
  <c r="CH80" i="3"/>
  <c r="CI80" i="3"/>
  <c r="CJ80" i="3"/>
  <c r="CK80" i="3"/>
  <c r="CL80" i="3"/>
  <c r="CN80" i="3"/>
  <c r="CP80" i="3"/>
  <c r="P81" i="3"/>
  <c r="AL81" i="3"/>
  <c r="J72" i="13" s="1"/>
  <c r="BB81" i="3"/>
  <c r="S72" i="13" s="1"/>
  <c r="BC81" i="3"/>
  <c r="BD81" i="3"/>
  <c r="T72" i="13"/>
  <c r="U72" i="13"/>
  <c r="CH81" i="3"/>
  <c r="CI81" i="3"/>
  <c r="CJ81" i="3"/>
  <c r="CK81" i="3"/>
  <c r="CL81" i="3"/>
  <c r="CN81" i="3"/>
  <c r="CP81" i="3"/>
  <c r="J125" i="11"/>
  <c r="P82" i="3"/>
  <c r="R82" i="3" s="1"/>
  <c r="AL82" i="3"/>
  <c r="J73" i="13" s="1"/>
  <c r="BB82" i="3"/>
  <c r="S73" i="13" s="1"/>
  <c r="BC82" i="3"/>
  <c r="BD82" i="3"/>
  <c r="T73" i="13"/>
  <c r="U73" i="13"/>
  <c r="CH82" i="3"/>
  <c r="CI82" i="3"/>
  <c r="CJ82" i="3"/>
  <c r="CK82" i="3"/>
  <c r="CL82" i="3"/>
  <c r="CN82" i="3"/>
  <c r="CP82" i="3"/>
  <c r="L83" i="3"/>
  <c r="P83" i="3"/>
  <c r="R83" i="3" s="1"/>
  <c r="AL83" i="3"/>
  <c r="J74" i="13" s="1"/>
  <c r="BB83" i="3"/>
  <c r="S74" i="13" s="1"/>
  <c r="BC83" i="3"/>
  <c r="BD83" i="3"/>
  <c r="T74" i="13"/>
  <c r="U74" i="13"/>
  <c r="CH83" i="3"/>
  <c r="CI83" i="3"/>
  <c r="CJ83" i="3"/>
  <c r="CK83" i="3"/>
  <c r="CL83" i="3"/>
  <c r="CN83" i="3"/>
  <c r="CP83" i="3"/>
  <c r="J127" i="11"/>
  <c r="P84" i="3"/>
  <c r="R84" i="3" s="1"/>
  <c r="AL84" i="3"/>
  <c r="J75" i="13" s="1"/>
  <c r="BB84" i="3"/>
  <c r="S75" i="13" s="1"/>
  <c r="BC84" i="3"/>
  <c r="BD84" i="3"/>
  <c r="T75" i="13"/>
  <c r="U75" i="13"/>
  <c r="CH84" i="3"/>
  <c r="CI84" i="3"/>
  <c r="CJ84" i="3"/>
  <c r="CK84" i="3"/>
  <c r="CL84" i="3"/>
  <c r="CN84" i="3"/>
  <c r="CP84" i="3"/>
  <c r="P85" i="3"/>
  <c r="R85" i="3" s="1"/>
  <c r="AL85" i="3"/>
  <c r="J76" i="13" s="1"/>
  <c r="BB85" i="3"/>
  <c r="S76" i="13" s="1"/>
  <c r="BC85" i="3"/>
  <c r="BD85" i="3"/>
  <c r="T76" i="13"/>
  <c r="U76" i="13"/>
  <c r="CH85" i="3"/>
  <c r="CI85" i="3"/>
  <c r="CJ85" i="3"/>
  <c r="CK85" i="3"/>
  <c r="CL85" i="3"/>
  <c r="CN85" i="3"/>
  <c r="CP85" i="3"/>
  <c r="J129" i="11"/>
  <c r="P86" i="3"/>
  <c r="R86" i="3" s="1"/>
  <c r="AL86" i="3"/>
  <c r="J77" i="13" s="1"/>
  <c r="BB86" i="3"/>
  <c r="S77" i="13" s="1"/>
  <c r="BC86" i="3"/>
  <c r="BD86" i="3"/>
  <c r="T77" i="13"/>
  <c r="U77" i="13"/>
  <c r="CH86" i="3"/>
  <c r="CI86" i="3"/>
  <c r="CJ86" i="3"/>
  <c r="CK86" i="3"/>
  <c r="CL86" i="3"/>
  <c r="CN86" i="3"/>
  <c r="CP86" i="3"/>
  <c r="J130" i="11"/>
  <c r="P87" i="3"/>
  <c r="R87" i="3" s="1"/>
  <c r="AL87" i="3"/>
  <c r="J78" i="13" s="1"/>
  <c r="BB87" i="3"/>
  <c r="S78" i="13" s="1"/>
  <c r="BC87" i="3"/>
  <c r="BD87" i="3"/>
  <c r="T78" i="13"/>
  <c r="U78" i="13"/>
  <c r="CH87" i="3"/>
  <c r="CI87" i="3"/>
  <c r="CJ87" i="3"/>
  <c r="CK87" i="3"/>
  <c r="CL87" i="3"/>
  <c r="CN87" i="3"/>
  <c r="CP87" i="3"/>
  <c r="J131" i="11"/>
  <c r="P88" i="3"/>
  <c r="R88" i="3" s="1"/>
  <c r="AL88" i="3"/>
  <c r="J79" i="13" s="1"/>
  <c r="BB88" i="3"/>
  <c r="S79" i="13" s="1"/>
  <c r="BC88" i="3"/>
  <c r="BD88" i="3"/>
  <c r="T79" i="13"/>
  <c r="U79" i="13"/>
  <c r="CH88" i="3"/>
  <c r="CI88" i="3"/>
  <c r="CJ88" i="3"/>
  <c r="CK88" i="3"/>
  <c r="CL88" i="3"/>
  <c r="CN88" i="3"/>
  <c r="CP88" i="3"/>
  <c r="J132" i="11"/>
  <c r="P89" i="3"/>
  <c r="R89" i="3" s="1"/>
  <c r="AL89" i="3"/>
  <c r="J80" i="13" s="1"/>
  <c r="BB89" i="3"/>
  <c r="S80" i="13" s="1"/>
  <c r="BC89" i="3"/>
  <c r="BD89" i="3"/>
  <c r="T80" i="13"/>
  <c r="U80" i="13"/>
  <c r="CH89" i="3"/>
  <c r="CI89" i="3"/>
  <c r="CJ89" i="3"/>
  <c r="CK89" i="3"/>
  <c r="CL89" i="3"/>
  <c r="CN89" i="3"/>
  <c r="CP89" i="3"/>
  <c r="J133" i="11"/>
  <c r="P90" i="3"/>
  <c r="R90" i="3" s="1"/>
  <c r="AL90" i="3"/>
  <c r="J81" i="13" s="1"/>
  <c r="BB90" i="3"/>
  <c r="S81" i="13" s="1"/>
  <c r="BC90" i="3"/>
  <c r="BD90" i="3"/>
  <c r="T81" i="13"/>
  <c r="U81" i="13"/>
  <c r="CH90" i="3"/>
  <c r="CI90" i="3"/>
  <c r="CJ90" i="3"/>
  <c r="CK90" i="3"/>
  <c r="CL90" i="3"/>
  <c r="CN90" i="3"/>
  <c r="CP90" i="3"/>
  <c r="P91" i="3"/>
  <c r="R91" i="3" s="1"/>
  <c r="AL91" i="3"/>
  <c r="J82" i="13" s="1"/>
  <c r="BB91" i="3"/>
  <c r="S82" i="13" s="1"/>
  <c r="BC91" i="3"/>
  <c r="BD91" i="3"/>
  <c r="T82" i="13"/>
  <c r="U82" i="13"/>
  <c r="CH91" i="3"/>
  <c r="CI91" i="3"/>
  <c r="CJ91" i="3"/>
  <c r="CK91" i="3"/>
  <c r="CL91" i="3"/>
  <c r="CN91" i="3"/>
  <c r="CP91" i="3"/>
  <c r="J138" i="11"/>
  <c r="P92" i="3"/>
  <c r="R92" i="3" s="1"/>
  <c r="AL92" i="3"/>
  <c r="J83" i="13" s="1"/>
  <c r="BB92" i="3"/>
  <c r="S83" i="13" s="1"/>
  <c r="BC92" i="3"/>
  <c r="BD92" i="3"/>
  <c r="T83" i="13"/>
  <c r="U83" i="13"/>
  <c r="CH92" i="3"/>
  <c r="CI92" i="3"/>
  <c r="CJ92" i="3"/>
  <c r="CK92" i="3"/>
  <c r="CL92" i="3"/>
  <c r="CN92" i="3"/>
  <c r="CP92" i="3"/>
  <c r="P93" i="3"/>
  <c r="R93" i="3" s="1"/>
  <c r="AL93" i="3"/>
  <c r="J84" i="13" s="1"/>
  <c r="BB93" i="3"/>
  <c r="S84" i="13" s="1"/>
  <c r="BC93" i="3"/>
  <c r="BD93" i="3"/>
  <c r="T84" i="13"/>
  <c r="U84" i="13"/>
  <c r="CH93" i="3"/>
  <c r="CI93" i="3"/>
  <c r="CJ93" i="3"/>
  <c r="CK93" i="3"/>
  <c r="CL93" i="3"/>
  <c r="CN93" i="3"/>
  <c r="CP93" i="3"/>
  <c r="L94" i="3"/>
  <c r="P94" i="3"/>
  <c r="R94" i="3" s="1"/>
  <c r="AL94" i="3"/>
  <c r="J85" i="13" s="1"/>
  <c r="BB94" i="3"/>
  <c r="S85" i="13" s="1"/>
  <c r="BC94" i="3"/>
  <c r="BD94" i="3"/>
  <c r="T85" i="13"/>
  <c r="U85" i="13"/>
  <c r="CH94" i="3"/>
  <c r="CI94" i="3"/>
  <c r="CJ94" i="3"/>
  <c r="CK94" i="3"/>
  <c r="CL94" i="3"/>
  <c r="CN94" i="3"/>
  <c r="CP94" i="3"/>
  <c r="L95" i="3"/>
  <c r="P95" i="3"/>
  <c r="R95" i="3" s="1"/>
  <c r="AL95" i="3"/>
  <c r="J86" i="13" s="1"/>
  <c r="BB95" i="3"/>
  <c r="S86" i="13" s="1"/>
  <c r="BC95" i="3"/>
  <c r="BD95" i="3"/>
  <c r="T86" i="13"/>
  <c r="U86" i="13"/>
  <c r="CH95" i="3"/>
  <c r="CI95" i="3"/>
  <c r="CJ95" i="3"/>
  <c r="CK95" i="3"/>
  <c r="CL95" i="3"/>
  <c r="CN95" i="3"/>
  <c r="CP95" i="3"/>
  <c r="L96" i="3"/>
  <c r="P96" i="3"/>
  <c r="R96" i="3" s="1"/>
  <c r="AL96" i="3"/>
  <c r="J87" i="13" s="1"/>
  <c r="BB96" i="3"/>
  <c r="S87" i="13" s="1"/>
  <c r="BC96" i="3"/>
  <c r="BD96" i="3"/>
  <c r="T87" i="13"/>
  <c r="U87" i="13"/>
  <c r="CH96" i="3"/>
  <c r="CI96" i="3"/>
  <c r="CJ96" i="3"/>
  <c r="CK96" i="3"/>
  <c r="CL96" i="3"/>
  <c r="CN96" i="3"/>
  <c r="CP96" i="3"/>
  <c r="P97" i="3"/>
  <c r="R97" i="3" s="1"/>
  <c r="AL97" i="3"/>
  <c r="J88" i="13" s="1"/>
  <c r="BB97" i="3"/>
  <c r="S88" i="13" s="1"/>
  <c r="BC97" i="3"/>
  <c r="BD97" i="3"/>
  <c r="T88" i="13"/>
  <c r="U88" i="13"/>
  <c r="CH97" i="3"/>
  <c r="CI97" i="3"/>
  <c r="CJ97" i="3"/>
  <c r="CK97" i="3"/>
  <c r="CL97" i="3"/>
  <c r="CN97" i="3"/>
  <c r="CP97" i="3"/>
  <c r="P98" i="3"/>
  <c r="R98" i="3" s="1"/>
  <c r="AL98" i="3"/>
  <c r="J89" i="13" s="1"/>
  <c r="BB98" i="3"/>
  <c r="S89" i="13" s="1"/>
  <c r="BC98" i="3"/>
  <c r="BD98" i="3"/>
  <c r="T89" i="13"/>
  <c r="U89" i="13"/>
  <c r="CH98" i="3"/>
  <c r="CI98" i="3"/>
  <c r="CJ98" i="3"/>
  <c r="CK98" i="3"/>
  <c r="CL98" i="3"/>
  <c r="CN98" i="3"/>
  <c r="CP98" i="3"/>
  <c r="P99" i="3"/>
  <c r="R99" i="3" s="1"/>
  <c r="AL99" i="3"/>
  <c r="J90" i="13" s="1"/>
  <c r="BB99" i="3"/>
  <c r="S90" i="13" s="1"/>
  <c r="BC99" i="3"/>
  <c r="BD99" i="3"/>
  <c r="T90" i="13"/>
  <c r="U90" i="13"/>
  <c r="CH99" i="3"/>
  <c r="CI99" i="3"/>
  <c r="CJ99" i="3"/>
  <c r="CK99" i="3"/>
  <c r="CL99" i="3"/>
  <c r="CN99" i="3"/>
  <c r="CP99" i="3"/>
  <c r="L100" i="3"/>
  <c r="P100" i="3"/>
  <c r="R100" i="3" s="1"/>
  <c r="AL100" i="3"/>
  <c r="J91" i="13" s="1"/>
  <c r="BB100" i="3"/>
  <c r="S91" i="13" s="1"/>
  <c r="BC100" i="3"/>
  <c r="BD100" i="3"/>
  <c r="T91" i="13"/>
  <c r="U91" i="13"/>
  <c r="CH100" i="3"/>
  <c r="CI100" i="3"/>
  <c r="CJ100" i="3"/>
  <c r="CK100" i="3"/>
  <c r="CL100" i="3"/>
  <c r="CN100" i="3"/>
  <c r="CP100" i="3"/>
  <c r="L101" i="3"/>
  <c r="P101" i="3"/>
  <c r="R101" i="3" s="1"/>
  <c r="AL101" i="3"/>
  <c r="J92" i="13" s="1"/>
  <c r="BB101" i="3"/>
  <c r="S92" i="13" s="1"/>
  <c r="BC101" i="3"/>
  <c r="BD101" i="3"/>
  <c r="T92" i="13"/>
  <c r="U92" i="13"/>
  <c r="CH101" i="3"/>
  <c r="CI101" i="3"/>
  <c r="CJ101" i="3"/>
  <c r="CK101" i="3"/>
  <c r="CL101" i="3"/>
  <c r="CN101" i="3"/>
  <c r="CP101" i="3"/>
  <c r="L102" i="3"/>
  <c r="P102" i="3"/>
  <c r="R102" i="3" s="1"/>
  <c r="AL102" i="3"/>
  <c r="J93" i="13" s="1"/>
  <c r="BB102" i="3"/>
  <c r="S93" i="13" s="1"/>
  <c r="BC102" i="3"/>
  <c r="BD102" i="3"/>
  <c r="T93" i="13"/>
  <c r="U93" i="13"/>
  <c r="CH102" i="3"/>
  <c r="CI102" i="3"/>
  <c r="CJ102" i="3"/>
  <c r="CK102" i="3"/>
  <c r="CL102" i="3"/>
  <c r="CN102" i="3"/>
  <c r="CP102" i="3"/>
  <c r="L103" i="3"/>
  <c r="P103" i="3"/>
  <c r="R103" i="3" s="1"/>
  <c r="AL103" i="3"/>
  <c r="J94" i="13" s="1"/>
  <c r="BB103" i="3"/>
  <c r="S94" i="13" s="1"/>
  <c r="BC103" i="3"/>
  <c r="BD103" i="3"/>
  <c r="T94" i="13"/>
  <c r="U94" i="13"/>
  <c r="CH103" i="3"/>
  <c r="CI103" i="3"/>
  <c r="CJ103" i="3"/>
  <c r="CK103" i="3"/>
  <c r="CL103" i="3"/>
  <c r="CN103" i="3"/>
  <c r="CP103" i="3"/>
  <c r="L104" i="3"/>
  <c r="P104" i="3"/>
  <c r="R104" i="3" s="1"/>
  <c r="AL104" i="3"/>
  <c r="J95" i="13" s="1"/>
  <c r="BB104" i="3"/>
  <c r="S95" i="13" s="1"/>
  <c r="BC104" i="3"/>
  <c r="BD104" i="3"/>
  <c r="T95" i="13"/>
  <c r="U95" i="13"/>
  <c r="CH104" i="3"/>
  <c r="CI104" i="3"/>
  <c r="CJ104" i="3"/>
  <c r="CK104" i="3"/>
  <c r="CL104" i="3"/>
  <c r="CN104" i="3"/>
  <c r="CP104" i="3"/>
  <c r="L105" i="3"/>
  <c r="P105" i="3"/>
  <c r="R105" i="3" s="1"/>
  <c r="AL105" i="3"/>
  <c r="J96" i="13" s="1"/>
  <c r="BB105" i="3"/>
  <c r="S96" i="13" s="1"/>
  <c r="BC105" i="3"/>
  <c r="BD105" i="3"/>
  <c r="T96" i="13"/>
  <c r="U96" i="13"/>
  <c r="CH105" i="3"/>
  <c r="CI105" i="3"/>
  <c r="CJ105" i="3"/>
  <c r="CK105" i="3"/>
  <c r="CL105" i="3"/>
  <c r="CN105" i="3"/>
  <c r="CP105" i="3"/>
  <c r="P106" i="3"/>
  <c r="R106" i="3" s="1"/>
  <c r="AL106" i="3"/>
  <c r="J97" i="13" s="1"/>
  <c r="BB106" i="3"/>
  <c r="S97" i="13" s="1"/>
  <c r="BC106" i="3"/>
  <c r="BD106" i="3"/>
  <c r="T97" i="13"/>
  <c r="U97" i="13"/>
  <c r="CH106" i="3"/>
  <c r="CI106" i="3"/>
  <c r="CJ106" i="3"/>
  <c r="CK106" i="3"/>
  <c r="CL106" i="3"/>
  <c r="CN106" i="3"/>
  <c r="CP106" i="3"/>
  <c r="L107" i="3"/>
  <c r="P107" i="3"/>
  <c r="R107" i="3" s="1"/>
  <c r="AL107" i="3"/>
  <c r="J98" i="13" s="1"/>
  <c r="BB107" i="3"/>
  <c r="S98" i="13" s="1"/>
  <c r="BC107" i="3"/>
  <c r="BD107" i="3"/>
  <c r="T98" i="13"/>
  <c r="U98" i="13"/>
  <c r="CH107" i="3"/>
  <c r="CI107" i="3"/>
  <c r="CJ107" i="3"/>
  <c r="CK107" i="3"/>
  <c r="CL107" i="3"/>
  <c r="CN107" i="3"/>
  <c r="CP107" i="3"/>
  <c r="L108" i="3"/>
  <c r="P108" i="3"/>
  <c r="R108" i="3" s="1"/>
  <c r="AL108" i="3"/>
  <c r="J99" i="13" s="1"/>
  <c r="BB108" i="3"/>
  <c r="S99" i="13" s="1"/>
  <c r="BC108" i="3"/>
  <c r="BD108" i="3"/>
  <c r="T99" i="13"/>
  <c r="U99" i="13"/>
  <c r="CH108" i="3"/>
  <c r="CI108" i="3"/>
  <c r="CJ108" i="3"/>
  <c r="CK108" i="3"/>
  <c r="CL108" i="3"/>
  <c r="CN108" i="3"/>
  <c r="CP108" i="3"/>
  <c r="J155" i="11"/>
  <c r="P109" i="3"/>
  <c r="R109" i="3" s="1"/>
  <c r="AL109" i="3"/>
  <c r="J100" i="13" s="1"/>
  <c r="BB109" i="3"/>
  <c r="S100" i="13" s="1"/>
  <c r="BC109" i="3"/>
  <c r="BD109" i="3"/>
  <c r="T100" i="13"/>
  <c r="U100" i="13"/>
  <c r="CH109" i="3"/>
  <c r="CI109" i="3"/>
  <c r="CJ109" i="3"/>
  <c r="CK109" i="3"/>
  <c r="CL109" i="3"/>
  <c r="CN109" i="3"/>
  <c r="CP109" i="3"/>
  <c r="J156" i="11"/>
  <c r="P110" i="3"/>
  <c r="R110" i="3" s="1"/>
  <c r="AL110" i="3"/>
  <c r="J101" i="13" s="1"/>
  <c r="BB110" i="3"/>
  <c r="S101" i="13" s="1"/>
  <c r="BC110" i="3"/>
  <c r="BD110" i="3"/>
  <c r="T101" i="13"/>
  <c r="U101" i="13"/>
  <c r="CH110" i="3"/>
  <c r="CI110" i="3"/>
  <c r="CJ110" i="3"/>
  <c r="CK110" i="3"/>
  <c r="CL110" i="3"/>
  <c r="CN110" i="3"/>
  <c r="CP110" i="3"/>
  <c r="L111" i="3"/>
  <c r="P111" i="3"/>
  <c r="R111" i="3" s="1"/>
  <c r="AL111" i="3"/>
  <c r="J102" i="13" s="1"/>
  <c r="BB111" i="3"/>
  <c r="S102" i="13" s="1"/>
  <c r="BC111" i="3"/>
  <c r="BD111" i="3"/>
  <c r="T102" i="13"/>
  <c r="U102" i="13"/>
  <c r="CH111" i="3"/>
  <c r="CI111" i="3"/>
  <c r="CJ111" i="3"/>
  <c r="CK111" i="3"/>
  <c r="CL111" i="3"/>
  <c r="CN111" i="3"/>
  <c r="CP111" i="3"/>
  <c r="L112" i="3"/>
  <c r="P112" i="3"/>
  <c r="R112" i="3" s="1"/>
  <c r="AL112" i="3"/>
  <c r="J103" i="13" s="1"/>
  <c r="BB112" i="3"/>
  <c r="S103" i="13" s="1"/>
  <c r="BC112" i="3"/>
  <c r="BD112" i="3"/>
  <c r="T103" i="13"/>
  <c r="U103" i="13"/>
  <c r="CH112" i="3"/>
  <c r="CI112" i="3"/>
  <c r="CJ112" i="3"/>
  <c r="CK112" i="3"/>
  <c r="CL112" i="3"/>
  <c r="CN112" i="3"/>
  <c r="CP112" i="3"/>
  <c r="L113" i="3"/>
  <c r="P113" i="3"/>
  <c r="R113" i="3" s="1"/>
  <c r="AL113" i="3"/>
  <c r="J104" i="13" s="1"/>
  <c r="BB113" i="3"/>
  <c r="S104" i="13" s="1"/>
  <c r="BC113" i="3"/>
  <c r="BD113" i="3"/>
  <c r="T104" i="13"/>
  <c r="U104" i="13"/>
  <c r="CH113" i="3"/>
  <c r="CI113" i="3"/>
  <c r="CJ113" i="3"/>
  <c r="CK113" i="3"/>
  <c r="CL113" i="3"/>
  <c r="CN113" i="3"/>
  <c r="CP113" i="3"/>
  <c r="P114" i="3"/>
  <c r="R114" i="3" s="1"/>
  <c r="AL114" i="3"/>
  <c r="J105" i="13" s="1"/>
  <c r="BB114" i="3"/>
  <c r="S105" i="13" s="1"/>
  <c r="BC114" i="3"/>
  <c r="BD114" i="3"/>
  <c r="T105" i="13"/>
  <c r="U105" i="13"/>
  <c r="CH114" i="3"/>
  <c r="CI114" i="3"/>
  <c r="CJ114" i="3"/>
  <c r="CK114" i="3"/>
  <c r="CL114" i="3"/>
  <c r="CN114" i="3"/>
  <c r="CP114" i="3"/>
  <c r="J161" i="11"/>
  <c r="P115" i="3"/>
  <c r="R115" i="3" s="1"/>
  <c r="AL115" i="3"/>
  <c r="J106" i="13" s="1"/>
  <c r="BB115" i="3"/>
  <c r="S106" i="13" s="1"/>
  <c r="BC115" i="3"/>
  <c r="BD115" i="3"/>
  <c r="T106" i="13"/>
  <c r="U106" i="13"/>
  <c r="CH115" i="3"/>
  <c r="CI115" i="3"/>
  <c r="CJ115" i="3"/>
  <c r="CK115" i="3"/>
  <c r="CL115" i="3"/>
  <c r="CN115" i="3"/>
  <c r="CP115" i="3"/>
  <c r="J162" i="11"/>
  <c r="P116" i="3"/>
  <c r="R116" i="3" s="1"/>
  <c r="AL116" i="3"/>
  <c r="J107" i="13" s="1"/>
  <c r="BB116" i="3"/>
  <c r="S107" i="13" s="1"/>
  <c r="BC116" i="3"/>
  <c r="BD116" i="3"/>
  <c r="T107" i="13"/>
  <c r="U107" i="13"/>
  <c r="CH116" i="3"/>
  <c r="CI116" i="3"/>
  <c r="CJ116" i="3"/>
  <c r="CK116" i="3"/>
  <c r="CL116" i="3"/>
  <c r="CN116" i="3"/>
  <c r="CP116" i="3"/>
  <c r="J163" i="11"/>
  <c r="P117" i="3"/>
  <c r="R117" i="3" s="1"/>
  <c r="AL117" i="3"/>
  <c r="J108" i="13" s="1"/>
  <c r="BB117" i="3"/>
  <c r="S108" i="13" s="1"/>
  <c r="BC117" i="3"/>
  <c r="BD117" i="3"/>
  <c r="T108" i="13"/>
  <c r="U108" i="13"/>
  <c r="CH117" i="3"/>
  <c r="CI117" i="3"/>
  <c r="CJ117" i="3"/>
  <c r="CK117" i="3"/>
  <c r="CL117" i="3"/>
  <c r="CN117" i="3"/>
  <c r="CP117" i="3"/>
  <c r="J164" i="11"/>
  <c r="P118" i="3"/>
  <c r="R118" i="3" s="1"/>
  <c r="AL118" i="3"/>
  <c r="J109" i="13" s="1"/>
  <c r="BB118" i="3"/>
  <c r="S109" i="13" s="1"/>
  <c r="BC118" i="3"/>
  <c r="BD118" i="3"/>
  <c r="T109" i="13"/>
  <c r="U109" i="13"/>
  <c r="CH118" i="3"/>
  <c r="CI118" i="3"/>
  <c r="CJ118" i="3"/>
  <c r="CK118" i="3"/>
  <c r="CL118" i="3"/>
  <c r="CN118" i="3"/>
  <c r="CP118" i="3"/>
  <c r="J165" i="11"/>
  <c r="P119" i="3"/>
  <c r="R119" i="3" s="1"/>
  <c r="AL119" i="3"/>
  <c r="J110" i="13" s="1"/>
  <c r="BB119" i="3"/>
  <c r="S110" i="13" s="1"/>
  <c r="BC119" i="3"/>
  <c r="BD119" i="3"/>
  <c r="T110" i="13"/>
  <c r="U110" i="13"/>
  <c r="CH119" i="3"/>
  <c r="CI119" i="3"/>
  <c r="CJ119" i="3"/>
  <c r="CK119" i="3"/>
  <c r="CL119" i="3"/>
  <c r="CN119" i="3"/>
  <c r="CP119" i="3"/>
  <c r="J166" i="11"/>
  <c r="P120" i="3"/>
  <c r="R120" i="3" s="1"/>
  <c r="AL120" i="3"/>
  <c r="J111" i="13" s="1"/>
  <c r="BB120" i="3"/>
  <c r="S111" i="13" s="1"/>
  <c r="BC120" i="3"/>
  <c r="BD120" i="3"/>
  <c r="T111" i="13"/>
  <c r="U111" i="13"/>
  <c r="CH120" i="3"/>
  <c r="CI120" i="3"/>
  <c r="CJ120" i="3"/>
  <c r="CK120" i="3"/>
  <c r="CL120" i="3"/>
  <c r="CN120" i="3"/>
  <c r="CP120" i="3"/>
  <c r="J167" i="11"/>
  <c r="P121" i="3"/>
  <c r="R121" i="3" s="1"/>
  <c r="AL121" i="3"/>
  <c r="AM121" i="3" s="1"/>
  <c r="BB121" i="3"/>
  <c r="S112" i="13" s="1"/>
  <c r="BC121" i="3"/>
  <c r="BD121" i="3"/>
  <c r="T112" i="13"/>
  <c r="U112" i="13"/>
  <c r="CH121" i="3"/>
  <c r="CI121" i="3"/>
  <c r="CJ121" i="3"/>
  <c r="CK121" i="3"/>
  <c r="CL121" i="3"/>
  <c r="CN121" i="3"/>
  <c r="CP121" i="3"/>
  <c r="J168" i="11"/>
  <c r="P122" i="3"/>
  <c r="R122" i="3" s="1"/>
  <c r="AL122" i="3"/>
  <c r="J113" i="13" s="1"/>
  <c r="BB122" i="3"/>
  <c r="S113" i="13" s="1"/>
  <c r="BC122" i="3"/>
  <c r="BD122" i="3"/>
  <c r="T113" i="13"/>
  <c r="U113" i="13"/>
  <c r="CH122" i="3"/>
  <c r="CI122" i="3"/>
  <c r="CJ122" i="3"/>
  <c r="CK122" i="3"/>
  <c r="CL122" i="3"/>
  <c r="CN122" i="3"/>
  <c r="CP122" i="3"/>
  <c r="J169" i="11"/>
  <c r="P123" i="3"/>
  <c r="R123" i="3" s="1"/>
  <c r="AL123" i="3"/>
  <c r="J114" i="13" s="1"/>
  <c r="BB123" i="3"/>
  <c r="S114" i="13" s="1"/>
  <c r="BC123" i="3"/>
  <c r="BD123" i="3"/>
  <c r="T114" i="13"/>
  <c r="U114" i="13"/>
  <c r="CH123" i="3"/>
  <c r="CI123" i="3"/>
  <c r="CJ123" i="3"/>
  <c r="CK123" i="3"/>
  <c r="CL123" i="3"/>
  <c r="CN123" i="3"/>
  <c r="CP123" i="3"/>
  <c r="L124" i="3"/>
  <c r="P124" i="3"/>
  <c r="R124" i="3" s="1"/>
  <c r="AL124" i="3"/>
  <c r="J115" i="13" s="1"/>
  <c r="BB124" i="3"/>
  <c r="S115" i="13" s="1"/>
  <c r="BC124" i="3"/>
  <c r="BD124" i="3"/>
  <c r="T115" i="13"/>
  <c r="U115" i="13"/>
  <c r="CH124" i="3"/>
  <c r="CI124" i="3"/>
  <c r="CJ124" i="3"/>
  <c r="CK124" i="3"/>
  <c r="CL124" i="3"/>
  <c r="CN124" i="3"/>
  <c r="CP124" i="3"/>
  <c r="J171" i="11"/>
  <c r="P125" i="3"/>
  <c r="R125" i="3" s="1"/>
  <c r="AL125" i="3"/>
  <c r="J116" i="13" s="1"/>
  <c r="BB125" i="3"/>
  <c r="S116" i="13" s="1"/>
  <c r="BC125" i="3"/>
  <c r="BD125" i="3"/>
  <c r="T116" i="13"/>
  <c r="U116" i="13"/>
  <c r="CH125" i="3"/>
  <c r="CI125" i="3"/>
  <c r="CJ125" i="3"/>
  <c r="CK125" i="3"/>
  <c r="CL125" i="3"/>
  <c r="CN125" i="3"/>
  <c r="CP125" i="3"/>
  <c r="J172" i="11"/>
  <c r="P126" i="3"/>
  <c r="R126" i="3" s="1"/>
  <c r="AL126" i="3"/>
  <c r="J117" i="13" s="1"/>
  <c r="BB126" i="3"/>
  <c r="S117" i="13" s="1"/>
  <c r="BC126" i="3"/>
  <c r="BD126" i="3"/>
  <c r="T117" i="13"/>
  <c r="U117" i="13"/>
  <c r="CH126" i="3"/>
  <c r="CI126" i="3"/>
  <c r="CJ126" i="3"/>
  <c r="CK126" i="3"/>
  <c r="CL126" i="3"/>
  <c r="CN126" i="3"/>
  <c r="CP126" i="3"/>
  <c r="L127" i="3"/>
  <c r="P127" i="3"/>
  <c r="R127" i="3" s="1"/>
  <c r="AL127" i="3"/>
  <c r="J118" i="13" s="1"/>
  <c r="BB127" i="3"/>
  <c r="S118" i="13" s="1"/>
  <c r="BC127" i="3"/>
  <c r="BD127" i="3"/>
  <c r="T118" i="13"/>
  <c r="U118" i="13"/>
  <c r="CH127" i="3"/>
  <c r="CI127" i="3"/>
  <c r="CJ127" i="3"/>
  <c r="CK127" i="3"/>
  <c r="CL127" i="3"/>
  <c r="CN127" i="3"/>
  <c r="CP127" i="3"/>
  <c r="J174" i="11"/>
  <c r="P128" i="3"/>
  <c r="R128" i="3" s="1"/>
  <c r="AL128" i="3"/>
  <c r="J119" i="13" s="1"/>
  <c r="BB128" i="3"/>
  <c r="S119" i="13" s="1"/>
  <c r="BC128" i="3"/>
  <c r="BD128" i="3"/>
  <c r="T119" i="13"/>
  <c r="U119" i="13"/>
  <c r="CH128" i="3"/>
  <c r="CI128" i="3"/>
  <c r="CJ128" i="3"/>
  <c r="CK128" i="3"/>
  <c r="CL128" i="3"/>
  <c r="CN128" i="3"/>
  <c r="CP128" i="3"/>
  <c r="J175" i="11"/>
  <c r="P129" i="3"/>
  <c r="R129" i="3" s="1"/>
  <c r="AL129" i="3"/>
  <c r="J120" i="13" s="1"/>
  <c r="BB129" i="3"/>
  <c r="S120" i="13" s="1"/>
  <c r="BC129" i="3"/>
  <c r="BD129" i="3"/>
  <c r="T120" i="13"/>
  <c r="U120" i="13"/>
  <c r="CH129" i="3"/>
  <c r="CI129" i="3"/>
  <c r="CJ129" i="3"/>
  <c r="CK129" i="3"/>
  <c r="CL129" i="3"/>
  <c r="CN129" i="3"/>
  <c r="CP129" i="3"/>
  <c r="J176" i="11"/>
  <c r="P130" i="3"/>
  <c r="R130" i="3" s="1"/>
  <c r="AL130" i="3"/>
  <c r="J121" i="13" s="1"/>
  <c r="BB130" i="3"/>
  <c r="S121" i="13" s="1"/>
  <c r="BC130" i="3"/>
  <c r="BD130" i="3"/>
  <c r="T121" i="13"/>
  <c r="U121" i="13"/>
  <c r="CH130" i="3"/>
  <c r="CI130" i="3"/>
  <c r="CJ130" i="3"/>
  <c r="CK130" i="3"/>
  <c r="CL130" i="3"/>
  <c r="CN130" i="3"/>
  <c r="CP130" i="3"/>
  <c r="J180" i="11"/>
  <c r="P131" i="3"/>
  <c r="R131" i="3" s="1"/>
  <c r="AL131" i="3"/>
  <c r="J122" i="13" s="1"/>
  <c r="BB131" i="3"/>
  <c r="S122" i="13" s="1"/>
  <c r="BC131" i="3"/>
  <c r="BD131" i="3"/>
  <c r="T122" i="13"/>
  <c r="U122" i="13"/>
  <c r="CH131" i="3"/>
  <c r="CI131" i="3"/>
  <c r="CJ131" i="3"/>
  <c r="CK131" i="3"/>
  <c r="CL131" i="3"/>
  <c r="CN131" i="3"/>
  <c r="CP131" i="3"/>
  <c r="J181" i="11"/>
  <c r="P132" i="3"/>
  <c r="R132" i="3" s="1"/>
  <c r="AL132" i="3"/>
  <c r="J123" i="13" s="1"/>
  <c r="BB132" i="3"/>
  <c r="S123" i="13" s="1"/>
  <c r="BC132" i="3"/>
  <c r="BD132" i="3"/>
  <c r="T123" i="13"/>
  <c r="U123" i="13"/>
  <c r="CH132" i="3"/>
  <c r="CI132" i="3"/>
  <c r="CJ132" i="3"/>
  <c r="CK132" i="3"/>
  <c r="CL132" i="3"/>
  <c r="CN132" i="3"/>
  <c r="CP132" i="3"/>
  <c r="J182" i="11"/>
  <c r="P133" i="3"/>
  <c r="R133" i="3" s="1"/>
  <c r="AL133" i="3"/>
  <c r="J124" i="13" s="1"/>
  <c r="BB133" i="3"/>
  <c r="S124" i="13" s="1"/>
  <c r="BC133" i="3"/>
  <c r="BD133" i="3"/>
  <c r="T124" i="13"/>
  <c r="U124" i="13"/>
  <c r="CH133" i="3"/>
  <c r="CI133" i="3"/>
  <c r="CJ133" i="3"/>
  <c r="CK133" i="3"/>
  <c r="CL133" i="3"/>
  <c r="CN133" i="3"/>
  <c r="CP133" i="3"/>
  <c r="J183" i="11"/>
  <c r="P134" i="3"/>
  <c r="AL134" i="3"/>
  <c r="J125" i="13" s="1"/>
  <c r="BB134" i="3"/>
  <c r="BC134" i="3"/>
  <c r="BD134" i="3"/>
  <c r="T125" i="13"/>
  <c r="U125" i="13"/>
  <c r="CH134" i="3"/>
  <c r="CI134" i="3"/>
  <c r="CJ134" i="3"/>
  <c r="CK134" i="3"/>
  <c r="CL134" i="3"/>
  <c r="CN134" i="3"/>
  <c r="CP134" i="3"/>
  <c r="J184" i="11"/>
  <c r="P135" i="3"/>
  <c r="AL135" i="3"/>
  <c r="J126" i="13" s="1"/>
  <c r="BB135" i="3"/>
  <c r="BC135" i="3"/>
  <c r="BD135" i="3"/>
  <c r="T126" i="13"/>
  <c r="U126" i="13"/>
  <c r="CH135" i="3"/>
  <c r="CI135" i="3"/>
  <c r="CJ135" i="3"/>
  <c r="CK135" i="3"/>
  <c r="CL135" i="3"/>
  <c r="CN135" i="3"/>
  <c r="CP135" i="3"/>
  <c r="J185" i="11"/>
  <c r="P136" i="3"/>
  <c r="AL136" i="3"/>
  <c r="AM136" i="3" s="1"/>
  <c r="BB136" i="3"/>
  <c r="BC136" i="3"/>
  <c r="BD136" i="3"/>
  <c r="T127" i="13"/>
  <c r="U127" i="13"/>
  <c r="CH136" i="3"/>
  <c r="CI136" i="3"/>
  <c r="CJ136" i="3"/>
  <c r="CK136" i="3"/>
  <c r="CL136" i="3"/>
  <c r="CN136" i="3"/>
  <c r="CP136" i="3"/>
  <c r="J186" i="11"/>
  <c r="P137" i="3"/>
  <c r="AL137" i="3"/>
  <c r="J128" i="13" s="1"/>
  <c r="BB137" i="3"/>
  <c r="BC137" i="3"/>
  <c r="BD137" i="3"/>
  <c r="T128" i="13"/>
  <c r="U128" i="13"/>
  <c r="CH137" i="3"/>
  <c r="CI137" i="3"/>
  <c r="CJ137" i="3"/>
  <c r="CK137" i="3"/>
  <c r="CL137" i="3"/>
  <c r="CN137" i="3"/>
  <c r="CP137" i="3"/>
  <c r="J187" i="11"/>
  <c r="P138" i="3"/>
  <c r="AL138" i="3"/>
  <c r="J129" i="13" s="1"/>
  <c r="BB138" i="3"/>
  <c r="BC138" i="3"/>
  <c r="BD138" i="3"/>
  <c r="T129" i="13"/>
  <c r="U129" i="13"/>
  <c r="CH138" i="3"/>
  <c r="CI138" i="3"/>
  <c r="CJ138" i="3"/>
  <c r="CK138" i="3"/>
  <c r="CL138" i="3"/>
  <c r="CN138" i="3"/>
  <c r="CP138" i="3"/>
  <c r="J188" i="11"/>
  <c r="P139" i="3"/>
  <c r="I130" i="13"/>
  <c r="AL139" i="3"/>
  <c r="J130" i="13" s="1"/>
  <c r="BB139" i="3"/>
  <c r="BC139" i="3"/>
  <c r="BD139" i="3"/>
  <c r="T130" i="13"/>
  <c r="U130" i="13"/>
  <c r="CH139" i="3"/>
  <c r="CI139" i="3"/>
  <c r="CJ139" i="3"/>
  <c r="CK139" i="3"/>
  <c r="CL139" i="3"/>
  <c r="CN139" i="3"/>
  <c r="CP139" i="3"/>
  <c r="J189" i="11"/>
  <c r="P140" i="3"/>
  <c r="AL140" i="3"/>
  <c r="J131" i="13" s="1"/>
  <c r="BB140" i="3"/>
  <c r="BC140" i="3"/>
  <c r="BD140" i="3"/>
  <c r="T131" i="13"/>
  <c r="U131" i="13"/>
  <c r="CH140" i="3"/>
  <c r="CI140" i="3"/>
  <c r="CJ140" i="3"/>
  <c r="CK140" i="3"/>
  <c r="CL140" i="3"/>
  <c r="CN140" i="3"/>
  <c r="CP140" i="3"/>
  <c r="J190" i="11"/>
  <c r="P141" i="3"/>
  <c r="AL141" i="3"/>
  <c r="J132" i="13" s="1"/>
  <c r="BB141" i="3"/>
  <c r="S132" i="13" s="1"/>
  <c r="BC141" i="3"/>
  <c r="BD141" i="3"/>
  <c r="T132" i="13"/>
  <c r="U132" i="13"/>
  <c r="CH141" i="3"/>
  <c r="CI141" i="3"/>
  <c r="CJ141" i="3"/>
  <c r="CK141" i="3"/>
  <c r="CL141" i="3"/>
  <c r="CN141" i="3"/>
  <c r="CP141" i="3"/>
  <c r="J191" i="11"/>
  <c r="P142" i="3"/>
  <c r="AL142" i="3"/>
  <c r="J133" i="13" s="1"/>
  <c r="BB142" i="3"/>
  <c r="BC142" i="3"/>
  <c r="BD142" i="3"/>
  <c r="T133" i="13"/>
  <c r="U133" i="13"/>
  <c r="CH142" i="3"/>
  <c r="CI142" i="3"/>
  <c r="CJ142" i="3"/>
  <c r="CK142" i="3"/>
  <c r="CL142" i="3"/>
  <c r="CN142" i="3"/>
  <c r="CP142" i="3"/>
  <c r="J192" i="11"/>
  <c r="P143" i="3"/>
  <c r="AL143" i="3"/>
  <c r="J134" i="13" s="1"/>
  <c r="BB143" i="3"/>
  <c r="BC143" i="3"/>
  <c r="BD143" i="3"/>
  <c r="T134" i="13"/>
  <c r="U134" i="13"/>
  <c r="CH143" i="3"/>
  <c r="CI143" i="3"/>
  <c r="CJ143" i="3"/>
  <c r="CK143" i="3"/>
  <c r="CL143" i="3"/>
  <c r="CN143" i="3"/>
  <c r="CP143" i="3"/>
  <c r="J193" i="11"/>
  <c r="P144" i="3"/>
  <c r="AL144" i="3"/>
  <c r="J135" i="13" s="1"/>
  <c r="BB144" i="3"/>
  <c r="S135" i="13" s="1"/>
  <c r="BC144" i="3"/>
  <c r="BD144" i="3"/>
  <c r="T135" i="13"/>
  <c r="U135" i="13"/>
  <c r="CH144" i="3"/>
  <c r="CI144" i="3"/>
  <c r="CJ144" i="3"/>
  <c r="CK144" i="3"/>
  <c r="CL144" i="3"/>
  <c r="CN144" i="3"/>
  <c r="CP144" i="3"/>
  <c r="J194" i="11"/>
  <c r="P145" i="3"/>
  <c r="AL145" i="3"/>
  <c r="J136" i="13" s="1"/>
  <c r="BB145" i="3"/>
  <c r="S136" i="13" s="1"/>
  <c r="BC145" i="3"/>
  <c r="BD145" i="3"/>
  <c r="T136" i="13"/>
  <c r="U136" i="13"/>
  <c r="CH145" i="3"/>
  <c r="CI145" i="3"/>
  <c r="CJ145" i="3"/>
  <c r="CK145" i="3"/>
  <c r="CL145" i="3"/>
  <c r="CN145" i="3"/>
  <c r="CP145" i="3"/>
  <c r="J195" i="11"/>
  <c r="P146" i="3"/>
  <c r="AL146" i="3"/>
  <c r="J137" i="13" s="1"/>
  <c r="BB146" i="3"/>
  <c r="BC146" i="3"/>
  <c r="BD146" i="3"/>
  <c r="T137" i="13"/>
  <c r="U137" i="13"/>
  <c r="CH146" i="3"/>
  <c r="CI146" i="3"/>
  <c r="CJ146" i="3"/>
  <c r="CK146" i="3"/>
  <c r="CL146" i="3"/>
  <c r="CN146" i="3"/>
  <c r="CP146" i="3"/>
  <c r="J196" i="11"/>
  <c r="P147" i="3"/>
  <c r="AL147" i="3"/>
  <c r="J138" i="13" s="1"/>
  <c r="BB147" i="3"/>
  <c r="BC147" i="3"/>
  <c r="BD147" i="3"/>
  <c r="T138" i="13"/>
  <c r="U138" i="13"/>
  <c r="CH147" i="3"/>
  <c r="CI147" i="3"/>
  <c r="CJ147" i="3"/>
  <c r="CK147" i="3"/>
  <c r="CL147" i="3"/>
  <c r="CN147" i="3"/>
  <c r="CP147" i="3"/>
  <c r="J197" i="11"/>
  <c r="P148" i="3"/>
  <c r="AL148" i="3"/>
  <c r="J139" i="13" s="1"/>
  <c r="BB148" i="3"/>
  <c r="S139" i="13" s="1"/>
  <c r="BC148" i="3"/>
  <c r="BD148" i="3"/>
  <c r="T139" i="13"/>
  <c r="U139" i="13"/>
  <c r="CH148" i="3"/>
  <c r="CI148" i="3"/>
  <c r="CJ148" i="3"/>
  <c r="CK148" i="3"/>
  <c r="CL148" i="3"/>
  <c r="CN148" i="3"/>
  <c r="CP148" i="3"/>
  <c r="J198" i="11"/>
  <c r="P149" i="3"/>
  <c r="AL149" i="3"/>
  <c r="J140" i="13" s="1"/>
  <c r="BB149" i="3"/>
  <c r="S140" i="13" s="1"/>
  <c r="BC149" i="3"/>
  <c r="BD149" i="3"/>
  <c r="T140" i="13"/>
  <c r="U140" i="13"/>
  <c r="CH149" i="3"/>
  <c r="CI149" i="3"/>
  <c r="CJ149" i="3"/>
  <c r="CK149" i="3"/>
  <c r="CL149" i="3"/>
  <c r="CN149" i="3"/>
  <c r="CP149" i="3"/>
  <c r="J199" i="11"/>
  <c r="P150" i="3"/>
  <c r="AL150" i="3"/>
  <c r="AM150" i="3" s="1"/>
  <c r="BB150" i="3"/>
  <c r="BC150" i="3"/>
  <c r="BD150" i="3"/>
  <c r="T141" i="13"/>
  <c r="U141" i="13"/>
  <c r="CH150" i="3"/>
  <c r="CI150" i="3"/>
  <c r="CJ150" i="3"/>
  <c r="CK150" i="3"/>
  <c r="CL150" i="3"/>
  <c r="CN150" i="3"/>
  <c r="CP150" i="3"/>
  <c r="P151" i="3"/>
  <c r="R151" i="3" s="1"/>
  <c r="Q142" i="13"/>
  <c r="AL151" i="3"/>
  <c r="AM151" i="3" s="1"/>
  <c r="AX151" i="3"/>
  <c r="P142" i="13" s="1"/>
  <c r="BB151" i="3"/>
  <c r="S142" i="13" s="1"/>
  <c r="BC151" i="3"/>
  <c r="BD151" i="3"/>
  <c r="T142" i="13"/>
  <c r="U142" i="13"/>
  <c r="CH151" i="3"/>
  <c r="CI151" i="3"/>
  <c r="CJ151" i="3"/>
  <c r="CK151" i="3"/>
  <c r="CL151" i="3"/>
  <c r="CN151" i="3"/>
  <c r="CP151" i="3"/>
  <c r="P152" i="3"/>
  <c r="R152" i="3" s="1"/>
  <c r="Q143" i="13"/>
  <c r="AL152" i="3"/>
  <c r="BB152" i="3"/>
  <c r="S143" i="13" s="1"/>
  <c r="BC152" i="3"/>
  <c r="BD152" i="3"/>
  <c r="T143" i="13"/>
  <c r="U143" i="13"/>
  <c r="CH152" i="3"/>
  <c r="CI152" i="3"/>
  <c r="CJ152" i="3"/>
  <c r="CK152" i="3"/>
  <c r="CL152" i="3"/>
  <c r="CN152" i="3"/>
  <c r="CP152" i="3"/>
  <c r="J202" i="11"/>
  <c r="P153" i="3"/>
  <c r="R153" i="3" s="1"/>
  <c r="AX153" i="3"/>
  <c r="P144" i="13" s="1"/>
  <c r="BB153" i="3"/>
  <c r="S144" i="13" s="1"/>
  <c r="BC153" i="3"/>
  <c r="BD153" i="3"/>
  <c r="T144" i="13"/>
  <c r="U144" i="13"/>
  <c r="CH153" i="3"/>
  <c r="CI153" i="3"/>
  <c r="CJ153" i="3"/>
  <c r="CK153" i="3"/>
  <c r="CL153" i="3"/>
  <c r="CN153" i="3"/>
  <c r="CP153" i="3"/>
  <c r="P154" i="3"/>
  <c r="R154" i="3" s="1"/>
  <c r="AL154" i="3"/>
  <c r="AM154" i="3" s="1"/>
  <c r="BB154" i="3"/>
  <c r="S145" i="13" s="1"/>
  <c r="BC154" i="3"/>
  <c r="BD154" i="3"/>
  <c r="T145" i="13"/>
  <c r="U145" i="13"/>
  <c r="CH154" i="3"/>
  <c r="CI154" i="3"/>
  <c r="CJ154" i="3"/>
  <c r="CK154" i="3"/>
  <c r="CL154" i="3"/>
  <c r="CN154" i="3"/>
  <c r="CP154" i="3"/>
  <c r="P155" i="3"/>
  <c r="R155" i="3" s="1"/>
  <c r="AL155" i="3"/>
  <c r="AM155" i="3" s="1"/>
  <c r="BB155" i="3"/>
  <c r="S146" i="13" s="1"/>
  <c r="BC155" i="3"/>
  <c r="BD155" i="3"/>
  <c r="T146" i="13"/>
  <c r="U146" i="13"/>
  <c r="CH155" i="3"/>
  <c r="CI155" i="3"/>
  <c r="CJ155" i="3"/>
  <c r="CK155" i="3"/>
  <c r="CL155" i="3"/>
  <c r="CN155" i="3"/>
  <c r="CP155" i="3"/>
  <c r="P156" i="3"/>
  <c r="R156" i="3" s="1"/>
  <c r="I147" i="13"/>
  <c r="AL156" i="3"/>
  <c r="BB156" i="3"/>
  <c r="S147" i="13" s="1"/>
  <c r="BC156" i="3"/>
  <c r="BD156" i="3"/>
  <c r="T147" i="13"/>
  <c r="U147" i="13"/>
  <c r="CH156" i="3"/>
  <c r="CI156" i="3"/>
  <c r="CJ156" i="3"/>
  <c r="CK156" i="3"/>
  <c r="CL156" i="3"/>
  <c r="CN156" i="3"/>
  <c r="CP156" i="3"/>
  <c r="J206" i="11"/>
  <c r="P157" i="3"/>
  <c r="R157" i="3" s="1"/>
  <c r="I148" i="13"/>
  <c r="AL157" i="3"/>
  <c r="AM157" i="3" s="1"/>
  <c r="AX157" i="3"/>
  <c r="P148" i="13" s="1"/>
  <c r="BB157" i="3"/>
  <c r="S148" i="13" s="1"/>
  <c r="BC157" i="3"/>
  <c r="BD157" i="3"/>
  <c r="T148" i="13"/>
  <c r="U148" i="13"/>
  <c r="CH157" i="3"/>
  <c r="CI157" i="3"/>
  <c r="CJ157" i="3"/>
  <c r="CK157" i="3"/>
  <c r="CL157" i="3"/>
  <c r="CN157" i="3"/>
  <c r="CP157" i="3"/>
  <c r="P158" i="3"/>
  <c r="R158" i="3" s="1"/>
  <c r="AX158" i="3"/>
  <c r="P149" i="13" s="1"/>
  <c r="AL158" i="3"/>
  <c r="AM158" i="3" s="1"/>
  <c r="BB158" i="3"/>
  <c r="S149" i="13" s="1"/>
  <c r="BC158" i="3"/>
  <c r="BD158" i="3"/>
  <c r="T149" i="13"/>
  <c r="U149" i="13"/>
  <c r="CH158" i="3"/>
  <c r="CI158" i="3"/>
  <c r="CJ158" i="3"/>
  <c r="CK158" i="3"/>
  <c r="CL158" i="3"/>
  <c r="CN158" i="3"/>
  <c r="CP158" i="3"/>
  <c r="P159" i="3"/>
  <c r="R159" i="3" s="1"/>
  <c r="I150" i="13"/>
  <c r="AL159" i="3"/>
  <c r="AM159" i="3" s="1"/>
  <c r="AX159" i="3"/>
  <c r="P150" i="13" s="1"/>
  <c r="BB159" i="3"/>
  <c r="S150" i="13" s="1"/>
  <c r="BC159" i="3"/>
  <c r="BD159" i="3"/>
  <c r="T150" i="13"/>
  <c r="U150" i="13"/>
  <c r="CH159" i="3"/>
  <c r="CI159" i="3"/>
  <c r="CJ159" i="3"/>
  <c r="CK159" i="3"/>
  <c r="CL159" i="3"/>
  <c r="CN159" i="3"/>
  <c r="CP159" i="3"/>
  <c r="P160" i="3"/>
  <c r="R160" i="3" s="1"/>
  <c r="I151" i="13"/>
  <c r="AL160" i="3"/>
  <c r="BB160" i="3"/>
  <c r="S151" i="13" s="1"/>
  <c r="BC160" i="3"/>
  <c r="BD160" i="3"/>
  <c r="T151" i="13"/>
  <c r="U151" i="13"/>
  <c r="CH160" i="3"/>
  <c r="CI160" i="3"/>
  <c r="CJ160" i="3"/>
  <c r="CK160" i="3"/>
  <c r="CL160" i="3"/>
  <c r="CN160" i="3"/>
  <c r="CP160" i="3"/>
  <c r="P161" i="3"/>
  <c r="R161" i="3" s="1"/>
  <c r="I152" i="13"/>
  <c r="AL161" i="3"/>
  <c r="AM161" i="3" s="1"/>
  <c r="AX161" i="3"/>
  <c r="P152" i="13" s="1"/>
  <c r="Q152" i="13"/>
  <c r="BB161" i="3"/>
  <c r="S152" i="13" s="1"/>
  <c r="BC161" i="3"/>
  <c r="BD161" i="3"/>
  <c r="T152" i="13"/>
  <c r="U152" i="13"/>
  <c r="CH161" i="3"/>
  <c r="CI161" i="3"/>
  <c r="CJ161" i="3"/>
  <c r="CK161" i="3"/>
  <c r="CL161" i="3"/>
  <c r="CN161" i="3"/>
  <c r="CP161" i="3"/>
  <c r="P162" i="3"/>
  <c r="R162" i="3" s="1"/>
  <c r="I153" i="13"/>
  <c r="AL162" i="3"/>
  <c r="AM162" i="3" s="1"/>
  <c r="AX162" i="3"/>
  <c r="P153" i="13" s="1"/>
  <c r="BB162" i="3"/>
  <c r="S153" i="13" s="1"/>
  <c r="BC162" i="3"/>
  <c r="BD162" i="3"/>
  <c r="T153" i="13"/>
  <c r="U153" i="13"/>
  <c r="CH162" i="3"/>
  <c r="CI162" i="3"/>
  <c r="CJ162" i="3"/>
  <c r="CK162" i="3"/>
  <c r="CL162" i="3"/>
  <c r="CN162" i="3"/>
  <c r="CP162" i="3"/>
  <c r="P163" i="3"/>
  <c r="R163" i="3" s="1"/>
  <c r="I154" i="13"/>
  <c r="AL163" i="3"/>
  <c r="AM163" i="3" s="1"/>
  <c r="AX163" i="3"/>
  <c r="P154" i="13" s="1"/>
  <c r="BB163" i="3"/>
  <c r="S154" i="13" s="1"/>
  <c r="BC163" i="3"/>
  <c r="BD163" i="3"/>
  <c r="T154" i="13"/>
  <c r="U154" i="13"/>
  <c r="CH163" i="3"/>
  <c r="CI163" i="3"/>
  <c r="CJ163" i="3"/>
  <c r="CK163" i="3"/>
  <c r="CL163" i="3"/>
  <c r="CN163" i="3"/>
  <c r="CP163" i="3"/>
  <c r="P164" i="3"/>
  <c r="R164" i="3" s="1"/>
  <c r="I155" i="13"/>
  <c r="AL164" i="3"/>
  <c r="AM164" i="3" s="1"/>
  <c r="AX164" i="3"/>
  <c r="P155" i="13" s="1"/>
  <c r="Q155" i="13"/>
  <c r="BB164" i="3"/>
  <c r="S155" i="13" s="1"/>
  <c r="BC164" i="3"/>
  <c r="BD164" i="3"/>
  <c r="T155" i="13"/>
  <c r="U155" i="13"/>
  <c r="CH164" i="3"/>
  <c r="CI164" i="3"/>
  <c r="CJ164" i="3"/>
  <c r="CK164" i="3"/>
  <c r="CL164" i="3"/>
  <c r="CN164" i="3"/>
  <c r="CP164" i="3"/>
  <c r="P165" i="3"/>
  <c r="R165" i="3" s="1"/>
  <c r="I156" i="13"/>
  <c r="AL165" i="3"/>
  <c r="AM165" i="3" s="1"/>
  <c r="AX165" i="3"/>
  <c r="P156" i="13" s="1"/>
  <c r="Q156" i="13"/>
  <c r="BB165" i="3"/>
  <c r="S156" i="13" s="1"/>
  <c r="BC165" i="3"/>
  <c r="BD165" i="3"/>
  <c r="T156" i="13"/>
  <c r="U156" i="13"/>
  <c r="CH165" i="3"/>
  <c r="CI165" i="3"/>
  <c r="CJ165" i="3"/>
  <c r="CK165" i="3"/>
  <c r="CL165" i="3"/>
  <c r="CN165" i="3"/>
  <c r="CP165" i="3"/>
  <c r="P166" i="3"/>
  <c r="R166" i="3" s="1"/>
  <c r="I157" i="13"/>
  <c r="AL166" i="3"/>
  <c r="AM166" i="3" s="1"/>
  <c r="AX166" i="3"/>
  <c r="P157" i="13" s="1"/>
  <c r="BB166" i="3"/>
  <c r="S157" i="13" s="1"/>
  <c r="BC166" i="3"/>
  <c r="BD166" i="3"/>
  <c r="T157" i="13"/>
  <c r="U157" i="13"/>
  <c r="CH166" i="3"/>
  <c r="CI166" i="3"/>
  <c r="CJ166" i="3"/>
  <c r="CK166" i="3"/>
  <c r="CL166" i="3"/>
  <c r="CN166" i="3"/>
  <c r="CP166" i="3"/>
  <c r="P167" i="3"/>
  <c r="R167" i="3" s="1"/>
  <c r="I158" i="13"/>
  <c r="AL167" i="3"/>
  <c r="AM167" i="3" s="1"/>
  <c r="AX167" i="3"/>
  <c r="P158" i="13" s="1"/>
  <c r="BB167" i="3"/>
  <c r="S158" i="13" s="1"/>
  <c r="BC167" i="3"/>
  <c r="BD167" i="3"/>
  <c r="T158" i="13"/>
  <c r="U158" i="13"/>
  <c r="CH167" i="3"/>
  <c r="CI167" i="3"/>
  <c r="CJ167" i="3"/>
  <c r="CK167" i="3"/>
  <c r="CL167" i="3"/>
  <c r="CN167" i="3"/>
  <c r="CP167" i="3"/>
  <c r="P168" i="3"/>
  <c r="R168" i="3" s="1"/>
  <c r="I159" i="13"/>
  <c r="AL168" i="3"/>
  <c r="AM168" i="3" s="1"/>
  <c r="AX168" i="3"/>
  <c r="P159" i="13" s="1"/>
  <c r="Q159" i="13"/>
  <c r="BB168" i="3"/>
  <c r="S159" i="13" s="1"/>
  <c r="BC168" i="3"/>
  <c r="BD168" i="3"/>
  <c r="T159" i="13"/>
  <c r="U159" i="13"/>
  <c r="CH168" i="3"/>
  <c r="CI168" i="3"/>
  <c r="CJ168" i="3"/>
  <c r="CK168" i="3"/>
  <c r="CL168" i="3"/>
  <c r="CN168" i="3"/>
  <c r="CP168" i="3"/>
  <c r="P169" i="3"/>
  <c r="R169" i="3" s="1"/>
  <c r="I160" i="13"/>
  <c r="AL169" i="3"/>
  <c r="AM169" i="3" s="1"/>
  <c r="AX169" i="3"/>
  <c r="P160" i="13" s="1"/>
  <c r="Q160" i="13"/>
  <c r="BB169" i="3"/>
  <c r="S160" i="13" s="1"/>
  <c r="BC169" i="3"/>
  <c r="BD169" i="3"/>
  <c r="T160" i="13"/>
  <c r="U160" i="13"/>
  <c r="CH169" i="3"/>
  <c r="CI169" i="3"/>
  <c r="CJ169" i="3"/>
  <c r="CK169" i="3"/>
  <c r="CL169" i="3"/>
  <c r="CN169" i="3"/>
  <c r="CP169" i="3"/>
  <c r="P170" i="3"/>
  <c r="R170" i="3" s="1"/>
  <c r="I161" i="13"/>
  <c r="AL170" i="3"/>
  <c r="AM170" i="3" s="1"/>
  <c r="AX170" i="3"/>
  <c r="P161" i="13" s="1"/>
  <c r="BB170" i="3"/>
  <c r="S161" i="13" s="1"/>
  <c r="BC170" i="3"/>
  <c r="BD170" i="3"/>
  <c r="T161" i="13"/>
  <c r="U161" i="13"/>
  <c r="CH170" i="3"/>
  <c r="CI170" i="3"/>
  <c r="CJ170" i="3"/>
  <c r="CK170" i="3"/>
  <c r="CL170" i="3"/>
  <c r="CN170" i="3"/>
  <c r="CP170" i="3"/>
  <c r="P171" i="3"/>
  <c r="R171" i="3" s="1"/>
  <c r="I162" i="13"/>
  <c r="AL171" i="3"/>
  <c r="AM171" i="3" s="1"/>
  <c r="AX171" i="3"/>
  <c r="P162" i="13" s="1"/>
  <c r="BB171" i="3"/>
  <c r="S162" i="13" s="1"/>
  <c r="BC171" i="3"/>
  <c r="BD171" i="3"/>
  <c r="T162" i="13"/>
  <c r="U162" i="13"/>
  <c r="CH171" i="3"/>
  <c r="CI171" i="3"/>
  <c r="CJ171" i="3"/>
  <c r="CK171" i="3"/>
  <c r="CL171" i="3"/>
  <c r="CN171" i="3"/>
  <c r="CP171" i="3"/>
  <c r="P172" i="3"/>
  <c r="R172" i="3" s="1"/>
  <c r="I163" i="13"/>
  <c r="AL172" i="3"/>
  <c r="AM172" i="3" s="1"/>
  <c r="AX172" i="3"/>
  <c r="P163" i="13" s="1"/>
  <c r="Q163" i="13"/>
  <c r="BB172" i="3"/>
  <c r="S163" i="13" s="1"/>
  <c r="BC172" i="3"/>
  <c r="BD172" i="3"/>
  <c r="T163" i="13"/>
  <c r="U163" i="13"/>
  <c r="CH172" i="3"/>
  <c r="CI172" i="3"/>
  <c r="CJ172" i="3"/>
  <c r="CK172" i="3"/>
  <c r="CL172" i="3"/>
  <c r="CN172" i="3"/>
  <c r="CP172" i="3"/>
  <c r="P173" i="3"/>
  <c r="R173" i="3" s="1"/>
  <c r="I164" i="13"/>
  <c r="AL173" i="3"/>
  <c r="AM173" i="3" s="1"/>
  <c r="AX173" i="3"/>
  <c r="P164" i="13" s="1"/>
  <c r="Q164" i="13"/>
  <c r="BB173" i="3"/>
  <c r="S164" i="13" s="1"/>
  <c r="BC173" i="3"/>
  <c r="BD173" i="3"/>
  <c r="T164" i="13"/>
  <c r="U164" i="13"/>
  <c r="CH173" i="3"/>
  <c r="CI173" i="3"/>
  <c r="CJ173" i="3"/>
  <c r="CK173" i="3"/>
  <c r="CL173" i="3"/>
  <c r="CN173" i="3"/>
  <c r="CP173" i="3"/>
  <c r="P174" i="3"/>
  <c r="R174" i="3" s="1"/>
  <c r="I165" i="13"/>
  <c r="AL174" i="3"/>
  <c r="AM174" i="3" s="1"/>
  <c r="AX174" i="3"/>
  <c r="P165" i="13" s="1"/>
  <c r="BB174" i="3"/>
  <c r="S165" i="13" s="1"/>
  <c r="BC174" i="3"/>
  <c r="BD174" i="3"/>
  <c r="T165" i="13"/>
  <c r="U165" i="13"/>
  <c r="CH174" i="3"/>
  <c r="CI174" i="3"/>
  <c r="CJ174" i="3"/>
  <c r="CK174" i="3"/>
  <c r="CL174" i="3"/>
  <c r="CN174" i="3"/>
  <c r="CP174" i="3"/>
  <c r="P175" i="3"/>
  <c r="R175" i="3" s="1"/>
  <c r="I166" i="13"/>
  <c r="AL175" i="3"/>
  <c r="AM175" i="3" s="1"/>
  <c r="AX175" i="3"/>
  <c r="P166" i="13" s="1"/>
  <c r="BB175" i="3"/>
  <c r="S166" i="13" s="1"/>
  <c r="BC175" i="3"/>
  <c r="BD175" i="3"/>
  <c r="T166" i="13"/>
  <c r="U166" i="13"/>
  <c r="CH175" i="3"/>
  <c r="CI175" i="3"/>
  <c r="CJ175" i="3"/>
  <c r="CK175" i="3"/>
  <c r="CL175" i="3"/>
  <c r="CN175" i="3"/>
  <c r="CP175" i="3"/>
  <c r="P176" i="3"/>
  <c r="R176" i="3" s="1"/>
  <c r="I167" i="13"/>
  <c r="AL176" i="3"/>
  <c r="AM176" i="3" s="1"/>
  <c r="AX176" i="3"/>
  <c r="P167" i="13" s="1"/>
  <c r="Q167" i="13"/>
  <c r="BB176" i="3"/>
  <c r="S167" i="13" s="1"/>
  <c r="BC176" i="3"/>
  <c r="BD176" i="3"/>
  <c r="T167" i="13"/>
  <c r="U167" i="13"/>
  <c r="CH176" i="3"/>
  <c r="CI176" i="3"/>
  <c r="CJ176" i="3"/>
  <c r="CK176" i="3"/>
  <c r="CL176" i="3"/>
  <c r="CN176" i="3"/>
  <c r="CP176" i="3"/>
  <c r="P177" i="3"/>
  <c r="R177" i="3" s="1"/>
  <c r="I168" i="13"/>
  <c r="AL177" i="3"/>
  <c r="AM177" i="3" s="1"/>
  <c r="AX177" i="3"/>
  <c r="P168" i="13" s="1"/>
  <c r="Q168" i="13"/>
  <c r="BB177" i="3"/>
  <c r="S168" i="13" s="1"/>
  <c r="BC177" i="3"/>
  <c r="BD177" i="3"/>
  <c r="T168" i="13"/>
  <c r="U168" i="13"/>
  <c r="CH177" i="3"/>
  <c r="CI177" i="3"/>
  <c r="CJ177" i="3"/>
  <c r="CK177" i="3"/>
  <c r="CL177" i="3"/>
  <c r="CN177" i="3"/>
  <c r="CP177" i="3"/>
  <c r="P178" i="3"/>
  <c r="R178" i="3" s="1"/>
  <c r="I169" i="13"/>
  <c r="AL178" i="3"/>
  <c r="AM178" i="3" s="1"/>
  <c r="AX178" i="3"/>
  <c r="P169" i="13" s="1"/>
  <c r="BB178" i="3"/>
  <c r="S169" i="13" s="1"/>
  <c r="BC178" i="3"/>
  <c r="BD178" i="3"/>
  <c r="T169" i="13"/>
  <c r="U169" i="13"/>
  <c r="CH178" i="3"/>
  <c r="CI178" i="3"/>
  <c r="CJ178" i="3"/>
  <c r="CK178" i="3"/>
  <c r="CL178" i="3"/>
  <c r="CN178" i="3"/>
  <c r="CP178" i="3"/>
  <c r="P179" i="3"/>
  <c r="R179" i="3" s="1"/>
  <c r="I170" i="13"/>
  <c r="AL179" i="3"/>
  <c r="AM179" i="3" s="1"/>
  <c r="AX179" i="3"/>
  <c r="P170" i="13" s="1"/>
  <c r="BB179" i="3"/>
  <c r="S170" i="13" s="1"/>
  <c r="BC179" i="3"/>
  <c r="BD179" i="3"/>
  <c r="T170" i="13"/>
  <c r="U170" i="13"/>
  <c r="CH179" i="3"/>
  <c r="CI179" i="3"/>
  <c r="CJ179" i="3"/>
  <c r="CK179" i="3"/>
  <c r="CL179" i="3"/>
  <c r="CN179" i="3"/>
  <c r="CP179" i="3"/>
  <c r="P180" i="3"/>
  <c r="R180" i="3" s="1"/>
  <c r="AL180" i="3"/>
  <c r="AM180" i="3" s="1"/>
  <c r="AX180" i="3"/>
  <c r="P171" i="13" s="1"/>
  <c r="Q171" i="13"/>
  <c r="BB180" i="3"/>
  <c r="S171" i="13" s="1"/>
  <c r="BC180" i="3"/>
  <c r="BD180" i="3"/>
  <c r="T171" i="13"/>
  <c r="U171" i="13"/>
  <c r="CH180" i="3"/>
  <c r="CI180" i="3"/>
  <c r="CJ180" i="3"/>
  <c r="CK180" i="3"/>
  <c r="CL180" i="3"/>
  <c r="CN180" i="3"/>
  <c r="CP180" i="3"/>
  <c r="P181" i="3"/>
  <c r="R181" i="3" s="1"/>
  <c r="AL181" i="3"/>
  <c r="AM181" i="3" s="1"/>
  <c r="AX181" i="3"/>
  <c r="P172" i="13" s="1"/>
  <c r="Q172" i="13"/>
  <c r="BB181" i="3"/>
  <c r="S172" i="13" s="1"/>
  <c r="BC181" i="3"/>
  <c r="BD181" i="3"/>
  <c r="T172" i="13"/>
  <c r="U172" i="13"/>
  <c r="CH181" i="3"/>
  <c r="CI181" i="3"/>
  <c r="CJ181" i="3"/>
  <c r="CK181" i="3"/>
  <c r="CL181" i="3"/>
  <c r="CN181" i="3"/>
  <c r="CP181" i="3"/>
  <c r="P182" i="3"/>
  <c r="R182" i="3" s="1"/>
  <c r="AL182" i="3"/>
  <c r="AM182" i="3" s="1"/>
  <c r="AX182" i="3"/>
  <c r="P173" i="13" s="1"/>
  <c r="Q173" i="13"/>
  <c r="BB182" i="3"/>
  <c r="S173" i="13" s="1"/>
  <c r="BC182" i="3"/>
  <c r="BD182" i="3"/>
  <c r="T173" i="13"/>
  <c r="U173" i="13"/>
  <c r="CH182" i="3"/>
  <c r="CI182" i="3"/>
  <c r="CJ182" i="3"/>
  <c r="CK182" i="3"/>
  <c r="CL182" i="3"/>
  <c r="CN182" i="3"/>
  <c r="CP182" i="3"/>
  <c r="P183" i="3"/>
  <c r="R183" i="3" s="1"/>
  <c r="AL183" i="3"/>
  <c r="AM183" i="3" s="1"/>
  <c r="AX183" i="3"/>
  <c r="P174" i="13" s="1"/>
  <c r="Q174" i="13"/>
  <c r="BB183" i="3"/>
  <c r="S174" i="13" s="1"/>
  <c r="BC183" i="3"/>
  <c r="BD183" i="3"/>
  <c r="T174" i="13"/>
  <c r="U174" i="13"/>
  <c r="CH183" i="3"/>
  <c r="CI183" i="3"/>
  <c r="CJ183" i="3"/>
  <c r="CK183" i="3"/>
  <c r="CL183" i="3"/>
  <c r="CN183" i="3"/>
  <c r="CP183" i="3"/>
  <c r="P184" i="3"/>
  <c r="R184" i="3" s="1"/>
  <c r="AL184" i="3"/>
  <c r="AM184" i="3" s="1"/>
  <c r="AX184" i="3"/>
  <c r="P175" i="13" s="1"/>
  <c r="Q175" i="13"/>
  <c r="BB184" i="3"/>
  <c r="S175" i="13" s="1"/>
  <c r="BC184" i="3"/>
  <c r="BD184" i="3"/>
  <c r="T175" i="13"/>
  <c r="U175" i="13"/>
  <c r="CH184" i="3"/>
  <c r="CI184" i="3"/>
  <c r="CJ184" i="3"/>
  <c r="CK184" i="3"/>
  <c r="CL184" i="3"/>
  <c r="CN184" i="3"/>
  <c r="CP184" i="3"/>
  <c r="P185" i="3"/>
  <c r="R185" i="3" s="1"/>
  <c r="AL185" i="3"/>
  <c r="AM185" i="3" s="1"/>
  <c r="AX185" i="3"/>
  <c r="P176" i="13" s="1"/>
  <c r="Q176" i="13"/>
  <c r="BB185" i="3"/>
  <c r="S176" i="13" s="1"/>
  <c r="BC185" i="3"/>
  <c r="BD185" i="3"/>
  <c r="T176" i="13"/>
  <c r="U176" i="13"/>
  <c r="CH185" i="3"/>
  <c r="CI185" i="3"/>
  <c r="CJ185" i="3"/>
  <c r="CK185" i="3"/>
  <c r="CL185" i="3"/>
  <c r="CN185" i="3"/>
  <c r="CP185" i="3"/>
  <c r="P186" i="3"/>
  <c r="R186" i="3" s="1"/>
  <c r="AL186" i="3"/>
  <c r="AM186" i="3" s="1"/>
  <c r="AX186" i="3"/>
  <c r="P177" i="13" s="1"/>
  <c r="Q177" i="13"/>
  <c r="BB186" i="3"/>
  <c r="S177" i="13" s="1"/>
  <c r="BC186" i="3"/>
  <c r="BD186" i="3"/>
  <c r="T177" i="13"/>
  <c r="U177" i="13"/>
  <c r="CH186" i="3"/>
  <c r="CI186" i="3"/>
  <c r="CJ186" i="3"/>
  <c r="CK186" i="3"/>
  <c r="CL186" i="3"/>
  <c r="CN186" i="3"/>
  <c r="CP186" i="3"/>
  <c r="P187" i="3"/>
  <c r="R187" i="3" s="1"/>
  <c r="AL187" i="3"/>
  <c r="AM187" i="3" s="1"/>
  <c r="AX187" i="3"/>
  <c r="P178" i="13" s="1"/>
  <c r="Q178" i="13"/>
  <c r="BB187" i="3"/>
  <c r="S178" i="13" s="1"/>
  <c r="BC187" i="3"/>
  <c r="BD187" i="3"/>
  <c r="T178" i="13"/>
  <c r="U178" i="13"/>
  <c r="CH187" i="3"/>
  <c r="CI187" i="3"/>
  <c r="CJ187" i="3"/>
  <c r="CK187" i="3"/>
  <c r="CL187" i="3"/>
  <c r="CN187" i="3"/>
  <c r="CP187" i="3"/>
  <c r="P188" i="3"/>
  <c r="R188" i="3" s="1"/>
  <c r="I179" i="13"/>
  <c r="AL188" i="3"/>
  <c r="AM188" i="3" s="1"/>
  <c r="AX188" i="3"/>
  <c r="P179" i="13" s="1"/>
  <c r="Q179" i="13"/>
  <c r="BB188" i="3"/>
  <c r="S179" i="13" s="1"/>
  <c r="BC188" i="3"/>
  <c r="BD188" i="3"/>
  <c r="T179" i="13"/>
  <c r="U179" i="13"/>
  <c r="CH188" i="3"/>
  <c r="CI188" i="3"/>
  <c r="CJ188" i="3"/>
  <c r="CK188" i="3"/>
  <c r="CL188" i="3"/>
  <c r="CN188" i="3"/>
  <c r="CP188" i="3"/>
  <c r="P189" i="3"/>
  <c r="R189" i="3" s="1"/>
  <c r="AL189" i="3"/>
  <c r="AM189" i="3" s="1"/>
  <c r="AX189" i="3"/>
  <c r="P180" i="13" s="1"/>
  <c r="BB189" i="3"/>
  <c r="S180" i="13" s="1"/>
  <c r="BC189" i="3"/>
  <c r="BD189" i="3"/>
  <c r="T180" i="13"/>
  <c r="U180" i="13"/>
  <c r="CH189" i="3"/>
  <c r="CI189" i="3"/>
  <c r="CJ189" i="3"/>
  <c r="CK189" i="3"/>
  <c r="CL189" i="3"/>
  <c r="CN189" i="3"/>
  <c r="CP189" i="3"/>
  <c r="P190" i="3"/>
  <c r="R190" i="3" s="1"/>
  <c r="AL190" i="3"/>
  <c r="AM190" i="3" s="1"/>
  <c r="AX190" i="3"/>
  <c r="P181" i="13" s="1"/>
  <c r="Q181" i="13"/>
  <c r="BB190" i="3"/>
  <c r="S181" i="13" s="1"/>
  <c r="BC190" i="3"/>
  <c r="BD190" i="3"/>
  <c r="T181" i="13"/>
  <c r="U181" i="13"/>
  <c r="CH190" i="3"/>
  <c r="CI190" i="3"/>
  <c r="CJ190" i="3"/>
  <c r="CK190" i="3"/>
  <c r="CL190" i="3"/>
  <c r="CN190" i="3"/>
  <c r="CP190" i="3"/>
  <c r="P191" i="3"/>
  <c r="R191" i="3" s="1"/>
  <c r="AL191" i="3"/>
  <c r="AM191" i="3" s="1"/>
  <c r="AX191" i="3"/>
  <c r="P182" i="13" s="1"/>
  <c r="Q182" i="13"/>
  <c r="BB191" i="3"/>
  <c r="S182" i="13" s="1"/>
  <c r="BC191" i="3"/>
  <c r="BD191" i="3"/>
  <c r="T182" i="13"/>
  <c r="U182" i="13"/>
  <c r="CH191" i="3"/>
  <c r="CI191" i="3"/>
  <c r="CJ191" i="3"/>
  <c r="CK191" i="3"/>
  <c r="CL191" i="3"/>
  <c r="CN191" i="3"/>
  <c r="CP191" i="3"/>
  <c r="P192" i="3"/>
  <c r="R192" i="3" s="1"/>
  <c r="I183" i="13"/>
  <c r="AL192" i="3"/>
  <c r="AM192" i="3" s="1"/>
  <c r="AX192" i="3"/>
  <c r="P183" i="13" s="1"/>
  <c r="Q183" i="13"/>
  <c r="BB192" i="3"/>
  <c r="S183" i="13" s="1"/>
  <c r="BC192" i="3"/>
  <c r="BD192" i="3"/>
  <c r="T183" i="13"/>
  <c r="U183" i="13"/>
  <c r="CH192" i="3"/>
  <c r="CI192" i="3"/>
  <c r="CJ192" i="3"/>
  <c r="CK192" i="3"/>
  <c r="CL192" i="3"/>
  <c r="CN192" i="3"/>
  <c r="CP192" i="3"/>
  <c r="P193" i="3"/>
  <c r="R193" i="3" s="1"/>
  <c r="AL193" i="3"/>
  <c r="AM193" i="3" s="1"/>
  <c r="AX193" i="3"/>
  <c r="P184" i="13" s="1"/>
  <c r="BB193" i="3"/>
  <c r="S184" i="13" s="1"/>
  <c r="BC193" i="3"/>
  <c r="BD193" i="3"/>
  <c r="T184" i="13"/>
  <c r="U184" i="13"/>
  <c r="CH193" i="3"/>
  <c r="CI193" i="3"/>
  <c r="CJ193" i="3"/>
  <c r="CK193" i="3"/>
  <c r="CL193" i="3"/>
  <c r="CN193" i="3"/>
  <c r="CP193" i="3"/>
  <c r="L194" i="3"/>
  <c r="P194" i="3"/>
  <c r="R194" i="3" s="1"/>
  <c r="AL194" i="3"/>
  <c r="AM194" i="3" s="1"/>
  <c r="AX194" i="3"/>
  <c r="P185" i="13" s="1"/>
  <c r="BB194" i="3"/>
  <c r="S185" i="13" s="1"/>
  <c r="BC194" i="3"/>
  <c r="BD194" i="3"/>
  <c r="T185" i="13"/>
  <c r="U185" i="13"/>
  <c r="CH194" i="3"/>
  <c r="CI194" i="3"/>
  <c r="CJ194" i="3"/>
  <c r="CK194" i="3"/>
  <c r="CL194" i="3"/>
  <c r="CN194" i="3"/>
  <c r="CP194" i="3"/>
  <c r="L195" i="3"/>
  <c r="P195" i="3"/>
  <c r="R195" i="3" s="1"/>
  <c r="AL195" i="3"/>
  <c r="AM195" i="3" s="1"/>
  <c r="AX195" i="3"/>
  <c r="P186" i="13" s="1"/>
  <c r="BB195" i="3"/>
  <c r="S186" i="13" s="1"/>
  <c r="BC195" i="3"/>
  <c r="BD195" i="3"/>
  <c r="T186" i="13"/>
  <c r="U186" i="13"/>
  <c r="CH195" i="3"/>
  <c r="CI195" i="3"/>
  <c r="CJ195" i="3"/>
  <c r="CK195" i="3"/>
  <c r="CL195" i="3"/>
  <c r="CN195" i="3"/>
  <c r="CP195" i="3"/>
  <c r="L196" i="3"/>
  <c r="P196" i="3"/>
  <c r="R196" i="3" s="1"/>
  <c r="AL196" i="3"/>
  <c r="AM196" i="3" s="1"/>
  <c r="AX196" i="3"/>
  <c r="P187" i="13" s="1"/>
  <c r="BB196" i="3"/>
  <c r="S187" i="13" s="1"/>
  <c r="BC196" i="3"/>
  <c r="BD196" i="3"/>
  <c r="T187" i="13"/>
  <c r="U187" i="13"/>
  <c r="CH196" i="3"/>
  <c r="CI196" i="3"/>
  <c r="CJ196" i="3"/>
  <c r="CK196" i="3"/>
  <c r="CL196" i="3"/>
  <c r="CN196" i="3"/>
  <c r="CP196" i="3"/>
  <c r="L197" i="3"/>
  <c r="P197" i="3"/>
  <c r="R197" i="3" s="1"/>
  <c r="AL197" i="3"/>
  <c r="AM197" i="3" s="1"/>
  <c r="AX197" i="3"/>
  <c r="P188" i="13" s="1"/>
  <c r="BB197" i="3"/>
  <c r="S188" i="13" s="1"/>
  <c r="BC197" i="3"/>
  <c r="BD197" i="3"/>
  <c r="T188" i="13"/>
  <c r="U188" i="13"/>
  <c r="CH197" i="3"/>
  <c r="CI197" i="3"/>
  <c r="CJ197" i="3"/>
  <c r="CK197" i="3"/>
  <c r="CL197" i="3"/>
  <c r="CN197" i="3"/>
  <c r="CP197" i="3"/>
  <c r="L198" i="3"/>
  <c r="P198" i="3"/>
  <c r="R198" i="3" s="1"/>
  <c r="AL198" i="3"/>
  <c r="AM198" i="3" s="1"/>
  <c r="AX198" i="3"/>
  <c r="P189" i="13" s="1"/>
  <c r="BB198" i="3"/>
  <c r="S189" i="13" s="1"/>
  <c r="BC198" i="3"/>
  <c r="BD198" i="3"/>
  <c r="T189" i="13"/>
  <c r="U189" i="13"/>
  <c r="CH198" i="3"/>
  <c r="CI198" i="3"/>
  <c r="CJ198" i="3"/>
  <c r="CK198" i="3"/>
  <c r="CL198" i="3"/>
  <c r="CN198" i="3"/>
  <c r="CP198" i="3"/>
  <c r="L199" i="3"/>
  <c r="P199" i="3"/>
  <c r="R199" i="3" s="1"/>
  <c r="Q190" i="13"/>
  <c r="AL199" i="3"/>
  <c r="AM199" i="3" s="1"/>
  <c r="AX199" i="3"/>
  <c r="P190" i="13" s="1"/>
  <c r="BB199" i="3"/>
  <c r="S190" i="13" s="1"/>
  <c r="BC199" i="3"/>
  <c r="BD199" i="3"/>
  <c r="T190" i="13"/>
  <c r="U190" i="13"/>
  <c r="CH199" i="3"/>
  <c r="CI199" i="3"/>
  <c r="CJ199" i="3"/>
  <c r="CK199" i="3"/>
  <c r="CL199" i="3"/>
  <c r="CN199" i="3"/>
  <c r="CP199" i="3"/>
  <c r="L200" i="3"/>
  <c r="P200" i="3"/>
  <c r="R200" i="3" s="1"/>
  <c r="Q191" i="13"/>
  <c r="AL200" i="3"/>
  <c r="AM200" i="3" s="1"/>
  <c r="AX200" i="3"/>
  <c r="P191" i="13" s="1"/>
  <c r="BB200" i="3"/>
  <c r="S191" i="13" s="1"/>
  <c r="BC200" i="3"/>
  <c r="BD200" i="3"/>
  <c r="T191" i="13"/>
  <c r="U191" i="13"/>
  <c r="CH200" i="3"/>
  <c r="CI200" i="3"/>
  <c r="CJ200" i="3"/>
  <c r="CK200" i="3"/>
  <c r="CL200" i="3"/>
  <c r="CN200" i="3"/>
  <c r="CP200" i="3"/>
  <c r="L201" i="3"/>
  <c r="P201" i="3"/>
  <c r="R201" i="3" s="1"/>
  <c r="Q192" i="13"/>
  <c r="AL201" i="3"/>
  <c r="AM201" i="3" s="1"/>
  <c r="AX201" i="3"/>
  <c r="P192" i="13" s="1"/>
  <c r="BB201" i="3"/>
  <c r="S192" i="13" s="1"/>
  <c r="BC201" i="3"/>
  <c r="BD201" i="3"/>
  <c r="T192" i="13"/>
  <c r="U192" i="13"/>
  <c r="CH201" i="3"/>
  <c r="CI201" i="3"/>
  <c r="CJ201" i="3"/>
  <c r="CK201" i="3"/>
  <c r="CL201" i="3"/>
  <c r="CN201" i="3"/>
  <c r="CP201" i="3"/>
  <c r="L202" i="3"/>
  <c r="P202" i="3"/>
  <c r="R202" i="3" s="1"/>
  <c r="Q193" i="13"/>
  <c r="AL202" i="3"/>
  <c r="AM202" i="3" s="1"/>
  <c r="AX202" i="3"/>
  <c r="P193" i="13" s="1"/>
  <c r="BB202" i="3"/>
  <c r="S193" i="13" s="1"/>
  <c r="BC202" i="3"/>
  <c r="BD202" i="3"/>
  <c r="T193" i="13"/>
  <c r="U193" i="13"/>
  <c r="CH202" i="3"/>
  <c r="CI202" i="3"/>
  <c r="CJ202" i="3"/>
  <c r="CK202" i="3"/>
  <c r="CL202" i="3"/>
  <c r="CN202" i="3"/>
  <c r="CP202" i="3"/>
  <c r="L203" i="3"/>
  <c r="P203" i="3"/>
  <c r="R203" i="3" s="1"/>
  <c r="Q194" i="13"/>
  <c r="AL203" i="3"/>
  <c r="AM203" i="3" s="1"/>
  <c r="AX203" i="3"/>
  <c r="P194" i="13" s="1"/>
  <c r="BB203" i="3"/>
  <c r="S194" i="13" s="1"/>
  <c r="BC203" i="3"/>
  <c r="BD203" i="3"/>
  <c r="T194" i="13"/>
  <c r="U194" i="13"/>
  <c r="CH203" i="3"/>
  <c r="CI203" i="3"/>
  <c r="CJ203" i="3"/>
  <c r="CK203" i="3"/>
  <c r="CL203" i="3"/>
  <c r="CN203" i="3"/>
  <c r="CP203" i="3"/>
  <c r="L204" i="3"/>
  <c r="P204" i="3"/>
  <c r="R204" i="3" s="1"/>
  <c r="Q195" i="13"/>
  <c r="AL204" i="3"/>
  <c r="AM204" i="3" s="1"/>
  <c r="AX204" i="3"/>
  <c r="P195" i="13" s="1"/>
  <c r="BB204" i="3"/>
  <c r="S195" i="13" s="1"/>
  <c r="BC204" i="3"/>
  <c r="BD204" i="3"/>
  <c r="T195" i="13"/>
  <c r="U195" i="13"/>
  <c r="CH204" i="3"/>
  <c r="CI204" i="3"/>
  <c r="CJ204" i="3"/>
  <c r="CK204" i="3"/>
  <c r="CL204" i="3"/>
  <c r="CN204" i="3"/>
  <c r="CP204" i="3"/>
  <c r="L205" i="3"/>
  <c r="P205" i="3"/>
  <c r="R205" i="3" s="1"/>
  <c r="Q196" i="13"/>
  <c r="AL205" i="3"/>
  <c r="AM205" i="3" s="1"/>
  <c r="AX205" i="3"/>
  <c r="P196" i="13" s="1"/>
  <c r="BB205" i="3"/>
  <c r="S196" i="13" s="1"/>
  <c r="BC205" i="3"/>
  <c r="BD205" i="3"/>
  <c r="T196" i="13"/>
  <c r="U196" i="13"/>
  <c r="CH205" i="3"/>
  <c r="CI205" i="3"/>
  <c r="CJ205" i="3"/>
  <c r="CK205" i="3"/>
  <c r="CL205" i="3"/>
  <c r="CN205" i="3"/>
  <c r="CP205" i="3"/>
  <c r="L206" i="3"/>
  <c r="P206" i="3"/>
  <c r="R206" i="3" s="1"/>
  <c r="Q197" i="13"/>
  <c r="AL206" i="3"/>
  <c r="AM206" i="3" s="1"/>
  <c r="AX206" i="3"/>
  <c r="P197" i="13" s="1"/>
  <c r="BB206" i="3"/>
  <c r="S197" i="13" s="1"/>
  <c r="BC206" i="3"/>
  <c r="BD206" i="3"/>
  <c r="T197" i="13"/>
  <c r="U197" i="13"/>
  <c r="CH206" i="3"/>
  <c r="CI206" i="3"/>
  <c r="CJ206" i="3"/>
  <c r="CK206" i="3"/>
  <c r="CL206" i="3"/>
  <c r="CN206" i="3"/>
  <c r="CP206" i="3"/>
  <c r="L207" i="3"/>
  <c r="P207" i="3"/>
  <c r="R207" i="3" s="1"/>
  <c r="Q198" i="13"/>
  <c r="AL207" i="3"/>
  <c r="AM207" i="3" s="1"/>
  <c r="AX207" i="3"/>
  <c r="P198" i="13" s="1"/>
  <c r="BB207" i="3"/>
  <c r="S198" i="13" s="1"/>
  <c r="BC207" i="3"/>
  <c r="BD207" i="3"/>
  <c r="T198" i="13"/>
  <c r="U198" i="13"/>
  <c r="CH207" i="3"/>
  <c r="CI207" i="3"/>
  <c r="CJ207" i="3"/>
  <c r="CK207" i="3"/>
  <c r="CL207" i="3"/>
  <c r="CN207" i="3"/>
  <c r="CP207" i="3"/>
  <c r="L208" i="3"/>
  <c r="P208" i="3"/>
  <c r="R208" i="3" s="1"/>
  <c r="Q199" i="13"/>
  <c r="AL208" i="3"/>
  <c r="AM208" i="3" s="1"/>
  <c r="AX208" i="3"/>
  <c r="P199" i="13" s="1"/>
  <c r="BB208" i="3"/>
  <c r="S199" i="13" s="1"/>
  <c r="BC208" i="3"/>
  <c r="BD208" i="3"/>
  <c r="T199" i="13"/>
  <c r="U199" i="13"/>
  <c r="CH208" i="3"/>
  <c r="CI208" i="3"/>
  <c r="CJ208" i="3"/>
  <c r="CK208" i="3"/>
  <c r="CL208" i="3"/>
  <c r="CN208" i="3"/>
  <c r="CP208" i="3"/>
  <c r="L209" i="3"/>
  <c r="P209" i="3"/>
  <c r="R209" i="3" s="1"/>
  <c r="Q200" i="13"/>
  <c r="AL209" i="3"/>
  <c r="AM209" i="3" s="1"/>
  <c r="AX209" i="3"/>
  <c r="P200" i="13" s="1"/>
  <c r="BB209" i="3"/>
  <c r="S200" i="13" s="1"/>
  <c r="BC209" i="3"/>
  <c r="BD209" i="3"/>
  <c r="T200" i="13"/>
  <c r="U200" i="13"/>
  <c r="CH209" i="3"/>
  <c r="CI209" i="3"/>
  <c r="CJ209" i="3"/>
  <c r="CK209" i="3"/>
  <c r="CL209" i="3"/>
  <c r="CN209" i="3"/>
  <c r="CP209" i="3"/>
  <c r="L210" i="3"/>
  <c r="P210" i="3"/>
  <c r="R210" i="3" s="1"/>
  <c r="Q201" i="13"/>
  <c r="AL210" i="3"/>
  <c r="AM210" i="3" s="1"/>
  <c r="AX210" i="3"/>
  <c r="P201" i="13" s="1"/>
  <c r="BB210" i="3"/>
  <c r="S201" i="13" s="1"/>
  <c r="BC210" i="3"/>
  <c r="BD210" i="3"/>
  <c r="T201" i="13"/>
  <c r="U201" i="13"/>
  <c r="CH210" i="3"/>
  <c r="CI210" i="3"/>
  <c r="CJ210" i="3"/>
  <c r="CK210" i="3"/>
  <c r="CL210" i="3"/>
  <c r="CN210" i="3"/>
  <c r="CP210" i="3"/>
  <c r="L211" i="3"/>
  <c r="P211" i="3"/>
  <c r="R211" i="3" s="1"/>
  <c r="Q202" i="13"/>
  <c r="AL211" i="3"/>
  <c r="AM211" i="3" s="1"/>
  <c r="AX211" i="3"/>
  <c r="P202" i="13" s="1"/>
  <c r="BB211" i="3"/>
  <c r="S202" i="13" s="1"/>
  <c r="BC211" i="3"/>
  <c r="BD211" i="3"/>
  <c r="T202" i="13"/>
  <c r="U202" i="13"/>
  <c r="CH211" i="3"/>
  <c r="CI211" i="3"/>
  <c r="CJ211" i="3"/>
  <c r="CK211" i="3"/>
  <c r="CL211" i="3"/>
  <c r="CN211" i="3"/>
  <c r="CP211" i="3"/>
  <c r="L212" i="3"/>
  <c r="P212" i="3"/>
  <c r="R212" i="3" s="1"/>
  <c r="Q203" i="13"/>
  <c r="AL212" i="3"/>
  <c r="AM212" i="3" s="1"/>
  <c r="AX212" i="3"/>
  <c r="P203" i="13" s="1"/>
  <c r="BB212" i="3"/>
  <c r="S203" i="13" s="1"/>
  <c r="BC212" i="3"/>
  <c r="BD212" i="3"/>
  <c r="T203" i="13"/>
  <c r="U203" i="13"/>
  <c r="CH212" i="3"/>
  <c r="CI212" i="3"/>
  <c r="CJ212" i="3"/>
  <c r="CK212" i="3"/>
  <c r="CL212" i="3"/>
  <c r="CN212" i="3"/>
  <c r="CP212" i="3"/>
  <c r="L213" i="3"/>
  <c r="P213" i="3"/>
  <c r="R213" i="3" s="1"/>
  <c r="Q204" i="13"/>
  <c r="AL213" i="3"/>
  <c r="AM213" i="3" s="1"/>
  <c r="AX213" i="3"/>
  <c r="P204" i="13" s="1"/>
  <c r="BB213" i="3"/>
  <c r="S204" i="13" s="1"/>
  <c r="BC213" i="3"/>
  <c r="BD213" i="3"/>
  <c r="T204" i="13"/>
  <c r="U204" i="13"/>
  <c r="CH213" i="3"/>
  <c r="CI213" i="3"/>
  <c r="CJ213" i="3"/>
  <c r="CK213" i="3"/>
  <c r="CL213" i="3"/>
  <c r="CN213" i="3"/>
  <c r="CP213" i="3"/>
  <c r="L214" i="3"/>
  <c r="P214" i="3"/>
  <c r="R214" i="3" s="1"/>
  <c r="Q205" i="13"/>
  <c r="AL214" i="3"/>
  <c r="AM214" i="3" s="1"/>
  <c r="AX214" i="3"/>
  <c r="P205" i="13" s="1"/>
  <c r="BB214" i="3"/>
  <c r="S205" i="13" s="1"/>
  <c r="BC214" i="3"/>
  <c r="BD214" i="3"/>
  <c r="T205" i="13"/>
  <c r="U205" i="13"/>
  <c r="CH214" i="3"/>
  <c r="CI214" i="3"/>
  <c r="CJ214" i="3"/>
  <c r="CK214" i="3"/>
  <c r="CL214" i="3"/>
  <c r="CN214" i="3"/>
  <c r="CP214" i="3"/>
  <c r="L215" i="3"/>
  <c r="P215" i="3"/>
  <c r="R215" i="3" s="1"/>
  <c r="Q206" i="13"/>
  <c r="AL215" i="3"/>
  <c r="AM215" i="3" s="1"/>
  <c r="AX215" i="3"/>
  <c r="P206" i="13" s="1"/>
  <c r="BB215" i="3"/>
  <c r="S206" i="13" s="1"/>
  <c r="BC215" i="3"/>
  <c r="BD215" i="3"/>
  <c r="T206" i="13"/>
  <c r="U206" i="13"/>
  <c r="CH215" i="3"/>
  <c r="CI215" i="3"/>
  <c r="CJ215" i="3"/>
  <c r="CK215" i="3"/>
  <c r="CL215" i="3"/>
  <c r="CN215" i="3"/>
  <c r="CP215" i="3"/>
  <c r="L216" i="3"/>
  <c r="P216" i="3"/>
  <c r="R216" i="3" s="1"/>
  <c r="Q207" i="13"/>
  <c r="AL216" i="3"/>
  <c r="AM216" i="3" s="1"/>
  <c r="AX216" i="3"/>
  <c r="P207" i="13" s="1"/>
  <c r="BB216" i="3"/>
  <c r="S207" i="13" s="1"/>
  <c r="BC216" i="3"/>
  <c r="BD216" i="3"/>
  <c r="T207" i="13"/>
  <c r="U207" i="13"/>
  <c r="CH216" i="3"/>
  <c r="CI216" i="3"/>
  <c r="CJ216" i="3"/>
  <c r="CK216" i="3"/>
  <c r="CL216" i="3"/>
  <c r="CN216" i="3"/>
  <c r="CP216" i="3"/>
  <c r="L217" i="3"/>
  <c r="P217" i="3"/>
  <c r="R217" i="3" s="1"/>
  <c r="Q208" i="13"/>
  <c r="AL217" i="3"/>
  <c r="AM217" i="3" s="1"/>
  <c r="AX217" i="3"/>
  <c r="P208" i="13" s="1"/>
  <c r="BB217" i="3"/>
  <c r="S208" i="13" s="1"/>
  <c r="BC217" i="3"/>
  <c r="BD217" i="3"/>
  <c r="T208" i="13"/>
  <c r="U208" i="13"/>
  <c r="CH217" i="3"/>
  <c r="CI217" i="3"/>
  <c r="CJ217" i="3"/>
  <c r="CK217" i="3"/>
  <c r="CL217" i="3"/>
  <c r="CN217" i="3"/>
  <c r="CP217" i="3"/>
  <c r="L218" i="3"/>
  <c r="P218" i="3"/>
  <c r="R218" i="3" s="1"/>
  <c r="Q209" i="13"/>
  <c r="AL218" i="3"/>
  <c r="AM218" i="3" s="1"/>
  <c r="AX218" i="3"/>
  <c r="P209" i="13" s="1"/>
  <c r="BB218" i="3"/>
  <c r="S209" i="13" s="1"/>
  <c r="BC218" i="3"/>
  <c r="BD218" i="3"/>
  <c r="T209" i="13"/>
  <c r="U209" i="13"/>
  <c r="CH218" i="3"/>
  <c r="CI218" i="3"/>
  <c r="CJ218" i="3"/>
  <c r="CK218" i="3"/>
  <c r="CL218" i="3"/>
  <c r="CN218" i="3"/>
  <c r="CP218" i="3"/>
  <c r="L219" i="3"/>
  <c r="P219" i="3"/>
  <c r="R219" i="3" s="1"/>
  <c r="Q210" i="13"/>
  <c r="AL219" i="3"/>
  <c r="AM219" i="3" s="1"/>
  <c r="AX219" i="3"/>
  <c r="P210" i="13" s="1"/>
  <c r="BB219" i="3"/>
  <c r="S210" i="13" s="1"/>
  <c r="BC219" i="3"/>
  <c r="BD219" i="3"/>
  <c r="T210" i="13"/>
  <c r="U210" i="13"/>
  <c r="CH219" i="3"/>
  <c r="CI219" i="3"/>
  <c r="CJ219" i="3"/>
  <c r="CK219" i="3"/>
  <c r="CL219" i="3"/>
  <c r="CN219" i="3"/>
  <c r="CP219" i="3"/>
  <c r="L220" i="3"/>
  <c r="P220" i="3"/>
  <c r="R220" i="3" s="1"/>
  <c r="Q211" i="13"/>
  <c r="AL220" i="3"/>
  <c r="AM220" i="3" s="1"/>
  <c r="AX220" i="3"/>
  <c r="P211" i="13" s="1"/>
  <c r="BB220" i="3"/>
  <c r="S211" i="13" s="1"/>
  <c r="BC220" i="3"/>
  <c r="BD220" i="3"/>
  <c r="T211" i="13"/>
  <c r="U211" i="13"/>
  <c r="CH220" i="3"/>
  <c r="CI220" i="3"/>
  <c r="CJ220" i="3"/>
  <c r="CK220" i="3"/>
  <c r="CL220" i="3"/>
  <c r="CN220" i="3"/>
  <c r="CP220" i="3"/>
  <c r="L221" i="3"/>
  <c r="P221" i="3"/>
  <c r="R221" i="3" s="1"/>
  <c r="Q212" i="13"/>
  <c r="AL221" i="3"/>
  <c r="AM221" i="3" s="1"/>
  <c r="AX221" i="3"/>
  <c r="P212" i="13" s="1"/>
  <c r="BB221" i="3"/>
  <c r="S212" i="13" s="1"/>
  <c r="BC221" i="3"/>
  <c r="BD221" i="3"/>
  <c r="T212" i="13"/>
  <c r="U212" i="13"/>
  <c r="CH221" i="3"/>
  <c r="CI221" i="3"/>
  <c r="CJ221" i="3"/>
  <c r="CK221" i="3"/>
  <c r="CL221" i="3"/>
  <c r="CN221" i="3"/>
  <c r="CP221" i="3"/>
  <c r="L222" i="3"/>
  <c r="P222" i="3"/>
  <c r="R222" i="3" s="1"/>
  <c r="Q213" i="13"/>
  <c r="AL222" i="3"/>
  <c r="AM222" i="3" s="1"/>
  <c r="AX222" i="3"/>
  <c r="P213" i="13" s="1"/>
  <c r="BB222" i="3"/>
  <c r="S213" i="13" s="1"/>
  <c r="BC222" i="3"/>
  <c r="BD222" i="3"/>
  <c r="T213" i="13"/>
  <c r="U213" i="13"/>
  <c r="CH222" i="3"/>
  <c r="CI222" i="3"/>
  <c r="CJ222" i="3"/>
  <c r="CK222" i="3"/>
  <c r="CL222" i="3"/>
  <c r="CN222" i="3"/>
  <c r="CP222" i="3"/>
  <c r="L223" i="3"/>
  <c r="P223" i="3"/>
  <c r="R223" i="3" s="1"/>
  <c r="Q214" i="13"/>
  <c r="AL223" i="3"/>
  <c r="AM223" i="3" s="1"/>
  <c r="AX223" i="3"/>
  <c r="P214" i="13" s="1"/>
  <c r="BB223" i="3"/>
  <c r="S214" i="13" s="1"/>
  <c r="BC223" i="3"/>
  <c r="BD223" i="3"/>
  <c r="T214" i="13"/>
  <c r="U214" i="13"/>
  <c r="CH223" i="3"/>
  <c r="CI223" i="3"/>
  <c r="CJ223" i="3"/>
  <c r="CK223" i="3"/>
  <c r="CL223" i="3"/>
  <c r="CN223" i="3"/>
  <c r="CP223" i="3"/>
  <c r="L224" i="3"/>
  <c r="P224" i="3"/>
  <c r="R224" i="3" s="1"/>
  <c r="Q215" i="13"/>
  <c r="AL224" i="3"/>
  <c r="AM224" i="3" s="1"/>
  <c r="AX224" i="3"/>
  <c r="P215" i="13" s="1"/>
  <c r="BB224" i="3"/>
  <c r="S215" i="13" s="1"/>
  <c r="BC224" i="3"/>
  <c r="BD224" i="3"/>
  <c r="T215" i="13"/>
  <c r="U215" i="13"/>
  <c r="CH224" i="3"/>
  <c r="CI224" i="3"/>
  <c r="CJ224" i="3"/>
  <c r="CK224" i="3"/>
  <c r="CL224" i="3"/>
  <c r="CN224" i="3"/>
  <c r="CP224" i="3"/>
  <c r="L225" i="3"/>
  <c r="P225" i="3"/>
  <c r="R225" i="3" s="1"/>
  <c r="Q216" i="13"/>
  <c r="AL225" i="3"/>
  <c r="AM225" i="3" s="1"/>
  <c r="AX225" i="3"/>
  <c r="P216" i="13" s="1"/>
  <c r="BB225" i="3"/>
  <c r="S216" i="13" s="1"/>
  <c r="BC225" i="3"/>
  <c r="BD225" i="3"/>
  <c r="T216" i="13"/>
  <c r="U216" i="13"/>
  <c r="CH225" i="3"/>
  <c r="CI225" i="3"/>
  <c r="CJ225" i="3"/>
  <c r="CK225" i="3"/>
  <c r="CL225" i="3"/>
  <c r="CN225" i="3"/>
  <c r="CP225" i="3"/>
  <c r="L226" i="3"/>
  <c r="P226" i="3"/>
  <c r="R226" i="3" s="1"/>
  <c r="AL226" i="3"/>
  <c r="AM226" i="3" s="1"/>
  <c r="AX226" i="3"/>
  <c r="P217" i="13" s="1"/>
  <c r="Q217" i="13"/>
  <c r="BB226" i="3"/>
  <c r="S217" i="13" s="1"/>
  <c r="BC226" i="3"/>
  <c r="BD226" i="3"/>
  <c r="T217" i="13"/>
  <c r="U217" i="13"/>
  <c r="CH226" i="3"/>
  <c r="CI226" i="3"/>
  <c r="CJ226" i="3"/>
  <c r="CK226" i="3"/>
  <c r="CL226" i="3"/>
  <c r="CN226" i="3"/>
  <c r="CP226" i="3"/>
  <c r="L227" i="3"/>
  <c r="P227" i="3"/>
  <c r="R227" i="3" s="1"/>
  <c r="AL227" i="3"/>
  <c r="AM227" i="3" s="1"/>
  <c r="AX227" i="3"/>
  <c r="P218" i="13" s="1"/>
  <c r="Q218" i="13"/>
  <c r="BB227" i="3"/>
  <c r="S218" i="13" s="1"/>
  <c r="BC227" i="3"/>
  <c r="BD227" i="3"/>
  <c r="T218" i="13"/>
  <c r="U218" i="13"/>
  <c r="CH227" i="3"/>
  <c r="CI227" i="3"/>
  <c r="CJ227" i="3"/>
  <c r="CK227" i="3"/>
  <c r="CL227" i="3"/>
  <c r="CN227" i="3"/>
  <c r="CP227" i="3"/>
  <c r="L228" i="3"/>
  <c r="P228" i="3"/>
  <c r="R228" i="3" s="1"/>
  <c r="AL228" i="3"/>
  <c r="AM228" i="3" s="1"/>
  <c r="AX228" i="3"/>
  <c r="P219" i="13" s="1"/>
  <c r="Q219" i="13"/>
  <c r="BB228" i="3"/>
  <c r="S219" i="13" s="1"/>
  <c r="BC228" i="3"/>
  <c r="BD228" i="3"/>
  <c r="T219" i="13"/>
  <c r="U219" i="13"/>
  <c r="CH228" i="3"/>
  <c r="CI228" i="3"/>
  <c r="CJ228" i="3"/>
  <c r="CK228" i="3"/>
  <c r="CL228" i="3"/>
  <c r="CN228" i="3"/>
  <c r="CP228" i="3"/>
  <c r="L229" i="3"/>
  <c r="P229" i="3"/>
  <c r="R229" i="3" s="1"/>
  <c r="AL229" i="3"/>
  <c r="AM229" i="3" s="1"/>
  <c r="AX229" i="3"/>
  <c r="P220" i="13" s="1"/>
  <c r="Q220" i="13"/>
  <c r="BB229" i="3"/>
  <c r="S220" i="13" s="1"/>
  <c r="BC229" i="3"/>
  <c r="BD229" i="3"/>
  <c r="T220" i="13"/>
  <c r="U220" i="13"/>
  <c r="CH229" i="3"/>
  <c r="CI229" i="3"/>
  <c r="CJ229" i="3"/>
  <c r="CK229" i="3"/>
  <c r="CL229" i="3"/>
  <c r="CN229" i="3"/>
  <c r="CP229" i="3"/>
  <c r="L230" i="3"/>
  <c r="P230" i="3"/>
  <c r="R230" i="3" s="1"/>
  <c r="AL230" i="3"/>
  <c r="AM230" i="3" s="1"/>
  <c r="AX230" i="3"/>
  <c r="P221" i="13" s="1"/>
  <c r="Q221" i="13"/>
  <c r="BB230" i="3"/>
  <c r="S221" i="13" s="1"/>
  <c r="BC230" i="3"/>
  <c r="BD230" i="3"/>
  <c r="T221" i="13"/>
  <c r="U221" i="13"/>
  <c r="CH230" i="3"/>
  <c r="CI230" i="3"/>
  <c r="CJ230" i="3"/>
  <c r="CK230" i="3"/>
  <c r="CL230" i="3"/>
  <c r="CN230" i="3"/>
  <c r="CP230" i="3"/>
  <c r="L231" i="3"/>
  <c r="P231" i="3"/>
  <c r="R231" i="3" s="1"/>
  <c r="AL231" i="3"/>
  <c r="AM231" i="3" s="1"/>
  <c r="AX231" i="3"/>
  <c r="P222" i="13" s="1"/>
  <c r="Q222" i="13"/>
  <c r="BB231" i="3"/>
  <c r="S222" i="13" s="1"/>
  <c r="BC231" i="3"/>
  <c r="BD231" i="3"/>
  <c r="T222" i="13"/>
  <c r="U222" i="13"/>
  <c r="CH231" i="3"/>
  <c r="CI231" i="3"/>
  <c r="CJ231" i="3"/>
  <c r="CK231" i="3"/>
  <c r="CL231" i="3"/>
  <c r="CN231" i="3"/>
  <c r="CP231" i="3"/>
  <c r="L232" i="3"/>
  <c r="P232" i="3"/>
  <c r="R232" i="3" s="1"/>
  <c r="AL232" i="3"/>
  <c r="AM232" i="3" s="1"/>
  <c r="AX232" i="3"/>
  <c r="P223" i="13" s="1"/>
  <c r="Q223" i="13"/>
  <c r="BB232" i="3"/>
  <c r="S223" i="13" s="1"/>
  <c r="BC232" i="3"/>
  <c r="BD232" i="3"/>
  <c r="T223" i="13"/>
  <c r="U223" i="13"/>
  <c r="CH232" i="3"/>
  <c r="CI232" i="3"/>
  <c r="CJ232" i="3"/>
  <c r="CK232" i="3"/>
  <c r="CL232" i="3"/>
  <c r="CN232" i="3"/>
  <c r="CP232" i="3"/>
  <c r="L233" i="3"/>
  <c r="P233" i="3"/>
  <c r="R233" i="3" s="1"/>
  <c r="AL233" i="3"/>
  <c r="AM233" i="3" s="1"/>
  <c r="AX233" i="3"/>
  <c r="P224" i="13" s="1"/>
  <c r="Q224" i="13"/>
  <c r="BB233" i="3"/>
  <c r="S224" i="13" s="1"/>
  <c r="BC233" i="3"/>
  <c r="BD233" i="3"/>
  <c r="T224" i="13"/>
  <c r="U224" i="13"/>
  <c r="CH233" i="3"/>
  <c r="CI233" i="3"/>
  <c r="CJ233" i="3"/>
  <c r="CK233" i="3"/>
  <c r="CL233" i="3"/>
  <c r="CN233" i="3"/>
  <c r="CP233" i="3"/>
  <c r="L234" i="3"/>
  <c r="P234" i="3"/>
  <c r="R234" i="3" s="1"/>
  <c r="AL234" i="3"/>
  <c r="AM234" i="3" s="1"/>
  <c r="AX234" i="3"/>
  <c r="P225" i="13" s="1"/>
  <c r="Q225" i="13"/>
  <c r="BB234" i="3"/>
  <c r="S225" i="13" s="1"/>
  <c r="BC234" i="3"/>
  <c r="BD234" i="3"/>
  <c r="T225" i="13"/>
  <c r="U225" i="13"/>
  <c r="CH234" i="3"/>
  <c r="CI234" i="3"/>
  <c r="CJ234" i="3"/>
  <c r="CK234" i="3"/>
  <c r="CL234" i="3"/>
  <c r="CN234" i="3"/>
  <c r="CP234" i="3"/>
  <c r="L235" i="3"/>
  <c r="P235" i="3"/>
  <c r="R235" i="3" s="1"/>
  <c r="AL235" i="3"/>
  <c r="AM235" i="3" s="1"/>
  <c r="AX235" i="3"/>
  <c r="P226" i="13" s="1"/>
  <c r="Q226" i="13"/>
  <c r="BB235" i="3"/>
  <c r="S226" i="13" s="1"/>
  <c r="BC235" i="3"/>
  <c r="BD235" i="3"/>
  <c r="T226" i="13"/>
  <c r="U226" i="13"/>
  <c r="CH235" i="3"/>
  <c r="CI235" i="3"/>
  <c r="CJ235" i="3"/>
  <c r="CK235" i="3"/>
  <c r="CL235" i="3"/>
  <c r="CN235" i="3"/>
  <c r="CP235" i="3"/>
  <c r="L236" i="3"/>
  <c r="P236" i="3"/>
  <c r="R236" i="3" s="1"/>
  <c r="AL236" i="3"/>
  <c r="AM236" i="3" s="1"/>
  <c r="AX236" i="3"/>
  <c r="P227" i="13" s="1"/>
  <c r="Q227" i="13"/>
  <c r="BB236" i="3"/>
  <c r="S227" i="13" s="1"/>
  <c r="BC236" i="3"/>
  <c r="BD236" i="3"/>
  <c r="T227" i="13"/>
  <c r="U227" i="13"/>
  <c r="CH236" i="3"/>
  <c r="CI236" i="3"/>
  <c r="CJ236" i="3"/>
  <c r="CK236" i="3"/>
  <c r="CL236" i="3"/>
  <c r="CN236" i="3"/>
  <c r="CP236" i="3"/>
  <c r="L237" i="3"/>
  <c r="P237" i="3"/>
  <c r="R237" i="3" s="1"/>
  <c r="AL237" i="3"/>
  <c r="AM237" i="3" s="1"/>
  <c r="AX237" i="3"/>
  <c r="P228" i="13" s="1"/>
  <c r="Q228" i="13"/>
  <c r="BB237" i="3"/>
  <c r="S228" i="13" s="1"/>
  <c r="BC237" i="3"/>
  <c r="BD237" i="3"/>
  <c r="T228" i="13"/>
  <c r="U228" i="13"/>
  <c r="CH237" i="3"/>
  <c r="CI237" i="3"/>
  <c r="CJ237" i="3"/>
  <c r="CK237" i="3"/>
  <c r="CL237" i="3"/>
  <c r="CN237" i="3"/>
  <c r="CP237" i="3"/>
  <c r="L238" i="3"/>
  <c r="P238" i="3"/>
  <c r="R238" i="3" s="1"/>
  <c r="AL238" i="3"/>
  <c r="AM238" i="3" s="1"/>
  <c r="AX238" i="3"/>
  <c r="P229" i="13" s="1"/>
  <c r="Q229" i="13"/>
  <c r="BB238" i="3"/>
  <c r="S229" i="13" s="1"/>
  <c r="BC238" i="3"/>
  <c r="BD238" i="3"/>
  <c r="T229" i="13"/>
  <c r="U229" i="13"/>
  <c r="CH238" i="3"/>
  <c r="CI238" i="3"/>
  <c r="CJ238" i="3"/>
  <c r="CK238" i="3"/>
  <c r="CL238" i="3"/>
  <c r="CN238" i="3"/>
  <c r="CP238" i="3"/>
  <c r="L239" i="3"/>
  <c r="P239" i="3"/>
  <c r="R239" i="3" s="1"/>
  <c r="AL239" i="3"/>
  <c r="AM239" i="3" s="1"/>
  <c r="AX239" i="3"/>
  <c r="P230" i="13" s="1"/>
  <c r="Q230" i="13"/>
  <c r="BB239" i="3"/>
  <c r="S230" i="13" s="1"/>
  <c r="BC239" i="3"/>
  <c r="BD239" i="3"/>
  <c r="T230" i="13"/>
  <c r="U230" i="13"/>
  <c r="CH239" i="3"/>
  <c r="CI239" i="3"/>
  <c r="CJ239" i="3"/>
  <c r="CK239" i="3"/>
  <c r="CL239" i="3"/>
  <c r="CN239" i="3"/>
  <c r="CP239" i="3"/>
  <c r="L240" i="3"/>
  <c r="P240" i="3"/>
  <c r="R240" i="3" s="1"/>
  <c r="AL240" i="3"/>
  <c r="AM240" i="3" s="1"/>
  <c r="AX240" i="3"/>
  <c r="P231" i="13" s="1"/>
  <c r="Q231" i="13"/>
  <c r="BB240" i="3"/>
  <c r="S231" i="13" s="1"/>
  <c r="BC240" i="3"/>
  <c r="BD240" i="3"/>
  <c r="T231" i="13"/>
  <c r="U231" i="13"/>
  <c r="CH240" i="3"/>
  <c r="CI240" i="3"/>
  <c r="CJ240" i="3"/>
  <c r="CK240" i="3"/>
  <c r="CL240" i="3"/>
  <c r="CN240" i="3"/>
  <c r="CP240" i="3"/>
  <c r="L241" i="3"/>
  <c r="P241" i="3"/>
  <c r="R241" i="3" s="1"/>
  <c r="AL241" i="3"/>
  <c r="AM241" i="3" s="1"/>
  <c r="AX241" i="3"/>
  <c r="P232" i="13" s="1"/>
  <c r="Q232" i="13"/>
  <c r="BB241" i="3"/>
  <c r="S232" i="13" s="1"/>
  <c r="BC241" i="3"/>
  <c r="BD241" i="3"/>
  <c r="T232" i="13"/>
  <c r="U232" i="13"/>
  <c r="CH241" i="3"/>
  <c r="CI241" i="3"/>
  <c r="CJ241" i="3"/>
  <c r="CK241" i="3"/>
  <c r="CL241" i="3"/>
  <c r="CN241" i="3"/>
  <c r="CP241" i="3"/>
  <c r="L242" i="3"/>
  <c r="P242" i="3"/>
  <c r="R242" i="3" s="1"/>
  <c r="AL242" i="3"/>
  <c r="AM242" i="3" s="1"/>
  <c r="AX242" i="3"/>
  <c r="P233" i="13" s="1"/>
  <c r="Q233" i="13"/>
  <c r="BB242" i="3"/>
  <c r="S233" i="13" s="1"/>
  <c r="BC242" i="3"/>
  <c r="BD242" i="3"/>
  <c r="T233" i="13"/>
  <c r="U233" i="13"/>
  <c r="CH242" i="3"/>
  <c r="CI242" i="3"/>
  <c r="CJ242" i="3"/>
  <c r="CK242" i="3"/>
  <c r="CL242" i="3"/>
  <c r="CN242" i="3"/>
  <c r="CP242" i="3"/>
  <c r="L243" i="3"/>
  <c r="P243" i="3"/>
  <c r="R243" i="3" s="1"/>
  <c r="AL243" i="3"/>
  <c r="AM243" i="3" s="1"/>
  <c r="AX243" i="3"/>
  <c r="P234" i="13" s="1"/>
  <c r="Q234" i="13"/>
  <c r="BB243" i="3"/>
  <c r="S234" i="13" s="1"/>
  <c r="BC243" i="3"/>
  <c r="BD243" i="3"/>
  <c r="T234" i="13"/>
  <c r="U234" i="13"/>
  <c r="CH243" i="3"/>
  <c r="CI243" i="3"/>
  <c r="CJ243" i="3"/>
  <c r="CK243" i="3"/>
  <c r="CL243" i="3"/>
  <c r="CN243" i="3"/>
  <c r="CP243" i="3"/>
  <c r="L244" i="3"/>
  <c r="P244" i="3"/>
  <c r="R244" i="3" s="1"/>
  <c r="AL244" i="3"/>
  <c r="AM244" i="3" s="1"/>
  <c r="AX244" i="3"/>
  <c r="P235" i="13" s="1"/>
  <c r="Q235" i="13"/>
  <c r="BB244" i="3"/>
  <c r="S235" i="13" s="1"/>
  <c r="BC244" i="3"/>
  <c r="BD244" i="3"/>
  <c r="T235" i="13"/>
  <c r="U235" i="13"/>
  <c r="CH244" i="3"/>
  <c r="CI244" i="3"/>
  <c r="CJ244" i="3"/>
  <c r="CK244" i="3"/>
  <c r="CL244" i="3"/>
  <c r="CN244" i="3"/>
  <c r="CP244" i="3"/>
  <c r="L245" i="3"/>
  <c r="P245" i="3"/>
  <c r="R245" i="3" s="1"/>
  <c r="AL245" i="3"/>
  <c r="AM245" i="3" s="1"/>
  <c r="AX245" i="3"/>
  <c r="P236" i="13" s="1"/>
  <c r="Q236" i="13"/>
  <c r="BB245" i="3"/>
  <c r="S236" i="13" s="1"/>
  <c r="BC245" i="3"/>
  <c r="BD245" i="3"/>
  <c r="T236" i="13"/>
  <c r="U236" i="13"/>
  <c r="CH245" i="3"/>
  <c r="CI245" i="3"/>
  <c r="CJ245" i="3"/>
  <c r="CK245" i="3"/>
  <c r="CL245" i="3"/>
  <c r="CN245" i="3"/>
  <c r="CP245" i="3"/>
  <c r="L246" i="3"/>
  <c r="P246" i="3"/>
  <c r="R246" i="3" s="1"/>
  <c r="AL246" i="3"/>
  <c r="AM246" i="3" s="1"/>
  <c r="AX246" i="3"/>
  <c r="P237" i="13" s="1"/>
  <c r="Q237" i="13"/>
  <c r="BB246" i="3"/>
  <c r="S237" i="13" s="1"/>
  <c r="BC246" i="3"/>
  <c r="BD246" i="3"/>
  <c r="T237" i="13"/>
  <c r="U237" i="13"/>
  <c r="CH246" i="3"/>
  <c r="CI246" i="3"/>
  <c r="CJ246" i="3"/>
  <c r="CK246" i="3"/>
  <c r="CL246" i="3"/>
  <c r="CN246" i="3"/>
  <c r="CP246" i="3"/>
  <c r="L247" i="3"/>
  <c r="P247" i="3"/>
  <c r="R247" i="3" s="1"/>
  <c r="AL247" i="3"/>
  <c r="AM247" i="3" s="1"/>
  <c r="AX247" i="3"/>
  <c r="P238" i="13" s="1"/>
  <c r="Q238" i="13"/>
  <c r="BB247" i="3"/>
  <c r="S238" i="13" s="1"/>
  <c r="BC247" i="3"/>
  <c r="BD247" i="3"/>
  <c r="T238" i="13"/>
  <c r="U238" i="13"/>
  <c r="CH247" i="3"/>
  <c r="CI247" i="3"/>
  <c r="CJ247" i="3"/>
  <c r="CK247" i="3"/>
  <c r="CL247" i="3"/>
  <c r="CN247" i="3"/>
  <c r="CP247" i="3"/>
  <c r="L248" i="3"/>
  <c r="P248" i="3"/>
  <c r="R248" i="3" s="1"/>
  <c r="AL248" i="3"/>
  <c r="AM248" i="3" s="1"/>
  <c r="AX248" i="3"/>
  <c r="P239" i="13" s="1"/>
  <c r="Q239" i="13"/>
  <c r="BB248" i="3"/>
  <c r="S239" i="13" s="1"/>
  <c r="BC248" i="3"/>
  <c r="BD248" i="3"/>
  <c r="T239" i="13"/>
  <c r="U239" i="13"/>
  <c r="CH248" i="3"/>
  <c r="CI248" i="3"/>
  <c r="CJ248" i="3"/>
  <c r="CK248" i="3"/>
  <c r="CL248" i="3"/>
  <c r="CN248" i="3"/>
  <c r="CP248" i="3"/>
  <c r="L249" i="3"/>
  <c r="P249" i="3"/>
  <c r="R249" i="3" s="1"/>
  <c r="AL249" i="3"/>
  <c r="AM249" i="3" s="1"/>
  <c r="AX249" i="3"/>
  <c r="P240" i="13" s="1"/>
  <c r="Q240" i="13"/>
  <c r="BB249" i="3"/>
  <c r="S240" i="13" s="1"/>
  <c r="BC249" i="3"/>
  <c r="BD249" i="3"/>
  <c r="T240" i="13"/>
  <c r="U240" i="13"/>
  <c r="CH249" i="3"/>
  <c r="CI249" i="3"/>
  <c r="CJ249" i="3"/>
  <c r="CK249" i="3"/>
  <c r="CL249" i="3"/>
  <c r="CN249" i="3"/>
  <c r="CP249" i="3"/>
  <c r="L250" i="3"/>
  <c r="P250" i="3"/>
  <c r="R250" i="3" s="1"/>
  <c r="AL250" i="3"/>
  <c r="AM250" i="3" s="1"/>
  <c r="AX250" i="3"/>
  <c r="P241" i="13" s="1"/>
  <c r="Q241" i="13"/>
  <c r="BB250" i="3"/>
  <c r="S241" i="13" s="1"/>
  <c r="BC250" i="3"/>
  <c r="BD250" i="3"/>
  <c r="T241" i="13"/>
  <c r="U241" i="13"/>
  <c r="CH250" i="3"/>
  <c r="CI250" i="3"/>
  <c r="CJ250" i="3"/>
  <c r="CK250" i="3"/>
  <c r="CL250" i="3"/>
  <c r="CN250" i="3"/>
  <c r="CP250" i="3"/>
  <c r="L251" i="3"/>
  <c r="P251" i="3"/>
  <c r="R251" i="3" s="1"/>
  <c r="AL251" i="3"/>
  <c r="AM251" i="3" s="1"/>
  <c r="AX251" i="3"/>
  <c r="P242" i="13" s="1"/>
  <c r="Q242" i="13"/>
  <c r="BB251" i="3"/>
  <c r="S242" i="13" s="1"/>
  <c r="BC251" i="3"/>
  <c r="BD251" i="3"/>
  <c r="T242" i="13"/>
  <c r="U242" i="13"/>
  <c r="CH251" i="3"/>
  <c r="CI251" i="3"/>
  <c r="CJ251" i="3"/>
  <c r="CK251" i="3"/>
  <c r="CL251" i="3"/>
  <c r="CN251" i="3"/>
  <c r="CP251" i="3"/>
  <c r="L252" i="3"/>
  <c r="P252" i="3"/>
  <c r="R252" i="3" s="1"/>
  <c r="AL252" i="3"/>
  <c r="AM252" i="3" s="1"/>
  <c r="AX252" i="3"/>
  <c r="P243" i="13" s="1"/>
  <c r="Q243" i="13"/>
  <c r="BB252" i="3"/>
  <c r="S243" i="13" s="1"/>
  <c r="BC252" i="3"/>
  <c r="BD252" i="3"/>
  <c r="T243" i="13"/>
  <c r="U243" i="13"/>
  <c r="CH252" i="3"/>
  <c r="CI252" i="3"/>
  <c r="CJ252" i="3"/>
  <c r="CK252" i="3"/>
  <c r="CL252" i="3"/>
  <c r="CN252" i="3"/>
  <c r="CP252" i="3"/>
  <c r="L253" i="3"/>
  <c r="P253" i="3"/>
  <c r="R253" i="3" s="1"/>
  <c r="AL253" i="3"/>
  <c r="AM253" i="3" s="1"/>
  <c r="AX253" i="3"/>
  <c r="P244" i="13" s="1"/>
  <c r="Q244" i="13"/>
  <c r="BB253" i="3"/>
  <c r="S244" i="13" s="1"/>
  <c r="BC253" i="3"/>
  <c r="BD253" i="3"/>
  <c r="T244" i="13"/>
  <c r="U244" i="13"/>
  <c r="CH253" i="3"/>
  <c r="CI253" i="3"/>
  <c r="CJ253" i="3"/>
  <c r="CK253" i="3"/>
  <c r="CL253" i="3"/>
  <c r="CN253" i="3"/>
  <c r="CP253" i="3"/>
  <c r="L254" i="3"/>
  <c r="P254" i="3"/>
  <c r="R254" i="3" s="1"/>
  <c r="AL254" i="3"/>
  <c r="AM254" i="3" s="1"/>
  <c r="AX254" i="3"/>
  <c r="P245" i="13" s="1"/>
  <c r="Q245" i="13"/>
  <c r="BB254" i="3"/>
  <c r="S245" i="13" s="1"/>
  <c r="BC254" i="3"/>
  <c r="BD254" i="3"/>
  <c r="T245" i="13"/>
  <c r="U245" i="13"/>
  <c r="CH254" i="3"/>
  <c r="CI254" i="3"/>
  <c r="CJ254" i="3"/>
  <c r="CK254" i="3"/>
  <c r="CL254" i="3"/>
  <c r="CN254" i="3"/>
  <c r="CP254" i="3"/>
  <c r="L255" i="3"/>
  <c r="P255" i="3"/>
  <c r="R255" i="3" s="1"/>
  <c r="AL255" i="3"/>
  <c r="AM255" i="3" s="1"/>
  <c r="AX255" i="3"/>
  <c r="P246" i="13" s="1"/>
  <c r="Q246" i="13"/>
  <c r="BB255" i="3"/>
  <c r="S246" i="13" s="1"/>
  <c r="BC255" i="3"/>
  <c r="BD255" i="3"/>
  <c r="T246" i="13"/>
  <c r="U246" i="13"/>
  <c r="CH255" i="3"/>
  <c r="CI255" i="3"/>
  <c r="CJ255" i="3"/>
  <c r="CK255" i="3"/>
  <c r="CL255" i="3"/>
  <c r="CN255" i="3"/>
  <c r="CP255" i="3"/>
  <c r="L256" i="3"/>
  <c r="P256" i="3"/>
  <c r="R256" i="3" s="1"/>
  <c r="AL256" i="3"/>
  <c r="AM256" i="3" s="1"/>
  <c r="AX256" i="3"/>
  <c r="P247" i="13" s="1"/>
  <c r="Q247" i="13"/>
  <c r="BB256" i="3"/>
  <c r="S247" i="13" s="1"/>
  <c r="BC256" i="3"/>
  <c r="BD256" i="3"/>
  <c r="T247" i="13"/>
  <c r="U247" i="13"/>
  <c r="CH256" i="3"/>
  <c r="CI256" i="3"/>
  <c r="CJ256" i="3"/>
  <c r="CK256" i="3"/>
  <c r="CL256" i="3"/>
  <c r="CN256" i="3"/>
  <c r="CP256" i="3"/>
  <c r="L257" i="3"/>
  <c r="P257" i="3"/>
  <c r="R257" i="3" s="1"/>
  <c r="AL257" i="3"/>
  <c r="AM257" i="3" s="1"/>
  <c r="AX257" i="3"/>
  <c r="P248" i="13" s="1"/>
  <c r="Q248" i="13"/>
  <c r="BB257" i="3"/>
  <c r="S248" i="13" s="1"/>
  <c r="BC257" i="3"/>
  <c r="BD257" i="3"/>
  <c r="T248" i="13"/>
  <c r="U248" i="13"/>
  <c r="CH257" i="3"/>
  <c r="CI257" i="3"/>
  <c r="CJ257" i="3"/>
  <c r="CK257" i="3"/>
  <c r="CL257" i="3"/>
  <c r="CN257" i="3"/>
  <c r="CP257" i="3"/>
  <c r="L258" i="3"/>
  <c r="P258" i="3"/>
  <c r="R258" i="3" s="1"/>
  <c r="AL258" i="3"/>
  <c r="AM258" i="3" s="1"/>
  <c r="AX258" i="3"/>
  <c r="P249" i="13" s="1"/>
  <c r="Q249" i="13"/>
  <c r="BB258" i="3"/>
  <c r="S249" i="13" s="1"/>
  <c r="BC258" i="3"/>
  <c r="BD258" i="3"/>
  <c r="T249" i="13"/>
  <c r="U249" i="13"/>
  <c r="CH258" i="3"/>
  <c r="CI258" i="3"/>
  <c r="CJ258" i="3"/>
  <c r="CK258" i="3"/>
  <c r="CL258" i="3"/>
  <c r="CN258" i="3"/>
  <c r="CP258" i="3"/>
  <c r="L259" i="3"/>
  <c r="P259" i="3"/>
  <c r="R259" i="3" s="1"/>
  <c r="AL259" i="3"/>
  <c r="AX259" i="3"/>
  <c r="Q250" i="13"/>
  <c r="BB259" i="3"/>
  <c r="S250" i="13" s="1"/>
  <c r="BC259" i="3"/>
  <c r="BD259" i="3"/>
  <c r="T250" i="13"/>
  <c r="U250" i="13"/>
  <c r="CH259" i="3"/>
  <c r="CI259" i="3"/>
  <c r="CJ259" i="3"/>
  <c r="CK259" i="3"/>
  <c r="CL259" i="3"/>
  <c r="CN259" i="3"/>
  <c r="CP259" i="3"/>
  <c r="L260" i="3"/>
  <c r="P260" i="3"/>
  <c r="R260" i="3" s="1"/>
  <c r="AL260" i="3"/>
  <c r="AM260" i="3" s="1"/>
  <c r="AX260" i="3"/>
  <c r="P251" i="13" s="1"/>
  <c r="Q251" i="13"/>
  <c r="BB260" i="3"/>
  <c r="S251" i="13" s="1"/>
  <c r="BC260" i="3"/>
  <c r="BD260" i="3"/>
  <c r="T251" i="13"/>
  <c r="U251" i="13"/>
  <c r="CH260" i="3"/>
  <c r="CI260" i="3"/>
  <c r="CJ260" i="3"/>
  <c r="CK260" i="3"/>
  <c r="CL260" i="3"/>
  <c r="CN260" i="3"/>
  <c r="CP260" i="3"/>
  <c r="BG15" i="3" l="1"/>
  <c r="BN238" i="3"/>
  <c r="BN230" i="3"/>
  <c r="BN222" i="3"/>
  <c r="BN191" i="3"/>
  <c r="BN190" i="3"/>
  <c r="BN187" i="3"/>
  <c r="BN186" i="3"/>
  <c r="BN185" i="3"/>
  <c r="BN184" i="3"/>
  <c r="BN183" i="3"/>
  <c r="BN182" i="3"/>
  <c r="BN181" i="3"/>
  <c r="BN180" i="3"/>
  <c r="BN179" i="3"/>
  <c r="BN178" i="3"/>
  <c r="BN177" i="3"/>
  <c r="BN163" i="3"/>
  <c r="BN162" i="3"/>
  <c r="BN159" i="3"/>
  <c r="BN161" i="3"/>
  <c r="P250" i="13"/>
  <c r="AO251" i="9"/>
  <c r="BN208" i="3"/>
  <c r="BN167" i="3"/>
  <c r="BN166" i="3"/>
  <c r="BN165" i="3"/>
  <c r="AM259" i="3"/>
  <c r="AK251" i="9" s="1"/>
  <c r="AJ251" i="9"/>
  <c r="BN239" i="3"/>
  <c r="BN231" i="3"/>
  <c r="BN215" i="3"/>
  <c r="BN192" i="3"/>
  <c r="BN188" i="3"/>
  <c r="BN164" i="3"/>
  <c r="BN206" i="3"/>
  <c r="BN198" i="3"/>
  <c r="BN197" i="3"/>
  <c r="BN196" i="3"/>
  <c r="BN195" i="3"/>
  <c r="BN194" i="3"/>
  <c r="BN193" i="3"/>
  <c r="BN189" i="3"/>
  <c r="BN256" i="3"/>
  <c r="BN248" i="3"/>
  <c r="BN240" i="3"/>
  <c r="BN232" i="3"/>
  <c r="BN224" i="3"/>
  <c r="BN216" i="3"/>
  <c r="BN200" i="3"/>
  <c r="BN255" i="3"/>
  <c r="BN247" i="3"/>
  <c r="BN223" i="3"/>
  <c r="BN207" i="3"/>
  <c r="BN199" i="3"/>
  <c r="BN157" i="3"/>
  <c r="BN155" i="3"/>
  <c r="BN254" i="3"/>
  <c r="BN246" i="3"/>
  <c r="BN214" i="3"/>
  <c r="BN158" i="3"/>
  <c r="BN253" i="3"/>
  <c r="BN245" i="3"/>
  <c r="BN237" i="3"/>
  <c r="BN229" i="3"/>
  <c r="BN176" i="3"/>
  <c r="BN220" i="3"/>
  <c r="BN212" i="3"/>
  <c r="BN204" i="3"/>
  <c r="BN258" i="3"/>
  <c r="BP256" i="3"/>
  <c r="BJ256" i="3"/>
  <c r="BM256" i="3"/>
  <c r="BQ254" i="3"/>
  <c r="FF254" i="3" s="1" a="1"/>
  <c r="FF254" i="3" s="1"/>
  <c r="BK254" i="3"/>
  <c r="BH254" i="3"/>
  <c r="BN250" i="3"/>
  <c r="BN257" i="3"/>
  <c r="BP255" i="3"/>
  <c r="BJ255" i="3"/>
  <c r="BM255" i="3"/>
  <c r="BO255" i="3" s="1"/>
  <c r="BQ253" i="3"/>
  <c r="FF253" i="3" s="1" a="1"/>
  <c r="FF253" i="3" s="1"/>
  <c r="BK253" i="3"/>
  <c r="BH253" i="3"/>
  <c r="BN249" i="3"/>
  <c r="BP247" i="3"/>
  <c r="BJ247" i="3"/>
  <c r="BM247" i="3"/>
  <c r="BQ245" i="3"/>
  <c r="FF245" i="3" s="1" a="1"/>
  <c r="FF245" i="3" s="1"/>
  <c r="BK245" i="3"/>
  <c r="BH245" i="3"/>
  <c r="BN241" i="3"/>
  <c r="BP239" i="3"/>
  <c r="BJ239" i="3"/>
  <c r="BM239" i="3"/>
  <c r="BQ237" i="3"/>
  <c r="FF237" i="3" s="1" a="1"/>
  <c r="FF237" i="3" s="1"/>
  <c r="BK237" i="3"/>
  <c r="BH237" i="3"/>
  <c r="BN233" i="3"/>
  <c r="BP231" i="3"/>
  <c r="BJ231" i="3"/>
  <c r="BM231" i="3"/>
  <c r="BQ229" i="3"/>
  <c r="FF229" i="3" s="1" a="1"/>
  <c r="FF229" i="3" s="1"/>
  <c r="BK229" i="3"/>
  <c r="BH229" i="3"/>
  <c r="BN225" i="3"/>
  <c r="BP223" i="3"/>
  <c r="BJ223" i="3"/>
  <c r="BM223" i="3"/>
  <c r="BQ220" i="3"/>
  <c r="FF220" i="3" s="1" a="1"/>
  <c r="FF220" i="3" s="1"/>
  <c r="BK220" i="3"/>
  <c r="BH220" i="3"/>
  <c r="BN217" i="3"/>
  <c r="BP215" i="3"/>
  <c r="BJ215" i="3"/>
  <c r="BM215" i="3"/>
  <c r="BO215" i="3" s="1"/>
  <c r="BQ212" i="3"/>
  <c r="FF212" i="3" s="1" a="1"/>
  <c r="FF212" i="3" s="1"/>
  <c r="BK212" i="3"/>
  <c r="BH212" i="3"/>
  <c r="BN209" i="3"/>
  <c r="BP207" i="3"/>
  <c r="BJ207" i="3"/>
  <c r="BM207" i="3"/>
  <c r="BQ204" i="3"/>
  <c r="FF204" i="3" s="1" a="1"/>
  <c r="FF204" i="3" s="1"/>
  <c r="BK204" i="3"/>
  <c r="BH204" i="3"/>
  <c r="BN201" i="3"/>
  <c r="BP199" i="3"/>
  <c r="BJ199" i="3"/>
  <c r="BM199" i="3"/>
  <c r="BP198" i="3"/>
  <c r="BJ198" i="3"/>
  <c r="BM198" i="3"/>
  <c r="BO198" i="3" s="1"/>
  <c r="BP197" i="3"/>
  <c r="BJ197" i="3"/>
  <c r="BM197" i="3"/>
  <c r="BO197" i="3" s="1"/>
  <c r="BP196" i="3"/>
  <c r="BJ196" i="3"/>
  <c r="BM196" i="3"/>
  <c r="BO196" i="3" s="1"/>
  <c r="BP195" i="3"/>
  <c r="BJ195" i="3"/>
  <c r="BM195" i="3"/>
  <c r="BO195" i="3" s="1"/>
  <c r="BP194" i="3"/>
  <c r="BJ194" i="3"/>
  <c r="BM194" i="3"/>
  <c r="BQ176" i="3"/>
  <c r="FF176" i="3" s="1" a="1"/>
  <c r="FF176" i="3" s="1"/>
  <c r="BK176" i="3"/>
  <c r="BH176" i="3"/>
  <c r="BQ175" i="3"/>
  <c r="FF175" i="3" s="1" a="1"/>
  <c r="FF175" i="3" s="1"/>
  <c r="BK175" i="3"/>
  <c r="BH175" i="3"/>
  <c r="BQ174" i="3"/>
  <c r="FF174" i="3" s="1" a="1"/>
  <c r="FF174" i="3" s="1"/>
  <c r="BK174" i="3"/>
  <c r="BH174" i="3"/>
  <c r="BN168" i="3"/>
  <c r="BN154" i="3"/>
  <c r="BQ236" i="3"/>
  <c r="FF236" i="3" s="1" a="1"/>
  <c r="FF236" i="3" s="1"/>
  <c r="BK236" i="3"/>
  <c r="BH236" i="3"/>
  <c r="BP230" i="3"/>
  <c r="BJ230" i="3"/>
  <c r="BM230" i="3"/>
  <c r="BO230" i="3" s="1"/>
  <c r="BQ228" i="3"/>
  <c r="FF228" i="3" s="1" a="1"/>
  <c r="FF228" i="3" s="1"/>
  <c r="BK228" i="3"/>
  <c r="BH228" i="3"/>
  <c r="BP222" i="3"/>
  <c r="BJ222" i="3"/>
  <c r="BM222" i="3"/>
  <c r="BO222" i="3" s="1"/>
  <c r="BQ219" i="3"/>
  <c r="FF219" i="3" s="1" a="1"/>
  <c r="FF219" i="3" s="1"/>
  <c r="BK219" i="3"/>
  <c r="BH219" i="3"/>
  <c r="BP214" i="3"/>
  <c r="BJ214" i="3"/>
  <c r="BM214" i="3"/>
  <c r="BQ211" i="3"/>
  <c r="FF211" i="3" s="1" a="1"/>
  <c r="FF211" i="3" s="1"/>
  <c r="BK211" i="3"/>
  <c r="BH211" i="3"/>
  <c r="BP206" i="3"/>
  <c r="BJ206" i="3"/>
  <c r="BM206" i="3"/>
  <c r="BQ203" i="3"/>
  <c r="FF203" i="3" s="1" a="1"/>
  <c r="FF203" i="3" s="1"/>
  <c r="BK203" i="3"/>
  <c r="BH203" i="3"/>
  <c r="BQ173" i="3"/>
  <c r="FF173" i="3" s="1" a="1"/>
  <c r="FF173" i="3" s="1"/>
  <c r="BK173" i="3"/>
  <c r="BH173" i="3"/>
  <c r="BK136" i="3"/>
  <c r="BH136" i="3"/>
  <c r="BK66" i="3"/>
  <c r="BH66" i="3"/>
  <c r="BP237" i="3"/>
  <c r="BJ237" i="3"/>
  <c r="BI237" i="3"/>
  <c r="BM237" i="3"/>
  <c r="BQ235" i="3"/>
  <c r="FF235" i="3" s="1" a="1"/>
  <c r="FF235" i="3" s="1"/>
  <c r="BK235" i="3"/>
  <c r="BH235" i="3"/>
  <c r="BP229" i="3"/>
  <c r="BJ229" i="3"/>
  <c r="BL229" i="3" s="1"/>
  <c r="BM229" i="3"/>
  <c r="BQ227" i="3"/>
  <c r="FF227" i="3" s="1" a="1"/>
  <c r="FF227" i="3" s="1"/>
  <c r="BK227" i="3"/>
  <c r="BH227" i="3"/>
  <c r="BP221" i="3"/>
  <c r="BJ221" i="3"/>
  <c r="BM221" i="3"/>
  <c r="BQ218" i="3"/>
  <c r="FF218" i="3" s="1" a="1"/>
  <c r="FF218" i="3" s="1"/>
  <c r="BK218" i="3"/>
  <c r="BH218" i="3"/>
  <c r="BP213" i="3"/>
  <c r="BJ213" i="3"/>
  <c r="BM213" i="3"/>
  <c r="BQ210" i="3"/>
  <c r="FF210" i="3" s="1" a="1"/>
  <c r="FF210" i="3" s="1"/>
  <c r="BK210" i="3"/>
  <c r="BH210" i="3"/>
  <c r="BP205" i="3"/>
  <c r="BJ205" i="3"/>
  <c r="BM205" i="3"/>
  <c r="BQ202" i="3"/>
  <c r="FF202" i="3" s="1" a="1"/>
  <c r="FF202" i="3" s="1"/>
  <c r="BK202" i="3"/>
  <c r="BH202" i="3"/>
  <c r="BQ172" i="3"/>
  <c r="FF172" i="3" s="1" a="1"/>
  <c r="FF172" i="3" s="1"/>
  <c r="BK172" i="3"/>
  <c r="BH172" i="3"/>
  <c r="BQ171" i="3"/>
  <c r="FF171" i="3" s="1" a="1"/>
  <c r="FF171" i="3" s="1"/>
  <c r="BK171" i="3"/>
  <c r="BH171" i="3"/>
  <c r="BQ170" i="3"/>
  <c r="FF170" i="3" s="1" a="1"/>
  <c r="FF170" i="3" s="1"/>
  <c r="BK170" i="3"/>
  <c r="BH170" i="3"/>
  <c r="BK154" i="3"/>
  <c r="BH154" i="3"/>
  <c r="BK121" i="3"/>
  <c r="BH121" i="3"/>
  <c r="BQ243" i="3"/>
  <c r="FF243" i="3" s="1" a="1"/>
  <c r="FF243" i="3" s="1"/>
  <c r="BK243" i="3"/>
  <c r="BH243" i="3"/>
  <c r="BP244" i="3"/>
  <c r="BJ244" i="3"/>
  <c r="BM244" i="3"/>
  <c r="BQ242" i="3"/>
  <c r="FF242" i="3" s="1" a="1"/>
  <c r="FF242" i="3" s="1"/>
  <c r="BK242" i="3"/>
  <c r="BH242" i="3"/>
  <c r="BP236" i="3"/>
  <c r="BJ236" i="3"/>
  <c r="BM236" i="3"/>
  <c r="BQ234" i="3"/>
  <c r="FF234" i="3" s="1" a="1"/>
  <c r="FF234" i="3" s="1"/>
  <c r="BK234" i="3"/>
  <c r="BH234" i="3"/>
  <c r="BP228" i="3"/>
  <c r="BJ228" i="3"/>
  <c r="BM228" i="3"/>
  <c r="BQ226" i="3"/>
  <c r="FF226" i="3" s="1" a="1"/>
  <c r="FF226" i="3" s="1"/>
  <c r="BK226" i="3"/>
  <c r="BH226" i="3"/>
  <c r="BQ225" i="3"/>
  <c r="FF225" i="3" s="1" a="1"/>
  <c r="FF225" i="3" s="1"/>
  <c r="BK225" i="3"/>
  <c r="BH225" i="3"/>
  <c r="BP220" i="3"/>
  <c r="BJ220" i="3"/>
  <c r="BL220" i="3" s="1"/>
  <c r="BI220" i="3"/>
  <c r="BM220" i="3"/>
  <c r="BQ217" i="3"/>
  <c r="FF217" i="3" s="1" a="1"/>
  <c r="FF217" i="3" s="1"/>
  <c r="BK217" i="3"/>
  <c r="BH217" i="3"/>
  <c r="BP212" i="3"/>
  <c r="BJ212" i="3"/>
  <c r="BL212" i="3" s="1"/>
  <c r="BI212" i="3"/>
  <c r="BM212" i="3"/>
  <c r="BQ209" i="3"/>
  <c r="FF209" i="3" s="1" a="1"/>
  <c r="FF209" i="3" s="1"/>
  <c r="BK209" i="3"/>
  <c r="BH209" i="3"/>
  <c r="BP204" i="3"/>
  <c r="BJ204" i="3"/>
  <c r="BL204" i="3" s="1"/>
  <c r="BI204" i="3"/>
  <c r="BM204" i="3"/>
  <c r="BO204" i="3" s="1"/>
  <c r="BQ201" i="3"/>
  <c r="FF201" i="3" s="1" a="1"/>
  <c r="FF201" i="3" s="1"/>
  <c r="BK201" i="3"/>
  <c r="BH201" i="3"/>
  <c r="BQ169" i="3"/>
  <c r="FF169" i="3" s="1" a="1"/>
  <c r="FF169" i="3" s="1"/>
  <c r="BK169" i="3"/>
  <c r="BH169" i="3"/>
  <c r="BP254" i="3"/>
  <c r="BJ254" i="3"/>
  <c r="BI254" i="3"/>
  <c r="BM254" i="3"/>
  <c r="BP245" i="3"/>
  <c r="BJ245" i="3"/>
  <c r="BL245" i="3" s="1"/>
  <c r="BM245" i="3"/>
  <c r="BQ250" i="3"/>
  <c r="FF250" i="3" s="1" a="1"/>
  <c r="FF250" i="3" s="1"/>
  <c r="BK250" i="3"/>
  <c r="BH250" i="3"/>
  <c r="BP251" i="3"/>
  <c r="BJ251" i="3"/>
  <c r="BM251" i="3"/>
  <c r="BQ249" i="3"/>
  <c r="FF249" i="3" s="1" a="1"/>
  <c r="FF249" i="3" s="1"/>
  <c r="BK249" i="3"/>
  <c r="BH249" i="3"/>
  <c r="BP243" i="3"/>
  <c r="BJ243" i="3"/>
  <c r="BM243" i="3"/>
  <c r="BQ241" i="3"/>
  <c r="FF241" i="3" s="1" a="1"/>
  <c r="FF241" i="3" s="1"/>
  <c r="BK241" i="3"/>
  <c r="BH241" i="3"/>
  <c r="BP235" i="3"/>
  <c r="BJ235" i="3"/>
  <c r="BL235" i="3" s="1"/>
  <c r="BM235" i="3"/>
  <c r="BQ233" i="3"/>
  <c r="FF233" i="3" s="1" a="1"/>
  <c r="FF233" i="3" s="1"/>
  <c r="BK233" i="3"/>
  <c r="BH233" i="3"/>
  <c r="BP227" i="3"/>
  <c r="BJ227" i="3"/>
  <c r="BL227" i="3" s="1"/>
  <c r="BI227" i="3"/>
  <c r="BM227" i="3"/>
  <c r="BQ224" i="3"/>
  <c r="FF224" i="3" s="1" a="1"/>
  <c r="FF224" i="3" s="1"/>
  <c r="BK224" i="3"/>
  <c r="BH224" i="3"/>
  <c r="BN221" i="3"/>
  <c r="BP219" i="3"/>
  <c r="BJ219" i="3"/>
  <c r="BM219" i="3"/>
  <c r="BQ216" i="3"/>
  <c r="FF216" i="3" s="1" a="1"/>
  <c r="FF216" i="3" s="1"/>
  <c r="BK216" i="3"/>
  <c r="BH216" i="3"/>
  <c r="BN213" i="3"/>
  <c r="BP211" i="3"/>
  <c r="BJ211" i="3"/>
  <c r="BM211" i="3"/>
  <c r="BQ208" i="3"/>
  <c r="FF208" i="3" s="1" a="1"/>
  <c r="FF208" i="3" s="1"/>
  <c r="BK208" i="3"/>
  <c r="BH208" i="3"/>
  <c r="BN205" i="3"/>
  <c r="BP203" i="3"/>
  <c r="BJ203" i="3"/>
  <c r="BL203" i="3" s="1"/>
  <c r="BM203" i="3"/>
  <c r="BQ200" i="3"/>
  <c r="FF200" i="3" s="1" a="1"/>
  <c r="FF200" i="3" s="1"/>
  <c r="BK200" i="3"/>
  <c r="BH200" i="3"/>
  <c r="BQ168" i="3"/>
  <c r="FF168" i="3" s="1" a="1"/>
  <c r="FF168" i="3" s="1"/>
  <c r="BK168" i="3"/>
  <c r="BH168" i="3"/>
  <c r="BQ167" i="3"/>
  <c r="FF167" i="3" s="1" a="1"/>
  <c r="FF167" i="3" s="1"/>
  <c r="BK167" i="3"/>
  <c r="BH167" i="3"/>
  <c r="BQ166" i="3"/>
  <c r="FF166" i="3" s="1" a="1"/>
  <c r="FF166" i="3" s="1"/>
  <c r="BK166" i="3"/>
  <c r="BH166" i="3"/>
  <c r="BK155" i="3"/>
  <c r="BH155" i="3"/>
  <c r="BN151" i="3"/>
  <c r="BN150" i="3"/>
  <c r="BJ259" i="3"/>
  <c r="BQ257" i="3"/>
  <c r="FF257" i="3" s="1" a="1"/>
  <c r="FF257" i="3" s="1"/>
  <c r="BK257" i="3"/>
  <c r="BH257" i="3"/>
  <c r="BP258" i="3"/>
  <c r="BJ258" i="3"/>
  <c r="BM258" i="3"/>
  <c r="BO258" i="3" s="1"/>
  <c r="BQ256" i="3"/>
  <c r="FF256" i="3" s="1" a="1"/>
  <c r="FF256" i="3" s="1"/>
  <c r="BK256" i="3"/>
  <c r="BH256" i="3"/>
  <c r="BN252" i="3"/>
  <c r="BP250" i="3"/>
  <c r="BJ250" i="3"/>
  <c r="BL250" i="3" s="1"/>
  <c r="BM250" i="3"/>
  <c r="BO250" i="3" s="1"/>
  <c r="BN244" i="3"/>
  <c r="BP242" i="3"/>
  <c r="BJ242" i="3"/>
  <c r="BI242" i="3"/>
  <c r="BM242" i="3"/>
  <c r="BQ240" i="3"/>
  <c r="FF240" i="3" s="1" a="1"/>
  <c r="FF240" i="3" s="1"/>
  <c r="BK240" i="3"/>
  <c r="BH240" i="3"/>
  <c r="BN236" i="3"/>
  <c r="BP234" i="3"/>
  <c r="BJ234" i="3"/>
  <c r="BM234" i="3"/>
  <c r="BQ232" i="3"/>
  <c r="FF232" i="3" s="1" a="1"/>
  <c r="FF232" i="3" s="1"/>
  <c r="BK232" i="3"/>
  <c r="BH232" i="3"/>
  <c r="BN228" i="3"/>
  <c r="BP226" i="3"/>
  <c r="BJ226" i="3"/>
  <c r="BM226" i="3"/>
  <c r="BQ223" i="3"/>
  <c r="FF223" i="3" s="1" a="1"/>
  <c r="FF223" i="3" s="1"/>
  <c r="BK223" i="3"/>
  <c r="BH223" i="3"/>
  <c r="BP218" i="3"/>
  <c r="BJ218" i="3"/>
  <c r="BI218" i="3"/>
  <c r="BM218" i="3"/>
  <c r="BQ215" i="3"/>
  <c r="FF215" i="3" s="1" a="1"/>
  <c r="FF215" i="3" s="1"/>
  <c r="BK215" i="3"/>
  <c r="BH215" i="3"/>
  <c r="BP210" i="3"/>
  <c r="BJ210" i="3"/>
  <c r="BM210" i="3"/>
  <c r="BQ207" i="3"/>
  <c r="FF207" i="3" s="1" a="1"/>
  <c r="FF207" i="3" s="1"/>
  <c r="BK207" i="3"/>
  <c r="BH207" i="3"/>
  <c r="BP202" i="3"/>
  <c r="BJ202" i="3"/>
  <c r="BM202" i="3"/>
  <c r="BQ199" i="3"/>
  <c r="FF199" i="3" s="1" a="1"/>
  <c r="FF199" i="3" s="1"/>
  <c r="BK199" i="3"/>
  <c r="BH199" i="3"/>
  <c r="BN175" i="3"/>
  <c r="BN174" i="3"/>
  <c r="BN173" i="3"/>
  <c r="BQ165" i="3"/>
  <c r="FF165" i="3" s="1" a="1"/>
  <c r="FF165" i="3" s="1"/>
  <c r="BK165" i="3"/>
  <c r="BH165" i="3"/>
  <c r="BQ158" i="3"/>
  <c r="FF158" i="3" s="1" a="1"/>
  <c r="FF158" i="3" s="1"/>
  <c r="BK158" i="3"/>
  <c r="BH158" i="3"/>
  <c r="BQ157" i="3"/>
  <c r="FF157" i="3" s="1" a="1"/>
  <c r="FF157" i="3" s="1"/>
  <c r="BK157" i="3"/>
  <c r="BH157" i="3"/>
  <c r="BQ252" i="3"/>
  <c r="FF252" i="3" s="1" a="1"/>
  <c r="FF252" i="3" s="1"/>
  <c r="BK252" i="3"/>
  <c r="BH252" i="3"/>
  <c r="BQ244" i="3"/>
  <c r="FF244" i="3" s="1" a="1"/>
  <c r="FF244" i="3" s="1"/>
  <c r="BK244" i="3"/>
  <c r="BH244" i="3"/>
  <c r="BP238" i="3"/>
  <c r="BJ238" i="3"/>
  <c r="BM238" i="3"/>
  <c r="BO238" i="3" s="1"/>
  <c r="BP253" i="3"/>
  <c r="BJ253" i="3"/>
  <c r="BL253" i="3" s="1"/>
  <c r="BI253" i="3"/>
  <c r="BM253" i="3"/>
  <c r="BO253" i="3" s="1"/>
  <c r="BQ258" i="3"/>
  <c r="FF258" i="3" s="1" a="1"/>
  <c r="FF258" i="3" s="1"/>
  <c r="BK258" i="3"/>
  <c r="BH258" i="3"/>
  <c r="BP252" i="3"/>
  <c r="BJ252" i="3"/>
  <c r="BM252" i="3"/>
  <c r="BQ248" i="3"/>
  <c r="FF248" i="3" s="1" a="1"/>
  <c r="FF248" i="3" s="1"/>
  <c r="BK248" i="3"/>
  <c r="BH248" i="3"/>
  <c r="BP257" i="3"/>
  <c r="BJ257" i="3"/>
  <c r="BL257" i="3" s="1"/>
  <c r="BM257" i="3"/>
  <c r="BQ255" i="3"/>
  <c r="FF255" i="3" s="1" a="1"/>
  <c r="FF255" i="3" s="1"/>
  <c r="BK255" i="3"/>
  <c r="BH255" i="3"/>
  <c r="BN251" i="3"/>
  <c r="BP249" i="3"/>
  <c r="BJ249" i="3"/>
  <c r="BL249" i="3" s="1"/>
  <c r="BM249" i="3"/>
  <c r="BQ247" i="3"/>
  <c r="FF247" i="3" s="1" a="1"/>
  <c r="FF247" i="3" s="1"/>
  <c r="BK247" i="3"/>
  <c r="BH247" i="3"/>
  <c r="BN243" i="3"/>
  <c r="BP241" i="3"/>
  <c r="BJ241" i="3"/>
  <c r="BL241" i="3" s="1"/>
  <c r="BM241" i="3"/>
  <c r="BQ239" i="3"/>
  <c r="FF239" i="3" s="1" a="1"/>
  <c r="FF239" i="3" s="1"/>
  <c r="BK239" i="3"/>
  <c r="BH239" i="3"/>
  <c r="BN235" i="3"/>
  <c r="BP233" i="3"/>
  <c r="BJ233" i="3"/>
  <c r="BL233" i="3" s="1"/>
  <c r="BM233" i="3"/>
  <c r="BQ231" i="3"/>
  <c r="FF231" i="3" s="1" a="1"/>
  <c r="FF231" i="3" s="1"/>
  <c r="BK231" i="3"/>
  <c r="BH231" i="3"/>
  <c r="BN227" i="3"/>
  <c r="BP225" i="3"/>
  <c r="BJ225" i="3"/>
  <c r="BL225" i="3" s="1"/>
  <c r="BM225" i="3"/>
  <c r="BQ222" i="3"/>
  <c r="FF222" i="3" s="1" a="1"/>
  <c r="FF222" i="3" s="1"/>
  <c r="BK222" i="3"/>
  <c r="BH222" i="3"/>
  <c r="BN219" i="3"/>
  <c r="BP217" i="3"/>
  <c r="BJ217" i="3"/>
  <c r="BI217" i="3"/>
  <c r="BM217" i="3"/>
  <c r="BQ214" i="3"/>
  <c r="FF214" i="3" s="1" a="1"/>
  <c r="FF214" i="3" s="1"/>
  <c r="BK214" i="3"/>
  <c r="BH214" i="3"/>
  <c r="BN211" i="3"/>
  <c r="BP209" i="3"/>
  <c r="BJ209" i="3"/>
  <c r="BM209" i="3"/>
  <c r="BQ206" i="3"/>
  <c r="FF206" i="3" s="1" a="1"/>
  <c r="FF206" i="3" s="1"/>
  <c r="BK206" i="3"/>
  <c r="BH206" i="3"/>
  <c r="BN203" i="3"/>
  <c r="BP201" i="3"/>
  <c r="BJ201" i="3"/>
  <c r="BM201" i="3"/>
  <c r="BQ198" i="3"/>
  <c r="FF198" i="3" s="1" a="1"/>
  <c r="FF198" i="3" s="1"/>
  <c r="BK198" i="3"/>
  <c r="BH198" i="3"/>
  <c r="BQ197" i="3"/>
  <c r="FF197" i="3" s="1" a="1"/>
  <c r="FF197" i="3" s="1"/>
  <c r="BK197" i="3"/>
  <c r="BH197" i="3"/>
  <c r="BQ196" i="3"/>
  <c r="FF196" i="3" s="1" a="1"/>
  <c r="FF196" i="3" s="1"/>
  <c r="BK196" i="3"/>
  <c r="BH196" i="3"/>
  <c r="BQ195" i="3"/>
  <c r="FF195" i="3" s="1" a="1"/>
  <c r="FF195" i="3" s="1"/>
  <c r="BK195" i="3"/>
  <c r="BH195" i="3"/>
  <c r="BQ194" i="3"/>
  <c r="FF194" i="3" s="1" a="1"/>
  <c r="FF194" i="3" s="1"/>
  <c r="BK194" i="3"/>
  <c r="BH194" i="3"/>
  <c r="BQ193" i="3"/>
  <c r="FF193" i="3" s="1" a="1"/>
  <c r="FF193" i="3" s="1"/>
  <c r="BK193" i="3"/>
  <c r="BH193" i="3"/>
  <c r="BQ192" i="3"/>
  <c r="FF192" i="3" s="1" a="1"/>
  <c r="FF192" i="3" s="1"/>
  <c r="BK192" i="3"/>
  <c r="BH192" i="3"/>
  <c r="BQ189" i="3"/>
  <c r="FF189" i="3" s="1" a="1"/>
  <c r="FF189" i="3" s="1"/>
  <c r="BK189" i="3"/>
  <c r="BH189" i="3"/>
  <c r="BQ188" i="3"/>
  <c r="FF188" i="3" s="1" a="1"/>
  <c r="FF188" i="3" s="1"/>
  <c r="BK188" i="3"/>
  <c r="BH188" i="3"/>
  <c r="BQ179" i="3"/>
  <c r="FF179" i="3" s="1" a="1"/>
  <c r="FF179" i="3" s="1"/>
  <c r="BK179" i="3"/>
  <c r="BH179" i="3"/>
  <c r="BQ178" i="3"/>
  <c r="FF178" i="3" s="1" a="1"/>
  <c r="FF178" i="3" s="1"/>
  <c r="BK178" i="3"/>
  <c r="BH178" i="3"/>
  <c r="BN172" i="3"/>
  <c r="BQ164" i="3"/>
  <c r="FF164" i="3" s="1" a="1"/>
  <c r="FF164" i="3" s="1"/>
  <c r="BK164" i="3"/>
  <c r="BH164" i="3"/>
  <c r="BQ163" i="3"/>
  <c r="FF163" i="3" s="1" a="1"/>
  <c r="FF163" i="3" s="1"/>
  <c r="BK163" i="3"/>
  <c r="BH163" i="3"/>
  <c r="BQ162" i="3"/>
  <c r="FF162" i="3" s="1" a="1"/>
  <c r="FF162" i="3" s="1"/>
  <c r="BK162" i="3"/>
  <c r="BH162" i="3"/>
  <c r="BQ159" i="3"/>
  <c r="FF159" i="3" s="1" a="1"/>
  <c r="FF159" i="3" s="1"/>
  <c r="BK159" i="3"/>
  <c r="BH159" i="3"/>
  <c r="BK150" i="3"/>
  <c r="BH150" i="3"/>
  <c r="BP246" i="3"/>
  <c r="BJ246" i="3"/>
  <c r="BM246" i="3"/>
  <c r="BQ251" i="3"/>
  <c r="FF251" i="3" s="1" a="1"/>
  <c r="FF251" i="3" s="1"/>
  <c r="BK251" i="3"/>
  <c r="BH251" i="3"/>
  <c r="BP248" i="3"/>
  <c r="BJ248" i="3"/>
  <c r="BM248" i="3"/>
  <c r="BO248" i="3" s="1"/>
  <c r="BQ246" i="3"/>
  <c r="FF246" i="3" s="1" a="1"/>
  <c r="FF246" i="3" s="1"/>
  <c r="BK246" i="3"/>
  <c r="BH246" i="3"/>
  <c r="BN242" i="3"/>
  <c r="BP240" i="3"/>
  <c r="BJ240" i="3"/>
  <c r="BM240" i="3"/>
  <c r="BO240" i="3" s="1"/>
  <c r="BQ238" i="3"/>
  <c r="FF238" i="3" s="1" a="1"/>
  <c r="FF238" i="3" s="1"/>
  <c r="BK238" i="3"/>
  <c r="BH238" i="3"/>
  <c r="BN234" i="3"/>
  <c r="BP232" i="3"/>
  <c r="BJ232" i="3"/>
  <c r="BM232" i="3"/>
  <c r="BO232" i="3" s="1"/>
  <c r="BQ230" i="3"/>
  <c r="FF230" i="3" s="1" a="1"/>
  <c r="FF230" i="3" s="1"/>
  <c r="BK230" i="3"/>
  <c r="BH230" i="3"/>
  <c r="BN226" i="3"/>
  <c r="BP224" i="3"/>
  <c r="BJ224" i="3"/>
  <c r="BI224" i="3"/>
  <c r="BM224" i="3"/>
  <c r="BO224" i="3" s="1"/>
  <c r="BQ221" i="3"/>
  <c r="FF221" i="3" s="1" a="1"/>
  <c r="FF221" i="3" s="1"/>
  <c r="BK221" i="3"/>
  <c r="BH221" i="3"/>
  <c r="BN218" i="3"/>
  <c r="BP216" i="3"/>
  <c r="BJ216" i="3"/>
  <c r="BI216" i="3"/>
  <c r="BM216" i="3"/>
  <c r="BQ213" i="3"/>
  <c r="FF213" i="3" s="1" a="1"/>
  <c r="FF213" i="3" s="1"/>
  <c r="BK213" i="3"/>
  <c r="BH213" i="3"/>
  <c r="BN210" i="3"/>
  <c r="BP208" i="3"/>
  <c r="BJ208" i="3"/>
  <c r="BI208" i="3"/>
  <c r="BM208" i="3"/>
  <c r="BO208" i="3" s="1"/>
  <c r="BQ205" i="3"/>
  <c r="FF205" i="3" s="1" a="1"/>
  <c r="FF205" i="3" s="1"/>
  <c r="BK205" i="3"/>
  <c r="BH205" i="3"/>
  <c r="BN202" i="3"/>
  <c r="BP200" i="3"/>
  <c r="BJ200" i="3"/>
  <c r="BI200" i="3"/>
  <c r="BM200" i="3"/>
  <c r="BO200" i="3" s="1"/>
  <c r="BQ191" i="3"/>
  <c r="FF191" i="3" s="1" a="1"/>
  <c r="FF191" i="3" s="1"/>
  <c r="BK191" i="3"/>
  <c r="BH191" i="3"/>
  <c r="BQ190" i="3"/>
  <c r="FF190" i="3" s="1" a="1"/>
  <c r="FF190" i="3" s="1"/>
  <c r="BK190" i="3"/>
  <c r="BH190" i="3"/>
  <c r="BQ187" i="3"/>
  <c r="FF187" i="3" s="1" a="1"/>
  <c r="FF187" i="3" s="1"/>
  <c r="BK187" i="3"/>
  <c r="BH187" i="3"/>
  <c r="BQ186" i="3"/>
  <c r="FF186" i="3" s="1" a="1"/>
  <c r="FF186" i="3" s="1"/>
  <c r="BK186" i="3"/>
  <c r="BH186" i="3"/>
  <c r="BQ185" i="3"/>
  <c r="FF185" i="3" s="1" a="1"/>
  <c r="FF185" i="3" s="1"/>
  <c r="BK185" i="3"/>
  <c r="BH185" i="3"/>
  <c r="BQ184" i="3"/>
  <c r="FF184" i="3" s="1" a="1"/>
  <c r="FF184" i="3" s="1"/>
  <c r="BK184" i="3"/>
  <c r="BH184" i="3"/>
  <c r="BQ183" i="3"/>
  <c r="FF183" i="3" s="1" a="1"/>
  <c r="FF183" i="3" s="1"/>
  <c r="BK183" i="3"/>
  <c r="BH183" i="3"/>
  <c r="BQ182" i="3"/>
  <c r="FF182" i="3" s="1" a="1"/>
  <c r="FF182" i="3" s="1"/>
  <c r="BK182" i="3"/>
  <c r="BH182" i="3"/>
  <c r="BQ181" i="3"/>
  <c r="FF181" i="3" s="1" a="1"/>
  <c r="FF181" i="3" s="1"/>
  <c r="BK181" i="3"/>
  <c r="BH181" i="3"/>
  <c r="BQ180" i="3"/>
  <c r="FF180" i="3" s="1" a="1"/>
  <c r="FF180" i="3" s="1"/>
  <c r="BK180" i="3"/>
  <c r="BH180" i="3"/>
  <c r="BQ177" i="3"/>
  <c r="FF177" i="3" s="1" a="1"/>
  <c r="FF177" i="3" s="1"/>
  <c r="BK177" i="3"/>
  <c r="BH177" i="3"/>
  <c r="BN171" i="3"/>
  <c r="BN170" i="3"/>
  <c r="BN169" i="3"/>
  <c r="BQ161" i="3"/>
  <c r="FF161" i="3" s="1" a="1"/>
  <c r="FF161" i="3" s="1"/>
  <c r="BK161" i="3"/>
  <c r="BH161" i="3"/>
  <c r="BQ151" i="3"/>
  <c r="FF151" i="3" s="1" a="1"/>
  <c r="FF151" i="3" s="1"/>
  <c r="BK151" i="3"/>
  <c r="BH151" i="3"/>
  <c r="BH15" i="3"/>
  <c r="R243" i="13"/>
  <c r="R239" i="13"/>
  <c r="R235" i="13"/>
  <c r="R231" i="13"/>
  <c r="R227" i="13"/>
  <c r="R223" i="13"/>
  <c r="R219" i="13"/>
  <c r="R215" i="13"/>
  <c r="R211" i="13"/>
  <c r="R207" i="13"/>
  <c r="R203" i="13"/>
  <c r="R199" i="13"/>
  <c r="R195" i="13"/>
  <c r="R191" i="13"/>
  <c r="R182" i="13"/>
  <c r="R178" i="13"/>
  <c r="R174" i="13"/>
  <c r="R170" i="13"/>
  <c r="R166" i="13"/>
  <c r="R162" i="13"/>
  <c r="R158" i="13"/>
  <c r="R121" i="13"/>
  <c r="R117" i="13"/>
  <c r="R113" i="13"/>
  <c r="R109" i="13"/>
  <c r="R105" i="13"/>
  <c r="R101" i="13"/>
  <c r="R97" i="13"/>
  <c r="R93" i="13"/>
  <c r="R89" i="13"/>
  <c r="R85" i="13"/>
  <c r="R81" i="13"/>
  <c r="R76" i="13"/>
  <c r="R72" i="13"/>
  <c r="R70" i="13"/>
  <c r="R63" i="13"/>
  <c r="R59" i="13"/>
  <c r="R56" i="13"/>
  <c r="R50" i="13"/>
  <c r="R44" i="13"/>
  <c r="R41" i="13"/>
  <c r="R38" i="13"/>
  <c r="R35" i="13"/>
  <c r="R32" i="13"/>
  <c r="R29" i="13"/>
  <c r="R26" i="13"/>
  <c r="R18" i="13"/>
  <c r="R251" i="13"/>
  <c r="B502" i="9"/>
  <c r="R246" i="13"/>
  <c r="R242" i="13"/>
  <c r="R238" i="13"/>
  <c r="R234" i="13"/>
  <c r="R230" i="13"/>
  <c r="R226" i="13"/>
  <c r="R222" i="13"/>
  <c r="R218" i="13"/>
  <c r="R214" i="13"/>
  <c r="R210" i="13"/>
  <c r="R206" i="13"/>
  <c r="R202" i="13"/>
  <c r="R198" i="13"/>
  <c r="R194" i="13"/>
  <c r="R190" i="13"/>
  <c r="R181" i="13"/>
  <c r="R177" i="13"/>
  <c r="R173" i="13"/>
  <c r="R167" i="13"/>
  <c r="R163" i="13"/>
  <c r="R159" i="13"/>
  <c r="R154" i="13"/>
  <c r="R151" i="13"/>
  <c r="R150" i="13"/>
  <c r="R143" i="13"/>
  <c r="R142" i="13"/>
  <c r="R122" i="13"/>
  <c r="R118" i="13"/>
  <c r="R114" i="13"/>
  <c r="R110" i="13"/>
  <c r="R106" i="13"/>
  <c r="R102" i="13"/>
  <c r="R98" i="13"/>
  <c r="R94" i="13"/>
  <c r="R90" i="13"/>
  <c r="R86" i="13"/>
  <c r="R82" i="13"/>
  <c r="R77" i="13"/>
  <c r="R73" i="13"/>
  <c r="R67" i="13"/>
  <c r="R64" i="13"/>
  <c r="R60" i="13"/>
  <c r="R53" i="13"/>
  <c r="R48" i="13"/>
  <c r="R42" i="13"/>
  <c r="R39" i="13"/>
  <c r="R36" i="13"/>
  <c r="R27" i="13"/>
  <c r="R24" i="13"/>
  <c r="R21" i="13"/>
  <c r="R248" i="13"/>
  <c r="R247" i="13"/>
  <c r="R250" i="13"/>
  <c r="R249" i="13"/>
  <c r="R245" i="13"/>
  <c r="R241" i="13"/>
  <c r="R237" i="13"/>
  <c r="R233" i="13"/>
  <c r="R229" i="13"/>
  <c r="R225" i="13"/>
  <c r="R221" i="13"/>
  <c r="R217" i="13"/>
  <c r="R213" i="13"/>
  <c r="R209" i="13"/>
  <c r="R205" i="13"/>
  <c r="R201" i="13"/>
  <c r="R197" i="13"/>
  <c r="R193" i="13"/>
  <c r="R189" i="13"/>
  <c r="R188" i="13"/>
  <c r="R187" i="13"/>
  <c r="R186" i="13"/>
  <c r="R185" i="13"/>
  <c r="R184" i="13"/>
  <c r="R183" i="13"/>
  <c r="R180" i="13"/>
  <c r="R179" i="13"/>
  <c r="R176" i="13"/>
  <c r="R172" i="13"/>
  <c r="R169" i="13"/>
  <c r="R165" i="13"/>
  <c r="R161" i="13"/>
  <c r="R157" i="13"/>
  <c r="R155" i="13"/>
  <c r="R153" i="13"/>
  <c r="R149" i="13"/>
  <c r="R148" i="13"/>
  <c r="R144" i="13"/>
  <c r="R123" i="13"/>
  <c r="R119" i="13"/>
  <c r="R115" i="13"/>
  <c r="R111" i="13"/>
  <c r="R107" i="13"/>
  <c r="R103" i="13"/>
  <c r="R99" i="13"/>
  <c r="R95" i="13"/>
  <c r="R91" i="13"/>
  <c r="R87" i="13"/>
  <c r="R83" i="13"/>
  <c r="R78" i="13"/>
  <c r="R74" i="13"/>
  <c r="R68" i="13"/>
  <c r="R65" i="13"/>
  <c r="R61" i="13"/>
  <c r="R57" i="13"/>
  <c r="R54" i="13"/>
  <c r="R51" i="13"/>
  <c r="R45" i="13"/>
  <c r="R37" i="13"/>
  <c r="R33" i="13"/>
  <c r="R30" i="13"/>
  <c r="R19" i="13"/>
  <c r="R244" i="13"/>
  <c r="R240" i="13"/>
  <c r="R236" i="13"/>
  <c r="R232" i="13"/>
  <c r="R228" i="13"/>
  <c r="R224" i="13"/>
  <c r="R220" i="13"/>
  <c r="R216" i="13"/>
  <c r="R212" i="13"/>
  <c r="R208" i="13"/>
  <c r="R204" i="13"/>
  <c r="R200" i="13"/>
  <c r="R196" i="13"/>
  <c r="R192" i="13"/>
  <c r="R175" i="13"/>
  <c r="R171" i="13"/>
  <c r="R168" i="13"/>
  <c r="R164" i="13"/>
  <c r="R160" i="13"/>
  <c r="R156" i="13"/>
  <c r="R152" i="13"/>
  <c r="R147" i="13"/>
  <c r="R146" i="13"/>
  <c r="R145" i="13"/>
  <c r="R138" i="13"/>
  <c r="R134" i="13"/>
  <c r="R124" i="13"/>
  <c r="R120" i="13"/>
  <c r="R116" i="13"/>
  <c r="R112" i="13"/>
  <c r="R108" i="13"/>
  <c r="R104" i="13"/>
  <c r="R100" i="13"/>
  <c r="R96" i="13"/>
  <c r="R92" i="13"/>
  <c r="R88" i="13"/>
  <c r="R84" i="13"/>
  <c r="R80" i="13"/>
  <c r="R79" i="13"/>
  <c r="R75" i="13"/>
  <c r="R71" i="13"/>
  <c r="R69" i="13"/>
  <c r="R66" i="13"/>
  <c r="R62" i="13"/>
  <c r="R58" i="13"/>
  <c r="R52" i="13"/>
  <c r="R49" i="13"/>
  <c r="R46" i="13"/>
  <c r="R43" i="13"/>
  <c r="R40" i="13"/>
  <c r="R34" i="13"/>
  <c r="R28" i="13"/>
  <c r="R25" i="13"/>
  <c r="R23" i="13"/>
  <c r="R20" i="13"/>
  <c r="R17" i="13"/>
  <c r="R12" i="13"/>
  <c r="S11" i="13"/>
  <c r="R8" i="13"/>
  <c r="R15" i="13"/>
  <c r="S9" i="13"/>
  <c r="S7" i="13"/>
  <c r="R16" i="13"/>
  <c r="R13" i="13"/>
  <c r="S12" i="13"/>
  <c r="R11" i="13"/>
  <c r="S10" i="13"/>
  <c r="R9" i="13"/>
  <c r="S8" i="13"/>
  <c r="S16" i="13"/>
  <c r="R14" i="13"/>
  <c r="S13" i="13"/>
  <c r="S15" i="13"/>
  <c r="AL153" i="3"/>
  <c r="J144" i="13" s="1"/>
  <c r="AX152" i="3"/>
  <c r="P143" i="13" s="1"/>
  <c r="Q151" i="13"/>
  <c r="Q150" i="13"/>
  <c r="Q146" i="13"/>
  <c r="AX156" i="3"/>
  <c r="P147" i="13" s="1"/>
  <c r="Q144" i="13"/>
  <c r="AX155" i="3"/>
  <c r="P146" i="13" s="1"/>
  <c r="L148" i="3"/>
  <c r="L142" i="3"/>
  <c r="L141" i="3"/>
  <c r="L140" i="3"/>
  <c r="L139" i="3"/>
  <c r="L138" i="3"/>
  <c r="L150" i="3"/>
  <c r="L144" i="3"/>
  <c r="L146" i="3"/>
  <c r="L135" i="3"/>
  <c r="L134" i="3"/>
  <c r="I251" i="13"/>
  <c r="I250" i="13"/>
  <c r="I249" i="13"/>
  <c r="I248" i="13"/>
  <c r="I247" i="13"/>
  <c r="J251" i="13"/>
  <c r="M251" i="13"/>
  <c r="J250" i="13"/>
  <c r="M250" i="13"/>
  <c r="J249" i="13"/>
  <c r="M249" i="13"/>
  <c r="J248" i="13"/>
  <c r="M248" i="13"/>
  <c r="J247" i="13"/>
  <c r="M247" i="13"/>
  <c r="J246" i="13"/>
  <c r="M246" i="13"/>
  <c r="J245" i="13"/>
  <c r="M245" i="13"/>
  <c r="J244" i="13"/>
  <c r="M244" i="13"/>
  <c r="J243" i="13"/>
  <c r="M243" i="13"/>
  <c r="J242" i="13"/>
  <c r="M242" i="13"/>
  <c r="J241" i="13"/>
  <c r="M241" i="13"/>
  <c r="J240" i="13"/>
  <c r="M240" i="13"/>
  <c r="J239" i="13"/>
  <c r="M239" i="13"/>
  <c r="J238" i="13"/>
  <c r="M238" i="13"/>
  <c r="J237" i="13"/>
  <c r="M237" i="13"/>
  <c r="J236" i="13"/>
  <c r="M236" i="13"/>
  <c r="J235" i="13"/>
  <c r="M235" i="13"/>
  <c r="J234" i="13"/>
  <c r="M234" i="13"/>
  <c r="J233" i="13"/>
  <c r="M233" i="13"/>
  <c r="J232" i="13"/>
  <c r="M232" i="13"/>
  <c r="J231" i="13"/>
  <c r="M231" i="13"/>
  <c r="J230" i="13"/>
  <c r="M230" i="13"/>
  <c r="J229" i="13"/>
  <c r="M229" i="13"/>
  <c r="J228" i="13"/>
  <c r="M228" i="13"/>
  <c r="J227" i="13"/>
  <c r="M227" i="13"/>
  <c r="J226" i="13"/>
  <c r="M226" i="13"/>
  <c r="J225" i="13"/>
  <c r="M225" i="13"/>
  <c r="J224" i="13"/>
  <c r="M224" i="13"/>
  <c r="J223" i="13"/>
  <c r="M223" i="13"/>
  <c r="J222" i="13"/>
  <c r="M222" i="13"/>
  <c r="J221" i="13"/>
  <c r="M221" i="13"/>
  <c r="J220" i="13"/>
  <c r="M220" i="13"/>
  <c r="J219" i="13"/>
  <c r="M219" i="13"/>
  <c r="J218" i="13"/>
  <c r="M218" i="13"/>
  <c r="J217" i="13"/>
  <c r="M217" i="13"/>
  <c r="J216" i="13"/>
  <c r="M216" i="13"/>
  <c r="J215" i="13"/>
  <c r="M215" i="13"/>
  <c r="J214" i="13"/>
  <c r="M214" i="13"/>
  <c r="J213" i="13"/>
  <c r="M213" i="13"/>
  <c r="J212" i="13"/>
  <c r="M212" i="13"/>
  <c r="J211" i="13"/>
  <c r="M211" i="13"/>
  <c r="J210" i="13"/>
  <c r="M210" i="13"/>
  <c r="J209" i="13"/>
  <c r="M209" i="13"/>
  <c r="J208" i="13"/>
  <c r="M208" i="13"/>
  <c r="J207" i="13"/>
  <c r="M207" i="13"/>
  <c r="J206" i="13"/>
  <c r="M206" i="13"/>
  <c r="J205" i="13"/>
  <c r="M205" i="13"/>
  <c r="J204" i="13"/>
  <c r="M204" i="13"/>
  <c r="J203" i="13"/>
  <c r="M203" i="13"/>
  <c r="J202" i="13"/>
  <c r="M202" i="13"/>
  <c r="J201" i="13"/>
  <c r="M201" i="13"/>
  <c r="J200" i="13"/>
  <c r="M200" i="13"/>
  <c r="J199" i="13"/>
  <c r="M199" i="13"/>
  <c r="J198" i="13"/>
  <c r="M198" i="13"/>
  <c r="J197" i="13"/>
  <c r="M197" i="13"/>
  <c r="J196" i="13"/>
  <c r="M196" i="13"/>
  <c r="J195" i="13"/>
  <c r="M195" i="13"/>
  <c r="J194" i="13"/>
  <c r="M194" i="13"/>
  <c r="J193" i="13"/>
  <c r="M193" i="13"/>
  <c r="J192" i="13"/>
  <c r="M192" i="13"/>
  <c r="J191" i="13"/>
  <c r="M191" i="13"/>
  <c r="J190" i="13"/>
  <c r="M190" i="13"/>
  <c r="Q188" i="13"/>
  <c r="I188" i="13"/>
  <c r="J186" i="13"/>
  <c r="M186" i="13"/>
  <c r="I184" i="13"/>
  <c r="I182" i="13"/>
  <c r="I181" i="13"/>
  <c r="Q169" i="13"/>
  <c r="J168" i="13"/>
  <c r="M168" i="13"/>
  <c r="Q165" i="13"/>
  <c r="J164" i="13"/>
  <c r="M164" i="13"/>
  <c r="Q161" i="13"/>
  <c r="J160" i="13"/>
  <c r="M160" i="13"/>
  <c r="Q157" i="13"/>
  <c r="J156" i="13"/>
  <c r="M156" i="13"/>
  <c r="Q153" i="13"/>
  <c r="J152" i="13"/>
  <c r="M152" i="13"/>
  <c r="J151" i="13"/>
  <c r="M151" i="13"/>
  <c r="AM160" i="3"/>
  <c r="I145" i="13"/>
  <c r="Q189" i="13"/>
  <c r="I189" i="13"/>
  <c r="J187" i="13"/>
  <c r="M187" i="13"/>
  <c r="I185" i="13"/>
  <c r="J180" i="13"/>
  <c r="M180" i="13"/>
  <c r="J179" i="13"/>
  <c r="M179" i="13"/>
  <c r="J178" i="13"/>
  <c r="M178" i="13"/>
  <c r="J177" i="13"/>
  <c r="M177" i="13"/>
  <c r="J176" i="13"/>
  <c r="M176" i="13"/>
  <c r="J175" i="13"/>
  <c r="M175" i="13"/>
  <c r="J174" i="13"/>
  <c r="M174" i="13"/>
  <c r="J173" i="13"/>
  <c r="M173" i="13"/>
  <c r="J172" i="13"/>
  <c r="M172" i="13"/>
  <c r="J171" i="13"/>
  <c r="M171" i="13"/>
  <c r="J167" i="13"/>
  <c r="M167" i="13"/>
  <c r="J163" i="13"/>
  <c r="M163" i="13"/>
  <c r="J159" i="13"/>
  <c r="M159" i="13"/>
  <c r="J155" i="13"/>
  <c r="M155" i="13"/>
  <c r="J143" i="13"/>
  <c r="M143" i="13"/>
  <c r="AM152" i="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J188" i="13"/>
  <c r="M188" i="13"/>
  <c r="I186" i="13"/>
  <c r="J184" i="13"/>
  <c r="M184" i="13"/>
  <c r="J183" i="13"/>
  <c r="M183" i="13"/>
  <c r="J182" i="13"/>
  <c r="M182" i="13"/>
  <c r="J181" i="13"/>
  <c r="M181" i="13"/>
  <c r="J170" i="13"/>
  <c r="M170" i="13"/>
  <c r="J166" i="13"/>
  <c r="M166" i="13"/>
  <c r="J162" i="13"/>
  <c r="M162" i="13"/>
  <c r="J158" i="13"/>
  <c r="M158" i="13"/>
  <c r="J154" i="13"/>
  <c r="M154" i="13"/>
  <c r="I149" i="13"/>
  <c r="Q149" i="13"/>
  <c r="AX154" i="3"/>
  <c r="P145" i="13" s="1"/>
  <c r="J189" i="13"/>
  <c r="M189" i="13"/>
  <c r="I187" i="13"/>
  <c r="J185" i="13"/>
  <c r="M185" i="13"/>
  <c r="I180" i="13"/>
  <c r="I178" i="13"/>
  <c r="I177" i="13"/>
  <c r="I176" i="13"/>
  <c r="I175" i="13"/>
  <c r="I174" i="13"/>
  <c r="I173" i="13"/>
  <c r="I172" i="13"/>
  <c r="I171" i="13"/>
  <c r="Q170" i="13"/>
  <c r="J169" i="13"/>
  <c r="M169" i="13"/>
  <c r="Q166" i="13"/>
  <c r="J165" i="13"/>
  <c r="M165" i="13"/>
  <c r="Q162" i="13"/>
  <c r="J161" i="13"/>
  <c r="M161" i="13"/>
  <c r="Q158" i="13"/>
  <c r="J157" i="13"/>
  <c r="M157" i="13"/>
  <c r="Q154" i="13"/>
  <c r="J153" i="13"/>
  <c r="M153" i="13"/>
  <c r="AX160" i="3"/>
  <c r="P151" i="13" s="1"/>
  <c r="J147" i="13"/>
  <c r="M147" i="13"/>
  <c r="AM156" i="3"/>
  <c r="J150" i="13"/>
  <c r="M150" i="13"/>
  <c r="Q147" i="13"/>
  <c r="J146" i="13"/>
  <c r="M146" i="13"/>
  <c r="I144" i="13"/>
  <c r="J142" i="13"/>
  <c r="M142" i="13"/>
  <c r="J149" i="13"/>
  <c r="M149" i="13"/>
  <c r="J145" i="13"/>
  <c r="M145" i="13"/>
  <c r="I143" i="13"/>
  <c r="J148" i="13"/>
  <c r="M148" i="13"/>
  <c r="I146" i="13"/>
  <c r="I142" i="13"/>
  <c r="J243" i="11"/>
  <c r="F182" i="13"/>
  <c r="L191" i="3"/>
  <c r="J239" i="11"/>
  <c r="F178" i="13"/>
  <c r="L187" i="3"/>
  <c r="J229" i="11"/>
  <c r="F168" i="13"/>
  <c r="L177" i="3"/>
  <c r="J225" i="11"/>
  <c r="F164" i="13"/>
  <c r="L173" i="3"/>
  <c r="J218" i="11"/>
  <c r="L169" i="3"/>
  <c r="F160" i="13"/>
  <c r="J214" i="11"/>
  <c r="F156" i="13"/>
  <c r="L165" i="3"/>
  <c r="J210" i="11"/>
  <c r="F152" i="13"/>
  <c r="L161" i="3"/>
  <c r="J242" i="11"/>
  <c r="F181" i="13"/>
  <c r="L190" i="3"/>
  <c r="J238" i="11"/>
  <c r="F177" i="13"/>
  <c r="L186" i="3"/>
  <c r="J237" i="11"/>
  <c r="L185" i="3"/>
  <c r="F176" i="13"/>
  <c r="J236" i="11"/>
  <c r="L184" i="3"/>
  <c r="F175" i="13"/>
  <c r="J235" i="11"/>
  <c r="L183" i="3"/>
  <c r="F174" i="13"/>
  <c r="J234" i="11"/>
  <c r="F173" i="13"/>
  <c r="L182" i="3"/>
  <c r="J233" i="11"/>
  <c r="L181" i="3"/>
  <c r="F172" i="13"/>
  <c r="J232" i="11"/>
  <c r="F171" i="13"/>
  <c r="L180" i="3"/>
  <c r="J228" i="11"/>
  <c r="F167" i="13"/>
  <c r="L176" i="3"/>
  <c r="J224" i="11"/>
  <c r="F163" i="13"/>
  <c r="L172" i="3"/>
  <c r="J217" i="11"/>
  <c r="F159" i="13"/>
  <c r="L168" i="3"/>
  <c r="J213" i="11"/>
  <c r="L164" i="3"/>
  <c r="F155" i="13"/>
  <c r="J209" i="11"/>
  <c r="F151" i="13"/>
  <c r="L160" i="3"/>
  <c r="J245" i="11"/>
  <c r="F184" i="13"/>
  <c r="L193" i="3"/>
  <c r="J241" i="11"/>
  <c r="F180" i="13"/>
  <c r="L189" i="3"/>
  <c r="J231" i="11"/>
  <c r="F170" i="13"/>
  <c r="L179" i="3"/>
  <c r="J227" i="11"/>
  <c r="L175" i="3"/>
  <c r="F166" i="13"/>
  <c r="J223" i="11"/>
  <c r="F162" i="13"/>
  <c r="L171" i="3"/>
  <c r="J216" i="11"/>
  <c r="L167" i="3"/>
  <c r="F158" i="13"/>
  <c r="J212" i="11"/>
  <c r="F154" i="13"/>
  <c r="L163" i="3"/>
  <c r="J208" i="11"/>
  <c r="F150" i="13"/>
  <c r="L159" i="3"/>
  <c r="J318" i="11"/>
  <c r="F251" i="13"/>
  <c r="J317" i="11"/>
  <c r="F250" i="13"/>
  <c r="J316" i="11"/>
  <c r="F249" i="13"/>
  <c r="J315" i="11"/>
  <c r="F248" i="13"/>
  <c r="J314" i="11"/>
  <c r="F247" i="13"/>
  <c r="J313" i="11"/>
  <c r="F246" i="13"/>
  <c r="J312" i="11"/>
  <c r="F245" i="13"/>
  <c r="J311" i="11"/>
  <c r="F244" i="13"/>
  <c r="J310" i="11"/>
  <c r="F243" i="13"/>
  <c r="J309" i="11"/>
  <c r="F242" i="13"/>
  <c r="J305" i="11"/>
  <c r="F241" i="13"/>
  <c r="J304" i="11"/>
  <c r="F240" i="13"/>
  <c r="J303" i="11"/>
  <c r="F239" i="13"/>
  <c r="J302" i="11"/>
  <c r="F238" i="13"/>
  <c r="J301" i="11"/>
  <c r="F237" i="13"/>
  <c r="J300" i="11"/>
  <c r="F236" i="13"/>
  <c r="J299" i="11"/>
  <c r="F235" i="13"/>
  <c r="J298" i="11"/>
  <c r="F234" i="13"/>
  <c r="J297" i="11"/>
  <c r="F233" i="13"/>
  <c r="J296" i="11"/>
  <c r="F232" i="13"/>
  <c r="J295" i="11"/>
  <c r="F231" i="13"/>
  <c r="J294" i="11"/>
  <c r="F230" i="13"/>
  <c r="J293" i="11"/>
  <c r="F229" i="13"/>
  <c r="J292" i="11"/>
  <c r="F228" i="13"/>
  <c r="J291" i="11"/>
  <c r="F227" i="13"/>
  <c r="J290" i="11"/>
  <c r="F226" i="13"/>
  <c r="J289" i="11"/>
  <c r="F225" i="13"/>
  <c r="J288" i="11"/>
  <c r="F224" i="13"/>
  <c r="J287" i="11"/>
  <c r="F223" i="13"/>
  <c r="J286" i="11"/>
  <c r="F222" i="13"/>
  <c r="J285" i="11"/>
  <c r="F221" i="13"/>
  <c r="J284" i="11"/>
  <c r="F220" i="13"/>
  <c r="J283" i="11"/>
  <c r="F219" i="13"/>
  <c r="J282" i="11"/>
  <c r="F218" i="13"/>
  <c r="J281" i="11"/>
  <c r="F217" i="13"/>
  <c r="J280" i="11"/>
  <c r="F216" i="13"/>
  <c r="J279" i="11"/>
  <c r="F215" i="13"/>
  <c r="J278" i="11"/>
  <c r="F214" i="13"/>
  <c r="J277" i="11"/>
  <c r="F213" i="13"/>
  <c r="J276" i="11"/>
  <c r="F212" i="13"/>
  <c r="J275" i="11"/>
  <c r="F211" i="13"/>
  <c r="J274" i="11"/>
  <c r="F210" i="13"/>
  <c r="J273" i="11"/>
  <c r="F209" i="13"/>
  <c r="J272" i="11"/>
  <c r="F208" i="13"/>
  <c r="J271" i="11"/>
  <c r="F207" i="13"/>
  <c r="J270" i="11"/>
  <c r="F206" i="13"/>
  <c r="J269" i="11"/>
  <c r="F205" i="13"/>
  <c r="J268" i="11"/>
  <c r="F204" i="13"/>
  <c r="J267" i="11"/>
  <c r="F203" i="13"/>
  <c r="J266" i="11"/>
  <c r="F202" i="13"/>
  <c r="J262" i="11"/>
  <c r="F201" i="13"/>
  <c r="J261" i="11"/>
  <c r="F200" i="13"/>
  <c r="J260" i="11"/>
  <c r="F199" i="13"/>
  <c r="J259" i="11"/>
  <c r="F198" i="13"/>
  <c r="J258" i="11"/>
  <c r="F197" i="13"/>
  <c r="J257" i="11"/>
  <c r="F196" i="13"/>
  <c r="J256" i="11"/>
  <c r="F195" i="13"/>
  <c r="J255" i="11"/>
  <c r="F194" i="13"/>
  <c r="J254" i="11"/>
  <c r="F193" i="13"/>
  <c r="J253" i="11"/>
  <c r="F192" i="13"/>
  <c r="J252" i="11"/>
  <c r="F191" i="13"/>
  <c r="J251" i="11"/>
  <c r="F190" i="13"/>
  <c r="J250" i="11"/>
  <c r="F189" i="13"/>
  <c r="J249" i="11"/>
  <c r="F188" i="13"/>
  <c r="Q187" i="13"/>
  <c r="J248" i="11"/>
  <c r="F187" i="13"/>
  <c r="Q186" i="13"/>
  <c r="J247" i="11"/>
  <c r="F186" i="13"/>
  <c r="Q185" i="13"/>
  <c r="J246" i="11"/>
  <c r="F185" i="13"/>
  <c r="Q184" i="13"/>
  <c r="J244" i="11"/>
  <c r="F183" i="13"/>
  <c r="L192" i="3"/>
  <c r="Q180" i="13"/>
  <c r="J240" i="11"/>
  <c r="F179" i="13"/>
  <c r="L188" i="3"/>
  <c r="J230" i="11"/>
  <c r="F169" i="13"/>
  <c r="L178" i="3"/>
  <c r="J226" i="11"/>
  <c r="F165" i="13"/>
  <c r="L174" i="3"/>
  <c r="J219" i="11"/>
  <c r="F161" i="13"/>
  <c r="L170" i="3"/>
  <c r="J215" i="11"/>
  <c r="L166" i="3"/>
  <c r="F157" i="13"/>
  <c r="J211" i="11"/>
  <c r="F153" i="13"/>
  <c r="L162" i="3"/>
  <c r="J207" i="11"/>
  <c r="F149" i="13"/>
  <c r="J205" i="11"/>
  <c r="F147" i="13"/>
  <c r="J204" i="11"/>
  <c r="F146" i="13"/>
  <c r="J203" i="11"/>
  <c r="F145" i="13"/>
  <c r="J201" i="11"/>
  <c r="F143" i="13"/>
  <c r="J200" i="11"/>
  <c r="F142" i="13"/>
  <c r="F148" i="13"/>
  <c r="F144" i="13"/>
  <c r="L137" i="3"/>
  <c r="L158" i="3"/>
  <c r="L157" i="3"/>
  <c r="L156" i="3"/>
  <c r="L155" i="3"/>
  <c r="L154" i="3"/>
  <c r="L153" i="3"/>
  <c r="L152" i="3"/>
  <c r="L151" i="3"/>
  <c r="L149" i="3"/>
  <c r="L147" i="3"/>
  <c r="L145" i="3"/>
  <c r="L143" i="3"/>
  <c r="L47" i="3"/>
  <c r="Q89" i="13"/>
  <c r="Q88" i="13"/>
  <c r="Q87" i="13"/>
  <c r="Q86" i="13"/>
  <c r="Q85" i="13"/>
  <c r="Q84" i="13"/>
  <c r="Q83" i="13"/>
  <c r="Q81" i="13"/>
  <c r="B20" i="9"/>
  <c r="Q78" i="13"/>
  <c r="Q76" i="13"/>
  <c r="Q73" i="13"/>
  <c r="Q72" i="13"/>
  <c r="Q68" i="13"/>
  <c r="Q70" i="13"/>
  <c r="Q66" i="13"/>
  <c r="Q65" i="13"/>
  <c r="Q64" i="13"/>
  <c r="B19" i="9"/>
  <c r="T12" i="13"/>
  <c r="T8" i="13"/>
  <c r="T13" i="13"/>
  <c r="T10" i="13"/>
  <c r="T7" i="13"/>
  <c r="M131" i="13"/>
  <c r="M141" i="13"/>
  <c r="AM149" i="3"/>
  <c r="M140" i="13"/>
  <c r="M139" i="13"/>
  <c r="AM147" i="3"/>
  <c r="BN147" i="3" s="1"/>
  <c r="M138" i="13"/>
  <c r="M137" i="13"/>
  <c r="M136" i="13"/>
  <c r="AM145" i="3"/>
  <c r="M135" i="13"/>
  <c r="AM143" i="3"/>
  <c r="M134" i="13"/>
  <c r="M133" i="13"/>
  <c r="AM146" i="3"/>
  <c r="BN146" i="3" s="1"/>
  <c r="AM144" i="3"/>
  <c r="BN144" i="3" s="1"/>
  <c r="AM142" i="3"/>
  <c r="AX141" i="3"/>
  <c r="Q132" i="13"/>
  <c r="M132" i="13"/>
  <c r="AM141" i="3"/>
  <c r="I132" i="13"/>
  <c r="AX140" i="3"/>
  <c r="I131" i="13"/>
  <c r="AX139" i="3"/>
  <c r="Q130" i="13"/>
  <c r="M130" i="13"/>
  <c r="AM139" i="3"/>
  <c r="AX138" i="3"/>
  <c r="M129" i="13"/>
  <c r="I129" i="13"/>
  <c r="M128" i="13"/>
  <c r="I128" i="13"/>
  <c r="M127" i="13"/>
  <c r="I127" i="13"/>
  <c r="M126" i="13"/>
  <c r="I126" i="13"/>
  <c r="M125" i="13"/>
  <c r="I125" i="13"/>
  <c r="Q128" i="13"/>
  <c r="Q127" i="13"/>
  <c r="J127" i="13"/>
  <c r="J141" i="13"/>
  <c r="AM148" i="3"/>
  <c r="AM140" i="3"/>
  <c r="AM138" i="3"/>
  <c r="BN138" i="3" s="1"/>
  <c r="AM134" i="3"/>
  <c r="S141" i="13"/>
  <c r="R139" i="13"/>
  <c r="S137" i="13"/>
  <c r="R135" i="13"/>
  <c r="S133" i="13"/>
  <c r="R140" i="13"/>
  <c r="S138" i="13"/>
  <c r="R136" i="13"/>
  <c r="S134" i="13"/>
  <c r="R132" i="13"/>
  <c r="R141" i="13"/>
  <c r="R137" i="13"/>
  <c r="R133" i="13"/>
  <c r="R130" i="13"/>
  <c r="R128" i="13"/>
  <c r="S127" i="13"/>
  <c r="R131" i="13"/>
  <c r="S131" i="13"/>
  <c r="S129" i="13"/>
  <c r="S126" i="13"/>
  <c r="R129" i="13"/>
  <c r="R126" i="13"/>
  <c r="S130" i="13"/>
  <c r="S128" i="13"/>
  <c r="R127" i="13"/>
  <c r="S125" i="13"/>
  <c r="R125" i="13"/>
  <c r="B214" i="9"/>
  <c r="B144" i="9"/>
  <c r="Q129" i="13"/>
  <c r="BN136" i="3"/>
  <c r="B230" i="9"/>
  <c r="Q126" i="13"/>
  <c r="I64" i="13"/>
  <c r="B185" i="9"/>
  <c r="B145" i="9"/>
  <c r="AM109" i="3"/>
  <c r="L86" i="3"/>
  <c r="L133" i="3"/>
  <c r="L121" i="3"/>
  <c r="L67" i="3"/>
  <c r="L117" i="3"/>
  <c r="L37" i="3"/>
  <c r="L33" i="3"/>
  <c r="L27" i="3"/>
  <c r="L50" i="3"/>
  <c r="L45" i="3"/>
  <c r="L44" i="3"/>
  <c r="L26" i="3"/>
  <c r="L120" i="3"/>
  <c r="L115" i="3"/>
  <c r="AM101" i="3"/>
  <c r="AM44" i="3"/>
  <c r="L42" i="3"/>
  <c r="L132" i="3"/>
  <c r="L129" i="3"/>
  <c r="L92" i="3"/>
  <c r="L87" i="3"/>
  <c r="L43" i="3"/>
  <c r="L39" i="3"/>
  <c r="L36" i="3"/>
  <c r="AT255" i="3"/>
  <c r="AU255" i="3" s="1"/>
  <c r="AT231" i="3"/>
  <c r="AU231" i="3" s="1"/>
  <c r="L41" i="3"/>
  <c r="L38" i="3"/>
  <c r="L35" i="3"/>
  <c r="L30" i="3"/>
  <c r="F109" i="13"/>
  <c r="AT258" i="3"/>
  <c r="AU258" i="3" s="1"/>
  <c r="AT254" i="3"/>
  <c r="AU254" i="3" s="1"/>
  <c r="AT230" i="3"/>
  <c r="AU230" i="3" s="1"/>
  <c r="AT222" i="3"/>
  <c r="AU222" i="3" s="1"/>
  <c r="L32" i="3"/>
  <c r="L29" i="3"/>
  <c r="M119" i="13"/>
  <c r="F58" i="13"/>
  <c r="AT247" i="3"/>
  <c r="AU247" i="3" s="1"/>
  <c r="AT239" i="3"/>
  <c r="AU239" i="3" s="1"/>
  <c r="L125" i="3"/>
  <c r="L116" i="3"/>
  <c r="L90" i="3"/>
  <c r="L82" i="3"/>
  <c r="L52" i="3"/>
  <c r="L49" i="3"/>
  <c r="L28" i="3"/>
  <c r="L23" i="3"/>
  <c r="F79" i="13"/>
  <c r="F83" i="13"/>
  <c r="AT238" i="3"/>
  <c r="AU238" i="3" s="1"/>
  <c r="L48" i="3"/>
  <c r="F117" i="13"/>
  <c r="M37" i="13"/>
  <c r="U8" i="13"/>
  <c r="U7" i="13"/>
  <c r="U17" i="13"/>
  <c r="U10" i="13"/>
  <c r="U16" i="13"/>
  <c r="U15" i="13"/>
  <c r="U14" i="13"/>
  <c r="U9" i="13"/>
  <c r="U13" i="13"/>
  <c r="U12" i="13"/>
  <c r="U11" i="13"/>
  <c r="AM78" i="3"/>
  <c r="M19" i="13"/>
  <c r="AM31" i="3"/>
  <c r="BG31" i="3" s="1"/>
  <c r="AM16" i="3"/>
  <c r="BG16" i="3" s="1"/>
  <c r="M100" i="13"/>
  <c r="M124" i="13"/>
  <c r="M123" i="13"/>
  <c r="AM131" i="3"/>
  <c r="M122" i="13"/>
  <c r="AM135" i="3"/>
  <c r="Q125" i="13"/>
  <c r="AM133" i="3"/>
  <c r="AM132" i="3"/>
  <c r="F123" i="13"/>
  <c r="F122" i="13"/>
  <c r="L136" i="3"/>
  <c r="L131" i="3"/>
  <c r="F124" i="13"/>
  <c r="M121" i="13"/>
  <c r="AM130" i="3"/>
  <c r="M120" i="13"/>
  <c r="M118" i="13"/>
  <c r="M117" i="13"/>
  <c r="AM129" i="3"/>
  <c r="AM128" i="3"/>
  <c r="AM127" i="3"/>
  <c r="AM126" i="3"/>
  <c r="AM125" i="3"/>
  <c r="M116" i="13"/>
  <c r="M115" i="13"/>
  <c r="AM124" i="3"/>
  <c r="M114" i="13"/>
  <c r="M113" i="13"/>
  <c r="M112" i="13"/>
  <c r="AM120" i="3"/>
  <c r="M111" i="13"/>
  <c r="AM119" i="3"/>
  <c r="M110" i="13"/>
  <c r="M109" i="13"/>
  <c r="M108" i="13"/>
  <c r="AM122" i="3"/>
  <c r="J112" i="13"/>
  <c r="AM118" i="3"/>
  <c r="AM123" i="3"/>
  <c r="AM117" i="3"/>
  <c r="M107" i="13"/>
  <c r="AM116" i="3"/>
  <c r="F114" i="13"/>
  <c r="L130" i="3"/>
  <c r="L126" i="3"/>
  <c r="J170" i="11"/>
  <c r="F115" i="13"/>
  <c r="F113" i="13"/>
  <c r="F108" i="13"/>
  <c r="F111" i="13"/>
  <c r="F110" i="13"/>
  <c r="L122" i="3"/>
  <c r="L118" i="3"/>
  <c r="F112" i="13"/>
  <c r="F119" i="13"/>
  <c r="F120" i="13"/>
  <c r="L128" i="3"/>
  <c r="J173" i="11"/>
  <c r="F118" i="13"/>
  <c r="L123" i="3"/>
  <c r="L119" i="3"/>
  <c r="F116" i="13"/>
  <c r="F121" i="13"/>
  <c r="F107" i="13"/>
  <c r="M106" i="13"/>
  <c r="M105" i="13"/>
  <c r="AM114" i="3"/>
  <c r="M104" i="13"/>
  <c r="AM113" i="3"/>
  <c r="AM112" i="3"/>
  <c r="M103" i="13"/>
  <c r="M102" i="13"/>
  <c r="M101" i="13"/>
  <c r="AM108" i="3"/>
  <c r="M99" i="13"/>
  <c r="AM110" i="3"/>
  <c r="AM115" i="3"/>
  <c r="AM111" i="3"/>
  <c r="M98" i="13"/>
  <c r="M97" i="13"/>
  <c r="M96" i="13"/>
  <c r="M95" i="13"/>
  <c r="AM104" i="3"/>
  <c r="M94" i="13"/>
  <c r="AM102" i="3"/>
  <c r="M93" i="13"/>
  <c r="M92" i="13"/>
  <c r="M91" i="13"/>
  <c r="M90" i="13"/>
  <c r="AM107" i="3"/>
  <c r="AM105" i="3"/>
  <c r="AM106" i="3"/>
  <c r="AM103" i="3"/>
  <c r="AM99" i="3"/>
  <c r="AM98" i="3"/>
  <c r="M89" i="13"/>
  <c r="I89" i="13"/>
  <c r="I88" i="13"/>
  <c r="AM97" i="3"/>
  <c r="BN97" i="3" s="1"/>
  <c r="M88" i="13"/>
  <c r="M87" i="13"/>
  <c r="I87" i="13"/>
  <c r="M86" i="13"/>
  <c r="AM95" i="3"/>
  <c r="I86" i="13"/>
  <c r="M85" i="13"/>
  <c r="I85" i="13"/>
  <c r="I84" i="13"/>
  <c r="M84" i="13"/>
  <c r="AM93" i="3"/>
  <c r="AM96" i="3"/>
  <c r="BJ96" i="3" s="1"/>
  <c r="AM94" i="3"/>
  <c r="AM100" i="3"/>
  <c r="M83" i="13"/>
  <c r="AM92" i="3"/>
  <c r="I83" i="13"/>
  <c r="M82" i="13"/>
  <c r="I82" i="13"/>
  <c r="Q82" i="13"/>
  <c r="AM91" i="3"/>
  <c r="M81" i="13"/>
  <c r="I81" i="13"/>
  <c r="I80" i="13"/>
  <c r="M80" i="13"/>
  <c r="AM90" i="3"/>
  <c r="AM89" i="3"/>
  <c r="Q80" i="13"/>
  <c r="M79" i="13"/>
  <c r="Q79" i="13"/>
  <c r="AM88" i="3"/>
  <c r="I79" i="13"/>
  <c r="I78" i="13"/>
  <c r="M78" i="13"/>
  <c r="M77" i="13"/>
  <c r="I77" i="13"/>
  <c r="M76" i="13"/>
  <c r="I76" i="13"/>
  <c r="I75" i="13"/>
  <c r="M75" i="13"/>
  <c r="Q74" i="13"/>
  <c r="M74" i="13"/>
  <c r="AM83" i="3"/>
  <c r="I74" i="13"/>
  <c r="M73" i="13"/>
  <c r="I73" i="13"/>
  <c r="M72" i="13"/>
  <c r="I72" i="13"/>
  <c r="AM87" i="3"/>
  <c r="AM86" i="3"/>
  <c r="AM84" i="3"/>
  <c r="Q77" i="13"/>
  <c r="AM85" i="3"/>
  <c r="AM82" i="3"/>
  <c r="AM81" i="3"/>
  <c r="AX81" i="3"/>
  <c r="M71" i="13"/>
  <c r="I71" i="13"/>
  <c r="Q71" i="13"/>
  <c r="M70" i="13"/>
  <c r="I70" i="13"/>
  <c r="Q69" i="13"/>
  <c r="M69" i="13"/>
  <c r="I69" i="13"/>
  <c r="M68" i="13"/>
  <c r="I68" i="13"/>
  <c r="AM76" i="3"/>
  <c r="Q67" i="13"/>
  <c r="M67" i="13"/>
  <c r="I67" i="13"/>
  <c r="M66" i="13"/>
  <c r="I66" i="13"/>
  <c r="AM79" i="3"/>
  <c r="AM77" i="3"/>
  <c r="AM75" i="3"/>
  <c r="AM74" i="3"/>
  <c r="BJ74" i="3" s="1"/>
  <c r="M65" i="13"/>
  <c r="I65" i="13"/>
  <c r="J64" i="13"/>
  <c r="M64" i="13"/>
  <c r="AM73" i="3"/>
  <c r="J160" i="11"/>
  <c r="F105" i="13"/>
  <c r="L114" i="3"/>
  <c r="J157" i="11"/>
  <c r="F102" i="13"/>
  <c r="J153" i="11"/>
  <c r="F98" i="13"/>
  <c r="J149" i="11"/>
  <c r="F94" i="13"/>
  <c r="J148" i="11"/>
  <c r="F93" i="13"/>
  <c r="J147" i="11"/>
  <c r="F92" i="13"/>
  <c r="J146" i="11"/>
  <c r="F91" i="13"/>
  <c r="J137" i="11"/>
  <c r="L91" i="3"/>
  <c r="F82" i="13"/>
  <c r="Q75" i="13"/>
  <c r="J144" i="11"/>
  <c r="F89" i="13"/>
  <c r="J158" i="11"/>
  <c r="F103" i="13"/>
  <c r="L109" i="3"/>
  <c r="J154" i="11"/>
  <c r="F99" i="13"/>
  <c r="J150" i="11"/>
  <c r="F95" i="13"/>
  <c r="J141" i="11"/>
  <c r="F86" i="13"/>
  <c r="J140" i="11"/>
  <c r="F85" i="13"/>
  <c r="J124" i="11"/>
  <c r="L81" i="3"/>
  <c r="J152" i="11"/>
  <c r="F97" i="13"/>
  <c r="J145" i="11"/>
  <c r="F90" i="13"/>
  <c r="J143" i="11"/>
  <c r="F88" i="13"/>
  <c r="J139" i="11"/>
  <c r="F84" i="13"/>
  <c r="L93" i="3"/>
  <c r="J159" i="11"/>
  <c r="F104" i="13"/>
  <c r="L110" i="3"/>
  <c r="L106" i="3"/>
  <c r="J151" i="11"/>
  <c r="F96" i="13"/>
  <c r="L99" i="3"/>
  <c r="L98" i="3"/>
  <c r="L97" i="3"/>
  <c r="J142" i="11"/>
  <c r="F87" i="13"/>
  <c r="J128" i="11"/>
  <c r="L85" i="3"/>
  <c r="F76" i="13"/>
  <c r="F101" i="13"/>
  <c r="F100" i="13"/>
  <c r="F106" i="13"/>
  <c r="L89" i="3"/>
  <c r="L88" i="3"/>
  <c r="F75" i="13"/>
  <c r="F73" i="13"/>
  <c r="L84" i="3"/>
  <c r="J126" i="11"/>
  <c r="F74" i="13"/>
  <c r="F81" i="13"/>
  <c r="F77" i="13"/>
  <c r="F78" i="13"/>
  <c r="F80" i="13"/>
  <c r="J63" i="13"/>
  <c r="M63" i="13"/>
  <c r="AM72" i="3"/>
  <c r="M62" i="13"/>
  <c r="M61" i="13"/>
  <c r="M60" i="13"/>
  <c r="AM71" i="3"/>
  <c r="AM69" i="3"/>
  <c r="M59" i="13"/>
  <c r="M58" i="13"/>
  <c r="AM70" i="3"/>
  <c r="AM68" i="3"/>
  <c r="BJ68" i="3" s="1"/>
  <c r="AM67" i="3"/>
  <c r="J57" i="13"/>
  <c r="M57" i="13"/>
  <c r="M56" i="13"/>
  <c r="M55" i="13"/>
  <c r="AM65" i="3"/>
  <c r="BJ65" i="3" s="1"/>
  <c r="AM64" i="3"/>
  <c r="M54" i="13"/>
  <c r="M53" i="13"/>
  <c r="M52" i="13"/>
  <c r="M51" i="13"/>
  <c r="AM57" i="3"/>
  <c r="M48" i="13"/>
  <c r="M50" i="13"/>
  <c r="M49" i="13"/>
  <c r="M47" i="13"/>
  <c r="M46" i="13"/>
  <c r="AM62" i="3"/>
  <c r="AM60" i="3"/>
  <c r="AM58" i="3"/>
  <c r="AM56" i="3"/>
  <c r="AM63" i="3"/>
  <c r="AM61" i="3"/>
  <c r="AM59" i="3"/>
  <c r="BJ59" i="3" s="1"/>
  <c r="AM55" i="3"/>
  <c r="M45" i="13"/>
  <c r="AM54" i="3"/>
  <c r="M44" i="13"/>
  <c r="AM53" i="3"/>
  <c r="AM52" i="3"/>
  <c r="M43" i="13"/>
  <c r="M42" i="13"/>
  <c r="M41" i="13"/>
  <c r="AM50" i="3"/>
  <c r="M40" i="13"/>
  <c r="M39" i="13"/>
  <c r="M38" i="13"/>
  <c r="AM49" i="3"/>
  <c r="AM47" i="3"/>
  <c r="AM51" i="3"/>
  <c r="AM48" i="3"/>
  <c r="M36" i="13"/>
  <c r="M35" i="13"/>
  <c r="AM45" i="3"/>
  <c r="AM46" i="3"/>
  <c r="AM43" i="3"/>
  <c r="M34" i="13"/>
  <c r="M33" i="13"/>
  <c r="M32" i="13"/>
  <c r="M31" i="13"/>
  <c r="M30" i="13"/>
  <c r="AM38" i="3"/>
  <c r="M29" i="13"/>
  <c r="M28" i="13"/>
  <c r="AM41" i="3"/>
  <c r="AM39" i="3"/>
  <c r="AM42" i="3"/>
  <c r="AM40" i="3"/>
  <c r="J27" i="13"/>
  <c r="M27" i="13"/>
  <c r="I27" i="13"/>
  <c r="I26" i="13"/>
  <c r="M26" i="13"/>
  <c r="AM36" i="3"/>
  <c r="AM37" i="3"/>
  <c r="AM35" i="3"/>
  <c r="I25" i="13"/>
  <c r="M25" i="13"/>
  <c r="AM33" i="3"/>
  <c r="I24" i="13"/>
  <c r="M24" i="13"/>
  <c r="I23" i="13"/>
  <c r="M23" i="13"/>
  <c r="M22" i="13"/>
  <c r="I22" i="13"/>
  <c r="I21" i="13"/>
  <c r="M21" i="13"/>
  <c r="M20" i="13"/>
  <c r="I20" i="13"/>
  <c r="AM34" i="3"/>
  <c r="AM32" i="3"/>
  <c r="BG32" i="3" s="1"/>
  <c r="AM30" i="3"/>
  <c r="BG30" i="3" s="1"/>
  <c r="AM29" i="3"/>
  <c r="BG29" i="3" s="1"/>
  <c r="I19" i="13"/>
  <c r="M18" i="13"/>
  <c r="I18" i="13"/>
  <c r="AM28" i="3"/>
  <c r="BG28" i="3" s="1"/>
  <c r="I17" i="13"/>
  <c r="AM26" i="3"/>
  <c r="BG26" i="3" s="1"/>
  <c r="M17" i="13"/>
  <c r="M16" i="13"/>
  <c r="I16" i="13"/>
  <c r="I15" i="13"/>
  <c r="M15" i="13"/>
  <c r="M14" i="13"/>
  <c r="I14" i="13"/>
  <c r="AM27" i="3"/>
  <c r="BG27" i="3" s="1"/>
  <c r="AM24" i="3"/>
  <c r="BG24" i="3" s="1"/>
  <c r="M13" i="13"/>
  <c r="I13" i="13"/>
  <c r="I12" i="13"/>
  <c r="M12" i="13"/>
  <c r="AM20" i="3"/>
  <c r="BG20" i="3" s="1"/>
  <c r="I11" i="13"/>
  <c r="M11" i="13"/>
  <c r="I10" i="13"/>
  <c r="M10" i="13"/>
  <c r="AM25" i="3"/>
  <c r="BG25" i="3" s="1"/>
  <c r="AM22" i="3"/>
  <c r="BG22" i="3" s="1"/>
  <c r="AM23" i="3"/>
  <c r="BG23" i="3" s="1"/>
  <c r="AM21" i="3"/>
  <c r="BG21" i="3" s="1"/>
  <c r="AM19" i="3"/>
  <c r="BG19" i="3" s="1"/>
  <c r="I9" i="13"/>
  <c r="M9" i="13"/>
  <c r="AM17" i="3"/>
  <c r="BG17" i="3" s="1"/>
  <c r="I8" i="13"/>
  <c r="M8" i="13"/>
  <c r="M7" i="13"/>
  <c r="I7" i="13"/>
  <c r="AM18" i="3"/>
  <c r="BG18" i="3" s="1"/>
  <c r="J119" i="11"/>
  <c r="F67" i="13"/>
  <c r="R47" i="13"/>
  <c r="L40" i="3"/>
  <c r="S17" i="13"/>
  <c r="L25" i="3"/>
  <c r="S14" i="13"/>
  <c r="J121" i="11"/>
  <c r="F69" i="13"/>
  <c r="L78" i="3"/>
  <c r="S68" i="13"/>
  <c r="J117" i="11"/>
  <c r="F65" i="13"/>
  <c r="J116" i="11"/>
  <c r="L73" i="3"/>
  <c r="F64" i="13"/>
  <c r="J107" i="11"/>
  <c r="L64" i="3"/>
  <c r="F55" i="13"/>
  <c r="J100" i="11"/>
  <c r="F48" i="13"/>
  <c r="L57" i="3"/>
  <c r="J97" i="11"/>
  <c r="F45" i="13"/>
  <c r="L54" i="3"/>
  <c r="F42" i="13"/>
  <c r="L51" i="3"/>
  <c r="S35" i="13"/>
  <c r="S34" i="13"/>
  <c r="S33" i="13"/>
  <c r="T32" i="13"/>
  <c r="R31" i="13"/>
  <c r="L34" i="3"/>
  <c r="L31" i="3"/>
  <c r="L21" i="3"/>
  <c r="T56" i="13"/>
  <c r="R55" i="13"/>
  <c r="S40" i="13"/>
  <c r="T39" i="13"/>
  <c r="T23" i="13"/>
  <c r="R22" i="13"/>
  <c r="J122" i="11"/>
  <c r="F70" i="13"/>
  <c r="J118" i="11"/>
  <c r="F66" i="13"/>
  <c r="L46" i="3"/>
  <c r="T27" i="13"/>
  <c r="J123" i="11"/>
  <c r="F71" i="13"/>
  <c r="L80" i="3"/>
  <c r="T70" i="13"/>
  <c r="L79" i="3"/>
  <c r="L76" i="3"/>
  <c r="T66" i="13"/>
  <c r="L75" i="3"/>
  <c r="J113" i="11"/>
  <c r="F61" i="13"/>
  <c r="J112" i="11"/>
  <c r="L69" i="3"/>
  <c r="J109" i="11"/>
  <c r="F57" i="13"/>
  <c r="L66" i="3"/>
  <c r="S51" i="13"/>
  <c r="T50" i="13"/>
  <c r="J99" i="11"/>
  <c r="L56" i="3"/>
  <c r="F47" i="13"/>
  <c r="T44" i="13"/>
  <c r="T20" i="13"/>
  <c r="T18" i="13"/>
  <c r="R7" i="13"/>
  <c r="F60" i="13"/>
  <c r="J108" i="11"/>
  <c r="F56" i="13"/>
  <c r="J105" i="11"/>
  <c r="F53" i="13"/>
  <c r="J102" i="11"/>
  <c r="F50" i="13"/>
  <c r="J96" i="11"/>
  <c r="F44" i="13"/>
  <c r="T24" i="13"/>
  <c r="L19" i="3"/>
  <c r="J114" i="11"/>
  <c r="F62" i="13"/>
  <c r="J104" i="11"/>
  <c r="F52" i="13"/>
  <c r="J103" i="11"/>
  <c r="F51" i="13"/>
  <c r="J101" i="11"/>
  <c r="F49" i="13"/>
  <c r="R10" i="13"/>
  <c r="T52" i="13"/>
  <c r="J120" i="11"/>
  <c r="F68" i="13"/>
  <c r="J115" i="11"/>
  <c r="F63" i="13"/>
  <c r="J111" i="11"/>
  <c r="F59" i="13"/>
  <c r="J106" i="11"/>
  <c r="F54" i="13"/>
  <c r="T48" i="13"/>
  <c r="J98" i="11"/>
  <c r="F46" i="13"/>
  <c r="T42" i="13"/>
  <c r="T37" i="13"/>
  <c r="L16" i="3"/>
  <c r="T29" i="13"/>
  <c r="L18" i="3"/>
  <c r="T9" i="13"/>
  <c r="T11" i="13"/>
  <c r="AT260" i="3"/>
  <c r="AU260" i="3" s="1"/>
  <c r="AT252" i="3"/>
  <c r="AU252" i="3" s="1"/>
  <c r="AT244" i="3"/>
  <c r="AU244" i="3" s="1"/>
  <c r="AT236" i="3"/>
  <c r="AU236" i="3" s="1"/>
  <c r="AT233" i="3"/>
  <c r="AU233" i="3" s="1"/>
  <c r="AT227" i="3"/>
  <c r="AU227" i="3" s="1"/>
  <c r="AT226" i="3"/>
  <c r="AU226" i="3" s="1"/>
  <c r="AT225" i="3"/>
  <c r="AU225" i="3" s="1"/>
  <c r="AT218" i="3"/>
  <c r="AU218" i="3" s="1"/>
  <c r="AT217" i="3"/>
  <c r="AU217" i="3" s="1"/>
  <c r="AT193" i="3"/>
  <c r="AU193" i="3" s="1"/>
  <c r="AT168" i="3"/>
  <c r="AU168" i="3" s="1"/>
  <c r="AT253" i="3"/>
  <c r="AU253" i="3" s="1"/>
  <c r="AT245" i="3"/>
  <c r="AU245" i="3" s="1"/>
  <c r="AT237" i="3"/>
  <c r="AU237" i="3" s="1"/>
  <c r="AT228" i="3"/>
  <c r="AU228" i="3" s="1"/>
  <c r="AT220" i="3"/>
  <c r="AU220" i="3" s="1"/>
  <c r="AT194" i="3"/>
  <c r="AU194" i="3" s="1"/>
  <c r="AT177" i="3"/>
  <c r="AU177" i="3" s="1"/>
  <c r="AT161" i="3"/>
  <c r="AU161" i="3" s="1"/>
  <c r="AT256" i="3"/>
  <c r="AU256" i="3" s="1"/>
  <c r="AT248" i="3"/>
  <c r="AU248" i="3" s="1"/>
  <c r="AT240" i="3"/>
  <c r="AU240" i="3" s="1"/>
  <c r="AT229" i="3"/>
  <c r="AU229" i="3" s="1"/>
  <c r="AT221" i="3"/>
  <c r="AU221" i="3" s="1"/>
  <c r="AT195" i="3"/>
  <c r="AU195" i="3" s="1"/>
  <c r="AT191" i="3"/>
  <c r="AU191" i="3" s="1"/>
  <c r="AT178" i="3"/>
  <c r="AU178" i="3" s="1"/>
  <c r="AT166" i="3"/>
  <c r="AU166" i="3" s="1"/>
  <c r="AT249" i="3"/>
  <c r="AU249" i="3" s="1"/>
  <c r="AT243" i="3"/>
  <c r="AU243" i="3" s="1"/>
  <c r="AT242" i="3"/>
  <c r="AU242" i="3" s="1"/>
  <c r="AT241" i="3"/>
  <c r="AU241" i="3" s="1"/>
  <c r="AT234" i="3"/>
  <c r="AU234" i="3" s="1"/>
  <c r="AT232" i="3"/>
  <c r="AU232" i="3" s="1"/>
  <c r="AT224" i="3"/>
  <c r="AU224" i="3" s="1"/>
  <c r="AT216" i="3"/>
  <c r="AU216" i="3" s="1"/>
  <c r="AT215" i="3"/>
  <c r="AU215" i="3" s="1"/>
  <c r="AT214" i="3"/>
  <c r="AU214" i="3" s="1"/>
  <c r="AT213" i="3"/>
  <c r="AU213" i="3" s="1"/>
  <c r="AT212" i="3"/>
  <c r="AU212" i="3" s="1"/>
  <c r="AT211" i="3"/>
  <c r="AU211" i="3" s="1"/>
  <c r="AT210" i="3"/>
  <c r="AU210" i="3" s="1"/>
  <c r="AT209" i="3"/>
  <c r="AU209" i="3" s="1"/>
  <c r="AT208" i="3"/>
  <c r="AU208" i="3" s="1"/>
  <c r="AT207" i="3"/>
  <c r="AU207" i="3" s="1"/>
  <c r="AT206" i="3"/>
  <c r="AU206" i="3" s="1"/>
  <c r="AT205" i="3"/>
  <c r="AU205" i="3" s="1"/>
  <c r="AT204" i="3"/>
  <c r="AU204" i="3" s="1"/>
  <c r="AT203" i="3"/>
  <c r="AU203" i="3" s="1"/>
  <c r="AT202" i="3"/>
  <c r="AU202" i="3" s="1"/>
  <c r="AT201" i="3"/>
  <c r="AU201" i="3" s="1"/>
  <c r="AT200" i="3"/>
  <c r="AU200" i="3" s="1"/>
  <c r="AT199" i="3"/>
  <c r="AU199" i="3" s="1"/>
  <c r="AT198" i="3"/>
  <c r="AU198" i="3" s="1"/>
  <c r="AT197" i="3"/>
  <c r="AU197" i="3" s="1"/>
  <c r="AT196" i="3"/>
  <c r="AU196" i="3" s="1"/>
  <c r="B186" i="9"/>
  <c r="B218" i="9"/>
  <c r="AT251" i="3"/>
  <c r="AU251" i="3" s="1"/>
  <c r="AT250" i="3"/>
  <c r="AU250" i="3" s="1"/>
  <c r="AT223" i="3"/>
  <c r="AU223" i="3" s="1"/>
  <c r="AT246" i="3"/>
  <c r="AU246" i="3" s="1"/>
  <c r="AT235" i="3"/>
  <c r="AU235" i="3" s="1"/>
  <c r="AT219" i="3"/>
  <c r="AU219" i="3" s="1"/>
  <c r="AT257" i="3"/>
  <c r="AU257" i="3" s="1"/>
  <c r="BO216" i="3" l="1"/>
  <c r="BL200" i="3"/>
  <c r="BL208" i="3"/>
  <c r="BL216" i="3"/>
  <c r="BL224" i="3"/>
  <c r="BL248" i="3"/>
  <c r="BO201" i="3"/>
  <c r="BO209" i="3"/>
  <c r="BO217" i="3"/>
  <c r="BO225" i="3"/>
  <c r="BO233" i="3"/>
  <c r="BO241" i="3"/>
  <c r="BO249" i="3"/>
  <c r="BO257" i="3"/>
  <c r="BO245" i="3"/>
  <c r="BO229" i="3"/>
  <c r="BL201" i="3"/>
  <c r="BL252" i="3"/>
  <c r="BO254" i="3"/>
  <c r="BI203" i="3"/>
  <c r="BI211" i="3"/>
  <c r="BL211" i="3"/>
  <c r="BO252" i="3"/>
  <c r="BP259" i="3"/>
  <c r="BB251" i="9" s="1"/>
  <c r="BI243" i="3"/>
  <c r="BH259" i="3"/>
  <c r="BO199" i="3"/>
  <c r="BO207" i="3"/>
  <c r="BO223" i="3"/>
  <c r="BO231" i="3"/>
  <c r="BO239" i="3"/>
  <c r="BO247" i="3"/>
  <c r="BI209" i="3"/>
  <c r="BL243" i="3"/>
  <c r="BK259" i="3"/>
  <c r="BL259" i="3" s="1"/>
  <c r="BL237" i="3"/>
  <c r="BO256" i="3"/>
  <c r="BL217" i="3"/>
  <c r="BO212" i="3"/>
  <c r="BQ259" i="3"/>
  <c r="FF259" i="3" s="1" a="1"/>
  <c r="FF259" i="3" s="1"/>
  <c r="BL254" i="3"/>
  <c r="BI236" i="3"/>
  <c r="AT259" i="3"/>
  <c r="AU259" i="3" s="1"/>
  <c r="BN259" i="3"/>
  <c r="BI228" i="3"/>
  <c r="BL236" i="3"/>
  <c r="BO214" i="3"/>
  <c r="BM259" i="3"/>
  <c r="BA251" i="9" s="1"/>
  <c r="BO206" i="3"/>
  <c r="BI259" i="3"/>
  <c r="BL202" i="3"/>
  <c r="AZ251" i="9"/>
  <c r="AY251" i="9" s="1"/>
  <c r="BL226" i="3"/>
  <c r="BL219" i="3"/>
  <c r="BO194" i="3"/>
  <c r="BI201" i="3"/>
  <c r="BI225" i="3"/>
  <c r="BI233" i="3"/>
  <c r="BI241" i="3"/>
  <c r="BI249" i="3"/>
  <c r="BI257" i="3"/>
  <c r="BI235" i="3"/>
  <c r="BO220" i="3"/>
  <c r="BI229" i="3"/>
  <c r="BL209" i="3"/>
  <c r="BI219" i="3"/>
  <c r="BO246" i="3"/>
  <c r="BL228" i="3"/>
  <c r="BI248" i="3"/>
  <c r="BI245" i="3"/>
  <c r="BI250" i="3"/>
  <c r="BI258" i="3"/>
  <c r="BO237" i="3"/>
  <c r="BL246" i="3"/>
  <c r="BO235" i="3"/>
  <c r="BO203" i="3"/>
  <c r="BO211" i="3"/>
  <c r="BO219" i="3"/>
  <c r="BO227" i="3"/>
  <c r="BI246" i="3"/>
  <c r="BK67" i="3"/>
  <c r="BH67" i="3"/>
  <c r="BJ97" i="3"/>
  <c r="BK85" i="3"/>
  <c r="BH85" i="3"/>
  <c r="BK91" i="3"/>
  <c r="BH91" i="3"/>
  <c r="BK100" i="3"/>
  <c r="BH100" i="3"/>
  <c r="BK107" i="3"/>
  <c r="BH107" i="3"/>
  <c r="BK108" i="3"/>
  <c r="BH108" i="3"/>
  <c r="BK116" i="3"/>
  <c r="BH116" i="3"/>
  <c r="BK124" i="3"/>
  <c r="BH124" i="3"/>
  <c r="BJ86" i="3"/>
  <c r="BQ140" i="3"/>
  <c r="FF140" i="3" s="1" a="1"/>
  <c r="FF140" i="3" s="1"/>
  <c r="BK140" i="3"/>
  <c r="BH140" i="3"/>
  <c r="BQ141" i="3"/>
  <c r="FF141" i="3" s="1" a="1"/>
  <c r="FF141" i="3" s="1"/>
  <c r="BK141" i="3"/>
  <c r="BH141" i="3"/>
  <c r="BJ147" i="3"/>
  <c r="BM147" i="3"/>
  <c r="BO147" i="3" s="1"/>
  <c r="AT157" i="3"/>
  <c r="AU157" i="3" s="1"/>
  <c r="BP157" i="3"/>
  <c r="BJ157" i="3"/>
  <c r="BL157" i="3" s="1"/>
  <c r="BI157" i="3"/>
  <c r="BM157" i="3"/>
  <c r="BO157" i="3" s="1"/>
  <c r="BP188" i="3"/>
  <c r="BJ188" i="3"/>
  <c r="BL188" i="3" s="1"/>
  <c r="BI188" i="3"/>
  <c r="BM188" i="3"/>
  <c r="BO188" i="3" s="1"/>
  <c r="BP167" i="3"/>
  <c r="BJ167" i="3"/>
  <c r="BL167" i="3" s="1"/>
  <c r="BI167" i="3"/>
  <c r="BM167" i="3"/>
  <c r="BO167" i="3" s="1"/>
  <c r="BP179" i="3"/>
  <c r="BJ179" i="3"/>
  <c r="BL179" i="3" s="1"/>
  <c r="BI179" i="3"/>
  <c r="BM179" i="3"/>
  <c r="BO179" i="3" s="1"/>
  <c r="BP180" i="3"/>
  <c r="BJ180" i="3"/>
  <c r="BL180" i="3" s="1"/>
  <c r="BI180" i="3"/>
  <c r="BM180" i="3"/>
  <c r="BO180" i="3" s="1"/>
  <c r="BP185" i="3"/>
  <c r="BJ185" i="3"/>
  <c r="BL185" i="3" s="1"/>
  <c r="BI185" i="3"/>
  <c r="BM185" i="3"/>
  <c r="BO185" i="3" s="1"/>
  <c r="BP161" i="3"/>
  <c r="BJ161" i="3"/>
  <c r="BL161" i="3" s="1"/>
  <c r="BI161" i="3"/>
  <c r="BM161" i="3"/>
  <c r="BO161" i="3" s="1"/>
  <c r="BQ152" i="3"/>
  <c r="FF152" i="3" s="1" a="1"/>
  <c r="FF152" i="3" s="1"/>
  <c r="BK152" i="3"/>
  <c r="BH152" i="3"/>
  <c r="BJ135" i="3"/>
  <c r="BJ142" i="3"/>
  <c r="BM142" i="3"/>
  <c r="GQ186" i="3"/>
  <c r="GQ251" i="3"/>
  <c r="GQ178" i="3"/>
  <c r="GQ196" i="3"/>
  <c r="BI252" i="3"/>
  <c r="GQ244" i="3"/>
  <c r="BI100" i="3"/>
  <c r="GQ165" i="3"/>
  <c r="BI202" i="3"/>
  <c r="BL210" i="3"/>
  <c r="GQ256" i="3"/>
  <c r="GQ166" i="3"/>
  <c r="GQ233" i="3"/>
  <c r="BO243" i="3"/>
  <c r="BI251" i="3"/>
  <c r="BQ154" i="3"/>
  <c r="FF154" i="3" s="1" a="1"/>
  <c r="FF154" i="3" s="1"/>
  <c r="GQ235" i="3"/>
  <c r="GQ236" i="3"/>
  <c r="BJ103" i="3"/>
  <c r="BL194" i="3"/>
  <c r="BL196" i="3"/>
  <c r="BL198" i="3"/>
  <c r="BK68" i="3"/>
  <c r="BL68" i="3" s="1"/>
  <c r="BH68" i="3"/>
  <c r="BK94" i="3"/>
  <c r="BH94" i="3"/>
  <c r="BJ128" i="3"/>
  <c r="BK109" i="3"/>
  <c r="BH109" i="3"/>
  <c r="BK148" i="3"/>
  <c r="BH148" i="3"/>
  <c r="BQ139" i="3"/>
  <c r="FF139" i="3" s="1" a="1"/>
  <c r="FF139" i="3" s="1"/>
  <c r="BK139" i="3"/>
  <c r="BH139" i="3"/>
  <c r="BK143" i="3"/>
  <c r="BH143" i="3"/>
  <c r="BJ149" i="3"/>
  <c r="BM149" i="3"/>
  <c r="AT158" i="3"/>
  <c r="AU158" i="3" s="1"/>
  <c r="BP158" i="3"/>
  <c r="BJ158" i="3"/>
  <c r="BL158" i="3" s="1"/>
  <c r="BI158" i="3"/>
  <c r="BM158" i="3"/>
  <c r="BO158" i="3" s="1"/>
  <c r="BP162" i="3"/>
  <c r="GD162" i="3" s="1"/>
  <c r="BJ162" i="3"/>
  <c r="BL162" i="3" s="1"/>
  <c r="BI162" i="3"/>
  <c r="BM162" i="3"/>
  <c r="BO162" i="3" s="1"/>
  <c r="AT159" i="3"/>
  <c r="AU159" i="3" s="1"/>
  <c r="BP159" i="3"/>
  <c r="BJ159" i="3"/>
  <c r="BL159" i="3" s="1"/>
  <c r="BI159" i="3"/>
  <c r="BM159" i="3"/>
  <c r="BO159" i="3" s="1"/>
  <c r="BP160" i="3"/>
  <c r="BJ160" i="3"/>
  <c r="BM160" i="3"/>
  <c r="BP173" i="3"/>
  <c r="BJ173" i="3"/>
  <c r="BL173" i="3" s="1"/>
  <c r="BI173" i="3"/>
  <c r="BM173" i="3"/>
  <c r="BO173" i="3" s="1"/>
  <c r="BJ146" i="3"/>
  <c r="BM146" i="3"/>
  <c r="BO146" i="3" s="1"/>
  <c r="BJ148" i="3"/>
  <c r="BM148" i="3"/>
  <c r="GQ181" i="3"/>
  <c r="GQ191" i="3"/>
  <c r="GQ205" i="3"/>
  <c r="GQ213" i="3"/>
  <c r="GQ221" i="3"/>
  <c r="GQ230" i="3"/>
  <c r="GQ238" i="3"/>
  <c r="GQ246" i="3"/>
  <c r="BJ83" i="3"/>
  <c r="GQ163" i="3"/>
  <c r="GQ189" i="3"/>
  <c r="BJ100" i="3"/>
  <c r="GQ200" i="3"/>
  <c r="GQ208" i="3"/>
  <c r="GQ216" i="3"/>
  <c r="GQ224" i="3"/>
  <c r="BL251" i="3"/>
  <c r="GQ169" i="3"/>
  <c r="GQ225" i="3"/>
  <c r="GQ243" i="3"/>
  <c r="BJ105" i="3"/>
  <c r="GQ172" i="3"/>
  <c r="GQ227" i="3"/>
  <c r="BJ71" i="3"/>
  <c r="GQ173" i="3"/>
  <c r="GQ228" i="3"/>
  <c r="GQ204" i="3"/>
  <c r="GQ212" i="3"/>
  <c r="GQ220" i="3"/>
  <c r="GQ229" i="3"/>
  <c r="GQ237" i="3"/>
  <c r="GQ245" i="3"/>
  <c r="GQ253" i="3"/>
  <c r="BK51" i="3"/>
  <c r="BH51" i="3"/>
  <c r="BJ114" i="3"/>
  <c r="BP81" i="3"/>
  <c r="BJ81" i="3"/>
  <c r="BK149" i="3"/>
  <c r="BH149" i="3"/>
  <c r="AT151" i="3"/>
  <c r="AU151" i="3" s="1"/>
  <c r="BP151" i="3"/>
  <c r="BJ151" i="3"/>
  <c r="BL151" i="3" s="1"/>
  <c r="BI151" i="3"/>
  <c r="BM151" i="3"/>
  <c r="BO151" i="3" s="1"/>
  <c r="BP174" i="3"/>
  <c r="CD174" i="3" s="1"/>
  <c r="EK174" i="3" s="1"/>
  <c r="BJ174" i="3"/>
  <c r="BL174" i="3" s="1"/>
  <c r="BI174" i="3"/>
  <c r="BM174" i="3"/>
  <c r="BO174" i="3" s="1"/>
  <c r="BP171" i="3"/>
  <c r="GD171" i="3" s="1"/>
  <c r="BJ171" i="3"/>
  <c r="BL171" i="3" s="1"/>
  <c r="BI171" i="3"/>
  <c r="BM171" i="3"/>
  <c r="BO171" i="3" s="1"/>
  <c r="BP172" i="3"/>
  <c r="CD172" i="3" s="1"/>
  <c r="EK172" i="3" s="1"/>
  <c r="BJ172" i="3"/>
  <c r="BL172" i="3" s="1"/>
  <c r="BI172" i="3"/>
  <c r="BM172" i="3"/>
  <c r="BO172" i="3" s="1"/>
  <c r="BP183" i="3"/>
  <c r="GD183" i="3" s="1"/>
  <c r="BJ183" i="3"/>
  <c r="BL183" i="3" s="1"/>
  <c r="BI183" i="3"/>
  <c r="BM183" i="3"/>
  <c r="BO183" i="3" s="1"/>
  <c r="BP186" i="3"/>
  <c r="CD186" i="3" s="1"/>
  <c r="EK186" i="3" s="1"/>
  <c r="BJ186" i="3"/>
  <c r="BL186" i="3" s="1"/>
  <c r="BI186" i="3"/>
  <c r="BM186" i="3"/>
  <c r="BO186" i="3" s="1"/>
  <c r="BP191" i="3"/>
  <c r="GD191" i="3" s="1"/>
  <c r="BJ191" i="3"/>
  <c r="BL191" i="3" s="1"/>
  <c r="BI191" i="3"/>
  <c r="BM191" i="3"/>
  <c r="BO191" i="3" s="1"/>
  <c r="BJ144" i="3"/>
  <c r="BM144" i="3"/>
  <c r="BO144" i="3" s="1"/>
  <c r="BJ102" i="3"/>
  <c r="GQ151" i="3"/>
  <c r="GQ184" i="3"/>
  <c r="BJ108" i="3"/>
  <c r="GQ194" i="3"/>
  <c r="GQ157" i="3"/>
  <c r="BJ113" i="3"/>
  <c r="GQ217" i="3"/>
  <c r="GQ242" i="3"/>
  <c r="BJ127" i="3"/>
  <c r="GQ218" i="3"/>
  <c r="GQ219" i="3"/>
  <c r="GQ175" i="3"/>
  <c r="GQ254" i="3"/>
  <c r="BK59" i="3"/>
  <c r="BL59" i="3" s="1"/>
  <c r="BH59" i="3"/>
  <c r="BJ99" i="3"/>
  <c r="BK89" i="3"/>
  <c r="BH89" i="3"/>
  <c r="BJ57" i="3"/>
  <c r="BK52" i="3"/>
  <c r="BH52" i="3"/>
  <c r="BK63" i="3"/>
  <c r="BH63" i="3"/>
  <c r="BK65" i="3"/>
  <c r="BL65" i="3" s="1"/>
  <c r="BH65" i="3"/>
  <c r="BJ84" i="3"/>
  <c r="BJ91" i="3"/>
  <c r="BL91" i="3" s="1"/>
  <c r="BK77" i="3"/>
  <c r="BH77" i="3"/>
  <c r="BK86" i="3"/>
  <c r="BH86" i="3"/>
  <c r="BK90" i="3"/>
  <c r="BH90" i="3"/>
  <c r="BK93" i="3"/>
  <c r="BH93" i="3"/>
  <c r="BN98" i="3"/>
  <c r="BK98" i="3"/>
  <c r="BH98" i="3"/>
  <c r="BK123" i="3"/>
  <c r="BH123" i="3"/>
  <c r="BK125" i="3"/>
  <c r="BH125" i="3"/>
  <c r="BK130" i="3"/>
  <c r="BH130" i="3"/>
  <c r="BK133" i="3"/>
  <c r="BH133" i="3"/>
  <c r="BJ52" i="3"/>
  <c r="BJ115" i="3"/>
  <c r="BK145" i="3"/>
  <c r="BH145" i="3"/>
  <c r="BP152" i="3"/>
  <c r="BJ152" i="3"/>
  <c r="BL152" i="3" s="1"/>
  <c r="BI152" i="3"/>
  <c r="BM152" i="3"/>
  <c r="BP189" i="3"/>
  <c r="GD189" i="3" s="1"/>
  <c r="BJ189" i="3"/>
  <c r="BL189" i="3" s="1"/>
  <c r="BI189" i="3"/>
  <c r="BM189" i="3"/>
  <c r="BO189" i="3" s="1"/>
  <c r="BP165" i="3"/>
  <c r="BJ165" i="3"/>
  <c r="BL165" i="3" s="1"/>
  <c r="BI165" i="3"/>
  <c r="BM165" i="3"/>
  <c r="BO165" i="3" s="1"/>
  <c r="BJ150" i="3"/>
  <c r="BL150" i="3" s="1"/>
  <c r="BI150" i="3"/>
  <c r="BM150" i="3"/>
  <c r="BO150" i="3" s="1"/>
  <c r="GQ177" i="3"/>
  <c r="GQ187" i="3"/>
  <c r="BI232" i="3"/>
  <c r="BI240" i="3"/>
  <c r="GQ159" i="3"/>
  <c r="GQ179" i="3"/>
  <c r="GQ197" i="3"/>
  <c r="BI238" i="3"/>
  <c r="GQ252" i="3"/>
  <c r="GQ223" i="3"/>
  <c r="GQ232" i="3"/>
  <c r="GQ240" i="3"/>
  <c r="BL258" i="3"/>
  <c r="GQ167" i="3"/>
  <c r="GQ209" i="3"/>
  <c r="GQ234" i="3"/>
  <c r="BO244" i="3"/>
  <c r="GQ170" i="3"/>
  <c r="GQ210" i="3"/>
  <c r="BO221" i="3"/>
  <c r="GQ211" i="3"/>
  <c r="BI230" i="3"/>
  <c r="BI195" i="3"/>
  <c r="BI197" i="3"/>
  <c r="BI199" i="3"/>
  <c r="BI207" i="3"/>
  <c r="BI215" i="3"/>
  <c r="BI223" i="3"/>
  <c r="BI231" i="3"/>
  <c r="BI239" i="3"/>
  <c r="BI247" i="3"/>
  <c r="BI255" i="3"/>
  <c r="BK74" i="3"/>
  <c r="BL74" i="3" s="1"/>
  <c r="BH74" i="3"/>
  <c r="BJ75" i="3"/>
  <c r="BK95" i="3"/>
  <c r="BH95" i="3"/>
  <c r="BJ66" i="3"/>
  <c r="BL66" i="3" s="1"/>
  <c r="BI66" i="3"/>
  <c r="BK56" i="3"/>
  <c r="BH56" i="3"/>
  <c r="BJ85" i="3"/>
  <c r="BL85" i="3" s="1"/>
  <c r="BJ109" i="3"/>
  <c r="BK73" i="3"/>
  <c r="BH73" i="3"/>
  <c r="BK79" i="3"/>
  <c r="BH79" i="3"/>
  <c r="BN87" i="3"/>
  <c r="BK87" i="3"/>
  <c r="BH87" i="3"/>
  <c r="BK99" i="3"/>
  <c r="BH99" i="3"/>
  <c r="BK111" i="3"/>
  <c r="BH111" i="3"/>
  <c r="BK112" i="3"/>
  <c r="BH112" i="3"/>
  <c r="BI112" i="3" s="1"/>
  <c r="BK118" i="3"/>
  <c r="BH118" i="3"/>
  <c r="BK120" i="3"/>
  <c r="BH120" i="3"/>
  <c r="BK126" i="3"/>
  <c r="BH126" i="3"/>
  <c r="BJ82" i="3"/>
  <c r="BJ87" i="3"/>
  <c r="BL87" i="3" s="1"/>
  <c r="BI87" i="3"/>
  <c r="BJ120" i="3"/>
  <c r="BL120" i="3" s="1"/>
  <c r="BI120" i="3"/>
  <c r="BJ117" i="3"/>
  <c r="BK142" i="3"/>
  <c r="BH142" i="3"/>
  <c r="BP192" i="3"/>
  <c r="CD192" i="3" s="1"/>
  <c r="EK192" i="3" s="1"/>
  <c r="BJ192" i="3"/>
  <c r="BL192" i="3" s="1"/>
  <c r="BI192" i="3"/>
  <c r="BM192" i="3"/>
  <c r="BO192" i="3" s="1"/>
  <c r="BP163" i="3"/>
  <c r="BJ163" i="3"/>
  <c r="BL163" i="3" s="1"/>
  <c r="BI163" i="3"/>
  <c r="BM163" i="3"/>
  <c r="BO163" i="3" s="1"/>
  <c r="BP181" i="3"/>
  <c r="BJ181" i="3"/>
  <c r="BL181" i="3" s="1"/>
  <c r="BI181" i="3"/>
  <c r="BM181" i="3"/>
  <c r="BO181" i="3" s="1"/>
  <c r="BP177" i="3"/>
  <c r="BJ177" i="3"/>
  <c r="BL177" i="3" s="1"/>
  <c r="BI177" i="3"/>
  <c r="BM177" i="3"/>
  <c r="BO177" i="3" s="1"/>
  <c r="BP138" i="3"/>
  <c r="BJ138" i="3"/>
  <c r="BM138" i="3"/>
  <c r="BO138" i="3" s="1"/>
  <c r="BI124" i="3"/>
  <c r="GQ182" i="3"/>
  <c r="BL232" i="3"/>
  <c r="BL240" i="3"/>
  <c r="GQ164" i="3"/>
  <c r="GQ192" i="3"/>
  <c r="BL238" i="3"/>
  <c r="BI63" i="3"/>
  <c r="BJ107" i="3"/>
  <c r="BL107" i="3" s="1"/>
  <c r="GQ215" i="3"/>
  <c r="BO226" i="3"/>
  <c r="BO234" i="3"/>
  <c r="BO242" i="3"/>
  <c r="BI94" i="3"/>
  <c r="BQ155" i="3"/>
  <c r="FF155" i="3" s="1" a="1"/>
  <c r="FF155" i="3" s="1"/>
  <c r="BN141" i="3"/>
  <c r="GQ201" i="3"/>
  <c r="GQ226" i="3"/>
  <c r="BO236" i="3"/>
  <c r="BI244" i="3"/>
  <c r="BJ112" i="3"/>
  <c r="BN140" i="3"/>
  <c r="GQ202" i="3"/>
  <c r="BO213" i="3"/>
  <c r="BI221" i="3"/>
  <c r="BJ104" i="3"/>
  <c r="GQ203" i="3"/>
  <c r="BI222" i="3"/>
  <c r="BL230" i="3"/>
  <c r="BL195" i="3"/>
  <c r="BL197" i="3"/>
  <c r="BL199" i="3"/>
  <c r="BL207" i="3"/>
  <c r="BL215" i="3"/>
  <c r="BL223" i="3"/>
  <c r="BL231" i="3"/>
  <c r="BL239" i="3"/>
  <c r="BL247" i="3"/>
  <c r="BL255" i="3"/>
  <c r="BI256" i="3"/>
  <c r="BJ98" i="3"/>
  <c r="BL98" i="3" s="1"/>
  <c r="BJ73" i="3"/>
  <c r="BK70" i="3"/>
  <c r="BH70" i="3"/>
  <c r="BI70" i="3" s="1"/>
  <c r="BK75" i="3"/>
  <c r="BH75" i="3"/>
  <c r="BN84" i="3"/>
  <c r="BK84" i="3"/>
  <c r="BH84" i="3"/>
  <c r="BK96" i="3"/>
  <c r="BL96" i="3" s="1"/>
  <c r="BH96" i="3"/>
  <c r="BK119" i="3"/>
  <c r="BH119" i="3"/>
  <c r="BJ76" i="3"/>
  <c r="AT162" i="3"/>
  <c r="AU162" i="3" s="1"/>
  <c r="BJ79" i="3"/>
  <c r="BK58" i="3"/>
  <c r="BH58" i="3"/>
  <c r="BK57" i="3"/>
  <c r="BH57" i="3"/>
  <c r="BK69" i="3"/>
  <c r="BH69" i="3"/>
  <c r="BJ106" i="3"/>
  <c r="BN92" i="3"/>
  <c r="BK92" i="3"/>
  <c r="BH92" i="3"/>
  <c r="BK103" i="3"/>
  <c r="BH103" i="3"/>
  <c r="BK102" i="3"/>
  <c r="BH102" i="3"/>
  <c r="BK115" i="3"/>
  <c r="BH115" i="3"/>
  <c r="BK113" i="3"/>
  <c r="BH113" i="3"/>
  <c r="BJ119" i="3"/>
  <c r="BJ118" i="3"/>
  <c r="BJ126" i="3"/>
  <c r="BK127" i="3"/>
  <c r="BH127" i="3"/>
  <c r="BN135" i="3"/>
  <c r="BK135" i="3"/>
  <c r="BH135" i="3"/>
  <c r="BJ90" i="3"/>
  <c r="BJ92" i="3"/>
  <c r="BJ67" i="3"/>
  <c r="BI67" i="3"/>
  <c r="BK144" i="3"/>
  <c r="BH144" i="3"/>
  <c r="AT154" i="3"/>
  <c r="AU154" i="3" s="1"/>
  <c r="BP154" i="3"/>
  <c r="BJ154" i="3"/>
  <c r="BL154" i="3" s="1"/>
  <c r="BI154" i="3"/>
  <c r="BM154" i="3"/>
  <c r="BO154" i="3" s="1"/>
  <c r="BP166" i="3"/>
  <c r="CD166" i="3" s="1"/>
  <c r="EK166" i="3" s="1"/>
  <c r="BJ166" i="3"/>
  <c r="BL166" i="3" s="1"/>
  <c r="BI166" i="3"/>
  <c r="BM166" i="3"/>
  <c r="BO166" i="3" s="1"/>
  <c r="BP178" i="3"/>
  <c r="BJ178" i="3"/>
  <c r="BL178" i="3" s="1"/>
  <c r="BI178" i="3"/>
  <c r="BM178" i="3"/>
  <c r="BO178" i="3" s="1"/>
  <c r="BP164" i="3"/>
  <c r="CD164" i="3" s="1"/>
  <c r="EK164" i="3" s="1"/>
  <c r="BJ164" i="3"/>
  <c r="BL164" i="3" s="1"/>
  <c r="BI164" i="3"/>
  <c r="BM164" i="3"/>
  <c r="BO164" i="3" s="1"/>
  <c r="BP176" i="3"/>
  <c r="BJ176" i="3"/>
  <c r="BL176" i="3" s="1"/>
  <c r="BI176" i="3"/>
  <c r="BM176" i="3"/>
  <c r="BO176" i="3" s="1"/>
  <c r="BP184" i="3"/>
  <c r="GD184" i="3" s="1"/>
  <c r="BJ184" i="3"/>
  <c r="BL184" i="3" s="1"/>
  <c r="BI184" i="3"/>
  <c r="BM184" i="3"/>
  <c r="BO184" i="3" s="1"/>
  <c r="BP190" i="3"/>
  <c r="BJ190" i="3"/>
  <c r="BL190" i="3" s="1"/>
  <c r="BI190" i="3"/>
  <c r="BM190" i="3"/>
  <c r="BO190" i="3" s="1"/>
  <c r="BQ160" i="3"/>
  <c r="FF160" i="3" s="1" a="1"/>
  <c r="FF160" i="3" s="1"/>
  <c r="BK160" i="3"/>
  <c r="BH160" i="3"/>
  <c r="BP139" i="3"/>
  <c r="BJ139" i="3"/>
  <c r="BL139" i="3" s="1"/>
  <c r="BI139" i="3"/>
  <c r="BM139" i="3"/>
  <c r="BJ124" i="3"/>
  <c r="GQ161" i="3"/>
  <c r="GQ185" i="3"/>
  <c r="GQ195" i="3"/>
  <c r="GQ258" i="3"/>
  <c r="BJ63" i="3"/>
  <c r="BL63" i="3" s="1"/>
  <c r="BI95" i="3"/>
  <c r="GQ158" i="3"/>
  <c r="GQ207" i="3"/>
  <c r="BO218" i="3"/>
  <c r="BI226" i="3"/>
  <c r="BI234" i="3"/>
  <c r="BJ94" i="3"/>
  <c r="BN160" i="3"/>
  <c r="GQ250" i="3"/>
  <c r="BN149" i="3"/>
  <c r="BO228" i="3"/>
  <c r="BL244" i="3"/>
  <c r="BN148" i="3"/>
  <c r="BO205" i="3"/>
  <c r="BI213" i="3"/>
  <c r="BL221" i="3"/>
  <c r="BN139" i="3"/>
  <c r="BI214" i="3"/>
  <c r="BL222" i="3"/>
  <c r="BJ70" i="3"/>
  <c r="GQ176" i="3"/>
  <c r="BL256" i="3"/>
  <c r="BK72" i="3"/>
  <c r="BH72" i="3"/>
  <c r="BI72" i="3" s="1"/>
  <c r="BK76" i="3"/>
  <c r="BH76" i="3"/>
  <c r="BK132" i="3"/>
  <c r="BH132" i="3"/>
  <c r="BK101" i="3"/>
  <c r="BH101" i="3"/>
  <c r="BJ69" i="3"/>
  <c r="BJ51" i="3"/>
  <c r="BK71" i="3"/>
  <c r="BH71" i="3"/>
  <c r="BJ88" i="3"/>
  <c r="BJ110" i="3"/>
  <c r="BQ81" i="3"/>
  <c r="FF81" i="3" s="1" a="1"/>
  <c r="FF81" i="3" s="1"/>
  <c r="BK81" i="3"/>
  <c r="BH81" i="3"/>
  <c r="BK88" i="3"/>
  <c r="BH88" i="3"/>
  <c r="BK106" i="3"/>
  <c r="BH106" i="3"/>
  <c r="BK110" i="3"/>
  <c r="BH110" i="3"/>
  <c r="BJ123" i="3"/>
  <c r="BJ122" i="3"/>
  <c r="BJ130" i="3"/>
  <c r="BL130" i="3" s="1"/>
  <c r="BK122" i="3"/>
  <c r="BH122" i="3"/>
  <c r="BK128" i="3"/>
  <c r="BH128" i="3"/>
  <c r="BJ131" i="3"/>
  <c r="BK78" i="3"/>
  <c r="BH78" i="3"/>
  <c r="BJ116" i="3"/>
  <c r="BL116" i="3" s="1"/>
  <c r="BJ129" i="3"/>
  <c r="BJ121" i="3"/>
  <c r="BL121" i="3" s="1"/>
  <c r="BI121" i="3"/>
  <c r="BK134" i="3"/>
  <c r="BH134" i="3"/>
  <c r="BK146" i="3"/>
  <c r="BH146" i="3"/>
  <c r="BJ143" i="3"/>
  <c r="BL143" i="3" s="1"/>
  <c r="BI143" i="3"/>
  <c r="BM143" i="3"/>
  <c r="AT155" i="3"/>
  <c r="AU155" i="3" s="1"/>
  <c r="BP155" i="3"/>
  <c r="BJ155" i="3"/>
  <c r="BL155" i="3" s="1"/>
  <c r="BI155" i="3"/>
  <c r="BM155" i="3"/>
  <c r="BO155" i="3" s="1"/>
  <c r="BP175" i="3"/>
  <c r="GD175" i="3" s="1"/>
  <c r="BJ175" i="3"/>
  <c r="BL175" i="3" s="1"/>
  <c r="BI175" i="3"/>
  <c r="BM175" i="3"/>
  <c r="BO175" i="3" s="1"/>
  <c r="BP193" i="3"/>
  <c r="BJ193" i="3"/>
  <c r="BL193" i="3" s="1"/>
  <c r="BI193" i="3"/>
  <c r="BM193" i="3"/>
  <c r="BO193" i="3" s="1"/>
  <c r="BP182" i="3"/>
  <c r="GD182" i="3" s="1"/>
  <c r="BJ182" i="3"/>
  <c r="BL182" i="3" s="1"/>
  <c r="BI182" i="3"/>
  <c r="BM182" i="3"/>
  <c r="BO182" i="3" s="1"/>
  <c r="BQ156" i="3"/>
  <c r="FF156" i="3" s="1" a="1"/>
  <c r="FF156" i="3" s="1"/>
  <c r="BK156" i="3"/>
  <c r="BH156" i="3"/>
  <c r="BP140" i="3"/>
  <c r="BJ140" i="3"/>
  <c r="BI140" i="3"/>
  <c r="BM140" i="3"/>
  <c r="BO140" i="3" s="1"/>
  <c r="BI59" i="3"/>
  <c r="GQ180" i="3"/>
  <c r="GQ190" i="3"/>
  <c r="BJ58" i="3"/>
  <c r="GQ162" i="3"/>
  <c r="GQ188" i="3"/>
  <c r="GQ198" i="3"/>
  <c r="GQ206" i="3"/>
  <c r="GQ214" i="3"/>
  <c r="GQ222" i="3"/>
  <c r="GQ231" i="3"/>
  <c r="GQ239" i="3"/>
  <c r="GQ247" i="3"/>
  <c r="GQ255" i="3"/>
  <c r="GQ248" i="3"/>
  <c r="BJ95" i="3"/>
  <c r="BN143" i="3"/>
  <c r="GQ199" i="3"/>
  <c r="BO210" i="3"/>
  <c r="BL234" i="3"/>
  <c r="BL242" i="3"/>
  <c r="GQ168" i="3"/>
  <c r="BI77" i="3"/>
  <c r="BN156" i="3"/>
  <c r="BJ72" i="3"/>
  <c r="GQ171" i="3"/>
  <c r="BI205" i="3"/>
  <c r="BL213" i="3"/>
  <c r="BI111" i="3"/>
  <c r="BI206" i="3"/>
  <c r="BL214" i="3"/>
  <c r="BJ93" i="3"/>
  <c r="BI93" i="3"/>
  <c r="BK64" i="3"/>
  <c r="BH64" i="3"/>
  <c r="BM83" i="3"/>
  <c r="BK83" i="3"/>
  <c r="BH83" i="3"/>
  <c r="BK117" i="3"/>
  <c r="BH117" i="3"/>
  <c r="BJ56" i="3"/>
  <c r="BJ64" i="3"/>
  <c r="BJ78" i="3"/>
  <c r="BI78" i="3"/>
  <c r="BJ89" i="3"/>
  <c r="BK82" i="3"/>
  <c r="BH82" i="3"/>
  <c r="BN93" i="3"/>
  <c r="BK97" i="3"/>
  <c r="BH97" i="3"/>
  <c r="BK105" i="3"/>
  <c r="BH105" i="3"/>
  <c r="BK104" i="3"/>
  <c r="BH104" i="3"/>
  <c r="BK114" i="3"/>
  <c r="BH114" i="3"/>
  <c r="BK129" i="3"/>
  <c r="BH129" i="3"/>
  <c r="BJ136" i="3"/>
  <c r="BL136" i="3" s="1"/>
  <c r="BI136" i="3"/>
  <c r="BK131" i="3"/>
  <c r="BH131" i="3"/>
  <c r="BJ125" i="3"/>
  <c r="BL125" i="3" s="1"/>
  <c r="BI125" i="3"/>
  <c r="BJ132" i="3"/>
  <c r="BJ133" i="3"/>
  <c r="BL133" i="3" s="1"/>
  <c r="BQ138" i="3"/>
  <c r="FF138" i="3" s="1" a="1"/>
  <c r="FF138" i="3" s="1"/>
  <c r="BK138" i="3"/>
  <c r="BH138" i="3"/>
  <c r="BK147" i="3"/>
  <c r="BH147" i="3"/>
  <c r="BJ145" i="3"/>
  <c r="BL145" i="3" s="1"/>
  <c r="BI145" i="3"/>
  <c r="BM145" i="3"/>
  <c r="BP156" i="3"/>
  <c r="BJ156" i="3"/>
  <c r="BL156" i="3" s="1"/>
  <c r="BI156" i="3"/>
  <c r="BM156" i="3"/>
  <c r="BP170" i="3"/>
  <c r="GD170" i="3" s="1"/>
  <c r="BJ170" i="3"/>
  <c r="BL170" i="3" s="1"/>
  <c r="BI170" i="3"/>
  <c r="BM170" i="3"/>
  <c r="BO170" i="3" s="1"/>
  <c r="BP168" i="3"/>
  <c r="BJ168" i="3"/>
  <c r="BL168" i="3" s="1"/>
  <c r="BI168" i="3"/>
  <c r="BM168" i="3"/>
  <c r="BO168" i="3" s="1"/>
  <c r="AT169" i="3"/>
  <c r="AU169" i="3" s="1"/>
  <c r="BP169" i="3"/>
  <c r="CD169" i="3" s="1"/>
  <c r="EK169" i="3" s="1"/>
  <c r="BJ169" i="3"/>
  <c r="BL169" i="3" s="1"/>
  <c r="BI169" i="3"/>
  <c r="BM169" i="3"/>
  <c r="BO169" i="3" s="1"/>
  <c r="BP187" i="3"/>
  <c r="GD187" i="3" s="1"/>
  <c r="BJ187" i="3"/>
  <c r="BL187" i="3" s="1"/>
  <c r="BI187" i="3"/>
  <c r="BM187" i="3"/>
  <c r="BO187" i="3" s="1"/>
  <c r="BJ134" i="3"/>
  <c r="BP141" i="3"/>
  <c r="BJ141" i="3"/>
  <c r="BI141" i="3"/>
  <c r="BM141" i="3"/>
  <c r="BN145" i="3"/>
  <c r="GQ183" i="3"/>
  <c r="BJ101" i="3"/>
  <c r="BL101" i="3" s="1"/>
  <c r="GQ193" i="3"/>
  <c r="BN152" i="3"/>
  <c r="BO202" i="3"/>
  <c r="BI210" i="3"/>
  <c r="BL218" i="3"/>
  <c r="GQ257" i="3"/>
  <c r="BN142" i="3"/>
  <c r="GQ241" i="3"/>
  <c r="BO251" i="3"/>
  <c r="BJ77" i="3"/>
  <c r="BL77" i="3" s="1"/>
  <c r="BL205" i="3"/>
  <c r="BJ111" i="3"/>
  <c r="BL111" i="3" s="1"/>
  <c r="BL206" i="3"/>
  <c r="GQ174" i="3"/>
  <c r="BI194" i="3"/>
  <c r="BI196" i="3"/>
  <c r="BI198" i="3"/>
  <c r="BH61" i="3"/>
  <c r="BH53" i="3"/>
  <c r="BH54" i="3"/>
  <c r="BH60" i="3"/>
  <c r="BH62" i="3"/>
  <c r="BH55" i="3"/>
  <c r="BH48" i="3"/>
  <c r="BH44" i="3"/>
  <c r="BH47" i="3"/>
  <c r="BH43" i="3"/>
  <c r="BH49" i="3"/>
  <c r="BH46" i="3"/>
  <c r="BH45" i="3"/>
  <c r="BH33" i="3"/>
  <c r="BH17" i="3"/>
  <c r="BH40" i="3"/>
  <c r="BH16" i="3"/>
  <c r="BH42" i="3"/>
  <c r="BH31" i="3"/>
  <c r="BH35" i="3"/>
  <c r="BK39" i="3"/>
  <c r="BH39" i="3"/>
  <c r="BH19" i="3"/>
  <c r="BH29" i="3"/>
  <c r="BK37" i="3"/>
  <c r="BH37" i="3"/>
  <c r="BH41" i="3"/>
  <c r="BH21" i="3"/>
  <c r="BH30" i="3"/>
  <c r="BH23" i="3"/>
  <c r="BN26" i="3"/>
  <c r="BH32" i="3"/>
  <c r="BN36" i="3"/>
  <c r="BH36" i="3"/>
  <c r="BH24" i="3"/>
  <c r="BH34" i="3"/>
  <c r="BK38" i="3"/>
  <c r="BH38" i="3"/>
  <c r="BH26" i="3"/>
  <c r="BH18" i="3"/>
  <c r="BH22" i="3"/>
  <c r="BN27" i="3"/>
  <c r="BH27" i="3"/>
  <c r="BH25" i="3"/>
  <c r="BH28" i="3"/>
  <c r="BN17" i="3"/>
  <c r="BN20" i="3"/>
  <c r="BH20" i="3"/>
  <c r="BN16" i="3"/>
  <c r="AM144" i="9"/>
  <c r="AL144" i="9"/>
  <c r="AL145" i="9"/>
  <c r="AM145" i="9"/>
  <c r="AM218" i="9"/>
  <c r="AL218" i="9"/>
  <c r="AM186" i="9"/>
  <c r="AL186" i="9"/>
  <c r="AM185" i="9"/>
  <c r="AL185" i="9"/>
  <c r="AM230" i="9"/>
  <c r="AL230" i="9"/>
  <c r="AM20" i="9"/>
  <c r="AL20" i="9"/>
  <c r="AL19" i="9"/>
  <c r="AM19" i="9"/>
  <c r="AM214" i="9"/>
  <c r="AL214" i="9"/>
  <c r="BN18" i="3"/>
  <c r="BN73" i="3"/>
  <c r="BN75" i="3"/>
  <c r="BN22" i="3"/>
  <c r="BN21" i="3"/>
  <c r="BN81" i="3"/>
  <c r="BN134" i="3"/>
  <c r="BN94" i="3"/>
  <c r="BN79" i="3"/>
  <c r="BN90" i="3"/>
  <c r="BN29" i="3"/>
  <c r="AT66" i="3"/>
  <c r="AU66" i="3" s="1"/>
  <c r="AM80" i="3"/>
  <c r="BN24" i="3"/>
  <c r="BM88" i="3"/>
  <c r="BM98" i="3"/>
  <c r="BO98" i="3" s="1"/>
  <c r="BM93" i="3"/>
  <c r="BM91" i="3"/>
  <c r="BN82" i="3"/>
  <c r="BM90" i="3"/>
  <c r="GC32" i="3"/>
  <c r="BM92" i="3"/>
  <c r="BN19" i="3"/>
  <c r="BN78" i="3"/>
  <c r="BN89" i="3"/>
  <c r="BN91" i="3"/>
  <c r="BM84" i="3"/>
  <c r="BM89" i="3"/>
  <c r="BM81" i="3"/>
  <c r="GC33" i="3"/>
  <c r="AT121" i="3"/>
  <c r="AU121" i="3" s="1"/>
  <c r="BN32" i="3"/>
  <c r="BN30" i="3"/>
  <c r="BN34" i="3"/>
  <c r="BN86" i="3"/>
  <c r="BN76" i="3"/>
  <c r="BM95" i="3"/>
  <c r="BM77" i="3"/>
  <c r="BM76" i="3"/>
  <c r="BM79" i="3"/>
  <c r="BM73" i="3"/>
  <c r="BN25" i="3"/>
  <c r="BM85" i="3"/>
  <c r="BN77" i="3"/>
  <c r="BM136" i="3"/>
  <c r="BO136" i="3" s="1"/>
  <c r="BN85" i="3"/>
  <c r="AM137" i="3"/>
  <c r="BN31" i="3"/>
  <c r="BN33" i="3"/>
  <c r="BN83" i="3"/>
  <c r="BM134" i="3"/>
  <c r="BM96" i="3"/>
  <c r="BM75" i="3"/>
  <c r="GC34" i="3"/>
  <c r="BM78" i="3"/>
  <c r="BN23" i="3"/>
  <c r="BN28" i="3"/>
  <c r="BM97" i="3"/>
  <c r="BO97" i="3" s="1"/>
  <c r="BN96" i="3"/>
  <c r="BN95" i="3"/>
  <c r="BN74" i="3"/>
  <c r="BM82" i="3"/>
  <c r="GC35" i="3"/>
  <c r="BM87" i="3"/>
  <c r="BM86" i="3"/>
  <c r="BN35" i="3"/>
  <c r="BN88" i="3"/>
  <c r="BM135" i="3"/>
  <c r="BM74" i="3"/>
  <c r="BM94" i="3"/>
  <c r="I502" i="9"/>
  <c r="A502" i="9"/>
  <c r="GD260" i="3"/>
  <c r="M144" i="13"/>
  <c r="AT170" i="3"/>
  <c r="AU170" i="3" s="1"/>
  <c r="AT164" i="3"/>
  <c r="AU164" i="3" s="1"/>
  <c r="AT175" i="3"/>
  <c r="AU175" i="3" s="1"/>
  <c r="AT185" i="3"/>
  <c r="AU185" i="3" s="1"/>
  <c r="AT163" i="3"/>
  <c r="AU163" i="3" s="1"/>
  <c r="AT179" i="3"/>
  <c r="AU179" i="3" s="1"/>
  <c r="AT173" i="3"/>
  <c r="AU173" i="3" s="1"/>
  <c r="AT190" i="3"/>
  <c r="AU190" i="3" s="1"/>
  <c r="AT183" i="3"/>
  <c r="AU183" i="3" s="1"/>
  <c r="AT167" i="3"/>
  <c r="AU167" i="3" s="1"/>
  <c r="AT172" i="3"/>
  <c r="AU172" i="3" s="1"/>
  <c r="AT171" i="3"/>
  <c r="AU171" i="3" s="1"/>
  <c r="AT174" i="3"/>
  <c r="AU174" i="3" s="1"/>
  <c r="AT181" i="3"/>
  <c r="AU181" i="3" s="1"/>
  <c r="AT180" i="3"/>
  <c r="AU180" i="3" s="1"/>
  <c r="AT182" i="3"/>
  <c r="AU182" i="3" s="1"/>
  <c r="AT188" i="3"/>
  <c r="AU188" i="3" s="1"/>
  <c r="AT165" i="3"/>
  <c r="AU165" i="3" s="1"/>
  <c r="GD197" i="3"/>
  <c r="AT192" i="3"/>
  <c r="AU192" i="3" s="1"/>
  <c r="AT186" i="3"/>
  <c r="AU186" i="3" s="1"/>
  <c r="GD233" i="3"/>
  <c r="GD223" i="3"/>
  <c r="GD234" i="3"/>
  <c r="GD225" i="3"/>
  <c r="CD225" i="3"/>
  <c r="EK225" i="3" s="1"/>
  <c r="GD242" i="3"/>
  <c r="GD211" i="3"/>
  <c r="GD239" i="3"/>
  <c r="GD203" i="3"/>
  <c r="GD249" i="3"/>
  <c r="GD215" i="3"/>
  <c r="GD226" i="3"/>
  <c r="GD199" i="3"/>
  <c r="GD213" i="3"/>
  <c r="GD224" i="3"/>
  <c r="GD231" i="3"/>
  <c r="GD257" i="3"/>
  <c r="CD251" i="3"/>
  <c r="EK251" i="3" s="1"/>
  <c r="GD205" i="3"/>
  <c r="GD219" i="3"/>
  <c r="GD244" i="3"/>
  <c r="GD195" i="3"/>
  <c r="GD207" i="3"/>
  <c r="GD217" i="3"/>
  <c r="GD241" i="3"/>
  <c r="GD254" i="3"/>
  <c r="GD201" i="3"/>
  <c r="GD209" i="3"/>
  <c r="GD229" i="3"/>
  <c r="GD237" i="3"/>
  <c r="GD252" i="3"/>
  <c r="GD221" i="3"/>
  <c r="GD246" i="3"/>
  <c r="GD196" i="3"/>
  <c r="GD200" i="3"/>
  <c r="GD204" i="3"/>
  <c r="GD208" i="3"/>
  <c r="GD212" i="3"/>
  <c r="GD216" i="3"/>
  <c r="GD220" i="3"/>
  <c r="GD227" i="3"/>
  <c r="GD238" i="3"/>
  <c r="GD248" i="3"/>
  <c r="GD253" i="3"/>
  <c r="GD258" i="3"/>
  <c r="GD194" i="3"/>
  <c r="GD198" i="3"/>
  <c r="GD202" i="3"/>
  <c r="GD206" i="3"/>
  <c r="GD210" i="3"/>
  <c r="GD214" i="3"/>
  <c r="GD218" i="3"/>
  <c r="GD222" i="3"/>
  <c r="GD230" i="3"/>
  <c r="GD235" i="3"/>
  <c r="GD245" i="3"/>
  <c r="GD250" i="3"/>
  <c r="GD256" i="3"/>
  <c r="GD168" i="3"/>
  <c r="GD173" i="3"/>
  <c r="GD178" i="3"/>
  <c r="GD228" i="3"/>
  <c r="GD232" i="3"/>
  <c r="GD236" i="3"/>
  <c r="GD240" i="3"/>
  <c r="GD193" i="3"/>
  <c r="GD180" i="3"/>
  <c r="GD243" i="3"/>
  <c r="GD247" i="3"/>
  <c r="GD251" i="3"/>
  <c r="GD255" i="3"/>
  <c r="GD165" i="3"/>
  <c r="GD188" i="3"/>
  <c r="GD163" i="3"/>
  <c r="GD167" i="3"/>
  <c r="GD179" i="3"/>
  <c r="GD190" i="3"/>
  <c r="GD161" i="3"/>
  <c r="GD177" i="3"/>
  <c r="CD176" i="3"/>
  <c r="EK176" i="3" s="1"/>
  <c r="AT187" i="3"/>
  <c r="AU187" i="3" s="1"/>
  <c r="AT189" i="3"/>
  <c r="AU189" i="3" s="1"/>
  <c r="AT184" i="3"/>
  <c r="AU184" i="3" s="1"/>
  <c r="CD158" i="3"/>
  <c r="EK158" i="3" s="1"/>
  <c r="AT176" i="3"/>
  <c r="AU176" i="3" s="1"/>
  <c r="BA214" i="9"/>
  <c r="AT60" i="3"/>
  <c r="AU60" i="3" s="1"/>
  <c r="AT71" i="3"/>
  <c r="AU71" i="3" s="1"/>
  <c r="AT53" i="3"/>
  <c r="AU53" i="3" s="1"/>
  <c r="AT55" i="3"/>
  <c r="AU55" i="3" s="1"/>
  <c r="AT68" i="3"/>
  <c r="AU68" i="3" s="1"/>
  <c r="AT94" i="3"/>
  <c r="AU94" i="3" s="1"/>
  <c r="AZ185" i="9"/>
  <c r="AY185" i="9" s="1"/>
  <c r="AT59" i="3"/>
  <c r="AU59" i="3" s="1"/>
  <c r="AT70" i="3"/>
  <c r="AU70" i="3" s="1"/>
  <c r="AT96" i="3"/>
  <c r="AU96" i="3" s="1"/>
  <c r="AT103" i="3"/>
  <c r="AU103" i="3" s="1"/>
  <c r="AT102" i="3"/>
  <c r="AU102" i="3" s="1"/>
  <c r="AT113" i="3"/>
  <c r="AU113" i="3" s="1"/>
  <c r="AT127" i="3"/>
  <c r="AU127" i="3" s="1"/>
  <c r="AT58" i="3"/>
  <c r="AU58" i="3" s="1"/>
  <c r="AT61" i="3"/>
  <c r="AU61" i="3" s="1"/>
  <c r="AT72" i="3"/>
  <c r="AU72" i="3" s="1"/>
  <c r="AT63" i="3"/>
  <c r="AU63" i="3" s="1"/>
  <c r="AT65" i="3"/>
  <c r="AU65" i="3" s="1"/>
  <c r="A218" i="9"/>
  <c r="A185" i="9"/>
  <c r="A186" i="9"/>
  <c r="A230" i="9"/>
  <c r="A214" i="9"/>
  <c r="AX502" i="9"/>
  <c r="AV19" i="9"/>
  <c r="A19" i="9"/>
  <c r="AP145" i="9"/>
  <c r="A145" i="9"/>
  <c r="O144" i="9"/>
  <c r="A144" i="9"/>
  <c r="G20" i="9"/>
  <c r="A20" i="9"/>
  <c r="Q148" i="13"/>
  <c r="Q145" i="13"/>
  <c r="AT95" i="3"/>
  <c r="AU95" i="3" s="1"/>
  <c r="AT99" i="3"/>
  <c r="AU99" i="3" s="1"/>
  <c r="AT64" i="3"/>
  <c r="AU64" i="3" s="1"/>
  <c r="AT51" i="3"/>
  <c r="AU51" i="3" s="1"/>
  <c r="AB144" i="9"/>
  <c r="B242" i="9"/>
  <c r="AT87" i="3"/>
  <c r="AU87" i="3" s="1"/>
  <c r="Y144" i="9"/>
  <c r="AS144" i="9"/>
  <c r="D144" i="9"/>
  <c r="AW144" i="9"/>
  <c r="E144" i="9"/>
  <c r="AI144" i="9"/>
  <c r="L144" i="9"/>
  <c r="AK144" i="9"/>
  <c r="AO144" i="9"/>
  <c r="S144" i="9"/>
  <c r="T144" i="9" s="1"/>
  <c r="P144" i="9"/>
  <c r="M144" i="9"/>
  <c r="AX144" i="9"/>
  <c r="AD144" i="9"/>
  <c r="C144" i="9" s="1"/>
  <c r="F144" i="9"/>
  <c r="W144" i="9"/>
  <c r="AJ144" i="9"/>
  <c r="AU144" i="9"/>
  <c r="AE144" i="9"/>
  <c r="AP144" i="9"/>
  <c r="H144" i="9"/>
  <c r="Q144" i="9"/>
  <c r="K144" i="9"/>
  <c r="Z144" i="9" s="1"/>
  <c r="AA144" i="9" s="1"/>
  <c r="AQ144" i="9"/>
  <c r="AC144" i="9"/>
  <c r="AT144" i="9"/>
  <c r="AF144" i="9"/>
  <c r="G144" i="9"/>
  <c r="O145" i="9"/>
  <c r="W145" i="9"/>
  <c r="AF145" i="9"/>
  <c r="AE145" i="9"/>
  <c r="AT145" i="9"/>
  <c r="X145" i="9"/>
  <c r="AB145" i="9"/>
  <c r="AJ145" i="9"/>
  <c r="AX145" i="9"/>
  <c r="AT69" i="3"/>
  <c r="AU69" i="3" s="1"/>
  <c r="S145" i="9"/>
  <c r="T145" i="9" s="1"/>
  <c r="AT152" i="3"/>
  <c r="AU152" i="3" s="1"/>
  <c r="X144" i="9"/>
  <c r="P145" i="9"/>
  <c r="K145" i="9"/>
  <c r="Z145" i="9" s="1"/>
  <c r="AA145" i="9" s="1"/>
  <c r="L145" i="9"/>
  <c r="G145" i="9"/>
  <c r="AW145" i="9"/>
  <c r="AI145" i="9"/>
  <c r="AO145" i="9"/>
  <c r="AS145" i="9"/>
  <c r="D145" i="9"/>
  <c r="H145" i="9"/>
  <c r="B220" i="9"/>
  <c r="B226" i="9"/>
  <c r="B244" i="9"/>
  <c r="AT67" i="3"/>
  <c r="AU67" i="3" s="1"/>
  <c r="AT132" i="3"/>
  <c r="AU132" i="3" s="1"/>
  <c r="B187" i="9"/>
  <c r="B237" i="9"/>
  <c r="B243" i="9"/>
  <c r="AT156" i="3"/>
  <c r="AU156" i="3" s="1"/>
  <c r="B222" i="9"/>
  <c r="AT160" i="3"/>
  <c r="AU160" i="3" s="1"/>
  <c r="B210" i="9"/>
  <c r="B238" i="9"/>
  <c r="B180" i="9"/>
  <c r="B216" i="9"/>
  <c r="B146" i="9"/>
  <c r="AT98" i="3"/>
  <c r="AU98" i="3" s="1"/>
  <c r="AT115" i="3"/>
  <c r="AU115" i="3" s="1"/>
  <c r="AM153" i="3"/>
  <c r="BP153" i="3" s="1"/>
  <c r="AT93" i="3"/>
  <c r="AU93" i="3" s="1"/>
  <c r="B225" i="9"/>
  <c r="B213" i="9"/>
  <c r="B147" i="9"/>
  <c r="B229" i="9"/>
  <c r="B221" i="9"/>
  <c r="B233" i="9"/>
  <c r="AH144" i="9"/>
  <c r="B245" i="9"/>
  <c r="B209" i="9"/>
  <c r="B241" i="9"/>
  <c r="B217" i="9"/>
  <c r="B184" i="9"/>
  <c r="B143" i="9"/>
  <c r="B188" i="9"/>
  <c r="AT131" i="3"/>
  <c r="AU131" i="3" s="1"/>
  <c r="AT117" i="3"/>
  <c r="AU117" i="3" s="1"/>
  <c r="AT129" i="3"/>
  <c r="AU129" i="3" s="1"/>
  <c r="CD196" i="3"/>
  <c r="EK196" i="3" s="1"/>
  <c r="CD252" i="3"/>
  <c r="EK252" i="3" s="1"/>
  <c r="CD209" i="3"/>
  <c r="EK209" i="3" s="1"/>
  <c r="CD236" i="3"/>
  <c r="EK236" i="3" s="1"/>
  <c r="CD246" i="3"/>
  <c r="EK246" i="3" s="1"/>
  <c r="CD257" i="3"/>
  <c r="EK257" i="3" s="1"/>
  <c r="CD201" i="3"/>
  <c r="EK201" i="3" s="1"/>
  <c r="CD220" i="3"/>
  <c r="EK220" i="3" s="1"/>
  <c r="CD231" i="3"/>
  <c r="EK231" i="3" s="1"/>
  <c r="CD199" i="3"/>
  <c r="EK199" i="3" s="1"/>
  <c r="CD204" i="3"/>
  <c r="EK204" i="3" s="1"/>
  <c r="CD215" i="3"/>
  <c r="EK215" i="3" s="1"/>
  <c r="CD249" i="3"/>
  <c r="EK249" i="3" s="1"/>
  <c r="CD254" i="3"/>
  <c r="EK254" i="3" s="1"/>
  <c r="CD212" i="3"/>
  <c r="EK212" i="3" s="1"/>
  <c r="CD260" i="3"/>
  <c r="EK260" i="3" s="1"/>
  <c r="CD223" i="3"/>
  <c r="EK223" i="3" s="1"/>
  <c r="CD228" i="3"/>
  <c r="EK228" i="3" s="1"/>
  <c r="CD233" i="3"/>
  <c r="EK233" i="3" s="1"/>
  <c r="CD241" i="3"/>
  <c r="EK241" i="3" s="1"/>
  <c r="CD195" i="3"/>
  <c r="EK195" i="3" s="1"/>
  <c r="CD207" i="3"/>
  <c r="EK207" i="3" s="1"/>
  <c r="CD217" i="3"/>
  <c r="EK217" i="3" s="1"/>
  <c r="CD239" i="3"/>
  <c r="EK239" i="3" s="1"/>
  <c r="CD243" i="3"/>
  <c r="EK243" i="3" s="1"/>
  <c r="CD197" i="3"/>
  <c r="EK197" i="3" s="1"/>
  <c r="CD205" i="3"/>
  <c r="EK205" i="3" s="1"/>
  <c r="CD208" i="3"/>
  <c r="EK208" i="3" s="1"/>
  <c r="CD211" i="3"/>
  <c r="EK211" i="3" s="1"/>
  <c r="CD221" i="3"/>
  <c r="EK221" i="3" s="1"/>
  <c r="CD224" i="3"/>
  <c r="EK224" i="3" s="1"/>
  <c r="CD227" i="3"/>
  <c r="EK227" i="3" s="1"/>
  <c r="CD237" i="3"/>
  <c r="EK237" i="3" s="1"/>
  <c r="CD240" i="3"/>
  <c r="EK240" i="3" s="1"/>
  <c r="CD242" i="3"/>
  <c r="EK242" i="3" s="1"/>
  <c r="CD245" i="3"/>
  <c r="EK245" i="3" s="1"/>
  <c r="CD258" i="3"/>
  <c r="EK258" i="3" s="1"/>
  <c r="CD200" i="3"/>
  <c r="EK200" i="3" s="1"/>
  <c r="CD203" i="3"/>
  <c r="EK203" i="3" s="1"/>
  <c r="CD213" i="3"/>
  <c r="EK213" i="3" s="1"/>
  <c r="CD216" i="3"/>
  <c r="EK216" i="3" s="1"/>
  <c r="CD219" i="3"/>
  <c r="EK219" i="3" s="1"/>
  <c r="CD229" i="3"/>
  <c r="EK229" i="3" s="1"/>
  <c r="CD232" i="3"/>
  <c r="EK232" i="3" s="1"/>
  <c r="CD235" i="3"/>
  <c r="EK235" i="3" s="1"/>
  <c r="CD247" i="3"/>
  <c r="EK247" i="3" s="1"/>
  <c r="CD250" i="3"/>
  <c r="EK250" i="3" s="1"/>
  <c r="CD253" i="3"/>
  <c r="EK253" i="3" s="1"/>
  <c r="CD256" i="3"/>
  <c r="EK256" i="3" s="1"/>
  <c r="AT107" i="3"/>
  <c r="AU107" i="3" s="1"/>
  <c r="AT111" i="3"/>
  <c r="AU111" i="3" s="1"/>
  <c r="AT112" i="3"/>
  <c r="AU112" i="3" s="1"/>
  <c r="CD182" i="3"/>
  <c r="EK182" i="3" s="1"/>
  <c r="CD165" i="3"/>
  <c r="EK165" i="3" s="1"/>
  <c r="CD187" i="3"/>
  <c r="EK187" i="3" s="1"/>
  <c r="AT120" i="3"/>
  <c r="AU120" i="3" s="1"/>
  <c r="AT124" i="3"/>
  <c r="AU124" i="3" s="1"/>
  <c r="CD157" i="3"/>
  <c r="EK157" i="3" s="1"/>
  <c r="CD194" i="3"/>
  <c r="EK194" i="3" s="1"/>
  <c r="CD198" i="3"/>
  <c r="EK198" i="3" s="1"/>
  <c r="CD202" i="3"/>
  <c r="EK202" i="3" s="1"/>
  <c r="CD206" i="3"/>
  <c r="EK206" i="3" s="1"/>
  <c r="CD210" i="3"/>
  <c r="EK210" i="3" s="1"/>
  <c r="CD214" i="3"/>
  <c r="EK214" i="3" s="1"/>
  <c r="CD218" i="3"/>
  <c r="EK218" i="3" s="1"/>
  <c r="CD222" i="3"/>
  <c r="EK222" i="3" s="1"/>
  <c r="CD226" i="3"/>
  <c r="EK226" i="3" s="1"/>
  <c r="CD230" i="3"/>
  <c r="EK230" i="3" s="1"/>
  <c r="CD234" i="3"/>
  <c r="EK234" i="3" s="1"/>
  <c r="CD238" i="3"/>
  <c r="EK238" i="3" s="1"/>
  <c r="CD175" i="3"/>
  <c r="EK175" i="3" s="1"/>
  <c r="CD193" i="3"/>
  <c r="EK193" i="3" s="1"/>
  <c r="CD168" i="3"/>
  <c r="EK168" i="3" s="1"/>
  <c r="CD190" i="3"/>
  <c r="EK190" i="3" s="1"/>
  <c r="CD244" i="3"/>
  <c r="EK244" i="3" s="1"/>
  <c r="CD248" i="3"/>
  <c r="EK248" i="3" s="1"/>
  <c r="CD255" i="3"/>
  <c r="EK255" i="3" s="1"/>
  <c r="CD161" i="3"/>
  <c r="EK161" i="3" s="1"/>
  <c r="CD177" i="3"/>
  <c r="EK177" i="3" s="1"/>
  <c r="AT90" i="3"/>
  <c r="AU90" i="3" s="1"/>
  <c r="AT119" i="3"/>
  <c r="AU119" i="3" s="1"/>
  <c r="CD178" i="3"/>
  <c r="EK178" i="3" s="1"/>
  <c r="CD188" i="3"/>
  <c r="EK188" i="3" s="1"/>
  <c r="CD189" i="3"/>
  <c r="EK189" i="3" s="1"/>
  <c r="CD180" i="3"/>
  <c r="EK180" i="3" s="1"/>
  <c r="CD173" i="3"/>
  <c r="EK173" i="3" s="1"/>
  <c r="AT105" i="3"/>
  <c r="AU105" i="3" s="1"/>
  <c r="AT101" i="3"/>
  <c r="AU101" i="3" s="1"/>
  <c r="CD163" i="3"/>
  <c r="EK163" i="3" s="1"/>
  <c r="CD167" i="3"/>
  <c r="EK167" i="3" s="1"/>
  <c r="CD179" i="3"/>
  <c r="EK179" i="3" s="1"/>
  <c r="AT75" i="3"/>
  <c r="AU75" i="3" s="1"/>
  <c r="AT78" i="3"/>
  <c r="AU78" i="3" s="1"/>
  <c r="AT109" i="3"/>
  <c r="AU109" i="3" s="1"/>
  <c r="AT83" i="3"/>
  <c r="AU83" i="3" s="1"/>
  <c r="AT110" i="3"/>
  <c r="AU110" i="3" s="1"/>
  <c r="AT126" i="3"/>
  <c r="AU126" i="3" s="1"/>
  <c r="AT82" i="3"/>
  <c r="AU82" i="3" s="1"/>
  <c r="AT116" i="3"/>
  <c r="AU116" i="3" s="1"/>
  <c r="AT56" i="3"/>
  <c r="AU56" i="3" s="1"/>
  <c r="AT123" i="3"/>
  <c r="AU123" i="3" s="1"/>
  <c r="B10" i="9"/>
  <c r="J144" i="9"/>
  <c r="B13" i="9"/>
  <c r="J145" i="9"/>
  <c r="Q131" i="13"/>
  <c r="M145" i="9"/>
  <c r="AN144" i="9"/>
  <c r="AB20" i="9"/>
  <c r="AV144" i="9"/>
  <c r="R144" i="9"/>
  <c r="P72" i="13"/>
  <c r="P129" i="13"/>
  <c r="P132" i="13"/>
  <c r="P130" i="13"/>
  <c r="P131" i="13"/>
  <c r="Y145" i="9"/>
  <c r="AR145" i="9"/>
  <c r="E145" i="9"/>
  <c r="N145" i="9"/>
  <c r="AH145" i="9"/>
  <c r="AU145" i="9"/>
  <c r="F145" i="9"/>
  <c r="AQ145" i="9"/>
  <c r="AD145" i="9"/>
  <c r="C145" i="9" s="1"/>
  <c r="Q145" i="9"/>
  <c r="AC145" i="9"/>
  <c r="AN145" i="9"/>
  <c r="N144" i="9"/>
  <c r="AR144" i="9"/>
  <c r="AV145" i="9"/>
  <c r="R145" i="9"/>
  <c r="AT73" i="3"/>
  <c r="AU73" i="3" s="1"/>
  <c r="AT76" i="3"/>
  <c r="AU76" i="3" s="1"/>
  <c r="AT104" i="3"/>
  <c r="AU104" i="3" s="1"/>
  <c r="AT86" i="3"/>
  <c r="AU86" i="3" s="1"/>
  <c r="AT92" i="3"/>
  <c r="AU92" i="3" s="1"/>
  <c r="AT62" i="3"/>
  <c r="AU62" i="3" s="1"/>
  <c r="AT54" i="3"/>
  <c r="AU54" i="3" s="1"/>
  <c r="AT84" i="3"/>
  <c r="AU84" i="3" s="1"/>
  <c r="AT89" i="3"/>
  <c r="AU89" i="3" s="1"/>
  <c r="AT91" i="3"/>
  <c r="AU91" i="3" s="1"/>
  <c r="AT108" i="3"/>
  <c r="AU108" i="3" s="1"/>
  <c r="AT114" i="3"/>
  <c r="AU114" i="3" s="1"/>
  <c r="AT130" i="3"/>
  <c r="AU130" i="3" s="1"/>
  <c r="AT118" i="3"/>
  <c r="AU118" i="3" s="1"/>
  <c r="AT122" i="3"/>
  <c r="AU122" i="3" s="1"/>
  <c r="AT125" i="3"/>
  <c r="AU125" i="3" s="1"/>
  <c r="AT52" i="3"/>
  <c r="AU52" i="3" s="1"/>
  <c r="AT74" i="3"/>
  <c r="AU74" i="3" s="1"/>
  <c r="AT100" i="3"/>
  <c r="AU100" i="3" s="1"/>
  <c r="AT88" i="3"/>
  <c r="AU88" i="3" s="1"/>
  <c r="AT106" i="3"/>
  <c r="AU106" i="3" s="1"/>
  <c r="AT133" i="3"/>
  <c r="AU133" i="3" s="1"/>
  <c r="AT128" i="3"/>
  <c r="AU128" i="3" s="1"/>
  <c r="AT77" i="3"/>
  <c r="AU77" i="3" s="1"/>
  <c r="B79" i="9"/>
  <c r="B77" i="9"/>
  <c r="B74" i="9"/>
  <c r="B80" i="9"/>
  <c r="AT85" i="3"/>
  <c r="AU85" i="3" s="1"/>
  <c r="AT97" i="3"/>
  <c r="AU97" i="3" s="1"/>
  <c r="AT57" i="3"/>
  <c r="AU57" i="3" s="1"/>
  <c r="AT79" i="3"/>
  <c r="AU79" i="3" s="1"/>
  <c r="B66" i="9"/>
  <c r="B69" i="9"/>
  <c r="B219" i="9"/>
  <c r="B223" i="9"/>
  <c r="B211" i="9"/>
  <c r="AX218" i="9"/>
  <c r="AC218" i="9"/>
  <c r="AK218" i="9"/>
  <c r="AO218" i="9"/>
  <c r="W218" i="9"/>
  <c r="AI218" i="9"/>
  <c r="AT218" i="9"/>
  <c r="F218" i="9"/>
  <c r="AE218" i="9"/>
  <c r="F19" i="9"/>
  <c r="M19" i="9"/>
  <c r="N19" i="9"/>
  <c r="Y19" i="9"/>
  <c r="P19" i="9"/>
  <c r="AU19" i="9"/>
  <c r="S19" i="9"/>
  <c r="T19" i="9" s="1"/>
  <c r="W19" i="9"/>
  <c r="AE19" i="9"/>
  <c r="AF19" i="9"/>
  <c r="D19" i="9"/>
  <c r="X19" i="9"/>
  <c r="AS19" i="9"/>
  <c r="AW185" i="9"/>
  <c r="AT185" i="9"/>
  <c r="BA185" i="9"/>
  <c r="AX185" i="9"/>
  <c r="D185" i="9"/>
  <c r="BB185" i="9"/>
  <c r="H185" i="9"/>
  <c r="E185" i="9"/>
  <c r="L185" i="9"/>
  <c r="AO185" i="9"/>
  <c r="AJ185" i="9"/>
  <c r="M185" i="9"/>
  <c r="X185" i="9"/>
  <c r="Q185" i="9"/>
  <c r="O185" i="9"/>
  <c r="G185" i="9"/>
  <c r="AB185" i="9"/>
  <c r="AF185" i="9"/>
  <c r="AE185" i="9"/>
  <c r="AH185" i="9"/>
  <c r="P185" i="9"/>
  <c r="AR185" i="9"/>
  <c r="Y185" i="9"/>
  <c r="AS185" i="9"/>
  <c r="AI185" i="9"/>
  <c r="AP185" i="9"/>
  <c r="D218" i="9"/>
  <c r="AD218" i="9"/>
  <c r="C218" i="9" s="1"/>
  <c r="H218" i="9"/>
  <c r="E218" i="9"/>
  <c r="N218" i="9"/>
  <c r="G218" i="9"/>
  <c r="L218" i="9"/>
  <c r="K218" i="9"/>
  <c r="Z218" i="9" s="1"/>
  <c r="AA218" i="9" s="1"/>
  <c r="P218" i="9"/>
  <c r="Q218" i="9"/>
  <c r="AR218" i="9"/>
  <c r="O218" i="9"/>
  <c r="X218" i="9"/>
  <c r="R218" i="9"/>
  <c r="AW218" i="9"/>
  <c r="AQ218" i="9"/>
  <c r="BA218" i="9"/>
  <c r="AU218" i="9"/>
  <c r="AB218" i="9"/>
  <c r="AV218" i="9"/>
  <c r="AF218" i="9"/>
  <c r="AJ218" i="9"/>
  <c r="AH218" i="9"/>
  <c r="BB218" i="9"/>
  <c r="AZ218" i="9"/>
  <c r="AY218" i="9" s="1"/>
  <c r="Y218" i="9"/>
  <c r="AN218" i="9"/>
  <c r="AS218" i="9"/>
  <c r="AP218" i="9"/>
  <c r="BA230" i="9"/>
  <c r="AD20" i="9"/>
  <c r="C20" i="9" s="1"/>
  <c r="AE20" i="9"/>
  <c r="W20" i="9"/>
  <c r="AH20" i="9"/>
  <c r="AI20" i="9"/>
  <c r="N20" i="9"/>
  <c r="AX20" i="9"/>
  <c r="AN20" i="9"/>
  <c r="F20" i="9"/>
  <c r="AR20" i="9"/>
  <c r="AS20" i="9"/>
  <c r="AF20" i="9"/>
  <c r="AV20" i="9"/>
  <c r="AW20" i="9"/>
  <c r="S20" i="9"/>
  <c r="T20" i="9" s="1"/>
  <c r="Q20" i="9"/>
  <c r="D20" i="9"/>
  <c r="M20" i="9"/>
  <c r="H20" i="9"/>
  <c r="E20" i="9"/>
  <c r="L20" i="9"/>
  <c r="P20" i="9"/>
  <c r="O20" i="9"/>
  <c r="X20" i="9"/>
  <c r="K20" i="9"/>
  <c r="Z20" i="9" s="1"/>
  <c r="AA20" i="9" s="1"/>
  <c r="AJ20" i="9"/>
  <c r="AQ20" i="9"/>
  <c r="Y20" i="9"/>
  <c r="AT20" i="9"/>
  <c r="AE214" i="9"/>
  <c r="AP214" i="9"/>
  <c r="O214" i="9"/>
  <c r="AQ214" i="9"/>
  <c r="N214" i="9"/>
  <c r="S214" i="9"/>
  <c r="T214" i="9" s="1"/>
  <c r="AJ214" i="9"/>
  <c r="AW214" i="9"/>
  <c r="BB214" i="9"/>
  <c r="AX186" i="9"/>
  <c r="AQ186" i="9"/>
  <c r="S186" i="9"/>
  <c r="T186" i="9" s="1"/>
  <c r="AP186" i="9"/>
  <c r="AU186" i="9"/>
  <c r="AK186" i="9"/>
  <c r="Y186" i="9"/>
  <c r="S218" i="9"/>
  <c r="M218" i="9"/>
  <c r="J218" i="9"/>
  <c r="AS230" i="9"/>
  <c r="AP230" i="9"/>
  <c r="AK230" i="9"/>
  <c r="AE230" i="9"/>
  <c r="AF230" i="9"/>
  <c r="AC230" i="9"/>
  <c r="O230" i="9"/>
  <c r="X230" i="9"/>
  <c r="Y230" i="9"/>
  <c r="AN230" i="9"/>
  <c r="S230" i="9"/>
  <c r="T230" i="9" s="1"/>
  <c r="AB230" i="9"/>
  <c r="AQ230" i="9"/>
  <c r="W230" i="9"/>
  <c r="AJ230" i="9"/>
  <c r="AU230" i="9"/>
  <c r="AI230" i="9"/>
  <c r="AT230" i="9"/>
  <c r="G230" i="9"/>
  <c r="P230" i="9"/>
  <c r="Q230" i="9"/>
  <c r="K230" i="9"/>
  <c r="Z230" i="9" s="1"/>
  <c r="AA230" i="9" s="1"/>
  <c r="AO230" i="9"/>
  <c r="M230" i="9"/>
  <c r="AW230" i="9"/>
  <c r="BB230" i="9"/>
  <c r="D230" i="9"/>
  <c r="H230" i="9"/>
  <c r="AX230" i="9"/>
  <c r="E230" i="9"/>
  <c r="L230" i="9"/>
  <c r="B181" i="9"/>
  <c r="M214" i="9"/>
  <c r="X214" i="9"/>
  <c r="AR214" i="9"/>
  <c r="AO214" i="9"/>
  <c r="Q214" i="9"/>
  <c r="AI214" i="9"/>
  <c r="F214" i="9"/>
  <c r="AV214" i="9"/>
  <c r="AF214" i="9"/>
  <c r="Y214" i="9"/>
  <c r="AN214" i="9"/>
  <c r="AC214" i="9"/>
  <c r="D214" i="9"/>
  <c r="AS214" i="9"/>
  <c r="AK214" i="9"/>
  <c r="J214" i="9"/>
  <c r="AX214" i="9"/>
  <c r="E214" i="9"/>
  <c r="AD214" i="9"/>
  <c r="C214" i="9" s="1"/>
  <c r="K214" i="9"/>
  <c r="Z214" i="9" s="1"/>
  <c r="AA214" i="9" s="1"/>
  <c r="AU214" i="9"/>
  <c r="P214" i="9"/>
  <c r="H214" i="9"/>
  <c r="AE186" i="9"/>
  <c r="AB186" i="9"/>
  <c r="AV186" i="9"/>
  <c r="R186" i="9"/>
  <c r="E186" i="9"/>
  <c r="AN186" i="9"/>
  <c r="AH186" i="9"/>
  <c r="BA186" i="9"/>
  <c r="G186" i="9"/>
  <c r="F186" i="9"/>
  <c r="AO186" i="9"/>
  <c r="L186" i="9"/>
  <c r="AT186" i="9"/>
  <c r="BB186" i="9"/>
  <c r="AZ186" i="9"/>
  <c r="AY186" i="9" s="1"/>
  <c r="X186" i="9"/>
  <c r="N186" i="9"/>
  <c r="AI186" i="9"/>
  <c r="W186" i="9"/>
  <c r="AS186" i="9"/>
  <c r="D186" i="9"/>
  <c r="J186" i="9"/>
  <c r="O186" i="9"/>
  <c r="AD186" i="9"/>
  <c r="C186" i="9" s="1"/>
  <c r="AR186" i="9"/>
  <c r="H186" i="9"/>
  <c r="AJ186" i="9"/>
  <c r="K186" i="9"/>
  <c r="Z186" i="9" s="1"/>
  <c r="AA186" i="9" s="1"/>
  <c r="Q186" i="9"/>
  <c r="M186" i="9"/>
  <c r="AF186" i="9"/>
  <c r="P186" i="9"/>
  <c r="AC186" i="9"/>
  <c r="AW186" i="9"/>
  <c r="B24" i="9"/>
  <c r="B179" i="9"/>
  <c r="B70" i="9"/>
  <c r="B73" i="9"/>
  <c r="B130" i="9"/>
  <c r="B165" i="9"/>
  <c r="B175" i="9"/>
  <c r="B174" i="9"/>
  <c r="AH19" i="9"/>
  <c r="AQ19" i="9"/>
  <c r="AW19" i="9"/>
  <c r="AN19" i="9"/>
  <c r="K19" i="9"/>
  <c r="Z19" i="9" s="1"/>
  <c r="AA19" i="9" s="1"/>
  <c r="AB19" i="9"/>
  <c r="E19" i="9"/>
  <c r="O19" i="9"/>
  <c r="AJ19" i="9"/>
  <c r="AX19" i="9"/>
  <c r="AK19" i="9"/>
  <c r="L19" i="9"/>
  <c r="J19" i="9"/>
  <c r="AT19" i="9"/>
  <c r="R19" i="9"/>
  <c r="G19" i="9"/>
  <c r="Q19" i="9"/>
  <c r="H19" i="9"/>
  <c r="AD19" i="9"/>
  <c r="C19" i="9" s="1"/>
  <c r="AI19" i="9"/>
  <c r="AR19" i="9"/>
  <c r="B9" i="9"/>
  <c r="B67" i="9"/>
  <c r="B68" i="9"/>
  <c r="B75" i="9"/>
  <c r="B76" i="9"/>
  <c r="B18" i="9"/>
  <c r="B17" i="9"/>
  <c r="B71" i="9"/>
  <c r="B72" i="9"/>
  <c r="B78" i="9"/>
  <c r="B131" i="9"/>
  <c r="B129" i="9"/>
  <c r="B86" i="9"/>
  <c r="B176" i="9"/>
  <c r="B234" i="9"/>
  <c r="B82" i="9"/>
  <c r="B173" i="9"/>
  <c r="B189" i="9"/>
  <c r="B193" i="9"/>
  <c r="B201" i="9"/>
  <c r="B205" i="9"/>
  <c r="B153" i="9"/>
  <c r="B161" i="9"/>
  <c r="B168" i="9"/>
  <c r="B172" i="9"/>
  <c r="B204" i="9"/>
  <c r="B239" i="9"/>
  <c r="B14" i="9"/>
  <c r="B150" i="9"/>
  <c r="B158" i="9"/>
  <c r="B162" i="9"/>
  <c r="B169" i="9"/>
  <c r="B25" i="9"/>
  <c r="B157" i="9"/>
  <c r="B192" i="9"/>
  <c r="B196" i="9"/>
  <c r="B200" i="9"/>
  <c r="B215" i="9"/>
  <c r="B8" i="9"/>
  <c r="B16" i="9"/>
  <c r="B87" i="9"/>
  <c r="B148" i="9"/>
  <c r="B152" i="9"/>
  <c r="B156" i="9"/>
  <c r="B160" i="9"/>
  <c r="B164" i="9"/>
  <c r="B167" i="9"/>
  <c r="B171" i="9"/>
  <c r="B178" i="9"/>
  <c r="B191" i="9"/>
  <c r="B195" i="9"/>
  <c r="B199" i="9"/>
  <c r="B203" i="9"/>
  <c r="B227" i="9"/>
  <c r="B197" i="9"/>
  <c r="B207" i="9"/>
  <c r="B26" i="9"/>
  <c r="B149" i="9"/>
  <c r="B12" i="9"/>
  <c r="B15" i="9"/>
  <c r="B88" i="9"/>
  <c r="B151" i="9"/>
  <c r="B155" i="9"/>
  <c r="B159" i="9"/>
  <c r="B163" i="9"/>
  <c r="B166" i="9"/>
  <c r="B170" i="9"/>
  <c r="B177" i="9"/>
  <c r="B190" i="9"/>
  <c r="B194" i="9"/>
  <c r="B198" i="9"/>
  <c r="B202" i="9"/>
  <c r="B206" i="9"/>
  <c r="B246" i="9"/>
  <c r="B249" i="9"/>
  <c r="B81" i="9"/>
  <c r="B154" i="9"/>
  <c r="B208" i="9"/>
  <c r="B231" i="9"/>
  <c r="B232" i="9"/>
  <c r="B224" i="9"/>
  <c r="B235" i="9"/>
  <c r="B212" i="9"/>
  <c r="B248" i="9"/>
  <c r="AK20" i="9"/>
  <c r="R20" i="9"/>
  <c r="AU20" i="9"/>
  <c r="J20" i="9"/>
  <c r="R214" i="9"/>
  <c r="G214" i="9"/>
  <c r="AH214" i="9"/>
  <c r="L214" i="9"/>
  <c r="AT214" i="9"/>
  <c r="W214" i="9"/>
  <c r="AB214" i="9"/>
  <c r="AZ214" i="9"/>
  <c r="AY214" i="9" s="1"/>
  <c r="N230" i="9"/>
  <c r="R230" i="9"/>
  <c r="AV230" i="9"/>
  <c r="AD230" i="9"/>
  <c r="C230" i="9" s="1"/>
  <c r="AZ230" i="9"/>
  <c r="AY230" i="9" s="1"/>
  <c r="AH230" i="9"/>
  <c r="AR230" i="9"/>
  <c r="F230" i="9"/>
  <c r="J230" i="9"/>
  <c r="B250" i="9"/>
  <c r="B11" i="9"/>
  <c r="J185" i="9"/>
  <c r="S185" i="9"/>
  <c r="T185" i="9" s="1"/>
  <c r="AK185" i="9"/>
  <c r="AV185" i="9"/>
  <c r="K185" i="9"/>
  <c r="Z185" i="9" s="1"/>
  <c r="AA185" i="9" s="1"/>
  <c r="W185" i="9"/>
  <c r="AN185" i="9"/>
  <c r="N185" i="9"/>
  <c r="AQ185" i="9"/>
  <c r="R185" i="9"/>
  <c r="AU185" i="9"/>
  <c r="F185" i="9"/>
  <c r="AC185" i="9"/>
  <c r="AD185" i="9"/>
  <c r="C185" i="9" s="1"/>
  <c r="B228" i="9"/>
  <c r="B247" i="9"/>
  <c r="B182" i="9"/>
  <c r="B183" i="9"/>
  <c r="B240" i="9"/>
  <c r="B236" i="9"/>
  <c r="BI68" i="3" l="1"/>
  <c r="BI90" i="3"/>
  <c r="BL70" i="3"/>
  <c r="BI51" i="3"/>
  <c r="CD171" i="3"/>
  <c r="DP171" i="3" s="1"/>
  <c r="CD191" i="3"/>
  <c r="BL141" i="3"/>
  <c r="BL93" i="3"/>
  <c r="CD183" i="3"/>
  <c r="EL183" i="3" s="1"/>
  <c r="BL94" i="3"/>
  <c r="BL124" i="3"/>
  <c r="BL67" i="3"/>
  <c r="BI118" i="3"/>
  <c r="BL52" i="3"/>
  <c r="BL72" i="3"/>
  <c r="BI132" i="3"/>
  <c r="BI101" i="3"/>
  <c r="BI107" i="3"/>
  <c r="B501" i="9"/>
  <c r="U501" i="9" s="1"/>
  <c r="V501" i="9" s="1"/>
  <c r="GD172" i="3"/>
  <c r="GD259" i="3"/>
  <c r="GD174" i="3"/>
  <c r="CD184" i="3"/>
  <c r="BN80" i="3"/>
  <c r="BI130" i="3"/>
  <c r="CD259" i="3"/>
  <c r="EO259" i="3" s="1"/>
  <c r="BO259" i="3"/>
  <c r="BI64" i="3"/>
  <c r="BO94" i="3"/>
  <c r="BI123" i="3"/>
  <c r="I214" i="9"/>
  <c r="BI53" i="3"/>
  <c r="BO141" i="3"/>
  <c r="BI116" i="3"/>
  <c r="BL51" i="3"/>
  <c r="BI69" i="3"/>
  <c r="BI91" i="3"/>
  <c r="BL148" i="3"/>
  <c r="BO87" i="3"/>
  <c r="GD166" i="3"/>
  <c r="BO135" i="3"/>
  <c r="BO81" i="3"/>
  <c r="BO156" i="3"/>
  <c r="BL64" i="3"/>
  <c r="BL58" i="3"/>
  <c r="BL140" i="3"/>
  <c r="BL123" i="3"/>
  <c r="CD170" i="3"/>
  <c r="DT170" i="3" s="1"/>
  <c r="BO134" i="3"/>
  <c r="BL99" i="3"/>
  <c r="CD160" i="3"/>
  <c r="CS160" i="3" s="1"/>
  <c r="BO84" i="3"/>
  <c r="BI103" i="3"/>
  <c r="BI89" i="3"/>
  <c r="BL56" i="3"/>
  <c r="GD186" i="3"/>
  <c r="BI133" i="3"/>
  <c r="BL89" i="3"/>
  <c r="BI85" i="3"/>
  <c r="CD162" i="3"/>
  <c r="DW162" i="3" s="1"/>
  <c r="BI52" i="3"/>
  <c r="BI131" i="3"/>
  <c r="BI98" i="3"/>
  <c r="BI108" i="3"/>
  <c r="BO143" i="3"/>
  <c r="BI119" i="3"/>
  <c r="BI76" i="3"/>
  <c r="BI144" i="3"/>
  <c r="BL149" i="3"/>
  <c r="BL129" i="3"/>
  <c r="BI92" i="3"/>
  <c r="BI126" i="3"/>
  <c r="BI138" i="3"/>
  <c r="BO83" i="3"/>
  <c r="BL69" i="3"/>
  <c r="BI58" i="3"/>
  <c r="BL126" i="3"/>
  <c r="BI106" i="3"/>
  <c r="BI79" i="3"/>
  <c r="BL109" i="3"/>
  <c r="BI115" i="3"/>
  <c r="BO93" i="3"/>
  <c r="BI75" i="3"/>
  <c r="BO90" i="3"/>
  <c r="BI129" i="3"/>
  <c r="BL110" i="3"/>
  <c r="GQ160" i="3"/>
  <c r="BL90" i="3"/>
  <c r="BL119" i="3"/>
  <c r="BL79" i="3"/>
  <c r="BI104" i="3"/>
  <c r="BO152" i="3"/>
  <c r="BL115" i="3"/>
  <c r="BI57" i="3"/>
  <c r="BL127" i="3"/>
  <c r="BL108" i="3"/>
  <c r="BL81" i="3"/>
  <c r="BI148" i="3"/>
  <c r="BL142" i="3"/>
  <c r="BL86" i="3"/>
  <c r="BL97" i="3"/>
  <c r="BI61" i="3"/>
  <c r="GQ156" i="3"/>
  <c r="GQ155" i="3"/>
  <c r="BL57" i="3"/>
  <c r="BL103" i="3"/>
  <c r="GQ154" i="3"/>
  <c r="BL131" i="3"/>
  <c r="BI88" i="3"/>
  <c r="BO139" i="3"/>
  <c r="BL144" i="3"/>
  <c r="BI114" i="3"/>
  <c r="BI105" i="3"/>
  <c r="BI135" i="3"/>
  <c r="BQ153" i="3"/>
  <c r="FF153" i="3" s="1" a="1"/>
  <c r="FF153" i="3" s="1"/>
  <c r="BK153" i="3"/>
  <c r="BH153" i="3"/>
  <c r="BN153" i="3"/>
  <c r="BO73" i="3"/>
  <c r="BL132" i="3"/>
  <c r="BJ80" i="3"/>
  <c r="AZ72" i="9" s="1"/>
  <c r="AY72" i="9" s="1"/>
  <c r="BL88" i="3"/>
  <c r="BL106" i="3"/>
  <c r="BL138" i="3"/>
  <c r="BI96" i="3"/>
  <c r="BL114" i="3"/>
  <c r="BI127" i="3"/>
  <c r="BO160" i="3"/>
  <c r="BL135" i="3"/>
  <c r="GQ141" i="3"/>
  <c r="BL76" i="3"/>
  <c r="BL112" i="3"/>
  <c r="BI117" i="3"/>
  <c r="BI109" i="3"/>
  <c r="BL75" i="3"/>
  <c r="BI84" i="3"/>
  <c r="BI74" i="3"/>
  <c r="BL71" i="3"/>
  <c r="BL105" i="3"/>
  <c r="BL100" i="3"/>
  <c r="BI146" i="3"/>
  <c r="BI160" i="3"/>
  <c r="BO82" i="3"/>
  <c r="BK137" i="3"/>
  <c r="BH137" i="3"/>
  <c r="BI137" i="3" s="1"/>
  <c r="BI134" i="3"/>
  <c r="BO145" i="3"/>
  <c r="BL78" i="3"/>
  <c r="BI56" i="3"/>
  <c r="BI122" i="3"/>
  <c r="BL92" i="3"/>
  <c r="BL118" i="3"/>
  <c r="BL104" i="3"/>
  <c r="BM153" i="3"/>
  <c r="BL117" i="3"/>
  <c r="BI82" i="3"/>
  <c r="BL84" i="3"/>
  <c r="BJ137" i="3"/>
  <c r="BI65" i="3"/>
  <c r="BL83" i="3"/>
  <c r="BL146" i="3"/>
  <c r="BL160" i="3"/>
  <c r="BO149" i="3"/>
  <c r="BI128" i="3"/>
  <c r="BI71" i="3"/>
  <c r="BO75" i="3"/>
  <c r="BO92" i="3"/>
  <c r="BL134" i="3"/>
  <c r="GQ138" i="3"/>
  <c r="BL95" i="3"/>
  <c r="BL122" i="3"/>
  <c r="GQ81" i="3"/>
  <c r="BI73" i="3"/>
  <c r="BL82" i="3"/>
  <c r="BI99" i="3"/>
  <c r="BI113" i="3"/>
  <c r="BI102" i="3"/>
  <c r="BI149" i="3"/>
  <c r="GQ139" i="3"/>
  <c r="BL128" i="3"/>
  <c r="BO142" i="3"/>
  <c r="BI147" i="3"/>
  <c r="GQ140" i="3"/>
  <c r="AT80" i="3"/>
  <c r="AU80" i="3" s="1"/>
  <c r="BK80" i="3"/>
  <c r="BH80" i="3"/>
  <c r="BI80" i="3" s="1"/>
  <c r="BI110" i="3"/>
  <c r="BL73" i="3"/>
  <c r="BJ153" i="3"/>
  <c r="BL153" i="3" s="1"/>
  <c r="BL113" i="3"/>
  <c r="BL102" i="3"/>
  <c r="BI81" i="3"/>
  <c r="BO148" i="3"/>
  <c r="BI83" i="3"/>
  <c r="BI142" i="3"/>
  <c r="GQ152" i="3"/>
  <c r="BL147" i="3"/>
  <c r="BI86" i="3"/>
  <c r="BI97" i="3"/>
  <c r="BI60" i="3"/>
  <c r="BI55" i="3"/>
  <c r="BI62" i="3"/>
  <c r="BI54" i="3"/>
  <c r="AG20" i="9"/>
  <c r="FW167" i="3"/>
  <c r="FW189" i="3"/>
  <c r="FW161" i="3"/>
  <c r="FW175" i="3"/>
  <c r="FW214" i="3"/>
  <c r="FW235" i="3"/>
  <c r="FW258" i="3"/>
  <c r="FW211" i="3"/>
  <c r="FW217" i="3"/>
  <c r="FW212" i="3"/>
  <c r="FW201" i="3"/>
  <c r="FW196" i="3"/>
  <c r="FW225" i="3"/>
  <c r="FW163" i="3"/>
  <c r="FW188" i="3"/>
  <c r="FW210" i="3"/>
  <c r="FW187" i="3"/>
  <c r="FW232" i="3"/>
  <c r="FW245" i="3"/>
  <c r="FW208" i="3"/>
  <c r="FW207" i="3"/>
  <c r="FW254" i="3"/>
  <c r="FW192" i="3"/>
  <c r="FW178" i="3"/>
  <c r="FW255" i="3"/>
  <c r="FW238" i="3"/>
  <c r="FW206" i="3"/>
  <c r="FW169" i="3"/>
  <c r="FW229" i="3"/>
  <c r="FW242" i="3"/>
  <c r="FW205" i="3"/>
  <c r="FW195" i="3"/>
  <c r="FW249" i="3"/>
  <c r="FW257" i="3"/>
  <c r="FW158" i="3"/>
  <c r="FW174" i="3"/>
  <c r="FW166" i="3"/>
  <c r="FW248" i="3"/>
  <c r="FW234" i="3"/>
  <c r="FW202" i="3"/>
  <c r="FW165" i="3"/>
  <c r="FW219" i="3"/>
  <c r="FW240" i="3"/>
  <c r="FW241" i="3"/>
  <c r="FW215" i="3"/>
  <c r="FW246" i="3"/>
  <c r="FW251" i="3"/>
  <c r="FW244" i="3"/>
  <c r="FW230" i="3"/>
  <c r="FW198" i="3"/>
  <c r="FW186" i="3"/>
  <c r="FW256" i="3"/>
  <c r="FW216" i="3"/>
  <c r="FW237" i="3"/>
  <c r="FW233" i="3"/>
  <c r="FW204" i="3"/>
  <c r="FW190" i="3"/>
  <c r="FW226" i="3"/>
  <c r="FW194" i="3"/>
  <c r="FW253" i="3"/>
  <c r="FW213" i="3"/>
  <c r="FW227" i="3"/>
  <c r="FW197" i="3"/>
  <c r="FW228" i="3"/>
  <c r="FW199" i="3"/>
  <c r="FW236" i="3"/>
  <c r="FW164" i="3"/>
  <c r="FW173" i="3"/>
  <c r="FW168" i="3"/>
  <c r="FW222" i="3"/>
  <c r="FW157" i="3"/>
  <c r="FW182" i="3"/>
  <c r="FW250" i="3"/>
  <c r="FW203" i="3"/>
  <c r="FW224" i="3"/>
  <c r="FW243" i="3"/>
  <c r="FW223" i="3"/>
  <c r="FW231" i="3"/>
  <c r="FW209" i="3"/>
  <c r="FW176" i="3"/>
  <c r="FW179" i="3"/>
  <c r="FW180" i="3"/>
  <c r="FW177" i="3"/>
  <c r="FW193" i="3"/>
  <c r="FW218" i="3"/>
  <c r="FW172" i="3"/>
  <c r="FW247" i="3"/>
  <c r="FW200" i="3"/>
  <c r="FW221" i="3"/>
  <c r="FW239" i="3"/>
  <c r="FW260" i="3"/>
  <c r="FW220" i="3"/>
  <c r="FW252" i="3"/>
  <c r="EB187" i="3"/>
  <c r="EL187" i="3"/>
  <c r="EM187" i="3"/>
  <c r="EN187" i="3"/>
  <c r="EO187" i="3"/>
  <c r="DR187" i="3"/>
  <c r="DT187" i="3"/>
  <c r="DQ187" i="3"/>
  <c r="CT187" i="3"/>
  <c r="CV187" i="3"/>
  <c r="CW187" i="3"/>
  <c r="FL187" i="3"/>
  <c r="FK187" i="3"/>
  <c r="DS187" i="3"/>
  <c r="CU187" i="3"/>
  <c r="FI187" i="3"/>
  <c r="FJ187" i="3"/>
  <c r="EB165" i="3"/>
  <c r="EL165" i="3"/>
  <c r="EM165" i="3"/>
  <c r="EO165" i="3"/>
  <c r="DQ165" i="3"/>
  <c r="EN165" i="3"/>
  <c r="DS165" i="3"/>
  <c r="CW165" i="3"/>
  <c r="DT165" i="3"/>
  <c r="FK165" i="3"/>
  <c r="CU165" i="3"/>
  <c r="DR165" i="3"/>
  <c r="CV165" i="3"/>
  <c r="FJ165" i="3"/>
  <c r="FL165" i="3"/>
  <c r="CT165" i="3"/>
  <c r="FI165" i="3"/>
  <c r="EB161" i="3"/>
  <c r="EL161" i="3"/>
  <c r="EM161" i="3"/>
  <c r="EN161" i="3"/>
  <c r="EO161" i="3"/>
  <c r="DT161" i="3"/>
  <c r="DR161" i="3"/>
  <c r="DS161" i="3"/>
  <c r="CT161" i="3"/>
  <c r="CW161" i="3"/>
  <c r="DQ161" i="3"/>
  <c r="CU161" i="3"/>
  <c r="FL161" i="3"/>
  <c r="FI161" i="3"/>
  <c r="CV161" i="3"/>
  <c r="FJ161" i="3"/>
  <c r="FK161" i="3"/>
  <c r="EB230" i="3"/>
  <c r="EM230" i="3"/>
  <c r="EN230" i="3"/>
  <c r="EO230" i="3"/>
  <c r="DS230" i="3"/>
  <c r="EL230" i="3"/>
  <c r="DQ230" i="3"/>
  <c r="DR230" i="3"/>
  <c r="CV230" i="3"/>
  <c r="CW230" i="3"/>
  <c r="FL230" i="3"/>
  <c r="DT230" i="3"/>
  <c r="CT230" i="3"/>
  <c r="CU230" i="3"/>
  <c r="FJ230" i="3"/>
  <c r="FI230" i="3"/>
  <c r="FK230" i="3"/>
  <c r="EB256" i="3"/>
  <c r="EM256" i="3"/>
  <c r="DR256" i="3"/>
  <c r="EN256" i="3"/>
  <c r="DT256" i="3"/>
  <c r="EO256" i="3"/>
  <c r="DQ256" i="3"/>
  <c r="EL256" i="3"/>
  <c r="CU256" i="3"/>
  <c r="CW256" i="3"/>
  <c r="DS256" i="3"/>
  <c r="FK256" i="3"/>
  <c r="CT256" i="3"/>
  <c r="CV256" i="3"/>
  <c r="FI256" i="3"/>
  <c r="FJ256" i="3"/>
  <c r="FL256" i="3"/>
  <c r="EB258" i="3"/>
  <c r="EO258" i="3"/>
  <c r="EN258" i="3"/>
  <c r="EL258" i="3"/>
  <c r="DQ258" i="3"/>
  <c r="EM258" i="3"/>
  <c r="DS258" i="3"/>
  <c r="DT258" i="3"/>
  <c r="CV258" i="3"/>
  <c r="FK258" i="3"/>
  <c r="DR258" i="3"/>
  <c r="CT258" i="3"/>
  <c r="FL258" i="3"/>
  <c r="CU258" i="3"/>
  <c r="CW258" i="3"/>
  <c r="FI258" i="3"/>
  <c r="FJ258" i="3"/>
  <c r="EB212" i="3"/>
  <c r="EL212" i="3"/>
  <c r="EM212" i="3"/>
  <c r="EN212" i="3"/>
  <c r="EO212" i="3"/>
  <c r="DT212" i="3"/>
  <c r="DR212" i="3"/>
  <c r="DQ212" i="3"/>
  <c r="DS212" i="3"/>
  <c r="CV212" i="3"/>
  <c r="CT212" i="3"/>
  <c r="CU212" i="3"/>
  <c r="CW212" i="3"/>
  <c r="FL212" i="3"/>
  <c r="FJ212" i="3"/>
  <c r="FI212" i="3"/>
  <c r="FK212" i="3"/>
  <c r="EB173" i="3"/>
  <c r="EL173" i="3"/>
  <c r="EM173" i="3"/>
  <c r="EN173" i="3"/>
  <c r="EO173" i="3"/>
  <c r="DT173" i="3"/>
  <c r="DS173" i="3"/>
  <c r="DQ173" i="3"/>
  <c r="DR173" i="3"/>
  <c r="CU173" i="3"/>
  <c r="CW173" i="3"/>
  <c r="CT173" i="3"/>
  <c r="CV173" i="3"/>
  <c r="FL173" i="3"/>
  <c r="FK173" i="3"/>
  <c r="FI173" i="3"/>
  <c r="FJ173" i="3"/>
  <c r="EB255" i="3"/>
  <c r="EO255" i="3"/>
  <c r="EN255" i="3"/>
  <c r="EL255" i="3"/>
  <c r="EM255" i="3"/>
  <c r="DQ255" i="3"/>
  <c r="DR255" i="3"/>
  <c r="DT255" i="3"/>
  <c r="FK255" i="3"/>
  <c r="CV255" i="3"/>
  <c r="DS255" i="3"/>
  <c r="CU255" i="3"/>
  <c r="CW255" i="3"/>
  <c r="FI255" i="3"/>
  <c r="FL255" i="3"/>
  <c r="FJ255" i="3"/>
  <c r="CT255" i="3"/>
  <c r="EB222" i="3"/>
  <c r="EL222" i="3"/>
  <c r="EM222" i="3"/>
  <c r="EO222" i="3"/>
  <c r="DQ222" i="3"/>
  <c r="EN222" i="3"/>
  <c r="DS222" i="3"/>
  <c r="CW222" i="3"/>
  <c r="DT222" i="3"/>
  <c r="DR222" i="3"/>
  <c r="CU222" i="3"/>
  <c r="FK222" i="3"/>
  <c r="FL222" i="3"/>
  <c r="CT222" i="3"/>
  <c r="CV222" i="3"/>
  <c r="FI222" i="3"/>
  <c r="FJ222" i="3"/>
  <c r="EB169" i="3"/>
  <c r="EL169" i="3"/>
  <c r="EM169" i="3"/>
  <c r="EN169" i="3"/>
  <c r="EO169" i="3"/>
  <c r="DR169" i="3"/>
  <c r="DQ169" i="3"/>
  <c r="CT169" i="3"/>
  <c r="DS169" i="3"/>
  <c r="DT169" i="3"/>
  <c r="CU169" i="3"/>
  <c r="CV169" i="3"/>
  <c r="FK169" i="3"/>
  <c r="FL169" i="3"/>
  <c r="FJ169" i="3"/>
  <c r="CW169" i="3"/>
  <c r="FI169" i="3"/>
  <c r="EB250" i="3"/>
  <c r="EL250" i="3"/>
  <c r="DR250" i="3"/>
  <c r="EN250" i="3"/>
  <c r="DT250" i="3"/>
  <c r="EO250" i="3"/>
  <c r="DQ250" i="3"/>
  <c r="DS250" i="3"/>
  <c r="EM250" i="3"/>
  <c r="CU250" i="3"/>
  <c r="CT250" i="3"/>
  <c r="FL250" i="3"/>
  <c r="CV250" i="3"/>
  <c r="FK250" i="3"/>
  <c r="CW250" i="3"/>
  <c r="FJ250" i="3"/>
  <c r="FI250" i="3"/>
  <c r="EB242" i="3"/>
  <c r="EM242" i="3"/>
  <c r="EN242" i="3"/>
  <c r="EO242" i="3"/>
  <c r="EL242" i="3"/>
  <c r="DQ242" i="3"/>
  <c r="DT242" i="3"/>
  <c r="CW242" i="3"/>
  <c r="DR242" i="3"/>
  <c r="FL242" i="3"/>
  <c r="CT242" i="3"/>
  <c r="FK242" i="3"/>
  <c r="CU242" i="3"/>
  <c r="DS242" i="3"/>
  <c r="FJ242" i="3"/>
  <c r="FI242" i="3"/>
  <c r="CV242" i="3"/>
  <c r="EB243" i="3"/>
  <c r="EO243" i="3"/>
  <c r="EL243" i="3"/>
  <c r="EN243" i="3"/>
  <c r="EM243" i="3"/>
  <c r="DS243" i="3"/>
  <c r="DT243" i="3"/>
  <c r="FK243" i="3"/>
  <c r="CV243" i="3"/>
  <c r="DQ243" i="3"/>
  <c r="FL243" i="3"/>
  <c r="CT243" i="3"/>
  <c r="DR243" i="3"/>
  <c r="CW243" i="3"/>
  <c r="CU243" i="3"/>
  <c r="FI243" i="3"/>
  <c r="FJ243" i="3"/>
  <c r="EB249" i="3"/>
  <c r="EO249" i="3"/>
  <c r="EN249" i="3"/>
  <c r="EM249" i="3"/>
  <c r="EL249" i="3"/>
  <c r="DQ249" i="3"/>
  <c r="DR249" i="3"/>
  <c r="FK249" i="3"/>
  <c r="DT249" i="3"/>
  <c r="CV249" i="3"/>
  <c r="DS249" i="3"/>
  <c r="CU249" i="3"/>
  <c r="CW249" i="3"/>
  <c r="FL249" i="3"/>
  <c r="FJ249" i="3"/>
  <c r="CT249" i="3"/>
  <c r="FI249" i="3"/>
  <c r="EB209" i="3"/>
  <c r="EL209" i="3"/>
  <c r="EM209" i="3"/>
  <c r="EN209" i="3"/>
  <c r="EO209" i="3"/>
  <c r="DT209" i="3"/>
  <c r="DR209" i="3"/>
  <c r="DS209" i="3"/>
  <c r="DQ209" i="3"/>
  <c r="CU209" i="3"/>
  <c r="CW209" i="3"/>
  <c r="FK209" i="3"/>
  <c r="CV209" i="3"/>
  <c r="FI209" i="3"/>
  <c r="CT209" i="3"/>
  <c r="FL209" i="3"/>
  <c r="FJ209" i="3"/>
  <c r="EB239" i="3"/>
  <c r="EM239" i="3"/>
  <c r="EN239" i="3"/>
  <c r="EO239" i="3"/>
  <c r="DT239" i="3"/>
  <c r="DQ239" i="3"/>
  <c r="DR239" i="3"/>
  <c r="CW239" i="3"/>
  <c r="DS239" i="3"/>
  <c r="EL239" i="3"/>
  <c r="CU239" i="3"/>
  <c r="FK239" i="3"/>
  <c r="FJ239" i="3"/>
  <c r="FI239" i="3"/>
  <c r="FL239" i="3"/>
  <c r="CT239" i="3"/>
  <c r="CV239" i="3"/>
  <c r="EB251" i="3"/>
  <c r="EM251" i="3"/>
  <c r="EN251" i="3"/>
  <c r="EO251" i="3"/>
  <c r="EL251" i="3"/>
  <c r="DQ251" i="3"/>
  <c r="DS251" i="3"/>
  <c r="DT251" i="3"/>
  <c r="CW251" i="3"/>
  <c r="DR251" i="3"/>
  <c r="FL251" i="3"/>
  <c r="FK251" i="3"/>
  <c r="CU251" i="3"/>
  <c r="CV251" i="3"/>
  <c r="FJ251" i="3"/>
  <c r="FI251" i="3"/>
  <c r="CT251" i="3"/>
  <c r="EB189" i="3"/>
  <c r="EL189" i="3"/>
  <c r="EM189" i="3"/>
  <c r="EO189" i="3"/>
  <c r="DQ189" i="3"/>
  <c r="DS189" i="3"/>
  <c r="CW189" i="3"/>
  <c r="EN189" i="3"/>
  <c r="DR189" i="3"/>
  <c r="FK189" i="3"/>
  <c r="CV189" i="3"/>
  <c r="CT189" i="3"/>
  <c r="DT189" i="3"/>
  <c r="FJ189" i="3"/>
  <c r="CU189" i="3"/>
  <c r="FI189" i="3"/>
  <c r="FL189" i="3"/>
  <c r="EB244" i="3"/>
  <c r="EO244" i="3"/>
  <c r="DR244" i="3"/>
  <c r="EM244" i="3"/>
  <c r="DT244" i="3"/>
  <c r="EN244" i="3"/>
  <c r="DQ244" i="3"/>
  <c r="DS244" i="3"/>
  <c r="EL244" i="3"/>
  <c r="CU244" i="3"/>
  <c r="CW244" i="3"/>
  <c r="CV244" i="3"/>
  <c r="FK244" i="3"/>
  <c r="CT244" i="3"/>
  <c r="FI244" i="3"/>
  <c r="FL244" i="3"/>
  <c r="FJ244" i="3"/>
  <c r="EB214" i="3"/>
  <c r="EL214" i="3"/>
  <c r="EM214" i="3"/>
  <c r="EN214" i="3"/>
  <c r="EO214" i="3"/>
  <c r="DR214" i="3"/>
  <c r="DQ214" i="3"/>
  <c r="DS214" i="3"/>
  <c r="CU214" i="3"/>
  <c r="DT214" i="3"/>
  <c r="FL214" i="3"/>
  <c r="FK214" i="3"/>
  <c r="CV214" i="3"/>
  <c r="CW214" i="3"/>
  <c r="FJ214" i="3"/>
  <c r="FI214" i="3"/>
  <c r="CT214" i="3"/>
  <c r="EB186" i="3"/>
  <c r="EL186" i="3"/>
  <c r="EM186" i="3"/>
  <c r="EO186" i="3"/>
  <c r="DQ186" i="3"/>
  <c r="EN186" i="3"/>
  <c r="DS186" i="3"/>
  <c r="DT186" i="3"/>
  <c r="CW186" i="3"/>
  <c r="DR186" i="3"/>
  <c r="CU186" i="3"/>
  <c r="FK186" i="3"/>
  <c r="CV186" i="3"/>
  <c r="FL186" i="3"/>
  <c r="CT186" i="3"/>
  <c r="FI186" i="3"/>
  <c r="FJ186" i="3"/>
  <c r="EB235" i="3"/>
  <c r="EL235" i="3"/>
  <c r="DR235" i="3"/>
  <c r="EO235" i="3"/>
  <c r="EM235" i="3"/>
  <c r="DT235" i="3"/>
  <c r="EN235" i="3"/>
  <c r="DQ235" i="3"/>
  <c r="CU235" i="3"/>
  <c r="CW235" i="3"/>
  <c r="CV235" i="3"/>
  <c r="FL235" i="3"/>
  <c r="FK235" i="3"/>
  <c r="DS235" i="3"/>
  <c r="FI235" i="3"/>
  <c r="CT235" i="3"/>
  <c r="FJ235" i="3"/>
  <c r="EB237" i="3"/>
  <c r="EL237" i="3"/>
  <c r="EO237" i="3"/>
  <c r="DQ237" i="3"/>
  <c r="EM237" i="3"/>
  <c r="DT237" i="3"/>
  <c r="EN237" i="3"/>
  <c r="DR237" i="3"/>
  <c r="DS237" i="3"/>
  <c r="FK237" i="3"/>
  <c r="CV237" i="3"/>
  <c r="CT237" i="3"/>
  <c r="CU237" i="3"/>
  <c r="CW237" i="3"/>
  <c r="FJ237" i="3"/>
  <c r="FL237" i="3"/>
  <c r="FI237" i="3"/>
  <c r="EB217" i="3"/>
  <c r="EL217" i="3"/>
  <c r="EM217" i="3"/>
  <c r="EN217" i="3"/>
  <c r="EO217" i="3"/>
  <c r="DR217" i="3"/>
  <c r="DQ217" i="3"/>
  <c r="DS217" i="3"/>
  <c r="DT217" i="3"/>
  <c r="CV217" i="3"/>
  <c r="CT217" i="3"/>
  <c r="CU217" i="3"/>
  <c r="CW217" i="3"/>
  <c r="FL217" i="3"/>
  <c r="FK217" i="3"/>
  <c r="FJ217" i="3"/>
  <c r="FI217" i="3"/>
  <c r="EB204" i="3"/>
  <c r="EL204" i="3"/>
  <c r="EM204" i="3"/>
  <c r="EO204" i="3"/>
  <c r="DQ204" i="3"/>
  <c r="DS204" i="3"/>
  <c r="EN204" i="3"/>
  <c r="DT204" i="3"/>
  <c r="CW204" i="3"/>
  <c r="DR204" i="3"/>
  <c r="CU204" i="3"/>
  <c r="FK204" i="3"/>
  <c r="CV204" i="3"/>
  <c r="FL204" i="3"/>
  <c r="FI204" i="3"/>
  <c r="CT204" i="3"/>
  <c r="FJ204" i="3"/>
  <c r="EB196" i="3"/>
  <c r="EL196" i="3"/>
  <c r="EM196" i="3"/>
  <c r="EN196" i="3"/>
  <c r="EO196" i="3"/>
  <c r="DR196" i="3"/>
  <c r="DS196" i="3"/>
  <c r="DQ196" i="3"/>
  <c r="DT196" i="3"/>
  <c r="CU196" i="3"/>
  <c r="CW196" i="3"/>
  <c r="CV196" i="3"/>
  <c r="FK196" i="3"/>
  <c r="FI196" i="3"/>
  <c r="FL196" i="3"/>
  <c r="FJ196" i="3"/>
  <c r="CT196" i="3"/>
  <c r="EB225" i="3"/>
  <c r="EL225" i="3"/>
  <c r="EM225" i="3"/>
  <c r="EO225" i="3"/>
  <c r="DQ225" i="3"/>
  <c r="EN225" i="3"/>
  <c r="DT225" i="3"/>
  <c r="CW225" i="3"/>
  <c r="FK225" i="3"/>
  <c r="DR225" i="3"/>
  <c r="DS225" i="3"/>
  <c r="CV225" i="3"/>
  <c r="CT225" i="3"/>
  <c r="FL225" i="3"/>
  <c r="FJ225" i="3"/>
  <c r="FI225" i="3"/>
  <c r="CU225" i="3"/>
  <c r="EB245" i="3"/>
  <c r="EM245" i="3"/>
  <c r="EN245" i="3"/>
  <c r="EO245" i="3"/>
  <c r="EL245" i="3"/>
  <c r="DR245" i="3"/>
  <c r="DS245" i="3"/>
  <c r="DQ245" i="3"/>
  <c r="CW245" i="3"/>
  <c r="DT245" i="3"/>
  <c r="FK245" i="3"/>
  <c r="CU245" i="3"/>
  <c r="CV245" i="3"/>
  <c r="FL245" i="3"/>
  <c r="CT245" i="3"/>
  <c r="FI245" i="3"/>
  <c r="FJ245" i="3"/>
  <c r="EB218" i="3"/>
  <c r="EL218" i="3"/>
  <c r="EM218" i="3"/>
  <c r="EN218" i="3"/>
  <c r="EO218" i="3"/>
  <c r="DT218" i="3"/>
  <c r="DQ218" i="3"/>
  <c r="DS218" i="3"/>
  <c r="DR218" i="3"/>
  <c r="CU218" i="3"/>
  <c r="CT218" i="3"/>
  <c r="CV218" i="3"/>
  <c r="FL218" i="3"/>
  <c r="CW218" i="3"/>
  <c r="FK218" i="3"/>
  <c r="FJ218" i="3"/>
  <c r="FI218" i="3"/>
  <c r="EB252" i="3"/>
  <c r="EO252" i="3"/>
  <c r="EL252" i="3"/>
  <c r="EM252" i="3"/>
  <c r="DR252" i="3"/>
  <c r="DS252" i="3"/>
  <c r="DQ252" i="3"/>
  <c r="CV252" i="3"/>
  <c r="DT252" i="3"/>
  <c r="FK252" i="3"/>
  <c r="EN252" i="3"/>
  <c r="CW252" i="3"/>
  <c r="CT252" i="3"/>
  <c r="FJ252" i="3"/>
  <c r="FI252" i="3"/>
  <c r="CU252" i="3"/>
  <c r="FL252" i="3"/>
  <c r="EB188" i="3"/>
  <c r="EL188" i="3"/>
  <c r="EM188" i="3"/>
  <c r="EN188" i="3"/>
  <c r="EO188" i="3"/>
  <c r="DT188" i="3"/>
  <c r="DR188" i="3"/>
  <c r="DQ188" i="3"/>
  <c r="DS188" i="3"/>
  <c r="CT188" i="3"/>
  <c r="CW188" i="3"/>
  <c r="CU188" i="3"/>
  <c r="CV188" i="3"/>
  <c r="FL188" i="3"/>
  <c r="FJ188" i="3"/>
  <c r="FI188" i="3"/>
  <c r="FK188" i="3"/>
  <c r="EB190" i="3"/>
  <c r="EL190" i="3"/>
  <c r="EM190" i="3"/>
  <c r="EN190" i="3"/>
  <c r="EO190" i="3"/>
  <c r="DR190" i="3"/>
  <c r="DQ190" i="3"/>
  <c r="DS190" i="3"/>
  <c r="DT190" i="3"/>
  <c r="CU190" i="3"/>
  <c r="CT190" i="3"/>
  <c r="FK190" i="3"/>
  <c r="CW190" i="3"/>
  <c r="FJ190" i="3"/>
  <c r="CV190" i="3"/>
  <c r="FI190" i="3"/>
  <c r="FL190" i="3"/>
  <c r="EB210" i="3"/>
  <c r="EL210" i="3"/>
  <c r="EM210" i="3"/>
  <c r="EO210" i="3"/>
  <c r="DQ210" i="3"/>
  <c r="EN210" i="3"/>
  <c r="DS210" i="3"/>
  <c r="DT210" i="3"/>
  <c r="DR210" i="3"/>
  <c r="CW210" i="3"/>
  <c r="FK210" i="3"/>
  <c r="CU210" i="3"/>
  <c r="FL210" i="3"/>
  <c r="CT210" i="3"/>
  <c r="FI210" i="3"/>
  <c r="CV210" i="3"/>
  <c r="FJ210" i="3"/>
  <c r="EB232" i="3"/>
  <c r="EL232" i="3"/>
  <c r="EM232" i="3"/>
  <c r="EO232" i="3"/>
  <c r="DR232" i="3"/>
  <c r="DQ232" i="3"/>
  <c r="DS232" i="3"/>
  <c r="EN232" i="3"/>
  <c r="CU232" i="3"/>
  <c r="DT232" i="3"/>
  <c r="CW232" i="3"/>
  <c r="CT232" i="3"/>
  <c r="CV232" i="3"/>
  <c r="FK232" i="3"/>
  <c r="FI232" i="3"/>
  <c r="FJ232" i="3"/>
  <c r="FL232" i="3"/>
  <c r="EB227" i="3"/>
  <c r="EM227" i="3"/>
  <c r="EN227" i="3"/>
  <c r="EO227" i="3"/>
  <c r="EL227" i="3"/>
  <c r="DQ227" i="3"/>
  <c r="DS227" i="3"/>
  <c r="DT227" i="3"/>
  <c r="CU227" i="3"/>
  <c r="CT227" i="3"/>
  <c r="CV227" i="3"/>
  <c r="DR227" i="3"/>
  <c r="CW227" i="3"/>
  <c r="FL227" i="3"/>
  <c r="FK227" i="3"/>
  <c r="FJ227" i="3"/>
  <c r="FI227" i="3"/>
  <c r="EB207" i="3"/>
  <c r="EL207" i="3"/>
  <c r="EM207" i="3"/>
  <c r="EO207" i="3"/>
  <c r="DQ207" i="3"/>
  <c r="DT207" i="3"/>
  <c r="EN207" i="3"/>
  <c r="DR207" i="3"/>
  <c r="CW207" i="3"/>
  <c r="DS207" i="3"/>
  <c r="CV207" i="3"/>
  <c r="FK207" i="3"/>
  <c r="CT207" i="3"/>
  <c r="CU207" i="3"/>
  <c r="FL207" i="3"/>
  <c r="FI207" i="3"/>
  <c r="FJ207" i="3"/>
  <c r="EB199" i="3"/>
  <c r="EL199" i="3"/>
  <c r="EM199" i="3"/>
  <c r="EN199" i="3"/>
  <c r="EO199" i="3"/>
  <c r="DR199" i="3"/>
  <c r="DT199" i="3"/>
  <c r="DS199" i="3"/>
  <c r="CV199" i="3"/>
  <c r="DQ199" i="3"/>
  <c r="FL199" i="3"/>
  <c r="FK199" i="3"/>
  <c r="CT199" i="3"/>
  <c r="CW199" i="3"/>
  <c r="FI199" i="3"/>
  <c r="FJ199" i="3"/>
  <c r="CU199" i="3"/>
  <c r="EB197" i="3"/>
  <c r="EL197" i="3"/>
  <c r="EM197" i="3"/>
  <c r="EN197" i="3"/>
  <c r="EO197" i="3"/>
  <c r="DT197" i="3"/>
  <c r="DS197" i="3"/>
  <c r="CW197" i="3"/>
  <c r="DR197" i="3"/>
  <c r="CU197" i="3"/>
  <c r="CV197" i="3"/>
  <c r="FK197" i="3"/>
  <c r="FI197" i="3"/>
  <c r="DQ197" i="3"/>
  <c r="FL197" i="3"/>
  <c r="FJ197" i="3"/>
  <c r="CT197" i="3"/>
  <c r="EB215" i="3"/>
  <c r="EL215" i="3"/>
  <c r="EM215" i="3"/>
  <c r="EN215" i="3"/>
  <c r="EO215" i="3"/>
  <c r="DT215" i="3"/>
  <c r="DS215" i="3"/>
  <c r="DQ215" i="3"/>
  <c r="DR215" i="3"/>
  <c r="CT215" i="3"/>
  <c r="CW215" i="3"/>
  <c r="FK215" i="3"/>
  <c r="CU215" i="3"/>
  <c r="CV215" i="3"/>
  <c r="FJ215" i="3"/>
  <c r="FL215" i="3"/>
  <c r="FI215" i="3"/>
  <c r="EB164" i="3"/>
  <c r="EL164" i="3"/>
  <c r="EM164" i="3"/>
  <c r="EN164" i="3"/>
  <c r="EO164" i="3"/>
  <c r="DT164" i="3"/>
  <c r="DR164" i="3"/>
  <c r="DQ164" i="3"/>
  <c r="DS164" i="3"/>
  <c r="CV164" i="3"/>
  <c r="FL164" i="3"/>
  <c r="FK164" i="3"/>
  <c r="CT164" i="3"/>
  <c r="CW164" i="3"/>
  <c r="FJ164" i="3"/>
  <c r="FI164" i="3"/>
  <c r="CU164" i="3"/>
  <c r="EB178" i="3"/>
  <c r="EL178" i="3"/>
  <c r="EM178" i="3"/>
  <c r="EN178" i="3"/>
  <c r="EO178" i="3"/>
  <c r="DR178" i="3"/>
  <c r="DS178" i="3"/>
  <c r="DT178" i="3"/>
  <c r="CU178" i="3"/>
  <c r="DQ178" i="3"/>
  <c r="CT178" i="3"/>
  <c r="CV178" i="3"/>
  <c r="FK178" i="3"/>
  <c r="CW178" i="3"/>
  <c r="FJ178" i="3"/>
  <c r="FI178" i="3"/>
  <c r="FL178" i="3"/>
  <c r="EB168" i="3"/>
  <c r="EL168" i="3"/>
  <c r="EM168" i="3"/>
  <c r="EO168" i="3"/>
  <c r="DQ168" i="3"/>
  <c r="DS168" i="3"/>
  <c r="CW168" i="3"/>
  <c r="DT168" i="3"/>
  <c r="EN168" i="3"/>
  <c r="CT168" i="3"/>
  <c r="DR168" i="3"/>
  <c r="CU168" i="3"/>
  <c r="CV168" i="3"/>
  <c r="FK168" i="3"/>
  <c r="FI168" i="3"/>
  <c r="FL168" i="3"/>
  <c r="FJ168" i="3"/>
  <c r="EB206" i="3"/>
  <c r="EL206" i="3"/>
  <c r="EM206" i="3"/>
  <c r="EN206" i="3"/>
  <c r="EO206" i="3"/>
  <c r="DT206" i="3"/>
  <c r="DQ206" i="3"/>
  <c r="DR206" i="3"/>
  <c r="CT206" i="3"/>
  <c r="CV206" i="3"/>
  <c r="DS206" i="3"/>
  <c r="CU206" i="3"/>
  <c r="FL206" i="3"/>
  <c r="FK206" i="3"/>
  <c r="CW206" i="3"/>
  <c r="FJ206" i="3"/>
  <c r="FI206" i="3"/>
  <c r="EB182" i="3"/>
  <c r="EL182" i="3"/>
  <c r="EM182" i="3"/>
  <c r="EN182" i="3"/>
  <c r="EO182" i="3"/>
  <c r="DT182" i="3"/>
  <c r="DQ182" i="3"/>
  <c r="DR182" i="3"/>
  <c r="CU182" i="3"/>
  <c r="CV182" i="3"/>
  <c r="CW182" i="3"/>
  <c r="DS182" i="3"/>
  <c r="FL182" i="3"/>
  <c r="CT182" i="3"/>
  <c r="FK182" i="3"/>
  <c r="FJ182" i="3"/>
  <c r="FI182" i="3"/>
  <c r="EB229" i="3"/>
  <c r="EL229" i="3"/>
  <c r="EM229" i="3"/>
  <c r="EN229" i="3"/>
  <c r="EO229" i="3"/>
  <c r="DR229" i="3"/>
  <c r="DQ229" i="3"/>
  <c r="DS229" i="3"/>
  <c r="DT229" i="3"/>
  <c r="CT229" i="3"/>
  <c r="CV229" i="3"/>
  <c r="FL229" i="3"/>
  <c r="FK229" i="3"/>
  <c r="CU229" i="3"/>
  <c r="CW229" i="3"/>
  <c r="FJ229" i="3"/>
  <c r="FI229" i="3"/>
  <c r="EB224" i="3"/>
  <c r="EM224" i="3"/>
  <c r="EN224" i="3"/>
  <c r="EO224" i="3"/>
  <c r="DQ224" i="3"/>
  <c r="EL224" i="3"/>
  <c r="DS224" i="3"/>
  <c r="DT224" i="3"/>
  <c r="CT224" i="3"/>
  <c r="CW224" i="3"/>
  <c r="DR224" i="3"/>
  <c r="CU224" i="3"/>
  <c r="FL224" i="3"/>
  <c r="FJ224" i="3"/>
  <c r="FK224" i="3"/>
  <c r="CV224" i="3"/>
  <c r="FI224" i="3"/>
  <c r="EB195" i="3"/>
  <c r="EL195" i="3"/>
  <c r="EM195" i="3"/>
  <c r="EO195" i="3"/>
  <c r="DQ195" i="3"/>
  <c r="EN195" i="3"/>
  <c r="DT195" i="3"/>
  <c r="DR195" i="3"/>
  <c r="CW195" i="3"/>
  <c r="FK195" i="3"/>
  <c r="CU195" i="3"/>
  <c r="DS195" i="3"/>
  <c r="CV195" i="3"/>
  <c r="FI195" i="3"/>
  <c r="CT195" i="3"/>
  <c r="FL195" i="3"/>
  <c r="FJ195" i="3"/>
  <c r="EB231" i="3"/>
  <c r="EL231" i="3"/>
  <c r="EM231" i="3"/>
  <c r="EO231" i="3"/>
  <c r="DQ231" i="3"/>
  <c r="DR231" i="3"/>
  <c r="DS231" i="3"/>
  <c r="EN231" i="3"/>
  <c r="CW231" i="3"/>
  <c r="DT231" i="3"/>
  <c r="FK231" i="3"/>
  <c r="CU231" i="3"/>
  <c r="CV231" i="3"/>
  <c r="FI231" i="3"/>
  <c r="CT231" i="3"/>
  <c r="FJ231" i="3"/>
  <c r="FL231" i="3"/>
  <c r="EB158" i="3"/>
  <c r="EL158" i="3"/>
  <c r="EM158" i="3"/>
  <c r="EN158" i="3"/>
  <c r="EO158" i="3"/>
  <c r="DT158" i="3"/>
  <c r="DQ158" i="3"/>
  <c r="DR158" i="3"/>
  <c r="DS158" i="3"/>
  <c r="CU158" i="3"/>
  <c r="FK158" i="3"/>
  <c r="CT158" i="3"/>
  <c r="CV158" i="3"/>
  <c r="FL158" i="3"/>
  <c r="CW158" i="3"/>
  <c r="FJ158" i="3"/>
  <c r="FI158" i="3"/>
  <c r="EB226" i="3"/>
  <c r="EL226" i="3"/>
  <c r="EM226" i="3"/>
  <c r="EN226" i="3"/>
  <c r="EO226" i="3"/>
  <c r="DR226" i="3"/>
  <c r="DT226" i="3"/>
  <c r="DQ226" i="3"/>
  <c r="DS226" i="3"/>
  <c r="CU226" i="3"/>
  <c r="CT226" i="3"/>
  <c r="CW226" i="3"/>
  <c r="FK226" i="3"/>
  <c r="FJ226" i="3"/>
  <c r="FI226" i="3"/>
  <c r="FL226" i="3"/>
  <c r="CV226" i="3"/>
  <c r="EB236" i="3"/>
  <c r="EM236" i="3"/>
  <c r="EN236" i="3"/>
  <c r="EO236" i="3"/>
  <c r="DR236" i="3"/>
  <c r="DS236" i="3"/>
  <c r="DT236" i="3"/>
  <c r="EL236" i="3"/>
  <c r="DQ236" i="3"/>
  <c r="CW236" i="3"/>
  <c r="CU236" i="3"/>
  <c r="FL236" i="3"/>
  <c r="CV236" i="3"/>
  <c r="FK236" i="3"/>
  <c r="FJ236" i="3"/>
  <c r="FI236" i="3"/>
  <c r="CT236" i="3"/>
  <c r="EB248" i="3"/>
  <c r="EM248" i="3"/>
  <c r="EN248" i="3"/>
  <c r="EO248" i="3"/>
  <c r="EL248" i="3"/>
  <c r="DQ248" i="3"/>
  <c r="DR248" i="3"/>
  <c r="DT248" i="3"/>
  <c r="DS248" i="3"/>
  <c r="CW248" i="3"/>
  <c r="CV248" i="3"/>
  <c r="FK248" i="3"/>
  <c r="CT248" i="3"/>
  <c r="FJ248" i="3"/>
  <c r="CU248" i="3"/>
  <c r="FI248" i="3"/>
  <c r="FL248" i="3"/>
  <c r="EB179" i="3"/>
  <c r="EL179" i="3"/>
  <c r="EM179" i="3"/>
  <c r="EN179" i="3"/>
  <c r="EO179" i="3"/>
  <c r="DT179" i="3"/>
  <c r="DS179" i="3"/>
  <c r="DR179" i="3"/>
  <c r="CT179" i="3"/>
  <c r="CW179" i="3"/>
  <c r="FK179" i="3"/>
  <c r="DQ179" i="3"/>
  <c r="CU179" i="3"/>
  <c r="FI179" i="3"/>
  <c r="FJ179" i="3"/>
  <c r="CV179" i="3"/>
  <c r="FL179" i="3"/>
  <c r="EB166" i="3"/>
  <c r="EL166" i="3"/>
  <c r="EM166" i="3"/>
  <c r="EN166" i="3"/>
  <c r="EO166" i="3"/>
  <c r="DR166" i="3"/>
  <c r="DQ166" i="3"/>
  <c r="DS166" i="3"/>
  <c r="CT166" i="3"/>
  <c r="CV166" i="3"/>
  <c r="CW166" i="3"/>
  <c r="FK166" i="3"/>
  <c r="DT166" i="3"/>
  <c r="FJ166" i="3"/>
  <c r="FL166" i="3"/>
  <c r="FI166" i="3"/>
  <c r="CU166" i="3"/>
  <c r="EB193" i="3"/>
  <c r="EL193" i="3"/>
  <c r="EM193" i="3"/>
  <c r="EN193" i="3"/>
  <c r="EO193" i="3"/>
  <c r="DR193" i="3"/>
  <c r="DQ193" i="3"/>
  <c r="DS193" i="3"/>
  <c r="DT193" i="3"/>
  <c r="CT193" i="3"/>
  <c r="CV193" i="3"/>
  <c r="FL193" i="3"/>
  <c r="CU193" i="3"/>
  <c r="CW193" i="3"/>
  <c r="FJ193" i="3"/>
  <c r="FK193" i="3"/>
  <c r="FI193" i="3"/>
  <c r="EB202" i="3"/>
  <c r="EL202" i="3"/>
  <c r="EM202" i="3"/>
  <c r="EN202" i="3"/>
  <c r="EO202" i="3"/>
  <c r="DR202" i="3"/>
  <c r="DS202" i="3"/>
  <c r="DT202" i="3"/>
  <c r="DQ202" i="3"/>
  <c r="CT202" i="3"/>
  <c r="CW202" i="3"/>
  <c r="FK202" i="3"/>
  <c r="CU202" i="3"/>
  <c r="CV202" i="3"/>
  <c r="FL202" i="3"/>
  <c r="FJ202" i="3"/>
  <c r="FI202" i="3"/>
  <c r="EB172" i="3"/>
  <c r="EL172" i="3"/>
  <c r="EM172" i="3"/>
  <c r="EN172" i="3"/>
  <c r="EO172" i="3"/>
  <c r="DR172" i="3"/>
  <c r="DS172" i="3"/>
  <c r="DQ172" i="3"/>
  <c r="DT172" i="3"/>
  <c r="CV172" i="3"/>
  <c r="CT172" i="3"/>
  <c r="CW172" i="3"/>
  <c r="FL172" i="3"/>
  <c r="FI172" i="3"/>
  <c r="CU172" i="3"/>
  <c r="FK172" i="3"/>
  <c r="FJ172" i="3"/>
  <c r="EB219" i="3"/>
  <c r="EL219" i="3"/>
  <c r="EM219" i="3"/>
  <c r="EO219" i="3"/>
  <c r="DQ219" i="3"/>
  <c r="DT219" i="3"/>
  <c r="DR219" i="3"/>
  <c r="DS219" i="3"/>
  <c r="CW219" i="3"/>
  <c r="FK219" i="3"/>
  <c r="EN219" i="3"/>
  <c r="CT219" i="3"/>
  <c r="CV219" i="3"/>
  <c r="CU219" i="3"/>
  <c r="FI219" i="3"/>
  <c r="FL219" i="3"/>
  <c r="FJ219" i="3"/>
  <c r="EB221" i="3"/>
  <c r="EL221" i="3"/>
  <c r="EM221" i="3"/>
  <c r="EN221" i="3"/>
  <c r="EO221" i="3"/>
  <c r="DS221" i="3"/>
  <c r="DQ221" i="3"/>
  <c r="DT221" i="3"/>
  <c r="CV221" i="3"/>
  <c r="CT221" i="3"/>
  <c r="CW221" i="3"/>
  <c r="DR221" i="3"/>
  <c r="FL221" i="3"/>
  <c r="FK221" i="3"/>
  <c r="FI221" i="3"/>
  <c r="CU221" i="3"/>
  <c r="FJ221" i="3"/>
  <c r="EB241" i="3"/>
  <c r="EL241" i="3"/>
  <c r="DR241" i="3"/>
  <c r="DT241" i="3"/>
  <c r="DS241" i="3"/>
  <c r="EM241" i="3"/>
  <c r="EN241" i="3"/>
  <c r="DQ241" i="3"/>
  <c r="EO241" i="3"/>
  <c r="CU241" i="3"/>
  <c r="CW241" i="3"/>
  <c r="CT241" i="3"/>
  <c r="CV241" i="3"/>
  <c r="FL241" i="3"/>
  <c r="FK241" i="3"/>
  <c r="FJ241" i="3"/>
  <c r="FI241" i="3"/>
  <c r="EB220" i="3"/>
  <c r="EL220" i="3"/>
  <c r="EM220" i="3"/>
  <c r="EN220" i="3"/>
  <c r="EO220" i="3"/>
  <c r="DR220" i="3"/>
  <c r="DS220" i="3"/>
  <c r="DQ220" i="3"/>
  <c r="DT220" i="3"/>
  <c r="CW220" i="3"/>
  <c r="FL220" i="3"/>
  <c r="FK220" i="3"/>
  <c r="CU220" i="3"/>
  <c r="FI220" i="3"/>
  <c r="FJ220" i="3"/>
  <c r="CT220" i="3"/>
  <c r="CV220" i="3"/>
  <c r="EB167" i="3"/>
  <c r="EL167" i="3"/>
  <c r="EM167" i="3"/>
  <c r="EN167" i="3"/>
  <c r="EO167" i="3"/>
  <c r="DT167" i="3"/>
  <c r="DS167" i="3"/>
  <c r="DQ167" i="3"/>
  <c r="DR167" i="3"/>
  <c r="CT167" i="3"/>
  <c r="CV167" i="3"/>
  <c r="CW167" i="3"/>
  <c r="FJ167" i="3"/>
  <c r="FL167" i="3"/>
  <c r="FK167" i="3"/>
  <c r="FI167" i="3"/>
  <c r="CU167" i="3"/>
  <c r="EB175" i="3"/>
  <c r="EL175" i="3"/>
  <c r="EM175" i="3"/>
  <c r="EN175" i="3"/>
  <c r="EO175" i="3"/>
  <c r="DR175" i="3"/>
  <c r="DT175" i="3"/>
  <c r="DS175" i="3"/>
  <c r="DQ175" i="3"/>
  <c r="CT175" i="3"/>
  <c r="CW175" i="3"/>
  <c r="CU175" i="3"/>
  <c r="FL175" i="3"/>
  <c r="CV175" i="3"/>
  <c r="FI175" i="3"/>
  <c r="FJ175" i="3"/>
  <c r="FK175" i="3"/>
  <c r="EB198" i="3"/>
  <c r="EL198" i="3"/>
  <c r="EM198" i="3"/>
  <c r="EO198" i="3"/>
  <c r="DQ198" i="3"/>
  <c r="DT198" i="3"/>
  <c r="CW198" i="3"/>
  <c r="EN198" i="3"/>
  <c r="DR198" i="3"/>
  <c r="CV198" i="3"/>
  <c r="FK198" i="3"/>
  <c r="CT198" i="3"/>
  <c r="CU198" i="3"/>
  <c r="FL198" i="3"/>
  <c r="DS198" i="3"/>
  <c r="FI198" i="3"/>
  <c r="FJ198" i="3"/>
  <c r="EB216" i="3"/>
  <c r="EL216" i="3"/>
  <c r="EM216" i="3"/>
  <c r="EO216" i="3"/>
  <c r="EN216" i="3"/>
  <c r="DQ216" i="3"/>
  <c r="DS216" i="3"/>
  <c r="CW216" i="3"/>
  <c r="FK216" i="3"/>
  <c r="DT216" i="3"/>
  <c r="CU216" i="3"/>
  <c r="CT216" i="3"/>
  <c r="FL216" i="3"/>
  <c r="DR216" i="3"/>
  <c r="CV216" i="3"/>
  <c r="FJ216" i="3"/>
  <c r="FI216" i="3"/>
  <c r="EB211" i="3"/>
  <c r="EL211" i="3"/>
  <c r="EM211" i="3"/>
  <c r="EN211" i="3"/>
  <c r="EO211" i="3"/>
  <c r="DR211" i="3"/>
  <c r="DT211" i="3"/>
  <c r="DQ211" i="3"/>
  <c r="CT211" i="3"/>
  <c r="CW211" i="3"/>
  <c r="DS211" i="3"/>
  <c r="CU211" i="3"/>
  <c r="FL211" i="3"/>
  <c r="FK211" i="3"/>
  <c r="FI211" i="3"/>
  <c r="FJ211" i="3"/>
  <c r="CV211" i="3"/>
  <c r="EB233" i="3"/>
  <c r="EM233" i="3"/>
  <c r="EN233" i="3"/>
  <c r="EO233" i="3"/>
  <c r="EL233" i="3"/>
  <c r="DQ233" i="3"/>
  <c r="DR233" i="3"/>
  <c r="DS233" i="3"/>
  <c r="DT233" i="3"/>
  <c r="CW233" i="3"/>
  <c r="CT233" i="3"/>
  <c r="CU233" i="3"/>
  <c r="FK233" i="3"/>
  <c r="FI233" i="3"/>
  <c r="FJ233" i="3"/>
  <c r="CV233" i="3"/>
  <c r="FL233" i="3"/>
  <c r="EB201" i="3"/>
  <c r="EL201" i="3"/>
  <c r="EM201" i="3"/>
  <c r="EO201" i="3"/>
  <c r="DQ201" i="3"/>
  <c r="DR201" i="3"/>
  <c r="DS201" i="3"/>
  <c r="CW201" i="3"/>
  <c r="DT201" i="3"/>
  <c r="CT201" i="3"/>
  <c r="FK201" i="3"/>
  <c r="EN201" i="3"/>
  <c r="CU201" i="3"/>
  <c r="FJ201" i="3"/>
  <c r="CV201" i="3"/>
  <c r="FL201" i="3"/>
  <c r="FI201" i="3"/>
  <c r="CV160" i="3"/>
  <c r="FJ259" i="3"/>
  <c r="EB254" i="3"/>
  <c r="EM254" i="3"/>
  <c r="EN254" i="3"/>
  <c r="EO254" i="3"/>
  <c r="EL254" i="3"/>
  <c r="DS254" i="3"/>
  <c r="DT254" i="3"/>
  <c r="CW254" i="3"/>
  <c r="DQ254" i="3"/>
  <c r="DR254" i="3"/>
  <c r="CT254" i="3"/>
  <c r="CU254" i="3"/>
  <c r="CV254" i="3"/>
  <c r="FL254" i="3"/>
  <c r="FJ254" i="3"/>
  <c r="FK254" i="3"/>
  <c r="FI254" i="3"/>
  <c r="EB180" i="3"/>
  <c r="EL180" i="3"/>
  <c r="EM180" i="3"/>
  <c r="EO180" i="3"/>
  <c r="EN180" i="3"/>
  <c r="DQ180" i="3"/>
  <c r="DS180" i="3"/>
  <c r="DT180" i="3"/>
  <c r="CW180" i="3"/>
  <c r="DR180" i="3"/>
  <c r="FK180" i="3"/>
  <c r="CU180" i="3"/>
  <c r="CT180" i="3"/>
  <c r="FI180" i="3"/>
  <c r="FJ180" i="3"/>
  <c r="CV180" i="3"/>
  <c r="FL180" i="3"/>
  <c r="EB240" i="3"/>
  <c r="EL240" i="3"/>
  <c r="EO240" i="3"/>
  <c r="EM240" i="3"/>
  <c r="EN240" i="3"/>
  <c r="DQ240" i="3"/>
  <c r="DS240" i="3"/>
  <c r="DT240" i="3"/>
  <c r="DR240" i="3"/>
  <c r="CV240" i="3"/>
  <c r="FK240" i="3"/>
  <c r="CT240" i="3"/>
  <c r="CW240" i="3"/>
  <c r="FL240" i="3"/>
  <c r="FI240" i="3"/>
  <c r="FJ240" i="3"/>
  <c r="CU240" i="3"/>
  <c r="EB163" i="3"/>
  <c r="EL163" i="3"/>
  <c r="EM163" i="3"/>
  <c r="EN163" i="3"/>
  <c r="EO163" i="3"/>
  <c r="DR163" i="3"/>
  <c r="DT163" i="3"/>
  <c r="DQ163" i="3"/>
  <c r="CT163" i="3"/>
  <c r="CV163" i="3"/>
  <c r="DS163" i="3"/>
  <c r="CU163" i="3"/>
  <c r="CW163" i="3"/>
  <c r="FL163" i="3"/>
  <c r="FI163" i="3"/>
  <c r="FK163" i="3"/>
  <c r="FJ163" i="3"/>
  <c r="EB194" i="3"/>
  <c r="EL194" i="3"/>
  <c r="EM194" i="3"/>
  <c r="EN194" i="3"/>
  <c r="EO194" i="3"/>
  <c r="DT194" i="3"/>
  <c r="DQ194" i="3"/>
  <c r="DS194" i="3"/>
  <c r="DR194" i="3"/>
  <c r="CV194" i="3"/>
  <c r="CT194" i="3"/>
  <c r="CW194" i="3"/>
  <c r="FL194" i="3"/>
  <c r="FJ194" i="3"/>
  <c r="CU194" i="3"/>
  <c r="FK194" i="3"/>
  <c r="FI194" i="3"/>
  <c r="EB213" i="3"/>
  <c r="EL213" i="3"/>
  <c r="EM213" i="3"/>
  <c r="EO213" i="3"/>
  <c r="EN213" i="3"/>
  <c r="DQ213" i="3"/>
  <c r="DS213" i="3"/>
  <c r="CW213" i="3"/>
  <c r="DT213" i="3"/>
  <c r="FK213" i="3"/>
  <c r="CT213" i="3"/>
  <c r="DR213" i="3"/>
  <c r="CU213" i="3"/>
  <c r="FL213" i="3"/>
  <c r="CV213" i="3"/>
  <c r="FJ213" i="3"/>
  <c r="FI213" i="3"/>
  <c r="EB208" i="3"/>
  <c r="EL208" i="3"/>
  <c r="EM208" i="3"/>
  <c r="EN208" i="3"/>
  <c r="EO208" i="3"/>
  <c r="DR208" i="3"/>
  <c r="DS208" i="3"/>
  <c r="DT208" i="3"/>
  <c r="DQ208" i="3"/>
  <c r="CV208" i="3"/>
  <c r="FK208" i="3"/>
  <c r="CT208" i="3"/>
  <c r="CU208" i="3"/>
  <c r="CW208" i="3"/>
  <c r="FJ208" i="3"/>
  <c r="FI208" i="3"/>
  <c r="FL208" i="3"/>
  <c r="EB228" i="3"/>
  <c r="EL228" i="3"/>
  <c r="EM228" i="3"/>
  <c r="EO228" i="3"/>
  <c r="DQ228" i="3"/>
  <c r="EN228" i="3"/>
  <c r="DR228" i="3"/>
  <c r="DT228" i="3"/>
  <c r="DS228" i="3"/>
  <c r="CW228" i="3"/>
  <c r="CT228" i="3"/>
  <c r="FK228" i="3"/>
  <c r="FL228" i="3"/>
  <c r="CU228" i="3"/>
  <c r="FJ228" i="3"/>
  <c r="FI228" i="3"/>
  <c r="CV228" i="3"/>
  <c r="EB203" i="3"/>
  <c r="EL203" i="3"/>
  <c r="EM203" i="3"/>
  <c r="EN203" i="3"/>
  <c r="EO203" i="3"/>
  <c r="DT203" i="3"/>
  <c r="DS203" i="3"/>
  <c r="DR203" i="3"/>
  <c r="DQ203" i="3"/>
  <c r="CU203" i="3"/>
  <c r="CT203" i="3"/>
  <c r="CV203" i="3"/>
  <c r="CW203" i="3"/>
  <c r="FK203" i="3"/>
  <c r="FL203" i="3"/>
  <c r="FI203" i="3"/>
  <c r="FJ203" i="3"/>
  <c r="EB205" i="3"/>
  <c r="EL205" i="3"/>
  <c r="EM205" i="3"/>
  <c r="EN205" i="3"/>
  <c r="EO205" i="3"/>
  <c r="DR205" i="3"/>
  <c r="DQ205" i="3"/>
  <c r="DT205" i="3"/>
  <c r="CU205" i="3"/>
  <c r="DS205" i="3"/>
  <c r="FL205" i="3"/>
  <c r="CV205" i="3"/>
  <c r="CT205" i="3"/>
  <c r="CW205" i="3"/>
  <c r="FJ205" i="3"/>
  <c r="FK205" i="3"/>
  <c r="FI205" i="3"/>
  <c r="EB223" i="3"/>
  <c r="EL223" i="3"/>
  <c r="EM223" i="3"/>
  <c r="EN223" i="3"/>
  <c r="EO223" i="3"/>
  <c r="DR223" i="3"/>
  <c r="DS223" i="3"/>
  <c r="DQ223" i="3"/>
  <c r="DT223" i="3"/>
  <c r="CT223" i="3"/>
  <c r="FL223" i="3"/>
  <c r="CU223" i="3"/>
  <c r="CV223" i="3"/>
  <c r="FK223" i="3"/>
  <c r="FI223" i="3"/>
  <c r="CW223" i="3"/>
  <c r="FJ223" i="3"/>
  <c r="EB257" i="3"/>
  <c r="EM257" i="3"/>
  <c r="EN257" i="3"/>
  <c r="EO257" i="3"/>
  <c r="EL257" i="3"/>
  <c r="DQ257" i="3"/>
  <c r="DR257" i="3"/>
  <c r="DT257" i="3"/>
  <c r="DS257" i="3"/>
  <c r="CW257" i="3"/>
  <c r="CU257" i="3"/>
  <c r="CV257" i="3"/>
  <c r="FL257" i="3"/>
  <c r="FK257" i="3"/>
  <c r="FJ257" i="3"/>
  <c r="CT257" i="3"/>
  <c r="FI257" i="3"/>
  <c r="EB176" i="3"/>
  <c r="EL176" i="3"/>
  <c r="EM176" i="3"/>
  <c r="EN176" i="3"/>
  <c r="EO176" i="3"/>
  <c r="DT176" i="3"/>
  <c r="DR176" i="3"/>
  <c r="DQ176" i="3"/>
  <c r="DS176" i="3"/>
  <c r="CV176" i="3"/>
  <c r="CW176" i="3"/>
  <c r="FL176" i="3"/>
  <c r="CT176" i="3"/>
  <c r="FJ176" i="3"/>
  <c r="CU176" i="3"/>
  <c r="FI176" i="3"/>
  <c r="FK176" i="3"/>
  <c r="EB253" i="3"/>
  <c r="EO253" i="3"/>
  <c r="DR253" i="3"/>
  <c r="DT253" i="3"/>
  <c r="EL253" i="3"/>
  <c r="DQ253" i="3"/>
  <c r="EM253" i="3"/>
  <c r="FL253" i="3"/>
  <c r="CU253" i="3"/>
  <c r="EN253" i="3"/>
  <c r="FK253" i="3"/>
  <c r="DS253" i="3"/>
  <c r="CV253" i="3"/>
  <c r="CW253" i="3"/>
  <c r="FJ253" i="3"/>
  <c r="FI253" i="3"/>
  <c r="CT253" i="3"/>
  <c r="EB247" i="3"/>
  <c r="EM247" i="3"/>
  <c r="DR247" i="3"/>
  <c r="DT247" i="3"/>
  <c r="DQ247" i="3"/>
  <c r="EL247" i="3"/>
  <c r="EO247" i="3"/>
  <c r="FL247" i="3"/>
  <c r="CU247" i="3"/>
  <c r="EN247" i="3"/>
  <c r="DS247" i="3"/>
  <c r="CV247" i="3"/>
  <c r="FK247" i="3"/>
  <c r="CT247" i="3"/>
  <c r="CW247" i="3"/>
  <c r="FI247" i="3"/>
  <c r="FJ247" i="3"/>
  <c r="EB192" i="3"/>
  <c r="EL192" i="3"/>
  <c r="EM192" i="3"/>
  <c r="EO192" i="3"/>
  <c r="DQ192" i="3"/>
  <c r="DS192" i="3"/>
  <c r="EN192" i="3"/>
  <c r="CW192" i="3"/>
  <c r="DR192" i="3"/>
  <c r="DT192" i="3"/>
  <c r="CT192" i="3"/>
  <c r="FK192" i="3"/>
  <c r="CU192" i="3"/>
  <c r="CV192" i="3"/>
  <c r="FL192" i="3"/>
  <c r="FJ192" i="3"/>
  <c r="FI192" i="3"/>
  <c r="EB238" i="3"/>
  <c r="EL238" i="3"/>
  <c r="DR238" i="3"/>
  <c r="DS238" i="3"/>
  <c r="EM238" i="3"/>
  <c r="EN238" i="3"/>
  <c r="EO238" i="3"/>
  <c r="DQ238" i="3"/>
  <c r="CU238" i="3"/>
  <c r="CW238" i="3"/>
  <c r="FK238" i="3"/>
  <c r="DT238" i="3"/>
  <c r="CV238" i="3"/>
  <c r="FJ238" i="3"/>
  <c r="FL238" i="3"/>
  <c r="CT238" i="3"/>
  <c r="FI238" i="3"/>
  <c r="EB157" i="3"/>
  <c r="EL157" i="3"/>
  <c r="EM157" i="3"/>
  <c r="EN157" i="3"/>
  <c r="EO157" i="3"/>
  <c r="DR157" i="3"/>
  <c r="DQ157" i="3"/>
  <c r="DT157" i="3"/>
  <c r="CT157" i="3"/>
  <c r="DS157" i="3"/>
  <c r="CV157" i="3"/>
  <c r="CU157" i="3"/>
  <c r="CW157" i="3"/>
  <c r="FL157" i="3"/>
  <c r="FK157" i="3"/>
  <c r="FJ157" i="3"/>
  <c r="FI157" i="3"/>
  <c r="EB174" i="3"/>
  <c r="EL174" i="3"/>
  <c r="EM174" i="3"/>
  <c r="EO174" i="3"/>
  <c r="DQ174" i="3"/>
  <c r="EN174" i="3"/>
  <c r="DT174" i="3"/>
  <c r="CW174" i="3"/>
  <c r="DR174" i="3"/>
  <c r="DS174" i="3"/>
  <c r="CT174" i="3"/>
  <c r="CU174" i="3"/>
  <c r="FL174" i="3"/>
  <c r="CV174" i="3"/>
  <c r="FI174" i="3"/>
  <c r="FJ174" i="3"/>
  <c r="FK174" i="3"/>
  <c r="EB177" i="3"/>
  <c r="EL177" i="3"/>
  <c r="EM177" i="3"/>
  <c r="EO177" i="3"/>
  <c r="EN177" i="3"/>
  <c r="DQ177" i="3"/>
  <c r="DR177" i="3"/>
  <c r="DS177" i="3"/>
  <c r="CW177" i="3"/>
  <c r="FK177" i="3"/>
  <c r="DT177" i="3"/>
  <c r="CT177" i="3"/>
  <c r="CV177" i="3"/>
  <c r="FL177" i="3"/>
  <c r="FJ177" i="3"/>
  <c r="CU177" i="3"/>
  <c r="FI177" i="3"/>
  <c r="EB234" i="3"/>
  <c r="EL234" i="3"/>
  <c r="EO234" i="3"/>
  <c r="EM234" i="3"/>
  <c r="EN234" i="3"/>
  <c r="DQ234" i="3"/>
  <c r="DR234" i="3"/>
  <c r="DT234" i="3"/>
  <c r="DS234" i="3"/>
  <c r="CV234" i="3"/>
  <c r="FK234" i="3"/>
  <c r="FL234" i="3"/>
  <c r="CT234" i="3"/>
  <c r="CW234" i="3"/>
  <c r="FI234" i="3"/>
  <c r="CU234" i="3"/>
  <c r="FJ234" i="3"/>
  <c r="EB200" i="3"/>
  <c r="EL200" i="3"/>
  <c r="EM200" i="3"/>
  <c r="EN200" i="3"/>
  <c r="EO200" i="3"/>
  <c r="DT200" i="3"/>
  <c r="DR200" i="3"/>
  <c r="DQ200" i="3"/>
  <c r="DS200" i="3"/>
  <c r="CT200" i="3"/>
  <c r="FL200" i="3"/>
  <c r="FK200" i="3"/>
  <c r="CV200" i="3"/>
  <c r="CU200" i="3"/>
  <c r="FJ200" i="3"/>
  <c r="CW200" i="3"/>
  <c r="FI200" i="3"/>
  <c r="EB260" i="3"/>
  <c r="EM260" i="3"/>
  <c r="EN260" i="3"/>
  <c r="EO260" i="3"/>
  <c r="EL260" i="3"/>
  <c r="DQ260" i="3"/>
  <c r="DR260" i="3"/>
  <c r="CW260" i="3"/>
  <c r="CV260" i="3"/>
  <c r="FK260" i="3"/>
  <c r="DS260" i="3"/>
  <c r="DT260" i="3"/>
  <c r="CT260" i="3"/>
  <c r="FJ260" i="3"/>
  <c r="CU260" i="3"/>
  <c r="FI260" i="3"/>
  <c r="FL260" i="3"/>
  <c r="EB246" i="3"/>
  <c r="EO246" i="3"/>
  <c r="EL246" i="3"/>
  <c r="EM246" i="3"/>
  <c r="EN246" i="3"/>
  <c r="DQ246" i="3"/>
  <c r="DS246" i="3"/>
  <c r="DR246" i="3"/>
  <c r="DT246" i="3"/>
  <c r="CV246" i="3"/>
  <c r="FK246" i="3"/>
  <c r="CT246" i="3"/>
  <c r="CU246" i="3"/>
  <c r="CW246" i="3"/>
  <c r="FL246" i="3"/>
  <c r="FI246" i="3"/>
  <c r="FJ246" i="3"/>
  <c r="EW208" i="3"/>
  <c r="EY208" i="3"/>
  <c r="EZ208" i="3"/>
  <c r="EP208" i="3"/>
  <c r="FB208" i="3"/>
  <c r="EQ208" i="3"/>
  <c r="FC208" i="3"/>
  <c r="ER208" i="3"/>
  <c r="FD208" i="3"/>
  <c r="ES208" i="3"/>
  <c r="EV208" i="3"/>
  <c r="ET208" i="3"/>
  <c r="FA208" i="3"/>
  <c r="EU208" i="3"/>
  <c r="EX208" i="3"/>
  <c r="ER167" i="3"/>
  <c r="FD167" i="3"/>
  <c r="ES167" i="3"/>
  <c r="ET167" i="3"/>
  <c r="EU167" i="3"/>
  <c r="EV167" i="3"/>
  <c r="EW167" i="3"/>
  <c r="EX167" i="3"/>
  <c r="EY167" i="3"/>
  <c r="EZ167" i="3"/>
  <c r="EQ167" i="3"/>
  <c r="FC167" i="3"/>
  <c r="EP167" i="3"/>
  <c r="FA167" i="3"/>
  <c r="FB167" i="3"/>
  <c r="FA175" i="3"/>
  <c r="EP175" i="3"/>
  <c r="FB175" i="3"/>
  <c r="ER175" i="3"/>
  <c r="FD175" i="3"/>
  <c r="ES175" i="3"/>
  <c r="ET175" i="3"/>
  <c r="EU175" i="3"/>
  <c r="EV175" i="3"/>
  <c r="EY175" i="3"/>
  <c r="EX175" i="3"/>
  <c r="EZ175" i="3"/>
  <c r="FC175" i="3"/>
  <c r="EW175" i="3"/>
  <c r="EQ175" i="3"/>
  <c r="ES198" i="3"/>
  <c r="EU198" i="3"/>
  <c r="EV198" i="3"/>
  <c r="EX198" i="3"/>
  <c r="EY198" i="3"/>
  <c r="EZ198" i="3"/>
  <c r="FA198" i="3"/>
  <c r="ER198" i="3"/>
  <c r="FD198" i="3"/>
  <c r="EP198" i="3"/>
  <c r="EQ198" i="3"/>
  <c r="ET198" i="3"/>
  <c r="EW198" i="3"/>
  <c r="FB198" i="3"/>
  <c r="FC198" i="3"/>
  <c r="ER253" i="3"/>
  <c r="FD253" i="3"/>
  <c r="ES253" i="3"/>
  <c r="ET253" i="3"/>
  <c r="EW253" i="3"/>
  <c r="EQ253" i="3"/>
  <c r="EV253" i="3"/>
  <c r="EX253" i="3"/>
  <c r="EY253" i="3"/>
  <c r="FA253" i="3"/>
  <c r="EZ253" i="3"/>
  <c r="FC253" i="3"/>
  <c r="EU253" i="3"/>
  <c r="FB253" i="3"/>
  <c r="EP253" i="3"/>
  <c r="EV245" i="3"/>
  <c r="EW245" i="3"/>
  <c r="EX245" i="3"/>
  <c r="FA245" i="3"/>
  <c r="EP245" i="3"/>
  <c r="EQ245" i="3"/>
  <c r="ER245" i="3"/>
  <c r="ES245" i="3"/>
  <c r="ET245" i="3"/>
  <c r="EU245" i="3"/>
  <c r="EZ245" i="3"/>
  <c r="EY245" i="3"/>
  <c r="FC245" i="3"/>
  <c r="FD245" i="3"/>
  <c r="FB245" i="3"/>
  <c r="FA197" i="3"/>
  <c r="EQ197" i="3"/>
  <c r="FC197" i="3"/>
  <c r="ER197" i="3"/>
  <c r="FD197" i="3"/>
  <c r="ET197" i="3"/>
  <c r="EU197" i="3"/>
  <c r="EV197" i="3"/>
  <c r="EW197" i="3"/>
  <c r="EZ197" i="3"/>
  <c r="EP197" i="3"/>
  <c r="ES197" i="3"/>
  <c r="EX197" i="3"/>
  <c r="EY197" i="3"/>
  <c r="FB197" i="3"/>
  <c r="EV254" i="3"/>
  <c r="EW254" i="3"/>
  <c r="EX254" i="3"/>
  <c r="FA254" i="3"/>
  <c r="FD254" i="3"/>
  <c r="EQ254" i="3"/>
  <c r="ES254" i="3"/>
  <c r="ET254" i="3"/>
  <c r="EU254" i="3"/>
  <c r="EY254" i="3"/>
  <c r="EZ254" i="3"/>
  <c r="FC254" i="3"/>
  <c r="ER254" i="3"/>
  <c r="FB254" i="3"/>
  <c r="EP254" i="3"/>
  <c r="EV236" i="3"/>
  <c r="EW236" i="3"/>
  <c r="EX236" i="3"/>
  <c r="FA236" i="3"/>
  <c r="EP236" i="3"/>
  <c r="EQ236" i="3"/>
  <c r="ER236" i="3"/>
  <c r="ES236" i="3"/>
  <c r="ET236" i="3"/>
  <c r="EU236" i="3"/>
  <c r="EZ236" i="3"/>
  <c r="FB236" i="3"/>
  <c r="EY236" i="3"/>
  <c r="FC236" i="3"/>
  <c r="FD236" i="3"/>
  <c r="ES176" i="3"/>
  <c r="ET176" i="3"/>
  <c r="EV176" i="3"/>
  <c r="EW176" i="3"/>
  <c r="EX176" i="3"/>
  <c r="EY176" i="3"/>
  <c r="EZ176" i="3"/>
  <c r="EQ176" i="3"/>
  <c r="FC176" i="3"/>
  <c r="EP176" i="3"/>
  <c r="ER176" i="3"/>
  <c r="EU176" i="3"/>
  <c r="FA176" i="3"/>
  <c r="FB176" i="3"/>
  <c r="FD176" i="3"/>
  <c r="EZ163" i="3"/>
  <c r="FA163" i="3"/>
  <c r="EP163" i="3"/>
  <c r="FB163" i="3"/>
  <c r="EQ163" i="3"/>
  <c r="FC163" i="3"/>
  <c r="ER163" i="3"/>
  <c r="FD163" i="3"/>
  <c r="ES163" i="3"/>
  <c r="ET163" i="3"/>
  <c r="EU163" i="3"/>
  <c r="EV163" i="3"/>
  <c r="EY163" i="3"/>
  <c r="EW163" i="3"/>
  <c r="EX163" i="3"/>
  <c r="EV242" i="3"/>
  <c r="EW242" i="3"/>
  <c r="EX242" i="3"/>
  <c r="FA242" i="3"/>
  <c r="ER242" i="3"/>
  <c r="ES242" i="3"/>
  <c r="ET242" i="3"/>
  <c r="EU242" i="3"/>
  <c r="EY242" i="3"/>
  <c r="EZ242" i="3"/>
  <c r="FB242" i="3"/>
  <c r="FC242" i="3"/>
  <c r="FD242" i="3"/>
  <c r="EQ242" i="3"/>
  <c r="EP242" i="3"/>
  <c r="ES189" i="3"/>
  <c r="ET189" i="3"/>
  <c r="EU189" i="3"/>
  <c r="EV189" i="3"/>
  <c r="EW189" i="3"/>
  <c r="EX189" i="3"/>
  <c r="EY189" i="3"/>
  <c r="EZ189" i="3"/>
  <c r="FA189" i="3"/>
  <c r="ER189" i="3"/>
  <c r="FD189" i="3"/>
  <c r="EP189" i="3"/>
  <c r="EQ189" i="3"/>
  <c r="FB189" i="3"/>
  <c r="FC189" i="3"/>
  <c r="EW177" i="3"/>
  <c r="EX177" i="3"/>
  <c r="EZ177" i="3"/>
  <c r="FA177" i="3"/>
  <c r="EP177" i="3"/>
  <c r="FB177" i="3"/>
  <c r="EQ177" i="3"/>
  <c r="FC177" i="3"/>
  <c r="ER177" i="3"/>
  <c r="FD177" i="3"/>
  <c r="EU177" i="3"/>
  <c r="ET177" i="3"/>
  <c r="EV177" i="3"/>
  <c r="EY177" i="3"/>
  <c r="ES177" i="3"/>
  <c r="ER238" i="3"/>
  <c r="FD238" i="3"/>
  <c r="ES238" i="3"/>
  <c r="ET238" i="3"/>
  <c r="EW238" i="3"/>
  <c r="EZ238" i="3"/>
  <c r="FA238" i="3"/>
  <c r="FB238" i="3"/>
  <c r="FC238" i="3"/>
  <c r="EP238" i="3"/>
  <c r="EQ238" i="3"/>
  <c r="EX238" i="3"/>
  <c r="EU238" i="3"/>
  <c r="EV238" i="3"/>
  <c r="EY238" i="3"/>
  <c r="EZ157" i="3"/>
  <c r="FA157" i="3"/>
  <c r="EP157" i="3"/>
  <c r="FB157" i="3"/>
  <c r="EQ157" i="3"/>
  <c r="FC157" i="3"/>
  <c r="ER157" i="3"/>
  <c r="FD157" i="3"/>
  <c r="ES157" i="3"/>
  <c r="ET157" i="3"/>
  <c r="EU157" i="3"/>
  <c r="EV157" i="3"/>
  <c r="EY157" i="3"/>
  <c r="EW157" i="3"/>
  <c r="EX157" i="3"/>
  <c r="ER247" i="3"/>
  <c r="FD247" i="3"/>
  <c r="ES247" i="3"/>
  <c r="ET247" i="3"/>
  <c r="EW247" i="3"/>
  <c r="FA247" i="3"/>
  <c r="FB247" i="3"/>
  <c r="FC247" i="3"/>
  <c r="EP247" i="3"/>
  <c r="EQ247" i="3"/>
  <c r="EV247" i="3"/>
  <c r="EU247" i="3"/>
  <c r="EY247" i="3"/>
  <c r="EZ247" i="3"/>
  <c r="EX247" i="3"/>
  <c r="EZ240" i="3"/>
  <c r="FA240" i="3"/>
  <c r="EP240" i="3"/>
  <c r="FB240" i="3"/>
  <c r="ES240" i="3"/>
  <c r="EV240" i="3"/>
  <c r="EW240" i="3"/>
  <c r="EX240" i="3"/>
  <c r="EY240" i="3"/>
  <c r="FC240" i="3"/>
  <c r="FD240" i="3"/>
  <c r="EQ240" i="3"/>
  <c r="ER240" i="3"/>
  <c r="EU240" i="3"/>
  <c r="ET240" i="3"/>
  <c r="EV239" i="3"/>
  <c r="EW239" i="3"/>
  <c r="EX239" i="3"/>
  <c r="FA239" i="3"/>
  <c r="EZ239" i="3"/>
  <c r="FB239" i="3"/>
  <c r="FC239" i="3"/>
  <c r="FD239" i="3"/>
  <c r="EP239" i="3"/>
  <c r="EQ239" i="3"/>
  <c r="ES239" i="3"/>
  <c r="ER239" i="3"/>
  <c r="EU239" i="3"/>
  <c r="EY239" i="3"/>
  <c r="ET239" i="3"/>
  <c r="EQ215" i="3"/>
  <c r="FC215" i="3"/>
  <c r="ET215" i="3"/>
  <c r="EU215" i="3"/>
  <c r="EV215" i="3"/>
  <c r="EW215" i="3"/>
  <c r="EZ215" i="3"/>
  <c r="EP215" i="3"/>
  <c r="ER215" i="3"/>
  <c r="EY215" i="3"/>
  <c r="EX215" i="3"/>
  <c r="FA215" i="3"/>
  <c r="ES215" i="3"/>
  <c r="FB215" i="3"/>
  <c r="FD215" i="3"/>
  <c r="EZ252" i="3"/>
  <c r="FA252" i="3"/>
  <c r="EP252" i="3"/>
  <c r="FB252" i="3"/>
  <c r="ES252" i="3"/>
  <c r="EQ252" i="3"/>
  <c r="ER252" i="3"/>
  <c r="EU252" i="3"/>
  <c r="EW252" i="3"/>
  <c r="EX252" i="3"/>
  <c r="EY252" i="3"/>
  <c r="FC252" i="3"/>
  <c r="FD252" i="3"/>
  <c r="EV252" i="3"/>
  <c r="ET252" i="3"/>
  <c r="FA194" i="3"/>
  <c r="EQ194" i="3"/>
  <c r="FC194" i="3"/>
  <c r="ER194" i="3"/>
  <c r="FD194" i="3"/>
  <c r="ET194" i="3"/>
  <c r="EU194" i="3"/>
  <c r="EV194" i="3"/>
  <c r="EW194" i="3"/>
  <c r="EZ194" i="3"/>
  <c r="ES194" i="3"/>
  <c r="FB194" i="3"/>
  <c r="EP194" i="3"/>
  <c r="EX194" i="3"/>
  <c r="EY194" i="3"/>
  <c r="ES192" i="3"/>
  <c r="ET192" i="3"/>
  <c r="EU192" i="3"/>
  <c r="EV192" i="3"/>
  <c r="EW192" i="3"/>
  <c r="EX192" i="3"/>
  <c r="EY192" i="3"/>
  <c r="EZ192" i="3"/>
  <c r="FA192" i="3"/>
  <c r="ER192" i="3"/>
  <c r="FD192" i="3"/>
  <c r="EQ192" i="3"/>
  <c r="EP192" i="3"/>
  <c r="FB192" i="3"/>
  <c r="FC192" i="3"/>
  <c r="ER161" i="3"/>
  <c r="FD161" i="3"/>
  <c r="ES161" i="3"/>
  <c r="ET161" i="3"/>
  <c r="EU161" i="3"/>
  <c r="EV161" i="3"/>
  <c r="EW161" i="3"/>
  <c r="EX161" i="3"/>
  <c r="EY161" i="3"/>
  <c r="EZ161" i="3"/>
  <c r="EQ161" i="3"/>
  <c r="FC161" i="3"/>
  <c r="EP161" i="3"/>
  <c r="FA161" i="3"/>
  <c r="FB161" i="3"/>
  <c r="EZ234" i="3"/>
  <c r="FA234" i="3"/>
  <c r="EP234" i="3"/>
  <c r="FB234" i="3"/>
  <c r="ES234" i="3"/>
  <c r="ER234" i="3"/>
  <c r="ET234" i="3"/>
  <c r="EU234" i="3"/>
  <c r="EV234" i="3"/>
  <c r="EW234" i="3"/>
  <c r="EX234" i="3"/>
  <c r="EY234" i="3"/>
  <c r="FD234" i="3"/>
  <c r="FC234" i="3"/>
  <c r="EQ234" i="3"/>
  <c r="EW186" i="3"/>
  <c r="EX186" i="3"/>
  <c r="EZ186" i="3"/>
  <c r="FA186" i="3"/>
  <c r="EP186" i="3"/>
  <c r="FB186" i="3"/>
  <c r="EQ186" i="3"/>
  <c r="FC186" i="3"/>
  <c r="ER186" i="3"/>
  <c r="FD186" i="3"/>
  <c r="EU186" i="3"/>
  <c r="ET186" i="3"/>
  <c r="EV186" i="3"/>
  <c r="EY186" i="3"/>
  <c r="ES186" i="3"/>
  <c r="ER235" i="3"/>
  <c r="FD235" i="3"/>
  <c r="ES235" i="3"/>
  <c r="ET235" i="3"/>
  <c r="EW235" i="3"/>
  <c r="EP235" i="3"/>
  <c r="EQ235" i="3"/>
  <c r="EU235" i="3"/>
  <c r="EV235" i="3"/>
  <c r="EX235" i="3"/>
  <c r="EY235" i="3"/>
  <c r="EZ235" i="3"/>
  <c r="FA235" i="3"/>
  <c r="FB235" i="3"/>
  <c r="FC235" i="3"/>
  <c r="EZ237" i="3"/>
  <c r="FA237" i="3"/>
  <c r="EP237" i="3"/>
  <c r="FB237" i="3"/>
  <c r="ES237" i="3"/>
  <c r="FD237" i="3"/>
  <c r="EQ237" i="3"/>
  <c r="ER237" i="3"/>
  <c r="ET237" i="3"/>
  <c r="EW237" i="3"/>
  <c r="EU237" i="3"/>
  <c r="EV237" i="3"/>
  <c r="EX237" i="3"/>
  <c r="EY237" i="3"/>
  <c r="FC237" i="3"/>
  <c r="EY217" i="3"/>
  <c r="EP217" i="3"/>
  <c r="FB217" i="3"/>
  <c r="EQ217" i="3"/>
  <c r="FC217" i="3"/>
  <c r="ER217" i="3"/>
  <c r="FD217" i="3"/>
  <c r="ES217" i="3"/>
  <c r="EV217" i="3"/>
  <c r="EW217" i="3"/>
  <c r="EX217" i="3"/>
  <c r="EZ217" i="3"/>
  <c r="ET217" i="3"/>
  <c r="EU217" i="3"/>
  <c r="FA217" i="3"/>
  <c r="ES204" i="3"/>
  <c r="EU204" i="3"/>
  <c r="EV204" i="3"/>
  <c r="EX204" i="3"/>
  <c r="EY204" i="3"/>
  <c r="EZ204" i="3"/>
  <c r="FA204" i="3"/>
  <c r="ER204" i="3"/>
  <c r="FD204" i="3"/>
  <c r="ET204" i="3"/>
  <c r="EW204" i="3"/>
  <c r="FB204" i="3"/>
  <c r="EP204" i="3"/>
  <c r="EQ204" i="3"/>
  <c r="FC204" i="3"/>
  <c r="EW196" i="3"/>
  <c r="EY196" i="3"/>
  <c r="EZ196" i="3"/>
  <c r="EP196" i="3"/>
  <c r="FB196" i="3"/>
  <c r="EQ196" i="3"/>
  <c r="FC196" i="3"/>
  <c r="ER196" i="3"/>
  <c r="FD196" i="3"/>
  <c r="ES196" i="3"/>
  <c r="EV196" i="3"/>
  <c r="ET196" i="3"/>
  <c r="EU196" i="3"/>
  <c r="EX196" i="3"/>
  <c r="FA196" i="3"/>
  <c r="EZ243" i="3"/>
  <c r="FA243" i="3"/>
  <c r="EP243" i="3"/>
  <c r="FB243" i="3"/>
  <c r="ES243" i="3"/>
  <c r="ER243" i="3"/>
  <c r="ET243" i="3"/>
  <c r="EU243" i="3"/>
  <c r="EV243" i="3"/>
  <c r="EW243" i="3"/>
  <c r="EX243" i="3"/>
  <c r="FD243" i="3"/>
  <c r="EY243" i="3"/>
  <c r="FC243" i="3"/>
  <c r="EQ243" i="3"/>
  <c r="EV174" i="3"/>
  <c r="EW174" i="3"/>
  <c r="EX174" i="3"/>
  <c r="EZ174" i="3"/>
  <c r="FA174" i="3"/>
  <c r="EP174" i="3"/>
  <c r="FB174" i="3"/>
  <c r="EQ174" i="3"/>
  <c r="FC174" i="3"/>
  <c r="ER174" i="3"/>
  <c r="FD174" i="3"/>
  <c r="EU174" i="3"/>
  <c r="ES174" i="3"/>
  <c r="ET174" i="3"/>
  <c r="EY174" i="3"/>
  <c r="ES188" i="3"/>
  <c r="ET188" i="3"/>
  <c r="EV188" i="3"/>
  <c r="EW188" i="3"/>
  <c r="EX188" i="3"/>
  <c r="EY188" i="3"/>
  <c r="EZ188" i="3"/>
  <c r="EQ188" i="3"/>
  <c r="FC188" i="3"/>
  <c r="EP188" i="3"/>
  <c r="ER188" i="3"/>
  <c r="EU188" i="3"/>
  <c r="FA188" i="3"/>
  <c r="FB188" i="3"/>
  <c r="FD188" i="3"/>
  <c r="EX259" i="3"/>
  <c r="EV230" i="3"/>
  <c r="EW230" i="3"/>
  <c r="EX230" i="3"/>
  <c r="FA230" i="3"/>
  <c r="EZ230" i="3"/>
  <c r="FB230" i="3"/>
  <c r="FC230" i="3"/>
  <c r="FD230" i="3"/>
  <c r="EP230" i="3"/>
  <c r="ET230" i="3"/>
  <c r="EQ230" i="3"/>
  <c r="ES230" i="3"/>
  <c r="ER230" i="3"/>
  <c r="EU230" i="3"/>
  <c r="EY230" i="3"/>
  <c r="ER232" i="3"/>
  <c r="FD232" i="3"/>
  <c r="ES232" i="3"/>
  <c r="ET232" i="3"/>
  <c r="EW232" i="3"/>
  <c r="EV232" i="3"/>
  <c r="EX232" i="3"/>
  <c r="EY232" i="3"/>
  <c r="EZ232" i="3"/>
  <c r="FA232" i="3"/>
  <c r="FB232" i="3"/>
  <c r="FC232" i="3"/>
  <c r="EP232" i="3"/>
  <c r="EQ232" i="3"/>
  <c r="EU232" i="3"/>
  <c r="EQ227" i="3"/>
  <c r="FC227" i="3"/>
  <c r="ET227" i="3"/>
  <c r="EU227" i="3"/>
  <c r="EV227" i="3"/>
  <c r="EW227" i="3"/>
  <c r="EZ227" i="3"/>
  <c r="EP227" i="3"/>
  <c r="ER227" i="3"/>
  <c r="EY227" i="3"/>
  <c r="ES227" i="3"/>
  <c r="EX227" i="3"/>
  <c r="FA227" i="3"/>
  <c r="FB227" i="3"/>
  <c r="FD227" i="3"/>
  <c r="ES207" i="3"/>
  <c r="EU207" i="3"/>
  <c r="EV207" i="3"/>
  <c r="EX207" i="3"/>
  <c r="EY207" i="3"/>
  <c r="EZ207" i="3"/>
  <c r="FA207" i="3"/>
  <c r="ER207" i="3"/>
  <c r="FD207" i="3"/>
  <c r="EP207" i="3"/>
  <c r="EW207" i="3"/>
  <c r="FB207" i="3"/>
  <c r="EQ207" i="3"/>
  <c r="ET207" i="3"/>
  <c r="FC207" i="3"/>
  <c r="EW199" i="3"/>
  <c r="EY199" i="3"/>
  <c r="EZ199" i="3"/>
  <c r="EP199" i="3"/>
  <c r="FB199" i="3"/>
  <c r="EQ199" i="3"/>
  <c r="FC199" i="3"/>
  <c r="ER199" i="3"/>
  <c r="FD199" i="3"/>
  <c r="ES199" i="3"/>
  <c r="EV199" i="3"/>
  <c r="ET199" i="3"/>
  <c r="FA199" i="3"/>
  <c r="EX199" i="3"/>
  <c r="EU199" i="3"/>
  <c r="ER158" i="3"/>
  <c r="FD158" i="3"/>
  <c r="ES158" i="3"/>
  <c r="ET158" i="3"/>
  <c r="EU158" i="3"/>
  <c r="EV158" i="3"/>
  <c r="EW158" i="3"/>
  <c r="EX158" i="3"/>
  <c r="EY158" i="3"/>
  <c r="EZ158" i="3"/>
  <c r="EQ158" i="3"/>
  <c r="FC158" i="3"/>
  <c r="EP158" i="3"/>
  <c r="FA158" i="3"/>
  <c r="FB158" i="3"/>
  <c r="FA209" i="3"/>
  <c r="EQ209" i="3"/>
  <c r="FC209" i="3"/>
  <c r="ER209" i="3"/>
  <c r="FD209" i="3"/>
  <c r="ET209" i="3"/>
  <c r="EU209" i="3"/>
  <c r="EV209" i="3"/>
  <c r="EW209" i="3"/>
  <c r="EZ209" i="3"/>
  <c r="FB209" i="3"/>
  <c r="EP209" i="3"/>
  <c r="ES209" i="3"/>
  <c r="EX209" i="3"/>
  <c r="EY209" i="3"/>
  <c r="FA178" i="3"/>
  <c r="EP178" i="3"/>
  <c r="FB178" i="3"/>
  <c r="ER178" i="3"/>
  <c r="FD178" i="3"/>
  <c r="ES178" i="3"/>
  <c r="ET178" i="3"/>
  <c r="EU178" i="3"/>
  <c r="EV178" i="3"/>
  <c r="EY178" i="3"/>
  <c r="EQ178" i="3"/>
  <c r="EW178" i="3"/>
  <c r="EX178" i="3"/>
  <c r="EZ178" i="3"/>
  <c r="FC178" i="3"/>
  <c r="EZ255" i="3"/>
  <c r="FA255" i="3"/>
  <c r="EP255" i="3"/>
  <c r="FB255" i="3"/>
  <c r="ES255" i="3"/>
  <c r="FD255" i="3"/>
  <c r="ER255" i="3"/>
  <c r="ET255" i="3"/>
  <c r="EU255" i="3"/>
  <c r="EW255" i="3"/>
  <c r="EV255" i="3"/>
  <c r="EY255" i="3"/>
  <c r="FC255" i="3"/>
  <c r="EX255" i="3"/>
  <c r="EQ255" i="3"/>
  <c r="EY226" i="3"/>
  <c r="EP226" i="3"/>
  <c r="FB226" i="3"/>
  <c r="EQ226" i="3"/>
  <c r="FC226" i="3"/>
  <c r="ER226" i="3"/>
  <c r="FD226" i="3"/>
  <c r="ES226" i="3"/>
  <c r="EV226" i="3"/>
  <c r="EU226" i="3"/>
  <c r="FA226" i="3"/>
  <c r="EW226" i="3"/>
  <c r="ET226" i="3"/>
  <c r="EX226" i="3"/>
  <c r="EZ226" i="3"/>
  <c r="ES182" i="3"/>
  <c r="ET182" i="3"/>
  <c r="EV182" i="3"/>
  <c r="EW182" i="3"/>
  <c r="EX182" i="3"/>
  <c r="EY182" i="3"/>
  <c r="EZ182" i="3"/>
  <c r="EQ182" i="3"/>
  <c r="FC182" i="3"/>
  <c r="FB182" i="3"/>
  <c r="FD182" i="3"/>
  <c r="EP182" i="3"/>
  <c r="FA182" i="3"/>
  <c r="ER182" i="3"/>
  <c r="EU182" i="3"/>
  <c r="ER229" i="3"/>
  <c r="FD229" i="3"/>
  <c r="ES229" i="3"/>
  <c r="ET229" i="3"/>
  <c r="EW229" i="3"/>
  <c r="EZ229" i="3"/>
  <c r="FA229" i="3"/>
  <c r="FB229" i="3"/>
  <c r="FC229" i="3"/>
  <c r="EP229" i="3"/>
  <c r="EQ229" i="3"/>
  <c r="EX229" i="3"/>
  <c r="EU229" i="3"/>
  <c r="EV229" i="3"/>
  <c r="EY229" i="3"/>
  <c r="EQ224" i="3"/>
  <c r="FC224" i="3"/>
  <c r="ET224" i="3"/>
  <c r="EU224" i="3"/>
  <c r="EV224" i="3"/>
  <c r="EW224" i="3"/>
  <c r="EZ224" i="3"/>
  <c r="FA224" i="3"/>
  <c r="FB224" i="3"/>
  <c r="FD224" i="3"/>
  <c r="EP224" i="3"/>
  <c r="ES224" i="3"/>
  <c r="ER224" i="3"/>
  <c r="EX224" i="3"/>
  <c r="EY224" i="3"/>
  <c r="ES195" i="3"/>
  <c r="EU195" i="3"/>
  <c r="EV195" i="3"/>
  <c r="EX195" i="3"/>
  <c r="EY195" i="3"/>
  <c r="EZ195" i="3"/>
  <c r="FA195" i="3"/>
  <c r="ER195" i="3"/>
  <c r="FD195" i="3"/>
  <c r="ET195" i="3"/>
  <c r="EW195" i="3"/>
  <c r="FB195" i="3"/>
  <c r="EP195" i="3"/>
  <c r="EQ195" i="3"/>
  <c r="FC195" i="3"/>
  <c r="EZ231" i="3"/>
  <c r="FA231" i="3"/>
  <c r="EP231" i="3"/>
  <c r="FB231" i="3"/>
  <c r="ES231" i="3"/>
  <c r="EW231" i="3"/>
  <c r="EX231" i="3"/>
  <c r="EY231" i="3"/>
  <c r="FC231" i="3"/>
  <c r="FD231" i="3"/>
  <c r="ER231" i="3"/>
  <c r="EQ231" i="3"/>
  <c r="ET231" i="3"/>
  <c r="EU231" i="3"/>
  <c r="EV231" i="3"/>
  <c r="EW180" i="3"/>
  <c r="EX180" i="3"/>
  <c r="EZ180" i="3"/>
  <c r="FA180" i="3"/>
  <c r="EP180" i="3"/>
  <c r="FB180" i="3"/>
  <c r="EQ180" i="3"/>
  <c r="FC180" i="3"/>
  <c r="ER180" i="3"/>
  <c r="FD180" i="3"/>
  <c r="EU180" i="3"/>
  <c r="ES180" i="3"/>
  <c r="ET180" i="3"/>
  <c r="EV180" i="3"/>
  <c r="EY180" i="3"/>
  <c r="EV165" i="3"/>
  <c r="EW165" i="3"/>
  <c r="EX165" i="3"/>
  <c r="EY165" i="3"/>
  <c r="EZ165" i="3"/>
  <c r="FA165" i="3"/>
  <c r="EP165" i="3"/>
  <c r="FB165" i="3"/>
  <c r="EQ165" i="3"/>
  <c r="FC165" i="3"/>
  <c r="ER165" i="3"/>
  <c r="FD165" i="3"/>
  <c r="EU165" i="3"/>
  <c r="ES165" i="3"/>
  <c r="ET165" i="3"/>
  <c r="EZ249" i="3"/>
  <c r="FA249" i="3"/>
  <c r="EP249" i="3"/>
  <c r="FB249" i="3"/>
  <c r="ES249" i="3"/>
  <c r="EW249" i="3"/>
  <c r="EX249" i="3"/>
  <c r="EY249" i="3"/>
  <c r="FD249" i="3"/>
  <c r="ER249" i="3"/>
  <c r="EQ249" i="3"/>
  <c r="EU249" i="3"/>
  <c r="EV249" i="3"/>
  <c r="FC249" i="3"/>
  <c r="ET249" i="3"/>
  <c r="EZ166" i="3"/>
  <c r="FA166" i="3"/>
  <c r="EP166" i="3"/>
  <c r="FB166" i="3"/>
  <c r="EQ166" i="3"/>
  <c r="FC166" i="3"/>
  <c r="ER166" i="3"/>
  <c r="FD166" i="3"/>
  <c r="ES166" i="3"/>
  <c r="ET166" i="3"/>
  <c r="EU166" i="3"/>
  <c r="EV166" i="3"/>
  <c r="EY166" i="3"/>
  <c r="EX166" i="3"/>
  <c r="EW166" i="3"/>
  <c r="EV248" i="3"/>
  <c r="EW248" i="3"/>
  <c r="EX248" i="3"/>
  <c r="FA248" i="3"/>
  <c r="EZ248" i="3"/>
  <c r="FC248" i="3"/>
  <c r="FD248" i="3"/>
  <c r="EP248" i="3"/>
  <c r="EQ248" i="3"/>
  <c r="ER248" i="3"/>
  <c r="ES248" i="3"/>
  <c r="EU248" i="3"/>
  <c r="EY248" i="3"/>
  <c r="ET248" i="3"/>
  <c r="FB248" i="3"/>
  <c r="EU222" i="3"/>
  <c r="EX222" i="3"/>
  <c r="EY222" i="3"/>
  <c r="EZ222" i="3"/>
  <c r="FA222" i="3"/>
  <c r="ER222" i="3"/>
  <c r="FD222" i="3"/>
  <c r="ES222" i="3"/>
  <c r="ET222" i="3"/>
  <c r="EV222" i="3"/>
  <c r="FC222" i="3"/>
  <c r="EP222" i="3"/>
  <c r="FB222" i="3"/>
  <c r="EQ222" i="3"/>
  <c r="EW222" i="3"/>
  <c r="EZ172" i="3"/>
  <c r="FA172" i="3"/>
  <c r="EP172" i="3"/>
  <c r="FB172" i="3"/>
  <c r="ER172" i="3"/>
  <c r="FD172" i="3"/>
  <c r="ES172" i="3"/>
  <c r="ET172" i="3"/>
  <c r="EU172" i="3"/>
  <c r="EV172" i="3"/>
  <c r="EY172" i="3"/>
  <c r="EQ172" i="3"/>
  <c r="EW172" i="3"/>
  <c r="EX172" i="3"/>
  <c r="FC172" i="3"/>
  <c r="EU219" i="3"/>
  <c r="EX219" i="3"/>
  <c r="EY219" i="3"/>
  <c r="EZ219" i="3"/>
  <c r="FA219" i="3"/>
  <c r="ER219" i="3"/>
  <c r="FD219" i="3"/>
  <c r="EQ219" i="3"/>
  <c r="EW219" i="3"/>
  <c r="FB219" i="3"/>
  <c r="FC219" i="3"/>
  <c r="EP219" i="3"/>
  <c r="ES219" i="3"/>
  <c r="ET219" i="3"/>
  <c r="EV219" i="3"/>
  <c r="EQ221" i="3"/>
  <c r="FC221" i="3"/>
  <c r="ET221" i="3"/>
  <c r="EU221" i="3"/>
  <c r="EV221" i="3"/>
  <c r="EW221" i="3"/>
  <c r="EZ221" i="3"/>
  <c r="EP221" i="3"/>
  <c r="ER221" i="3"/>
  <c r="EY221" i="3"/>
  <c r="EX221" i="3"/>
  <c r="FA221" i="3"/>
  <c r="FB221" i="3"/>
  <c r="FD221" i="3"/>
  <c r="ES221" i="3"/>
  <c r="ER241" i="3"/>
  <c r="FD241" i="3"/>
  <c r="ES241" i="3"/>
  <c r="ET241" i="3"/>
  <c r="EW241" i="3"/>
  <c r="EV241" i="3"/>
  <c r="EX241" i="3"/>
  <c r="EY241" i="3"/>
  <c r="EZ241" i="3"/>
  <c r="FA241" i="3"/>
  <c r="FB241" i="3"/>
  <c r="FC241" i="3"/>
  <c r="EQ241" i="3"/>
  <c r="EU241" i="3"/>
  <c r="EP241" i="3"/>
  <c r="EY220" i="3"/>
  <c r="EP220" i="3"/>
  <c r="FB220" i="3"/>
  <c r="EQ220" i="3"/>
  <c r="FC220" i="3"/>
  <c r="ER220" i="3"/>
  <c r="FD220" i="3"/>
  <c r="ES220" i="3"/>
  <c r="EV220" i="3"/>
  <c r="EU220" i="3"/>
  <c r="ET220" i="3"/>
  <c r="EW220" i="3"/>
  <c r="EX220" i="3"/>
  <c r="EZ220" i="3"/>
  <c r="FA220" i="3"/>
  <c r="ER250" i="3"/>
  <c r="FD250" i="3"/>
  <c r="ES250" i="3"/>
  <c r="ET250" i="3"/>
  <c r="EW250" i="3"/>
  <c r="EU250" i="3"/>
  <c r="EV250" i="3"/>
  <c r="EX250" i="3"/>
  <c r="EY250" i="3"/>
  <c r="EZ250" i="3"/>
  <c r="FA250" i="3"/>
  <c r="FB250" i="3"/>
  <c r="FC250" i="3"/>
  <c r="EQ250" i="3"/>
  <c r="EP250" i="3"/>
  <c r="ER244" i="3"/>
  <c r="FD244" i="3"/>
  <c r="ES244" i="3"/>
  <c r="ET244" i="3"/>
  <c r="EW244" i="3"/>
  <c r="EP244" i="3"/>
  <c r="EQ244" i="3"/>
  <c r="EU244" i="3"/>
  <c r="EV244" i="3"/>
  <c r="EX244" i="3"/>
  <c r="EY244" i="3"/>
  <c r="EZ244" i="3"/>
  <c r="FA244" i="3"/>
  <c r="FC244" i="3"/>
  <c r="FB244" i="3"/>
  <c r="EQ218" i="3"/>
  <c r="FC218" i="3"/>
  <c r="ET218" i="3"/>
  <c r="EU218" i="3"/>
  <c r="EV218" i="3"/>
  <c r="EW218" i="3"/>
  <c r="EZ218" i="3"/>
  <c r="FA218" i="3"/>
  <c r="FB218" i="3"/>
  <c r="FD218" i="3"/>
  <c r="EP218" i="3"/>
  <c r="ER218" i="3"/>
  <c r="ES218" i="3"/>
  <c r="EX218" i="3"/>
  <c r="EY218" i="3"/>
  <c r="EU216" i="3"/>
  <c r="EX216" i="3"/>
  <c r="EY216" i="3"/>
  <c r="EZ216" i="3"/>
  <c r="FA216" i="3"/>
  <c r="ER216" i="3"/>
  <c r="FD216" i="3"/>
  <c r="ES216" i="3"/>
  <c r="ET216" i="3"/>
  <c r="EV216" i="3"/>
  <c r="FC216" i="3"/>
  <c r="EP216" i="3"/>
  <c r="EQ216" i="3"/>
  <c r="EW216" i="3"/>
  <c r="FB216" i="3"/>
  <c r="EW211" i="3"/>
  <c r="EY211" i="3"/>
  <c r="EZ211" i="3"/>
  <c r="EP211" i="3"/>
  <c r="FB211" i="3"/>
  <c r="EQ211" i="3"/>
  <c r="FC211" i="3"/>
  <c r="ER211" i="3"/>
  <c r="FD211" i="3"/>
  <c r="ES211" i="3"/>
  <c r="EV211" i="3"/>
  <c r="EX211" i="3"/>
  <c r="FA211" i="3"/>
  <c r="ET211" i="3"/>
  <c r="EU211" i="3"/>
  <c r="EV233" i="3"/>
  <c r="EW233" i="3"/>
  <c r="EX233" i="3"/>
  <c r="FA233" i="3"/>
  <c r="ER233" i="3"/>
  <c r="ES233" i="3"/>
  <c r="ET233" i="3"/>
  <c r="EU233" i="3"/>
  <c r="EY233" i="3"/>
  <c r="EZ233" i="3"/>
  <c r="FB233" i="3"/>
  <c r="FC233" i="3"/>
  <c r="FD233" i="3"/>
  <c r="EP233" i="3"/>
  <c r="EQ233" i="3"/>
  <c r="ES201" i="3"/>
  <c r="EU201" i="3"/>
  <c r="EV201" i="3"/>
  <c r="EX201" i="3"/>
  <c r="EY201" i="3"/>
  <c r="EZ201" i="3"/>
  <c r="FA201" i="3"/>
  <c r="ER201" i="3"/>
  <c r="FD201" i="3"/>
  <c r="EP201" i="3"/>
  <c r="EW201" i="3"/>
  <c r="EQ201" i="3"/>
  <c r="ET201" i="3"/>
  <c r="FB201" i="3"/>
  <c r="FC201" i="3"/>
  <c r="EV251" i="3"/>
  <c r="EW251" i="3"/>
  <c r="EX251" i="3"/>
  <c r="FA251" i="3"/>
  <c r="ES251" i="3"/>
  <c r="ET251" i="3"/>
  <c r="EU251" i="3"/>
  <c r="EZ251" i="3"/>
  <c r="FB251" i="3"/>
  <c r="FC251" i="3"/>
  <c r="FD251" i="3"/>
  <c r="EQ251" i="3"/>
  <c r="ER251" i="3"/>
  <c r="EP251" i="3"/>
  <c r="EY251" i="3"/>
  <c r="EW214" i="3"/>
  <c r="EY214" i="3"/>
  <c r="EP214" i="3"/>
  <c r="FB214" i="3"/>
  <c r="EQ214" i="3"/>
  <c r="FC214" i="3"/>
  <c r="ER214" i="3"/>
  <c r="FD214" i="3"/>
  <c r="ES214" i="3"/>
  <c r="EV214" i="3"/>
  <c r="ET214" i="3"/>
  <c r="EU214" i="3"/>
  <c r="EX214" i="3"/>
  <c r="EZ214" i="3"/>
  <c r="FA214" i="3"/>
  <c r="EU225" i="3"/>
  <c r="EX225" i="3"/>
  <c r="EY225" i="3"/>
  <c r="EZ225" i="3"/>
  <c r="FA225" i="3"/>
  <c r="ER225" i="3"/>
  <c r="FD225" i="3"/>
  <c r="EQ225" i="3"/>
  <c r="EP225" i="3"/>
  <c r="ES225" i="3"/>
  <c r="ET225" i="3"/>
  <c r="EV225" i="3"/>
  <c r="EW225" i="3"/>
  <c r="FB225" i="3"/>
  <c r="FC225" i="3"/>
  <c r="EV168" i="3"/>
  <c r="EW168" i="3"/>
  <c r="EX168" i="3"/>
  <c r="EY168" i="3"/>
  <c r="EZ168" i="3"/>
  <c r="FA168" i="3"/>
  <c r="EP168" i="3"/>
  <c r="FB168" i="3"/>
  <c r="EQ168" i="3"/>
  <c r="FC168" i="3"/>
  <c r="ER168" i="3"/>
  <c r="FD168" i="3"/>
  <c r="EU168" i="3"/>
  <c r="ES168" i="3"/>
  <c r="ET168" i="3"/>
  <c r="ES210" i="3"/>
  <c r="EU210" i="3"/>
  <c r="EV210" i="3"/>
  <c r="EX210" i="3"/>
  <c r="EY210" i="3"/>
  <c r="EZ210" i="3"/>
  <c r="FA210" i="3"/>
  <c r="ER210" i="3"/>
  <c r="FD210" i="3"/>
  <c r="EP210" i="3"/>
  <c r="EW210" i="3"/>
  <c r="FB210" i="3"/>
  <c r="EQ210" i="3"/>
  <c r="ET210" i="3"/>
  <c r="FC210" i="3"/>
  <c r="FA187" i="3"/>
  <c r="EP187" i="3"/>
  <c r="FB187" i="3"/>
  <c r="ER187" i="3"/>
  <c r="FD187" i="3"/>
  <c r="ES187" i="3"/>
  <c r="ET187" i="3"/>
  <c r="EU187" i="3"/>
  <c r="EV187" i="3"/>
  <c r="EY187" i="3"/>
  <c r="EQ187" i="3"/>
  <c r="EW187" i="3"/>
  <c r="EX187" i="3"/>
  <c r="FC187" i="3"/>
  <c r="EZ187" i="3"/>
  <c r="FA203" i="3"/>
  <c r="EQ203" i="3"/>
  <c r="FC203" i="3"/>
  <c r="ER203" i="3"/>
  <c r="FD203" i="3"/>
  <c r="ET203" i="3"/>
  <c r="EU203" i="3"/>
  <c r="EV203" i="3"/>
  <c r="EW203" i="3"/>
  <c r="EZ203" i="3"/>
  <c r="ES203" i="3"/>
  <c r="EP203" i="3"/>
  <c r="EX203" i="3"/>
  <c r="EY203" i="3"/>
  <c r="FB203" i="3"/>
  <c r="EW205" i="3"/>
  <c r="EY205" i="3"/>
  <c r="EZ205" i="3"/>
  <c r="EP205" i="3"/>
  <c r="FB205" i="3"/>
  <c r="EQ205" i="3"/>
  <c r="FC205" i="3"/>
  <c r="ER205" i="3"/>
  <c r="FD205" i="3"/>
  <c r="ES205" i="3"/>
  <c r="EV205" i="3"/>
  <c r="FA205" i="3"/>
  <c r="ET205" i="3"/>
  <c r="EU205" i="3"/>
  <c r="EX205" i="3"/>
  <c r="EY223" i="3"/>
  <c r="EP223" i="3"/>
  <c r="FB223" i="3"/>
  <c r="EQ223" i="3"/>
  <c r="FC223" i="3"/>
  <c r="ER223" i="3"/>
  <c r="FD223" i="3"/>
  <c r="ES223" i="3"/>
  <c r="EV223" i="3"/>
  <c r="EW223" i="3"/>
  <c r="EX223" i="3"/>
  <c r="EZ223" i="3"/>
  <c r="ET223" i="3"/>
  <c r="EU223" i="3"/>
  <c r="FA223" i="3"/>
  <c r="EV257" i="3"/>
  <c r="EW257" i="3"/>
  <c r="EX257" i="3"/>
  <c r="FA257" i="3"/>
  <c r="EY257" i="3"/>
  <c r="EZ257" i="3"/>
  <c r="FC257" i="3"/>
  <c r="EP257" i="3"/>
  <c r="EQ257" i="3"/>
  <c r="ER257" i="3"/>
  <c r="ES257" i="3"/>
  <c r="EU257" i="3"/>
  <c r="FD257" i="3"/>
  <c r="ET257" i="3"/>
  <c r="FB257" i="3"/>
  <c r="ER164" i="3"/>
  <c r="FD164" i="3"/>
  <c r="ES164" i="3"/>
  <c r="ET164" i="3"/>
  <c r="EU164" i="3"/>
  <c r="EV164" i="3"/>
  <c r="EW164" i="3"/>
  <c r="EX164" i="3"/>
  <c r="EY164" i="3"/>
  <c r="EZ164" i="3"/>
  <c r="EQ164" i="3"/>
  <c r="FC164" i="3"/>
  <c r="EP164" i="3"/>
  <c r="FA164" i="3"/>
  <c r="FB164" i="3"/>
  <c r="ER173" i="3"/>
  <c r="FD173" i="3"/>
  <c r="ES173" i="3"/>
  <c r="ET173" i="3"/>
  <c r="EV173" i="3"/>
  <c r="EW173" i="3"/>
  <c r="EX173" i="3"/>
  <c r="EY173" i="3"/>
  <c r="EZ173" i="3"/>
  <c r="EQ173" i="3"/>
  <c r="FC173" i="3"/>
  <c r="EP173" i="3"/>
  <c r="EU173" i="3"/>
  <c r="FA173" i="3"/>
  <c r="FB173" i="3"/>
  <c r="EW193" i="3"/>
  <c r="EY193" i="3"/>
  <c r="EZ193" i="3"/>
  <c r="EP193" i="3"/>
  <c r="FB193" i="3"/>
  <c r="EQ193" i="3"/>
  <c r="FC193" i="3"/>
  <c r="ER193" i="3"/>
  <c r="FD193" i="3"/>
  <c r="ES193" i="3"/>
  <c r="EV193" i="3"/>
  <c r="EX193" i="3"/>
  <c r="FA193" i="3"/>
  <c r="ET193" i="3"/>
  <c r="EU193" i="3"/>
  <c r="FA206" i="3"/>
  <c r="EQ206" i="3"/>
  <c r="FC206" i="3"/>
  <c r="ER206" i="3"/>
  <c r="FD206" i="3"/>
  <c r="ET206" i="3"/>
  <c r="EU206" i="3"/>
  <c r="EV206" i="3"/>
  <c r="EW206" i="3"/>
  <c r="EZ206" i="3"/>
  <c r="EP206" i="3"/>
  <c r="ES206" i="3"/>
  <c r="EX206" i="3"/>
  <c r="EY206" i="3"/>
  <c r="FB206" i="3"/>
  <c r="FA200" i="3"/>
  <c r="EQ200" i="3"/>
  <c r="FC200" i="3"/>
  <c r="ER200" i="3"/>
  <c r="FD200" i="3"/>
  <c r="ET200" i="3"/>
  <c r="EU200" i="3"/>
  <c r="EV200" i="3"/>
  <c r="EW200" i="3"/>
  <c r="EZ200" i="3"/>
  <c r="FB200" i="3"/>
  <c r="ES200" i="3"/>
  <c r="EX200" i="3"/>
  <c r="EY200" i="3"/>
  <c r="EP200" i="3"/>
  <c r="EV260" i="3"/>
  <c r="EW260" i="3"/>
  <c r="EX260" i="3"/>
  <c r="FA260" i="3"/>
  <c r="ES260" i="3"/>
  <c r="EU260" i="3"/>
  <c r="FB260" i="3"/>
  <c r="FC260" i="3"/>
  <c r="FD260" i="3"/>
  <c r="EQ260" i="3"/>
  <c r="ER260" i="3"/>
  <c r="EZ260" i="3"/>
  <c r="ET260" i="3"/>
  <c r="EP260" i="3"/>
  <c r="EY260" i="3"/>
  <c r="EZ246" i="3"/>
  <c r="FA246" i="3"/>
  <c r="EP246" i="3"/>
  <c r="FB246" i="3"/>
  <c r="ES246" i="3"/>
  <c r="FC246" i="3"/>
  <c r="FD246" i="3"/>
  <c r="EQ246" i="3"/>
  <c r="ER246" i="3"/>
  <c r="ET246" i="3"/>
  <c r="EU246" i="3"/>
  <c r="EV246" i="3"/>
  <c r="EW246" i="3"/>
  <c r="EY246" i="3"/>
  <c r="EX246" i="3"/>
  <c r="EW190" i="3"/>
  <c r="EX190" i="3"/>
  <c r="EY190" i="3"/>
  <c r="EZ190" i="3"/>
  <c r="FA190" i="3"/>
  <c r="EP190" i="3"/>
  <c r="FB190" i="3"/>
  <c r="EQ190" i="3"/>
  <c r="FC190" i="3"/>
  <c r="ER190" i="3"/>
  <c r="FD190" i="3"/>
  <c r="ES190" i="3"/>
  <c r="EV190" i="3"/>
  <c r="ET190" i="3"/>
  <c r="EU190" i="3"/>
  <c r="ES213" i="3"/>
  <c r="EU213" i="3"/>
  <c r="EV213" i="3"/>
  <c r="EX213" i="3"/>
  <c r="EY213" i="3"/>
  <c r="EZ213" i="3"/>
  <c r="FA213" i="3"/>
  <c r="ER213" i="3"/>
  <c r="FD213" i="3"/>
  <c r="ET213" i="3"/>
  <c r="EW213" i="3"/>
  <c r="FB213" i="3"/>
  <c r="FC213" i="3"/>
  <c r="EP213" i="3"/>
  <c r="EQ213" i="3"/>
  <c r="EU228" i="3"/>
  <c r="EX228" i="3"/>
  <c r="EY228" i="3"/>
  <c r="EZ228" i="3"/>
  <c r="FA228" i="3"/>
  <c r="ER228" i="3"/>
  <c r="FD228" i="3"/>
  <c r="ES228" i="3"/>
  <c r="ET228" i="3"/>
  <c r="EV228" i="3"/>
  <c r="FC228" i="3"/>
  <c r="FB228" i="3"/>
  <c r="EP228" i="3"/>
  <c r="EQ228" i="3"/>
  <c r="EW228" i="3"/>
  <c r="ES179" i="3"/>
  <c r="ET179" i="3"/>
  <c r="EV179" i="3"/>
  <c r="EW179" i="3"/>
  <c r="EX179" i="3"/>
  <c r="EY179" i="3"/>
  <c r="EZ179" i="3"/>
  <c r="EQ179" i="3"/>
  <c r="FC179" i="3"/>
  <c r="EP179" i="3"/>
  <c r="ER179" i="3"/>
  <c r="EU179" i="3"/>
  <c r="FA179" i="3"/>
  <c r="FB179" i="3"/>
  <c r="FD179" i="3"/>
  <c r="EW202" i="3"/>
  <c r="EY202" i="3"/>
  <c r="EZ202" i="3"/>
  <c r="EP202" i="3"/>
  <c r="FB202" i="3"/>
  <c r="EQ202" i="3"/>
  <c r="FC202" i="3"/>
  <c r="ER202" i="3"/>
  <c r="FD202" i="3"/>
  <c r="ES202" i="3"/>
  <c r="EV202" i="3"/>
  <c r="EX202" i="3"/>
  <c r="FA202" i="3"/>
  <c r="ET202" i="3"/>
  <c r="EU202" i="3"/>
  <c r="EZ169" i="3"/>
  <c r="FA169" i="3"/>
  <c r="EP169" i="3"/>
  <c r="FB169" i="3"/>
  <c r="EQ169" i="3"/>
  <c r="FC169" i="3"/>
  <c r="ER169" i="3"/>
  <c r="FD169" i="3"/>
  <c r="ES169" i="3"/>
  <c r="ET169" i="3"/>
  <c r="EU169" i="3"/>
  <c r="EV169" i="3"/>
  <c r="EY169" i="3"/>
  <c r="EW169" i="3"/>
  <c r="EX169" i="3"/>
  <c r="ER256" i="3"/>
  <c r="FD256" i="3"/>
  <c r="ES256" i="3"/>
  <c r="ET256" i="3"/>
  <c r="EW256" i="3"/>
  <c r="EZ256" i="3"/>
  <c r="FA256" i="3"/>
  <c r="FC256" i="3"/>
  <c r="EP256" i="3"/>
  <c r="EQ256" i="3"/>
  <c r="EV256" i="3"/>
  <c r="EU256" i="3"/>
  <c r="EY256" i="3"/>
  <c r="EX256" i="3"/>
  <c r="FB256" i="3"/>
  <c r="EZ258" i="3"/>
  <c r="FA258" i="3"/>
  <c r="EP258" i="3"/>
  <c r="FB258" i="3"/>
  <c r="ES258" i="3"/>
  <c r="EW258" i="3"/>
  <c r="EY258" i="3"/>
  <c r="ER258" i="3"/>
  <c r="EQ258" i="3"/>
  <c r="EU258" i="3"/>
  <c r="EV258" i="3"/>
  <c r="ET258" i="3"/>
  <c r="EX258" i="3"/>
  <c r="FC258" i="3"/>
  <c r="FD258" i="3"/>
  <c r="FA212" i="3"/>
  <c r="EQ212" i="3"/>
  <c r="FC212" i="3"/>
  <c r="ER212" i="3"/>
  <c r="FD212" i="3"/>
  <c r="ET212" i="3"/>
  <c r="EU212" i="3"/>
  <c r="EV212" i="3"/>
  <c r="EW212" i="3"/>
  <c r="EZ212" i="3"/>
  <c r="ES212" i="3"/>
  <c r="EP212" i="3"/>
  <c r="EX212" i="3"/>
  <c r="EY212" i="3"/>
  <c r="FB212" i="3"/>
  <c r="EG220" i="3"/>
  <c r="DV220" i="3"/>
  <c r="EI220" i="3"/>
  <c r="DW220" i="3"/>
  <c r="DX220" i="3"/>
  <c r="DY220" i="3"/>
  <c r="ED220" i="3"/>
  <c r="DU220" i="3"/>
  <c r="DZ220" i="3"/>
  <c r="EA220" i="3"/>
  <c r="EC220" i="3"/>
  <c r="EE220" i="3"/>
  <c r="EF220" i="3"/>
  <c r="EH220" i="3"/>
  <c r="DP220" i="3"/>
  <c r="DI220" i="3"/>
  <c r="DB220" i="3"/>
  <c r="DN220" i="3"/>
  <c r="DC220" i="3"/>
  <c r="DD220" i="3"/>
  <c r="DH220" i="3"/>
  <c r="DJ220" i="3"/>
  <c r="DK220" i="3"/>
  <c r="DL220" i="3"/>
  <c r="DM220" i="3"/>
  <c r="CX220" i="3"/>
  <c r="CY220" i="3"/>
  <c r="CZ220" i="3"/>
  <c r="DA220" i="3"/>
  <c r="DE220" i="3"/>
  <c r="DF220" i="3"/>
  <c r="FP220" i="3"/>
  <c r="FR220" i="3"/>
  <c r="FS220" i="3"/>
  <c r="FT220" i="3"/>
  <c r="FU220" i="3"/>
  <c r="FV220" i="3"/>
  <c r="DG220" i="3"/>
  <c r="FX220" i="3"/>
  <c r="FM220" i="3"/>
  <c r="FY220" i="3"/>
  <c r="FN220" i="3"/>
  <c r="FO220" i="3"/>
  <c r="FZ220" i="3"/>
  <c r="GA220" i="3"/>
  <c r="EE178" i="3"/>
  <c r="DW178" i="3"/>
  <c r="DX178" i="3"/>
  <c r="ED178" i="3"/>
  <c r="DP178" i="3"/>
  <c r="EF178" i="3"/>
  <c r="EH178" i="3"/>
  <c r="DV178" i="3"/>
  <c r="EG178" i="3"/>
  <c r="EI178" i="3"/>
  <c r="DU178" i="3"/>
  <c r="DY178" i="3"/>
  <c r="EC178" i="3"/>
  <c r="DZ178" i="3"/>
  <c r="EA178" i="3"/>
  <c r="CY178" i="3"/>
  <c r="DK178" i="3"/>
  <c r="DB178" i="3"/>
  <c r="DN178" i="3"/>
  <c r="DD178" i="3"/>
  <c r="DE178" i="3"/>
  <c r="DF178" i="3"/>
  <c r="DG178" i="3"/>
  <c r="DH178" i="3"/>
  <c r="DI178" i="3"/>
  <c r="DJ178" i="3"/>
  <c r="DL178" i="3"/>
  <c r="DM178" i="3"/>
  <c r="CX178" i="3"/>
  <c r="CZ178" i="3"/>
  <c r="DC178" i="3"/>
  <c r="DA178" i="3"/>
  <c r="FV178" i="3"/>
  <c r="FX178" i="3"/>
  <c r="FM178" i="3"/>
  <c r="FY178" i="3"/>
  <c r="FN178" i="3"/>
  <c r="FZ178" i="3"/>
  <c r="FO178" i="3"/>
  <c r="GA178" i="3"/>
  <c r="FP178" i="3"/>
  <c r="FR178" i="3"/>
  <c r="FS178" i="3"/>
  <c r="FT178" i="3"/>
  <c r="FU178" i="3"/>
  <c r="DU255" i="3"/>
  <c r="EH255" i="3"/>
  <c r="DW255" i="3"/>
  <c r="DZ255" i="3"/>
  <c r="EA255" i="3"/>
  <c r="DP255" i="3"/>
  <c r="EC255" i="3"/>
  <c r="ED255" i="3"/>
  <c r="EE255" i="3"/>
  <c r="DV255" i="3"/>
  <c r="EI255" i="3"/>
  <c r="DX255" i="3"/>
  <c r="DY255" i="3"/>
  <c r="EF255" i="3"/>
  <c r="EG255" i="3"/>
  <c r="CY255" i="3"/>
  <c r="DK255" i="3"/>
  <c r="CZ255" i="3"/>
  <c r="DL255" i="3"/>
  <c r="DE255" i="3"/>
  <c r="DH255" i="3"/>
  <c r="DI255" i="3"/>
  <c r="DJ255" i="3"/>
  <c r="DM255" i="3"/>
  <c r="DN255" i="3"/>
  <c r="CX255" i="3"/>
  <c r="DA255" i="3"/>
  <c r="DB255" i="3"/>
  <c r="DC255" i="3"/>
  <c r="DD255" i="3"/>
  <c r="DF255" i="3"/>
  <c r="DG255" i="3"/>
  <c r="FT255" i="3"/>
  <c r="FU255" i="3"/>
  <c r="FV255" i="3"/>
  <c r="FX255" i="3"/>
  <c r="FM255" i="3"/>
  <c r="FY255" i="3"/>
  <c r="FN255" i="3"/>
  <c r="FZ255" i="3"/>
  <c r="FO255" i="3"/>
  <c r="GA255" i="3"/>
  <c r="FP255" i="3"/>
  <c r="FR255" i="3"/>
  <c r="FS255" i="3"/>
  <c r="DP226" i="3"/>
  <c r="EC226" i="3"/>
  <c r="ED226" i="3"/>
  <c r="EE226" i="3"/>
  <c r="EF226" i="3"/>
  <c r="DW226" i="3"/>
  <c r="DU226" i="3"/>
  <c r="DV226" i="3"/>
  <c r="DX226" i="3"/>
  <c r="DY226" i="3"/>
  <c r="DZ226" i="3"/>
  <c r="EA226" i="3"/>
  <c r="EG226" i="3"/>
  <c r="EH226" i="3"/>
  <c r="EI226" i="3"/>
  <c r="DC226" i="3"/>
  <c r="DH226" i="3"/>
  <c r="DI226" i="3"/>
  <c r="CX226" i="3"/>
  <c r="DJ226" i="3"/>
  <c r="DB226" i="3"/>
  <c r="DN226" i="3"/>
  <c r="DF226" i="3"/>
  <c r="DG226" i="3"/>
  <c r="DK226" i="3"/>
  <c r="DL226" i="3"/>
  <c r="DM226" i="3"/>
  <c r="CY226" i="3"/>
  <c r="CZ226" i="3"/>
  <c r="DA226" i="3"/>
  <c r="DD226" i="3"/>
  <c r="DE226" i="3"/>
  <c r="FV226" i="3"/>
  <c r="FN226" i="3"/>
  <c r="FZ226" i="3"/>
  <c r="FO226" i="3"/>
  <c r="GA226" i="3"/>
  <c r="FP226" i="3"/>
  <c r="FR226" i="3"/>
  <c r="FS226" i="3"/>
  <c r="FY226" i="3"/>
  <c r="FM226" i="3"/>
  <c r="FT226" i="3"/>
  <c r="FU226" i="3"/>
  <c r="FX226" i="3"/>
  <c r="DZ182" i="3"/>
  <c r="EF182" i="3"/>
  <c r="EI182" i="3"/>
  <c r="DY182" i="3"/>
  <c r="EA182" i="3"/>
  <c r="ED182" i="3"/>
  <c r="EH182" i="3"/>
  <c r="EE182" i="3"/>
  <c r="EG182" i="3"/>
  <c r="DP182" i="3"/>
  <c r="DU182" i="3"/>
  <c r="DV182" i="3"/>
  <c r="EC182" i="3"/>
  <c r="DW182" i="3"/>
  <c r="DX182" i="3"/>
  <c r="CY182" i="3"/>
  <c r="DK182" i="3"/>
  <c r="DB182" i="3"/>
  <c r="DN182" i="3"/>
  <c r="DD182" i="3"/>
  <c r="DE182" i="3"/>
  <c r="DJ182" i="3"/>
  <c r="DL182" i="3"/>
  <c r="DM182" i="3"/>
  <c r="CX182" i="3"/>
  <c r="CZ182" i="3"/>
  <c r="DA182" i="3"/>
  <c r="DC182" i="3"/>
  <c r="DF182" i="3"/>
  <c r="DG182" i="3"/>
  <c r="DI182" i="3"/>
  <c r="DH182" i="3"/>
  <c r="FR182" i="3"/>
  <c r="FS182" i="3"/>
  <c r="FT182" i="3"/>
  <c r="FU182" i="3"/>
  <c r="FV182" i="3"/>
  <c r="FX182" i="3"/>
  <c r="FM182" i="3"/>
  <c r="FY182" i="3"/>
  <c r="FN182" i="3"/>
  <c r="FZ182" i="3"/>
  <c r="FO182" i="3"/>
  <c r="GA182" i="3"/>
  <c r="FP182" i="3"/>
  <c r="EF229" i="3"/>
  <c r="EG229" i="3"/>
  <c r="DU229" i="3"/>
  <c r="EH229" i="3"/>
  <c r="DV229" i="3"/>
  <c r="EI229" i="3"/>
  <c r="DZ229" i="3"/>
  <c r="DX229" i="3"/>
  <c r="DY229" i="3"/>
  <c r="EA229" i="3"/>
  <c r="EC229" i="3"/>
  <c r="ED229" i="3"/>
  <c r="EE229" i="3"/>
  <c r="DP229" i="3"/>
  <c r="DW229" i="3"/>
  <c r="CZ229" i="3"/>
  <c r="DL229" i="3"/>
  <c r="DE229" i="3"/>
  <c r="DF229" i="3"/>
  <c r="DG229" i="3"/>
  <c r="CY229" i="3"/>
  <c r="DK229" i="3"/>
  <c r="DD229" i="3"/>
  <c r="DH229" i="3"/>
  <c r="DI229" i="3"/>
  <c r="DJ229" i="3"/>
  <c r="DM229" i="3"/>
  <c r="DN229" i="3"/>
  <c r="CX229" i="3"/>
  <c r="DA229" i="3"/>
  <c r="DB229" i="3"/>
  <c r="DC229" i="3"/>
  <c r="FM229" i="3"/>
  <c r="FY229" i="3"/>
  <c r="FR229" i="3"/>
  <c r="FS229" i="3"/>
  <c r="FT229" i="3"/>
  <c r="FU229" i="3"/>
  <c r="FV229" i="3"/>
  <c r="FX229" i="3"/>
  <c r="FZ229" i="3"/>
  <c r="GA229" i="3"/>
  <c r="FP229" i="3"/>
  <c r="FN229" i="3"/>
  <c r="FO229" i="3"/>
  <c r="EE224" i="3"/>
  <c r="EF224" i="3"/>
  <c r="EG224" i="3"/>
  <c r="DU224" i="3"/>
  <c r="EH224" i="3"/>
  <c r="DY224" i="3"/>
  <c r="DP224" i="3"/>
  <c r="DV224" i="3"/>
  <c r="DW224" i="3"/>
  <c r="DX224" i="3"/>
  <c r="DZ224" i="3"/>
  <c r="EA224" i="3"/>
  <c r="EC224" i="3"/>
  <c r="ED224" i="3"/>
  <c r="EI224" i="3"/>
  <c r="DI224" i="3"/>
  <c r="DB224" i="3"/>
  <c r="DN224" i="3"/>
  <c r="DC224" i="3"/>
  <c r="DD224" i="3"/>
  <c r="DH224" i="3"/>
  <c r="DG224" i="3"/>
  <c r="DJ224" i="3"/>
  <c r="DK224" i="3"/>
  <c r="DL224" i="3"/>
  <c r="DM224" i="3"/>
  <c r="CX224" i="3"/>
  <c r="CY224" i="3"/>
  <c r="CZ224" i="3"/>
  <c r="DA224" i="3"/>
  <c r="DE224" i="3"/>
  <c r="DF224" i="3"/>
  <c r="FX224" i="3"/>
  <c r="FN224" i="3"/>
  <c r="FZ224" i="3"/>
  <c r="FP224" i="3"/>
  <c r="FR224" i="3"/>
  <c r="FS224" i="3"/>
  <c r="FT224" i="3"/>
  <c r="FU224" i="3"/>
  <c r="FM224" i="3"/>
  <c r="FO224" i="3"/>
  <c r="FV224" i="3"/>
  <c r="FY224" i="3"/>
  <c r="GA224" i="3"/>
  <c r="DY195" i="3"/>
  <c r="DZ195" i="3"/>
  <c r="EA195" i="3"/>
  <c r="DP195" i="3"/>
  <c r="EC195" i="3"/>
  <c r="ED195" i="3"/>
  <c r="EE195" i="3"/>
  <c r="EF195" i="3"/>
  <c r="EG195" i="3"/>
  <c r="DU195" i="3"/>
  <c r="EH195" i="3"/>
  <c r="DX195" i="3"/>
  <c r="DV195" i="3"/>
  <c r="DW195" i="3"/>
  <c r="EI195" i="3"/>
  <c r="DB195" i="3"/>
  <c r="DN195" i="3"/>
  <c r="DE195" i="3"/>
  <c r="DG195" i="3"/>
  <c r="DH195" i="3"/>
  <c r="DI195" i="3"/>
  <c r="DJ195" i="3"/>
  <c r="DK195" i="3"/>
  <c r="DL195" i="3"/>
  <c r="DM195" i="3"/>
  <c r="CX195" i="3"/>
  <c r="CY195" i="3"/>
  <c r="CZ195" i="3"/>
  <c r="DA195" i="3"/>
  <c r="DC195" i="3"/>
  <c r="DF195" i="3"/>
  <c r="DD195" i="3"/>
  <c r="FX195" i="3"/>
  <c r="FM195" i="3"/>
  <c r="FY195" i="3"/>
  <c r="FN195" i="3"/>
  <c r="FZ195" i="3"/>
  <c r="FO195" i="3"/>
  <c r="GA195" i="3"/>
  <c r="FP195" i="3"/>
  <c r="FR195" i="3"/>
  <c r="FS195" i="3"/>
  <c r="FT195" i="3"/>
  <c r="FU195" i="3"/>
  <c r="FV195" i="3"/>
  <c r="ED231" i="3"/>
  <c r="EE231" i="3"/>
  <c r="EF231" i="3"/>
  <c r="EG231" i="3"/>
  <c r="DX231" i="3"/>
  <c r="DZ231" i="3"/>
  <c r="EA231" i="3"/>
  <c r="EC231" i="3"/>
  <c r="EH231" i="3"/>
  <c r="EI231" i="3"/>
  <c r="DP231" i="3"/>
  <c r="DU231" i="3"/>
  <c r="DV231" i="3"/>
  <c r="DW231" i="3"/>
  <c r="DY231" i="3"/>
  <c r="DF231" i="3"/>
  <c r="CY231" i="3"/>
  <c r="DK231" i="3"/>
  <c r="CZ231" i="3"/>
  <c r="DL231" i="3"/>
  <c r="DA231" i="3"/>
  <c r="DM231" i="3"/>
  <c r="DE231" i="3"/>
  <c r="DD231" i="3"/>
  <c r="DG231" i="3"/>
  <c r="DH231" i="3"/>
  <c r="DI231" i="3"/>
  <c r="DJ231" i="3"/>
  <c r="DN231" i="3"/>
  <c r="CX231" i="3"/>
  <c r="DB231" i="3"/>
  <c r="FP231" i="3"/>
  <c r="FR231" i="3"/>
  <c r="DC231" i="3"/>
  <c r="FS231" i="3"/>
  <c r="FT231" i="3"/>
  <c r="FM231" i="3"/>
  <c r="FZ231" i="3"/>
  <c r="FN231" i="3"/>
  <c r="FO231" i="3"/>
  <c r="GA231" i="3"/>
  <c r="FU231" i="3"/>
  <c r="FV231" i="3"/>
  <c r="FX231" i="3"/>
  <c r="FY231" i="3"/>
  <c r="EA219" i="3"/>
  <c r="ED219" i="3"/>
  <c r="EE219" i="3"/>
  <c r="EF219" i="3"/>
  <c r="EG219" i="3"/>
  <c r="DX219" i="3"/>
  <c r="DP219" i="3"/>
  <c r="DU219" i="3"/>
  <c r="DV219" i="3"/>
  <c r="DW219" i="3"/>
  <c r="DY219" i="3"/>
  <c r="DZ219" i="3"/>
  <c r="EC219" i="3"/>
  <c r="EH219" i="3"/>
  <c r="EI219" i="3"/>
  <c r="DF219" i="3"/>
  <c r="CY219" i="3"/>
  <c r="DK219" i="3"/>
  <c r="CZ219" i="3"/>
  <c r="DL219" i="3"/>
  <c r="DA219" i="3"/>
  <c r="DM219" i="3"/>
  <c r="DE219" i="3"/>
  <c r="DI219" i="3"/>
  <c r="DJ219" i="3"/>
  <c r="DN219" i="3"/>
  <c r="CX219" i="3"/>
  <c r="DB219" i="3"/>
  <c r="DC219" i="3"/>
  <c r="DD219" i="3"/>
  <c r="DG219" i="3"/>
  <c r="FX219" i="3"/>
  <c r="FM219" i="3"/>
  <c r="FY219" i="3"/>
  <c r="FN219" i="3"/>
  <c r="FZ219" i="3"/>
  <c r="FO219" i="3"/>
  <c r="GA219" i="3"/>
  <c r="FP219" i="3"/>
  <c r="DH219" i="3"/>
  <c r="FR219" i="3"/>
  <c r="FS219" i="3"/>
  <c r="FT219" i="3"/>
  <c r="FU219" i="3"/>
  <c r="FV219" i="3"/>
  <c r="DV244" i="3"/>
  <c r="EI244" i="3"/>
  <c r="DX244" i="3"/>
  <c r="DY244" i="3"/>
  <c r="ED244" i="3"/>
  <c r="DU244" i="3"/>
  <c r="DW244" i="3"/>
  <c r="DZ244" i="3"/>
  <c r="EA244" i="3"/>
  <c r="EC244" i="3"/>
  <c r="EE244" i="3"/>
  <c r="EF244" i="3"/>
  <c r="EG244" i="3"/>
  <c r="DP244" i="3"/>
  <c r="EH244" i="3"/>
  <c r="DB244" i="3"/>
  <c r="DN244" i="3"/>
  <c r="DC244" i="3"/>
  <c r="DH244" i="3"/>
  <c r="CY244" i="3"/>
  <c r="CZ244" i="3"/>
  <c r="DA244" i="3"/>
  <c r="DD244" i="3"/>
  <c r="DE244" i="3"/>
  <c r="DF244" i="3"/>
  <c r="DG244" i="3"/>
  <c r="DI244" i="3"/>
  <c r="DJ244" i="3"/>
  <c r="DK244" i="3"/>
  <c r="CX244" i="3"/>
  <c r="DL244" i="3"/>
  <c r="DM244" i="3"/>
  <c r="FP244" i="3"/>
  <c r="FU244" i="3"/>
  <c r="FV244" i="3"/>
  <c r="FX244" i="3"/>
  <c r="FM244" i="3"/>
  <c r="FY244" i="3"/>
  <c r="GA244" i="3"/>
  <c r="FS244" i="3"/>
  <c r="FN244" i="3"/>
  <c r="FO244" i="3"/>
  <c r="FR244" i="3"/>
  <c r="FZ244" i="3"/>
  <c r="FT244" i="3"/>
  <c r="DV218" i="3"/>
  <c r="EI218" i="3"/>
  <c r="DX218" i="3"/>
  <c r="DY218" i="3"/>
  <c r="DZ218" i="3"/>
  <c r="EA218" i="3"/>
  <c r="EF218" i="3"/>
  <c r="EH218" i="3"/>
  <c r="DP218" i="3"/>
  <c r="DU218" i="3"/>
  <c r="DW218" i="3"/>
  <c r="EC218" i="3"/>
  <c r="ED218" i="3"/>
  <c r="EE218" i="3"/>
  <c r="EG218" i="3"/>
  <c r="DC218" i="3"/>
  <c r="DH218" i="3"/>
  <c r="DI218" i="3"/>
  <c r="CX218" i="3"/>
  <c r="DJ218" i="3"/>
  <c r="DB218" i="3"/>
  <c r="DN218" i="3"/>
  <c r="DK218" i="3"/>
  <c r="DL218" i="3"/>
  <c r="DM218" i="3"/>
  <c r="CY218" i="3"/>
  <c r="CZ218" i="3"/>
  <c r="DA218" i="3"/>
  <c r="DD218" i="3"/>
  <c r="DE218" i="3"/>
  <c r="DF218" i="3"/>
  <c r="DG218" i="3"/>
  <c r="FR218" i="3"/>
  <c r="FS218" i="3"/>
  <c r="FT218" i="3"/>
  <c r="FU218" i="3"/>
  <c r="FV218" i="3"/>
  <c r="FX218" i="3"/>
  <c r="FM218" i="3"/>
  <c r="FY218" i="3"/>
  <c r="FN218" i="3"/>
  <c r="FZ218" i="3"/>
  <c r="FO218" i="3"/>
  <c r="GA218" i="3"/>
  <c r="FP218" i="3"/>
  <c r="DX216" i="3"/>
  <c r="DZ216" i="3"/>
  <c r="EA216" i="3"/>
  <c r="DP216" i="3"/>
  <c r="EC216" i="3"/>
  <c r="ED216" i="3"/>
  <c r="DU216" i="3"/>
  <c r="EH216" i="3"/>
  <c r="DW216" i="3"/>
  <c r="DY216" i="3"/>
  <c r="EE216" i="3"/>
  <c r="EF216" i="3"/>
  <c r="EG216" i="3"/>
  <c r="EI216" i="3"/>
  <c r="DV216" i="3"/>
  <c r="DI216" i="3"/>
  <c r="DB216" i="3"/>
  <c r="DN216" i="3"/>
  <c r="DC216" i="3"/>
  <c r="DD216" i="3"/>
  <c r="DH216" i="3"/>
  <c r="DK216" i="3"/>
  <c r="DL216" i="3"/>
  <c r="DM216" i="3"/>
  <c r="CX216" i="3"/>
  <c r="CY216" i="3"/>
  <c r="CZ216" i="3"/>
  <c r="DA216" i="3"/>
  <c r="DE216" i="3"/>
  <c r="DF216" i="3"/>
  <c r="DG216" i="3"/>
  <c r="DJ216" i="3"/>
  <c r="FT216" i="3"/>
  <c r="FU216" i="3"/>
  <c r="FV216" i="3"/>
  <c r="FX216" i="3"/>
  <c r="FM216" i="3"/>
  <c r="FY216" i="3"/>
  <c r="FN216" i="3"/>
  <c r="FZ216" i="3"/>
  <c r="FO216" i="3"/>
  <c r="GA216" i="3"/>
  <c r="FP216" i="3"/>
  <c r="FR216" i="3"/>
  <c r="FS216" i="3"/>
  <c r="DU211" i="3"/>
  <c r="EH211" i="3"/>
  <c r="DV211" i="3"/>
  <c r="DW211" i="3"/>
  <c r="DX211" i="3"/>
  <c r="DY211" i="3"/>
  <c r="DZ211" i="3"/>
  <c r="EA211" i="3"/>
  <c r="DP211" i="3"/>
  <c r="EC211" i="3"/>
  <c r="EG211" i="3"/>
  <c r="ED211" i="3"/>
  <c r="EE211" i="3"/>
  <c r="EF211" i="3"/>
  <c r="EI211" i="3"/>
  <c r="DF211" i="3"/>
  <c r="DG211" i="3"/>
  <c r="CY211" i="3"/>
  <c r="DK211" i="3"/>
  <c r="CZ211" i="3"/>
  <c r="DL211" i="3"/>
  <c r="DA211" i="3"/>
  <c r="DM211" i="3"/>
  <c r="DB211" i="3"/>
  <c r="DN211" i="3"/>
  <c r="DE211" i="3"/>
  <c r="CX211" i="3"/>
  <c r="DC211" i="3"/>
  <c r="DD211" i="3"/>
  <c r="DH211" i="3"/>
  <c r="DI211" i="3"/>
  <c r="DJ211" i="3"/>
  <c r="FS211" i="3"/>
  <c r="FT211" i="3"/>
  <c r="FU211" i="3"/>
  <c r="FV211" i="3"/>
  <c r="FX211" i="3"/>
  <c r="FM211" i="3"/>
  <c r="FY211" i="3"/>
  <c r="FN211" i="3"/>
  <c r="FZ211" i="3"/>
  <c r="FO211" i="3"/>
  <c r="GA211" i="3"/>
  <c r="FP211" i="3"/>
  <c r="FR211" i="3"/>
  <c r="EA233" i="3"/>
  <c r="DP233" i="3"/>
  <c r="EC233" i="3"/>
  <c r="ED233" i="3"/>
  <c r="EE233" i="3"/>
  <c r="DV233" i="3"/>
  <c r="EI233" i="3"/>
  <c r="EF233" i="3"/>
  <c r="EG233" i="3"/>
  <c r="EH233" i="3"/>
  <c r="DU233" i="3"/>
  <c r="DW233" i="3"/>
  <c r="DX233" i="3"/>
  <c r="DZ233" i="3"/>
  <c r="DY233" i="3"/>
  <c r="CZ233" i="3"/>
  <c r="DL233" i="3"/>
  <c r="DE233" i="3"/>
  <c r="DF233" i="3"/>
  <c r="DG233" i="3"/>
  <c r="CY233" i="3"/>
  <c r="DK233" i="3"/>
  <c r="DC233" i="3"/>
  <c r="DD233" i="3"/>
  <c r="DH233" i="3"/>
  <c r="DI233" i="3"/>
  <c r="DJ233" i="3"/>
  <c r="DM233" i="3"/>
  <c r="DN233" i="3"/>
  <c r="CX233" i="3"/>
  <c r="DA233" i="3"/>
  <c r="DB233" i="3"/>
  <c r="FU233" i="3"/>
  <c r="FN233" i="3"/>
  <c r="FZ233" i="3"/>
  <c r="FO233" i="3"/>
  <c r="GA233" i="3"/>
  <c r="FP233" i="3"/>
  <c r="FR233" i="3"/>
  <c r="FT233" i="3"/>
  <c r="FV233" i="3"/>
  <c r="FX233" i="3"/>
  <c r="FY233" i="3"/>
  <c r="FM233" i="3"/>
  <c r="FS233" i="3"/>
  <c r="EF201" i="3"/>
  <c r="EG201" i="3"/>
  <c r="DU201" i="3"/>
  <c r="EH201" i="3"/>
  <c r="DV201" i="3"/>
  <c r="EI201" i="3"/>
  <c r="DW201" i="3"/>
  <c r="DX201" i="3"/>
  <c r="DY201" i="3"/>
  <c r="DZ201" i="3"/>
  <c r="EA201" i="3"/>
  <c r="EE201" i="3"/>
  <c r="DP201" i="3"/>
  <c r="EC201" i="3"/>
  <c r="ED201" i="3"/>
  <c r="DH201" i="3"/>
  <c r="CY201" i="3"/>
  <c r="DK201" i="3"/>
  <c r="DA201" i="3"/>
  <c r="DB201" i="3"/>
  <c r="DC201" i="3"/>
  <c r="DD201" i="3"/>
  <c r="DE201" i="3"/>
  <c r="DF201" i="3"/>
  <c r="DG201" i="3"/>
  <c r="DI201" i="3"/>
  <c r="DJ201" i="3"/>
  <c r="DL201" i="3"/>
  <c r="CZ201" i="3"/>
  <c r="DN201" i="3"/>
  <c r="CX201" i="3"/>
  <c r="DM201" i="3"/>
  <c r="FR201" i="3"/>
  <c r="FS201" i="3"/>
  <c r="FT201" i="3"/>
  <c r="FU201" i="3"/>
  <c r="FV201" i="3"/>
  <c r="FX201" i="3"/>
  <c r="FM201" i="3"/>
  <c r="FY201" i="3"/>
  <c r="FN201" i="3"/>
  <c r="FZ201" i="3"/>
  <c r="FO201" i="3"/>
  <c r="FP201" i="3"/>
  <c r="GA201" i="3"/>
  <c r="DY251" i="3"/>
  <c r="EA251" i="3"/>
  <c r="DP251" i="3"/>
  <c r="EC251" i="3"/>
  <c r="ED251" i="3"/>
  <c r="EE251" i="3"/>
  <c r="EF251" i="3"/>
  <c r="EG251" i="3"/>
  <c r="DU251" i="3"/>
  <c r="EH251" i="3"/>
  <c r="DV251" i="3"/>
  <c r="EI251" i="3"/>
  <c r="DW251" i="3"/>
  <c r="DX251" i="3"/>
  <c r="DZ251" i="3"/>
  <c r="CY251" i="3"/>
  <c r="DK251" i="3"/>
  <c r="CZ251" i="3"/>
  <c r="DL251" i="3"/>
  <c r="DE251" i="3"/>
  <c r="DM251" i="3"/>
  <c r="DN251" i="3"/>
  <c r="CX251" i="3"/>
  <c r="DA251" i="3"/>
  <c r="DB251" i="3"/>
  <c r="DC251" i="3"/>
  <c r="DD251" i="3"/>
  <c r="DF251" i="3"/>
  <c r="DG251" i="3"/>
  <c r="DH251" i="3"/>
  <c r="DI251" i="3"/>
  <c r="DJ251" i="3"/>
  <c r="FO251" i="3"/>
  <c r="GA251" i="3"/>
  <c r="FT251" i="3"/>
  <c r="FU251" i="3"/>
  <c r="FX251" i="3"/>
  <c r="FM251" i="3"/>
  <c r="FN251" i="3"/>
  <c r="FP251" i="3"/>
  <c r="FR251" i="3"/>
  <c r="FS251" i="3"/>
  <c r="FV251" i="3"/>
  <c r="FY251" i="3"/>
  <c r="FZ251" i="3"/>
  <c r="DZ190" i="3"/>
  <c r="EF190" i="3"/>
  <c r="EG190" i="3"/>
  <c r="DY190" i="3"/>
  <c r="DP190" i="3"/>
  <c r="EI190" i="3"/>
  <c r="DU190" i="3"/>
  <c r="DV190" i="3"/>
  <c r="DW190" i="3"/>
  <c r="DX190" i="3"/>
  <c r="EA190" i="3"/>
  <c r="EC190" i="3"/>
  <c r="EH190" i="3"/>
  <c r="ED190" i="3"/>
  <c r="EE190" i="3"/>
  <c r="CY190" i="3"/>
  <c r="DK190" i="3"/>
  <c r="DB190" i="3"/>
  <c r="DN190" i="3"/>
  <c r="DD190" i="3"/>
  <c r="DE190" i="3"/>
  <c r="DF190" i="3"/>
  <c r="DG190" i="3"/>
  <c r="DH190" i="3"/>
  <c r="DI190" i="3"/>
  <c r="DJ190" i="3"/>
  <c r="DL190" i="3"/>
  <c r="DM190" i="3"/>
  <c r="CX190" i="3"/>
  <c r="CZ190" i="3"/>
  <c r="DC190" i="3"/>
  <c r="DA190" i="3"/>
  <c r="FV190" i="3"/>
  <c r="FX190" i="3"/>
  <c r="FM190" i="3"/>
  <c r="FY190" i="3"/>
  <c r="FN190" i="3"/>
  <c r="FZ190" i="3"/>
  <c r="FO190" i="3"/>
  <c r="GA190" i="3"/>
  <c r="FP190" i="3"/>
  <c r="FR190" i="3"/>
  <c r="FS190" i="3"/>
  <c r="FT190" i="3"/>
  <c r="FU190" i="3"/>
  <c r="DX214" i="3"/>
  <c r="DZ214" i="3"/>
  <c r="EA214" i="3"/>
  <c r="DP214" i="3"/>
  <c r="EC214" i="3"/>
  <c r="ED214" i="3"/>
  <c r="EE214" i="3"/>
  <c r="EF214" i="3"/>
  <c r="DW214" i="3"/>
  <c r="EG214" i="3"/>
  <c r="EH214" i="3"/>
  <c r="EI214" i="3"/>
  <c r="DU214" i="3"/>
  <c r="DV214" i="3"/>
  <c r="DY214" i="3"/>
  <c r="DC214" i="3"/>
  <c r="DH214" i="3"/>
  <c r="DI214" i="3"/>
  <c r="CX214" i="3"/>
  <c r="DJ214" i="3"/>
  <c r="DB214" i="3"/>
  <c r="DN214" i="3"/>
  <c r="DL214" i="3"/>
  <c r="DM214" i="3"/>
  <c r="CY214" i="3"/>
  <c r="CZ214" i="3"/>
  <c r="DA214" i="3"/>
  <c r="DD214" i="3"/>
  <c r="DE214" i="3"/>
  <c r="DF214" i="3"/>
  <c r="DG214" i="3"/>
  <c r="DK214" i="3"/>
  <c r="FV214" i="3"/>
  <c r="FX214" i="3"/>
  <c r="FM214" i="3"/>
  <c r="FY214" i="3"/>
  <c r="FN214" i="3"/>
  <c r="FZ214" i="3"/>
  <c r="FO214" i="3"/>
  <c r="GA214" i="3"/>
  <c r="FP214" i="3"/>
  <c r="FR214" i="3"/>
  <c r="FS214" i="3"/>
  <c r="FT214" i="3"/>
  <c r="FU214" i="3"/>
  <c r="EF213" i="3"/>
  <c r="DU213" i="3"/>
  <c r="EH213" i="3"/>
  <c r="DV213" i="3"/>
  <c r="EI213" i="3"/>
  <c r="DW213" i="3"/>
  <c r="DX213" i="3"/>
  <c r="DY213" i="3"/>
  <c r="DZ213" i="3"/>
  <c r="EE213" i="3"/>
  <c r="DP213" i="3"/>
  <c r="EA213" i="3"/>
  <c r="EC213" i="3"/>
  <c r="ED213" i="3"/>
  <c r="EG213" i="3"/>
  <c r="CZ213" i="3"/>
  <c r="DL213" i="3"/>
  <c r="DA213" i="3"/>
  <c r="DE213" i="3"/>
  <c r="DF213" i="3"/>
  <c r="DG213" i="3"/>
  <c r="CY213" i="3"/>
  <c r="DK213" i="3"/>
  <c r="DM213" i="3"/>
  <c r="DN213" i="3"/>
  <c r="CX213" i="3"/>
  <c r="DB213" i="3"/>
  <c r="DC213" i="3"/>
  <c r="DD213" i="3"/>
  <c r="DH213" i="3"/>
  <c r="DI213" i="3"/>
  <c r="DJ213" i="3"/>
  <c r="FR213" i="3"/>
  <c r="FS213" i="3"/>
  <c r="FT213" i="3"/>
  <c r="FU213" i="3"/>
  <c r="FV213" i="3"/>
  <c r="FX213" i="3"/>
  <c r="FM213" i="3"/>
  <c r="FY213" i="3"/>
  <c r="FN213" i="3"/>
  <c r="FZ213" i="3"/>
  <c r="FO213" i="3"/>
  <c r="FP213" i="3"/>
  <c r="GA213" i="3"/>
  <c r="EE208" i="3"/>
  <c r="EF208" i="3"/>
  <c r="EG208" i="3"/>
  <c r="DU208" i="3"/>
  <c r="EH208" i="3"/>
  <c r="DV208" i="3"/>
  <c r="EI208" i="3"/>
  <c r="DW208" i="3"/>
  <c r="DX208" i="3"/>
  <c r="DY208" i="3"/>
  <c r="DZ208" i="3"/>
  <c r="ED208" i="3"/>
  <c r="DP208" i="3"/>
  <c r="EA208" i="3"/>
  <c r="EC208" i="3"/>
  <c r="DH208" i="3"/>
  <c r="DG208" i="3"/>
  <c r="DI208" i="3"/>
  <c r="CZ208" i="3"/>
  <c r="DM208" i="3"/>
  <c r="DA208" i="3"/>
  <c r="DN208" i="3"/>
  <c r="DB208" i="3"/>
  <c r="DC208" i="3"/>
  <c r="DF208" i="3"/>
  <c r="DD208" i="3"/>
  <c r="DE208" i="3"/>
  <c r="DJ208" i="3"/>
  <c r="DK208" i="3"/>
  <c r="DL208" i="3"/>
  <c r="CX208" i="3"/>
  <c r="CY208" i="3"/>
  <c r="FP208" i="3"/>
  <c r="FR208" i="3"/>
  <c r="FS208" i="3"/>
  <c r="FT208" i="3"/>
  <c r="FU208" i="3"/>
  <c r="FV208" i="3"/>
  <c r="FX208" i="3"/>
  <c r="FM208" i="3"/>
  <c r="FY208" i="3"/>
  <c r="FZ208" i="3"/>
  <c r="GA208" i="3"/>
  <c r="FN208" i="3"/>
  <c r="FO208" i="3"/>
  <c r="DZ228" i="3"/>
  <c r="EA228" i="3"/>
  <c r="DP228" i="3"/>
  <c r="EC228" i="3"/>
  <c r="ED228" i="3"/>
  <c r="DU228" i="3"/>
  <c r="EH228" i="3"/>
  <c r="DV228" i="3"/>
  <c r="DW228" i="3"/>
  <c r="DX228" i="3"/>
  <c r="DY228" i="3"/>
  <c r="EE228" i="3"/>
  <c r="EF228" i="3"/>
  <c r="EG228" i="3"/>
  <c r="EI228" i="3"/>
  <c r="DI228" i="3"/>
  <c r="DB228" i="3"/>
  <c r="DN228" i="3"/>
  <c r="DC228" i="3"/>
  <c r="DD228" i="3"/>
  <c r="DH228" i="3"/>
  <c r="DF228" i="3"/>
  <c r="DG228" i="3"/>
  <c r="DJ228" i="3"/>
  <c r="DK228" i="3"/>
  <c r="DL228" i="3"/>
  <c r="DM228" i="3"/>
  <c r="CX228" i="3"/>
  <c r="CY228" i="3"/>
  <c r="CZ228" i="3"/>
  <c r="DA228" i="3"/>
  <c r="DE228" i="3"/>
  <c r="FT228" i="3"/>
  <c r="FM228" i="3"/>
  <c r="FY228" i="3"/>
  <c r="FN228" i="3"/>
  <c r="FZ228" i="3"/>
  <c r="FO228" i="3"/>
  <c r="GA228" i="3"/>
  <c r="FP228" i="3"/>
  <c r="FS228" i="3"/>
  <c r="FU228" i="3"/>
  <c r="FV228" i="3"/>
  <c r="FX228" i="3"/>
  <c r="FR228" i="3"/>
  <c r="DW225" i="3"/>
  <c r="DX225" i="3"/>
  <c r="DY225" i="3"/>
  <c r="DZ225" i="3"/>
  <c r="EE225" i="3"/>
  <c r="DU225" i="3"/>
  <c r="DV225" i="3"/>
  <c r="EA225" i="3"/>
  <c r="EC225" i="3"/>
  <c r="ED225" i="3"/>
  <c r="EF225" i="3"/>
  <c r="EG225" i="3"/>
  <c r="DP225" i="3"/>
  <c r="EH225" i="3"/>
  <c r="EI225" i="3"/>
  <c r="CZ225" i="3"/>
  <c r="DL225" i="3"/>
  <c r="DE225" i="3"/>
  <c r="DF225" i="3"/>
  <c r="DG225" i="3"/>
  <c r="CY225" i="3"/>
  <c r="DK225" i="3"/>
  <c r="DH225" i="3"/>
  <c r="DI225" i="3"/>
  <c r="DJ225" i="3"/>
  <c r="DM225" i="3"/>
  <c r="DN225" i="3"/>
  <c r="CX225" i="3"/>
  <c r="DA225" i="3"/>
  <c r="DB225" i="3"/>
  <c r="DC225" i="3"/>
  <c r="DD225" i="3"/>
  <c r="FS225" i="3"/>
  <c r="FU225" i="3"/>
  <c r="FV225" i="3"/>
  <c r="FX225" i="3"/>
  <c r="FM225" i="3"/>
  <c r="FY225" i="3"/>
  <c r="FN225" i="3"/>
  <c r="FZ225" i="3"/>
  <c r="FT225" i="3"/>
  <c r="GA225" i="3"/>
  <c r="FO225" i="3"/>
  <c r="FP225" i="3"/>
  <c r="FR225" i="3"/>
  <c r="EF241" i="3"/>
  <c r="DU241" i="3"/>
  <c r="EH241" i="3"/>
  <c r="DV241" i="3"/>
  <c r="EI241" i="3"/>
  <c r="DZ241" i="3"/>
  <c r="DW241" i="3"/>
  <c r="DX241" i="3"/>
  <c r="DY241" i="3"/>
  <c r="EA241" i="3"/>
  <c r="EC241" i="3"/>
  <c r="ED241" i="3"/>
  <c r="EE241" i="3"/>
  <c r="EG241" i="3"/>
  <c r="DP241" i="3"/>
  <c r="CZ241" i="3"/>
  <c r="DL241" i="3"/>
  <c r="DE241" i="3"/>
  <c r="DF241" i="3"/>
  <c r="DG241" i="3"/>
  <c r="CY241" i="3"/>
  <c r="DK241" i="3"/>
  <c r="DA241" i="3"/>
  <c r="DB241" i="3"/>
  <c r="DC241" i="3"/>
  <c r="DD241" i="3"/>
  <c r="DH241" i="3"/>
  <c r="DI241" i="3"/>
  <c r="DJ241" i="3"/>
  <c r="DM241" i="3"/>
  <c r="DN241" i="3"/>
  <c r="CX241" i="3"/>
  <c r="FM241" i="3"/>
  <c r="FY241" i="3"/>
  <c r="FR241" i="3"/>
  <c r="FS241" i="3"/>
  <c r="FT241" i="3"/>
  <c r="FU241" i="3"/>
  <c r="FV241" i="3"/>
  <c r="FN241" i="3"/>
  <c r="FO241" i="3"/>
  <c r="FP241" i="3"/>
  <c r="FX241" i="3"/>
  <c r="FZ241" i="3"/>
  <c r="GA241" i="3"/>
  <c r="DX168" i="3"/>
  <c r="DP168" i="3"/>
  <c r="EC168" i="3"/>
  <c r="DU168" i="3"/>
  <c r="EH168" i="3"/>
  <c r="DZ168" i="3"/>
  <c r="EG168" i="3"/>
  <c r="EI168" i="3"/>
  <c r="DY168" i="3"/>
  <c r="DV168" i="3"/>
  <c r="DW168" i="3"/>
  <c r="EA168" i="3"/>
  <c r="EF168" i="3"/>
  <c r="ED168" i="3"/>
  <c r="EE168" i="3"/>
  <c r="DE168" i="3"/>
  <c r="DF168" i="3"/>
  <c r="DH168" i="3"/>
  <c r="CX168" i="3"/>
  <c r="DJ168" i="3"/>
  <c r="CY168" i="3"/>
  <c r="DK168" i="3"/>
  <c r="CZ168" i="3"/>
  <c r="DL168" i="3"/>
  <c r="DI168" i="3"/>
  <c r="DM168" i="3"/>
  <c r="DN168" i="3"/>
  <c r="DA168" i="3"/>
  <c r="DB168" i="3"/>
  <c r="DC168" i="3"/>
  <c r="DG168" i="3"/>
  <c r="DD168" i="3"/>
  <c r="FT168" i="3"/>
  <c r="FM168" i="3"/>
  <c r="FY168" i="3"/>
  <c r="FN168" i="3"/>
  <c r="FZ168" i="3"/>
  <c r="FO168" i="3"/>
  <c r="GA168" i="3"/>
  <c r="FP168" i="3"/>
  <c r="FS168" i="3"/>
  <c r="FR168" i="3"/>
  <c r="FU168" i="3"/>
  <c r="FV168" i="3"/>
  <c r="FX168" i="3"/>
  <c r="DP210" i="3"/>
  <c r="EC210" i="3"/>
  <c r="ED210" i="3"/>
  <c r="EE210" i="3"/>
  <c r="EF210" i="3"/>
  <c r="EG210" i="3"/>
  <c r="DU210" i="3"/>
  <c r="EH210" i="3"/>
  <c r="DV210" i="3"/>
  <c r="EI210" i="3"/>
  <c r="DW210" i="3"/>
  <c r="DX210" i="3"/>
  <c r="EA210" i="3"/>
  <c r="DY210" i="3"/>
  <c r="DZ210" i="3"/>
  <c r="DC210" i="3"/>
  <c r="DD210" i="3"/>
  <c r="DH210" i="3"/>
  <c r="DI210" i="3"/>
  <c r="CX210" i="3"/>
  <c r="DJ210" i="3"/>
  <c r="CY210" i="3"/>
  <c r="DK210" i="3"/>
  <c r="DB210" i="3"/>
  <c r="DN210" i="3"/>
  <c r="CZ210" i="3"/>
  <c r="DA210" i="3"/>
  <c r="DE210" i="3"/>
  <c r="DF210" i="3"/>
  <c r="DG210" i="3"/>
  <c r="DL210" i="3"/>
  <c r="DM210" i="3"/>
  <c r="FN210" i="3"/>
  <c r="FZ210" i="3"/>
  <c r="FO210" i="3"/>
  <c r="GA210" i="3"/>
  <c r="FP210" i="3"/>
  <c r="FR210" i="3"/>
  <c r="FS210" i="3"/>
  <c r="FT210" i="3"/>
  <c r="FU210" i="3"/>
  <c r="FV210" i="3"/>
  <c r="FM210" i="3"/>
  <c r="FX210" i="3"/>
  <c r="FY210" i="3"/>
  <c r="DW187" i="3"/>
  <c r="DP187" i="3"/>
  <c r="EC187" i="3"/>
  <c r="ED187" i="3"/>
  <c r="DV187" i="3"/>
  <c r="EI187" i="3"/>
  <c r="DU187" i="3"/>
  <c r="DX187" i="3"/>
  <c r="DY187" i="3"/>
  <c r="DZ187" i="3"/>
  <c r="EA187" i="3"/>
  <c r="EE187" i="3"/>
  <c r="EF187" i="3"/>
  <c r="EG187" i="3"/>
  <c r="EH187" i="3"/>
  <c r="DB187" i="3"/>
  <c r="DN187" i="3"/>
  <c r="DE187" i="3"/>
  <c r="DG187" i="3"/>
  <c r="DH187" i="3"/>
  <c r="DM187" i="3"/>
  <c r="CX187" i="3"/>
  <c r="CY187" i="3"/>
  <c r="CZ187" i="3"/>
  <c r="DA187" i="3"/>
  <c r="DC187" i="3"/>
  <c r="DD187" i="3"/>
  <c r="DF187" i="3"/>
  <c r="DI187" i="3"/>
  <c r="DJ187" i="3"/>
  <c r="DL187" i="3"/>
  <c r="DK187" i="3"/>
  <c r="FS187" i="3"/>
  <c r="FT187" i="3"/>
  <c r="FU187" i="3"/>
  <c r="FV187" i="3"/>
  <c r="FX187" i="3"/>
  <c r="FM187" i="3"/>
  <c r="FY187" i="3"/>
  <c r="FN187" i="3"/>
  <c r="FZ187" i="3"/>
  <c r="FO187" i="3"/>
  <c r="GA187" i="3"/>
  <c r="FP187" i="3"/>
  <c r="FR187" i="3"/>
  <c r="ED203" i="3"/>
  <c r="EE203" i="3"/>
  <c r="EF203" i="3"/>
  <c r="EG203" i="3"/>
  <c r="DU203" i="3"/>
  <c r="EH203" i="3"/>
  <c r="DV203" i="3"/>
  <c r="EI203" i="3"/>
  <c r="DW203" i="3"/>
  <c r="DX203" i="3"/>
  <c r="DY203" i="3"/>
  <c r="DP203" i="3"/>
  <c r="EC203" i="3"/>
  <c r="DZ203" i="3"/>
  <c r="EA203" i="3"/>
  <c r="DB203" i="3"/>
  <c r="DN203" i="3"/>
  <c r="DE203" i="3"/>
  <c r="DA203" i="3"/>
  <c r="DC203" i="3"/>
  <c r="DD203" i="3"/>
  <c r="DF203" i="3"/>
  <c r="DH203" i="3"/>
  <c r="DI203" i="3"/>
  <c r="DJ203" i="3"/>
  <c r="DK203" i="3"/>
  <c r="CX203" i="3"/>
  <c r="DL203" i="3"/>
  <c r="CZ203" i="3"/>
  <c r="CY203" i="3"/>
  <c r="DG203" i="3"/>
  <c r="DM203" i="3"/>
  <c r="FO203" i="3"/>
  <c r="GA203" i="3"/>
  <c r="FP203" i="3"/>
  <c r="FR203" i="3"/>
  <c r="FS203" i="3"/>
  <c r="FT203" i="3"/>
  <c r="FU203" i="3"/>
  <c r="FV203" i="3"/>
  <c r="FX203" i="3"/>
  <c r="FZ203" i="3"/>
  <c r="FM203" i="3"/>
  <c r="FN203" i="3"/>
  <c r="FY203" i="3"/>
  <c r="EA205" i="3"/>
  <c r="DP205" i="3"/>
  <c r="EC205" i="3"/>
  <c r="ED205" i="3"/>
  <c r="EE205" i="3"/>
  <c r="EF205" i="3"/>
  <c r="EG205" i="3"/>
  <c r="DU205" i="3"/>
  <c r="EH205" i="3"/>
  <c r="DV205" i="3"/>
  <c r="EI205" i="3"/>
  <c r="DW205" i="3"/>
  <c r="DZ205" i="3"/>
  <c r="DX205" i="3"/>
  <c r="DY205" i="3"/>
  <c r="DH205" i="3"/>
  <c r="CY205" i="3"/>
  <c r="DK205" i="3"/>
  <c r="DC205" i="3"/>
  <c r="DD205" i="3"/>
  <c r="DE205" i="3"/>
  <c r="DI205" i="3"/>
  <c r="DJ205" i="3"/>
  <c r="DL205" i="3"/>
  <c r="CX205" i="3"/>
  <c r="DM205" i="3"/>
  <c r="CZ205" i="3"/>
  <c r="DN205" i="3"/>
  <c r="DB205" i="3"/>
  <c r="DA205" i="3"/>
  <c r="DF205" i="3"/>
  <c r="DG205" i="3"/>
  <c r="FM205" i="3"/>
  <c r="FY205" i="3"/>
  <c r="FN205" i="3"/>
  <c r="FZ205" i="3"/>
  <c r="FO205" i="3"/>
  <c r="GA205" i="3"/>
  <c r="FP205" i="3"/>
  <c r="FR205" i="3"/>
  <c r="FS205" i="3"/>
  <c r="FT205" i="3"/>
  <c r="FU205" i="3"/>
  <c r="FV205" i="3"/>
  <c r="FX205" i="3"/>
  <c r="DW223" i="3"/>
  <c r="DY223" i="3"/>
  <c r="DZ223" i="3"/>
  <c r="EA223" i="3"/>
  <c r="DP223" i="3"/>
  <c r="EC223" i="3"/>
  <c r="EG223" i="3"/>
  <c r="EI223" i="3"/>
  <c r="DU223" i="3"/>
  <c r="DV223" i="3"/>
  <c r="DX223" i="3"/>
  <c r="ED223" i="3"/>
  <c r="EE223" i="3"/>
  <c r="EH223" i="3"/>
  <c r="EF223" i="3"/>
  <c r="DF223" i="3"/>
  <c r="CY223" i="3"/>
  <c r="DK223" i="3"/>
  <c r="CZ223" i="3"/>
  <c r="DL223" i="3"/>
  <c r="DA223" i="3"/>
  <c r="DM223" i="3"/>
  <c r="DE223" i="3"/>
  <c r="DH223" i="3"/>
  <c r="DI223" i="3"/>
  <c r="DJ223" i="3"/>
  <c r="DN223" i="3"/>
  <c r="CX223" i="3"/>
  <c r="DB223" i="3"/>
  <c r="DC223" i="3"/>
  <c r="DD223" i="3"/>
  <c r="DG223" i="3"/>
  <c r="FS223" i="3"/>
  <c r="FU223" i="3"/>
  <c r="FV223" i="3"/>
  <c r="FX223" i="3"/>
  <c r="FM223" i="3"/>
  <c r="FY223" i="3"/>
  <c r="FN223" i="3"/>
  <c r="FZ223" i="3"/>
  <c r="FO223" i="3"/>
  <c r="GA223" i="3"/>
  <c r="FP223" i="3"/>
  <c r="FT223" i="3"/>
  <c r="FR223" i="3"/>
  <c r="EF257" i="3"/>
  <c r="DU257" i="3"/>
  <c r="EH257" i="3"/>
  <c r="DX257" i="3"/>
  <c r="DY257" i="3"/>
  <c r="EA257" i="3"/>
  <c r="DP257" i="3"/>
  <c r="EC257" i="3"/>
  <c r="DW257" i="3"/>
  <c r="DZ257" i="3"/>
  <c r="ED257" i="3"/>
  <c r="DV257" i="3"/>
  <c r="EE257" i="3"/>
  <c r="EG257" i="3"/>
  <c r="EI257" i="3"/>
  <c r="DE257" i="3"/>
  <c r="DF257" i="3"/>
  <c r="CY257" i="3"/>
  <c r="DK257" i="3"/>
  <c r="CX257" i="3"/>
  <c r="DN257" i="3"/>
  <c r="CZ257" i="3"/>
  <c r="DA257" i="3"/>
  <c r="DB257" i="3"/>
  <c r="DC257" i="3"/>
  <c r="DD257" i="3"/>
  <c r="DG257" i="3"/>
  <c r="DH257" i="3"/>
  <c r="DI257" i="3"/>
  <c r="DJ257" i="3"/>
  <c r="DM257" i="3"/>
  <c r="DL257" i="3"/>
  <c r="FR257" i="3"/>
  <c r="FP257" i="3"/>
  <c r="FS257" i="3"/>
  <c r="FT257" i="3"/>
  <c r="FU257" i="3"/>
  <c r="FO257" i="3"/>
  <c r="FV257" i="3"/>
  <c r="FX257" i="3"/>
  <c r="FM257" i="3"/>
  <c r="FY257" i="3"/>
  <c r="FN257" i="3"/>
  <c r="FZ257" i="3"/>
  <c r="GA257" i="3"/>
  <c r="EG172" i="3"/>
  <c r="DX172" i="3"/>
  <c r="ED172" i="3"/>
  <c r="EE172" i="3"/>
  <c r="DU172" i="3"/>
  <c r="DV172" i="3"/>
  <c r="DY172" i="3"/>
  <c r="EC172" i="3"/>
  <c r="DP172" i="3"/>
  <c r="DW172" i="3"/>
  <c r="DZ172" i="3"/>
  <c r="EA172" i="3"/>
  <c r="EF172" i="3"/>
  <c r="EH172" i="3"/>
  <c r="EI172" i="3"/>
  <c r="DE172" i="3"/>
  <c r="DH172" i="3"/>
  <c r="CX172" i="3"/>
  <c r="DJ172" i="3"/>
  <c r="CY172" i="3"/>
  <c r="DK172" i="3"/>
  <c r="DD172" i="3"/>
  <c r="DF172" i="3"/>
  <c r="DG172" i="3"/>
  <c r="DI172" i="3"/>
  <c r="DL172" i="3"/>
  <c r="DM172" i="3"/>
  <c r="DN172" i="3"/>
  <c r="CZ172" i="3"/>
  <c r="DA172" i="3"/>
  <c r="DC172" i="3"/>
  <c r="DB172" i="3"/>
  <c r="FP172" i="3"/>
  <c r="FR172" i="3"/>
  <c r="FS172" i="3"/>
  <c r="FT172" i="3"/>
  <c r="FU172" i="3"/>
  <c r="FV172" i="3"/>
  <c r="FX172" i="3"/>
  <c r="FM172" i="3"/>
  <c r="FY172" i="3"/>
  <c r="FN172" i="3"/>
  <c r="FO172" i="3"/>
  <c r="FZ172" i="3"/>
  <c r="GA172" i="3"/>
  <c r="DP164" i="3"/>
  <c r="EC164" i="3"/>
  <c r="EF164" i="3"/>
  <c r="EG164" i="3"/>
  <c r="DY164" i="3"/>
  <c r="EH164" i="3"/>
  <c r="DV164" i="3"/>
  <c r="DW164" i="3"/>
  <c r="DZ164" i="3"/>
  <c r="EE164" i="3"/>
  <c r="DU164" i="3"/>
  <c r="DX164" i="3"/>
  <c r="EA164" i="3"/>
  <c r="ED164" i="3"/>
  <c r="EI164" i="3"/>
  <c r="DE164" i="3"/>
  <c r="DF164" i="3"/>
  <c r="DH164" i="3"/>
  <c r="CX164" i="3"/>
  <c r="DJ164" i="3"/>
  <c r="CY164" i="3"/>
  <c r="DK164" i="3"/>
  <c r="CZ164" i="3"/>
  <c r="DL164" i="3"/>
  <c r="DA164" i="3"/>
  <c r="DB164" i="3"/>
  <c r="DC164" i="3"/>
  <c r="DD164" i="3"/>
  <c r="DG164" i="3"/>
  <c r="DI164" i="3"/>
  <c r="DM164" i="3"/>
  <c r="DN164" i="3"/>
  <c r="FX164" i="3"/>
  <c r="FR164" i="3"/>
  <c r="FS164" i="3"/>
  <c r="FT164" i="3"/>
  <c r="FM164" i="3"/>
  <c r="FN164" i="3"/>
  <c r="FO164" i="3"/>
  <c r="FP164" i="3"/>
  <c r="FU164" i="3"/>
  <c r="FV164" i="3"/>
  <c r="FY164" i="3"/>
  <c r="FZ164" i="3"/>
  <c r="GA164" i="3"/>
  <c r="DY173" i="3"/>
  <c r="ED173" i="3"/>
  <c r="DV173" i="3"/>
  <c r="EI173" i="3"/>
  <c r="EA173" i="3"/>
  <c r="EH173" i="3"/>
  <c r="DU173" i="3"/>
  <c r="DZ173" i="3"/>
  <c r="DW173" i="3"/>
  <c r="DX173" i="3"/>
  <c r="EC173" i="3"/>
  <c r="EE173" i="3"/>
  <c r="EF173" i="3"/>
  <c r="EG173" i="3"/>
  <c r="DP173" i="3"/>
  <c r="DH173" i="3"/>
  <c r="CY173" i="3"/>
  <c r="DK173" i="3"/>
  <c r="DA173" i="3"/>
  <c r="DM173" i="3"/>
  <c r="DB173" i="3"/>
  <c r="DN173" i="3"/>
  <c r="DC173" i="3"/>
  <c r="DD173" i="3"/>
  <c r="DE173" i="3"/>
  <c r="DF173" i="3"/>
  <c r="DG173" i="3"/>
  <c r="DI173" i="3"/>
  <c r="DJ173" i="3"/>
  <c r="DL173" i="3"/>
  <c r="CZ173" i="3"/>
  <c r="CX173" i="3"/>
  <c r="FU173" i="3"/>
  <c r="FV173" i="3"/>
  <c r="FX173" i="3"/>
  <c r="FM173" i="3"/>
  <c r="FY173" i="3"/>
  <c r="FN173" i="3"/>
  <c r="FZ173" i="3"/>
  <c r="FO173" i="3"/>
  <c r="GA173" i="3"/>
  <c r="FP173" i="3"/>
  <c r="FR173" i="3"/>
  <c r="FT173" i="3"/>
  <c r="FS173" i="3"/>
  <c r="ED193" i="3"/>
  <c r="DV193" i="3"/>
  <c r="EI193" i="3"/>
  <c r="DX193" i="3"/>
  <c r="DY193" i="3"/>
  <c r="DZ193" i="3"/>
  <c r="EA193" i="3"/>
  <c r="EC193" i="3"/>
  <c r="EE193" i="3"/>
  <c r="DP193" i="3"/>
  <c r="EF193" i="3"/>
  <c r="EG193" i="3"/>
  <c r="EH193" i="3"/>
  <c r="DW193" i="3"/>
  <c r="DU193" i="3"/>
  <c r="DH193" i="3"/>
  <c r="CY193" i="3"/>
  <c r="DK193" i="3"/>
  <c r="DA193" i="3"/>
  <c r="DM193" i="3"/>
  <c r="DB193" i="3"/>
  <c r="DN193" i="3"/>
  <c r="CX193" i="3"/>
  <c r="CZ193" i="3"/>
  <c r="DC193" i="3"/>
  <c r="DD193" i="3"/>
  <c r="DE193" i="3"/>
  <c r="DF193" i="3"/>
  <c r="DG193" i="3"/>
  <c r="DI193" i="3"/>
  <c r="DL193" i="3"/>
  <c r="DJ193" i="3"/>
  <c r="FM193" i="3"/>
  <c r="FY193" i="3"/>
  <c r="FN193" i="3"/>
  <c r="FZ193" i="3"/>
  <c r="FO193" i="3"/>
  <c r="GA193" i="3"/>
  <c r="FP193" i="3"/>
  <c r="FR193" i="3"/>
  <c r="FS193" i="3"/>
  <c r="FT193" i="3"/>
  <c r="FU193" i="3"/>
  <c r="FV193" i="3"/>
  <c r="FX193" i="3"/>
  <c r="EG206" i="3"/>
  <c r="DU206" i="3"/>
  <c r="EH206" i="3"/>
  <c r="DV206" i="3"/>
  <c r="EI206" i="3"/>
  <c r="DW206" i="3"/>
  <c r="DX206" i="3"/>
  <c r="DY206" i="3"/>
  <c r="DZ206" i="3"/>
  <c r="EA206" i="3"/>
  <c r="DP206" i="3"/>
  <c r="EC206" i="3"/>
  <c r="EF206" i="3"/>
  <c r="ED206" i="3"/>
  <c r="EE206" i="3"/>
  <c r="CY206" i="3"/>
  <c r="DB206" i="3"/>
  <c r="DN206" i="3"/>
  <c r="DJ206" i="3"/>
  <c r="DK206" i="3"/>
  <c r="CX206" i="3"/>
  <c r="DC206" i="3"/>
  <c r="DD206" i="3"/>
  <c r="DE206" i="3"/>
  <c r="DF206" i="3"/>
  <c r="DI206" i="3"/>
  <c r="DM206" i="3"/>
  <c r="CZ206" i="3"/>
  <c r="DA206" i="3"/>
  <c r="DG206" i="3"/>
  <c r="DH206" i="3"/>
  <c r="FR206" i="3"/>
  <c r="FS206" i="3"/>
  <c r="FT206" i="3"/>
  <c r="FU206" i="3"/>
  <c r="FV206" i="3"/>
  <c r="DL206" i="3"/>
  <c r="FX206" i="3"/>
  <c r="FM206" i="3"/>
  <c r="FY206" i="3"/>
  <c r="FN206" i="3"/>
  <c r="FZ206" i="3"/>
  <c r="FO206" i="3"/>
  <c r="GA206" i="3"/>
  <c r="FP206" i="3"/>
  <c r="DZ200" i="3"/>
  <c r="EA200" i="3"/>
  <c r="DP200" i="3"/>
  <c r="EC200" i="3"/>
  <c r="ED200" i="3"/>
  <c r="EE200" i="3"/>
  <c r="EF200" i="3"/>
  <c r="EG200" i="3"/>
  <c r="DU200" i="3"/>
  <c r="EH200" i="3"/>
  <c r="DV200" i="3"/>
  <c r="EI200" i="3"/>
  <c r="DY200" i="3"/>
  <c r="DW200" i="3"/>
  <c r="DX200" i="3"/>
  <c r="DE200" i="3"/>
  <c r="DH200" i="3"/>
  <c r="DG200" i="3"/>
  <c r="DI200" i="3"/>
  <c r="DJ200" i="3"/>
  <c r="DK200" i="3"/>
  <c r="CX200" i="3"/>
  <c r="DL200" i="3"/>
  <c r="CY200" i="3"/>
  <c r="DM200" i="3"/>
  <c r="CZ200" i="3"/>
  <c r="DN200" i="3"/>
  <c r="DA200" i="3"/>
  <c r="DB200" i="3"/>
  <c r="DC200" i="3"/>
  <c r="DF200" i="3"/>
  <c r="DD200" i="3"/>
  <c r="FX200" i="3"/>
  <c r="FM200" i="3"/>
  <c r="FY200" i="3"/>
  <c r="FN200" i="3"/>
  <c r="FZ200" i="3"/>
  <c r="FO200" i="3"/>
  <c r="GA200" i="3"/>
  <c r="FP200" i="3"/>
  <c r="FR200" i="3"/>
  <c r="FS200" i="3"/>
  <c r="FT200" i="3"/>
  <c r="FU200" i="3"/>
  <c r="FV200" i="3"/>
  <c r="DV260" i="3"/>
  <c r="EI260" i="3"/>
  <c r="EA260" i="3"/>
  <c r="DP260" i="3"/>
  <c r="EC260" i="3"/>
  <c r="EE260" i="3"/>
  <c r="EF260" i="3"/>
  <c r="DW260" i="3"/>
  <c r="EG260" i="3"/>
  <c r="EH260" i="3"/>
  <c r="DU260" i="3"/>
  <c r="DZ260" i="3"/>
  <c r="ED260" i="3"/>
  <c r="DX260" i="3"/>
  <c r="DY260" i="3"/>
  <c r="DB260" i="3"/>
  <c r="DN260" i="3"/>
  <c r="DC260" i="3"/>
  <c r="DH260" i="3"/>
  <c r="CY260" i="3"/>
  <c r="CZ260" i="3"/>
  <c r="DA260" i="3"/>
  <c r="DD260" i="3"/>
  <c r="DE260" i="3"/>
  <c r="DF260" i="3"/>
  <c r="DG260" i="3"/>
  <c r="DI260" i="3"/>
  <c r="DJ260" i="3"/>
  <c r="DK260" i="3"/>
  <c r="CX260" i="3"/>
  <c r="DL260" i="3"/>
  <c r="DM260" i="3"/>
  <c r="FU260" i="3"/>
  <c r="FV260" i="3"/>
  <c r="FX260" i="3"/>
  <c r="FM260" i="3"/>
  <c r="FY260" i="3"/>
  <c r="FR260" i="3"/>
  <c r="FS260" i="3"/>
  <c r="FN260" i="3"/>
  <c r="FZ260" i="3"/>
  <c r="FO260" i="3"/>
  <c r="GA260" i="3"/>
  <c r="FP260" i="3"/>
  <c r="FT260" i="3"/>
  <c r="EG246" i="3"/>
  <c r="DV246" i="3"/>
  <c r="EI246" i="3"/>
  <c r="DW246" i="3"/>
  <c r="EA246" i="3"/>
  <c r="DU246" i="3"/>
  <c r="DX246" i="3"/>
  <c r="DY246" i="3"/>
  <c r="DZ246" i="3"/>
  <c r="EC246" i="3"/>
  <c r="ED246" i="3"/>
  <c r="EE246" i="3"/>
  <c r="DP246" i="3"/>
  <c r="EF246" i="3"/>
  <c r="EH246" i="3"/>
  <c r="DH246" i="3"/>
  <c r="DI246" i="3"/>
  <c r="DB246" i="3"/>
  <c r="DN246" i="3"/>
  <c r="DE246" i="3"/>
  <c r="DF246" i="3"/>
  <c r="DG246" i="3"/>
  <c r="DJ246" i="3"/>
  <c r="DK246" i="3"/>
  <c r="DL246" i="3"/>
  <c r="CX246" i="3"/>
  <c r="DM246" i="3"/>
  <c r="CY246" i="3"/>
  <c r="CZ246" i="3"/>
  <c r="DA246" i="3"/>
  <c r="DC246" i="3"/>
  <c r="DD246" i="3"/>
  <c r="FN246" i="3"/>
  <c r="FZ246" i="3"/>
  <c r="FS246" i="3"/>
  <c r="FT246" i="3"/>
  <c r="FU246" i="3"/>
  <c r="FV246" i="3"/>
  <c r="FM246" i="3"/>
  <c r="FO246" i="3"/>
  <c r="FP246" i="3"/>
  <c r="FR246" i="3"/>
  <c r="FX246" i="3"/>
  <c r="FY246" i="3"/>
  <c r="GA246" i="3"/>
  <c r="EE222" i="3"/>
  <c r="EG222" i="3"/>
  <c r="DU222" i="3"/>
  <c r="EH222" i="3"/>
  <c r="DV222" i="3"/>
  <c r="EI222" i="3"/>
  <c r="DW222" i="3"/>
  <c r="EA222" i="3"/>
  <c r="ED222" i="3"/>
  <c r="EF222" i="3"/>
  <c r="DP222" i="3"/>
  <c r="DX222" i="3"/>
  <c r="DY222" i="3"/>
  <c r="DZ222" i="3"/>
  <c r="EC222" i="3"/>
  <c r="DC222" i="3"/>
  <c r="DH222" i="3"/>
  <c r="DI222" i="3"/>
  <c r="CX222" i="3"/>
  <c r="DJ222" i="3"/>
  <c r="DB222" i="3"/>
  <c r="DN222" i="3"/>
  <c r="DG222" i="3"/>
  <c r="DK222" i="3"/>
  <c r="DL222" i="3"/>
  <c r="DM222" i="3"/>
  <c r="CY222" i="3"/>
  <c r="CZ222" i="3"/>
  <c r="DA222" i="3"/>
  <c r="DD222" i="3"/>
  <c r="DE222" i="3"/>
  <c r="DF222" i="3"/>
  <c r="FN222" i="3"/>
  <c r="FZ222" i="3"/>
  <c r="FO222" i="3"/>
  <c r="GA222" i="3"/>
  <c r="FP222" i="3"/>
  <c r="FR222" i="3"/>
  <c r="FS222" i="3"/>
  <c r="FT222" i="3"/>
  <c r="FU222" i="3"/>
  <c r="FV222" i="3"/>
  <c r="FY222" i="3"/>
  <c r="FM222" i="3"/>
  <c r="FX222" i="3"/>
  <c r="DW179" i="3"/>
  <c r="DP179" i="3"/>
  <c r="EC179" i="3"/>
  <c r="EH179" i="3"/>
  <c r="DY179" i="3"/>
  <c r="DZ179" i="3"/>
  <c r="ED179" i="3"/>
  <c r="EG179" i="3"/>
  <c r="DU179" i="3"/>
  <c r="DV179" i="3"/>
  <c r="DX179" i="3"/>
  <c r="EA179" i="3"/>
  <c r="EE179" i="3"/>
  <c r="EF179" i="3"/>
  <c r="EI179" i="3"/>
  <c r="DB179" i="3"/>
  <c r="DN179" i="3"/>
  <c r="DE179" i="3"/>
  <c r="DG179" i="3"/>
  <c r="DH179" i="3"/>
  <c r="DA179" i="3"/>
  <c r="DC179" i="3"/>
  <c r="DD179" i="3"/>
  <c r="DF179" i="3"/>
  <c r="DI179" i="3"/>
  <c r="DJ179" i="3"/>
  <c r="DK179" i="3"/>
  <c r="DL179" i="3"/>
  <c r="DM179" i="3"/>
  <c r="CX179" i="3"/>
  <c r="CZ179" i="3"/>
  <c r="CY179" i="3"/>
  <c r="FO179" i="3"/>
  <c r="GA179" i="3"/>
  <c r="FP179" i="3"/>
  <c r="FR179" i="3"/>
  <c r="FS179" i="3"/>
  <c r="FT179" i="3"/>
  <c r="FU179" i="3"/>
  <c r="FV179" i="3"/>
  <c r="FX179" i="3"/>
  <c r="FM179" i="3"/>
  <c r="FN179" i="3"/>
  <c r="FY179" i="3"/>
  <c r="FZ179" i="3"/>
  <c r="DX202" i="3"/>
  <c r="DY202" i="3"/>
  <c r="DZ202" i="3"/>
  <c r="EA202" i="3"/>
  <c r="DP202" i="3"/>
  <c r="EC202" i="3"/>
  <c r="ED202" i="3"/>
  <c r="EE202" i="3"/>
  <c r="EF202" i="3"/>
  <c r="EG202" i="3"/>
  <c r="DW202" i="3"/>
  <c r="EH202" i="3"/>
  <c r="EI202" i="3"/>
  <c r="DU202" i="3"/>
  <c r="DV202" i="3"/>
  <c r="CY202" i="3"/>
  <c r="DK202" i="3"/>
  <c r="DB202" i="3"/>
  <c r="DN202" i="3"/>
  <c r="DH202" i="3"/>
  <c r="DI202" i="3"/>
  <c r="DJ202" i="3"/>
  <c r="DL202" i="3"/>
  <c r="CX202" i="3"/>
  <c r="DM202" i="3"/>
  <c r="CZ202" i="3"/>
  <c r="DA202" i="3"/>
  <c r="DC202" i="3"/>
  <c r="DD202" i="3"/>
  <c r="DE202" i="3"/>
  <c r="DG202" i="3"/>
  <c r="DF202" i="3"/>
  <c r="FV202" i="3"/>
  <c r="FX202" i="3"/>
  <c r="FM202" i="3"/>
  <c r="FY202" i="3"/>
  <c r="FN202" i="3"/>
  <c r="FZ202" i="3"/>
  <c r="FO202" i="3"/>
  <c r="GA202" i="3"/>
  <c r="FP202" i="3"/>
  <c r="FR202" i="3"/>
  <c r="FS202" i="3"/>
  <c r="FT202" i="3"/>
  <c r="FU202" i="3"/>
  <c r="ED169" i="3"/>
  <c r="DU169" i="3"/>
  <c r="EH169" i="3"/>
  <c r="DZ169" i="3"/>
  <c r="DW169" i="3"/>
  <c r="EE169" i="3"/>
  <c r="EF169" i="3"/>
  <c r="EI169" i="3"/>
  <c r="DV169" i="3"/>
  <c r="DP169" i="3"/>
  <c r="DX169" i="3"/>
  <c r="DY169" i="3"/>
  <c r="EA169" i="3"/>
  <c r="EC169" i="3"/>
  <c r="EG169" i="3"/>
  <c r="DH169" i="3"/>
  <c r="DI169" i="3"/>
  <c r="CY169" i="3"/>
  <c r="DK169" i="3"/>
  <c r="DA169" i="3"/>
  <c r="DM169" i="3"/>
  <c r="DB169" i="3"/>
  <c r="DN169" i="3"/>
  <c r="DC169" i="3"/>
  <c r="DL169" i="3"/>
  <c r="CX169" i="3"/>
  <c r="CZ169" i="3"/>
  <c r="DD169" i="3"/>
  <c r="DE169" i="3"/>
  <c r="DF169" i="3"/>
  <c r="DJ169" i="3"/>
  <c r="DG169" i="3"/>
  <c r="FM169" i="3"/>
  <c r="FY169" i="3"/>
  <c r="FS169" i="3"/>
  <c r="FU169" i="3"/>
  <c r="FX169" i="3"/>
  <c r="FN169" i="3"/>
  <c r="FO169" i="3"/>
  <c r="FP169" i="3"/>
  <c r="FR169" i="3"/>
  <c r="FT169" i="3"/>
  <c r="FV169" i="3"/>
  <c r="FZ169" i="3"/>
  <c r="GA169" i="3"/>
  <c r="DZ256" i="3"/>
  <c r="DP256" i="3"/>
  <c r="EC256" i="3"/>
  <c r="EF256" i="3"/>
  <c r="EG256" i="3"/>
  <c r="DU256" i="3"/>
  <c r="EH256" i="3"/>
  <c r="DV256" i="3"/>
  <c r="EI256" i="3"/>
  <c r="DW256" i="3"/>
  <c r="EE256" i="3"/>
  <c r="ED256" i="3"/>
  <c r="EA256" i="3"/>
  <c r="DY256" i="3"/>
  <c r="DX256" i="3"/>
  <c r="DB256" i="3"/>
  <c r="DN256" i="3"/>
  <c r="DC256" i="3"/>
  <c r="DH256" i="3"/>
  <c r="DD256" i="3"/>
  <c r="DE256" i="3"/>
  <c r="DF256" i="3"/>
  <c r="DG256" i="3"/>
  <c r="DI256" i="3"/>
  <c r="DJ256" i="3"/>
  <c r="DK256" i="3"/>
  <c r="DL256" i="3"/>
  <c r="CX256" i="3"/>
  <c r="DM256" i="3"/>
  <c r="CY256" i="3"/>
  <c r="CZ256" i="3"/>
  <c r="DA256" i="3"/>
  <c r="FM256" i="3"/>
  <c r="FY256" i="3"/>
  <c r="FN256" i="3"/>
  <c r="FZ256" i="3"/>
  <c r="FO256" i="3"/>
  <c r="GA256" i="3"/>
  <c r="FP256" i="3"/>
  <c r="FV256" i="3"/>
  <c r="FR256" i="3"/>
  <c r="FS256" i="3"/>
  <c r="FT256" i="3"/>
  <c r="FU256" i="3"/>
  <c r="FX256" i="3"/>
  <c r="DX258" i="3"/>
  <c r="ED258" i="3"/>
  <c r="EE258" i="3"/>
  <c r="EG258" i="3"/>
  <c r="DU258" i="3"/>
  <c r="EH258" i="3"/>
  <c r="EA258" i="3"/>
  <c r="EC258" i="3"/>
  <c r="EF258" i="3"/>
  <c r="DP258" i="3"/>
  <c r="EI258" i="3"/>
  <c r="DV258" i="3"/>
  <c r="DW258" i="3"/>
  <c r="DY258" i="3"/>
  <c r="DZ258" i="3"/>
  <c r="DH258" i="3"/>
  <c r="DI258" i="3"/>
  <c r="DB258" i="3"/>
  <c r="DN258" i="3"/>
  <c r="DJ258" i="3"/>
  <c r="DK258" i="3"/>
  <c r="DL258" i="3"/>
  <c r="CX258" i="3"/>
  <c r="DM258" i="3"/>
  <c r="CY258" i="3"/>
  <c r="CZ258" i="3"/>
  <c r="DA258" i="3"/>
  <c r="DC258" i="3"/>
  <c r="DD258" i="3"/>
  <c r="DE258" i="3"/>
  <c r="DF258" i="3"/>
  <c r="DG258" i="3"/>
  <c r="FX258" i="3"/>
  <c r="FM258" i="3"/>
  <c r="FY258" i="3"/>
  <c r="FT258" i="3"/>
  <c r="FN258" i="3"/>
  <c r="FZ258" i="3"/>
  <c r="FO258" i="3"/>
  <c r="GA258" i="3"/>
  <c r="FP258" i="3"/>
  <c r="FR258" i="3"/>
  <c r="FU258" i="3"/>
  <c r="FS258" i="3"/>
  <c r="FV258" i="3"/>
  <c r="DZ212" i="3"/>
  <c r="DP212" i="3"/>
  <c r="EC212" i="3"/>
  <c r="ED212" i="3"/>
  <c r="EE212" i="3"/>
  <c r="EF212" i="3"/>
  <c r="EG212" i="3"/>
  <c r="DU212" i="3"/>
  <c r="EH212" i="3"/>
  <c r="DY212" i="3"/>
  <c r="EI212" i="3"/>
  <c r="DV212" i="3"/>
  <c r="DW212" i="3"/>
  <c r="DX212" i="3"/>
  <c r="EA212" i="3"/>
  <c r="DI212" i="3"/>
  <c r="CX212" i="3"/>
  <c r="DJ212" i="3"/>
  <c r="DB212" i="3"/>
  <c r="DN212" i="3"/>
  <c r="DC212" i="3"/>
  <c r="DD212" i="3"/>
  <c r="DE212" i="3"/>
  <c r="DH212" i="3"/>
  <c r="DG212" i="3"/>
  <c r="DK212" i="3"/>
  <c r="DL212" i="3"/>
  <c r="DM212" i="3"/>
  <c r="CY212" i="3"/>
  <c r="CZ212" i="3"/>
  <c r="DA212" i="3"/>
  <c r="DF212" i="3"/>
  <c r="FX212" i="3"/>
  <c r="FM212" i="3"/>
  <c r="FY212" i="3"/>
  <c r="FN212" i="3"/>
  <c r="FZ212" i="3"/>
  <c r="FO212" i="3"/>
  <c r="GA212" i="3"/>
  <c r="FP212" i="3"/>
  <c r="FR212" i="3"/>
  <c r="FS212" i="3"/>
  <c r="FT212" i="3"/>
  <c r="FU212" i="3"/>
  <c r="FV212" i="3"/>
  <c r="EF167" i="3"/>
  <c r="DV167" i="3"/>
  <c r="DW167" i="3"/>
  <c r="DP167" i="3"/>
  <c r="EC167" i="3"/>
  <c r="ED167" i="3"/>
  <c r="DX167" i="3"/>
  <c r="EA167" i="3"/>
  <c r="DZ167" i="3"/>
  <c r="EE167" i="3"/>
  <c r="EG167" i="3"/>
  <c r="EH167" i="3"/>
  <c r="EI167" i="3"/>
  <c r="DY167" i="3"/>
  <c r="DU167" i="3"/>
  <c r="DB167" i="3"/>
  <c r="DN167" i="3"/>
  <c r="DC167" i="3"/>
  <c r="DE167" i="3"/>
  <c r="DG167" i="3"/>
  <c r="DH167" i="3"/>
  <c r="DI167" i="3"/>
  <c r="DF167" i="3"/>
  <c r="DJ167" i="3"/>
  <c r="DK167" i="3"/>
  <c r="DL167" i="3"/>
  <c r="DM167" i="3"/>
  <c r="CX167" i="3"/>
  <c r="CY167" i="3"/>
  <c r="CZ167" i="3"/>
  <c r="DD167" i="3"/>
  <c r="DA167" i="3"/>
  <c r="FO167" i="3"/>
  <c r="GA167" i="3"/>
  <c r="FT167" i="3"/>
  <c r="FU167" i="3"/>
  <c r="FV167" i="3"/>
  <c r="FN167" i="3"/>
  <c r="FZ167" i="3"/>
  <c r="FM167" i="3"/>
  <c r="FP167" i="3"/>
  <c r="FR167" i="3"/>
  <c r="FS167" i="3"/>
  <c r="FX167" i="3"/>
  <c r="FY167" i="3"/>
  <c r="DW175" i="3"/>
  <c r="EA175" i="3"/>
  <c r="EG175" i="3"/>
  <c r="DU175" i="3"/>
  <c r="EC175" i="3"/>
  <c r="ED175" i="3"/>
  <c r="DP175" i="3"/>
  <c r="EF175" i="3"/>
  <c r="DV175" i="3"/>
  <c r="DX175" i="3"/>
  <c r="DY175" i="3"/>
  <c r="DZ175" i="3"/>
  <c r="EE175" i="3"/>
  <c r="EH175" i="3"/>
  <c r="EI175" i="3"/>
  <c r="DB175" i="3"/>
  <c r="DN175" i="3"/>
  <c r="DE175" i="3"/>
  <c r="DG175" i="3"/>
  <c r="DH175" i="3"/>
  <c r="DM175" i="3"/>
  <c r="CX175" i="3"/>
  <c r="CY175" i="3"/>
  <c r="CZ175" i="3"/>
  <c r="DA175" i="3"/>
  <c r="DC175" i="3"/>
  <c r="DD175" i="3"/>
  <c r="DF175" i="3"/>
  <c r="DI175" i="3"/>
  <c r="DJ175" i="3"/>
  <c r="DL175" i="3"/>
  <c r="DK175" i="3"/>
  <c r="FS175" i="3"/>
  <c r="FT175" i="3"/>
  <c r="FU175" i="3"/>
  <c r="FV175" i="3"/>
  <c r="FX175" i="3"/>
  <c r="FM175" i="3"/>
  <c r="FY175" i="3"/>
  <c r="FN175" i="3"/>
  <c r="FZ175" i="3"/>
  <c r="FO175" i="3"/>
  <c r="GA175" i="3"/>
  <c r="FP175" i="3"/>
  <c r="FR175" i="3"/>
  <c r="DP198" i="3"/>
  <c r="EC198" i="3"/>
  <c r="ED198" i="3"/>
  <c r="EE198" i="3"/>
  <c r="EF198" i="3"/>
  <c r="EG198" i="3"/>
  <c r="DU198" i="3"/>
  <c r="EH198" i="3"/>
  <c r="DV198" i="3"/>
  <c r="EI198" i="3"/>
  <c r="DW198" i="3"/>
  <c r="DX198" i="3"/>
  <c r="EA198" i="3"/>
  <c r="DZ198" i="3"/>
  <c r="DY198" i="3"/>
  <c r="CY198" i="3"/>
  <c r="DK198" i="3"/>
  <c r="DB198" i="3"/>
  <c r="DN198" i="3"/>
  <c r="DD198" i="3"/>
  <c r="DE198" i="3"/>
  <c r="CX198" i="3"/>
  <c r="CZ198" i="3"/>
  <c r="DA198" i="3"/>
  <c r="DC198" i="3"/>
  <c r="DF198" i="3"/>
  <c r="DG198" i="3"/>
  <c r="DH198" i="3"/>
  <c r="DI198" i="3"/>
  <c r="DJ198" i="3"/>
  <c r="DL198" i="3"/>
  <c r="DM198" i="3"/>
  <c r="FN198" i="3"/>
  <c r="FZ198" i="3"/>
  <c r="FO198" i="3"/>
  <c r="GA198" i="3"/>
  <c r="FP198" i="3"/>
  <c r="FR198" i="3"/>
  <c r="FS198" i="3"/>
  <c r="FT198" i="3"/>
  <c r="FU198" i="3"/>
  <c r="FV198" i="3"/>
  <c r="FM198" i="3"/>
  <c r="FX198" i="3"/>
  <c r="FY198" i="3"/>
  <c r="DW253" i="3"/>
  <c r="DY253" i="3"/>
  <c r="DP253" i="3"/>
  <c r="EC253" i="3"/>
  <c r="ED253" i="3"/>
  <c r="EE253" i="3"/>
  <c r="EF253" i="3"/>
  <c r="EG253" i="3"/>
  <c r="EH253" i="3"/>
  <c r="DU253" i="3"/>
  <c r="EA253" i="3"/>
  <c r="DV253" i="3"/>
  <c r="DX253" i="3"/>
  <c r="DZ253" i="3"/>
  <c r="EI253" i="3"/>
  <c r="DE253" i="3"/>
  <c r="DF253" i="3"/>
  <c r="CY253" i="3"/>
  <c r="DK253" i="3"/>
  <c r="DB253" i="3"/>
  <c r="DC253" i="3"/>
  <c r="DD253" i="3"/>
  <c r="DG253" i="3"/>
  <c r="DH253" i="3"/>
  <c r="DI253" i="3"/>
  <c r="DJ253" i="3"/>
  <c r="DL253" i="3"/>
  <c r="DM253" i="3"/>
  <c r="CX253" i="3"/>
  <c r="DN253" i="3"/>
  <c r="DA253" i="3"/>
  <c r="CZ253" i="3"/>
  <c r="FV253" i="3"/>
  <c r="FT253" i="3"/>
  <c r="FU253" i="3"/>
  <c r="FR253" i="3"/>
  <c r="FX253" i="3"/>
  <c r="FY253" i="3"/>
  <c r="FM253" i="3"/>
  <c r="FZ253" i="3"/>
  <c r="FN253" i="3"/>
  <c r="GA253" i="3"/>
  <c r="FO253" i="3"/>
  <c r="FP253" i="3"/>
  <c r="FS253" i="3"/>
  <c r="EA245" i="3"/>
  <c r="ED245" i="3"/>
  <c r="EE245" i="3"/>
  <c r="DV245" i="3"/>
  <c r="EI245" i="3"/>
  <c r="DU245" i="3"/>
  <c r="DW245" i="3"/>
  <c r="DX245" i="3"/>
  <c r="DY245" i="3"/>
  <c r="DZ245" i="3"/>
  <c r="EC245" i="3"/>
  <c r="EF245" i="3"/>
  <c r="EG245" i="3"/>
  <c r="DP245" i="3"/>
  <c r="EH245" i="3"/>
  <c r="DE245" i="3"/>
  <c r="DF245" i="3"/>
  <c r="CY245" i="3"/>
  <c r="DK245" i="3"/>
  <c r="DJ245" i="3"/>
  <c r="DL245" i="3"/>
  <c r="DM245" i="3"/>
  <c r="CX245" i="3"/>
  <c r="DN245" i="3"/>
  <c r="CZ245" i="3"/>
  <c r="DA245" i="3"/>
  <c r="DB245" i="3"/>
  <c r="DC245" i="3"/>
  <c r="DD245" i="3"/>
  <c r="DG245" i="3"/>
  <c r="DH245" i="3"/>
  <c r="DI245" i="3"/>
  <c r="FU245" i="3"/>
  <c r="FN245" i="3"/>
  <c r="FZ245" i="3"/>
  <c r="FO245" i="3"/>
  <c r="GA245" i="3"/>
  <c r="FP245" i="3"/>
  <c r="FR245" i="3"/>
  <c r="FM245" i="3"/>
  <c r="FS245" i="3"/>
  <c r="FT245" i="3"/>
  <c r="FX245" i="3"/>
  <c r="FV245" i="3"/>
  <c r="FY245" i="3"/>
  <c r="DW197" i="3"/>
  <c r="DX197" i="3"/>
  <c r="DY197" i="3"/>
  <c r="DZ197" i="3"/>
  <c r="EA197" i="3"/>
  <c r="DP197" i="3"/>
  <c r="EC197" i="3"/>
  <c r="ED197" i="3"/>
  <c r="EE197" i="3"/>
  <c r="EF197" i="3"/>
  <c r="DV197" i="3"/>
  <c r="EI197" i="3"/>
  <c r="DU197" i="3"/>
  <c r="EG197" i="3"/>
  <c r="EH197" i="3"/>
  <c r="DH197" i="3"/>
  <c r="CY197" i="3"/>
  <c r="DK197" i="3"/>
  <c r="DA197" i="3"/>
  <c r="DM197" i="3"/>
  <c r="DB197" i="3"/>
  <c r="DN197" i="3"/>
  <c r="DC197" i="3"/>
  <c r="DD197" i="3"/>
  <c r="DE197" i="3"/>
  <c r="DF197" i="3"/>
  <c r="DG197" i="3"/>
  <c r="DI197" i="3"/>
  <c r="DJ197" i="3"/>
  <c r="DL197" i="3"/>
  <c r="CZ197" i="3"/>
  <c r="CX197" i="3"/>
  <c r="FU197" i="3"/>
  <c r="FV197" i="3"/>
  <c r="FX197" i="3"/>
  <c r="FM197" i="3"/>
  <c r="FY197" i="3"/>
  <c r="FN197" i="3"/>
  <c r="FZ197" i="3"/>
  <c r="FO197" i="3"/>
  <c r="GA197" i="3"/>
  <c r="FP197" i="3"/>
  <c r="FR197" i="3"/>
  <c r="FS197" i="3"/>
  <c r="FT197" i="3"/>
  <c r="DP254" i="3"/>
  <c r="EC254" i="3"/>
  <c r="EE254" i="3"/>
  <c r="DU254" i="3"/>
  <c r="EH254" i="3"/>
  <c r="DV254" i="3"/>
  <c r="EI254" i="3"/>
  <c r="DW254" i="3"/>
  <c r="DX254" i="3"/>
  <c r="DY254" i="3"/>
  <c r="DZ254" i="3"/>
  <c r="EA254" i="3"/>
  <c r="ED254" i="3"/>
  <c r="EF254" i="3"/>
  <c r="EG254" i="3"/>
  <c r="DH254" i="3"/>
  <c r="DI254" i="3"/>
  <c r="DB254" i="3"/>
  <c r="DN254" i="3"/>
  <c r="CX254" i="3"/>
  <c r="DM254" i="3"/>
  <c r="CY254" i="3"/>
  <c r="CZ254" i="3"/>
  <c r="DA254" i="3"/>
  <c r="DC254" i="3"/>
  <c r="DD254" i="3"/>
  <c r="DE254" i="3"/>
  <c r="DF254" i="3"/>
  <c r="DG254" i="3"/>
  <c r="DJ254" i="3"/>
  <c r="DK254" i="3"/>
  <c r="DL254" i="3"/>
  <c r="FO254" i="3"/>
  <c r="FN254" i="3"/>
  <c r="GA254" i="3"/>
  <c r="FP254" i="3"/>
  <c r="FX254" i="3"/>
  <c r="FR254" i="3"/>
  <c r="FS254" i="3"/>
  <c r="FY254" i="3"/>
  <c r="FT254" i="3"/>
  <c r="FU254" i="3"/>
  <c r="FV254" i="3"/>
  <c r="FM254" i="3"/>
  <c r="FZ254" i="3"/>
  <c r="EE236" i="3"/>
  <c r="EF236" i="3"/>
  <c r="EG236" i="3"/>
  <c r="DU236" i="3"/>
  <c r="EH236" i="3"/>
  <c r="DY236" i="3"/>
  <c r="DP236" i="3"/>
  <c r="DV236" i="3"/>
  <c r="DW236" i="3"/>
  <c r="DX236" i="3"/>
  <c r="DZ236" i="3"/>
  <c r="EA236" i="3"/>
  <c r="EC236" i="3"/>
  <c r="EI236" i="3"/>
  <c r="ED236" i="3"/>
  <c r="DI236" i="3"/>
  <c r="DB236" i="3"/>
  <c r="DN236" i="3"/>
  <c r="DC236" i="3"/>
  <c r="DD236" i="3"/>
  <c r="DH236" i="3"/>
  <c r="DA236" i="3"/>
  <c r="DE236" i="3"/>
  <c r="DF236" i="3"/>
  <c r="DG236" i="3"/>
  <c r="DJ236" i="3"/>
  <c r="DK236" i="3"/>
  <c r="DL236" i="3"/>
  <c r="DM236" i="3"/>
  <c r="CX236" i="3"/>
  <c r="CY236" i="3"/>
  <c r="CZ236" i="3"/>
  <c r="FX236" i="3"/>
  <c r="FR236" i="3"/>
  <c r="FS236" i="3"/>
  <c r="FT236" i="3"/>
  <c r="FU236" i="3"/>
  <c r="FM236" i="3"/>
  <c r="FN236" i="3"/>
  <c r="FO236" i="3"/>
  <c r="FP236" i="3"/>
  <c r="FV236" i="3"/>
  <c r="FY236" i="3"/>
  <c r="FZ236" i="3"/>
  <c r="GA236" i="3"/>
  <c r="DP176" i="3"/>
  <c r="EG176" i="3"/>
  <c r="DY176" i="3"/>
  <c r="EH176" i="3"/>
  <c r="DX176" i="3"/>
  <c r="DZ176" i="3"/>
  <c r="EC176" i="3"/>
  <c r="EF176" i="3"/>
  <c r="DU176" i="3"/>
  <c r="DV176" i="3"/>
  <c r="DW176" i="3"/>
  <c r="EA176" i="3"/>
  <c r="ED176" i="3"/>
  <c r="EE176" i="3"/>
  <c r="EI176" i="3"/>
  <c r="DE176" i="3"/>
  <c r="DH176" i="3"/>
  <c r="CX176" i="3"/>
  <c r="DJ176" i="3"/>
  <c r="CY176" i="3"/>
  <c r="DK176" i="3"/>
  <c r="DL176" i="3"/>
  <c r="DM176" i="3"/>
  <c r="DN176" i="3"/>
  <c r="CZ176" i="3"/>
  <c r="DA176" i="3"/>
  <c r="DB176" i="3"/>
  <c r="DC176" i="3"/>
  <c r="DD176" i="3"/>
  <c r="DF176" i="3"/>
  <c r="DI176" i="3"/>
  <c r="DG176" i="3"/>
  <c r="FX176" i="3"/>
  <c r="FM176" i="3"/>
  <c r="FY176" i="3"/>
  <c r="FN176" i="3"/>
  <c r="FZ176" i="3"/>
  <c r="FO176" i="3"/>
  <c r="GA176" i="3"/>
  <c r="FP176" i="3"/>
  <c r="FR176" i="3"/>
  <c r="FS176" i="3"/>
  <c r="FT176" i="3"/>
  <c r="FU176" i="3"/>
  <c r="FV176" i="3"/>
  <c r="DW163" i="3"/>
  <c r="DZ163" i="3"/>
  <c r="EA163" i="3"/>
  <c r="EG163" i="3"/>
  <c r="DP163" i="3"/>
  <c r="EH163" i="3"/>
  <c r="DV163" i="3"/>
  <c r="DX163" i="3"/>
  <c r="EC163" i="3"/>
  <c r="EF163" i="3"/>
  <c r="DU163" i="3"/>
  <c r="DY163" i="3"/>
  <c r="ED163" i="3"/>
  <c r="EE163" i="3"/>
  <c r="EI163" i="3"/>
  <c r="DB163" i="3"/>
  <c r="DN163" i="3"/>
  <c r="DC163" i="3"/>
  <c r="DE163" i="3"/>
  <c r="DG163" i="3"/>
  <c r="DH163" i="3"/>
  <c r="DI163" i="3"/>
  <c r="CX163" i="3"/>
  <c r="CY163" i="3"/>
  <c r="CZ163" i="3"/>
  <c r="DA163" i="3"/>
  <c r="DD163" i="3"/>
  <c r="DF163" i="3"/>
  <c r="DJ163" i="3"/>
  <c r="DK163" i="3"/>
  <c r="DL163" i="3"/>
  <c r="DM163" i="3"/>
  <c r="FS163" i="3"/>
  <c r="FX163" i="3"/>
  <c r="FM163" i="3"/>
  <c r="FY163" i="3"/>
  <c r="FN163" i="3"/>
  <c r="FZ163" i="3"/>
  <c r="FO163" i="3"/>
  <c r="GA163" i="3"/>
  <c r="FR163" i="3"/>
  <c r="FP163" i="3"/>
  <c r="FT163" i="3"/>
  <c r="FU163" i="3"/>
  <c r="FV163" i="3"/>
  <c r="DP180" i="3"/>
  <c r="EC180" i="3"/>
  <c r="DU180" i="3"/>
  <c r="EH180" i="3"/>
  <c r="ED180" i="3"/>
  <c r="DV180" i="3"/>
  <c r="DX180" i="3"/>
  <c r="EA180" i="3"/>
  <c r="DW180" i="3"/>
  <c r="DY180" i="3"/>
  <c r="DZ180" i="3"/>
  <c r="EE180" i="3"/>
  <c r="EF180" i="3"/>
  <c r="EG180" i="3"/>
  <c r="EI180" i="3"/>
  <c r="DE180" i="3"/>
  <c r="DH180" i="3"/>
  <c r="CX180" i="3"/>
  <c r="DJ180" i="3"/>
  <c r="CY180" i="3"/>
  <c r="DK180" i="3"/>
  <c r="CZ180" i="3"/>
  <c r="DA180" i="3"/>
  <c r="DB180" i="3"/>
  <c r="DC180" i="3"/>
  <c r="DD180" i="3"/>
  <c r="DF180" i="3"/>
  <c r="DG180" i="3"/>
  <c r="DI180" i="3"/>
  <c r="DL180" i="3"/>
  <c r="DM180" i="3"/>
  <c r="DN180" i="3"/>
  <c r="FT180" i="3"/>
  <c r="FU180" i="3"/>
  <c r="FV180" i="3"/>
  <c r="FX180" i="3"/>
  <c r="FM180" i="3"/>
  <c r="FY180" i="3"/>
  <c r="FN180" i="3"/>
  <c r="FZ180" i="3"/>
  <c r="FO180" i="3"/>
  <c r="GA180" i="3"/>
  <c r="FP180" i="3"/>
  <c r="FR180" i="3"/>
  <c r="FS180" i="3"/>
  <c r="DV194" i="3"/>
  <c r="EG194" i="3"/>
  <c r="EH194" i="3"/>
  <c r="DU194" i="3"/>
  <c r="EI194" i="3"/>
  <c r="DW194" i="3"/>
  <c r="DX194" i="3"/>
  <c r="DY194" i="3"/>
  <c r="DZ194" i="3"/>
  <c r="EA194" i="3"/>
  <c r="EC194" i="3"/>
  <c r="EF194" i="3"/>
  <c r="DP194" i="3"/>
  <c r="ED194" i="3"/>
  <c r="EE194" i="3"/>
  <c r="CY194" i="3"/>
  <c r="DK194" i="3"/>
  <c r="DB194" i="3"/>
  <c r="DN194" i="3"/>
  <c r="DD194" i="3"/>
  <c r="DE194" i="3"/>
  <c r="DJ194" i="3"/>
  <c r="DL194" i="3"/>
  <c r="DM194" i="3"/>
  <c r="CX194" i="3"/>
  <c r="CZ194" i="3"/>
  <c r="DA194" i="3"/>
  <c r="DC194" i="3"/>
  <c r="DF194" i="3"/>
  <c r="DG194" i="3"/>
  <c r="DI194" i="3"/>
  <c r="DH194" i="3"/>
  <c r="FR194" i="3"/>
  <c r="FS194" i="3"/>
  <c r="FT194" i="3"/>
  <c r="FU194" i="3"/>
  <c r="FV194" i="3"/>
  <c r="FX194" i="3"/>
  <c r="FM194" i="3"/>
  <c r="FY194" i="3"/>
  <c r="FN194" i="3"/>
  <c r="FZ194" i="3"/>
  <c r="FO194" i="3"/>
  <c r="GA194" i="3"/>
  <c r="FP194" i="3"/>
  <c r="DU165" i="3"/>
  <c r="EH165" i="3"/>
  <c r="DX165" i="3"/>
  <c r="DY165" i="3"/>
  <c r="EE165" i="3"/>
  <c r="EF165" i="3"/>
  <c r="DV165" i="3"/>
  <c r="DZ165" i="3"/>
  <c r="ED165" i="3"/>
  <c r="EI165" i="3"/>
  <c r="DP165" i="3"/>
  <c r="DW165" i="3"/>
  <c r="EG165" i="3"/>
  <c r="EA165" i="3"/>
  <c r="EC165" i="3"/>
  <c r="DH165" i="3"/>
  <c r="DI165" i="3"/>
  <c r="CY165" i="3"/>
  <c r="DK165" i="3"/>
  <c r="DA165" i="3"/>
  <c r="DM165" i="3"/>
  <c r="DB165" i="3"/>
  <c r="DN165" i="3"/>
  <c r="DC165" i="3"/>
  <c r="CZ165" i="3"/>
  <c r="DD165" i="3"/>
  <c r="DE165" i="3"/>
  <c r="DF165" i="3"/>
  <c r="DG165" i="3"/>
  <c r="DJ165" i="3"/>
  <c r="DL165" i="3"/>
  <c r="CX165" i="3"/>
  <c r="FV165" i="3"/>
  <c r="FX165" i="3"/>
  <c r="FM165" i="3"/>
  <c r="FY165" i="3"/>
  <c r="FP165" i="3"/>
  <c r="FR165" i="3"/>
  <c r="FS165" i="3"/>
  <c r="FT165" i="3"/>
  <c r="FU165" i="3"/>
  <c r="FZ165" i="3"/>
  <c r="GA165" i="3"/>
  <c r="FN165" i="3"/>
  <c r="FO165" i="3"/>
  <c r="DP250" i="3"/>
  <c r="EC250" i="3"/>
  <c r="EE250" i="3"/>
  <c r="EF250" i="3"/>
  <c r="DW250" i="3"/>
  <c r="EG250" i="3"/>
  <c r="EI250" i="3"/>
  <c r="DU250" i="3"/>
  <c r="DV250" i="3"/>
  <c r="DX250" i="3"/>
  <c r="DY250" i="3"/>
  <c r="DZ250" i="3"/>
  <c r="EA250" i="3"/>
  <c r="ED250" i="3"/>
  <c r="EH250" i="3"/>
  <c r="DH250" i="3"/>
  <c r="DI250" i="3"/>
  <c r="DB250" i="3"/>
  <c r="DN250" i="3"/>
  <c r="DA250" i="3"/>
  <c r="DC250" i="3"/>
  <c r="DD250" i="3"/>
  <c r="DE250" i="3"/>
  <c r="DF250" i="3"/>
  <c r="DG250" i="3"/>
  <c r="DJ250" i="3"/>
  <c r="DK250" i="3"/>
  <c r="DL250" i="3"/>
  <c r="CX250" i="3"/>
  <c r="DM250" i="3"/>
  <c r="CY250" i="3"/>
  <c r="CZ250" i="3"/>
  <c r="FV250" i="3"/>
  <c r="FO250" i="3"/>
  <c r="GA250" i="3"/>
  <c r="FP250" i="3"/>
  <c r="FR250" i="3"/>
  <c r="FS250" i="3"/>
  <c r="FM250" i="3"/>
  <c r="FY250" i="3"/>
  <c r="FN250" i="3"/>
  <c r="FT250" i="3"/>
  <c r="FU250" i="3"/>
  <c r="FZ250" i="3"/>
  <c r="FX250" i="3"/>
  <c r="DX242" i="3"/>
  <c r="DZ242" i="3"/>
  <c r="EA242" i="3"/>
  <c r="EF242" i="3"/>
  <c r="DU242" i="3"/>
  <c r="DV242" i="3"/>
  <c r="DW242" i="3"/>
  <c r="DY242" i="3"/>
  <c r="EC242" i="3"/>
  <c r="ED242" i="3"/>
  <c r="EE242" i="3"/>
  <c r="EG242" i="3"/>
  <c r="DP242" i="3"/>
  <c r="EH242" i="3"/>
  <c r="EI242" i="3"/>
  <c r="DC242" i="3"/>
  <c r="DH242" i="3"/>
  <c r="DI242" i="3"/>
  <c r="CX242" i="3"/>
  <c r="DJ242" i="3"/>
  <c r="DB242" i="3"/>
  <c r="DN242" i="3"/>
  <c r="CZ242" i="3"/>
  <c r="DA242" i="3"/>
  <c r="DD242" i="3"/>
  <c r="DE242" i="3"/>
  <c r="DF242" i="3"/>
  <c r="DG242" i="3"/>
  <c r="DK242" i="3"/>
  <c r="DL242" i="3"/>
  <c r="DM242" i="3"/>
  <c r="CY242" i="3"/>
  <c r="FR242" i="3"/>
  <c r="FX242" i="3"/>
  <c r="FM242" i="3"/>
  <c r="FY242" i="3"/>
  <c r="FN242" i="3"/>
  <c r="FZ242" i="3"/>
  <c r="FO242" i="3"/>
  <c r="GA242" i="3"/>
  <c r="FS242" i="3"/>
  <c r="FT242" i="3"/>
  <c r="FU242" i="3"/>
  <c r="FV242" i="3"/>
  <c r="FP242" i="3"/>
  <c r="ED243" i="3"/>
  <c r="EF243" i="3"/>
  <c r="EG243" i="3"/>
  <c r="DX243" i="3"/>
  <c r="DU243" i="3"/>
  <c r="DV243" i="3"/>
  <c r="DW243" i="3"/>
  <c r="DY243" i="3"/>
  <c r="DZ243" i="3"/>
  <c r="EA243" i="3"/>
  <c r="EC243" i="3"/>
  <c r="EE243" i="3"/>
  <c r="EH243" i="3"/>
  <c r="EI243" i="3"/>
  <c r="DP243" i="3"/>
  <c r="DF243" i="3"/>
  <c r="CY243" i="3"/>
  <c r="DK243" i="3"/>
  <c r="CZ243" i="3"/>
  <c r="DL243" i="3"/>
  <c r="DA243" i="3"/>
  <c r="DM243" i="3"/>
  <c r="DE243" i="3"/>
  <c r="CX243" i="3"/>
  <c r="DB243" i="3"/>
  <c r="DC243" i="3"/>
  <c r="DD243" i="3"/>
  <c r="DG243" i="3"/>
  <c r="DH243" i="3"/>
  <c r="DI243" i="3"/>
  <c r="DJ243" i="3"/>
  <c r="DN243" i="3"/>
  <c r="FP243" i="3"/>
  <c r="FR243" i="3"/>
  <c r="FS243" i="3"/>
  <c r="FT243" i="3"/>
  <c r="FV243" i="3"/>
  <c r="FN243" i="3"/>
  <c r="FX243" i="3"/>
  <c r="FY243" i="3"/>
  <c r="FZ243" i="3"/>
  <c r="GA243" i="3"/>
  <c r="FO243" i="3"/>
  <c r="FM243" i="3"/>
  <c r="FU243" i="3"/>
  <c r="DW249" i="3"/>
  <c r="DY249" i="3"/>
  <c r="DZ249" i="3"/>
  <c r="EE249" i="3"/>
  <c r="EG249" i="3"/>
  <c r="EI249" i="3"/>
  <c r="DU249" i="3"/>
  <c r="DV249" i="3"/>
  <c r="DX249" i="3"/>
  <c r="EA249" i="3"/>
  <c r="EC249" i="3"/>
  <c r="DP249" i="3"/>
  <c r="EF249" i="3"/>
  <c r="EH249" i="3"/>
  <c r="ED249" i="3"/>
  <c r="DE249" i="3"/>
  <c r="DF249" i="3"/>
  <c r="CY249" i="3"/>
  <c r="DK249" i="3"/>
  <c r="DG249" i="3"/>
  <c r="DH249" i="3"/>
  <c r="DI249" i="3"/>
  <c r="DJ249" i="3"/>
  <c r="DL249" i="3"/>
  <c r="DM249" i="3"/>
  <c r="CX249" i="3"/>
  <c r="DN249" i="3"/>
  <c r="CZ249" i="3"/>
  <c r="DA249" i="3"/>
  <c r="DB249" i="3"/>
  <c r="DC249" i="3"/>
  <c r="DD249" i="3"/>
  <c r="FV249" i="3"/>
  <c r="FX249" i="3"/>
  <c r="FM249" i="3"/>
  <c r="FY249" i="3"/>
  <c r="FN249" i="3"/>
  <c r="FZ249" i="3"/>
  <c r="FT249" i="3"/>
  <c r="FO249" i="3"/>
  <c r="FP249" i="3"/>
  <c r="FR249" i="3"/>
  <c r="FU249" i="3"/>
  <c r="FS249" i="3"/>
  <c r="GA249" i="3"/>
  <c r="DW209" i="3"/>
  <c r="DX209" i="3"/>
  <c r="DY209" i="3"/>
  <c r="DZ209" i="3"/>
  <c r="EA209" i="3"/>
  <c r="DP209" i="3"/>
  <c r="EC209" i="3"/>
  <c r="ED209" i="3"/>
  <c r="EE209" i="3"/>
  <c r="EF209" i="3"/>
  <c r="DV209" i="3"/>
  <c r="EI209" i="3"/>
  <c r="DU209" i="3"/>
  <c r="EG209" i="3"/>
  <c r="EH209" i="3"/>
  <c r="CY209" i="3"/>
  <c r="CZ209" i="3"/>
  <c r="DL209" i="3"/>
  <c r="DA209" i="3"/>
  <c r="DM209" i="3"/>
  <c r="DE209" i="3"/>
  <c r="DF209" i="3"/>
  <c r="DG209" i="3"/>
  <c r="DH209" i="3"/>
  <c r="CX209" i="3"/>
  <c r="DK209" i="3"/>
  <c r="DN209" i="3"/>
  <c r="DB209" i="3"/>
  <c r="DC209" i="3"/>
  <c r="DD209" i="3"/>
  <c r="DI209" i="3"/>
  <c r="DJ209" i="3"/>
  <c r="FU209" i="3"/>
  <c r="FV209" i="3"/>
  <c r="FX209" i="3"/>
  <c r="FM209" i="3"/>
  <c r="FY209" i="3"/>
  <c r="FN209" i="3"/>
  <c r="FZ209" i="3"/>
  <c r="FO209" i="3"/>
  <c r="GA209" i="3"/>
  <c r="FP209" i="3"/>
  <c r="FR209" i="3"/>
  <c r="FS209" i="3"/>
  <c r="FT209" i="3"/>
  <c r="DU189" i="3"/>
  <c r="EH189" i="3"/>
  <c r="DZ189" i="3"/>
  <c r="EA189" i="3"/>
  <c r="EG189" i="3"/>
  <c r="DV189" i="3"/>
  <c r="DW189" i="3"/>
  <c r="DX189" i="3"/>
  <c r="DY189" i="3"/>
  <c r="EC189" i="3"/>
  <c r="ED189" i="3"/>
  <c r="DP189" i="3"/>
  <c r="EI189" i="3"/>
  <c r="EE189" i="3"/>
  <c r="EF189" i="3"/>
  <c r="DH189" i="3"/>
  <c r="CY189" i="3"/>
  <c r="DK189" i="3"/>
  <c r="DA189" i="3"/>
  <c r="DM189" i="3"/>
  <c r="DB189" i="3"/>
  <c r="DN189" i="3"/>
  <c r="DG189" i="3"/>
  <c r="DI189" i="3"/>
  <c r="DJ189" i="3"/>
  <c r="DL189" i="3"/>
  <c r="CX189" i="3"/>
  <c r="CZ189" i="3"/>
  <c r="DC189" i="3"/>
  <c r="DD189" i="3"/>
  <c r="DF189" i="3"/>
  <c r="DE189" i="3"/>
  <c r="FR189" i="3"/>
  <c r="FS189" i="3"/>
  <c r="FT189" i="3"/>
  <c r="FU189" i="3"/>
  <c r="FV189" i="3"/>
  <c r="FX189" i="3"/>
  <c r="FM189" i="3"/>
  <c r="FY189" i="3"/>
  <c r="FN189" i="3"/>
  <c r="FZ189" i="3"/>
  <c r="GA189" i="3"/>
  <c r="FO189" i="3"/>
  <c r="FP189" i="3"/>
  <c r="DY177" i="3"/>
  <c r="EE177" i="3"/>
  <c r="EC177" i="3"/>
  <c r="EI177" i="3"/>
  <c r="DU177" i="3"/>
  <c r="DW177" i="3"/>
  <c r="EA177" i="3"/>
  <c r="DZ177" i="3"/>
  <c r="ED177" i="3"/>
  <c r="EF177" i="3"/>
  <c r="EG177" i="3"/>
  <c r="EH177" i="3"/>
  <c r="DP177" i="3"/>
  <c r="DX177" i="3"/>
  <c r="DV177" i="3"/>
  <c r="DH177" i="3"/>
  <c r="CY177" i="3"/>
  <c r="DK177" i="3"/>
  <c r="DA177" i="3"/>
  <c r="DM177" i="3"/>
  <c r="DB177" i="3"/>
  <c r="DN177" i="3"/>
  <c r="DG177" i="3"/>
  <c r="DI177" i="3"/>
  <c r="DJ177" i="3"/>
  <c r="DL177" i="3"/>
  <c r="CX177" i="3"/>
  <c r="CZ177" i="3"/>
  <c r="DC177" i="3"/>
  <c r="DD177" i="3"/>
  <c r="DF177" i="3"/>
  <c r="DE177" i="3"/>
  <c r="FR177" i="3"/>
  <c r="FS177" i="3"/>
  <c r="FT177" i="3"/>
  <c r="FU177" i="3"/>
  <c r="FV177" i="3"/>
  <c r="FX177" i="3"/>
  <c r="FM177" i="3"/>
  <c r="FY177" i="3"/>
  <c r="FN177" i="3"/>
  <c r="FZ177" i="3"/>
  <c r="GA177" i="3"/>
  <c r="FP177" i="3"/>
  <c r="FO177" i="3"/>
  <c r="DP238" i="3"/>
  <c r="EC238" i="3"/>
  <c r="ED238" i="3"/>
  <c r="EE238" i="3"/>
  <c r="EF238" i="3"/>
  <c r="DW238" i="3"/>
  <c r="DU238" i="3"/>
  <c r="DV238" i="3"/>
  <c r="DX238" i="3"/>
  <c r="DY238" i="3"/>
  <c r="DZ238" i="3"/>
  <c r="EA238" i="3"/>
  <c r="EG238" i="3"/>
  <c r="EH238" i="3"/>
  <c r="EI238" i="3"/>
  <c r="DC238" i="3"/>
  <c r="DH238" i="3"/>
  <c r="DI238" i="3"/>
  <c r="CX238" i="3"/>
  <c r="DJ238" i="3"/>
  <c r="DB238" i="3"/>
  <c r="DN238" i="3"/>
  <c r="DA238" i="3"/>
  <c r="DD238" i="3"/>
  <c r="DE238" i="3"/>
  <c r="DF238" i="3"/>
  <c r="DG238" i="3"/>
  <c r="DK238" i="3"/>
  <c r="DL238" i="3"/>
  <c r="DM238" i="3"/>
  <c r="CY238" i="3"/>
  <c r="CZ238" i="3"/>
  <c r="FV238" i="3"/>
  <c r="FO238" i="3"/>
  <c r="GA238" i="3"/>
  <c r="FP238" i="3"/>
  <c r="FR238" i="3"/>
  <c r="FS238" i="3"/>
  <c r="FU238" i="3"/>
  <c r="FX238" i="3"/>
  <c r="FM238" i="3"/>
  <c r="FY238" i="3"/>
  <c r="FZ238" i="3"/>
  <c r="FN238" i="3"/>
  <c r="FT238" i="3"/>
  <c r="ED157" i="3"/>
  <c r="EG157" i="3"/>
  <c r="DU157" i="3"/>
  <c r="EH157" i="3"/>
  <c r="DZ157" i="3"/>
  <c r="DV157" i="3"/>
  <c r="EC157" i="3"/>
  <c r="EE157" i="3"/>
  <c r="EI157" i="3"/>
  <c r="EF157" i="3"/>
  <c r="DP157" i="3"/>
  <c r="DW157" i="3"/>
  <c r="EA157" i="3"/>
  <c r="DY157" i="3"/>
  <c r="DX157" i="3"/>
  <c r="DF157" i="3"/>
  <c r="DH157" i="3"/>
  <c r="DI157" i="3"/>
  <c r="CY157" i="3"/>
  <c r="DK157" i="3"/>
  <c r="CZ157" i="3"/>
  <c r="DA157" i="3"/>
  <c r="DM157" i="3"/>
  <c r="DB157" i="3"/>
  <c r="DN157" i="3"/>
  <c r="DC157" i="3"/>
  <c r="CX157" i="3"/>
  <c r="DD157" i="3"/>
  <c r="DE157" i="3"/>
  <c r="DG157" i="3"/>
  <c r="DJ157" i="3"/>
  <c r="DL157" i="3"/>
  <c r="FM157" i="3"/>
  <c r="FY157" i="3"/>
  <c r="FR157" i="3"/>
  <c r="FS157" i="3"/>
  <c r="FT157" i="3"/>
  <c r="FU157" i="3"/>
  <c r="FX157" i="3"/>
  <c r="FZ157" i="3"/>
  <c r="GA157" i="3"/>
  <c r="FN157" i="3"/>
  <c r="FO157" i="3"/>
  <c r="FP157" i="3"/>
  <c r="FV157" i="3"/>
  <c r="DY247" i="3"/>
  <c r="EA247" i="3"/>
  <c r="DP247" i="3"/>
  <c r="EC247" i="3"/>
  <c r="EG247" i="3"/>
  <c r="EI247" i="3"/>
  <c r="DU247" i="3"/>
  <c r="DV247" i="3"/>
  <c r="DW247" i="3"/>
  <c r="DX247" i="3"/>
  <c r="DZ247" i="3"/>
  <c r="ED247" i="3"/>
  <c r="EE247" i="3"/>
  <c r="EF247" i="3"/>
  <c r="EH247" i="3"/>
  <c r="CY247" i="3"/>
  <c r="DK247" i="3"/>
  <c r="CZ247" i="3"/>
  <c r="DL247" i="3"/>
  <c r="DE247" i="3"/>
  <c r="DA247" i="3"/>
  <c r="DB247" i="3"/>
  <c r="DC247" i="3"/>
  <c r="DD247" i="3"/>
  <c r="DF247" i="3"/>
  <c r="DG247" i="3"/>
  <c r="DH247" i="3"/>
  <c r="DI247" i="3"/>
  <c r="DJ247" i="3"/>
  <c r="DM247" i="3"/>
  <c r="CX247" i="3"/>
  <c r="DN247" i="3"/>
  <c r="FS247" i="3"/>
  <c r="FX247" i="3"/>
  <c r="FM247" i="3"/>
  <c r="FY247" i="3"/>
  <c r="FN247" i="3"/>
  <c r="FZ247" i="3"/>
  <c r="FO247" i="3"/>
  <c r="GA247" i="3"/>
  <c r="FP247" i="3"/>
  <c r="FR247" i="3"/>
  <c r="FT247" i="3"/>
  <c r="FU247" i="3"/>
  <c r="FV247" i="3"/>
  <c r="DZ240" i="3"/>
  <c r="EA240" i="3"/>
  <c r="DP240" i="3"/>
  <c r="EC240" i="3"/>
  <c r="ED240" i="3"/>
  <c r="DU240" i="3"/>
  <c r="EH240" i="3"/>
  <c r="DV240" i="3"/>
  <c r="DW240" i="3"/>
  <c r="DX240" i="3"/>
  <c r="DY240" i="3"/>
  <c r="EE240" i="3"/>
  <c r="EF240" i="3"/>
  <c r="EG240" i="3"/>
  <c r="EI240" i="3"/>
  <c r="DI240" i="3"/>
  <c r="DB240" i="3"/>
  <c r="DN240" i="3"/>
  <c r="DC240" i="3"/>
  <c r="DD240" i="3"/>
  <c r="DH240" i="3"/>
  <c r="CZ240" i="3"/>
  <c r="DA240" i="3"/>
  <c r="DE240" i="3"/>
  <c r="DF240" i="3"/>
  <c r="DG240" i="3"/>
  <c r="DJ240" i="3"/>
  <c r="DK240" i="3"/>
  <c r="DL240" i="3"/>
  <c r="DM240" i="3"/>
  <c r="CX240" i="3"/>
  <c r="CY240" i="3"/>
  <c r="FT240" i="3"/>
  <c r="FM240" i="3"/>
  <c r="FY240" i="3"/>
  <c r="FN240" i="3"/>
  <c r="FZ240" i="3"/>
  <c r="FO240" i="3"/>
  <c r="GA240" i="3"/>
  <c r="FP240" i="3"/>
  <c r="FX240" i="3"/>
  <c r="FR240" i="3"/>
  <c r="FS240" i="3"/>
  <c r="FU240" i="3"/>
  <c r="FV240" i="3"/>
  <c r="DU239" i="3"/>
  <c r="EH239" i="3"/>
  <c r="DV239" i="3"/>
  <c r="EI239" i="3"/>
  <c r="DW239" i="3"/>
  <c r="DX239" i="3"/>
  <c r="DP239" i="3"/>
  <c r="EC239" i="3"/>
  <c r="DY239" i="3"/>
  <c r="DZ239" i="3"/>
  <c r="EA239" i="3"/>
  <c r="ED239" i="3"/>
  <c r="EE239" i="3"/>
  <c r="EF239" i="3"/>
  <c r="EG239" i="3"/>
  <c r="DF239" i="3"/>
  <c r="CY239" i="3"/>
  <c r="DK239" i="3"/>
  <c r="CZ239" i="3"/>
  <c r="DL239" i="3"/>
  <c r="DA239" i="3"/>
  <c r="DM239" i="3"/>
  <c r="DE239" i="3"/>
  <c r="DB239" i="3"/>
  <c r="DC239" i="3"/>
  <c r="DD239" i="3"/>
  <c r="DG239" i="3"/>
  <c r="DH239" i="3"/>
  <c r="DI239" i="3"/>
  <c r="DJ239" i="3"/>
  <c r="DN239" i="3"/>
  <c r="CX239" i="3"/>
  <c r="FO239" i="3"/>
  <c r="GA239" i="3"/>
  <c r="FT239" i="3"/>
  <c r="FU239" i="3"/>
  <c r="FV239" i="3"/>
  <c r="FX239" i="3"/>
  <c r="FZ239" i="3"/>
  <c r="FS239" i="3"/>
  <c r="FR239" i="3"/>
  <c r="FM239" i="3"/>
  <c r="FN239" i="3"/>
  <c r="FP239" i="3"/>
  <c r="FY239" i="3"/>
  <c r="ED215" i="3"/>
  <c r="EF215" i="3"/>
  <c r="EG215" i="3"/>
  <c r="DU215" i="3"/>
  <c r="EH215" i="3"/>
  <c r="DV215" i="3"/>
  <c r="EI215" i="3"/>
  <c r="DW215" i="3"/>
  <c r="DX215" i="3"/>
  <c r="DP215" i="3"/>
  <c r="EC215" i="3"/>
  <c r="DY215" i="3"/>
  <c r="DZ215" i="3"/>
  <c r="EA215" i="3"/>
  <c r="EE215" i="3"/>
  <c r="DF215" i="3"/>
  <c r="CY215" i="3"/>
  <c r="DK215" i="3"/>
  <c r="CZ215" i="3"/>
  <c r="DL215" i="3"/>
  <c r="DA215" i="3"/>
  <c r="DM215" i="3"/>
  <c r="DE215" i="3"/>
  <c r="DJ215" i="3"/>
  <c r="DN215" i="3"/>
  <c r="CX215" i="3"/>
  <c r="DB215" i="3"/>
  <c r="DC215" i="3"/>
  <c r="DD215" i="3"/>
  <c r="DG215" i="3"/>
  <c r="DH215" i="3"/>
  <c r="DI215" i="3"/>
  <c r="FO215" i="3"/>
  <c r="GA215" i="3"/>
  <c r="FP215" i="3"/>
  <c r="FR215" i="3"/>
  <c r="FS215" i="3"/>
  <c r="FT215" i="3"/>
  <c r="FU215" i="3"/>
  <c r="FV215" i="3"/>
  <c r="FX215" i="3"/>
  <c r="FN215" i="3"/>
  <c r="FY215" i="3"/>
  <c r="FM215" i="3"/>
  <c r="FZ215" i="3"/>
  <c r="EE252" i="3"/>
  <c r="EG252" i="3"/>
  <c r="DU252" i="3"/>
  <c r="DV252" i="3"/>
  <c r="DW252" i="3"/>
  <c r="DX252" i="3"/>
  <c r="DY252" i="3"/>
  <c r="DZ252" i="3"/>
  <c r="EA252" i="3"/>
  <c r="EH252" i="3"/>
  <c r="EI252" i="3"/>
  <c r="DP252" i="3"/>
  <c r="EC252" i="3"/>
  <c r="ED252" i="3"/>
  <c r="EF252" i="3"/>
  <c r="DB252" i="3"/>
  <c r="DN252" i="3"/>
  <c r="DC252" i="3"/>
  <c r="DH252" i="3"/>
  <c r="DG252" i="3"/>
  <c r="DI252" i="3"/>
  <c r="DJ252" i="3"/>
  <c r="DK252" i="3"/>
  <c r="DL252" i="3"/>
  <c r="CX252" i="3"/>
  <c r="DM252" i="3"/>
  <c r="CY252" i="3"/>
  <c r="CZ252" i="3"/>
  <c r="DA252" i="3"/>
  <c r="DD252" i="3"/>
  <c r="FT252" i="3"/>
  <c r="DE252" i="3"/>
  <c r="DF252" i="3"/>
  <c r="FZ252" i="3"/>
  <c r="FM252" i="3"/>
  <c r="GA252" i="3"/>
  <c r="FN252" i="3"/>
  <c r="FO252" i="3"/>
  <c r="FP252" i="3"/>
  <c r="FR252" i="3"/>
  <c r="FS252" i="3"/>
  <c r="FU252" i="3"/>
  <c r="FV252" i="3"/>
  <c r="FY252" i="3"/>
  <c r="FX252" i="3"/>
  <c r="DZ166" i="3"/>
  <c r="ED166" i="3"/>
  <c r="EE166" i="3"/>
  <c r="DW166" i="3"/>
  <c r="EF166" i="3"/>
  <c r="DU166" i="3"/>
  <c r="DX166" i="3"/>
  <c r="EC166" i="3"/>
  <c r="DP166" i="3"/>
  <c r="DV166" i="3"/>
  <c r="DY166" i="3"/>
  <c r="EA166" i="3"/>
  <c r="EG166" i="3"/>
  <c r="EH166" i="3"/>
  <c r="EI166" i="3"/>
  <c r="CY166" i="3"/>
  <c r="DK166" i="3"/>
  <c r="CZ166" i="3"/>
  <c r="DL166" i="3"/>
  <c r="DB166" i="3"/>
  <c r="DN166" i="3"/>
  <c r="DD166" i="3"/>
  <c r="DE166" i="3"/>
  <c r="DF166" i="3"/>
  <c r="DC166" i="3"/>
  <c r="DG166" i="3"/>
  <c r="DH166" i="3"/>
  <c r="DI166" i="3"/>
  <c r="DJ166" i="3"/>
  <c r="DM166" i="3"/>
  <c r="DA166" i="3"/>
  <c r="CX166" i="3"/>
  <c r="FV166" i="3"/>
  <c r="FO166" i="3"/>
  <c r="GA166" i="3"/>
  <c r="FP166" i="3"/>
  <c r="FR166" i="3"/>
  <c r="FU166" i="3"/>
  <c r="FX166" i="3"/>
  <c r="FY166" i="3"/>
  <c r="FZ166" i="3"/>
  <c r="FM166" i="3"/>
  <c r="FN166" i="3"/>
  <c r="FS166" i="3"/>
  <c r="FT166" i="3"/>
  <c r="DY221" i="3"/>
  <c r="EA221" i="3"/>
  <c r="DP221" i="3"/>
  <c r="EC221" i="3"/>
  <c r="ED221" i="3"/>
  <c r="EE221" i="3"/>
  <c r="DV221" i="3"/>
  <c r="EI221" i="3"/>
  <c r="DX221" i="3"/>
  <c r="DZ221" i="3"/>
  <c r="EF221" i="3"/>
  <c r="EG221" i="3"/>
  <c r="EH221" i="3"/>
  <c r="DU221" i="3"/>
  <c r="DW221" i="3"/>
  <c r="CZ221" i="3"/>
  <c r="DL221" i="3"/>
  <c r="DE221" i="3"/>
  <c r="DF221" i="3"/>
  <c r="DG221" i="3"/>
  <c r="CY221" i="3"/>
  <c r="DK221" i="3"/>
  <c r="DI221" i="3"/>
  <c r="DJ221" i="3"/>
  <c r="DM221" i="3"/>
  <c r="DN221" i="3"/>
  <c r="CX221" i="3"/>
  <c r="DA221" i="3"/>
  <c r="DB221" i="3"/>
  <c r="DC221" i="3"/>
  <c r="DD221" i="3"/>
  <c r="DH221" i="3"/>
  <c r="FU221" i="3"/>
  <c r="FV221" i="3"/>
  <c r="FX221" i="3"/>
  <c r="FM221" i="3"/>
  <c r="FY221" i="3"/>
  <c r="FN221" i="3"/>
  <c r="FZ221" i="3"/>
  <c r="FO221" i="3"/>
  <c r="GA221" i="3"/>
  <c r="FP221" i="3"/>
  <c r="FR221" i="3"/>
  <c r="FS221" i="3"/>
  <c r="FT221" i="3"/>
  <c r="DX192" i="3"/>
  <c r="ED192" i="3"/>
  <c r="EC192" i="3"/>
  <c r="EE192" i="3"/>
  <c r="DP192" i="3"/>
  <c r="EF192" i="3"/>
  <c r="EG192" i="3"/>
  <c r="EH192" i="3"/>
  <c r="EI192" i="3"/>
  <c r="DU192" i="3"/>
  <c r="DV192" i="3"/>
  <c r="DW192" i="3"/>
  <c r="EA192" i="3"/>
  <c r="DY192" i="3"/>
  <c r="DZ192" i="3"/>
  <c r="DE192" i="3"/>
  <c r="DH192" i="3"/>
  <c r="CX192" i="3"/>
  <c r="DJ192" i="3"/>
  <c r="CY192" i="3"/>
  <c r="DK192" i="3"/>
  <c r="CZ192" i="3"/>
  <c r="DA192" i="3"/>
  <c r="DB192" i="3"/>
  <c r="DC192" i="3"/>
  <c r="DD192" i="3"/>
  <c r="DF192" i="3"/>
  <c r="DG192" i="3"/>
  <c r="DI192" i="3"/>
  <c r="DL192" i="3"/>
  <c r="DM192" i="3"/>
  <c r="DN192" i="3"/>
  <c r="FT192" i="3"/>
  <c r="FU192" i="3"/>
  <c r="FV192" i="3"/>
  <c r="FX192" i="3"/>
  <c r="FM192" i="3"/>
  <c r="FY192" i="3"/>
  <c r="FN192" i="3"/>
  <c r="FZ192" i="3"/>
  <c r="FO192" i="3"/>
  <c r="GA192" i="3"/>
  <c r="FP192" i="3"/>
  <c r="FS192" i="3"/>
  <c r="FR192" i="3"/>
  <c r="DY161" i="3"/>
  <c r="DP161" i="3"/>
  <c r="EC161" i="3"/>
  <c r="ED161" i="3"/>
  <c r="DV161" i="3"/>
  <c r="EI161" i="3"/>
  <c r="DX161" i="3"/>
  <c r="DZ161" i="3"/>
  <c r="EE161" i="3"/>
  <c r="EH161" i="3"/>
  <c r="DU161" i="3"/>
  <c r="DW161" i="3"/>
  <c r="EA161" i="3"/>
  <c r="EF161" i="3"/>
  <c r="EG161" i="3"/>
  <c r="DH161" i="3"/>
  <c r="DI161" i="3"/>
  <c r="CY161" i="3"/>
  <c r="DK161" i="3"/>
  <c r="DA161" i="3"/>
  <c r="DM161" i="3"/>
  <c r="DB161" i="3"/>
  <c r="DN161" i="3"/>
  <c r="DC161" i="3"/>
  <c r="DL161" i="3"/>
  <c r="CX161" i="3"/>
  <c r="CZ161" i="3"/>
  <c r="DD161" i="3"/>
  <c r="DE161" i="3"/>
  <c r="DF161" i="3"/>
  <c r="DJ161" i="3"/>
  <c r="DG161" i="3"/>
  <c r="FU161" i="3"/>
  <c r="FN161" i="3"/>
  <c r="FZ161" i="3"/>
  <c r="FO161" i="3"/>
  <c r="GA161" i="3"/>
  <c r="FP161" i="3"/>
  <c r="FT161" i="3"/>
  <c r="FV161" i="3"/>
  <c r="FX161" i="3"/>
  <c r="FY161" i="3"/>
  <c r="FM161" i="3"/>
  <c r="FS161" i="3"/>
  <c r="FR161" i="3"/>
  <c r="EG234" i="3"/>
  <c r="DU234" i="3"/>
  <c r="EH234" i="3"/>
  <c r="DV234" i="3"/>
  <c r="EI234" i="3"/>
  <c r="DW234" i="3"/>
  <c r="EA234" i="3"/>
  <c r="EE234" i="3"/>
  <c r="EF234" i="3"/>
  <c r="DP234" i="3"/>
  <c r="DX234" i="3"/>
  <c r="DY234" i="3"/>
  <c r="DZ234" i="3"/>
  <c r="EC234" i="3"/>
  <c r="ED234" i="3"/>
  <c r="DC234" i="3"/>
  <c r="DH234" i="3"/>
  <c r="DI234" i="3"/>
  <c r="CX234" i="3"/>
  <c r="DJ234" i="3"/>
  <c r="DB234" i="3"/>
  <c r="DN234" i="3"/>
  <c r="DD234" i="3"/>
  <c r="DE234" i="3"/>
  <c r="DF234" i="3"/>
  <c r="DG234" i="3"/>
  <c r="DK234" i="3"/>
  <c r="DL234" i="3"/>
  <c r="DM234" i="3"/>
  <c r="CY234" i="3"/>
  <c r="CZ234" i="3"/>
  <c r="DA234" i="3"/>
  <c r="FN234" i="3"/>
  <c r="FZ234" i="3"/>
  <c r="FS234" i="3"/>
  <c r="FT234" i="3"/>
  <c r="FU234" i="3"/>
  <c r="FV234" i="3"/>
  <c r="FY234" i="3"/>
  <c r="GA234" i="3"/>
  <c r="FM234" i="3"/>
  <c r="FO234" i="3"/>
  <c r="FP234" i="3"/>
  <c r="FX234" i="3"/>
  <c r="FR234" i="3"/>
  <c r="EE186" i="3"/>
  <c r="DW186" i="3"/>
  <c r="DX186" i="3"/>
  <c r="DZ186" i="3"/>
  <c r="ED186" i="3"/>
  <c r="DP186" i="3"/>
  <c r="DU186" i="3"/>
  <c r="DV186" i="3"/>
  <c r="DY186" i="3"/>
  <c r="EA186" i="3"/>
  <c r="EC186" i="3"/>
  <c r="EF186" i="3"/>
  <c r="EI186" i="3"/>
  <c r="EG186" i="3"/>
  <c r="EH186" i="3"/>
  <c r="CY186" i="3"/>
  <c r="DK186" i="3"/>
  <c r="DB186" i="3"/>
  <c r="DN186" i="3"/>
  <c r="DD186" i="3"/>
  <c r="DE186" i="3"/>
  <c r="CX186" i="3"/>
  <c r="CZ186" i="3"/>
  <c r="DA186" i="3"/>
  <c r="DC186" i="3"/>
  <c r="DF186" i="3"/>
  <c r="DG186" i="3"/>
  <c r="DH186" i="3"/>
  <c r="DI186" i="3"/>
  <c r="DJ186" i="3"/>
  <c r="DL186" i="3"/>
  <c r="DM186" i="3"/>
  <c r="FN186" i="3"/>
  <c r="FZ186" i="3"/>
  <c r="FO186" i="3"/>
  <c r="GA186" i="3"/>
  <c r="FP186" i="3"/>
  <c r="FR186" i="3"/>
  <c r="FS186" i="3"/>
  <c r="FT186" i="3"/>
  <c r="FU186" i="3"/>
  <c r="FV186" i="3"/>
  <c r="FM186" i="3"/>
  <c r="FX186" i="3"/>
  <c r="FY186" i="3"/>
  <c r="DY235" i="3"/>
  <c r="DZ235" i="3"/>
  <c r="EA235" i="3"/>
  <c r="DP235" i="3"/>
  <c r="EC235" i="3"/>
  <c r="EG235" i="3"/>
  <c r="EH235" i="3"/>
  <c r="EI235" i="3"/>
  <c r="DU235" i="3"/>
  <c r="DV235" i="3"/>
  <c r="DW235" i="3"/>
  <c r="DX235" i="3"/>
  <c r="ED235" i="3"/>
  <c r="EE235" i="3"/>
  <c r="EF235" i="3"/>
  <c r="DF235" i="3"/>
  <c r="CY235" i="3"/>
  <c r="DK235" i="3"/>
  <c r="CZ235" i="3"/>
  <c r="DL235" i="3"/>
  <c r="DA235" i="3"/>
  <c r="DM235" i="3"/>
  <c r="DE235" i="3"/>
  <c r="DC235" i="3"/>
  <c r="DD235" i="3"/>
  <c r="DG235" i="3"/>
  <c r="DH235" i="3"/>
  <c r="DI235" i="3"/>
  <c r="DJ235" i="3"/>
  <c r="DN235" i="3"/>
  <c r="CX235" i="3"/>
  <c r="DB235" i="3"/>
  <c r="FS235" i="3"/>
  <c r="FX235" i="3"/>
  <c r="FM235" i="3"/>
  <c r="FY235" i="3"/>
  <c r="FN235" i="3"/>
  <c r="FZ235" i="3"/>
  <c r="FO235" i="3"/>
  <c r="GA235" i="3"/>
  <c r="FP235" i="3"/>
  <c r="FR235" i="3"/>
  <c r="FT235" i="3"/>
  <c r="FV235" i="3"/>
  <c r="FU235" i="3"/>
  <c r="DW237" i="3"/>
  <c r="DX237" i="3"/>
  <c r="DY237" i="3"/>
  <c r="DZ237" i="3"/>
  <c r="EE237" i="3"/>
  <c r="DP237" i="3"/>
  <c r="EI237" i="3"/>
  <c r="DU237" i="3"/>
  <c r="DV237" i="3"/>
  <c r="EA237" i="3"/>
  <c r="EC237" i="3"/>
  <c r="ED237" i="3"/>
  <c r="EF237" i="3"/>
  <c r="EG237" i="3"/>
  <c r="EH237" i="3"/>
  <c r="CZ237" i="3"/>
  <c r="DL237" i="3"/>
  <c r="DE237" i="3"/>
  <c r="DF237" i="3"/>
  <c r="DG237" i="3"/>
  <c r="CY237" i="3"/>
  <c r="DK237" i="3"/>
  <c r="DB237" i="3"/>
  <c r="DC237" i="3"/>
  <c r="DD237" i="3"/>
  <c r="DH237" i="3"/>
  <c r="DI237" i="3"/>
  <c r="DJ237" i="3"/>
  <c r="DM237" i="3"/>
  <c r="DN237" i="3"/>
  <c r="CX237" i="3"/>
  <c r="DA237" i="3"/>
  <c r="FV237" i="3"/>
  <c r="FX237" i="3"/>
  <c r="FM237" i="3"/>
  <c r="FY237" i="3"/>
  <c r="FN237" i="3"/>
  <c r="FZ237" i="3"/>
  <c r="FP237" i="3"/>
  <c r="FR237" i="3"/>
  <c r="FS237" i="3"/>
  <c r="FT237" i="3"/>
  <c r="FU237" i="3"/>
  <c r="GA237" i="3"/>
  <c r="FO237" i="3"/>
  <c r="ED217" i="3"/>
  <c r="EF217" i="3"/>
  <c r="EG217" i="3"/>
  <c r="DU217" i="3"/>
  <c r="EH217" i="3"/>
  <c r="DV217" i="3"/>
  <c r="EI217" i="3"/>
  <c r="DZ217" i="3"/>
  <c r="EC217" i="3"/>
  <c r="EE217" i="3"/>
  <c r="DP217" i="3"/>
  <c r="DW217" i="3"/>
  <c r="DX217" i="3"/>
  <c r="DY217" i="3"/>
  <c r="EA217" i="3"/>
  <c r="CZ217" i="3"/>
  <c r="DL217" i="3"/>
  <c r="DE217" i="3"/>
  <c r="DF217" i="3"/>
  <c r="DG217" i="3"/>
  <c r="CY217" i="3"/>
  <c r="DK217" i="3"/>
  <c r="DJ217" i="3"/>
  <c r="DM217" i="3"/>
  <c r="DN217" i="3"/>
  <c r="CX217" i="3"/>
  <c r="DA217" i="3"/>
  <c r="DB217" i="3"/>
  <c r="DC217" i="3"/>
  <c r="DD217" i="3"/>
  <c r="DH217" i="3"/>
  <c r="DI217" i="3"/>
  <c r="FM217" i="3"/>
  <c r="FY217" i="3"/>
  <c r="FN217" i="3"/>
  <c r="FZ217" i="3"/>
  <c r="FO217" i="3"/>
  <c r="GA217" i="3"/>
  <c r="FP217" i="3"/>
  <c r="FR217" i="3"/>
  <c r="FS217" i="3"/>
  <c r="FT217" i="3"/>
  <c r="FU217" i="3"/>
  <c r="FV217" i="3"/>
  <c r="FX217" i="3"/>
  <c r="DV204" i="3"/>
  <c r="EI204" i="3"/>
  <c r="DW204" i="3"/>
  <c r="DX204" i="3"/>
  <c r="DY204" i="3"/>
  <c r="DZ204" i="3"/>
  <c r="EA204" i="3"/>
  <c r="DP204" i="3"/>
  <c r="EC204" i="3"/>
  <c r="ED204" i="3"/>
  <c r="EE204" i="3"/>
  <c r="DU204" i="3"/>
  <c r="EH204" i="3"/>
  <c r="EF204" i="3"/>
  <c r="EG204" i="3"/>
  <c r="DE204" i="3"/>
  <c r="DH204" i="3"/>
  <c r="DJ204" i="3"/>
  <c r="DK204" i="3"/>
  <c r="CX204" i="3"/>
  <c r="DL204" i="3"/>
  <c r="DA204" i="3"/>
  <c r="DB204" i="3"/>
  <c r="DC204" i="3"/>
  <c r="DD204" i="3"/>
  <c r="DF204" i="3"/>
  <c r="DI204" i="3"/>
  <c r="DG204" i="3"/>
  <c r="DM204" i="3"/>
  <c r="DN204" i="3"/>
  <c r="CY204" i="3"/>
  <c r="FT204" i="3"/>
  <c r="FU204" i="3"/>
  <c r="FV204" i="3"/>
  <c r="CZ204" i="3"/>
  <c r="FX204" i="3"/>
  <c r="FM204" i="3"/>
  <c r="FY204" i="3"/>
  <c r="FN204" i="3"/>
  <c r="FZ204" i="3"/>
  <c r="FO204" i="3"/>
  <c r="GA204" i="3"/>
  <c r="FP204" i="3"/>
  <c r="FR204" i="3"/>
  <c r="FS204" i="3"/>
  <c r="EE196" i="3"/>
  <c r="EF196" i="3"/>
  <c r="EG196" i="3"/>
  <c r="DU196" i="3"/>
  <c r="EH196" i="3"/>
  <c r="DV196" i="3"/>
  <c r="EI196" i="3"/>
  <c r="DW196" i="3"/>
  <c r="DX196" i="3"/>
  <c r="DY196" i="3"/>
  <c r="DZ196" i="3"/>
  <c r="ED196" i="3"/>
  <c r="DP196" i="3"/>
  <c r="EA196" i="3"/>
  <c r="EC196" i="3"/>
  <c r="DE196" i="3"/>
  <c r="DH196" i="3"/>
  <c r="CX196" i="3"/>
  <c r="DJ196" i="3"/>
  <c r="CY196" i="3"/>
  <c r="DK196" i="3"/>
  <c r="DD196" i="3"/>
  <c r="DF196" i="3"/>
  <c r="DG196" i="3"/>
  <c r="DI196" i="3"/>
  <c r="DL196" i="3"/>
  <c r="DM196" i="3"/>
  <c r="DN196" i="3"/>
  <c r="CZ196" i="3"/>
  <c r="DA196" i="3"/>
  <c r="DC196" i="3"/>
  <c r="DB196" i="3"/>
  <c r="FP196" i="3"/>
  <c r="FR196" i="3"/>
  <c r="FS196" i="3"/>
  <c r="FT196" i="3"/>
  <c r="FU196" i="3"/>
  <c r="FV196" i="3"/>
  <c r="FX196" i="3"/>
  <c r="FM196" i="3"/>
  <c r="FY196" i="3"/>
  <c r="FO196" i="3"/>
  <c r="FZ196" i="3"/>
  <c r="FN196" i="3"/>
  <c r="GA196" i="3"/>
  <c r="EE248" i="3"/>
  <c r="EG248" i="3"/>
  <c r="DU248" i="3"/>
  <c r="EH248" i="3"/>
  <c r="DY248" i="3"/>
  <c r="EI248" i="3"/>
  <c r="DV248" i="3"/>
  <c r="DW248" i="3"/>
  <c r="DX248" i="3"/>
  <c r="DZ248" i="3"/>
  <c r="EA248" i="3"/>
  <c r="EC248" i="3"/>
  <c r="EF248" i="3"/>
  <c r="ED248" i="3"/>
  <c r="DP248" i="3"/>
  <c r="DB248" i="3"/>
  <c r="DN248" i="3"/>
  <c r="DC248" i="3"/>
  <c r="DH248" i="3"/>
  <c r="DK248" i="3"/>
  <c r="DL248" i="3"/>
  <c r="CX248" i="3"/>
  <c r="DM248" i="3"/>
  <c r="CY248" i="3"/>
  <c r="CZ248" i="3"/>
  <c r="DA248" i="3"/>
  <c r="DD248" i="3"/>
  <c r="DE248" i="3"/>
  <c r="DF248" i="3"/>
  <c r="DG248" i="3"/>
  <c r="DJ248" i="3"/>
  <c r="DI248" i="3"/>
  <c r="FX248" i="3"/>
  <c r="FR248" i="3"/>
  <c r="FS248" i="3"/>
  <c r="FT248" i="3"/>
  <c r="FU248" i="3"/>
  <c r="FY248" i="3"/>
  <c r="FZ248" i="3"/>
  <c r="FP248" i="3"/>
  <c r="GA248" i="3"/>
  <c r="FO248" i="3"/>
  <c r="FM248" i="3"/>
  <c r="FN248" i="3"/>
  <c r="FV248" i="3"/>
  <c r="EE174" i="3"/>
  <c r="DV174" i="3"/>
  <c r="EI174" i="3"/>
  <c r="EA174" i="3"/>
  <c r="DX174" i="3"/>
  <c r="EF174" i="3"/>
  <c r="DP174" i="3"/>
  <c r="EG174" i="3"/>
  <c r="DW174" i="3"/>
  <c r="ED174" i="3"/>
  <c r="EH174" i="3"/>
  <c r="DU174" i="3"/>
  <c r="EC174" i="3"/>
  <c r="DY174" i="3"/>
  <c r="DZ174" i="3"/>
  <c r="CY174" i="3"/>
  <c r="DK174" i="3"/>
  <c r="DB174" i="3"/>
  <c r="DN174" i="3"/>
  <c r="DD174" i="3"/>
  <c r="DE174" i="3"/>
  <c r="CX174" i="3"/>
  <c r="CZ174" i="3"/>
  <c r="DA174" i="3"/>
  <c r="DC174" i="3"/>
  <c r="DF174" i="3"/>
  <c r="DG174" i="3"/>
  <c r="DH174" i="3"/>
  <c r="DI174" i="3"/>
  <c r="DJ174" i="3"/>
  <c r="DL174" i="3"/>
  <c r="DM174" i="3"/>
  <c r="FN174" i="3"/>
  <c r="FZ174" i="3"/>
  <c r="FO174" i="3"/>
  <c r="GA174" i="3"/>
  <c r="FP174" i="3"/>
  <c r="FR174" i="3"/>
  <c r="FS174" i="3"/>
  <c r="FT174" i="3"/>
  <c r="FU174" i="3"/>
  <c r="FV174" i="3"/>
  <c r="FX174" i="3"/>
  <c r="FY174" i="3"/>
  <c r="FM174" i="3"/>
  <c r="DP188" i="3"/>
  <c r="EC188" i="3"/>
  <c r="DU188" i="3"/>
  <c r="EH188" i="3"/>
  <c r="DV188" i="3"/>
  <c r="EI188" i="3"/>
  <c r="EA188" i="3"/>
  <c r="DW188" i="3"/>
  <c r="DX188" i="3"/>
  <c r="DY188" i="3"/>
  <c r="DZ188" i="3"/>
  <c r="ED188" i="3"/>
  <c r="EE188" i="3"/>
  <c r="EF188" i="3"/>
  <c r="EG188" i="3"/>
  <c r="DE188" i="3"/>
  <c r="DH188" i="3"/>
  <c r="CX188" i="3"/>
  <c r="DJ188" i="3"/>
  <c r="CY188" i="3"/>
  <c r="DK188" i="3"/>
  <c r="DL188" i="3"/>
  <c r="DM188" i="3"/>
  <c r="DN188" i="3"/>
  <c r="CZ188" i="3"/>
  <c r="DA188" i="3"/>
  <c r="DB188" i="3"/>
  <c r="DC188" i="3"/>
  <c r="DD188" i="3"/>
  <c r="DF188" i="3"/>
  <c r="DI188" i="3"/>
  <c r="DG188" i="3"/>
  <c r="FX188" i="3"/>
  <c r="FM188" i="3"/>
  <c r="FY188" i="3"/>
  <c r="FN188" i="3"/>
  <c r="FZ188" i="3"/>
  <c r="FO188" i="3"/>
  <c r="GA188" i="3"/>
  <c r="FP188" i="3"/>
  <c r="FR188" i="3"/>
  <c r="FS188" i="3"/>
  <c r="FT188" i="3"/>
  <c r="FU188" i="3"/>
  <c r="FV188" i="3"/>
  <c r="DU259" i="3"/>
  <c r="DG259" i="3"/>
  <c r="FN259" i="3"/>
  <c r="DX230" i="3"/>
  <c r="DY230" i="3"/>
  <c r="DZ230" i="3"/>
  <c r="EA230" i="3"/>
  <c r="EF230" i="3"/>
  <c r="DW230" i="3"/>
  <c r="EC230" i="3"/>
  <c r="ED230" i="3"/>
  <c r="EE230" i="3"/>
  <c r="EG230" i="3"/>
  <c r="EH230" i="3"/>
  <c r="DP230" i="3"/>
  <c r="EI230" i="3"/>
  <c r="DV230" i="3"/>
  <c r="DU230" i="3"/>
  <c r="DC230" i="3"/>
  <c r="DH230" i="3"/>
  <c r="DI230" i="3"/>
  <c r="CX230" i="3"/>
  <c r="DJ230" i="3"/>
  <c r="DB230" i="3"/>
  <c r="DN230" i="3"/>
  <c r="DE230" i="3"/>
  <c r="DF230" i="3"/>
  <c r="DG230" i="3"/>
  <c r="DK230" i="3"/>
  <c r="DL230" i="3"/>
  <c r="DM230" i="3"/>
  <c r="CY230" i="3"/>
  <c r="CZ230" i="3"/>
  <c r="DA230" i="3"/>
  <c r="DD230" i="3"/>
  <c r="FR230" i="3"/>
  <c r="FX230" i="3"/>
  <c r="FM230" i="3"/>
  <c r="FY230" i="3"/>
  <c r="FN230" i="3"/>
  <c r="FZ230" i="3"/>
  <c r="FO230" i="3"/>
  <c r="GA230" i="3"/>
  <c r="FU230" i="3"/>
  <c r="FP230" i="3"/>
  <c r="FS230" i="3"/>
  <c r="FV230" i="3"/>
  <c r="FT230" i="3"/>
  <c r="DV232" i="3"/>
  <c r="EI232" i="3"/>
  <c r="DW232" i="3"/>
  <c r="DX232" i="3"/>
  <c r="DY232" i="3"/>
  <c r="ED232" i="3"/>
  <c r="EC232" i="3"/>
  <c r="EE232" i="3"/>
  <c r="EF232" i="3"/>
  <c r="EG232" i="3"/>
  <c r="EH232" i="3"/>
  <c r="DP232" i="3"/>
  <c r="DU232" i="3"/>
  <c r="DZ232" i="3"/>
  <c r="EA232" i="3"/>
  <c r="DI232" i="3"/>
  <c r="DB232" i="3"/>
  <c r="DN232" i="3"/>
  <c r="DC232" i="3"/>
  <c r="DD232" i="3"/>
  <c r="DH232" i="3"/>
  <c r="DE232" i="3"/>
  <c r="DF232" i="3"/>
  <c r="DG232" i="3"/>
  <c r="DJ232" i="3"/>
  <c r="DK232" i="3"/>
  <c r="DL232" i="3"/>
  <c r="DM232" i="3"/>
  <c r="CX232" i="3"/>
  <c r="CY232" i="3"/>
  <c r="CZ232" i="3"/>
  <c r="FP232" i="3"/>
  <c r="FU232" i="3"/>
  <c r="FV232" i="3"/>
  <c r="FX232" i="3"/>
  <c r="DA232" i="3"/>
  <c r="FM232" i="3"/>
  <c r="FY232" i="3"/>
  <c r="FO232" i="3"/>
  <c r="FR232" i="3"/>
  <c r="FS232" i="3"/>
  <c r="FT232" i="3"/>
  <c r="FZ232" i="3"/>
  <c r="GA232" i="3"/>
  <c r="FN232" i="3"/>
  <c r="DU227" i="3"/>
  <c r="EH227" i="3"/>
  <c r="DV227" i="3"/>
  <c r="EI227" i="3"/>
  <c r="DW227" i="3"/>
  <c r="DX227" i="3"/>
  <c r="DP227" i="3"/>
  <c r="EC227" i="3"/>
  <c r="DY227" i="3"/>
  <c r="DZ227" i="3"/>
  <c r="EA227" i="3"/>
  <c r="ED227" i="3"/>
  <c r="EE227" i="3"/>
  <c r="EF227" i="3"/>
  <c r="EG227" i="3"/>
  <c r="DF227" i="3"/>
  <c r="CY227" i="3"/>
  <c r="DK227" i="3"/>
  <c r="CZ227" i="3"/>
  <c r="DL227" i="3"/>
  <c r="DA227" i="3"/>
  <c r="DM227" i="3"/>
  <c r="DE227" i="3"/>
  <c r="DG227" i="3"/>
  <c r="DH227" i="3"/>
  <c r="DI227" i="3"/>
  <c r="DJ227" i="3"/>
  <c r="DN227" i="3"/>
  <c r="CX227" i="3"/>
  <c r="DB227" i="3"/>
  <c r="DC227" i="3"/>
  <c r="DD227" i="3"/>
  <c r="FO227" i="3"/>
  <c r="GA227" i="3"/>
  <c r="FT227" i="3"/>
  <c r="FU227" i="3"/>
  <c r="FV227" i="3"/>
  <c r="FX227" i="3"/>
  <c r="FN227" i="3"/>
  <c r="FP227" i="3"/>
  <c r="FR227" i="3"/>
  <c r="FS227" i="3"/>
  <c r="FY227" i="3"/>
  <c r="FZ227" i="3"/>
  <c r="FM227" i="3"/>
  <c r="DY207" i="3"/>
  <c r="DZ207" i="3"/>
  <c r="EA207" i="3"/>
  <c r="DP207" i="3"/>
  <c r="EC207" i="3"/>
  <c r="ED207" i="3"/>
  <c r="EE207" i="3"/>
  <c r="EF207" i="3"/>
  <c r="EG207" i="3"/>
  <c r="DU207" i="3"/>
  <c r="EH207" i="3"/>
  <c r="DX207" i="3"/>
  <c r="DV207" i="3"/>
  <c r="DW207" i="3"/>
  <c r="EI207" i="3"/>
  <c r="DE207" i="3"/>
  <c r="DB207" i="3"/>
  <c r="DC207" i="3"/>
  <c r="DH207" i="3"/>
  <c r="DI207" i="3"/>
  <c r="DJ207" i="3"/>
  <c r="CX207" i="3"/>
  <c r="DK207" i="3"/>
  <c r="DA207" i="3"/>
  <c r="DN207" i="3"/>
  <c r="CY207" i="3"/>
  <c r="CZ207" i="3"/>
  <c r="DD207" i="3"/>
  <c r="DF207" i="3"/>
  <c r="DG207" i="3"/>
  <c r="DL207" i="3"/>
  <c r="DM207" i="3"/>
  <c r="FX207" i="3"/>
  <c r="FM207" i="3"/>
  <c r="FY207" i="3"/>
  <c r="FN207" i="3"/>
  <c r="FZ207" i="3"/>
  <c r="FO207" i="3"/>
  <c r="GA207" i="3"/>
  <c r="FP207" i="3"/>
  <c r="FR207" i="3"/>
  <c r="FS207" i="3"/>
  <c r="FT207" i="3"/>
  <c r="FV207" i="3"/>
  <c r="FU207" i="3"/>
  <c r="DU199" i="3"/>
  <c r="EH199" i="3"/>
  <c r="DV199" i="3"/>
  <c r="EI199" i="3"/>
  <c r="DW199" i="3"/>
  <c r="DX199" i="3"/>
  <c r="DY199" i="3"/>
  <c r="DZ199" i="3"/>
  <c r="EA199" i="3"/>
  <c r="DP199" i="3"/>
  <c r="EC199" i="3"/>
  <c r="ED199" i="3"/>
  <c r="EG199" i="3"/>
  <c r="EE199" i="3"/>
  <c r="EF199" i="3"/>
  <c r="DB199" i="3"/>
  <c r="DN199" i="3"/>
  <c r="DE199" i="3"/>
  <c r="DG199" i="3"/>
  <c r="DH199" i="3"/>
  <c r="DM199" i="3"/>
  <c r="CX199" i="3"/>
  <c r="CY199" i="3"/>
  <c r="CZ199" i="3"/>
  <c r="DA199" i="3"/>
  <c r="DC199" i="3"/>
  <c r="DD199" i="3"/>
  <c r="DF199" i="3"/>
  <c r="DI199" i="3"/>
  <c r="DJ199" i="3"/>
  <c r="DL199" i="3"/>
  <c r="DK199" i="3"/>
  <c r="FS199" i="3"/>
  <c r="FT199" i="3"/>
  <c r="FU199" i="3"/>
  <c r="FV199" i="3"/>
  <c r="FX199" i="3"/>
  <c r="FM199" i="3"/>
  <c r="FY199" i="3"/>
  <c r="FN199" i="3"/>
  <c r="FZ199" i="3"/>
  <c r="FO199" i="3"/>
  <c r="GA199" i="3"/>
  <c r="FP199" i="3"/>
  <c r="FR199" i="3"/>
  <c r="DV158" i="3"/>
  <c r="EI158" i="3"/>
  <c r="DY158" i="3"/>
  <c r="DZ158" i="3"/>
  <c r="EF158" i="3"/>
  <c r="EC158" i="3"/>
  <c r="ED158" i="3"/>
  <c r="EG158" i="3"/>
  <c r="DP158" i="3"/>
  <c r="DU158" i="3"/>
  <c r="DW158" i="3"/>
  <c r="DX158" i="3"/>
  <c r="EA158" i="3"/>
  <c r="EE158" i="3"/>
  <c r="EH158" i="3"/>
  <c r="CY158" i="3"/>
  <c r="DK158" i="3"/>
  <c r="CZ158" i="3"/>
  <c r="DL158" i="3"/>
  <c r="DB158" i="3"/>
  <c r="DN158" i="3"/>
  <c r="DD158" i="3"/>
  <c r="DE158" i="3"/>
  <c r="DF158" i="3"/>
  <c r="DC158" i="3"/>
  <c r="DG158" i="3"/>
  <c r="DH158" i="3"/>
  <c r="DI158" i="3"/>
  <c r="DJ158" i="3"/>
  <c r="DM158" i="3"/>
  <c r="DA158" i="3"/>
  <c r="CX158" i="3"/>
  <c r="FR158" i="3"/>
  <c r="FX158" i="3"/>
  <c r="FM158" i="3"/>
  <c r="FY158" i="3"/>
  <c r="FN158" i="3"/>
  <c r="FZ158" i="3"/>
  <c r="FO158" i="3"/>
  <c r="FP158" i="3"/>
  <c r="FS158" i="3"/>
  <c r="FT158" i="3"/>
  <c r="FU158" i="3"/>
  <c r="FV158" i="3"/>
  <c r="GA158" i="3"/>
  <c r="BD230" i="9"/>
  <c r="BD185" i="9"/>
  <c r="BD186" i="9"/>
  <c r="BD145" i="9"/>
  <c r="BD218" i="9"/>
  <c r="BD20" i="9"/>
  <c r="BD214" i="9"/>
  <c r="BD144" i="9"/>
  <c r="BD19" i="9"/>
  <c r="AM161" i="9"/>
  <c r="AL161" i="9"/>
  <c r="AM240" i="9"/>
  <c r="AL240" i="9"/>
  <c r="AM71" i="9"/>
  <c r="AL71" i="9"/>
  <c r="AM191" i="9"/>
  <c r="AL191" i="9"/>
  <c r="AM204" i="9"/>
  <c r="AL204" i="9"/>
  <c r="AM219" i="9"/>
  <c r="AL219" i="9"/>
  <c r="AM11" i="9"/>
  <c r="AL11" i="9"/>
  <c r="AM212" i="9"/>
  <c r="AL212" i="9"/>
  <c r="AM202" i="9"/>
  <c r="AL202" i="9"/>
  <c r="AM15" i="9"/>
  <c r="AL15" i="9"/>
  <c r="AM171" i="9"/>
  <c r="AL171" i="9"/>
  <c r="AM196" i="9"/>
  <c r="AL196" i="9"/>
  <c r="AM168" i="9"/>
  <c r="AL168" i="9"/>
  <c r="AM129" i="9"/>
  <c r="AL129" i="9"/>
  <c r="AL175" i="9"/>
  <c r="AM175" i="9"/>
  <c r="AM66" i="9"/>
  <c r="AL66" i="9"/>
  <c r="AL79" i="9"/>
  <c r="AM79" i="9"/>
  <c r="AL13" i="9"/>
  <c r="AM13" i="9"/>
  <c r="AL241" i="9"/>
  <c r="AM241" i="9"/>
  <c r="AM216" i="9"/>
  <c r="AL216" i="9"/>
  <c r="AM184" i="9"/>
  <c r="AL184" i="9"/>
  <c r="AM245" i="9"/>
  <c r="AL245" i="9"/>
  <c r="AM146" i="9"/>
  <c r="AL146" i="9"/>
  <c r="AM222" i="9"/>
  <c r="AL222" i="9"/>
  <c r="AM194" i="9"/>
  <c r="AL194" i="9"/>
  <c r="AM10" i="9"/>
  <c r="AL10" i="9"/>
  <c r="AM236" i="9"/>
  <c r="AL236" i="9"/>
  <c r="AM224" i="9"/>
  <c r="AL224" i="9"/>
  <c r="AM190" i="9"/>
  <c r="AL190" i="9"/>
  <c r="AM26" i="9"/>
  <c r="AL26" i="9"/>
  <c r="AM160" i="9"/>
  <c r="AL160" i="9"/>
  <c r="AL25" i="9"/>
  <c r="AM25" i="9"/>
  <c r="AL205" i="9"/>
  <c r="AM205" i="9"/>
  <c r="AM72" i="9"/>
  <c r="AL72" i="9"/>
  <c r="AL73" i="9"/>
  <c r="AM73" i="9"/>
  <c r="AM198" i="9"/>
  <c r="AL198" i="9"/>
  <c r="AM164" i="9"/>
  <c r="AL164" i="9"/>
  <c r="AM70" i="9"/>
  <c r="AL70" i="9"/>
  <c r="AM233" i="9"/>
  <c r="AL233" i="9"/>
  <c r="AM237" i="9"/>
  <c r="AL237" i="9"/>
  <c r="AL157" i="9"/>
  <c r="AM157" i="9"/>
  <c r="AM201" i="9"/>
  <c r="AL201" i="9"/>
  <c r="AM231" i="9"/>
  <c r="AL231" i="9"/>
  <c r="AM170" i="9"/>
  <c r="AL170" i="9"/>
  <c r="AM197" i="9"/>
  <c r="AL197" i="9"/>
  <c r="AM152" i="9"/>
  <c r="AL152" i="9"/>
  <c r="AM162" i="9"/>
  <c r="AL162" i="9"/>
  <c r="AL193" i="9"/>
  <c r="AM193" i="9"/>
  <c r="AM17" i="9"/>
  <c r="AL17" i="9"/>
  <c r="AM179" i="9"/>
  <c r="AL179" i="9"/>
  <c r="AM221" i="9"/>
  <c r="AL221" i="9"/>
  <c r="AM238" i="9"/>
  <c r="AL238" i="9"/>
  <c r="AM242" i="9"/>
  <c r="AL242" i="9"/>
  <c r="AM12" i="9"/>
  <c r="AL12" i="9"/>
  <c r="AM130" i="9"/>
  <c r="AL130" i="9"/>
  <c r="AM183" i="9"/>
  <c r="AL183" i="9"/>
  <c r="AM166" i="9"/>
  <c r="AL166" i="9"/>
  <c r="AM148" i="9"/>
  <c r="AL148" i="9"/>
  <c r="AM189" i="9"/>
  <c r="AL189" i="9"/>
  <c r="AM18" i="9"/>
  <c r="AL18" i="9"/>
  <c r="AM24" i="9"/>
  <c r="AL24" i="9"/>
  <c r="AL229" i="9"/>
  <c r="AM229" i="9"/>
  <c r="AM210" i="9"/>
  <c r="AL210" i="9"/>
  <c r="AM244" i="9"/>
  <c r="AL244" i="9"/>
  <c r="AM78" i="9"/>
  <c r="AL78" i="9"/>
  <c r="AM207" i="9"/>
  <c r="AL207" i="9"/>
  <c r="AM208" i="9"/>
  <c r="AL208" i="9"/>
  <c r="AM227" i="9"/>
  <c r="AL227" i="9"/>
  <c r="AM158" i="9"/>
  <c r="AL158" i="9"/>
  <c r="AM182" i="9"/>
  <c r="AL182" i="9"/>
  <c r="AM154" i="9"/>
  <c r="AL154" i="9"/>
  <c r="AL163" i="9"/>
  <c r="AM163" i="9"/>
  <c r="AM203" i="9"/>
  <c r="AL203" i="9"/>
  <c r="AM87" i="9"/>
  <c r="AL87" i="9"/>
  <c r="AM150" i="9"/>
  <c r="AL150" i="9"/>
  <c r="AM173" i="9"/>
  <c r="AL173" i="9"/>
  <c r="AM76" i="9"/>
  <c r="AL76" i="9"/>
  <c r="AM147" i="9"/>
  <c r="AL147" i="9"/>
  <c r="AM226" i="9"/>
  <c r="AL226" i="9"/>
  <c r="AM192" i="9"/>
  <c r="AL192" i="9"/>
  <c r="AM209" i="9"/>
  <c r="AL209" i="9"/>
  <c r="AM232" i="9"/>
  <c r="AL232" i="9"/>
  <c r="AM247" i="9"/>
  <c r="AL247" i="9"/>
  <c r="AM159" i="9"/>
  <c r="AL159" i="9"/>
  <c r="AM16" i="9"/>
  <c r="AL16" i="9"/>
  <c r="AM82" i="9"/>
  <c r="AL82" i="9"/>
  <c r="AM75" i="9"/>
  <c r="AL75" i="9"/>
  <c r="AL211" i="9"/>
  <c r="AM211" i="9"/>
  <c r="AM213" i="9"/>
  <c r="AL213" i="9"/>
  <c r="AM180" i="9"/>
  <c r="AL180" i="9"/>
  <c r="AM220" i="9"/>
  <c r="AL220" i="9"/>
  <c r="AM250" i="9"/>
  <c r="AL250" i="9"/>
  <c r="AM165" i="9"/>
  <c r="AL165" i="9"/>
  <c r="AM153" i="9"/>
  <c r="AL153" i="9"/>
  <c r="AM177" i="9"/>
  <c r="AL177" i="9"/>
  <c r="AM81" i="9"/>
  <c r="AL81" i="9"/>
  <c r="AL199" i="9"/>
  <c r="AM199" i="9"/>
  <c r="AM14" i="9"/>
  <c r="AL14" i="9"/>
  <c r="AM228" i="9"/>
  <c r="AL228" i="9"/>
  <c r="AM249" i="9"/>
  <c r="AL249" i="9"/>
  <c r="AM155" i="9"/>
  <c r="AL155" i="9"/>
  <c r="AM195" i="9"/>
  <c r="AL195" i="9"/>
  <c r="AM8" i="9"/>
  <c r="AL8" i="9"/>
  <c r="AM239" i="9"/>
  <c r="AL239" i="9"/>
  <c r="AM234" i="9"/>
  <c r="AL234" i="9"/>
  <c r="AM68" i="9"/>
  <c r="AL68" i="9"/>
  <c r="AL223" i="9"/>
  <c r="AM223" i="9"/>
  <c r="AM80" i="9"/>
  <c r="AL80" i="9"/>
  <c r="AM225" i="9"/>
  <c r="AL225" i="9"/>
  <c r="AM167" i="9"/>
  <c r="AL167" i="9"/>
  <c r="AL235" i="9"/>
  <c r="AM235" i="9"/>
  <c r="AL169" i="9"/>
  <c r="AM169" i="9"/>
  <c r="AL181" i="9"/>
  <c r="AM181" i="9"/>
  <c r="AL151" i="9"/>
  <c r="AM151" i="9"/>
  <c r="AM176" i="9"/>
  <c r="AL176" i="9"/>
  <c r="AM188" i="9"/>
  <c r="AL188" i="9"/>
  <c r="AL187" i="9"/>
  <c r="AM187" i="9"/>
  <c r="AM131" i="9"/>
  <c r="AL131" i="9"/>
  <c r="AM243" i="9"/>
  <c r="AL243" i="9"/>
  <c r="AM149" i="9"/>
  <c r="AL149" i="9"/>
  <c r="AM156" i="9"/>
  <c r="AL156" i="9"/>
  <c r="AM246" i="9"/>
  <c r="AL246" i="9"/>
  <c r="AM215" i="9"/>
  <c r="AL215" i="9"/>
  <c r="AL67" i="9"/>
  <c r="AM67" i="9"/>
  <c r="AM74" i="9"/>
  <c r="AL74" i="9"/>
  <c r="AM248" i="9"/>
  <c r="AL248" i="9"/>
  <c r="AM206" i="9"/>
  <c r="AL206" i="9"/>
  <c r="AM88" i="9"/>
  <c r="AL88" i="9"/>
  <c r="AM178" i="9"/>
  <c r="AL178" i="9"/>
  <c r="AM200" i="9"/>
  <c r="AL200" i="9"/>
  <c r="AM172" i="9"/>
  <c r="AL172" i="9"/>
  <c r="AM86" i="9"/>
  <c r="AL86" i="9"/>
  <c r="AM9" i="9"/>
  <c r="AL9" i="9"/>
  <c r="AM174" i="9"/>
  <c r="AL174" i="9"/>
  <c r="AM69" i="9"/>
  <c r="AL69" i="9"/>
  <c r="AM77" i="9"/>
  <c r="AL77" i="9"/>
  <c r="AM143" i="9"/>
  <c r="AL143" i="9"/>
  <c r="AL217" i="9"/>
  <c r="AM217" i="9"/>
  <c r="CS225" i="3"/>
  <c r="GC31" i="3"/>
  <c r="BO79" i="3"/>
  <c r="BO76" i="3"/>
  <c r="BO89" i="3"/>
  <c r="BO78" i="3"/>
  <c r="BO74" i="3"/>
  <c r="BO86" i="3"/>
  <c r="BO96" i="3"/>
  <c r="BO85" i="3"/>
  <c r="BM80" i="3"/>
  <c r="BO80" i="3" s="1"/>
  <c r="BN137" i="3"/>
  <c r="BO88" i="3"/>
  <c r="BO95" i="3"/>
  <c r="BO77" i="3"/>
  <c r="BM137" i="3"/>
  <c r="BO91" i="3"/>
  <c r="AK145" i="9"/>
  <c r="CS251" i="3"/>
  <c r="U145" i="9"/>
  <c r="V145" i="9" s="1"/>
  <c r="CD155" i="3"/>
  <c r="EK155" i="3" s="1"/>
  <c r="GD81" i="3"/>
  <c r="I145" i="9"/>
  <c r="GD141" i="3"/>
  <c r="GD138" i="3"/>
  <c r="GD156" i="3"/>
  <c r="GD139" i="3"/>
  <c r="CD156" i="3"/>
  <c r="EK156" i="3" s="1"/>
  <c r="GD154" i="3"/>
  <c r="GD155" i="3"/>
  <c r="GD158" i="3"/>
  <c r="GD176" i="3"/>
  <c r="GD152" i="3"/>
  <c r="GD160" i="3"/>
  <c r="GD157" i="3"/>
  <c r="GD169" i="3"/>
  <c r="GD192" i="3"/>
  <c r="GD151" i="3"/>
  <c r="GD140" i="3"/>
  <c r="GD159" i="3"/>
  <c r="GD164" i="3"/>
  <c r="GD185" i="3"/>
  <c r="GD181" i="3"/>
  <c r="U218" i="9"/>
  <c r="V218" i="9" s="1"/>
  <c r="AG214" i="9"/>
  <c r="AG230" i="9"/>
  <c r="AG218" i="9"/>
  <c r="AG144" i="9"/>
  <c r="AG186" i="9"/>
  <c r="AG185" i="9"/>
  <c r="AG145" i="9"/>
  <c r="CD185" i="3"/>
  <c r="EK185" i="3" s="1"/>
  <c r="CD159" i="3"/>
  <c r="EK159" i="3" s="1"/>
  <c r="CD181" i="3"/>
  <c r="EK181" i="3" s="1"/>
  <c r="BA145" i="9"/>
  <c r="AZ145" i="9"/>
  <c r="AY145" i="9" s="1"/>
  <c r="A240" i="9"/>
  <c r="A81" i="9"/>
  <c r="A15" i="9"/>
  <c r="A171" i="9"/>
  <c r="A169" i="9"/>
  <c r="A247" i="9"/>
  <c r="A232" i="9"/>
  <c r="A207" i="9"/>
  <c r="A16" i="9"/>
  <c r="A168" i="9"/>
  <c r="A129" i="9"/>
  <c r="A70" i="9"/>
  <c r="A217" i="9"/>
  <c r="A228" i="9"/>
  <c r="A250" i="9"/>
  <c r="A231" i="9"/>
  <c r="A249" i="9"/>
  <c r="A198" i="9"/>
  <c r="A170" i="9"/>
  <c r="A155" i="9"/>
  <c r="A12" i="9"/>
  <c r="A197" i="9"/>
  <c r="A195" i="9"/>
  <c r="A167" i="9"/>
  <c r="A152" i="9"/>
  <c r="A8" i="9"/>
  <c r="A192" i="9"/>
  <c r="A162" i="9"/>
  <c r="A239" i="9"/>
  <c r="A161" i="9"/>
  <c r="A193" i="9"/>
  <c r="A17" i="9"/>
  <c r="A68" i="9"/>
  <c r="A11" i="9"/>
  <c r="A212" i="9"/>
  <c r="A177" i="9"/>
  <c r="A199" i="9"/>
  <c r="A196" i="9"/>
  <c r="A201" i="9"/>
  <c r="A82" i="9"/>
  <c r="A80" i="9"/>
  <c r="A183" i="9"/>
  <c r="A235" i="9"/>
  <c r="A208" i="9"/>
  <c r="A246" i="9"/>
  <c r="A194" i="9"/>
  <c r="A166" i="9"/>
  <c r="A151" i="9"/>
  <c r="A149" i="9"/>
  <c r="A227" i="9"/>
  <c r="A191" i="9"/>
  <c r="A164" i="9"/>
  <c r="A148" i="9"/>
  <c r="A215" i="9"/>
  <c r="A157" i="9"/>
  <c r="A158" i="9"/>
  <c r="A204" i="9"/>
  <c r="A153" i="9"/>
  <c r="A189" i="9"/>
  <c r="A18" i="9"/>
  <c r="A181" i="9"/>
  <c r="A77" i="9"/>
  <c r="A225" i="9"/>
  <c r="A202" i="9"/>
  <c r="A159" i="9"/>
  <c r="A156" i="9"/>
  <c r="A14" i="9"/>
  <c r="A13" i="9"/>
  <c r="A236" i="9"/>
  <c r="A182" i="9"/>
  <c r="A248" i="9"/>
  <c r="A224" i="9"/>
  <c r="A154" i="9"/>
  <c r="A206" i="9"/>
  <c r="A190" i="9"/>
  <c r="A163" i="9"/>
  <c r="A88" i="9"/>
  <c r="A26" i="9"/>
  <c r="A203" i="9"/>
  <c r="A178" i="9"/>
  <c r="A160" i="9"/>
  <c r="A87" i="9"/>
  <c r="A200" i="9"/>
  <c r="A25" i="9"/>
  <c r="A150" i="9"/>
  <c r="A172" i="9"/>
  <c r="A205" i="9"/>
  <c r="A173" i="9"/>
  <c r="A72" i="9"/>
  <c r="A76" i="9"/>
  <c r="A9" i="9"/>
  <c r="A174" i="9"/>
  <c r="A66" i="9"/>
  <c r="A79" i="9"/>
  <c r="AG502" i="9"/>
  <c r="E502" i="9"/>
  <c r="Y502" i="9"/>
  <c r="M502" i="9"/>
  <c r="R502" i="9"/>
  <c r="W502" i="9"/>
  <c r="K502" i="9"/>
  <c r="AN502" i="9"/>
  <c r="H502" i="9"/>
  <c r="C502" i="9"/>
  <c r="AS502" i="9"/>
  <c r="F502" i="9"/>
  <c r="S502" i="9"/>
  <c r="T502" i="9" s="1"/>
  <c r="AW502" i="9"/>
  <c r="AD502" i="9"/>
  <c r="BD502" i="9" s="1"/>
  <c r="P502" i="9"/>
  <c r="L502" i="9"/>
  <c r="AV502" i="9"/>
  <c r="AP502" i="9"/>
  <c r="J502" i="9"/>
  <c r="AU502" i="9"/>
  <c r="D502" i="9"/>
  <c r="BA502" i="9"/>
  <c r="AO502" i="9"/>
  <c r="Q502" i="9"/>
  <c r="AL502" i="9"/>
  <c r="AM502" i="9" s="1"/>
  <c r="G502" i="9"/>
  <c r="AR502" i="9"/>
  <c r="O502" i="9"/>
  <c r="N502" i="9"/>
  <c r="X502" i="9"/>
  <c r="AK502" i="9"/>
  <c r="AG19" i="9"/>
  <c r="R75" i="9"/>
  <c r="A75" i="9"/>
  <c r="AP165" i="9"/>
  <c r="A165" i="9"/>
  <c r="G24" i="9"/>
  <c r="A24" i="9"/>
  <c r="E223" i="9"/>
  <c r="A223" i="9"/>
  <c r="AN143" i="9"/>
  <c r="A143" i="9"/>
  <c r="J211" i="9"/>
  <c r="A211" i="9"/>
  <c r="AD234" i="9"/>
  <c r="C234" i="9" s="1"/>
  <c r="A234" i="9"/>
  <c r="G131" i="9"/>
  <c r="A131" i="9"/>
  <c r="AO73" i="9"/>
  <c r="A73" i="9"/>
  <c r="E176" i="9"/>
  <c r="A176" i="9"/>
  <c r="N78" i="9"/>
  <c r="A78" i="9"/>
  <c r="J67" i="9"/>
  <c r="A67" i="9"/>
  <c r="AH130" i="9"/>
  <c r="A130" i="9"/>
  <c r="AV219" i="9"/>
  <c r="A219" i="9"/>
  <c r="AV69" i="9"/>
  <c r="A69" i="9"/>
  <c r="AF74" i="9"/>
  <c r="A74" i="9"/>
  <c r="P71" i="9"/>
  <c r="A71" i="9"/>
  <c r="K10" i="9"/>
  <c r="Z10" i="9" s="1"/>
  <c r="AA10" i="9" s="1"/>
  <c r="A10" i="9"/>
  <c r="AC86" i="9"/>
  <c r="A86" i="9"/>
  <c r="Q175" i="9"/>
  <c r="A175" i="9"/>
  <c r="S179" i="9"/>
  <c r="A179" i="9"/>
  <c r="M241" i="9"/>
  <c r="A241" i="9"/>
  <c r="AO233" i="9"/>
  <c r="A233" i="9"/>
  <c r="AW229" i="9"/>
  <c r="A229" i="9"/>
  <c r="AC146" i="9"/>
  <c r="A146" i="9"/>
  <c r="AI243" i="9"/>
  <c r="A243" i="9"/>
  <c r="AB242" i="9"/>
  <c r="A242" i="9"/>
  <c r="I242" i="9" s="1"/>
  <c r="AE184" i="9"/>
  <c r="A184" i="9"/>
  <c r="P209" i="9"/>
  <c r="A209" i="9"/>
  <c r="AS221" i="9"/>
  <c r="A221" i="9"/>
  <c r="L147" i="9"/>
  <c r="A147" i="9"/>
  <c r="S238" i="9"/>
  <c r="T238" i="9" s="1"/>
  <c r="A238" i="9"/>
  <c r="X187" i="9"/>
  <c r="A187" i="9"/>
  <c r="AJ244" i="9"/>
  <c r="A244" i="9"/>
  <c r="O188" i="9"/>
  <c r="A188" i="9"/>
  <c r="AF245" i="9"/>
  <c r="A245" i="9"/>
  <c r="AB213" i="9"/>
  <c r="A213" i="9"/>
  <c r="L216" i="9"/>
  <c r="A216" i="9"/>
  <c r="AW180" i="9"/>
  <c r="A180" i="9"/>
  <c r="G210" i="9"/>
  <c r="A210" i="9"/>
  <c r="AD237" i="9"/>
  <c r="C237" i="9" s="1"/>
  <c r="A237" i="9"/>
  <c r="F226" i="9"/>
  <c r="A226" i="9"/>
  <c r="AW222" i="9"/>
  <c r="A222" i="9"/>
  <c r="I222" i="9" s="1"/>
  <c r="K220" i="9"/>
  <c r="Z220" i="9" s="1"/>
  <c r="AA220" i="9" s="1"/>
  <c r="A220" i="9"/>
  <c r="G238" i="9"/>
  <c r="AN242" i="9"/>
  <c r="L242" i="9"/>
  <c r="AE242" i="9"/>
  <c r="G242" i="9"/>
  <c r="N242" i="9"/>
  <c r="AW242" i="9"/>
  <c r="J147" i="9"/>
  <c r="AB147" i="9"/>
  <c r="K209" i="9"/>
  <c r="Z209" i="9" s="1"/>
  <c r="AA209" i="9" s="1"/>
  <c r="AC242" i="9"/>
  <c r="BB242" i="9"/>
  <c r="AZ242" i="9"/>
  <c r="AY242" i="9" s="1"/>
  <c r="Y242" i="9"/>
  <c r="K242" i="9"/>
  <c r="Z242" i="9" s="1"/>
  <c r="AA242" i="9" s="1"/>
  <c r="J242" i="9"/>
  <c r="AF242" i="9"/>
  <c r="AJ242" i="9"/>
  <c r="AX242" i="9"/>
  <c r="AQ243" i="9"/>
  <c r="P242" i="9"/>
  <c r="AN187" i="9"/>
  <c r="Q242" i="9"/>
  <c r="AI242" i="9"/>
  <c r="P222" i="9"/>
  <c r="AB220" i="9"/>
  <c r="O242" i="9"/>
  <c r="Y222" i="9"/>
  <c r="AP220" i="9"/>
  <c r="R245" i="9"/>
  <c r="J220" i="9"/>
  <c r="AR245" i="9"/>
  <c r="AH223" i="9"/>
  <c r="AJ245" i="9"/>
  <c r="BA187" i="9"/>
  <c r="F223" i="9"/>
  <c r="AJ226" i="9"/>
  <c r="X147" i="9"/>
  <c r="W245" i="9"/>
  <c r="BB187" i="9"/>
  <c r="S245" i="9"/>
  <c r="T245" i="9" s="1"/>
  <c r="G245" i="9"/>
  <c r="J216" i="9"/>
  <c r="AO180" i="9"/>
  <c r="D229" i="9"/>
  <c r="AF147" i="9"/>
  <c r="AH220" i="9"/>
  <c r="K245" i="9"/>
  <c r="Z245" i="9" s="1"/>
  <c r="AA245" i="9" s="1"/>
  <c r="AN226" i="9"/>
  <c r="P243" i="9"/>
  <c r="O209" i="9"/>
  <c r="BB245" i="9"/>
  <c r="F216" i="9"/>
  <c r="BA188" i="9"/>
  <c r="BB223" i="9"/>
  <c r="S226" i="9"/>
  <c r="T226" i="9" s="1"/>
  <c r="AX180" i="9"/>
  <c r="AW209" i="9"/>
  <c r="X245" i="9"/>
  <c r="AJ216" i="9"/>
  <c r="R188" i="9"/>
  <c r="AN245" i="9"/>
  <c r="S180" i="9"/>
  <c r="T180" i="9" s="1"/>
  <c r="AR209" i="9"/>
  <c r="AJ209" i="9"/>
  <c r="AJ147" i="9"/>
  <c r="AS245" i="9"/>
  <c r="J238" i="9"/>
  <c r="AV245" i="9"/>
  <c r="AO223" i="9"/>
  <c r="AB209" i="9"/>
  <c r="H223" i="9"/>
  <c r="K221" i="9"/>
  <c r="Z221" i="9" s="1"/>
  <c r="AA221" i="9" s="1"/>
  <c r="AT220" i="9"/>
  <c r="AV221" i="9"/>
  <c r="N245" i="9"/>
  <c r="AH245" i="9"/>
  <c r="AI187" i="9"/>
  <c r="G211" i="9"/>
  <c r="AC210" i="9"/>
  <c r="E245" i="9"/>
  <c r="AV188" i="9"/>
  <c r="D226" i="9"/>
  <c r="Y243" i="9"/>
  <c r="F221" i="9"/>
  <c r="H221" i="9"/>
  <c r="AN221" i="9"/>
  <c r="AJ220" i="9"/>
  <c r="Q245" i="9"/>
  <c r="AE220" i="9"/>
  <c r="O221" i="9"/>
  <c r="AE245" i="9"/>
  <c r="D245" i="9"/>
  <c r="AH210" i="9"/>
  <c r="AE223" i="9"/>
  <c r="BA245" i="9"/>
  <c r="AH226" i="9"/>
  <c r="AT221" i="9"/>
  <c r="AX221" i="9"/>
  <c r="S221" i="9"/>
  <c r="T221" i="9" s="1"/>
  <c r="AD221" i="9"/>
  <c r="C221" i="9" s="1"/>
  <c r="AO245" i="9"/>
  <c r="BB210" i="9"/>
  <c r="AR223" i="9"/>
  <c r="AC243" i="9"/>
  <c r="AZ210" i="9"/>
  <c r="AY210" i="9" s="1"/>
  <c r="AZ245" i="9"/>
  <c r="AY245" i="9" s="1"/>
  <c r="AE210" i="9"/>
  <c r="AN223" i="9"/>
  <c r="AS210" i="9"/>
  <c r="AR187" i="9"/>
  <c r="E220" i="9"/>
  <c r="AN229" i="9"/>
  <c r="J245" i="9"/>
  <c r="AZ226" i="9"/>
  <c r="AY226" i="9" s="1"/>
  <c r="AD245" i="9"/>
  <c r="C245" i="9" s="1"/>
  <c r="J223" i="9"/>
  <c r="AP245" i="9"/>
  <c r="W187" i="9"/>
  <c r="AR229" i="9"/>
  <c r="W229" i="9"/>
  <c r="F245" i="9"/>
  <c r="AO213" i="9"/>
  <c r="AW245" i="9"/>
  <c r="D223" i="9"/>
  <c r="L245" i="9"/>
  <c r="H187" i="9"/>
  <c r="AE229" i="9"/>
  <c r="AK211" i="9"/>
  <c r="AE211" i="9"/>
  <c r="AX233" i="9"/>
  <c r="AJ184" i="9"/>
  <c r="F143" i="9"/>
  <c r="X223" i="9"/>
  <c r="AP188" i="9"/>
  <c r="AZ144" i="9"/>
  <c r="AY144" i="9" s="1"/>
  <c r="U144" i="9"/>
  <c r="V144" i="9" s="1"/>
  <c r="AE213" i="9"/>
  <c r="M213" i="9"/>
  <c r="AT244" i="9"/>
  <c r="BA244" i="9"/>
  <c r="G244" i="9"/>
  <c r="AR244" i="9"/>
  <c r="L213" i="9"/>
  <c r="F243" i="9"/>
  <c r="AN237" i="9"/>
  <c r="R237" i="9"/>
  <c r="AO237" i="9"/>
  <c r="AW237" i="9"/>
  <c r="AZ237" i="9"/>
  <c r="AY237" i="9" s="1"/>
  <c r="AF237" i="9"/>
  <c r="AP237" i="9"/>
  <c r="D213" i="9"/>
  <c r="I213" i="9" s="1"/>
  <c r="AN238" i="9"/>
  <c r="X243" i="9"/>
  <c r="N147" i="9"/>
  <c r="AT147" i="9"/>
  <c r="Y147" i="9"/>
  <c r="AH147" i="9"/>
  <c r="AP147" i="9"/>
  <c r="R180" i="9"/>
  <c r="Q180" i="9"/>
  <c r="AR180" i="9"/>
  <c r="F180" i="9"/>
  <c r="AN180" i="9"/>
  <c r="W180" i="9"/>
  <c r="AD180" i="9"/>
  <c r="C180" i="9" s="1"/>
  <c r="X180" i="9"/>
  <c r="N180" i="9"/>
  <c r="AJ180" i="9"/>
  <c r="D180" i="9"/>
  <c r="O210" i="9"/>
  <c r="AB210" i="9"/>
  <c r="AJ210" i="9"/>
  <c r="AI210" i="9"/>
  <c r="R210" i="9"/>
  <c r="K210" i="9"/>
  <c r="Z210" i="9" s="1"/>
  <c r="AA210" i="9" s="1"/>
  <c r="AO210" i="9"/>
  <c r="F210" i="9"/>
  <c r="AD210" i="9"/>
  <c r="C210" i="9" s="1"/>
  <c r="X210" i="9"/>
  <c r="AU210" i="9"/>
  <c r="P210" i="9"/>
  <c r="J210" i="9"/>
  <c r="AD226" i="9"/>
  <c r="C226" i="9" s="1"/>
  <c r="Q226" i="9"/>
  <c r="J226" i="9"/>
  <c r="AW226" i="9"/>
  <c r="AC226" i="9"/>
  <c r="G226" i="9"/>
  <c r="AK226" i="9"/>
  <c r="H226" i="9"/>
  <c r="X213" i="9"/>
  <c r="W213" i="9"/>
  <c r="D225" i="9"/>
  <c r="K225" i="9"/>
  <c r="Z225" i="9" s="1"/>
  <c r="AA225" i="9" s="1"/>
  <c r="N225" i="9"/>
  <c r="AF225" i="9"/>
  <c r="R184" i="9"/>
  <c r="Y184" i="9"/>
  <c r="AT213" i="9"/>
  <c r="N213" i="9"/>
  <c r="H213" i="9"/>
  <c r="AF213" i="9"/>
  <c r="AK237" i="9"/>
  <c r="Y213" i="9"/>
  <c r="AC213" i="9"/>
  <c r="G213" i="9"/>
  <c r="AK213" i="9"/>
  <c r="AR213" i="9"/>
  <c r="AX213" i="9"/>
  <c r="AJ213" i="9"/>
  <c r="AQ213" i="9"/>
  <c r="AV213" i="9"/>
  <c r="O213" i="9"/>
  <c r="AU213" i="9"/>
  <c r="BA213" i="9"/>
  <c r="AI213" i="9"/>
  <c r="J213" i="9"/>
  <c r="AZ213" i="9"/>
  <c r="AY213" i="9" s="1"/>
  <c r="K213" i="9"/>
  <c r="Z213" i="9" s="1"/>
  <c r="AA213" i="9" s="1"/>
  <c r="BB213" i="9"/>
  <c r="F213" i="9"/>
  <c r="S213" i="9"/>
  <c r="T213" i="9" s="1"/>
  <c r="P213" i="9"/>
  <c r="AD213" i="9"/>
  <c r="C213" i="9" s="1"/>
  <c r="E213" i="9"/>
  <c r="R213" i="9"/>
  <c r="AW213" i="9"/>
  <c r="AS213" i="9"/>
  <c r="AN213" i="9"/>
  <c r="AH213" i="9"/>
  <c r="R243" i="9"/>
  <c r="AF243" i="9"/>
  <c r="AN243" i="9"/>
  <c r="AX243" i="9"/>
  <c r="AJ243" i="9"/>
  <c r="H243" i="9"/>
  <c r="AO243" i="9"/>
  <c r="BB243" i="9"/>
  <c r="AK243" i="9"/>
  <c r="AS243" i="9"/>
  <c r="D243" i="9"/>
  <c r="AH243" i="9"/>
  <c r="J243" i="9"/>
  <c r="AE243" i="9"/>
  <c r="AP243" i="9"/>
  <c r="Q243" i="9"/>
  <c r="AV243" i="9"/>
  <c r="E243" i="9"/>
  <c r="M243" i="9"/>
  <c r="AD243" i="9"/>
  <c r="C243" i="9" s="1"/>
  <c r="L243" i="9"/>
  <c r="AP213" i="9"/>
  <c r="Q213" i="9"/>
  <c r="AW243" i="9"/>
  <c r="AK242" i="9"/>
  <c r="M242" i="9"/>
  <c r="BA242" i="9"/>
  <c r="AH242" i="9"/>
  <c r="AH216" i="9"/>
  <c r="D211" i="9"/>
  <c r="AP242" i="9"/>
  <c r="D242" i="9"/>
  <c r="AV242" i="9"/>
  <c r="AR242" i="9"/>
  <c r="AT216" i="9"/>
  <c r="P211" i="9"/>
  <c r="X242" i="9"/>
  <c r="AO242" i="9"/>
  <c r="AQ242" i="9"/>
  <c r="R242" i="9"/>
  <c r="I144" i="9"/>
  <c r="AP216" i="9"/>
  <c r="AU211" i="9"/>
  <c r="H242" i="9"/>
  <c r="S242" i="9"/>
  <c r="T242" i="9" s="1"/>
  <c r="E242" i="9"/>
  <c r="F242" i="9"/>
  <c r="H216" i="9"/>
  <c r="BA211" i="9"/>
  <c r="AS242" i="9"/>
  <c r="AD242" i="9"/>
  <c r="C242" i="9" s="1"/>
  <c r="AT242" i="9"/>
  <c r="AH211" i="9"/>
  <c r="W242" i="9"/>
  <c r="AU242" i="9"/>
  <c r="AN188" i="9"/>
  <c r="X216" i="9"/>
  <c r="D209" i="9"/>
  <c r="AS187" i="9"/>
  <c r="K216" i="9"/>
  <c r="Z216" i="9" s="1"/>
  <c r="AA216" i="9" s="1"/>
  <c r="AJ188" i="9"/>
  <c r="AZ187" i="9"/>
  <c r="AY187" i="9" s="1"/>
  <c r="BB216" i="9"/>
  <c r="AB188" i="9"/>
  <c r="AU188" i="9"/>
  <c r="H220" i="9"/>
  <c r="AQ220" i="9"/>
  <c r="AK216" i="9"/>
  <c r="P216" i="9"/>
  <c r="AQ188" i="9"/>
  <c r="AZ188" i="9"/>
  <c r="AY188" i="9" s="1"/>
  <c r="AO187" i="9"/>
  <c r="E187" i="9"/>
  <c r="Q220" i="9"/>
  <c r="AD209" i="9"/>
  <c r="C209" i="9" s="1"/>
  <c r="AX220" i="9"/>
  <c r="X209" i="9"/>
  <c r="AT211" i="9"/>
  <c r="O211" i="9"/>
  <c r="AU220" i="9"/>
  <c r="AE216" i="9"/>
  <c r="AK188" i="9"/>
  <c r="N188" i="9"/>
  <c r="AQ187" i="9"/>
  <c r="AN146" i="9"/>
  <c r="L220" i="9"/>
  <c r="H209" i="9"/>
  <c r="AF216" i="9"/>
  <c r="D188" i="9"/>
  <c r="M188" i="9"/>
  <c r="AE187" i="9"/>
  <c r="AS216" i="9"/>
  <c r="E216" i="9"/>
  <c r="R209" i="9"/>
  <c r="BA220" i="9"/>
  <c r="G220" i="9"/>
  <c r="AS209" i="9"/>
  <c r="AV209" i="9"/>
  <c r="AN211" i="9"/>
  <c r="Q216" i="9"/>
  <c r="AC188" i="9"/>
  <c r="S188" i="9"/>
  <c r="T188" i="9" s="1"/>
  <c r="AX187" i="9"/>
  <c r="BA216" i="9"/>
  <c r="AK209" i="9"/>
  <c r="AI216" i="9"/>
  <c r="AU216" i="9"/>
  <c r="Y188" i="9"/>
  <c r="P188" i="9"/>
  <c r="F188" i="9"/>
  <c r="AN216" i="9"/>
  <c r="AE188" i="9"/>
  <c r="D220" i="9"/>
  <c r="BB220" i="9"/>
  <c r="S209" i="9"/>
  <c r="T209" i="9" s="1"/>
  <c r="W209" i="9"/>
  <c r="AZ220" i="9"/>
  <c r="AY220" i="9" s="1"/>
  <c r="AW220" i="9"/>
  <c r="AO209" i="9"/>
  <c r="AF211" i="9"/>
  <c r="AG211" i="9" s="1"/>
  <c r="AT188" i="9"/>
  <c r="AT184" i="9"/>
  <c r="N184" i="9"/>
  <c r="H184" i="9"/>
  <c r="AW233" i="9"/>
  <c r="AT233" i="9"/>
  <c r="Y225" i="9"/>
  <c r="F225" i="9"/>
  <c r="E225" i="9"/>
  <c r="F184" i="9"/>
  <c r="K211" i="9"/>
  <c r="Z211" i="9" s="1"/>
  <c r="AA211" i="9" s="1"/>
  <c r="E211" i="9"/>
  <c r="AP219" i="9"/>
  <c r="O184" i="9"/>
  <c r="R225" i="9"/>
  <c r="AZ225" i="9"/>
  <c r="AY225" i="9" s="1"/>
  <c r="AV184" i="9"/>
  <c r="G184" i="9"/>
  <c r="BB225" i="9"/>
  <c r="AO225" i="9"/>
  <c r="AC216" i="9"/>
  <c r="AX216" i="9"/>
  <c r="AD216" i="9"/>
  <c r="C216" i="9" s="1"/>
  <c r="S216" i="9"/>
  <c r="T216" i="9" s="1"/>
  <c r="R216" i="9"/>
  <c r="AH225" i="9"/>
  <c r="F209" i="9"/>
  <c r="AN209" i="9"/>
  <c r="AT209" i="9"/>
  <c r="L209" i="9"/>
  <c r="BA209" i="9"/>
  <c r="AV225" i="9"/>
  <c r="G225" i="9"/>
  <c r="AZ243" i="9"/>
  <c r="AY243" i="9" s="1"/>
  <c r="K243" i="9"/>
  <c r="Z243" i="9" s="1"/>
  <c r="AA243" i="9" s="1"/>
  <c r="AT243" i="9"/>
  <c r="AU243" i="9"/>
  <c r="N243" i="9"/>
  <c r="S243" i="9"/>
  <c r="T243" i="9" s="1"/>
  <c r="AR243" i="9"/>
  <c r="O243" i="9"/>
  <c r="AN184" i="9"/>
  <c r="AN225" i="9"/>
  <c r="H225" i="9"/>
  <c r="AP225" i="9"/>
  <c r="Q211" i="9"/>
  <c r="AE225" i="9"/>
  <c r="O225" i="9"/>
  <c r="Y216" i="9"/>
  <c r="AB243" i="9"/>
  <c r="G243" i="9"/>
  <c r="AR184" i="9"/>
  <c r="M184" i="9"/>
  <c r="S225" i="9"/>
  <c r="T225" i="9" s="1"/>
  <c r="AV211" i="9"/>
  <c r="AQ211" i="9"/>
  <c r="AP211" i="9"/>
  <c r="N211" i="9"/>
  <c r="AQ225" i="9"/>
  <c r="AH184" i="9"/>
  <c r="AV233" i="9"/>
  <c r="F211" i="9"/>
  <c r="AO211" i="9"/>
  <c r="AC184" i="9"/>
  <c r="X225" i="9"/>
  <c r="AU184" i="9"/>
  <c r="Q184" i="9"/>
  <c r="W243" i="9"/>
  <c r="AK147" i="9"/>
  <c r="K147" i="9"/>
  <c r="Z147" i="9" s="1"/>
  <c r="AA147" i="9" s="1"/>
  <c r="Y244" i="9"/>
  <c r="F244" i="9"/>
  <c r="AW244" i="9"/>
  <c r="AU244" i="9"/>
  <c r="M244" i="9"/>
  <c r="R244" i="9"/>
  <c r="AN244" i="9"/>
  <c r="Q241" i="9"/>
  <c r="AW238" i="9"/>
  <c r="AZ238" i="9"/>
  <c r="AY238" i="9" s="1"/>
  <c r="L238" i="9"/>
  <c r="AD238" i="9"/>
  <c r="C238" i="9" s="1"/>
  <c r="AB238" i="9"/>
  <c r="F238" i="9"/>
  <c r="E238" i="9"/>
  <c r="AC238" i="9"/>
  <c r="AU238" i="9"/>
  <c r="L237" i="9"/>
  <c r="AJ237" i="9"/>
  <c r="E237" i="9"/>
  <c r="AV237" i="9"/>
  <c r="AD220" i="9"/>
  <c r="C220" i="9" s="1"/>
  <c r="S220" i="9"/>
  <c r="T220" i="9" s="1"/>
  <c r="AR220" i="9"/>
  <c r="AX244" i="9"/>
  <c r="AD244" i="9"/>
  <c r="C244" i="9" s="1"/>
  <c r="O187" i="9"/>
  <c r="AH238" i="9"/>
  <c r="M220" i="9"/>
  <c r="AC237" i="9"/>
  <c r="H241" i="9"/>
  <c r="AH187" i="9"/>
  <c r="O244" i="9"/>
  <c r="AS244" i="9"/>
  <c r="O237" i="9"/>
  <c r="O220" i="9"/>
  <c r="AS220" i="9"/>
  <c r="W220" i="9"/>
  <c r="AB244" i="9"/>
  <c r="J187" i="9"/>
  <c r="Y238" i="9"/>
  <c r="K188" i="9"/>
  <c r="Z188" i="9" s="1"/>
  <c r="AA188" i="9" s="1"/>
  <c r="W188" i="9"/>
  <c r="G188" i="9"/>
  <c r="AF188" i="9"/>
  <c r="L188" i="9"/>
  <c r="X188" i="9"/>
  <c r="AX188" i="9"/>
  <c r="AO188" i="9"/>
  <c r="E188" i="9"/>
  <c r="Q188" i="9"/>
  <c r="AI188" i="9"/>
  <c r="AS188" i="9"/>
  <c r="J188" i="9"/>
  <c r="AD188" i="9"/>
  <c r="C188" i="9" s="1"/>
  <c r="BB188" i="9"/>
  <c r="AW188" i="9"/>
  <c r="AR188" i="9"/>
  <c r="AH188" i="9"/>
  <c r="H188" i="9"/>
  <c r="O147" i="9"/>
  <c r="AN147" i="9"/>
  <c r="AD147" i="9"/>
  <c r="C147" i="9" s="1"/>
  <c r="AC147" i="9"/>
  <c r="AZ147" i="9"/>
  <c r="AY147" i="9" s="1"/>
  <c r="AS147" i="9"/>
  <c r="AE147" i="9"/>
  <c r="Q147" i="9"/>
  <c r="P147" i="9"/>
  <c r="H147" i="9"/>
  <c r="S244" i="9"/>
  <c r="T244" i="9" s="1"/>
  <c r="AO220" i="9"/>
  <c r="P220" i="9"/>
  <c r="J244" i="9"/>
  <c r="AX238" i="9"/>
  <c r="AF187" i="9"/>
  <c r="P187" i="9"/>
  <c r="P221" i="9"/>
  <c r="D221" i="9"/>
  <c r="AJ221" i="9"/>
  <c r="AU221" i="9"/>
  <c r="W221" i="9"/>
  <c r="D244" i="9"/>
  <c r="G237" i="9"/>
  <c r="AN220" i="9"/>
  <c r="AS237" i="9"/>
  <c r="N220" i="9"/>
  <c r="AF220" i="9"/>
  <c r="AG220" i="9" s="1"/>
  <c r="AP244" i="9"/>
  <c r="AQ238" i="9"/>
  <c r="AW187" i="9"/>
  <c r="AI223" i="9"/>
  <c r="AX223" i="9"/>
  <c r="AQ223" i="9"/>
  <c r="AF223" i="9"/>
  <c r="W223" i="9"/>
  <c r="AB223" i="9"/>
  <c r="AK223" i="9"/>
  <c r="N223" i="9"/>
  <c r="R223" i="9"/>
  <c r="M187" i="9"/>
  <c r="L187" i="9"/>
  <c r="AC187" i="9"/>
  <c r="Q187" i="9"/>
  <c r="G187" i="9"/>
  <c r="AJ187" i="9"/>
  <c r="AD187" i="9"/>
  <c r="C187" i="9" s="1"/>
  <c r="S187" i="9"/>
  <c r="T187" i="9" s="1"/>
  <c r="F187" i="9"/>
  <c r="AV187" i="9"/>
  <c r="AU187" i="9"/>
  <c r="Y187" i="9"/>
  <c r="D187" i="9"/>
  <c r="AT187" i="9"/>
  <c r="N187" i="9"/>
  <c r="R187" i="9"/>
  <c r="H244" i="9"/>
  <c r="K187" i="9"/>
  <c r="Z187" i="9" s="1"/>
  <c r="AA187" i="9" s="1"/>
  <c r="AK220" i="9"/>
  <c r="Y220" i="9"/>
  <c r="AC220" i="9"/>
  <c r="AH237" i="9"/>
  <c r="F237" i="9"/>
  <c r="AV220" i="9"/>
  <c r="X220" i="9"/>
  <c r="F220" i="9"/>
  <c r="AE238" i="9"/>
  <c r="AP187" i="9"/>
  <c r="AE237" i="9"/>
  <c r="D237" i="9"/>
  <c r="AI220" i="9"/>
  <c r="R220" i="9"/>
  <c r="N244" i="9"/>
  <c r="H238" i="9"/>
  <c r="AK187" i="9"/>
  <c r="AB187" i="9"/>
  <c r="Y245" i="9"/>
  <c r="W216" i="9"/>
  <c r="M216" i="9"/>
  <c r="G216" i="9"/>
  <c r="AV229" i="9"/>
  <c r="AZ216" i="9"/>
  <c r="AY216" i="9" s="1"/>
  <c r="N216" i="9"/>
  <c r="AV216" i="9"/>
  <c r="AQ216" i="9"/>
  <c r="AO216" i="9"/>
  <c r="R229" i="9"/>
  <c r="AW216" i="9"/>
  <c r="H245" i="9"/>
  <c r="D216" i="9"/>
  <c r="O216" i="9"/>
  <c r="AD229" i="9"/>
  <c r="C229" i="9" s="1"/>
  <c r="AB216" i="9"/>
  <c r="AQ245" i="9"/>
  <c r="AR216" i="9"/>
  <c r="M209" i="9"/>
  <c r="AP209" i="9"/>
  <c r="AC209" i="9"/>
  <c r="AU209" i="9"/>
  <c r="E209" i="9"/>
  <c r="AE209" i="9"/>
  <c r="AI209" i="9"/>
  <c r="N209" i="9"/>
  <c r="AF209" i="9"/>
  <c r="Q209" i="9"/>
  <c r="BB209" i="9"/>
  <c r="AQ209" i="9"/>
  <c r="Y209" i="9"/>
  <c r="AH209" i="9"/>
  <c r="AX209" i="9"/>
  <c r="G209" i="9"/>
  <c r="AZ209" i="9"/>
  <c r="AY209" i="9" s="1"/>
  <c r="J209" i="9"/>
  <c r="AN222" i="9"/>
  <c r="S222" i="9"/>
  <c r="T222" i="9" s="1"/>
  <c r="R222" i="9"/>
  <c r="W222" i="9"/>
  <c r="AJ222" i="9"/>
  <c r="AZ222" i="9"/>
  <c r="AY222" i="9" s="1"/>
  <c r="X222" i="9"/>
  <c r="AU222" i="9"/>
  <c r="Q222" i="9"/>
  <c r="AH222" i="9"/>
  <c r="AV222" i="9"/>
  <c r="BA222" i="9"/>
  <c r="AT222" i="9"/>
  <c r="L222" i="9"/>
  <c r="AF222" i="9"/>
  <c r="AI222" i="9"/>
  <c r="AQ222" i="9"/>
  <c r="J222" i="9"/>
  <c r="S241" i="9"/>
  <c r="T241" i="9" s="1"/>
  <c r="O222" i="9"/>
  <c r="AQ244" i="9"/>
  <c r="E244" i="9"/>
  <c r="W244" i="9"/>
  <c r="AF244" i="9"/>
  <c r="AZ244" i="9"/>
  <c r="AY244" i="9" s="1"/>
  <c r="AE244" i="9"/>
  <c r="AO244" i="9"/>
  <c r="AH244" i="9"/>
  <c r="P244" i="9"/>
  <c r="AV244" i="9"/>
  <c r="AI244" i="9"/>
  <c r="AK244" i="9"/>
  <c r="BB244" i="9"/>
  <c r="AC244" i="9"/>
  <c r="Q244" i="9"/>
  <c r="L244" i="9"/>
  <c r="X244" i="9"/>
  <c r="K244" i="9"/>
  <c r="Z244" i="9" s="1"/>
  <c r="AA244" i="9" s="1"/>
  <c r="AO241" i="9"/>
  <c r="AH241" i="9"/>
  <c r="AC241" i="9"/>
  <c r="BB222" i="9"/>
  <c r="AE222" i="9"/>
  <c r="AO238" i="9"/>
  <c r="AP238" i="9"/>
  <c r="O238" i="9"/>
  <c r="D238" i="9"/>
  <c r="AI238" i="9"/>
  <c r="AJ238" i="9"/>
  <c r="Q238" i="9"/>
  <c r="BA238" i="9"/>
  <c r="R238" i="9"/>
  <c r="BB238" i="9"/>
  <c r="AK238" i="9"/>
  <c r="P238" i="9"/>
  <c r="AV238" i="9"/>
  <c r="M238" i="9"/>
  <c r="K238" i="9"/>
  <c r="Z238" i="9" s="1"/>
  <c r="AA238" i="9" s="1"/>
  <c r="AF238" i="9"/>
  <c r="N238" i="9"/>
  <c r="AS238" i="9"/>
  <c r="AT238" i="9"/>
  <c r="BB237" i="9"/>
  <c r="M237" i="9"/>
  <c r="N237" i="9"/>
  <c r="S237" i="9"/>
  <c r="T237" i="9" s="1"/>
  <c r="AT237" i="9"/>
  <c r="X237" i="9"/>
  <c r="Y237" i="9"/>
  <c r="W237" i="9"/>
  <c r="AR237" i="9"/>
  <c r="AB237" i="9"/>
  <c r="AU237" i="9"/>
  <c r="Q237" i="9"/>
  <c r="AI237" i="9"/>
  <c r="J237" i="9"/>
  <c r="P237" i="9"/>
  <c r="H237" i="9"/>
  <c r="AQ237" i="9"/>
  <c r="BA237" i="9"/>
  <c r="K237" i="9"/>
  <c r="Z237" i="9" s="1"/>
  <c r="AA237" i="9" s="1"/>
  <c r="AX237" i="9"/>
  <c r="J241" i="9"/>
  <c r="D222" i="9"/>
  <c r="AC222" i="9"/>
  <c r="E233" i="9"/>
  <c r="X233" i="9"/>
  <c r="Y233" i="9"/>
  <c r="AS180" i="9"/>
  <c r="AQ180" i="9"/>
  <c r="AV180" i="9"/>
  <c r="AP180" i="9"/>
  <c r="J180" i="9"/>
  <c r="AK180" i="9"/>
  <c r="AZ180" i="9"/>
  <c r="AY180" i="9" s="1"/>
  <c r="H180" i="9"/>
  <c r="AT180" i="9"/>
  <c r="AH180" i="9"/>
  <c r="Y180" i="9"/>
  <c r="K180" i="9"/>
  <c r="Z180" i="9" s="1"/>
  <c r="AA180" i="9" s="1"/>
  <c r="Y210" i="9"/>
  <c r="BA210" i="9"/>
  <c r="AX210" i="9"/>
  <c r="AV210" i="9"/>
  <c r="N210" i="9"/>
  <c r="L210" i="9"/>
  <c r="AW210" i="9"/>
  <c r="AQ210" i="9"/>
  <c r="W210" i="9"/>
  <c r="D210" i="9"/>
  <c r="M210" i="9"/>
  <c r="AF210" i="9"/>
  <c r="AN210" i="9"/>
  <c r="Q210" i="9"/>
  <c r="AT210" i="9"/>
  <c r="AK210" i="9"/>
  <c r="AR210" i="9"/>
  <c r="E210" i="9"/>
  <c r="Y226" i="9"/>
  <c r="W226" i="9"/>
  <c r="AI226" i="9"/>
  <c r="AX226" i="9"/>
  <c r="BB226" i="9"/>
  <c r="E226" i="9"/>
  <c r="AE226" i="9"/>
  <c r="AO226" i="9"/>
  <c r="AS226" i="9"/>
  <c r="AP226" i="9"/>
  <c r="AT226" i="9"/>
  <c r="AB226" i="9"/>
  <c r="L226" i="9"/>
  <c r="R226" i="9"/>
  <c r="AQ226" i="9"/>
  <c r="K226" i="9"/>
  <c r="Z226" i="9" s="1"/>
  <c r="AA226" i="9" s="1"/>
  <c r="AR226" i="9"/>
  <c r="AF226" i="9"/>
  <c r="P226" i="9"/>
  <c r="AU226" i="9"/>
  <c r="M226" i="9"/>
  <c r="AV226" i="9"/>
  <c r="O226" i="9"/>
  <c r="X226" i="9"/>
  <c r="N226" i="9"/>
  <c r="K229" i="9"/>
  <c r="Z229" i="9" s="1"/>
  <c r="AA229" i="9" s="1"/>
  <c r="AI229" i="9"/>
  <c r="N229" i="9"/>
  <c r="G229" i="9"/>
  <c r="F229" i="9"/>
  <c r="AO229" i="9"/>
  <c r="BA229" i="9"/>
  <c r="O229" i="9"/>
  <c r="S229" i="9"/>
  <c r="T229" i="9" s="1"/>
  <c r="AS229" i="9"/>
  <c r="AH229" i="9"/>
  <c r="AZ229" i="9"/>
  <c r="AY229" i="9" s="1"/>
  <c r="M147" i="9"/>
  <c r="R147" i="9"/>
  <c r="AI147" i="9"/>
  <c r="AR147" i="9"/>
  <c r="D147" i="9"/>
  <c r="AO147" i="9"/>
  <c r="AW147" i="9"/>
  <c r="W147" i="9"/>
  <c r="BB147" i="9"/>
  <c r="BA147" i="9"/>
  <c r="S147" i="9"/>
  <c r="T147" i="9" s="1"/>
  <c r="AV147" i="9"/>
  <c r="F147" i="9"/>
  <c r="G147" i="9"/>
  <c r="AU147" i="9"/>
  <c r="AX147" i="9"/>
  <c r="AQ147" i="9"/>
  <c r="E147" i="9"/>
  <c r="G13" i="9"/>
  <c r="AN233" i="9"/>
  <c r="AP210" i="9"/>
  <c r="X238" i="9"/>
  <c r="E222" i="9"/>
  <c r="M180" i="9"/>
  <c r="AQ233" i="9"/>
  <c r="O241" i="9"/>
  <c r="AB241" i="9"/>
  <c r="D241" i="9"/>
  <c r="AJ241" i="9"/>
  <c r="AR241" i="9"/>
  <c r="AF241" i="9"/>
  <c r="F241" i="9"/>
  <c r="AI241" i="9"/>
  <c r="AK241" i="9"/>
  <c r="AZ241" i="9"/>
  <c r="AY241" i="9" s="1"/>
  <c r="G222" i="9"/>
  <c r="N222" i="9"/>
  <c r="M222" i="9"/>
  <c r="AH80" i="9"/>
  <c r="X80" i="9"/>
  <c r="K222" i="9"/>
  <c r="Z222" i="9" s="1"/>
  <c r="AA222" i="9" s="1"/>
  <c r="H210" i="9"/>
  <c r="S210" i="9"/>
  <c r="T210" i="9" s="1"/>
  <c r="AR238" i="9"/>
  <c r="W238" i="9"/>
  <c r="AK222" i="9"/>
  <c r="F222" i="9"/>
  <c r="L241" i="9"/>
  <c r="G180" i="9"/>
  <c r="AP221" i="9"/>
  <c r="AQ221" i="9"/>
  <c r="M221" i="9"/>
  <c r="AB221" i="9"/>
  <c r="Q221" i="9"/>
  <c r="AC221" i="9"/>
  <c r="AR221" i="9"/>
  <c r="G221" i="9"/>
  <c r="AD233" i="9"/>
  <c r="C233" i="9" s="1"/>
  <c r="K241" i="9"/>
  <c r="Z241" i="9" s="1"/>
  <c r="AA241" i="9" s="1"/>
  <c r="D233" i="9"/>
  <c r="N241" i="9"/>
  <c r="AV241" i="9"/>
  <c r="X241" i="9"/>
  <c r="BB221" i="9"/>
  <c r="W143" i="9"/>
  <c r="AW143" i="9"/>
  <c r="P143" i="9"/>
  <c r="AJ143" i="9"/>
  <c r="AF143" i="9"/>
  <c r="R143" i="9"/>
  <c r="AR143" i="9"/>
  <c r="J233" i="9"/>
  <c r="E221" i="9"/>
  <c r="AN241" i="9"/>
  <c r="BA241" i="9"/>
  <c r="G241" i="9"/>
  <c r="L221" i="9"/>
  <c r="AE233" i="9"/>
  <c r="AI233" i="9"/>
  <c r="AU233" i="9"/>
  <c r="BB233" i="9"/>
  <c r="AX143" i="9"/>
  <c r="AE143" i="9"/>
  <c r="AE241" i="9"/>
  <c r="AH221" i="9"/>
  <c r="AO221" i="9"/>
  <c r="AW241" i="9"/>
  <c r="AZ233" i="9"/>
  <c r="AY233" i="9" s="1"/>
  <c r="AQ241" i="9"/>
  <c r="AS241" i="9"/>
  <c r="AF221" i="9"/>
  <c r="AK245" i="9"/>
  <c r="AU245" i="9"/>
  <c r="AI245" i="9"/>
  <c r="AB245" i="9"/>
  <c r="AC245" i="9"/>
  <c r="O245" i="9"/>
  <c r="AX245" i="9"/>
  <c r="AE180" i="9"/>
  <c r="AU180" i="9"/>
  <c r="BB180" i="9"/>
  <c r="AB180" i="9"/>
  <c r="L180" i="9"/>
  <c r="E180" i="9"/>
  <c r="AI180" i="9"/>
  <c r="P180" i="9"/>
  <c r="BA180" i="9"/>
  <c r="AF180" i="9"/>
  <c r="AC180" i="9"/>
  <c r="O180" i="9"/>
  <c r="F233" i="9"/>
  <c r="AB233" i="9"/>
  <c r="AI221" i="9"/>
  <c r="AW221" i="9"/>
  <c r="AE221" i="9"/>
  <c r="AR233" i="9"/>
  <c r="AD241" i="9"/>
  <c r="C241" i="9" s="1"/>
  <c r="W241" i="9"/>
  <c r="Y221" i="9"/>
  <c r="AK225" i="9"/>
  <c r="AB225" i="9"/>
  <c r="Q225" i="9"/>
  <c r="AX225" i="9"/>
  <c r="AR225" i="9"/>
  <c r="AT225" i="9"/>
  <c r="AU225" i="9"/>
  <c r="L225" i="9"/>
  <c r="BA225" i="9"/>
  <c r="W225" i="9"/>
  <c r="AS225" i="9"/>
  <c r="AD225" i="9"/>
  <c r="C225" i="9" s="1"/>
  <c r="J225" i="9"/>
  <c r="AC225" i="9"/>
  <c r="M225" i="9"/>
  <c r="AI225" i="9"/>
  <c r="P225" i="9"/>
  <c r="AJ225" i="9"/>
  <c r="AW225" i="9"/>
  <c r="J146" i="9"/>
  <c r="AS146" i="9"/>
  <c r="E146" i="9"/>
  <c r="AI146" i="9"/>
  <c r="D146" i="9"/>
  <c r="M146" i="9"/>
  <c r="X146" i="9"/>
  <c r="H146" i="9"/>
  <c r="Q146" i="9"/>
  <c r="O146" i="9"/>
  <c r="AR146" i="9"/>
  <c r="L146" i="9"/>
  <c r="AB146" i="9"/>
  <c r="G146" i="9"/>
  <c r="AH146" i="9"/>
  <c r="AW146" i="9"/>
  <c r="AP146" i="9"/>
  <c r="AE146" i="9"/>
  <c r="AJ146" i="9"/>
  <c r="AT146" i="9"/>
  <c r="W146" i="9"/>
  <c r="AX146" i="9"/>
  <c r="N146" i="9"/>
  <c r="AF146" i="9"/>
  <c r="F146" i="9"/>
  <c r="AD146" i="9"/>
  <c r="C146" i="9" s="1"/>
  <c r="AU146" i="9"/>
  <c r="AO146" i="9"/>
  <c r="S146" i="9"/>
  <c r="T146" i="9" s="1"/>
  <c r="K146" i="9"/>
  <c r="Z146" i="9" s="1"/>
  <c r="AA146" i="9" s="1"/>
  <c r="Y146" i="9"/>
  <c r="P146" i="9"/>
  <c r="AK146" i="9"/>
  <c r="AQ146" i="9"/>
  <c r="R146" i="9"/>
  <c r="AV146" i="9"/>
  <c r="BA233" i="9"/>
  <c r="BA221" i="9"/>
  <c r="R241" i="9"/>
  <c r="N221" i="9"/>
  <c r="R221" i="9"/>
  <c r="S233" i="9"/>
  <c r="T233" i="9" s="1"/>
  <c r="K233" i="9"/>
  <c r="Z233" i="9" s="1"/>
  <c r="AA233" i="9" s="1"/>
  <c r="L233" i="9"/>
  <c r="AK221" i="9"/>
  <c r="P241" i="9"/>
  <c r="E241" i="9"/>
  <c r="AT241" i="9"/>
  <c r="AU241" i="9"/>
  <c r="BB241" i="9"/>
  <c r="AP241" i="9"/>
  <c r="Y241" i="9"/>
  <c r="AZ221" i="9"/>
  <c r="AY221" i="9" s="1"/>
  <c r="J221" i="9"/>
  <c r="R233" i="9"/>
  <c r="W233" i="9"/>
  <c r="AX241" i="9"/>
  <c r="O233" i="9"/>
  <c r="X221" i="9"/>
  <c r="K143" i="9"/>
  <c r="Z143" i="9" s="1"/>
  <c r="AA143" i="9" s="1"/>
  <c r="AD222" i="9"/>
  <c r="C222" i="9" s="1"/>
  <c r="AO222" i="9"/>
  <c r="AR222" i="9"/>
  <c r="AS222" i="9"/>
  <c r="AX222" i="9"/>
  <c r="H222" i="9"/>
  <c r="AB222" i="9"/>
  <c r="AP222" i="9"/>
  <c r="AT153" i="3"/>
  <c r="AU153" i="3" s="1"/>
  <c r="AH233" i="9"/>
  <c r="G233" i="9"/>
  <c r="AS233" i="9"/>
  <c r="N233" i="9"/>
  <c r="AP233" i="9"/>
  <c r="AK233" i="9"/>
  <c r="AJ233" i="9"/>
  <c r="AC233" i="9"/>
  <c r="AF233" i="9"/>
  <c r="M233" i="9"/>
  <c r="H233" i="9"/>
  <c r="Q233" i="9"/>
  <c r="P233" i="9"/>
  <c r="J229" i="9"/>
  <c r="AC229" i="9"/>
  <c r="E229" i="9"/>
  <c r="AP229" i="9"/>
  <c r="AU229" i="9"/>
  <c r="Y229" i="9"/>
  <c r="BB229" i="9"/>
  <c r="AJ229" i="9"/>
  <c r="P229" i="9"/>
  <c r="AQ229" i="9"/>
  <c r="Q229" i="9"/>
  <c r="AX229" i="9"/>
  <c r="AF229" i="9"/>
  <c r="AG229" i="9" s="1"/>
  <c r="L229" i="9"/>
  <c r="X229" i="9"/>
  <c r="AK229" i="9"/>
  <c r="M229" i="9"/>
  <c r="AT229" i="9"/>
  <c r="AB229" i="9"/>
  <c r="H229" i="9"/>
  <c r="N217" i="9"/>
  <c r="AZ217" i="9"/>
  <c r="AY217" i="9" s="1"/>
  <c r="AS217" i="9"/>
  <c r="J217" i="9"/>
  <c r="AD217" i="9"/>
  <c r="C217" i="9" s="1"/>
  <c r="W217" i="9"/>
  <c r="G217" i="9"/>
  <c r="K217" i="9"/>
  <c r="Z217" i="9" s="1"/>
  <c r="AA217" i="9" s="1"/>
  <c r="AO217" i="9"/>
  <c r="AW217" i="9"/>
  <c r="D217" i="9"/>
  <c r="AH217" i="9"/>
  <c r="O217" i="9"/>
  <c r="S217" i="9"/>
  <c r="T217" i="9" s="1"/>
  <c r="R217" i="9"/>
  <c r="AI217" i="9"/>
  <c r="Q217" i="9"/>
  <c r="X217" i="9"/>
  <c r="AE217" i="9"/>
  <c r="AC217" i="9"/>
  <c r="M217" i="9"/>
  <c r="BB217" i="9"/>
  <c r="AJ217" i="9"/>
  <c r="F217" i="9"/>
  <c r="AV217" i="9"/>
  <c r="AN217" i="9"/>
  <c r="AU217" i="9"/>
  <c r="Y217" i="9"/>
  <c r="E217" i="9"/>
  <c r="AX217" i="9"/>
  <c r="AF217" i="9"/>
  <c r="P217" i="9"/>
  <c r="AK217" i="9"/>
  <c r="AP217" i="9"/>
  <c r="H217" i="9"/>
  <c r="AR217" i="9"/>
  <c r="AQ217" i="9"/>
  <c r="AT217" i="9"/>
  <c r="AB217" i="9"/>
  <c r="L217" i="9"/>
  <c r="M245" i="9"/>
  <c r="AT245" i="9"/>
  <c r="P245" i="9"/>
  <c r="K66" i="9"/>
  <c r="Z66" i="9" s="1"/>
  <c r="AA66" i="9" s="1"/>
  <c r="AQ66" i="9"/>
  <c r="AZ79" i="9"/>
  <c r="AY79" i="9" s="1"/>
  <c r="O79" i="9"/>
  <c r="P66" i="9"/>
  <c r="Y79" i="9"/>
  <c r="AW74" i="9"/>
  <c r="H79" i="9"/>
  <c r="S223" i="9"/>
  <c r="T223" i="9" s="1"/>
  <c r="AU223" i="9"/>
  <c r="O223" i="9"/>
  <c r="AV223" i="9"/>
  <c r="AW223" i="9"/>
  <c r="AZ223" i="9"/>
  <c r="AY223" i="9" s="1"/>
  <c r="AS223" i="9"/>
  <c r="G223" i="9"/>
  <c r="AJ223" i="9"/>
  <c r="M223" i="9"/>
  <c r="Y223" i="9"/>
  <c r="BA223" i="9"/>
  <c r="AC223" i="9"/>
  <c r="K223" i="9"/>
  <c r="Z223" i="9" s="1"/>
  <c r="AA223" i="9" s="1"/>
  <c r="L223" i="9"/>
  <c r="P223" i="9"/>
  <c r="AD223" i="9"/>
  <c r="C223" i="9" s="1"/>
  <c r="AP223" i="9"/>
  <c r="Q223" i="9"/>
  <c r="AT223" i="9"/>
  <c r="P184" i="9"/>
  <c r="AW184" i="9"/>
  <c r="AS184" i="9"/>
  <c r="AP184" i="9"/>
  <c r="AD184" i="9"/>
  <c r="C184" i="9" s="1"/>
  <c r="AB184" i="9"/>
  <c r="AK184" i="9"/>
  <c r="D184" i="9"/>
  <c r="BA184" i="9"/>
  <c r="E184" i="9"/>
  <c r="X184" i="9"/>
  <c r="AZ184" i="9"/>
  <c r="AY184" i="9" s="1"/>
  <c r="W184" i="9"/>
  <c r="AF184" i="9"/>
  <c r="J184" i="9"/>
  <c r="AO184" i="9"/>
  <c r="L184" i="9"/>
  <c r="AI184" i="9"/>
  <c r="AQ184" i="9"/>
  <c r="S184" i="9"/>
  <c r="T184" i="9" s="1"/>
  <c r="AX184" i="9"/>
  <c r="BB184" i="9"/>
  <c r="K184" i="9"/>
  <c r="Z184" i="9" s="1"/>
  <c r="AA184" i="9" s="1"/>
  <c r="BA69" i="9"/>
  <c r="P69" i="9"/>
  <c r="AN77" i="9"/>
  <c r="AU77" i="9"/>
  <c r="H77" i="9"/>
  <c r="AX13" i="9"/>
  <c r="D13" i="9"/>
  <c r="AE13" i="9"/>
  <c r="Y13" i="9"/>
  <c r="AQ13" i="9"/>
  <c r="M13" i="9"/>
  <c r="AN13" i="9"/>
  <c r="E13" i="9"/>
  <c r="AI13" i="9"/>
  <c r="R13" i="9"/>
  <c r="J13" i="9"/>
  <c r="AU13" i="9"/>
  <c r="AV13" i="9"/>
  <c r="AS13" i="9"/>
  <c r="AH13" i="9"/>
  <c r="AE179" i="9"/>
  <c r="AS179" i="9"/>
  <c r="R179" i="9"/>
  <c r="N179" i="9"/>
  <c r="AV179" i="9"/>
  <c r="O13" i="9"/>
  <c r="N13" i="9"/>
  <c r="S13" i="9"/>
  <c r="T13" i="9" s="1"/>
  <c r="AB211" i="9"/>
  <c r="X211" i="9"/>
  <c r="BB211" i="9"/>
  <c r="AS211" i="9"/>
  <c r="S211" i="9"/>
  <c r="T211" i="9" s="1"/>
  <c r="Y211" i="9"/>
  <c r="AI211" i="9"/>
  <c r="M211" i="9"/>
  <c r="R211" i="9"/>
  <c r="W211" i="9"/>
  <c r="AE69" i="9"/>
  <c r="AP69" i="9"/>
  <c r="L211" i="9"/>
  <c r="H211" i="9"/>
  <c r="AJ211" i="9"/>
  <c r="AX211" i="9"/>
  <c r="AZ211" i="9"/>
  <c r="AY211" i="9" s="1"/>
  <c r="AC211" i="9"/>
  <c r="AD211" i="9"/>
  <c r="C211" i="9" s="1"/>
  <c r="AR211" i="9"/>
  <c r="AW211" i="9"/>
  <c r="BA179" i="9"/>
  <c r="G179" i="9"/>
  <c r="AN179" i="9"/>
  <c r="AR77" i="9"/>
  <c r="AZ179" i="9"/>
  <c r="AY179" i="9" s="1"/>
  <c r="AR179" i="9"/>
  <c r="AD179" i="9"/>
  <c r="C179" i="9" s="1"/>
  <c r="AE77" i="9"/>
  <c r="L77" i="9"/>
  <c r="R219" i="9"/>
  <c r="AJ219" i="9"/>
  <c r="AI219" i="9"/>
  <c r="G219" i="9"/>
  <c r="W66" i="9"/>
  <c r="N66" i="9"/>
  <c r="AS66" i="9"/>
  <c r="AX66" i="9"/>
  <c r="F66" i="9"/>
  <c r="AR66" i="9"/>
  <c r="H66" i="9"/>
  <c r="K80" i="9"/>
  <c r="Z80" i="9" s="1"/>
  <c r="AA80" i="9" s="1"/>
  <c r="AK80" i="9"/>
  <c r="AB80" i="9"/>
  <c r="E80" i="9"/>
  <c r="AC80" i="9"/>
  <c r="P80" i="9"/>
  <c r="AU80" i="9"/>
  <c r="S80" i="9"/>
  <c r="T80" i="9" s="1"/>
  <c r="AS143" i="9"/>
  <c r="X143" i="9"/>
  <c r="G143" i="9"/>
  <c r="L143" i="9"/>
  <c r="N143" i="9"/>
  <c r="AO143" i="9"/>
  <c r="O143" i="9"/>
  <c r="AV143" i="9"/>
  <c r="S143" i="9"/>
  <c r="T143" i="9" s="1"/>
  <c r="AT143" i="9"/>
  <c r="AD143" i="9"/>
  <c r="C143" i="9" s="1"/>
  <c r="AK143" i="9"/>
  <c r="M143" i="9"/>
  <c r="AB143" i="9"/>
  <c r="D143" i="9"/>
  <c r="AI143" i="9"/>
  <c r="H143" i="9"/>
  <c r="AH143" i="9"/>
  <c r="J143" i="9"/>
  <c r="AP143" i="9"/>
  <c r="AU143" i="9"/>
  <c r="Y143" i="9"/>
  <c r="E143" i="9"/>
  <c r="AC143" i="9"/>
  <c r="Q143" i="9"/>
  <c r="AQ143" i="9"/>
  <c r="H24" i="9"/>
  <c r="W219" i="9"/>
  <c r="AS219" i="9"/>
  <c r="D219" i="9"/>
  <c r="AH219" i="9"/>
  <c r="AU219" i="9"/>
  <c r="AC219" i="9"/>
  <c r="AQ80" i="9"/>
  <c r="Y80" i="9"/>
  <c r="L80" i="9"/>
  <c r="H80" i="9"/>
  <c r="AS80" i="9"/>
  <c r="W80" i="9"/>
  <c r="O80" i="9"/>
  <c r="M80" i="9"/>
  <c r="AE80" i="9"/>
  <c r="O66" i="9"/>
  <c r="AE66" i="9"/>
  <c r="E66" i="9"/>
  <c r="AI66" i="9"/>
  <c r="AP66" i="9"/>
  <c r="AF66" i="9"/>
  <c r="AG66" i="9" s="1"/>
  <c r="S66" i="9"/>
  <c r="T66" i="9" s="1"/>
  <c r="AH66" i="9"/>
  <c r="AZ66" i="9"/>
  <c r="AY66" i="9" s="1"/>
  <c r="AW66" i="9"/>
  <c r="AD13" i="9"/>
  <c r="C13" i="9" s="1"/>
  <c r="AF13" i="9"/>
  <c r="S24" i="9"/>
  <c r="T24" i="9" s="1"/>
  <c r="AQ219" i="9"/>
  <c r="Y219" i="9"/>
  <c r="AN219" i="9"/>
  <c r="O219" i="9"/>
  <c r="AF219" i="9"/>
  <c r="AJ80" i="9"/>
  <c r="AX80" i="9"/>
  <c r="AV80" i="9"/>
  <c r="AD80" i="9"/>
  <c r="C80" i="9" s="1"/>
  <c r="N80" i="9"/>
  <c r="J80" i="9"/>
  <c r="AN80" i="9"/>
  <c r="F80" i="9"/>
  <c r="R80" i="9"/>
  <c r="AU66" i="9"/>
  <c r="L66" i="9"/>
  <c r="AT66" i="9"/>
  <c r="AK66" i="9"/>
  <c r="D66" i="9"/>
  <c r="M66" i="9"/>
  <c r="R66" i="9"/>
  <c r="J66" i="9"/>
  <c r="AN66" i="9"/>
  <c r="AH24" i="9"/>
  <c r="L219" i="9"/>
  <c r="X219" i="9"/>
  <c r="BA219" i="9"/>
  <c r="AK219" i="9"/>
  <c r="D80" i="9"/>
  <c r="AF80" i="9"/>
  <c r="AT80" i="9"/>
  <c r="AP80" i="9"/>
  <c r="AI80" i="9"/>
  <c r="G80" i="9"/>
  <c r="Q80" i="9"/>
  <c r="AR80" i="9"/>
  <c r="AW80" i="9"/>
  <c r="AB66" i="9"/>
  <c r="X66" i="9"/>
  <c r="Y66" i="9"/>
  <c r="Q66" i="9"/>
  <c r="G66" i="9"/>
  <c r="AJ66" i="9"/>
  <c r="AV66" i="9"/>
  <c r="AD66" i="9"/>
  <c r="C66" i="9" s="1"/>
  <c r="AC66" i="9"/>
  <c r="R74" i="9"/>
  <c r="S74" i="9"/>
  <c r="T74" i="9" s="1"/>
  <c r="AP74" i="9"/>
  <c r="AN74" i="9"/>
  <c r="H74" i="9"/>
  <c r="N74" i="9"/>
  <c r="D74" i="9"/>
  <c r="AD79" i="9"/>
  <c r="C79" i="9" s="1"/>
  <c r="AE79" i="9"/>
  <c r="AR79" i="9"/>
  <c r="X79" i="9"/>
  <c r="AU79" i="9"/>
  <c r="AN79" i="9"/>
  <c r="AX79" i="9"/>
  <c r="BA79" i="9"/>
  <c r="P79" i="9"/>
  <c r="AT79" i="9"/>
  <c r="AS79" i="9"/>
  <c r="Q79" i="9"/>
  <c r="S79" i="9"/>
  <c r="T79" i="9" s="1"/>
  <c r="AF79" i="9"/>
  <c r="K13" i="9"/>
  <c r="Z13" i="9" s="1"/>
  <c r="AA13" i="9" s="1"/>
  <c r="AB13" i="9"/>
  <c r="L13" i="9"/>
  <c r="AT13" i="9"/>
  <c r="AW13" i="9"/>
  <c r="W13" i="9"/>
  <c r="Q13" i="9"/>
  <c r="AJ13" i="9"/>
  <c r="AR13" i="9"/>
  <c r="P13" i="9"/>
  <c r="X13" i="9"/>
  <c r="F13" i="9"/>
  <c r="AK13" i="9"/>
  <c r="D10" i="9"/>
  <c r="AD10" i="9"/>
  <c r="C10" i="9" s="1"/>
  <c r="AQ10" i="9"/>
  <c r="S10" i="9"/>
  <c r="T10" i="9" s="1"/>
  <c r="AT10" i="9"/>
  <c r="AU234" i="9"/>
  <c r="H13" i="9"/>
  <c r="AS10" i="9"/>
  <c r="Y10" i="9"/>
  <c r="AB10" i="9"/>
  <c r="J10" i="9"/>
  <c r="CS195" i="3"/>
  <c r="CS196" i="3"/>
  <c r="Q10" i="9"/>
  <c r="AN10" i="9"/>
  <c r="E10" i="9"/>
  <c r="W10" i="9"/>
  <c r="AJ10" i="9"/>
  <c r="H10" i="9"/>
  <c r="AH10" i="9"/>
  <c r="F10" i="9"/>
  <c r="AW10" i="9"/>
  <c r="AX10" i="9"/>
  <c r="AK10" i="9"/>
  <c r="G10" i="9"/>
  <c r="AF10" i="9"/>
  <c r="X10" i="9"/>
  <c r="R10" i="9"/>
  <c r="AI10" i="9"/>
  <c r="L10" i="9"/>
  <c r="AE10" i="9"/>
  <c r="AR10" i="9"/>
  <c r="M10" i="9"/>
  <c r="AV10" i="9"/>
  <c r="N10" i="9"/>
  <c r="P10" i="9"/>
  <c r="AU10" i="9"/>
  <c r="O10" i="9"/>
  <c r="H176" i="9"/>
  <c r="AX176" i="9"/>
  <c r="O175" i="9"/>
  <c r="N176" i="9"/>
  <c r="AR176" i="9"/>
  <c r="I218" i="9"/>
  <c r="CS252" i="3"/>
  <c r="CS209" i="3"/>
  <c r="I230" i="9"/>
  <c r="CS236" i="3"/>
  <c r="CS201" i="3"/>
  <c r="I186" i="9"/>
  <c r="I185" i="9"/>
  <c r="CS231" i="3"/>
  <c r="CS257" i="3"/>
  <c r="U230" i="9"/>
  <c r="V230" i="9" s="1"/>
  <c r="CS220" i="3"/>
  <c r="CS246" i="3"/>
  <c r="U186" i="9"/>
  <c r="V186" i="9" s="1"/>
  <c r="U214" i="9"/>
  <c r="V214" i="9" s="1"/>
  <c r="CS228" i="3"/>
  <c r="CS204" i="3"/>
  <c r="CS260" i="3"/>
  <c r="CS223" i="3"/>
  <c r="CS212" i="3"/>
  <c r="CS254" i="3"/>
  <c r="CS199" i="3"/>
  <c r="CS241" i="3"/>
  <c r="CS249" i="3"/>
  <c r="CS233" i="3"/>
  <c r="CS215" i="3"/>
  <c r="CS217" i="3"/>
  <c r="CS207" i="3"/>
  <c r="CS197" i="3"/>
  <c r="CS243" i="3"/>
  <c r="CS239" i="3"/>
  <c r="AN24" i="9"/>
  <c r="AN234" i="9"/>
  <c r="AT175" i="9"/>
  <c r="AZ175" i="9"/>
  <c r="AY175" i="9" s="1"/>
  <c r="U209" i="9"/>
  <c r="V209" i="9" s="1"/>
  <c r="T218" i="9"/>
  <c r="BA66" i="9"/>
  <c r="BA80" i="9"/>
  <c r="BA243" i="9"/>
  <c r="BA144" i="9"/>
  <c r="CS253" i="3"/>
  <c r="CS232" i="3"/>
  <c r="CS213" i="3"/>
  <c r="CS242" i="3"/>
  <c r="CS224" i="3"/>
  <c r="CS205" i="3"/>
  <c r="S234" i="9"/>
  <c r="AX175" i="9"/>
  <c r="J175" i="9"/>
  <c r="BA217" i="9"/>
  <c r="AZ143" i="9"/>
  <c r="AY143" i="9" s="1"/>
  <c r="AZ146" i="9"/>
  <c r="AY146" i="9" s="1"/>
  <c r="CD152" i="3"/>
  <c r="EK152" i="3" s="1"/>
  <c r="BB144" i="9"/>
  <c r="CS250" i="3"/>
  <c r="CS229" i="3"/>
  <c r="CS203" i="3"/>
  <c r="CS240" i="3"/>
  <c r="CS221" i="3"/>
  <c r="U213" i="9"/>
  <c r="V213" i="9" s="1"/>
  <c r="AX24" i="9"/>
  <c r="AV234" i="9"/>
  <c r="U241" i="9"/>
  <c r="V241" i="9" s="1"/>
  <c r="BA143" i="9"/>
  <c r="BA226" i="9"/>
  <c r="BA146" i="9"/>
  <c r="CS247" i="3"/>
  <c r="CS219" i="3"/>
  <c r="CS200" i="3"/>
  <c r="CS258" i="3"/>
  <c r="CS237" i="3"/>
  <c r="CS211" i="3"/>
  <c r="U185" i="9"/>
  <c r="V185" i="9" s="1"/>
  <c r="CD151" i="3"/>
  <c r="EK151" i="3" s="1"/>
  <c r="BB143" i="9"/>
  <c r="CD154" i="3"/>
  <c r="EK154" i="3" s="1"/>
  <c r="BB146" i="9"/>
  <c r="BB145" i="9"/>
  <c r="CS256" i="3"/>
  <c r="CS235" i="3"/>
  <c r="CS216" i="3"/>
  <c r="CS245" i="3"/>
  <c r="CS227" i="3"/>
  <c r="CS208" i="3"/>
  <c r="CS164" i="3"/>
  <c r="CS163" i="3"/>
  <c r="CS188" i="3"/>
  <c r="CS255" i="3"/>
  <c r="CS168" i="3"/>
  <c r="CS230" i="3"/>
  <c r="CS214" i="3"/>
  <c r="CS198" i="3"/>
  <c r="CS165" i="3"/>
  <c r="CS182" i="3"/>
  <c r="AW77" i="9"/>
  <c r="F77" i="9"/>
  <c r="AC77" i="9"/>
  <c r="Y77" i="9"/>
  <c r="CS176" i="3"/>
  <c r="CS167" i="3"/>
  <c r="CS189" i="3"/>
  <c r="CS248" i="3"/>
  <c r="CS190" i="3"/>
  <c r="CS226" i="3"/>
  <c r="CS210" i="3"/>
  <c r="CS157" i="3"/>
  <c r="CS169" i="3"/>
  <c r="G77" i="9"/>
  <c r="BA77" i="9"/>
  <c r="AQ77" i="9"/>
  <c r="AJ77" i="9"/>
  <c r="E77" i="9"/>
  <c r="M77" i="9"/>
  <c r="CS179" i="3"/>
  <c r="CS174" i="3"/>
  <c r="CS180" i="3"/>
  <c r="CS166" i="3"/>
  <c r="CS161" i="3"/>
  <c r="CS244" i="3"/>
  <c r="CS175" i="3"/>
  <c r="CS238" i="3"/>
  <c r="CS222" i="3"/>
  <c r="CS206" i="3"/>
  <c r="CS194" i="3"/>
  <c r="CS187" i="3"/>
  <c r="CS186" i="3"/>
  <c r="W77" i="9"/>
  <c r="S77" i="9"/>
  <c r="T77" i="9" s="1"/>
  <c r="R77" i="9"/>
  <c r="AF77" i="9"/>
  <c r="AK77" i="9"/>
  <c r="CS192" i="3"/>
  <c r="CS173" i="3"/>
  <c r="CS178" i="3"/>
  <c r="CS158" i="3"/>
  <c r="CS177" i="3"/>
  <c r="CS193" i="3"/>
  <c r="CS234" i="3"/>
  <c r="CS218" i="3"/>
  <c r="CS202" i="3"/>
  <c r="CS172" i="3"/>
  <c r="AZ80" i="9"/>
  <c r="AY80" i="9" s="1"/>
  <c r="AZ77" i="9"/>
  <c r="AY77" i="9" s="1"/>
  <c r="E219" i="9"/>
  <c r="BB219" i="9"/>
  <c r="AT219" i="9"/>
  <c r="AB219" i="9"/>
  <c r="J219" i="9"/>
  <c r="AZ219" i="9"/>
  <c r="AY219" i="9" s="1"/>
  <c r="AR219" i="9"/>
  <c r="K219" i="9"/>
  <c r="AE219" i="9"/>
  <c r="N219" i="9"/>
  <c r="Q219" i="9"/>
  <c r="AX219" i="9"/>
  <c r="M219" i="9"/>
  <c r="P219" i="9"/>
  <c r="S219" i="9"/>
  <c r="T219" i="9" s="1"/>
  <c r="AO219" i="9"/>
  <c r="H219" i="9"/>
  <c r="AD219" i="9"/>
  <c r="C219" i="9" s="1"/>
  <c r="AW219" i="9"/>
  <c r="F219" i="9"/>
  <c r="M69" i="9"/>
  <c r="D69" i="9"/>
  <c r="R69" i="9"/>
  <c r="G69" i="9"/>
  <c r="X69" i="9"/>
  <c r="Q69" i="9"/>
  <c r="S175" i="9"/>
  <c r="T175" i="9" s="1"/>
  <c r="AN175" i="9"/>
  <c r="P175" i="9"/>
  <c r="W175" i="9"/>
  <c r="AK175" i="9"/>
  <c r="AS77" i="9"/>
  <c r="O77" i="9"/>
  <c r="AH77" i="9"/>
  <c r="P77" i="9"/>
  <c r="AX77" i="9"/>
  <c r="J77" i="9"/>
  <c r="Q77" i="9"/>
  <c r="AP77" i="9"/>
  <c r="AV77" i="9"/>
  <c r="AC79" i="9"/>
  <c r="K79" i="9"/>
  <c r="Z79" i="9" s="1"/>
  <c r="AA79" i="9" s="1"/>
  <c r="AB79" i="9"/>
  <c r="AQ79" i="9"/>
  <c r="AI79" i="9"/>
  <c r="D79" i="9"/>
  <c r="J79" i="9"/>
  <c r="G79" i="9"/>
  <c r="W79" i="9"/>
  <c r="N79" i="9"/>
  <c r="AW79" i="9"/>
  <c r="AZ76" i="9"/>
  <c r="AY76" i="9" s="1"/>
  <c r="K77" i="9"/>
  <c r="Z77" i="9" s="1"/>
  <c r="AA77" i="9" s="1"/>
  <c r="AI77" i="9"/>
  <c r="D77" i="9"/>
  <c r="AD77" i="9"/>
  <c r="C77" i="9" s="1"/>
  <c r="N77" i="9"/>
  <c r="X77" i="9"/>
  <c r="AB77" i="9"/>
  <c r="AT77" i="9"/>
  <c r="AZ74" i="9"/>
  <c r="AY74" i="9" s="1"/>
  <c r="M79" i="9"/>
  <c r="AV79" i="9"/>
  <c r="L79" i="9"/>
  <c r="E79" i="9"/>
  <c r="AK79" i="9"/>
  <c r="AP79" i="9"/>
  <c r="R79" i="9"/>
  <c r="AJ79" i="9"/>
  <c r="AH79" i="9"/>
  <c r="F79" i="9"/>
  <c r="F175" i="9"/>
  <c r="AI175" i="9"/>
  <c r="E175" i="9"/>
  <c r="AU175" i="9"/>
  <c r="AH175" i="9"/>
  <c r="AO175" i="9"/>
  <c r="AD175" i="9"/>
  <c r="C175" i="9" s="1"/>
  <c r="X175" i="9"/>
  <c r="Y175" i="9"/>
  <c r="Y74" i="9"/>
  <c r="AJ74" i="9"/>
  <c r="AI74" i="9"/>
  <c r="AE74" i="9"/>
  <c r="BA74" i="9"/>
  <c r="AH74" i="9"/>
  <c r="O74" i="9"/>
  <c r="AU74" i="9"/>
  <c r="AB74" i="9"/>
  <c r="J74" i="9"/>
  <c r="AT74" i="9"/>
  <c r="Q74" i="9"/>
  <c r="P74" i="9"/>
  <c r="M74" i="9"/>
  <c r="AD74" i="9"/>
  <c r="C74" i="9" s="1"/>
  <c r="AV74" i="9"/>
  <c r="AC74" i="9"/>
  <c r="K74" i="9"/>
  <c r="Z74" i="9" s="1"/>
  <c r="AA74" i="9" s="1"/>
  <c r="AQ74" i="9"/>
  <c r="W74" i="9"/>
  <c r="F74" i="9"/>
  <c r="AS74" i="9"/>
  <c r="AX74" i="9"/>
  <c r="E74" i="9"/>
  <c r="L74" i="9"/>
  <c r="AR74" i="9"/>
  <c r="X74" i="9"/>
  <c r="G74" i="9"/>
  <c r="AK74" i="9"/>
  <c r="I20" i="9"/>
  <c r="AU176" i="9"/>
  <c r="I19" i="9"/>
  <c r="W69" i="9"/>
  <c r="AW69" i="9"/>
  <c r="H69" i="9"/>
  <c r="AD69" i="9"/>
  <c r="C69" i="9" s="1"/>
  <c r="AT69" i="9"/>
  <c r="AZ69" i="9"/>
  <c r="AY69" i="9" s="1"/>
  <c r="N69" i="9"/>
  <c r="S69" i="9"/>
  <c r="T69" i="9" s="1"/>
  <c r="AS69" i="9"/>
  <c r="O69" i="9"/>
  <c r="AU69" i="9"/>
  <c r="AC69" i="9"/>
  <c r="AK69" i="9"/>
  <c r="F69" i="9"/>
  <c r="AH69" i="9"/>
  <c r="AJ69" i="9"/>
  <c r="AB69" i="9"/>
  <c r="AN69" i="9"/>
  <c r="AT71" i="9"/>
  <c r="K69" i="9"/>
  <c r="Z69" i="9" s="1"/>
  <c r="AA69" i="9" s="1"/>
  <c r="AI69" i="9"/>
  <c r="AR69" i="9"/>
  <c r="E69" i="9"/>
  <c r="L69" i="9"/>
  <c r="AF69" i="9"/>
  <c r="AG69" i="9" s="1"/>
  <c r="AQ69" i="9"/>
  <c r="AX69" i="9"/>
  <c r="J69" i="9"/>
  <c r="Y69" i="9"/>
  <c r="U20" i="9"/>
  <c r="V20" i="9" s="1"/>
  <c r="U19" i="9"/>
  <c r="V19" i="9" s="1"/>
  <c r="AX71" i="9"/>
  <c r="F71" i="9"/>
  <c r="AV67" i="9"/>
  <c r="AF71" i="9"/>
  <c r="AQ67" i="9"/>
  <c r="AX17" i="9"/>
  <c r="AH17" i="9"/>
  <c r="M17" i="9"/>
  <c r="AC234" i="9"/>
  <c r="R67" i="9"/>
  <c r="K67" i="9"/>
  <c r="Z67" i="9" s="1"/>
  <c r="AA67" i="9" s="1"/>
  <c r="AZ234" i="9"/>
  <c r="AY234" i="9" s="1"/>
  <c r="AQ17" i="9"/>
  <c r="M70" i="9"/>
  <c r="AN67" i="9"/>
  <c r="E17" i="9"/>
  <c r="F234" i="9"/>
  <c r="G67" i="9"/>
  <c r="AT17" i="9"/>
  <c r="L234" i="9"/>
  <c r="AH67" i="9"/>
  <c r="AB17" i="9"/>
  <c r="K234" i="9"/>
  <c r="Z234" i="9" s="1"/>
  <c r="AA234" i="9" s="1"/>
  <c r="N67" i="9"/>
  <c r="AR234" i="9"/>
  <c r="F67" i="9"/>
  <c r="H17" i="9"/>
  <c r="D9" i="9"/>
  <c r="E9" i="9"/>
  <c r="J72" i="9"/>
  <c r="AC72" i="9"/>
  <c r="AT72" i="9"/>
  <c r="BA72" i="9"/>
  <c r="J129" i="9"/>
  <c r="G129" i="9"/>
  <c r="S129" i="9"/>
  <c r="T129" i="9" s="1"/>
  <c r="AH129" i="9"/>
  <c r="AV129" i="9"/>
  <c r="P129" i="9"/>
  <c r="AI129" i="9"/>
  <c r="D129" i="9"/>
  <c r="AD129" i="9"/>
  <c r="C129" i="9" s="1"/>
  <c r="AF129" i="9"/>
  <c r="AP129" i="9"/>
  <c r="E129" i="9"/>
  <c r="AS86" i="9"/>
  <c r="AS129" i="9"/>
  <c r="Q129" i="9"/>
  <c r="AN131" i="9"/>
  <c r="X131" i="9"/>
  <c r="P131" i="9"/>
  <c r="AU129" i="9"/>
  <c r="S176" i="9"/>
  <c r="T176" i="9" s="1"/>
  <c r="AN176" i="9"/>
  <c r="AC176" i="9"/>
  <c r="AZ176" i="9"/>
  <c r="AY176" i="9" s="1"/>
  <c r="AV176" i="9"/>
  <c r="AB176" i="9"/>
  <c r="G176" i="9"/>
  <c r="AT176" i="9"/>
  <c r="W176" i="9"/>
  <c r="Y176" i="9"/>
  <c r="J71" i="9"/>
  <c r="M71" i="9"/>
  <c r="K71" i="9"/>
  <c r="Z71" i="9" s="1"/>
  <c r="AA71" i="9" s="1"/>
  <c r="AC71" i="9"/>
  <c r="AE71" i="9"/>
  <c r="G71" i="9"/>
  <c r="AW71" i="9"/>
  <c r="AS71" i="9"/>
  <c r="L71" i="9"/>
  <c r="N71" i="9"/>
  <c r="AU71" i="9"/>
  <c r="AS165" i="9"/>
  <c r="O179" i="9"/>
  <c r="K179" i="9"/>
  <c r="Z179" i="9" s="1"/>
  <c r="AA179" i="9" s="1"/>
  <c r="W179" i="9"/>
  <c r="J179" i="9"/>
  <c r="AB24" i="9"/>
  <c r="N24" i="9"/>
  <c r="F179" i="9"/>
  <c r="D179" i="9"/>
  <c r="I179" i="9" s="1"/>
  <c r="X24" i="9"/>
  <c r="AS24" i="9"/>
  <c r="AI131" i="9"/>
  <c r="AH131" i="9"/>
  <c r="J131" i="9"/>
  <c r="Y131" i="9"/>
  <c r="AB131" i="9"/>
  <c r="M131" i="9"/>
  <c r="AW179" i="9"/>
  <c r="AT24" i="9"/>
  <c r="AF24" i="9"/>
  <c r="AI179" i="9"/>
  <c r="AO179" i="9"/>
  <c r="L24" i="9"/>
  <c r="R24" i="9"/>
  <c r="AZ86" i="9"/>
  <c r="AY86" i="9" s="1"/>
  <c r="R86" i="9"/>
  <c r="AD86" i="9"/>
  <c r="C86" i="9" s="1"/>
  <c r="F86" i="9"/>
  <c r="AV86" i="9"/>
  <c r="AB86" i="9"/>
  <c r="W86" i="9"/>
  <c r="AU86" i="9"/>
  <c r="J86" i="9"/>
  <c r="AD9" i="9"/>
  <c r="C9" i="9" s="1"/>
  <c r="M9" i="9"/>
  <c r="AV9" i="9"/>
  <c r="AQ9" i="9"/>
  <c r="AW9" i="9"/>
  <c r="AN9" i="9"/>
  <c r="P9" i="9"/>
  <c r="W9" i="9"/>
  <c r="AH179" i="9"/>
  <c r="D86" i="9"/>
  <c r="G68" i="9"/>
  <c r="F68" i="9"/>
  <c r="AU68" i="9"/>
  <c r="AO130" i="9"/>
  <c r="H130" i="9"/>
  <c r="N165" i="9"/>
  <c r="K165" i="9"/>
  <c r="Z165" i="9" s="1"/>
  <c r="AA165" i="9" s="1"/>
  <c r="AI165" i="9"/>
  <c r="J165" i="9"/>
  <c r="R165" i="9"/>
  <c r="AD165" i="9"/>
  <c r="C165" i="9" s="1"/>
  <c r="BA165" i="9"/>
  <c r="AU165" i="9"/>
  <c r="AV165" i="9"/>
  <c r="AB165" i="9"/>
  <c r="M165" i="9"/>
  <c r="AX165" i="9"/>
  <c r="L165" i="9"/>
  <c r="W165" i="9"/>
  <c r="G165" i="9"/>
  <c r="AE165" i="9"/>
  <c r="S165" i="9"/>
  <c r="T165" i="9" s="1"/>
  <c r="E165" i="9"/>
  <c r="X165" i="9"/>
  <c r="AW165" i="9"/>
  <c r="AN165" i="9"/>
  <c r="AQ165" i="9"/>
  <c r="AT165" i="9"/>
  <c r="AZ165" i="9"/>
  <c r="AY165" i="9" s="1"/>
  <c r="Q165" i="9"/>
  <c r="F165" i="9"/>
  <c r="P165" i="9"/>
  <c r="AF165" i="9"/>
  <c r="AG165" i="9" s="1"/>
  <c r="D165" i="9"/>
  <c r="AK165" i="9"/>
  <c r="AR165" i="9"/>
  <c r="AO165" i="9"/>
  <c r="H165" i="9"/>
  <c r="BB165" i="9"/>
  <c r="Y165" i="9"/>
  <c r="AC165" i="9"/>
  <c r="O165" i="9"/>
  <c r="AH165" i="9"/>
  <c r="AJ165" i="9"/>
  <c r="K129" i="9"/>
  <c r="Z129" i="9" s="1"/>
  <c r="AA129" i="9" s="1"/>
  <c r="AJ129" i="9"/>
  <c r="L129" i="9"/>
  <c r="AX129" i="9"/>
  <c r="AN129" i="9"/>
  <c r="AE129" i="9"/>
  <c r="X129" i="9"/>
  <c r="N129" i="9"/>
  <c r="AW129" i="9"/>
  <c r="AQ129" i="9"/>
  <c r="O129" i="9"/>
  <c r="F129" i="9"/>
  <c r="W129" i="9"/>
  <c r="H129" i="9"/>
  <c r="AB129" i="9"/>
  <c r="R129" i="9"/>
  <c r="Y129" i="9"/>
  <c r="AT129" i="9"/>
  <c r="AK129" i="9"/>
  <c r="AR129" i="9"/>
  <c r="M129" i="9"/>
  <c r="R176" i="9"/>
  <c r="J176" i="9"/>
  <c r="AO176" i="9"/>
  <c r="X176" i="9"/>
  <c r="AH176" i="9"/>
  <c r="O176" i="9"/>
  <c r="D176" i="9"/>
  <c r="AP176" i="9"/>
  <c r="K176" i="9"/>
  <c r="Z176" i="9" s="1"/>
  <c r="AA176" i="9" s="1"/>
  <c r="AI176" i="9"/>
  <c r="AE176" i="9"/>
  <c r="BA176" i="9"/>
  <c r="AJ176" i="9"/>
  <c r="Q176" i="9"/>
  <c r="AW176" i="9"/>
  <c r="P176" i="9"/>
  <c r="BB176" i="9"/>
  <c r="AK176" i="9"/>
  <c r="L176" i="9"/>
  <c r="AF176" i="9"/>
  <c r="M176" i="9"/>
  <c r="AD176" i="9"/>
  <c r="C176" i="9" s="1"/>
  <c r="F176" i="9"/>
  <c r="AQ176" i="9"/>
  <c r="AS176" i="9"/>
  <c r="AR71" i="9"/>
  <c r="E71" i="9"/>
  <c r="H71" i="9"/>
  <c r="R71" i="9"/>
  <c r="S71" i="9"/>
  <c r="X71" i="9"/>
  <c r="AD71" i="9"/>
  <c r="C71" i="9" s="1"/>
  <c r="AQ71" i="9"/>
  <c r="AP71" i="9"/>
  <c r="AV71" i="9"/>
  <c r="O71" i="9"/>
  <c r="D71" i="9"/>
  <c r="AZ71" i="9"/>
  <c r="AY71" i="9" s="1"/>
  <c r="AI71" i="9"/>
  <c r="Q71" i="9"/>
  <c r="AN71" i="9"/>
  <c r="BA71" i="9"/>
  <c r="AJ71" i="9"/>
  <c r="AK71" i="9"/>
  <c r="AH71" i="9"/>
  <c r="AB71" i="9"/>
  <c r="Y71" i="9"/>
  <c r="W71" i="9"/>
  <c r="AE72" i="9"/>
  <c r="M72" i="9"/>
  <c r="Y72" i="9"/>
  <c r="AQ72" i="9"/>
  <c r="E72" i="9"/>
  <c r="AB72" i="9"/>
  <c r="N70" i="9"/>
  <c r="AN70" i="9"/>
  <c r="W70" i="9"/>
  <c r="O70" i="9"/>
  <c r="Q70" i="9"/>
  <c r="AB70" i="9"/>
  <c r="AH70" i="9"/>
  <c r="R70" i="9"/>
  <c r="AK70" i="9"/>
  <c r="AU70" i="9"/>
  <c r="AR70" i="9"/>
  <c r="BA70" i="9"/>
  <c r="H70" i="9"/>
  <c r="AZ70" i="9"/>
  <c r="AY70" i="9" s="1"/>
  <c r="P70" i="9"/>
  <c r="Y70" i="9"/>
  <c r="G70" i="9"/>
  <c r="AJ70" i="9"/>
  <c r="AT70" i="9"/>
  <c r="AW70" i="9"/>
  <c r="AV70" i="9"/>
  <c r="AE70" i="9"/>
  <c r="F70" i="9"/>
  <c r="X70" i="9"/>
  <c r="AQ70" i="9"/>
  <c r="AS70" i="9"/>
  <c r="L70" i="9"/>
  <c r="AI70" i="9"/>
  <c r="S70" i="9"/>
  <c r="T70" i="9" s="1"/>
  <c r="D70" i="9"/>
  <c r="AD70" i="9"/>
  <c r="C70" i="9" s="1"/>
  <c r="AP70" i="9"/>
  <c r="E70" i="9"/>
  <c r="AX70" i="9"/>
  <c r="AH68" i="9"/>
  <c r="R73" i="9"/>
  <c r="AF70" i="9"/>
  <c r="AG70" i="9" s="1"/>
  <c r="AF18" i="9"/>
  <c r="AV18" i="9"/>
  <c r="AW18" i="9"/>
  <c r="AN18" i="9"/>
  <c r="P18" i="9"/>
  <c r="K70" i="9"/>
  <c r="Z70" i="9" s="1"/>
  <c r="AA70" i="9" s="1"/>
  <c r="S73" i="9"/>
  <c r="T73" i="9" s="1"/>
  <c r="AC70" i="9"/>
  <c r="AP75" i="9"/>
  <c r="S75" i="9"/>
  <c r="T75" i="9" s="1"/>
  <c r="AC174" i="9"/>
  <c r="AK174" i="9"/>
  <c r="J70" i="9"/>
  <c r="Y73" i="9"/>
  <c r="AV73" i="9"/>
  <c r="O73" i="9"/>
  <c r="F73" i="9"/>
  <c r="AF73" i="9"/>
  <c r="D73" i="9"/>
  <c r="AW73" i="9"/>
  <c r="L73" i="9"/>
  <c r="AN73" i="9"/>
  <c r="AB73" i="9"/>
  <c r="AE73" i="9"/>
  <c r="Q73" i="9"/>
  <c r="AT73" i="9"/>
  <c r="K73" i="9"/>
  <c r="Z73" i="9" s="1"/>
  <c r="AA73" i="9" s="1"/>
  <c r="X73" i="9"/>
  <c r="E73" i="9"/>
  <c r="AS73" i="9"/>
  <c r="AD73" i="9"/>
  <c r="C73" i="9" s="1"/>
  <c r="W73" i="9"/>
  <c r="M73" i="9"/>
  <c r="AR73" i="9"/>
  <c r="AQ73" i="9"/>
  <c r="AX73" i="9"/>
  <c r="AI73" i="9"/>
  <c r="H73" i="9"/>
  <c r="G73" i="9"/>
  <c r="AH73" i="9"/>
  <c r="N73" i="9"/>
  <c r="P73" i="9"/>
  <c r="AK73" i="9"/>
  <c r="AP73" i="9"/>
  <c r="AJ73" i="9"/>
  <c r="J73" i="9"/>
  <c r="M68" i="9"/>
  <c r="N68" i="9"/>
  <c r="AW68" i="9"/>
  <c r="D68" i="9"/>
  <c r="AZ68" i="9"/>
  <c r="AY68" i="9" s="1"/>
  <c r="AE68" i="9"/>
  <c r="AK68" i="9"/>
  <c r="AD68" i="9"/>
  <c r="C68" i="9" s="1"/>
  <c r="K68" i="9"/>
  <c r="Z68" i="9" s="1"/>
  <c r="AA68" i="9" s="1"/>
  <c r="S68" i="9"/>
  <c r="T68" i="9" s="1"/>
  <c r="AN68" i="9"/>
  <c r="AX68" i="9"/>
  <c r="AP68" i="9"/>
  <c r="AC68" i="9"/>
  <c r="AF68" i="9"/>
  <c r="X68" i="9"/>
  <c r="R68" i="9"/>
  <c r="P68" i="9"/>
  <c r="H68" i="9"/>
  <c r="J68" i="9"/>
  <c r="AB68" i="9"/>
  <c r="AJ68" i="9"/>
  <c r="AR68" i="9"/>
  <c r="L68" i="9"/>
  <c r="Y68" i="9"/>
  <c r="AS68" i="9"/>
  <c r="AV68" i="9"/>
  <c r="W68" i="9"/>
  <c r="Q68" i="9"/>
  <c r="AI68" i="9"/>
  <c r="AQ68" i="9"/>
  <c r="O68" i="9"/>
  <c r="E68" i="9"/>
  <c r="AT68" i="9"/>
  <c r="AU73" i="9"/>
  <c r="BA68" i="9"/>
  <c r="AR72" i="9"/>
  <c r="Q72" i="9"/>
  <c r="AI72" i="9"/>
  <c r="AS72" i="9"/>
  <c r="R72" i="9"/>
  <c r="AV72" i="9"/>
  <c r="O72" i="9"/>
  <c r="W72" i="9"/>
  <c r="AU72" i="9"/>
  <c r="AP72" i="9"/>
  <c r="G72" i="9"/>
  <c r="AX72" i="9"/>
  <c r="X72" i="9"/>
  <c r="AF72" i="9"/>
  <c r="H72" i="9"/>
  <c r="F72" i="9"/>
  <c r="P72" i="9"/>
  <c r="AW72" i="9"/>
  <c r="N72" i="9"/>
  <c r="L72" i="9"/>
  <c r="K72" i="9"/>
  <c r="Z72" i="9" s="1"/>
  <c r="AA72" i="9" s="1"/>
  <c r="AD72" i="9"/>
  <c r="C72" i="9" s="1"/>
  <c r="AS67" i="9"/>
  <c r="O234" i="9"/>
  <c r="AO234" i="9"/>
  <c r="H234" i="9"/>
  <c r="AB234" i="9"/>
  <c r="AI234" i="9"/>
  <c r="D234" i="9"/>
  <c r="X234" i="9"/>
  <c r="AT234" i="9"/>
  <c r="BA234" i="9"/>
  <c r="T234" i="9"/>
  <c r="AP234" i="9"/>
  <c r="E234" i="9"/>
  <c r="P234" i="9"/>
  <c r="AJ234" i="9"/>
  <c r="AF234" i="9"/>
  <c r="BB234" i="9"/>
  <c r="Q234" i="9"/>
  <c r="AQ234" i="9"/>
  <c r="AX234" i="9"/>
  <c r="M234" i="9"/>
  <c r="AK234" i="9"/>
  <c r="J234" i="9"/>
  <c r="AH234" i="9"/>
  <c r="W234" i="9"/>
  <c r="AW234" i="9"/>
  <c r="J17" i="9"/>
  <c r="AV17" i="9"/>
  <c r="S17" i="9"/>
  <c r="T17" i="9" s="1"/>
  <c r="AR17" i="9"/>
  <c r="Q17" i="9"/>
  <c r="O17" i="9"/>
  <c r="AK17" i="9"/>
  <c r="AI17" i="9"/>
  <c r="D17" i="9"/>
  <c r="F17" i="9"/>
  <c r="K17" i="9"/>
  <c r="Z17" i="9" s="1"/>
  <c r="AA17" i="9" s="1"/>
  <c r="R17" i="9"/>
  <c r="AE17" i="9"/>
  <c r="P17" i="9"/>
  <c r="AJ17" i="9"/>
  <c r="AN17" i="9"/>
  <c r="AW17" i="9"/>
  <c r="AF17" i="9"/>
  <c r="X17" i="9"/>
  <c r="AD17" i="9"/>
  <c r="C17" i="9" s="1"/>
  <c r="AE67" i="9"/>
  <c r="BA67" i="9"/>
  <c r="D67" i="9"/>
  <c r="H67" i="9"/>
  <c r="AW67" i="9"/>
  <c r="P67" i="9"/>
  <c r="X67" i="9"/>
  <c r="L67" i="9"/>
  <c r="AF67" i="9"/>
  <c r="AG67" i="9" s="1"/>
  <c r="AJ67" i="9"/>
  <c r="AP67" i="9"/>
  <c r="AB67" i="9"/>
  <c r="AX67" i="9"/>
  <c r="AT67" i="9"/>
  <c r="M67" i="9"/>
  <c r="Q67" i="9"/>
  <c r="E67" i="9"/>
  <c r="Y67" i="9"/>
  <c r="AC67" i="9"/>
  <c r="AK67" i="9"/>
  <c r="O67" i="9"/>
  <c r="S67" i="9"/>
  <c r="T67" i="9" s="1"/>
  <c r="W67" i="9"/>
  <c r="H179" i="9"/>
  <c r="M179" i="9"/>
  <c r="BB179" i="9"/>
  <c r="AK179" i="9"/>
  <c r="P179" i="9"/>
  <c r="AC179" i="9"/>
  <c r="L179" i="9"/>
  <c r="Y179" i="9"/>
  <c r="AU179" i="9"/>
  <c r="X179" i="9"/>
  <c r="AJ179" i="9"/>
  <c r="AQ179" i="9"/>
  <c r="AF179" i="9"/>
  <c r="Q179" i="9"/>
  <c r="AB179" i="9"/>
  <c r="AT179" i="9"/>
  <c r="E179" i="9"/>
  <c r="AX179" i="9"/>
  <c r="T179" i="9"/>
  <c r="AP179" i="9"/>
  <c r="AE234" i="9"/>
  <c r="Y234" i="9"/>
  <c r="S72" i="9"/>
  <c r="T72" i="9" s="1"/>
  <c r="N17" i="9"/>
  <c r="L17" i="9"/>
  <c r="N234" i="9"/>
  <c r="R234" i="9"/>
  <c r="AN72" i="9"/>
  <c r="AR67" i="9"/>
  <c r="AS17" i="9"/>
  <c r="AS234" i="9"/>
  <c r="D72" i="9"/>
  <c r="AK72" i="9"/>
  <c r="AZ67" i="9"/>
  <c r="AY67" i="9" s="1"/>
  <c r="AU67" i="9"/>
  <c r="AU17" i="9"/>
  <c r="W17" i="9"/>
  <c r="G234" i="9"/>
  <c r="AJ72" i="9"/>
  <c r="AH72" i="9"/>
  <c r="AD67" i="9"/>
  <c r="C67" i="9" s="1"/>
  <c r="AI67" i="9"/>
  <c r="Y17" i="9"/>
  <c r="G17" i="9"/>
  <c r="AV24" i="9"/>
  <c r="F24" i="9"/>
  <c r="K24" i="9"/>
  <c r="Z24" i="9" s="1"/>
  <c r="AA24" i="9" s="1"/>
  <c r="AD24" i="9"/>
  <c r="C24" i="9" s="1"/>
  <c r="AW24" i="9"/>
  <c r="J24" i="9"/>
  <c r="O24" i="9"/>
  <c r="AI24" i="9"/>
  <c r="P24" i="9"/>
  <c r="Y24" i="9"/>
  <c r="Q24" i="9"/>
  <c r="D24" i="9"/>
  <c r="M24" i="9"/>
  <c r="W24" i="9"/>
  <c r="AQ24" i="9"/>
  <c r="AJ24" i="9"/>
  <c r="E24" i="9"/>
  <c r="AU24" i="9"/>
  <c r="AR24" i="9"/>
  <c r="AK24" i="9"/>
  <c r="AE24" i="9"/>
  <c r="R181" i="9"/>
  <c r="S181" i="9"/>
  <c r="T181" i="9" s="1"/>
  <c r="AT181" i="9"/>
  <c r="AQ181" i="9"/>
  <c r="W181" i="9"/>
  <c r="X181" i="9"/>
  <c r="L181" i="9"/>
  <c r="AC181" i="9"/>
  <c r="AD181" i="9"/>
  <c r="C181" i="9" s="1"/>
  <c r="AX181" i="9"/>
  <c r="AH181" i="9"/>
  <c r="AI181" i="9"/>
  <c r="Q181" i="9"/>
  <c r="M181" i="9"/>
  <c r="AN181" i="9"/>
  <c r="AO181" i="9"/>
  <c r="AB181" i="9"/>
  <c r="AZ181" i="9"/>
  <c r="AY181" i="9" s="1"/>
  <c r="J181" i="9"/>
  <c r="K181" i="9"/>
  <c r="Z181" i="9" s="1"/>
  <c r="AA181" i="9" s="1"/>
  <c r="Y181" i="9"/>
  <c r="E181" i="9"/>
  <c r="AR181" i="9"/>
  <c r="AK181" i="9"/>
  <c r="AV181" i="9"/>
  <c r="AU181" i="9"/>
  <c r="BA181" i="9"/>
  <c r="D181" i="9"/>
  <c r="G181" i="9"/>
  <c r="AP181" i="9"/>
  <c r="F181" i="9"/>
  <c r="P181" i="9"/>
  <c r="N181" i="9"/>
  <c r="O181" i="9"/>
  <c r="AS181" i="9"/>
  <c r="AW181" i="9"/>
  <c r="BB181" i="9"/>
  <c r="AE181" i="9"/>
  <c r="AF181" i="9"/>
  <c r="H181" i="9"/>
  <c r="AJ181" i="9"/>
  <c r="AP130" i="9"/>
  <c r="P130" i="9"/>
  <c r="AS130" i="9"/>
  <c r="X130" i="9"/>
  <c r="J130" i="9"/>
  <c r="E130" i="9"/>
  <c r="M130" i="9"/>
  <c r="R130" i="9"/>
  <c r="AV130" i="9"/>
  <c r="AQ130" i="9"/>
  <c r="AN130" i="9"/>
  <c r="AX130" i="9"/>
  <c r="S130" i="9"/>
  <c r="T130" i="9" s="1"/>
  <c r="AE130" i="9"/>
  <c r="N130" i="9"/>
  <c r="AK130" i="9"/>
  <c r="AU130" i="9"/>
  <c r="F130" i="9"/>
  <c r="G130" i="9"/>
  <c r="O130" i="9"/>
  <c r="AF130" i="9"/>
  <c r="K130" i="9"/>
  <c r="Z130" i="9" s="1"/>
  <c r="AA130" i="9" s="1"/>
  <c r="D130" i="9"/>
  <c r="AW130" i="9"/>
  <c r="L130" i="9"/>
  <c r="AJ130" i="9"/>
  <c r="AI130" i="9"/>
  <c r="AD130" i="9"/>
  <c r="C130" i="9" s="1"/>
  <c r="AR130" i="9"/>
  <c r="AT130" i="9"/>
  <c r="Q130" i="9"/>
  <c r="AN75" i="9"/>
  <c r="M75" i="9"/>
  <c r="AB75" i="9"/>
  <c r="N75" i="9"/>
  <c r="AC75" i="9"/>
  <c r="AT75" i="9"/>
  <c r="BA75" i="9"/>
  <c r="E75" i="9"/>
  <c r="F75" i="9"/>
  <c r="AW75" i="9"/>
  <c r="K75" i="9"/>
  <c r="Z75" i="9" s="1"/>
  <c r="AA75" i="9" s="1"/>
  <c r="AE75" i="9"/>
  <c r="W75" i="9"/>
  <c r="X75" i="9"/>
  <c r="AI75" i="9"/>
  <c r="AH75" i="9"/>
  <c r="AK75" i="9"/>
  <c r="AV75" i="9"/>
  <c r="AJ75" i="9"/>
  <c r="AS75" i="9"/>
  <c r="Y75" i="9"/>
  <c r="J75" i="9"/>
  <c r="P75" i="9"/>
  <c r="AZ75" i="9"/>
  <c r="AY75" i="9" s="1"/>
  <c r="AF75" i="9"/>
  <c r="AD75" i="9"/>
  <c r="C75" i="9" s="1"/>
  <c r="AX75" i="9"/>
  <c r="D75" i="9"/>
  <c r="H75" i="9"/>
  <c r="G75" i="9"/>
  <c r="L75" i="9"/>
  <c r="AB174" i="9"/>
  <c r="AF174" i="9"/>
  <c r="W174" i="9"/>
  <c r="AI174" i="9"/>
  <c r="AV174" i="9"/>
  <c r="AR174" i="9"/>
  <c r="AQ174" i="9"/>
  <c r="AS174" i="9"/>
  <c r="O174" i="9"/>
  <c r="P174" i="9"/>
  <c r="AZ174" i="9"/>
  <c r="AY174" i="9" s="1"/>
  <c r="AH174" i="9"/>
  <c r="AJ174" i="9"/>
  <c r="E174" i="9"/>
  <c r="L174" i="9"/>
  <c r="G174" i="9"/>
  <c r="BB174" i="9"/>
  <c r="Q174" i="9"/>
  <c r="AT174" i="9"/>
  <c r="M174" i="9"/>
  <c r="J174" i="9"/>
  <c r="BA174" i="9"/>
  <c r="X174" i="9"/>
  <c r="AU174" i="9"/>
  <c r="N174" i="9"/>
  <c r="AX174" i="9"/>
  <c r="AO174" i="9"/>
  <c r="AP174" i="9"/>
  <c r="AW174" i="9"/>
  <c r="K174" i="9"/>
  <c r="Z174" i="9" s="1"/>
  <c r="AA174" i="9" s="1"/>
  <c r="AD174" i="9"/>
  <c r="C174" i="9" s="1"/>
  <c r="Y174" i="9"/>
  <c r="AR75" i="9"/>
  <c r="F174" i="9"/>
  <c r="AB130" i="9"/>
  <c r="AC78" i="9"/>
  <c r="AP78" i="9"/>
  <c r="AW78" i="9"/>
  <c r="AH78" i="9"/>
  <c r="J78" i="9"/>
  <c r="X78" i="9"/>
  <c r="AF78" i="9"/>
  <c r="H78" i="9"/>
  <c r="AE78" i="9"/>
  <c r="K78" i="9"/>
  <c r="Z78" i="9" s="1"/>
  <c r="AA78" i="9" s="1"/>
  <c r="R78" i="9"/>
  <c r="Y78" i="9"/>
  <c r="AX78" i="9"/>
  <c r="AK78" i="9"/>
  <c r="AQ78" i="9"/>
  <c r="E78" i="9"/>
  <c r="G78" i="9"/>
  <c r="AB78" i="9"/>
  <c r="O78" i="9"/>
  <c r="M78" i="9"/>
  <c r="AN78" i="9"/>
  <c r="L78" i="9"/>
  <c r="AJ78" i="9"/>
  <c r="W78" i="9"/>
  <c r="AT78" i="9"/>
  <c r="AV78" i="9"/>
  <c r="AZ78" i="9"/>
  <c r="AY78" i="9" s="1"/>
  <c r="AD78" i="9"/>
  <c r="C78" i="9" s="1"/>
  <c r="F78" i="9"/>
  <c r="P78" i="9"/>
  <c r="S78" i="9"/>
  <c r="T78" i="9" s="1"/>
  <c r="AI78" i="9"/>
  <c r="AU78" i="9"/>
  <c r="BA78" i="9"/>
  <c r="AS78" i="9"/>
  <c r="M18" i="9"/>
  <c r="AS18" i="9"/>
  <c r="X18" i="9"/>
  <c r="S18" i="9"/>
  <c r="T18" i="9" s="1"/>
  <c r="Q18" i="9"/>
  <c r="H18" i="9"/>
  <c r="AD18" i="9"/>
  <c r="C18" i="9" s="1"/>
  <c r="G18" i="9"/>
  <c r="J18" i="9"/>
  <c r="AJ18" i="9"/>
  <c r="N18" i="9"/>
  <c r="AU18" i="9"/>
  <c r="AX18" i="9"/>
  <c r="AR18" i="9"/>
  <c r="R18" i="9"/>
  <c r="F18" i="9"/>
  <c r="AB18" i="9"/>
  <c r="AK18" i="9"/>
  <c r="W18" i="9"/>
  <c r="L18" i="9"/>
  <c r="AQ18" i="9"/>
  <c r="D18" i="9"/>
  <c r="K18" i="9"/>
  <c r="Z18" i="9" s="1"/>
  <c r="AA18" i="9" s="1"/>
  <c r="O18" i="9"/>
  <c r="AE18" i="9"/>
  <c r="Y18" i="9"/>
  <c r="AH18" i="9"/>
  <c r="AT18" i="9"/>
  <c r="AP76" i="9"/>
  <c r="O76" i="9"/>
  <c r="Y76" i="9"/>
  <c r="D76" i="9"/>
  <c r="AD76" i="9"/>
  <c r="C76" i="9" s="1"/>
  <c r="AI76" i="9"/>
  <c r="J76" i="9"/>
  <c r="BA76" i="9"/>
  <c r="Q76" i="9"/>
  <c r="AJ76" i="9"/>
  <c r="K76" i="9"/>
  <c r="Z76" i="9" s="1"/>
  <c r="AA76" i="9" s="1"/>
  <c r="P76" i="9"/>
  <c r="AQ76" i="9"/>
  <c r="AN76" i="9"/>
  <c r="AW76" i="9"/>
  <c r="AX76" i="9"/>
  <c r="R76" i="9"/>
  <c r="AK76" i="9"/>
  <c r="AS76" i="9"/>
  <c r="N76" i="9"/>
  <c r="AR76" i="9"/>
  <c r="H76" i="9"/>
  <c r="AU76" i="9"/>
  <c r="AE76" i="9"/>
  <c r="E76" i="9"/>
  <c r="L76" i="9"/>
  <c r="AH76" i="9"/>
  <c r="AB76" i="9"/>
  <c r="AV76" i="9"/>
  <c r="M76" i="9"/>
  <c r="F76" i="9"/>
  <c r="AF76" i="9"/>
  <c r="AG76" i="9" s="1"/>
  <c r="S76" i="9"/>
  <c r="T76" i="9" s="1"/>
  <c r="W76" i="9"/>
  <c r="H174" i="9"/>
  <c r="E18" i="9"/>
  <c r="AR78" i="9"/>
  <c r="AT76" i="9"/>
  <c r="AN174" i="9"/>
  <c r="AI18" i="9"/>
  <c r="O75" i="9"/>
  <c r="AE174" i="9"/>
  <c r="X76" i="9"/>
  <c r="S174" i="9"/>
  <c r="T174" i="9" s="1"/>
  <c r="Q78" i="9"/>
  <c r="G76" i="9"/>
  <c r="AU75" i="9"/>
  <c r="D174" i="9"/>
  <c r="Y130" i="9"/>
  <c r="AC76" i="9"/>
  <c r="AQ75" i="9"/>
  <c r="R174" i="9"/>
  <c r="W130" i="9"/>
  <c r="D78" i="9"/>
  <c r="Q75" i="9"/>
  <c r="H86" i="9"/>
  <c r="E86" i="9"/>
  <c r="X9" i="9"/>
  <c r="S9" i="9"/>
  <c r="T9" i="9" s="1"/>
  <c r="K131" i="9"/>
  <c r="Z131" i="9" s="1"/>
  <c r="AA131" i="9" s="1"/>
  <c r="AS131" i="9"/>
  <c r="H131" i="9"/>
  <c r="Q131" i="9"/>
  <c r="E131" i="9"/>
  <c r="AD131" i="9"/>
  <c r="C131" i="9" s="1"/>
  <c r="AJ131" i="9"/>
  <c r="AK131" i="9"/>
  <c r="S131" i="9"/>
  <c r="T131" i="9" s="1"/>
  <c r="AO131" i="9"/>
  <c r="AW131" i="9"/>
  <c r="AU131" i="9"/>
  <c r="N131" i="9"/>
  <c r="AF131" i="9"/>
  <c r="D131" i="9"/>
  <c r="W131" i="9"/>
  <c r="AV131" i="9"/>
  <c r="L131" i="9"/>
  <c r="AE131" i="9"/>
  <c r="AP131" i="9"/>
  <c r="N175" i="9"/>
  <c r="AQ175" i="9"/>
  <c r="AC175" i="9"/>
  <c r="D175" i="9"/>
  <c r="AR175" i="9"/>
  <c r="M175" i="9"/>
  <c r="R175" i="9"/>
  <c r="AE175" i="9"/>
  <c r="AP175" i="9"/>
  <c r="AF175" i="9"/>
  <c r="AS175" i="9"/>
  <c r="BA175" i="9"/>
  <c r="H175" i="9"/>
  <c r="AW175" i="9"/>
  <c r="AV175" i="9"/>
  <c r="BB175" i="9"/>
  <c r="AB175" i="9"/>
  <c r="K175" i="9"/>
  <c r="Z175" i="9" s="1"/>
  <c r="AA175" i="9" s="1"/>
  <c r="G175" i="9"/>
  <c r="AJ175" i="9"/>
  <c r="L175" i="9"/>
  <c r="AX131" i="9"/>
  <c r="R131" i="9"/>
  <c r="K86" i="9"/>
  <c r="Z86" i="9" s="1"/>
  <c r="AA86" i="9" s="1"/>
  <c r="BA86" i="9"/>
  <c r="Q86" i="9"/>
  <c r="AE86" i="9"/>
  <c r="P86" i="9"/>
  <c r="AJ86" i="9"/>
  <c r="AK86" i="9"/>
  <c r="AW86" i="9"/>
  <c r="AF86" i="9"/>
  <c r="L86" i="9"/>
  <c r="AX86" i="9"/>
  <c r="M86" i="9"/>
  <c r="N86" i="9"/>
  <c r="AT86" i="9"/>
  <c r="Y86" i="9"/>
  <c r="G86" i="9"/>
  <c r="AH86" i="9"/>
  <c r="AR86" i="9"/>
  <c r="S86" i="9"/>
  <c r="T86" i="9" s="1"/>
  <c r="X86" i="9"/>
  <c r="AN86" i="9"/>
  <c r="O86" i="9"/>
  <c r="AP86" i="9"/>
  <c r="AR9" i="9"/>
  <c r="AT9" i="9"/>
  <c r="J9" i="9"/>
  <c r="O9" i="9"/>
  <c r="Q9" i="9"/>
  <c r="AB9" i="9"/>
  <c r="R9" i="9"/>
  <c r="Y9" i="9"/>
  <c r="AK9" i="9"/>
  <c r="L9" i="9"/>
  <c r="AI9" i="9"/>
  <c r="K9" i="9"/>
  <c r="Z9" i="9" s="1"/>
  <c r="AA9" i="9" s="1"/>
  <c r="AU9" i="9"/>
  <c r="F9" i="9"/>
  <c r="H9" i="9"/>
  <c r="AE9" i="9"/>
  <c r="AX9" i="9"/>
  <c r="N9" i="9"/>
  <c r="AF9" i="9"/>
  <c r="AT131" i="9"/>
  <c r="AR131" i="9"/>
  <c r="G9" i="9"/>
  <c r="AI86" i="9"/>
  <c r="O131" i="9"/>
  <c r="F131" i="9"/>
  <c r="AH9" i="9"/>
  <c r="AQ86" i="9"/>
  <c r="AQ131" i="9"/>
  <c r="AJ9" i="9"/>
  <c r="AS9" i="9"/>
  <c r="AX240" i="9"/>
  <c r="L240" i="9"/>
  <c r="J240" i="9"/>
  <c r="AI240" i="9"/>
  <c r="F240" i="9"/>
  <c r="AE240" i="9"/>
  <c r="BB240" i="9"/>
  <c r="AO240" i="9"/>
  <c r="AF240" i="9"/>
  <c r="AH240" i="9"/>
  <c r="AN240" i="9"/>
  <c r="O240" i="9"/>
  <c r="AP240" i="9"/>
  <c r="K240" i="9"/>
  <c r="Z240" i="9" s="1"/>
  <c r="AA240" i="9" s="1"/>
  <c r="AJ240" i="9"/>
  <c r="AZ240" i="9"/>
  <c r="AY240" i="9" s="1"/>
  <c r="AS240" i="9"/>
  <c r="AT240" i="9"/>
  <c r="AV240" i="9"/>
  <c r="P240" i="9"/>
  <c r="AR240" i="9"/>
  <c r="N240" i="9"/>
  <c r="G240" i="9"/>
  <c r="H240" i="9"/>
  <c r="X240" i="9"/>
  <c r="D240" i="9"/>
  <c r="AD240" i="9"/>
  <c r="C240" i="9" s="1"/>
  <c r="BA240" i="9"/>
  <c r="W240" i="9"/>
  <c r="AW240" i="9"/>
  <c r="AB240" i="9"/>
  <c r="R240" i="9"/>
  <c r="S240" i="9"/>
  <c r="T240" i="9" s="1"/>
  <c r="AU240" i="9"/>
  <c r="Y240" i="9"/>
  <c r="AQ240" i="9"/>
  <c r="E240" i="9"/>
  <c r="AK240" i="9"/>
  <c r="Q240" i="9"/>
  <c r="AC240" i="9"/>
  <c r="M240" i="9"/>
  <c r="H228" i="9"/>
  <c r="O228" i="9"/>
  <c r="X228" i="9"/>
  <c r="AH228" i="9"/>
  <c r="AP228" i="9"/>
  <c r="AX228" i="9"/>
  <c r="J228" i="9"/>
  <c r="R228" i="9"/>
  <c r="AB228" i="9"/>
  <c r="AI228" i="9"/>
  <c r="AS228" i="9"/>
  <c r="AZ228" i="9"/>
  <c r="AY228" i="9" s="1"/>
  <c r="D228" i="9"/>
  <c r="S228" i="9"/>
  <c r="AN228" i="9"/>
  <c r="BA228" i="9"/>
  <c r="G228" i="9"/>
  <c r="T228" i="9"/>
  <c r="AO228" i="9"/>
  <c r="L228" i="9"/>
  <c r="AT228" i="9"/>
  <c r="N228" i="9"/>
  <c r="AV228" i="9"/>
  <c r="AD228" i="9"/>
  <c r="C228" i="9" s="1"/>
  <c r="AF228" i="9"/>
  <c r="AW228" i="9"/>
  <c r="W228" i="9"/>
  <c r="AR228" i="9"/>
  <c r="P228" i="9"/>
  <c r="AJ228" i="9"/>
  <c r="K228" i="9"/>
  <c r="Z228" i="9" s="1"/>
  <c r="AA228" i="9" s="1"/>
  <c r="BB228" i="9"/>
  <c r="AE228" i="9"/>
  <c r="F228" i="9"/>
  <c r="AK228" i="9"/>
  <c r="Q228" i="9"/>
  <c r="AC228" i="9"/>
  <c r="M228" i="9"/>
  <c r="AU228" i="9"/>
  <c r="Y228" i="9"/>
  <c r="AQ228" i="9"/>
  <c r="E228" i="9"/>
  <c r="G248" i="9"/>
  <c r="X248" i="9"/>
  <c r="AN248" i="9"/>
  <c r="AX248" i="9"/>
  <c r="L248" i="9"/>
  <c r="AB248" i="9"/>
  <c r="AO248" i="9"/>
  <c r="AZ248" i="9"/>
  <c r="AY248" i="9" s="1"/>
  <c r="N248" i="9"/>
  <c r="AS248" i="9"/>
  <c r="R248" i="9"/>
  <c r="AT248" i="9"/>
  <c r="AF248" i="9"/>
  <c r="AH248" i="9"/>
  <c r="O248" i="9"/>
  <c r="AP248" i="9"/>
  <c r="K248" i="9"/>
  <c r="AJ248" i="9"/>
  <c r="AV248" i="9"/>
  <c r="P248" i="9"/>
  <c r="AR248" i="9"/>
  <c r="D248" i="9"/>
  <c r="AD248" i="9"/>
  <c r="C248" i="9" s="1"/>
  <c r="BA248" i="9"/>
  <c r="W248" i="9"/>
  <c r="AW248" i="9"/>
  <c r="S248" i="9"/>
  <c r="T248" i="9" s="1"/>
  <c r="J248" i="9"/>
  <c r="AI248" i="9"/>
  <c r="F248" i="9"/>
  <c r="AE248" i="9"/>
  <c r="BB248" i="9"/>
  <c r="H248" i="9"/>
  <c r="AU248" i="9"/>
  <c r="Y248" i="9"/>
  <c r="AQ248" i="9"/>
  <c r="E248" i="9"/>
  <c r="AK248" i="9"/>
  <c r="Q248" i="9"/>
  <c r="AC248" i="9"/>
  <c r="M248" i="9"/>
  <c r="D231" i="9"/>
  <c r="J231" i="9"/>
  <c r="O231" i="9"/>
  <c r="AC231" i="9"/>
  <c r="AI231" i="9"/>
  <c r="AQ231" i="9"/>
  <c r="AV231" i="9"/>
  <c r="F231" i="9"/>
  <c r="K231" i="9"/>
  <c r="Z231" i="9" s="1"/>
  <c r="AA231" i="9" s="1"/>
  <c r="P231" i="9"/>
  <c r="W231" i="9"/>
  <c r="AD231" i="9"/>
  <c r="C231" i="9" s="1"/>
  <c r="AK231" i="9"/>
  <c r="AR231" i="9"/>
  <c r="AW231" i="9"/>
  <c r="G231" i="9"/>
  <c r="R231" i="9"/>
  <c r="AE231" i="9"/>
  <c r="AS231" i="9"/>
  <c r="H231" i="9"/>
  <c r="S231" i="9"/>
  <c r="T231" i="9" s="1"/>
  <c r="AH231" i="9"/>
  <c r="AU231" i="9"/>
  <c r="X231" i="9"/>
  <c r="AZ231" i="9"/>
  <c r="AY231" i="9" s="1"/>
  <c r="Y231" i="9"/>
  <c r="BA231" i="9"/>
  <c r="AN231" i="9"/>
  <c r="AO231" i="9"/>
  <c r="L231" i="9"/>
  <c r="N231" i="9"/>
  <c r="AP231" i="9"/>
  <c r="E231" i="9"/>
  <c r="BB231" i="9"/>
  <c r="AJ231" i="9"/>
  <c r="Q231" i="9"/>
  <c r="AX231" i="9"/>
  <c r="AF231" i="9"/>
  <c r="AG231" i="9" s="1"/>
  <c r="M231" i="9"/>
  <c r="AT231" i="9"/>
  <c r="AB231" i="9"/>
  <c r="N246" i="9"/>
  <c r="F246" i="9"/>
  <c r="AH246" i="9"/>
  <c r="J246" i="9"/>
  <c r="AR246" i="9"/>
  <c r="AV246" i="9"/>
  <c r="AZ246" i="9"/>
  <c r="AY246" i="9" s="1"/>
  <c r="R246" i="9"/>
  <c r="AD246" i="9"/>
  <c r="C246" i="9" s="1"/>
  <c r="AN246" i="9"/>
  <c r="S246" i="9"/>
  <c r="T246" i="9" s="1"/>
  <c r="AO246" i="9"/>
  <c r="D246" i="9"/>
  <c r="AJ246" i="9"/>
  <c r="BB246" i="9"/>
  <c r="M246" i="9"/>
  <c r="AC246" i="9"/>
  <c r="G246" i="9"/>
  <c r="W246" i="9"/>
  <c r="AS246" i="9"/>
  <c r="H246" i="9"/>
  <c r="X246" i="9"/>
  <c r="AP246" i="9"/>
  <c r="Q246" i="9"/>
  <c r="AK246" i="9"/>
  <c r="K246" i="9"/>
  <c r="Z246" i="9" s="1"/>
  <c r="AA246" i="9" s="1"/>
  <c r="AE246" i="9"/>
  <c r="AW246" i="9"/>
  <c r="L246" i="9"/>
  <c r="AB246" i="9"/>
  <c r="AT246" i="9"/>
  <c r="E246" i="9"/>
  <c r="AQ246" i="9"/>
  <c r="O246" i="9"/>
  <c r="AI246" i="9"/>
  <c r="BA246" i="9"/>
  <c r="P246" i="9"/>
  <c r="AF246" i="9"/>
  <c r="AX246" i="9"/>
  <c r="Y246" i="9"/>
  <c r="AU246" i="9"/>
  <c r="H202" i="9"/>
  <c r="O202" i="9"/>
  <c r="X202" i="9"/>
  <c r="AH202" i="9"/>
  <c r="AR202" i="9"/>
  <c r="AX202" i="9"/>
  <c r="J202" i="9"/>
  <c r="R202" i="9"/>
  <c r="AB202" i="9"/>
  <c r="AJ202" i="9"/>
  <c r="AS202" i="9"/>
  <c r="AZ202" i="9"/>
  <c r="AY202" i="9" s="1"/>
  <c r="D202" i="9"/>
  <c r="S202" i="9"/>
  <c r="T202" i="9" s="1"/>
  <c r="AN202" i="9"/>
  <c r="BB202" i="9"/>
  <c r="G202" i="9"/>
  <c r="AO202" i="9"/>
  <c r="AE202" i="9"/>
  <c r="AF202" i="9"/>
  <c r="L202" i="9"/>
  <c r="N202" i="9"/>
  <c r="AT202" i="9"/>
  <c r="AW202" i="9"/>
  <c r="AV202" i="9"/>
  <c r="W202" i="9"/>
  <c r="AP202" i="9"/>
  <c r="P202" i="9"/>
  <c r="AI202" i="9"/>
  <c r="K202" i="9"/>
  <c r="Z202" i="9" s="1"/>
  <c r="AA202" i="9" s="1"/>
  <c r="BA202" i="9"/>
  <c r="AD202" i="9"/>
  <c r="C202" i="9" s="1"/>
  <c r="F202" i="9"/>
  <c r="AQ202" i="9"/>
  <c r="E202" i="9"/>
  <c r="AK202" i="9"/>
  <c r="Q202" i="9"/>
  <c r="AC202" i="9"/>
  <c r="M202" i="9"/>
  <c r="AU202" i="9"/>
  <c r="Y202" i="9"/>
  <c r="G194" i="9"/>
  <c r="L194" i="9"/>
  <c r="R194" i="9"/>
  <c r="X194" i="9"/>
  <c r="AF194" i="9"/>
  <c r="AN194" i="9"/>
  <c r="AS194" i="9"/>
  <c r="AX194" i="9"/>
  <c r="H194" i="9"/>
  <c r="N194" i="9"/>
  <c r="S194" i="9"/>
  <c r="T194" i="9" s="1"/>
  <c r="AB194" i="9"/>
  <c r="AH194" i="9"/>
  <c r="AO194" i="9"/>
  <c r="AT194" i="9"/>
  <c r="AZ194" i="9"/>
  <c r="AY194" i="9" s="1"/>
  <c r="J194" i="9"/>
  <c r="AI194" i="9"/>
  <c r="AV194" i="9"/>
  <c r="K194" i="9"/>
  <c r="W194" i="9"/>
  <c r="AJ194" i="9"/>
  <c r="AW194" i="9"/>
  <c r="O194" i="9"/>
  <c r="AP194" i="9"/>
  <c r="P194" i="9"/>
  <c r="AR194" i="9"/>
  <c r="AD194" i="9"/>
  <c r="C194" i="9" s="1"/>
  <c r="AE194" i="9"/>
  <c r="BA194" i="9"/>
  <c r="BB194" i="9"/>
  <c r="D194" i="9"/>
  <c r="F194" i="9"/>
  <c r="AQ194" i="9"/>
  <c r="E194" i="9"/>
  <c r="AK194" i="9"/>
  <c r="Q194" i="9"/>
  <c r="AC194" i="9"/>
  <c r="M194" i="9"/>
  <c r="AU194" i="9"/>
  <c r="Y194" i="9"/>
  <c r="O159" i="9"/>
  <c r="AE159" i="9"/>
  <c r="AV159" i="9"/>
  <c r="R159" i="9"/>
  <c r="AH159" i="9"/>
  <c r="AW159" i="9"/>
  <c r="H159" i="9"/>
  <c r="AO159" i="9"/>
  <c r="J159" i="9"/>
  <c r="AP159" i="9"/>
  <c r="BB159" i="9"/>
  <c r="W159" i="9"/>
  <c r="X159" i="9"/>
  <c r="AB159" i="9"/>
  <c r="G159" i="9"/>
  <c r="AJ159" i="9"/>
  <c r="D159" i="9"/>
  <c r="AI159" i="9"/>
  <c r="N159" i="9"/>
  <c r="AT159" i="9"/>
  <c r="L159" i="9"/>
  <c r="AR159" i="9"/>
  <c r="BA159" i="9"/>
  <c r="S159" i="9"/>
  <c r="T159" i="9" s="1"/>
  <c r="AZ159" i="9"/>
  <c r="AY159" i="9" s="1"/>
  <c r="AD159" i="9"/>
  <c r="C159" i="9" s="1"/>
  <c r="M159" i="9"/>
  <c r="AC159" i="9"/>
  <c r="AS159" i="9"/>
  <c r="P159" i="9"/>
  <c r="Q159" i="9"/>
  <c r="AK159" i="9"/>
  <c r="AN159" i="9"/>
  <c r="K159" i="9"/>
  <c r="E159" i="9"/>
  <c r="AQ159" i="9"/>
  <c r="AF159" i="9"/>
  <c r="F159" i="9"/>
  <c r="Y159" i="9"/>
  <c r="AU159" i="9"/>
  <c r="AX159" i="9"/>
  <c r="J191" i="9"/>
  <c r="AH191" i="9"/>
  <c r="AW191" i="9"/>
  <c r="R191" i="9"/>
  <c r="AN191" i="9"/>
  <c r="AZ191" i="9"/>
  <c r="AY191" i="9" s="1"/>
  <c r="AO191" i="9"/>
  <c r="AV191" i="9"/>
  <c r="S191" i="9"/>
  <c r="T191" i="9" s="1"/>
  <c r="AD191" i="9"/>
  <c r="C191" i="9" s="1"/>
  <c r="N191" i="9"/>
  <c r="BA191" i="9"/>
  <c r="K191" i="9"/>
  <c r="Z191" i="9" s="1"/>
  <c r="AA191" i="9" s="1"/>
  <c r="W191" i="9"/>
  <c r="G191" i="9"/>
  <c r="D191" i="9"/>
  <c r="AI191" i="9"/>
  <c r="O191" i="9"/>
  <c r="AR191" i="9"/>
  <c r="F191" i="9"/>
  <c r="AS191" i="9"/>
  <c r="AE191" i="9"/>
  <c r="AQ191" i="9"/>
  <c r="E191" i="9"/>
  <c r="AP191" i="9"/>
  <c r="X191" i="9"/>
  <c r="H191" i="9"/>
  <c r="AK191" i="9"/>
  <c r="Q191" i="9"/>
  <c r="BB191" i="9"/>
  <c r="AJ191" i="9"/>
  <c r="AC191" i="9"/>
  <c r="M191" i="9"/>
  <c r="AX191" i="9"/>
  <c r="AF191" i="9"/>
  <c r="P191" i="9"/>
  <c r="AU191" i="9"/>
  <c r="Y191" i="9"/>
  <c r="AT191" i="9"/>
  <c r="AB191" i="9"/>
  <c r="L191" i="9"/>
  <c r="AN171" i="9"/>
  <c r="AS171" i="9"/>
  <c r="G171" i="9"/>
  <c r="R171" i="9"/>
  <c r="AO171" i="9"/>
  <c r="W171" i="9"/>
  <c r="BA171" i="9"/>
  <c r="AD171" i="9"/>
  <c r="C171" i="9" s="1"/>
  <c r="K171" i="9"/>
  <c r="Z171" i="9" s="1"/>
  <c r="AA171" i="9" s="1"/>
  <c r="AW171" i="9"/>
  <c r="AH171" i="9"/>
  <c r="AI171" i="9"/>
  <c r="J171" i="9"/>
  <c r="S171" i="9"/>
  <c r="F171" i="9"/>
  <c r="AR171" i="9"/>
  <c r="O171" i="9"/>
  <c r="D171" i="9"/>
  <c r="AE171" i="9"/>
  <c r="N171" i="9"/>
  <c r="AZ171" i="9"/>
  <c r="AY171" i="9" s="1"/>
  <c r="AV171" i="9"/>
  <c r="AK171" i="9"/>
  <c r="Q171" i="9"/>
  <c r="AX171" i="9"/>
  <c r="AF171" i="9"/>
  <c r="P171" i="9"/>
  <c r="AC171" i="9"/>
  <c r="M171" i="9"/>
  <c r="AT171" i="9"/>
  <c r="AB171" i="9"/>
  <c r="L171" i="9"/>
  <c r="AU171" i="9"/>
  <c r="Y171" i="9"/>
  <c r="AP171" i="9"/>
  <c r="X171" i="9"/>
  <c r="H171" i="9"/>
  <c r="AQ171" i="9"/>
  <c r="E171" i="9"/>
  <c r="BB171" i="9"/>
  <c r="AJ171" i="9"/>
  <c r="D167" i="9"/>
  <c r="J167" i="9"/>
  <c r="R167" i="9"/>
  <c r="AD167" i="9"/>
  <c r="C167" i="9" s="1"/>
  <c r="AN167" i="9"/>
  <c r="AV167" i="9"/>
  <c r="K167" i="9"/>
  <c r="Z167" i="9" s="1"/>
  <c r="AA167" i="9" s="1"/>
  <c r="S167" i="9"/>
  <c r="T167" i="9" s="1"/>
  <c r="AE167" i="9"/>
  <c r="AO167" i="9"/>
  <c r="AW167" i="9"/>
  <c r="N167" i="9"/>
  <c r="AH167" i="9"/>
  <c r="AZ167" i="9"/>
  <c r="AY167" i="9" s="1"/>
  <c r="O167" i="9"/>
  <c r="AI167" i="9"/>
  <c r="BA167" i="9"/>
  <c r="F167" i="9"/>
  <c r="AR167" i="9"/>
  <c r="G167" i="9"/>
  <c r="AS167" i="9"/>
  <c r="W167" i="9"/>
  <c r="AC167" i="9"/>
  <c r="M167" i="9"/>
  <c r="AP167" i="9"/>
  <c r="X167" i="9"/>
  <c r="H167" i="9"/>
  <c r="AU167" i="9"/>
  <c r="Y167" i="9"/>
  <c r="BB167" i="9"/>
  <c r="AJ167" i="9"/>
  <c r="AQ167" i="9"/>
  <c r="E167" i="9"/>
  <c r="AX167" i="9"/>
  <c r="AF167" i="9"/>
  <c r="P167" i="9"/>
  <c r="AK167" i="9"/>
  <c r="Q167" i="9"/>
  <c r="AT167" i="9"/>
  <c r="AB167" i="9"/>
  <c r="L167" i="9"/>
  <c r="O160" i="9"/>
  <c r="AE160" i="9"/>
  <c r="AV160" i="9"/>
  <c r="Y160" i="9"/>
  <c r="E160" i="9"/>
  <c r="AI160" i="9"/>
  <c r="AD160" i="9"/>
  <c r="C160" i="9" s="1"/>
  <c r="AO160" i="9"/>
  <c r="G160" i="9"/>
  <c r="AH160" i="9"/>
  <c r="M160" i="9"/>
  <c r="AR160" i="9"/>
  <c r="N160" i="9"/>
  <c r="W160" i="9"/>
  <c r="BA160" i="9"/>
  <c r="J160" i="9"/>
  <c r="AQ160" i="9"/>
  <c r="S160" i="9"/>
  <c r="T160" i="9" s="1"/>
  <c r="AZ160" i="9"/>
  <c r="AY160" i="9" s="1"/>
  <c r="AK160" i="9"/>
  <c r="R160" i="9"/>
  <c r="AW160" i="9"/>
  <c r="AC160" i="9"/>
  <c r="AU160" i="9"/>
  <c r="D160" i="9"/>
  <c r="AJ160" i="9"/>
  <c r="BB160" i="9"/>
  <c r="AS160" i="9"/>
  <c r="K160" i="9"/>
  <c r="Z160" i="9" s="1"/>
  <c r="AA160" i="9" s="1"/>
  <c r="H160" i="9"/>
  <c r="X160" i="9"/>
  <c r="AP160" i="9"/>
  <c r="AN160" i="9"/>
  <c r="F160" i="9"/>
  <c r="L160" i="9"/>
  <c r="AB160" i="9"/>
  <c r="AT160" i="9"/>
  <c r="P160" i="9"/>
  <c r="AF160" i="9"/>
  <c r="AX160" i="9"/>
  <c r="Q160" i="9"/>
  <c r="F196" i="9"/>
  <c r="AN196" i="9"/>
  <c r="AZ196" i="9"/>
  <c r="AY196" i="9" s="1"/>
  <c r="N196" i="9"/>
  <c r="AC196" i="9"/>
  <c r="AD196" i="9"/>
  <c r="C196" i="9" s="1"/>
  <c r="AK196" i="9"/>
  <c r="AH196" i="9"/>
  <c r="R196" i="9"/>
  <c r="M196" i="9"/>
  <c r="E196" i="9"/>
  <c r="J196" i="9"/>
  <c r="AR196" i="9"/>
  <c r="AV196" i="9"/>
  <c r="AU196" i="9"/>
  <c r="O196" i="9"/>
  <c r="AI196" i="9"/>
  <c r="BA196" i="9"/>
  <c r="P196" i="9"/>
  <c r="AF196" i="9"/>
  <c r="AX196" i="9"/>
  <c r="AQ196" i="9"/>
  <c r="S196" i="9"/>
  <c r="AO196" i="9"/>
  <c r="D196" i="9"/>
  <c r="AJ196" i="9"/>
  <c r="BB196" i="9"/>
  <c r="Y196" i="9"/>
  <c r="G196" i="9"/>
  <c r="W196" i="9"/>
  <c r="AS196" i="9"/>
  <c r="H196" i="9"/>
  <c r="X196" i="9"/>
  <c r="AP196" i="9"/>
  <c r="Q196" i="9"/>
  <c r="K196" i="9"/>
  <c r="Z196" i="9" s="1"/>
  <c r="AA196" i="9" s="1"/>
  <c r="AE196" i="9"/>
  <c r="AW196" i="9"/>
  <c r="L196" i="9"/>
  <c r="AB196" i="9"/>
  <c r="AT196" i="9"/>
  <c r="F192" i="9"/>
  <c r="AC192" i="9"/>
  <c r="AR192" i="9"/>
  <c r="M192" i="9"/>
  <c r="AD192" i="9"/>
  <c r="C192" i="9" s="1"/>
  <c r="AV192" i="9"/>
  <c r="N192" i="9"/>
  <c r="AZ192" i="9"/>
  <c r="AY192" i="9" s="1"/>
  <c r="R192" i="9"/>
  <c r="AK192" i="9"/>
  <c r="AN192" i="9"/>
  <c r="E192" i="9"/>
  <c r="AH192" i="9"/>
  <c r="AU192" i="9"/>
  <c r="J192" i="9"/>
  <c r="S192" i="9"/>
  <c r="T192" i="9" s="1"/>
  <c r="AO192" i="9"/>
  <c r="D192" i="9"/>
  <c r="AJ192" i="9"/>
  <c r="BB192" i="9"/>
  <c r="Q192" i="9"/>
  <c r="G192" i="9"/>
  <c r="W192" i="9"/>
  <c r="AS192" i="9"/>
  <c r="H192" i="9"/>
  <c r="X192" i="9"/>
  <c r="AP192" i="9"/>
  <c r="K192" i="9"/>
  <c r="Z192" i="9" s="1"/>
  <c r="AA192" i="9" s="1"/>
  <c r="AE192" i="9"/>
  <c r="AW192" i="9"/>
  <c r="L192" i="9"/>
  <c r="AB192" i="9"/>
  <c r="AT192" i="9"/>
  <c r="AQ192" i="9"/>
  <c r="O192" i="9"/>
  <c r="AI192" i="9"/>
  <c r="BA192" i="9"/>
  <c r="P192" i="9"/>
  <c r="AF192" i="9"/>
  <c r="AX192" i="9"/>
  <c r="Y192" i="9"/>
  <c r="S25" i="9"/>
  <c r="AR25" i="9"/>
  <c r="R25" i="9"/>
  <c r="W25" i="9"/>
  <c r="G25" i="9"/>
  <c r="AV25" i="9"/>
  <c r="J25" i="9"/>
  <c r="D25" i="9"/>
  <c r="AI25" i="9"/>
  <c r="O25" i="9"/>
  <c r="AH25" i="9"/>
  <c r="F25" i="9"/>
  <c r="AS25" i="9"/>
  <c r="AD25" i="9"/>
  <c r="C25" i="9" s="1"/>
  <c r="K25" i="9"/>
  <c r="Z25" i="9" s="1"/>
  <c r="AA25" i="9" s="1"/>
  <c r="AW25" i="9"/>
  <c r="N25" i="9"/>
  <c r="AN25" i="9"/>
  <c r="AE25" i="9"/>
  <c r="AU25" i="9"/>
  <c r="Y25" i="9"/>
  <c r="AX25" i="9"/>
  <c r="AF25" i="9"/>
  <c r="P25" i="9"/>
  <c r="AQ25" i="9"/>
  <c r="E25" i="9"/>
  <c r="AT25" i="9"/>
  <c r="AB25" i="9"/>
  <c r="L25" i="9"/>
  <c r="AK25" i="9"/>
  <c r="Q25" i="9"/>
  <c r="X25" i="9"/>
  <c r="H25" i="9"/>
  <c r="M25" i="9"/>
  <c r="AJ25" i="9"/>
  <c r="D14" i="9"/>
  <c r="Y14" i="9"/>
  <c r="Q14" i="9"/>
  <c r="AJ14" i="9"/>
  <c r="AQ14" i="9"/>
  <c r="R14" i="9"/>
  <c r="AH14" i="9"/>
  <c r="X14" i="9"/>
  <c r="AB14" i="9"/>
  <c r="E14" i="9"/>
  <c r="AD14" i="9"/>
  <c r="C14" i="9" s="1"/>
  <c r="L14" i="9"/>
  <c r="F14" i="9"/>
  <c r="AN14" i="9"/>
  <c r="H14" i="9"/>
  <c r="M14" i="9"/>
  <c r="AU14" i="9"/>
  <c r="N14" i="9"/>
  <c r="AV14" i="9"/>
  <c r="AT14" i="9"/>
  <c r="AX14" i="9"/>
  <c r="K14" i="9"/>
  <c r="Z14" i="9" s="1"/>
  <c r="AA14" i="9" s="1"/>
  <c r="AE14" i="9"/>
  <c r="AW14" i="9"/>
  <c r="AR14" i="9"/>
  <c r="P14" i="9"/>
  <c r="O14" i="9"/>
  <c r="AI14" i="9"/>
  <c r="AK14" i="9"/>
  <c r="J14" i="9"/>
  <c r="S14" i="9"/>
  <c r="T14" i="9" s="1"/>
  <c r="AF14" i="9"/>
  <c r="G14" i="9"/>
  <c r="W14" i="9"/>
  <c r="AS14" i="9"/>
  <c r="AZ172" i="9"/>
  <c r="AY172" i="9" s="1"/>
  <c r="R172" i="9"/>
  <c r="AH172" i="9"/>
  <c r="S172" i="9"/>
  <c r="T172" i="9" s="1"/>
  <c r="AO172" i="9"/>
  <c r="D172" i="9"/>
  <c r="AJ172" i="9"/>
  <c r="BB172" i="9"/>
  <c r="M172" i="9"/>
  <c r="AC172" i="9"/>
  <c r="N172" i="9"/>
  <c r="G172" i="9"/>
  <c r="W172" i="9"/>
  <c r="AS172" i="9"/>
  <c r="H172" i="9"/>
  <c r="X172" i="9"/>
  <c r="AP172" i="9"/>
  <c r="Q172" i="9"/>
  <c r="AK172" i="9"/>
  <c r="AR172" i="9"/>
  <c r="AN172" i="9"/>
  <c r="K172" i="9"/>
  <c r="AE172" i="9"/>
  <c r="AW172" i="9"/>
  <c r="L172" i="9"/>
  <c r="AB172" i="9"/>
  <c r="AT172" i="9"/>
  <c r="E172" i="9"/>
  <c r="AQ172" i="9"/>
  <c r="AV172" i="9"/>
  <c r="J172" i="9"/>
  <c r="O172" i="9"/>
  <c r="AI172" i="9"/>
  <c r="BA172" i="9"/>
  <c r="P172" i="9"/>
  <c r="AF172" i="9"/>
  <c r="AX172" i="9"/>
  <c r="Y172" i="9"/>
  <c r="AU172" i="9"/>
  <c r="AD172" i="9"/>
  <c r="C172" i="9" s="1"/>
  <c r="F172" i="9"/>
  <c r="F168" i="9"/>
  <c r="AD168" i="9"/>
  <c r="C168" i="9" s="1"/>
  <c r="AZ168" i="9"/>
  <c r="AY168" i="9" s="1"/>
  <c r="J168" i="9"/>
  <c r="AH168" i="9"/>
  <c r="AR168" i="9"/>
  <c r="AV168" i="9"/>
  <c r="N168" i="9"/>
  <c r="R168" i="9"/>
  <c r="S168" i="9"/>
  <c r="T168" i="9" s="1"/>
  <c r="AO168" i="9"/>
  <c r="D168" i="9"/>
  <c r="AJ168" i="9"/>
  <c r="BB168" i="9"/>
  <c r="M168" i="9"/>
  <c r="AC168" i="9"/>
  <c r="G168" i="9"/>
  <c r="W168" i="9"/>
  <c r="AS168" i="9"/>
  <c r="H168" i="9"/>
  <c r="X168" i="9"/>
  <c r="AP168" i="9"/>
  <c r="Q168" i="9"/>
  <c r="AK168" i="9"/>
  <c r="K168" i="9"/>
  <c r="Z168" i="9" s="1"/>
  <c r="AA168" i="9" s="1"/>
  <c r="AE168" i="9"/>
  <c r="AW168" i="9"/>
  <c r="L168" i="9"/>
  <c r="AB168" i="9"/>
  <c r="AT168" i="9"/>
  <c r="E168" i="9"/>
  <c r="AQ168" i="9"/>
  <c r="AN168" i="9"/>
  <c r="O168" i="9"/>
  <c r="AI168" i="9"/>
  <c r="BA168" i="9"/>
  <c r="P168" i="9"/>
  <c r="AF168" i="9"/>
  <c r="AX168" i="9"/>
  <c r="Y168" i="9"/>
  <c r="AU168" i="9"/>
  <c r="D212" i="9"/>
  <c r="X212" i="9"/>
  <c r="AP212" i="9"/>
  <c r="N212" i="9"/>
  <c r="AD212" i="9"/>
  <c r="C212" i="9" s="1"/>
  <c r="AU212" i="9"/>
  <c r="AF212" i="9"/>
  <c r="H212" i="9"/>
  <c r="AK212" i="9"/>
  <c r="AV212" i="9"/>
  <c r="BB212" i="9"/>
  <c r="P212" i="9"/>
  <c r="AR212" i="9"/>
  <c r="M212" i="9"/>
  <c r="Y212" i="9"/>
  <c r="AJ212" i="9"/>
  <c r="E212" i="9"/>
  <c r="AX212" i="9"/>
  <c r="R212" i="9"/>
  <c r="AC212" i="9"/>
  <c r="AQ212" i="9"/>
  <c r="J212" i="9"/>
  <c r="AZ212" i="9"/>
  <c r="AY212" i="9" s="1"/>
  <c r="AH212" i="9"/>
  <c r="O212" i="9"/>
  <c r="AI212" i="9"/>
  <c r="BA212" i="9"/>
  <c r="AT212" i="9"/>
  <c r="Q212" i="9"/>
  <c r="S212" i="9"/>
  <c r="T212" i="9" s="1"/>
  <c r="AO212" i="9"/>
  <c r="AN212" i="9"/>
  <c r="L212" i="9"/>
  <c r="G212" i="9"/>
  <c r="W212" i="9"/>
  <c r="AS212" i="9"/>
  <c r="AB212" i="9"/>
  <c r="F212" i="9"/>
  <c r="K212" i="9"/>
  <c r="AE212" i="9"/>
  <c r="AW212" i="9"/>
  <c r="E235" i="9"/>
  <c r="M235" i="9"/>
  <c r="AF235" i="9"/>
  <c r="AP235" i="9"/>
  <c r="AX235" i="9"/>
  <c r="F235" i="9"/>
  <c r="N235" i="9"/>
  <c r="W235" i="9"/>
  <c r="AQ235" i="9"/>
  <c r="BB235" i="9"/>
  <c r="AB235" i="9"/>
  <c r="AT235" i="9"/>
  <c r="J235" i="9"/>
  <c r="AC235" i="9"/>
  <c r="AU235" i="9"/>
  <c r="AJ235" i="9"/>
  <c r="AK235" i="9"/>
  <c r="Q235" i="9"/>
  <c r="R235" i="9"/>
  <c r="S235" i="9"/>
  <c r="T235" i="9" s="1"/>
  <c r="AN235" i="9"/>
  <c r="D235" i="9"/>
  <c r="AO235" i="9"/>
  <c r="G235" i="9"/>
  <c r="X235" i="9"/>
  <c r="AR235" i="9"/>
  <c r="H235" i="9"/>
  <c r="Y235" i="9"/>
  <c r="AS235" i="9"/>
  <c r="K235" i="9"/>
  <c r="Z235" i="9" s="1"/>
  <c r="AA235" i="9" s="1"/>
  <c r="AD235" i="9"/>
  <c r="C235" i="9" s="1"/>
  <c r="AV235" i="9"/>
  <c r="L235" i="9"/>
  <c r="AE235" i="9"/>
  <c r="AW235" i="9"/>
  <c r="O235" i="9"/>
  <c r="AH235" i="9"/>
  <c r="AZ235" i="9"/>
  <c r="AY235" i="9" s="1"/>
  <c r="P235" i="9"/>
  <c r="AI235" i="9"/>
  <c r="BA235" i="9"/>
  <c r="L224" i="9"/>
  <c r="AB224" i="9"/>
  <c r="AS224" i="9"/>
  <c r="N224" i="9"/>
  <c r="AF224" i="9"/>
  <c r="AX224" i="9"/>
  <c r="R224" i="9"/>
  <c r="AZ224" i="9"/>
  <c r="AY224" i="9" s="1"/>
  <c r="X224" i="9"/>
  <c r="AN224" i="9"/>
  <c r="AO224" i="9"/>
  <c r="G224" i="9"/>
  <c r="J224" i="9"/>
  <c r="AI224" i="9"/>
  <c r="F224" i="9"/>
  <c r="AE224" i="9"/>
  <c r="BB224" i="9"/>
  <c r="AH224" i="9"/>
  <c r="O224" i="9"/>
  <c r="AP224" i="9"/>
  <c r="K224" i="9"/>
  <c r="Z224" i="9" s="1"/>
  <c r="AA224" i="9" s="1"/>
  <c r="AJ224" i="9"/>
  <c r="S224" i="9"/>
  <c r="T224" i="9" s="1"/>
  <c r="AV224" i="9"/>
  <c r="P224" i="9"/>
  <c r="AR224" i="9"/>
  <c r="H224" i="9"/>
  <c r="D224" i="9"/>
  <c r="I224" i="9" s="1"/>
  <c r="AD224" i="9"/>
  <c r="C224" i="9" s="1"/>
  <c r="BA224" i="9"/>
  <c r="W224" i="9"/>
  <c r="AW224" i="9"/>
  <c r="AT224" i="9"/>
  <c r="AU224" i="9"/>
  <c r="Y224" i="9"/>
  <c r="AQ224" i="9"/>
  <c r="E224" i="9"/>
  <c r="AK224" i="9"/>
  <c r="Q224" i="9"/>
  <c r="AC224" i="9"/>
  <c r="M224" i="9"/>
  <c r="G166" i="9"/>
  <c r="L166" i="9"/>
  <c r="R166" i="9"/>
  <c r="X166" i="9"/>
  <c r="AF166" i="9"/>
  <c r="AN166" i="9"/>
  <c r="AS166" i="9"/>
  <c r="AX166" i="9"/>
  <c r="H166" i="9"/>
  <c r="N166" i="9"/>
  <c r="S166" i="9"/>
  <c r="T166" i="9" s="1"/>
  <c r="AB166" i="9"/>
  <c r="AH166" i="9"/>
  <c r="AO166" i="9"/>
  <c r="AT166" i="9"/>
  <c r="AZ166" i="9"/>
  <c r="AY166" i="9" s="1"/>
  <c r="D166" i="9"/>
  <c r="O166" i="9"/>
  <c r="AD166" i="9"/>
  <c r="C166" i="9" s="1"/>
  <c r="AP166" i="9"/>
  <c r="BA166" i="9"/>
  <c r="F166" i="9"/>
  <c r="P166" i="9"/>
  <c r="AE166" i="9"/>
  <c r="AR166" i="9"/>
  <c r="BB166" i="9"/>
  <c r="J166" i="9"/>
  <c r="AI166" i="9"/>
  <c r="K166" i="9"/>
  <c r="Z166" i="9" s="1"/>
  <c r="AA166" i="9" s="1"/>
  <c r="AJ166" i="9"/>
  <c r="AV166" i="9"/>
  <c r="AW166" i="9"/>
  <c r="W166" i="9"/>
  <c r="AC166" i="9"/>
  <c r="M166" i="9"/>
  <c r="AU166" i="9"/>
  <c r="Y166" i="9"/>
  <c r="AQ166" i="9"/>
  <c r="E166" i="9"/>
  <c r="AK166" i="9"/>
  <c r="Q166" i="9"/>
  <c r="AU207" i="9"/>
  <c r="W207" i="9"/>
  <c r="P207" i="9"/>
  <c r="AF207" i="9"/>
  <c r="AX207" i="9"/>
  <c r="N207" i="9"/>
  <c r="AI207" i="9"/>
  <c r="E207" i="9"/>
  <c r="AE207" i="9"/>
  <c r="AN207" i="9"/>
  <c r="AO207" i="9"/>
  <c r="M207" i="9"/>
  <c r="G207" i="9"/>
  <c r="D207" i="9"/>
  <c r="AJ207" i="9"/>
  <c r="BB207" i="9"/>
  <c r="S207" i="9"/>
  <c r="T207" i="9" s="1"/>
  <c r="AQ207" i="9"/>
  <c r="J207" i="9"/>
  <c r="AK207" i="9"/>
  <c r="F207" i="9"/>
  <c r="AS207" i="9"/>
  <c r="R207" i="9"/>
  <c r="H207" i="9"/>
  <c r="X207" i="9"/>
  <c r="AP207" i="9"/>
  <c r="Y207" i="9"/>
  <c r="AV207" i="9"/>
  <c r="O207" i="9"/>
  <c r="AR207" i="9"/>
  <c r="K207" i="9"/>
  <c r="Z207" i="9" s="1"/>
  <c r="AA207" i="9" s="1"/>
  <c r="AZ207" i="9"/>
  <c r="AY207" i="9" s="1"/>
  <c r="L207" i="9"/>
  <c r="AB207" i="9"/>
  <c r="AT207" i="9"/>
  <c r="AD207" i="9"/>
  <c r="C207" i="9" s="1"/>
  <c r="BA207" i="9"/>
  <c r="AW207" i="9"/>
  <c r="Q207" i="9"/>
  <c r="AH207" i="9"/>
  <c r="AC207" i="9"/>
  <c r="G197" i="9"/>
  <c r="K197" i="9"/>
  <c r="Z197" i="9" s="1"/>
  <c r="AA197" i="9" s="1"/>
  <c r="O197" i="9"/>
  <c r="S197" i="9"/>
  <c r="T197" i="9" s="1"/>
  <c r="X197" i="9"/>
  <c r="AD197" i="9"/>
  <c r="C197" i="9" s="1"/>
  <c r="AI197" i="9"/>
  <c r="AO197" i="9"/>
  <c r="AS197" i="9"/>
  <c r="AW197" i="9"/>
  <c r="BA197" i="9"/>
  <c r="D197" i="9"/>
  <c r="H197" i="9"/>
  <c r="L197" i="9"/>
  <c r="P197" i="9"/>
  <c r="Y197" i="9"/>
  <c r="AE197" i="9"/>
  <c r="AJ197" i="9"/>
  <c r="AP197" i="9"/>
  <c r="AT197" i="9"/>
  <c r="AX197" i="9"/>
  <c r="BB197" i="9"/>
  <c r="E197" i="9"/>
  <c r="M197" i="9"/>
  <c r="AF197" i="9"/>
  <c r="AG197" i="9" s="1"/>
  <c r="AQ197" i="9"/>
  <c r="F197" i="9"/>
  <c r="N197" i="9"/>
  <c r="W197" i="9"/>
  <c r="AH197" i="9"/>
  <c r="AR197" i="9"/>
  <c r="AZ197" i="9"/>
  <c r="AY197" i="9" s="1"/>
  <c r="AB197" i="9"/>
  <c r="AU197" i="9"/>
  <c r="J197" i="9"/>
  <c r="AC197" i="9"/>
  <c r="AV197" i="9"/>
  <c r="AK197" i="9"/>
  <c r="AN197" i="9"/>
  <c r="Q197" i="9"/>
  <c r="R197" i="9"/>
  <c r="G178" i="9"/>
  <c r="L178" i="9"/>
  <c r="R178" i="9"/>
  <c r="X178" i="9"/>
  <c r="AF178" i="9"/>
  <c r="AN178" i="9"/>
  <c r="AS178" i="9"/>
  <c r="AX178" i="9"/>
  <c r="H178" i="9"/>
  <c r="N178" i="9"/>
  <c r="S178" i="9"/>
  <c r="T178" i="9" s="1"/>
  <c r="AB178" i="9"/>
  <c r="AH178" i="9"/>
  <c r="AO178" i="9"/>
  <c r="AT178" i="9"/>
  <c r="AZ178" i="9"/>
  <c r="AY178" i="9" s="1"/>
  <c r="J178" i="9"/>
  <c r="AI178" i="9"/>
  <c r="AV178" i="9"/>
  <c r="K178" i="9"/>
  <c r="W178" i="9"/>
  <c r="AJ178" i="9"/>
  <c r="AW178" i="9"/>
  <c r="O178" i="9"/>
  <c r="AP178" i="9"/>
  <c r="P178" i="9"/>
  <c r="AR178" i="9"/>
  <c r="AD178" i="9"/>
  <c r="C178" i="9" s="1"/>
  <c r="AE178" i="9"/>
  <c r="BA178" i="9"/>
  <c r="BB178" i="9"/>
  <c r="D178" i="9"/>
  <c r="I178" i="9" s="1"/>
  <c r="F178" i="9"/>
  <c r="AQ178" i="9"/>
  <c r="E178" i="9"/>
  <c r="AK178" i="9"/>
  <c r="Q178" i="9"/>
  <c r="AC178" i="9"/>
  <c r="M178" i="9"/>
  <c r="AU178" i="9"/>
  <c r="Y178" i="9"/>
  <c r="W156" i="9"/>
  <c r="AU156" i="9"/>
  <c r="D156" i="9"/>
  <c r="AJ156" i="9"/>
  <c r="BB156" i="9"/>
  <c r="S156" i="9"/>
  <c r="T156" i="9" s="1"/>
  <c r="AQ156" i="9"/>
  <c r="J156" i="9"/>
  <c r="AK156" i="9"/>
  <c r="F156" i="9"/>
  <c r="AS156" i="9"/>
  <c r="AZ156" i="9"/>
  <c r="AY156" i="9" s="1"/>
  <c r="H156" i="9"/>
  <c r="X156" i="9"/>
  <c r="AP156" i="9"/>
  <c r="Y156" i="9"/>
  <c r="AV156" i="9"/>
  <c r="O156" i="9"/>
  <c r="AR156" i="9"/>
  <c r="K156" i="9"/>
  <c r="Z156" i="9" s="1"/>
  <c r="AA156" i="9" s="1"/>
  <c r="AO156" i="9"/>
  <c r="AC156" i="9"/>
  <c r="L156" i="9"/>
  <c r="AB156" i="9"/>
  <c r="AT156" i="9"/>
  <c r="AD156" i="9"/>
  <c r="C156" i="9" s="1"/>
  <c r="BA156" i="9"/>
  <c r="AW156" i="9"/>
  <c r="Q156" i="9"/>
  <c r="R156" i="9"/>
  <c r="AH156" i="9"/>
  <c r="G156" i="9"/>
  <c r="P156" i="9"/>
  <c r="AF156" i="9"/>
  <c r="AX156" i="9"/>
  <c r="N156" i="9"/>
  <c r="AI156" i="9"/>
  <c r="E156" i="9"/>
  <c r="AE156" i="9"/>
  <c r="AN156" i="9"/>
  <c r="M156" i="9"/>
  <c r="J87" i="9"/>
  <c r="AD87" i="9"/>
  <c r="C87" i="9" s="1"/>
  <c r="Q87" i="9"/>
  <c r="AN87" i="9"/>
  <c r="AQ87" i="9"/>
  <c r="AV87" i="9"/>
  <c r="R87" i="9"/>
  <c r="AC87" i="9"/>
  <c r="F87" i="9"/>
  <c r="AU87" i="9"/>
  <c r="AH87" i="9"/>
  <c r="N87" i="9"/>
  <c r="E87" i="9"/>
  <c r="AR87" i="9"/>
  <c r="Y87" i="9"/>
  <c r="M87" i="9"/>
  <c r="AZ87" i="9"/>
  <c r="AY87" i="9" s="1"/>
  <c r="AK87" i="9"/>
  <c r="AX87" i="9"/>
  <c r="AF87" i="9"/>
  <c r="P87" i="9"/>
  <c r="BA87" i="9"/>
  <c r="AI87" i="9"/>
  <c r="O87" i="9"/>
  <c r="AT87" i="9"/>
  <c r="AB87" i="9"/>
  <c r="L87" i="9"/>
  <c r="AW87" i="9"/>
  <c r="AE87" i="9"/>
  <c r="K87" i="9"/>
  <c r="Z87" i="9" s="1"/>
  <c r="AA87" i="9" s="1"/>
  <c r="AP87" i="9"/>
  <c r="X87" i="9"/>
  <c r="H87" i="9"/>
  <c r="AS87" i="9"/>
  <c r="W87" i="9"/>
  <c r="G87" i="9"/>
  <c r="AJ87" i="9"/>
  <c r="D87" i="9"/>
  <c r="S87" i="9"/>
  <c r="T87" i="9" s="1"/>
  <c r="AU157" i="9"/>
  <c r="AC157" i="9"/>
  <c r="AZ157" i="9"/>
  <c r="AY157" i="9" s="1"/>
  <c r="M157" i="9"/>
  <c r="AP157" i="9"/>
  <c r="H157" i="9"/>
  <c r="AH157" i="9"/>
  <c r="X157" i="9"/>
  <c r="R157" i="9"/>
  <c r="S157" i="9"/>
  <c r="T157" i="9" s="1"/>
  <c r="AO157" i="9"/>
  <c r="D157" i="9"/>
  <c r="Y157" i="9"/>
  <c r="AV157" i="9"/>
  <c r="P157" i="9"/>
  <c r="AR157" i="9"/>
  <c r="L157" i="9"/>
  <c r="AN157" i="9"/>
  <c r="G157" i="9"/>
  <c r="W157" i="9"/>
  <c r="AS157" i="9"/>
  <c r="AD157" i="9"/>
  <c r="C157" i="9" s="1"/>
  <c r="BB157" i="9"/>
  <c r="AX157" i="9"/>
  <c r="Q157" i="9"/>
  <c r="AT157" i="9"/>
  <c r="K157" i="9"/>
  <c r="Z157" i="9" s="1"/>
  <c r="AA157" i="9" s="1"/>
  <c r="AE157" i="9"/>
  <c r="AW157" i="9"/>
  <c r="N157" i="9"/>
  <c r="AJ157" i="9"/>
  <c r="E157" i="9"/>
  <c r="AF157" i="9"/>
  <c r="O157" i="9"/>
  <c r="AI157" i="9"/>
  <c r="BA157" i="9"/>
  <c r="AQ157" i="9"/>
  <c r="J157" i="9"/>
  <c r="AK157" i="9"/>
  <c r="F157" i="9"/>
  <c r="AB157" i="9"/>
  <c r="G239" i="9"/>
  <c r="L239" i="9"/>
  <c r="R239" i="9"/>
  <c r="X239" i="9"/>
  <c r="AE239" i="9"/>
  <c r="AN239" i="9"/>
  <c r="AS239" i="9"/>
  <c r="AZ239" i="9"/>
  <c r="AY239" i="9" s="1"/>
  <c r="H239" i="9"/>
  <c r="N239" i="9"/>
  <c r="S239" i="9"/>
  <c r="T239" i="9" s="1"/>
  <c r="Y239" i="9"/>
  <c r="AH239" i="9"/>
  <c r="AO239" i="9"/>
  <c r="AU239" i="9"/>
  <c r="BA239" i="9"/>
  <c r="J239" i="9"/>
  <c r="AI239" i="9"/>
  <c r="AV239" i="9"/>
  <c r="K239" i="9"/>
  <c r="W239" i="9"/>
  <c r="AK239" i="9"/>
  <c r="AW239" i="9"/>
  <c r="O239" i="9"/>
  <c r="AQ239" i="9"/>
  <c r="P239" i="9"/>
  <c r="AR239" i="9"/>
  <c r="AC239" i="9"/>
  <c r="AD239" i="9"/>
  <c r="C239" i="9" s="1"/>
  <c r="D239" i="9"/>
  <c r="F239" i="9"/>
  <c r="AP239" i="9"/>
  <c r="E239" i="9"/>
  <c r="BB239" i="9"/>
  <c r="AJ239" i="9"/>
  <c r="Q239" i="9"/>
  <c r="AX239" i="9"/>
  <c r="AF239" i="9"/>
  <c r="M239" i="9"/>
  <c r="AT239" i="9"/>
  <c r="AB239" i="9"/>
  <c r="D161" i="9"/>
  <c r="J161" i="9"/>
  <c r="R161" i="9"/>
  <c r="X161" i="9"/>
  <c r="AE161" i="9"/>
  <c r="AJ161" i="9"/>
  <c r="AQ161" i="9"/>
  <c r="AW161" i="9"/>
  <c r="E161" i="9"/>
  <c r="M161" i="9"/>
  <c r="Y161" i="9"/>
  <c r="AF161" i="9"/>
  <c r="AK161" i="9"/>
  <c r="AS161" i="9"/>
  <c r="AX161" i="9"/>
  <c r="N161" i="9"/>
  <c r="AB161" i="9"/>
  <c r="AO161" i="9"/>
  <c r="BA161" i="9"/>
  <c r="P161" i="9"/>
  <c r="AC161" i="9"/>
  <c r="AP161" i="9"/>
  <c r="BB161" i="9"/>
  <c r="AT161" i="9"/>
  <c r="W161" i="9"/>
  <c r="AU161" i="9"/>
  <c r="AI161" i="9"/>
  <c r="H161" i="9"/>
  <c r="G161" i="9"/>
  <c r="AN161" i="9"/>
  <c r="Q161" i="9"/>
  <c r="K161" i="9"/>
  <c r="Z161" i="9" s="1"/>
  <c r="AA161" i="9" s="1"/>
  <c r="AZ161" i="9"/>
  <c r="AY161" i="9" s="1"/>
  <c r="AH161" i="9"/>
  <c r="L161" i="9"/>
  <c r="O161" i="9"/>
  <c r="AV161" i="9"/>
  <c r="AD161" i="9"/>
  <c r="C161" i="9" s="1"/>
  <c r="F161" i="9"/>
  <c r="S161" i="9"/>
  <c r="T161" i="9" s="1"/>
  <c r="AR161" i="9"/>
  <c r="X153" i="9"/>
  <c r="AH153" i="9"/>
  <c r="AK153" i="9"/>
  <c r="AX153" i="9"/>
  <c r="J153" i="9"/>
  <c r="M153" i="9"/>
  <c r="E153" i="9"/>
  <c r="AZ153" i="9"/>
  <c r="AY153" i="9" s="1"/>
  <c r="AR153" i="9"/>
  <c r="P153" i="9"/>
  <c r="H153" i="9"/>
  <c r="AC153" i="9"/>
  <c r="R153" i="9"/>
  <c r="D153" i="9"/>
  <c r="AP153" i="9"/>
  <c r="AF153" i="9"/>
  <c r="AU153" i="9"/>
  <c r="AJ153" i="9"/>
  <c r="N153" i="9"/>
  <c r="S153" i="9"/>
  <c r="T153" i="9" s="1"/>
  <c r="AO153" i="9"/>
  <c r="AN153" i="9"/>
  <c r="L153" i="9"/>
  <c r="BB153" i="9"/>
  <c r="AD153" i="9"/>
  <c r="C153" i="9" s="1"/>
  <c r="G153" i="9"/>
  <c r="W153" i="9"/>
  <c r="AS153" i="9"/>
  <c r="AB153" i="9"/>
  <c r="F153" i="9"/>
  <c r="AV153" i="9"/>
  <c r="Y153" i="9"/>
  <c r="K153" i="9"/>
  <c r="Z153" i="9" s="1"/>
  <c r="AA153" i="9" s="1"/>
  <c r="AE153" i="9"/>
  <c r="AW153" i="9"/>
  <c r="AQ153" i="9"/>
  <c r="O153" i="9"/>
  <c r="AI153" i="9"/>
  <c r="BA153" i="9"/>
  <c r="AT153" i="9"/>
  <c r="Q153" i="9"/>
  <c r="E173" i="9"/>
  <c r="M173" i="9"/>
  <c r="Q173" i="9"/>
  <c r="AB173" i="9"/>
  <c r="AF173" i="9"/>
  <c r="AK173" i="9"/>
  <c r="AQ173" i="9"/>
  <c r="AU173" i="9"/>
  <c r="AZ173" i="9"/>
  <c r="AY173" i="9" s="1"/>
  <c r="F173" i="9"/>
  <c r="J173" i="9"/>
  <c r="N173" i="9"/>
  <c r="R173" i="9"/>
  <c r="W173" i="9"/>
  <c r="AC173" i="9"/>
  <c r="AH173" i="9"/>
  <c r="AN173" i="9"/>
  <c r="AR173" i="9"/>
  <c r="AV173" i="9"/>
  <c r="BA173" i="9"/>
  <c r="G173" i="9"/>
  <c r="O173" i="9"/>
  <c r="X173" i="9"/>
  <c r="AI173" i="9"/>
  <c r="AS173" i="9"/>
  <c r="BB173" i="9"/>
  <c r="H173" i="9"/>
  <c r="P173" i="9"/>
  <c r="Y173" i="9"/>
  <c r="AJ173" i="9"/>
  <c r="AT173" i="9"/>
  <c r="S173" i="9"/>
  <c r="T173" i="9" s="1"/>
  <c r="AO173" i="9"/>
  <c r="D173" i="9"/>
  <c r="AP173" i="9"/>
  <c r="AD173" i="9"/>
  <c r="C173" i="9" s="1"/>
  <c r="AE173" i="9"/>
  <c r="K173" i="9"/>
  <c r="L173" i="9"/>
  <c r="AW173" i="9"/>
  <c r="AX173" i="9"/>
  <c r="D236" i="9"/>
  <c r="J236" i="9"/>
  <c r="O236" i="9"/>
  <c r="AD236" i="9"/>
  <c r="C236" i="9" s="1"/>
  <c r="AI236" i="9"/>
  <c r="AP236" i="9"/>
  <c r="AV236" i="9"/>
  <c r="BA236" i="9"/>
  <c r="F236" i="9"/>
  <c r="K236" i="9"/>
  <c r="Z236" i="9" s="1"/>
  <c r="AA236" i="9" s="1"/>
  <c r="P236" i="9"/>
  <c r="W236" i="9"/>
  <c r="AE236" i="9"/>
  <c r="AJ236" i="9"/>
  <c r="AR236" i="9"/>
  <c r="AW236" i="9"/>
  <c r="BB236" i="9"/>
  <c r="G236" i="9"/>
  <c r="R236" i="9"/>
  <c r="AF236" i="9"/>
  <c r="AS236" i="9"/>
  <c r="H236" i="9"/>
  <c r="S236" i="9"/>
  <c r="AH236" i="9"/>
  <c r="AT236" i="9"/>
  <c r="L236" i="9"/>
  <c r="AN236" i="9"/>
  <c r="N236" i="9"/>
  <c r="AO236" i="9"/>
  <c r="X236" i="9"/>
  <c r="AB236" i="9"/>
  <c r="AX236" i="9"/>
  <c r="AZ236" i="9"/>
  <c r="AY236" i="9" s="1"/>
  <c r="AK236" i="9"/>
  <c r="Q236" i="9"/>
  <c r="AC236" i="9"/>
  <c r="M236" i="9"/>
  <c r="AU236" i="9"/>
  <c r="Y236" i="9"/>
  <c r="AQ236" i="9"/>
  <c r="E236" i="9"/>
  <c r="G247" i="9"/>
  <c r="L247" i="9"/>
  <c r="R247" i="9"/>
  <c r="X247" i="9"/>
  <c r="AE247" i="9"/>
  <c r="AN247" i="9"/>
  <c r="AS247" i="9"/>
  <c r="AZ247" i="9"/>
  <c r="AY247" i="9" s="1"/>
  <c r="H247" i="9"/>
  <c r="N247" i="9"/>
  <c r="S247" i="9"/>
  <c r="T247" i="9" s="1"/>
  <c r="Y247" i="9"/>
  <c r="AH247" i="9"/>
  <c r="AO247" i="9"/>
  <c r="AU247" i="9"/>
  <c r="BA247" i="9"/>
  <c r="J247" i="9"/>
  <c r="AI247" i="9"/>
  <c r="AV247" i="9"/>
  <c r="K247" i="9"/>
  <c r="W247" i="9"/>
  <c r="AK247" i="9"/>
  <c r="AW247" i="9"/>
  <c r="D247" i="9"/>
  <c r="AC247" i="9"/>
  <c r="F247" i="9"/>
  <c r="AD247" i="9"/>
  <c r="C247" i="9" s="1"/>
  <c r="AQ247" i="9"/>
  <c r="AR247" i="9"/>
  <c r="O247" i="9"/>
  <c r="P247" i="9"/>
  <c r="AP247" i="9"/>
  <c r="E247" i="9"/>
  <c r="BB247" i="9"/>
  <c r="AJ247" i="9"/>
  <c r="Q247" i="9"/>
  <c r="AX247" i="9"/>
  <c r="AF247" i="9"/>
  <c r="M247" i="9"/>
  <c r="AT247" i="9"/>
  <c r="AB247" i="9"/>
  <c r="D11" i="9"/>
  <c r="J11" i="9"/>
  <c r="F11" i="9"/>
  <c r="K11" i="9"/>
  <c r="Z11" i="9" s="1"/>
  <c r="AA11" i="9" s="1"/>
  <c r="P11" i="9"/>
  <c r="W11" i="9"/>
  <c r="AH11" i="9"/>
  <c r="AU11" i="9"/>
  <c r="H11" i="9"/>
  <c r="N11" i="9"/>
  <c r="S11" i="9"/>
  <c r="T11" i="9" s="1"/>
  <c r="Y11" i="9"/>
  <c r="AF11" i="9"/>
  <c r="AK11" i="9"/>
  <c r="AR11" i="9"/>
  <c r="AX11" i="9"/>
  <c r="G11" i="9"/>
  <c r="AT11" i="9"/>
  <c r="L11" i="9"/>
  <c r="X11" i="9"/>
  <c r="AJ11" i="9"/>
  <c r="AV11" i="9"/>
  <c r="O11" i="9"/>
  <c r="AN11" i="9"/>
  <c r="R11" i="9"/>
  <c r="AQ11" i="9"/>
  <c r="AB11" i="9"/>
  <c r="AD11" i="9"/>
  <c r="C11" i="9" s="1"/>
  <c r="AI11" i="9"/>
  <c r="M11" i="9"/>
  <c r="AW11" i="9"/>
  <c r="AE11" i="9"/>
  <c r="AS11" i="9"/>
  <c r="E11" i="9"/>
  <c r="Q11" i="9"/>
  <c r="AZ250" i="9"/>
  <c r="AY250" i="9" s="1"/>
  <c r="R250" i="9"/>
  <c r="AH250" i="9"/>
  <c r="O250" i="9"/>
  <c r="AI250" i="9"/>
  <c r="BA250" i="9"/>
  <c r="P250" i="9"/>
  <c r="AF250" i="9"/>
  <c r="AX250" i="9"/>
  <c r="Y250" i="9"/>
  <c r="AU250" i="9"/>
  <c r="AV250" i="9"/>
  <c r="AR250" i="9"/>
  <c r="S250" i="9"/>
  <c r="T250" i="9" s="1"/>
  <c r="AO250" i="9"/>
  <c r="D250" i="9"/>
  <c r="AJ250" i="9"/>
  <c r="BB250" i="9"/>
  <c r="M250" i="9"/>
  <c r="AC250" i="9"/>
  <c r="AD250" i="9"/>
  <c r="C250" i="9" s="1"/>
  <c r="J250" i="9"/>
  <c r="AN250" i="9"/>
  <c r="G250" i="9"/>
  <c r="W250" i="9"/>
  <c r="AS250" i="9"/>
  <c r="H250" i="9"/>
  <c r="X250" i="9"/>
  <c r="AP250" i="9"/>
  <c r="Q250" i="9"/>
  <c r="AK250" i="9"/>
  <c r="N250" i="9"/>
  <c r="K250" i="9"/>
  <c r="AE250" i="9"/>
  <c r="AW250" i="9"/>
  <c r="L250" i="9"/>
  <c r="AB250" i="9"/>
  <c r="AT250" i="9"/>
  <c r="E250" i="9"/>
  <c r="AQ250" i="9"/>
  <c r="F250" i="9"/>
  <c r="X208" i="9"/>
  <c r="AZ208" i="9"/>
  <c r="AY208" i="9" s="1"/>
  <c r="AC208" i="9"/>
  <c r="H208" i="9"/>
  <c r="M208" i="9"/>
  <c r="AH208" i="9"/>
  <c r="AU208" i="9"/>
  <c r="K208" i="9"/>
  <c r="Z208" i="9" s="1"/>
  <c r="AA208" i="9" s="1"/>
  <c r="AE208" i="9"/>
  <c r="AW208" i="9"/>
  <c r="N208" i="9"/>
  <c r="AJ208" i="9"/>
  <c r="E208" i="9"/>
  <c r="AF208" i="9"/>
  <c r="AB208" i="9"/>
  <c r="AP208" i="9"/>
  <c r="O208" i="9"/>
  <c r="AI208" i="9"/>
  <c r="BA208" i="9"/>
  <c r="AQ208" i="9"/>
  <c r="J208" i="9"/>
  <c r="AK208" i="9"/>
  <c r="F208" i="9"/>
  <c r="AN208" i="9"/>
  <c r="R208" i="9"/>
  <c r="S208" i="9"/>
  <c r="T208" i="9" s="1"/>
  <c r="AO208" i="9"/>
  <c r="D208" i="9"/>
  <c r="Y208" i="9"/>
  <c r="AV208" i="9"/>
  <c r="P208" i="9"/>
  <c r="AR208" i="9"/>
  <c r="L208" i="9"/>
  <c r="AT208" i="9"/>
  <c r="G208" i="9"/>
  <c r="W208" i="9"/>
  <c r="AS208" i="9"/>
  <c r="AD208" i="9"/>
  <c r="C208" i="9" s="1"/>
  <c r="BB208" i="9"/>
  <c r="AX208" i="9"/>
  <c r="Q208" i="9"/>
  <c r="R154" i="9"/>
  <c r="AN154" i="9"/>
  <c r="S154" i="9"/>
  <c r="T154" i="9" s="1"/>
  <c r="AO154" i="9"/>
  <c r="AC154" i="9"/>
  <c r="AD154" i="9"/>
  <c r="C154" i="9" s="1"/>
  <c r="AV154" i="9"/>
  <c r="AW154" i="9"/>
  <c r="J154" i="9"/>
  <c r="K154" i="9"/>
  <c r="Z154" i="9" s="1"/>
  <c r="AA154" i="9" s="1"/>
  <c r="H154" i="9"/>
  <c r="Y154" i="9"/>
  <c r="AT154" i="9"/>
  <c r="E154" i="9"/>
  <c r="AQ154" i="9"/>
  <c r="X154" i="9"/>
  <c r="W154" i="9"/>
  <c r="L154" i="9"/>
  <c r="AE154" i="9"/>
  <c r="AX154" i="9"/>
  <c r="AB154" i="9"/>
  <c r="AU154" i="9"/>
  <c r="BA154" i="9"/>
  <c r="O154" i="9"/>
  <c r="AZ154" i="9"/>
  <c r="AY154" i="9" s="1"/>
  <c r="N154" i="9"/>
  <c r="P154" i="9"/>
  <c r="AJ154" i="9"/>
  <c r="BB154" i="9"/>
  <c r="M154" i="9"/>
  <c r="AF154" i="9"/>
  <c r="AG154" i="9" s="1"/>
  <c r="AS154" i="9"/>
  <c r="G154" i="9"/>
  <c r="AR154" i="9"/>
  <c r="F154" i="9"/>
  <c r="D154" i="9"/>
  <c r="AP154" i="9"/>
  <c r="Q154" i="9"/>
  <c r="AK154" i="9"/>
  <c r="AI154" i="9"/>
  <c r="AH154" i="9"/>
  <c r="R249" i="9"/>
  <c r="AN249" i="9"/>
  <c r="W249" i="9"/>
  <c r="G249" i="9"/>
  <c r="BA249" i="9"/>
  <c r="J249" i="9"/>
  <c r="AE249" i="9"/>
  <c r="D249" i="9"/>
  <c r="AH249" i="9"/>
  <c r="O249" i="9"/>
  <c r="AD249" i="9"/>
  <c r="C249" i="9" s="1"/>
  <c r="AW249" i="9"/>
  <c r="F249" i="9"/>
  <c r="AR249" i="9"/>
  <c r="AI249" i="9"/>
  <c r="S249" i="9"/>
  <c r="T249" i="9" s="1"/>
  <c r="AV249" i="9"/>
  <c r="N249" i="9"/>
  <c r="AZ249" i="9"/>
  <c r="AY249" i="9" s="1"/>
  <c r="AS249" i="9"/>
  <c r="AO249" i="9"/>
  <c r="K249" i="9"/>
  <c r="Z249" i="9" s="1"/>
  <c r="AA249" i="9" s="1"/>
  <c r="AK249" i="9"/>
  <c r="Q249" i="9"/>
  <c r="BB249" i="9"/>
  <c r="AJ249" i="9"/>
  <c r="AC249" i="9"/>
  <c r="M249" i="9"/>
  <c r="AX249" i="9"/>
  <c r="AF249" i="9"/>
  <c r="P249" i="9"/>
  <c r="AU249" i="9"/>
  <c r="Y249" i="9"/>
  <c r="AT249" i="9"/>
  <c r="AB249" i="9"/>
  <c r="L249" i="9"/>
  <c r="AQ249" i="9"/>
  <c r="E249" i="9"/>
  <c r="AP249" i="9"/>
  <c r="X249" i="9"/>
  <c r="H249" i="9"/>
  <c r="W206" i="9"/>
  <c r="AH206" i="9"/>
  <c r="G206" i="9"/>
  <c r="AT206" i="9"/>
  <c r="L206" i="9"/>
  <c r="AB206" i="9"/>
  <c r="AZ206" i="9"/>
  <c r="AY206" i="9" s="1"/>
  <c r="M206" i="9"/>
  <c r="AC206" i="9"/>
  <c r="X206" i="9"/>
  <c r="AV206" i="9"/>
  <c r="O206" i="9"/>
  <c r="AR206" i="9"/>
  <c r="K206" i="9"/>
  <c r="Z206" i="9" s="1"/>
  <c r="AA206" i="9" s="1"/>
  <c r="AN206" i="9"/>
  <c r="Q206" i="9"/>
  <c r="AK206" i="9"/>
  <c r="H206" i="9"/>
  <c r="AD206" i="9"/>
  <c r="C206" i="9" s="1"/>
  <c r="BA206" i="9"/>
  <c r="AW206" i="9"/>
  <c r="P206" i="9"/>
  <c r="AS206" i="9"/>
  <c r="AO206" i="9"/>
  <c r="E206" i="9"/>
  <c r="AQ206" i="9"/>
  <c r="N206" i="9"/>
  <c r="AI206" i="9"/>
  <c r="D206" i="9"/>
  <c r="AE206" i="9"/>
  <c r="BB206" i="9"/>
  <c r="AX206" i="9"/>
  <c r="R206" i="9"/>
  <c r="Y206" i="9"/>
  <c r="AU206" i="9"/>
  <c r="S206" i="9"/>
  <c r="T206" i="9" s="1"/>
  <c r="AP206" i="9"/>
  <c r="J206" i="9"/>
  <c r="AJ206" i="9"/>
  <c r="F206" i="9"/>
  <c r="AF206" i="9"/>
  <c r="AN190" i="9"/>
  <c r="AX190" i="9"/>
  <c r="L190" i="9"/>
  <c r="X190" i="9"/>
  <c r="D190" i="9"/>
  <c r="AD190" i="9"/>
  <c r="C190" i="9" s="1"/>
  <c r="BA190" i="9"/>
  <c r="W190" i="9"/>
  <c r="AW190" i="9"/>
  <c r="AH190" i="9"/>
  <c r="AF190" i="9"/>
  <c r="N190" i="9"/>
  <c r="J190" i="9"/>
  <c r="AI190" i="9"/>
  <c r="F190" i="9"/>
  <c r="AE190" i="9"/>
  <c r="BB190" i="9"/>
  <c r="S190" i="9"/>
  <c r="T190" i="9" s="1"/>
  <c r="R190" i="9"/>
  <c r="AZ190" i="9"/>
  <c r="AY190" i="9" s="1"/>
  <c r="O190" i="9"/>
  <c r="AP190" i="9"/>
  <c r="K190" i="9"/>
  <c r="Z190" i="9" s="1"/>
  <c r="AA190" i="9" s="1"/>
  <c r="AJ190" i="9"/>
  <c r="H190" i="9"/>
  <c r="G190" i="9"/>
  <c r="AO190" i="9"/>
  <c r="AV190" i="9"/>
  <c r="P190" i="9"/>
  <c r="AR190" i="9"/>
  <c r="AT190" i="9"/>
  <c r="AS190" i="9"/>
  <c r="AB190" i="9"/>
  <c r="AC190" i="9"/>
  <c r="M190" i="9"/>
  <c r="AU190" i="9"/>
  <c r="Y190" i="9"/>
  <c r="AQ190" i="9"/>
  <c r="E190" i="9"/>
  <c r="AK190" i="9"/>
  <c r="Q190" i="9"/>
  <c r="R177" i="9"/>
  <c r="AC177" i="9"/>
  <c r="AK177" i="9"/>
  <c r="AU177" i="9"/>
  <c r="J177" i="9"/>
  <c r="K177" i="9"/>
  <c r="Z177" i="9" s="1"/>
  <c r="AA177" i="9" s="1"/>
  <c r="AD177" i="9"/>
  <c r="C177" i="9" s="1"/>
  <c r="AV177" i="9"/>
  <c r="L177" i="9"/>
  <c r="AE177" i="9"/>
  <c r="AW177" i="9"/>
  <c r="AJ177" i="9"/>
  <c r="AQ177" i="9"/>
  <c r="O177" i="9"/>
  <c r="AH177" i="9"/>
  <c r="AZ177" i="9"/>
  <c r="AY177" i="9" s="1"/>
  <c r="P177" i="9"/>
  <c r="AI177" i="9"/>
  <c r="BA177" i="9"/>
  <c r="AB177" i="9"/>
  <c r="W177" i="9"/>
  <c r="AX177" i="9"/>
  <c r="M177" i="9"/>
  <c r="S177" i="9"/>
  <c r="T177" i="9" s="1"/>
  <c r="AN177" i="9"/>
  <c r="D177" i="9"/>
  <c r="AO177" i="9"/>
  <c r="BB177" i="9"/>
  <c r="Q177" i="9"/>
  <c r="N177" i="9"/>
  <c r="AP177" i="9"/>
  <c r="E177" i="9"/>
  <c r="G177" i="9"/>
  <c r="X177" i="9"/>
  <c r="AR177" i="9"/>
  <c r="H177" i="9"/>
  <c r="Y177" i="9"/>
  <c r="AS177" i="9"/>
  <c r="AT177" i="9"/>
  <c r="F177" i="9"/>
  <c r="AF177" i="9"/>
  <c r="D163" i="9"/>
  <c r="J163" i="9"/>
  <c r="R163" i="9"/>
  <c r="AE163" i="9"/>
  <c r="AO163" i="9"/>
  <c r="AW163" i="9"/>
  <c r="K163" i="9"/>
  <c r="Z163" i="9" s="1"/>
  <c r="AA163" i="9" s="1"/>
  <c r="S163" i="9"/>
  <c r="T163" i="9" s="1"/>
  <c r="AH163" i="9"/>
  <c r="AR163" i="9"/>
  <c r="AZ163" i="9"/>
  <c r="AY163" i="9" s="1"/>
  <c r="F163" i="9"/>
  <c r="W163" i="9"/>
  <c r="AS163" i="9"/>
  <c r="G163" i="9"/>
  <c r="AD163" i="9"/>
  <c r="C163" i="9" s="1"/>
  <c r="AV163" i="9"/>
  <c r="N163" i="9"/>
  <c r="BA163" i="9"/>
  <c r="O163" i="9"/>
  <c r="AI163" i="9"/>
  <c r="AN163" i="9"/>
  <c r="AU163" i="9"/>
  <c r="Y163" i="9"/>
  <c r="AX163" i="9"/>
  <c r="AF163" i="9"/>
  <c r="P163" i="9"/>
  <c r="AQ163" i="9"/>
  <c r="E163" i="9"/>
  <c r="AT163" i="9"/>
  <c r="AB163" i="9"/>
  <c r="L163" i="9"/>
  <c r="AK163" i="9"/>
  <c r="Q163" i="9"/>
  <c r="AP163" i="9"/>
  <c r="X163" i="9"/>
  <c r="H163" i="9"/>
  <c r="AC163" i="9"/>
  <c r="M163" i="9"/>
  <c r="BB163" i="9"/>
  <c r="AJ163" i="9"/>
  <c r="G155" i="9"/>
  <c r="AT155" i="9"/>
  <c r="AZ155" i="9"/>
  <c r="AY155" i="9" s="1"/>
  <c r="AH155" i="9"/>
  <c r="AB155" i="9"/>
  <c r="W155" i="9"/>
  <c r="R155" i="9"/>
  <c r="AO155" i="9"/>
  <c r="L155" i="9"/>
  <c r="Q155" i="9"/>
  <c r="AK155" i="9"/>
  <c r="H155" i="9"/>
  <c r="AD155" i="9"/>
  <c r="C155" i="9" s="1"/>
  <c r="BA155" i="9"/>
  <c r="AW155" i="9"/>
  <c r="P155" i="9"/>
  <c r="AS155" i="9"/>
  <c r="E155" i="9"/>
  <c r="AQ155" i="9"/>
  <c r="N155" i="9"/>
  <c r="AI155" i="9"/>
  <c r="D155" i="9"/>
  <c r="AE155" i="9"/>
  <c r="BB155" i="9"/>
  <c r="AX155" i="9"/>
  <c r="Y155" i="9"/>
  <c r="AU155" i="9"/>
  <c r="S155" i="9"/>
  <c r="T155" i="9" s="1"/>
  <c r="AP155" i="9"/>
  <c r="J155" i="9"/>
  <c r="AJ155" i="9"/>
  <c r="F155" i="9"/>
  <c r="AF155" i="9"/>
  <c r="M155" i="9"/>
  <c r="AC155" i="9"/>
  <c r="X155" i="9"/>
  <c r="AV155" i="9"/>
  <c r="O155" i="9"/>
  <c r="AR155" i="9"/>
  <c r="K155" i="9"/>
  <c r="Z155" i="9" s="1"/>
  <c r="AA155" i="9" s="1"/>
  <c r="AN155" i="9"/>
  <c r="M88" i="9"/>
  <c r="Y88" i="9"/>
  <c r="AN88" i="9"/>
  <c r="P88" i="9"/>
  <c r="AQ88" i="9"/>
  <c r="F88" i="9"/>
  <c r="AD88" i="9"/>
  <c r="C88" i="9" s="1"/>
  <c r="AT88" i="9"/>
  <c r="AZ88" i="9"/>
  <c r="AY88" i="9" s="1"/>
  <c r="D88" i="9"/>
  <c r="AV88" i="9"/>
  <c r="L88" i="9"/>
  <c r="AK88" i="9"/>
  <c r="AF88" i="9"/>
  <c r="AP88" i="9"/>
  <c r="E88" i="9"/>
  <c r="AC88" i="9"/>
  <c r="Q88" i="9"/>
  <c r="AR88" i="9"/>
  <c r="AU88" i="9"/>
  <c r="R88" i="9"/>
  <c r="AB88" i="9"/>
  <c r="J88" i="9"/>
  <c r="AJ88" i="9"/>
  <c r="X88" i="9"/>
  <c r="AX88" i="9"/>
  <c r="AH88" i="9"/>
  <c r="H88" i="9"/>
  <c r="N88" i="9"/>
  <c r="BA88" i="9"/>
  <c r="AI88" i="9"/>
  <c r="O88" i="9"/>
  <c r="AW88" i="9"/>
  <c r="AE88" i="9"/>
  <c r="K88" i="9"/>
  <c r="Z88" i="9" s="1"/>
  <c r="AA88" i="9" s="1"/>
  <c r="AS88" i="9"/>
  <c r="W88" i="9"/>
  <c r="G88" i="9"/>
  <c r="S88" i="9"/>
  <c r="T88" i="9" s="1"/>
  <c r="AR149" i="9"/>
  <c r="AH149" i="9"/>
  <c r="J149" i="9"/>
  <c r="G149" i="9"/>
  <c r="W149" i="9"/>
  <c r="AS149" i="9"/>
  <c r="H149" i="9"/>
  <c r="X149" i="9"/>
  <c r="AP149" i="9"/>
  <c r="E149" i="9"/>
  <c r="AK149" i="9"/>
  <c r="AD149" i="9"/>
  <c r="C149" i="9" s="1"/>
  <c r="R149" i="9"/>
  <c r="K149" i="9"/>
  <c r="Z149" i="9" s="1"/>
  <c r="AA149" i="9" s="1"/>
  <c r="AE149" i="9"/>
  <c r="AW149" i="9"/>
  <c r="L149" i="9"/>
  <c r="AB149" i="9"/>
  <c r="AT149" i="9"/>
  <c r="M149" i="9"/>
  <c r="AU149" i="9"/>
  <c r="AN149" i="9"/>
  <c r="Q149" i="9"/>
  <c r="O149" i="9"/>
  <c r="AI149" i="9"/>
  <c r="BA149" i="9"/>
  <c r="P149" i="9"/>
  <c r="AF149" i="9"/>
  <c r="AX149" i="9"/>
  <c r="F149" i="9"/>
  <c r="AV149" i="9"/>
  <c r="Y149" i="9"/>
  <c r="S149" i="9"/>
  <c r="AO149" i="9"/>
  <c r="D149" i="9"/>
  <c r="AJ149" i="9"/>
  <c r="BB149" i="9"/>
  <c r="AC149" i="9"/>
  <c r="N149" i="9"/>
  <c r="AQ149" i="9"/>
  <c r="AZ149" i="9"/>
  <c r="AY149" i="9" s="1"/>
  <c r="D227" i="9"/>
  <c r="H227" i="9"/>
  <c r="L227" i="9"/>
  <c r="P227" i="9"/>
  <c r="Y227" i="9"/>
  <c r="AE227" i="9"/>
  <c r="AJ227" i="9"/>
  <c r="AP227" i="9"/>
  <c r="AT227" i="9"/>
  <c r="AX227" i="9"/>
  <c r="E227" i="9"/>
  <c r="M227" i="9"/>
  <c r="Q227" i="9"/>
  <c r="AB227" i="9"/>
  <c r="AF227" i="9"/>
  <c r="AK227" i="9"/>
  <c r="AQ227" i="9"/>
  <c r="AU227" i="9"/>
  <c r="AZ227" i="9"/>
  <c r="AY227" i="9" s="1"/>
  <c r="J227" i="9"/>
  <c r="R227" i="9"/>
  <c r="AC227" i="9"/>
  <c r="AN227" i="9"/>
  <c r="AV227" i="9"/>
  <c r="K227" i="9"/>
  <c r="Z227" i="9" s="1"/>
  <c r="AA227" i="9" s="1"/>
  <c r="S227" i="9"/>
  <c r="T227" i="9" s="1"/>
  <c r="AD227" i="9"/>
  <c r="C227" i="9" s="1"/>
  <c r="AO227" i="9"/>
  <c r="AW227" i="9"/>
  <c r="F227" i="9"/>
  <c r="W227" i="9"/>
  <c r="AR227" i="9"/>
  <c r="G227" i="9"/>
  <c r="X227" i="9"/>
  <c r="AS227" i="9"/>
  <c r="AH227" i="9"/>
  <c r="AI227" i="9"/>
  <c r="N227" i="9"/>
  <c r="BA227" i="9"/>
  <c r="O227" i="9"/>
  <c r="BB227" i="9"/>
  <c r="E203" i="9"/>
  <c r="AO203" i="9"/>
  <c r="O203" i="9"/>
  <c r="AV203" i="9"/>
  <c r="W203" i="9"/>
  <c r="AE203" i="9"/>
  <c r="AQ203" i="9"/>
  <c r="J203" i="9"/>
  <c r="BA203" i="9"/>
  <c r="AC203" i="9"/>
  <c r="AH203" i="9"/>
  <c r="AU203" i="9"/>
  <c r="N203" i="9"/>
  <c r="AZ203" i="9"/>
  <c r="AY203" i="9" s="1"/>
  <c r="S203" i="9"/>
  <c r="T203" i="9" s="1"/>
  <c r="Y203" i="9"/>
  <c r="AK203" i="9"/>
  <c r="G203" i="9"/>
  <c r="AR203" i="9"/>
  <c r="M203" i="9"/>
  <c r="AW203" i="9"/>
  <c r="R203" i="9"/>
  <c r="AD203" i="9"/>
  <c r="C203" i="9" s="1"/>
  <c r="AI203" i="9"/>
  <c r="P203" i="9"/>
  <c r="AF203" i="9"/>
  <c r="AX203" i="9"/>
  <c r="D203" i="9"/>
  <c r="AJ203" i="9"/>
  <c r="BB203" i="9"/>
  <c r="Q203" i="9"/>
  <c r="H203" i="9"/>
  <c r="X203" i="9"/>
  <c r="AP203" i="9"/>
  <c r="AS203" i="9"/>
  <c r="K203" i="9"/>
  <c r="Z203" i="9" s="1"/>
  <c r="AA203" i="9" s="1"/>
  <c r="L203" i="9"/>
  <c r="AB203" i="9"/>
  <c r="AT203" i="9"/>
  <c r="AN203" i="9"/>
  <c r="F203" i="9"/>
  <c r="E152" i="9"/>
  <c r="AW152" i="9"/>
  <c r="W152" i="9"/>
  <c r="AC152" i="9"/>
  <c r="AV152" i="9"/>
  <c r="R152" i="9"/>
  <c r="J152" i="9"/>
  <c r="BA152" i="9"/>
  <c r="AE152" i="9"/>
  <c r="AO152" i="9"/>
  <c r="AK152" i="9"/>
  <c r="AR152" i="9"/>
  <c r="AH152" i="9"/>
  <c r="O152" i="9"/>
  <c r="M152" i="9"/>
  <c r="G152" i="9"/>
  <c r="AZ152" i="9"/>
  <c r="AY152" i="9" s="1"/>
  <c r="AU152" i="9"/>
  <c r="AD152" i="9"/>
  <c r="C152" i="9" s="1"/>
  <c r="D152" i="9"/>
  <c r="AJ152" i="9"/>
  <c r="BB152" i="9"/>
  <c r="AN152" i="9"/>
  <c r="F152" i="9"/>
  <c r="Y152" i="9"/>
  <c r="H152" i="9"/>
  <c r="X152" i="9"/>
  <c r="AP152" i="9"/>
  <c r="AQ152" i="9"/>
  <c r="S152" i="9"/>
  <c r="T152" i="9" s="1"/>
  <c r="L152" i="9"/>
  <c r="AB152" i="9"/>
  <c r="AT152" i="9"/>
  <c r="Q152" i="9"/>
  <c r="AI152" i="9"/>
  <c r="N152" i="9"/>
  <c r="P152" i="9"/>
  <c r="AF152" i="9"/>
  <c r="AX152" i="9"/>
  <c r="AS152" i="9"/>
  <c r="K152" i="9"/>
  <c r="Z152" i="9" s="1"/>
  <c r="AA152" i="9" s="1"/>
  <c r="R148" i="9"/>
  <c r="AR148" i="9"/>
  <c r="S148" i="9"/>
  <c r="T148" i="9" s="1"/>
  <c r="AW148" i="9"/>
  <c r="J148" i="9"/>
  <c r="AE148" i="9"/>
  <c r="AO148" i="9"/>
  <c r="N148" i="9"/>
  <c r="BA148" i="9"/>
  <c r="AN148" i="9"/>
  <c r="W148" i="9"/>
  <c r="G148" i="9"/>
  <c r="AV148" i="9"/>
  <c r="AZ148" i="9"/>
  <c r="AY148" i="9" s="1"/>
  <c r="AI148" i="9"/>
  <c r="O148" i="9"/>
  <c r="AH148" i="9"/>
  <c r="F148" i="9"/>
  <c r="AS148" i="9"/>
  <c r="AD148" i="9"/>
  <c r="C148" i="9" s="1"/>
  <c r="K148" i="9"/>
  <c r="Z148" i="9" s="1"/>
  <c r="AA148" i="9" s="1"/>
  <c r="L148" i="9"/>
  <c r="AB148" i="9"/>
  <c r="AT148" i="9"/>
  <c r="E148" i="9"/>
  <c r="AQ148" i="9"/>
  <c r="P148" i="9"/>
  <c r="AF148" i="9"/>
  <c r="AX148" i="9"/>
  <c r="Y148" i="9"/>
  <c r="AU148" i="9"/>
  <c r="D148" i="9"/>
  <c r="AJ148" i="9"/>
  <c r="BB148" i="9"/>
  <c r="M148" i="9"/>
  <c r="AC148" i="9"/>
  <c r="H148" i="9"/>
  <c r="X148" i="9"/>
  <c r="AP148" i="9"/>
  <c r="Q148" i="9"/>
  <c r="AK148" i="9"/>
  <c r="J16" i="9"/>
  <c r="R16" i="9"/>
  <c r="AE16" i="9"/>
  <c r="AW16" i="9"/>
  <c r="F16" i="9"/>
  <c r="N16" i="9"/>
  <c r="W16" i="9"/>
  <c r="AI16" i="9"/>
  <c r="AS16" i="9"/>
  <c r="Q16" i="9"/>
  <c r="AJ16" i="9"/>
  <c r="E16" i="9"/>
  <c r="AB16" i="9"/>
  <c r="AF16" i="9"/>
  <c r="M16" i="9"/>
  <c r="AT16" i="9"/>
  <c r="AX16" i="9"/>
  <c r="G16" i="9"/>
  <c r="X16" i="9"/>
  <c r="AU16" i="9"/>
  <c r="P16" i="9"/>
  <c r="AH16" i="9"/>
  <c r="K16" i="9"/>
  <c r="Z16" i="9" s="1"/>
  <c r="AA16" i="9" s="1"/>
  <c r="D16" i="9"/>
  <c r="AN16" i="9"/>
  <c r="O16" i="9"/>
  <c r="AK16" i="9"/>
  <c r="H16" i="9"/>
  <c r="Y16" i="9"/>
  <c r="AR16" i="9"/>
  <c r="S16" i="9"/>
  <c r="T16" i="9" s="1"/>
  <c r="AQ16" i="9"/>
  <c r="L16" i="9"/>
  <c r="AD16" i="9"/>
  <c r="C16" i="9" s="1"/>
  <c r="AV16" i="9"/>
  <c r="F200" i="9"/>
  <c r="M200" i="9"/>
  <c r="AK200" i="9"/>
  <c r="AV200" i="9"/>
  <c r="AC200" i="9"/>
  <c r="AH200" i="9"/>
  <c r="R200" i="9"/>
  <c r="N200" i="9"/>
  <c r="AZ200" i="9"/>
  <c r="AY200" i="9" s="1"/>
  <c r="E200" i="9"/>
  <c r="J200" i="9"/>
  <c r="AR200" i="9"/>
  <c r="AN200" i="9"/>
  <c r="AU200" i="9"/>
  <c r="AD200" i="9"/>
  <c r="C200" i="9" s="1"/>
  <c r="K200" i="9"/>
  <c r="Z200" i="9" s="1"/>
  <c r="AA200" i="9" s="1"/>
  <c r="AE200" i="9"/>
  <c r="AW200" i="9"/>
  <c r="L200" i="9"/>
  <c r="AB200" i="9"/>
  <c r="AT200" i="9"/>
  <c r="O200" i="9"/>
  <c r="AI200" i="9"/>
  <c r="BA200" i="9"/>
  <c r="P200" i="9"/>
  <c r="AF200" i="9"/>
  <c r="AX200" i="9"/>
  <c r="AQ200" i="9"/>
  <c r="S200" i="9"/>
  <c r="T200" i="9" s="1"/>
  <c r="AO200" i="9"/>
  <c r="D200" i="9"/>
  <c r="AJ200" i="9"/>
  <c r="BB200" i="9"/>
  <c r="Y200" i="9"/>
  <c r="G200" i="9"/>
  <c r="W200" i="9"/>
  <c r="AS200" i="9"/>
  <c r="H200" i="9"/>
  <c r="X200" i="9"/>
  <c r="AP200" i="9"/>
  <c r="Q200" i="9"/>
  <c r="H162" i="9"/>
  <c r="S162" i="9"/>
  <c r="T162" i="9" s="1"/>
  <c r="AI162" i="9"/>
  <c r="AV162" i="9"/>
  <c r="L162" i="9"/>
  <c r="X162" i="9"/>
  <c r="AJ162" i="9"/>
  <c r="AW162" i="9"/>
  <c r="N162" i="9"/>
  <c r="AP162" i="9"/>
  <c r="R162" i="9"/>
  <c r="AR162" i="9"/>
  <c r="AD162" i="9"/>
  <c r="C162" i="9" s="1"/>
  <c r="AE162" i="9"/>
  <c r="BA162" i="9"/>
  <c r="BB162" i="9"/>
  <c r="G162" i="9"/>
  <c r="D162" i="9"/>
  <c r="AF162" i="9"/>
  <c r="F162" i="9"/>
  <c r="AB162" i="9"/>
  <c r="AZ162" i="9"/>
  <c r="AY162" i="9" s="1"/>
  <c r="J162" i="9"/>
  <c r="AN162" i="9"/>
  <c r="K162" i="9"/>
  <c r="Z162" i="9" s="1"/>
  <c r="AA162" i="9" s="1"/>
  <c r="AH162" i="9"/>
  <c r="O162" i="9"/>
  <c r="AS162" i="9"/>
  <c r="P162" i="9"/>
  <c r="AO162" i="9"/>
  <c r="AX162" i="9"/>
  <c r="W162" i="9"/>
  <c r="AT162" i="9"/>
  <c r="AQ162" i="9"/>
  <c r="E162" i="9"/>
  <c r="AK162" i="9"/>
  <c r="Q162" i="9"/>
  <c r="AC162" i="9"/>
  <c r="M162" i="9"/>
  <c r="AU162" i="9"/>
  <c r="Y162" i="9"/>
  <c r="G158" i="9"/>
  <c r="O158" i="9"/>
  <c r="X158" i="9"/>
  <c r="AH158" i="9"/>
  <c r="AR158" i="9"/>
  <c r="J158" i="9"/>
  <c r="R158" i="9"/>
  <c r="AB158" i="9"/>
  <c r="AK158" i="9"/>
  <c r="AU158" i="9"/>
  <c r="S158" i="9"/>
  <c r="T158" i="9" s="1"/>
  <c r="AN158" i="9"/>
  <c r="F158" i="9"/>
  <c r="W158" i="9"/>
  <c r="AQ158" i="9"/>
  <c r="K158" i="9"/>
  <c r="Z158" i="9" s="1"/>
  <c r="AA158" i="9" s="1"/>
  <c r="AV158" i="9"/>
  <c r="N158" i="9"/>
  <c r="AZ158" i="9"/>
  <c r="AY158" i="9" s="1"/>
  <c r="AC158" i="9"/>
  <c r="AF158" i="9"/>
  <c r="H158" i="9"/>
  <c r="Y158" i="9"/>
  <c r="AS158" i="9"/>
  <c r="E158" i="9"/>
  <c r="AT158" i="9"/>
  <c r="L158" i="9"/>
  <c r="AD158" i="9"/>
  <c r="C158" i="9" s="1"/>
  <c r="AW158" i="9"/>
  <c r="AE158" i="9"/>
  <c r="AX158" i="9"/>
  <c r="P158" i="9"/>
  <c r="AI158" i="9"/>
  <c r="BA158" i="9"/>
  <c r="M158" i="9"/>
  <c r="AJ158" i="9"/>
  <c r="BB158" i="9"/>
  <c r="D158" i="9"/>
  <c r="AO158" i="9"/>
  <c r="Q158" i="9"/>
  <c r="AP158" i="9"/>
  <c r="G150" i="9"/>
  <c r="O150" i="9"/>
  <c r="X150" i="9"/>
  <c r="AI150" i="9"/>
  <c r="AS150" i="9"/>
  <c r="BA150" i="9"/>
  <c r="J150" i="9"/>
  <c r="R150" i="9"/>
  <c r="AC150" i="9"/>
  <c r="AN150" i="9"/>
  <c r="AV150" i="9"/>
  <c r="K150" i="9"/>
  <c r="Z150" i="9" s="1"/>
  <c r="AA150" i="9" s="1"/>
  <c r="AD150" i="9"/>
  <c r="C150" i="9" s="1"/>
  <c r="AW150" i="9"/>
  <c r="N150" i="9"/>
  <c r="AH150" i="9"/>
  <c r="AZ150" i="9"/>
  <c r="AY150" i="9" s="1"/>
  <c r="AO150" i="9"/>
  <c r="F150" i="9"/>
  <c r="AR150" i="9"/>
  <c r="S150" i="9"/>
  <c r="T150" i="9" s="1"/>
  <c r="W150" i="9"/>
  <c r="L150" i="9"/>
  <c r="AE150" i="9"/>
  <c r="AX150" i="9"/>
  <c r="AB150" i="9"/>
  <c r="AU150" i="9"/>
  <c r="P150" i="9"/>
  <c r="AJ150" i="9"/>
  <c r="BB150" i="9"/>
  <c r="M150" i="9"/>
  <c r="AF150" i="9"/>
  <c r="AG150" i="9" s="1"/>
  <c r="D150" i="9"/>
  <c r="AP150" i="9"/>
  <c r="Q150" i="9"/>
  <c r="AK150" i="9"/>
  <c r="H150" i="9"/>
  <c r="Y150" i="9"/>
  <c r="AT150" i="9"/>
  <c r="E150" i="9"/>
  <c r="AQ150" i="9"/>
  <c r="D204" i="9"/>
  <c r="I204" i="9" s="1"/>
  <c r="H204" i="9"/>
  <c r="AK204" i="9"/>
  <c r="BB204" i="9"/>
  <c r="X204" i="9"/>
  <c r="AP204" i="9"/>
  <c r="AD204" i="9"/>
  <c r="C204" i="9" s="1"/>
  <c r="AF204" i="9"/>
  <c r="AU204" i="9"/>
  <c r="AV204" i="9"/>
  <c r="N204" i="9"/>
  <c r="P204" i="9"/>
  <c r="AC204" i="9"/>
  <c r="AQ204" i="9"/>
  <c r="J204" i="9"/>
  <c r="AZ204" i="9"/>
  <c r="AY204" i="9" s="1"/>
  <c r="AH204" i="9"/>
  <c r="AR204" i="9"/>
  <c r="M204" i="9"/>
  <c r="Y204" i="9"/>
  <c r="AJ204" i="9"/>
  <c r="E204" i="9"/>
  <c r="AX204" i="9"/>
  <c r="R204" i="9"/>
  <c r="O204" i="9"/>
  <c r="AI204" i="9"/>
  <c r="BA204" i="9"/>
  <c r="AB204" i="9"/>
  <c r="F204" i="9"/>
  <c r="S204" i="9"/>
  <c r="T204" i="9" s="1"/>
  <c r="AO204" i="9"/>
  <c r="G204" i="9"/>
  <c r="W204" i="9"/>
  <c r="AS204" i="9"/>
  <c r="AT204" i="9"/>
  <c r="Q204" i="9"/>
  <c r="K204" i="9"/>
  <c r="Z204" i="9" s="1"/>
  <c r="AA204" i="9" s="1"/>
  <c r="AE204" i="9"/>
  <c r="AW204" i="9"/>
  <c r="AN204" i="9"/>
  <c r="L204" i="9"/>
  <c r="D205" i="9"/>
  <c r="H205" i="9"/>
  <c r="L205" i="9"/>
  <c r="P205" i="9"/>
  <c r="Y205" i="9"/>
  <c r="AE205" i="9"/>
  <c r="AJ205" i="9"/>
  <c r="AP205" i="9"/>
  <c r="AT205" i="9"/>
  <c r="AX205" i="9"/>
  <c r="E205" i="9"/>
  <c r="M205" i="9"/>
  <c r="Q205" i="9"/>
  <c r="AB205" i="9"/>
  <c r="AF205" i="9"/>
  <c r="AK205" i="9"/>
  <c r="AQ205" i="9"/>
  <c r="AU205" i="9"/>
  <c r="AZ205" i="9"/>
  <c r="AY205" i="9" s="1"/>
  <c r="J205" i="9"/>
  <c r="R205" i="9"/>
  <c r="AC205" i="9"/>
  <c r="AN205" i="9"/>
  <c r="AV205" i="9"/>
  <c r="K205" i="9"/>
  <c r="Z205" i="9" s="1"/>
  <c r="AA205" i="9" s="1"/>
  <c r="S205" i="9"/>
  <c r="T205" i="9" s="1"/>
  <c r="AD205" i="9"/>
  <c r="C205" i="9" s="1"/>
  <c r="AO205" i="9"/>
  <c r="AW205" i="9"/>
  <c r="N205" i="9"/>
  <c r="AH205" i="9"/>
  <c r="BA205" i="9"/>
  <c r="O205" i="9"/>
  <c r="AI205" i="9"/>
  <c r="BB205" i="9"/>
  <c r="W205" i="9"/>
  <c r="X205" i="9"/>
  <c r="F205" i="9"/>
  <c r="AR205" i="9"/>
  <c r="AS205" i="9"/>
  <c r="G205" i="9"/>
  <c r="D201" i="9"/>
  <c r="J201" i="9"/>
  <c r="F201" i="9"/>
  <c r="L201" i="9"/>
  <c r="R201" i="9"/>
  <c r="X201" i="9"/>
  <c r="AE201" i="9"/>
  <c r="AN201" i="9"/>
  <c r="AS201" i="9"/>
  <c r="AX201" i="9"/>
  <c r="G201" i="9"/>
  <c r="N201" i="9"/>
  <c r="S201" i="9"/>
  <c r="T201" i="9" s="1"/>
  <c r="Y201" i="9"/>
  <c r="AH201" i="9"/>
  <c r="AO201" i="9"/>
  <c r="AT201" i="9"/>
  <c r="AZ201" i="9"/>
  <c r="AY201" i="9" s="1"/>
  <c r="H201" i="9"/>
  <c r="AI201" i="9"/>
  <c r="AV201" i="9"/>
  <c r="K201" i="9"/>
  <c r="Z201" i="9" s="1"/>
  <c r="AA201" i="9" s="1"/>
  <c r="W201" i="9"/>
  <c r="AJ201" i="9"/>
  <c r="AW201" i="9"/>
  <c r="AC201" i="9"/>
  <c r="BA201" i="9"/>
  <c r="AD201" i="9"/>
  <c r="C201" i="9" s="1"/>
  <c r="BB201" i="9"/>
  <c r="O201" i="9"/>
  <c r="P201" i="9"/>
  <c r="AP201" i="9"/>
  <c r="AR201" i="9"/>
  <c r="AU201" i="9"/>
  <c r="AB201" i="9"/>
  <c r="AQ201" i="9"/>
  <c r="E201" i="9"/>
  <c r="AK201" i="9"/>
  <c r="Q201" i="9"/>
  <c r="AF201" i="9"/>
  <c r="M201" i="9"/>
  <c r="F193" i="9"/>
  <c r="J193" i="9"/>
  <c r="N193" i="9"/>
  <c r="R193" i="9"/>
  <c r="W193" i="9"/>
  <c r="AC193" i="9"/>
  <c r="AH193" i="9"/>
  <c r="AN193" i="9"/>
  <c r="AR193" i="9"/>
  <c r="AV193" i="9"/>
  <c r="AZ193" i="9"/>
  <c r="AY193" i="9" s="1"/>
  <c r="G193" i="9"/>
  <c r="K193" i="9"/>
  <c r="Z193" i="9" s="1"/>
  <c r="AA193" i="9" s="1"/>
  <c r="O193" i="9"/>
  <c r="S193" i="9"/>
  <c r="T193" i="9" s="1"/>
  <c r="X193" i="9"/>
  <c r="AD193" i="9"/>
  <c r="C193" i="9" s="1"/>
  <c r="AI193" i="9"/>
  <c r="AO193" i="9"/>
  <c r="AS193" i="9"/>
  <c r="AW193" i="9"/>
  <c r="BA193" i="9"/>
  <c r="H193" i="9"/>
  <c r="P193" i="9"/>
  <c r="Y193" i="9"/>
  <c r="AJ193" i="9"/>
  <c r="AT193" i="9"/>
  <c r="BB193" i="9"/>
  <c r="Q193" i="9"/>
  <c r="AB193" i="9"/>
  <c r="AK193" i="9"/>
  <c r="AU193" i="9"/>
  <c r="L193" i="9"/>
  <c r="AE193" i="9"/>
  <c r="AX193" i="9"/>
  <c r="M193" i="9"/>
  <c r="AF193" i="9"/>
  <c r="D193" i="9"/>
  <c r="AP193" i="9"/>
  <c r="E193" i="9"/>
  <c r="AQ193" i="9"/>
  <c r="H189" i="9"/>
  <c r="N189" i="9"/>
  <c r="S189" i="9"/>
  <c r="T189" i="9" s="1"/>
  <c r="Y189" i="9"/>
  <c r="AH189" i="9"/>
  <c r="AO189" i="9"/>
  <c r="AU189" i="9"/>
  <c r="BA189" i="9"/>
  <c r="D189" i="9"/>
  <c r="J189" i="9"/>
  <c r="O189" i="9"/>
  <c r="AC189" i="9"/>
  <c r="AI189" i="9"/>
  <c r="AQ189" i="9"/>
  <c r="AV189" i="9"/>
  <c r="K189" i="9"/>
  <c r="Z189" i="9" s="1"/>
  <c r="AA189" i="9" s="1"/>
  <c r="W189" i="9"/>
  <c r="AK189" i="9"/>
  <c r="AW189" i="9"/>
  <c r="L189" i="9"/>
  <c r="X189" i="9"/>
  <c r="AN189" i="9"/>
  <c r="AZ189" i="9"/>
  <c r="AY189" i="9" s="1"/>
  <c r="P189" i="9"/>
  <c r="AR189" i="9"/>
  <c r="R189" i="9"/>
  <c r="AS189" i="9"/>
  <c r="F189" i="9"/>
  <c r="G189" i="9"/>
  <c r="AD189" i="9"/>
  <c r="C189" i="9" s="1"/>
  <c r="AE189" i="9"/>
  <c r="AT189" i="9"/>
  <c r="AB189" i="9"/>
  <c r="AP189" i="9"/>
  <c r="E189" i="9"/>
  <c r="BB189" i="9"/>
  <c r="AJ189" i="9"/>
  <c r="Q189" i="9"/>
  <c r="AX189" i="9"/>
  <c r="AF189" i="9"/>
  <c r="M189" i="9"/>
  <c r="D183" i="9"/>
  <c r="J183" i="9"/>
  <c r="S183" i="9"/>
  <c r="T183" i="9" s="1"/>
  <c r="AH183" i="9"/>
  <c r="AV183" i="9"/>
  <c r="K183" i="9"/>
  <c r="Z183" i="9" s="1"/>
  <c r="AA183" i="9" s="1"/>
  <c r="W183" i="9"/>
  <c r="AN183" i="9"/>
  <c r="AW183" i="9"/>
  <c r="N183" i="9"/>
  <c r="AO183" i="9"/>
  <c r="R183" i="9"/>
  <c r="AR183" i="9"/>
  <c r="AD183" i="9"/>
  <c r="C183" i="9" s="1"/>
  <c r="AE183" i="9"/>
  <c r="F183" i="9"/>
  <c r="AZ183" i="9"/>
  <c r="AY183" i="9" s="1"/>
  <c r="BA183" i="9"/>
  <c r="G183" i="9"/>
  <c r="AS183" i="9"/>
  <c r="AI183" i="9"/>
  <c r="O183" i="9"/>
  <c r="AC183" i="9"/>
  <c r="M183" i="9"/>
  <c r="AP183" i="9"/>
  <c r="X183" i="9"/>
  <c r="H183" i="9"/>
  <c r="AU183" i="9"/>
  <c r="Y183" i="9"/>
  <c r="BB183" i="9"/>
  <c r="AJ183" i="9"/>
  <c r="AQ183" i="9"/>
  <c r="E183" i="9"/>
  <c r="AX183" i="9"/>
  <c r="AF183" i="9"/>
  <c r="P183" i="9"/>
  <c r="AK183" i="9"/>
  <c r="Q183" i="9"/>
  <c r="AT183" i="9"/>
  <c r="AB183" i="9"/>
  <c r="L183" i="9"/>
  <c r="D182" i="9"/>
  <c r="L182" i="9"/>
  <c r="S182" i="9"/>
  <c r="T182" i="9" s="1"/>
  <c r="AD182" i="9"/>
  <c r="C182" i="9" s="1"/>
  <c r="AN182" i="9"/>
  <c r="AT182" i="9"/>
  <c r="BA182" i="9"/>
  <c r="G182" i="9"/>
  <c r="N182" i="9"/>
  <c r="AF182" i="9"/>
  <c r="AO182" i="9"/>
  <c r="AV182" i="9"/>
  <c r="O182" i="9"/>
  <c r="AH182" i="9"/>
  <c r="AX182" i="9"/>
  <c r="R182" i="9"/>
  <c r="AI182" i="9"/>
  <c r="AZ182" i="9"/>
  <c r="AY182" i="9" s="1"/>
  <c r="H182" i="9"/>
  <c r="AP182" i="9"/>
  <c r="J182" i="9"/>
  <c r="AS182" i="9"/>
  <c r="X182" i="9"/>
  <c r="AB182" i="9"/>
  <c r="AJ182" i="9"/>
  <c r="K182" i="9"/>
  <c r="Z182" i="9" s="1"/>
  <c r="AA182" i="9" s="1"/>
  <c r="BB182" i="9"/>
  <c r="AE182" i="9"/>
  <c r="F182" i="9"/>
  <c r="AW182" i="9"/>
  <c r="W182" i="9"/>
  <c r="AR182" i="9"/>
  <c r="P182" i="9"/>
  <c r="AC182" i="9"/>
  <c r="M182" i="9"/>
  <c r="AU182" i="9"/>
  <c r="Y182" i="9"/>
  <c r="AQ182" i="9"/>
  <c r="E182" i="9"/>
  <c r="AK182" i="9"/>
  <c r="Q182" i="9"/>
  <c r="L232" i="9"/>
  <c r="AX232" i="9"/>
  <c r="J232" i="9"/>
  <c r="AI232" i="9"/>
  <c r="F232" i="9"/>
  <c r="AE232" i="9"/>
  <c r="BB232" i="9"/>
  <c r="AO232" i="9"/>
  <c r="AF232" i="9"/>
  <c r="AH232" i="9"/>
  <c r="O232" i="9"/>
  <c r="AP232" i="9"/>
  <c r="K232" i="9"/>
  <c r="Z232" i="9" s="1"/>
  <c r="AA232" i="9" s="1"/>
  <c r="AJ232" i="9"/>
  <c r="AZ232" i="9"/>
  <c r="AY232" i="9" s="1"/>
  <c r="AS232" i="9"/>
  <c r="AT232" i="9"/>
  <c r="AN232" i="9"/>
  <c r="AV232" i="9"/>
  <c r="P232" i="9"/>
  <c r="AR232" i="9"/>
  <c r="N232" i="9"/>
  <c r="G232" i="9"/>
  <c r="H232" i="9"/>
  <c r="D232" i="9"/>
  <c r="I232" i="9" s="1"/>
  <c r="AD232" i="9"/>
  <c r="C232" i="9" s="1"/>
  <c r="BA232" i="9"/>
  <c r="W232" i="9"/>
  <c r="AW232" i="9"/>
  <c r="AB232" i="9"/>
  <c r="R232" i="9"/>
  <c r="S232" i="9"/>
  <c r="T232" i="9" s="1"/>
  <c r="X232" i="9"/>
  <c r="AU232" i="9"/>
  <c r="Y232" i="9"/>
  <c r="AQ232" i="9"/>
  <c r="E232" i="9"/>
  <c r="AK232" i="9"/>
  <c r="Q232" i="9"/>
  <c r="AC232" i="9"/>
  <c r="M232" i="9"/>
  <c r="J81" i="9"/>
  <c r="AK81" i="9"/>
  <c r="Q81" i="9"/>
  <c r="AN81" i="9"/>
  <c r="AT81" i="9"/>
  <c r="E81" i="9"/>
  <c r="AZ81" i="9"/>
  <c r="AY81" i="9" s="1"/>
  <c r="R81" i="9"/>
  <c r="AB81" i="9"/>
  <c r="D81" i="9"/>
  <c r="AF81" i="9"/>
  <c r="H81" i="9"/>
  <c r="AR81" i="9"/>
  <c r="AU81" i="9"/>
  <c r="F81" i="9"/>
  <c r="AP81" i="9"/>
  <c r="P81" i="9"/>
  <c r="AC81" i="9"/>
  <c r="M81" i="9"/>
  <c r="AX81" i="9"/>
  <c r="X81" i="9"/>
  <c r="L81" i="9"/>
  <c r="AH81" i="9"/>
  <c r="AD81" i="9"/>
  <c r="C81" i="9" s="1"/>
  <c r="G81" i="9"/>
  <c r="W81" i="9"/>
  <c r="AS81" i="9"/>
  <c r="AV81" i="9"/>
  <c r="Y81" i="9"/>
  <c r="K81" i="9"/>
  <c r="Z81" i="9" s="1"/>
  <c r="AA81" i="9" s="1"/>
  <c r="AE81" i="9"/>
  <c r="AW81" i="9"/>
  <c r="AQ81" i="9"/>
  <c r="O81" i="9"/>
  <c r="AI81" i="9"/>
  <c r="BA81" i="9"/>
  <c r="AJ81" i="9"/>
  <c r="N81" i="9"/>
  <c r="S81" i="9"/>
  <c r="T81" i="9" s="1"/>
  <c r="D198" i="9"/>
  <c r="J198" i="9"/>
  <c r="O198" i="9"/>
  <c r="AD198" i="9"/>
  <c r="C198" i="9" s="1"/>
  <c r="AI198" i="9"/>
  <c r="AP198" i="9"/>
  <c r="AV198" i="9"/>
  <c r="BA198" i="9"/>
  <c r="F198" i="9"/>
  <c r="K198" i="9"/>
  <c r="Z198" i="9" s="1"/>
  <c r="AA198" i="9" s="1"/>
  <c r="P198" i="9"/>
  <c r="W198" i="9"/>
  <c r="AE198" i="9"/>
  <c r="AJ198" i="9"/>
  <c r="AR198" i="9"/>
  <c r="AW198" i="9"/>
  <c r="BB198" i="9"/>
  <c r="G198" i="9"/>
  <c r="R198" i="9"/>
  <c r="AF198" i="9"/>
  <c r="AS198" i="9"/>
  <c r="H198" i="9"/>
  <c r="S198" i="9"/>
  <c r="T198" i="9" s="1"/>
  <c r="AH198" i="9"/>
  <c r="AT198" i="9"/>
  <c r="L198" i="9"/>
  <c r="AN198" i="9"/>
  <c r="N198" i="9"/>
  <c r="AO198" i="9"/>
  <c r="X198" i="9"/>
  <c r="AB198" i="9"/>
  <c r="AX198" i="9"/>
  <c r="AZ198" i="9"/>
  <c r="AY198" i="9" s="1"/>
  <c r="AC198" i="9"/>
  <c r="M198" i="9"/>
  <c r="AU198" i="9"/>
  <c r="Y198" i="9"/>
  <c r="AQ198" i="9"/>
  <c r="E198" i="9"/>
  <c r="AK198" i="9"/>
  <c r="Q198" i="9"/>
  <c r="F170" i="9"/>
  <c r="P170" i="9"/>
  <c r="AE170" i="9"/>
  <c r="AR170" i="9"/>
  <c r="BB170" i="9"/>
  <c r="G170" i="9"/>
  <c r="R170" i="9"/>
  <c r="AF170" i="9"/>
  <c r="AS170" i="9"/>
  <c r="W170" i="9"/>
  <c r="AW170" i="9"/>
  <c r="X170" i="9"/>
  <c r="AX170" i="9"/>
  <c r="AJ170" i="9"/>
  <c r="AN170" i="9"/>
  <c r="K170" i="9"/>
  <c r="Z170" i="9" s="1"/>
  <c r="AA170" i="9" s="1"/>
  <c r="L170" i="9"/>
  <c r="H170" i="9"/>
  <c r="AH170" i="9"/>
  <c r="D170" i="9"/>
  <c r="AD170" i="9"/>
  <c r="C170" i="9" s="1"/>
  <c r="BA170" i="9"/>
  <c r="N170" i="9"/>
  <c r="AO170" i="9"/>
  <c r="J170" i="9"/>
  <c r="AI170" i="9"/>
  <c r="S170" i="9"/>
  <c r="T170" i="9" s="1"/>
  <c r="AT170" i="9"/>
  <c r="O170" i="9"/>
  <c r="AP170" i="9"/>
  <c r="AB170" i="9"/>
  <c r="AZ170" i="9"/>
  <c r="AY170" i="9" s="1"/>
  <c r="AV170" i="9"/>
  <c r="AQ170" i="9"/>
  <c r="E170" i="9"/>
  <c r="AK170" i="9"/>
  <c r="Q170" i="9"/>
  <c r="AC170" i="9"/>
  <c r="M170" i="9"/>
  <c r="AU170" i="9"/>
  <c r="Y170" i="9"/>
  <c r="H151" i="9"/>
  <c r="S151" i="9"/>
  <c r="T151" i="9" s="1"/>
  <c r="AH151" i="9"/>
  <c r="AT151" i="9"/>
  <c r="L151" i="9"/>
  <c r="X151" i="9"/>
  <c r="AN151" i="9"/>
  <c r="AX151" i="9"/>
  <c r="N151" i="9"/>
  <c r="AO151" i="9"/>
  <c r="R151" i="9"/>
  <c r="AS151" i="9"/>
  <c r="AB151" i="9"/>
  <c r="AF151" i="9"/>
  <c r="AZ151" i="9"/>
  <c r="AY151" i="9" s="1"/>
  <c r="G151" i="9"/>
  <c r="D151" i="9"/>
  <c r="AD151" i="9"/>
  <c r="C151" i="9" s="1"/>
  <c r="BA151" i="9"/>
  <c r="W151" i="9"/>
  <c r="AW151" i="9"/>
  <c r="J151" i="9"/>
  <c r="AI151" i="9"/>
  <c r="F151" i="9"/>
  <c r="AE151" i="9"/>
  <c r="BB151" i="9"/>
  <c r="O151" i="9"/>
  <c r="AP151" i="9"/>
  <c r="K151" i="9"/>
  <c r="Z151" i="9" s="1"/>
  <c r="AA151" i="9" s="1"/>
  <c r="AJ151" i="9"/>
  <c r="AV151" i="9"/>
  <c r="P151" i="9"/>
  <c r="AR151" i="9"/>
  <c r="AU151" i="9"/>
  <c r="Y151" i="9"/>
  <c r="AQ151" i="9"/>
  <c r="E151" i="9"/>
  <c r="AK151" i="9"/>
  <c r="Q151" i="9"/>
  <c r="AC151" i="9"/>
  <c r="M151" i="9"/>
  <c r="AB15" i="9"/>
  <c r="J15" i="9"/>
  <c r="AT15" i="9"/>
  <c r="R15" i="9"/>
  <c r="AJ15" i="9"/>
  <c r="D15" i="9"/>
  <c r="AN15" i="9"/>
  <c r="Q15" i="9"/>
  <c r="AQ15" i="9"/>
  <c r="F15" i="9"/>
  <c r="S15" i="9"/>
  <c r="T15" i="9" s="1"/>
  <c r="H15" i="9"/>
  <c r="Y15" i="9"/>
  <c r="AR15" i="9"/>
  <c r="E15" i="9"/>
  <c r="AS15" i="9"/>
  <c r="X15" i="9"/>
  <c r="AF15" i="9"/>
  <c r="AU15" i="9"/>
  <c r="K15" i="9"/>
  <c r="Z15" i="9" s="1"/>
  <c r="AA15" i="9" s="1"/>
  <c r="L15" i="9"/>
  <c r="AD15" i="9"/>
  <c r="C15" i="9" s="1"/>
  <c r="AV15" i="9"/>
  <c r="AE15" i="9"/>
  <c r="AW15" i="9"/>
  <c r="O15" i="9"/>
  <c r="W15" i="9"/>
  <c r="AK15" i="9"/>
  <c r="P15" i="9"/>
  <c r="AH15" i="9"/>
  <c r="M15" i="9"/>
  <c r="AI15" i="9"/>
  <c r="G15" i="9"/>
  <c r="AX15" i="9"/>
  <c r="N15" i="9"/>
  <c r="E12" i="9"/>
  <c r="AQ12" i="9"/>
  <c r="K12" i="9"/>
  <c r="Z12" i="9" s="1"/>
  <c r="AA12" i="9" s="1"/>
  <c r="AE12" i="9"/>
  <c r="AW12" i="9"/>
  <c r="AN12" i="9"/>
  <c r="X12" i="9"/>
  <c r="J12" i="9"/>
  <c r="AH12" i="9"/>
  <c r="Y12" i="9"/>
  <c r="AU12" i="9"/>
  <c r="O12" i="9"/>
  <c r="AI12" i="9"/>
  <c r="AB12" i="9"/>
  <c r="F12" i="9"/>
  <c r="AV12" i="9"/>
  <c r="AF12" i="9"/>
  <c r="AR12" i="9"/>
  <c r="M12" i="9"/>
  <c r="S12" i="9"/>
  <c r="T12" i="9" s="1"/>
  <c r="D12" i="9"/>
  <c r="AJ12" i="9"/>
  <c r="N12" i="9"/>
  <c r="H12" i="9"/>
  <c r="R12" i="9"/>
  <c r="Q12" i="9"/>
  <c r="AK12" i="9"/>
  <c r="G12" i="9"/>
  <c r="W12" i="9"/>
  <c r="AS12" i="9"/>
  <c r="L12" i="9"/>
  <c r="AT12" i="9"/>
  <c r="AD12" i="9"/>
  <c r="C12" i="9" s="1"/>
  <c r="P12" i="9"/>
  <c r="AX12" i="9"/>
  <c r="R26" i="9"/>
  <c r="N26" i="9"/>
  <c r="AD26" i="9"/>
  <c r="C26" i="9" s="1"/>
  <c r="AH26" i="9"/>
  <c r="F26" i="9"/>
  <c r="AN26" i="9"/>
  <c r="AV26" i="9"/>
  <c r="G26" i="9"/>
  <c r="W26" i="9"/>
  <c r="AS26" i="9"/>
  <c r="H26" i="9"/>
  <c r="X26" i="9"/>
  <c r="Q26" i="9"/>
  <c r="AK26" i="9"/>
  <c r="J26" i="9"/>
  <c r="K26" i="9"/>
  <c r="Z26" i="9" s="1"/>
  <c r="AA26" i="9" s="1"/>
  <c r="AE26" i="9"/>
  <c r="AW26" i="9"/>
  <c r="L26" i="9"/>
  <c r="AB26" i="9"/>
  <c r="AT26" i="9"/>
  <c r="E26" i="9"/>
  <c r="AQ26" i="9"/>
  <c r="O26" i="9"/>
  <c r="AI26" i="9"/>
  <c r="P26" i="9"/>
  <c r="AF26" i="9"/>
  <c r="AX26" i="9"/>
  <c r="Y26" i="9"/>
  <c r="AU26" i="9"/>
  <c r="S26" i="9"/>
  <c r="T26" i="9" s="1"/>
  <c r="D26" i="9"/>
  <c r="AJ26" i="9"/>
  <c r="M26" i="9"/>
  <c r="AR26" i="9"/>
  <c r="K199" i="9"/>
  <c r="Z199" i="9" s="1"/>
  <c r="AA199" i="9" s="1"/>
  <c r="J199" i="9"/>
  <c r="AR199" i="9"/>
  <c r="R199" i="9"/>
  <c r="AS199" i="9"/>
  <c r="BA199" i="9"/>
  <c r="S199" i="9"/>
  <c r="AI199" i="9"/>
  <c r="AZ199" i="9"/>
  <c r="AY199" i="9" s="1"/>
  <c r="AH199" i="9"/>
  <c r="P199" i="9"/>
  <c r="AF199" i="9"/>
  <c r="AX199" i="9"/>
  <c r="Y199" i="9"/>
  <c r="AU199" i="9"/>
  <c r="AO199" i="9"/>
  <c r="G199" i="9"/>
  <c r="AD199" i="9"/>
  <c r="C199" i="9" s="1"/>
  <c r="D199" i="9"/>
  <c r="AJ199" i="9"/>
  <c r="BB199" i="9"/>
  <c r="M199" i="9"/>
  <c r="AC199" i="9"/>
  <c r="AE199" i="9"/>
  <c r="H199" i="9"/>
  <c r="X199" i="9"/>
  <c r="AP199" i="9"/>
  <c r="Q199" i="9"/>
  <c r="AK199" i="9"/>
  <c r="W199" i="9"/>
  <c r="AV199" i="9"/>
  <c r="N199" i="9"/>
  <c r="L199" i="9"/>
  <c r="AB199" i="9"/>
  <c r="AT199" i="9"/>
  <c r="E199" i="9"/>
  <c r="AQ199" i="9"/>
  <c r="AW199" i="9"/>
  <c r="O199" i="9"/>
  <c r="AN199" i="9"/>
  <c r="F199" i="9"/>
  <c r="S195" i="9"/>
  <c r="T195" i="9" s="1"/>
  <c r="BA195" i="9"/>
  <c r="AI195" i="9"/>
  <c r="J195" i="9"/>
  <c r="R195" i="9"/>
  <c r="AR195" i="9"/>
  <c r="AS195" i="9"/>
  <c r="AH195" i="9"/>
  <c r="AZ195" i="9"/>
  <c r="AY195" i="9" s="1"/>
  <c r="K195" i="9"/>
  <c r="Z195" i="9" s="1"/>
  <c r="AA195" i="9" s="1"/>
  <c r="P195" i="9"/>
  <c r="AF195" i="9"/>
  <c r="AX195" i="9"/>
  <c r="Y195" i="9"/>
  <c r="AU195" i="9"/>
  <c r="AE195" i="9"/>
  <c r="N195" i="9"/>
  <c r="D195" i="9"/>
  <c r="AJ195" i="9"/>
  <c r="BB195" i="9"/>
  <c r="M195" i="9"/>
  <c r="AC195" i="9"/>
  <c r="W195" i="9"/>
  <c r="AV195" i="9"/>
  <c r="F195" i="9"/>
  <c r="H195" i="9"/>
  <c r="X195" i="9"/>
  <c r="AP195" i="9"/>
  <c r="Q195" i="9"/>
  <c r="AK195" i="9"/>
  <c r="AW195" i="9"/>
  <c r="O195" i="9"/>
  <c r="AN195" i="9"/>
  <c r="L195" i="9"/>
  <c r="AB195" i="9"/>
  <c r="AT195" i="9"/>
  <c r="E195" i="9"/>
  <c r="AQ195" i="9"/>
  <c r="AO195" i="9"/>
  <c r="G195" i="9"/>
  <c r="AD195" i="9"/>
  <c r="C195" i="9" s="1"/>
  <c r="AR164" i="9"/>
  <c r="AD164" i="9"/>
  <c r="C164" i="9" s="1"/>
  <c r="AZ164" i="9"/>
  <c r="AY164" i="9" s="1"/>
  <c r="AV164" i="9"/>
  <c r="J164" i="9"/>
  <c r="AN164" i="9"/>
  <c r="N164" i="9"/>
  <c r="F164" i="9"/>
  <c r="AH164" i="9"/>
  <c r="R164" i="9"/>
  <c r="S164" i="9"/>
  <c r="T164" i="9" s="1"/>
  <c r="AO164" i="9"/>
  <c r="D164" i="9"/>
  <c r="AJ164" i="9"/>
  <c r="BB164" i="9"/>
  <c r="M164" i="9"/>
  <c r="AC164" i="9"/>
  <c r="G164" i="9"/>
  <c r="W164" i="9"/>
  <c r="AS164" i="9"/>
  <c r="H164" i="9"/>
  <c r="X164" i="9"/>
  <c r="AP164" i="9"/>
  <c r="Q164" i="9"/>
  <c r="AK164" i="9"/>
  <c r="K164" i="9"/>
  <c r="Z164" i="9" s="1"/>
  <c r="AA164" i="9" s="1"/>
  <c r="AE164" i="9"/>
  <c r="AW164" i="9"/>
  <c r="L164" i="9"/>
  <c r="AB164" i="9"/>
  <c r="AT164" i="9"/>
  <c r="E164" i="9"/>
  <c r="AQ164" i="9"/>
  <c r="O164" i="9"/>
  <c r="AI164" i="9"/>
  <c r="BA164" i="9"/>
  <c r="P164" i="9"/>
  <c r="AF164" i="9"/>
  <c r="AX164" i="9"/>
  <c r="Y164" i="9"/>
  <c r="AU164" i="9"/>
  <c r="D8" i="9"/>
  <c r="L8" i="9"/>
  <c r="AF8" i="9"/>
  <c r="AX8" i="9"/>
  <c r="F8" i="9"/>
  <c r="N8" i="9"/>
  <c r="X8" i="9"/>
  <c r="AH8" i="9"/>
  <c r="AR8" i="9"/>
  <c r="J8" i="9"/>
  <c r="R8" i="9"/>
  <c r="AD8" i="9"/>
  <c r="C8" i="9" s="1"/>
  <c r="AN8" i="9"/>
  <c r="AV8" i="9"/>
  <c r="P8" i="9"/>
  <c r="AB8" i="9"/>
  <c r="AJ8" i="9"/>
  <c r="AT8" i="9"/>
  <c r="H8" i="9"/>
  <c r="AW8" i="9"/>
  <c r="AE8" i="9"/>
  <c r="K8" i="9"/>
  <c r="Z8" i="9" s="1"/>
  <c r="AA8" i="9" s="1"/>
  <c r="AQ8" i="9"/>
  <c r="E8" i="9"/>
  <c r="AS8" i="9"/>
  <c r="W8" i="9"/>
  <c r="G8" i="9"/>
  <c r="AK8" i="9"/>
  <c r="Q8" i="9"/>
  <c r="S8" i="9"/>
  <c r="M8" i="9"/>
  <c r="AI8" i="9"/>
  <c r="O8" i="9"/>
  <c r="AU8" i="9"/>
  <c r="Y8" i="9"/>
  <c r="G215" i="9"/>
  <c r="W215" i="9"/>
  <c r="AC215" i="9"/>
  <c r="AZ215" i="9"/>
  <c r="AY215" i="9" s="1"/>
  <c r="AU215" i="9"/>
  <c r="R215" i="9"/>
  <c r="AO215" i="9"/>
  <c r="H215" i="9"/>
  <c r="X215" i="9"/>
  <c r="AP215" i="9"/>
  <c r="Y215" i="9"/>
  <c r="AV215" i="9"/>
  <c r="O215" i="9"/>
  <c r="AR215" i="9"/>
  <c r="K215" i="9"/>
  <c r="Z215" i="9" s="1"/>
  <c r="AA215" i="9" s="1"/>
  <c r="AH215" i="9"/>
  <c r="L215" i="9"/>
  <c r="AB215" i="9"/>
  <c r="AT215" i="9"/>
  <c r="AD215" i="9"/>
  <c r="C215" i="9" s="1"/>
  <c r="BA215" i="9"/>
  <c r="AW215" i="9"/>
  <c r="Q215" i="9"/>
  <c r="M215" i="9"/>
  <c r="P215" i="9"/>
  <c r="AF215" i="9"/>
  <c r="AX215" i="9"/>
  <c r="N215" i="9"/>
  <c r="AI215" i="9"/>
  <c r="E215" i="9"/>
  <c r="AE215" i="9"/>
  <c r="AN215" i="9"/>
  <c r="D215" i="9"/>
  <c r="AJ215" i="9"/>
  <c r="BB215" i="9"/>
  <c r="S215" i="9"/>
  <c r="T215" i="9" s="1"/>
  <c r="AQ215" i="9"/>
  <c r="J215" i="9"/>
  <c r="AK215" i="9"/>
  <c r="F215" i="9"/>
  <c r="AS215" i="9"/>
  <c r="AC169" i="9"/>
  <c r="AK169" i="9"/>
  <c r="AU169" i="9"/>
  <c r="J169" i="9"/>
  <c r="R169" i="9"/>
  <c r="L169" i="9"/>
  <c r="AE169" i="9"/>
  <c r="AW169" i="9"/>
  <c r="AB169" i="9"/>
  <c r="AT169" i="9"/>
  <c r="AZ169" i="9"/>
  <c r="AY169" i="9" s="1"/>
  <c r="O169" i="9"/>
  <c r="W169" i="9"/>
  <c r="S169" i="9"/>
  <c r="T169" i="9" s="1"/>
  <c r="P169" i="9"/>
  <c r="AI169" i="9"/>
  <c r="BA169" i="9"/>
  <c r="M169" i="9"/>
  <c r="AF169" i="9"/>
  <c r="AX169" i="9"/>
  <c r="AR169" i="9"/>
  <c r="G169" i="9"/>
  <c r="N169" i="9"/>
  <c r="AV169" i="9"/>
  <c r="K169" i="9"/>
  <c r="Z169" i="9" s="1"/>
  <c r="AA169" i="9" s="1"/>
  <c r="D169" i="9"/>
  <c r="AO169" i="9"/>
  <c r="Q169" i="9"/>
  <c r="AJ169" i="9"/>
  <c r="BB169" i="9"/>
  <c r="AH169" i="9"/>
  <c r="F169" i="9"/>
  <c r="AN169" i="9"/>
  <c r="H169" i="9"/>
  <c r="Y169" i="9"/>
  <c r="AS169" i="9"/>
  <c r="E169" i="9"/>
  <c r="AP169" i="9"/>
  <c r="X169" i="9"/>
  <c r="AQ169" i="9"/>
  <c r="AD169" i="9"/>
  <c r="C169" i="9" s="1"/>
  <c r="E82" i="9"/>
  <c r="M82" i="9"/>
  <c r="Q82" i="9"/>
  <c r="AE82" i="9"/>
  <c r="AJ82" i="9"/>
  <c r="AP82" i="9"/>
  <c r="AT82" i="9"/>
  <c r="AX82" i="9"/>
  <c r="F82" i="9"/>
  <c r="J82" i="9"/>
  <c r="N82" i="9"/>
  <c r="R82" i="9"/>
  <c r="W82" i="9"/>
  <c r="AB82" i="9"/>
  <c r="AF82" i="9"/>
  <c r="AK82" i="9"/>
  <c r="AQ82" i="9"/>
  <c r="AU82" i="9"/>
  <c r="AZ82" i="9"/>
  <c r="AY82" i="9" s="1"/>
  <c r="G82" i="9"/>
  <c r="O82" i="9"/>
  <c r="X82" i="9"/>
  <c r="AH82" i="9"/>
  <c r="AR82" i="9"/>
  <c r="BA82" i="9"/>
  <c r="H82" i="9"/>
  <c r="P82" i="9"/>
  <c r="Y82" i="9"/>
  <c r="AI82" i="9"/>
  <c r="AS82" i="9"/>
  <c r="K82" i="9"/>
  <c r="Z82" i="9" s="1"/>
  <c r="AA82" i="9" s="1"/>
  <c r="AC82" i="9"/>
  <c r="AV82" i="9"/>
  <c r="L82" i="9"/>
  <c r="AD82" i="9"/>
  <c r="C82" i="9" s="1"/>
  <c r="AW82" i="9"/>
  <c r="AN82" i="9"/>
  <c r="D82" i="9"/>
  <c r="S82" i="9"/>
  <c r="T82" i="9" s="1"/>
  <c r="BD12" i="3"/>
  <c r="BD13" i="3"/>
  <c r="BD14" i="3"/>
  <c r="BD11" i="3"/>
  <c r="BC12" i="3"/>
  <c r="BC13" i="3"/>
  <c r="BC14" i="3"/>
  <c r="BB12" i="3"/>
  <c r="BB13" i="3"/>
  <c r="BB14" i="3"/>
  <c r="BB11" i="3"/>
  <c r="FY259" i="3" l="1"/>
  <c r="FP259" i="3"/>
  <c r="DD259" i="3"/>
  <c r="EG259" i="3"/>
  <c r="EY259" i="3"/>
  <c r="FK259" i="3"/>
  <c r="CS259" i="3"/>
  <c r="GA259" i="3"/>
  <c r="DC259" i="3"/>
  <c r="DE259" i="3"/>
  <c r="EF259" i="3"/>
  <c r="EU259" i="3"/>
  <c r="EN259" i="3"/>
  <c r="FO259" i="3"/>
  <c r="DB259" i="3"/>
  <c r="DL259" i="3"/>
  <c r="EE259" i="3"/>
  <c r="FD259" i="3"/>
  <c r="DS259" i="3"/>
  <c r="FX259" i="3"/>
  <c r="DA259" i="3"/>
  <c r="CZ259" i="3"/>
  <c r="DZ259" i="3"/>
  <c r="ER259" i="3"/>
  <c r="EM259" i="3"/>
  <c r="FV259" i="3"/>
  <c r="CX259" i="3"/>
  <c r="DK259" i="3"/>
  <c r="DY259" i="3"/>
  <c r="EB259" i="3"/>
  <c r="FU259" i="3"/>
  <c r="DN259" i="3"/>
  <c r="CY259" i="3"/>
  <c r="DW259" i="3"/>
  <c r="FT259" i="3"/>
  <c r="DM259" i="3"/>
  <c r="EH259" i="3"/>
  <c r="EI259" i="3"/>
  <c r="FZ259" i="3"/>
  <c r="DJ259" i="3"/>
  <c r="EC259" i="3"/>
  <c r="DV259" i="3"/>
  <c r="FS259" i="3"/>
  <c r="DI259" i="3"/>
  <c r="EA259" i="3"/>
  <c r="ED259" i="3"/>
  <c r="FR259" i="3"/>
  <c r="DH259" i="3"/>
  <c r="DX259" i="3"/>
  <c r="EZ259" i="3"/>
  <c r="FM259" i="3"/>
  <c r="DF259" i="3"/>
  <c r="DP259" i="3"/>
  <c r="FB259" i="3"/>
  <c r="CV259" i="3"/>
  <c r="DI160" i="3"/>
  <c r="EW259" i="3"/>
  <c r="FI259" i="3"/>
  <c r="DT259" i="3"/>
  <c r="ET259" i="3"/>
  <c r="CW259" i="3"/>
  <c r="DR259" i="3"/>
  <c r="FA259" i="3"/>
  <c r="ES259" i="3"/>
  <c r="CT259" i="3"/>
  <c r="EL259" i="3"/>
  <c r="EP259" i="3"/>
  <c r="CU259" i="3"/>
  <c r="EQ259" i="3"/>
  <c r="FL259" i="3"/>
  <c r="FD160" i="3"/>
  <c r="FC259" i="3"/>
  <c r="DQ259" i="3"/>
  <c r="EV259" i="3"/>
  <c r="DB171" i="3"/>
  <c r="EA171" i="3"/>
  <c r="FX183" i="3"/>
  <c r="DJ183" i="3"/>
  <c r="DS183" i="3"/>
  <c r="FM183" i="3"/>
  <c r="FP171" i="3"/>
  <c r="FX171" i="3"/>
  <c r="EX171" i="3"/>
  <c r="DL183" i="3"/>
  <c r="DI183" i="3"/>
  <c r="DV183" i="3"/>
  <c r="EY183" i="3"/>
  <c r="DY183" i="3"/>
  <c r="DP183" i="3"/>
  <c r="FA183" i="3"/>
  <c r="EZ183" i="3"/>
  <c r="FV183" i="3"/>
  <c r="FN183" i="3"/>
  <c r="FK183" i="3"/>
  <c r="FB183" i="3"/>
  <c r="CV183" i="3"/>
  <c r="EB183" i="3"/>
  <c r="FY183" i="3"/>
  <c r="DK183" i="3"/>
  <c r="DX183" i="3"/>
  <c r="EP183" i="3"/>
  <c r="CT183" i="3"/>
  <c r="EV183" i="3"/>
  <c r="EX183" i="3"/>
  <c r="CW183" i="3"/>
  <c r="FT183" i="3"/>
  <c r="DF183" i="3"/>
  <c r="DG183" i="3"/>
  <c r="EF183" i="3"/>
  <c r="ET183" i="3"/>
  <c r="EW183" i="3"/>
  <c r="DR183" i="3"/>
  <c r="FU183" i="3"/>
  <c r="EI183" i="3"/>
  <c r="DC183" i="3"/>
  <c r="ES183" i="3"/>
  <c r="EN183" i="3"/>
  <c r="FR183" i="3"/>
  <c r="DA183" i="3"/>
  <c r="DN183" i="3"/>
  <c r="DW183" i="3"/>
  <c r="ER162" i="3"/>
  <c r="EU183" i="3"/>
  <c r="DT183" i="3"/>
  <c r="FS183" i="3"/>
  <c r="FP183" i="3"/>
  <c r="CZ183" i="3"/>
  <c r="DB183" i="3"/>
  <c r="EH183" i="3"/>
  <c r="FC162" i="3"/>
  <c r="FD183" i="3"/>
  <c r="FJ183" i="3"/>
  <c r="DQ183" i="3"/>
  <c r="GA183" i="3"/>
  <c r="CY183" i="3"/>
  <c r="ED183" i="3"/>
  <c r="DU183" i="3"/>
  <c r="DI162" i="3"/>
  <c r="ER183" i="3"/>
  <c r="FL183" i="3"/>
  <c r="EO183" i="3"/>
  <c r="DD183" i="3"/>
  <c r="CS183" i="3"/>
  <c r="DZ183" i="3"/>
  <c r="FO183" i="3"/>
  <c r="CX183" i="3"/>
  <c r="EC183" i="3"/>
  <c r="EG183" i="3"/>
  <c r="DD162" i="3"/>
  <c r="FC183" i="3"/>
  <c r="FI183" i="3"/>
  <c r="EM183" i="3"/>
  <c r="DH183" i="3"/>
  <c r="DE183" i="3"/>
  <c r="FZ183" i="3"/>
  <c r="DM183" i="3"/>
  <c r="EE183" i="3"/>
  <c r="EA183" i="3"/>
  <c r="EQ183" i="3"/>
  <c r="CU183" i="3"/>
  <c r="DZ170" i="3"/>
  <c r="FN170" i="3"/>
  <c r="ET170" i="3"/>
  <c r="DA170" i="3"/>
  <c r="FC170" i="3"/>
  <c r="DN170" i="3"/>
  <c r="FY170" i="3"/>
  <c r="EG170" i="3"/>
  <c r="FK170" i="3"/>
  <c r="EO170" i="3"/>
  <c r="FV170" i="3"/>
  <c r="FX170" i="3"/>
  <c r="CZ170" i="3"/>
  <c r="DB170" i="3"/>
  <c r="ED170" i="3"/>
  <c r="EI170" i="3"/>
  <c r="EQ170" i="3"/>
  <c r="ES170" i="3"/>
  <c r="FL170" i="3"/>
  <c r="EN170" i="3"/>
  <c r="CV170" i="3"/>
  <c r="EM170" i="3"/>
  <c r="FU170" i="3"/>
  <c r="FD170" i="3"/>
  <c r="FT170" i="3"/>
  <c r="DH170" i="3"/>
  <c r="DM170" i="3"/>
  <c r="CY170" i="3"/>
  <c r="DX170" i="3"/>
  <c r="EY170" i="3"/>
  <c r="ER170" i="3"/>
  <c r="CT170" i="3"/>
  <c r="EL170" i="3"/>
  <c r="FR170" i="3"/>
  <c r="CX170" i="3"/>
  <c r="DK170" i="3"/>
  <c r="DV170" i="3"/>
  <c r="EZ170" i="3"/>
  <c r="CS170" i="3"/>
  <c r="FS170" i="3"/>
  <c r="DI170" i="3"/>
  <c r="DL170" i="3"/>
  <c r="DU170" i="3"/>
  <c r="EE170" i="3"/>
  <c r="EX170" i="3"/>
  <c r="FI170" i="3"/>
  <c r="DR170" i="3"/>
  <c r="EB170" i="3"/>
  <c r="DY170" i="3"/>
  <c r="FP170" i="3"/>
  <c r="DG170" i="3"/>
  <c r="DJ170" i="3"/>
  <c r="DW170" i="3"/>
  <c r="EC170" i="3"/>
  <c r="EP170" i="3"/>
  <c r="EW170" i="3"/>
  <c r="FJ170" i="3"/>
  <c r="DS170" i="3"/>
  <c r="GA170" i="3"/>
  <c r="FO170" i="3"/>
  <c r="DF170" i="3"/>
  <c r="DE170" i="3"/>
  <c r="DP170" i="3"/>
  <c r="EA170" i="3"/>
  <c r="FB170" i="3"/>
  <c r="EV170" i="3"/>
  <c r="CW170" i="3"/>
  <c r="DQ170" i="3"/>
  <c r="FZ170" i="3"/>
  <c r="FM170" i="3"/>
  <c r="DC170" i="3"/>
  <c r="DD170" i="3"/>
  <c r="EH170" i="3"/>
  <c r="EF170" i="3"/>
  <c r="FA170" i="3"/>
  <c r="EU170" i="3"/>
  <c r="CU170" i="3"/>
  <c r="FW170" i="3"/>
  <c r="EK170" i="3"/>
  <c r="EO184" i="3"/>
  <c r="EK184" i="3"/>
  <c r="FW191" i="3"/>
  <c r="EK191" i="3"/>
  <c r="FW171" i="3"/>
  <c r="EK171" i="3"/>
  <c r="DT162" i="3"/>
  <c r="EK162" i="3"/>
  <c r="FW160" i="3"/>
  <c r="EK160" i="3"/>
  <c r="FW259" i="3"/>
  <c r="EK259" i="3"/>
  <c r="FW183" i="3"/>
  <c r="EK183" i="3"/>
  <c r="FR171" i="3"/>
  <c r="EG171" i="3"/>
  <c r="DE162" i="3"/>
  <c r="EW171" i="3"/>
  <c r="DD171" i="3"/>
  <c r="DZ162" i="3"/>
  <c r="EX162" i="3"/>
  <c r="CS162" i="3"/>
  <c r="DM171" i="3"/>
  <c r="FM162" i="3"/>
  <c r="DP162" i="3"/>
  <c r="EW162" i="3"/>
  <c r="DL171" i="3"/>
  <c r="FV162" i="3"/>
  <c r="EA162" i="3"/>
  <c r="FD171" i="3"/>
  <c r="FI171" i="3"/>
  <c r="DN171" i="3"/>
  <c r="DM162" i="3"/>
  <c r="ER171" i="3"/>
  <c r="FL171" i="3"/>
  <c r="DW191" i="3"/>
  <c r="FT171" i="3"/>
  <c r="FM171" i="3"/>
  <c r="CY171" i="3"/>
  <c r="DG171" i="3"/>
  <c r="DU171" i="3"/>
  <c r="DX171" i="3"/>
  <c r="GA162" i="3"/>
  <c r="FN162" i="3"/>
  <c r="CX162" i="3"/>
  <c r="DK162" i="3"/>
  <c r="DY162" i="3"/>
  <c r="EE162" i="3"/>
  <c r="EU162" i="3"/>
  <c r="EZ162" i="3"/>
  <c r="ES171" i="3"/>
  <c r="FA171" i="3"/>
  <c r="FS171" i="3"/>
  <c r="FY171" i="3"/>
  <c r="CX171" i="3"/>
  <c r="DE171" i="3"/>
  <c r="EI171" i="3"/>
  <c r="EF171" i="3"/>
  <c r="FY162" i="3"/>
  <c r="DJ162" i="3"/>
  <c r="DF162" i="3"/>
  <c r="CY162" i="3"/>
  <c r="DX162" i="3"/>
  <c r="DE191" i="3"/>
  <c r="FD162" i="3"/>
  <c r="EY162" i="3"/>
  <c r="EU171" i="3"/>
  <c r="EZ171" i="3"/>
  <c r="FO171" i="3"/>
  <c r="DF171" i="3"/>
  <c r="DK171" i="3"/>
  <c r="ED171" i="3"/>
  <c r="EC171" i="3"/>
  <c r="FX162" i="3"/>
  <c r="FU162" i="3"/>
  <c r="DH162" i="3"/>
  <c r="DN162" i="3"/>
  <c r="EF162" i="3"/>
  <c r="EI162" i="3"/>
  <c r="EQ162" i="3"/>
  <c r="FC171" i="3"/>
  <c r="FK171" i="3"/>
  <c r="GA171" i="3"/>
  <c r="DC171" i="3"/>
  <c r="DJ171" i="3"/>
  <c r="DZ171" i="3"/>
  <c r="DY171" i="3"/>
  <c r="FR162" i="3"/>
  <c r="FT162" i="3"/>
  <c r="DG162" i="3"/>
  <c r="DB162" i="3"/>
  <c r="ED162" i="3"/>
  <c r="DV162" i="3"/>
  <c r="FB162" i="3"/>
  <c r="EV162" i="3"/>
  <c r="EQ171" i="3"/>
  <c r="EV171" i="3"/>
  <c r="EN171" i="3"/>
  <c r="FV171" i="3"/>
  <c r="FN171" i="3"/>
  <c r="DA171" i="3"/>
  <c r="DI171" i="3"/>
  <c r="EE171" i="3"/>
  <c r="DW171" i="3"/>
  <c r="FP162" i="3"/>
  <c r="FS162" i="3"/>
  <c r="DC162" i="3"/>
  <c r="DL162" i="3"/>
  <c r="EG162" i="3"/>
  <c r="EH162" i="3"/>
  <c r="ET162" i="3"/>
  <c r="EP162" i="3"/>
  <c r="EY171" i="3"/>
  <c r="FB171" i="3"/>
  <c r="DQ171" i="3"/>
  <c r="CS171" i="3"/>
  <c r="FU171" i="3"/>
  <c r="FZ171" i="3"/>
  <c r="CZ171" i="3"/>
  <c r="DH171" i="3"/>
  <c r="DV171" i="3"/>
  <c r="EH171" i="3"/>
  <c r="FO162" i="3"/>
  <c r="FZ162" i="3"/>
  <c r="DA162" i="3"/>
  <c r="CZ162" i="3"/>
  <c r="EC162" i="3"/>
  <c r="DU162" i="3"/>
  <c r="ES162" i="3"/>
  <c r="FA162" i="3"/>
  <c r="ET171" i="3"/>
  <c r="EP171" i="3"/>
  <c r="EO171" i="3"/>
  <c r="EZ191" i="3"/>
  <c r="GA191" i="3"/>
  <c r="FW162" i="3"/>
  <c r="DJ191" i="3"/>
  <c r="ER191" i="3"/>
  <c r="CT171" i="3"/>
  <c r="DT171" i="3"/>
  <c r="DX191" i="3"/>
  <c r="CV171" i="3"/>
  <c r="EM171" i="3"/>
  <c r="FI162" i="3"/>
  <c r="CW171" i="3"/>
  <c r="EL171" i="3"/>
  <c r="FL162" i="3"/>
  <c r="FJ171" i="3"/>
  <c r="DS171" i="3"/>
  <c r="EB171" i="3"/>
  <c r="EN162" i="3"/>
  <c r="FL191" i="3"/>
  <c r="FM191" i="3"/>
  <c r="CU171" i="3"/>
  <c r="DR171" i="3"/>
  <c r="DS162" i="3"/>
  <c r="EN191" i="3"/>
  <c r="FT160" i="3"/>
  <c r="EM160" i="3"/>
  <c r="FP160" i="3"/>
  <c r="EX160" i="3"/>
  <c r="DF160" i="3"/>
  <c r="EI160" i="3"/>
  <c r="EG160" i="3"/>
  <c r="CS191" i="3"/>
  <c r="FY191" i="3"/>
  <c r="FR191" i="3"/>
  <c r="DL191" i="3"/>
  <c r="DH191" i="3"/>
  <c r="EA191" i="3"/>
  <c r="EE191" i="3"/>
  <c r="EY191" i="3"/>
  <c r="ES191" i="3"/>
  <c r="FI191" i="3"/>
  <c r="DT191" i="3"/>
  <c r="FN191" i="3"/>
  <c r="FP191" i="3"/>
  <c r="DK191" i="3"/>
  <c r="DG191" i="3"/>
  <c r="DZ191" i="3"/>
  <c r="DY191" i="3"/>
  <c r="EX191" i="3"/>
  <c r="FD191" i="3"/>
  <c r="FK191" i="3"/>
  <c r="EO191" i="3"/>
  <c r="FX191" i="3"/>
  <c r="FO191" i="3"/>
  <c r="DI191" i="3"/>
  <c r="DN191" i="3"/>
  <c r="DV191" i="3"/>
  <c r="EF191" i="3"/>
  <c r="EW191" i="3"/>
  <c r="FC191" i="3"/>
  <c r="CV191" i="3"/>
  <c r="EM191" i="3"/>
  <c r="FV191" i="3"/>
  <c r="CY191" i="3"/>
  <c r="DF191" i="3"/>
  <c r="DB191" i="3"/>
  <c r="DU191" i="3"/>
  <c r="EQ191" i="3"/>
  <c r="CU191" i="3"/>
  <c r="EL191" i="3"/>
  <c r="FU191" i="3"/>
  <c r="CZ191" i="3"/>
  <c r="DD191" i="3"/>
  <c r="ED191" i="3"/>
  <c r="EI191" i="3"/>
  <c r="EV191" i="3"/>
  <c r="FB191" i="3"/>
  <c r="CW191" i="3"/>
  <c r="DR191" i="3"/>
  <c r="EB191" i="3"/>
  <c r="FT191" i="3"/>
  <c r="CX191" i="3"/>
  <c r="DC191" i="3"/>
  <c r="EC191" i="3"/>
  <c r="DP191" i="3"/>
  <c r="EU191" i="3"/>
  <c r="EP191" i="3"/>
  <c r="CT191" i="3"/>
  <c r="DQ191" i="3"/>
  <c r="FZ191" i="3"/>
  <c r="FS191" i="3"/>
  <c r="DM191" i="3"/>
  <c r="DA191" i="3"/>
  <c r="EG191" i="3"/>
  <c r="EH191" i="3"/>
  <c r="ET191" i="3"/>
  <c r="FA191" i="3"/>
  <c r="FJ191" i="3"/>
  <c r="DS191" i="3"/>
  <c r="DK184" i="3"/>
  <c r="EH184" i="3"/>
  <c r="EX184" i="3"/>
  <c r="EC184" i="3"/>
  <c r="FB184" i="3"/>
  <c r="FL184" i="3"/>
  <c r="EN184" i="3"/>
  <c r="GA184" i="3"/>
  <c r="FU184" i="3"/>
  <c r="CZ184" i="3"/>
  <c r="FZ184" i="3"/>
  <c r="FT184" i="3"/>
  <c r="DN184" i="3"/>
  <c r="CY184" i="3"/>
  <c r="EA184" i="3"/>
  <c r="DP184" i="3"/>
  <c r="EY184" i="3"/>
  <c r="EP184" i="3"/>
  <c r="CT184" i="3"/>
  <c r="EM184" i="3"/>
  <c r="CD153" i="3"/>
  <c r="FO184" i="3"/>
  <c r="FS184" i="3"/>
  <c r="DM184" i="3"/>
  <c r="DJ184" i="3"/>
  <c r="DX184" i="3"/>
  <c r="DZ184" i="3"/>
  <c r="EV184" i="3"/>
  <c r="FA184" i="3"/>
  <c r="DQ184" i="3"/>
  <c r="EL184" i="3"/>
  <c r="FW184" i="3"/>
  <c r="FN184" i="3"/>
  <c r="FR184" i="3"/>
  <c r="DL184" i="3"/>
  <c r="CX184" i="3"/>
  <c r="DW184" i="3"/>
  <c r="DY184" i="3"/>
  <c r="EQ184" i="3"/>
  <c r="EU184" i="3"/>
  <c r="CV184" i="3"/>
  <c r="CW184" i="3"/>
  <c r="EB184" i="3"/>
  <c r="FY184" i="3"/>
  <c r="FP184" i="3"/>
  <c r="DI184" i="3"/>
  <c r="DH184" i="3"/>
  <c r="DV184" i="3"/>
  <c r="EG184" i="3"/>
  <c r="EW184" i="3"/>
  <c r="ET184" i="3"/>
  <c r="FJ184" i="3"/>
  <c r="DT184" i="3"/>
  <c r="FM184" i="3"/>
  <c r="DB184" i="3"/>
  <c r="DG184" i="3"/>
  <c r="DE184" i="3"/>
  <c r="DU184" i="3"/>
  <c r="ES184" i="3"/>
  <c r="FI184" i="3"/>
  <c r="DS184" i="3"/>
  <c r="FX184" i="3"/>
  <c r="DC184" i="3"/>
  <c r="DF184" i="3"/>
  <c r="EE184" i="3"/>
  <c r="EI184" i="3"/>
  <c r="FC184" i="3"/>
  <c r="FD184" i="3"/>
  <c r="FK184" i="3"/>
  <c r="DR184" i="3"/>
  <c r="CS184" i="3"/>
  <c r="FV184" i="3"/>
  <c r="DA184" i="3"/>
  <c r="DD184" i="3"/>
  <c r="ED184" i="3"/>
  <c r="EF184" i="3"/>
  <c r="EZ184" i="3"/>
  <c r="ER184" i="3"/>
  <c r="CU184" i="3"/>
  <c r="FS160" i="3"/>
  <c r="DD160" i="3"/>
  <c r="DL160" i="3"/>
  <c r="DE160" i="3"/>
  <c r="DP160" i="3"/>
  <c r="EW160" i="3"/>
  <c r="ER160" i="3"/>
  <c r="DQ160" i="3"/>
  <c r="EL160" i="3"/>
  <c r="FR160" i="3"/>
  <c r="DG160" i="3"/>
  <c r="CZ160" i="3"/>
  <c r="EF160" i="3"/>
  <c r="EE160" i="3"/>
  <c r="FC160" i="3"/>
  <c r="FJ160" i="3"/>
  <c r="CT160" i="3"/>
  <c r="EB160" i="3"/>
  <c r="GA160" i="3"/>
  <c r="DC160" i="3"/>
  <c r="DK160" i="3"/>
  <c r="EC160" i="3"/>
  <c r="EA160" i="3"/>
  <c r="EY160" i="3"/>
  <c r="EQ160" i="3"/>
  <c r="CW160" i="3"/>
  <c r="DT160" i="3"/>
  <c r="FN160" i="3"/>
  <c r="FO160" i="3"/>
  <c r="DB160" i="3"/>
  <c r="CY160" i="3"/>
  <c r="EH160" i="3"/>
  <c r="DZ160" i="3"/>
  <c r="EV160" i="3"/>
  <c r="FB160" i="3"/>
  <c r="CU160" i="3"/>
  <c r="DS160" i="3"/>
  <c r="FM160" i="3"/>
  <c r="FX160" i="3"/>
  <c r="DA160" i="3"/>
  <c r="DJ160" i="3"/>
  <c r="DY160" i="3"/>
  <c r="ED160" i="3"/>
  <c r="EU160" i="3"/>
  <c r="EP160" i="3"/>
  <c r="FI160" i="3"/>
  <c r="DR160" i="3"/>
  <c r="FZ160" i="3"/>
  <c r="FV160" i="3"/>
  <c r="DN160" i="3"/>
  <c r="CX160" i="3"/>
  <c r="DV160" i="3"/>
  <c r="DX160" i="3"/>
  <c r="ET160" i="3"/>
  <c r="FA160" i="3"/>
  <c r="FK160" i="3"/>
  <c r="EO160" i="3"/>
  <c r="FY160" i="3"/>
  <c r="FU160" i="3"/>
  <c r="DM160" i="3"/>
  <c r="DH160" i="3"/>
  <c r="DU160" i="3"/>
  <c r="DW160" i="3"/>
  <c r="ES160" i="3"/>
  <c r="EZ160" i="3"/>
  <c r="FL160" i="3"/>
  <c r="EN160" i="3"/>
  <c r="BA501" i="9"/>
  <c r="W501" i="9"/>
  <c r="J501" i="9"/>
  <c r="P501" i="9"/>
  <c r="AO501" i="9"/>
  <c r="N501" i="9"/>
  <c r="A501" i="9"/>
  <c r="AV501" i="9"/>
  <c r="L501" i="9"/>
  <c r="AR501" i="9"/>
  <c r="AW501" i="9"/>
  <c r="AG501" i="9"/>
  <c r="I501" i="9"/>
  <c r="AS501" i="9"/>
  <c r="R501" i="9"/>
  <c r="X501" i="9"/>
  <c r="M501" i="9"/>
  <c r="G501" i="9"/>
  <c r="AL501" i="9"/>
  <c r="AM501" i="9" s="1"/>
  <c r="F501" i="9"/>
  <c r="O501" i="9"/>
  <c r="AP501" i="9"/>
  <c r="C501" i="9"/>
  <c r="D501" i="9"/>
  <c r="AX501" i="9"/>
  <c r="E501" i="9"/>
  <c r="AU501" i="9"/>
  <c r="H501" i="9"/>
  <c r="K501" i="9"/>
  <c r="S501" i="9"/>
  <c r="T501" i="9" s="1"/>
  <c r="AK501" i="9"/>
  <c r="AN501" i="9"/>
  <c r="Q501" i="9"/>
  <c r="Y501" i="9"/>
  <c r="AD501" i="9"/>
  <c r="BD501" i="9" s="1"/>
  <c r="GQ259" i="3"/>
  <c r="I246" i="9"/>
  <c r="I233" i="9"/>
  <c r="CU162" i="3"/>
  <c r="DQ162" i="3"/>
  <c r="BL137" i="3"/>
  <c r="CT162" i="3"/>
  <c r="EO162" i="3"/>
  <c r="CV162" i="3"/>
  <c r="EM162" i="3"/>
  <c r="AG183" i="9"/>
  <c r="AG203" i="9"/>
  <c r="AG242" i="9"/>
  <c r="CW162" i="3"/>
  <c r="EL162" i="3"/>
  <c r="AG168" i="9"/>
  <c r="FJ162" i="3"/>
  <c r="DR162" i="3"/>
  <c r="EB162" i="3"/>
  <c r="AG238" i="9"/>
  <c r="FK162" i="3"/>
  <c r="BI153" i="3"/>
  <c r="BO153" i="3"/>
  <c r="GQ153" i="3"/>
  <c r="BL80" i="3"/>
  <c r="FW154" i="3"/>
  <c r="FW159" i="3"/>
  <c r="FW185" i="3"/>
  <c r="FW151" i="3"/>
  <c r="FW156" i="3"/>
  <c r="FW155" i="3"/>
  <c r="FW152" i="3"/>
  <c r="FW181" i="3"/>
  <c r="EB154" i="3"/>
  <c r="EL154" i="3"/>
  <c r="EM154" i="3"/>
  <c r="EN154" i="3"/>
  <c r="EO154" i="3"/>
  <c r="DR154" i="3"/>
  <c r="DS154" i="3"/>
  <c r="CT154" i="3"/>
  <c r="DT154" i="3"/>
  <c r="DQ154" i="3"/>
  <c r="CW154" i="3"/>
  <c r="CU154" i="3"/>
  <c r="CV154" i="3"/>
  <c r="FJ154" i="3"/>
  <c r="FL154" i="3"/>
  <c r="FK154" i="3"/>
  <c r="FI154" i="3"/>
  <c r="EB151" i="3"/>
  <c r="EL151" i="3"/>
  <c r="EM151" i="3"/>
  <c r="EN151" i="3"/>
  <c r="EO151" i="3"/>
  <c r="DR151" i="3"/>
  <c r="DT151" i="3"/>
  <c r="DS151" i="3"/>
  <c r="CT151" i="3"/>
  <c r="DQ151" i="3"/>
  <c r="CU151" i="3"/>
  <c r="CV151" i="3"/>
  <c r="CW151" i="3"/>
  <c r="FL151" i="3"/>
  <c r="FK151" i="3"/>
  <c r="FI151" i="3"/>
  <c r="FJ151" i="3"/>
  <c r="EB181" i="3"/>
  <c r="EL181" i="3"/>
  <c r="EM181" i="3"/>
  <c r="EN181" i="3"/>
  <c r="EO181" i="3"/>
  <c r="DR181" i="3"/>
  <c r="DQ181" i="3"/>
  <c r="DT181" i="3"/>
  <c r="DS181" i="3"/>
  <c r="CV181" i="3"/>
  <c r="CW181" i="3"/>
  <c r="CT181" i="3"/>
  <c r="FL181" i="3"/>
  <c r="FK181" i="3"/>
  <c r="FJ181" i="3"/>
  <c r="CU181" i="3"/>
  <c r="FI181" i="3"/>
  <c r="EB159" i="3"/>
  <c r="EL159" i="3"/>
  <c r="EM159" i="3"/>
  <c r="EO159" i="3"/>
  <c r="DQ159" i="3"/>
  <c r="EN159" i="3"/>
  <c r="DT159" i="3"/>
  <c r="DR159" i="3"/>
  <c r="CW159" i="3"/>
  <c r="DS159" i="3"/>
  <c r="FK159" i="3"/>
  <c r="CT159" i="3"/>
  <c r="CV159" i="3"/>
  <c r="FL159" i="3"/>
  <c r="CU159" i="3"/>
  <c r="FI159" i="3"/>
  <c r="FJ159" i="3"/>
  <c r="EB152" i="3"/>
  <c r="EL152" i="3"/>
  <c r="EM152" i="3"/>
  <c r="EN152" i="3"/>
  <c r="EO152" i="3"/>
  <c r="DT152" i="3"/>
  <c r="DR152" i="3"/>
  <c r="DQ152" i="3"/>
  <c r="DS152" i="3"/>
  <c r="CT152" i="3"/>
  <c r="CV152" i="3"/>
  <c r="FL152" i="3"/>
  <c r="CU152" i="3"/>
  <c r="CW152" i="3"/>
  <c r="FJ152" i="3"/>
  <c r="FI152" i="3"/>
  <c r="FK152" i="3"/>
  <c r="EB185" i="3"/>
  <c r="EL185" i="3"/>
  <c r="EM185" i="3"/>
  <c r="EN185" i="3"/>
  <c r="EO185" i="3"/>
  <c r="DT185" i="3"/>
  <c r="DR185" i="3"/>
  <c r="DS185" i="3"/>
  <c r="DQ185" i="3"/>
  <c r="CV185" i="3"/>
  <c r="FK185" i="3"/>
  <c r="CT185" i="3"/>
  <c r="CW185" i="3"/>
  <c r="CU185" i="3"/>
  <c r="FL185" i="3"/>
  <c r="FI185" i="3"/>
  <c r="FJ185" i="3"/>
  <c r="EB155" i="3"/>
  <c r="EL155" i="3"/>
  <c r="EM155" i="3"/>
  <c r="EN155" i="3"/>
  <c r="EO155" i="3"/>
  <c r="DT155" i="3"/>
  <c r="DS155" i="3"/>
  <c r="DR155" i="3"/>
  <c r="DQ155" i="3"/>
  <c r="CV155" i="3"/>
  <c r="CU155" i="3"/>
  <c r="CW155" i="3"/>
  <c r="CT155" i="3"/>
  <c r="FK155" i="3"/>
  <c r="FJ155" i="3"/>
  <c r="FL155" i="3"/>
  <c r="FI155" i="3"/>
  <c r="EB156" i="3"/>
  <c r="EL156" i="3"/>
  <c r="EM156" i="3"/>
  <c r="EO156" i="3"/>
  <c r="DQ156" i="3"/>
  <c r="DS156" i="3"/>
  <c r="EN156" i="3"/>
  <c r="DT156" i="3"/>
  <c r="CW156" i="3"/>
  <c r="DR156" i="3"/>
  <c r="CT156" i="3"/>
  <c r="CV156" i="3"/>
  <c r="FK156" i="3"/>
  <c r="CU156" i="3"/>
  <c r="FL156" i="3"/>
  <c r="FJ156" i="3"/>
  <c r="FI156" i="3"/>
  <c r="AG25" i="9"/>
  <c r="EZ151" i="3"/>
  <c r="FA151" i="3"/>
  <c r="EP151" i="3"/>
  <c r="FB151" i="3"/>
  <c r="EQ151" i="3"/>
  <c r="FC151" i="3"/>
  <c r="ER151" i="3"/>
  <c r="FD151" i="3"/>
  <c r="ES151" i="3"/>
  <c r="ET151" i="3"/>
  <c r="EU151" i="3"/>
  <c r="EV151" i="3"/>
  <c r="EY151" i="3"/>
  <c r="EW151" i="3"/>
  <c r="EX151" i="3"/>
  <c r="ER155" i="3"/>
  <c r="FD155" i="3"/>
  <c r="ES155" i="3"/>
  <c r="ET155" i="3"/>
  <c r="EU155" i="3"/>
  <c r="EV155" i="3"/>
  <c r="EW155" i="3"/>
  <c r="EX155" i="3"/>
  <c r="EY155" i="3"/>
  <c r="EZ155" i="3"/>
  <c r="EQ155" i="3"/>
  <c r="FC155" i="3"/>
  <c r="FB155" i="3"/>
  <c r="EP155" i="3"/>
  <c r="FA155" i="3"/>
  <c r="FA181" i="3"/>
  <c r="EP181" i="3"/>
  <c r="FB181" i="3"/>
  <c r="ER181" i="3"/>
  <c r="FD181" i="3"/>
  <c r="ES181" i="3"/>
  <c r="ET181" i="3"/>
  <c r="EU181" i="3"/>
  <c r="EV181" i="3"/>
  <c r="EY181" i="3"/>
  <c r="EQ181" i="3"/>
  <c r="EW181" i="3"/>
  <c r="EX181" i="3"/>
  <c r="EZ181" i="3"/>
  <c r="FC181" i="3"/>
  <c r="EV159" i="3"/>
  <c r="EW159" i="3"/>
  <c r="EX159" i="3"/>
  <c r="EY159" i="3"/>
  <c r="EZ159" i="3"/>
  <c r="FA159" i="3"/>
  <c r="EP159" i="3"/>
  <c r="FB159" i="3"/>
  <c r="EQ159" i="3"/>
  <c r="FC159" i="3"/>
  <c r="ER159" i="3"/>
  <c r="FD159" i="3"/>
  <c r="EU159" i="3"/>
  <c r="ET159" i="3"/>
  <c r="ES159" i="3"/>
  <c r="ES185" i="3"/>
  <c r="ET185" i="3"/>
  <c r="EV185" i="3"/>
  <c r="EW185" i="3"/>
  <c r="EX185" i="3"/>
  <c r="EY185" i="3"/>
  <c r="EZ185" i="3"/>
  <c r="EQ185" i="3"/>
  <c r="FC185" i="3"/>
  <c r="EP185" i="3"/>
  <c r="ER185" i="3"/>
  <c r="EU185" i="3"/>
  <c r="FA185" i="3"/>
  <c r="FB185" i="3"/>
  <c r="FD185" i="3"/>
  <c r="ER152" i="3"/>
  <c r="FD152" i="3"/>
  <c r="ES152" i="3"/>
  <c r="ET152" i="3"/>
  <c r="EU152" i="3"/>
  <c r="EV152" i="3"/>
  <c r="EW152" i="3"/>
  <c r="EX152" i="3"/>
  <c r="EY152" i="3"/>
  <c r="EZ152" i="3"/>
  <c r="EQ152" i="3"/>
  <c r="FC152" i="3"/>
  <c r="FA152" i="3"/>
  <c r="FB152" i="3"/>
  <c r="EP152" i="3"/>
  <c r="EV156" i="3"/>
  <c r="EW156" i="3"/>
  <c r="EX156" i="3"/>
  <c r="EY156" i="3"/>
  <c r="EZ156" i="3"/>
  <c r="FA156" i="3"/>
  <c r="EP156" i="3"/>
  <c r="FB156" i="3"/>
  <c r="EQ156" i="3"/>
  <c r="FC156" i="3"/>
  <c r="ER156" i="3"/>
  <c r="FD156" i="3"/>
  <c r="EU156" i="3"/>
  <c r="ES156" i="3"/>
  <c r="ET156" i="3"/>
  <c r="EZ154" i="3"/>
  <c r="FA154" i="3"/>
  <c r="EP154" i="3"/>
  <c r="FB154" i="3"/>
  <c r="EQ154" i="3"/>
  <c r="FC154" i="3"/>
  <c r="ER154" i="3"/>
  <c r="FD154" i="3"/>
  <c r="ES154" i="3"/>
  <c r="ET154" i="3"/>
  <c r="EU154" i="3"/>
  <c r="EV154" i="3"/>
  <c r="EY154" i="3"/>
  <c r="EW154" i="3"/>
  <c r="EX154" i="3"/>
  <c r="DX156" i="3"/>
  <c r="EA156" i="3"/>
  <c r="DP156" i="3"/>
  <c r="EC156" i="3"/>
  <c r="DU156" i="3"/>
  <c r="EH156" i="3"/>
  <c r="DV156" i="3"/>
  <c r="EE156" i="3"/>
  <c r="EF156" i="3"/>
  <c r="EI156" i="3"/>
  <c r="DW156" i="3"/>
  <c r="DY156" i="3"/>
  <c r="DZ156" i="3"/>
  <c r="ED156" i="3"/>
  <c r="EG156" i="3"/>
  <c r="CZ156" i="3"/>
  <c r="DL156" i="3"/>
  <c r="DB156" i="3"/>
  <c r="DD156" i="3"/>
  <c r="DE156" i="3"/>
  <c r="DG156" i="3"/>
  <c r="DH156" i="3"/>
  <c r="DI156" i="3"/>
  <c r="DJ156" i="3"/>
  <c r="CX156" i="3"/>
  <c r="DK156" i="3"/>
  <c r="CY156" i="3"/>
  <c r="DA156" i="3"/>
  <c r="DC156" i="3"/>
  <c r="DF156" i="3"/>
  <c r="DN156" i="3"/>
  <c r="DM156" i="3"/>
  <c r="FT156" i="3"/>
  <c r="FM156" i="3"/>
  <c r="FY156" i="3"/>
  <c r="FN156" i="3"/>
  <c r="FZ156" i="3"/>
  <c r="FO156" i="3"/>
  <c r="GA156" i="3"/>
  <c r="FP156" i="3"/>
  <c r="FS156" i="3"/>
  <c r="FU156" i="3"/>
  <c r="FV156" i="3"/>
  <c r="FX156" i="3"/>
  <c r="FR156" i="3"/>
  <c r="EA159" i="3"/>
  <c r="EE159" i="3"/>
  <c r="EF159" i="3"/>
  <c r="DX159" i="3"/>
  <c r="DZ159" i="3"/>
  <c r="EC159" i="3"/>
  <c r="EG159" i="3"/>
  <c r="DW159" i="3"/>
  <c r="DY159" i="3"/>
  <c r="ED159" i="3"/>
  <c r="EH159" i="3"/>
  <c r="EI159" i="3"/>
  <c r="DV159" i="3"/>
  <c r="DP159" i="3"/>
  <c r="DU159" i="3"/>
  <c r="DB159" i="3"/>
  <c r="DN159" i="3"/>
  <c r="DC159" i="3"/>
  <c r="DE159" i="3"/>
  <c r="DG159" i="3"/>
  <c r="DH159" i="3"/>
  <c r="DI159" i="3"/>
  <c r="DF159" i="3"/>
  <c r="DJ159" i="3"/>
  <c r="DK159" i="3"/>
  <c r="DL159" i="3"/>
  <c r="DM159" i="3"/>
  <c r="CX159" i="3"/>
  <c r="CY159" i="3"/>
  <c r="CZ159" i="3"/>
  <c r="DD159" i="3"/>
  <c r="DA159" i="3"/>
  <c r="FP159" i="3"/>
  <c r="FR159" i="3"/>
  <c r="FS159" i="3"/>
  <c r="FV159" i="3"/>
  <c r="FM159" i="3"/>
  <c r="FN159" i="3"/>
  <c r="FO159" i="3"/>
  <c r="FT159" i="3"/>
  <c r="FU159" i="3"/>
  <c r="FX159" i="3"/>
  <c r="FY159" i="3"/>
  <c r="FZ159" i="3"/>
  <c r="GA159" i="3"/>
  <c r="DZ154" i="3"/>
  <c r="ED154" i="3"/>
  <c r="EE154" i="3"/>
  <c r="DW154" i="3"/>
  <c r="DX154" i="3"/>
  <c r="EG154" i="3"/>
  <c r="EH154" i="3"/>
  <c r="DV154" i="3"/>
  <c r="EA154" i="3"/>
  <c r="EC154" i="3"/>
  <c r="EF154" i="3"/>
  <c r="EI154" i="3"/>
  <c r="DP154" i="3"/>
  <c r="DY154" i="3"/>
  <c r="DU154" i="3"/>
  <c r="DF154" i="3"/>
  <c r="DD154" i="3"/>
  <c r="DG154" i="3"/>
  <c r="DH154" i="3"/>
  <c r="DJ154" i="3"/>
  <c r="CX154" i="3"/>
  <c r="DK154" i="3"/>
  <c r="CY154" i="3"/>
  <c r="DL154" i="3"/>
  <c r="CZ154" i="3"/>
  <c r="DM154" i="3"/>
  <c r="DA154" i="3"/>
  <c r="DN154" i="3"/>
  <c r="DB154" i="3"/>
  <c r="DC154" i="3"/>
  <c r="DE154" i="3"/>
  <c r="DI154" i="3"/>
  <c r="FV154" i="3"/>
  <c r="FO154" i="3"/>
  <c r="GA154" i="3"/>
  <c r="FP154" i="3"/>
  <c r="FR154" i="3"/>
  <c r="FU154" i="3"/>
  <c r="FM154" i="3"/>
  <c r="FN154" i="3"/>
  <c r="FS154" i="3"/>
  <c r="FT154" i="3"/>
  <c r="FX154" i="3"/>
  <c r="FY154" i="3"/>
  <c r="FZ154" i="3"/>
  <c r="DW151" i="3"/>
  <c r="DZ151" i="3"/>
  <c r="EA151" i="3"/>
  <c r="EG151" i="3"/>
  <c r="EC151" i="3"/>
  <c r="EI151" i="3"/>
  <c r="DU151" i="3"/>
  <c r="DY151" i="3"/>
  <c r="DV151" i="3"/>
  <c r="DX151" i="3"/>
  <c r="ED151" i="3"/>
  <c r="EE151" i="3"/>
  <c r="EF151" i="3"/>
  <c r="EH151" i="3"/>
  <c r="DP151" i="3"/>
  <c r="DI151" i="3"/>
  <c r="DB151" i="3"/>
  <c r="DD151" i="3"/>
  <c r="DE151" i="3"/>
  <c r="DG151" i="3"/>
  <c r="DH151" i="3"/>
  <c r="DJ151" i="3"/>
  <c r="CX151" i="3"/>
  <c r="DK151" i="3"/>
  <c r="CY151" i="3"/>
  <c r="DL151" i="3"/>
  <c r="DC151" i="3"/>
  <c r="DF151" i="3"/>
  <c r="DM151" i="3"/>
  <c r="DN151" i="3"/>
  <c r="DA151" i="3"/>
  <c r="CZ151" i="3"/>
  <c r="FS151" i="3"/>
  <c r="FX151" i="3"/>
  <c r="FM151" i="3"/>
  <c r="FY151" i="3"/>
  <c r="FN151" i="3"/>
  <c r="FZ151" i="3"/>
  <c r="FO151" i="3"/>
  <c r="GA151" i="3"/>
  <c r="FR151" i="3"/>
  <c r="FT151" i="3"/>
  <c r="FU151" i="3"/>
  <c r="FV151" i="3"/>
  <c r="FP151" i="3"/>
  <c r="DP152" i="3"/>
  <c r="EC152" i="3"/>
  <c r="EF152" i="3"/>
  <c r="EG152" i="3"/>
  <c r="DY152" i="3"/>
  <c r="DZ152" i="3"/>
  <c r="EI152" i="3"/>
  <c r="DU152" i="3"/>
  <c r="DX152" i="3"/>
  <c r="EH152" i="3"/>
  <c r="DV152" i="3"/>
  <c r="DW152" i="3"/>
  <c r="EE152" i="3"/>
  <c r="EA152" i="3"/>
  <c r="ED152" i="3"/>
  <c r="CZ152" i="3"/>
  <c r="DL152" i="3"/>
  <c r="DG152" i="3"/>
  <c r="DI152" i="3"/>
  <c r="DJ152" i="3"/>
  <c r="CY152" i="3"/>
  <c r="DM152" i="3"/>
  <c r="DA152" i="3"/>
  <c r="DN152" i="3"/>
  <c r="DB152" i="3"/>
  <c r="DC152" i="3"/>
  <c r="DD152" i="3"/>
  <c r="CX152" i="3"/>
  <c r="DE152" i="3"/>
  <c r="DF152" i="3"/>
  <c r="DH152" i="3"/>
  <c r="DK152" i="3"/>
  <c r="FX152" i="3"/>
  <c r="FR152" i="3"/>
  <c r="FS152" i="3"/>
  <c r="FT152" i="3"/>
  <c r="FY152" i="3"/>
  <c r="FZ152" i="3"/>
  <c r="GA152" i="3"/>
  <c r="FM152" i="3"/>
  <c r="FN152" i="3"/>
  <c r="FO152" i="3"/>
  <c r="FP152" i="3"/>
  <c r="FU152" i="3"/>
  <c r="FV152" i="3"/>
  <c r="DY185" i="3"/>
  <c r="EE185" i="3"/>
  <c r="EF185" i="3"/>
  <c r="DU185" i="3"/>
  <c r="EH185" i="3"/>
  <c r="DX185" i="3"/>
  <c r="DP185" i="3"/>
  <c r="DV185" i="3"/>
  <c r="DW185" i="3"/>
  <c r="DZ185" i="3"/>
  <c r="EA185" i="3"/>
  <c r="EC185" i="3"/>
  <c r="EI185" i="3"/>
  <c r="ED185" i="3"/>
  <c r="EG185" i="3"/>
  <c r="DH185" i="3"/>
  <c r="CY185" i="3"/>
  <c r="DK185" i="3"/>
  <c r="DA185" i="3"/>
  <c r="DM185" i="3"/>
  <c r="DB185" i="3"/>
  <c r="DN185" i="3"/>
  <c r="DC185" i="3"/>
  <c r="DD185" i="3"/>
  <c r="DE185" i="3"/>
  <c r="DF185" i="3"/>
  <c r="DG185" i="3"/>
  <c r="DI185" i="3"/>
  <c r="DJ185" i="3"/>
  <c r="DL185" i="3"/>
  <c r="CZ185" i="3"/>
  <c r="CX185" i="3"/>
  <c r="FU185" i="3"/>
  <c r="FV185" i="3"/>
  <c r="FX185" i="3"/>
  <c r="FM185" i="3"/>
  <c r="FY185" i="3"/>
  <c r="FN185" i="3"/>
  <c r="FZ185" i="3"/>
  <c r="FO185" i="3"/>
  <c r="GA185" i="3"/>
  <c r="FP185" i="3"/>
  <c r="FR185" i="3"/>
  <c r="FS185" i="3"/>
  <c r="FT185" i="3"/>
  <c r="EF155" i="3"/>
  <c r="DV155" i="3"/>
  <c r="EI155" i="3"/>
  <c r="DW155" i="3"/>
  <c r="DP155" i="3"/>
  <c r="EC155" i="3"/>
  <c r="DX155" i="3"/>
  <c r="EE155" i="3"/>
  <c r="EG155" i="3"/>
  <c r="DU155" i="3"/>
  <c r="DY155" i="3"/>
  <c r="DZ155" i="3"/>
  <c r="EA155" i="3"/>
  <c r="ED155" i="3"/>
  <c r="EH155" i="3"/>
  <c r="DI155" i="3"/>
  <c r="DJ155" i="3"/>
  <c r="CY155" i="3"/>
  <c r="DL155" i="3"/>
  <c r="CZ155" i="3"/>
  <c r="DM155" i="3"/>
  <c r="DB155" i="3"/>
  <c r="DC155" i="3"/>
  <c r="DD155" i="3"/>
  <c r="DE155" i="3"/>
  <c r="DF155" i="3"/>
  <c r="CX155" i="3"/>
  <c r="DA155" i="3"/>
  <c r="DG155" i="3"/>
  <c r="DH155" i="3"/>
  <c r="DK155" i="3"/>
  <c r="DN155" i="3"/>
  <c r="FO155" i="3"/>
  <c r="GA155" i="3"/>
  <c r="FT155" i="3"/>
  <c r="FU155" i="3"/>
  <c r="FV155" i="3"/>
  <c r="FN155" i="3"/>
  <c r="FZ155" i="3"/>
  <c r="FP155" i="3"/>
  <c r="FR155" i="3"/>
  <c r="FS155" i="3"/>
  <c r="FX155" i="3"/>
  <c r="FY155" i="3"/>
  <c r="FM155" i="3"/>
  <c r="DU181" i="3"/>
  <c r="EH181" i="3"/>
  <c r="DZ181" i="3"/>
  <c r="DX181" i="3"/>
  <c r="DP181" i="3"/>
  <c r="EE181" i="3"/>
  <c r="EF181" i="3"/>
  <c r="EI181" i="3"/>
  <c r="DW181" i="3"/>
  <c r="DY181" i="3"/>
  <c r="EA181" i="3"/>
  <c r="EC181" i="3"/>
  <c r="ED181" i="3"/>
  <c r="EG181" i="3"/>
  <c r="DV181" i="3"/>
  <c r="DH181" i="3"/>
  <c r="CY181" i="3"/>
  <c r="DK181" i="3"/>
  <c r="DA181" i="3"/>
  <c r="DM181" i="3"/>
  <c r="DB181" i="3"/>
  <c r="DN181" i="3"/>
  <c r="CX181" i="3"/>
  <c r="CZ181" i="3"/>
  <c r="DC181" i="3"/>
  <c r="DD181" i="3"/>
  <c r="DE181" i="3"/>
  <c r="DF181" i="3"/>
  <c r="DG181" i="3"/>
  <c r="DI181" i="3"/>
  <c r="DL181" i="3"/>
  <c r="DJ181" i="3"/>
  <c r="FM181" i="3"/>
  <c r="FY181" i="3"/>
  <c r="FN181" i="3"/>
  <c r="FZ181" i="3"/>
  <c r="FO181" i="3"/>
  <c r="GA181" i="3"/>
  <c r="FP181" i="3"/>
  <c r="FR181" i="3"/>
  <c r="FS181" i="3"/>
  <c r="FT181" i="3"/>
  <c r="FU181" i="3"/>
  <c r="FV181" i="3"/>
  <c r="FX181" i="3"/>
  <c r="BD217" i="9"/>
  <c r="BD184" i="9"/>
  <c r="BD229" i="9"/>
  <c r="BD221" i="9"/>
  <c r="BD181" i="9"/>
  <c r="BD205" i="9"/>
  <c r="BD153" i="9"/>
  <c r="BD182" i="9"/>
  <c r="BD200" i="9"/>
  <c r="BD67" i="9"/>
  <c r="BD80" i="9"/>
  <c r="BD193" i="9"/>
  <c r="BD70" i="9"/>
  <c r="BD25" i="9"/>
  <c r="BD157" i="9"/>
  <c r="BD165" i="9"/>
  <c r="BD13" i="9"/>
  <c r="BD233" i="9"/>
  <c r="BD178" i="9"/>
  <c r="BD176" i="9"/>
  <c r="BD223" i="9"/>
  <c r="BD211" i="9"/>
  <c r="BD76" i="9"/>
  <c r="BD162" i="9"/>
  <c r="BD71" i="9"/>
  <c r="BD160" i="9"/>
  <c r="BD164" i="9"/>
  <c r="BD131" i="9"/>
  <c r="BD79" i="9"/>
  <c r="BD148" i="9"/>
  <c r="BD88" i="9"/>
  <c r="BD204" i="9"/>
  <c r="BD68" i="9"/>
  <c r="BD75" i="9"/>
  <c r="BD173" i="9"/>
  <c r="BD152" i="9"/>
  <c r="BD201" i="9"/>
  <c r="BD26" i="9"/>
  <c r="BD149" i="9"/>
  <c r="BD161" i="9"/>
  <c r="BD66" i="9"/>
  <c r="BD206" i="9"/>
  <c r="BD215" i="9"/>
  <c r="BD234" i="9"/>
  <c r="BD82" i="9"/>
  <c r="BD150" i="9"/>
  <c r="BD197" i="9"/>
  <c r="BD169" i="9"/>
  <c r="BD190" i="9"/>
  <c r="BD194" i="9"/>
  <c r="BD192" i="9"/>
  <c r="BD175" i="9"/>
  <c r="BD225" i="9"/>
  <c r="BD249" i="9"/>
  <c r="BD191" i="9"/>
  <c r="BD239" i="9"/>
  <c r="BD14" i="9"/>
  <c r="BD87" i="9"/>
  <c r="BD170" i="9"/>
  <c r="BD156" i="9"/>
  <c r="BD189" i="9"/>
  <c r="BD235" i="9"/>
  <c r="BD167" i="9"/>
  <c r="BD129" i="9"/>
  <c r="BD143" i="9"/>
  <c r="BD81" i="9"/>
  <c r="BD151" i="9"/>
  <c r="BD8" i="9"/>
  <c r="BD16" i="9"/>
  <c r="BD203" i="9"/>
  <c r="BD231" i="9"/>
  <c r="BD177" i="9"/>
  <c r="BD250" i="9"/>
  <c r="BD12" i="9"/>
  <c r="BD168" i="9"/>
  <c r="BD77" i="9"/>
  <c r="BD246" i="9"/>
  <c r="BD195" i="9"/>
  <c r="BD199" i="9"/>
  <c r="BD163" i="9"/>
  <c r="BD236" i="9"/>
  <c r="BD180" i="9"/>
  <c r="BD187" i="9"/>
  <c r="BD212" i="9"/>
  <c r="BD198" i="9"/>
  <c r="BD196" i="9"/>
  <c r="BD69" i="9"/>
  <c r="BD222" i="9"/>
  <c r="BD228" i="9"/>
  <c r="BD247" i="9"/>
  <c r="BD159" i="9"/>
  <c r="BD154" i="9"/>
  <c r="BD207" i="9"/>
  <c r="BD241" i="9"/>
  <c r="BD227" i="9"/>
  <c r="BD18" i="9"/>
  <c r="BD171" i="9"/>
  <c r="BD174" i="9"/>
  <c r="BD213" i="9"/>
  <c r="BD155" i="9"/>
  <c r="BD166" i="9"/>
  <c r="BD244" i="9"/>
  <c r="BD183" i="9"/>
  <c r="BD232" i="9"/>
  <c r="BD209" i="9"/>
  <c r="BD10" i="9"/>
  <c r="BD240" i="9"/>
  <c r="BD15" i="9"/>
  <c r="BD9" i="9"/>
  <c r="BD188" i="9"/>
  <c r="BD158" i="9"/>
  <c r="BD208" i="9"/>
  <c r="BD216" i="9"/>
  <c r="BD224" i="9"/>
  <c r="BD146" i="9"/>
  <c r="BD73" i="9"/>
  <c r="BD130" i="9"/>
  <c r="BD242" i="9"/>
  <c r="BD202" i="9"/>
  <c r="BD86" i="9"/>
  <c r="BD74" i="9"/>
  <c r="BD220" i="9"/>
  <c r="BD226" i="9"/>
  <c r="BD179" i="9"/>
  <c r="BD11" i="9"/>
  <c r="BD245" i="9"/>
  <c r="BD72" i="9"/>
  <c r="BD78" i="9"/>
  <c r="BD237" i="9"/>
  <c r="BD243" i="9"/>
  <c r="BD248" i="9"/>
  <c r="BD172" i="9"/>
  <c r="BD219" i="9"/>
  <c r="BD147" i="9"/>
  <c r="BD210" i="9"/>
  <c r="BD238" i="9"/>
  <c r="BD17" i="9"/>
  <c r="BD24" i="9"/>
  <c r="CS181" i="3"/>
  <c r="CS185" i="3"/>
  <c r="BO137" i="3"/>
  <c r="CS155" i="3"/>
  <c r="I219" i="9"/>
  <c r="I211" i="9"/>
  <c r="U222" i="9"/>
  <c r="V222" i="9" s="1"/>
  <c r="I207" i="9"/>
  <c r="CS156" i="3"/>
  <c r="U210" i="9"/>
  <c r="V210" i="9" s="1"/>
  <c r="U238" i="9"/>
  <c r="V238" i="9" s="1"/>
  <c r="I196" i="9"/>
  <c r="AG179" i="9"/>
  <c r="U225" i="9"/>
  <c r="V225" i="9" s="1"/>
  <c r="AG184" i="9"/>
  <c r="I182" i="9"/>
  <c r="U180" i="9"/>
  <c r="V180" i="9" s="1"/>
  <c r="AG192" i="9"/>
  <c r="U211" i="9"/>
  <c r="V211" i="9" s="1"/>
  <c r="U217" i="9"/>
  <c r="V217" i="9" s="1"/>
  <c r="I238" i="9"/>
  <c r="I223" i="9"/>
  <c r="I240" i="9"/>
  <c r="I175" i="9"/>
  <c r="AG169" i="9"/>
  <c r="AG232" i="9"/>
  <c r="AG193" i="9"/>
  <c r="AG239" i="9"/>
  <c r="CS159" i="3"/>
  <c r="I217" i="9"/>
  <c r="AG223" i="9"/>
  <c r="AG187" i="9"/>
  <c r="I225" i="9"/>
  <c r="AG201" i="9"/>
  <c r="I248" i="9"/>
  <c r="U502" i="9"/>
  <c r="V502" i="9" s="1"/>
  <c r="U237" i="9"/>
  <c r="V237" i="9" s="1"/>
  <c r="I237" i="9"/>
  <c r="I244" i="9"/>
  <c r="I188" i="9"/>
  <c r="I209" i="9"/>
  <c r="I180" i="9"/>
  <c r="AG249" i="9"/>
  <c r="I187" i="9"/>
  <c r="AG155" i="9"/>
  <c r="AG163" i="9"/>
  <c r="AG206" i="9"/>
  <c r="AG236" i="9"/>
  <c r="U245" i="9"/>
  <c r="V245" i="9" s="1"/>
  <c r="U229" i="9"/>
  <c r="V229" i="9" s="1"/>
  <c r="U242" i="9"/>
  <c r="V242" i="9" s="1"/>
  <c r="I184" i="9"/>
  <c r="AG233" i="9"/>
  <c r="I241" i="9"/>
  <c r="I226" i="9"/>
  <c r="AG182" i="9"/>
  <c r="U233" i="9"/>
  <c r="V233" i="9" s="1"/>
  <c r="I210" i="9"/>
  <c r="AG188" i="9"/>
  <c r="AG180" i="9"/>
  <c r="I220" i="9"/>
  <c r="AG207" i="9"/>
  <c r="GD153" i="3"/>
  <c r="AG175" i="9"/>
  <c r="U244" i="9"/>
  <c r="V244" i="9" s="1"/>
  <c r="U187" i="9"/>
  <c r="V187" i="9" s="1"/>
  <c r="U216" i="9"/>
  <c r="V216" i="9" s="1"/>
  <c r="AG198" i="9"/>
  <c r="AG172" i="9"/>
  <c r="AG160" i="9"/>
  <c r="AG191" i="9"/>
  <c r="AG176" i="9"/>
  <c r="U220" i="9"/>
  <c r="V220" i="9" s="1"/>
  <c r="U184" i="9"/>
  <c r="V184" i="9" s="1"/>
  <c r="U221" i="9"/>
  <c r="V221" i="9" s="1"/>
  <c r="AG241" i="9"/>
  <c r="AG222" i="9"/>
  <c r="AG209" i="9"/>
  <c r="U188" i="9"/>
  <c r="V188" i="9" s="1"/>
  <c r="AG213" i="9"/>
  <c r="AG215" i="9"/>
  <c r="AG164" i="9"/>
  <c r="AG204" i="9"/>
  <c r="AG162" i="9"/>
  <c r="AG190" i="9"/>
  <c r="AG247" i="9"/>
  <c r="AG157" i="9"/>
  <c r="AG235" i="9"/>
  <c r="AG196" i="9"/>
  <c r="AG202" i="9"/>
  <c r="AG246" i="9"/>
  <c r="AG240" i="9"/>
  <c r="AG174" i="9"/>
  <c r="AG181" i="9"/>
  <c r="U243" i="9"/>
  <c r="V243" i="9" s="1"/>
  <c r="AG170" i="9"/>
  <c r="AG158" i="9"/>
  <c r="AG177" i="9"/>
  <c r="AG153" i="9"/>
  <c r="AG156" i="9"/>
  <c r="AG224" i="9"/>
  <c r="AG212" i="9"/>
  <c r="AG159" i="9"/>
  <c r="AG228" i="9"/>
  <c r="AG131" i="9"/>
  <c r="AG219" i="9"/>
  <c r="AG245" i="9"/>
  <c r="AG200" i="9"/>
  <c r="AG148" i="9"/>
  <c r="AG227" i="9"/>
  <c r="AG208" i="9"/>
  <c r="AG250" i="9"/>
  <c r="AG161" i="9"/>
  <c r="AG171" i="9"/>
  <c r="AG194" i="9"/>
  <c r="U179" i="9"/>
  <c r="V179" i="9" s="1"/>
  <c r="AG234" i="9"/>
  <c r="U223" i="9"/>
  <c r="V223" i="9" s="1"/>
  <c r="U226" i="9"/>
  <c r="V226" i="9" s="1"/>
  <c r="AG226" i="9"/>
  <c r="AG210" i="9"/>
  <c r="I221" i="9"/>
  <c r="AG216" i="9"/>
  <c r="I243" i="9"/>
  <c r="AG237" i="9"/>
  <c r="AG199" i="9"/>
  <c r="AG195" i="9"/>
  <c r="AG189" i="9"/>
  <c r="AG205" i="9"/>
  <c r="AG173" i="9"/>
  <c r="AG178" i="9"/>
  <c r="AG166" i="9"/>
  <c r="AG167" i="9"/>
  <c r="U167" i="9"/>
  <c r="V167" i="9" s="1"/>
  <c r="AG248" i="9"/>
  <c r="U234" i="9"/>
  <c r="V234" i="9" s="1"/>
  <c r="AG72" i="9"/>
  <c r="AG217" i="9"/>
  <c r="AG221" i="9"/>
  <c r="AG244" i="9"/>
  <c r="I216" i="9"/>
  <c r="AG243" i="9"/>
  <c r="AG225" i="9"/>
  <c r="I245" i="9"/>
  <c r="I229" i="9"/>
  <c r="AG13" i="9"/>
  <c r="AG79" i="9"/>
  <c r="AG82" i="9"/>
  <c r="AG8" i="9"/>
  <c r="AG12" i="9"/>
  <c r="AG16" i="9"/>
  <c r="AG14" i="9"/>
  <c r="AG130" i="9"/>
  <c r="AG26" i="9"/>
  <c r="AG68" i="9"/>
  <c r="AG73" i="9"/>
  <c r="AG77" i="9"/>
  <c r="AG152" i="9"/>
  <c r="AG88" i="9"/>
  <c r="AG11" i="9"/>
  <c r="AG9" i="9"/>
  <c r="AG86" i="9"/>
  <c r="AG75" i="9"/>
  <c r="AG24" i="9"/>
  <c r="AG147" i="9"/>
  <c r="AG15" i="9"/>
  <c r="AG151" i="9"/>
  <c r="AG149" i="9"/>
  <c r="AG18" i="9"/>
  <c r="AG129" i="9"/>
  <c r="AG71" i="9"/>
  <c r="AG143" i="9"/>
  <c r="AG81" i="9"/>
  <c r="AG87" i="9"/>
  <c r="AG78" i="9"/>
  <c r="AG17" i="9"/>
  <c r="AG10" i="9"/>
  <c r="AG80" i="9"/>
  <c r="AG146" i="9"/>
  <c r="AG74" i="9"/>
  <c r="I67" i="9"/>
  <c r="U13" i="9"/>
  <c r="V13" i="9" s="1"/>
  <c r="I77" i="9"/>
  <c r="U147" i="9"/>
  <c r="V147" i="9" s="1"/>
  <c r="I69" i="9"/>
  <c r="I74" i="9"/>
  <c r="I13" i="9"/>
  <c r="I146" i="9"/>
  <c r="I80" i="9"/>
  <c r="U66" i="9"/>
  <c r="V66" i="9" s="1"/>
  <c r="U146" i="9"/>
  <c r="V146" i="9" s="1"/>
  <c r="U80" i="9"/>
  <c r="V80" i="9" s="1"/>
  <c r="U143" i="9"/>
  <c r="V143" i="9" s="1"/>
  <c r="I66" i="9"/>
  <c r="I10" i="9"/>
  <c r="U10" i="9"/>
  <c r="V10" i="9" s="1"/>
  <c r="I143" i="9"/>
  <c r="I24" i="9"/>
  <c r="I79" i="9"/>
  <c r="I147" i="9"/>
  <c r="I129" i="9"/>
  <c r="U71" i="9"/>
  <c r="V71" i="9" s="1"/>
  <c r="CS154" i="3"/>
  <c r="CS152" i="3"/>
  <c r="CS151" i="3"/>
  <c r="I247" i="9"/>
  <c r="I153" i="9"/>
  <c r="I195" i="9"/>
  <c r="U202" i="9"/>
  <c r="V202" i="9" s="1"/>
  <c r="I200" i="9"/>
  <c r="I227" i="9"/>
  <c r="I202" i="9"/>
  <c r="U169" i="9"/>
  <c r="V169" i="9" s="1"/>
  <c r="I151" i="9"/>
  <c r="U170" i="9"/>
  <c r="V170" i="9" s="1"/>
  <c r="U183" i="9"/>
  <c r="V183" i="9" s="1"/>
  <c r="I206" i="9"/>
  <c r="U236" i="9"/>
  <c r="V236" i="9" s="1"/>
  <c r="I156" i="9"/>
  <c r="U197" i="9"/>
  <c r="V197" i="9" s="1"/>
  <c r="I235" i="9"/>
  <c r="I176" i="9"/>
  <c r="I189" i="9"/>
  <c r="I193" i="9"/>
  <c r="I205" i="9"/>
  <c r="I177" i="9"/>
  <c r="I190" i="9"/>
  <c r="I249" i="9"/>
  <c r="I250" i="9"/>
  <c r="I168" i="9"/>
  <c r="U228" i="9"/>
  <c r="V228" i="9" s="1"/>
  <c r="I181" i="9"/>
  <c r="I165" i="9"/>
  <c r="U195" i="9"/>
  <c r="V195" i="9" s="1"/>
  <c r="I164" i="9"/>
  <c r="U149" i="9"/>
  <c r="V149" i="9" s="1"/>
  <c r="I155" i="9"/>
  <c r="I212" i="9"/>
  <c r="I208" i="9"/>
  <c r="I166" i="9"/>
  <c r="U168" i="9"/>
  <c r="V168" i="9" s="1"/>
  <c r="I160" i="9"/>
  <c r="I159" i="9"/>
  <c r="I170" i="9"/>
  <c r="I198" i="9"/>
  <c r="I183" i="9"/>
  <c r="I162" i="9"/>
  <c r="I148" i="9"/>
  <c r="U148" i="9"/>
  <c r="V148" i="9" s="1"/>
  <c r="I152" i="9"/>
  <c r="I149" i="9"/>
  <c r="I161" i="9"/>
  <c r="I192" i="9"/>
  <c r="U246" i="9"/>
  <c r="V246" i="9" s="1"/>
  <c r="I228" i="9"/>
  <c r="U175" i="9"/>
  <c r="V175" i="9" s="1"/>
  <c r="I172" i="9"/>
  <c r="Z248" i="9"/>
  <c r="AA248" i="9" s="1"/>
  <c r="U248" i="9"/>
  <c r="V248" i="9" s="1"/>
  <c r="U199" i="9"/>
  <c r="V199" i="9" s="1"/>
  <c r="U151" i="9"/>
  <c r="V151" i="9" s="1"/>
  <c r="U182" i="9"/>
  <c r="V182" i="9" s="1"/>
  <c r="I201" i="9"/>
  <c r="I150" i="9"/>
  <c r="I169" i="9"/>
  <c r="I215" i="9"/>
  <c r="U164" i="9"/>
  <c r="V164" i="9" s="1"/>
  <c r="U201" i="9"/>
  <c r="V201" i="9" s="1"/>
  <c r="U162" i="9"/>
  <c r="V162" i="9" s="1"/>
  <c r="I203" i="9"/>
  <c r="U203" i="9"/>
  <c r="V203" i="9" s="1"/>
  <c r="U208" i="9"/>
  <c r="V208" i="9" s="1"/>
  <c r="U161" i="9"/>
  <c r="V161" i="9" s="1"/>
  <c r="U215" i="9"/>
  <c r="V215" i="9" s="1"/>
  <c r="I199" i="9"/>
  <c r="U232" i="9"/>
  <c r="V232" i="9" s="1"/>
  <c r="U189" i="9"/>
  <c r="V189" i="9" s="1"/>
  <c r="T149" i="9"/>
  <c r="I163" i="9"/>
  <c r="I154" i="9"/>
  <c r="I158" i="9"/>
  <c r="I157" i="9"/>
  <c r="U160" i="9"/>
  <c r="V160" i="9" s="1"/>
  <c r="I167" i="9"/>
  <c r="I231" i="9"/>
  <c r="I236" i="9"/>
  <c r="I173" i="9"/>
  <c r="I239" i="9"/>
  <c r="U207" i="9"/>
  <c r="V207" i="9" s="1"/>
  <c r="U196" i="9"/>
  <c r="V196" i="9" s="1"/>
  <c r="I171" i="9"/>
  <c r="I191" i="9"/>
  <c r="I194" i="9"/>
  <c r="U181" i="9"/>
  <c r="V181" i="9" s="1"/>
  <c r="Z247" i="9"/>
  <c r="AA247" i="9" s="1"/>
  <c r="U247" i="9"/>
  <c r="V247" i="9" s="1"/>
  <c r="T236" i="9"/>
  <c r="Z173" i="9"/>
  <c r="AA173" i="9" s="1"/>
  <c r="U173" i="9"/>
  <c r="V173" i="9" s="1"/>
  <c r="Z178" i="9"/>
  <c r="AA178" i="9" s="1"/>
  <c r="U178" i="9"/>
  <c r="V178" i="9" s="1"/>
  <c r="U235" i="9"/>
  <c r="V235" i="9" s="1"/>
  <c r="Z212" i="9"/>
  <c r="AA212" i="9" s="1"/>
  <c r="U212" i="9"/>
  <c r="V212" i="9" s="1"/>
  <c r="U192" i="9"/>
  <c r="V192" i="9" s="1"/>
  <c r="U171" i="9"/>
  <c r="V171" i="9" s="1"/>
  <c r="T171" i="9"/>
  <c r="U177" i="9"/>
  <c r="V177" i="9" s="1"/>
  <c r="U150" i="9"/>
  <c r="V150" i="9" s="1"/>
  <c r="U158" i="9"/>
  <c r="V158" i="9" s="1"/>
  <c r="U227" i="9"/>
  <c r="V227" i="9" s="1"/>
  <c r="U249" i="9"/>
  <c r="V249" i="9" s="1"/>
  <c r="U153" i="9"/>
  <c r="V153" i="9" s="1"/>
  <c r="T196" i="9"/>
  <c r="U191" i="9"/>
  <c r="V191" i="9" s="1"/>
  <c r="I234" i="9"/>
  <c r="T199" i="9"/>
  <c r="U198" i="9"/>
  <c r="V198" i="9" s="1"/>
  <c r="U193" i="9"/>
  <c r="V193" i="9" s="1"/>
  <c r="U155" i="9"/>
  <c r="V155" i="9" s="1"/>
  <c r="U163" i="9"/>
  <c r="V163" i="9" s="1"/>
  <c r="U190" i="9"/>
  <c r="V190" i="9" s="1"/>
  <c r="U206" i="9"/>
  <c r="V206" i="9" s="1"/>
  <c r="U156" i="9"/>
  <c r="V156" i="9" s="1"/>
  <c r="I197" i="9"/>
  <c r="U224" i="9"/>
  <c r="V224" i="9" s="1"/>
  <c r="Z172" i="9"/>
  <c r="AA172" i="9" s="1"/>
  <c r="U172" i="9"/>
  <c r="V172" i="9" s="1"/>
  <c r="U152" i="9"/>
  <c r="V152" i="9" s="1"/>
  <c r="U205" i="9"/>
  <c r="V205" i="9" s="1"/>
  <c r="U204" i="9"/>
  <c r="V204" i="9" s="1"/>
  <c r="U200" i="9"/>
  <c r="V200" i="9" s="1"/>
  <c r="U154" i="9"/>
  <c r="V154" i="9" s="1"/>
  <c r="Z250" i="9"/>
  <c r="AA250" i="9" s="1"/>
  <c r="U250" i="9"/>
  <c r="V250" i="9" s="1"/>
  <c r="Z239" i="9"/>
  <c r="AA239" i="9" s="1"/>
  <c r="U239" i="9"/>
  <c r="V239" i="9" s="1"/>
  <c r="U157" i="9"/>
  <c r="V157" i="9" s="1"/>
  <c r="U166" i="9"/>
  <c r="V166" i="9" s="1"/>
  <c r="Z159" i="9"/>
  <c r="AA159" i="9" s="1"/>
  <c r="U159" i="9"/>
  <c r="V159" i="9" s="1"/>
  <c r="Z194" i="9"/>
  <c r="AA194" i="9" s="1"/>
  <c r="U194" i="9"/>
  <c r="V194" i="9" s="1"/>
  <c r="I174" i="9"/>
  <c r="U231" i="9"/>
  <c r="V231" i="9" s="1"/>
  <c r="U165" i="9"/>
  <c r="V165" i="9" s="1"/>
  <c r="U240" i="9"/>
  <c r="V240" i="9" s="1"/>
  <c r="U174" i="9"/>
  <c r="V174" i="9" s="1"/>
  <c r="Z219" i="9"/>
  <c r="AA219" i="9" s="1"/>
  <c r="U219" i="9"/>
  <c r="V219" i="9" s="1"/>
  <c r="I130" i="9"/>
  <c r="U176" i="9"/>
  <c r="V176" i="9" s="1"/>
  <c r="I131" i="9"/>
  <c r="U131" i="9"/>
  <c r="V131" i="9" s="1"/>
  <c r="U130" i="9"/>
  <c r="V130" i="9" s="1"/>
  <c r="U129" i="9"/>
  <c r="V129" i="9" s="1"/>
  <c r="U77" i="9"/>
  <c r="V77" i="9" s="1"/>
  <c r="U79" i="9"/>
  <c r="V79" i="9" s="1"/>
  <c r="I86" i="9"/>
  <c r="I9" i="9"/>
  <c r="I81" i="9"/>
  <c r="T71" i="9"/>
  <c r="I78" i="9"/>
  <c r="U74" i="9"/>
  <c r="V74" i="9" s="1"/>
  <c r="I72" i="9"/>
  <c r="U17" i="9"/>
  <c r="V17" i="9" s="1"/>
  <c r="I14" i="9"/>
  <c r="I82" i="9"/>
  <c r="U78" i="9"/>
  <c r="V78" i="9" s="1"/>
  <c r="I73" i="9"/>
  <c r="I71" i="9"/>
  <c r="I11" i="9"/>
  <c r="I76" i="9"/>
  <c r="I18" i="9"/>
  <c r="I68" i="9"/>
  <c r="U25" i="9"/>
  <c r="V25" i="9" s="1"/>
  <c r="I8" i="9"/>
  <c r="I16" i="9"/>
  <c r="I75" i="9"/>
  <c r="I17" i="9"/>
  <c r="U8" i="9"/>
  <c r="V8" i="9" s="1"/>
  <c r="I87" i="9"/>
  <c r="T25" i="9"/>
  <c r="I25" i="9"/>
  <c r="U81" i="9"/>
  <c r="V81" i="9" s="1"/>
  <c r="U24" i="9"/>
  <c r="V24" i="9" s="1"/>
  <c r="I12" i="9"/>
  <c r="U73" i="9"/>
  <c r="V73" i="9" s="1"/>
  <c r="I70" i="9"/>
  <c r="I26" i="9"/>
  <c r="U15" i="9"/>
  <c r="V15" i="9" s="1"/>
  <c r="I88" i="9"/>
  <c r="U88" i="9"/>
  <c r="V88" i="9" s="1"/>
  <c r="U87" i="9"/>
  <c r="V87" i="9" s="1"/>
  <c r="U86" i="9"/>
  <c r="V86" i="9" s="1"/>
  <c r="U82" i="9"/>
  <c r="V82" i="9" s="1"/>
  <c r="U76" i="9"/>
  <c r="V76" i="9" s="1"/>
  <c r="U75" i="9"/>
  <c r="V75" i="9" s="1"/>
  <c r="U72" i="9"/>
  <c r="V72" i="9" s="1"/>
  <c r="U70" i="9"/>
  <c r="V70" i="9" s="1"/>
  <c r="U69" i="9"/>
  <c r="V69" i="9" s="1"/>
  <c r="U68" i="9"/>
  <c r="V68" i="9" s="1"/>
  <c r="U67" i="9"/>
  <c r="V67" i="9" s="1"/>
  <c r="U26" i="9"/>
  <c r="V26" i="9" s="1"/>
  <c r="U18" i="9"/>
  <c r="V18" i="9" s="1"/>
  <c r="U16" i="9"/>
  <c r="V16" i="9" s="1"/>
  <c r="I15" i="9"/>
  <c r="U14" i="9"/>
  <c r="V14" i="9" s="1"/>
  <c r="U12" i="9"/>
  <c r="V12" i="9" s="1"/>
  <c r="U11" i="9"/>
  <c r="V11" i="9" s="1"/>
  <c r="U9" i="9"/>
  <c r="V9" i="9" s="1"/>
  <c r="T8" i="9"/>
  <c r="T134" i="11"/>
  <c r="N134" i="11"/>
  <c r="D134" i="11"/>
  <c r="S94" i="11"/>
  <c r="R95" i="11"/>
  <c r="M94" i="11"/>
  <c r="K94" i="11"/>
  <c r="I95" i="11"/>
  <c r="I94" i="11"/>
  <c r="H95" i="11"/>
  <c r="H94" i="11"/>
  <c r="G95" i="11"/>
  <c r="G94" i="11"/>
  <c r="F95" i="11"/>
  <c r="F94" i="11"/>
  <c r="C95" i="11"/>
  <c r="C94" i="11"/>
  <c r="B95" i="11"/>
  <c r="B94" i="11"/>
  <c r="T91" i="11"/>
  <c r="N91" i="11"/>
  <c r="D91" i="11"/>
  <c r="T48" i="11"/>
  <c r="N48" i="11"/>
  <c r="D48" i="11"/>
  <c r="FW153" i="3" l="1"/>
  <c r="EK153" i="3"/>
  <c r="DK153" i="3"/>
  <c r="FN153" i="3"/>
  <c r="DE153" i="3"/>
  <c r="ED153" i="3"/>
  <c r="EQ153" i="3"/>
  <c r="FI153" i="3"/>
  <c r="DZ153" i="3"/>
  <c r="FO153" i="3"/>
  <c r="DM153" i="3"/>
  <c r="DF153" i="3"/>
  <c r="EF153" i="3"/>
  <c r="EG153" i="3"/>
  <c r="FC153" i="3"/>
  <c r="EV153" i="3"/>
  <c r="FL153" i="3"/>
  <c r="CS153" i="3"/>
  <c r="FZ153" i="3"/>
  <c r="FP153" i="3"/>
  <c r="DJ153" i="3"/>
  <c r="DB153" i="3"/>
  <c r="EC153" i="3"/>
  <c r="EE153" i="3"/>
  <c r="FB153" i="3"/>
  <c r="CT153" i="3"/>
  <c r="GA153" i="3"/>
  <c r="FY153" i="3"/>
  <c r="DD153" i="3"/>
  <c r="DN153" i="3"/>
  <c r="EA153" i="3"/>
  <c r="DY153" i="3"/>
  <c r="EP153" i="3"/>
  <c r="EB153" i="3"/>
  <c r="FU153" i="3"/>
  <c r="FM153" i="3"/>
  <c r="CZ153" i="3"/>
  <c r="DA153" i="3"/>
  <c r="DV153" i="3"/>
  <c r="DX153" i="3"/>
  <c r="FA153" i="3"/>
  <c r="FT153" i="3"/>
  <c r="FX153" i="3"/>
  <c r="DI153" i="3"/>
  <c r="DL153" i="3"/>
  <c r="DW153" i="3"/>
  <c r="EH153" i="3"/>
  <c r="ET153" i="3"/>
  <c r="EZ153" i="3"/>
  <c r="FS153" i="3"/>
  <c r="FV153" i="3"/>
  <c r="DH153" i="3"/>
  <c r="CY153" i="3"/>
  <c r="EI153" i="3"/>
  <c r="DU153" i="3"/>
  <c r="FD153" i="3"/>
  <c r="EY153" i="3"/>
  <c r="FR153" i="3"/>
  <c r="CX153" i="3"/>
  <c r="DG153" i="3"/>
  <c r="DC153" i="3"/>
  <c r="DP153" i="3"/>
  <c r="ER153" i="3"/>
  <c r="EX153" i="3"/>
  <c r="FK153" i="3"/>
  <c r="CV153" i="3"/>
  <c r="CW153" i="3"/>
  <c r="ES153" i="3"/>
  <c r="EW153" i="3"/>
  <c r="DS153" i="3"/>
  <c r="EU153" i="3"/>
  <c r="DQ153" i="3"/>
  <c r="EO153" i="3"/>
  <c r="EM153" i="3"/>
  <c r="FJ153" i="3"/>
  <c r="DR153" i="3"/>
  <c r="CU153" i="3"/>
  <c r="EN153" i="3"/>
  <c r="DT153" i="3"/>
  <c r="EL153" i="3"/>
  <c r="R53" i="11"/>
  <c r="S53" i="11"/>
  <c r="R54" i="11"/>
  <c r="S54" i="11"/>
  <c r="R55" i="11"/>
  <c r="S55" i="11"/>
  <c r="R56" i="11"/>
  <c r="S56" i="11"/>
  <c r="R57" i="11"/>
  <c r="S57" i="11"/>
  <c r="R58" i="11"/>
  <c r="S58" i="11"/>
  <c r="R59" i="11"/>
  <c r="S59" i="11"/>
  <c r="R60" i="11"/>
  <c r="S60" i="11"/>
  <c r="R61" i="11"/>
  <c r="S61" i="11"/>
  <c r="R62" i="11"/>
  <c r="S62" i="11"/>
  <c r="R63" i="11"/>
  <c r="S63" i="11"/>
  <c r="R64" i="11"/>
  <c r="S64" i="11"/>
  <c r="R65" i="11"/>
  <c r="S65" i="11"/>
  <c r="R66" i="11"/>
  <c r="S66" i="11"/>
  <c r="R67" i="11"/>
  <c r="S67" i="11"/>
  <c r="R68" i="11"/>
  <c r="S68" i="11"/>
  <c r="R69" i="11"/>
  <c r="S69" i="11"/>
  <c r="R70" i="11"/>
  <c r="S70" i="11"/>
  <c r="R71" i="11"/>
  <c r="S71" i="11"/>
  <c r="R72" i="11"/>
  <c r="S72" i="11"/>
  <c r="R73" i="11"/>
  <c r="S73" i="11"/>
  <c r="R74" i="11"/>
  <c r="S74" i="11"/>
  <c r="R75" i="11"/>
  <c r="S75" i="11"/>
  <c r="R76" i="11"/>
  <c r="S76" i="11"/>
  <c r="R77" i="11"/>
  <c r="S77" i="11"/>
  <c r="R78" i="11"/>
  <c r="S78" i="11"/>
  <c r="R79" i="11"/>
  <c r="S79" i="11"/>
  <c r="R80" i="11"/>
  <c r="S80" i="11"/>
  <c r="R81" i="11"/>
  <c r="S81" i="11"/>
  <c r="R82" i="11"/>
  <c r="S82" i="11"/>
  <c r="R83" i="11"/>
  <c r="S83" i="11"/>
  <c r="R84" i="11"/>
  <c r="S84" i="11"/>
  <c r="R85" i="11"/>
  <c r="S85" i="11"/>
  <c r="R86" i="11"/>
  <c r="S86" i="11"/>
  <c r="R87" i="11"/>
  <c r="S87" i="11"/>
  <c r="R88" i="11"/>
  <c r="S88" i="11"/>
  <c r="R89" i="11"/>
  <c r="S89" i="11"/>
  <c r="R90" i="11"/>
  <c r="S90"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K53" i="11"/>
  <c r="K54" i="11"/>
  <c r="K55" i="11"/>
  <c r="K56" i="11"/>
  <c r="K57" i="11"/>
  <c r="K58" i="11"/>
  <c r="K59" i="11"/>
  <c r="K60" i="11"/>
  <c r="K61" i="11"/>
  <c r="K62" i="11"/>
  <c r="K63" i="11"/>
  <c r="K64" i="11"/>
  <c r="K65" i="11"/>
  <c r="K66" i="11"/>
  <c r="K67" i="11"/>
  <c r="K68" i="11"/>
  <c r="K69" i="11"/>
  <c r="K70" i="11"/>
  <c r="K71" i="11"/>
  <c r="K72" i="11"/>
  <c r="K73" i="11"/>
  <c r="K74" i="11"/>
  <c r="K75" i="11"/>
  <c r="K76" i="11"/>
  <c r="K77" i="11"/>
  <c r="K78" i="11"/>
  <c r="K79" i="11"/>
  <c r="K80" i="11"/>
  <c r="K81" i="11"/>
  <c r="K82" i="11"/>
  <c r="K83" i="11"/>
  <c r="K84" i="11"/>
  <c r="K85" i="11"/>
  <c r="K86" i="11"/>
  <c r="K87" i="11"/>
  <c r="K88" i="11"/>
  <c r="K89" i="11"/>
  <c r="K90" i="11"/>
  <c r="F53" i="11"/>
  <c r="G53" i="11"/>
  <c r="H53" i="11"/>
  <c r="I53" i="11"/>
  <c r="F54" i="11"/>
  <c r="G54" i="11"/>
  <c r="H54" i="11"/>
  <c r="I54" i="11"/>
  <c r="F55" i="11"/>
  <c r="G55" i="11"/>
  <c r="H55" i="11"/>
  <c r="I55" i="11"/>
  <c r="F56" i="11"/>
  <c r="G56" i="11"/>
  <c r="H56" i="11"/>
  <c r="I56" i="11"/>
  <c r="G57" i="11"/>
  <c r="H57" i="11"/>
  <c r="I57" i="11"/>
  <c r="F58" i="11"/>
  <c r="G58" i="11"/>
  <c r="H58" i="11"/>
  <c r="I58" i="11"/>
  <c r="F59" i="11"/>
  <c r="G59" i="11"/>
  <c r="H59" i="11"/>
  <c r="I59" i="11"/>
  <c r="F60" i="11"/>
  <c r="G60" i="11"/>
  <c r="H60" i="11"/>
  <c r="I60" i="11"/>
  <c r="F61" i="11"/>
  <c r="G61" i="11"/>
  <c r="H61" i="11"/>
  <c r="I61" i="11"/>
  <c r="F62" i="11"/>
  <c r="G62" i="11"/>
  <c r="H62" i="11"/>
  <c r="I62" i="11"/>
  <c r="F63" i="11"/>
  <c r="G63" i="11"/>
  <c r="H63" i="11"/>
  <c r="I63" i="11"/>
  <c r="F64" i="11"/>
  <c r="G64" i="11"/>
  <c r="H64" i="11"/>
  <c r="I64" i="11"/>
  <c r="F65" i="11"/>
  <c r="G65" i="11"/>
  <c r="H65" i="11"/>
  <c r="I65" i="11"/>
  <c r="F66" i="11"/>
  <c r="G66" i="11"/>
  <c r="H66" i="11"/>
  <c r="I66" i="11"/>
  <c r="F67" i="11"/>
  <c r="G67" i="11"/>
  <c r="H67" i="11"/>
  <c r="I67" i="11"/>
  <c r="F68" i="11"/>
  <c r="G68" i="11"/>
  <c r="H68" i="11"/>
  <c r="I68" i="11"/>
  <c r="F69" i="11"/>
  <c r="G69" i="11"/>
  <c r="H69" i="11"/>
  <c r="I69" i="11"/>
  <c r="F70" i="11"/>
  <c r="G70" i="11"/>
  <c r="H70" i="11"/>
  <c r="I70" i="11"/>
  <c r="F71" i="11"/>
  <c r="G71" i="11"/>
  <c r="H71" i="11"/>
  <c r="I71" i="11"/>
  <c r="F72" i="11"/>
  <c r="G72" i="11"/>
  <c r="H72" i="11"/>
  <c r="I72" i="11"/>
  <c r="F73" i="11"/>
  <c r="G73" i="11"/>
  <c r="H73" i="11"/>
  <c r="I73" i="11"/>
  <c r="F74" i="11"/>
  <c r="G74" i="11"/>
  <c r="H74" i="11"/>
  <c r="I74" i="11"/>
  <c r="F75" i="11"/>
  <c r="G75" i="11"/>
  <c r="H75" i="11"/>
  <c r="I75" i="11"/>
  <c r="F76" i="11"/>
  <c r="G76" i="11"/>
  <c r="H76" i="11"/>
  <c r="I76" i="11"/>
  <c r="F77" i="11"/>
  <c r="G77" i="11"/>
  <c r="H77" i="11"/>
  <c r="I77" i="11"/>
  <c r="F78" i="11"/>
  <c r="G78" i="11"/>
  <c r="H78" i="11"/>
  <c r="I78" i="11"/>
  <c r="F79" i="11"/>
  <c r="G79" i="11"/>
  <c r="H79" i="11"/>
  <c r="I79" i="11"/>
  <c r="F80" i="11"/>
  <c r="G80" i="11"/>
  <c r="H80" i="11"/>
  <c r="I80" i="11"/>
  <c r="F81" i="11"/>
  <c r="G81" i="11"/>
  <c r="H81" i="11"/>
  <c r="I81" i="11"/>
  <c r="F82" i="11"/>
  <c r="G82" i="11"/>
  <c r="H82" i="11"/>
  <c r="I82" i="11"/>
  <c r="F83" i="11"/>
  <c r="G83" i="11"/>
  <c r="H83" i="11"/>
  <c r="I83" i="11"/>
  <c r="F84" i="11"/>
  <c r="G84" i="11"/>
  <c r="H84" i="11"/>
  <c r="I84" i="11"/>
  <c r="F85" i="11"/>
  <c r="G85" i="11"/>
  <c r="H85" i="11"/>
  <c r="I85" i="11"/>
  <c r="F86" i="11"/>
  <c r="G86" i="11"/>
  <c r="H86" i="11"/>
  <c r="I86" i="11"/>
  <c r="F87" i="11"/>
  <c r="G87" i="11"/>
  <c r="H87" i="11"/>
  <c r="I87" i="11"/>
  <c r="F88" i="11"/>
  <c r="G88" i="11"/>
  <c r="H88" i="11"/>
  <c r="I88" i="11"/>
  <c r="F89" i="11"/>
  <c r="G89" i="11"/>
  <c r="H89" i="11"/>
  <c r="I89" i="11"/>
  <c r="F90" i="11"/>
  <c r="G90" i="11"/>
  <c r="H90" i="11"/>
  <c r="I90"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51" i="11"/>
  <c r="B2" i="13" l="1"/>
  <c r="D2" i="13" s="1"/>
  <c r="BM2" i="13" s="1"/>
  <c r="H2" i="13" l="1"/>
  <c r="BE4" i="13" l="1" a="1"/>
  <c r="BE4" i="13" s="1"/>
  <c r="BE2" i="13" s="1"/>
  <c r="F7" i="3" l="1"/>
  <c r="BI2" i="13" l="1"/>
  <c r="EB7" i="3" l="1"/>
  <c r="AL12" i="3"/>
  <c r="AL13" i="3"/>
  <c r="AL14" i="3"/>
  <c r="H3" i="13" l="1"/>
  <c r="H4" i="13"/>
  <c r="H5" i="13"/>
  <c r="H6" i="13"/>
  <c r="AQ2" i="13" l="1"/>
  <c r="AJ2" i="13"/>
  <c r="AC2" i="13"/>
  <c r="V2" i="13"/>
  <c r="E11" i="4" l="1"/>
  <c r="E10" i="4"/>
  <c r="E9" i="4"/>
  <c r="C57" i="8" l="1"/>
  <c r="AX89" i="3" l="1"/>
  <c r="AX136" i="3"/>
  <c r="AX90" i="3"/>
  <c r="AX85" i="3"/>
  <c r="AX84" i="3"/>
  <c r="AX83" i="3"/>
  <c r="AX91" i="3"/>
  <c r="B126" i="9"/>
  <c r="B133" i="9"/>
  <c r="B128" i="9"/>
  <c r="B132" i="9"/>
  <c r="B127" i="9"/>
  <c r="BQ90" i="3" l="1"/>
  <c r="FF90" i="3" s="1" a="1"/>
  <c r="FF90" i="3" s="1"/>
  <c r="BP90" i="3"/>
  <c r="BQ91" i="3"/>
  <c r="FF91" i="3" s="1" a="1"/>
  <c r="FF91" i="3" s="1"/>
  <c r="BP91" i="3"/>
  <c r="BP84" i="3"/>
  <c r="BQ84" i="3"/>
  <c r="FF84" i="3" s="1" a="1"/>
  <c r="FF84" i="3" s="1"/>
  <c r="BQ85" i="3"/>
  <c r="FF85" i="3" s="1" a="1"/>
  <c r="FF85" i="3" s="1"/>
  <c r="BP85" i="3"/>
  <c r="BQ136" i="3"/>
  <c r="FF136" i="3" s="1" a="1"/>
  <c r="FF136" i="3" s="1"/>
  <c r="BP136" i="3"/>
  <c r="BQ89" i="3"/>
  <c r="FF89" i="3" s="1" a="1"/>
  <c r="FF89" i="3" s="1"/>
  <c r="BP89" i="3"/>
  <c r="BP83" i="3"/>
  <c r="BQ83" i="3"/>
  <c r="FF83" i="3" s="1" a="1"/>
  <c r="FF83" i="3" s="1"/>
  <c r="AL127" i="9"/>
  <c r="AM127" i="9"/>
  <c r="AM132" i="9"/>
  <c r="AL132" i="9"/>
  <c r="AM128" i="9"/>
  <c r="AL128" i="9"/>
  <c r="AL133" i="9"/>
  <c r="AM133" i="9"/>
  <c r="AM126" i="9"/>
  <c r="AL126" i="9"/>
  <c r="P82" i="13"/>
  <c r="P81" i="13"/>
  <c r="AO82" i="9"/>
  <c r="P74" i="13"/>
  <c r="AO75" i="9"/>
  <c r="P127" i="13"/>
  <c r="P75" i="13"/>
  <c r="AO76" i="9"/>
  <c r="P80" i="13"/>
  <c r="AO81" i="9"/>
  <c r="P76" i="13"/>
  <c r="AO77" i="9"/>
  <c r="A132" i="9"/>
  <c r="A128" i="9"/>
  <c r="A133" i="9"/>
  <c r="A127" i="9"/>
  <c r="A126" i="9"/>
  <c r="AX148" i="3"/>
  <c r="I139" i="13"/>
  <c r="AX147" i="3"/>
  <c r="I138" i="13"/>
  <c r="AX146" i="3"/>
  <c r="I137" i="13"/>
  <c r="L133" i="9"/>
  <c r="AK133" i="9"/>
  <c r="O133" i="9"/>
  <c r="X133" i="9"/>
  <c r="P133" i="9"/>
  <c r="AV133" i="9"/>
  <c r="H133" i="9"/>
  <c r="Q133" i="9"/>
  <c r="AB133" i="9"/>
  <c r="AO133" i="9"/>
  <c r="G133" i="9"/>
  <c r="F133" i="9"/>
  <c r="AP133" i="9"/>
  <c r="AI133" i="9"/>
  <c r="AJ133" i="9"/>
  <c r="AT133" i="9"/>
  <c r="Y133" i="9"/>
  <c r="AQ133" i="9"/>
  <c r="R133" i="9"/>
  <c r="AW133" i="9"/>
  <c r="J133" i="9"/>
  <c r="AE133" i="9"/>
  <c r="S133" i="9"/>
  <c r="T133" i="9" s="1"/>
  <c r="N133" i="9"/>
  <c r="AN133" i="9"/>
  <c r="AX133" i="9"/>
  <c r="K133" i="9"/>
  <c r="Z133" i="9" s="1"/>
  <c r="AA133" i="9" s="1"/>
  <c r="D133" i="9"/>
  <c r="AD133" i="9"/>
  <c r="C133" i="9" s="1"/>
  <c r="AU133" i="9"/>
  <c r="AH133" i="9"/>
  <c r="AR133" i="9"/>
  <c r="E133" i="9"/>
  <c r="W133" i="9"/>
  <c r="AF133" i="9"/>
  <c r="AS133" i="9"/>
  <c r="M133" i="9"/>
  <c r="AX127" i="9"/>
  <c r="H127" i="9"/>
  <c r="AK127" i="9"/>
  <c r="AU127" i="9"/>
  <c r="E127" i="9"/>
  <c r="R127" i="9"/>
  <c r="AH127" i="9"/>
  <c r="G127" i="9"/>
  <c r="AD127" i="9"/>
  <c r="C127" i="9" s="1"/>
  <c r="AE127" i="9"/>
  <c r="O127" i="9"/>
  <c r="AT127" i="9"/>
  <c r="AN127" i="9"/>
  <c r="W127" i="9"/>
  <c r="S127" i="9"/>
  <c r="T127" i="9" s="1"/>
  <c r="AR127" i="9"/>
  <c r="AP127" i="9"/>
  <c r="Q127" i="9"/>
  <c r="X127" i="9"/>
  <c r="AB127" i="9"/>
  <c r="AV127" i="9"/>
  <c r="K127" i="9"/>
  <c r="Z127" i="9" s="1"/>
  <c r="AA127" i="9" s="1"/>
  <c r="AJ127" i="9"/>
  <c r="AF127" i="9"/>
  <c r="L127" i="9"/>
  <c r="AS127" i="9"/>
  <c r="Y127" i="9"/>
  <c r="J127" i="9"/>
  <c r="AI127" i="9"/>
  <c r="M127" i="9"/>
  <c r="AQ127" i="9"/>
  <c r="N127" i="9"/>
  <c r="D127" i="9"/>
  <c r="P127" i="9"/>
  <c r="AW127" i="9"/>
  <c r="F127" i="9"/>
  <c r="D128" i="9"/>
  <c r="AR128" i="9"/>
  <c r="P128" i="9"/>
  <c r="AT128" i="9"/>
  <c r="AD128" i="9"/>
  <c r="C128" i="9" s="1"/>
  <c r="N128" i="9"/>
  <c r="X128" i="9"/>
  <c r="AO128" i="9"/>
  <c r="W128" i="9"/>
  <c r="AE128" i="9"/>
  <c r="AI128" i="9"/>
  <c r="AP128" i="9"/>
  <c r="I128" i="9"/>
  <c r="AS128" i="9"/>
  <c r="AW128" i="9"/>
  <c r="H128" i="9"/>
  <c r="AN128" i="9"/>
  <c r="AQ128" i="9"/>
  <c r="AU128" i="9"/>
  <c r="K128" i="9"/>
  <c r="Z128" i="9" s="1"/>
  <c r="AA128" i="9" s="1"/>
  <c r="F128" i="9"/>
  <c r="AB128" i="9"/>
  <c r="L128" i="9"/>
  <c r="J128" i="9"/>
  <c r="G128" i="9"/>
  <c r="AH128" i="9"/>
  <c r="Q128" i="9"/>
  <c r="AX128" i="9"/>
  <c r="O128" i="9"/>
  <c r="AK128" i="9"/>
  <c r="AF128" i="9"/>
  <c r="AJ128" i="9"/>
  <c r="Y128" i="9"/>
  <c r="S128" i="9"/>
  <c r="T128" i="9" s="1"/>
  <c r="R128" i="9"/>
  <c r="M128" i="9"/>
  <c r="E128" i="9"/>
  <c r="AV128" i="9"/>
  <c r="I141" i="13"/>
  <c r="AX150" i="3"/>
  <c r="AX142" i="3"/>
  <c r="I133" i="13"/>
  <c r="AX149" i="3"/>
  <c r="I140" i="13"/>
  <c r="I135" i="13"/>
  <c r="AX144" i="3"/>
  <c r="I134" i="13"/>
  <c r="AX143" i="3"/>
  <c r="AJ132" i="9"/>
  <c r="N132" i="9"/>
  <c r="AT132" i="9"/>
  <c r="M132" i="9"/>
  <c r="AQ132" i="9"/>
  <c r="AN132" i="9"/>
  <c r="AV132" i="9"/>
  <c r="R132" i="9"/>
  <c r="AF132" i="9"/>
  <c r="L132" i="9"/>
  <c r="D132" i="9"/>
  <c r="H132" i="9"/>
  <c r="AD132" i="9"/>
  <c r="C132" i="9" s="1"/>
  <c r="J132" i="9"/>
  <c r="AB132" i="9"/>
  <c r="Y132" i="9"/>
  <c r="AH132" i="9"/>
  <c r="AE132" i="9"/>
  <c r="AR132" i="9"/>
  <c r="AX132" i="9"/>
  <c r="P132" i="9"/>
  <c r="AP132" i="9"/>
  <c r="AS132" i="9"/>
  <c r="AK132" i="9"/>
  <c r="AU132" i="9"/>
  <c r="S132" i="9"/>
  <c r="T132" i="9" s="1"/>
  <c r="E132" i="9"/>
  <c r="G132" i="9"/>
  <c r="AW132" i="9"/>
  <c r="W132" i="9"/>
  <c r="O132" i="9"/>
  <c r="AI132" i="9"/>
  <c r="F132" i="9"/>
  <c r="Q132" i="9"/>
  <c r="K132" i="9"/>
  <c r="Z132" i="9" s="1"/>
  <c r="AA132" i="9" s="1"/>
  <c r="X132" i="9"/>
  <c r="AO132" i="9"/>
  <c r="AX145" i="3"/>
  <c r="I136" i="13"/>
  <c r="AX126" i="9"/>
  <c r="AJ126" i="9"/>
  <c r="AN126" i="9"/>
  <c r="X126" i="9"/>
  <c r="K126" i="9"/>
  <c r="Z126" i="9" s="1"/>
  <c r="AA126" i="9" s="1"/>
  <c r="AD126" i="9"/>
  <c r="C126" i="9" s="1"/>
  <c r="AP126" i="9"/>
  <c r="F126" i="9"/>
  <c r="Q126" i="9"/>
  <c r="P126" i="9"/>
  <c r="AU126" i="9"/>
  <c r="AS126" i="9"/>
  <c r="AV126" i="9"/>
  <c r="AF126" i="9"/>
  <c r="S126" i="9"/>
  <c r="T126" i="9" s="1"/>
  <c r="AH126" i="9"/>
  <c r="AT126" i="9"/>
  <c r="AE126" i="9"/>
  <c r="AQ126" i="9"/>
  <c r="D126" i="9"/>
  <c r="AI126" i="9"/>
  <c r="J126" i="9"/>
  <c r="E126" i="9"/>
  <c r="M126" i="9"/>
  <c r="N126" i="9"/>
  <c r="G126" i="9"/>
  <c r="AW126" i="9"/>
  <c r="H126" i="9"/>
  <c r="O126" i="9"/>
  <c r="AR126" i="9"/>
  <c r="W126" i="9"/>
  <c r="Y126" i="9"/>
  <c r="R126" i="9"/>
  <c r="L126" i="9"/>
  <c r="AK126" i="9"/>
  <c r="AB126" i="9"/>
  <c r="AM14" i="3"/>
  <c r="BG14" i="3" s="1"/>
  <c r="M5" i="13"/>
  <c r="AM13" i="3"/>
  <c r="BG13" i="3" s="1"/>
  <c r="M4" i="13"/>
  <c r="AM12" i="3"/>
  <c r="BG12" i="3" s="1"/>
  <c r="M3" i="13"/>
  <c r="M6" i="13"/>
  <c r="F5" i="3"/>
  <c r="Q11" i="3" s="1"/>
  <c r="F4" i="3"/>
  <c r="F3" i="3"/>
  <c r="I133" i="9" l="1"/>
  <c r="GQ136" i="3"/>
  <c r="BP143" i="3"/>
  <c r="BQ143" i="3"/>
  <c r="FF143" i="3" s="1" a="1"/>
  <c r="FF143" i="3" s="1"/>
  <c r="BQ150" i="3"/>
  <c r="FF150" i="3" s="1" a="1"/>
  <c r="FF150" i="3" s="1"/>
  <c r="BP150" i="3"/>
  <c r="GQ85" i="3"/>
  <c r="BP146" i="3"/>
  <c r="BQ146" i="3"/>
  <c r="FF146" i="3" s="1" a="1"/>
  <c r="FF146" i="3" s="1"/>
  <c r="GQ83" i="3"/>
  <c r="GQ84" i="3"/>
  <c r="BP144" i="3"/>
  <c r="BQ144" i="3"/>
  <c r="FF144" i="3" s="1" a="1"/>
  <c r="FF144" i="3" s="1"/>
  <c r="BQ145" i="3"/>
  <c r="FF145" i="3" s="1" a="1"/>
  <c r="FF145" i="3" s="1"/>
  <c r="BP145" i="3"/>
  <c r="BQ147" i="3"/>
  <c r="FF147" i="3" s="1" a="1"/>
  <c r="FF147" i="3" s="1"/>
  <c r="BP147" i="3"/>
  <c r="BQ149" i="3"/>
  <c r="FF149" i="3" s="1" a="1"/>
  <c r="FF149" i="3" s="1"/>
  <c r="BP149" i="3"/>
  <c r="GQ89" i="3"/>
  <c r="GQ91" i="3"/>
  <c r="BP148" i="3"/>
  <c r="BQ148" i="3"/>
  <c r="FF148" i="3" s="1" a="1"/>
  <c r="FF148" i="3" s="1"/>
  <c r="BQ142" i="3"/>
  <c r="FF142" i="3" s="1" a="1"/>
  <c r="FF142" i="3" s="1"/>
  <c r="BP142" i="3"/>
  <c r="GQ90" i="3"/>
  <c r="CO11" i="3"/>
  <c r="CO12" i="3"/>
  <c r="CO16" i="3"/>
  <c r="CO15" i="3"/>
  <c r="CO14" i="3"/>
  <c r="CO13" i="3"/>
  <c r="BH13" i="3"/>
  <c r="BH12" i="3"/>
  <c r="BH14" i="3"/>
  <c r="BD132" i="9"/>
  <c r="BD126" i="9"/>
  <c r="BD133" i="9"/>
  <c r="BD128" i="9"/>
  <c r="BD127" i="9"/>
  <c r="GD84" i="3"/>
  <c r="GD85" i="3"/>
  <c r="CD89" i="3"/>
  <c r="EK89" i="3" s="1"/>
  <c r="BB81" i="9"/>
  <c r="GD136" i="3"/>
  <c r="GD83" i="3"/>
  <c r="GD90" i="3"/>
  <c r="CD84" i="3"/>
  <c r="EK84" i="3" s="1"/>
  <c r="BB76" i="9"/>
  <c r="CD90" i="3"/>
  <c r="EK90" i="3" s="1"/>
  <c r="BB82" i="9"/>
  <c r="CD91" i="3"/>
  <c r="EK91" i="3" s="1"/>
  <c r="CD85" i="3"/>
  <c r="EK85" i="3" s="1"/>
  <c r="BB77" i="9"/>
  <c r="GD89" i="3"/>
  <c r="CD83" i="3"/>
  <c r="EK83" i="3" s="1"/>
  <c r="BB75" i="9"/>
  <c r="GD91" i="3"/>
  <c r="AG133" i="9"/>
  <c r="AG128" i="9"/>
  <c r="AG126" i="9"/>
  <c r="AG132" i="9"/>
  <c r="AG127" i="9"/>
  <c r="I132" i="9"/>
  <c r="U132" i="9"/>
  <c r="V132" i="9" s="1"/>
  <c r="I127" i="9"/>
  <c r="CO151" i="3"/>
  <c r="CO153" i="3"/>
  <c r="CO154" i="3"/>
  <c r="CO156" i="3"/>
  <c r="CO159" i="3"/>
  <c r="CO161" i="3"/>
  <c r="CO165" i="3"/>
  <c r="CO169" i="3"/>
  <c r="CO173" i="3"/>
  <c r="CO177" i="3"/>
  <c r="CO190" i="3"/>
  <c r="CO192" i="3"/>
  <c r="CO196" i="3"/>
  <c r="CO200" i="3"/>
  <c r="CO204" i="3"/>
  <c r="CO208" i="3"/>
  <c r="CO212" i="3"/>
  <c r="CO216" i="3"/>
  <c r="CO220" i="3"/>
  <c r="CO224" i="3"/>
  <c r="CO254" i="3"/>
  <c r="CO256" i="3"/>
  <c r="CO258" i="3"/>
  <c r="CO260" i="3"/>
  <c r="CO162" i="3"/>
  <c r="CO164" i="3"/>
  <c r="CO166" i="3"/>
  <c r="CO170" i="3"/>
  <c r="CO174" i="3"/>
  <c r="CO178" i="3"/>
  <c r="CO180" i="3"/>
  <c r="CO182" i="3"/>
  <c r="CO184" i="3"/>
  <c r="CO186" i="3"/>
  <c r="CO188" i="3"/>
  <c r="CO193" i="3"/>
  <c r="CO197" i="3"/>
  <c r="CO201" i="3"/>
  <c r="CO205" i="3"/>
  <c r="CO209" i="3"/>
  <c r="CO213" i="3"/>
  <c r="CO217" i="3"/>
  <c r="CO221" i="3"/>
  <c r="CO225" i="3"/>
  <c r="CO227" i="3"/>
  <c r="CO229" i="3"/>
  <c r="CO231" i="3"/>
  <c r="CO233" i="3"/>
  <c r="CO235" i="3"/>
  <c r="CO237" i="3"/>
  <c r="CO239" i="3"/>
  <c r="CO241" i="3"/>
  <c r="CO243" i="3"/>
  <c r="CO245" i="3"/>
  <c r="CO247" i="3"/>
  <c r="CO249" i="3"/>
  <c r="CO251" i="3"/>
  <c r="CO152" i="3"/>
  <c r="CO155" i="3"/>
  <c r="CO157" i="3"/>
  <c r="CO158" i="3"/>
  <c r="CO160" i="3"/>
  <c r="CO163" i="3"/>
  <c r="CO168" i="3"/>
  <c r="CO172" i="3"/>
  <c r="CO176" i="3"/>
  <c r="CO189" i="3"/>
  <c r="CO191" i="3"/>
  <c r="CO194" i="3"/>
  <c r="CO198" i="3"/>
  <c r="CO202" i="3"/>
  <c r="CO206" i="3"/>
  <c r="CO210" i="3"/>
  <c r="CO214" i="3"/>
  <c r="CO218" i="3"/>
  <c r="CO222" i="3"/>
  <c r="CO253" i="3"/>
  <c r="CO255" i="3"/>
  <c r="CO257" i="3"/>
  <c r="CO259" i="3"/>
  <c r="CO167" i="3"/>
  <c r="CO171" i="3"/>
  <c r="CO175" i="3"/>
  <c r="CO179" i="3"/>
  <c r="CO181" i="3"/>
  <c r="CO183" i="3"/>
  <c r="CO185" i="3"/>
  <c r="CO187" i="3"/>
  <c r="CO195" i="3"/>
  <c r="CO199" i="3"/>
  <c r="CO203" i="3"/>
  <c r="CO207" i="3"/>
  <c r="CO211" i="3"/>
  <c r="CO215" i="3"/>
  <c r="CO219" i="3"/>
  <c r="CO223" i="3"/>
  <c r="CO226" i="3"/>
  <c r="CO228" i="3"/>
  <c r="CO230" i="3"/>
  <c r="CO232" i="3"/>
  <c r="CO234" i="3"/>
  <c r="CO236" i="3"/>
  <c r="CO238" i="3"/>
  <c r="CO240" i="3"/>
  <c r="CO242" i="3"/>
  <c r="CO244" i="3"/>
  <c r="CO246" i="3"/>
  <c r="CO248" i="3"/>
  <c r="CO250" i="3"/>
  <c r="CO252" i="3"/>
  <c r="B137" i="9"/>
  <c r="B135" i="9"/>
  <c r="B141" i="9"/>
  <c r="B134" i="9"/>
  <c r="B142" i="9"/>
  <c r="B136" i="9"/>
  <c r="B138" i="9"/>
  <c r="B139" i="9"/>
  <c r="B140" i="9"/>
  <c r="U133" i="9"/>
  <c r="V133" i="9" s="1"/>
  <c r="Q141" i="13"/>
  <c r="P137" i="13"/>
  <c r="P134" i="13"/>
  <c r="Q135" i="13"/>
  <c r="P141" i="13"/>
  <c r="Q137" i="13"/>
  <c r="P138" i="13"/>
  <c r="P139" i="13"/>
  <c r="U126" i="9"/>
  <c r="V126" i="9" s="1"/>
  <c r="I126" i="9"/>
  <c r="Q136" i="13"/>
  <c r="Q134" i="13"/>
  <c r="P140" i="13"/>
  <c r="Q133" i="13"/>
  <c r="U128" i="9"/>
  <c r="V128" i="9" s="1"/>
  <c r="Q138" i="13"/>
  <c r="Q139" i="13"/>
  <c r="P136" i="13"/>
  <c r="P135" i="13"/>
  <c r="Q140" i="13"/>
  <c r="P133" i="13"/>
  <c r="U127" i="9"/>
  <c r="V127" i="9" s="1"/>
  <c r="CO37" i="3"/>
  <c r="CO39" i="3"/>
  <c r="CO41" i="3"/>
  <c r="CO43" i="3"/>
  <c r="CO45" i="3"/>
  <c r="CO62" i="3"/>
  <c r="CO64" i="3"/>
  <c r="CO66" i="3"/>
  <c r="CO68" i="3"/>
  <c r="CO70" i="3"/>
  <c r="CO72" i="3"/>
  <c r="CO73" i="3"/>
  <c r="CO83" i="3"/>
  <c r="CO87" i="3"/>
  <c r="CO90" i="3"/>
  <c r="CO94" i="3"/>
  <c r="CO98" i="3"/>
  <c r="CO99" i="3"/>
  <c r="CO103" i="3"/>
  <c r="CO107" i="3"/>
  <c r="CO111" i="3"/>
  <c r="CO115" i="3"/>
  <c r="CO119" i="3"/>
  <c r="CO123" i="3"/>
  <c r="CO127" i="3"/>
  <c r="CO131" i="3"/>
  <c r="CO137" i="3"/>
  <c r="CO138" i="3"/>
  <c r="CO142" i="3"/>
  <c r="CO146" i="3"/>
  <c r="CO150" i="3"/>
  <c r="CO17" i="3"/>
  <c r="CO18" i="3"/>
  <c r="CO19" i="3"/>
  <c r="CO20" i="3"/>
  <c r="CO21" i="3"/>
  <c r="CO22" i="3"/>
  <c r="CO23" i="3"/>
  <c r="CO24" i="3"/>
  <c r="CO25" i="3"/>
  <c r="CO26" i="3"/>
  <c r="CO27" i="3"/>
  <c r="CO28" i="3"/>
  <c r="CO29" i="3"/>
  <c r="CO30" i="3"/>
  <c r="CO31" i="3"/>
  <c r="CO32" i="3"/>
  <c r="CO33" i="3"/>
  <c r="CO34" i="3"/>
  <c r="CO35" i="3"/>
  <c r="CO36" i="3"/>
  <c r="CO47" i="3"/>
  <c r="CO49" i="3"/>
  <c r="CO51" i="3"/>
  <c r="CO53" i="3"/>
  <c r="CO55" i="3"/>
  <c r="CO57" i="3"/>
  <c r="CO59" i="3"/>
  <c r="CO74" i="3"/>
  <c r="CO75" i="3"/>
  <c r="CO76" i="3"/>
  <c r="CO77" i="3"/>
  <c r="CO78" i="3"/>
  <c r="CO79" i="3"/>
  <c r="CO80" i="3"/>
  <c r="CO84" i="3"/>
  <c r="CO88" i="3"/>
  <c r="CO91" i="3"/>
  <c r="CO95" i="3"/>
  <c r="CO102" i="3"/>
  <c r="CO106" i="3"/>
  <c r="CO110" i="3"/>
  <c r="CO114" i="3"/>
  <c r="CO118" i="3"/>
  <c r="CO122" i="3"/>
  <c r="CO126" i="3"/>
  <c r="CO130" i="3"/>
  <c r="CO134" i="3"/>
  <c r="CO141" i="3"/>
  <c r="CO145" i="3"/>
  <c r="CO149" i="3"/>
  <c r="CO38" i="3"/>
  <c r="CO40" i="3"/>
  <c r="CO42" i="3"/>
  <c r="CO44" i="3"/>
  <c r="CO46" i="3"/>
  <c r="CO61" i="3"/>
  <c r="CO63" i="3"/>
  <c r="CO65" i="3"/>
  <c r="CO67" i="3"/>
  <c r="CO69" i="3"/>
  <c r="CO71" i="3"/>
  <c r="CO81" i="3"/>
  <c r="CO85" i="3"/>
  <c r="CO92" i="3"/>
  <c r="CO96" i="3"/>
  <c r="CO101" i="3"/>
  <c r="CO105" i="3"/>
  <c r="CO109" i="3"/>
  <c r="CO113" i="3"/>
  <c r="CO117" i="3"/>
  <c r="CO121" i="3"/>
  <c r="CO125" i="3"/>
  <c r="CO129" i="3"/>
  <c r="CO133" i="3"/>
  <c r="CO139" i="3"/>
  <c r="CO140" i="3"/>
  <c r="CO144" i="3"/>
  <c r="CO148" i="3"/>
  <c r="CO48" i="3"/>
  <c r="CO50" i="3"/>
  <c r="CO52" i="3"/>
  <c r="CO54" i="3"/>
  <c r="CO56" i="3"/>
  <c r="CO58" i="3"/>
  <c r="CO60" i="3"/>
  <c r="CO82" i="3"/>
  <c r="CO86" i="3"/>
  <c r="CO89" i="3"/>
  <c r="CO93" i="3"/>
  <c r="CO97" i="3"/>
  <c r="CO100" i="3"/>
  <c r="CO104" i="3"/>
  <c r="CO108" i="3"/>
  <c r="CO112" i="3"/>
  <c r="CO116" i="3"/>
  <c r="CO120" i="3"/>
  <c r="CO124" i="3"/>
  <c r="CO128" i="3"/>
  <c r="CO132" i="3"/>
  <c r="CO135" i="3"/>
  <c r="CO136" i="3"/>
  <c r="CO143" i="3"/>
  <c r="CO147" i="3"/>
  <c r="B22" i="9"/>
  <c r="B83" i="9"/>
  <c r="B90" i="9"/>
  <c r="B23" i="9"/>
  <c r="B84" i="9"/>
  <c r="B65" i="9"/>
  <c r="B27" i="9"/>
  <c r="B85" i="9"/>
  <c r="B21" i="9"/>
  <c r="B28" i="9"/>
  <c r="B89" i="9"/>
  <c r="Q25" i="3"/>
  <c r="Q32" i="3"/>
  <c r="Q34" i="3"/>
  <c r="Q38" i="3"/>
  <c r="Q46" i="3"/>
  <c r="Q48" i="3"/>
  <c r="Q50" i="3"/>
  <c r="Q58" i="3"/>
  <c r="K49" i="13" s="1"/>
  <c r="Q60" i="3"/>
  <c r="K51" i="13" s="1"/>
  <c r="Q63" i="3"/>
  <c r="K54" i="13" s="1"/>
  <c r="Q65" i="3"/>
  <c r="K56" i="13" s="1"/>
  <c r="Q71" i="3"/>
  <c r="Q74" i="3"/>
  <c r="Q76" i="3"/>
  <c r="Q81" i="3"/>
  <c r="Q84" i="3"/>
  <c r="Q87" i="3"/>
  <c r="Q98" i="3"/>
  <c r="Q101" i="3"/>
  <c r="Q105" i="3"/>
  <c r="Q109" i="3"/>
  <c r="Q110" i="3"/>
  <c r="Q112" i="3"/>
  <c r="Q114" i="3"/>
  <c r="Q120" i="3"/>
  <c r="Q122" i="3"/>
  <c r="Q128" i="3"/>
  <c r="Q129" i="3"/>
  <c r="Q136" i="3"/>
  <c r="Q16" i="3"/>
  <c r="Q23" i="3"/>
  <c r="Q27" i="3"/>
  <c r="Q30" i="3"/>
  <c r="Q33" i="3"/>
  <c r="Q41" i="3"/>
  <c r="Q45" i="3"/>
  <c r="Q49" i="3"/>
  <c r="Q53" i="3"/>
  <c r="K44" i="13" s="1"/>
  <c r="Q56" i="3"/>
  <c r="K47" i="13" s="1"/>
  <c r="Q62" i="3"/>
  <c r="K53" i="13" s="1"/>
  <c r="Q64" i="3"/>
  <c r="K55" i="13" s="1"/>
  <c r="Q70" i="3"/>
  <c r="K61" i="13" s="1"/>
  <c r="Q72" i="3"/>
  <c r="Q78" i="3"/>
  <c r="Q80" i="3"/>
  <c r="Q82" i="3"/>
  <c r="Q86" i="3"/>
  <c r="Q90" i="3"/>
  <c r="Q95" i="3"/>
  <c r="Q96" i="3"/>
  <c r="Q104" i="3"/>
  <c r="Q106" i="3"/>
  <c r="Q111" i="3"/>
  <c r="Q113" i="3"/>
  <c r="Q115" i="3"/>
  <c r="Q121" i="3"/>
  <c r="Q123" i="3"/>
  <c r="Q130" i="3"/>
  <c r="Q131" i="3"/>
  <c r="Q133" i="3"/>
  <c r="Q15" i="3"/>
  <c r="R15" i="3" s="1"/>
  <c r="Q19" i="3"/>
  <c r="Q21" i="3"/>
  <c r="Q22" i="3"/>
  <c r="Q24" i="3"/>
  <c r="Q26" i="3"/>
  <c r="Q29" i="3"/>
  <c r="Q36" i="3"/>
  <c r="Q40" i="3"/>
  <c r="Q43" i="3"/>
  <c r="Q47" i="3"/>
  <c r="Q51" i="3"/>
  <c r="K42" i="13" s="1"/>
  <c r="Q52" i="3"/>
  <c r="K43" i="13" s="1"/>
  <c r="Q55" i="3"/>
  <c r="K46" i="13" s="1"/>
  <c r="Q59" i="3"/>
  <c r="K50" i="13" s="1"/>
  <c r="Q61" i="3"/>
  <c r="K52" i="13" s="1"/>
  <c r="Q67" i="3"/>
  <c r="K58" i="13" s="1"/>
  <c r="Q69" i="3"/>
  <c r="K60" i="13" s="1"/>
  <c r="Q75" i="3"/>
  <c r="Q85" i="3"/>
  <c r="Q88" i="3"/>
  <c r="Q91" i="3"/>
  <c r="Q92" i="3"/>
  <c r="Q99" i="3"/>
  <c r="Q100" i="3"/>
  <c r="Q102" i="3"/>
  <c r="Q116" i="3"/>
  <c r="Q118" i="3"/>
  <c r="Q124" i="3"/>
  <c r="Q125" i="3"/>
  <c r="Q134" i="3"/>
  <c r="Q135" i="3"/>
  <c r="Q137" i="3"/>
  <c r="Q145" i="3"/>
  <c r="Q17" i="3"/>
  <c r="Q18" i="3"/>
  <c r="Q20" i="3"/>
  <c r="Q28" i="3"/>
  <c r="Q31" i="3"/>
  <c r="Q35" i="3"/>
  <c r="Q37" i="3"/>
  <c r="Q39" i="3"/>
  <c r="Q42" i="3"/>
  <c r="Q44" i="3"/>
  <c r="Q54" i="3"/>
  <c r="K45" i="13" s="1"/>
  <c r="Q57" i="3"/>
  <c r="K48" i="13" s="1"/>
  <c r="Q66" i="3"/>
  <c r="K57" i="13" s="1"/>
  <c r="Q68" i="3"/>
  <c r="K59" i="13" s="1"/>
  <c r="Q73" i="3"/>
  <c r="Q77" i="3"/>
  <c r="Q79" i="3"/>
  <c r="Q83" i="3"/>
  <c r="Q89" i="3"/>
  <c r="Q93" i="3"/>
  <c r="Q94" i="3"/>
  <c r="Q97" i="3"/>
  <c r="Q103" i="3"/>
  <c r="Q107" i="3"/>
  <c r="Q108" i="3"/>
  <c r="Q117" i="3"/>
  <c r="Q119" i="3"/>
  <c r="Q126" i="3"/>
  <c r="Q127" i="3"/>
  <c r="Q139" i="3"/>
  <c r="Q144" i="3"/>
  <c r="Q150" i="3"/>
  <c r="Q154" i="3"/>
  <c r="Q160" i="3"/>
  <c r="Q162" i="3"/>
  <c r="Q164" i="3"/>
  <c r="Q169" i="3"/>
  <c r="Q171" i="3"/>
  <c r="Q176" i="3"/>
  <c r="Q178" i="3"/>
  <c r="Q180" i="3"/>
  <c r="Q182" i="3"/>
  <c r="Q188" i="3"/>
  <c r="Q202" i="3"/>
  <c r="Q214" i="3"/>
  <c r="Q216" i="3"/>
  <c r="Q218" i="3"/>
  <c r="Q221" i="3"/>
  <c r="Q222" i="3"/>
  <c r="Q228" i="3"/>
  <c r="Q229" i="3"/>
  <c r="Q232" i="3"/>
  <c r="Q238" i="3"/>
  <c r="Q245" i="3"/>
  <c r="Q247" i="3"/>
  <c r="Q248" i="3"/>
  <c r="Q253" i="3"/>
  <c r="Q255" i="3"/>
  <c r="Q258" i="3"/>
  <c r="Q143" i="3"/>
  <c r="Q149" i="3"/>
  <c r="Q151" i="3"/>
  <c r="Q155" i="3"/>
  <c r="Q158" i="3"/>
  <c r="Q165" i="3"/>
  <c r="Q167" i="3"/>
  <c r="Q174" i="3"/>
  <c r="Q181" i="3"/>
  <c r="Q184" i="3"/>
  <c r="Q199" i="3"/>
  <c r="Q201" i="3"/>
  <c r="Q204" i="3"/>
  <c r="Q207" i="3"/>
  <c r="Q208" i="3"/>
  <c r="Q210" i="3"/>
  <c r="Q213" i="3"/>
  <c r="Q219" i="3"/>
  <c r="Q223" i="3"/>
  <c r="Q230" i="3"/>
  <c r="Q235" i="3"/>
  <c r="Q237" i="3"/>
  <c r="Q239" i="3"/>
  <c r="Q242" i="3"/>
  <c r="Q244" i="3"/>
  <c r="Q246" i="3"/>
  <c r="Q252" i="3"/>
  <c r="Q254" i="3"/>
  <c r="Q259" i="3"/>
  <c r="Q146" i="3"/>
  <c r="Q152" i="3"/>
  <c r="Q156" i="3"/>
  <c r="Q161" i="3"/>
  <c r="Q163" i="3"/>
  <c r="Q168" i="3"/>
  <c r="Q170" i="3"/>
  <c r="Q172" i="3"/>
  <c r="Q177" i="3"/>
  <c r="Q179" i="3"/>
  <c r="Q183" i="3"/>
  <c r="Q185" i="3"/>
  <c r="Q186" i="3"/>
  <c r="Q187" i="3"/>
  <c r="Q189" i="3"/>
  <c r="Q190" i="3"/>
  <c r="Q192" i="3"/>
  <c r="Q193" i="3"/>
  <c r="Q194" i="3"/>
  <c r="Q198" i="3"/>
  <c r="Q206" i="3"/>
  <c r="Q212" i="3"/>
  <c r="Q215" i="3"/>
  <c r="Q220" i="3"/>
  <c r="Q224" i="3"/>
  <c r="Q225" i="3"/>
  <c r="Q233" i="3"/>
  <c r="Q249" i="3"/>
  <c r="Q250" i="3"/>
  <c r="Q256" i="3"/>
  <c r="Q132" i="3"/>
  <c r="Q138" i="3"/>
  <c r="Q140" i="3"/>
  <c r="Q141" i="3"/>
  <c r="Q142" i="3"/>
  <c r="Q147" i="3"/>
  <c r="Q148" i="3"/>
  <c r="Q153" i="3"/>
  <c r="Q157" i="3"/>
  <c r="Q159" i="3"/>
  <c r="Q166" i="3"/>
  <c r="Q173" i="3"/>
  <c r="Q175" i="3"/>
  <c r="Q191" i="3"/>
  <c r="Q195" i="3"/>
  <c r="Q196" i="3"/>
  <c r="Q197" i="3"/>
  <c r="Q200" i="3"/>
  <c r="Q203" i="3"/>
  <c r="Q205" i="3"/>
  <c r="Q209" i="3"/>
  <c r="Q211" i="3"/>
  <c r="Q217" i="3"/>
  <c r="Q226" i="3"/>
  <c r="Q227" i="3"/>
  <c r="Q231" i="3"/>
  <c r="Q234" i="3"/>
  <c r="Q236" i="3"/>
  <c r="Q240" i="3"/>
  <c r="Q241" i="3"/>
  <c r="Q243" i="3"/>
  <c r="Q251" i="3"/>
  <c r="Q257" i="3"/>
  <c r="Q260" i="3"/>
  <c r="N8" i="3"/>
  <c r="Q12" i="3"/>
  <c r="Q13" i="3"/>
  <c r="Q14" i="3"/>
  <c r="AC152" i="10"/>
  <c r="AE152" i="10" s="1"/>
  <c r="AC151" i="10"/>
  <c r="AE151" i="10" s="1"/>
  <c r="AR150" i="10"/>
  <c r="AQ150" i="10"/>
  <c r="AP150" i="10"/>
  <c r="AO150" i="10"/>
  <c r="AL150" i="10"/>
  <c r="AK150" i="10"/>
  <c r="AJ150" i="10"/>
  <c r="AI150" i="10"/>
  <c r="AC150" i="10"/>
  <c r="AE150" i="10" s="1"/>
  <c r="AR149" i="10"/>
  <c r="AQ149" i="10"/>
  <c r="AP149" i="10"/>
  <c r="AO149" i="10"/>
  <c r="AL149" i="10"/>
  <c r="AK149" i="10"/>
  <c r="AJ149" i="10"/>
  <c r="AI149" i="10"/>
  <c r="AC149" i="10"/>
  <c r="AE149" i="10" s="1"/>
  <c r="AR148" i="10"/>
  <c r="AQ148" i="10"/>
  <c r="AP148" i="10"/>
  <c r="AO148" i="10"/>
  <c r="AL148" i="10"/>
  <c r="AK148" i="10"/>
  <c r="AJ148" i="10"/>
  <c r="AI148" i="10"/>
  <c r="AC148" i="10"/>
  <c r="AE148" i="10" s="1"/>
  <c r="AR147" i="10"/>
  <c r="AQ147" i="10"/>
  <c r="AP147" i="10"/>
  <c r="AO147" i="10"/>
  <c r="AL147" i="10"/>
  <c r="AK147" i="10"/>
  <c r="AJ147" i="10"/>
  <c r="AI147" i="10"/>
  <c r="AC147" i="10"/>
  <c r="AE147" i="10" s="1"/>
  <c r="AR146" i="10"/>
  <c r="AQ146" i="10"/>
  <c r="AP146" i="10"/>
  <c r="AO146" i="10"/>
  <c r="AL146" i="10"/>
  <c r="AK146" i="10"/>
  <c r="AJ146" i="10"/>
  <c r="AI146" i="10"/>
  <c r="AC146" i="10"/>
  <c r="AE146" i="10" s="1"/>
  <c r="AC135" i="10"/>
  <c r="AE135" i="10" s="1"/>
  <c r="AC134" i="10"/>
  <c r="AE134" i="10" s="1"/>
  <c r="AR133" i="10"/>
  <c r="AQ133" i="10"/>
  <c r="AP133" i="10"/>
  <c r="AO133" i="10"/>
  <c r="AL133" i="10"/>
  <c r="AK133" i="10"/>
  <c r="AJ133" i="10"/>
  <c r="AI133" i="10"/>
  <c r="AC133" i="10"/>
  <c r="AE133" i="10" s="1"/>
  <c r="AR132" i="10"/>
  <c r="AQ132" i="10"/>
  <c r="AP132" i="10"/>
  <c r="AO132" i="10"/>
  <c r="AL132" i="10"/>
  <c r="AK132" i="10"/>
  <c r="AJ132" i="10"/>
  <c r="AI132" i="10"/>
  <c r="AC132" i="10"/>
  <c r="AE132" i="10" s="1"/>
  <c r="AR131" i="10"/>
  <c r="AQ131" i="10"/>
  <c r="AP131" i="10"/>
  <c r="AO131" i="10"/>
  <c r="AL131" i="10"/>
  <c r="AK131" i="10"/>
  <c r="AJ131" i="10"/>
  <c r="AI131" i="10"/>
  <c r="AC131" i="10"/>
  <c r="AE131" i="10" s="1"/>
  <c r="AR130" i="10"/>
  <c r="AQ130" i="10"/>
  <c r="AP130" i="10"/>
  <c r="AO130" i="10"/>
  <c r="AL130" i="10"/>
  <c r="AK130" i="10"/>
  <c r="AJ130" i="10"/>
  <c r="AI130" i="10"/>
  <c r="AC130" i="10"/>
  <c r="AE130" i="10" s="1"/>
  <c r="AR129" i="10"/>
  <c r="AQ129" i="10"/>
  <c r="AP129" i="10"/>
  <c r="AO129" i="10"/>
  <c r="AL129" i="10"/>
  <c r="AK129" i="10"/>
  <c r="AJ129" i="10"/>
  <c r="AI129" i="10"/>
  <c r="AC129" i="10"/>
  <c r="AE129" i="10" s="1"/>
  <c r="AC118" i="10"/>
  <c r="AE118" i="10" s="1"/>
  <c r="AC117" i="10"/>
  <c r="AE117" i="10" s="1"/>
  <c r="AR116" i="10"/>
  <c r="AQ116" i="10"/>
  <c r="AP116" i="10"/>
  <c r="AO116" i="10"/>
  <c r="AL116" i="10"/>
  <c r="AK116" i="10"/>
  <c r="AJ116" i="10"/>
  <c r="AI116" i="10"/>
  <c r="AC116" i="10"/>
  <c r="AE116" i="10" s="1"/>
  <c r="AR115" i="10"/>
  <c r="AQ115" i="10"/>
  <c r="AP115" i="10"/>
  <c r="AO115" i="10"/>
  <c r="AL115" i="10"/>
  <c r="AK115" i="10"/>
  <c r="AJ115" i="10"/>
  <c r="AI115" i="10"/>
  <c r="AC115" i="10"/>
  <c r="AE115" i="10" s="1"/>
  <c r="AR114" i="10"/>
  <c r="AQ114" i="10"/>
  <c r="AP114" i="10"/>
  <c r="AO114" i="10"/>
  <c r="AL114" i="10"/>
  <c r="AK114" i="10"/>
  <c r="AJ114" i="10"/>
  <c r="AI114" i="10"/>
  <c r="AC114" i="10"/>
  <c r="AE114" i="10" s="1"/>
  <c r="AR113" i="10"/>
  <c r="AQ113" i="10"/>
  <c r="AP113" i="10"/>
  <c r="AO113" i="10"/>
  <c r="AL113" i="10"/>
  <c r="AK113" i="10"/>
  <c r="AJ113" i="10"/>
  <c r="AI113" i="10"/>
  <c r="AC113" i="10"/>
  <c r="AE113" i="10" s="1"/>
  <c r="AR112" i="10"/>
  <c r="AQ112" i="10"/>
  <c r="AP112" i="10"/>
  <c r="AO112" i="10"/>
  <c r="AL112" i="10"/>
  <c r="AK112" i="10"/>
  <c r="AJ112" i="10"/>
  <c r="AI112" i="10"/>
  <c r="AC112" i="10"/>
  <c r="AC101" i="10"/>
  <c r="AE101" i="10" s="1"/>
  <c r="AC100" i="10"/>
  <c r="AE100" i="10" s="1"/>
  <c r="AR99" i="10"/>
  <c r="AQ99" i="10"/>
  <c r="AP99" i="10"/>
  <c r="AO99" i="10"/>
  <c r="AL99" i="10"/>
  <c r="AK99" i="10"/>
  <c r="AJ99" i="10"/>
  <c r="AI99" i="10"/>
  <c r="AC99" i="10"/>
  <c r="AE99" i="10" s="1"/>
  <c r="AR98" i="10"/>
  <c r="AQ98" i="10"/>
  <c r="AP98" i="10"/>
  <c r="AO98" i="10"/>
  <c r="AL98" i="10"/>
  <c r="AK98" i="10"/>
  <c r="AJ98" i="10"/>
  <c r="AI98" i="10"/>
  <c r="AC98" i="10"/>
  <c r="AE98" i="10" s="1"/>
  <c r="AR97" i="10"/>
  <c r="AQ97" i="10"/>
  <c r="AP97" i="10"/>
  <c r="AO97" i="10"/>
  <c r="AL97" i="10"/>
  <c r="AK97" i="10"/>
  <c r="AJ97" i="10"/>
  <c r="AI97" i="10"/>
  <c r="AC97" i="10"/>
  <c r="AE97" i="10" s="1"/>
  <c r="AR96" i="10"/>
  <c r="AQ96" i="10"/>
  <c r="AP96" i="10"/>
  <c r="AO96" i="10"/>
  <c r="AL96" i="10"/>
  <c r="AK96" i="10"/>
  <c r="AJ96" i="10"/>
  <c r="AI96" i="10"/>
  <c r="AC96" i="10"/>
  <c r="AE96" i="10" s="1"/>
  <c r="AR95" i="10"/>
  <c r="AQ95" i="10"/>
  <c r="AP95" i="10"/>
  <c r="AO95" i="10"/>
  <c r="AL95" i="10"/>
  <c r="AK95" i="10"/>
  <c r="AJ95" i="10"/>
  <c r="AI95" i="10"/>
  <c r="AC95" i="10"/>
  <c r="AC84" i="10"/>
  <c r="AE84" i="10" s="1"/>
  <c r="AC83" i="10"/>
  <c r="AE83" i="10" s="1"/>
  <c r="AR82" i="10"/>
  <c r="AQ82" i="10"/>
  <c r="AP82" i="10"/>
  <c r="AO82" i="10"/>
  <c r="AL82" i="10"/>
  <c r="AK82" i="10"/>
  <c r="AJ82" i="10"/>
  <c r="AI82" i="10"/>
  <c r="AC82" i="10"/>
  <c r="AE82" i="10" s="1"/>
  <c r="AR81" i="10"/>
  <c r="AQ81" i="10"/>
  <c r="AP81" i="10"/>
  <c r="AO81" i="10"/>
  <c r="AL81" i="10"/>
  <c r="AK81" i="10"/>
  <c r="AJ81" i="10"/>
  <c r="AI81" i="10"/>
  <c r="AC81" i="10"/>
  <c r="AE81" i="10" s="1"/>
  <c r="AR80" i="10"/>
  <c r="AQ80" i="10"/>
  <c r="AP80" i="10"/>
  <c r="AO80" i="10"/>
  <c r="AL80" i="10"/>
  <c r="AK80" i="10"/>
  <c r="AJ80" i="10"/>
  <c r="AI80" i="10"/>
  <c r="AC80" i="10"/>
  <c r="AE80" i="10" s="1"/>
  <c r="AR79" i="10"/>
  <c r="AQ79" i="10"/>
  <c r="AP79" i="10"/>
  <c r="AO79" i="10"/>
  <c r="AL79" i="10"/>
  <c r="AK79" i="10"/>
  <c r="AJ79" i="10"/>
  <c r="AI79" i="10"/>
  <c r="AC79" i="10"/>
  <c r="AE79" i="10" s="1"/>
  <c r="AR78" i="10"/>
  <c r="AQ78" i="10"/>
  <c r="AP78" i="10"/>
  <c r="AO78" i="10"/>
  <c r="AL78" i="10"/>
  <c r="AK78" i="10"/>
  <c r="AJ78" i="10"/>
  <c r="AI78" i="10"/>
  <c r="AC78" i="10"/>
  <c r="AE78" i="10" s="1"/>
  <c r="AC67" i="10"/>
  <c r="AE67" i="10" s="1"/>
  <c r="AC66" i="10"/>
  <c r="AE66" i="10" s="1"/>
  <c r="AR65" i="10"/>
  <c r="AQ65" i="10"/>
  <c r="AP65" i="10"/>
  <c r="AO65" i="10"/>
  <c r="AL65" i="10"/>
  <c r="AK65" i="10"/>
  <c r="AJ65" i="10"/>
  <c r="AI65" i="10"/>
  <c r="AC65" i="10"/>
  <c r="AE65" i="10" s="1"/>
  <c r="AR64" i="10"/>
  <c r="AQ64" i="10"/>
  <c r="AP64" i="10"/>
  <c r="AO64" i="10"/>
  <c r="AL64" i="10"/>
  <c r="AK64" i="10"/>
  <c r="AJ64" i="10"/>
  <c r="AI64" i="10"/>
  <c r="AC64" i="10"/>
  <c r="AE64" i="10" s="1"/>
  <c r="AR63" i="10"/>
  <c r="AQ63" i="10"/>
  <c r="AP63" i="10"/>
  <c r="AO63" i="10"/>
  <c r="AL63" i="10"/>
  <c r="AK63" i="10"/>
  <c r="AJ63" i="10"/>
  <c r="AI63" i="10"/>
  <c r="AC63" i="10"/>
  <c r="AE63" i="10" s="1"/>
  <c r="AR62" i="10"/>
  <c r="AQ62" i="10"/>
  <c r="AP62" i="10"/>
  <c r="AO62" i="10"/>
  <c r="AL62" i="10"/>
  <c r="AK62" i="10"/>
  <c r="AJ62" i="10"/>
  <c r="AI62" i="10"/>
  <c r="AC62" i="10"/>
  <c r="AE62" i="10" s="1"/>
  <c r="AR61" i="10"/>
  <c r="AQ61" i="10"/>
  <c r="AP61" i="10"/>
  <c r="AO61" i="10"/>
  <c r="AL61" i="10"/>
  <c r="AK61" i="10"/>
  <c r="AJ61" i="10"/>
  <c r="AI61" i="10"/>
  <c r="AC61" i="10"/>
  <c r="AE61" i="10" s="1"/>
  <c r="AC50" i="10"/>
  <c r="AE50" i="10" s="1"/>
  <c r="AC49" i="10"/>
  <c r="AE49" i="10" s="1"/>
  <c r="AR48" i="10"/>
  <c r="AQ48" i="10"/>
  <c r="AP48" i="10"/>
  <c r="AO48" i="10"/>
  <c r="AL48" i="10"/>
  <c r="AK48" i="10"/>
  <c r="AJ48" i="10"/>
  <c r="AI48" i="10"/>
  <c r="AC48" i="10"/>
  <c r="AE48" i="10" s="1"/>
  <c r="AR47" i="10"/>
  <c r="AQ47" i="10"/>
  <c r="AP47" i="10"/>
  <c r="AO47" i="10"/>
  <c r="AL47" i="10"/>
  <c r="AK47" i="10"/>
  <c r="AJ47" i="10"/>
  <c r="AI47" i="10"/>
  <c r="AC47" i="10"/>
  <c r="AE47" i="10" s="1"/>
  <c r="AR46" i="10"/>
  <c r="AQ46" i="10"/>
  <c r="AP46" i="10"/>
  <c r="AO46" i="10"/>
  <c r="AL46" i="10"/>
  <c r="AK46" i="10"/>
  <c r="AJ46" i="10"/>
  <c r="AI46" i="10"/>
  <c r="AC46" i="10"/>
  <c r="AE46" i="10" s="1"/>
  <c r="AR45" i="10"/>
  <c r="AQ45" i="10"/>
  <c r="AP45" i="10"/>
  <c r="AO45" i="10"/>
  <c r="AL45" i="10"/>
  <c r="AK45" i="10"/>
  <c r="AJ45" i="10"/>
  <c r="AI45" i="10"/>
  <c r="AC45" i="10"/>
  <c r="AE45" i="10" s="1"/>
  <c r="AR44" i="10"/>
  <c r="AQ44" i="10"/>
  <c r="AP44" i="10"/>
  <c r="AO44" i="10"/>
  <c r="AL44" i="10"/>
  <c r="AK44" i="10"/>
  <c r="AJ44" i="10"/>
  <c r="AI44" i="10"/>
  <c r="AC44" i="10"/>
  <c r="AE44" i="10" s="1"/>
  <c r="AC34" i="10"/>
  <c r="AE34" i="10" s="1"/>
  <c r="AC33" i="10"/>
  <c r="AE33" i="10" s="1"/>
  <c r="AR32" i="10"/>
  <c r="AQ32" i="10"/>
  <c r="AP32" i="10"/>
  <c r="AO32" i="10"/>
  <c r="AL32" i="10"/>
  <c r="AK32" i="10"/>
  <c r="AJ32" i="10"/>
  <c r="AI32" i="10"/>
  <c r="AC32" i="10"/>
  <c r="AE32" i="10" s="1"/>
  <c r="AR31" i="10"/>
  <c r="AQ31" i="10"/>
  <c r="AP31" i="10"/>
  <c r="AO31" i="10"/>
  <c r="AL31" i="10"/>
  <c r="AK31" i="10"/>
  <c r="AJ31" i="10"/>
  <c r="AI31" i="10"/>
  <c r="AC31" i="10"/>
  <c r="AE31" i="10" s="1"/>
  <c r="AR30" i="10"/>
  <c r="AQ30" i="10"/>
  <c r="AP30" i="10"/>
  <c r="AO30" i="10"/>
  <c r="AL30" i="10"/>
  <c r="AK30" i="10"/>
  <c r="AJ30" i="10"/>
  <c r="AI30" i="10"/>
  <c r="AC30" i="10"/>
  <c r="AE30" i="10" s="1"/>
  <c r="AR29" i="10"/>
  <c r="AQ29" i="10"/>
  <c r="AP29" i="10"/>
  <c r="AO29" i="10"/>
  <c r="AL29" i="10"/>
  <c r="AK29" i="10"/>
  <c r="AJ29" i="10"/>
  <c r="AI29" i="10"/>
  <c r="AC29" i="10"/>
  <c r="AE29" i="10" s="1"/>
  <c r="AR28" i="10"/>
  <c r="AQ28" i="10"/>
  <c r="AP28" i="10"/>
  <c r="AO28" i="10"/>
  <c r="AL28" i="10"/>
  <c r="AK28" i="10"/>
  <c r="AJ28" i="10"/>
  <c r="AI28" i="10"/>
  <c r="AC28" i="10"/>
  <c r="AE28" i="10" s="1"/>
  <c r="T16" i="10"/>
  <c r="S43" i="8" s="1"/>
  <c r="T15" i="10"/>
  <c r="S42" i="8" s="1"/>
  <c r="T14" i="10"/>
  <c r="S41" i="8" s="1"/>
  <c r="T13" i="10"/>
  <c r="S40" i="8" s="1"/>
  <c r="T12" i="10"/>
  <c r="S39" i="8" s="1"/>
  <c r="T11" i="10"/>
  <c r="S38" i="8" s="1"/>
  <c r="T10" i="10"/>
  <c r="S37" i="8" s="1"/>
  <c r="T9" i="10"/>
  <c r="S36" i="8" s="1"/>
  <c r="GD143" i="3" l="1"/>
  <c r="GD145" i="3"/>
  <c r="GD146" i="3"/>
  <c r="GD149" i="3"/>
  <c r="GQ147" i="3"/>
  <c r="GQ150" i="3"/>
  <c r="GQ145" i="3"/>
  <c r="GQ143" i="3"/>
  <c r="GQ144" i="3"/>
  <c r="GQ146" i="3"/>
  <c r="GQ142" i="3"/>
  <c r="GQ148" i="3"/>
  <c r="GQ149" i="3"/>
  <c r="R41" i="3"/>
  <c r="R34" i="3"/>
  <c r="AC26" i="9" s="1"/>
  <c r="R44" i="3"/>
  <c r="K35" i="13" s="1"/>
  <c r="R32" i="3"/>
  <c r="R42" i="3"/>
  <c r="R47" i="3"/>
  <c r="R50" i="3"/>
  <c r="K41" i="13" s="1"/>
  <c r="R33" i="3"/>
  <c r="K30" i="13"/>
  <c r="R39" i="3"/>
  <c r="R43" i="3"/>
  <c r="R48" i="3"/>
  <c r="K39" i="13" s="1"/>
  <c r="R31" i="3"/>
  <c r="AC23" i="9" s="1"/>
  <c r="K28" i="13"/>
  <c r="R37" i="3"/>
  <c r="R40" i="3"/>
  <c r="AT15" i="3"/>
  <c r="AU15" i="3" s="1"/>
  <c r="R49" i="3"/>
  <c r="R46" i="3"/>
  <c r="R35" i="3"/>
  <c r="R36" i="3"/>
  <c r="K27" i="13" s="1"/>
  <c r="R45" i="3"/>
  <c r="K29" i="13"/>
  <c r="R38" i="3"/>
  <c r="FW83" i="3"/>
  <c r="FW84" i="3"/>
  <c r="FW85" i="3"/>
  <c r="FW91" i="3"/>
  <c r="FW89" i="3"/>
  <c r="FW90" i="3"/>
  <c r="EB83" i="3"/>
  <c r="EL83" i="3"/>
  <c r="EM83" i="3"/>
  <c r="EN83" i="3"/>
  <c r="EO83" i="3"/>
  <c r="DT83" i="3"/>
  <c r="DS83" i="3"/>
  <c r="DQ83" i="3"/>
  <c r="CT83" i="3"/>
  <c r="CV83" i="3"/>
  <c r="CW83" i="3"/>
  <c r="DR83" i="3"/>
  <c r="CU83" i="3"/>
  <c r="FJ83" i="3"/>
  <c r="FL83" i="3"/>
  <c r="FK83" i="3"/>
  <c r="FI83" i="3"/>
  <c r="EB89" i="3"/>
  <c r="EL89" i="3"/>
  <c r="EM89" i="3"/>
  <c r="EN89" i="3"/>
  <c r="EO89" i="3"/>
  <c r="DT89" i="3"/>
  <c r="DR89" i="3"/>
  <c r="CT89" i="3"/>
  <c r="CV89" i="3"/>
  <c r="DQ89" i="3"/>
  <c r="CU89" i="3"/>
  <c r="DS89" i="3"/>
  <c r="FL89" i="3"/>
  <c r="CW89" i="3"/>
  <c r="FK89" i="3"/>
  <c r="FJ89" i="3"/>
  <c r="FI89" i="3"/>
  <c r="EB91" i="3"/>
  <c r="EL91" i="3"/>
  <c r="EM91" i="3"/>
  <c r="EN91" i="3"/>
  <c r="EO91" i="3"/>
  <c r="DR91" i="3"/>
  <c r="DT91" i="3"/>
  <c r="DQ91" i="3"/>
  <c r="DS91" i="3"/>
  <c r="CT91" i="3"/>
  <c r="CU91" i="3"/>
  <c r="CW91" i="3"/>
  <c r="FK91" i="3"/>
  <c r="CV91" i="3"/>
  <c r="FJ91" i="3"/>
  <c r="FI91" i="3"/>
  <c r="FL91" i="3"/>
  <c r="EB85" i="3"/>
  <c r="EL85" i="3"/>
  <c r="EM85" i="3"/>
  <c r="EN85" i="3"/>
  <c r="EO85" i="3"/>
  <c r="DR85" i="3"/>
  <c r="DS85" i="3"/>
  <c r="DQ85" i="3"/>
  <c r="DT85" i="3"/>
  <c r="CV85" i="3"/>
  <c r="CW85" i="3"/>
  <c r="CU85" i="3"/>
  <c r="CT85" i="3"/>
  <c r="FK85" i="3"/>
  <c r="FL85" i="3"/>
  <c r="FJ85" i="3"/>
  <c r="FI85" i="3"/>
  <c r="EB90" i="3"/>
  <c r="EL90" i="3"/>
  <c r="EM90" i="3"/>
  <c r="EO90" i="3"/>
  <c r="DQ90" i="3"/>
  <c r="EN90" i="3"/>
  <c r="DR90" i="3"/>
  <c r="DT90" i="3"/>
  <c r="CU90" i="3"/>
  <c r="CV90" i="3"/>
  <c r="CW90" i="3"/>
  <c r="DS90" i="3"/>
  <c r="FK90" i="3"/>
  <c r="FI90" i="3"/>
  <c r="FL90" i="3"/>
  <c r="CT90" i="3"/>
  <c r="FJ90" i="3"/>
  <c r="EB84" i="3"/>
  <c r="EL84" i="3"/>
  <c r="EM84" i="3"/>
  <c r="EO84" i="3"/>
  <c r="DQ84" i="3"/>
  <c r="DS84" i="3"/>
  <c r="EN84" i="3"/>
  <c r="DR84" i="3"/>
  <c r="CU84" i="3"/>
  <c r="CV84" i="3"/>
  <c r="DT84" i="3"/>
  <c r="CW84" i="3"/>
  <c r="CT84" i="3"/>
  <c r="FK84" i="3"/>
  <c r="FJ84" i="3"/>
  <c r="FI84" i="3"/>
  <c r="FL84" i="3"/>
  <c r="EX83" i="3"/>
  <c r="EY83" i="3"/>
  <c r="EZ83" i="3"/>
  <c r="FA83" i="3"/>
  <c r="EP83" i="3"/>
  <c r="FB83" i="3"/>
  <c r="EQ83" i="3"/>
  <c r="FC83" i="3"/>
  <c r="ER83" i="3"/>
  <c r="FD83" i="3"/>
  <c r="ES83" i="3"/>
  <c r="ET83" i="3"/>
  <c r="EU83" i="3"/>
  <c r="EV83" i="3"/>
  <c r="EW83" i="3"/>
  <c r="EX89" i="3"/>
  <c r="EY89" i="3"/>
  <c r="EZ89" i="3"/>
  <c r="FA89" i="3"/>
  <c r="EP89" i="3"/>
  <c r="FB89" i="3"/>
  <c r="EQ89" i="3"/>
  <c r="FC89" i="3"/>
  <c r="ER89" i="3"/>
  <c r="FD89" i="3"/>
  <c r="ES89" i="3"/>
  <c r="ET89" i="3"/>
  <c r="EU89" i="3"/>
  <c r="EV89" i="3"/>
  <c r="EW89" i="3"/>
  <c r="ET85" i="3"/>
  <c r="EU85" i="3"/>
  <c r="EV85" i="3"/>
  <c r="EW85" i="3"/>
  <c r="EX85" i="3"/>
  <c r="EY85" i="3"/>
  <c r="EZ85" i="3"/>
  <c r="FA85" i="3"/>
  <c r="EP85" i="3"/>
  <c r="FB85" i="3"/>
  <c r="EQ85" i="3"/>
  <c r="FC85" i="3"/>
  <c r="ER85" i="3"/>
  <c r="FD85" i="3"/>
  <c r="ES85" i="3"/>
  <c r="ET91" i="3"/>
  <c r="EU91" i="3"/>
  <c r="EV91" i="3"/>
  <c r="EW91" i="3"/>
  <c r="EX91" i="3"/>
  <c r="EY91" i="3"/>
  <c r="EZ91" i="3"/>
  <c r="FA91" i="3"/>
  <c r="EP91" i="3"/>
  <c r="FB91" i="3"/>
  <c r="EQ91" i="3"/>
  <c r="FC91" i="3"/>
  <c r="ER91" i="3"/>
  <c r="FD91" i="3"/>
  <c r="ES91" i="3"/>
  <c r="EP90" i="3"/>
  <c r="FB90" i="3"/>
  <c r="EQ90" i="3"/>
  <c r="FC90" i="3"/>
  <c r="ER90" i="3"/>
  <c r="FD90" i="3"/>
  <c r="ES90" i="3"/>
  <c r="ET90" i="3"/>
  <c r="EU90" i="3"/>
  <c r="EV90" i="3"/>
  <c r="EW90" i="3"/>
  <c r="EX90" i="3"/>
  <c r="EY90" i="3"/>
  <c r="EZ90" i="3"/>
  <c r="FA90" i="3"/>
  <c r="EP84" i="3"/>
  <c r="FB84" i="3"/>
  <c r="EQ84" i="3"/>
  <c r="FC84" i="3"/>
  <c r="ER84" i="3"/>
  <c r="FD84" i="3"/>
  <c r="ES84" i="3"/>
  <c r="ET84" i="3"/>
  <c r="EU84" i="3"/>
  <c r="EV84" i="3"/>
  <c r="EW84" i="3"/>
  <c r="EX84" i="3"/>
  <c r="EY84" i="3"/>
  <c r="EZ84" i="3"/>
  <c r="FA84" i="3"/>
  <c r="EE83" i="3"/>
  <c r="EF83" i="3"/>
  <c r="EG83" i="3"/>
  <c r="DW83" i="3"/>
  <c r="DX83" i="3"/>
  <c r="DY83" i="3"/>
  <c r="ED83" i="3"/>
  <c r="DU83" i="3"/>
  <c r="DZ83" i="3"/>
  <c r="EC83" i="3"/>
  <c r="EH83" i="3"/>
  <c r="EI83" i="3"/>
  <c r="DV83" i="3"/>
  <c r="DP83" i="3"/>
  <c r="EA83" i="3"/>
  <c r="CY83" i="3"/>
  <c r="DK83" i="3"/>
  <c r="CZ83" i="3"/>
  <c r="DL83" i="3"/>
  <c r="DE83" i="3"/>
  <c r="DC83" i="3"/>
  <c r="DD83" i="3"/>
  <c r="DI83" i="3"/>
  <c r="DJ83" i="3"/>
  <c r="DM83" i="3"/>
  <c r="DN83" i="3"/>
  <c r="CX83" i="3"/>
  <c r="DA83" i="3"/>
  <c r="DB83" i="3"/>
  <c r="DH83" i="3"/>
  <c r="DF83" i="3"/>
  <c r="DG83" i="3"/>
  <c r="FR83" i="3"/>
  <c r="FM83" i="3"/>
  <c r="FZ83" i="3"/>
  <c r="FN83" i="3"/>
  <c r="GA83" i="3"/>
  <c r="FO83" i="3"/>
  <c r="FP83" i="3"/>
  <c r="FS83" i="3"/>
  <c r="FT83" i="3"/>
  <c r="FU83" i="3"/>
  <c r="FV83" i="3"/>
  <c r="FY83" i="3"/>
  <c r="FX83" i="3"/>
  <c r="DX89" i="3"/>
  <c r="DY89" i="3"/>
  <c r="DZ89" i="3"/>
  <c r="ED89" i="3"/>
  <c r="EE89" i="3"/>
  <c r="EF89" i="3"/>
  <c r="DW89" i="3"/>
  <c r="DU89" i="3"/>
  <c r="EA89" i="3"/>
  <c r="EG89" i="3"/>
  <c r="EH89" i="3"/>
  <c r="EI89" i="3"/>
  <c r="DV89" i="3"/>
  <c r="EC89" i="3"/>
  <c r="DP89" i="3"/>
  <c r="DE89" i="3"/>
  <c r="DF89" i="3"/>
  <c r="CY89" i="3"/>
  <c r="DK89" i="3"/>
  <c r="DD89" i="3"/>
  <c r="DL89" i="3"/>
  <c r="DM89" i="3"/>
  <c r="CX89" i="3"/>
  <c r="DN89" i="3"/>
  <c r="DA89" i="3"/>
  <c r="CZ89" i="3"/>
  <c r="DC89" i="3"/>
  <c r="DG89" i="3"/>
  <c r="DI89" i="3"/>
  <c r="DJ89" i="3"/>
  <c r="DB89" i="3"/>
  <c r="DH89" i="3"/>
  <c r="FU89" i="3"/>
  <c r="FV89" i="3"/>
  <c r="FX89" i="3"/>
  <c r="FM89" i="3"/>
  <c r="FY89" i="3"/>
  <c r="FN89" i="3"/>
  <c r="FZ89" i="3"/>
  <c r="FO89" i="3"/>
  <c r="GA89" i="3"/>
  <c r="FP89" i="3"/>
  <c r="FT89" i="3"/>
  <c r="FR89" i="3"/>
  <c r="FS89" i="3"/>
  <c r="DP85" i="3"/>
  <c r="EC85" i="3"/>
  <c r="ED85" i="3"/>
  <c r="EE85" i="3"/>
  <c r="DU85" i="3"/>
  <c r="EH85" i="3"/>
  <c r="DV85" i="3"/>
  <c r="EI85" i="3"/>
  <c r="DW85" i="3"/>
  <c r="EA85" i="3"/>
  <c r="DX85" i="3"/>
  <c r="DY85" i="3"/>
  <c r="DZ85" i="3"/>
  <c r="EF85" i="3"/>
  <c r="EG85" i="3"/>
  <c r="DE85" i="3"/>
  <c r="DF85" i="3"/>
  <c r="CY85" i="3"/>
  <c r="DK85" i="3"/>
  <c r="DI85" i="3"/>
  <c r="DJ85" i="3"/>
  <c r="CZ85" i="3"/>
  <c r="DA85" i="3"/>
  <c r="DB85" i="3"/>
  <c r="DC85" i="3"/>
  <c r="DD85" i="3"/>
  <c r="DL85" i="3"/>
  <c r="DN85" i="3"/>
  <c r="DH85" i="3"/>
  <c r="DG85" i="3"/>
  <c r="DM85" i="3"/>
  <c r="CX85" i="3"/>
  <c r="FM85" i="3"/>
  <c r="FY85" i="3"/>
  <c r="FN85" i="3"/>
  <c r="FZ85" i="3"/>
  <c r="FO85" i="3"/>
  <c r="GA85" i="3"/>
  <c r="FP85" i="3"/>
  <c r="FR85" i="3"/>
  <c r="FS85" i="3"/>
  <c r="FT85" i="3"/>
  <c r="FU85" i="3"/>
  <c r="FX85" i="3"/>
  <c r="FV85" i="3"/>
  <c r="DV91" i="3"/>
  <c r="EI91" i="3"/>
  <c r="DW91" i="3"/>
  <c r="DX91" i="3"/>
  <c r="EA91" i="3"/>
  <c r="DP91" i="3"/>
  <c r="EC91" i="3"/>
  <c r="ED91" i="3"/>
  <c r="DU91" i="3"/>
  <c r="EH91" i="3"/>
  <c r="DY91" i="3"/>
  <c r="DZ91" i="3"/>
  <c r="EE91" i="3"/>
  <c r="EF91" i="3"/>
  <c r="EG91" i="3"/>
  <c r="CY91" i="3"/>
  <c r="DK91" i="3"/>
  <c r="CZ91" i="3"/>
  <c r="DL91" i="3"/>
  <c r="DE91" i="3"/>
  <c r="DJ91" i="3"/>
  <c r="DB91" i="3"/>
  <c r="DC91" i="3"/>
  <c r="DD91" i="3"/>
  <c r="DG91" i="3"/>
  <c r="DM91" i="3"/>
  <c r="CX91" i="3"/>
  <c r="DA91" i="3"/>
  <c r="DI91" i="3"/>
  <c r="DF91" i="3"/>
  <c r="DH91" i="3"/>
  <c r="DN91" i="3"/>
  <c r="FS91" i="3"/>
  <c r="FT91" i="3"/>
  <c r="FU91" i="3"/>
  <c r="FV91" i="3"/>
  <c r="FX91" i="3"/>
  <c r="FM91" i="3"/>
  <c r="FY91" i="3"/>
  <c r="FN91" i="3"/>
  <c r="FZ91" i="3"/>
  <c r="FO91" i="3"/>
  <c r="GA91" i="3"/>
  <c r="FR91" i="3"/>
  <c r="FP91" i="3"/>
  <c r="ED90" i="3"/>
  <c r="EE90" i="3"/>
  <c r="EF90" i="3"/>
  <c r="DV90" i="3"/>
  <c r="EI90" i="3"/>
  <c r="DW90" i="3"/>
  <c r="DX90" i="3"/>
  <c r="DP90" i="3"/>
  <c r="EC90" i="3"/>
  <c r="EG90" i="3"/>
  <c r="DU90" i="3"/>
  <c r="DY90" i="3"/>
  <c r="EH90" i="3"/>
  <c r="EA90" i="3"/>
  <c r="DZ90" i="3"/>
  <c r="DH90" i="3"/>
  <c r="DI90" i="3"/>
  <c r="DB90" i="3"/>
  <c r="DN90" i="3"/>
  <c r="CZ90" i="3"/>
  <c r="DF90" i="3"/>
  <c r="DG90" i="3"/>
  <c r="DJ90" i="3"/>
  <c r="DL90" i="3"/>
  <c r="DD90" i="3"/>
  <c r="DK90" i="3"/>
  <c r="DM90" i="3"/>
  <c r="CX90" i="3"/>
  <c r="DC90" i="3"/>
  <c r="DA90" i="3"/>
  <c r="DE90" i="3"/>
  <c r="CY90" i="3"/>
  <c r="FN90" i="3"/>
  <c r="FZ90" i="3"/>
  <c r="FO90" i="3"/>
  <c r="GA90" i="3"/>
  <c r="FP90" i="3"/>
  <c r="FR90" i="3"/>
  <c r="FS90" i="3"/>
  <c r="FT90" i="3"/>
  <c r="FU90" i="3"/>
  <c r="FV90" i="3"/>
  <c r="FM90" i="3"/>
  <c r="FY90" i="3"/>
  <c r="FX90" i="3"/>
  <c r="DW84" i="3"/>
  <c r="DX84" i="3"/>
  <c r="DY84" i="3"/>
  <c r="DP84" i="3"/>
  <c r="EC84" i="3"/>
  <c r="ED84" i="3"/>
  <c r="EE84" i="3"/>
  <c r="DV84" i="3"/>
  <c r="EI84" i="3"/>
  <c r="EF84" i="3"/>
  <c r="EH84" i="3"/>
  <c r="DU84" i="3"/>
  <c r="EA84" i="3"/>
  <c r="EG84" i="3"/>
  <c r="DZ84" i="3"/>
  <c r="DB84" i="3"/>
  <c r="DN84" i="3"/>
  <c r="DC84" i="3"/>
  <c r="DH84" i="3"/>
  <c r="CX84" i="3"/>
  <c r="DM84" i="3"/>
  <c r="CY84" i="3"/>
  <c r="DE84" i="3"/>
  <c r="DF84" i="3"/>
  <c r="DG84" i="3"/>
  <c r="DI84" i="3"/>
  <c r="DJ84" i="3"/>
  <c r="CZ84" i="3"/>
  <c r="DA84" i="3"/>
  <c r="DK84" i="3"/>
  <c r="DL84" i="3"/>
  <c r="DD84" i="3"/>
  <c r="FT84" i="3"/>
  <c r="FU84" i="3"/>
  <c r="FV84" i="3"/>
  <c r="FX84" i="3"/>
  <c r="FM84" i="3"/>
  <c r="FY84" i="3"/>
  <c r="FN84" i="3"/>
  <c r="FZ84" i="3"/>
  <c r="FO84" i="3"/>
  <c r="GA84" i="3"/>
  <c r="FP84" i="3"/>
  <c r="FS84" i="3"/>
  <c r="FR84" i="3"/>
  <c r="AL85" i="9"/>
  <c r="AM85" i="9"/>
  <c r="AM134" i="9"/>
  <c r="AL134" i="9"/>
  <c r="AM135" i="9"/>
  <c r="AL135" i="9"/>
  <c r="AM137" i="9"/>
  <c r="AL137" i="9"/>
  <c r="AM23" i="9"/>
  <c r="AL23" i="9"/>
  <c r="AM140" i="9"/>
  <c r="AL140" i="9"/>
  <c r="AL139" i="9"/>
  <c r="AM139" i="9"/>
  <c r="AM141" i="9"/>
  <c r="AL141" i="9"/>
  <c r="AM27" i="9"/>
  <c r="AL27" i="9"/>
  <c r="AM90" i="9"/>
  <c r="AL90" i="9"/>
  <c r="AM138" i="9"/>
  <c r="AL138" i="9"/>
  <c r="AM89" i="9"/>
  <c r="AL89" i="9"/>
  <c r="AM28" i="9"/>
  <c r="AL28" i="9"/>
  <c r="AM65" i="9"/>
  <c r="AL65" i="9"/>
  <c r="AM83" i="9"/>
  <c r="AL83" i="9"/>
  <c r="AM136" i="9"/>
  <c r="AL136" i="9"/>
  <c r="AM21" i="9"/>
  <c r="AL21" i="9"/>
  <c r="AM84" i="9"/>
  <c r="AL84" i="9"/>
  <c r="AM22" i="9"/>
  <c r="AL22" i="9"/>
  <c r="AM142" i="9"/>
  <c r="AL142" i="9"/>
  <c r="CS90" i="3"/>
  <c r="CS83" i="3"/>
  <c r="CS85" i="3"/>
  <c r="CS91" i="3"/>
  <c r="CS84" i="3"/>
  <c r="CS89" i="3"/>
  <c r="GD147" i="3"/>
  <c r="GD142" i="3"/>
  <c r="GD144" i="3"/>
  <c r="GD148" i="3"/>
  <c r="GD150" i="3"/>
  <c r="A89" i="9"/>
  <c r="A21" i="9"/>
  <c r="A27" i="9"/>
  <c r="A65" i="9"/>
  <c r="A22" i="9"/>
  <c r="A85" i="9"/>
  <c r="A84" i="9"/>
  <c r="A90" i="9"/>
  <c r="A83" i="9"/>
  <c r="A28" i="9"/>
  <c r="A23" i="9"/>
  <c r="A141" i="9"/>
  <c r="R18" i="3"/>
  <c r="R22" i="3"/>
  <c r="R27" i="3"/>
  <c r="R17" i="3"/>
  <c r="R29" i="3"/>
  <c r="AC21" i="9" s="1"/>
  <c r="R21" i="3"/>
  <c r="R23" i="3"/>
  <c r="R28" i="3"/>
  <c r="R26" i="3"/>
  <c r="R19" i="3"/>
  <c r="R16" i="3"/>
  <c r="R20" i="3"/>
  <c r="R24" i="3"/>
  <c r="R30" i="3"/>
  <c r="R25" i="3"/>
  <c r="AD139" i="9"/>
  <c r="C139" i="9" s="1"/>
  <c r="A139" i="9"/>
  <c r="AV134" i="9"/>
  <c r="A134" i="9"/>
  <c r="AF138" i="9"/>
  <c r="A138" i="9"/>
  <c r="AR136" i="9"/>
  <c r="A136" i="9"/>
  <c r="Q135" i="9"/>
  <c r="A135" i="9"/>
  <c r="N140" i="9"/>
  <c r="A140" i="9"/>
  <c r="P142" i="9"/>
  <c r="A142" i="9"/>
  <c r="AU137" i="9"/>
  <c r="A137" i="9"/>
  <c r="AN142" i="9"/>
  <c r="O142" i="9"/>
  <c r="AV142" i="9"/>
  <c r="AE142" i="9"/>
  <c r="AO142" i="9"/>
  <c r="J142" i="9"/>
  <c r="Y142" i="9"/>
  <c r="AX142" i="9"/>
  <c r="E142" i="9"/>
  <c r="L142" i="9"/>
  <c r="S142" i="9"/>
  <c r="T142" i="9" s="1"/>
  <c r="AI142" i="9"/>
  <c r="AU142" i="9"/>
  <c r="H142" i="9"/>
  <c r="AS142" i="9"/>
  <c r="Q142" i="9"/>
  <c r="AJ142" i="9"/>
  <c r="AW142" i="9"/>
  <c r="G142" i="9"/>
  <c r="M142" i="9"/>
  <c r="AD142" i="9"/>
  <c r="C142" i="9" s="1"/>
  <c r="D142" i="9"/>
  <c r="N142" i="9"/>
  <c r="F142" i="9"/>
  <c r="AR142" i="9"/>
  <c r="R142" i="9"/>
  <c r="K142" i="9"/>
  <c r="Z142" i="9" s="1"/>
  <c r="AA142" i="9" s="1"/>
  <c r="AT142" i="9"/>
  <c r="X142" i="9"/>
  <c r="AH142" i="9"/>
  <c r="AF142" i="9"/>
  <c r="AG142" i="9" s="1"/>
  <c r="AP142" i="9"/>
  <c r="AB142" i="9"/>
  <c r="AK142" i="9"/>
  <c r="AQ142" i="9"/>
  <c r="Y137" i="9"/>
  <c r="H137" i="9"/>
  <c r="S137" i="9"/>
  <c r="T137" i="9" s="1"/>
  <c r="AH137" i="9"/>
  <c r="AQ137" i="9"/>
  <c r="W137" i="9"/>
  <c r="AX137" i="9"/>
  <c r="R137" i="9"/>
  <c r="AD137" i="9"/>
  <c r="C137" i="9" s="1"/>
  <c r="X137" i="9"/>
  <c r="L137" i="9"/>
  <c r="AW137" i="9"/>
  <c r="AV137" i="9"/>
  <c r="O137" i="9"/>
  <c r="AK137" i="9"/>
  <c r="AS137" i="9"/>
  <c r="AE137" i="9"/>
  <c r="AI134" i="9"/>
  <c r="F134" i="9"/>
  <c r="AN134" i="9"/>
  <c r="F137" i="9"/>
  <c r="P137" i="9"/>
  <c r="W142" i="9"/>
  <c r="AF137" i="9"/>
  <c r="AG137" i="9" s="1"/>
  <c r="AJ137" i="9"/>
  <c r="R135" i="9"/>
  <c r="AE138" i="9"/>
  <c r="AK135" i="9"/>
  <c r="AD135" i="9"/>
  <c r="C135" i="9" s="1"/>
  <c r="W138" i="9"/>
  <c r="AN135" i="9"/>
  <c r="D135" i="9"/>
  <c r="W135" i="9"/>
  <c r="X135" i="9"/>
  <c r="Q141" i="9"/>
  <c r="K135" i="9"/>
  <c r="Z135" i="9" s="1"/>
  <c r="AA135" i="9" s="1"/>
  <c r="J141" i="9"/>
  <c r="G141" i="9"/>
  <c r="AJ141" i="9"/>
  <c r="AB141" i="9"/>
  <c r="P136" i="9"/>
  <c r="AW136" i="9"/>
  <c r="AV136" i="9"/>
  <c r="D141" i="9"/>
  <c r="I141" i="9" s="1"/>
  <c r="E141" i="9"/>
  <c r="AR141" i="9"/>
  <c r="F136" i="9"/>
  <c r="AT141" i="9"/>
  <c r="M141" i="9"/>
  <c r="L136" i="9"/>
  <c r="N141" i="9"/>
  <c r="H141" i="9"/>
  <c r="AN136" i="9"/>
  <c r="AH136" i="9"/>
  <c r="AS136" i="9"/>
  <c r="J136" i="9"/>
  <c r="Q136" i="9"/>
  <c r="AJ136" i="9"/>
  <c r="N136" i="9"/>
  <c r="H136" i="9"/>
  <c r="AF136" i="9"/>
  <c r="AI141" i="9"/>
  <c r="F141" i="9"/>
  <c r="X136" i="9"/>
  <c r="S136" i="9"/>
  <c r="T136" i="9" s="1"/>
  <c r="AB136" i="9"/>
  <c r="AU141" i="9"/>
  <c r="AQ141" i="9"/>
  <c r="AX141" i="9"/>
  <c r="AW139" i="9"/>
  <c r="G136" i="9"/>
  <c r="AX136" i="9"/>
  <c r="K136" i="9"/>
  <c r="Z136" i="9" s="1"/>
  <c r="AA136" i="9" s="1"/>
  <c r="AS141" i="9"/>
  <c r="R141" i="9"/>
  <c r="AH141" i="9"/>
  <c r="AK136" i="9"/>
  <c r="H139" i="9"/>
  <c r="AP136" i="9"/>
  <c r="AO136" i="9"/>
  <c r="O136" i="9"/>
  <c r="R136" i="9"/>
  <c r="S141" i="9"/>
  <c r="T141" i="9" s="1"/>
  <c r="X141" i="9"/>
  <c r="AK141" i="9"/>
  <c r="Y139" i="9"/>
  <c r="W136" i="9"/>
  <c r="Y136" i="9"/>
  <c r="AT136" i="9"/>
  <c r="AD136" i="9"/>
  <c r="C136" i="9" s="1"/>
  <c r="AO141" i="9"/>
  <c r="AP141" i="9"/>
  <c r="W141" i="9"/>
  <c r="M136" i="9"/>
  <c r="J139" i="9"/>
  <c r="D136" i="9"/>
  <c r="AI136" i="9"/>
  <c r="AE136" i="9"/>
  <c r="P141" i="9"/>
  <c r="L141" i="9"/>
  <c r="K141" i="9"/>
  <c r="Z141" i="9" s="1"/>
  <c r="AA141" i="9" s="1"/>
  <c r="AQ136" i="9"/>
  <c r="F139" i="9"/>
  <c r="AU136" i="9"/>
  <c r="E136" i="9"/>
  <c r="AV141" i="9"/>
  <c r="Y141" i="9"/>
  <c r="AE141" i="9"/>
  <c r="O141" i="9"/>
  <c r="AW141" i="9"/>
  <c r="AD141" i="9"/>
  <c r="C141" i="9" s="1"/>
  <c r="AF141" i="9"/>
  <c r="AG141" i="9" s="1"/>
  <c r="AN141" i="9"/>
  <c r="AT140" i="9"/>
  <c r="AK140" i="9"/>
  <c r="AF135" i="9"/>
  <c r="AG135" i="9" s="1"/>
  <c r="AE135" i="9"/>
  <c r="R134" i="9"/>
  <c r="AE134" i="9"/>
  <c r="X139" i="9"/>
  <c r="S139" i="9"/>
  <c r="T139" i="9" s="1"/>
  <c r="P139" i="9"/>
  <c r="G139" i="9"/>
  <c r="M134" i="9"/>
  <c r="Y134" i="9"/>
  <c r="AP134" i="9"/>
  <c r="R81" i="3"/>
  <c r="AD134" i="9"/>
  <c r="C134" i="9" s="1"/>
  <c r="L134" i="9"/>
  <c r="D134" i="9"/>
  <c r="AT134" i="9"/>
  <c r="AB134" i="9"/>
  <c r="AX134" i="9"/>
  <c r="AO134" i="9"/>
  <c r="N134" i="9"/>
  <c r="G134" i="9"/>
  <c r="F135" i="9"/>
  <c r="AU135" i="9"/>
  <c r="AT135" i="9"/>
  <c r="AR135" i="9"/>
  <c r="S135" i="9"/>
  <c r="T135" i="9" s="1"/>
  <c r="O135" i="9"/>
  <c r="N135" i="9"/>
  <c r="AP135" i="9"/>
  <c r="H135" i="9"/>
  <c r="AS134" i="9"/>
  <c r="Q134" i="9"/>
  <c r="AQ134" i="9"/>
  <c r="AJ134" i="9"/>
  <c r="AF134" i="9"/>
  <c r="AU134" i="9"/>
  <c r="S134" i="9"/>
  <c r="T134" i="9" s="1"/>
  <c r="P134" i="9"/>
  <c r="H134" i="9"/>
  <c r="AR134" i="9"/>
  <c r="AS135" i="9"/>
  <c r="AI135" i="9"/>
  <c r="L135" i="9"/>
  <c r="Y135" i="9"/>
  <c r="AQ135" i="9"/>
  <c r="E135" i="9"/>
  <c r="M135" i="9"/>
  <c r="AB135" i="9"/>
  <c r="P135" i="9"/>
  <c r="K134" i="9"/>
  <c r="Z134" i="9" s="1"/>
  <c r="AA134" i="9" s="1"/>
  <c r="J134" i="9"/>
  <c r="E134" i="9"/>
  <c r="O134" i="9"/>
  <c r="AH134" i="9"/>
  <c r="X134" i="9"/>
  <c r="W134" i="9"/>
  <c r="AW134" i="9"/>
  <c r="AK134" i="9"/>
  <c r="AO135" i="9"/>
  <c r="AW135" i="9"/>
  <c r="AJ135" i="9"/>
  <c r="AV135" i="9"/>
  <c r="J135" i="9"/>
  <c r="G135" i="9"/>
  <c r="AH135" i="9"/>
  <c r="AX135" i="9"/>
  <c r="AO139" i="9"/>
  <c r="AV139" i="9"/>
  <c r="AQ139" i="9"/>
  <c r="AN139" i="9"/>
  <c r="O139" i="9"/>
  <c r="AF139" i="9"/>
  <c r="K139" i="9"/>
  <c r="Z139" i="9" s="1"/>
  <c r="AA139" i="9" s="1"/>
  <c r="AU139" i="9"/>
  <c r="L139" i="9"/>
  <c r="D139" i="9"/>
  <c r="M139" i="9"/>
  <c r="AX139" i="9"/>
  <c r="R139" i="9"/>
  <c r="AR139" i="9"/>
  <c r="AK139" i="9"/>
  <c r="N139" i="9"/>
  <c r="AI139" i="9"/>
  <c r="AS139" i="9"/>
  <c r="AE139" i="9"/>
  <c r="AH139" i="9"/>
  <c r="W139" i="9"/>
  <c r="Q139" i="9"/>
  <c r="AB139" i="9"/>
  <c r="AP139" i="9"/>
  <c r="AT139" i="9"/>
  <c r="AJ139" i="9"/>
  <c r="E139" i="9"/>
  <c r="K140" i="9"/>
  <c r="Z140" i="9" s="1"/>
  <c r="AA140" i="9" s="1"/>
  <c r="Y140" i="9"/>
  <c r="Q138" i="9"/>
  <c r="AW138" i="9"/>
  <c r="W140" i="9"/>
  <c r="AR140" i="9"/>
  <c r="AV138" i="9"/>
  <c r="AH138" i="9"/>
  <c r="AT138" i="9"/>
  <c r="D137" i="9"/>
  <c r="I137" i="9" s="1"/>
  <c r="M137" i="9"/>
  <c r="AO137" i="9"/>
  <c r="N137" i="9"/>
  <c r="AP137" i="9"/>
  <c r="Q137" i="9"/>
  <c r="J137" i="9"/>
  <c r="L140" i="9"/>
  <c r="M140" i="9"/>
  <c r="AP138" i="9"/>
  <c r="R138" i="9"/>
  <c r="AT137" i="9"/>
  <c r="AR137" i="9"/>
  <c r="AI137" i="9"/>
  <c r="AN137" i="9"/>
  <c r="K137" i="9"/>
  <c r="Z137" i="9" s="1"/>
  <c r="AA137" i="9" s="1"/>
  <c r="G137" i="9"/>
  <c r="E137" i="9"/>
  <c r="AB137" i="9"/>
  <c r="AF140" i="9"/>
  <c r="AD140" i="9"/>
  <c r="C140" i="9" s="1"/>
  <c r="D140" i="9"/>
  <c r="AV140" i="9"/>
  <c r="X140" i="9"/>
  <c r="AI140" i="9"/>
  <c r="AN140" i="9"/>
  <c r="S140" i="9"/>
  <c r="T140" i="9" s="1"/>
  <c r="AE140" i="9"/>
  <c r="N138" i="9"/>
  <c r="AU138" i="9"/>
  <c r="P138" i="9"/>
  <c r="AD138" i="9"/>
  <c r="C138" i="9" s="1"/>
  <c r="X138" i="9"/>
  <c r="AK138" i="9"/>
  <c r="H138" i="9"/>
  <c r="K138" i="9"/>
  <c r="Z138" i="9" s="1"/>
  <c r="AA138" i="9" s="1"/>
  <c r="Y138" i="9"/>
  <c r="AS140" i="9"/>
  <c r="AQ140" i="9"/>
  <c r="AH140" i="9"/>
  <c r="AU140" i="9"/>
  <c r="R140" i="9"/>
  <c r="G140" i="9"/>
  <c r="E140" i="9"/>
  <c r="Q140" i="9"/>
  <c r="AX140" i="9"/>
  <c r="F140" i="9"/>
  <c r="AR138" i="9"/>
  <c r="AB138" i="9"/>
  <c r="AI138" i="9"/>
  <c r="AN138" i="9"/>
  <c r="AJ138" i="9"/>
  <c r="F138" i="9"/>
  <c r="M138" i="9"/>
  <c r="O138" i="9"/>
  <c r="J138" i="9"/>
  <c r="D138" i="9"/>
  <c r="AJ140" i="9"/>
  <c r="AB140" i="9"/>
  <c r="AP140" i="9"/>
  <c r="P140" i="9"/>
  <c r="J140" i="9"/>
  <c r="AO140" i="9"/>
  <c r="AW140" i="9"/>
  <c r="H140" i="9"/>
  <c r="O140" i="9"/>
  <c r="AO138" i="9"/>
  <c r="E138" i="9"/>
  <c r="AS138" i="9"/>
  <c r="AQ138" i="9"/>
  <c r="L138" i="9"/>
  <c r="S138" i="9"/>
  <c r="T138" i="9" s="1"/>
  <c r="AX138" i="9"/>
  <c r="G138" i="9"/>
  <c r="R148" i="3"/>
  <c r="R140" i="3"/>
  <c r="R139" i="3"/>
  <c r="R135" i="3"/>
  <c r="R147" i="3"/>
  <c r="R138" i="3"/>
  <c r="R142" i="3"/>
  <c r="R146" i="3"/>
  <c r="R149" i="3"/>
  <c r="R150" i="3"/>
  <c r="R145" i="3"/>
  <c r="R141" i="3"/>
  <c r="AT141" i="3" s="1"/>
  <c r="AU141" i="3" s="1"/>
  <c r="R143" i="3"/>
  <c r="R144" i="3"/>
  <c r="R137" i="3"/>
  <c r="R136" i="3"/>
  <c r="R134" i="3"/>
  <c r="W89" i="9"/>
  <c r="AC89" i="9"/>
  <c r="AD89" i="9"/>
  <c r="C89" i="9" s="1"/>
  <c r="S89" i="9"/>
  <c r="T89" i="9" s="1"/>
  <c r="AJ89" i="9"/>
  <c r="AI89" i="9"/>
  <c r="Q89" i="9"/>
  <c r="Y89" i="9"/>
  <c r="BA89" i="9"/>
  <c r="AX89" i="9"/>
  <c r="G89" i="9"/>
  <c r="AN89" i="9"/>
  <c r="J89" i="9"/>
  <c r="AR89" i="9"/>
  <c r="D89" i="9"/>
  <c r="AK89" i="9"/>
  <c r="AT89" i="9"/>
  <c r="O89" i="9"/>
  <c r="AB89" i="9"/>
  <c r="AW89" i="9"/>
  <c r="AZ89" i="9"/>
  <c r="AY89" i="9" s="1"/>
  <c r="AH89" i="9"/>
  <c r="AV89" i="9"/>
  <c r="M89" i="9"/>
  <c r="AP89" i="9"/>
  <c r="X89" i="9"/>
  <c r="E89" i="9"/>
  <c r="L89" i="9"/>
  <c r="AU89" i="9"/>
  <c r="K89" i="9"/>
  <c r="Z89" i="9" s="1"/>
  <c r="AA89" i="9" s="1"/>
  <c r="N89" i="9"/>
  <c r="F89" i="9"/>
  <c r="R89" i="9"/>
  <c r="P89" i="9"/>
  <c r="AF89" i="9"/>
  <c r="H89" i="9"/>
  <c r="AQ89" i="9"/>
  <c r="AE89" i="9"/>
  <c r="AS89" i="9"/>
  <c r="N65" i="9"/>
  <c r="J65" i="9"/>
  <c r="AJ65" i="9"/>
  <c r="K65" i="9"/>
  <c r="Z65" i="9" s="1"/>
  <c r="AA65" i="9" s="1"/>
  <c r="AU65" i="9"/>
  <c r="AR65" i="9"/>
  <c r="D65" i="9"/>
  <c r="AI65" i="9"/>
  <c r="AB65" i="9"/>
  <c r="E65" i="9"/>
  <c r="AD65" i="9"/>
  <c r="C65" i="9" s="1"/>
  <c r="R65" i="9"/>
  <c r="AP65" i="9"/>
  <c r="AN65" i="9"/>
  <c r="AX65" i="9"/>
  <c r="AQ65" i="9"/>
  <c r="AF65" i="9"/>
  <c r="P65" i="9"/>
  <c r="L65" i="9"/>
  <c r="G65" i="9"/>
  <c r="Q65" i="9"/>
  <c r="O65" i="9"/>
  <c r="AW65" i="9"/>
  <c r="AE65" i="9"/>
  <c r="X65" i="9"/>
  <c r="AV65" i="9"/>
  <c r="BA65" i="9"/>
  <c r="S65" i="9"/>
  <c r="T65" i="9" s="1"/>
  <c r="F65" i="9"/>
  <c r="AK65" i="9"/>
  <c r="AC65" i="9"/>
  <c r="AH65" i="9"/>
  <c r="M65" i="9"/>
  <c r="AS65" i="9"/>
  <c r="W65" i="9"/>
  <c r="AT65" i="9"/>
  <c r="AZ65" i="9"/>
  <c r="AY65" i="9" s="1"/>
  <c r="H65" i="9"/>
  <c r="Y65" i="9"/>
  <c r="W23" i="9"/>
  <c r="H23" i="9"/>
  <c r="AX23" i="9"/>
  <c r="Q23" i="9"/>
  <c r="G23" i="9"/>
  <c r="AU23" i="9"/>
  <c r="R23" i="9"/>
  <c r="N23" i="9"/>
  <c r="AN23" i="9"/>
  <c r="AQ23" i="9"/>
  <c r="P23" i="9"/>
  <c r="K23" i="9"/>
  <c r="Z23" i="9" s="1"/>
  <c r="AA23" i="9" s="1"/>
  <c r="AT23" i="9"/>
  <c r="AF23" i="9"/>
  <c r="AK23" i="9"/>
  <c r="AR23" i="9"/>
  <c r="F23" i="9"/>
  <c r="AD23" i="9"/>
  <c r="C23" i="9" s="1"/>
  <c r="O23" i="9"/>
  <c r="AV23" i="9"/>
  <c r="E23" i="9"/>
  <c r="AB23" i="9"/>
  <c r="Y23" i="9"/>
  <c r="AS23" i="9"/>
  <c r="AH23" i="9"/>
  <c r="AE23" i="9"/>
  <c r="AW23" i="9"/>
  <c r="M23" i="9"/>
  <c r="AJ23" i="9"/>
  <c r="L23" i="9"/>
  <c r="X23" i="9"/>
  <c r="AI23" i="9"/>
  <c r="S23" i="9"/>
  <c r="T23" i="9" s="1"/>
  <c r="D23" i="9"/>
  <c r="J23" i="9"/>
  <c r="AV90" i="9"/>
  <c r="J90" i="9"/>
  <c r="N90" i="9"/>
  <c r="Y90" i="9"/>
  <c r="AU90" i="9"/>
  <c r="AS90" i="9"/>
  <c r="AE90" i="9"/>
  <c r="AZ90" i="9"/>
  <c r="AY90" i="9" s="1"/>
  <c r="AW90" i="9"/>
  <c r="O90" i="9"/>
  <c r="X90" i="9"/>
  <c r="L90" i="9"/>
  <c r="AB90" i="9"/>
  <c r="AD90" i="9"/>
  <c r="C90" i="9" s="1"/>
  <c r="G90" i="9"/>
  <c r="K90" i="9"/>
  <c r="Z90" i="9" s="1"/>
  <c r="AA90" i="9" s="1"/>
  <c r="P90" i="9"/>
  <c r="H90" i="9"/>
  <c r="AK90" i="9"/>
  <c r="AF90" i="9"/>
  <c r="AX90" i="9"/>
  <c r="AC90" i="9"/>
  <c r="F90" i="9"/>
  <c r="AR90" i="9"/>
  <c r="BA90" i="9"/>
  <c r="AJ90" i="9"/>
  <c r="AH90" i="9"/>
  <c r="AN90" i="9"/>
  <c r="AI90" i="9"/>
  <c r="S90" i="9"/>
  <c r="T90" i="9" s="1"/>
  <c r="M90" i="9"/>
  <c r="AT90" i="9"/>
  <c r="E90" i="9"/>
  <c r="AQ90" i="9"/>
  <c r="Q90" i="9"/>
  <c r="W90" i="9"/>
  <c r="AP90" i="9"/>
  <c r="R90" i="9"/>
  <c r="D90" i="9"/>
  <c r="X28" i="9"/>
  <c r="AX28" i="9"/>
  <c r="AB28" i="9"/>
  <c r="K28" i="9"/>
  <c r="Z28" i="9" s="1"/>
  <c r="AA28" i="9" s="1"/>
  <c r="D28" i="9"/>
  <c r="AE28" i="9"/>
  <c r="O28" i="9"/>
  <c r="AU28" i="9"/>
  <c r="AK28" i="9"/>
  <c r="G28" i="9"/>
  <c r="AF28" i="9"/>
  <c r="H28" i="9"/>
  <c r="AH28" i="9"/>
  <c r="J28" i="9"/>
  <c r="W28" i="9"/>
  <c r="AD28" i="9"/>
  <c r="C28" i="9" s="1"/>
  <c r="P28" i="9"/>
  <c r="Y28" i="9"/>
  <c r="Q28" i="9"/>
  <c r="L28" i="9"/>
  <c r="AN28" i="9"/>
  <c r="N28" i="9"/>
  <c r="AI28" i="9"/>
  <c r="AJ28" i="9"/>
  <c r="AQ28" i="9"/>
  <c r="R28" i="9"/>
  <c r="AS28" i="9"/>
  <c r="S28" i="9"/>
  <c r="T28" i="9" s="1"/>
  <c r="AT28" i="9"/>
  <c r="AV28" i="9"/>
  <c r="AW28" i="9"/>
  <c r="F28" i="9"/>
  <c r="AR28" i="9"/>
  <c r="M28" i="9"/>
  <c r="E28" i="9"/>
  <c r="R27" i="9"/>
  <c r="J27" i="9"/>
  <c r="AC27" i="9"/>
  <c r="AB27" i="9"/>
  <c r="D27" i="9"/>
  <c r="F27" i="9"/>
  <c r="H27" i="9"/>
  <c r="AQ27" i="9"/>
  <c r="L27" i="9"/>
  <c r="AK27" i="9"/>
  <c r="AU27" i="9"/>
  <c r="AF27" i="9"/>
  <c r="P27" i="9"/>
  <c r="N27" i="9"/>
  <c r="G27" i="9"/>
  <c r="Y27" i="9"/>
  <c r="K27" i="9"/>
  <c r="Z27" i="9" s="1"/>
  <c r="AA27" i="9" s="1"/>
  <c r="AE27" i="9"/>
  <c r="W27" i="9"/>
  <c r="E27" i="9"/>
  <c r="M27" i="9"/>
  <c r="O27" i="9"/>
  <c r="AI27" i="9"/>
  <c r="S27" i="9"/>
  <c r="T27" i="9" s="1"/>
  <c r="X27" i="9"/>
  <c r="AS27" i="9"/>
  <c r="AD27" i="9"/>
  <c r="C27" i="9" s="1"/>
  <c r="AW27" i="9"/>
  <c r="AX27" i="9"/>
  <c r="AH27" i="9"/>
  <c r="AN27" i="9"/>
  <c r="Q27" i="9"/>
  <c r="AR27" i="9"/>
  <c r="AT27" i="9"/>
  <c r="AV27" i="9"/>
  <c r="AJ27" i="9"/>
  <c r="AF84" i="9"/>
  <c r="AX84" i="9"/>
  <c r="AU84" i="9"/>
  <c r="AW84" i="9"/>
  <c r="E84" i="9"/>
  <c r="AI84" i="9"/>
  <c r="N84" i="9"/>
  <c r="AZ84" i="9"/>
  <c r="AY84" i="9" s="1"/>
  <c r="AB84" i="9"/>
  <c r="AQ84" i="9"/>
  <c r="AS84" i="9"/>
  <c r="AP84" i="9"/>
  <c r="W84" i="9"/>
  <c r="AR84" i="9"/>
  <c r="R84" i="9"/>
  <c r="AD84" i="9"/>
  <c r="C84" i="9" s="1"/>
  <c r="BA84" i="9"/>
  <c r="AK84" i="9"/>
  <c r="Q84" i="9"/>
  <c r="H84" i="9"/>
  <c r="O84" i="9"/>
  <c r="AJ84" i="9"/>
  <c r="G84" i="9"/>
  <c r="L84" i="9"/>
  <c r="F84" i="9"/>
  <c r="P84" i="9"/>
  <c r="AV84" i="9"/>
  <c r="AT84" i="9"/>
  <c r="J84" i="9"/>
  <c r="X84" i="9"/>
  <c r="AN84" i="9"/>
  <c r="M84" i="9"/>
  <c r="Y84" i="9"/>
  <c r="AE84" i="9"/>
  <c r="AC84" i="9"/>
  <c r="K84" i="9"/>
  <c r="Z84" i="9" s="1"/>
  <c r="AA84" i="9" s="1"/>
  <c r="D84" i="9"/>
  <c r="AH84" i="9"/>
  <c r="S84" i="9"/>
  <c r="T84" i="9" s="1"/>
  <c r="O22" i="9"/>
  <c r="AV22" i="9"/>
  <c r="AW22" i="9"/>
  <c r="J22" i="9"/>
  <c r="Y22" i="9"/>
  <c r="AK22" i="9"/>
  <c r="F22" i="9"/>
  <c r="D22" i="9"/>
  <c r="L22" i="9"/>
  <c r="E22" i="9"/>
  <c r="AN22" i="9"/>
  <c r="W22" i="9"/>
  <c r="G22" i="9"/>
  <c r="AR22" i="9"/>
  <c r="AE22" i="9"/>
  <c r="K22" i="9"/>
  <c r="Z22" i="9" s="1"/>
  <c r="AA22" i="9" s="1"/>
  <c r="AU22" i="9"/>
  <c r="AJ22" i="9"/>
  <c r="AB22" i="9"/>
  <c r="M22" i="9"/>
  <c r="AS22" i="9"/>
  <c r="AH22" i="9"/>
  <c r="R22" i="9"/>
  <c r="N22" i="9"/>
  <c r="AQ22" i="9"/>
  <c r="P22" i="9"/>
  <c r="H22" i="9"/>
  <c r="S22" i="9"/>
  <c r="T22" i="9" s="1"/>
  <c r="AX22" i="9"/>
  <c r="AI22" i="9"/>
  <c r="AT22" i="9"/>
  <c r="Q22" i="9"/>
  <c r="AD22" i="9"/>
  <c r="C22" i="9" s="1"/>
  <c r="AF22" i="9"/>
  <c r="X22" i="9"/>
  <c r="D21" i="9"/>
  <c r="AI21" i="9"/>
  <c r="L21" i="9"/>
  <c r="AN21" i="9"/>
  <c r="S21" i="9"/>
  <c r="T21" i="9" s="1"/>
  <c r="W21" i="9"/>
  <c r="P21" i="9"/>
  <c r="AE21" i="9"/>
  <c r="J21" i="9"/>
  <c r="R21" i="9"/>
  <c r="AS21" i="9"/>
  <c r="AH21" i="9"/>
  <c r="AJ21" i="9"/>
  <c r="AR21" i="9"/>
  <c r="O21" i="9"/>
  <c r="AV21" i="9"/>
  <c r="X21" i="9"/>
  <c r="AX21" i="9"/>
  <c r="AT21" i="9"/>
  <c r="AW21" i="9"/>
  <c r="F21" i="9"/>
  <c r="AD21" i="9"/>
  <c r="C21" i="9" s="1"/>
  <c r="G21" i="9"/>
  <c r="AF21" i="9"/>
  <c r="H21" i="9"/>
  <c r="K21" i="9"/>
  <c r="Z21" i="9" s="1"/>
  <c r="AA21" i="9" s="1"/>
  <c r="N21" i="9"/>
  <c r="AB21" i="9"/>
  <c r="AQ21" i="9"/>
  <c r="E21" i="9"/>
  <c r="Y21" i="9"/>
  <c r="AU21" i="9"/>
  <c r="M21" i="9"/>
  <c r="Q21" i="9"/>
  <c r="AK21" i="9"/>
  <c r="W85" i="9"/>
  <c r="G85" i="9"/>
  <c r="AS85" i="9"/>
  <c r="S85" i="9"/>
  <c r="T85" i="9" s="1"/>
  <c r="K85" i="9"/>
  <c r="Z85" i="9" s="1"/>
  <c r="AA85" i="9" s="1"/>
  <c r="P85" i="9"/>
  <c r="AF85" i="9"/>
  <c r="Q85" i="9"/>
  <c r="AT85" i="9"/>
  <c r="AE85" i="9"/>
  <c r="AH85" i="9"/>
  <c r="O85" i="9"/>
  <c r="BA85" i="9"/>
  <c r="AW85" i="9"/>
  <c r="AJ85" i="9"/>
  <c r="D85" i="9"/>
  <c r="AK85" i="9"/>
  <c r="E85" i="9"/>
  <c r="AX85" i="9"/>
  <c r="F85" i="9"/>
  <c r="AR85" i="9"/>
  <c r="X85" i="9"/>
  <c r="R85" i="9"/>
  <c r="J85" i="9"/>
  <c r="AC85" i="9"/>
  <c r="AP85" i="9"/>
  <c r="H85" i="9"/>
  <c r="AQ85" i="9"/>
  <c r="AB85" i="9"/>
  <c r="N85" i="9"/>
  <c r="AZ85" i="9"/>
  <c r="AY85" i="9" s="1"/>
  <c r="AI85" i="9"/>
  <c r="AN85" i="9"/>
  <c r="AV85" i="9"/>
  <c r="AD85" i="9"/>
  <c r="C85" i="9" s="1"/>
  <c r="M85" i="9"/>
  <c r="Y85" i="9"/>
  <c r="L85" i="9"/>
  <c r="AU85" i="9"/>
  <c r="AT83" i="9"/>
  <c r="AI83" i="9"/>
  <c r="AX83" i="9"/>
  <c r="S83" i="9"/>
  <c r="F83" i="9"/>
  <c r="M83" i="9"/>
  <c r="O83" i="9"/>
  <c r="AB83" i="9"/>
  <c r="AK83" i="9"/>
  <c r="AZ83" i="9"/>
  <c r="AY83" i="9" s="1"/>
  <c r="E83" i="9"/>
  <c r="D83" i="9"/>
  <c r="L83" i="9"/>
  <c r="AP83" i="9"/>
  <c r="AF83" i="9"/>
  <c r="AC83" i="9"/>
  <c r="AR83" i="9"/>
  <c r="R83" i="9"/>
  <c r="H83" i="9"/>
  <c r="AW83" i="9"/>
  <c r="AO83" i="9"/>
  <c r="AQ83" i="9"/>
  <c r="AE83" i="9"/>
  <c r="Y83" i="9"/>
  <c r="J83" i="9"/>
  <c r="G83" i="9"/>
  <c r="X83" i="9"/>
  <c r="K83" i="9"/>
  <c r="Z83" i="9" s="1"/>
  <c r="AA83" i="9" s="1"/>
  <c r="AD83" i="9"/>
  <c r="BD83" i="9" s="1"/>
  <c r="P83" i="9"/>
  <c r="W83" i="9"/>
  <c r="N83" i="9"/>
  <c r="BB83" i="9"/>
  <c r="AU83" i="9"/>
  <c r="AJ83" i="9"/>
  <c r="AH83" i="9"/>
  <c r="AV83" i="9"/>
  <c r="AN83" i="9"/>
  <c r="Q83" i="9"/>
  <c r="BA83" i="9"/>
  <c r="AS83" i="9"/>
  <c r="AO151" i="10"/>
  <c r="AO49" i="10"/>
  <c r="AI83" i="10"/>
  <c r="Q120" i="10"/>
  <c r="AA14" i="10" s="1"/>
  <c r="T41" i="8" s="1"/>
  <c r="AI33" i="10"/>
  <c r="AI49" i="10"/>
  <c r="AE112" i="10"/>
  <c r="AI66" i="10"/>
  <c r="AO66" i="10"/>
  <c r="Q86" i="10"/>
  <c r="AA12" i="10" s="1"/>
  <c r="T39" i="8" s="1"/>
  <c r="AI100" i="10"/>
  <c r="AO100" i="10"/>
  <c r="AI117" i="10"/>
  <c r="AO33" i="10"/>
  <c r="AO117" i="10"/>
  <c r="AI151" i="10"/>
  <c r="Q52" i="10"/>
  <c r="AA10" i="10" s="1"/>
  <c r="T37" i="8" s="1"/>
  <c r="AO83" i="10"/>
  <c r="Q103" i="10"/>
  <c r="Q104" i="10" s="1"/>
  <c r="AC13" i="10" s="1"/>
  <c r="U40" i="8" s="1"/>
  <c r="AI134" i="10"/>
  <c r="AO134" i="10"/>
  <c r="Q36" i="10"/>
  <c r="AA9" i="10" s="1"/>
  <c r="AE95" i="10"/>
  <c r="Q154" i="10"/>
  <c r="Q69" i="10"/>
  <c r="Q137" i="10"/>
  <c r="AC28" i="9" l="1"/>
  <c r="K23" i="13"/>
  <c r="AC24" i="9"/>
  <c r="K24" i="13"/>
  <c r="AC25" i="9"/>
  <c r="AT17" i="3"/>
  <c r="AU17" i="3" s="1"/>
  <c r="BM17" i="3"/>
  <c r="BO17" i="3" s="1"/>
  <c r="F22" i="13"/>
  <c r="AT31" i="3"/>
  <c r="AU31" i="3" s="1"/>
  <c r="BM31" i="3"/>
  <c r="BM19" i="3"/>
  <c r="BO19" i="3" s="1"/>
  <c r="BM22" i="3"/>
  <c r="BO22" i="3" s="1"/>
  <c r="F27" i="13"/>
  <c r="BI36" i="3"/>
  <c r="AT36" i="3"/>
  <c r="AU36" i="3" s="1"/>
  <c r="BM36" i="3"/>
  <c r="BI48" i="3"/>
  <c r="F39" i="13"/>
  <c r="AT48" i="3"/>
  <c r="AU48" i="3" s="1"/>
  <c r="BI50" i="3"/>
  <c r="F41" i="13"/>
  <c r="AT50" i="3"/>
  <c r="AU50" i="3" s="1"/>
  <c r="BI44" i="3"/>
  <c r="F35" i="13"/>
  <c r="AT44" i="3"/>
  <c r="AU44" i="3" s="1"/>
  <c r="BM26" i="3"/>
  <c r="BO26" i="3" s="1"/>
  <c r="AT18" i="3"/>
  <c r="AU18" i="3" s="1"/>
  <c r="BM18" i="3"/>
  <c r="BO18" i="3" s="1"/>
  <c r="AT20" i="3"/>
  <c r="AU20" i="3" s="1"/>
  <c r="BM20" i="3"/>
  <c r="BO20" i="3" s="1"/>
  <c r="BI45" i="3"/>
  <c r="F36" i="13"/>
  <c r="AT45" i="3"/>
  <c r="AU45" i="3" s="1"/>
  <c r="BM28" i="3"/>
  <c r="BO28" i="3" s="1"/>
  <c r="BI28" i="3"/>
  <c r="F26" i="13"/>
  <c r="AT35" i="3"/>
  <c r="AU35" i="3" s="1"/>
  <c r="BI35" i="3"/>
  <c r="BM35" i="3"/>
  <c r="F31" i="13"/>
  <c r="BI40" i="3"/>
  <c r="AT40" i="3"/>
  <c r="AU40" i="3" s="1"/>
  <c r="BI43" i="3"/>
  <c r="F34" i="13"/>
  <c r="AT43" i="3"/>
  <c r="AU43" i="3" s="1"/>
  <c r="BI47" i="3"/>
  <c r="F38" i="13"/>
  <c r="AT47" i="3"/>
  <c r="AU47" i="3" s="1"/>
  <c r="F25" i="13"/>
  <c r="BM34" i="3"/>
  <c r="BI34" i="3"/>
  <c r="AT34" i="3"/>
  <c r="AU34" i="3" s="1"/>
  <c r="F23" i="13"/>
  <c r="BI32" i="3"/>
  <c r="BM32" i="3"/>
  <c r="AT32" i="3"/>
  <c r="AU32" i="3" s="1"/>
  <c r="AT16" i="3"/>
  <c r="AU16" i="3" s="1"/>
  <c r="BM16" i="3"/>
  <c r="BO16" i="3" s="1"/>
  <c r="K22" i="13"/>
  <c r="BM25" i="3"/>
  <c r="BO25" i="3" s="1"/>
  <c r="BM23" i="3"/>
  <c r="BO23" i="3" s="1"/>
  <c r="K26" i="13"/>
  <c r="K31" i="13"/>
  <c r="K34" i="13"/>
  <c r="K38" i="13"/>
  <c r="K25" i="13"/>
  <c r="F24" i="13"/>
  <c r="BI33" i="3"/>
  <c r="BM33" i="3"/>
  <c r="AT33" i="3"/>
  <c r="AU33" i="3" s="1"/>
  <c r="BM27" i="3"/>
  <c r="BO27" i="3" s="1"/>
  <c r="K36" i="13"/>
  <c r="F21" i="13"/>
  <c r="BI30" i="3"/>
  <c r="BM30" i="3"/>
  <c r="BO30" i="3" s="1"/>
  <c r="BM21" i="3"/>
  <c r="BO21" i="3" s="1"/>
  <c r="AT38" i="3"/>
  <c r="AU38" i="3" s="1"/>
  <c r="BJ38" i="3"/>
  <c r="BL38" i="3" s="1"/>
  <c r="BI38" i="3"/>
  <c r="BI46" i="3"/>
  <c r="F37" i="13"/>
  <c r="AT46" i="3"/>
  <c r="AU46" i="3" s="1"/>
  <c r="BJ37" i="3"/>
  <c r="BL37" i="3" s="1"/>
  <c r="AT37" i="3"/>
  <c r="AU37" i="3" s="1"/>
  <c r="BI37" i="3"/>
  <c r="BJ39" i="3"/>
  <c r="BL39" i="3" s="1"/>
  <c r="BI39" i="3"/>
  <c r="AT39" i="3"/>
  <c r="AU39" i="3" s="1"/>
  <c r="F33" i="13"/>
  <c r="BI42" i="3"/>
  <c r="AT42" i="3"/>
  <c r="AU42" i="3" s="1"/>
  <c r="F32" i="13"/>
  <c r="BI41" i="3"/>
  <c r="AT41" i="3"/>
  <c r="AU41" i="3" s="1"/>
  <c r="BI49" i="3"/>
  <c r="F40" i="13"/>
  <c r="AT49" i="3"/>
  <c r="AU49" i="3" s="1"/>
  <c r="K40" i="13"/>
  <c r="BM24" i="3"/>
  <c r="BO24" i="3" s="1"/>
  <c r="F20" i="13"/>
  <c r="BI29" i="3"/>
  <c r="BM29" i="3"/>
  <c r="BO29" i="3" s="1"/>
  <c r="K37" i="13"/>
  <c r="K33" i="13"/>
  <c r="K32" i="13"/>
  <c r="AC13" i="9"/>
  <c r="AT21" i="3"/>
  <c r="AU21" i="3" s="1"/>
  <c r="AC11" i="9"/>
  <c r="AT19" i="3"/>
  <c r="AU19" i="3" s="1"/>
  <c r="AC14" i="9"/>
  <c r="AT22" i="3"/>
  <c r="AU22" i="3" s="1"/>
  <c r="BD139" i="9"/>
  <c r="BD138" i="9"/>
  <c r="BD90" i="9"/>
  <c r="BD27" i="9"/>
  <c r="BD142" i="9"/>
  <c r="BD140" i="9"/>
  <c r="BD22" i="9"/>
  <c r="BD23" i="9"/>
  <c r="BD84" i="9"/>
  <c r="BD137" i="9"/>
  <c r="BD21" i="9"/>
  <c r="BD135" i="9"/>
  <c r="BD136" i="9"/>
  <c r="BD141" i="9"/>
  <c r="BD89" i="9"/>
  <c r="BD65" i="9"/>
  <c r="BD134" i="9"/>
  <c r="BD28" i="9"/>
  <c r="BD85" i="9"/>
  <c r="C83" i="9"/>
  <c r="AC22" i="9"/>
  <c r="AG27" i="9"/>
  <c r="AG23" i="9"/>
  <c r="F11" i="13"/>
  <c r="AT23" i="3"/>
  <c r="AU23" i="3" s="1"/>
  <c r="F10" i="13"/>
  <c r="F12" i="13"/>
  <c r="F13" i="13"/>
  <c r="AT146" i="3"/>
  <c r="AU146" i="3" s="1"/>
  <c r="AG21" i="9"/>
  <c r="AG22" i="9"/>
  <c r="AC12" i="9"/>
  <c r="F19" i="13"/>
  <c r="AC20" i="9"/>
  <c r="F8" i="13"/>
  <c r="AC9" i="9"/>
  <c r="F16" i="13"/>
  <c r="AC17" i="9"/>
  <c r="F7" i="13"/>
  <c r="AC8" i="9"/>
  <c r="F14" i="13"/>
  <c r="AC15" i="9"/>
  <c r="F18" i="13"/>
  <c r="AC19" i="9"/>
  <c r="F15" i="13"/>
  <c r="AC16" i="9"/>
  <c r="F17" i="13"/>
  <c r="AC18" i="9"/>
  <c r="F9" i="13"/>
  <c r="AC10" i="9"/>
  <c r="AT30" i="3"/>
  <c r="AU30" i="3" s="1"/>
  <c r="AT29" i="3"/>
  <c r="AU29" i="3" s="1"/>
  <c r="AT28" i="3"/>
  <c r="AU28" i="3" s="1"/>
  <c r="AT27" i="3"/>
  <c r="AU27" i="3" s="1"/>
  <c r="AT26" i="3"/>
  <c r="AU26" i="3" s="1"/>
  <c r="AT25" i="3"/>
  <c r="AU25" i="3" s="1"/>
  <c r="AT24" i="3"/>
  <c r="AU24" i="3" s="1"/>
  <c r="K21" i="13"/>
  <c r="K11" i="13"/>
  <c r="K10" i="13"/>
  <c r="K19" i="13"/>
  <c r="K12" i="13"/>
  <c r="K8" i="13"/>
  <c r="K13" i="13"/>
  <c r="K16" i="13"/>
  <c r="K15" i="13"/>
  <c r="K7" i="13"/>
  <c r="K17" i="13"/>
  <c r="K14" i="13"/>
  <c r="K20" i="13"/>
  <c r="K18" i="13"/>
  <c r="K9" i="13"/>
  <c r="AG89" i="9"/>
  <c r="AG84" i="9"/>
  <c r="AG65" i="9"/>
  <c r="AG140" i="9"/>
  <c r="AG134" i="9"/>
  <c r="AG136" i="9"/>
  <c r="AG83" i="9"/>
  <c r="AG90" i="9"/>
  <c r="AG85" i="9"/>
  <c r="AG28" i="9"/>
  <c r="AG139" i="9"/>
  <c r="AG138" i="9"/>
  <c r="U142" i="9"/>
  <c r="V142" i="9" s="1"/>
  <c r="I142" i="9"/>
  <c r="I136" i="9"/>
  <c r="K72" i="13"/>
  <c r="AC73" i="9"/>
  <c r="I134" i="9"/>
  <c r="U138" i="9"/>
  <c r="V138" i="9" s="1"/>
  <c r="I135" i="9"/>
  <c r="U140" i="9"/>
  <c r="V140" i="9" s="1"/>
  <c r="I139" i="9"/>
  <c r="I140" i="9"/>
  <c r="I65" i="9"/>
  <c r="U141" i="9"/>
  <c r="V141" i="9" s="1"/>
  <c r="U89" i="9"/>
  <c r="V89" i="9" s="1"/>
  <c r="U135" i="9"/>
  <c r="V135" i="9" s="1"/>
  <c r="I138" i="9"/>
  <c r="U134" i="9"/>
  <c r="V134" i="9" s="1"/>
  <c r="U136" i="9"/>
  <c r="V136" i="9" s="1"/>
  <c r="U139" i="9"/>
  <c r="V139" i="9" s="1"/>
  <c r="U137" i="9"/>
  <c r="V137" i="9" s="1"/>
  <c r="F72" i="13"/>
  <c r="AT81" i="3"/>
  <c r="AU81" i="3" s="1"/>
  <c r="I89" i="9"/>
  <c r="AZ126" i="9"/>
  <c r="AY126" i="9" s="1"/>
  <c r="AT147" i="3"/>
  <c r="AU147" i="3" s="1"/>
  <c r="AT139" i="3"/>
  <c r="AU139" i="3" s="1"/>
  <c r="AT149" i="3"/>
  <c r="AU149" i="3" s="1"/>
  <c r="AT148" i="3"/>
  <c r="AU148" i="3" s="1"/>
  <c r="AT144" i="3"/>
  <c r="AU144" i="3" s="1"/>
  <c r="AT145" i="3"/>
  <c r="AU145" i="3" s="1"/>
  <c r="AT150" i="3"/>
  <c r="AU150" i="3" s="1"/>
  <c r="BA130" i="9"/>
  <c r="AZ136" i="9"/>
  <c r="AY136" i="9" s="1"/>
  <c r="BA133" i="9"/>
  <c r="BA132" i="9"/>
  <c r="F127" i="13"/>
  <c r="AC128" i="9"/>
  <c r="F132" i="13"/>
  <c r="AC133" i="9"/>
  <c r="F137" i="13"/>
  <c r="AC138" i="9"/>
  <c r="F126" i="13"/>
  <c r="AC127" i="9"/>
  <c r="F128" i="13"/>
  <c r="AC129" i="9"/>
  <c r="F136" i="13"/>
  <c r="AC137" i="9"/>
  <c r="F133" i="13"/>
  <c r="AC134" i="9"/>
  <c r="F130" i="13"/>
  <c r="AC131" i="9"/>
  <c r="F135" i="13"/>
  <c r="AC136" i="9"/>
  <c r="F141" i="13"/>
  <c r="AC142" i="9"/>
  <c r="F129" i="13"/>
  <c r="AC130" i="9"/>
  <c r="F131" i="13"/>
  <c r="AC132" i="9"/>
  <c r="F134" i="13"/>
  <c r="AC135" i="9"/>
  <c r="F140" i="13"/>
  <c r="AC141" i="9"/>
  <c r="F138" i="13"/>
  <c r="AC139" i="9"/>
  <c r="F139" i="13"/>
  <c r="AC140" i="9"/>
  <c r="F125" i="13"/>
  <c r="AC126" i="9"/>
  <c r="CD150" i="3"/>
  <c r="EK150" i="3" s="1"/>
  <c r="BB142" i="9"/>
  <c r="CD147" i="3"/>
  <c r="EK147" i="3" s="1"/>
  <c r="BB139" i="9"/>
  <c r="BA139" i="9"/>
  <c r="BA138" i="9"/>
  <c r="CD146" i="3"/>
  <c r="EK146" i="3" s="1"/>
  <c r="BB138" i="9"/>
  <c r="CD145" i="3"/>
  <c r="EK145" i="3" s="1"/>
  <c r="BB137" i="9"/>
  <c r="BA137" i="9"/>
  <c r="CD144" i="3"/>
  <c r="EK144" i="3" s="1"/>
  <c r="BB136" i="9"/>
  <c r="BA135" i="9"/>
  <c r="CD142" i="3"/>
  <c r="EK142" i="3" s="1"/>
  <c r="BB134" i="9"/>
  <c r="AZ134" i="9"/>
  <c r="AY134" i="9" s="1"/>
  <c r="BA134" i="9"/>
  <c r="AZ133" i="9"/>
  <c r="AY133" i="9" s="1"/>
  <c r="CD141" i="3"/>
  <c r="EK141" i="3" s="1"/>
  <c r="BB133" i="9"/>
  <c r="CD140" i="3"/>
  <c r="EK140" i="3" s="1"/>
  <c r="BB132" i="9"/>
  <c r="AZ131" i="9"/>
  <c r="AY131" i="9" s="1"/>
  <c r="CD138" i="3"/>
  <c r="EK138" i="3" s="1"/>
  <c r="BB130" i="9"/>
  <c r="BA128" i="9"/>
  <c r="AT136" i="3"/>
  <c r="AU136" i="3" s="1"/>
  <c r="AT135" i="3"/>
  <c r="AU135" i="3" s="1"/>
  <c r="AT143" i="3"/>
  <c r="AU143" i="3" s="1"/>
  <c r="AT142" i="3"/>
  <c r="AU142" i="3" s="1"/>
  <c r="AT140" i="3"/>
  <c r="AU140" i="3" s="1"/>
  <c r="AT138" i="3"/>
  <c r="AU138" i="3" s="1"/>
  <c r="AT137" i="3"/>
  <c r="AU137" i="3" s="1"/>
  <c r="K127" i="13"/>
  <c r="K135" i="13"/>
  <c r="K132" i="13"/>
  <c r="K141" i="13"/>
  <c r="K137" i="13"/>
  <c r="K129" i="13"/>
  <c r="K126" i="13"/>
  <c r="K131" i="13"/>
  <c r="K128" i="13"/>
  <c r="K134" i="13"/>
  <c r="K136" i="13"/>
  <c r="K140" i="13"/>
  <c r="K133" i="13"/>
  <c r="K138" i="13"/>
  <c r="K130" i="13"/>
  <c r="K139" i="13"/>
  <c r="AT134" i="3"/>
  <c r="AU134" i="3" s="1"/>
  <c r="K125" i="13"/>
  <c r="I85" i="9"/>
  <c r="I83" i="9"/>
  <c r="I21" i="9"/>
  <c r="U28" i="9"/>
  <c r="V28" i="9" s="1"/>
  <c r="U21" i="9"/>
  <c r="V21" i="9" s="1"/>
  <c r="U90" i="9"/>
  <c r="V90" i="9" s="1"/>
  <c r="I23" i="9"/>
  <c r="I90" i="9"/>
  <c r="U65" i="9"/>
  <c r="V65" i="9" s="1"/>
  <c r="U83" i="9"/>
  <c r="V83" i="9" s="1"/>
  <c r="I84" i="9"/>
  <c r="I22" i="9"/>
  <c r="U23" i="9"/>
  <c r="V23" i="9" s="1"/>
  <c r="I28" i="9"/>
  <c r="U84" i="9"/>
  <c r="V84" i="9" s="1"/>
  <c r="U27" i="9"/>
  <c r="V27" i="9" s="1"/>
  <c r="I27" i="9"/>
  <c r="U85" i="9"/>
  <c r="V85" i="9" s="1"/>
  <c r="T83" i="9"/>
  <c r="U22" i="9"/>
  <c r="V22" i="9" s="1"/>
  <c r="Q122" i="10"/>
  <c r="AE14" i="10" s="1"/>
  <c r="V41" i="8" s="1"/>
  <c r="Q121" i="10"/>
  <c r="AC14" i="10" s="1"/>
  <c r="U41" i="8" s="1"/>
  <c r="Q87" i="10"/>
  <c r="AC12" i="10" s="1"/>
  <c r="U39" i="8" s="1"/>
  <c r="Q53" i="10"/>
  <c r="AC10" i="10" s="1"/>
  <c r="U37" i="8" s="1"/>
  <c r="Q54" i="10"/>
  <c r="AE10" i="10" s="1"/>
  <c r="V37" i="8" s="1"/>
  <c r="Q88" i="10"/>
  <c r="AE12" i="10" s="1"/>
  <c r="V39" i="8" s="1"/>
  <c r="Q105" i="10"/>
  <c r="AE13" i="10" s="1"/>
  <c r="V40" i="8" s="1"/>
  <c r="AA13" i="10"/>
  <c r="T40" i="8" s="1"/>
  <c r="Q70" i="10"/>
  <c r="AC11" i="10" s="1"/>
  <c r="U38" i="8" s="1"/>
  <c r="AA11" i="10"/>
  <c r="T38" i="8" s="1"/>
  <c r="Q71" i="10"/>
  <c r="AE11" i="10" s="1"/>
  <c r="V38" i="8" s="1"/>
  <c r="Q156" i="10"/>
  <c r="AE16" i="10" s="1"/>
  <c r="V43" i="8" s="1"/>
  <c r="AA16" i="10"/>
  <c r="T43" i="8" s="1"/>
  <c r="Q155" i="10"/>
  <c r="AC16" i="10" s="1"/>
  <c r="U43" i="8" s="1"/>
  <c r="Q138" i="10"/>
  <c r="AC15" i="10" s="1"/>
  <c r="U42" i="8" s="1"/>
  <c r="AA15" i="10"/>
  <c r="T42" i="8" s="1"/>
  <c r="Q139" i="10"/>
  <c r="AE15" i="10" s="1"/>
  <c r="V42" i="8" s="1"/>
  <c r="Q38" i="10"/>
  <c r="AE9" i="10" s="1"/>
  <c r="V36" i="8" s="1"/>
  <c r="Q37" i="10"/>
  <c r="AC9" i="10" s="1"/>
  <c r="U36" i="8" s="1"/>
  <c r="T36" i="8"/>
  <c r="AZ15" i="3" l="1"/>
  <c r="BJ15" i="3" s="1"/>
  <c r="AZ45" i="3"/>
  <c r="AZ27" i="3"/>
  <c r="BI27" i="3" s="1"/>
  <c r="AZ61" i="3"/>
  <c r="AZ36" i="3"/>
  <c r="AZ43" i="3"/>
  <c r="AZ33" i="3"/>
  <c r="AZ55" i="3"/>
  <c r="AZ23" i="3"/>
  <c r="BI23" i="3" s="1"/>
  <c r="AZ49" i="3"/>
  <c r="AZ50" i="3"/>
  <c r="AZ48" i="3"/>
  <c r="AZ32" i="3"/>
  <c r="AZ53" i="3"/>
  <c r="AZ62" i="3"/>
  <c r="AZ30" i="3"/>
  <c r="AZ25" i="3"/>
  <c r="BI25" i="3" s="1"/>
  <c r="AZ35" i="3"/>
  <c r="AZ46" i="3"/>
  <c r="AZ60" i="3"/>
  <c r="AZ44" i="3"/>
  <c r="AZ28" i="3"/>
  <c r="AZ41" i="3"/>
  <c r="AZ42" i="3"/>
  <c r="AZ34" i="3"/>
  <c r="AZ47" i="3"/>
  <c r="AZ31" i="3"/>
  <c r="BI31" i="3" s="1"/>
  <c r="AZ21" i="3"/>
  <c r="BI21" i="3" s="1"/>
  <c r="AZ26" i="3"/>
  <c r="BI26" i="3" s="1"/>
  <c r="AZ40" i="3"/>
  <c r="AZ24" i="3"/>
  <c r="BI24" i="3" s="1"/>
  <c r="AZ29" i="3"/>
  <c r="AZ54" i="3"/>
  <c r="AZ22" i="3"/>
  <c r="BI22" i="3" s="1"/>
  <c r="AZ16" i="3"/>
  <c r="BI16" i="3" s="1"/>
  <c r="AX33" i="3"/>
  <c r="AX26" i="3"/>
  <c r="AX24" i="3"/>
  <c r="AX36" i="3"/>
  <c r="AX30" i="3"/>
  <c r="AX27" i="3"/>
  <c r="AX31" i="3"/>
  <c r="AX25" i="3"/>
  <c r="AX34" i="3"/>
  <c r="AX29" i="3"/>
  <c r="AX28" i="3"/>
  <c r="AX35" i="3"/>
  <c r="AX32" i="3"/>
  <c r="AX22" i="3"/>
  <c r="BA11" i="9"/>
  <c r="BA13" i="9"/>
  <c r="BA10" i="9"/>
  <c r="BA14" i="9"/>
  <c r="BA17" i="9"/>
  <c r="BA9" i="9"/>
  <c r="BA12" i="9"/>
  <c r="BO31" i="3"/>
  <c r="BA23" i="9"/>
  <c r="BO35" i="3"/>
  <c r="BA27" i="9"/>
  <c r="BO32" i="3"/>
  <c r="BA24" i="9"/>
  <c r="BO34" i="3"/>
  <c r="BA26" i="9"/>
  <c r="BO36" i="3"/>
  <c r="BA28" i="9"/>
  <c r="BO33" i="3"/>
  <c r="BA25" i="9"/>
  <c r="BI15" i="3"/>
  <c r="FW138" i="3"/>
  <c r="FW145" i="3"/>
  <c r="FW150" i="3"/>
  <c r="FW146" i="3"/>
  <c r="FW140" i="3"/>
  <c r="FW142" i="3"/>
  <c r="FW141" i="3"/>
  <c r="FW144" i="3"/>
  <c r="FW147" i="3"/>
  <c r="EB141" i="3"/>
  <c r="EL141" i="3"/>
  <c r="EM141" i="3"/>
  <c r="EO141" i="3"/>
  <c r="EN141" i="3"/>
  <c r="DQ141" i="3"/>
  <c r="DS141" i="3"/>
  <c r="CW141" i="3"/>
  <c r="CT141" i="3"/>
  <c r="FK141" i="3"/>
  <c r="DR141" i="3"/>
  <c r="DT141" i="3"/>
  <c r="CU141" i="3"/>
  <c r="FJ141" i="3"/>
  <c r="FL141" i="3"/>
  <c r="CV141" i="3"/>
  <c r="FI141" i="3"/>
  <c r="EB146" i="3"/>
  <c r="EL146" i="3"/>
  <c r="EM146" i="3"/>
  <c r="EN146" i="3"/>
  <c r="EO146" i="3"/>
  <c r="DT146" i="3"/>
  <c r="DQ146" i="3"/>
  <c r="DS146" i="3"/>
  <c r="DR146" i="3"/>
  <c r="CT146" i="3"/>
  <c r="CW146" i="3"/>
  <c r="FK146" i="3"/>
  <c r="CU146" i="3"/>
  <c r="CV146" i="3"/>
  <c r="FL146" i="3"/>
  <c r="FJ146" i="3"/>
  <c r="FI146" i="3"/>
  <c r="EB142" i="3"/>
  <c r="EL142" i="3"/>
  <c r="EM142" i="3"/>
  <c r="EN142" i="3"/>
  <c r="EO142" i="3"/>
  <c r="DR142" i="3"/>
  <c r="DQ142" i="3"/>
  <c r="DS142" i="3"/>
  <c r="DT142" i="3"/>
  <c r="CT142" i="3"/>
  <c r="CU142" i="3"/>
  <c r="CV142" i="3"/>
  <c r="FK142" i="3"/>
  <c r="FJ142" i="3"/>
  <c r="FL142" i="3"/>
  <c r="FI142" i="3"/>
  <c r="CW142" i="3"/>
  <c r="EB147" i="3"/>
  <c r="EL147" i="3"/>
  <c r="EM147" i="3"/>
  <c r="EO147" i="3"/>
  <c r="DQ147" i="3"/>
  <c r="DT147" i="3"/>
  <c r="EN147" i="3"/>
  <c r="DR147" i="3"/>
  <c r="CW147" i="3"/>
  <c r="CT147" i="3"/>
  <c r="FK147" i="3"/>
  <c r="DS147" i="3"/>
  <c r="CU147" i="3"/>
  <c r="FL147" i="3"/>
  <c r="FI147" i="3"/>
  <c r="CV147" i="3"/>
  <c r="FJ147" i="3"/>
  <c r="EB138" i="3"/>
  <c r="EL138" i="3"/>
  <c r="EM138" i="3"/>
  <c r="EO138" i="3"/>
  <c r="DQ138" i="3"/>
  <c r="EN138" i="3"/>
  <c r="DS138" i="3"/>
  <c r="DT138" i="3"/>
  <c r="CW138" i="3"/>
  <c r="CT138" i="3"/>
  <c r="DR138" i="3"/>
  <c r="CU138" i="3"/>
  <c r="CV138" i="3"/>
  <c r="FL138" i="3"/>
  <c r="FK138" i="3"/>
  <c r="FI138" i="3"/>
  <c r="FJ138" i="3"/>
  <c r="EB150" i="3"/>
  <c r="EL150" i="3"/>
  <c r="EM150" i="3"/>
  <c r="EO150" i="3"/>
  <c r="DQ150" i="3"/>
  <c r="DT150" i="3"/>
  <c r="CW150" i="3"/>
  <c r="DR150" i="3"/>
  <c r="CT150" i="3"/>
  <c r="EN150" i="3"/>
  <c r="DS150" i="3"/>
  <c r="CU150" i="3"/>
  <c r="CV150" i="3"/>
  <c r="FL150" i="3"/>
  <c r="FI150" i="3"/>
  <c r="FK150" i="3"/>
  <c r="FJ150" i="3"/>
  <c r="EB144" i="3"/>
  <c r="EL144" i="3"/>
  <c r="EM144" i="3"/>
  <c r="EO144" i="3"/>
  <c r="EN144" i="3"/>
  <c r="DQ144" i="3"/>
  <c r="DS144" i="3"/>
  <c r="CW144" i="3"/>
  <c r="DR144" i="3"/>
  <c r="CT144" i="3"/>
  <c r="DT144" i="3"/>
  <c r="CV144" i="3"/>
  <c r="CU144" i="3"/>
  <c r="FL144" i="3"/>
  <c r="FK144" i="3"/>
  <c r="FI144" i="3"/>
  <c r="FJ144" i="3"/>
  <c r="EB140" i="3"/>
  <c r="EL140" i="3"/>
  <c r="EM140" i="3"/>
  <c r="EN140" i="3"/>
  <c r="EO140" i="3"/>
  <c r="DT140" i="3"/>
  <c r="DR140" i="3"/>
  <c r="DQ140" i="3"/>
  <c r="DS140" i="3"/>
  <c r="CT140" i="3"/>
  <c r="CV140" i="3"/>
  <c r="CU140" i="3"/>
  <c r="CW140" i="3"/>
  <c r="FJ140" i="3"/>
  <c r="FI140" i="3"/>
  <c r="FL140" i="3"/>
  <c r="FK140" i="3"/>
  <c r="EB145" i="3"/>
  <c r="EL145" i="3"/>
  <c r="EM145" i="3"/>
  <c r="EN145" i="3"/>
  <c r="EO145" i="3"/>
  <c r="DR145" i="3"/>
  <c r="DQ145" i="3"/>
  <c r="CT145" i="3"/>
  <c r="DS145" i="3"/>
  <c r="DT145" i="3"/>
  <c r="CU145" i="3"/>
  <c r="CV145" i="3"/>
  <c r="CW145" i="3"/>
  <c r="FK145" i="3"/>
  <c r="FL145" i="3"/>
  <c r="FJ145" i="3"/>
  <c r="FI145" i="3"/>
  <c r="EX138" i="3"/>
  <c r="EY138" i="3"/>
  <c r="EZ138" i="3"/>
  <c r="FA138" i="3"/>
  <c r="EP138" i="3"/>
  <c r="FB138" i="3"/>
  <c r="EQ138" i="3"/>
  <c r="FC138" i="3"/>
  <c r="ER138" i="3"/>
  <c r="FD138" i="3"/>
  <c r="ES138" i="3"/>
  <c r="ET138" i="3"/>
  <c r="EU138" i="3"/>
  <c r="EW138" i="3"/>
  <c r="EV138" i="3"/>
  <c r="EP142" i="3"/>
  <c r="FB142" i="3"/>
  <c r="EQ142" i="3"/>
  <c r="FC142" i="3"/>
  <c r="ER142" i="3"/>
  <c r="FD142" i="3"/>
  <c r="ES142" i="3"/>
  <c r="ET142" i="3"/>
  <c r="EU142" i="3"/>
  <c r="EV142" i="3"/>
  <c r="EW142" i="3"/>
  <c r="EX142" i="3"/>
  <c r="EY142" i="3"/>
  <c r="EZ142" i="3"/>
  <c r="FA142" i="3"/>
  <c r="EV150" i="3"/>
  <c r="EW150" i="3"/>
  <c r="EX150" i="3"/>
  <c r="EY150" i="3"/>
  <c r="EZ150" i="3"/>
  <c r="FA150" i="3"/>
  <c r="EP150" i="3"/>
  <c r="FB150" i="3"/>
  <c r="EQ150" i="3"/>
  <c r="FC150" i="3"/>
  <c r="ER150" i="3"/>
  <c r="FD150" i="3"/>
  <c r="EU150" i="3"/>
  <c r="ES150" i="3"/>
  <c r="ET150" i="3"/>
  <c r="EV147" i="3"/>
  <c r="EW147" i="3"/>
  <c r="EX147" i="3"/>
  <c r="EY147" i="3"/>
  <c r="EZ147" i="3"/>
  <c r="FA147" i="3"/>
  <c r="EP147" i="3"/>
  <c r="FB147" i="3"/>
  <c r="EQ147" i="3"/>
  <c r="FC147" i="3"/>
  <c r="ER147" i="3"/>
  <c r="FD147" i="3"/>
  <c r="EU147" i="3"/>
  <c r="ES147" i="3"/>
  <c r="ET147" i="3"/>
  <c r="ET140" i="3"/>
  <c r="EU140" i="3"/>
  <c r="EV140" i="3"/>
  <c r="EW140" i="3"/>
  <c r="EX140" i="3"/>
  <c r="EY140" i="3"/>
  <c r="EZ140" i="3"/>
  <c r="FA140" i="3"/>
  <c r="EP140" i="3"/>
  <c r="FB140" i="3"/>
  <c r="EQ140" i="3"/>
  <c r="FC140" i="3"/>
  <c r="ER140" i="3"/>
  <c r="ES140" i="3"/>
  <c r="FD140" i="3"/>
  <c r="EX144" i="3"/>
  <c r="EY144" i="3"/>
  <c r="EZ144" i="3"/>
  <c r="FA144" i="3"/>
  <c r="EP144" i="3"/>
  <c r="FB144" i="3"/>
  <c r="EQ144" i="3"/>
  <c r="FC144" i="3"/>
  <c r="ER144" i="3"/>
  <c r="FD144" i="3"/>
  <c r="ES144" i="3"/>
  <c r="ET144" i="3"/>
  <c r="EU144" i="3"/>
  <c r="EV144" i="3"/>
  <c r="EW144" i="3"/>
  <c r="ET146" i="3"/>
  <c r="EP146" i="3"/>
  <c r="EQ146" i="3"/>
  <c r="FD146" i="3"/>
  <c r="ER146" i="3"/>
  <c r="ES146" i="3"/>
  <c r="EU146" i="3"/>
  <c r="EV146" i="3"/>
  <c r="EW146" i="3"/>
  <c r="EX146" i="3"/>
  <c r="EY146" i="3"/>
  <c r="EZ146" i="3"/>
  <c r="FC146" i="3"/>
  <c r="FA146" i="3"/>
  <c r="FB146" i="3"/>
  <c r="EX141" i="3"/>
  <c r="EY141" i="3"/>
  <c r="EZ141" i="3"/>
  <c r="FA141" i="3"/>
  <c r="EP141" i="3"/>
  <c r="FB141" i="3"/>
  <c r="EQ141" i="3"/>
  <c r="FC141" i="3"/>
  <c r="ER141" i="3"/>
  <c r="FD141" i="3"/>
  <c r="ES141" i="3"/>
  <c r="ET141" i="3"/>
  <c r="EU141" i="3"/>
  <c r="EV141" i="3"/>
  <c r="EW141" i="3"/>
  <c r="EP145" i="3"/>
  <c r="FB145" i="3"/>
  <c r="EQ145" i="3"/>
  <c r="FC145" i="3"/>
  <c r="ER145" i="3"/>
  <c r="FD145" i="3"/>
  <c r="ES145" i="3"/>
  <c r="ET145" i="3"/>
  <c r="EU145" i="3"/>
  <c r="EV145" i="3"/>
  <c r="EW145" i="3"/>
  <c r="EX145" i="3"/>
  <c r="EY145" i="3"/>
  <c r="FA145" i="3"/>
  <c r="EZ145" i="3"/>
  <c r="AZ18" i="3"/>
  <c r="BI18" i="3" s="1"/>
  <c r="AZ17" i="3"/>
  <c r="BI17" i="3" s="1"/>
  <c r="AZ19" i="3"/>
  <c r="BI19" i="3" s="1"/>
  <c r="AZ20" i="3"/>
  <c r="BI20" i="3" s="1"/>
  <c r="AZ14" i="3"/>
  <c r="BK14" i="3" s="1"/>
  <c r="DU138" i="3"/>
  <c r="EH138" i="3"/>
  <c r="DW138" i="3"/>
  <c r="DX138" i="3"/>
  <c r="DZ138" i="3"/>
  <c r="DP138" i="3"/>
  <c r="EC138" i="3"/>
  <c r="DV138" i="3"/>
  <c r="ED138" i="3"/>
  <c r="EE138" i="3"/>
  <c r="DY138" i="3"/>
  <c r="EF138" i="3"/>
  <c r="EA138" i="3"/>
  <c r="EG138" i="3"/>
  <c r="EI138" i="3"/>
  <c r="DC138" i="3"/>
  <c r="DF138" i="3"/>
  <c r="DG138" i="3"/>
  <c r="DH138" i="3"/>
  <c r="DI138" i="3"/>
  <c r="CZ138" i="3"/>
  <c r="DL138" i="3"/>
  <c r="CY138" i="3"/>
  <c r="DA138" i="3"/>
  <c r="DB138" i="3"/>
  <c r="DD138" i="3"/>
  <c r="DE138" i="3"/>
  <c r="DJ138" i="3"/>
  <c r="DK138" i="3"/>
  <c r="DM138" i="3"/>
  <c r="DN138" i="3"/>
  <c r="CX138" i="3"/>
  <c r="FN138" i="3"/>
  <c r="FZ138" i="3"/>
  <c r="FO138" i="3"/>
  <c r="GA138" i="3"/>
  <c r="FP138" i="3"/>
  <c r="FR138" i="3"/>
  <c r="FS138" i="3"/>
  <c r="FT138" i="3"/>
  <c r="FU138" i="3"/>
  <c r="FV138" i="3"/>
  <c r="FM138" i="3"/>
  <c r="FY138" i="3"/>
  <c r="FX138" i="3"/>
  <c r="EE150" i="3"/>
  <c r="DU150" i="3"/>
  <c r="EH150" i="3"/>
  <c r="DV150" i="3"/>
  <c r="EI150" i="3"/>
  <c r="EA150" i="3"/>
  <c r="EC150" i="3"/>
  <c r="DW150" i="3"/>
  <c r="DZ150" i="3"/>
  <c r="DP150" i="3"/>
  <c r="DX150" i="3"/>
  <c r="DY150" i="3"/>
  <c r="ED150" i="3"/>
  <c r="EF150" i="3"/>
  <c r="EG150" i="3"/>
  <c r="DF150" i="3"/>
  <c r="DJ150" i="3"/>
  <c r="CY150" i="3"/>
  <c r="DL150" i="3"/>
  <c r="CZ150" i="3"/>
  <c r="DM150" i="3"/>
  <c r="DB150" i="3"/>
  <c r="DC150" i="3"/>
  <c r="DD150" i="3"/>
  <c r="DE150" i="3"/>
  <c r="DG150" i="3"/>
  <c r="CX150" i="3"/>
  <c r="DA150" i="3"/>
  <c r="DH150" i="3"/>
  <c r="DI150" i="3"/>
  <c r="DK150" i="3"/>
  <c r="DN150" i="3"/>
  <c r="FN150" i="3"/>
  <c r="FZ150" i="3"/>
  <c r="FS150" i="3"/>
  <c r="FT150" i="3"/>
  <c r="FU150" i="3"/>
  <c r="FV150" i="3"/>
  <c r="FM150" i="3"/>
  <c r="FY150" i="3"/>
  <c r="FO150" i="3"/>
  <c r="FP150" i="3"/>
  <c r="FR150" i="3"/>
  <c r="FX150" i="3"/>
  <c r="GA150" i="3"/>
  <c r="ED142" i="3"/>
  <c r="EF142" i="3"/>
  <c r="EG142" i="3"/>
  <c r="DV142" i="3"/>
  <c r="EI142" i="3"/>
  <c r="DX142" i="3"/>
  <c r="EC142" i="3"/>
  <c r="DY142" i="3"/>
  <c r="DZ142" i="3"/>
  <c r="DP142" i="3"/>
  <c r="DW142" i="3"/>
  <c r="DU142" i="3"/>
  <c r="EA142" i="3"/>
  <c r="EE142" i="3"/>
  <c r="EH142" i="3"/>
  <c r="DF142" i="3"/>
  <c r="DG142" i="3"/>
  <c r="CZ142" i="3"/>
  <c r="DL142" i="3"/>
  <c r="DE142" i="3"/>
  <c r="DI142" i="3"/>
  <c r="DJ142" i="3"/>
  <c r="DM142" i="3"/>
  <c r="CX142" i="3"/>
  <c r="DN142" i="3"/>
  <c r="CY142" i="3"/>
  <c r="DA142" i="3"/>
  <c r="DB142" i="3"/>
  <c r="DH142" i="3"/>
  <c r="DK142" i="3"/>
  <c r="DD142" i="3"/>
  <c r="DC142" i="3"/>
  <c r="FV142" i="3"/>
  <c r="FX142" i="3"/>
  <c r="FM142" i="3"/>
  <c r="FY142" i="3"/>
  <c r="FN142" i="3"/>
  <c r="FZ142" i="3"/>
  <c r="FO142" i="3"/>
  <c r="GA142" i="3"/>
  <c r="FP142" i="3"/>
  <c r="FR142" i="3"/>
  <c r="FU142" i="3"/>
  <c r="FS142" i="3"/>
  <c r="FT142" i="3"/>
  <c r="EF140" i="3"/>
  <c r="DU140" i="3"/>
  <c r="EH140" i="3"/>
  <c r="DV140" i="3"/>
  <c r="EI140" i="3"/>
  <c r="DX140" i="3"/>
  <c r="DZ140" i="3"/>
  <c r="EA140" i="3"/>
  <c r="EE140" i="3"/>
  <c r="EG140" i="3"/>
  <c r="DP140" i="3"/>
  <c r="DW140" i="3"/>
  <c r="ED140" i="3"/>
  <c r="DY140" i="3"/>
  <c r="EC140" i="3"/>
  <c r="CZ140" i="3"/>
  <c r="DL140" i="3"/>
  <c r="DA140" i="3"/>
  <c r="DM140" i="3"/>
  <c r="DF140" i="3"/>
  <c r="CY140" i="3"/>
  <c r="DB140" i="3"/>
  <c r="DC140" i="3"/>
  <c r="DD140" i="3"/>
  <c r="DE140" i="3"/>
  <c r="DG140" i="3"/>
  <c r="DH140" i="3"/>
  <c r="DI140" i="3"/>
  <c r="DJ140" i="3"/>
  <c r="DK140" i="3"/>
  <c r="CX140" i="3"/>
  <c r="DN140" i="3"/>
  <c r="FX140" i="3"/>
  <c r="FM140" i="3"/>
  <c r="FY140" i="3"/>
  <c r="FN140" i="3"/>
  <c r="FZ140" i="3"/>
  <c r="FO140" i="3"/>
  <c r="GA140" i="3"/>
  <c r="FP140" i="3"/>
  <c r="FR140" i="3"/>
  <c r="FS140" i="3"/>
  <c r="FT140" i="3"/>
  <c r="FU140" i="3"/>
  <c r="FV140" i="3"/>
  <c r="EA144" i="3"/>
  <c r="ED144" i="3"/>
  <c r="EE144" i="3"/>
  <c r="EG144" i="3"/>
  <c r="DV144" i="3"/>
  <c r="EI144" i="3"/>
  <c r="EH144" i="3"/>
  <c r="DP144" i="3"/>
  <c r="DZ144" i="3"/>
  <c r="DU144" i="3"/>
  <c r="EF144" i="3"/>
  <c r="DW144" i="3"/>
  <c r="EC144" i="3"/>
  <c r="DX144" i="3"/>
  <c r="DY144" i="3"/>
  <c r="CZ144" i="3"/>
  <c r="DL144" i="3"/>
  <c r="DA144" i="3"/>
  <c r="DM144" i="3"/>
  <c r="DF144" i="3"/>
  <c r="DK144" i="3"/>
  <c r="CX144" i="3"/>
  <c r="CY144" i="3"/>
  <c r="DC144" i="3"/>
  <c r="DD144" i="3"/>
  <c r="DE144" i="3"/>
  <c r="DG144" i="3"/>
  <c r="DH144" i="3"/>
  <c r="DN144" i="3"/>
  <c r="DB144" i="3"/>
  <c r="DJ144" i="3"/>
  <c r="DI144" i="3"/>
  <c r="FT144" i="3"/>
  <c r="FU144" i="3"/>
  <c r="FV144" i="3"/>
  <c r="FX144" i="3"/>
  <c r="FM144" i="3"/>
  <c r="FY144" i="3"/>
  <c r="FN144" i="3"/>
  <c r="FZ144" i="3"/>
  <c r="FO144" i="3"/>
  <c r="GA144" i="3"/>
  <c r="FP144" i="3"/>
  <c r="FS144" i="3"/>
  <c r="FR144" i="3"/>
  <c r="EE147" i="3"/>
  <c r="EG147" i="3"/>
  <c r="DU147" i="3"/>
  <c r="EH147" i="3"/>
  <c r="DW147" i="3"/>
  <c r="DY147" i="3"/>
  <c r="DP147" i="3"/>
  <c r="DV147" i="3"/>
  <c r="DX147" i="3"/>
  <c r="EF147" i="3"/>
  <c r="DZ147" i="3"/>
  <c r="ED147" i="3"/>
  <c r="EI147" i="3"/>
  <c r="EC147" i="3"/>
  <c r="EA147" i="3"/>
  <c r="DI147" i="3"/>
  <c r="CX147" i="3"/>
  <c r="DJ147" i="3"/>
  <c r="DC147" i="3"/>
  <c r="DM147" i="3"/>
  <c r="CZ147" i="3"/>
  <c r="DA147" i="3"/>
  <c r="DD147" i="3"/>
  <c r="DE147" i="3"/>
  <c r="DF147" i="3"/>
  <c r="DG147" i="3"/>
  <c r="DH147" i="3"/>
  <c r="CY147" i="3"/>
  <c r="DB147" i="3"/>
  <c r="DK147" i="3"/>
  <c r="DL147" i="3"/>
  <c r="DN147" i="3"/>
  <c r="FX147" i="3"/>
  <c r="FM147" i="3"/>
  <c r="FY147" i="3"/>
  <c r="FN147" i="3"/>
  <c r="FZ147" i="3"/>
  <c r="FO147" i="3"/>
  <c r="GA147" i="3"/>
  <c r="FP147" i="3"/>
  <c r="FR147" i="3"/>
  <c r="FS147" i="3"/>
  <c r="FV147" i="3"/>
  <c r="FT147" i="3"/>
  <c r="FU147" i="3"/>
  <c r="DX141" i="3"/>
  <c r="DZ141" i="3"/>
  <c r="EA141" i="3"/>
  <c r="ED141" i="3"/>
  <c r="EF141" i="3"/>
  <c r="EC141" i="3"/>
  <c r="EH141" i="3"/>
  <c r="EI141" i="3"/>
  <c r="DV141" i="3"/>
  <c r="DP141" i="3"/>
  <c r="DY141" i="3"/>
  <c r="EE141" i="3"/>
  <c r="DU141" i="3"/>
  <c r="DW141" i="3"/>
  <c r="EG141" i="3"/>
  <c r="DC141" i="3"/>
  <c r="DD141" i="3"/>
  <c r="DI141" i="3"/>
  <c r="DK141" i="3"/>
  <c r="CX141" i="3"/>
  <c r="DM141" i="3"/>
  <c r="CY141" i="3"/>
  <c r="DN141" i="3"/>
  <c r="CZ141" i="3"/>
  <c r="DA141" i="3"/>
  <c r="DB141" i="3"/>
  <c r="DE141" i="3"/>
  <c r="DF141" i="3"/>
  <c r="DG141" i="3"/>
  <c r="DH141" i="3"/>
  <c r="DJ141" i="3"/>
  <c r="DL141" i="3"/>
  <c r="FR141" i="3"/>
  <c r="FS141" i="3"/>
  <c r="FT141" i="3"/>
  <c r="FU141" i="3"/>
  <c r="FV141" i="3"/>
  <c r="FX141" i="3"/>
  <c r="FM141" i="3"/>
  <c r="FY141" i="3"/>
  <c r="FP141" i="3"/>
  <c r="FZ141" i="3"/>
  <c r="GA141" i="3"/>
  <c r="FO141" i="3"/>
  <c r="FN141" i="3"/>
  <c r="EG145" i="3"/>
  <c r="DV145" i="3"/>
  <c r="EI145" i="3"/>
  <c r="DW145" i="3"/>
  <c r="DY145" i="3"/>
  <c r="EA145" i="3"/>
  <c r="EH145" i="3"/>
  <c r="ED145" i="3"/>
  <c r="EE145" i="3"/>
  <c r="DP145" i="3"/>
  <c r="DU145" i="3"/>
  <c r="EC145" i="3"/>
  <c r="DX145" i="3"/>
  <c r="DZ145" i="3"/>
  <c r="EF145" i="3"/>
  <c r="DC145" i="3"/>
  <c r="DD145" i="3"/>
  <c r="DI145" i="3"/>
  <c r="DG145" i="3"/>
  <c r="DJ145" i="3"/>
  <c r="DK145" i="3"/>
  <c r="CX145" i="3"/>
  <c r="DM145" i="3"/>
  <c r="CY145" i="3"/>
  <c r="DN145" i="3"/>
  <c r="CZ145" i="3"/>
  <c r="DA145" i="3"/>
  <c r="DB145" i="3"/>
  <c r="DE145" i="3"/>
  <c r="DF145" i="3"/>
  <c r="DH145" i="3"/>
  <c r="DL145" i="3"/>
  <c r="FM145" i="3"/>
  <c r="FY145" i="3"/>
  <c r="FN145" i="3"/>
  <c r="FZ145" i="3"/>
  <c r="FO145" i="3"/>
  <c r="GA145" i="3"/>
  <c r="FP145" i="3"/>
  <c r="FR145" i="3"/>
  <c r="FS145" i="3"/>
  <c r="FT145" i="3"/>
  <c r="FU145" i="3"/>
  <c r="FX145" i="3"/>
  <c r="FV145" i="3"/>
  <c r="DY146" i="3"/>
  <c r="EA146" i="3"/>
  <c r="DP146" i="3"/>
  <c r="EC146" i="3"/>
  <c r="EE146" i="3"/>
  <c r="EG146" i="3"/>
  <c r="DU146" i="3"/>
  <c r="DV146" i="3"/>
  <c r="EF146" i="3"/>
  <c r="DX146" i="3"/>
  <c r="DZ146" i="3"/>
  <c r="EH146" i="3"/>
  <c r="DW146" i="3"/>
  <c r="ED146" i="3"/>
  <c r="EI146" i="3"/>
  <c r="DF146" i="3"/>
  <c r="DG146" i="3"/>
  <c r="CZ146" i="3"/>
  <c r="DL146" i="3"/>
  <c r="DB146" i="3"/>
  <c r="DD146" i="3"/>
  <c r="DE146" i="3"/>
  <c r="DI146" i="3"/>
  <c r="DJ146" i="3"/>
  <c r="DK146" i="3"/>
  <c r="DM146" i="3"/>
  <c r="CX146" i="3"/>
  <c r="DN146" i="3"/>
  <c r="CY146" i="3"/>
  <c r="DA146" i="3"/>
  <c r="DC146" i="3"/>
  <c r="DH146" i="3"/>
  <c r="FR146" i="3"/>
  <c r="FS146" i="3"/>
  <c r="FT146" i="3"/>
  <c r="FU146" i="3"/>
  <c r="FV146" i="3"/>
  <c r="FX146" i="3"/>
  <c r="FM146" i="3"/>
  <c r="FY146" i="3"/>
  <c r="FN146" i="3"/>
  <c r="FZ146" i="3"/>
  <c r="FO146" i="3"/>
  <c r="FP146" i="3"/>
  <c r="GA146" i="3"/>
  <c r="AZ12" i="3"/>
  <c r="BK12" i="3" s="1"/>
  <c r="AZ13" i="3"/>
  <c r="BK13" i="3" s="1"/>
  <c r="AZ11" i="3"/>
  <c r="Q13" i="13"/>
  <c r="AP14" i="9"/>
  <c r="AX17" i="3"/>
  <c r="BQ17" i="3" s="1"/>
  <c r="AX18" i="3"/>
  <c r="BQ18" i="3" s="1"/>
  <c r="AX16" i="3"/>
  <c r="BQ16" i="3" s="1"/>
  <c r="AX23" i="3"/>
  <c r="BQ23" i="3" s="1"/>
  <c r="AX20" i="3"/>
  <c r="BQ20" i="3" s="1"/>
  <c r="AX19" i="3"/>
  <c r="BQ19" i="3" s="1"/>
  <c r="AX21" i="3"/>
  <c r="BQ21" i="3" s="1"/>
  <c r="BA21" i="9"/>
  <c r="BA22" i="9"/>
  <c r="BA20" i="9"/>
  <c r="BA18" i="9"/>
  <c r="BA16" i="9"/>
  <c r="BA15" i="9"/>
  <c r="BA8" i="9"/>
  <c r="BA19" i="9"/>
  <c r="AZ139" i="9"/>
  <c r="AY139" i="9" s="1"/>
  <c r="CS142" i="3"/>
  <c r="AZ138" i="9"/>
  <c r="AY138" i="9" s="1"/>
  <c r="AZ137" i="9"/>
  <c r="AY137" i="9" s="1"/>
  <c r="AZ132" i="9"/>
  <c r="AY132" i="9" s="1"/>
  <c r="BA131" i="9"/>
  <c r="AZ73" i="9"/>
  <c r="AY73" i="9" s="1"/>
  <c r="CD81" i="3"/>
  <c r="EK81" i="3" s="1"/>
  <c r="BB73" i="9"/>
  <c r="BA73" i="9"/>
  <c r="CS147" i="3"/>
  <c r="BA142" i="9"/>
  <c r="CS140" i="3"/>
  <c r="CS145" i="3"/>
  <c r="BA136" i="9"/>
  <c r="AZ130" i="9"/>
  <c r="AY130" i="9" s="1"/>
  <c r="AZ142" i="9"/>
  <c r="AY142" i="9" s="1"/>
  <c r="CS146" i="3"/>
  <c r="CS141" i="3"/>
  <c r="CS150" i="3"/>
  <c r="CS138" i="3"/>
  <c r="AZ141" i="9"/>
  <c r="AY141" i="9" s="1"/>
  <c r="BA141" i="9"/>
  <c r="CD149" i="3"/>
  <c r="EK149" i="3" s="1"/>
  <c r="BB141" i="9"/>
  <c r="BA140" i="9"/>
  <c r="CD148" i="3"/>
  <c r="EK148" i="3" s="1"/>
  <c r="BB140" i="9"/>
  <c r="AZ140" i="9"/>
  <c r="AY140" i="9" s="1"/>
  <c r="CS144" i="3"/>
  <c r="AZ135" i="9"/>
  <c r="AY135" i="9" s="1"/>
  <c r="CD143" i="3"/>
  <c r="EK143" i="3" s="1"/>
  <c r="BB135" i="9"/>
  <c r="CD139" i="3"/>
  <c r="EK139" i="3" s="1"/>
  <c r="BB131" i="9"/>
  <c r="AZ129" i="9"/>
  <c r="AY129" i="9" s="1"/>
  <c r="BA129" i="9"/>
  <c r="CD136" i="3"/>
  <c r="EK136" i="3" s="1"/>
  <c r="BB128" i="9"/>
  <c r="AZ128" i="9"/>
  <c r="AY128" i="9" s="1"/>
  <c r="BA127" i="9"/>
  <c r="AZ127" i="9"/>
  <c r="AY127" i="9" s="1"/>
  <c r="BA126" i="9"/>
  <c r="L12" i="3"/>
  <c r="P12" i="3"/>
  <c r="P13" i="3"/>
  <c r="P14" i="3"/>
  <c r="BX16" i="3" l="1"/>
  <c r="FF16" i="3" a="1"/>
  <c r="FF16" i="3" s="1"/>
  <c r="BX18" i="3"/>
  <c r="FF18" i="3" a="1"/>
  <c r="FF18" i="3" s="1"/>
  <c r="BX17" i="3"/>
  <c r="FF17" i="3" a="1"/>
  <c r="FF17" i="3" s="1"/>
  <c r="BX21" i="3"/>
  <c r="FF21" i="3" a="1"/>
  <c r="FF21" i="3" s="1"/>
  <c r="BX19" i="3"/>
  <c r="FF19" i="3" a="1"/>
  <c r="FF19" i="3" s="1"/>
  <c r="BX20" i="3"/>
  <c r="FF20" i="3" a="1"/>
  <c r="FF20" i="3" s="1"/>
  <c r="BX23" i="3"/>
  <c r="FF23" i="3" a="1"/>
  <c r="FF23" i="3" s="1"/>
  <c r="BK15" i="3"/>
  <c r="BL15" i="3" s="1"/>
  <c r="BQ32" i="3"/>
  <c r="FF32" i="3" s="1" a="1"/>
  <c r="FF32" i="3" s="1"/>
  <c r="P23" i="13"/>
  <c r="AO24" i="9"/>
  <c r="BP32" i="3"/>
  <c r="P21" i="13"/>
  <c r="BQ30" i="3"/>
  <c r="FF30" i="3" s="1" a="1"/>
  <c r="FF30" i="3" s="1"/>
  <c r="AO22" i="9"/>
  <c r="BP30" i="3"/>
  <c r="Q20" i="13"/>
  <c r="BK29" i="3"/>
  <c r="AP21" i="9"/>
  <c r="BJ29" i="3"/>
  <c r="BK42" i="3"/>
  <c r="BJ42" i="3"/>
  <c r="Q21" i="13"/>
  <c r="BK30" i="3"/>
  <c r="AP22" i="9"/>
  <c r="BJ30" i="3"/>
  <c r="BK55" i="3"/>
  <c r="BJ55" i="3"/>
  <c r="P26" i="13"/>
  <c r="BQ35" i="3"/>
  <c r="FF35" i="3" s="1" a="1"/>
  <c r="FF35" i="3" s="1"/>
  <c r="AO27" i="9"/>
  <c r="BP35" i="3"/>
  <c r="P27" i="13"/>
  <c r="BQ36" i="3"/>
  <c r="FF36" i="3" s="1" a="1"/>
  <c r="FF36" i="3" s="1"/>
  <c r="AO28" i="9"/>
  <c r="BP36" i="3"/>
  <c r="Q15" i="13"/>
  <c r="BK24" i="3"/>
  <c r="AP16" i="9"/>
  <c r="BJ24" i="3"/>
  <c r="BK41" i="3"/>
  <c r="BJ41" i="3"/>
  <c r="BJ62" i="3"/>
  <c r="BK62" i="3"/>
  <c r="Q24" i="13"/>
  <c r="BK33" i="3"/>
  <c r="AP25" i="9"/>
  <c r="BJ33" i="3"/>
  <c r="BQ28" i="3"/>
  <c r="FF28" i="3" s="1" a="1"/>
  <c r="FF28" i="3" s="1"/>
  <c r="P19" i="13"/>
  <c r="AO20" i="9"/>
  <c r="BP28" i="3"/>
  <c r="P15" i="13"/>
  <c r="BQ24" i="3"/>
  <c r="FF24" i="3" s="1" a="1"/>
  <c r="FF24" i="3" s="1"/>
  <c r="AO16" i="9"/>
  <c r="BP24" i="3"/>
  <c r="BK40" i="3"/>
  <c r="BJ40" i="3"/>
  <c r="Q19" i="13"/>
  <c r="AP20" i="9"/>
  <c r="BK28" i="3"/>
  <c r="BJ28" i="3"/>
  <c r="BJ53" i="3"/>
  <c r="BK53" i="3"/>
  <c r="BK43" i="3"/>
  <c r="BJ43" i="3"/>
  <c r="P20" i="13"/>
  <c r="BQ29" i="3"/>
  <c r="FF29" i="3" s="1" a="1"/>
  <c r="FF29" i="3" s="1"/>
  <c r="AO21" i="9"/>
  <c r="BP29" i="3"/>
  <c r="P17" i="13"/>
  <c r="BQ26" i="3"/>
  <c r="FF26" i="3" s="1" a="1"/>
  <c r="FF26" i="3" s="1"/>
  <c r="AO18" i="9"/>
  <c r="BP26" i="3"/>
  <c r="Q17" i="13"/>
  <c r="BK26" i="3"/>
  <c r="AP18" i="9"/>
  <c r="BJ26" i="3"/>
  <c r="BK44" i="3"/>
  <c r="BJ44" i="3"/>
  <c r="Q23" i="13"/>
  <c r="BK32" i="3"/>
  <c r="AP24" i="9"/>
  <c r="BJ32" i="3"/>
  <c r="Q27" i="13"/>
  <c r="BK36" i="3"/>
  <c r="AP28" i="9"/>
  <c r="BJ36" i="3"/>
  <c r="P25" i="13"/>
  <c r="BQ34" i="3"/>
  <c r="FF34" i="3" s="1" a="1"/>
  <c r="FF34" i="3" s="1"/>
  <c r="AO26" i="9"/>
  <c r="BP34" i="3"/>
  <c r="BQ33" i="3"/>
  <c r="FF33" i="3" s="1" a="1"/>
  <c r="FF33" i="3" s="1"/>
  <c r="P24" i="13"/>
  <c r="AO25" i="9"/>
  <c r="BP33" i="3"/>
  <c r="BK21" i="3"/>
  <c r="BJ21" i="3"/>
  <c r="BK60" i="3"/>
  <c r="BJ60" i="3"/>
  <c r="BK48" i="3"/>
  <c r="BJ48" i="3"/>
  <c r="BK61" i="3"/>
  <c r="BJ61" i="3"/>
  <c r="P16" i="13"/>
  <c r="BQ25" i="3"/>
  <c r="FF25" i="3" s="1" a="1"/>
  <c r="FF25" i="3" s="1"/>
  <c r="AO17" i="9"/>
  <c r="BP25" i="3"/>
  <c r="BJ16" i="3"/>
  <c r="BK16" i="3"/>
  <c r="Q22" i="13"/>
  <c r="BK31" i="3"/>
  <c r="AP23" i="9"/>
  <c r="BJ31" i="3"/>
  <c r="BK46" i="3"/>
  <c r="BJ46" i="3"/>
  <c r="BK50" i="3"/>
  <c r="BJ50" i="3"/>
  <c r="Q18" i="13"/>
  <c r="AP19" i="9"/>
  <c r="BK27" i="3"/>
  <c r="BJ27" i="3"/>
  <c r="P22" i="13"/>
  <c r="BQ31" i="3"/>
  <c r="FF31" i="3" s="1" a="1"/>
  <c r="FF31" i="3" s="1"/>
  <c r="AO23" i="9"/>
  <c r="BP31" i="3"/>
  <c r="BK22" i="3"/>
  <c r="BJ22" i="3"/>
  <c r="BK47" i="3"/>
  <c r="BJ47" i="3"/>
  <c r="Q26" i="13"/>
  <c r="BK35" i="3"/>
  <c r="AP27" i="9"/>
  <c r="BJ35" i="3"/>
  <c r="BK49" i="3"/>
  <c r="BJ49" i="3"/>
  <c r="BK45" i="3"/>
  <c r="BJ45" i="3"/>
  <c r="BQ22" i="3"/>
  <c r="BP22" i="3"/>
  <c r="P13" i="13"/>
  <c r="AO14" i="9"/>
  <c r="P18" i="13"/>
  <c r="AO19" i="9"/>
  <c r="BQ27" i="3"/>
  <c r="FF27" i="3" s="1" a="1"/>
  <c r="FF27" i="3" s="1"/>
  <c r="BP27" i="3"/>
  <c r="BK54" i="3"/>
  <c r="BJ54" i="3"/>
  <c r="Q25" i="13"/>
  <c r="BK34" i="3"/>
  <c r="AP26" i="9"/>
  <c r="BJ34" i="3"/>
  <c r="Q16" i="13"/>
  <c r="BK25" i="3"/>
  <c r="AP17" i="9"/>
  <c r="BJ25" i="3"/>
  <c r="BK23" i="3"/>
  <c r="BJ23" i="3"/>
  <c r="FW148" i="3"/>
  <c r="FW139" i="3"/>
  <c r="FW149" i="3"/>
  <c r="FW81" i="3"/>
  <c r="FW136" i="3"/>
  <c r="FW143" i="3"/>
  <c r="EB143" i="3"/>
  <c r="EL143" i="3"/>
  <c r="EM143" i="3"/>
  <c r="EN143" i="3"/>
  <c r="EO143" i="3"/>
  <c r="DT143" i="3"/>
  <c r="DS143" i="3"/>
  <c r="DQ143" i="3"/>
  <c r="DR143" i="3"/>
  <c r="CT143" i="3"/>
  <c r="CW143" i="3"/>
  <c r="CV143" i="3"/>
  <c r="FK143" i="3"/>
  <c r="CU143" i="3"/>
  <c r="FL143" i="3"/>
  <c r="FJ143" i="3"/>
  <c r="FI143" i="3"/>
  <c r="EB136" i="3"/>
  <c r="EL136" i="3"/>
  <c r="EM136" i="3"/>
  <c r="EN136" i="3"/>
  <c r="EO136" i="3"/>
  <c r="DR136" i="3"/>
  <c r="DS136" i="3"/>
  <c r="DT136" i="3"/>
  <c r="CT136" i="3"/>
  <c r="DQ136" i="3"/>
  <c r="CU136" i="3"/>
  <c r="CW136" i="3"/>
  <c r="CV136" i="3"/>
  <c r="FL136" i="3"/>
  <c r="FI136" i="3"/>
  <c r="FJ136" i="3"/>
  <c r="FK136" i="3"/>
  <c r="EB149" i="3"/>
  <c r="EL149" i="3"/>
  <c r="EM149" i="3"/>
  <c r="EN149" i="3"/>
  <c r="EO149" i="3"/>
  <c r="DT149" i="3"/>
  <c r="DS149" i="3"/>
  <c r="CW149" i="3"/>
  <c r="DQ149" i="3"/>
  <c r="CV149" i="3"/>
  <c r="DR149" i="3"/>
  <c r="FL149" i="3"/>
  <c r="CU149" i="3"/>
  <c r="FI149" i="3"/>
  <c r="FJ149" i="3"/>
  <c r="FK149" i="3"/>
  <c r="CT149" i="3"/>
  <c r="EB81" i="3"/>
  <c r="EL81" i="3"/>
  <c r="EM81" i="3"/>
  <c r="EO81" i="3"/>
  <c r="DQ81" i="3"/>
  <c r="EN81" i="3"/>
  <c r="DS81" i="3"/>
  <c r="CU81" i="3"/>
  <c r="DR81" i="3"/>
  <c r="CV81" i="3"/>
  <c r="DT81" i="3"/>
  <c r="CT81" i="3"/>
  <c r="CW81" i="3"/>
  <c r="FJ81" i="3"/>
  <c r="FK81" i="3"/>
  <c r="FL81" i="3"/>
  <c r="FI81" i="3"/>
  <c r="EB139" i="3"/>
  <c r="EL139" i="3"/>
  <c r="EM139" i="3"/>
  <c r="EN139" i="3"/>
  <c r="EO139" i="3"/>
  <c r="DR139" i="3"/>
  <c r="DT139" i="3"/>
  <c r="CT139" i="3"/>
  <c r="DQ139" i="3"/>
  <c r="DS139" i="3"/>
  <c r="CU139" i="3"/>
  <c r="CV139" i="3"/>
  <c r="FL139" i="3"/>
  <c r="CW139" i="3"/>
  <c r="FK139" i="3"/>
  <c r="FI139" i="3"/>
  <c r="FJ139" i="3"/>
  <c r="EB148" i="3"/>
  <c r="EL148" i="3"/>
  <c r="EM148" i="3"/>
  <c r="EN148" i="3"/>
  <c r="EO148" i="3"/>
  <c r="DR148" i="3"/>
  <c r="DS148" i="3"/>
  <c r="DQ148" i="3"/>
  <c r="DT148" i="3"/>
  <c r="CT148" i="3"/>
  <c r="CU148" i="3"/>
  <c r="CW148" i="3"/>
  <c r="CV148" i="3"/>
  <c r="FL148" i="3"/>
  <c r="FI148" i="3"/>
  <c r="FJ148" i="3"/>
  <c r="FK148" i="3"/>
  <c r="BJ19" i="3"/>
  <c r="BK19" i="3"/>
  <c r="BP23" i="3"/>
  <c r="BJ18" i="3"/>
  <c r="BK18" i="3"/>
  <c r="BP16" i="3"/>
  <c r="BP18" i="3"/>
  <c r="BP17" i="3"/>
  <c r="BP20" i="3"/>
  <c r="BP19" i="3"/>
  <c r="BK17" i="3"/>
  <c r="BJ17" i="3"/>
  <c r="BP21" i="3"/>
  <c r="BK20" i="3"/>
  <c r="BJ20" i="3"/>
  <c r="EP136" i="3"/>
  <c r="FB136" i="3"/>
  <c r="EQ136" i="3"/>
  <c r="FC136" i="3"/>
  <c r="ER136" i="3"/>
  <c r="FD136" i="3"/>
  <c r="ES136" i="3"/>
  <c r="ET136" i="3"/>
  <c r="EU136" i="3"/>
  <c r="EV136" i="3"/>
  <c r="EW136" i="3"/>
  <c r="EX136" i="3"/>
  <c r="EY136" i="3"/>
  <c r="EZ136" i="3"/>
  <c r="FA136" i="3"/>
  <c r="EP81" i="3"/>
  <c r="FB81" i="3"/>
  <c r="EQ81" i="3"/>
  <c r="FC81" i="3"/>
  <c r="ER81" i="3"/>
  <c r="FD81" i="3"/>
  <c r="ES81" i="3"/>
  <c r="ET81" i="3"/>
  <c r="EU81" i="3"/>
  <c r="EV81" i="3"/>
  <c r="EW81" i="3"/>
  <c r="EX81" i="3"/>
  <c r="EY81" i="3"/>
  <c r="EZ81" i="3"/>
  <c r="FA81" i="3"/>
  <c r="EZ148" i="3"/>
  <c r="FA148" i="3"/>
  <c r="EP148" i="3"/>
  <c r="FB148" i="3"/>
  <c r="EQ148" i="3"/>
  <c r="FC148" i="3"/>
  <c r="ER148" i="3"/>
  <c r="FD148" i="3"/>
  <c r="ES148" i="3"/>
  <c r="ET148" i="3"/>
  <c r="EU148" i="3"/>
  <c r="EV148" i="3"/>
  <c r="EY148" i="3"/>
  <c r="EX148" i="3"/>
  <c r="EW148" i="3"/>
  <c r="EP139" i="3"/>
  <c r="FB139" i="3"/>
  <c r="EQ139" i="3"/>
  <c r="FC139" i="3"/>
  <c r="ER139" i="3"/>
  <c r="FD139" i="3"/>
  <c r="ES139" i="3"/>
  <c r="ET139" i="3"/>
  <c r="EU139" i="3"/>
  <c r="EV139" i="3"/>
  <c r="EW139" i="3"/>
  <c r="EX139" i="3"/>
  <c r="EY139" i="3"/>
  <c r="EZ139" i="3"/>
  <c r="FA139" i="3"/>
  <c r="ET143" i="3"/>
  <c r="EU143" i="3"/>
  <c r="EV143" i="3"/>
  <c r="EW143" i="3"/>
  <c r="EX143" i="3"/>
  <c r="EY143" i="3"/>
  <c r="EZ143" i="3"/>
  <c r="FA143" i="3"/>
  <c r="EP143" i="3"/>
  <c r="FB143" i="3"/>
  <c r="EQ143" i="3"/>
  <c r="FC143" i="3"/>
  <c r="ER143" i="3"/>
  <c r="ES143" i="3"/>
  <c r="FD143" i="3"/>
  <c r="ER149" i="3"/>
  <c r="FD149" i="3"/>
  <c r="ES149" i="3"/>
  <c r="ET149" i="3"/>
  <c r="EU149" i="3"/>
  <c r="EV149" i="3"/>
  <c r="EW149" i="3"/>
  <c r="EX149" i="3"/>
  <c r="EY149" i="3"/>
  <c r="EZ149" i="3"/>
  <c r="EQ149" i="3"/>
  <c r="FC149" i="3"/>
  <c r="EP149" i="3"/>
  <c r="FA149" i="3"/>
  <c r="FB149" i="3"/>
  <c r="EG81" i="3"/>
  <c r="DU81" i="3"/>
  <c r="EH81" i="3"/>
  <c r="DV81" i="3"/>
  <c r="EI81" i="3"/>
  <c r="DY81" i="3"/>
  <c r="DZ81" i="3"/>
  <c r="EA81" i="3"/>
  <c r="EF81" i="3"/>
  <c r="ED81" i="3"/>
  <c r="DP81" i="3"/>
  <c r="DW81" i="3"/>
  <c r="EE81" i="3"/>
  <c r="DX81" i="3"/>
  <c r="EC81" i="3"/>
  <c r="DE81" i="3"/>
  <c r="DF81" i="3"/>
  <c r="CY81" i="3"/>
  <c r="DK81" i="3"/>
  <c r="DM81" i="3"/>
  <c r="CX81" i="3"/>
  <c r="DN81" i="3"/>
  <c r="CZ81" i="3"/>
  <c r="DA81" i="3"/>
  <c r="DC81" i="3"/>
  <c r="DD81" i="3"/>
  <c r="DG81" i="3"/>
  <c r="DH81" i="3"/>
  <c r="DI81" i="3"/>
  <c r="DB81" i="3"/>
  <c r="DL81" i="3"/>
  <c r="DJ81" i="3"/>
  <c r="FM81" i="3"/>
  <c r="FY81" i="3"/>
  <c r="FT81" i="3"/>
  <c r="FX81" i="3"/>
  <c r="FZ81" i="3"/>
  <c r="GA81" i="3"/>
  <c r="FN81" i="3"/>
  <c r="FO81" i="3"/>
  <c r="FP81" i="3"/>
  <c r="FR81" i="3"/>
  <c r="FS81" i="3"/>
  <c r="FU81" i="3"/>
  <c r="FV81" i="3"/>
  <c r="DZ139" i="3"/>
  <c r="DP139" i="3"/>
  <c r="EC139" i="3"/>
  <c r="ED139" i="3"/>
  <c r="EF139" i="3"/>
  <c r="DU139" i="3"/>
  <c r="EH139" i="3"/>
  <c r="DX139" i="3"/>
  <c r="EE139" i="3"/>
  <c r="EG139" i="3"/>
  <c r="DV139" i="3"/>
  <c r="DY139" i="3"/>
  <c r="EA139" i="3"/>
  <c r="EI139" i="3"/>
  <c r="DW139" i="3"/>
  <c r="DF139" i="3"/>
  <c r="DI139" i="3"/>
  <c r="CX139" i="3"/>
  <c r="DJ139" i="3"/>
  <c r="CZ139" i="3"/>
  <c r="DL139" i="3"/>
  <c r="DC139" i="3"/>
  <c r="DA139" i="3"/>
  <c r="DB139" i="3"/>
  <c r="DD139" i="3"/>
  <c r="DE139" i="3"/>
  <c r="DG139" i="3"/>
  <c r="DH139" i="3"/>
  <c r="DK139" i="3"/>
  <c r="DM139" i="3"/>
  <c r="DN139" i="3"/>
  <c r="CY139" i="3"/>
  <c r="FS139" i="3"/>
  <c r="FT139" i="3"/>
  <c r="FU139" i="3"/>
  <c r="FV139" i="3"/>
  <c r="FX139" i="3"/>
  <c r="FM139" i="3"/>
  <c r="FY139" i="3"/>
  <c r="FN139" i="3"/>
  <c r="FZ139" i="3"/>
  <c r="FO139" i="3"/>
  <c r="GA139" i="3"/>
  <c r="FR139" i="3"/>
  <c r="FP139" i="3"/>
  <c r="DV143" i="3"/>
  <c r="EI143" i="3"/>
  <c r="DX143" i="3"/>
  <c r="DY143" i="3"/>
  <c r="EA143" i="3"/>
  <c r="ED143" i="3"/>
  <c r="EF143" i="3"/>
  <c r="DP143" i="3"/>
  <c r="DZ143" i="3"/>
  <c r="DU143" i="3"/>
  <c r="EC143" i="3"/>
  <c r="EH143" i="3"/>
  <c r="DW143" i="3"/>
  <c r="EE143" i="3"/>
  <c r="EG143" i="3"/>
  <c r="DI143" i="3"/>
  <c r="CX143" i="3"/>
  <c r="DJ143" i="3"/>
  <c r="DC143" i="3"/>
  <c r="DA143" i="3"/>
  <c r="DD143" i="3"/>
  <c r="DE143" i="3"/>
  <c r="DG143" i="3"/>
  <c r="DH143" i="3"/>
  <c r="DK143" i="3"/>
  <c r="DL143" i="3"/>
  <c r="DM143" i="3"/>
  <c r="CY143" i="3"/>
  <c r="CZ143" i="3"/>
  <c r="DB143" i="3"/>
  <c r="DF143" i="3"/>
  <c r="DN143" i="3"/>
  <c r="FO143" i="3"/>
  <c r="GA143" i="3"/>
  <c r="FP143" i="3"/>
  <c r="FR143" i="3"/>
  <c r="FS143" i="3"/>
  <c r="FT143" i="3"/>
  <c r="FU143" i="3"/>
  <c r="FV143" i="3"/>
  <c r="FN143" i="3"/>
  <c r="FZ143" i="3"/>
  <c r="FM143" i="3"/>
  <c r="FX143" i="3"/>
  <c r="FY143" i="3"/>
  <c r="DW148" i="3"/>
  <c r="DP148" i="3"/>
  <c r="EG148" i="3"/>
  <c r="DV148" i="3"/>
  <c r="DX148" i="3"/>
  <c r="ED148" i="3"/>
  <c r="EE148" i="3"/>
  <c r="DY148" i="3"/>
  <c r="EC148" i="3"/>
  <c r="DU148" i="3"/>
  <c r="DZ148" i="3"/>
  <c r="EA148" i="3"/>
  <c r="EF148" i="3"/>
  <c r="EH148" i="3"/>
  <c r="EI148" i="3"/>
  <c r="CZ148" i="3"/>
  <c r="DL148" i="3"/>
  <c r="DA148" i="3"/>
  <c r="DM148" i="3"/>
  <c r="DF148" i="3"/>
  <c r="DH148" i="3"/>
  <c r="DJ148" i="3"/>
  <c r="DK148" i="3"/>
  <c r="CX148" i="3"/>
  <c r="CY148" i="3"/>
  <c r="DB148" i="3"/>
  <c r="DC148" i="3"/>
  <c r="DD148" i="3"/>
  <c r="DE148" i="3"/>
  <c r="DG148" i="3"/>
  <c r="DI148" i="3"/>
  <c r="DN148" i="3"/>
  <c r="FP148" i="3"/>
  <c r="FR148" i="3"/>
  <c r="FS148" i="3"/>
  <c r="FT148" i="3"/>
  <c r="FU148" i="3"/>
  <c r="FV148" i="3"/>
  <c r="FX148" i="3"/>
  <c r="FO148" i="3"/>
  <c r="GA148" i="3"/>
  <c r="FM148" i="3"/>
  <c r="FN148" i="3"/>
  <c r="FY148" i="3"/>
  <c r="FZ148" i="3"/>
  <c r="DW136" i="3"/>
  <c r="DY136" i="3"/>
  <c r="DZ136" i="3"/>
  <c r="DP136" i="3"/>
  <c r="EC136" i="3"/>
  <c r="EE136" i="3"/>
  <c r="DX136" i="3"/>
  <c r="EA136" i="3"/>
  <c r="EI136" i="3"/>
  <c r="EF136" i="3"/>
  <c r="EG136" i="3"/>
  <c r="ED136" i="3"/>
  <c r="EH136" i="3"/>
  <c r="DV136" i="3"/>
  <c r="DU136" i="3"/>
  <c r="DI136" i="3"/>
  <c r="CZ136" i="3"/>
  <c r="DL136" i="3"/>
  <c r="DA136" i="3"/>
  <c r="DM136" i="3"/>
  <c r="DB136" i="3"/>
  <c r="DN136" i="3"/>
  <c r="DC136" i="3"/>
  <c r="DF136" i="3"/>
  <c r="CX136" i="3"/>
  <c r="CY136" i="3"/>
  <c r="DD136" i="3"/>
  <c r="DE136" i="3"/>
  <c r="DG136" i="3"/>
  <c r="DH136" i="3"/>
  <c r="DJ136" i="3"/>
  <c r="DK136" i="3"/>
  <c r="FP136" i="3"/>
  <c r="FR136" i="3"/>
  <c r="FS136" i="3"/>
  <c r="FT136" i="3"/>
  <c r="FU136" i="3"/>
  <c r="FV136" i="3"/>
  <c r="FX136" i="3"/>
  <c r="FO136" i="3"/>
  <c r="GA136" i="3"/>
  <c r="FM136" i="3"/>
  <c r="FN136" i="3"/>
  <c r="FY136" i="3"/>
  <c r="FZ136" i="3"/>
  <c r="DY149" i="3"/>
  <c r="DP149" i="3"/>
  <c r="EC149" i="3"/>
  <c r="ED149" i="3"/>
  <c r="DV149" i="3"/>
  <c r="EI149" i="3"/>
  <c r="EE149" i="3"/>
  <c r="DW149" i="3"/>
  <c r="EA149" i="3"/>
  <c r="EF149" i="3"/>
  <c r="EG149" i="3"/>
  <c r="EH149" i="3"/>
  <c r="DZ149" i="3"/>
  <c r="DU149" i="3"/>
  <c r="DX149" i="3"/>
  <c r="DC149" i="3"/>
  <c r="DD149" i="3"/>
  <c r="DI149" i="3"/>
  <c r="DB149" i="3"/>
  <c r="DF149" i="3"/>
  <c r="DG149" i="3"/>
  <c r="DJ149" i="3"/>
  <c r="DK149" i="3"/>
  <c r="DL149" i="3"/>
  <c r="CX149" i="3"/>
  <c r="DM149" i="3"/>
  <c r="CY149" i="3"/>
  <c r="DN149" i="3"/>
  <c r="DE149" i="3"/>
  <c r="DH149" i="3"/>
  <c r="DA149" i="3"/>
  <c r="CZ149" i="3"/>
  <c r="FU149" i="3"/>
  <c r="FN149" i="3"/>
  <c r="FZ149" i="3"/>
  <c r="FO149" i="3"/>
  <c r="GA149" i="3"/>
  <c r="FP149" i="3"/>
  <c r="FT149" i="3"/>
  <c r="FM149" i="3"/>
  <c r="FR149" i="3"/>
  <c r="FS149" i="3"/>
  <c r="FV149" i="3"/>
  <c r="FX149" i="3"/>
  <c r="FY149" i="3"/>
  <c r="GC17" i="3"/>
  <c r="GC16" i="3"/>
  <c r="GC18" i="3"/>
  <c r="Q14" i="13"/>
  <c r="AP15" i="9"/>
  <c r="Q11" i="13"/>
  <c r="AP12" i="9"/>
  <c r="P14" i="13"/>
  <c r="AO15" i="9"/>
  <c r="Q7" i="13"/>
  <c r="AP8" i="9"/>
  <c r="P12" i="13"/>
  <c r="AO13" i="9"/>
  <c r="P7" i="13"/>
  <c r="AO8" i="9"/>
  <c r="Q10" i="13"/>
  <c r="AP11" i="9"/>
  <c r="Q12" i="13"/>
  <c r="AP13" i="9"/>
  <c r="P10" i="13"/>
  <c r="AO11" i="9"/>
  <c r="P9" i="13"/>
  <c r="AO10" i="9"/>
  <c r="Q8" i="13"/>
  <c r="AP9" i="9"/>
  <c r="Q9" i="13"/>
  <c r="AP10" i="9"/>
  <c r="P11" i="13"/>
  <c r="AO12" i="9"/>
  <c r="P8" i="13"/>
  <c r="AO9" i="9"/>
  <c r="CS81" i="3"/>
  <c r="CS143" i="3"/>
  <c r="CS139" i="3"/>
  <c r="CS149" i="3"/>
  <c r="CS148" i="3"/>
  <c r="CS136" i="3"/>
  <c r="J94" i="11"/>
  <c r="J87" i="11"/>
  <c r="J83" i="11"/>
  <c r="J81" i="11"/>
  <c r="J77" i="11"/>
  <c r="J73" i="11"/>
  <c r="J69" i="11"/>
  <c r="J65" i="11"/>
  <c r="J61" i="11"/>
  <c r="J57" i="11"/>
  <c r="J55" i="11"/>
  <c r="J95" i="11"/>
  <c r="J90" i="11"/>
  <c r="J88" i="11"/>
  <c r="J86" i="11"/>
  <c r="J84" i="11"/>
  <c r="J82" i="11"/>
  <c r="J80" i="11"/>
  <c r="J78" i="11"/>
  <c r="J76" i="11"/>
  <c r="J74" i="11"/>
  <c r="J72" i="11"/>
  <c r="J70" i="11"/>
  <c r="J68" i="11"/>
  <c r="J66" i="11"/>
  <c r="J64" i="11"/>
  <c r="J62" i="11"/>
  <c r="J60" i="11"/>
  <c r="J58" i="11"/>
  <c r="L14" i="3"/>
  <c r="J54" i="11"/>
  <c r="J89" i="11"/>
  <c r="J85" i="11"/>
  <c r="J79" i="11"/>
  <c r="J75" i="11"/>
  <c r="J71" i="11"/>
  <c r="J67" i="11"/>
  <c r="J63" i="11"/>
  <c r="J59" i="11"/>
  <c r="L13" i="3"/>
  <c r="J53" i="11"/>
  <c r="J56" i="11"/>
  <c r="R12" i="3"/>
  <c r="AT12" i="3" s="1"/>
  <c r="AU12" i="3" s="1"/>
  <c r="R14" i="3"/>
  <c r="R13" i="3"/>
  <c r="AL11" i="3"/>
  <c r="BX22" i="3" l="1"/>
  <c r="FF22" i="3" a="1"/>
  <c r="FF22" i="3" s="1"/>
  <c r="BX30" i="3"/>
  <c r="BX31" i="3"/>
  <c r="BX29" i="3"/>
  <c r="BX27" i="3"/>
  <c r="BX28" i="3"/>
  <c r="BX32" i="3"/>
  <c r="BX26" i="3"/>
  <c r="BX24" i="3"/>
  <c r="BX25" i="3"/>
  <c r="BL21" i="3"/>
  <c r="BL47" i="3"/>
  <c r="BL43" i="3"/>
  <c r="BL62" i="3"/>
  <c r="BL45" i="3"/>
  <c r="BL23" i="3"/>
  <c r="BL42" i="3"/>
  <c r="BL55" i="3"/>
  <c r="GD25" i="3"/>
  <c r="BL49" i="3"/>
  <c r="BL61" i="3"/>
  <c r="BL50" i="3"/>
  <c r="BL48" i="3"/>
  <c r="BL54" i="3"/>
  <c r="BL46" i="3"/>
  <c r="BL60" i="3"/>
  <c r="BL40" i="3"/>
  <c r="BL34" i="3"/>
  <c r="AZ26" i="9"/>
  <c r="AY26" i="9" s="1"/>
  <c r="BL22" i="3"/>
  <c r="AZ14" i="9"/>
  <c r="AY14" i="9" s="1"/>
  <c r="BB25" i="9"/>
  <c r="CD33" i="3"/>
  <c r="EK33" i="3" s="1"/>
  <c r="BL36" i="3"/>
  <c r="AZ28" i="9"/>
  <c r="AY28" i="9" s="1"/>
  <c r="BL44" i="3"/>
  <c r="GD26" i="3"/>
  <c r="BL53" i="3"/>
  <c r="BB16" i="9"/>
  <c r="CD24" i="3"/>
  <c r="EK24" i="3" s="1"/>
  <c r="BL33" i="3"/>
  <c r="AZ25" i="9"/>
  <c r="AY25" i="9" s="1"/>
  <c r="BL24" i="3"/>
  <c r="AZ16" i="9"/>
  <c r="AY16" i="9" s="1"/>
  <c r="BB27" i="9"/>
  <c r="CD35" i="3"/>
  <c r="EK35" i="3" s="1"/>
  <c r="CD30" i="3"/>
  <c r="EK30" i="3" s="1"/>
  <c r="BB22" i="9"/>
  <c r="BL35" i="3"/>
  <c r="AZ27" i="9"/>
  <c r="AY27" i="9" s="1"/>
  <c r="BB23" i="9"/>
  <c r="CD31" i="3"/>
  <c r="EK31" i="3" s="1"/>
  <c r="BL26" i="3"/>
  <c r="AZ18" i="9"/>
  <c r="AY18" i="9" s="1"/>
  <c r="BB21" i="9"/>
  <c r="CD29" i="3"/>
  <c r="EK29" i="3" s="1"/>
  <c r="BL28" i="3"/>
  <c r="AZ20" i="9"/>
  <c r="AY20" i="9" s="1"/>
  <c r="GD24" i="3"/>
  <c r="GD35" i="3"/>
  <c r="GD30" i="3"/>
  <c r="BL16" i="3"/>
  <c r="GD33" i="3"/>
  <c r="BL25" i="3"/>
  <c r="AZ17" i="9"/>
  <c r="AY17" i="9" s="1"/>
  <c r="BB14" i="9"/>
  <c r="CD22" i="3"/>
  <c r="EK22" i="3" s="1"/>
  <c r="GD31" i="3"/>
  <c r="BB17" i="9"/>
  <c r="CD25" i="3"/>
  <c r="EK25" i="3" s="1"/>
  <c r="BB26" i="9"/>
  <c r="CD34" i="3"/>
  <c r="EK34" i="3" s="1"/>
  <c r="BL32" i="3"/>
  <c r="AZ24" i="9"/>
  <c r="AY24" i="9" s="1"/>
  <c r="GD29" i="3"/>
  <c r="CD28" i="3"/>
  <c r="EK28" i="3" s="1"/>
  <c r="BB20" i="9"/>
  <c r="BB28" i="9"/>
  <c r="CD36" i="3"/>
  <c r="EK36" i="3" s="1"/>
  <c r="BL29" i="3"/>
  <c r="AZ21" i="9"/>
  <c r="AY21" i="9" s="1"/>
  <c r="BB24" i="9"/>
  <c r="CD32" i="3"/>
  <c r="EK32" i="3" s="1"/>
  <c r="GD22" i="3"/>
  <c r="GD27" i="3"/>
  <c r="BB19" i="9"/>
  <c r="CD27" i="3"/>
  <c r="EK27" i="3" s="1"/>
  <c r="BL27" i="3"/>
  <c r="AZ19" i="9"/>
  <c r="AY19" i="9" s="1"/>
  <c r="BL31" i="3"/>
  <c r="AZ23" i="9"/>
  <c r="AY23" i="9" s="1"/>
  <c r="GD34" i="3"/>
  <c r="CD26" i="3"/>
  <c r="EK26" i="3" s="1"/>
  <c r="BB18" i="9"/>
  <c r="BL41" i="3"/>
  <c r="GD36" i="3"/>
  <c r="BL30" i="3"/>
  <c r="AZ22" i="9"/>
  <c r="AY22" i="9" s="1"/>
  <c r="GQ27" i="3"/>
  <c r="GD28" i="3"/>
  <c r="GD32" i="3"/>
  <c r="GQ18" i="3"/>
  <c r="GQ17" i="3"/>
  <c r="BJ12" i="3"/>
  <c r="BL12" i="3" s="1"/>
  <c r="GQ16" i="3"/>
  <c r="BI12" i="3"/>
  <c r="GQ21" i="3"/>
  <c r="AT14" i="3"/>
  <c r="AU14" i="3" s="1"/>
  <c r="AT13" i="3"/>
  <c r="AU13" i="3" s="1"/>
  <c r="BL20" i="3"/>
  <c r="BL17" i="3"/>
  <c r="BI14" i="3"/>
  <c r="BJ14" i="3"/>
  <c r="BL14" i="3" s="1"/>
  <c r="BI13" i="3"/>
  <c r="BJ13" i="3"/>
  <c r="BL13" i="3" s="1"/>
  <c r="BL18" i="3"/>
  <c r="BL19" i="3"/>
  <c r="CD17" i="3"/>
  <c r="EK17" i="3" s="1"/>
  <c r="BB9" i="9"/>
  <c r="CD20" i="3"/>
  <c r="EK20" i="3" s="1"/>
  <c r="BB12" i="9"/>
  <c r="AZ10" i="9"/>
  <c r="AY10" i="9" s="1"/>
  <c r="AZ9" i="9"/>
  <c r="AY9" i="9" s="1"/>
  <c r="BB10" i="9"/>
  <c r="CD18" i="3"/>
  <c r="EK18" i="3" s="1"/>
  <c r="BB11" i="9"/>
  <c r="CD19" i="3"/>
  <c r="EK19" i="3" s="1"/>
  <c r="AZ13" i="9"/>
  <c r="AY13" i="9" s="1"/>
  <c r="AZ11" i="9"/>
  <c r="AY11" i="9" s="1"/>
  <c r="BB8" i="9"/>
  <c r="CD16" i="3"/>
  <c r="EK16" i="3" s="1"/>
  <c r="CD21" i="3"/>
  <c r="EK21" i="3" s="1"/>
  <c r="BB13" i="9"/>
  <c r="AZ8" i="9"/>
  <c r="AY8" i="9" s="1"/>
  <c r="CD23" i="3"/>
  <c r="EK23" i="3" s="1"/>
  <c r="BB15" i="9"/>
  <c r="AZ12" i="9"/>
  <c r="AY12" i="9" s="1"/>
  <c r="AZ15" i="9"/>
  <c r="AY15" i="9" s="1"/>
  <c r="GD17" i="3"/>
  <c r="GD18" i="3"/>
  <c r="GD19" i="3"/>
  <c r="GD23" i="3"/>
  <c r="GD20" i="3"/>
  <c r="GD16" i="3"/>
  <c r="GD21" i="3"/>
  <c r="N3" i="13"/>
  <c r="N4" i="13"/>
  <c r="N5" i="13"/>
  <c r="N6" i="13"/>
  <c r="N2" i="13"/>
  <c r="EE32" i="3" l="1"/>
  <c r="EM32" i="3"/>
  <c r="FT32" i="3"/>
  <c r="DP32" i="3"/>
  <c r="CT32" i="3"/>
  <c r="FP32" i="3"/>
  <c r="EH32" i="3"/>
  <c r="FI32" i="3"/>
  <c r="DB32" i="3"/>
  <c r="CX32" i="3"/>
  <c r="DX32" i="3"/>
  <c r="CV32" i="3"/>
  <c r="FO32" i="3"/>
  <c r="DD32" i="3"/>
  <c r="EV32" i="3"/>
  <c r="EZ32" i="3"/>
  <c r="EA32" i="3"/>
  <c r="EW32" i="3"/>
  <c r="DR32" i="3"/>
  <c r="FY32" i="3"/>
  <c r="DN32" i="3"/>
  <c r="ET32" i="3"/>
  <c r="FR32" i="3"/>
  <c r="DJ32" i="3"/>
  <c r="ER32" i="3"/>
  <c r="ED32" i="3"/>
  <c r="CY32" i="3"/>
  <c r="FB32" i="3"/>
  <c r="FK32" i="3"/>
  <c r="CS32" i="3"/>
  <c r="FW32" i="3"/>
  <c r="DF32" i="3"/>
  <c r="EP32" i="3"/>
  <c r="EN32" i="3"/>
  <c r="FU32" i="3"/>
  <c r="DU32" i="3"/>
  <c r="FN32" i="3"/>
  <c r="DL32" i="3"/>
  <c r="DV32" i="3"/>
  <c r="EX32" i="3"/>
  <c r="EL32" i="3"/>
  <c r="FS32" i="3"/>
  <c r="EF32" i="3"/>
  <c r="DQ32" i="3"/>
  <c r="GA32" i="3"/>
  <c r="EC32" i="3"/>
  <c r="DT32" i="3"/>
  <c r="FX32" i="3"/>
  <c r="DZ32" i="3"/>
  <c r="FC32" i="3"/>
  <c r="DS32" i="3"/>
  <c r="FZ32" i="3"/>
  <c r="DY32" i="3"/>
  <c r="EU32" i="3"/>
  <c r="EB32" i="3"/>
  <c r="DH32" i="3"/>
  <c r="FL32" i="3"/>
  <c r="FD32" i="3"/>
  <c r="CZ32" i="3"/>
  <c r="EI32" i="3"/>
  <c r="ES32" i="3"/>
  <c r="CW32" i="3"/>
  <c r="DC32" i="3"/>
  <c r="EQ32" i="3"/>
  <c r="FJ32" i="3"/>
  <c r="DK32" i="3"/>
  <c r="DW32" i="3"/>
  <c r="DM32" i="3"/>
  <c r="DI32" i="3"/>
  <c r="FA32" i="3"/>
  <c r="DE32" i="3"/>
  <c r="DG32" i="3"/>
  <c r="EG32" i="3"/>
  <c r="EO32" i="3"/>
  <c r="FV32" i="3"/>
  <c r="EY32" i="3"/>
  <c r="CU32" i="3"/>
  <c r="FM32" i="3"/>
  <c r="DA32" i="3"/>
  <c r="GQ32" i="3"/>
  <c r="GQ29" i="3"/>
  <c r="GQ33" i="3"/>
  <c r="GQ31" i="3"/>
  <c r="CZ33" i="3"/>
  <c r="FJ33" i="3"/>
  <c r="FR33" i="3"/>
  <c r="DE33" i="3"/>
  <c r="EY33" i="3"/>
  <c r="CS33" i="3"/>
  <c r="DG33" i="3"/>
  <c r="CV33" i="3"/>
  <c r="FV33" i="3"/>
  <c r="DJ33" i="3"/>
  <c r="DA33" i="3"/>
  <c r="EW33" i="3"/>
  <c r="GA33" i="3"/>
  <c r="DC33" i="3"/>
  <c r="EQ33" i="3"/>
  <c r="EG33" i="3"/>
  <c r="DH33" i="3"/>
  <c r="FA33" i="3"/>
  <c r="EL33" i="3"/>
  <c r="FO33" i="3"/>
  <c r="DN33" i="3"/>
  <c r="FD33" i="3"/>
  <c r="DQ33" i="3"/>
  <c r="FM33" i="3"/>
  <c r="DW33" i="3"/>
  <c r="DR33" i="3"/>
  <c r="FN33" i="3"/>
  <c r="EU33" i="3"/>
  <c r="DT33" i="3"/>
  <c r="CX33" i="3"/>
  <c r="EO33" i="3"/>
  <c r="FP33" i="3"/>
  <c r="DV33" i="3"/>
  <c r="FK33" i="3"/>
  <c r="FS33" i="3"/>
  <c r="EE33" i="3"/>
  <c r="FI33" i="3"/>
  <c r="FU33" i="3"/>
  <c r="DY33" i="3"/>
  <c r="EP33" i="3"/>
  <c r="CW33" i="3"/>
  <c r="EM33" i="3"/>
  <c r="EC33" i="3"/>
  <c r="EX33" i="3"/>
  <c r="CU33" i="3"/>
  <c r="DF33" i="3"/>
  <c r="EZ33" i="3"/>
  <c r="EA33" i="3"/>
  <c r="EH33" i="3"/>
  <c r="EV33" i="3"/>
  <c r="FB33" i="3"/>
  <c r="DL33" i="3"/>
  <c r="ES33" i="3"/>
  <c r="DM33" i="3"/>
  <c r="DD33" i="3"/>
  <c r="ET33" i="3"/>
  <c r="FW33" i="3"/>
  <c r="CY33" i="3"/>
  <c r="DZ33" i="3"/>
  <c r="ER33" i="3"/>
  <c r="FC33" i="3"/>
  <c r="DB33" i="3"/>
  <c r="EI33" i="3"/>
  <c r="DS33" i="3"/>
  <c r="FY33" i="3"/>
  <c r="DX33" i="3"/>
  <c r="EB33" i="3"/>
  <c r="DI33" i="3"/>
  <c r="EF33" i="3"/>
  <c r="DP33" i="3"/>
  <c r="EN33" i="3"/>
  <c r="FX33" i="3"/>
  <c r="ED33" i="3"/>
  <c r="FL33" i="3"/>
  <c r="FT33" i="3"/>
  <c r="DU33" i="3"/>
  <c r="CT33" i="3"/>
  <c r="FZ33" i="3"/>
  <c r="DK33" i="3"/>
  <c r="GQ28" i="3"/>
  <c r="FW22" i="3"/>
  <c r="EN22" i="3"/>
  <c r="FK22" i="3"/>
  <c r="EQ22" i="3"/>
  <c r="EW22" i="3"/>
  <c r="EF22" i="3"/>
  <c r="DX22" i="3"/>
  <c r="DI22" i="3"/>
  <c r="DE22" i="3"/>
  <c r="FV22" i="3"/>
  <c r="EO22" i="3"/>
  <c r="CW22" i="3"/>
  <c r="FC22" i="3"/>
  <c r="EU22" i="3"/>
  <c r="EG22" i="3"/>
  <c r="DY22" i="3"/>
  <c r="DJ22" i="3"/>
  <c r="DF22" i="3"/>
  <c r="FX22" i="3"/>
  <c r="DT22" i="3"/>
  <c r="FJ22" i="3"/>
  <c r="ER22" i="3"/>
  <c r="EX22" i="3"/>
  <c r="DU22" i="3"/>
  <c r="CZ22" i="3"/>
  <c r="DK22" i="3"/>
  <c r="DG22" i="3"/>
  <c r="FM22" i="3"/>
  <c r="CS22" i="3"/>
  <c r="DS22" i="3"/>
  <c r="FL22" i="3"/>
  <c r="FD22" i="3"/>
  <c r="EY22" i="3"/>
  <c r="EA22" i="3"/>
  <c r="EH22" i="3"/>
  <c r="DA22" i="3"/>
  <c r="CY22" i="3"/>
  <c r="FP22" i="3"/>
  <c r="FY22" i="3"/>
  <c r="DR22" i="3"/>
  <c r="CU22" i="3"/>
  <c r="ES22" i="3"/>
  <c r="EZ22" i="3"/>
  <c r="DP22" i="3"/>
  <c r="DV22" i="3"/>
  <c r="DM22" i="3"/>
  <c r="DH22" i="3"/>
  <c r="FR22" i="3"/>
  <c r="GA22" i="3"/>
  <c r="EB22" i="3"/>
  <c r="CT22" i="3"/>
  <c r="FI22" i="3"/>
  <c r="FA22" i="3"/>
  <c r="ET22" i="3"/>
  <c r="EC22" i="3"/>
  <c r="EI22" i="3"/>
  <c r="DC22" i="3"/>
  <c r="DL22" i="3"/>
  <c r="FS22" i="3"/>
  <c r="FZ22" i="3"/>
  <c r="EL22" i="3"/>
  <c r="DQ22" i="3"/>
  <c r="EP22" i="3"/>
  <c r="EV22" i="3"/>
  <c r="ED22" i="3"/>
  <c r="DW22" i="3"/>
  <c r="DD22" i="3"/>
  <c r="DN22" i="3"/>
  <c r="FT22" i="3"/>
  <c r="FN22" i="3"/>
  <c r="EM22" i="3"/>
  <c r="CV22" i="3"/>
  <c r="FB22" i="3"/>
  <c r="EE22" i="3"/>
  <c r="DZ22" i="3"/>
  <c r="DB22" i="3"/>
  <c r="CX22" i="3"/>
  <c r="FU22" i="3"/>
  <c r="FO22" i="3"/>
  <c r="EB29" i="3"/>
  <c r="DR29" i="3"/>
  <c r="FI29" i="3"/>
  <c r="EV29" i="3"/>
  <c r="FC29" i="3"/>
  <c r="EF29" i="3"/>
  <c r="DX29" i="3"/>
  <c r="DD29" i="3"/>
  <c r="DL29" i="3"/>
  <c r="FU29" i="3"/>
  <c r="EL29" i="3"/>
  <c r="CT29" i="3"/>
  <c r="FD29" i="3"/>
  <c r="EG29" i="3"/>
  <c r="CX29" i="3"/>
  <c r="DH29" i="3"/>
  <c r="DN29" i="3"/>
  <c r="FV29" i="3"/>
  <c r="EM29" i="3"/>
  <c r="DQ29" i="3"/>
  <c r="EW29" i="3"/>
  <c r="EP29" i="3"/>
  <c r="DZ29" i="3"/>
  <c r="DU29" i="3"/>
  <c r="DJ29" i="3"/>
  <c r="CY29" i="3"/>
  <c r="FO29" i="3"/>
  <c r="FX29" i="3"/>
  <c r="EN29" i="3"/>
  <c r="DS29" i="3"/>
  <c r="EX29" i="3"/>
  <c r="EQ29" i="3"/>
  <c r="EA29" i="3"/>
  <c r="EH29" i="3"/>
  <c r="DA29" i="3"/>
  <c r="CZ29" i="3"/>
  <c r="GA29" i="3"/>
  <c r="FM29" i="3"/>
  <c r="FW29" i="3"/>
  <c r="EO29" i="3"/>
  <c r="CV29" i="3"/>
  <c r="EZ29" i="3"/>
  <c r="ER29" i="3"/>
  <c r="DP29" i="3"/>
  <c r="DV29" i="3"/>
  <c r="DM29" i="3"/>
  <c r="DE29" i="3"/>
  <c r="FP29" i="3"/>
  <c r="FN29" i="3"/>
  <c r="DT29" i="3"/>
  <c r="FL29" i="3"/>
  <c r="ES29" i="3"/>
  <c r="FA29" i="3"/>
  <c r="EC29" i="3"/>
  <c r="EI29" i="3"/>
  <c r="DI29" i="3"/>
  <c r="DF29" i="3"/>
  <c r="FR29" i="3"/>
  <c r="FY29" i="3"/>
  <c r="CU29" i="3"/>
  <c r="FK29" i="3"/>
  <c r="ET29" i="3"/>
  <c r="EY29" i="3"/>
  <c r="ED29" i="3"/>
  <c r="DY29" i="3"/>
  <c r="DB29" i="3"/>
  <c r="DG29" i="3"/>
  <c r="FS29" i="3"/>
  <c r="FZ29" i="3"/>
  <c r="CW29" i="3"/>
  <c r="FJ29" i="3"/>
  <c r="EU29" i="3"/>
  <c r="FB29" i="3"/>
  <c r="EE29" i="3"/>
  <c r="DW29" i="3"/>
  <c r="DC29" i="3"/>
  <c r="DK29" i="3"/>
  <c r="FT29" i="3"/>
  <c r="CS29" i="3"/>
  <c r="EM24" i="3"/>
  <c r="DI24" i="3"/>
  <c r="DY24" i="3"/>
  <c r="EL24" i="3"/>
  <c r="DM24" i="3"/>
  <c r="FR24" i="3"/>
  <c r="DR24" i="3"/>
  <c r="EV24" i="3"/>
  <c r="DE24" i="3"/>
  <c r="FM24" i="3"/>
  <c r="FJ24" i="3"/>
  <c r="EQ24" i="3"/>
  <c r="DN24" i="3"/>
  <c r="ES24" i="3"/>
  <c r="DB24" i="3"/>
  <c r="DL24" i="3"/>
  <c r="CS24" i="3"/>
  <c r="EP24" i="3"/>
  <c r="DH24" i="3"/>
  <c r="FO24" i="3"/>
  <c r="EO24" i="3"/>
  <c r="EY24" i="3"/>
  <c r="DG24" i="3"/>
  <c r="CY24" i="3"/>
  <c r="DT24" i="3"/>
  <c r="EI24" i="3"/>
  <c r="DA24" i="3"/>
  <c r="FY24" i="3"/>
  <c r="FL24" i="3"/>
  <c r="DX24" i="3"/>
  <c r="DD24" i="3"/>
  <c r="FV24" i="3"/>
  <c r="FK24" i="3"/>
  <c r="FU24" i="3"/>
  <c r="DF24" i="3"/>
  <c r="FD24" i="3"/>
  <c r="EE24" i="3"/>
  <c r="DV24" i="3"/>
  <c r="FP24" i="3"/>
  <c r="CV24" i="3"/>
  <c r="DP24" i="3"/>
  <c r="DJ24" i="3"/>
  <c r="FZ24" i="3"/>
  <c r="EG24" i="3"/>
  <c r="EX24" i="3"/>
  <c r="ER24" i="3"/>
  <c r="ED24" i="3"/>
  <c r="DK24" i="3"/>
  <c r="EB24" i="3"/>
  <c r="EU24" i="3"/>
  <c r="EH24" i="3"/>
  <c r="DC24" i="3"/>
  <c r="FT24" i="3"/>
  <c r="EW24" i="3"/>
  <c r="FC24" i="3"/>
  <c r="CZ24" i="3"/>
  <c r="FW24" i="3"/>
  <c r="FA24" i="3"/>
  <c r="EA24" i="3"/>
  <c r="CX24" i="3"/>
  <c r="EF24" i="3"/>
  <c r="EN24" i="3"/>
  <c r="CW24" i="3"/>
  <c r="FB24" i="3"/>
  <c r="DW24" i="3"/>
  <c r="FX24" i="3"/>
  <c r="FI24" i="3"/>
  <c r="ET24" i="3"/>
  <c r="DU24" i="3"/>
  <c r="FN24" i="3"/>
  <c r="CU24" i="3"/>
  <c r="FS24" i="3"/>
  <c r="DS24" i="3"/>
  <c r="DQ24" i="3"/>
  <c r="EC24" i="3"/>
  <c r="GA24" i="3"/>
  <c r="CT24" i="3"/>
  <c r="EZ24" i="3"/>
  <c r="DZ24" i="3"/>
  <c r="CU26" i="3"/>
  <c r="FJ26" i="3"/>
  <c r="EV26" i="3"/>
  <c r="ER26" i="3"/>
  <c r="DX26" i="3"/>
  <c r="EF26" i="3"/>
  <c r="DC26" i="3"/>
  <c r="DI26" i="3"/>
  <c r="FM26" i="3"/>
  <c r="FS26" i="3"/>
  <c r="CW26" i="3"/>
  <c r="FI26" i="3"/>
  <c r="EY26" i="3"/>
  <c r="DY26" i="3"/>
  <c r="DV26" i="3"/>
  <c r="DD26" i="3"/>
  <c r="DJ26" i="3"/>
  <c r="FY26" i="3"/>
  <c r="FT26" i="3"/>
  <c r="CS26" i="3"/>
  <c r="EB26" i="3"/>
  <c r="DQ26" i="3"/>
  <c r="FL26" i="3"/>
  <c r="EW26" i="3"/>
  <c r="FB26" i="3"/>
  <c r="DZ26" i="3"/>
  <c r="EI26" i="3"/>
  <c r="CX26" i="3"/>
  <c r="DK26" i="3"/>
  <c r="FN26" i="3"/>
  <c r="FU26" i="3"/>
  <c r="EL26" i="3"/>
  <c r="DR26" i="3"/>
  <c r="EX26" i="3"/>
  <c r="FC26" i="3"/>
  <c r="EA26" i="3"/>
  <c r="DU26" i="3"/>
  <c r="DN26" i="3"/>
  <c r="CY26" i="3"/>
  <c r="FZ26" i="3"/>
  <c r="FV26" i="3"/>
  <c r="EM26" i="3"/>
  <c r="CV26" i="3"/>
  <c r="EZ26" i="3"/>
  <c r="FD26" i="3"/>
  <c r="DP26" i="3"/>
  <c r="EH26" i="3"/>
  <c r="DF26" i="3"/>
  <c r="CZ26" i="3"/>
  <c r="FO26" i="3"/>
  <c r="EN26" i="3"/>
  <c r="DS26" i="3"/>
  <c r="ES26" i="3"/>
  <c r="FA26" i="3"/>
  <c r="EC26" i="3"/>
  <c r="EG26" i="3"/>
  <c r="DG26" i="3"/>
  <c r="DB26" i="3"/>
  <c r="GA26" i="3"/>
  <c r="EO26" i="3"/>
  <c r="CT26" i="3"/>
  <c r="ET26" i="3"/>
  <c r="EP26" i="3"/>
  <c r="ED26" i="3"/>
  <c r="DA26" i="3"/>
  <c r="DH26" i="3"/>
  <c r="DE26" i="3"/>
  <c r="FP26" i="3"/>
  <c r="FW26" i="3"/>
  <c r="DT26" i="3"/>
  <c r="FK26" i="3"/>
  <c r="EU26" i="3"/>
  <c r="EQ26" i="3"/>
  <c r="DW26" i="3"/>
  <c r="EE26" i="3"/>
  <c r="DM26" i="3"/>
  <c r="DL26" i="3"/>
  <c r="FX26" i="3"/>
  <c r="FR26" i="3"/>
  <c r="EO27" i="3"/>
  <c r="DV27" i="3"/>
  <c r="DL27" i="3"/>
  <c r="FB27" i="3"/>
  <c r="EZ27" i="3"/>
  <c r="EY27" i="3"/>
  <c r="ES27" i="3"/>
  <c r="CZ27" i="3"/>
  <c r="EI27" i="3"/>
  <c r="EM27" i="3"/>
  <c r="DR27" i="3"/>
  <c r="DD27" i="3"/>
  <c r="DP27" i="3"/>
  <c r="EV27" i="3"/>
  <c r="FP27" i="3"/>
  <c r="FA27" i="3"/>
  <c r="EX27" i="3"/>
  <c r="DW27" i="3"/>
  <c r="EC27" i="3"/>
  <c r="EL27" i="3"/>
  <c r="FK27" i="3"/>
  <c r="FR27" i="3"/>
  <c r="FW27" i="3"/>
  <c r="EU27" i="3"/>
  <c r="FU27" i="3"/>
  <c r="FV27" i="3"/>
  <c r="FX27" i="3"/>
  <c r="ED27" i="3"/>
  <c r="FD27" i="3"/>
  <c r="DT27" i="3"/>
  <c r="DZ27" i="3"/>
  <c r="FN27" i="3"/>
  <c r="EP27" i="3"/>
  <c r="DC27" i="3"/>
  <c r="DA27" i="3"/>
  <c r="DF27" i="3"/>
  <c r="CS27" i="3"/>
  <c r="EW27" i="3"/>
  <c r="CW27" i="3"/>
  <c r="DK27" i="3"/>
  <c r="DH27" i="3"/>
  <c r="DB27" i="3"/>
  <c r="DN27" i="3"/>
  <c r="EA27" i="3"/>
  <c r="DY27" i="3"/>
  <c r="FZ27" i="3"/>
  <c r="EN27" i="3"/>
  <c r="FL27" i="3"/>
  <c r="DQ27" i="3"/>
  <c r="EH27" i="3"/>
  <c r="ER27" i="3"/>
  <c r="ET27" i="3"/>
  <c r="DX27" i="3"/>
  <c r="EF27" i="3"/>
  <c r="EG27" i="3"/>
  <c r="FS27" i="3"/>
  <c r="FI27" i="3"/>
  <c r="CV27" i="3"/>
  <c r="CU27" i="3"/>
  <c r="FM27" i="3"/>
  <c r="DM27" i="3"/>
  <c r="FY27" i="3"/>
  <c r="GA27" i="3"/>
  <c r="EE27" i="3"/>
  <c r="FO27" i="3"/>
  <c r="DE27" i="3"/>
  <c r="CX27" i="3"/>
  <c r="CT27" i="3"/>
  <c r="EB27" i="3"/>
  <c r="DJ27" i="3"/>
  <c r="DU27" i="3"/>
  <c r="DG27" i="3"/>
  <c r="EQ27" i="3"/>
  <c r="FC27" i="3"/>
  <c r="CY27" i="3"/>
  <c r="FT27" i="3"/>
  <c r="DI27" i="3"/>
  <c r="DS27" i="3"/>
  <c r="FJ27" i="3"/>
  <c r="EI36" i="3"/>
  <c r="FK36" i="3"/>
  <c r="DS36" i="3"/>
  <c r="FS36" i="3"/>
  <c r="EF36" i="3"/>
  <c r="FI36" i="3"/>
  <c r="FU36" i="3"/>
  <c r="DZ36" i="3"/>
  <c r="CW36" i="3"/>
  <c r="FM36" i="3"/>
  <c r="DH36" i="3"/>
  <c r="EW36" i="3"/>
  <c r="FJ36" i="3"/>
  <c r="CS36" i="3"/>
  <c r="DI36" i="3"/>
  <c r="EZ36" i="3"/>
  <c r="EO36" i="3"/>
  <c r="DU36" i="3"/>
  <c r="EP36" i="3"/>
  <c r="DT36" i="3"/>
  <c r="DJ36" i="3"/>
  <c r="FD36" i="3"/>
  <c r="EX36" i="3"/>
  <c r="GA36" i="3"/>
  <c r="CZ36" i="3"/>
  <c r="EQ36" i="3"/>
  <c r="EV36" i="3"/>
  <c r="DN36" i="3"/>
  <c r="EU36" i="3"/>
  <c r="DG36" i="3"/>
  <c r="EN36" i="3"/>
  <c r="FP36" i="3"/>
  <c r="ED36" i="3"/>
  <c r="ES36" i="3"/>
  <c r="FW36" i="3"/>
  <c r="DM36" i="3"/>
  <c r="DY36" i="3"/>
  <c r="DP36" i="3"/>
  <c r="DE36" i="3"/>
  <c r="EA36" i="3"/>
  <c r="CT36" i="3"/>
  <c r="FY36" i="3"/>
  <c r="DW36" i="3"/>
  <c r="EE36" i="3"/>
  <c r="DR36" i="3"/>
  <c r="FT36" i="3"/>
  <c r="EG36" i="3"/>
  <c r="EL36" i="3"/>
  <c r="FZ36" i="3"/>
  <c r="EH36" i="3"/>
  <c r="FB36" i="3"/>
  <c r="CX36" i="3"/>
  <c r="DV36" i="3"/>
  <c r="FL36" i="3"/>
  <c r="DD36" i="3"/>
  <c r="DB36" i="3"/>
  <c r="CV36" i="3"/>
  <c r="FV36" i="3"/>
  <c r="DC36" i="3"/>
  <c r="ER36" i="3"/>
  <c r="DX36" i="3"/>
  <c r="DK36" i="3"/>
  <c r="CY36" i="3"/>
  <c r="EY36" i="3"/>
  <c r="EB36" i="3"/>
  <c r="DA36" i="3"/>
  <c r="FA36" i="3"/>
  <c r="FX36" i="3"/>
  <c r="DF36" i="3"/>
  <c r="EC36" i="3"/>
  <c r="DQ36" i="3"/>
  <c r="FR36" i="3"/>
  <c r="DL36" i="3"/>
  <c r="FC36" i="3"/>
  <c r="CU36" i="3"/>
  <c r="FN36" i="3"/>
  <c r="ET36" i="3"/>
  <c r="EM36" i="3"/>
  <c r="FO36" i="3"/>
  <c r="DC34" i="3"/>
  <c r="EP34" i="3"/>
  <c r="DL34" i="3"/>
  <c r="DI34" i="3"/>
  <c r="EW34" i="3"/>
  <c r="EZ34" i="3"/>
  <c r="DW34" i="3"/>
  <c r="DQ34" i="3"/>
  <c r="FN34" i="3"/>
  <c r="DK34" i="3"/>
  <c r="CZ34" i="3"/>
  <c r="EV34" i="3"/>
  <c r="FW34" i="3"/>
  <c r="DD34" i="3"/>
  <c r="EC34" i="3"/>
  <c r="DX34" i="3"/>
  <c r="DM34" i="3"/>
  <c r="EA34" i="3"/>
  <c r="DS34" i="3"/>
  <c r="FR34" i="3"/>
  <c r="EI34" i="3"/>
  <c r="CS34" i="3"/>
  <c r="DF34" i="3"/>
  <c r="EX34" i="3"/>
  <c r="CT34" i="3"/>
  <c r="DR34" i="3"/>
  <c r="FM34" i="3"/>
  <c r="EH34" i="3"/>
  <c r="CW34" i="3"/>
  <c r="FO34" i="3"/>
  <c r="CX34" i="3"/>
  <c r="EL34" i="3"/>
  <c r="FT34" i="3"/>
  <c r="EE34" i="3"/>
  <c r="FD34" i="3"/>
  <c r="FL34" i="3"/>
  <c r="FK34" i="3"/>
  <c r="DH34" i="3"/>
  <c r="FB34" i="3"/>
  <c r="EB34" i="3"/>
  <c r="DE34" i="3"/>
  <c r="CU34" i="3"/>
  <c r="GA34" i="3"/>
  <c r="DZ34" i="3"/>
  <c r="EY34" i="3"/>
  <c r="FA34" i="3"/>
  <c r="CY34" i="3"/>
  <c r="DA34" i="3"/>
  <c r="DT34" i="3"/>
  <c r="FS34" i="3"/>
  <c r="FC34" i="3"/>
  <c r="EG34" i="3"/>
  <c r="DB34" i="3"/>
  <c r="EF34" i="3"/>
  <c r="ET34" i="3"/>
  <c r="CV34" i="3"/>
  <c r="FP34" i="3"/>
  <c r="DP34" i="3"/>
  <c r="FJ34" i="3"/>
  <c r="FZ34" i="3"/>
  <c r="EU34" i="3"/>
  <c r="FX34" i="3"/>
  <c r="DG34" i="3"/>
  <c r="DU34" i="3"/>
  <c r="FI34" i="3"/>
  <c r="FY34" i="3"/>
  <c r="DV34" i="3"/>
  <c r="EQ34" i="3"/>
  <c r="EO34" i="3"/>
  <c r="ED34" i="3"/>
  <c r="EM34" i="3"/>
  <c r="FU34" i="3"/>
  <c r="ER34" i="3"/>
  <c r="EN34" i="3"/>
  <c r="DY34" i="3"/>
  <c r="DN34" i="3"/>
  <c r="FV34" i="3"/>
  <c r="ES34" i="3"/>
  <c r="DJ34" i="3"/>
  <c r="GQ30" i="3"/>
  <c r="DQ30" i="3"/>
  <c r="CT30" i="3"/>
  <c r="EW30" i="3"/>
  <c r="FD30" i="3"/>
  <c r="DU30" i="3"/>
  <c r="EA30" i="3"/>
  <c r="DI30" i="3"/>
  <c r="DF30" i="3"/>
  <c r="FV30" i="3"/>
  <c r="FP30" i="3"/>
  <c r="FW30" i="3"/>
  <c r="EN30" i="3"/>
  <c r="FK30" i="3"/>
  <c r="EX30" i="3"/>
  <c r="ES30" i="3"/>
  <c r="EH30" i="3"/>
  <c r="EE30" i="3"/>
  <c r="DJ30" i="3"/>
  <c r="DG30" i="3"/>
  <c r="FX30" i="3"/>
  <c r="FS30" i="3"/>
  <c r="DR30" i="3"/>
  <c r="FL30" i="3"/>
  <c r="EY30" i="3"/>
  <c r="EQ30" i="3"/>
  <c r="DV30" i="3"/>
  <c r="DP30" i="3"/>
  <c r="DB30" i="3"/>
  <c r="DK30" i="3"/>
  <c r="FM30" i="3"/>
  <c r="FR30" i="3"/>
  <c r="DC30" i="3"/>
  <c r="DT30" i="3"/>
  <c r="FI30" i="3"/>
  <c r="EZ30" i="3"/>
  <c r="ET30" i="3"/>
  <c r="EI30" i="3"/>
  <c r="ED30" i="3"/>
  <c r="DN30" i="3"/>
  <c r="DL30" i="3"/>
  <c r="FY30" i="3"/>
  <c r="DY30" i="3"/>
  <c r="DD30" i="3"/>
  <c r="EB30" i="3"/>
  <c r="CU30" i="3"/>
  <c r="FJ30" i="3"/>
  <c r="FA30" i="3"/>
  <c r="EU30" i="3"/>
  <c r="DW30" i="3"/>
  <c r="EC30" i="3"/>
  <c r="CY30" i="3"/>
  <c r="DM30" i="3"/>
  <c r="FN30" i="3"/>
  <c r="CS30" i="3"/>
  <c r="EL30" i="3"/>
  <c r="CV30" i="3"/>
  <c r="EP30" i="3"/>
  <c r="EV30" i="3"/>
  <c r="DX30" i="3"/>
  <c r="DA30" i="3"/>
  <c r="CZ30" i="3"/>
  <c r="CX30" i="3"/>
  <c r="FZ30" i="3"/>
  <c r="EF30" i="3"/>
  <c r="FT30" i="3"/>
  <c r="EM30" i="3"/>
  <c r="DS30" i="3"/>
  <c r="FB30" i="3"/>
  <c r="FC30" i="3"/>
  <c r="EO30" i="3"/>
  <c r="CW30" i="3"/>
  <c r="ER30" i="3"/>
  <c r="EG30" i="3"/>
  <c r="DZ30" i="3"/>
  <c r="DH30" i="3"/>
  <c r="DE30" i="3"/>
  <c r="FU30" i="3"/>
  <c r="GA30" i="3"/>
  <c r="FO30" i="3"/>
  <c r="DZ35" i="3"/>
  <c r="DN35" i="3"/>
  <c r="DC35" i="3"/>
  <c r="DP35" i="3"/>
  <c r="FJ35" i="3"/>
  <c r="FS35" i="3"/>
  <c r="EF35" i="3"/>
  <c r="FK35" i="3"/>
  <c r="EB35" i="3"/>
  <c r="DJ35" i="3"/>
  <c r="CY35" i="3"/>
  <c r="EN35" i="3"/>
  <c r="FV35" i="3"/>
  <c r="CZ35" i="3"/>
  <c r="EV35" i="3"/>
  <c r="CS35" i="3"/>
  <c r="DA35" i="3"/>
  <c r="EW35" i="3"/>
  <c r="CW35" i="3"/>
  <c r="FZ35" i="3"/>
  <c r="DB35" i="3"/>
  <c r="CV35" i="3"/>
  <c r="FP35" i="3"/>
  <c r="DD35" i="3"/>
  <c r="ER35" i="3"/>
  <c r="DF35" i="3"/>
  <c r="DH35" i="3"/>
  <c r="FB35" i="3"/>
  <c r="FI35" i="3"/>
  <c r="FO35" i="3"/>
  <c r="EM35" i="3"/>
  <c r="FU35" i="3"/>
  <c r="ET35" i="3"/>
  <c r="EO35" i="3"/>
  <c r="FX35" i="3"/>
  <c r="DV35" i="3"/>
  <c r="DS35" i="3"/>
  <c r="FY35" i="3"/>
  <c r="DW35" i="3"/>
  <c r="EX35" i="3"/>
  <c r="CT35" i="3"/>
  <c r="GA35" i="3"/>
  <c r="EP35" i="3"/>
  <c r="DR35" i="3"/>
  <c r="FR35" i="3"/>
  <c r="EC35" i="3"/>
  <c r="FL35" i="3"/>
  <c r="FT35" i="3"/>
  <c r="EE35" i="3"/>
  <c r="FC35" i="3"/>
  <c r="ES35" i="3"/>
  <c r="DQ35" i="3"/>
  <c r="DU35" i="3"/>
  <c r="EU35" i="3"/>
  <c r="EL35" i="3"/>
  <c r="DL35" i="3"/>
  <c r="EZ35" i="3"/>
  <c r="DM35" i="3"/>
  <c r="DX35" i="3"/>
  <c r="FA35" i="3"/>
  <c r="FD35" i="3"/>
  <c r="EA35" i="3"/>
  <c r="EQ35" i="3"/>
  <c r="FW35" i="3"/>
  <c r="DG35" i="3"/>
  <c r="EY35" i="3"/>
  <c r="CX35" i="3"/>
  <c r="DI35" i="3"/>
  <c r="ED35" i="3"/>
  <c r="EG35" i="3"/>
  <c r="DY35" i="3"/>
  <c r="DK35" i="3"/>
  <c r="EH35" i="3"/>
  <c r="DT35" i="3"/>
  <c r="FM35" i="3"/>
  <c r="EI35" i="3"/>
  <c r="CU35" i="3"/>
  <c r="FN35" i="3"/>
  <c r="DE35" i="3"/>
  <c r="EM25" i="3"/>
  <c r="DS25" i="3"/>
  <c r="EQ25" i="3"/>
  <c r="EW25" i="3"/>
  <c r="DU25" i="3"/>
  <c r="ED25" i="3"/>
  <c r="DA25" i="3"/>
  <c r="DE25" i="3"/>
  <c r="FV25" i="3"/>
  <c r="FP25" i="3"/>
  <c r="CS25" i="3"/>
  <c r="EN25" i="3"/>
  <c r="CT25" i="3"/>
  <c r="FC25" i="3"/>
  <c r="EU25" i="3"/>
  <c r="EH25" i="3"/>
  <c r="EA25" i="3"/>
  <c r="DM25" i="3"/>
  <c r="DF25" i="3"/>
  <c r="FX25" i="3"/>
  <c r="FR25" i="3"/>
  <c r="EO25" i="3"/>
  <c r="CW25" i="3"/>
  <c r="ER25" i="3"/>
  <c r="EX25" i="3"/>
  <c r="DV25" i="3"/>
  <c r="EC25" i="3"/>
  <c r="DD25" i="3"/>
  <c r="DG25" i="3"/>
  <c r="FM25" i="3"/>
  <c r="FW25" i="3"/>
  <c r="DT25" i="3"/>
  <c r="FK25" i="3"/>
  <c r="FD25" i="3"/>
  <c r="EY25" i="3"/>
  <c r="EI25" i="3"/>
  <c r="DP25" i="3"/>
  <c r="DI25" i="3"/>
  <c r="DH25" i="3"/>
  <c r="FY25" i="3"/>
  <c r="DQ25" i="3"/>
  <c r="FL25" i="3"/>
  <c r="ES25" i="3"/>
  <c r="EZ25" i="3"/>
  <c r="DW25" i="3"/>
  <c r="CX25" i="3"/>
  <c r="DK25" i="3"/>
  <c r="CY25" i="3"/>
  <c r="FN25" i="3"/>
  <c r="DR25" i="3"/>
  <c r="FJ25" i="3"/>
  <c r="FA25" i="3"/>
  <c r="ET25" i="3"/>
  <c r="EE25" i="3"/>
  <c r="DX25" i="3"/>
  <c r="DJ25" i="3"/>
  <c r="DN25" i="3"/>
  <c r="FS25" i="3"/>
  <c r="FZ25" i="3"/>
  <c r="EB25" i="3"/>
  <c r="CU25" i="3"/>
  <c r="FI25" i="3"/>
  <c r="EP25" i="3"/>
  <c r="EV25" i="3"/>
  <c r="EF25" i="3"/>
  <c r="DY25" i="3"/>
  <c r="CZ25" i="3"/>
  <c r="DC25" i="3"/>
  <c r="FT25" i="3"/>
  <c r="FO25" i="3"/>
  <c r="EL25" i="3"/>
  <c r="CV25" i="3"/>
  <c r="FB25" i="3"/>
  <c r="EG25" i="3"/>
  <c r="DZ25" i="3"/>
  <c r="DL25" i="3"/>
  <c r="DB25" i="3"/>
  <c r="FU25" i="3"/>
  <c r="GA25" i="3"/>
  <c r="GQ35" i="3"/>
  <c r="GQ34" i="3"/>
  <c r="EB28" i="3"/>
  <c r="CT28" i="3"/>
  <c r="FL28" i="3"/>
  <c r="FA28" i="3"/>
  <c r="ET28" i="3"/>
  <c r="DY28" i="3"/>
  <c r="EE28" i="3"/>
  <c r="DA28" i="3"/>
  <c r="DM28" i="3"/>
  <c r="FO28" i="3"/>
  <c r="DC28" i="3"/>
  <c r="EL28" i="3"/>
  <c r="CU28" i="3"/>
  <c r="EP28" i="3"/>
  <c r="EV28" i="3"/>
  <c r="DZ28" i="3"/>
  <c r="DG28" i="3"/>
  <c r="CY28" i="3"/>
  <c r="DN28" i="3"/>
  <c r="GA28" i="3"/>
  <c r="EG28" i="3"/>
  <c r="EM28" i="3"/>
  <c r="CW28" i="3"/>
  <c r="FB28" i="3"/>
  <c r="DU28" i="3"/>
  <c r="EA28" i="3"/>
  <c r="CX28" i="3"/>
  <c r="CZ28" i="3"/>
  <c r="FV28" i="3"/>
  <c r="FP28" i="3"/>
  <c r="DP28" i="3"/>
  <c r="FX28" i="3"/>
  <c r="FW28" i="3"/>
  <c r="EN28" i="3"/>
  <c r="DQ28" i="3"/>
  <c r="EQ28" i="3"/>
  <c r="EW28" i="3"/>
  <c r="EH28" i="3"/>
  <c r="DJ28" i="3"/>
  <c r="FN28" i="3"/>
  <c r="EO28" i="3"/>
  <c r="CV28" i="3"/>
  <c r="FC28" i="3"/>
  <c r="EU28" i="3"/>
  <c r="DV28" i="3"/>
  <c r="EC28" i="3"/>
  <c r="DB28" i="3"/>
  <c r="DD28" i="3"/>
  <c r="FM28" i="3"/>
  <c r="FS28" i="3"/>
  <c r="EY28" i="3"/>
  <c r="DR28" i="3"/>
  <c r="FK28" i="3"/>
  <c r="ER28" i="3"/>
  <c r="EX28" i="3"/>
  <c r="EI28" i="3"/>
  <c r="ED28" i="3"/>
  <c r="DH28" i="3"/>
  <c r="DE28" i="3"/>
  <c r="FY28" i="3"/>
  <c r="FT28" i="3"/>
  <c r="DI28" i="3"/>
  <c r="DS28" i="3"/>
  <c r="FI28" i="3"/>
  <c r="FD28" i="3"/>
  <c r="DT28" i="3"/>
  <c r="FJ28" i="3"/>
  <c r="ES28" i="3"/>
  <c r="EZ28" i="3"/>
  <c r="DX28" i="3"/>
  <c r="EF28" i="3"/>
  <c r="DK28" i="3"/>
  <c r="DL28" i="3"/>
  <c r="FZ28" i="3"/>
  <c r="CS28" i="3"/>
  <c r="FR28" i="3"/>
  <c r="DW28" i="3"/>
  <c r="DF28" i="3"/>
  <c r="FU28" i="3"/>
  <c r="EH31" i="3"/>
  <c r="CT31" i="3"/>
  <c r="FR31" i="3"/>
  <c r="EF31" i="3"/>
  <c r="EQ31" i="3"/>
  <c r="EC31" i="3"/>
  <c r="DD31" i="3"/>
  <c r="EX31" i="3"/>
  <c r="DR31" i="3"/>
  <c r="FO31" i="3"/>
  <c r="DE31" i="3"/>
  <c r="FJ31" i="3"/>
  <c r="FI31" i="3"/>
  <c r="CY31" i="3"/>
  <c r="EW31" i="3"/>
  <c r="EN31" i="3"/>
  <c r="FN31" i="3"/>
  <c r="EA31" i="3"/>
  <c r="CU31" i="3"/>
  <c r="FX31" i="3"/>
  <c r="DJ31" i="3"/>
  <c r="EP31" i="3"/>
  <c r="GA31" i="3"/>
  <c r="DB31" i="3"/>
  <c r="DY31" i="3"/>
  <c r="CW31" i="3"/>
  <c r="FU31" i="3"/>
  <c r="DU31" i="3"/>
  <c r="FD31" i="3"/>
  <c r="DM31" i="3"/>
  <c r="DQ31" i="3"/>
  <c r="FP31" i="3"/>
  <c r="EV31" i="3"/>
  <c r="EL31" i="3"/>
  <c r="FM31" i="3"/>
  <c r="EG31" i="3"/>
  <c r="FC31" i="3"/>
  <c r="ES31" i="3"/>
  <c r="DL31" i="3"/>
  <c r="EY31" i="3"/>
  <c r="FL31" i="3"/>
  <c r="EZ31" i="3"/>
  <c r="EE31" i="3"/>
  <c r="CV31" i="3"/>
  <c r="FS31" i="3"/>
  <c r="DK31" i="3"/>
  <c r="EU31" i="3"/>
  <c r="EI31" i="3"/>
  <c r="DG31" i="3"/>
  <c r="DP31" i="3"/>
  <c r="FA31" i="3"/>
  <c r="DI31" i="3"/>
  <c r="DF31" i="3"/>
  <c r="FB31" i="3"/>
  <c r="CS31" i="3"/>
  <c r="DC31" i="3"/>
  <c r="DZ31" i="3"/>
  <c r="EO31" i="3"/>
  <c r="FZ31" i="3"/>
  <c r="DV31" i="3"/>
  <c r="ET31" i="3"/>
  <c r="FW31" i="3"/>
  <c r="CX31" i="3"/>
  <c r="EM31" i="3"/>
  <c r="FY31" i="3"/>
  <c r="DW31" i="3"/>
  <c r="FK31" i="3"/>
  <c r="FV31" i="3"/>
  <c r="DA31" i="3"/>
  <c r="ED31" i="3"/>
  <c r="EB31" i="3"/>
  <c r="DN31" i="3"/>
  <c r="DX31" i="3"/>
  <c r="DS31" i="3"/>
  <c r="FT31" i="3"/>
  <c r="CZ31" i="3"/>
  <c r="ER31" i="3"/>
  <c r="DT31" i="3"/>
  <c r="DH31" i="3"/>
  <c r="CW16" i="3"/>
  <c r="DE16" i="3"/>
  <c r="DM16" i="3"/>
  <c r="DV16" i="3"/>
  <c r="ED16" i="3"/>
  <c r="EM16" i="3"/>
  <c r="EU16" i="3"/>
  <c r="FC16" i="3"/>
  <c r="DN16" i="3"/>
  <c r="EN16" i="3"/>
  <c r="FD16" i="3"/>
  <c r="CY16" i="3"/>
  <c r="DP16" i="3"/>
  <c r="EF16" i="3"/>
  <c r="EO16" i="3"/>
  <c r="CX16" i="3"/>
  <c r="DF16" i="3"/>
  <c r="DW16" i="3"/>
  <c r="EE16" i="3"/>
  <c r="EV16" i="3"/>
  <c r="DG16" i="3"/>
  <c r="DX16" i="3"/>
  <c r="EW16" i="3"/>
  <c r="CS16" i="3"/>
  <c r="DA16" i="3"/>
  <c r="DI16" i="3"/>
  <c r="DR16" i="3"/>
  <c r="DZ16" i="3"/>
  <c r="EH16" i="3"/>
  <c r="EQ16" i="3"/>
  <c r="EY16" i="3"/>
  <c r="EB16" i="3"/>
  <c r="CT16" i="3"/>
  <c r="DB16" i="3"/>
  <c r="DJ16" i="3"/>
  <c r="DS16" i="3"/>
  <c r="EA16" i="3"/>
  <c r="EI16" i="3"/>
  <c r="ER16" i="3"/>
  <c r="EZ16" i="3"/>
  <c r="CU16" i="3"/>
  <c r="DC16" i="3"/>
  <c r="DK16" i="3"/>
  <c r="DT16" i="3"/>
  <c r="ES16" i="3"/>
  <c r="FA16" i="3"/>
  <c r="CZ16" i="3"/>
  <c r="DH16" i="3"/>
  <c r="ET16" i="3"/>
  <c r="DQ16" i="3"/>
  <c r="DD16" i="3"/>
  <c r="EL16" i="3"/>
  <c r="EP16" i="3"/>
  <c r="DU16" i="3"/>
  <c r="FB16" i="3"/>
  <c r="CV16" i="3"/>
  <c r="EG16" i="3"/>
  <c r="DL16" i="3"/>
  <c r="DY16" i="3"/>
  <c r="EC16" i="3"/>
  <c r="EX16" i="3"/>
  <c r="FW18" i="3"/>
  <c r="FW21" i="3"/>
  <c r="FW16" i="3"/>
  <c r="FW20" i="3"/>
  <c r="FW19" i="3"/>
  <c r="FW23" i="3"/>
  <c r="FW17" i="3"/>
  <c r="EB20" i="3"/>
  <c r="EL20" i="3"/>
  <c r="EM20" i="3"/>
  <c r="EN20" i="3"/>
  <c r="EO20" i="3"/>
  <c r="DR20" i="3"/>
  <c r="CU20" i="3"/>
  <c r="CW20" i="3"/>
  <c r="DT20" i="3"/>
  <c r="CT20" i="3"/>
  <c r="DQ20" i="3"/>
  <c r="DS20" i="3"/>
  <c r="CV20" i="3"/>
  <c r="FJ20" i="3"/>
  <c r="FL20" i="3"/>
  <c r="FI20" i="3"/>
  <c r="FK20" i="3"/>
  <c r="FK16" i="3"/>
  <c r="FI16" i="3"/>
  <c r="FL16" i="3"/>
  <c r="FJ16" i="3"/>
  <c r="EB21" i="3"/>
  <c r="DR21" i="3"/>
  <c r="DS21" i="3"/>
  <c r="DT21" i="3"/>
  <c r="EL21" i="3"/>
  <c r="EM21" i="3"/>
  <c r="EO21" i="3"/>
  <c r="EN21" i="3"/>
  <c r="DQ21" i="3"/>
  <c r="CT21" i="3"/>
  <c r="CU21" i="3"/>
  <c r="CW21" i="3"/>
  <c r="CV21" i="3"/>
  <c r="FJ21" i="3"/>
  <c r="FK21" i="3"/>
  <c r="FL21" i="3"/>
  <c r="FI21" i="3"/>
  <c r="EB17" i="3"/>
  <c r="EL17" i="3"/>
  <c r="EM17" i="3"/>
  <c r="EN17" i="3"/>
  <c r="EO17" i="3"/>
  <c r="DT17" i="3"/>
  <c r="CU17" i="3"/>
  <c r="DR17" i="3"/>
  <c r="CW17" i="3"/>
  <c r="DS17" i="3"/>
  <c r="CT17" i="3"/>
  <c r="CV17" i="3"/>
  <c r="DQ17" i="3"/>
  <c r="FL17" i="3"/>
  <c r="FK17" i="3"/>
  <c r="FJ17" i="3"/>
  <c r="FI17" i="3"/>
  <c r="EB23" i="3"/>
  <c r="EL23" i="3"/>
  <c r="EM23" i="3"/>
  <c r="EN23" i="3"/>
  <c r="EO23" i="3"/>
  <c r="DQ23" i="3"/>
  <c r="CU23" i="3"/>
  <c r="DS23" i="3"/>
  <c r="CW23" i="3"/>
  <c r="DT23" i="3"/>
  <c r="DR23" i="3"/>
  <c r="CV23" i="3"/>
  <c r="CT23" i="3"/>
  <c r="FJ23" i="3"/>
  <c r="FL23" i="3"/>
  <c r="FK23" i="3"/>
  <c r="FI23" i="3"/>
  <c r="EB19" i="3"/>
  <c r="EL19" i="3"/>
  <c r="EM19" i="3"/>
  <c r="EN19" i="3"/>
  <c r="EO19" i="3"/>
  <c r="DT19" i="3"/>
  <c r="DR19" i="3"/>
  <c r="DS19" i="3"/>
  <c r="CU19" i="3"/>
  <c r="CW19" i="3"/>
  <c r="DQ19" i="3"/>
  <c r="CV19" i="3"/>
  <c r="FK19" i="3"/>
  <c r="FJ19" i="3"/>
  <c r="FI19" i="3"/>
  <c r="CT19" i="3"/>
  <c r="FL19" i="3"/>
  <c r="EB18" i="3"/>
  <c r="DR18" i="3"/>
  <c r="DS18" i="3"/>
  <c r="DT18" i="3"/>
  <c r="EL18" i="3"/>
  <c r="EM18" i="3"/>
  <c r="EO18" i="3"/>
  <c r="DQ18" i="3"/>
  <c r="EN18" i="3"/>
  <c r="CU18" i="3"/>
  <c r="CV18" i="3"/>
  <c r="CT18" i="3"/>
  <c r="CW18" i="3"/>
  <c r="FK18" i="3"/>
  <c r="FL18" i="3"/>
  <c r="FI18" i="3"/>
  <c r="FJ18" i="3"/>
  <c r="EW18" i="3"/>
  <c r="EX18" i="3"/>
  <c r="EY18" i="3"/>
  <c r="EZ18" i="3"/>
  <c r="FA18" i="3"/>
  <c r="EP18" i="3"/>
  <c r="FB18" i="3"/>
  <c r="ER18" i="3"/>
  <c r="FD18" i="3"/>
  <c r="ES18" i="3"/>
  <c r="FC18" i="3"/>
  <c r="EQ18" i="3"/>
  <c r="ET18" i="3"/>
  <c r="EU18" i="3"/>
  <c r="EV18" i="3"/>
  <c r="ES23" i="3"/>
  <c r="ET23" i="3"/>
  <c r="EU23" i="3"/>
  <c r="EV23" i="3"/>
  <c r="EW23" i="3"/>
  <c r="EX23" i="3"/>
  <c r="EZ23" i="3"/>
  <c r="FA23" i="3"/>
  <c r="EP23" i="3"/>
  <c r="EQ23" i="3"/>
  <c r="ER23" i="3"/>
  <c r="EY23" i="3"/>
  <c r="FB23" i="3"/>
  <c r="FC23" i="3"/>
  <c r="FD23" i="3"/>
  <c r="FA19" i="3"/>
  <c r="EP19" i="3"/>
  <c r="FB19" i="3"/>
  <c r="EQ19" i="3"/>
  <c r="FC19" i="3"/>
  <c r="ER19" i="3"/>
  <c r="FD19" i="3"/>
  <c r="ES19" i="3"/>
  <c r="ET19" i="3"/>
  <c r="EV19" i="3"/>
  <c r="EW19" i="3"/>
  <c r="EU19" i="3"/>
  <c r="EX19" i="3"/>
  <c r="EY19" i="3"/>
  <c r="EZ19" i="3"/>
  <c r="ES20" i="3"/>
  <c r="ET20" i="3"/>
  <c r="EU20" i="3"/>
  <c r="EV20" i="3"/>
  <c r="EW20" i="3"/>
  <c r="EX20" i="3"/>
  <c r="EZ20" i="3"/>
  <c r="FA20" i="3"/>
  <c r="EY20" i="3"/>
  <c r="FB20" i="3"/>
  <c r="FC20" i="3"/>
  <c r="FD20" i="3"/>
  <c r="EP20" i="3"/>
  <c r="EQ20" i="3"/>
  <c r="ER20" i="3"/>
  <c r="ES17" i="3"/>
  <c r="ET17" i="3"/>
  <c r="EU17" i="3"/>
  <c r="EV17" i="3"/>
  <c r="EW17" i="3"/>
  <c r="EX17" i="3"/>
  <c r="EZ17" i="3"/>
  <c r="FA17" i="3"/>
  <c r="EP17" i="3"/>
  <c r="EQ17" i="3"/>
  <c r="ER17" i="3"/>
  <c r="EY17" i="3"/>
  <c r="FB17" i="3"/>
  <c r="FC17" i="3"/>
  <c r="FD17" i="3"/>
  <c r="EW21" i="3"/>
  <c r="EX21" i="3"/>
  <c r="EY21" i="3"/>
  <c r="EZ21" i="3"/>
  <c r="FA21" i="3"/>
  <c r="EP21" i="3"/>
  <c r="FB21" i="3"/>
  <c r="ER21" i="3"/>
  <c r="FD21" i="3"/>
  <c r="ES21" i="3"/>
  <c r="EQ21" i="3"/>
  <c r="ET21" i="3"/>
  <c r="EU21" i="3"/>
  <c r="EV21" i="3"/>
  <c r="FC21" i="3"/>
  <c r="DX19" i="3"/>
  <c r="DY19" i="3"/>
  <c r="DZ19" i="3"/>
  <c r="EA19" i="3"/>
  <c r="DP19" i="3"/>
  <c r="EC19" i="3"/>
  <c r="ED19" i="3"/>
  <c r="EE19" i="3"/>
  <c r="EF19" i="3"/>
  <c r="EG19" i="3"/>
  <c r="DW19" i="3"/>
  <c r="DV19" i="3"/>
  <c r="EH19" i="3"/>
  <c r="EI19" i="3"/>
  <c r="DU19" i="3"/>
  <c r="CX19" i="3"/>
  <c r="DJ19" i="3"/>
  <c r="DC19" i="3"/>
  <c r="DD19" i="3"/>
  <c r="DF19" i="3"/>
  <c r="DG19" i="3"/>
  <c r="DB19" i="3"/>
  <c r="DL19" i="3"/>
  <c r="DM19" i="3"/>
  <c r="DN19" i="3"/>
  <c r="DA19" i="3"/>
  <c r="DE19" i="3"/>
  <c r="DH19" i="3"/>
  <c r="DI19" i="3"/>
  <c r="DK19" i="3"/>
  <c r="CZ19" i="3"/>
  <c r="CY19" i="3"/>
  <c r="FP19" i="3"/>
  <c r="FV19" i="3"/>
  <c r="FR19" i="3"/>
  <c r="FS19" i="3"/>
  <c r="FT19" i="3"/>
  <c r="FU19" i="3"/>
  <c r="FX19" i="3"/>
  <c r="FY19" i="3"/>
  <c r="FZ19" i="3"/>
  <c r="GA19" i="3"/>
  <c r="FM19" i="3"/>
  <c r="FN19" i="3"/>
  <c r="FO19" i="3"/>
  <c r="EG23" i="3"/>
  <c r="DU23" i="3"/>
  <c r="EH23" i="3"/>
  <c r="DV23" i="3"/>
  <c r="EI23" i="3"/>
  <c r="DW23" i="3"/>
  <c r="DX23" i="3"/>
  <c r="DY23" i="3"/>
  <c r="DZ23" i="3"/>
  <c r="EA23" i="3"/>
  <c r="DP23" i="3"/>
  <c r="EC23" i="3"/>
  <c r="EF23" i="3"/>
  <c r="ED23" i="3"/>
  <c r="EE23" i="3"/>
  <c r="DD23" i="3"/>
  <c r="DF23" i="3"/>
  <c r="DG23" i="3"/>
  <c r="CX23" i="3"/>
  <c r="DM23" i="3"/>
  <c r="DC23" i="3"/>
  <c r="DE23" i="3"/>
  <c r="DH23" i="3"/>
  <c r="DL23" i="3"/>
  <c r="CY23" i="3"/>
  <c r="CZ23" i="3"/>
  <c r="DA23" i="3"/>
  <c r="DB23" i="3"/>
  <c r="DI23" i="3"/>
  <c r="DJ23" i="3"/>
  <c r="DN23" i="3"/>
  <c r="DK23" i="3"/>
  <c r="FU23" i="3"/>
  <c r="FV23" i="3"/>
  <c r="FX23" i="3"/>
  <c r="FM23" i="3"/>
  <c r="FY23" i="3"/>
  <c r="FN23" i="3"/>
  <c r="FZ23" i="3"/>
  <c r="FO23" i="3"/>
  <c r="GA23" i="3"/>
  <c r="FP23" i="3"/>
  <c r="FR23" i="3"/>
  <c r="FS23" i="3"/>
  <c r="FT23" i="3"/>
  <c r="DV21" i="3"/>
  <c r="EI21" i="3"/>
  <c r="DW21" i="3"/>
  <c r="DX21" i="3"/>
  <c r="DY21" i="3"/>
  <c r="DZ21" i="3"/>
  <c r="EA21" i="3"/>
  <c r="DP21" i="3"/>
  <c r="EC21" i="3"/>
  <c r="ED21" i="3"/>
  <c r="EE21" i="3"/>
  <c r="DU21" i="3"/>
  <c r="EH21" i="3"/>
  <c r="EF21" i="3"/>
  <c r="EG21" i="3"/>
  <c r="DD21" i="3"/>
  <c r="DI21" i="3"/>
  <c r="CX21" i="3"/>
  <c r="DJ21" i="3"/>
  <c r="CZ21" i="3"/>
  <c r="DL21" i="3"/>
  <c r="DA21" i="3"/>
  <c r="DM21" i="3"/>
  <c r="DC21" i="3"/>
  <c r="DK21" i="3"/>
  <c r="DN21" i="3"/>
  <c r="DB21" i="3"/>
  <c r="CY21" i="3"/>
  <c r="DE21" i="3"/>
  <c r="DF21" i="3"/>
  <c r="DG21" i="3"/>
  <c r="DH21" i="3"/>
  <c r="FX21" i="3"/>
  <c r="FM21" i="3"/>
  <c r="FY21" i="3"/>
  <c r="FN21" i="3"/>
  <c r="FZ21" i="3"/>
  <c r="FO21" i="3"/>
  <c r="GA21" i="3"/>
  <c r="FP21" i="3"/>
  <c r="FR21" i="3"/>
  <c r="FS21" i="3"/>
  <c r="FT21" i="3"/>
  <c r="FU21" i="3"/>
  <c r="FV21" i="3"/>
  <c r="ED20" i="3"/>
  <c r="EE20" i="3"/>
  <c r="EF20" i="3"/>
  <c r="EG20" i="3"/>
  <c r="DU20" i="3"/>
  <c r="EH20" i="3"/>
  <c r="DV20" i="3"/>
  <c r="EI20" i="3"/>
  <c r="DW20" i="3"/>
  <c r="DX20" i="3"/>
  <c r="DY20" i="3"/>
  <c r="DP20" i="3"/>
  <c r="EC20" i="3"/>
  <c r="EA20" i="3"/>
  <c r="DZ20" i="3"/>
  <c r="DA20" i="3"/>
  <c r="DM20" i="3"/>
  <c r="DF20" i="3"/>
  <c r="DG20" i="3"/>
  <c r="DI20" i="3"/>
  <c r="CX20" i="3"/>
  <c r="DJ20" i="3"/>
  <c r="DC20" i="3"/>
  <c r="DL20" i="3"/>
  <c r="DN20" i="3"/>
  <c r="DB20" i="3"/>
  <c r="CY20" i="3"/>
  <c r="CZ20" i="3"/>
  <c r="DD20" i="3"/>
  <c r="DE20" i="3"/>
  <c r="DH20" i="3"/>
  <c r="DK20" i="3"/>
  <c r="FU20" i="3"/>
  <c r="FV20" i="3"/>
  <c r="FO20" i="3"/>
  <c r="GA20" i="3"/>
  <c r="FN20" i="3"/>
  <c r="FP20" i="3"/>
  <c r="FR20" i="3"/>
  <c r="FS20" i="3"/>
  <c r="FT20" i="3"/>
  <c r="FX20" i="3"/>
  <c r="FY20" i="3"/>
  <c r="FZ20" i="3"/>
  <c r="FM20" i="3"/>
  <c r="DW18" i="3"/>
  <c r="DD18" i="3"/>
  <c r="FT18" i="3"/>
  <c r="EH18" i="3"/>
  <c r="FR18" i="3"/>
  <c r="DX18" i="3"/>
  <c r="DE18" i="3"/>
  <c r="FU18" i="3"/>
  <c r="DY18" i="3"/>
  <c r="DF18" i="3"/>
  <c r="FV18" i="3"/>
  <c r="DB18" i="3"/>
  <c r="DZ18" i="3"/>
  <c r="DG18" i="3"/>
  <c r="EA18" i="3"/>
  <c r="DH18" i="3"/>
  <c r="FX18" i="3"/>
  <c r="DP18" i="3"/>
  <c r="EC18" i="3"/>
  <c r="DI18" i="3"/>
  <c r="FM18" i="3"/>
  <c r="FY18" i="3"/>
  <c r="ED18" i="3"/>
  <c r="CX18" i="3"/>
  <c r="DJ18" i="3"/>
  <c r="FN18" i="3"/>
  <c r="FZ18" i="3"/>
  <c r="DN18" i="3"/>
  <c r="EE18" i="3"/>
  <c r="CY18" i="3"/>
  <c r="DK18" i="3"/>
  <c r="FO18" i="3"/>
  <c r="GA18" i="3"/>
  <c r="EF18" i="3"/>
  <c r="CZ18" i="3"/>
  <c r="DL18" i="3"/>
  <c r="FP18" i="3"/>
  <c r="EG18" i="3"/>
  <c r="DA18" i="3"/>
  <c r="DM18" i="3"/>
  <c r="DV18" i="3"/>
  <c r="EI18" i="3"/>
  <c r="DC18" i="3"/>
  <c r="FS18" i="3"/>
  <c r="DU18" i="3"/>
  <c r="FV16" i="3"/>
  <c r="FX16" i="3"/>
  <c r="FT16" i="3"/>
  <c r="FM16" i="3"/>
  <c r="FY16" i="3"/>
  <c r="FN16" i="3"/>
  <c r="FZ16" i="3"/>
  <c r="FO16" i="3"/>
  <c r="GA16" i="3"/>
  <c r="FP16" i="3"/>
  <c r="FR16" i="3"/>
  <c r="FS16" i="3"/>
  <c r="FU16" i="3"/>
  <c r="EE17" i="3"/>
  <c r="DA17" i="3"/>
  <c r="DM17" i="3"/>
  <c r="FO17" i="3"/>
  <c r="GA17" i="3"/>
  <c r="DK17" i="3"/>
  <c r="EF17" i="3"/>
  <c r="DB17" i="3"/>
  <c r="DN17" i="3"/>
  <c r="FP17" i="3"/>
  <c r="DU17" i="3"/>
  <c r="EG17" i="3"/>
  <c r="DC17" i="3"/>
  <c r="DV17" i="3"/>
  <c r="EH17" i="3"/>
  <c r="DD17" i="3"/>
  <c r="FR17" i="3"/>
  <c r="FY17" i="3"/>
  <c r="DW17" i="3"/>
  <c r="EI17" i="3"/>
  <c r="DE17" i="3"/>
  <c r="FS17" i="3"/>
  <c r="CY17" i="3"/>
  <c r="DX17" i="3"/>
  <c r="DF17" i="3"/>
  <c r="FT17" i="3"/>
  <c r="DY17" i="3"/>
  <c r="DG17" i="3"/>
  <c r="FU17" i="3"/>
  <c r="DZ17" i="3"/>
  <c r="DH17" i="3"/>
  <c r="FV17" i="3"/>
  <c r="EA17" i="3"/>
  <c r="DI17" i="3"/>
  <c r="EC17" i="3"/>
  <c r="FM17" i="3"/>
  <c r="DP17" i="3"/>
  <c r="CX17" i="3"/>
  <c r="DJ17" i="3"/>
  <c r="FX17" i="3"/>
  <c r="ED17" i="3"/>
  <c r="CZ17" i="3"/>
  <c r="DL17" i="3"/>
  <c r="FN17" i="3"/>
  <c r="FZ17" i="3"/>
  <c r="CS21" i="3"/>
  <c r="CS20" i="3"/>
  <c r="CS18" i="3"/>
  <c r="CS23" i="3"/>
  <c r="CS19" i="3"/>
  <c r="CS17" i="3"/>
  <c r="BC11" i="3"/>
  <c r="O3" i="13"/>
  <c r="O4" i="13"/>
  <c r="O5" i="13"/>
  <c r="O6" i="13"/>
  <c r="O2" i="13"/>
  <c r="BA2" i="13"/>
  <c r="L3" i="13"/>
  <c r="L4" i="13"/>
  <c r="B3" i="13"/>
  <c r="D3" i="13" s="1"/>
  <c r="BM3" i="13" s="1"/>
  <c r="D4" i="13"/>
  <c r="BM4" i="13" s="1"/>
  <c r="B5" i="13"/>
  <c r="D5" i="13" s="1"/>
  <c r="BM5" i="13" s="1"/>
  <c r="B6" i="13"/>
  <c r="D6" i="13" s="1"/>
  <c r="BM6" i="13" s="1"/>
  <c r="K5" i="13" l="1"/>
  <c r="K4" i="13"/>
  <c r="K6" i="13"/>
  <c r="K3" i="13"/>
  <c r="AL4" i="13" a="1"/>
  <c r="AL4" i="13" s="1"/>
  <c r="AS2" i="13" s="1"/>
  <c r="E6" i="13"/>
  <c r="F6" i="13"/>
  <c r="F3" i="13"/>
  <c r="E3" i="13"/>
  <c r="E5" i="13"/>
  <c r="F5" i="13"/>
  <c r="E2" i="13"/>
  <c r="F4" i="13"/>
  <c r="E4" i="13"/>
  <c r="G3" i="13"/>
  <c r="G5" i="13"/>
  <c r="G4" i="13"/>
  <c r="G6" i="13"/>
  <c r="BG2" i="13"/>
  <c r="G2" i="13"/>
  <c r="L6" i="13"/>
  <c r="L5" i="13"/>
  <c r="C5" i="13"/>
  <c r="L2" i="13"/>
  <c r="C4" i="13"/>
  <c r="C3" i="13"/>
  <c r="C6" i="13"/>
  <c r="C2" i="13"/>
  <c r="T6" i="13" l="1"/>
  <c r="U4" i="13"/>
  <c r="T5" i="13"/>
  <c r="U3" i="13"/>
  <c r="U5" i="13"/>
  <c r="U2" i="13"/>
  <c r="S2" i="13"/>
  <c r="T2" i="13"/>
  <c r="S3" i="13"/>
  <c r="T3" i="13"/>
  <c r="S6" i="13"/>
  <c r="S4" i="13"/>
  <c r="U6" i="13"/>
  <c r="T4" i="13"/>
  <c r="S5" i="13"/>
  <c r="AD112" i="12" l="1"/>
  <c r="AC112" i="12"/>
  <c r="AD111" i="12"/>
  <c r="AC111" i="12"/>
  <c r="AD109" i="12"/>
  <c r="AC109" i="12"/>
  <c r="AD108" i="12"/>
  <c r="AC108" i="12"/>
  <c r="AD107" i="12"/>
  <c r="AC107" i="12"/>
  <c r="AD106" i="12"/>
  <c r="AC106" i="12"/>
  <c r="AD105" i="12"/>
  <c r="AC105" i="12"/>
  <c r="AD103" i="12"/>
  <c r="AC103" i="12"/>
  <c r="AD102" i="12"/>
  <c r="AC102" i="12"/>
  <c r="AD101" i="12"/>
  <c r="AD100" i="12"/>
  <c r="AC100" i="12"/>
  <c r="O32" i="12" s="1"/>
  <c r="Q87" i="12"/>
  <c r="AU87" i="12" s="1"/>
  <c r="Z77" i="12"/>
  <c r="Y77" i="12"/>
  <c r="Z76" i="12"/>
  <c r="Y76" i="12"/>
  <c r="Z75" i="12"/>
  <c r="Y75" i="12"/>
  <c r="Z74" i="12"/>
  <c r="Y74" i="12"/>
  <c r="Z73" i="12"/>
  <c r="Y73" i="12"/>
  <c r="Z72" i="12"/>
  <c r="Y72" i="12"/>
  <c r="Z71" i="12"/>
  <c r="Y71" i="12"/>
  <c r="Z70" i="12"/>
  <c r="Y70" i="12"/>
  <c r="Z69" i="12"/>
  <c r="Y69" i="12"/>
  <c r="Z66" i="12"/>
  <c r="Y66" i="12"/>
  <c r="Z65" i="12"/>
  <c r="Y65" i="12"/>
  <c r="AB64" i="12"/>
  <c r="Z64" i="12"/>
  <c r="Y64" i="12"/>
  <c r="AB63" i="12"/>
  <c r="Z63" i="12"/>
  <c r="Y63" i="12"/>
  <c r="Y58" i="12"/>
  <c r="X58" i="12"/>
  <c r="Y57" i="12"/>
  <c r="X57" i="12"/>
  <c r="Y56" i="12"/>
  <c r="X56" i="12"/>
  <c r="Y55" i="12"/>
  <c r="X55" i="12"/>
  <c r="Y53" i="12"/>
  <c r="X53" i="12"/>
  <c r="Y52" i="12"/>
  <c r="X52" i="12"/>
  <c r="AC51" i="12"/>
  <c r="AC52" i="12" s="1"/>
  <c r="AC53" i="12" s="1"/>
  <c r="AC54" i="12" s="1"/>
  <c r="Y51" i="12"/>
  <c r="X51" i="12"/>
  <c r="Y49" i="12"/>
  <c r="X49" i="12"/>
  <c r="Y48" i="12"/>
  <c r="X48" i="12"/>
  <c r="Y47" i="12"/>
  <c r="X47" i="12"/>
  <c r="Y46" i="12"/>
  <c r="X46" i="12"/>
  <c r="Y44" i="12"/>
  <c r="X44" i="12"/>
  <c r="Y43" i="12"/>
  <c r="X43" i="12"/>
  <c r="Y42" i="12"/>
  <c r="X42" i="12"/>
  <c r="Y41" i="12"/>
  <c r="X41" i="12"/>
  <c r="Y40" i="12"/>
  <c r="X40" i="12"/>
  <c r="Y39" i="12"/>
  <c r="X39" i="12"/>
  <c r="Y38" i="12"/>
  <c r="X38" i="12"/>
  <c r="Y37" i="12"/>
  <c r="X37" i="12"/>
  <c r="Y36" i="12"/>
  <c r="X36" i="12"/>
  <c r="Y35" i="12"/>
  <c r="X35" i="12"/>
  <c r="O35" i="12"/>
  <c r="Y34" i="12"/>
  <c r="X34" i="12"/>
  <c r="O34" i="12"/>
  <c r="Y33" i="12"/>
  <c r="X33" i="12"/>
  <c r="O33" i="12"/>
  <c r="Y32" i="12"/>
  <c r="X32" i="12"/>
  <c r="Y31" i="12"/>
  <c r="X31" i="12"/>
  <c r="O31" i="12"/>
  <c r="Y30" i="12"/>
  <c r="X30" i="12"/>
  <c r="Y29" i="12"/>
  <c r="X29" i="12"/>
  <c r="Y28" i="12"/>
  <c r="X28" i="12"/>
  <c r="O28" i="12"/>
  <c r="L28" i="12" s="1"/>
  <c r="Y27" i="12"/>
  <c r="X27" i="12"/>
  <c r="O27" i="12"/>
  <c r="Y26" i="12"/>
  <c r="X26" i="12"/>
  <c r="O26" i="12"/>
  <c r="C26" i="12"/>
  <c r="O25" i="12"/>
  <c r="C25" i="12"/>
  <c r="Y24" i="12"/>
  <c r="X24" i="12"/>
  <c r="O24" i="12"/>
  <c r="Y23" i="12"/>
  <c r="X23" i="12"/>
  <c r="O23" i="12"/>
  <c r="Y22" i="12"/>
  <c r="X22" i="12"/>
  <c r="O22" i="12"/>
  <c r="Y21" i="12"/>
  <c r="X21" i="12"/>
  <c r="Y20" i="12"/>
  <c r="X20" i="12"/>
  <c r="Y19" i="12"/>
  <c r="X19" i="12"/>
  <c r="Y18" i="12"/>
  <c r="X18" i="12"/>
  <c r="Y17" i="12"/>
  <c r="X17" i="12"/>
  <c r="O16" i="12"/>
  <c r="C16" i="12"/>
  <c r="Y15" i="12"/>
  <c r="X15" i="12"/>
  <c r="O15" i="12"/>
  <c r="Y14" i="12"/>
  <c r="X14" i="12"/>
  <c r="O14" i="12"/>
  <c r="Y13" i="12"/>
  <c r="X13" i="12"/>
  <c r="O13" i="12"/>
  <c r="Y12" i="12"/>
  <c r="X12" i="12"/>
  <c r="O12" i="12"/>
  <c r="Y11" i="12"/>
  <c r="X11" i="12"/>
  <c r="O11" i="12"/>
  <c r="Y10" i="12"/>
  <c r="X10" i="12"/>
  <c r="O10" i="12"/>
  <c r="Y9" i="12"/>
  <c r="X9" i="12"/>
  <c r="O9" i="12"/>
  <c r="C15" i="12" s="1"/>
  <c r="BF115" i="12" l="1"/>
  <c r="BF119" i="12"/>
  <c r="BF123" i="12"/>
  <c r="BF127" i="12"/>
  <c r="BF131" i="12"/>
  <c r="BF135" i="12"/>
  <c r="BF139" i="12"/>
  <c r="BF143" i="12"/>
  <c r="BF147" i="12"/>
  <c r="BF151" i="12"/>
  <c r="BF116" i="12"/>
  <c r="BF120" i="12"/>
  <c r="BF124" i="12"/>
  <c r="BF128" i="12"/>
  <c r="BF132" i="12"/>
  <c r="BF136" i="12"/>
  <c r="BF140" i="12"/>
  <c r="BF144" i="12"/>
  <c r="BF148" i="12"/>
  <c r="BF152" i="12"/>
  <c r="BF117" i="12"/>
  <c r="BF121" i="12"/>
  <c r="BF125" i="12"/>
  <c r="BF129" i="12"/>
  <c r="BF133" i="12"/>
  <c r="BF137" i="12"/>
  <c r="BF141" i="12"/>
  <c r="BF145" i="12"/>
  <c r="BF149" i="12"/>
  <c r="BF153" i="12"/>
  <c r="BF118" i="12"/>
  <c r="BF122" i="12"/>
  <c r="BF126" i="12"/>
  <c r="BF130" i="12"/>
  <c r="BF134" i="12"/>
  <c r="BF138" i="12"/>
  <c r="BF142" i="12"/>
  <c r="BF146" i="12"/>
  <c r="BF150" i="12"/>
  <c r="BF114" i="12"/>
  <c r="O36" i="12"/>
  <c r="L36" i="12" s="1"/>
  <c r="X87" i="12"/>
  <c r="AN87" i="12"/>
  <c r="R87" i="12"/>
  <c r="S87" i="12"/>
  <c r="Z87" i="12"/>
  <c r="AV87" i="12"/>
  <c r="AA67" i="12"/>
  <c r="T87" i="12"/>
  <c r="AF87" i="12"/>
  <c r="W87" i="12"/>
  <c r="AJ87" i="12"/>
  <c r="V87" i="12"/>
  <c r="AB87" i="12"/>
  <c r="AR87" i="12"/>
  <c r="O17" i="12"/>
  <c r="L17" i="12" s="1"/>
  <c r="C14" i="12"/>
  <c r="C27" i="12"/>
  <c r="C35" i="12"/>
  <c r="AA66" i="12"/>
  <c r="U87" i="12"/>
  <c r="Y87" i="12"/>
  <c r="AC87" i="12"/>
  <c r="AG87" i="12"/>
  <c r="AK87" i="12"/>
  <c r="AO87" i="12"/>
  <c r="AS87" i="12"/>
  <c r="AW87" i="12"/>
  <c r="AD87" i="12"/>
  <c r="AH87" i="12"/>
  <c r="AL87" i="12"/>
  <c r="AP87" i="12"/>
  <c r="AT87" i="12"/>
  <c r="AA87" i="12"/>
  <c r="AE87" i="12"/>
  <c r="AI87" i="12"/>
  <c r="AM87" i="12"/>
  <c r="AQ87" i="12"/>
  <c r="J2" i="13" l="1"/>
  <c r="M2" i="13"/>
  <c r="J6" i="13" l="1"/>
  <c r="J5" i="13"/>
  <c r="J3" i="13"/>
  <c r="J4" i="13"/>
  <c r="P11" i="3"/>
  <c r="AD60" i="8"/>
  <c r="AD58" i="8"/>
  <c r="AD59" i="8"/>
  <c r="AD57" i="8"/>
  <c r="AD55" i="8"/>
  <c r="AD54" i="8"/>
  <c r="AD53" i="8"/>
  <c r="AD52" i="8"/>
  <c r="AD48" i="8"/>
  <c r="AD49" i="8"/>
  <c r="AD50" i="8"/>
  <c r="AD51" i="8"/>
  <c r="AD42" i="8"/>
  <c r="AD41" i="8"/>
  <c r="AD40" i="8"/>
  <c r="AD39" i="8"/>
  <c r="AD38" i="8"/>
  <c r="AD36" i="8"/>
  <c r="AD35" i="8"/>
  <c r="AD29" i="8"/>
  <c r="AD30" i="8"/>
  <c r="AD31" i="8"/>
  <c r="AD32" i="8"/>
  <c r="AD33" i="8"/>
  <c r="AD34" i="8"/>
  <c r="AX58" i="3" l="1"/>
  <c r="I49" i="13"/>
  <c r="I45" i="13"/>
  <c r="AX54" i="3"/>
  <c r="I41" i="13"/>
  <c r="AX50" i="3"/>
  <c r="BQ50" i="3" s="1"/>
  <c r="FF50" i="3" s="1" a="1"/>
  <c r="FF50" i="3" s="1"/>
  <c r="I123" i="13"/>
  <c r="I115" i="13"/>
  <c r="I107" i="13"/>
  <c r="I99" i="13"/>
  <c r="I91" i="13"/>
  <c r="AX44" i="3"/>
  <c r="BQ44" i="3" s="1"/>
  <c r="FF44" i="3" s="1" a="1"/>
  <c r="FF44" i="3" s="1"/>
  <c r="I35" i="13"/>
  <c r="AX67" i="3"/>
  <c r="I58" i="13"/>
  <c r="AX63" i="3"/>
  <c r="I54" i="13"/>
  <c r="I34" i="13"/>
  <c r="AX43" i="3"/>
  <c r="BQ43" i="3" s="1"/>
  <c r="FF43" i="3" s="1" a="1"/>
  <c r="FF43" i="3" s="1"/>
  <c r="I30" i="13"/>
  <c r="AX39" i="3"/>
  <c r="BQ39" i="3" s="1"/>
  <c r="FF39" i="3" s="1" a="1"/>
  <c r="FF39" i="3" s="1"/>
  <c r="AX11" i="3"/>
  <c r="AX14" i="3"/>
  <c r="BQ14" i="3" s="1"/>
  <c r="I117" i="13"/>
  <c r="I109" i="13"/>
  <c r="I101" i="13"/>
  <c r="I93" i="13"/>
  <c r="I48" i="13"/>
  <c r="AX57" i="3"/>
  <c r="I44" i="13"/>
  <c r="AX53" i="3"/>
  <c r="I120" i="13"/>
  <c r="I112" i="13"/>
  <c r="I104" i="13"/>
  <c r="I96" i="13"/>
  <c r="I63" i="13"/>
  <c r="AX72" i="3"/>
  <c r="AX49" i="3"/>
  <c r="BQ49" i="3" s="1"/>
  <c r="FF49" i="3" s="1" a="1"/>
  <c r="FF49" i="3" s="1"/>
  <c r="I40" i="13"/>
  <c r="AX69" i="3"/>
  <c r="I60" i="13"/>
  <c r="I118" i="13"/>
  <c r="I110" i="13"/>
  <c r="I102" i="13"/>
  <c r="I94" i="13"/>
  <c r="AX66" i="3"/>
  <c r="I57" i="13"/>
  <c r="AX62" i="3"/>
  <c r="I53" i="13"/>
  <c r="I33" i="13"/>
  <c r="AX42" i="3"/>
  <c r="BQ42" i="3" s="1"/>
  <c r="FF42" i="3" s="1" a="1"/>
  <c r="FF42" i="3" s="1"/>
  <c r="I29" i="13"/>
  <c r="AX38" i="3"/>
  <c r="BQ38" i="3" s="1"/>
  <c r="FF38" i="3" s="1" a="1"/>
  <c r="FF38" i="3" s="1"/>
  <c r="AX60" i="3"/>
  <c r="I51" i="13"/>
  <c r="AX56" i="3"/>
  <c r="I47" i="13"/>
  <c r="I62" i="13"/>
  <c r="AX71" i="3"/>
  <c r="AX52" i="3"/>
  <c r="I43" i="13"/>
  <c r="AX48" i="3"/>
  <c r="BQ48" i="3" s="1"/>
  <c r="FF48" i="3" s="1" a="1"/>
  <c r="FF48" i="3" s="1"/>
  <c r="I39" i="13"/>
  <c r="I119" i="13"/>
  <c r="I111" i="13"/>
  <c r="I103" i="13"/>
  <c r="I95" i="13"/>
  <c r="I59" i="13"/>
  <c r="AX68" i="3"/>
  <c r="AX46" i="3"/>
  <c r="BQ46" i="3" s="1"/>
  <c r="FF46" i="3" s="1" a="1"/>
  <c r="FF46" i="3" s="1"/>
  <c r="I37" i="13"/>
  <c r="AX65" i="3"/>
  <c r="I56" i="13"/>
  <c r="AX61" i="3"/>
  <c r="I52" i="13"/>
  <c r="I32" i="13"/>
  <c r="AX41" i="3"/>
  <c r="BQ41" i="3" s="1"/>
  <c r="FF41" i="3" s="1" a="1"/>
  <c r="FF41" i="3" s="1"/>
  <c r="I28" i="13"/>
  <c r="AX37" i="3"/>
  <c r="BQ37" i="3" s="1"/>
  <c r="FF37" i="3" s="1" a="1"/>
  <c r="FF37" i="3" s="1"/>
  <c r="AX12" i="3"/>
  <c r="BQ12" i="3" s="1"/>
  <c r="FF12" i="3" s="1" a="1"/>
  <c r="FF12" i="3" s="1"/>
  <c r="AX13" i="3"/>
  <c r="BQ13" i="3" s="1"/>
  <c r="I121" i="13"/>
  <c r="I113" i="13"/>
  <c r="I105" i="13"/>
  <c r="I97" i="13"/>
  <c r="AX59" i="3"/>
  <c r="I50" i="13"/>
  <c r="AX55" i="3"/>
  <c r="I46" i="13"/>
  <c r="I124" i="13"/>
  <c r="I116" i="13"/>
  <c r="I108" i="13"/>
  <c r="I100" i="13"/>
  <c r="I92" i="13"/>
  <c r="AX70" i="3"/>
  <c r="I61" i="13"/>
  <c r="I42" i="13"/>
  <c r="AX51" i="3"/>
  <c r="AX47" i="3"/>
  <c r="BQ47" i="3" s="1"/>
  <c r="FF47" i="3" s="1" a="1"/>
  <c r="FF47" i="3" s="1"/>
  <c r="I38" i="13"/>
  <c r="I36" i="13"/>
  <c r="AX45" i="3"/>
  <c r="BQ45" i="3" s="1"/>
  <c r="FF45" i="3" s="1" a="1"/>
  <c r="FF45" i="3" s="1"/>
  <c r="I122" i="13"/>
  <c r="I114" i="13"/>
  <c r="I106" i="13"/>
  <c r="I98" i="13"/>
  <c r="I90" i="13"/>
  <c r="I55" i="13"/>
  <c r="AX64" i="3"/>
  <c r="AX40" i="3"/>
  <c r="BQ40" i="3" s="1"/>
  <c r="FF40" i="3" s="1" a="1"/>
  <c r="FF40" i="3" s="1"/>
  <c r="I31" i="13"/>
  <c r="AX15" i="3"/>
  <c r="BQ15" i="3" s="1"/>
  <c r="I4" i="13"/>
  <c r="I3" i="13"/>
  <c r="I5" i="13"/>
  <c r="I6" i="13"/>
  <c r="I2" i="13"/>
  <c r="BX15" i="3" l="1"/>
  <c r="FF15" i="3" a="1"/>
  <c r="FF15" i="3" s="1"/>
  <c r="BX14" i="3"/>
  <c r="FF14" i="3" a="1"/>
  <c r="FF14" i="3" s="1"/>
  <c r="BX13" i="3"/>
  <c r="FF13" i="3" a="1"/>
  <c r="FF13" i="3" s="1"/>
  <c r="BP56" i="3"/>
  <c r="BQ56" i="3"/>
  <c r="FF56" i="3" s="1" a="1"/>
  <c r="FF56" i="3" s="1"/>
  <c r="BQ70" i="3"/>
  <c r="FF70" i="3" s="1" a="1"/>
  <c r="FF70" i="3" s="1"/>
  <c r="BP70" i="3"/>
  <c r="BQ66" i="3"/>
  <c r="FF66" i="3" s="1" a="1"/>
  <c r="FF66" i="3" s="1"/>
  <c r="BP66" i="3"/>
  <c r="BQ67" i="3"/>
  <c r="FF67" i="3" s="1" a="1"/>
  <c r="FF67" i="3" s="1"/>
  <c r="BP67" i="3"/>
  <c r="BQ69" i="3"/>
  <c r="FF69" i="3" s="1" a="1"/>
  <c r="FF69" i="3" s="1"/>
  <c r="BP69" i="3"/>
  <c r="BQ68" i="3"/>
  <c r="FF68" i="3" s="1" a="1"/>
  <c r="FF68" i="3" s="1"/>
  <c r="BP68" i="3"/>
  <c r="BP72" i="3"/>
  <c r="BQ72" i="3"/>
  <c r="FF72" i="3" s="1" a="1"/>
  <c r="FF72" i="3" s="1"/>
  <c r="BP57" i="3"/>
  <c r="BQ57" i="3"/>
  <c r="FF57" i="3" s="1" a="1"/>
  <c r="FF57" i="3" s="1"/>
  <c r="BQ64" i="3"/>
  <c r="FF64" i="3" s="1" a="1"/>
  <c r="FF64" i="3" s="1"/>
  <c r="BP64" i="3"/>
  <c r="BQ52" i="3"/>
  <c r="FF52" i="3" s="1" a="1"/>
  <c r="FF52" i="3" s="1"/>
  <c r="BP52" i="3"/>
  <c r="BQ71" i="3"/>
  <c r="FF71" i="3" s="1" a="1"/>
  <c r="FF71" i="3" s="1"/>
  <c r="BP71" i="3"/>
  <c r="BQ51" i="3"/>
  <c r="FF51" i="3" s="1" a="1"/>
  <c r="FF51" i="3" s="1"/>
  <c r="BP51" i="3"/>
  <c r="BP65" i="3"/>
  <c r="BQ65" i="3"/>
  <c r="FF65" i="3" s="1" a="1"/>
  <c r="FF65" i="3" s="1"/>
  <c r="BP63" i="3"/>
  <c r="BQ63" i="3"/>
  <c r="FF63" i="3" s="1" a="1"/>
  <c r="FF63" i="3" s="1"/>
  <c r="BQ59" i="3"/>
  <c r="FF59" i="3" s="1" a="1"/>
  <c r="FF59" i="3" s="1"/>
  <c r="BP59" i="3"/>
  <c r="BQ58" i="3"/>
  <c r="FF58" i="3" s="1" a="1"/>
  <c r="FF58" i="3" s="1"/>
  <c r="BP58" i="3"/>
  <c r="BQ53" i="3"/>
  <c r="FF53" i="3" s="1" a="1"/>
  <c r="FF53" i="3" s="1"/>
  <c r="BP53" i="3"/>
  <c r="GC53" i="3" s="1"/>
  <c r="BQ60" i="3"/>
  <c r="FF60" i="3" s="1" a="1"/>
  <c r="FF60" i="3" s="1"/>
  <c r="BP60" i="3"/>
  <c r="BP54" i="3"/>
  <c r="GC54" i="3" s="1"/>
  <c r="BQ54" i="3"/>
  <c r="FF54" i="3" s="1" a="1"/>
  <c r="FF54" i="3" s="1"/>
  <c r="BP62" i="3"/>
  <c r="BQ62" i="3"/>
  <c r="FF62" i="3" s="1" a="1"/>
  <c r="FF62" i="3" s="1"/>
  <c r="BQ61" i="3"/>
  <c r="FF61" i="3" s="1" a="1"/>
  <c r="FF61" i="3" s="1"/>
  <c r="BP61" i="3"/>
  <c r="BQ55" i="3"/>
  <c r="FF55" i="3" s="1" a="1"/>
  <c r="FF55" i="3" s="1"/>
  <c r="BP55" i="3"/>
  <c r="BP45" i="3"/>
  <c r="BP49" i="3"/>
  <c r="GC49" i="3" s="1"/>
  <c r="BP50" i="3"/>
  <c r="GC50" i="3" s="1"/>
  <c r="BP46" i="3"/>
  <c r="GC46" i="3" s="1"/>
  <c r="BP44" i="3"/>
  <c r="BP43" i="3"/>
  <c r="BP47" i="3"/>
  <c r="GC47" i="3" s="1"/>
  <c r="BP48" i="3"/>
  <c r="GC48" i="3" s="1"/>
  <c r="BP14" i="3"/>
  <c r="BP13" i="3"/>
  <c r="BP12" i="3"/>
  <c r="BX12" i="3" s="1"/>
  <c r="BP37" i="3"/>
  <c r="CD37" i="3" s="1"/>
  <c r="EK37" i="3" s="1"/>
  <c r="BP39" i="3"/>
  <c r="BP41" i="3"/>
  <c r="BP38" i="3"/>
  <c r="BP15" i="3"/>
  <c r="BP42" i="3"/>
  <c r="BP40" i="3"/>
  <c r="BN107" i="3"/>
  <c r="BM107" i="3"/>
  <c r="BN40" i="3"/>
  <c r="BM40" i="3"/>
  <c r="BN99" i="3"/>
  <c r="BM99" i="3"/>
  <c r="BN115" i="3"/>
  <c r="BM115" i="3"/>
  <c r="BN47" i="3"/>
  <c r="BM47" i="3"/>
  <c r="BN133" i="3"/>
  <c r="BM133" i="3"/>
  <c r="BN122" i="3"/>
  <c r="BM122" i="3"/>
  <c r="BN13" i="3"/>
  <c r="BM13" i="3"/>
  <c r="BN112" i="3"/>
  <c r="BM112" i="3"/>
  <c r="BN38" i="3"/>
  <c r="BM38" i="3"/>
  <c r="BO38" i="3" s="1"/>
  <c r="BN42" i="3"/>
  <c r="BM42" i="3"/>
  <c r="BN62" i="3"/>
  <c r="BM62" i="3"/>
  <c r="GC69" i="3"/>
  <c r="BN105" i="3"/>
  <c r="BM105" i="3"/>
  <c r="BN121" i="3"/>
  <c r="BM121" i="3"/>
  <c r="GC39" i="3"/>
  <c r="BN67" i="3"/>
  <c r="BM67" i="3"/>
  <c r="BN44" i="3"/>
  <c r="BM44" i="3"/>
  <c r="BN58" i="3"/>
  <c r="BM58" i="3"/>
  <c r="GC70" i="3"/>
  <c r="BN117" i="3"/>
  <c r="BM117" i="3"/>
  <c r="BN130" i="3"/>
  <c r="BM130" i="3"/>
  <c r="BN37" i="3"/>
  <c r="BM37" i="3"/>
  <c r="BN41" i="3"/>
  <c r="BM41" i="3"/>
  <c r="BN128" i="3"/>
  <c r="BM128" i="3"/>
  <c r="BN66" i="3"/>
  <c r="BM66" i="3"/>
  <c r="BN119" i="3"/>
  <c r="BM119" i="3"/>
  <c r="BN69" i="3"/>
  <c r="BM69" i="3"/>
  <c r="BN53" i="3"/>
  <c r="BM53" i="3"/>
  <c r="BN126" i="3"/>
  <c r="BM126" i="3"/>
  <c r="BN39" i="3"/>
  <c r="BM39" i="3"/>
  <c r="BN63" i="3"/>
  <c r="BM63" i="3"/>
  <c r="BN100" i="3"/>
  <c r="BM100" i="3"/>
  <c r="BN116" i="3"/>
  <c r="BM116" i="3"/>
  <c r="BN70" i="3"/>
  <c r="BM70" i="3"/>
  <c r="BN101" i="3"/>
  <c r="BM101" i="3"/>
  <c r="BN55" i="3"/>
  <c r="BM55" i="3"/>
  <c r="BN59" i="3"/>
  <c r="BM59" i="3"/>
  <c r="GC37" i="3"/>
  <c r="BN61" i="3"/>
  <c r="BM61" i="3"/>
  <c r="BN65" i="3"/>
  <c r="BM65" i="3"/>
  <c r="GC68" i="3"/>
  <c r="BN120" i="3"/>
  <c r="BM120" i="3"/>
  <c r="BN48" i="3"/>
  <c r="BM48" i="3"/>
  <c r="BN71" i="3"/>
  <c r="BM71" i="3"/>
  <c r="GC38" i="3"/>
  <c r="BN103" i="3"/>
  <c r="BM103" i="3"/>
  <c r="BN111" i="3"/>
  <c r="BM111" i="3"/>
  <c r="BN49" i="3"/>
  <c r="BM49" i="3"/>
  <c r="BN72" i="3"/>
  <c r="BM72" i="3"/>
  <c r="BN113" i="3"/>
  <c r="BM113" i="3"/>
  <c r="BN129" i="3"/>
  <c r="BM129" i="3"/>
  <c r="BN102" i="3"/>
  <c r="BM102" i="3"/>
  <c r="BN110" i="3"/>
  <c r="BM110" i="3"/>
  <c r="BN15" i="3"/>
  <c r="BM15" i="3"/>
  <c r="BN64" i="3"/>
  <c r="BM64" i="3"/>
  <c r="BN123" i="3"/>
  <c r="BM123" i="3"/>
  <c r="BN131" i="3"/>
  <c r="BM131" i="3"/>
  <c r="BN45" i="3"/>
  <c r="BM45" i="3"/>
  <c r="BN51" i="3"/>
  <c r="BM51" i="3"/>
  <c r="BN109" i="3"/>
  <c r="BM109" i="3"/>
  <c r="BN125" i="3"/>
  <c r="BM125" i="3"/>
  <c r="BN106" i="3"/>
  <c r="BM106" i="3"/>
  <c r="BN114" i="3"/>
  <c r="BM114" i="3"/>
  <c r="BN12" i="3"/>
  <c r="BM12" i="3"/>
  <c r="BN46" i="3"/>
  <c r="BM46" i="3"/>
  <c r="BN68" i="3"/>
  <c r="BM68" i="3"/>
  <c r="BN104" i="3"/>
  <c r="BM104" i="3"/>
  <c r="BN52" i="3"/>
  <c r="BM52" i="3"/>
  <c r="BN56" i="3"/>
  <c r="BM56" i="3"/>
  <c r="BN60" i="3"/>
  <c r="BM60" i="3"/>
  <c r="BN127" i="3"/>
  <c r="BM127" i="3"/>
  <c r="BN57" i="3"/>
  <c r="BM57" i="3"/>
  <c r="BN118" i="3"/>
  <c r="BM118" i="3"/>
  <c r="BN14" i="3"/>
  <c r="BM14" i="3"/>
  <c r="BN43" i="3"/>
  <c r="BM43" i="3"/>
  <c r="GC67" i="3"/>
  <c r="BN108" i="3"/>
  <c r="BM108" i="3"/>
  <c r="BN124" i="3"/>
  <c r="BM124" i="3"/>
  <c r="BN132" i="3"/>
  <c r="BM132" i="3"/>
  <c r="BN50" i="3"/>
  <c r="BM50" i="3"/>
  <c r="BN54" i="3"/>
  <c r="BM54" i="3"/>
  <c r="B107" i="9"/>
  <c r="Q106" i="13"/>
  <c r="Q114" i="13"/>
  <c r="P31" i="13"/>
  <c r="Q55" i="13"/>
  <c r="Q90" i="13"/>
  <c r="Q98" i="13"/>
  <c r="P36" i="13"/>
  <c r="B101" i="9"/>
  <c r="B51" i="9"/>
  <c r="B57" i="9"/>
  <c r="Q56" i="13"/>
  <c r="P37" i="13"/>
  <c r="B104" i="9"/>
  <c r="Q103" i="13"/>
  <c r="B120" i="9"/>
  <c r="B44" i="9"/>
  <c r="Q43" i="13"/>
  <c r="Q47" i="13"/>
  <c r="B48" i="9"/>
  <c r="P33" i="13"/>
  <c r="P57" i="13"/>
  <c r="B103" i="9"/>
  <c r="Q102" i="13"/>
  <c r="B41" i="9"/>
  <c r="Q40" i="13"/>
  <c r="P63" i="13"/>
  <c r="Q96" i="13"/>
  <c r="B97" i="9"/>
  <c r="P44" i="13"/>
  <c r="B102" i="9"/>
  <c r="B118" i="9"/>
  <c r="B6" i="9"/>
  <c r="B31" i="9"/>
  <c r="B35" i="9"/>
  <c r="B59" i="9"/>
  <c r="P58" i="13"/>
  <c r="B92" i="9"/>
  <c r="Q91" i="13"/>
  <c r="B108" i="9"/>
  <c r="Q107" i="13"/>
  <c r="B42" i="9"/>
  <c r="Q45" i="13"/>
  <c r="P55" i="13"/>
  <c r="B91" i="9"/>
  <c r="P38" i="13"/>
  <c r="P42" i="13"/>
  <c r="B117" i="9"/>
  <c r="Q50" i="13"/>
  <c r="Q105" i="13"/>
  <c r="B38" i="9"/>
  <c r="B115" i="9"/>
  <c r="Q122" i="13"/>
  <c r="Q36" i="13"/>
  <c r="B39" i="9"/>
  <c r="Q38" i="13"/>
  <c r="B62" i="9"/>
  <c r="Q61" i="13"/>
  <c r="B125" i="9"/>
  <c r="Q124" i="13"/>
  <c r="P46" i="13"/>
  <c r="B98" i="9"/>
  <c r="B114" i="9"/>
  <c r="Q113" i="13"/>
  <c r="B29" i="9"/>
  <c r="Q32" i="13"/>
  <c r="P52" i="13"/>
  <c r="P39" i="13"/>
  <c r="B63" i="9"/>
  <c r="Q62" i="13"/>
  <c r="P51" i="13"/>
  <c r="B54" i="9"/>
  <c r="Q53" i="13"/>
  <c r="Q57" i="13"/>
  <c r="Q110" i="13"/>
  <c r="Q60" i="13"/>
  <c r="B105" i="9"/>
  <c r="B121" i="9"/>
  <c r="Q120" i="13"/>
  <c r="Q48" i="13"/>
  <c r="B49" i="9"/>
  <c r="P34" i="13"/>
  <c r="P54" i="13"/>
  <c r="P41" i="13"/>
  <c r="B46" i="9"/>
  <c r="P49" i="13"/>
  <c r="B7" i="9"/>
  <c r="Q31" i="13"/>
  <c r="B56" i="9"/>
  <c r="B99" i="9"/>
  <c r="Q100" i="13"/>
  <c r="B109" i="9"/>
  <c r="Q108" i="13"/>
  <c r="Q116" i="13"/>
  <c r="P50" i="13"/>
  <c r="Q97" i="13"/>
  <c r="P28" i="13"/>
  <c r="B53" i="9"/>
  <c r="Q52" i="13"/>
  <c r="B60" i="9"/>
  <c r="Q59" i="13"/>
  <c r="B112" i="9"/>
  <c r="Q111" i="13"/>
  <c r="B40" i="9"/>
  <c r="Q39" i="13"/>
  <c r="B52" i="9"/>
  <c r="Q51" i="13"/>
  <c r="P29" i="13"/>
  <c r="B30" i="9"/>
  <c r="B58" i="9"/>
  <c r="B111" i="9"/>
  <c r="P60" i="13"/>
  <c r="B64" i="9"/>
  <c r="Q63" i="13"/>
  <c r="Q44" i="13"/>
  <c r="B94" i="9"/>
  <c r="Q93" i="13"/>
  <c r="Q101" i="13"/>
  <c r="B110" i="9"/>
  <c r="Q109" i="13"/>
  <c r="Q117" i="13"/>
  <c r="P30" i="13"/>
  <c r="Q30" i="13"/>
  <c r="Q34" i="13"/>
  <c r="B55" i="9"/>
  <c r="Q54" i="13"/>
  <c r="P35" i="13"/>
  <c r="Q99" i="13"/>
  <c r="B100" i="9"/>
  <c r="B116" i="9"/>
  <c r="Q123" i="13"/>
  <c r="Q41" i="13"/>
  <c r="P45" i="13"/>
  <c r="B50" i="9"/>
  <c r="Q49" i="13"/>
  <c r="B32" i="9"/>
  <c r="B123" i="9"/>
  <c r="B37" i="9"/>
  <c r="Q42" i="13"/>
  <c r="B43" i="9"/>
  <c r="P61" i="13"/>
  <c r="B93" i="9"/>
  <c r="Q92" i="13"/>
  <c r="B47" i="9"/>
  <c r="Q46" i="13"/>
  <c r="B106" i="9"/>
  <c r="B122" i="9"/>
  <c r="Q121" i="13"/>
  <c r="B5" i="9"/>
  <c r="B4" i="9"/>
  <c r="Q28" i="13"/>
  <c r="P32" i="13"/>
  <c r="B33" i="9"/>
  <c r="P56" i="13"/>
  <c r="Q37" i="13"/>
  <c r="P59" i="13"/>
  <c r="B96" i="9"/>
  <c r="Q95" i="13"/>
  <c r="Q119" i="13"/>
  <c r="P43" i="13"/>
  <c r="P62" i="13"/>
  <c r="P47" i="13"/>
  <c r="Q29" i="13"/>
  <c r="B34" i="9"/>
  <c r="Q33" i="13"/>
  <c r="P53" i="13"/>
  <c r="B95" i="9"/>
  <c r="Q94" i="13"/>
  <c r="B119" i="9"/>
  <c r="Q118" i="13"/>
  <c r="B61" i="9"/>
  <c r="P40" i="13"/>
  <c r="Q104" i="13"/>
  <c r="B113" i="9"/>
  <c r="Q112" i="13"/>
  <c r="B45" i="9"/>
  <c r="P48" i="13"/>
  <c r="Q58" i="13"/>
  <c r="B36" i="9"/>
  <c r="Q35" i="13"/>
  <c r="Q115" i="13"/>
  <c r="B124" i="9"/>
  <c r="Q4" i="13"/>
  <c r="Q3" i="13"/>
  <c r="Q5" i="13"/>
  <c r="Q6" i="13"/>
  <c r="Q2" i="13"/>
  <c r="BO133" i="3" l="1"/>
  <c r="BO122" i="3"/>
  <c r="BO121" i="3"/>
  <c r="GQ57" i="3"/>
  <c r="GQ58" i="3"/>
  <c r="GQ51" i="3"/>
  <c r="GQ67" i="3"/>
  <c r="GQ72" i="3"/>
  <c r="GQ59" i="3"/>
  <c r="GQ71" i="3"/>
  <c r="GQ66" i="3"/>
  <c r="GD57" i="3"/>
  <c r="GQ63" i="3"/>
  <c r="GQ52" i="3"/>
  <c r="GQ68" i="3"/>
  <c r="GQ70" i="3"/>
  <c r="GQ65" i="3"/>
  <c r="GQ56" i="3"/>
  <c r="GQ64" i="3"/>
  <c r="GQ69" i="3"/>
  <c r="GD61" i="3"/>
  <c r="BO62" i="3"/>
  <c r="GQ54" i="3"/>
  <c r="GQ55" i="3"/>
  <c r="GQ53" i="3"/>
  <c r="GQ48" i="3"/>
  <c r="GQ38" i="3"/>
  <c r="GQ47" i="3"/>
  <c r="GQ50" i="3"/>
  <c r="GQ43" i="3"/>
  <c r="GQ49" i="3"/>
  <c r="GQ46" i="3"/>
  <c r="GQ39" i="3"/>
  <c r="GQ44" i="3"/>
  <c r="GQ45" i="3"/>
  <c r="GC15" i="3"/>
  <c r="GC13" i="3"/>
  <c r="GC12" i="3"/>
  <c r="GC14" i="3"/>
  <c r="AM92" i="9"/>
  <c r="AL92" i="9"/>
  <c r="AL55" i="9"/>
  <c r="AM55" i="9"/>
  <c r="AM32" i="9"/>
  <c r="AL32" i="9"/>
  <c r="AL115" i="9"/>
  <c r="AM115" i="9"/>
  <c r="AL61" i="9"/>
  <c r="AM61" i="9"/>
  <c r="AM122" i="9"/>
  <c r="AL122" i="9"/>
  <c r="AM111" i="9"/>
  <c r="AL111" i="9"/>
  <c r="AL7" i="9"/>
  <c r="AM7" i="9"/>
  <c r="AM114" i="9"/>
  <c r="AL114" i="9"/>
  <c r="AM38" i="9"/>
  <c r="AL38" i="9"/>
  <c r="AM58" i="9"/>
  <c r="AL58" i="9"/>
  <c r="AM119" i="9"/>
  <c r="AL119" i="9"/>
  <c r="AM96" i="9"/>
  <c r="AL96" i="9"/>
  <c r="AM30" i="9"/>
  <c r="AL30" i="9"/>
  <c r="AM46" i="9"/>
  <c r="AL46" i="9"/>
  <c r="AM41" i="9"/>
  <c r="AL41" i="9"/>
  <c r="AM107" i="9"/>
  <c r="AL107" i="9"/>
  <c r="AM47" i="9"/>
  <c r="AL47" i="9"/>
  <c r="AM54" i="9"/>
  <c r="AL54" i="9"/>
  <c r="AM117" i="9"/>
  <c r="AL117" i="9"/>
  <c r="AM59" i="9"/>
  <c r="AL59" i="9"/>
  <c r="AM95" i="9"/>
  <c r="AL95" i="9"/>
  <c r="AM35" i="9"/>
  <c r="AL35" i="9"/>
  <c r="AM57" i="9"/>
  <c r="AL57" i="9"/>
  <c r="AM36" i="9"/>
  <c r="AL36" i="9"/>
  <c r="AM110" i="9"/>
  <c r="AL110" i="9"/>
  <c r="AM125" i="9"/>
  <c r="AL125" i="9"/>
  <c r="AL103" i="9"/>
  <c r="AM103" i="9"/>
  <c r="AM93" i="9"/>
  <c r="AL93" i="9"/>
  <c r="AM116" i="9"/>
  <c r="AL116" i="9"/>
  <c r="AM52" i="9"/>
  <c r="AL52" i="9"/>
  <c r="AL31" i="9"/>
  <c r="AM31" i="9"/>
  <c r="AM51" i="9"/>
  <c r="AL51" i="9"/>
  <c r="AM106" i="9"/>
  <c r="AL106" i="9"/>
  <c r="AM104" i="9"/>
  <c r="AL104" i="9"/>
  <c r="AM33" i="9"/>
  <c r="AL33" i="9"/>
  <c r="AL49" i="9"/>
  <c r="AM49" i="9"/>
  <c r="AM63" i="9"/>
  <c r="AL63" i="9"/>
  <c r="AM6" i="9"/>
  <c r="AL6" i="9"/>
  <c r="AM101" i="9"/>
  <c r="AL101" i="9"/>
  <c r="AM53" i="9"/>
  <c r="AL53" i="9"/>
  <c r="AM100" i="9"/>
  <c r="AL100" i="9"/>
  <c r="AM62" i="9"/>
  <c r="AL62" i="9"/>
  <c r="AM45" i="9"/>
  <c r="AL45" i="9"/>
  <c r="AM34" i="9"/>
  <c r="AL34" i="9"/>
  <c r="AL43" i="9"/>
  <c r="AM43" i="9"/>
  <c r="AM94" i="9"/>
  <c r="AL94" i="9"/>
  <c r="AM40" i="9"/>
  <c r="AL40" i="9"/>
  <c r="AL109" i="9"/>
  <c r="AM109" i="9"/>
  <c r="AM118" i="9"/>
  <c r="AL118" i="9"/>
  <c r="AM48" i="9"/>
  <c r="AL48" i="9"/>
  <c r="AM50" i="9"/>
  <c r="AL50" i="9"/>
  <c r="AM91" i="9"/>
  <c r="AL91" i="9"/>
  <c r="AM39" i="9"/>
  <c r="AL39" i="9"/>
  <c r="AM102" i="9"/>
  <c r="AL102" i="9"/>
  <c r="AM124" i="9"/>
  <c r="AL124" i="9"/>
  <c r="AM4" i="9"/>
  <c r="AL4" i="9"/>
  <c r="AL37" i="9"/>
  <c r="AM37" i="9"/>
  <c r="AM112" i="9"/>
  <c r="AL112" i="9"/>
  <c r="AM99" i="9"/>
  <c r="AL99" i="9"/>
  <c r="AL121" i="9"/>
  <c r="AM121" i="9"/>
  <c r="AM42" i="9"/>
  <c r="AL42" i="9"/>
  <c r="AM113" i="9"/>
  <c r="AL113" i="9"/>
  <c r="AM123" i="9"/>
  <c r="AL123" i="9"/>
  <c r="AM56" i="9"/>
  <c r="AL56" i="9"/>
  <c r="AM105" i="9"/>
  <c r="AL105" i="9"/>
  <c r="AM29" i="9"/>
  <c r="AL29" i="9"/>
  <c r="AL97" i="9"/>
  <c r="AM97" i="9"/>
  <c r="AM44" i="9"/>
  <c r="AL44" i="9"/>
  <c r="AM98" i="9"/>
  <c r="AL98" i="9"/>
  <c r="AM5" i="9"/>
  <c r="AL5" i="9"/>
  <c r="AM64" i="9"/>
  <c r="AL64" i="9"/>
  <c r="AM60" i="9"/>
  <c r="AL60" i="9"/>
  <c r="AM108" i="9"/>
  <c r="AL108" i="9"/>
  <c r="AM120" i="9"/>
  <c r="AL120" i="9"/>
  <c r="GD65" i="3"/>
  <c r="GD64" i="3"/>
  <c r="BO54" i="3"/>
  <c r="BO43" i="3"/>
  <c r="BO14" i="3"/>
  <c r="BO112" i="3"/>
  <c r="BO13" i="3"/>
  <c r="BO99" i="3"/>
  <c r="BO40" i="3"/>
  <c r="BO107" i="3"/>
  <c r="BO115" i="3"/>
  <c r="BO132" i="3"/>
  <c r="BO118" i="3"/>
  <c r="BO57" i="3"/>
  <c r="BO127" i="3"/>
  <c r="BO56" i="3"/>
  <c r="BO52" i="3"/>
  <c r="BO104" i="3"/>
  <c r="BO46" i="3"/>
  <c r="BO12" i="3"/>
  <c r="BO106" i="3"/>
  <c r="BO125" i="3"/>
  <c r="BO109" i="3"/>
  <c r="BO131" i="3"/>
  <c r="BO64" i="3"/>
  <c r="BO110" i="3"/>
  <c r="BO129" i="3"/>
  <c r="BO113" i="3"/>
  <c r="BO72" i="3"/>
  <c r="BO103" i="3"/>
  <c r="BO71" i="3"/>
  <c r="BO120" i="3"/>
  <c r="BO65" i="3"/>
  <c r="BO55" i="3"/>
  <c r="BO101" i="3"/>
  <c r="BO116" i="3"/>
  <c r="BO100" i="3"/>
  <c r="BO50" i="3"/>
  <c r="BO124" i="3"/>
  <c r="BO108" i="3"/>
  <c r="BO60" i="3"/>
  <c r="BO68" i="3"/>
  <c r="BO114" i="3"/>
  <c r="BO51" i="3"/>
  <c r="BO45" i="3"/>
  <c r="BO123" i="3"/>
  <c r="BO15" i="3"/>
  <c r="BO102" i="3"/>
  <c r="BO49" i="3"/>
  <c r="BO111" i="3"/>
  <c r="BO48" i="3"/>
  <c r="BO61" i="3"/>
  <c r="BO59" i="3"/>
  <c r="BO70" i="3"/>
  <c r="BO63" i="3"/>
  <c r="BO39" i="3"/>
  <c r="BO44" i="3"/>
  <c r="BO42" i="3"/>
  <c r="BO47" i="3"/>
  <c r="BO126" i="3"/>
  <c r="BO69" i="3"/>
  <c r="BO119" i="3"/>
  <c r="BO37" i="3"/>
  <c r="BO117" i="3"/>
  <c r="BO58" i="3"/>
  <c r="BO67" i="3"/>
  <c r="BO105" i="3"/>
  <c r="BO53" i="3"/>
  <c r="BO66" i="3"/>
  <c r="BO128" i="3"/>
  <c r="BO41" i="3"/>
  <c r="BO130" i="3"/>
  <c r="GD70" i="3"/>
  <c r="GD72" i="3"/>
  <c r="GD46" i="3"/>
  <c r="GD59" i="3"/>
  <c r="GD49" i="3"/>
  <c r="GD50" i="3"/>
  <c r="GD60" i="3"/>
  <c r="GD45" i="3"/>
  <c r="GD39" i="3"/>
  <c r="GD48" i="3"/>
  <c r="GD38" i="3"/>
  <c r="GD47" i="3"/>
  <c r="GD44" i="3"/>
  <c r="GD66" i="3"/>
  <c r="GD53" i="3"/>
  <c r="GD71" i="3"/>
  <c r="GD41" i="3"/>
  <c r="GD40" i="3"/>
  <c r="GD67" i="3"/>
  <c r="GD58" i="3"/>
  <c r="GD42" i="3"/>
  <c r="GD37" i="3"/>
  <c r="GD56" i="3"/>
  <c r="GD55" i="3"/>
  <c r="GD54" i="3"/>
  <c r="GD52" i="3"/>
  <c r="GD62" i="3"/>
  <c r="GD63" i="3"/>
  <c r="GD68" i="3"/>
  <c r="GD51" i="3"/>
  <c r="GD43" i="3"/>
  <c r="GD69" i="3"/>
  <c r="A106" i="9"/>
  <c r="A32" i="9"/>
  <c r="A94" i="9"/>
  <c r="A46" i="9"/>
  <c r="A105" i="9"/>
  <c r="A108" i="9"/>
  <c r="A118" i="9"/>
  <c r="A61" i="9"/>
  <c r="A34" i="9"/>
  <c r="A110" i="9"/>
  <c r="A111" i="9"/>
  <c r="A40" i="9"/>
  <c r="A112" i="9"/>
  <c r="A60" i="9"/>
  <c r="A99" i="9"/>
  <c r="A7" i="9"/>
  <c r="A63" i="9"/>
  <c r="A98" i="9"/>
  <c r="A125" i="9"/>
  <c r="A62" i="9"/>
  <c r="A35" i="9"/>
  <c r="A102" i="9"/>
  <c r="A44" i="9"/>
  <c r="A104" i="9"/>
  <c r="A51" i="9"/>
  <c r="A33" i="9"/>
  <c r="A43" i="9"/>
  <c r="A59" i="9"/>
  <c r="A57" i="9"/>
  <c r="A107" i="9"/>
  <c r="A113" i="9"/>
  <c r="A122" i="9"/>
  <c r="A47" i="9"/>
  <c r="A93" i="9"/>
  <c r="A37" i="9"/>
  <c r="A50" i="9"/>
  <c r="A116" i="9"/>
  <c r="A54" i="9"/>
  <c r="A29" i="9"/>
  <c r="A115" i="9"/>
  <c r="A42" i="9"/>
  <c r="A92" i="9"/>
  <c r="A31" i="9"/>
  <c r="A48" i="9"/>
  <c r="A120" i="9"/>
  <c r="A101" i="9"/>
  <c r="A96" i="9"/>
  <c r="A5" i="9"/>
  <c r="A30" i="9"/>
  <c r="A49" i="9"/>
  <c r="A114" i="9"/>
  <c r="A38" i="9"/>
  <c r="A124" i="9"/>
  <c r="A95" i="9"/>
  <c r="A36" i="9"/>
  <c r="A45" i="9"/>
  <c r="A119" i="9"/>
  <c r="A4" i="9"/>
  <c r="A123" i="9"/>
  <c r="A100" i="9"/>
  <c r="A55" i="9"/>
  <c r="A64" i="9"/>
  <c r="A58" i="9"/>
  <c r="A52" i="9"/>
  <c r="A53" i="9"/>
  <c r="A109" i="9"/>
  <c r="A56" i="9"/>
  <c r="A121" i="9"/>
  <c r="A39" i="9"/>
  <c r="A117" i="9"/>
  <c r="A91" i="9"/>
  <c r="A6" i="9"/>
  <c r="A97" i="9"/>
  <c r="A41" i="9"/>
  <c r="A103" i="9"/>
  <c r="GD14" i="3"/>
  <c r="GD15" i="3"/>
  <c r="GD13" i="3"/>
  <c r="GD12" i="3"/>
  <c r="CD57" i="3"/>
  <c r="EK57" i="3" s="1"/>
  <c r="CD71" i="3"/>
  <c r="EK71" i="3" s="1"/>
  <c r="CD68" i="3"/>
  <c r="EK68" i="3" s="1"/>
  <c r="CD59" i="3"/>
  <c r="EK59" i="3" s="1"/>
  <c r="CD48" i="3"/>
  <c r="EK48" i="3" s="1"/>
  <c r="CD49" i="3"/>
  <c r="EK49" i="3" s="1"/>
  <c r="CD52" i="3"/>
  <c r="EK52" i="3" s="1"/>
  <c r="CD54" i="3"/>
  <c r="EK54" i="3" s="1"/>
  <c r="CD66" i="3"/>
  <c r="EK66" i="3" s="1"/>
  <c r="CD64" i="3"/>
  <c r="EK64" i="3" s="1"/>
  <c r="CD15" i="3"/>
  <c r="EK15" i="3" s="1"/>
  <c r="CD56" i="3"/>
  <c r="EK56" i="3" s="1"/>
  <c r="CD63" i="3"/>
  <c r="EK63" i="3" s="1"/>
  <c r="CD70" i="3"/>
  <c r="EK70" i="3" s="1"/>
  <c r="CD50" i="3"/>
  <c r="EK50" i="3" s="1"/>
  <c r="CD62" i="3"/>
  <c r="EK62" i="3" s="1"/>
  <c r="AN113" i="9"/>
  <c r="AK113" i="9"/>
  <c r="AC113" i="9"/>
  <c r="AR113" i="9"/>
  <c r="AS113" i="9"/>
  <c r="AU113" i="9"/>
  <c r="G113" i="9"/>
  <c r="AB113" i="9"/>
  <c r="AW113" i="9"/>
  <c r="AX113" i="9"/>
  <c r="L113" i="9"/>
  <c r="D113" i="9"/>
  <c r="BA113" i="9"/>
  <c r="M113" i="9"/>
  <c r="AF113" i="9"/>
  <c r="AZ113" i="9"/>
  <c r="AY113" i="9" s="1"/>
  <c r="AT113" i="9"/>
  <c r="X113" i="9"/>
  <c r="W113" i="9"/>
  <c r="E113" i="9"/>
  <c r="R113" i="9"/>
  <c r="AD113" i="9"/>
  <c r="C113" i="9" s="1"/>
  <c r="J113" i="9"/>
  <c r="N113" i="9"/>
  <c r="Q113" i="9"/>
  <c r="P113" i="9"/>
  <c r="AI113" i="9"/>
  <c r="AJ113" i="9"/>
  <c r="AV113" i="9"/>
  <c r="S113" i="9"/>
  <c r="T113" i="9" s="1"/>
  <c r="K113" i="9"/>
  <c r="Z113" i="9" s="1"/>
  <c r="AA113" i="9" s="1"/>
  <c r="AQ113" i="9"/>
  <c r="F113" i="9"/>
  <c r="AP113" i="9"/>
  <c r="AH113" i="9"/>
  <c r="AE113" i="9"/>
  <c r="H113" i="9"/>
  <c r="Y113" i="9"/>
  <c r="O113" i="9"/>
  <c r="AN61" i="9"/>
  <c r="AZ61" i="9"/>
  <c r="AY61" i="9" s="1"/>
  <c r="R61" i="9"/>
  <c r="AT61" i="9"/>
  <c r="AX61" i="9"/>
  <c r="AS61" i="9"/>
  <c r="N61" i="9"/>
  <c r="AK61" i="9"/>
  <c r="O61" i="9"/>
  <c r="E61" i="9"/>
  <c r="AO61" i="9"/>
  <c r="M61" i="9"/>
  <c r="X61" i="9"/>
  <c r="AC61" i="9"/>
  <c r="AU61" i="9"/>
  <c r="AQ61" i="9"/>
  <c r="AR61" i="9"/>
  <c r="K61" i="9"/>
  <c r="Z61" i="9" s="1"/>
  <c r="AA61" i="9" s="1"/>
  <c r="J61" i="9"/>
  <c r="AI61" i="9"/>
  <c r="AV61" i="9"/>
  <c r="AP61" i="9"/>
  <c r="AB61" i="9"/>
  <c r="AH61" i="9"/>
  <c r="F61" i="9"/>
  <c r="G61" i="9"/>
  <c r="P61" i="9"/>
  <c r="AE61" i="9"/>
  <c r="BB61" i="9"/>
  <c r="BA61" i="9"/>
  <c r="Y61" i="9"/>
  <c r="L61" i="9"/>
  <c r="Q61" i="9"/>
  <c r="D61" i="9"/>
  <c r="H61" i="9"/>
  <c r="W61" i="9"/>
  <c r="AJ61" i="9"/>
  <c r="AW61" i="9"/>
  <c r="AD61" i="9"/>
  <c r="C61" i="9" s="1"/>
  <c r="AF61" i="9"/>
  <c r="S61" i="9"/>
  <c r="T61" i="9" s="1"/>
  <c r="D34" i="9"/>
  <c r="M34" i="9"/>
  <c r="P34" i="9"/>
  <c r="AC34" i="9"/>
  <c r="H34" i="9"/>
  <c r="W34" i="9"/>
  <c r="BB34" i="9"/>
  <c r="AW34" i="9"/>
  <c r="Y34" i="9"/>
  <c r="AB34" i="9"/>
  <c r="AO34" i="9"/>
  <c r="J34" i="9"/>
  <c r="X34" i="9"/>
  <c r="AP34" i="9"/>
  <c r="AF34" i="9"/>
  <c r="AJ34" i="9"/>
  <c r="AS34" i="9"/>
  <c r="AD34" i="9"/>
  <c r="C34" i="9" s="1"/>
  <c r="AN34" i="9"/>
  <c r="O34" i="9"/>
  <c r="F34" i="9"/>
  <c r="AH34" i="9"/>
  <c r="AK34" i="9"/>
  <c r="R34" i="9"/>
  <c r="AZ34" i="9"/>
  <c r="AY34" i="9" s="1"/>
  <c r="N34" i="9"/>
  <c r="AT34" i="9"/>
  <c r="K34" i="9"/>
  <c r="Z34" i="9" s="1"/>
  <c r="AA34" i="9" s="1"/>
  <c r="L34" i="9"/>
  <c r="AI34" i="9"/>
  <c r="AQ34" i="9"/>
  <c r="AU34" i="9"/>
  <c r="AX34" i="9"/>
  <c r="AR34" i="9"/>
  <c r="E34" i="9"/>
  <c r="G34" i="9"/>
  <c r="Q34" i="9"/>
  <c r="AE34" i="9"/>
  <c r="AV34" i="9"/>
  <c r="BA34" i="9"/>
  <c r="S34" i="9"/>
  <c r="T34" i="9" s="1"/>
  <c r="F96" i="9"/>
  <c r="AD96" i="9"/>
  <c r="C96" i="9" s="1"/>
  <c r="M96" i="9"/>
  <c r="AR96" i="9"/>
  <c r="J96" i="9"/>
  <c r="P96" i="9"/>
  <c r="AX96" i="9"/>
  <c r="AZ96" i="9"/>
  <c r="AY96" i="9" s="1"/>
  <c r="W96" i="9"/>
  <c r="AS96" i="9"/>
  <c r="S96" i="9"/>
  <c r="T96" i="9" s="1"/>
  <c r="AP96" i="9"/>
  <c r="Q96" i="9"/>
  <c r="O96" i="9"/>
  <c r="AW96" i="9"/>
  <c r="G96" i="9"/>
  <c r="AU96" i="9"/>
  <c r="AF96" i="9"/>
  <c r="R96" i="9"/>
  <c r="AV96" i="9"/>
  <c r="AN96" i="9"/>
  <c r="H96" i="9"/>
  <c r="AI96" i="9"/>
  <c r="AH96" i="9"/>
  <c r="D96" i="9"/>
  <c r="AK96" i="9"/>
  <c r="X96" i="9"/>
  <c r="AQ96" i="9"/>
  <c r="AB96" i="9"/>
  <c r="AE96" i="9"/>
  <c r="E96" i="9"/>
  <c r="AC96" i="9"/>
  <c r="BA96" i="9"/>
  <c r="AT96" i="9"/>
  <c r="Y96" i="9"/>
  <c r="L96" i="9"/>
  <c r="AJ96" i="9"/>
  <c r="N96" i="9"/>
  <c r="K96" i="9"/>
  <c r="Z96" i="9" s="1"/>
  <c r="AA96" i="9" s="1"/>
  <c r="CD65" i="3"/>
  <c r="EK65" i="3" s="1"/>
  <c r="O122" i="9"/>
  <c r="AQ122" i="9"/>
  <c r="X122" i="9"/>
  <c r="AX122" i="9"/>
  <c r="AJ122" i="9"/>
  <c r="Q122" i="9"/>
  <c r="AP122" i="9"/>
  <c r="F122" i="9"/>
  <c r="AZ122" i="9"/>
  <c r="AY122" i="9" s="1"/>
  <c r="AH122" i="9"/>
  <c r="AV122" i="9"/>
  <c r="AT122" i="9"/>
  <c r="H122" i="9"/>
  <c r="S122" i="9"/>
  <c r="T122" i="9" s="1"/>
  <c r="BA122" i="9"/>
  <c r="N122" i="9"/>
  <c r="K122" i="9"/>
  <c r="Z122" i="9" s="1"/>
  <c r="AA122" i="9" s="1"/>
  <c r="R122" i="9"/>
  <c r="AK122" i="9"/>
  <c r="AB122" i="9"/>
  <c r="P122" i="9"/>
  <c r="M122" i="9"/>
  <c r="AR122" i="9"/>
  <c r="AN122" i="9"/>
  <c r="AW122" i="9"/>
  <c r="AD122" i="9"/>
  <c r="C122" i="9" s="1"/>
  <c r="AF122" i="9"/>
  <c r="AS122" i="9"/>
  <c r="W122" i="9"/>
  <c r="G122" i="9"/>
  <c r="AC122" i="9"/>
  <c r="E122" i="9"/>
  <c r="D122" i="9"/>
  <c r="L122" i="9"/>
  <c r="AI122" i="9"/>
  <c r="AE122" i="9"/>
  <c r="Y122" i="9"/>
  <c r="J122" i="9"/>
  <c r="AU122" i="9"/>
  <c r="AB93" i="9"/>
  <c r="AQ93" i="9"/>
  <c r="X93" i="9"/>
  <c r="F93" i="9"/>
  <c r="AC93" i="9"/>
  <c r="AP93" i="9"/>
  <c r="AV93" i="9"/>
  <c r="J93" i="9"/>
  <c r="AE93" i="9"/>
  <c r="N93" i="9"/>
  <c r="AK93" i="9"/>
  <c r="AU93" i="9"/>
  <c r="K93" i="9"/>
  <c r="Z93" i="9" s="1"/>
  <c r="AA93" i="9" s="1"/>
  <c r="AD93" i="9"/>
  <c r="C93" i="9" s="1"/>
  <c r="AW93" i="9"/>
  <c r="Q93" i="9"/>
  <c r="W93" i="9"/>
  <c r="AX93" i="9"/>
  <c r="M93" i="9"/>
  <c r="R93" i="9"/>
  <c r="O93" i="9"/>
  <c r="AH93" i="9"/>
  <c r="AZ93" i="9"/>
  <c r="AY93" i="9" s="1"/>
  <c r="P93" i="9"/>
  <c r="AI93" i="9"/>
  <c r="BA93" i="9"/>
  <c r="E93" i="9"/>
  <c r="S93" i="9"/>
  <c r="AN93" i="9"/>
  <c r="D93" i="9"/>
  <c r="AT93" i="9"/>
  <c r="G93" i="9"/>
  <c r="AR93" i="9"/>
  <c r="H93" i="9"/>
  <c r="Y93" i="9"/>
  <c r="AS93" i="9"/>
  <c r="AJ93" i="9"/>
  <c r="AF93" i="9"/>
  <c r="L93" i="9"/>
  <c r="W37" i="9"/>
  <c r="AJ37" i="9"/>
  <c r="J37" i="9"/>
  <c r="R37" i="9"/>
  <c r="Y37" i="9"/>
  <c r="K37" i="9"/>
  <c r="Z37" i="9" s="1"/>
  <c r="AA37" i="9" s="1"/>
  <c r="AT37" i="9"/>
  <c r="Q37" i="9"/>
  <c r="AX37" i="9"/>
  <c r="AE37" i="9"/>
  <c r="AU37" i="9"/>
  <c r="AH37" i="9"/>
  <c r="BB37" i="9"/>
  <c r="AK37" i="9"/>
  <c r="H37" i="9"/>
  <c r="AV37" i="9"/>
  <c r="AS37" i="9"/>
  <c r="AD37" i="9"/>
  <c r="C37" i="9" s="1"/>
  <c r="AZ37" i="9"/>
  <c r="AY37" i="9" s="1"/>
  <c r="N37" i="9"/>
  <c r="M37" i="9"/>
  <c r="AC37" i="9"/>
  <c r="S37" i="9"/>
  <c r="T37" i="9" s="1"/>
  <c r="F37" i="9"/>
  <c r="X37" i="9"/>
  <c r="O37" i="9"/>
  <c r="L37" i="9"/>
  <c r="BA37" i="9"/>
  <c r="P37" i="9"/>
  <c r="AI37" i="9"/>
  <c r="AO37" i="9"/>
  <c r="G37" i="9"/>
  <c r="D37" i="9"/>
  <c r="AQ37" i="9"/>
  <c r="AN37" i="9"/>
  <c r="AP37" i="9"/>
  <c r="AR37" i="9"/>
  <c r="AB37" i="9"/>
  <c r="AW37" i="9"/>
  <c r="AF37" i="9"/>
  <c r="E37" i="9"/>
  <c r="G123" i="9"/>
  <c r="AR123" i="9"/>
  <c r="BA123" i="9"/>
  <c r="K123" i="9"/>
  <c r="Z123" i="9" s="1"/>
  <c r="AA123" i="9" s="1"/>
  <c r="AS123" i="9"/>
  <c r="W123" i="9"/>
  <c r="AI123" i="9"/>
  <c r="AW123" i="9"/>
  <c r="AT123" i="9"/>
  <c r="M123" i="9"/>
  <c r="Y123" i="9"/>
  <c r="AN123" i="9"/>
  <c r="J123" i="9"/>
  <c r="AU123" i="9"/>
  <c r="D123" i="9"/>
  <c r="O123" i="9"/>
  <c r="AQ123" i="9"/>
  <c r="F123" i="9"/>
  <c r="AD123" i="9"/>
  <c r="C123" i="9" s="1"/>
  <c r="AH123" i="9"/>
  <c r="AV123" i="9"/>
  <c r="AJ123" i="9"/>
  <c r="N123" i="9"/>
  <c r="S123" i="9"/>
  <c r="T123" i="9" s="1"/>
  <c r="AE123" i="9"/>
  <c r="AZ123" i="9"/>
  <c r="AY123" i="9" s="1"/>
  <c r="E123" i="9"/>
  <c r="AC123" i="9"/>
  <c r="R123" i="9"/>
  <c r="Q123" i="9"/>
  <c r="AK123" i="9"/>
  <c r="AB123" i="9"/>
  <c r="L123" i="9"/>
  <c r="AP123" i="9"/>
  <c r="X123" i="9"/>
  <c r="H123" i="9"/>
  <c r="AF123" i="9"/>
  <c r="AG123" i="9" s="1"/>
  <c r="P123" i="9"/>
  <c r="AX123" i="9"/>
  <c r="Q64" i="9"/>
  <c r="AQ64" i="9"/>
  <c r="AK64" i="9"/>
  <c r="N64" i="9"/>
  <c r="AX64" i="9"/>
  <c r="AE64" i="9"/>
  <c r="L64" i="9"/>
  <c r="AP64" i="9"/>
  <c r="S64" i="9"/>
  <c r="T64" i="9" s="1"/>
  <c r="BA64" i="9"/>
  <c r="J64" i="9"/>
  <c r="AN64" i="9"/>
  <c r="AV64" i="9"/>
  <c r="F64" i="9"/>
  <c r="E64" i="9"/>
  <c r="AF64" i="9"/>
  <c r="K64" i="9"/>
  <c r="Z64" i="9" s="1"/>
  <c r="AA64" i="9" s="1"/>
  <c r="AS64" i="9"/>
  <c r="X64" i="9"/>
  <c r="BB64" i="9"/>
  <c r="AI64" i="9"/>
  <c r="AD64" i="9"/>
  <c r="C64" i="9" s="1"/>
  <c r="R64" i="9"/>
  <c r="M64" i="9"/>
  <c r="AU64" i="9"/>
  <c r="AR64" i="9"/>
  <c r="P64" i="9"/>
  <c r="AT64" i="9"/>
  <c r="W64" i="9"/>
  <c r="H64" i="9"/>
  <c r="AJ64" i="9"/>
  <c r="O64" i="9"/>
  <c r="AC64" i="9"/>
  <c r="AZ64" i="9"/>
  <c r="AY64" i="9" s="1"/>
  <c r="AH64" i="9"/>
  <c r="Y64" i="9"/>
  <c r="AW64" i="9"/>
  <c r="AB64" i="9"/>
  <c r="G64" i="9"/>
  <c r="AO64" i="9"/>
  <c r="D64" i="9"/>
  <c r="CD58" i="3"/>
  <c r="EK58" i="3" s="1"/>
  <c r="W46" i="9"/>
  <c r="AT46" i="9"/>
  <c r="E46" i="9"/>
  <c r="AW46" i="9"/>
  <c r="K46" i="9"/>
  <c r="Z46" i="9" s="1"/>
  <c r="AA46" i="9" s="1"/>
  <c r="O46" i="9"/>
  <c r="AR46" i="9"/>
  <c r="AD46" i="9"/>
  <c r="C46" i="9" s="1"/>
  <c r="AU46" i="9"/>
  <c r="AI46" i="9"/>
  <c r="Q46" i="9"/>
  <c r="BB46" i="9"/>
  <c r="AP46" i="9"/>
  <c r="AX46" i="9"/>
  <c r="AC46" i="9"/>
  <c r="AK46" i="9"/>
  <c r="S46" i="9"/>
  <c r="T46" i="9" s="1"/>
  <c r="AV46" i="9"/>
  <c r="P46" i="9"/>
  <c r="F46" i="9"/>
  <c r="AS46" i="9"/>
  <c r="AB46" i="9"/>
  <c r="R46" i="9"/>
  <c r="AE46" i="9"/>
  <c r="J46" i="9"/>
  <c r="D46" i="9"/>
  <c r="H46" i="9"/>
  <c r="AQ46" i="9"/>
  <c r="G46" i="9"/>
  <c r="AH46" i="9"/>
  <c r="N46" i="9"/>
  <c r="BA46" i="9"/>
  <c r="AJ46" i="9"/>
  <c r="AO46" i="9"/>
  <c r="AF46" i="9"/>
  <c r="M46" i="9"/>
  <c r="AN46" i="9"/>
  <c r="Y46" i="9"/>
  <c r="L46" i="9"/>
  <c r="X46" i="9"/>
  <c r="AZ46" i="9"/>
  <c r="AY46" i="9" s="1"/>
  <c r="CD61" i="3"/>
  <c r="EK61" i="3" s="1"/>
  <c r="D29" i="9"/>
  <c r="AN29" i="9"/>
  <c r="AE29" i="9"/>
  <c r="W29" i="9"/>
  <c r="AH29" i="9"/>
  <c r="N29" i="9"/>
  <c r="AP29" i="9"/>
  <c r="Y29" i="9"/>
  <c r="AQ29" i="9"/>
  <c r="P29" i="9"/>
  <c r="AT29" i="9"/>
  <c r="J29" i="9"/>
  <c r="AV29" i="9"/>
  <c r="AO29" i="9"/>
  <c r="AR29" i="9"/>
  <c r="AI29" i="9"/>
  <c r="O29" i="9"/>
  <c r="X29" i="9"/>
  <c r="BB29" i="9"/>
  <c r="E29" i="9"/>
  <c r="S29" i="9"/>
  <c r="T29" i="9" s="1"/>
  <c r="AS29" i="9"/>
  <c r="M29" i="9"/>
  <c r="Q29" i="9"/>
  <c r="R29" i="9"/>
  <c r="AW29" i="9"/>
  <c r="AZ29" i="9"/>
  <c r="AY29" i="9" s="1"/>
  <c r="H29" i="9"/>
  <c r="AX29" i="9"/>
  <c r="AD29" i="9"/>
  <c r="C29" i="9" s="1"/>
  <c r="F29" i="9"/>
  <c r="BA29" i="9"/>
  <c r="AU29" i="9"/>
  <c r="AF29" i="9"/>
  <c r="AB29" i="9"/>
  <c r="K29" i="9"/>
  <c r="Z29" i="9" s="1"/>
  <c r="AA29" i="9" s="1"/>
  <c r="G29" i="9"/>
  <c r="AC29" i="9"/>
  <c r="AJ29" i="9"/>
  <c r="AK29" i="9"/>
  <c r="L29" i="9"/>
  <c r="Y62" i="9"/>
  <c r="AZ62" i="9"/>
  <c r="AY62" i="9" s="1"/>
  <c r="AB62" i="9"/>
  <c r="BA62" i="9"/>
  <c r="AV62" i="9"/>
  <c r="AW62" i="9"/>
  <c r="AR62" i="9"/>
  <c r="AD62" i="9"/>
  <c r="C62" i="9" s="1"/>
  <c r="AX62" i="9"/>
  <c r="AP62" i="9"/>
  <c r="H62" i="9"/>
  <c r="AF62" i="9"/>
  <c r="D62" i="9"/>
  <c r="AH62" i="9"/>
  <c r="K62" i="9"/>
  <c r="Z62" i="9" s="1"/>
  <c r="AA62" i="9" s="1"/>
  <c r="L62" i="9"/>
  <c r="P62" i="9"/>
  <c r="F62" i="9"/>
  <c r="BB62" i="9"/>
  <c r="AE62" i="9"/>
  <c r="Q62" i="9"/>
  <c r="N62" i="9"/>
  <c r="AN62" i="9"/>
  <c r="J62" i="9"/>
  <c r="AO62" i="9"/>
  <c r="W62" i="9"/>
  <c r="X62" i="9"/>
  <c r="AQ62" i="9"/>
  <c r="G62" i="9"/>
  <c r="AJ62" i="9"/>
  <c r="AT62" i="9"/>
  <c r="S62" i="9"/>
  <c r="T62" i="9" s="1"/>
  <c r="AS62" i="9"/>
  <c r="O62" i="9"/>
  <c r="AU62" i="9"/>
  <c r="AI62" i="9"/>
  <c r="AK62" i="9"/>
  <c r="R62" i="9"/>
  <c r="AC62" i="9"/>
  <c r="M62" i="9"/>
  <c r="E62" i="9"/>
  <c r="AR38" i="9"/>
  <c r="AO38" i="9"/>
  <c r="L38" i="9"/>
  <c r="AB38" i="9"/>
  <c r="AT38" i="9"/>
  <c r="Y38" i="9"/>
  <c r="G38" i="9"/>
  <c r="AS38" i="9"/>
  <c r="BB38" i="9"/>
  <c r="AV38" i="9"/>
  <c r="K38" i="9"/>
  <c r="Z38" i="9" s="1"/>
  <c r="AA38" i="9" s="1"/>
  <c r="Q38" i="9"/>
  <c r="AW38" i="9"/>
  <c r="P38" i="9"/>
  <c r="AF38" i="9"/>
  <c r="AX38" i="9"/>
  <c r="AC38" i="9"/>
  <c r="W38" i="9"/>
  <c r="O38" i="9"/>
  <c r="AN38" i="9"/>
  <c r="S38" i="9"/>
  <c r="T38" i="9" s="1"/>
  <c r="AI38" i="9"/>
  <c r="D38" i="9"/>
  <c r="AJ38" i="9"/>
  <c r="F38" i="9"/>
  <c r="AD38" i="9"/>
  <c r="C38" i="9" s="1"/>
  <c r="AU38" i="9"/>
  <c r="AK38" i="9"/>
  <c r="AP38" i="9"/>
  <c r="AQ38" i="9"/>
  <c r="AE38" i="9"/>
  <c r="H38" i="9"/>
  <c r="X38" i="9"/>
  <c r="E38" i="9"/>
  <c r="AH38" i="9"/>
  <c r="AZ38" i="9"/>
  <c r="AY38" i="9" s="1"/>
  <c r="N38" i="9"/>
  <c r="M38" i="9"/>
  <c r="R38" i="9"/>
  <c r="BA38" i="9"/>
  <c r="J38" i="9"/>
  <c r="AQ117" i="9"/>
  <c r="K117" i="9"/>
  <c r="Z117" i="9" s="1"/>
  <c r="AA117" i="9" s="1"/>
  <c r="X117" i="9"/>
  <c r="P117" i="9"/>
  <c r="S117" i="9"/>
  <c r="T117" i="9" s="1"/>
  <c r="AK117" i="9"/>
  <c r="W117" i="9"/>
  <c r="F117" i="9"/>
  <c r="R117" i="9"/>
  <c r="H117" i="9"/>
  <c r="AB117" i="9"/>
  <c r="AH117" i="9"/>
  <c r="AF117" i="9"/>
  <c r="AW117" i="9"/>
  <c r="J117" i="9"/>
  <c r="AJ117" i="9"/>
  <c r="N117" i="9"/>
  <c r="AN117" i="9"/>
  <c r="E117" i="9"/>
  <c r="AC117" i="9"/>
  <c r="AU117" i="9"/>
  <c r="AP117" i="9"/>
  <c r="AZ117" i="9"/>
  <c r="AY117" i="9" s="1"/>
  <c r="O117" i="9"/>
  <c r="AE117" i="9"/>
  <c r="Y117" i="9"/>
  <c r="AS117" i="9"/>
  <c r="L117" i="9"/>
  <c r="G117" i="9"/>
  <c r="AD117" i="9"/>
  <c r="C117" i="9" s="1"/>
  <c r="D117" i="9"/>
  <c r="AI117" i="9"/>
  <c r="BA117" i="9"/>
  <c r="M117" i="9"/>
  <c r="AX117" i="9"/>
  <c r="AT117" i="9"/>
  <c r="AR117" i="9"/>
  <c r="AV117" i="9"/>
  <c r="Q117" i="9"/>
  <c r="AD91" i="9"/>
  <c r="C91" i="9" s="1"/>
  <c r="M91" i="9"/>
  <c r="Y91" i="9"/>
  <c r="AK91" i="9"/>
  <c r="Q91" i="9"/>
  <c r="L91" i="9"/>
  <c r="AP91" i="9"/>
  <c r="AE91" i="9"/>
  <c r="D91" i="9"/>
  <c r="AQ91" i="9"/>
  <c r="AH91" i="9"/>
  <c r="AU91" i="9"/>
  <c r="AX91" i="9"/>
  <c r="S91" i="9"/>
  <c r="T91" i="9" s="1"/>
  <c r="BA91" i="9"/>
  <c r="X91" i="9"/>
  <c r="K91" i="9"/>
  <c r="Z91" i="9" s="1"/>
  <c r="AA91" i="9" s="1"/>
  <c r="AS91" i="9"/>
  <c r="J91" i="9"/>
  <c r="AZ91" i="9"/>
  <c r="AY91" i="9" s="1"/>
  <c r="AR91" i="9"/>
  <c r="AC91" i="9"/>
  <c r="AN91" i="9"/>
  <c r="AF91" i="9"/>
  <c r="AG91" i="9" s="1"/>
  <c r="AT91" i="9"/>
  <c r="AI91" i="9"/>
  <c r="H91" i="9"/>
  <c r="W91" i="9"/>
  <c r="R91" i="9"/>
  <c r="E91" i="9"/>
  <c r="F91" i="9"/>
  <c r="AV91" i="9"/>
  <c r="N91" i="9"/>
  <c r="P91" i="9"/>
  <c r="AB91" i="9"/>
  <c r="O91" i="9"/>
  <c r="AW91" i="9"/>
  <c r="AJ91" i="9"/>
  <c r="G91" i="9"/>
  <c r="AZ108" i="9"/>
  <c r="AY108" i="9" s="1"/>
  <c r="AU108" i="9"/>
  <c r="D108" i="9"/>
  <c r="AR108" i="9"/>
  <c r="W108" i="9"/>
  <c r="AX108" i="9"/>
  <c r="K108" i="9"/>
  <c r="Z108" i="9" s="1"/>
  <c r="AA108" i="9" s="1"/>
  <c r="AJ108" i="9"/>
  <c r="R108" i="9"/>
  <c r="AQ108" i="9"/>
  <c r="AB108" i="9"/>
  <c r="AH108" i="9"/>
  <c r="AC108" i="9"/>
  <c r="Y108" i="9"/>
  <c r="L108" i="9"/>
  <c r="AS108" i="9"/>
  <c r="Q108" i="9"/>
  <c r="AE108" i="9"/>
  <c r="E108" i="9"/>
  <c r="O108" i="9"/>
  <c r="J108" i="9"/>
  <c r="M108" i="9"/>
  <c r="S108" i="9"/>
  <c r="T108" i="9" s="1"/>
  <c r="AV108" i="9"/>
  <c r="AN108" i="9"/>
  <c r="AD108" i="9"/>
  <c r="C108" i="9" s="1"/>
  <c r="AT108" i="9"/>
  <c r="AW108" i="9"/>
  <c r="AF108" i="9"/>
  <c r="AI108" i="9"/>
  <c r="AK108" i="9"/>
  <c r="X108" i="9"/>
  <c r="H108" i="9"/>
  <c r="P108" i="9"/>
  <c r="G108" i="9"/>
  <c r="AP108" i="9"/>
  <c r="BA108" i="9"/>
  <c r="F108" i="9"/>
  <c r="N108" i="9"/>
  <c r="M92" i="9"/>
  <c r="AF92" i="9"/>
  <c r="AR92" i="9"/>
  <c r="E92" i="9"/>
  <c r="N92" i="9"/>
  <c r="AX92" i="9"/>
  <c r="AQ92" i="9"/>
  <c r="AZ92" i="9"/>
  <c r="AY92" i="9" s="1"/>
  <c r="AI92" i="9"/>
  <c r="K92" i="9"/>
  <c r="Z92" i="9" s="1"/>
  <c r="AA92" i="9" s="1"/>
  <c r="AD92" i="9"/>
  <c r="C92" i="9" s="1"/>
  <c r="R92" i="9"/>
  <c r="F92" i="9"/>
  <c r="AC92" i="9"/>
  <c r="AP92" i="9"/>
  <c r="AK92" i="9"/>
  <c r="AV92" i="9"/>
  <c r="O92" i="9"/>
  <c r="AS92" i="9"/>
  <c r="S92" i="9"/>
  <c r="T92" i="9" s="1"/>
  <c r="AT92" i="9"/>
  <c r="Y92" i="9"/>
  <c r="H92" i="9"/>
  <c r="J92" i="9"/>
  <c r="AU92" i="9"/>
  <c r="D92" i="9"/>
  <c r="X92" i="9"/>
  <c r="AW92" i="9"/>
  <c r="W92" i="9"/>
  <c r="Q92" i="9"/>
  <c r="AN92" i="9"/>
  <c r="AH92" i="9"/>
  <c r="L92" i="9"/>
  <c r="AJ92" i="9"/>
  <c r="P92" i="9"/>
  <c r="AB92" i="9"/>
  <c r="BA92" i="9"/>
  <c r="AE92" i="9"/>
  <c r="G92" i="9"/>
  <c r="AQ103" i="9"/>
  <c r="K103" i="9"/>
  <c r="Z103" i="9" s="1"/>
  <c r="AA103" i="9" s="1"/>
  <c r="AE103" i="9"/>
  <c r="AW103" i="9"/>
  <c r="L103" i="9"/>
  <c r="AB103" i="9"/>
  <c r="AT103" i="9"/>
  <c r="R103" i="9"/>
  <c r="AN103" i="9"/>
  <c r="H103" i="9"/>
  <c r="O103" i="9"/>
  <c r="AU103" i="9"/>
  <c r="AZ103" i="9"/>
  <c r="AY103" i="9" s="1"/>
  <c r="F103" i="9"/>
  <c r="AH103" i="9"/>
  <c r="AR103" i="9"/>
  <c r="AV103" i="9"/>
  <c r="J103" i="9"/>
  <c r="E103" i="9"/>
  <c r="X103" i="9"/>
  <c r="AK103" i="9"/>
  <c r="AI103" i="9"/>
  <c r="BA103" i="9"/>
  <c r="P103" i="9"/>
  <c r="AF103" i="9"/>
  <c r="AX103" i="9"/>
  <c r="Y103" i="9"/>
  <c r="M103" i="9"/>
  <c r="N103" i="9"/>
  <c r="AS103" i="9"/>
  <c r="AJ103" i="9"/>
  <c r="Q103" i="9"/>
  <c r="AC103" i="9"/>
  <c r="G103" i="9"/>
  <c r="W103" i="9"/>
  <c r="D103" i="9"/>
  <c r="AP103" i="9"/>
  <c r="AD103" i="9"/>
  <c r="C103" i="9" s="1"/>
  <c r="S103" i="9"/>
  <c r="T103" i="9" s="1"/>
  <c r="AZ48" i="9"/>
  <c r="AY48" i="9" s="1"/>
  <c r="Q48" i="9"/>
  <c r="W48" i="9"/>
  <c r="AK48" i="9"/>
  <c r="AQ48" i="9"/>
  <c r="AB48" i="9"/>
  <c r="S48" i="9"/>
  <c r="T48" i="9" s="1"/>
  <c r="AE48" i="9"/>
  <c r="D48" i="9"/>
  <c r="R48" i="9"/>
  <c r="K48" i="9"/>
  <c r="Z48" i="9" s="1"/>
  <c r="AA48" i="9" s="1"/>
  <c r="AX48" i="9"/>
  <c r="O48" i="9"/>
  <c r="AH48" i="9"/>
  <c r="AV48" i="9"/>
  <c r="F48" i="9"/>
  <c r="AJ48" i="9"/>
  <c r="BB48" i="9"/>
  <c r="AW48" i="9"/>
  <c r="G48" i="9"/>
  <c r="AO48" i="9"/>
  <c r="N48" i="9"/>
  <c r="AD48" i="9"/>
  <c r="C48" i="9" s="1"/>
  <c r="AS48" i="9"/>
  <c r="X48" i="9"/>
  <c r="AF48" i="9"/>
  <c r="AP48" i="9"/>
  <c r="AI48" i="9"/>
  <c r="H48" i="9"/>
  <c r="P48" i="9"/>
  <c r="AU48" i="9"/>
  <c r="AT48" i="9"/>
  <c r="AR48" i="9"/>
  <c r="E48" i="9"/>
  <c r="BA48" i="9"/>
  <c r="L48" i="9"/>
  <c r="J48" i="9"/>
  <c r="AC48" i="9"/>
  <c r="AN48" i="9"/>
  <c r="M48" i="9"/>
  <c r="Y48" i="9"/>
  <c r="M44" i="9"/>
  <c r="F44" i="9"/>
  <c r="AO44" i="9"/>
  <c r="Y44" i="9"/>
  <c r="AH44" i="9"/>
  <c r="R44" i="9"/>
  <c r="W44" i="9"/>
  <c r="N44" i="9"/>
  <c r="AR44" i="9"/>
  <c r="AT44" i="9"/>
  <c r="AI44" i="9"/>
  <c r="AQ44" i="9"/>
  <c r="H44" i="9"/>
  <c r="AF44" i="9"/>
  <c r="AB44" i="9"/>
  <c r="G44" i="9"/>
  <c r="AK44" i="9"/>
  <c r="AP44" i="9"/>
  <c r="AU44" i="9"/>
  <c r="AV44" i="9"/>
  <c r="BA44" i="9"/>
  <c r="AZ44" i="9"/>
  <c r="AY44" i="9" s="1"/>
  <c r="D44" i="9"/>
  <c r="AS44" i="9"/>
  <c r="AE44" i="9"/>
  <c r="X44" i="9"/>
  <c r="K44" i="9"/>
  <c r="Z44" i="9" s="1"/>
  <c r="AA44" i="9" s="1"/>
  <c r="P44" i="9"/>
  <c r="AJ44" i="9"/>
  <c r="AW44" i="9"/>
  <c r="AX44" i="9"/>
  <c r="J44" i="9"/>
  <c r="O44" i="9"/>
  <c r="AN44" i="9"/>
  <c r="AD44" i="9"/>
  <c r="C44" i="9" s="1"/>
  <c r="Q44" i="9"/>
  <c r="S44" i="9"/>
  <c r="T44" i="9" s="1"/>
  <c r="E44" i="9"/>
  <c r="AC44" i="9"/>
  <c r="BB44" i="9"/>
  <c r="L44" i="9"/>
  <c r="BA120" i="9"/>
  <c r="Y120" i="9"/>
  <c r="S120" i="9"/>
  <c r="T120" i="9" s="1"/>
  <c r="N120" i="9"/>
  <c r="AS120" i="9"/>
  <c r="AD120" i="9"/>
  <c r="C120" i="9" s="1"/>
  <c r="AW120" i="9"/>
  <c r="E120" i="9"/>
  <c r="P120" i="9"/>
  <c r="AU120" i="9"/>
  <c r="M120" i="9"/>
  <c r="AH120" i="9"/>
  <c r="H120" i="9"/>
  <c r="Q120" i="9"/>
  <c r="AZ120" i="9"/>
  <c r="AY120" i="9" s="1"/>
  <c r="L120" i="9"/>
  <c r="AQ120" i="9"/>
  <c r="O120" i="9"/>
  <c r="AF120" i="9"/>
  <c r="AR120" i="9"/>
  <c r="D120" i="9"/>
  <c r="AC120" i="9"/>
  <c r="G120" i="9"/>
  <c r="X120" i="9"/>
  <c r="AK120" i="9"/>
  <c r="K120" i="9"/>
  <c r="Z120" i="9" s="1"/>
  <c r="AA120" i="9" s="1"/>
  <c r="AB120" i="9"/>
  <c r="J120" i="9"/>
  <c r="AJ120" i="9"/>
  <c r="AN120" i="9"/>
  <c r="AI120" i="9"/>
  <c r="F120" i="9"/>
  <c r="AE120" i="9"/>
  <c r="AX120" i="9"/>
  <c r="W120" i="9"/>
  <c r="AT120" i="9"/>
  <c r="R120" i="9"/>
  <c r="AP120" i="9"/>
  <c r="AV120" i="9"/>
  <c r="M101" i="9"/>
  <c r="N101" i="9"/>
  <c r="AN101" i="9"/>
  <c r="AB101" i="9"/>
  <c r="F101" i="9"/>
  <c r="Q101" i="9"/>
  <c r="J101" i="9"/>
  <c r="S101" i="9"/>
  <c r="T101" i="9" s="1"/>
  <c r="H101" i="9"/>
  <c r="AE101" i="9"/>
  <c r="AX101" i="9"/>
  <c r="E101" i="9"/>
  <c r="W101" i="9"/>
  <c r="AK101" i="9"/>
  <c r="AV101" i="9"/>
  <c r="G101" i="9"/>
  <c r="X101" i="9"/>
  <c r="AS101" i="9"/>
  <c r="L101" i="9"/>
  <c r="AJ101" i="9"/>
  <c r="AF101" i="9"/>
  <c r="AH101" i="9"/>
  <c r="R101" i="9"/>
  <c r="AC101" i="9"/>
  <c r="K101" i="9"/>
  <c r="Z101" i="9" s="1"/>
  <c r="AA101" i="9" s="1"/>
  <c r="AD101" i="9"/>
  <c r="C101" i="9" s="1"/>
  <c r="AW101" i="9"/>
  <c r="P101" i="9"/>
  <c r="AP101" i="9"/>
  <c r="AQ101" i="9"/>
  <c r="AR101" i="9"/>
  <c r="AU101" i="9"/>
  <c r="O101" i="9"/>
  <c r="AI101" i="9"/>
  <c r="D101" i="9"/>
  <c r="Y101" i="9"/>
  <c r="AT101" i="9"/>
  <c r="BA101" i="9"/>
  <c r="AZ101" i="9"/>
  <c r="AY101" i="9" s="1"/>
  <c r="CD40" i="3"/>
  <c r="EK40" i="3" s="1"/>
  <c r="AZ124" i="9"/>
  <c r="AY124" i="9" s="1"/>
  <c r="O124" i="9"/>
  <c r="AC124" i="9"/>
  <c r="AV124" i="9"/>
  <c r="AT124" i="9"/>
  <c r="W124" i="9"/>
  <c r="K124" i="9"/>
  <c r="Z124" i="9" s="1"/>
  <c r="AA124" i="9" s="1"/>
  <c r="AU124" i="9"/>
  <c r="X124" i="9"/>
  <c r="J124" i="9"/>
  <c r="AI124" i="9"/>
  <c r="D124" i="9"/>
  <c r="AF124" i="9"/>
  <c r="Q124" i="9"/>
  <c r="H124" i="9"/>
  <c r="AS124" i="9"/>
  <c r="AD124" i="9"/>
  <c r="C124" i="9" s="1"/>
  <c r="AE124" i="9"/>
  <c r="AB124" i="9"/>
  <c r="R124" i="9"/>
  <c r="BA124" i="9"/>
  <c r="AJ124" i="9"/>
  <c r="S124" i="9"/>
  <c r="T124" i="9" s="1"/>
  <c r="AK124" i="9"/>
  <c r="AP124" i="9"/>
  <c r="E124" i="9"/>
  <c r="P124" i="9"/>
  <c r="AW124" i="9"/>
  <c r="F124" i="9"/>
  <c r="AH124" i="9"/>
  <c r="AX124" i="9"/>
  <c r="AR124" i="9"/>
  <c r="L124" i="9"/>
  <c r="Y124" i="9"/>
  <c r="M124" i="9"/>
  <c r="G124" i="9"/>
  <c r="AN124" i="9"/>
  <c r="N124" i="9"/>
  <c r="AQ124" i="9"/>
  <c r="Y36" i="9"/>
  <c r="J36" i="9"/>
  <c r="G36" i="9"/>
  <c r="X36" i="9"/>
  <c r="K36" i="9"/>
  <c r="Z36" i="9" s="1"/>
  <c r="AA36" i="9" s="1"/>
  <c r="AD36" i="9"/>
  <c r="C36" i="9" s="1"/>
  <c r="P36" i="9"/>
  <c r="E36" i="9"/>
  <c r="D36" i="9"/>
  <c r="L36" i="9"/>
  <c r="AU36" i="9"/>
  <c r="AJ36" i="9"/>
  <c r="AH36" i="9"/>
  <c r="AV36" i="9"/>
  <c r="AN36" i="9"/>
  <c r="Q36" i="9"/>
  <c r="BA36" i="9"/>
  <c r="AS36" i="9"/>
  <c r="AQ36" i="9"/>
  <c r="AE36" i="9"/>
  <c r="W36" i="9"/>
  <c r="S36" i="9"/>
  <c r="T36" i="9" s="1"/>
  <c r="F36" i="9"/>
  <c r="M36" i="9"/>
  <c r="O36" i="9"/>
  <c r="AB36" i="9"/>
  <c r="AK36" i="9"/>
  <c r="AZ36" i="9"/>
  <c r="AY36" i="9" s="1"/>
  <c r="N36" i="9"/>
  <c r="BB36" i="9"/>
  <c r="AT36" i="9"/>
  <c r="AP36" i="9"/>
  <c r="AF36" i="9"/>
  <c r="AC36" i="9"/>
  <c r="AR36" i="9"/>
  <c r="R36" i="9"/>
  <c r="H36" i="9"/>
  <c r="AW36" i="9"/>
  <c r="AO36" i="9"/>
  <c r="AI36" i="9"/>
  <c r="AX36" i="9"/>
  <c r="AD4" i="9"/>
  <c r="G4" i="9"/>
  <c r="F4" i="9"/>
  <c r="D4" i="9"/>
  <c r="J47" i="9"/>
  <c r="BA47" i="9"/>
  <c r="Q47" i="9"/>
  <c r="N47" i="9"/>
  <c r="K47" i="9"/>
  <c r="Z47" i="9" s="1"/>
  <c r="AA47" i="9" s="1"/>
  <c r="AX47" i="9"/>
  <c r="O47" i="9"/>
  <c r="BB47" i="9"/>
  <c r="AP47" i="9"/>
  <c r="AC47" i="9"/>
  <c r="AN47" i="9"/>
  <c r="AD47" i="9"/>
  <c r="C47" i="9" s="1"/>
  <c r="R47" i="9"/>
  <c r="AK47" i="9"/>
  <c r="AS47" i="9"/>
  <c r="E47" i="9"/>
  <c r="AB47" i="9"/>
  <c r="Y47" i="9"/>
  <c r="AF47" i="9"/>
  <c r="D47" i="9"/>
  <c r="P47" i="9"/>
  <c r="AV47" i="9"/>
  <c r="G47" i="9"/>
  <c r="L47" i="9"/>
  <c r="W47" i="9"/>
  <c r="AQ47" i="9"/>
  <c r="AZ47" i="9"/>
  <c r="AY47" i="9" s="1"/>
  <c r="AU47" i="9"/>
  <c r="H47" i="9"/>
  <c r="S47" i="9"/>
  <c r="T47" i="9" s="1"/>
  <c r="AJ47" i="9"/>
  <c r="AO47" i="9"/>
  <c r="X47" i="9"/>
  <c r="AR47" i="9"/>
  <c r="AT47" i="9"/>
  <c r="AW47" i="9"/>
  <c r="AI47" i="9"/>
  <c r="AE47" i="9"/>
  <c r="AH47" i="9"/>
  <c r="M47" i="9"/>
  <c r="F47" i="9"/>
  <c r="AH116" i="9"/>
  <c r="AZ116" i="9"/>
  <c r="AY116" i="9" s="1"/>
  <c r="AE116" i="9"/>
  <c r="AT116" i="9"/>
  <c r="AI116" i="9"/>
  <c r="AX116" i="9"/>
  <c r="S116" i="9"/>
  <c r="T116" i="9" s="1"/>
  <c r="G116" i="9"/>
  <c r="X116" i="9"/>
  <c r="AK116" i="9"/>
  <c r="AD116" i="9"/>
  <c r="C116" i="9" s="1"/>
  <c r="AV116" i="9"/>
  <c r="AW116" i="9"/>
  <c r="E116" i="9"/>
  <c r="BA116" i="9"/>
  <c r="Y116" i="9"/>
  <c r="M116" i="9"/>
  <c r="W116" i="9"/>
  <c r="AP116" i="9"/>
  <c r="F116" i="9"/>
  <c r="AN116" i="9"/>
  <c r="L116" i="9"/>
  <c r="AQ116" i="9"/>
  <c r="P116" i="9"/>
  <c r="AU116" i="9"/>
  <c r="D116" i="9"/>
  <c r="AC116" i="9"/>
  <c r="AS116" i="9"/>
  <c r="AB116" i="9"/>
  <c r="AJ116" i="9"/>
  <c r="N116" i="9"/>
  <c r="O116" i="9"/>
  <c r="J116" i="9"/>
  <c r="R116" i="9"/>
  <c r="AF116" i="9"/>
  <c r="H116" i="9"/>
  <c r="K116" i="9"/>
  <c r="Z116" i="9" s="1"/>
  <c r="AA116" i="9" s="1"/>
  <c r="AR116" i="9"/>
  <c r="Q116" i="9"/>
  <c r="Q100" i="9"/>
  <c r="AD100" i="9"/>
  <c r="C100" i="9" s="1"/>
  <c r="N100" i="9"/>
  <c r="AU100" i="9"/>
  <c r="AC100" i="9"/>
  <c r="AX100" i="9"/>
  <c r="H100" i="9"/>
  <c r="AW100" i="9"/>
  <c r="AE100" i="9"/>
  <c r="K100" i="9"/>
  <c r="Z100" i="9" s="1"/>
  <c r="AA100" i="9" s="1"/>
  <c r="AR100" i="9"/>
  <c r="AB100" i="9"/>
  <c r="E100" i="9"/>
  <c r="AJ100" i="9"/>
  <c r="AK100" i="9"/>
  <c r="AT100" i="9"/>
  <c r="AS100" i="9"/>
  <c r="W100" i="9"/>
  <c r="G100" i="9"/>
  <c r="M100" i="9"/>
  <c r="F100" i="9"/>
  <c r="AH100" i="9"/>
  <c r="J100" i="9"/>
  <c r="AQ100" i="9"/>
  <c r="X100" i="9"/>
  <c r="AF100" i="9"/>
  <c r="S100" i="9"/>
  <c r="T100" i="9" s="1"/>
  <c r="AN100" i="9"/>
  <c r="Y100" i="9"/>
  <c r="D100" i="9"/>
  <c r="AP100" i="9"/>
  <c r="P100" i="9"/>
  <c r="AV100" i="9"/>
  <c r="L100" i="9"/>
  <c r="R100" i="9"/>
  <c r="AI100" i="9"/>
  <c r="O100" i="9"/>
  <c r="BA100" i="9"/>
  <c r="AZ100" i="9"/>
  <c r="AY100" i="9" s="1"/>
  <c r="AO55" i="9"/>
  <c r="M55" i="9"/>
  <c r="AH55" i="9"/>
  <c r="H55" i="9"/>
  <c r="Q55" i="9"/>
  <c r="AZ55" i="9"/>
  <c r="AY55" i="9" s="1"/>
  <c r="L55" i="9"/>
  <c r="AQ55" i="9"/>
  <c r="AI55" i="9"/>
  <c r="AX55" i="9"/>
  <c r="R55" i="9"/>
  <c r="D55" i="9"/>
  <c r="AC55" i="9"/>
  <c r="G55" i="9"/>
  <c r="X55" i="9"/>
  <c r="AK55" i="9"/>
  <c r="K55" i="9"/>
  <c r="Z55" i="9" s="1"/>
  <c r="AA55" i="9" s="1"/>
  <c r="AB55" i="9"/>
  <c r="J55" i="9"/>
  <c r="BA55" i="9"/>
  <c r="Y55" i="9"/>
  <c r="AJ55" i="9"/>
  <c r="F55" i="9"/>
  <c r="W55" i="9"/>
  <c r="AP55" i="9"/>
  <c r="AN55" i="9"/>
  <c r="AE55" i="9"/>
  <c r="AT55" i="9"/>
  <c r="AV55" i="9"/>
  <c r="P55" i="9"/>
  <c r="AU55" i="9"/>
  <c r="S55" i="9"/>
  <c r="T55" i="9" s="1"/>
  <c r="BB55" i="9"/>
  <c r="N55" i="9"/>
  <c r="AS55" i="9"/>
  <c r="AD55" i="9"/>
  <c r="C55" i="9" s="1"/>
  <c r="AW55" i="9"/>
  <c r="E55" i="9"/>
  <c r="O55" i="9"/>
  <c r="AF55" i="9"/>
  <c r="AR55" i="9"/>
  <c r="CD39" i="3"/>
  <c r="EK39" i="3" s="1"/>
  <c r="L58" i="9"/>
  <c r="AI58" i="9"/>
  <c r="BB58" i="9"/>
  <c r="Q58" i="9"/>
  <c r="AT58" i="9"/>
  <c r="W58" i="9"/>
  <c r="G58" i="9"/>
  <c r="AR58" i="9"/>
  <c r="AU58" i="9"/>
  <c r="R58" i="9"/>
  <c r="P58" i="9"/>
  <c r="AO58" i="9"/>
  <c r="AE58" i="9"/>
  <c r="AX58" i="9"/>
  <c r="AF58" i="9"/>
  <c r="O58" i="9"/>
  <c r="BA58" i="9"/>
  <c r="K58" i="9"/>
  <c r="Z58" i="9" s="1"/>
  <c r="AA58" i="9" s="1"/>
  <c r="S58" i="9"/>
  <c r="T58" i="9" s="1"/>
  <c r="D58" i="9"/>
  <c r="Y58" i="9"/>
  <c r="AS58" i="9"/>
  <c r="E58" i="9"/>
  <c r="AJ58" i="9"/>
  <c r="F58" i="9"/>
  <c r="AQ58" i="9"/>
  <c r="X58" i="9"/>
  <c r="J58" i="9"/>
  <c r="AC58" i="9"/>
  <c r="AK58" i="9"/>
  <c r="H58" i="9"/>
  <c r="AD58" i="9"/>
  <c r="C58" i="9" s="1"/>
  <c r="AW58" i="9"/>
  <c r="M58" i="9"/>
  <c r="AP58" i="9"/>
  <c r="N58" i="9"/>
  <c r="AZ58" i="9"/>
  <c r="AY58" i="9" s="1"/>
  <c r="AH58" i="9"/>
  <c r="AB58" i="9"/>
  <c r="AV58" i="9"/>
  <c r="AN58" i="9"/>
  <c r="O30" i="9"/>
  <c r="X30" i="9"/>
  <c r="S30" i="9"/>
  <c r="T30" i="9" s="1"/>
  <c r="AB30" i="9"/>
  <c r="E30" i="9"/>
  <c r="G30" i="9"/>
  <c r="W30" i="9"/>
  <c r="AF30" i="9"/>
  <c r="K30" i="9"/>
  <c r="Z30" i="9" s="1"/>
  <c r="AA30" i="9" s="1"/>
  <c r="AE30" i="9"/>
  <c r="AX30" i="9"/>
  <c r="AJ30" i="9"/>
  <c r="AT30" i="9"/>
  <c r="L30" i="9"/>
  <c r="AO30" i="9"/>
  <c r="D30" i="9"/>
  <c r="P30" i="9"/>
  <c r="AS30" i="9"/>
  <c r="AP30" i="9"/>
  <c r="BB30" i="9"/>
  <c r="AW30" i="9"/>
  <c r="H30" i="9"/>
  <c r="AI30" i="9"/>
  <c r="AK30" i="9"/>
  <c r="AC30" i="9"/>
  <c r="AD30" i="9"/>
  <c r="R30" i="9"/>
  <c r="AU30" i="9"/>
  <c r="AN30" i="9"/>
  <c r="AZ30" i="9"/>
  <c r="AY30" i="9" s="1"/>
  <c r="N30" i="9"/>
  <c r="F30" i="9"/>
  <c r="AV30" i="9"/>
  <c r="M30" i="9"/>
  <c r="AQ30" i="9"/>
  <c r="Y30" i="9"/>
  <c r="Q30" i="9"/>
  <c r="J30" i="9"/>
  <c r="AH30" i="9"/>
  <c r="AR30" i="9"/>
  <c r="BA30" i="9"/>
  <c r="AD52" i="9"/>
  <c r="C52" i="9" s="1"/>
  <c r="M52" i="9"/>
  <c r="AK52" i="9"/>
  <c r="F52" i="9"/>
  <c r="AC52" i="9"/>
  <c r="BA52" i="9"/>
  <c r="X52" i="9"/>
  <c r="K52" i="9"/>
  <c r="Z52" i="9" s="1"/>
  <c r="AA52" i="9" s="1"/>
  <c r="AS52" i="9"/>
  <c r="AF52" i="9"/>
  <c r="AQ52" i="9"/>
  <c r="AH52" i="9"/>
  <c r="AU52" i="9"/>
  <c r="AT52" i="9"/>
  <c r="AI52" i="9"/>
  <c r="H52" i="9"/>
  <c r="BB52" i="9"/>
  <c r="W52" i="9"/>
  <c r="P52" i="9"/>
  <c r="J52" i="9"/>
  <c r="AZ52" i="9"/>
  <c r="AY52" i="9" s="1"/>
  <c r="AR52" i="9"/>
  <c r="Q52" i="9"/>
  <c r="AV52" i="9"/>
  <c r="AB52" i="9"/>
  <c r="O52" i="9"/>
  <c r="AW52" i="9"/>
  <c r="AJ52" i="9"/>
  <c r="G52" i="9"/>
  <c r="AO52" i="9"/>
  <c r="R52" i="9"/>
  <c r="E52" i="9"/>
  <c r="N52" i="9"/>
  <c r="AN52" i="9"/>
  <c r="Y52" i="9"/>
  <c r="L52" i="9"/>
  <c r="AP52" i="9"/>
  <c r="AE52" i="9"/>
  <c r="D52" i="9"/>
  <c r="AX52" i="9"/>
  <c r="S52" i="9"/>
  <c r="T52" i="9" s="1"/>
  <c r="N112" i="9"/>
  <c r="AV112" i="9"/>
  <c r="AZ112" i="9"/>
  <c r="AY112" i="9" s="1"/>
  <c r="P112" i="9"/>
  <c r="AU112" i="9"/>
  <c r="AJ112" i="9"/>
  <c r="G112" i="9"/>
  <c r="X112" i="9"/>
  <c r="AK112" i="9"/>
  <c r="L112" i="9"/>
  <c r="AQ112" i="9"/>
  <c r="J112" i="9"/>
  <c r="AH112" i="9"/>
  <c r="O112" i="9"/>
  <c r="AF112" i="9"/>
  <c r="S112" i="9"/>
  <c r="T112" i="9" s="1"/>
  <c r="W112" i="9"/>
  <c r="AP112" i="9"/>
  <c r="K112" i="9"/>
  <c r="Z112" i="9" s="1"/>
  <c r="AA112" i="9" s="1"/>
  <c r="AB112" i="9"/>
  <c r="AN112" i="9"/>
  <c r="AD112" i="9"/>
  <c r="C112" i="9" s="1"/>
  <c r="AI112" i="9"/>
  <c r="AX112" i="9"/>
  <c r="M112" i="9"/>
  <c r="AS112" i="9"/>
  <c r="AE112" i="9"/>
  <c r="AT112" i="9"/>
  <c r="R112" i="9"/>
  <c r="D112" i="9"/>
  <c r="AW112" i="9"/>
  <c r="F112" i="9"/>
  <c r="AC112" i="9"/>
  <c r="E112" i="9"/>
  <c r="BA112" i="9"/>
  <c r="H112" i="9"/>
  <c r="AR112" i="9"/>
  <c r="Y112" i="9"/>
  <c r="Q112" i="9"/>
  <c r="Y53" i="9"/>
  <c r="AZ53" i="9"/>
  <c r="AY53" i="9" s="1"/>
  <c r="AH53" i="9"/>
  <c r="H53" i="9"/>
  <c r="J53" i="9"/>
  <c r="AU53" i="9"/>
  <c r="F53" i="9"/>
  <c r="AS53" i="9"/>
  <c r="S53" i="9"/>
  <c r="T53" i="9" s="1"/>
  <c r="X53" i="9"/>
  <c r="AK53" i="9"/>
  <c r="AV53" i="9"/>
  <c r="E53" i="9"/>
  <c r="AD53" i="9"/>
  <c r="C53" i="9" s="1"/>
  <c r="AJ53" i="9"/>
  <c r="P53" i="9"/>
  <c r="AW53" i="9"/>
  <c r="W53" i="9"/>
  <c r="BA53" i="9"/>
  <c r="M53" i="9"/>
  <c r="AX53" i="9"/>
  <c r="D53" i="9"/>
  <c r="R53" i="9"/>
  <c r="AC53" i="9"/>
  <c r="N53" i="9"/>
  <c r="AT53" i="9"/>
  <c r="AQ53" i="9"/>
  <c r="AE53" i="9"/>
  <c r="G53" i="9"/>
  <c r="AI53" i="9"/>
  <c r="AN53" i="9"/>
  <c r="L53" i="9"/>
  <c r="AB53" i="9"/>
  <c r="AR53" i="9"/>
  <c r="BB53" i="9"/>
  <c r="AP53" i="9"/>
  <c r="Q53" i="9"/>
  <c r="AF53" i="9"/>
  <c r="K53" i="9"/>
  <c r="Z53" i="9" s="1"/>
  <c r="AA53" i="9" s="1"/>
  <c r="AO53" i="9"/>
  <c r="O53" i="9"/>
  <c r="N99" i="9"/>
  <c r="F99" i="9"/>
  <c r="AH99" i="9"/>
  <c r="AP99" i="9"/>
  <c r="X99" i="9"/>
  <c r="D99" i="9"/>
  <c r="AI99" i="9"/>
  <c r="O99" i="9"/>
  <c r="J99" i="9"/>
  <c r="AC99" i="9"/>
  <c r="Q99" i="9"/>
  <c r="M99" i="9"/>
  <c r="AU99" i="9"/>
  <c r="AJ99" i="9"/>
  <c r="P99" i="9"/>
  <c r="AW99" i="9"/>
  <c r="AE99" i="9"/>
  <c r="K99" i="9"/>
  <c r="Z99" i="9" s="1"/>
  <c r="AA99" i="9" s="1"/>
  <c r="R99" i="9"/>
  <c r="AN99" i="9"/>
  <c r="AD99" i="9"/>
  <c r="C99" i="9" s="1"/>
  <c r="AK99" i="9"/>
  <c r="Y99" i="9"/>
  <c r="AX99" i="9"/>
  <c r="AF99" i="9"/>
  <c r="AG99" i="9" s="1"/>
  <c r="L99" i="9"/>
  <c r="AS99" i="9"/>
  <c r="W99" i="9"/>
  <c r="G99" i="9"/>
  <c r="E99" i="9"/>
  <c r="AV99" i="9"/>
  <c r="AQ99" i="9"/>
  <c r="AR99" i="9"/>
  <c r="AT99" i="9"/>
  <c r="AB99" i="9"/>
  <c r="H99" i="9"/>
  <c r="S99" i="9"/>
  <c r="T99" i="9" s="1"/>
  <c r="BA99" i="9"/>
  <c r="AZ99" i="9"/>
  <c r="AY99" i="9" s="1"/>
  <c r="L49" i="9"/>
  <c r="AB49" i="9"/>
  <c r="AW49" i="9"/>
  <c r="AJ49" i="9"/>
  <c r="AI49" i="9"/>
  <c r="Q49" i="9"/>
  <c r="AS49" i="9"/>
  <c r="BB49" i="9"/>
  <c r="D49" i="9"/>
  <c r="AU49" i="9"/>
  <c r="AK49" i="9"/>
  <c r="AE49" i="9"/>
  <c r="AO49" i="9"/>
  <c r="AX49" i="9"/>
  <c r="J49" i="9"/>
  <c r="E49" i="9"/>
  <c r="P49" i="9"/>
  <c r="AP49" i="9"/>
  <c r="BA49" i="9"/>
  <c r="M49" i="9"/>
  <c r="AD49" i="9"/>
  <c r="C49" i="9" s="1"/>
  <c r="AT49" i="9"/>
  <c r="Y49" i="9"/>
  <c r="R49" i="9"/>
  <c r="H49" i="9"/>
  <c r="F49" i="9"/>
  <c r="G49" i="9"/>
  <c r="W49" i="9"/>
  <c r="AH49" i="9"/>
  <c r="O49" i="9"/>
  <c r="S49" i="9"/>
  <c r="T49" i="9" s="1"/>
  <c r="AV49" i="9"/>
  <c r="AN49" i="9"/>
  <c r="AC49" i="9"/>
  <c r="AF49" i="9"/>
  <c r="X49" i="9"/>
  <c r="K49" i="9"/>
  <c r="Z49" i="9" s="1"/>
  <c r="AA49" i="9" s="1"/>
  <c r="AQ49" i="9"/>
  <c r="AR49" i="9"/>
  <c r="AZ49" i="9"/>
  <c r="AY49" i="9" s="1"/>
  <c r="N49" i="9"/>
  <c r="W121" i="9"/>
  <c r="AI121" i="9"/>
  <c r="BA121" i="9"/>
  <c r="AE121" i="9"/>
  <c r="AX121" i="9"/>
  <c r="M121" i="9"/>
  <c r="AF121" i="9"/>
  <c r="AZ121" i="9"/>
  <c r="AY121" i="9" s="1"/>
  <c r="AV121" i="9"/>
  <c r="AD121" i="9"/>
  <c r="C121" i="9" s="1"/>
  <c r="AB121" i="9"/>
  <c r="D121" i="9"/>
  <c r="Q121" i="9"/>
  <c r="F121" i="9"/>
  <c r="J121" i="9"/>
  <c r="N121" i="9"/>
  <c r="R121" i="9"/>
  <c r="AR121" i="9"/>
  <c r="AP121" i="9"/>
  <c r="AQ121" i="9"/>
  <c r="AH121" i="9"/>
  <c r="L121" i="9"/>
  <c r="G121" i="9"/>
  <c r="K121" i="9"/>
  <c r="Z121" i="9" s="1"/>
  <c r="AA121" i="9" s="1"/>
  <c r="O121" i="9"/>
  <c r="S121" i="9"/>
  <c r="T121" i="9" s="1"/>
  <c r="AS121" i="9"/>
  <c r="X121" i="9"/>
  <c r="AW121" i="9"/>
  <c r="AU121" i="9"/>
  <c r="H121" i="9"/>
  <c r="P121" i="9"/>
  <c r="Y121" i="9"/>
  <c r="AJ121" i="9"/>
  <c r="AT121" i="9"/>
  <c r="AK121" i="9"/>
  <c r="E121" i="9"/>
  <c r="AC121" i="9"/>
  <c r="AN121" i="9"/>
  <c r="F54" i="9"/>
  <c r="J54" i="9"/>
  <c r="AZ54" i="9"/>
  <c r="AY54" i="9" s="1"/>
  <c r="N54" i="9"/>
  <c r="AD54" i="9"/>
  <c r="C54" i="9" s="1"/>
  <c r="AX54" i="9"/>
  <c r="BA54" i="9"/>
  <c r="Q54" i="9"/>
  <c r="AP54" i="9"/>
  <c r="AS54" i="9"/>
  <c r="AK54" i="9"/>
  <c r="R54" i="9"/>
  <c r="AH54" i="9"/>
  <c r="E54" i="9"/>
  <c r="AN54" i="9"/>
  <c r="AW54" i="9"/>
  <c r="AB54" i="9"/>
  <c r="P54" i="9"/>
  <c r="S54" i="9"/>
  <c r="T54" i="9" s="1"/>
  <c r="AU54" i="9"/>
  <c r="H54" i="9"/>
  <c r="AF54" i="9"/>
  <c r="AV54" i="9"/>
  <c r="AC54" i="9"/>
  <c r="AQ54" i="9"/>
  <c r="L54" i="9"/>
  <c r="O54" i="9"/>
  <c r="AJ54" i="9"/>
  <c r="AO54" i="9"/>
  <c r="G54" i="9"/>
  <c r="Y54" i="9"/>
  <c r="AR54" i="9"/>
  <c r="W54" i="9"/>
  <c r="M54" i="9"/>
  <c r="K54" i="9"/>
  <c r="Z54" i="9" s="1"/>
  <c r="AA54" i="9" s="1"/>
  <c r="AE54" i="9"/>
  <c r="AI54" i="9"/>
  <c r="BB54" i="9"/>
  <c r="D54" i="9"/>
  <c r="X54" i="9"/>
  <c r="AT54" i="9"/>
  <c r="AD39" i="9"/>
  <c r="C39" i="9" s="1"/>
  <c r="R39" i="9"/>
  <c r="AS39" i="9"/>
  <c r="J39" i="9"/>
  <c r="AH39" i="9"/>
  <c r="AV39" i="9"/>
  <c r="H39" i="9"/>
  <c r="Q39" i="9"/>
  <c r="AW39" i="9"/>
  <c r="E39" i="9"/>
  <c r="AI39" i="9"/>
  <c r="AX39" i="9"/>
  <c r="S39" i="9"/>
  <c r="T39" i="9" s="1"/>
  <c r="BB39" i="9"/>
  <c r="N39" i="9"/>
  <c r="AN39" i="9"/>
  <c r="G39" i="9"/>
  <c r="X39" i="9"/>
  <c r="AK39" i="9"/>
  <c r="L39" i="9"/>
  <c r="AQ39" i="9"/>
  <c r="BA39" i="9"/>
  <c r="Y39" i="9"/>
  <c r="AO39" i="9"/>
  <c r="M39" i="9"/>
  <c r="AZ39" i="9"/>
  <c r="AY39" i="9" s="1"/>
  <c r="F39" i="9"/>
  <c r="W39" i="9"/>
  <c r="AP39" i="9"/>
  <c r="K39" i="9"/>
  <c r="Z39" i="9" s="1"/>
  <c r="AA39" i="9" s="1"/>
  <c r="AB39" i="9"/>
  <c r="AR39" i="9"/>
  <c r="P39" i="9"/>
  <c r="AU39" i="9"/>
  <c r="D39" i="9"/>
  <c r="AC39" i="9"/>
  <c r="AF39" i="9"/>
  <c r="AE39" i="9"/>
  <c r="AT39" i="9"/>
  <c r="AJ39" i="9"/>
  <c r="O39" i="9"/>
  <c r="CD67" i="3"/>
  <c r="EK67" i="3" s="1"/>
  <c r="G6" i="9"/>
  <c r="D6" i="9"/>
  <c r="F6" i="9"/>
  <c r="AD6" i="9"/>
  <c r="C6" i="9" s="1"/>
  <c r="R118" i="9"/>
  <c r="AB118" i="9"/>
  <c r="H118" i="9"/>
  <c r="AX118" i="9"/>
  <c r="AH118" i="9"/>
  <c r="AR118" i="9"/>
  <c r="AS118" i="9"/>
  <c r="G118" i="9"/>
  <c r="AV118" i="9"/>
  <c r="AZ118" i="9"/>
  <c r="AY118" i="9" s="1"/>
  <c r="AP118" i="9"/>
  <c r="X118" i="9"/>
  <c r="L118" i="9"/>
  <c r="AU118" i="9"/>
  <c r="Y118" i="9"/>
  <c r="AQ118" i="9"/>
  <c r="N118" i="9"/>
  <c r="F118" i="9"/>
  <c r="O118" i="9"/>
  <c r="AD118" i="9"/>
  <c r="C118" i="9" s="1"/>
  <c r="AW118" i="9"/>
  <c r="AE118" i="9"/>
  <c r="K118" i="9"/>
  <c r="Z118" i="9" s="1"/>
  <c r="AA118" i="9" s="1"/>
  <c r="AK118" i="9"/>
  <c r="Q118" i="9"/>
  <c r="M118" i="9"/>
  <c r="W118" i="9"/>
  <c r="D118" i="9"/>
  <c r="BA118" i="9"/>
  <c r="AC118" i="9"/>
  <c r="E118" i="9"/>
  <c r="S118" i="9"/>
  <c r="T118" i="9" s="1"/>
  <c r="AN118" i="9"/>
  <c r="AT118" i="9"/>
  <c r="J118" i="9"/>
  <c r="P118" i="9"/>
  <c r="AF118" i="9"/>
  <c r="AJ118" i="9"/>
  <c r="AI118" i="9"/>
  <c r="R97" i="9"/>
  <c r="AC97" i="9"/>
  <c r="D97" i="9"/>
  <c r="E97" i="9"/>
  <c r="AE97" i="9"/>
  <c r="AX97" i="9"/>
  <c r="O97" i="9"/>
  <c r="N97" i="9"/>
  <c r="J97" i="9"/>
  <c r="AN97" i="9"/>
  <c r="AK97" i="9"/>
  <c r="H97" i="9"/>
  <c r="Y97" i="9"/>
  <c r="AS97" i="9"/>
  <c r="M97" i="9"/>
  <c r="AJ97" i="9"/>
  <c r="AR97" i="9"/>
  <c r="G97" i="9"/>
  <c r="AQ97" i="9"/>
  <c r="F97" i="9"/>
  <c r="AB97" i="9"/>
  <c r="S97" i="9"/>
  <c r="T97" i="9" s="1"/>
  <c r="K97" i="9"/>
  <c r="Z97" i="9" s="1"/>
  <c r="AA97" i="9" s="1"/>
  <c r="L97" i="9"/>
  <c r="AD97" i="9"/>
  <c r="C97" i="9" s="1"/>
  <c r="AW97" i="9"/>
  <c r="Q97" i="9"/>
  <c r="AP97" i="9"/>
  <c r="AH97" i="9"/>
  <c r="AF97" i="9"/>
  <c r="AU97" i="9"/>
  <c r="AV97" i="9"/>
  <c r="P97" i="9"/>
  <c r="AI97" i="9"/>
  <c r="AT97" i="9"/>
  <c r="X97" i="9"/>
  <c r="W97" i="9"/>
  <c r="AZ97" i="9"/>
  <c r="AY97" i="9" s="1"/>
  <c r="BA97" i="9"/>
  <c r="CD72" i="3"/>
  <c r="EK72" i="3" s="1"/>
  <c r="AN57" i="9"/>
  <c r="P57" i="9"/>
  <c r="AV57" i="9"/>
  <c r="E57" i="9"/>
  <c r="AC57" i="9"/>
  <c r="AH57" i="9"/>
  <c r="AS57" i="9"/>
  <c r="G57" i="9"/>
  <c r="BA57" i="9"/>
  <c r="M57" i="9"/>
  <c r="J57" i="9"/>
  <c r="AI57" i="9"/>
  <c r="O57" i="9"/>
  <c r="AW57" i="9"/>
  <c r="AE57" i="9"/>
  <c r="K57" i="9"/>
  <c r="Z57" i="9" s="1"/>
  <c r="AA57" i="9" s="1"/>
  <c r="S57" i="9"/>
  <c r="T57" i="9" s="1"/>
  <c r="AF57" i="9"/>
  <c r="AK57" i="9"/>
  <c r="AD57" i="9"/>
  <c r="C57" i="9" s="1"/>
  <c r="AT57" i="9"/>
  <c r="X57" i="9"/>
  <c r="F57" i="9"/>
  <c r="Q57" i="9"/>
  <c r="R57" i="9"/>
  <c r="BB57" i="9"/>
  <c r="W57" i="9"/>
  <c r="AO57" i="9"/>
  <c r="AB57" i="9"/>
  <c r="AZ57" i="9"/>
  <c r="AY57" i="9" s="1"/>
  <c r="AR57" i="9"/>
  <c r="AU57" i="9"/>
  <c r="AP57" i="9"/>
  <c r="Y57" i="9"/>
  <c r="AX57" i="9"/>
  <c r="N57" i="9"/>
  <c r="H57" i="9"/>
  <c r="AJ57" i="9"/>
  <c r="L57" i="9"/>
  <c r="AQ57" i="9"/>
  <c r="D57" i="9"/>
  <c r="R95" i="9"/>
  <c r="AD95" i="9"/>
  <c r="C95" i="9" s="1"/>
  <c r="Q95" i="9"/>
  <c r="F95" i="9"/>
  <c r="AF95" i="9"/>
  <c r="G95" i="9"/>
  <c r="H95" i="9"/>
  <c r="AE95" i="9"/>
  <c r="AV95" i="9"/>
  <c r="AQ95" i="9"/>
  <c r="E95" i="9"/>
  <c r="M95" i="9"/>
  <c r="AU95" i="9"/>
  <c r="P95" i="9"/>
  <c r="AT95" i="9"/>
  <c r="S95" i="9"/>
  <c r="T95" i="9" s="1"/>
  <c r="BA95" i="9"/>
  <c r="AJ95" i="9"/>
  <c r="K95" i="9"/>
  <c r="Z95" i="9" s="1"/>
  <c r="AA95" i="9" s="1"/>
  <c r="J95" i="9"/>
  <c r="AH95" i="9"/>
  <c r="AR95" i="9"/>
  <c r="AZ95" i="9"/>
  <c r="AY95" i="9" s="1"/>
  <c r="AN95" i="9"/>
  <c r="AS95" i="9"/>
  <c r="AB95" i="9"/>
  <c r="AP95" i="9"/>
  <c r="AI95" i="9"/>
  <c r="D95" i="9"/>
  <c r="AC95" i="9"/>
  <c r="N95" i="9"/>
  <c r="Y95" i="9"/>
  <c r="AK95" i="9"/>
  <c r="AX95" i="9"/>
  <c r="W95" i="9"/>
  <c r="L95" i="9"/>
  <c r="X95" i="9"/>
  <c r="O95" i="9"/>
  <c r="AW95" i="9"/>
  <c r="X110" i="9"/>
  <c r="N110" i="9"/>
  <c r="W110" i="9"/>
  <c r="AT110" i="9"/>
  <c r="J110" i="9"/>
  <c r="AJ110" i="9"/>
  <c r="AP110" i="9"/>
  <c r="AW110" i="9"/>
  <c r="AV110" i="9"/>
  <c r="AI110" i="9"/>
  <c r="AF110" i="9"/>
  <c r="O110" i="9"/>
  <c r="G110" i="9"/>
  <c r="M110" i="9"/>
  <c r="AN110" i="9"/>
  <c r="BA110" i="9"/>
  <c r="P110" i="9"/>
  <c r="R110" i="9"/>
  <c r="K110" i="9"/>
  <c r="Z110" i="9" s="1"/>
  <c r="AA110" i="9" s="1"/>
  <c r="AQ110" i="9"/>
  <c r="AR110" i="9"/>
  <c r="AU110" i="9"/>
  <c r="AX110" i="9"/>
  <c r="AC110" i="9"/>
  <c r="AH110" i="9"/>
  <c r="L110" i="9"/>
  <c r="AB110" i="9"/>
  <c r="S110" i="9"/>
  <c r="T110" i="9" s="1"/>
  <c r="AE110" i="9"/>
  <c r="D110" i="9"/>
  <c r="AZ110" i="9"/>
  <c r="AY110" i="9" s="1"/>
  <c r="Y110" i="9"/>
  <c r="Q110" i="9"/>
  <c r="AK110" i="9"/>
  <c r="H110" i="9"/>
  <c r="AS110" i="9"/>
  <c r="F110" i="9"/>
  <c r="AD110" i="9"/>
  <c r="C110" i="9" s="1"/>
  <c r="E110" i="9"/>
  <c r="AZ94" i="9"/>
  <c r="AY94" i="9" s="1"/>
  <c r="N94" i="9"/>
  <c r="O94" i="9"/>
  <c r="AF94" i="9"/>
  <c r="S94" i="9"/>
  <c r="T94" i="9" s="1"/>
  <c r="W94" i="9"/>
  <c r="AP94" i="9"/>
  <c r="K94" i="9"/>
  <c r="Z94" i="9" s="1"/>
  <c r="AA94" i="9" s="1"/>
  <c r="AB94" i="9"/>
  <c r="R94" i="9"/>
  <c r="F94" i="9"/>
  <c r="AI94" i="9"/>
  <c r="AX94" i="9"/>
  <c r="M94" i="9"/>
  <c r="AS94" i="9"/>
  <c r="AE94" i="9"/>
  <c r="AT94" i="9"/>
  <c r="AR94" i="9"/>
  <c r="AV94" i="9"/>
  <c r="AH94" i="9"/>
  <c r="BA94" i="9"/>
  <c r="Y94" i="9"/>
  <c r="D94" i="9"/>
  <c r="AC94" i="9"/>
  <c r="H94" i="9"/>
  <c r="Q94" i="9"/>
  <c r="AW94" i="9"/>
  <c r="E94" i="9"/>
  <c r="AD94" i="9"/>
  <c r="C94" i="9" s="1"/>
  <c r="J94" i="9"/>
  <c r="AN94" i="9"/>
  <c r="P94" i="9"/>
  <c r="AU94" i="9"/>
  <c r="AJ94" i="9"/>
  <c r="G94" i="9"/>
  <c r="X94" i="9"/>
  <c r="AK94" i="9"/>
  <c r="L94" i="9"/>
  <c r="AQ94" i="9"/>
  <c r="CD69" i="3"/>
  <c r="EK69" i="3" s="1"/>
  <c r="X40" i="9"/>
  <c r="AF40" i="9"/>
  <c r="P40" i="9"/>
  <c r="AZ40" i="9"/>
  <c r="AY40" i="9" s="1"/>
  <c r="AO40" i="9"/>
  <c r="AE40" i="9"/>
  <c r="F40" i="9"/>
  <c r="N40" i="9"/>
  <c r="AR40" i="9"/>
  <c r="BB40" i="9"/>
  <c r="M40" i="9"/>
  <c r="K40" i="9"/>
  <c r="Z40" i="9" s="1"/>
  <c r="AA40" i="9" s="1"/>
  <c r="W40" i="9"/>
  <c r="AN40" i="9"/>
  <c r="AW40" i="9"/>
  <c r="AI40" i="9"/>
  <c r="AQ40" i="9"/>
  <c r="J40" i="9"/>
  <c r="G40" i="9"/>
  <c r="AS40" i="9"/>
  <c r="Q40" i="9"/>
  <c r="AC40" i="9"/>
  <c r="BA40" i="9"/>
  <c r="AV40" i="9"/>
  <c r="O40" i="9"/>
  <c r="AP40" i="9"/>
  <c r="AJ40" i="9"/>
  <c r="AK40" i="9"/>
  <c r="AX40" i="9"/>
  <c r="AD40" i="9"/>
  <c r="C40" i="9" s="1"/>
  <c r="Y40" i="9"/>
  <c r="D40" i="9"/>
  <c r="S40" i="9"/>
  <c r="AT40" i="9"/>
  <c r="AB40" i="9"/>
  <c r="AH40" i="9"/>
  <c r="AU40" i="9"/>
  <c r="E40" i="9"/>
  <c r="R40" i="9"/>
  <c r="L40" i="9"/>
  <c r="H40" i="9"/>
  <c r="R60" i="9"/>
  <c r="AN60" i="9"/>
  <c r="AZ60" i="9"/>
  <c r="AY60" i="9" s="1"/>
  <c r="AW60" i="9"/>
  <c r="X60" i="9"/>
  <c r="AQ60" i="9"/>
  <c r="AT60" i="9"/>
  <c r="N60" i="9"/>
  <c r="AE60" i="9"/>
  <c r="D60" i="9"/>
  <c r="AC60" i="9"/>
  <c r="W60" i="9"/>
  <c r="AO60" i="9"/>
  <c r="G60" i="9"/>
  <c r="AV60" i="9"/>
  <c r="AP60" i="9"/>
  <c r="S60" i="9"/>
  <c r="T60" i="9" s="1"/>
  <c r="AK60" i="9"/>
  <c r="P60" i="9"/>
  <c r="E60" i="9"/>
  <c r="AU60" i="9"/>
  <c r="AS60" i="9"/>
  <c r="M60" i="9"/>
  <c r="K60" i="9"/>
  <c r="Z60" i="9" s="1"/>
  <c r="AA60" i="9" s="1"/>
  <c r="Y60" i="9"/>
  <c r="AR60" i="9"/>
  <c r="L60" i="9"/>
  <c r="J60" i="9"/>
  <c r="AF60" i="9"/>
  <c r="BA60" i="9"/>
  <c r="AJ60" i="9"/>
  <c r="Q60" i="9"/>
  <c r="F60" i="9"/>
  <c r="AH60" i="9"/>
  <c r="H60" i="9"/>
  <c r="O60" i="9"/>
  <c r="AB60" i="9"/>
  <c r="AI60" i="9"/>
  <c r="AX60" i="9"/>
  <c r="AD60" i="9"/>
  <c r="C60" i="9" s="1"/>
  <c r="BB60" i="9"/>
  <c r="AS109" i="9"/>
  <c r="AU109" i="9"/>
  <c r="J109" i="9"/>
  <c r="BA109" i="9"/>
  <c r="M109" i="9"/>
  <c r="Q109" i="9"/>
  <c r="E109" i="9"/>
  <c r="H109" i="9"/>
  <c r="W109" i="9"/>
  <c r="AK109" i="9"/>
  <c r="K109" i="9"/>
  <c r="Z109" i="9" s="1"/>
  <c r="AA109" i="9" s="1"/>
  <c r="AQ109" i="9"/>
  <c r="AF109" i="9"/>
  <c r="R109" i="9"/>
  <c r="AR109" i="9"/>
  <c r="Y109" i="9"/>
  <c r="AN109" i="9"/>
  <c r="D109" i="9"/>
  <c r="S109" i="9"/>
  <c r="T109" i="9" s="1"/>
  <c r="AW109" i="9"/>
  <c r="O109" i="9"/>
  <c r="AH109" i="9"/>
  <c r="AB109" i="9"/>
  <c r="F109" i="9"/>
  <c r="N109" i="9"/>
  <c r="AC109" i="9"/>
  <c r="G109" i="9"/>
  <c r="X109" i="9"/>
  <c r="AP109" i="9"/>
  <c r="AE109" i="9"/>
  <c r="AX109" i="9"/>
  <c r="AD109" i="9"/>
  <c r="C109" i="9" s="1"/>
  <c r="AJ109" i="9"/>
  <c r="AT109" i="9"/>
  <c r="AZ109" i="9"/>
  <c r="AY109" i="9" s="1"/>
  <c r="AI109" i="9"/>
  <c r="AV109" i="9"/>
  <c r="L109" i="9"/>
  <c r="P109" i="9"/>
  <c r="AN56" i="9"/>
  <c r="AD56" i="9"/>
  <c r="C56" i="9" s="1"/>
  <c r="AH56" i="9"/>
  <c r="AR56" i="9"/>
  <c r="AT56" i="9"/>
  <c r="S56" i="9"/>
  <c r="T56" i="9" s="1"/>
  <c r="BA56" i="9"/>
  <c r="AJ56" i="9"/>
  <c r="K56" i="9"/>
  <c r="Z56" i="9" s="1"/>
  <c r="AA56" i="9" s="1"/>
  <c r="AS56" i="9"/>
  <c r="AV56" i="9"/>
  <c r="AQ56" i="9"/>
  <c r="N56" i="9"/>
  <c r="F56" i="9"/>
  <c r="AB56" i="9"/>
  <c r="AP56" i="9"/>
  <c r="AI56" i="9"/>
  <c r="D56" i="9"/>
  <c r="AX56" i="9"/>
  <c r="W56" i="9"/>
  <c r="Q56" i="9"/>
  <c r="J56" i="9"/>
  <c r="AZ56" i="9"/>
  <c r="AY56" i="9" s="1"/>
  <c r="AK56" i="9"/>
  <c r="AU56" i="9"/>
  <c r="L56" i="9"/>
  <c r="X56" i="9"/>
  <c r="O56" i="9"/>
  <c r="AW56" i="9"/>
  <c r="AF56" i="9"/>
  <c r="G56" i="9"/>
  <c r="AC56" i="9"/>
  <c r="R56" i="9"/>
  <c r="M56" i="9"/>
  <c r="E56" i="9"/>
  <c r="Y56" i="9"/>
  <c r="AO56" i="9"/>
  <c r="H56" i="9"/>
  <c r="BB56" i="9"/>
  <c r="AE56" i="9"/>
  <c r="P56" i="9"/>
  <c r="CD12" i="3"/>
  <c r="EK12" i="3" s="1"/>
  <c r="G98" i="9"/>
  <c r="W98" i="9"/>
  <c r="AS98" i="9"/>
  <c r="L98" i="9"/>
  <c r="AF98" i="9"/>
  <c r="AX98" i="9"/>
  <c r="Q98" i="9"/>
  <c r="AQ98" i="9"/>
  <c r="J98" i="9"/>
  <c r="AV98" i="9"/>
  <c r="K98" i="9"/>
  <c r="Z98" i="9" s="1"/>
  <c r="AA98" i="9" s="1"/>
  <c r="AE98" i="9"/>
  <c r="AW98" i="9"/>
  <c r="P98" i="9"/>
  <c r="AJ98" i="9"/>
  <c r="Y98" i="9"/>
  <c r="AU98" i="9"/>
  <c r="AR98" i="9"/>
  <c r="R98" i="9"/>
  <c r="O98" i="9"/>
  <c r="AI98" i="9"/>
  <c r="D98" i="9"/>
  <c r="X98" i="9"/>
  <c r="AP98" i="9"/>
  <c r="E98" i="9"/>
  <c r="AC98" i="9"/>
  <c r="F98" i="9"/>
  <c r="N98" i="9"/>
  <c r="AH98" i="9"/>
  <c r="S98" i="9"/>
  <c r="T98" i="9" s="1"/>
  <c r="H98" i="9"/>
  <c r="AB98" i="9"/>
  <c r="AT98" i="9"/>
  <c r="M98" i="9"/>
  <c r="AK98" i="9"/>
  <c r="AN98" i="9"/>
  <c r="AD98" i="9"/>
  <c r="C98" i="9" s="1"/>
  <c r="BA98" i="9"/>
  <c r="AZ98" i="9"/>
  <c r="AY98" i="9" s="1"/>
  <c r="CD55" i="3"/>
  <c r="EK55" i="3" s="1"/>
  <c r="AU115" i="9"/>
  <c r="N115" i="9"/>
  <c r="AR115" i="9"/>
  <c r="AD115" i="9"/>
  <c r="C115" i="9" s="1"/>
  <c r="BA115" i="9"/>
  <c r="AQ115" i="9"/>
  <c r="AZ115" i="9"/>
  <c r="AY115" i="9" s="1"/>
  <c r="R115" i="9"/>
  <c r="AX115" i="9"/>
  <c r="AK115" i="9"/>
  <c r="AJ115" i="9"/>
  <c r="G115" i="9"/>
  <c r="AC115" i="9"/>
  <c r="AS115" i="9"/>
  <c r="P115" i="9"/>
  <c r="F115" i="9"/>
  <c r="AB115" i="9"/>
  <c r="L115" i="9"/>
  <c r="AP115" i="9"/>
  <c r="X115" i="9"/>
  <c r="H115" i="9"/>
  <c r="AF115" i="9"/>
  <c r="AT115" i="9"/>
  <c r="D115" i="9"/>
  <c r="E115" i="9"/>
  <c r="J115" i="9"/>
  <c r="O115" i="9"/>
  <c r="AW115" i="9"/>
  <c r="K115" i="9"/>
  <c r="Z115" i="9" s="1"/>
  <c r="AA115" i="9" s="1"/>
  <c r="Q115" i="9"/>
  <c r="W115" i="9"/>
  <c r="AE115" i="9"/>
  <c r="AN115" i="9"/>
  <c r="AH115" i="9"/>
  <c r="S115" i="9"/>
  <c r="T115" i="9" s="1"/>
  <c r="AI115" i="9"/>
  <c r="AV115" i="9"/>
  <c r="M115" i="9"/>
  <c r="Y115" i="9"/>
  <c r="CD51" i="3"/>
  <c r="EK51" i="3" s="1"/>
  <c r="CD47" i="3"/>
  <c r="EK47" i="3" s="1"/>
  <c r="E42" i="9"/>
  <c r="AC42" i="9"/>
  <c r="AZ42" i="9"/>
  <c r="AY42" i="9" s="1"/>
  <c r="AB42" i="9"/>
  <c r="S42" i="9"/>
  <c r="T42" i="9" s="1"/>
  <c r="BB42" i="9"/>
  <c r="G42" i="9"/>
  <c r="Y42" i="9"/>
  <c r="AF42" i="9"/>
  <c r="L42" i="9"/>
  <c r="J42" i="9"/>
  <c r="AK42" i="9"/>
  <c r="P42" i="9"/>
  <c r="AQ42" i="9"/>
  <c r="AN42" i="9"/>
  <c r="Q42" i="9"/>
  <c r="X42" i="9"/>
  <c r="AS42" i="9"/>
  <c r="K42" i="9"/>
  <c r="Z42" i="9" s="1"/>
  <c r="AA42" i="9" s="1"/>
  <c r="AE42" i="9"/>
  <c r="F42" i="9"/>
  <c r="AU42" i="9"/>
  <c r="O42" i="9"/>
  <c r="AI42" i="9"/>
  <c r="AX42" i="9"/>
  <c r="D42" i="9"/>
  <c r="W42" i="9"/>
  <c r="AR42" i="9"/>
  <c r="AT42" i="9"/>
  <c r="AD42" i="9"/>
  <c r="C42" i="9" s="1"/>
  <c r="AW42" i="9"/>
  <c r="R42" i="9"/>
  <c r="AH42" i="9"/>
  <c r="BA42" i="9"/>
  <c r="M42" i="9"/>
  <c r="AO42" i="9"/>
  <c r="AP42" i="9"/>
  <c r="H42" i="9"/>
  <c r="N42" i="9"/>
  <c r="AV42" i="9"/>
  <c r="AJ42" i="9"/>
  <c r="AP35" i="9"/>
  <c r="AQ35" i="9"/>
  <c r="AK35" i="9"/>
  <c r="O35" i="9"/>
  <c r="AI35" i="9"/>
  <c r="AN35" i="9"/>
  <c r="H35" i="9"/>
  <c r="K35" i="9"/>
  <c r="Z35" i="9" s="1"/>
  <c r="AA35" i="9" s="1"/>
  <c r="AD35" i="9"/>
  <c r="C35" i="9" s="1"/>
  <c r="E35" i="9"/>
  <c r="F35" i="9"/>
  <c r="J35" i="9"/>
  <c r="W35" i="9"/>
  <c r="AH35" i="9"/>
  <c r="BA35" i="9"/>
  <c r="D35" i="9"/>
  <c r="G35" i="9"/>
  <c r="Y35" i="9"/>
  <c r="AC35" i="9"/>
  <c r="AW35" i="9"/>
  <c r="N35" i="9"/>
  <c r="R35" i="9"/>
  <c r="AF35" i="9"/>
  <c r="AU35" i="9"/>
  <c r="AZ35" i="9"/>
  <c r="AY35" i="9" s="1"/>
  <c r="BB35" i="9"/>
  <c r="AO35" i="9"/>
  <c r="X35" i="9"/>
  <c r="AS35" i="9"/>
  <c r="AV35" i="9"/>
  <c r="Q35" i="9"/>
  <c r="AB35" i="9"/>
  <c r="AE35" i="9"/>
  <c r="M35" i="9"/>
  <c r="AX35" i="9"/>
  <c r="P35" i="9"/>
  <c r="S35" i="9"/>
  <c r="T35" i="9" s="1"/>
  <c r="AT35" i="9"/>
  <c r="AR35" i="9"/>
  <c r="AJ35" i="9"/>
  <c r="L35" i="9"/>
  <c r="G102" i="9"/>
  <c r="J102" i="9"/>
  <c r="P102" i="9"/>
  <c r="AF102" i="9"/>
  <c r="AX102" i="9"/>
  <c r="Q102" i="9"/>
  <c r="AK102" i="9"/>
  <c r="AN102" i="9"/>
  <c r="R102" i="9"/>
  <c r="S102" i="9"/>
  <c r="O102" i="9"/>
  <c r="D102" i="9"/>
  <c r="AJ102" i="9"/>
  <c r="AQ102" i="9"/>
  <c r="AD102" i="9"/>
  <c r="C102" i="9" s="1"/>
  <c r="W102" i="9"/>
  <c r="AE102" i="9"/>
  <c r="AH102" i="9"/>
  <c r="AI102" i="9"/>
  <c r="H102" i="9"/>
  <c r="X102" i="9"/>
  <c r="AP102" i="9"/>
  <c r="E102" i="9"/>
  <c r="Y102" i="9"/>
  <c r="AU102" i="9"/>
  <c r="N102" i="9"/>
  <c r="AW102" i="9"/>
  <c r="AR102" i="9"/>
  <c r="AS102" i="9"/>
  <c r="K102" i="9"/>
  <c r="Z102" i="9" s="1"/>
  <c r="AA102" i="9" s="1"/>
  <c r="L102" i="9"/>
  <c r="AB102" i="9"/>
  <c r="AT102" i="9"/>
  <c r="M102" i="9"/>
  <c r="AC102" i="9"/>
  <c r="AV102" i="9"/>
  <c r="F102" i="9"/>
  <c r="BA102" i="9"/>
  <c r="AZ102" i="9"/>
  <c r="AY102" i="9" s="1"/>
  <c r="CD53" i="3"/>
  <c r="EK53" i="3" s="1"/>
  <c r="CD42" i="3"/>
  <c r="EK42" i="3" s="1"/>
  <c r="CD45" i="3"/>
  <c r="EK45" i="3" s="1"/>
  <c r="AU107" i="9"/>
  <c r="AJ107" i="9"/>
  <c r="AS107" i="9"/>
  <c r="AZ107" i="9"/>
  <c r="AY107" i="9" s="1"/>
  <c r="AN107" i="9"/>
  <c r="M107" i="9"/>
  <c r="AR107" i="9"/>
  <c r="AH107" i="9"/>
  <c r="AD107" i="9"/>
  <c r="C107" i="9" s="1"/>
  <c r="G107" i="9"/>
  <c r="AK107" i="9"/>
  <c r="AT107" i="9"/>
  <c r="Y107" i="9"/>
  <c r="AV107" i="9"/>
  <c r="O107" i="9"/>
  <c r="R107" i="9"/>
  <c r="W107" i="9"/>
  <c r="AP107" i="9"/>
  <c r="AC107" i="9"/>
  <c r="L107" i="9"/>
  <c r="AB107" i="9"/>
  <c r="AE107" i="9"/>
  <c r="AW107" i="9"/>
  <c r="Q107" i="9"/>
  <c r="BA107" i="9"/>
  <c r="AF107" i="9"/>
  <c r="AX107" i="9"/>
  <c r="N107" i="9"/>
  <c r="AI107" i="9"/>
  <c r="F107" i="9"/>
  <c r="D107" i="9"/>
  <c r="X107" i="9"/>
  <c r="P107" i="9"/>
  <c r="S107" i="9"/>
  <c r="T107" i="9" s="1"/>
  <c r="AQ107" i="9"/>
  <c r="J107" i="9"/>
  <c r="K107" i="9"/>
  <c r="Z107" i="9" s="1"/>
  <c r="AA107" i="9" s="1"/>
  <c r="H107" i="9"/>
  <c r="E107" i="9"/>
  <c r="R33" i="9"/>
  <c r="AO33" i="9"/>
  <c r="AW33" i="9"/>
  <c r="AK33" i="9"/>
  <c r="M33" i="9"/>
  <c r="AC33" i="9"/>
  <c r="W33" i="9"/>
  <c r="AR33" i="9"/>
  <c r="AU33" i="9"/>
  <c r="E33" i="9"/>
  <c r="O33" i="9"/>
  <c r="AH33" i="9"/>
  <c r="G33" i="9"/>
  <c r="AE33" i="9"/>
  <c r="J33" i="9"/>
  <c r="AV33" i="9"/>
  <c r="Y33" i="9"/>
  <c r="H33" i="9"/>
  <c r="AB33" i="9"/>
  <c r="AT33" i="9"/>
  <c r="Q33" i="9"/>
  <c r="AQ33" i="9"/>
  <c r="S33" i="9"/>
  <c r="T33" i="9" s="1"/>
  <c r="L33" i="9"/>
  <c r="AF33" i="9"/>
  <c r="AX33" i="9"/>
  <c r="K33" i="9"/>
  <c r="Z33" i="9" s="1"/>
  <c r="AA33" i="9" s="1"/>
  <c r="AI33" i="9"/>
  <c r="N33" i="9"/>
  <c r="P33" i="9"/>
  <c r="AJ33" i="9"/>
  <c r="AS33" i="9"/>
  <c r="F33" i="9"/>
  <c r="AD33" i="9"/>
  <c r="C33" i="9" s="1"/>
  <c r="D33" i="9"/>
  <c r="X33" i="9"/>
  <c r="AP33" i="9"/>
  <c r="AN33" i="9"/>
  <c r="AZ33" i="9"/>
  <c r="AY33" i="9" s="1"/>
  <c r="BA33" i="9"/>
  <c r="BB33" i="9"/>
  <c r="AD43" i="9"/>
  <c r="C43" i="9" s="1"/>
  <c r="R43" i="9"/>
  <c r="J43" i="9"/>
  <c r="K43" i="9"/>
  <c r="Z43" i="9" s="1"/>
  <c r="AA43" i="9" s="1"/>
  <c r="AE43" i="9"/>
  <c r="AW43" i="9"/>
  <c r="P43" i="9"/>
  <c r="AJ43" i="9"/>
  <c r="F43" i="9"/>
  <c r="AN43" i="9"/>
  <c r="O43" i="9"/>
  <c r="AI43" i="9"/>
  <c r="N43" i="9"/>
  <c r="AH43" i="9"/>
  <c r="S43" i="9"/>
  <c r="T43" i="9" s="1"/>
  <c r="AO43" i="9"/>
  <c r="H43" i="9"/>
  <c r="AB43" i="9"/>
  <c r="AV43" i="9"/>
  <c r="AS43" i="9"/>
  <c r="AF43" i="9"/>
  <c r="AG43" i="9" s="1"/>
  <c r="E43" i="9"/>
  <c r="AC43" i="9"/>
  <c r="AR43" i="9"/>
  <c r="D43" i="9"/>
  <c r="AP43" i="9"/>
  <c r="M43" i="9"/>
  <c r="AK43" i="9"/>
  <c r="G43" i="9"/>
  <c r="L43" i="9"/>
  <c r="AT43" i="9"/>
  <c r="Q43" i="9"/>
  <c r="AQ43" i="9"/>
  <c r="W43" i="9"/>
  <c r="X43" i="9"/>
  <c r="AX43" i="9"/>
  <c r="Y43" i="9"/>
  <c r="AU43" i="9"/>
  <c r="BB43" i="9"/>
  <c r="BA43" i="9"/>
  <c r="AZ43" i="9"/>
  <c r="AY43" i="9" s="1"/>
  <c r="M32" i="9"/>
  <c r="Q32" i="9"/>
  <c r="AU32" i="9"/>
  <c r="AC32" i="9"/>
  <c r="E32" i="9"/>
  <c r="AK32" i="9"/>
  <c r="Y32" i="9"/>
  <c r="AQ32" i="9"/>
  <c r="R32" i="9"/>
  <c r="AS32" i="9"/>
  <c r="AB32" i="9"/>
  <c r="AI32" i="9"/>
  <c r="W32" i="9"/>
  <c r="AD32" i="9"/>
  <c r="C32" i="9" s="1"/>
  <c r="AX32" i="9"/>
  <c r="O32" i="9"/>
  <c r="X32" i="9"/>
  <c r="H32" i="9"/>
  <c r="AH32" i="9"/>
  <c r="AT32" i="9"/>
  <c r="AJ32" i="9"/>
  <c r="AW32" i="9"/>
  <c r="AP32" i="9"/>
  <c r="P32" i="9"/>
  <c r="G32" i="9"/>
  <c r="AF32" i="9"/>
  <c r="N32" i="9"/>
  <c r="AO32" i="9"/>
  <c r="AZ32" i="9"/>
  <c r="AY32" i="9" s="1"/>
  <c r="AV32" i="9"/>
  <c r="F32" i="9"/>
  <c r="AR32" i="9"/>
  <c r="L32" i="9"/>
  <c r="AN32" i="9"/>
  <c r="S32" i="9"/>
  <c r="T32" i="9" s="1"/>
  <c r="J32" i="9"/>
  <c r="K32" i="9"/>
  <c r="Z32" i="9" s="1"/>
  <c r="AA32" i="9" s="1"/>
  <c r="D32" i="9"/>
  <c r="AE32" i="9"/>
  <c r="BB32" i="9"/>
  <c r="BA32" i="9"/>
  <c r="R45" i="9"/>
  <c r="H45" i="9"/>
  <c r="F45" i="9"/>
  <c r="D45" i="9"/>
  <c r="AD45" i="9"/>
  <c r="C45" i="9" s="1"/>
  <c r="Y45" i="9"/>
  <c r="AQ45" i="9"/>
  <c r="K45" i="9"/>
  <c r="Z45" i="9" s="1"/>
  <c r="AA45" i="9" s="1"/>
  <c r="W45" i="9"/>
  <c r="AF45" i="9"/>
  <c r="AT45" i="9"/>
  <c r="AH45" i="9"/>
  <c r="AR45" i="9"/>
  <c r="N45" i="9"/>
  <c r="AO45" i="9"/>
  <c r="BA45" i="9"/>
  <c r="E45" i="9"/>
  <c r="AK45" i="9"/>
  <c r="G45" i="9"/>
  <c r="L45" i="9"/>
  <c r="AN45" i="9"/>
  <c r="J45" i="9"/>
  <c r="P45" i="9"/>
  <c r="AB45" i="9"/>
  <c r="AZ45" i="9"/>
  <c r="AY45" i="9" s="1"/>
  <c r="S45" i="9"/>
  <c r="T45" i="9" s="1"/>
  <c r="AI45" i="9"/>
  <c r="AW45" i="9"/>
  <c r="Q45" i="9"/>
  <c r="AC45" i="9"/>
  <c r="AX45" i="9"/>
  <c r="X45" i="9"/>
  <c r="AP45" i="9"/>
  <c r="BB45" i="9"/>
  <c r="AV45" i="9"/>
  <c r="AJ45" i="9"/>
  <c r="AU45" i="9"/>
  <c r="O45" i="9"/>
  <c r="AE45" i="9"/>
  <c r="AS45" i="9"/>
  <c r="M45" i="9"/>
  <c r="S119" i="9"/>
  <c r="T119" i="9" s="1"/>
  <c r="AV119" i="9"/>
  <c r="AT119" i="9"/>
  <c r="AB119" i="9"/>
  <c r="AC119" i="9"/>
  <c r="R119" i="9"/>
  <c r="Y119" i="9"/>
  <c r="AF119" i="9"/>
  <c r="AQ119" i="9"/>
  <c r="AP119" i="9"/>
  <c r="P119" i="9"/>
  <c r="W119" i="9"/>
  <c r="AE119" i="9"/>
  <c r="AI119" i="9"/>
  <c r="AD119" i="9"/>
  <c r="C119" i="9" s="1"/>
  <c r="AR119" i="9"/>
  <c r="AZ119" i="9"/>
  <c r="AY119" i="9" s="1"/>
  <c r="AH119" i="9"/>
  <c r="J119" i="9"/>
  <c r="E119" i="9"/>
  <c r="AK119" i="9"/>
  <c r="K119" i="9"/>
  <c r="Z119" i="9" s="1"/>
  <c r="AA119" i="9" s="1"/>
  <c r="Q119" i="9"/>
  <c r="BA119" i="9"/>
  <c r="L119" i="9"/>
  <c r="X119" i="9"/>
  <c r="AX119" i="9"/>
  <c r="AJ119" i="9"/>
  <c r="H119" i="9"/>
  <c r="F119" i="9"/>
  <c r="O119" i="9"/>
  <c r="AU119" i="9"/>
  <c r="AW119" i="9"/>
  <c r="AS119" i="9"/>
  <c r="D119" i="9"/>
  <c r="AN119" i="9"/>
  <c r="G119" i="9"/>
  <c r="N119" i="9"/>
  <c r="M119" i="9"/>
  <c r="CD41" i="3"/>
  <c r="EK41" i="3" s="1"/>
  <c r="D5" i="9"/>
  <c r="G5" i="9"/>
  <c r="AD5" i="9"/>
  <c r="F5" i="9"/>
  <c r="W106" i="9"/>
  <c r="AD106" i="9"/>
  <c r="C106" i="9" s="1"/>
  <c r="AP106" i="9"/>
  <c r="P106" i="9"/>
  <c r="AF106" i="9"/>
  <c r="G106" i="9"/>
  <c r="AQ106" i="9"/>
  <c r="AR106" i="9"/>
  <c r="AE106" i="9"/>
  <c r="S106" i="9"/>
  <c r="T106" i="9" s="1"/>
  <c r="H106" i="9"/>
  <c r="M106" i="9"/>
  <c r="AI106" i="9"/>
  <c r="L106" i="9"/>
  <c r="R106" i="9"/>
  <c r="N106" i="9"/>
  <c r="AH106" i="9"/>
  <c r="O106" i="9"/>
  <c r="AZ106" i="9"/>
  <c r="AY106" i="9" s="1"/>
  <c r="AJ106" i="9"/>
  <c r="E106" i="9"/>
  <c r="J106" i="9"/>
  <c r="AS106" i="9"/>
  <c r="AW106" i="9"/>
  <c r="AU106" i="9"/>
  <c r="Y106" i="9"/>
  <c r="AC106" i="9"/>
  <c r="AB106" i="9"/>
  <c r="AX106" i="9"/>
  <c r="F106" i="9"/>
  <c r="AN106" i="9"/>
  <c r="AK106" i="9"/>
  <c r="K106" i="9"/>
  <c r="Z106" i="9" s="1"/>
  <c r="AA106" i="9" s="1"/>
  <c r="BA106" i="9"/>
  <c r="D106" i="9"/>
  <c r="AV106" i="9"/>
  <c r="AT106" i="9"/>
  <c r="X106" i="9"/>
  <c r="Q106" i="9"/>
  <c r="M50" i="9"/>
  <c r="AP50" i="9"/>
  <c r="J50" i="9"/>
  <c r="AB50" i="9"/>
  <c r="AU50" i="9"/>
  <c r="X50" i="9"/>
  <c r="H50" i="9"/>
  <c r="AS50" i="9"/>
  <c r="AV50" i="9"/>
  <c r="AN50" i="9"/>
  <c r="Q50" i="9"/>
  <c r="AT50" i="9"/>
  <c r="N50" i="9"/>
  <c r="AF50" i="9"/>
  <c r="AZ50" i="9"/>
  <c r="AY50" i="9" s="1"/>
  <c r="AH50" i="9"/>
  <c r="P50" i="9"/>
  <c r="BB50" i="9"/>
  <c r="L50" i="9"/>
  <c r="D50" i="9"/>
  <c r="AE50" i="9"/>
  <c r="AX50" i="9"/>
  <c r="R50" i="9"/>
  <c r="AK50" i="9"/>
  <c r="G50" i="9"/>
  <c r="AR50" i="9"/>
  <c r="Y50" i="9"/>
  <c r="K50" i="9"/>
  <c r="Z50" i="9" s="1"/>
  <c r="AA50" i="9" s="1"/>
  <c r="AD50" i="9"/>
  <c r="C50" i="9" s="1"/>
  <c r="AO50" i="9"/>
  <c r="E50" i="9"/>
  <c r="AJ50" i="9"/>
  <c r="F50" i="9"/>
  <c r="W50" i="9"/>
  <c r="AQ50" i="9"/>
  <c r="O50" i="9"/>
  <c r="BA50" i="9"/>
  <c r="AI50" i="9"/>
  <c r="AC50" i="9"/>
  <c r="AW50" i="9"/>
  <c r="S50" i="9"/>
  <c r="T50" i="9" s="1"/>
  <c r="CD44" i="3"/>
  <c r="EK44" i="3" s="1"/>
  <c r="D111" i="9"/>
  <c r="S111" i="9"/>
  <c r="AZ111" i="9"/>
  <c r="AY111" i="9" s="1"/>
  <c r="L111" i="9"/>
  <c r="X111" i="9"/>
  <c r="AX111" i="9"/>
  <c r="AC111" i="9"/>
  <c r="AU111" i="9"/>
  <c r="BA111" i="9"/>
  <c r="P111" i="9"/>
  <c r="AT111" i="9"/>
  <c r="AB111" i="9"/>
  <c r="AH111" i="9"/>
  <c r="Q111" i="9"/>
  <c r="AR111" i="9"/>
  <c r="AF111" i="9"/>
  <c r="AV111" i="9"/>
  <c r="AS111" i="9"/>
  <c r="G111" i="9"/>
  <c r="AQ111" i="9"/>
  <c r="Y111" i="9"/>
  <c r="O111" i="9"/>
  <c r="AD111" i="9"/>
  <c r="C111" i="9" s="1"/>
  <c r="AN111" i="9"/>
  <c r="F111" i="9"/>
  <c r="M111" i="9"/>
  <c r="N111" i="9"/>
  <c r="W111" i="9"/>
  <c r="AE111" i="9"/>
  <c r="E111" i="9"/>
  <c r="H111" i="9"/>
  <c r="J111" i="9"/>
  <c r="AI111" i="9"/>
  <c r="K111" i="9"/>
  <c r="Z111" i="9" s="1"/>
  <c r="AA111" i="9" s="1"/>
  <c r="AK111" i="9"/>
  <c r="AW111" i="9"/>
  <c r="AJ111" i="9"/>
  <c r="R111" i="9"/>
  <c r="AP111" i="9"/>
  <c r="CD38" i="3"/>
  <c r="EK38" i="3" s="1"/>
  <c r="F7" i="9"/>
  <c r="G7" i="9"/>
  <c r="D7" i="9"/>
  <c r="AD7" i="9"/>
  <c r="CD43" i="3"/>
  <c r="EK43" i="3" s="1"/>
  <c r="E105" i="9"/>
  <c r="R105" i="9"/>
  <c r="G105" i="9"/>
  <c r="AZ105" i="9"/>
  <c r="AY105" i="9" s="1"/>
  <c r="AD105" i="9"/>
  <c r="C105" i="9" s="1"/>
  <c r="S105" i="9"/>
  <c r="T105" i="9" s="1"/>
  <c r="AR105" i="9"/>
  <c r="AB105" i="9"/>
  <c r="AJ105" i="9"/>
  <c r="W105" i="9"/>
  <c r="H105" i="9"/>
  <c r="K105" i="9"/>
  <c r="Z105" i="9" s="1"/>
  <c r="AA105" i="9" s="1"/>
  <c r="AC105" i="9"/>
  <c r="AP105" i="9"/>
  <c r="AK105" i="9"/>
  <c r="Y105" i="9"/>
  <c r="AT105" i="9"/>
  <c r="J105" i="9"/>
  <c r="AV105" i="9"/>
  <c r="AE105" i="9"/>
  <c r="N105" i="9"/>
  <c r="AQ105" i="9"/>
  <c r="AI105" i="9"/>
  <c r="L105" i="9"/>
  <c r="AX105" i="9"/>
  <c r="X105" i="9"/>
  <c r="P105" i="9"/>
  <c r="AU105" i="9"/>
  <c r="Q105" i="9"/>
  <c r="O105" i="9"/>
  <c r="D105" i="9"/>
  <c r="M105" i="9"/>
  <c r="AF105" i="9"/>
  <c r="BA105" i="9"/>
  <c r="AN105" i="9"/>
  <c r="AW105" i="9"/>
  <c r="F105" i="9"/>
  <c r="AH105" i="9"/>
  <c r="AS105" i="9"/>
  <c r="CD60" i="3"/>
  <c r="EK60" i="3" s="1"/>
  <c r="AZ63" i="9"/>
  <c r="AY63" i="9" s="1"/>
  <c r="F63" i="9"/>
  <c r="AI63" i="9"/>
  <c r="AX63" i="9"/>
  <c r="AO63" i="9"/>
  <c r="M63" i="9"/>
  <c r="W63" i="9"/>
  <c r="AP63" i="9"/>
  <c r="K63" i="9"/>
  <c r="Z63" i="9" s="1"/>
  <c r="AA63" i="9" s="1"/>
  <c r="AB63" i="9"/>
  <c r="AD63" i="9"/>
  <c r="C63" i="9" s="1"/>
  <c r="AV63" i="9"/>
  <c r="BA63" i="9"/>
  <c r="Y63" i="9"/>
  <c r="D63" i="9"/>
  <c r="AC63" i="9"/>
  <c r="AS63" i="9"/>
  <c r="AE63" i="9"/>
  <c r="AT63" i="9"/>
  <c r="J63" i="9"/>
  <c r="AH63" i="9"/>
  <c r="R63" i="9"/>
  <c r="P63" i="9"/>
  <c r="AU63" i="9"/>
  <c r="AJ63" i="9"/>
  <c r="AR63" i="9"/>
  <c r="H63" i="9"/>
  <c r="Q63" i="9"/>
  <c r="AW63" i="9"/>
  <c r="E63" i="9"/>
  <c r="N63" i="9"/>
  <c r="AN63" i="9"/>
  <c r="O63" i="9"/>
  <c r="AF63" i="9"/>
  <c r="AG63" i="9" s="1"/>
  <c r="S63" i="9"/>
  <c r="T63" i="9" s="1"/>
  <c r="BB63" i="9"/>
  <c r="G63" i="9"/>
  <c r="X63" i="9"/>
  <c r="AK63" i="9"/>
  <c r="L63" i="9"/>
  <c r="AQ63" i="9"/>
  <c r="R114" i="9"/>
  <c r="AS114" i="9"/>
  <c r="E114" i="9"/>
  <c r="X114" i="9"/>
  <c r="M114" i="9"/>
  <c r="AT114" i="9"/>
  <c r="AX114" i="9"/>
  <c r="AU114" i="9"/>
  <c r="AI114" i="9"/>
  <c r="AE114" i="9"/>
  <c r="AC114" i="9"/>
  <c r="AP114" i="9"/>
  <c r="H114" i="9"/>
  <c r="AK114" i="9"/>
  <c r="N114" i="9"/>
  <c r="O114" i="9"/>
  <c r="K114" i="9"/>
  <c r="Z114" i="9" s="1"/>
  <c r="AA114" i="9" s="1"/>
  <c r="AF114" i="9"/>
  <c r="AG114" i="9" s="1"/>
  <c r="Q114" i="9"/>
  <c r="AZ114" i="9"/>
  <c r="AY114" i="9" s="1"/>
  <c r="AQ114" i="9"/>
  <c r="P114" i="9"/>
  <c r="AR114" i="9"/>
  <c r="Y114" i="9"/>
  <c r="AH114" i="9"/>
  <c r="F114" i="9"/>
  <c r="L114" i="9"/>
  <c r="G114" i="9"/>
  <c r="AD114" i="9"/>
  <c r="C114" i="9" s="1"/>
  <c r="AV114" i="9"/>
  <c r="J114" i="9"/>
  <c r="BA114" i="9"/>
  <c r="AN114" i="9"/>
  <c r="D114" i="9"/>
  <c r="W114" i="9"/>
  <c r="AW114" i="9"/>
  <c r="S114" i="9"/>
  <c r="T114" i="9" s="1"/>
  <c r="AB114" i="9"/>
  <c r="AJ114" i="9"/>
  <c r="Y125" i="9"/>
  <c r="AW125" i="9"/>
  <c r="X125" i="9"/>
  <c r="AF125" i="9"/>
  <c r="AU125" i="9"/>
  <c r="AK125" i="9"/>
  <c r="BA125" i="9"/>
  <c r="G125" i="9"/>
  <c r="AS125" i="9"/>
  <c r="AD125" i="9"/>
  <c r="C125" i="9" s="1"/>
  <c r="O125" i="9"/>
  <c r="AJ125" i="9"/>
  <c r="J125" i="9"/>
  <c r="AC125" i="9"/>
  <c r="AB125" i="9"/>
  <c r="D125" i="9"/>
  <c r="H125" i="9"/>
  <c r="M125" i="9"/>
  <c r="Q125" i="9"/>
  <c r="AE125" i="9"/>
  <c r="AT125" i="9"/>
  <c r="K125" i="9"/>
  <c r="Z125" i="9" s="1"/>
  <c r="AA125" i="9" s="1"/>
  <c r="AX125" i="9"/>
  <c r="R125" i="9"/>
  <c r="W125" i="9"/>
  <c r="S125" i="9"/>
  <c r="T125" i="9" s="1"/>
  <c r="AP125" i="9"/>
  <c r="AZ125" i="9"/>
  <c r="AY125" i="9" s="1"/>
  <c r="E125" i="9"/>
  <c r="P125" i="9"/>
  <c r="AQ125" i="9"/>
  <c r="N125" i="9"/>
  <c r="L125" i="9"/>
  <c r="AR125" i="9"/>
  <c r="AI125" i="9"/>
  <c r="F125" i="9"/>
  <c r="AN125" i="9"/>
  <c r="AH125" i="9"/>
  <c r="AV125" i="9"/>
  <c r="W59" i="9"/>
  <c r="AB59" i="9"/>
  <c r="AS59" i="9"/>
  <c r="AH59" i="9"/>
  <c r="AE59" i="9"/>
  <c r="H59" i="9"/>
  <c r="AW59" i="9"/>
  <c r="AQ59" i="9"/>
  <c r="S59" i="9"/>
  <c r="T59" i="9" s="1"/>
  <c r="AJ59" i="9"/>
  <c r="M59" i="9"/>
  <c r="AN59" i="9"/>
  <c r="AO59" i="9"/>
  <c r="R59" i="9"/>
  <c r="F59" i="9"/>
  <c r="D59" i="9"/>
  <c r="AV59" i="9"/>
  <c r="AR59" i="9"/>
  <c r="J59" i="9"/>
  <c r="AC59" i="9"/>
  <c r="AX59" i="9"/>
  <c r="AZ59" i="9"/>
  <c r="AY59" i="9" s="1"/>
  <c r="AT59" i="9"/>
  <c r="G59" i="9"/>
  <c r="BA59" i="9"/>
  <c r="Q59" i="9"/>
  <c r="X59" i="9"/>
  <c r="O59" i="9"/>
  <c r="Y59" i="9"/>
  <c r="AI59" i="9"/>
  <c r="K59" i="9"/>
  <c r="Z59" i="9" s="1"/>
  <c r="AA59" i="9" s="1"/>
  <c r="L59" i="9"/>
  <c r="P59" i="9"/>
  <c r="AF59" i="9"/>
  <c r="BB59" i="9"/>
  <c r="AD59" i="9"/>
  <c r="C59" i="9" s="1"/>
  <c r="AK59" i="9"/>
  <c r="E59" i="9"/>
  <c r="AP59" i="9"/>
  <c r="AU59" i="9"/>
  <c r="N59" i="9"/>
  <c r="AN31" i="9"/>
  <c r="R31" i="9"/>
  <c r="S31" i="9"/>
  <c r="T31" i="9" s="1"/>
  <c r="AT31" i="9"/>
  <c r="AX31" i="9"/>
  <c r="W31" i="9"/>
  <c r="X31" i="9"/>
  <c r="BB31" i="9"/>
  <c r="AH31" i="9"/>
  <c r="AI31" i="9"/>
  <c r="E31" i="9"/>
  <c r="N31" i="9"/>
  <c r="O31" i="9"/>
  <c r="AJ31" i="9"/>
  <c r="AQ31" i="9"/>
  <c r="P31" i="9"/>
  <c r="AZ31" i="9"/>
  <c r="AY31" i="9" s="1"/>
  <c r="AW31" i="9"/>
  <c r="AB31" i="9"/>
  <c r="AD31" i="9"/>
  <c r="C31" i="9" s="1"/>
  <c r="G31" i="9"/>
  <c r="D31" i="9"/>
  <c r="Y31" i="9"/>
  <c r="AV31" i="9"/>
  <c r="AS31" i="9"/>
  <c r="M31" i="9"/>
  <c r="AC31" i="9"/>
  <c r="F31" i="9"/>
  <c r="AP31" i="9"/>
  <c r="H31" i="9"/>
  <c r="AU31" i="9"/>
  <c r="AF31" i="9"/>
  <c r="AR31" i="9"/>
  <c r="Q31" i="9"/>
  <c r="J31" i="9"/>
  <c r="AE31" i="9"/>
  <c r="BA31" i="9"/>
  <c r="K31" i="9"/>
  <c r="Z31" i="9" s="1"/>
  <c r="AA31" i="9" s="1"/>
  <c r="AK31" i="9"/>
  <c r="L31" i="9"/>
  <c r="AO31" i="9"/>
  <c r="AN41" i="9"/>
  <c r="AV41" i="9"/>
  <c r="P41" i="9"/>
  <c r="AR41" i="9"/>
  <c r="AZ41" i="9"/>
  <c r="AY41" i="9" s="1"/>
  <c r="H41" i="9"/>
  <c r="AK41" i="9"/>
  <c r="O41" i="9"/>
  <c r="AE41" i="9"/>
  <c r="AS41" i="9"/>
  <c r="E41" i="9"/>
  <c r="R41" i="9"/>
  <c r="D41" i="9"/>
  <c r="BB41" i="9"/>
  <c r="AB41" i="9"/>
  <c r="AJ41" i="9"/>
  <c r="AT41" i="9"/>
  <c r="Q41" i="9"/>
  <c r="AC41" i="9"/>
  <c r="K41" i="9"/>
  <c r="Z41" i="9" s="1"/>
  <c r="AA41" i="9" s="1"/>
  <c r="W41" i="9"/>
  <c r="AP41" i="9"/>
  <c r="AX41" i="9"/>
  <c r="AF41" i="9"/>
  <c r="L41" i="9"/>
  <c r="AO41" i="9"/>
  <c r="BA41" i="9"/>
  <c r="M41" i="9"/>
  <c r="AU41" i="9"/>
  <c r="G41" i="9"/>
  <c r="J41" i="9"/>
  <c r="AD41" i="9"/>
  <c r="C41" i="9" s="1"/>
  <c r="AH41" i="9"/>
  <c r="F41" i="9"/>
  <c r="N41" i="9"/>
  <c r="X41" i="9"/>
  <c r="S41" i="9"/>
  <c r="T41" i="9" s="1"/>
  <c r="AI41" i="9"/>
  <c r="AW41" i="9"/>
  <c r="Y41" i="9"/>
  <c r="AQ41" i="9"/>
  <c r="K104" i="9"/>
  <c r="Z104" i="9" s="1"/>
  <c r="AA104" i="9" s="1"/>
  <c r="X104" i="9"/>
  <c r="O104" i="9"/>
  <c r="AB104" i="9"/>
  <c r="AR104" i="9"/>
  <c r="AC104" i="9"/>
  <c r="E104" i="9"/>
  <c r="AK104" i="9"/>
  <c r="AS104" i="9"/>
  <c r="F104" i="9"/>
  <c r="J104" i="9"/>
  <c r="AJ104" i="9"/>
  <c r="L104" i="9"/>
  <c r="AD104" i="9"/>
  <c r="C104" i="9" s="1"/>
  <c r="AQ104" i="9"/>
  <c r="D104" i="9"/>
  <c r="AV104" i="9"/>
  <c r="M104" i="9"/>
  <c r="AX104" i="9"/>
  <c r="S104" i="9"/>
  <c r="T104" i="9" s="1"/>
  <c r="BA104" i="9"/>
  <c r="AI104" i="9"/>
  <c r="AW104" i="9"/>
  <c r="W104" i="9"/>
  <c r="G104" i="9"/>
  <c r="AH104" i="9"/>
  <c r="AP104" i="9"/>
  <c r="AU104" i="9"/>
  <c r="R104" i="9"/>
  <c r="H104" i="9"/>
  <c r="N104" i="9"/>
  <c r="AF104" i="9"/>
  <c r="P104" i="9"/>
  <c r="Y104" i="9"/>
  <c r="AT104" i="9"/>
  <c r="AE104" i="9"/>
  <c r="Q104" i="9"/>
  <c r="AZ104" i="9"/>
  <c r="AY104" i="9" s="1"/>
  <c r="AN104" i="9"/>
  <c r="CD46" i="3"/>
  <c r="EK46" i="3" s="1"/>
  <c r="N51" i="9"/>
  <c r="AD51" i="9"/>
  <c r="C51" i="9" s="1"/>
  <c r="H51" i="9"/>
  <c r="Q51" i="9"/>
  <c r="K51" i="9"/>
  <c r="Z51" i="9" s="1"/>
  <c r="AA51" i="9" s="1"/>
  <c r="AB51" i="9"/>
  <c r="J51" i="9"/>
  <c r="P51" i="9"/>
  <c r="AU51" i="9"/>
  <c r="AJ51" i="9"/>
  <c r="AV51" i="9"/>
  <c r="G51" i="9"/>
  <c r="X51" i="9"/>
  <c r="AK51" i="9"/>
  <c r="AE51" i="9"/>
  <c r="AT51" i="9"/>
  <c r="O51" i="9"/>
  <c r="AF51" i="9"/>
  <c r="S51" i="9"/>
  <c r="T51" i="9" s="1"/>
  <c r="BB51" i="9"/>
  <c r="F51" i="9"/>
  <c r="AZ51" i="9"/>
  <c r="AY51" i="9" s="1"/>
  <c r="W51" i="9"/>
  <c r="AP51" i="9"/>
  <c r="AR51" i="9"/>
  <c r="AW51" i="9"/>
  <c r="E51" i="9"/>
  <c r="AI51" i="9"/>
  <c r="AX51" i="9"/>
  <c r="AO51" i="9"/>
  <c r="M51" i="9"/>
  <c r="AH51" i="9"/>
  <c r="R51" i="9"/>
  <c r="AS51" i="9"/>
  <c r="AN51" i="9"/>
  <c r="L51" i="9"/>
  <c r="AQ51" i="9"/>
  <c r="BA51" i="9"/>
  <c r="Y51" i="9"/>
  <c r="D51" i="9"/>
  <c r="AC51" i="9"/>
  <c r="CD13" i="3"/>
  <c r="EK13" i="3" s="1"/>
  <c r="CD14" i="3"/>
  <c r="EK14" i="3" s="1"/>
  <c r="AG118" i="9" l="1"/>
  <c r="AG60" i="9"/>
  <c r="AG61" i="9"/>
  <c r="C30" i="9"/>
  <c r="EQ12" i="3"/>
  <c r="EY12" i="3"/>
  <c r="DV12" i="3"/>
  <c r="ED12" i="3"/>
  <c r="CW12" i="3"/>
  <c r="DE12" i="3"/>
  <c r="DM12" i="3"/>
  <c r="DC12" i="3"/>
  <c r="DK12" i="3"/>
  <c r="DU12" i="3"/>
  <c r="CV12" i="3"/>
  <c r="DL12" i="3"/>
  <c r="ER12" i="3"/>
  <c r="EZ12" i="3"/>
  <c r="DW12" i="3"/>
  <c r="EE12" i="3"/>
  <c r="CX12" i="3"/>
  <c r="DF12" i="3"/>
  <c r="DN12" i="3"/>
  <c r="ES12" i="3"/>
  <c r="FA12" i="3"/>
  <c r="DP12" i="3"/>
  <c r="DX12" i="3"/>
  <c r="EF12" i="3"/>
  <c r="CY12" i="3"/>
  <c r="DG12" i="3"/>
  <c r="EL12" i="3"/>
  <c r="ET12" i="3"/>
  <c r="FB12" i="3"/>
  <c r="DQ12" i="3"/>
  <c r="DY12" i="3"/>
  <c r="EG12" i="3"/>
  <c r="CZ12" i="3"/>
  <c r="DH12" i="3"/>
  <c r="EM12" i="3"/>
  <c r="EU12" i="3"/>
  <c r="FC12" i="3"/>
  <c r="DR12" i="3"/>
  <c r="DZ12" i="3"/>
  <c r="EH12" i="3"/>
  <c r="CS12" i="3"/>
  <c r="DA12" i="3"/>
  <c r="DI12" i="3"/>
  <c r="EN12" i="3"/>
  <c r="EV12" i="3"/>
  <c r="FD12" i="3"/>
  <c r="DS12" i="3"/>
  <c r="EA12" i="3"/>
  <c r="EI12" i="3"/>
  <c r="CT12" i="3"/>
  <c r="DB12" i="3"/>
  <c r="DJ12" i="3"/>
  <c r="EO12" i="3"/>
  <c r="EW12" i="3"/>
  <c r="DT12" i="3"/>
  <c r="EB12" i="3"/>
  <c r="CU12" i="3"/>
  <c r="EP12" i="3"/>
  <c r="EX12" i="3"/>
  <c r="EC12" i="3"/>
  <c r="DD12" i="3"/>
  <c r="CU14" i="3"/>
  <c r="DC14" i="3"/>
  <c r="DK14" i="3"/>
  <c r="DT14" i="3"/>
  <c r="EB14" i="3"/>
  <c r="ES14" i="3"/>
  <c r="FA14" i="3"/>
  <c r="DU14" i="3"/>
  <c r="CW14" i="3"/>
  <c r="DM14" i="3"/>
  <c r="ED14" i="3"/>
  <c r="EU14" i="3"/>
  <c r="CV14" i="3"/>
  <c r="DD14" i="3"/>
  <c r="DL14" i="3"/>
  <c r="EC14" i="3"/>
  <c r="EL14" i="3"/>
  <c r="ET14" i="3"/>
  <c r="FB14" i="3"/>
  <c r="DE14" i="3"/>
  <c r="DV14" i="3"/>
  <c r="EM14" i="3"/>
  <c r="FC14" i="3"/>
  <c r="CX14" i="3"/>
  <c r="CY14" i="3"/>
  <c r="DG14" i="3"/>
  <c r="DP14" i="3"/>
  <c r="DX14" i="3"/>
  <c r="EF14" i="3"/>
  <c r="EO14" i="3"/>
  <c r="EW14" i="3"/>
  <c r="CZ14" i="3"/>
  <c r="DH14" i="3"/>
  <c r="DQ14" i="3"/>
  <c r="DY14" i="3"/>
  <c r="EG14" i="3"/>
  <c r="EP14" i="3"/>
  <c r="EX14" i="3"/>
  <c r="CS14" i="3"/>
  <c r="DA14" i="3"/>
  <c r="DI14" i="3"/>
  <c r="DR14" i="3"/>
  <c r="DZ14" i="3"/>
  <c r="EH14" i="3"/>
  <c r="EQ14" i="3"/>
  <c r="EY14" i="3"/>
  <c r="DB14" i="3"/>
  <c r="EI14" i="3"/>
  <c r="DF14" i="3"/>
  <c r="EN14" i="3"/>
  <c r="DJ14" i="3"/>
  <c r="ER14" i="3"/>
  <c r="DW14" i="3"/>
  <c r="FD14" i="3"/>
  <c r="CT14" i="3"/>
  <c r="DN14" i="3"/>
  <c r="EZ14" i="3"/>
  <c r="EA14" i="3"/>
  <c r="EE14" i="3"/>
  <c r="EV14" i="3"/>
  <c r="DS14" i="3"/>
  <c r="CT13" i="3"/>
  <c r="DB13" i="3"/>
  <c r="DJ13" i="3"/>
  <c r="DS13" i="3"/>
  <c r="EA13" i="3"/>
  <c r="EI13" i="3"/>
  <c r="ER13" i="3"/>
  <c r="EZ13" i="3"/>
  <c r="CV13" i="3"/>
  <c r="DL13" i="3"/>
  <c r="EC13" i="3"/>
  <c r="ET13" i="3"/>
  <c r="CW13" i="3"/>
  <c r="DM13" i="3"/>
  <c r="ED13" i="3"/>
  <c r="FC13" i="3"/>
  <c r="CU13" i="3"/>
  <c r="DC13" i="3"/>
  <c r="DK13" i="3"/>
  <c r="DT13" i="3"/>
  <c r="EB13" i="3"/>
  <c r="ES13" i="3"/>
  <c r="FA13" i="3"/>
  <c r="DD13" i="3"/>
  <c r="DU13" i="3"/>
  <c r="EL13" i="3"/>
  <c r="FB13" i="3"/>
  <c r="DE13" i="3"/>
  <c r="DV13" i="3"/>
  <c r="EM13" i="3"/>
  <c r="EU13" i="3"/>
  <c r="CX13" i="3"/>
  <c r="DF13" i="3"/>
  <c r="DN13" i="3"/>
  <c r="DW13" i="3"/>
  <c r="EE13" i="3"/>
  <c r="EN13" i="3"/>
  <c r="EV13" i="3"/>
  <c r="FD13" i="3"/>
  <c r="CY13" i="3"/>
  <c r="DG13" i="3"/>
  <c r="DP13" i="3"/>
  <c r="DX13" i="3"/>
  <c r="EF13" i="3"/>
  <c r="EO13" i="3"/>
  <c r="EW13" i="3"/>
  <c r="CZ13" i="3"/>
  <c r="DH13" i="3"/>
  <c r="DQ13" i="3"/>
  <c r="DY13" i="3"/>
  <c r="EG13" i="3"/>
  <c r="EP13" i="3"/>
  <c r="EX13" i="3"/>
  <c r="CS13" i="3"/>
  <c r="DA13" i="3"/>
  <c r="DR13" i="3"/>
  <c r="DZ13" i="3"/>
  <c r="DI13" i="3"/>
  <c r="EH13" i="3"/>
  <c r="EQ13" i="3"/>
  <c r="EY13" i="3"/>
  <c r="CV15" i="3"/>
  <c r="DD15" i="3"/>
  <c r="DL15" i="3"/>
  <c r="DU15" i="3"/>
  <c r="EC15" i="3"/>
  <c r="EL15" i="3"/>
  <c r="ET15" i="3"/>
  <c r="FB15" i="3"/>
  <c r="DE15" i="3"/>
  <c r="DV15" i="3"/>
  <c r="ED15" i="3"/>
  <c r="EM15" i="3"/>
  <c r="EU15" i="3"/>
  <c r="FC15" i="3"/>
  <c r="CX15" i="3"/>
  <c r="DN15" i="3"/>
  <c r="EE15" i="3"/>
  <c r="EV15" i="3"/>
  <c r="CW15" i="3"/>
  <c r="DM15" i="3"/>
  <c r="DF15" i="3"/>
  <c r="DW15" i="3"/>
  <c r="EN15" i="3"/>
  <c r="FD15" i="3"/>
  <c r="CZ15" i="3"/>
  <c r="DH15" i="3"/>
  <c r="DQ15" i="3"/>
  <c r="DY15" i="3"/>
  <c r="EG15" i="3"/>
  <c r="EP15" i="3"/>
  <c r="EX15" i="3"/>
  <c r="DJ15" i="3"/>
  <c r="CS15" i="3"/>
  <c r="DA15" i="3"/>
  <c r="DI15" i="3"/>
  <c r="DR15" i="3"/>
  <c r="DZ15" i="3"/>
  <c r="EH15" i="3"/>
  <c r="EQ15" i="3"/>
  <c r="EY15" i="3"/>
  <c r="CT15" i="3"/>
  <c r="DB15" i="3"/>
  <c r="DS15" i="3"/>
  <c r="EA15" i="3"/>
  <c r="EI15" i="3"/>
  <c r="ER15" i="3"/>
  <c r="EZ15" i="3"/>
  <c r="CY15" i="3"/>
  <c r="EF15" i="3"/>
  <c r="DP15" i="3"/>
  <c r="DC15" i="3"/>
  <c r="ES15" i="3"/>
  <c r="EW15" i="3"/>
  <c r="DT15" i="3"/>
  <c r="FA15" i="3"/>
  <c r="CU15" i="3"/>
  <c r="DG15" i="3"/>
  <c r="DX15" i="3"/>
  <c r="EB15" i="3"/>
  <c r="EO15" i="3"/>
  <c r="DK15" i="3"/>
  <c r="FW38" i="3"/>
  <c r="FW44" i="3"/>
  <c r="FW45" i="3"/>
  <c r="FW72" i="3"/>
  <c r="FW39" i="3"/>
  <c r="FW50" i="3"/>
  <c r="FW52" i="3"/>
  <c r="FW46" i="3"/>
  <c r="FW42" i="3"/>
  <c r="FW69" i="3"/>
  <c r="FW70" i="3"/>
  <c r="FW49" i="3"/>
  <c r="FW63" i="3"/>
  <c r="FW48" i="3"/>
  <c r="FW60" i="3"/>
  <c r="FW43" i="3"/>
  <c r="FW67" i="3"/>
  <c r="FW56" i="3"/>
  <c r="FW59" i="3"/>
  <c r="FW47" i="3"/>
  <c r="FW61" i="3"/>
  <c r="FW68" i="3"/>
  <c r="FW53" i="3"/>
  <c r="FW41" i="3"/>
  <c r="FW51" i="3"/>
  <c r="FW55" i="3"/>
  <c r="FW40" i="3"/>
  <c r="FW64" i="3"/>
  <c r="FW71" i="3"/>
  <c r="FW14" i="3"/>
  <c r="FW37" i="3"/>
  <c r="FW58" i="3"/>
  <c r="FW65" i="3"/>
  <c r="FW66" i="3"/>
  <c r="FW57" i="3"/>
  <c r="FW13" i="3"/>
  <c r="FW62" i="3"/>
  <c r="FW54" i="3"/>
  <c r="FW15" i="3"/>
  <c r="FW12" i="3"/>
  <c r="EB70" i="3"/>
  <c r="EL70" i="3"/>
  <c r="EM70" i="3"/>
  <c r="EN70" i="3"/>
  <c r="EO70" i="3"/>
  <c r="DR70" i="3"/>
  <c r="DS70" i="3"/>
  <c r="CU70" i="3"/>
  <c r="CV70" i="3"/>
  <c r="DT70" i="3"/>
  <c r="DQ70" i="3"/>
  <c r="CW70" i="3"/>
  <c r="FK70" i="3"/>
  <c r="CT70" i="3"/>
  <c r="FL70" i="3"/>
  <c r="FI70" i="3"/>
  <c r="FJ70" i="3"/>
  <c r="EB44" i="3"/>
  <c r="EL44" i="3"/>
  <c r="EM44" i="3"/>
  <c r="EN44" i="3"/>
  <c r="EO44" i="3"/>
  <c r="DT44" i="3"/>
  <c r="CU44" i="3"/>
  <c r="DR44" i="3"/>
  <c r="CW44" i="3"/>
  <c r="DS44" i="3"/>
  <c r="DQ44" i="3"/>
  <c r="CT44" i="3"/>
  <c r="CV44" i="3"/>
  <c r="FL44" i="3"/>
  <c r="FJ44" i="3"/>
  <c r="FI44" i="3"/>
  <c r="FK44" i="3"/>
  <c r="EB39" i="3"/>
  <c r="EL39" i="3"/>
  <c r="EM39" i="3"/>
  <c r="EO39" i="3"/>
  <c r="DQ39" i="3"/>
  <c r="DT39" i="3"/>
  <c r="EN39" i="3"/>
  <c r="DR39" i="3"/>
  <c r="CT39" i="3"/>
  <c r="CU39" i="3"/>
  <c r="CW39" i="3"/>
  <c r="DS39" i="3"/>
  <c r="CV39" i="3"/>
  <c r="FK39" i="3"/>
  <c r="FI39" i="3"/>
  <c r="FJ39" i="3"/>
  <c r="FL39" i="3"/>
  <c r="EB50" i="3"/>
  <c r="EL50" i="3"/>
  <c r="EM50" i="3"/>
  <c r="EN50" i="3"/>
  <c r="EO50" i="3"/>
  <c r="DT50" i="3"/>
  <c r="CU50" i="3"/>
  <c r="CW50" i="3"/>
  <c r="DR50" i="3"/>
  <c r="CV50" i="3"/>
  <c r="DS50" i="3"/>
  <c r="DQ50" i="3"/>
  <c r="FK50" i="3"/>
  <c r="FJ50" i="3"/>
  <c r="FL50" i="3"/>
  <c r="FI50" i="3"/>
  <c r="CT50" i="3"/>
  <c r="EB68" i="3"/>
  <c r="EL68" i="3"/>
  <c r="EM68" i="3"/>
  <c r="EN68" i="3"/>
  <c r="EO68" i="3"/>
  <c r="DT68" i="3"/>
  <c r="DR68" i="3"/>
  <c r="CT68" i="3"/>
  <c r="CV68" i="3"/>
  <c r="CW68" i="3"/>
  <c r="DS68" i="3"/>
  <c r="DQ68" i="3"/>
  <c r="CU68" i="3"/>
  <c r="FL68" i="3"/>
  <c r="FI68" i="3"/>
  <c r="FK68" i="3"/>
  <c r="FJ68" i="3"/>
  <c r="EB43" i="3"/>
  <c r="EL43" i="3"/>
  <c r="EM43" i="3"/>
  <c r="EN43" i="3"/>
  <c r="EO43" i="3"/>
  <c r="DR43" i="3"/>
  <c r="DT43" i="3"/>
  <c r="DQ43" i="3"/>
  <c r="DS43" i="3"/>
  <c r="CU43" i="3"/>
  <c r="CV43" i="3"/>
  <c r="CT43" i="3"/>
  <c r="CW43" i="3"/>
  <c r="FK43" i="3"/>
  <c r="FJ43" i="3"/>
  <c r="FI43" i="3"/>
  <c r="FL43" i="3"/>
  <c r="EB67" i="3"/>
  <c r="EL67" i="3"/>
  <c r="EM67" i="3"/>
  <c r="EN67" i="3"/>
  <c r="EO67" i="3"/>
  <c r="DR67" i="3"/>
  <c r="DT67" i="3"/>
  <c r="DQ67" i="3"/>
  <c r="DS67" i="3"/>
  <c r="CU67" i="3"/>
  <c r="FK67" i="3"/>
  <c r="CT67" i="3"/>
  <c r="CV67" i="3"/>
  <c r="CW67" i="3"/>
  <c r="FI67" i="3"/>
  <c r="FJ67" i="3"/>
  <c r="FL67" i="3"/>
  <c r="EB56" i="3"/>
  <c r="EL56" i="3"/>
  <c r="EM56" i="3"/>
  <c r="EN56" i="3"/>
  <c r="EO56" i="3"/>
  <c r="DT56" i="3"/>
  <c r="DR56" i="3"/>
  <c r="CT56" i="3"/>
  <c r="CV56" i="3"/>
  <c r="CW56" i="3"/>
  <c r="DS56" i="3"/>
  <c r="DQ56" i="3"/>
  <c r="CU56" i="3"/>
  <c r="FJ56" i="3"/>
  <c r="FL56" i="3"/>
  <c r="FI56" i="3"/>
  <c r="FK56" i="3"/>
  <c r="EB45" i="3"/>
  <c r="EL45" i="3"/>
  <c r="EM45" i="3"/>
  <c r="EO45" i="3"/>
  <c r="DQ45" i="3"/>
  <c r="DS45" i="3"/>
  <c r="CV45" i="3"/>
  <c r="EN45" i="3"/>
  <c r="DR45" i="3"/>
  <c r="DT45" i="3"/>
  <c r="CT45" i="3"/>
  <c r="CU45" i="3"/>
  <c r="FJ45" i="3"/>
  <c r="CW45" i="3"/>
  <c r="FK45" i="3"/>
  <c r="FL45" i="3"/>
  <c r="FI45" i="3"/>
  <c r="EB72" i="3"/>
  <c r="EL72" i="3"/>
  <c r="EM72" i="3"/>
  <c r="EO72" i="3"/>
  <c r="EN72" i="3"/>
  <c r="DQ72" i="3"/>
  <c r="DS72" i="3"/>
  <c r="DR72" i="3"/>
  <c r="CU72" i="3"/>
  <c r="CV72" i="3"/>
  <c r="DT72" i="3"/>
  <c r="CT72" i="3"/>
  <c r="FK72" i="3"/>
  <c r="FJ72" i="3"/>
  <c r="FL72" i="3"/>
  <c r="CW72" i="3"/>
  <c r="FI72" i="3"/>
  <c r="EB61" i="3"/>
  <c r="EL61" i="3"/>
  <c r="EM61" i="3"/>
  <c r="EN61" i="3"/>
  <c r="EO61" i="3"/>
  <c r="DR61" i="3"/>
  <c r="DS61" i="3"/>
  <c r="DQ61" i="3"/>
  <c r="DT61" i="3"/>
  <c r="CT61" i="3"/>
  <c r="CW61" i="3"/>
  <c r="FK61" i="3"/>
  <c r="CU61" i="3"/>
  <c r="CV61" i="3"/>
  <c r="FL61" i="3"/>
  <c r="FJ61" i="3"/>
  <c r="FI61" i="3"/>
  <c r="EB41" i="3"/>
  <c r="EL41" i="3"/>
  <c r="EM41" i="3"/>
  <c r="EN41" i="3"/>
  <c r="EO41" i="3"/>
  <c r="DT41" i="3"/>
  <c r="CU41" i="3"/>
  <c r="CW41" i="3"/>
  <c r="DR41" i="3"/>
  <c r="DQ41" i="3"/>
  <c r="DS41" i="3"/>
  <c r="CT41" i="3"/>
  <c r="CV41" i="3"/>
  <c r="FL41" i="3"/>
  <c r="FK41" i="3"/>
  <c r="FJ41" i="3"/>
  <c r="FI41" i="3"/>
  <c r="EB69" i="3"/>
  <c r="EL69" i="3"/>
  <c r="EM69" i="3"/>
  <c r="EO69" i="3"/>
  <c r="EN69" i="3"/>
  <c r="DQ69" i="3"/>
  <c r="DS69" i="3"/>
  <c r="CU69" i="3"/>
  <c r="DR69" i="3"/>
  <c r="CV69" i="3"/>
  <c r="DT69" i="3"/>
  <c r="CT69" i="3"/>
  <c r="FJ69" i="3"/>
  <c r="CW69" i="3"/>
  <c r="FK69" i="3"/>
  <c r="FL69" i="3"/>
  <c r="FI69" i="3"/>
  <c r="EB71" i="3"/>
  <c r="EL71" i="3"/>
  <c r="EM71" i="3"/>
  <c r="EN71" i="3"/>
  <c r="EO71" i="3"/>
  <c r="DT71" i="3"/>
  <c r="DS71" i="3"/>
  <c r="DQ71" i="3"/>
  <c r="CT71" i="3"/>
  <c r="CV71" i="3"/>
  <c r="CW71" i="3"/>
  <c r="DR71" i="3"/>
  <c r="FJ71" i="3"/>
  <c r="FL71" i="3"/>
  <c r="FK71" i="3"/>
  <c r="CU71" i="3"/>
  <c r="FI71" i="3"/>
  <c r="EB63" i="3"/>
  <c r="EL63" i="3"/>
  <c r="EM63" i="3"/>
  <c r="EO63" i="3"/>
  <c r="DQ63" i="3"/>
  <c r="DT63" i="3"/>
  <c r="DR63" i="3"/>
  <c r="CU63" i="3"/>
  <c r="EN63" i="3"/>
  <c r="CV63" i="3"/>
  <c r="DS63" i="3"/>
  <c r="CW63" i="3"/>
  <c r="CT63" i="3"/>
  <c r="FK63" i="3"/>
  <c r="FI63" i="3"/>
  <c r="FJ63" i="3"/>
  <c r="FL63" i="3"/>
  <c r="EB57" i="3"/>
  <c r="EL57" i="3"/>
  <c r="EM57" i="3"/>
  <c r="EO57" i="3"/>
  <c r="DQ57" i="3"/>
  <c r="DS57" i="3"/>
  <c r="EN57" i="3"/>
  <c r="CU57" i="3"/>
  <c r="DR57" i="3"/>
  <c r="CV57" i="3"/>
  <c r="DT57" i="3"/>
  <c r="CT57" i="3"/>
  <c r="FJ57" i="3"/>
  <c r="CW57" i="3"/>
  <c r="FK57" i="3"/>
  <c r="FL57" i="3"/>
  <c r="FI57" i="3"/>
  <c r="EB46" i="3"/>
  <c r="EL46" i="3"/>
  <c r="EM46" i="3"/>
  <c r="EN46" i="3"/>
  <c r="EO46" i="3"/>
  <c r="DR46" i="3"/>
  <c r="CT46" i="3"/>
  <c r="CU46" i="3"/>
  <c r="CW46" i="3"/>
  <c r="DS46" i="3"/>
  <c r="DT46" i="3"/>
  <c r="DQ46" i="3"/>
  <c r="FK46" i="3"/>
  <c r="FL46" i="3"/>
  <c r="FJ46" i="3"/>
  <c r="FI46" i="3"/>
  <c r="CV46" i="3"/>
  <c r="EB42" i="3"/>
  <c r="EL42" i="3"/>
  <c r="EM42" i="3"/>
  <c r="EO42" i="3"/>
  <c r="DQ42" i="3"/>
  <c r="EN42" i="3"/>
  <c r="DR42" i="3"/>
  <c r="CT42" i="3"/>
  <c r="DT42" i="3"/>
  <c r="CV42" i="3"/>
  <c r="CW42" i="3"/>
  <c r="CU42" i="3"/>
  <c r="DS42" i="3"/>
  <c r="FK42" i="3"/>
  <c r="FJ42" i="3"/>
  <c r="FI42" i="3"/>
  <c r="FL42" i="3"/>
  <c r="EB40" i="3"/>
  <c r="EL40" i="3"/>
  <c r="EM40" i="3"/>
  <c r="EN40" i="3"/>
  <c r="EO40" i="3"/>
  <c r="DR40" i="3"/>
  <c r="DS40" i="3"/>
  <c r="CT40" i="3"/>
  <c r="DT40" i="3"/>
  <c r="CW40" i="3"/>
  <c r="DQ40" i="3"/>
  <c r="CU40" i="3"/>
  <c r="CV40" i="3"/>
  <c r="FK40" i="3"/>
  <c r="FI40" i="3"/>
  <c r="FJ40" i="3"/>
  <c r="FL40" i="3"/>
  <c r="EB64" i="3"/>
  <c r="EL64" i="3"/>
  <c r="EM64" i="3"/>
  <c r="EN64" i="3"/>
  <c r="EO64" i="3"/>
  <c r="DR64" i="3"/>
  <c r="DS64" i="3"/>
  <c r="DT64" i="3"/>
  <c r="CW64" i="3"/>
  <c r="CT64" i="3"/>
  <c r="DQ64" i="3"/>
  <c r="CV64" i="3"/>
  <c r="CU64" i="3"/>
  <c r="FK64" i="3"/>
  <c r="FI64" i="3"/>
  <c r="FJ64" i="3"/>
  <c r="FL64" i="3"/>
  <c r="EB53" i="3"/>
  <c r="EL53" i="3"/>
  <c r="EM53" i="3"/>
  <c r="EN53" i="3"/>
  <c r="EO53" i="3"/>
  <c r="DT53" i="3"/>
  <c r="CU53" i="3"/>
  <c r="CW53" i="3"/>
  <c r="DR53" i="3"/>
  <c r="CT53" i="3"/>
  <c r="CV53" i="3"/>
  <c r="DQ53" i="3"/>
  <c r="DS53" i="3"/>
  <c r="FL53" i="3"/>
  <c r="FK53" i="3"/>
  <c r="FJ53" i="3"/>
  <c r="FI53" i="3"/>
  <c r="EB65" i="3"/>
  <c r="EL65" i="3"/>
  <c r="EM65" i="3"/>
  <c r="EN65" i="3"/>
  <c r="EO65" i="3"/>
  <c r="DT65" i="3"/>
  <c r="DR65" i="3"/>
  <c r="CT65" i="3"/>
  <c r="CV65" i="3"/>
  <c r="CW65" i="3"/>
  <c r="CU65" i="3"/>
  <c r="DQ65" i="3"/>
  <c r="DS65" i="3"/>
  <c r="FL65" i="3"/>
  <c r="FK65" i="3"/>
  <c r="FJ65" i="3"/>
  <c r="FI65" i="3"/>
  <c r="EB66" i="3"/>
  <c r="EL66" i="3"/>
  <c r="EM66" i="3"/>
  <c r="EO66" i="3"/>
  <c r="DQ66" i="3"/>
  <c r="EN66" i="3"/>
  <c r="DR66" i="3"/>
  <c r="DT66" i="3"/>
  <c r="CU66" i="3"/>
  <c r="CV66" i="3"/>
  <c r="DS66" i="3"/>
  <c r="CT66" i="3"/>
  <c r="CW66" i="3"/>
  <c r="FK66" i="3"/>
  <c r="FI66" i="3"/>
  <c r="FJ66" i="3"/>
  <c r="FL66" i="3"/>
  <c r="EB54" i="3"/>
  <c r="EL54" i="3"/>
  <c r="EM54" i="3"/>
  <c r="EO54" i="3"/>
  <c r="DQ54" i="3"/>
  <c r="DR54" i="3"/>
  <c r="DT54" i="3"/>
  <c r="CU54" i="3"/>
  <c r="CV54" i="3"/>
  <c r="EN54" i="3"/>
  <c r="CW54" i="3"/>
  <c r="DS54" i="3"/>
  <c r="CT54" i="3"/>
  <c r="FK54" i="3"/>
  <c r="FI54" i="3"/>
  <c r="FL54" i="3"/>
  <c r="FJ54" i="3"/>
  <c r="EB38" i="3"/>
  <c r="EL38" i="3"/>
  <c r="EM38" i="3"/>
  <c r="EN38" i="3"/>
  <c r="EO38" i="3"/>
  <c r="DT38" i="3"/>
  <c r="CU38" i="3"/>
  <c r="CW38" i="3"/>
  <c r="CT38" i="3"/>
  <c r="DR38" i="3"/>
  <c r="DS38" i="3"/>
  <c r="CV38" i="3"/>
  <c r="DQ38" i="3"/>
  <c r="FK38" i="3"/>
  <c r="FJ38" i="3"/>
  <c r="FI38" i="3"/>
  <c r="FL38" i="3"/>
  <c r="EB47" i="3"/>
  <c r="EL47" i="3"/>
  <c r="EM47" i="3"/>
  <c r="EN47" i="3"/>
  <c r="EO47" i="3"/>
  <c r="DT47" i="3"/>
  <c r="DS47" i="3"/>
  <c r="CU47" i="3"/>
  <c r="CW47" i="3"/>
  <c r="DQ47" i="3"/>
  <c r="CT47" i="3"/>
  <c r="CV47" i="3"/>
  <c r="DR47" i="3"/>
  <c r="FJ47" i="3"/>
  <c r="FL47" i="3"/>
  <c r="FK47" i="3"/>
  <c r="FI47" i="3"/>
  <c r="EB52" i="3"/>
  <c r="EL52" i="3"/>
  <c r="EM52" i="3"/>
  <c r="EN52" i="3"/>
  <c r="EO52" i="3"/>
  <c r="DR52" i="3"/>
  <c r="DS52" i="3"/>
  <c r="CV52" i="3"/>
  <c r="DT52" i="3"/>
  <c r="CW52" i="3"/>
  <c r="CT52" i="3"/>
  <c r="DQ52" i="3"/>
  <c r="CU52" i="3"/>
  <c r="FK52" i="3"/>
  <c r="FI52" i="3"/>
  <c r="FL52" i="3"/>
  <c r="FJ52" i="3"/>
  <c r="EB55" i="3"/>
  <c r="EL55" i="3"/>
  <c r="EM55" i="3"/>
  <c r="EN55" i="3"/>
  <c r="EO55" i="3"/>
  <c r="DR55" i="3"/>
  <c r="DT55" i="3"/>
  <c r="DQ55" i="3"/>
  <c r="DS55" i="3"/>
  <c r="CT55" i="3"/>
  <c r="CU55" i="3"/>
  <c r="CV55" i="3"/>
  <c r="FK55" i="3"/>
  <c r="CW55" i="3"/>
  <c r="FJ55" i="3"/>
  <c r="FI55" i="3"/>
  <c r="FL55" i="3"/>
  <c r="EB49" i="3"/>
  <c r="EL49" i="3"/>
  <c r="EM49" i="3"/>
  <c r="EN49" i="3"/>
  <c r="EO49" i="3"/>
  <c r="DR49" i="3"/>
  <c r="DS49" i="3"/>
  <c r="CT49" i="3"/>
  <c r="DQ49" i="3"/>
  <c r="CV49" i="3"/>
  <c r="DT49" i="3"/>
  <c r="CW49" i="3"/>
  <c r="CU49" i="3"/>
  <c r="FK49" i="3"/>
  <c r="FL49" i="3"/>
  <c r="FJ49" i="3"/>
  <c r="FI49" i="3"/>
  <c r="EB58" i="3"/>
  <c r="EL58" i="3"/>
  <c r="EM58" i="3"/>
  <c r="EN58" i="3"/>
  <c r="EO58" i="3"/>
  <c r="DR58" i="3"/>
  <c r="DS58" i="3"/>
  <c r="DT58" i="3"/>
  <c r="CV58" i="3"/>
  <c r="CT58" i="3"/>
  <c r="DQ58" i="3"/>
  <c r="CU58" i="3"/>
  <c r="CW58" i="3"/>
  <c r="FK58" i="3"/>
  <c r="FJ58" i="3"/>
  <c r="FL58" i="3"/>
  <c r="FI58" i="3"/>
  <c r="EB48" i="3"/>
  <c r="EL48" i="3"/>
  <c r="EM48" i="3"/>
  <c r="EO48" i="3"/>
  <c r="DQ48" i="3"/>
  <c r="DS48" i="3"/>
  <c r="DR48" i="3"/>
  <c r="EN48" i="3"/>
  <c r="CV48" i="3"/>
  <c r="CW48" i="3"/>
  <c r="DT48" i="3"/>
  <c r="CT48" i="3"/>
  <c r="FK48" i="3"/>
  <c r="FJ48" i="3"/>
  <c r="CU48" i="3"/>
  <c r="FL48" i="3"/>
  <c r="FI48" i="3"/>
  <c r="EB37" i="3"/>
  <c r="EL37" i="3"/>
  <c r="EM37" i="3"/>
  <c r="EN37" i="3"/>
  <c r="EO37" i="3"/>
  <c r="DR37" i="3"/>
  <c r="DS37" i="3"/>
  <c r="DQ37" i="3"/>
  <c r="DT37" i="3"/>
  <c r="CT37" i="3"/>
  <c r="CW37" i="3"/>
  <c r="CV37" i="3"/>
  <c r="FK37" i="3"/>
  <c r="CU37" i="3"/>
  <c r="FL37" i="3"/>
  <c r="FJ37" i="3"/>
  <c r="FI37" i="3"/>
  <c r="EB51" i="3"/>
  <c r="EL51" i="3"/>
  <c r="EM51" i="3"/>
  <c r="EO51" i="3"/>
  <c r="DQ51" i="3"/>
  <c r="EN51" i="3"/>
  <c r="DT51" i="3"/>
  <c r="DR51" i="3"/>
  <c r="CT51" i="3"/>
  <c r="CV51" i="3"/>
  <c r="DS51" i="3"/>
  <c r="CW51" i="3"/>
  <c r="CU51" i="3"/>
  <c r="FK51" i="3"/>
  <c r="FI51" i="3"/>
  <c r="FJ51" i="3"/>
  <c r="FL51" i="3"/>
  <c r="EB60" i="3"/>
  <c r="EL60" i="3"/>
  <c r="EM60" i="3"/>
  <c r="EO60" i="3"/>
  <c r="DQ60" i="3"/>
  <c r="DS60" i="3"/>
  <c r="EN60" i="3"/>
  <c r="DR60" i="3"/>
  <c r="CU60" i="3"/>
  <c r="CV60" i="3"/>
  <c r="CT60" i="3"/>
  <c r="CW60" i="3"/>
  <c r="DT60" i="3"/>
  <c r="FK60" i="3"/>
  <c r="FJ60" i="3"/>
  <c r="FL60" i="3"/>
  <c r="FI60" i="3"/>
  <c r="EB62" i="3"/>
  <c r="EL62" i="3"/>
  <c r="EM62" i="3"/>
  <c r="EN62" i="3"/>
  <c r="EO62" i="3"/>
  <c r="DT62" i="3"/>
  <c r="CT62" i="3"/>
  <c r="CV62" i="3"/>
  <c r="CW62" i="3"/>
  <c r="DR62" i="3"/>
  <c r="DS62" i="3"/>
  <c r="DQ62" i="3"/>
  <c r="CU62" i="3"/>
  <c r="FK62" i="3"/>
  <c r="FJ62" i="3"/>
  <c r="FL62" i="3"/>
  <c r="FI62" i="3"/>
  <c r="EB59" i="3"/>
  <c r="EL59" i="3"/>
  <c r="EM59" i="3"/>
  <c r="EN59" i="3"/>
  <c r="EO59" i="3"/>
  <c r="DT59" i="3"/>
  <c r="DS59" i="3"/>
  <c r="DQ59" i="3"/>
  <c r="CT59" i="3"/>
  <c r="CV59" i="3"/>
  <c r="CW59" i="3"/>
  <c r="DR59" i="3"/>
  <c r="FJ59" i="3"/>
  <c r="FL59" i="3"/>
  <c r="FK59" i="3"/>
  <c r="CU59" i="3"/>
  <c r="FI59" i="3"/>
  <c r="FI15" i="3"/>
  <c r="FK15" i="3"/>
  <c r="FJ15" i="3"/>
  <c r="FL15" i="3"/>
  <c r="FL12" i="3"/>
  <c r="FK12" i="3"/>
  <c r="FI12" i="3"/>
  <c r="FJ12" i="3"/>
  <c r="FL14" i="3"/>
  <c r="FK14" i="3"/>
  <c r="FI14" i="3"/>
  <c r="FJ14" i="3"/>
  <c r="FL13" i="3"/>
  <c r="FK13" i="3"/>
  <c r="FI13" i="3"/>
  <c r="FJ13" i="3"/>
  <c r="FA40" i="3"/>
  <c r="EP40" i="3"/>
  <c r="FB40" i="3"/>
  <c r="EQ40" i="3"/>
  <c r="FC40" i="3"/>
  <c r="ER40" i="3"/>
  <c r="FD40" i="3"/>
  <c r="ES40" i="3"/>
  <c r="ET40" i="3"/>
  <c r="EV40" i="3"/>
  <c r="EW40" i="3"/>
  <c r="EU40" i="3"/>
  <c r="EX40" i="3"/>
  <c r="EY40" i="3"/>
  <c r="EZ40" i="3"/>
  <c r="FA46" i="3"/>
  <c r="EP46" i="3"/>
  <c r="FB46" i="3"/>
  <c r="EQ46" i="3"/>
  <c r="FC46" i="3"/>
  <c r="ER46" i="3"/>
  <c r="FD46" i="3"/>
  <c r="ES46" i="3"/>
  <c r="ET46" i="3"/>
  <c r="EV46" i="3"/>
  <c r="EW46" i="3"/>
  <c r="EU46" i="3"/>
  <c r="EX46" i="3"/>
  <c r="EY46" i="3"/>
  <c r="EZ46" i="3"/>
  <c r="ES59" i="3"/>
  <c r="ET59" i="3"/>
  <c r="EU59" i="3"/>
  <c r="EV59" i="3"/>
  <c r="EW59" i="3"/>
  <c r="EX59" i="3"/>
  <c r="EZ59" i="3"/>
  <c r="FA59" i="3"/>
  <c r="EP59" i="3"/>
  <c r="EQ59" i="3"/>
  <c r="ER59" i="3"/>
  <c r="EY59" i="3"/>
  <c r="FB59" i="3"/>
  <c r="FC59" i="3"/>
  <c r="FD59" i="3"/>
  <c r="EW63" i="3"/>
  <c r="EX63" i="3"/>
  <c r="EY63" i="3"/>
  <c r="EZ63" i="3"/>
  <c r="FA63" i="3"/>
  <c r="EP63" i="3"/>
  <c r="FB63" i="3"/>
  <c r="ER63" i="3"/>
  <c r="FD63" i="3"/>
  <c r="ES63" i="3"/>
  <c r="FC63" i="3"/>
  <c r="EQ63" i="3"/>
  <c r="ET63" i="3"/>
  <c r="EU63" i="3"/>
  <c r="EV63" i="3"/>
  <c r="FA43" i="3"/>
  <c r="EP43" i="3"/>
  <c r="FB43" i="3"/>
  <c r="EQ43" i="3"/>
  <c r="FC43" i="3"/>
  <c r="ER43" i="3"/>
  <c r="FD43" i="3"/>
  <c r="ES43" i="3"/>
  <c r="ET43" i="3"/>
  <c r="EV43" i="3"/>
  <c r="EW43" i="3"/>
  <c r="EU43" i="3"/>
  <c r="EX43" i="3"/>
  <c r="EY43" i="3"/>
  <c r="EZ43" i="3"/>
  <c r="FA55" i="3"/>
  <c r="EP55" i="3"/>
  <c r="FB55" i="3"/>
  <c r="EQ55" i="3"/>
  <c r="FC55" i="3"/>
  <c r="ER55" i="3"/>
  <c r="FD55" i="3"/>
  <c r="ES55" i="3"/>
  <c r="ET55" i="3"/>
  <c r="EV55" i="3"/>
  <c r="EW55" i="3"/>
  <c r="EU55" i="3"/>
  <c r="EX55" i="3"/>
  <c r="EY55" i="3"/>
  <c r="EZ55" i="3"/>
  <c r="ES50" i="3"/>
  <c r="ET50" i="3"/>
  <c r="EU50" i="3"/>
  <c r="EV50" i="3"/>
  <c r="EW50" i="3"/>
  <c r="EX50" i="3"/>
  <c r="EZ50" i="3"/>
  <c r="FA50" i="3"/>
  <c r="EP50" i="3"/>
  <c r="EQ50" i="3"/>
  <c r="ER50" i="3"/>
  <c r="EY50" i="3"/>
  <c r="FB50" i="3"/>
  <c r="FC50" i="3"/>
  <c r="FD50" i="3"/>
  <c r="ES38" i="3"/>
  <c r="ET38" i="3"/>
  <c r="EU38" i="3"/>
  <c r="EV38" i="3"/>
  <c r="EW38" i="3"/>
  <c r="EX38" i="3"/>
  <c r="EZ38" i="3"/>
  <c r="FA38" i="3"/>
  <c r="EY38" i="3"/>
  <c r="FB38" i="3"/>
  <c r="FC38" i="3"/>
  <c r="FD38" i="3"/>
  <c r="EP38" i="3"/>
  <c r="EQ38" i="3"/>
  <c r="ER38" i="3"/>
  <c r="EP66" i="3"/>
  <c r="FB66" i="3"/>
  <c r="EQ66" i="3"/>
  <c r="FC66" i="3"/>
  <c r="ER66" i="3"/>
  <c r="FD66" i="3"/>
  <c r="ES66" i="3"/>
  <c r="ET66" i="3"/>
  <c r="EU66" i="3"/>
  <c r="EV66" i="3"/>
  <c r="EW66" i="3"/>
  <c r="EX66" i="3"/>
  <c r="EY66" i="3"/>
  <c r="EZ66" i="3"/>
  <c r="FA66" i="3"/>
  <c r="EW45" i="3"/>
  <c r="EX45" i="3"/>
  <c r="EY45" i="3"/>
  <c r="EZ45" i="3"/>
  <c r="FA45" i="3"/>
  <c r="EP45" i="3"/>
  <c r="FB45" i="3"/>
  <c r="ER45" i="3"/>
  <c r="FD45" i="3"/>
  <c r="ES45" i="3"/>
  <c r="FC45" i="3"/>
  <c r="EQ45" i="3"/>
  <c r="ET45" i="3"/>
  <c r="EU45" i="3"/>
  <c r="EV45" i="3"/>
  <c r="EP69" i="3"/>
  <c r="FB69" i="3"/>
  <c r="EQ69" i="3"/>
  <c r="FC69" i="3"/>
  <c r="ER69" i="3"/>
  <c r="FD69" i="3"/>
  <c r="ES69" i="3"/>
  <c r="ET69" i="3"/>
  <c r="EU69" i="3"/>
  <c r="EV69" i="3"/>
  <c r="EW69" i="3"/>
  <c r="EX69" i="3"/>
  <c r="EY69" i="3"/>
  <c r="EZ69" i="3"/>
  <c r="FA69" i="3"/>
  <c r="EW39" i="3"/>
  <c r="EX39" i="3"/>
  <c r="EY39" i="3"/>
  <c r="EZ39" i="3"/>
  <c r="FA39" i="3"/>
  <c r="EP39" i="3"/>
  <c r="FB39" i="3"/>
  <c r="ER39" i="3"/>
  <c r="FD39" i="3"/>
  <c r="ES39" i="3"/>
  <c r="EQ39" i="3"/>
  <c r="ET39" i="3"/>
  <c r="EU39" i="3"/>
  <c r="EV39" i="3"/>
  <c r="FC39" i="3"/>
  <c r="ES56" i="3"/>
  <c r="ET56" i="3"/>
  <c r="EU56" i="3"/>
  <c r="EV56" i="3"/>
  <c r="EW56" i="3"/>
  <c r="EX56" i="3"/>
  <c r="EZ56" i="3"/>
  <c r="FA56" i="3"/>
  <c r="EY56" i="3"/>
  <c r="FB56" i="3"/>
  <c r="FC56" i="3"/>
  <c r="FD56" i="3"/>
  <c r="EP56" i="3"/>
  <c r="EQ56" i="3"/>
  <c r="ER56" i="3"/>
  <c r="EX68" i="3"/>
  <c r="EY68" i="3"/>
  <c r="EZ68" i="3"/>
  <c r="FA68" i="3"/>
  <c r="EP68" i="3"/>
  <c r="FB68" i="3"/>
  <c r="EQ68" i="3"/>
  <c r="FC68" i="3"/>
  <c r="ER68" i="3"/>
  <c r="FD68" i="3"/>
  <c r="ES68" i="3"/>
  <c r="ET68" i="3"/>
  <c r="EU68" i="3"/>
  <c r="EV68" i="3"/>
  <c r="EW68" i="3"/>
  <c r="EW51" i="3"/>
  <c r="EX51" i="3"/>
  <c r="EY51" i="3"/>
  <c r="EZ51" i="3"/>
  <c r="FA51" i="3"/>
  <c r="EP51" i="3"/>
  <c r="FB51" i="3"/>
  <c r="ER51" i="3"/>
  <c r="FD51" i="3"/>
  <c r="ES51" i="3"/>
  <c r="EQ51" i="3"/>
  <c r="ET51" i="3"/>
  <c r="EU51" i="3"/>
  <c r="EV51" i="3"/>
  <c r="FC51" i="3"/>
  <c r="ES44" i="3"/>
  <c r="ET44" i="3"/>
  <c r="EU44" i="3"/>
  <c r="EV44" i="3"/>
  <c r="EW44" i="3"/>
  <c r="EX44" i="3"/>
  <c r="EZ44" i="3"/>
  <c r="FA44" i="3"/>
  <c r="EP44" i="3"/>
  <c r="EQ44" i="3"/>
  <c r="ER44" i="3"/>
  <c r="EY44" i="3"/>
  <c r="FB44" i="3"/>
  <c r="FC44" i="3"/>
  <c r="FD44" i="3"/>
  <c r="FA37" i="3"/>
  <c r="EP37" i="3"/>
  <c r="FB37" i="3"/>
  <c r="EQ37" i="3"/>
  <c r="FC37" i="3"/>
  <c r="ER37" i="3"/>
  <c r="FD37" i="3"/>
  <c r="ES37" i="3"/>
  <c r="ET37" i="3"/>
  <c r="EV37" i="3"/>
  <c r="EW37" i="3"/>
  <c r="EU37" i="3"/>
  <c r="EX37" i="3"/>
  <c r="EY37" i="3"/>
  <c r="EZ37" i="3"/>
  <c r="FA58" i="3"/>
  <c r="EP58" i="3"/>
  <c r="FB58" i="3"/>
  <c r="EQ58" i="3"/>
  <c r="FC58" i="3"/>
  <c r="ER58" i="3"/>
  <c r="FD58" i="3"/>
  <c r="ES58" i="3"/>
  <c r="ET58" i="3"/>
  <c r="EV58" i="3"/>
  <c r="EW58" i="3"/>
  <c r="EU58" i="3"/>
  <c r="EX58" i="3"/>
  <c r="EY58" i="3"/>
  <c r="EZ58" i="3"/>
  <c r="ES65" i="3"/>
  <c r="ET65" i="3"/>
  <c r="EU65" i="3"/>
  <c r="EV65" i="3"/>
  <c r="FA65" i="3"/>
  <c r="EW65" i="3"/>
  <c r="EX65" i="3"/>
  <c r="EY65" i="3"/>
  <c r="EZ65" i="3"/>
  <c r="FB65" i="3"/>
  <c r="FC65" i="3"/>
  <c r="FD65" i="3"/>
  <c r="EP65" i="3"/>
  <c r="EQ65" i="3"/>
  <c r="ER65" i="3"/>
  <c r="EW54" i="3"/>
  <c r="EX54" i="3"/>
  <c r="EY54" i="3"/>
  <c r="EZ54" i="3"/>
  <c r="FA54" i="3"/>
  <c r="EP54" i="3"/>
  <c r="FB54" i="3"/>
  <c r="ER54" i="3"/>
  <c r="FD54" i="3"/>
  <c r="ES54" i="3"/>
  <c r="FC54" i="3"/>
  <c r="EQ54" i="3"/>
  <c r="ET54" i="3"/>
  <c r="EU54" i="3"/>
  <c r="EV54" i="3"/>
  <c r="EW42" i="3"/>
  <c r="EX42" i="3"/>
  <c r="EY42" i="3"/>
  <c r="EZ42" i="3"/>
  <c r="FA42" i="3"/>
  <c r="EP42" i="3"/>
  <c r="FB42" i="3"/>
  <c r="ER42" i="3"/>
  <c r="FD42" i="3"/>
  <c r="ES42" i="3"/>
  <c r="EQ42" i="3"/>
  <c r="ET42" i="3"/>
  <c r="EU42" i="3"/>
  <c r="EV42" i="3"/>
  <c r="FC42" i="3"/>
  <c r="ET67" i="3"/>
  <c r="EU67" i="3"/>
  <c r="EV67" i="3"/>
  <c r="EW67" i="3"/>
  <c r="EX67" i="3"/>
  <c r="EY67" i="3"/>
  <c r="EZ67" i="3"/>
  <c r="FA67" i="3"/>
  <c r="EP67" i="3"/>
  <c r="FB67" i="3"/>
  <c r="EQ67" i="3"/>
  <c r="FC67" i="3"/>
  <c r="ER67" i="3"/>
  <c r="FD67" i="3"/>
  <c r="ES67" i="3"/>
  <c r="EX71" i="3"/>
  <c r="EY71" i="3"/>
  <c r="EZ71" i="3"/>
  <c r="FA71" i="3"/>
  <c r="EP71" i="3"/>
  <c r="FB71" i="3"/>
  <c r="EQ71" i="3"/>
  <c r="FC71" i="3"/>
  <c r="ER71" i="3"/>
  <c r="FD71" i="3"/>
  <c r="ES71" i="3"/>
  <c r="ET71" i="3"/>
  <c r="EU71" i="3"/>
  <c r="EV71" i="3"/>
  <c r="EW71" i="3"/>
  <c r="EW48" i="3"/>
  <c r="EX48" i="3"/>
  <c r="EY48" i="3"/>
  <c r="EZ48" i="3"/>
  <c r="FA48" i="3"/>
  <c r="EP48" i="3"/>
  <c r="FB48" i="3"/>
  <c r="ER48" i="3"/>
  <c r="FD48" i="3"/>
  <c r="ES48" i="3"/>
  <c r="EQ48" i="3"/>
  <c r="ET48" i="3"/>
  <c r="EU48" i="3"/>
  <c r="EV48" i="3"/>
  <c r="FC48" i="3"/>
  <c r="ES53" i="3"/>
  <c r="ET53" i="3"/>
  <c r="EU53" i="3"/>
  <c r="EV53" i="3"/>
  <c r="EW53" i="3"/>
  <c r="EX53" i="3"/>
  <c r="EZ53" i="3"/>
  <c r="FA53" i="3"/>
  <c r="EP53" i="3"/>
  <c r="EQ53" i="3"/>
  <c r="ER53" i="3"/>
  <c r="EY53" i="3"/>
  <c r="FB53" i="3"/>
  <c r="FC53" i="3"/>
  <c r="FD53" i="3"/>
  <c r="EP72" i="3"/>
  <c r="FB72" i="3"/>
  <c r="EQ72" i="3"/>
  <c r="FC72" i="3"/>
  <c r="ER72" i="3"/>
  <c r="FD72" i="3"/>
  <c r="ES72" i="3"/>
  <c r="ET72" i="3"/>
  <c r="EU72" i="3"/>
  <c r="EV72" i="3"/>
  <c r="EW72" i="3"/>
  <c r="EX72" i="3"/>
  <c r="EY72" i="3"/>
  <c r="EZ72" i="3"/>
  <c r="FA72" i="3"/>
  <c r="FA64" i="3"/>
  <c r="EP64" i="3"/>
  <c r="FB64" i="3"/>
  <c r="EQ64" i="3"/>
  <c r="FC64" i="3"/>
  <c r="ER64" i="3"/>
  <c r="FD64" i="3"/>
  <c r="ES64" i="3"/>
  <c r="ET64" i="3"/>
  <c r="EV64" i="3"/>
  <c r="EW64" i="3"/>
  <c r="EU64" i="3"/>
  <c r="EX64" i="3"/>
  <c r="EY64" i="3"/>
  <c r="EZ64" i="3"/>
  <c r="EW57" i="3"/>
  <c r="EX57" i="3"/>
  <c r="EY57" i="3"/>
  <c r="EZ57" i="3"/>
  <c r="FA57" i="3"/>
  <c r="EP57" i="3"/>
  <c r="FB57" i="3"/>
  <c r="ER57" i="3"/>
  <c r="FD57" i="3"/>
  <c r="ES57" i="3"/>
  <c r="EQ57" i="3"/>
  <c r="ET57" i="3"/>
  <c r="EU57" i="3"/>
  <c r="EV57" i="3"/>
  <c r="FC57" i="3"/>
  <c r="FA61" i="3"/>
  <c r="EP61" i="3"/>
  <c r="FB61" i="3"/>
  <c r="EQ61" i="3"/>
  <c r="FC61" i="3"/>
  <c r="ER61" i="3"/>
  <c r="FD61" i="3"/>
  <c r="ES61" i="3"/>
  <c r="ET61" i="3"/>
  <c r="EV61" i="3"/>
  <c r="EW61" i="3"/>
  <c r="EU61" i="3"/>
  <c r="EX61" i="3"/>
  <c r="EY61" i="3"/>
  <c r="EZ61" i="3"/>
  <c r="ES41" i="3"/>
  <c r="ET41" i="3"/>
  <c r="EU41" i="3"/>
  <c r="EV41" i="3"/>
  <c r="EW41" i="3"/>
  <c r="EX41" i="3"/>
  <c r="EZ41" i="3"/>
  <c r="FA41" i="3"/>
  <c r="EP41" i="3"/>
  <c r="EQ41" i="3"/>
  <c r="ER41" i="3"/>
  <c r="EY41" i="3"/>
  <c r="FB41" i="3"/>
  <c r="FC41" i="3"/>
  <c r="FD41" i="3"/>
  <c r="FA52" i="3"/>
  <c r="EP52" i="3"/>
  <c r="FB52" i="3"/>
  <c r="EQ52" i="3"/>
  <c r="FC52" i="3"/>
  <c r="ER52" i="3"/>
  <c r="FD52" i="3"/>
  <c r="ES52" i="3"/>
  <c r="ET52" i="3"/>
  <c r="EV52" i="3"/>
  <c r="EW52" i="3"/>
  <c r="EU52" i="3"/>
  <c r="EX52" i="3"/>
  <c r="EY52" i="3"/>
  <c r="EZ52" i="3"/>
  <c r="EW60" i="3"/>
  <c r="EX60" i="3"/>
  <c r="EY60" i="3"/>
  <c r="EZ60" i="3"/>
  <c r="FA60" i="3"/>
  <c r="EP60" i="3"/>
  <c r="FB60" i="3"/>
  <c r="ER60" i="3"/>
  <c r="FD60" i="3"/>
  <c r="ES60" i="3"/>
  <c r="EQ60" i="3"/>
  <c r="ET60" i="3"/>
  <c r="EU60" i="3"/>
  <c r="EV60" i="3"/>
  <c r="FC60" i="3"/>
  <c r="ES47" i="3"/>
  <c r="ET47" i="3"/>
  <c r="EU47" i="3"/>
  <c r="EV47" i="3"/>
  <c r="EW47" i="3"/>
  <c r="EX47" i="3"/>
  <c r="EZ47" i="3"/>
  <c r="FA47" i="3"/>
  <c r="EY47" i="3"/>
  <c r="FB47" i="3"/>
  <c r="FC47" i="3"/>
  <c r="FD47" i="3"/>
  <c r="EP47" i="3"/>
  <c r="EQ47" i="3"/>
  <c r="ER47" i="3"/>
  <c r="ES62" i="3"/>
  <c r="ET62" i="3"/>
  <c r="EU62" i="3"/>
  <c r="EV62" i="3"/>
  <c r="EW62" i="3"/>
  <c r="EX62" i="3"/>
  <c r="EZ62" i="3"/>
  <c r="FA62" i="3"/>
  <c r="EP62" i="3"/>
  <c r="EQ62" i="3"/>
  <c r="ER62" i="3"/>
  <c r="EY62" i="3"/>
  <c r="FB62" i="3"/>
  <c r="FC62" i="3"/>
  <c r="FD62" i="3"/>
  <c r="ET70" i="3"/>
  <c r="EU70" i="3"/>
  <c r="EV70" i="3"/>
  <c r="EW70" i="3"/>
  <c r="EX70" i="3"/>
  <c r="EY70" i="3"/>
  <c r="EZ70" i="3"/>
  <c r="FA70" i="3"/>
  <c r="EP70" i="3"/>
  <c r="FB70" i="3"/>
  <c r="EQ70" i="3"/>
  <c r="FC70" i="3"/>
  <c r="ER70" i="3"/>
  <c r="FD70" i="3"/>
  <c r="ES70" i="3"/>
  <c r="FA49" i="3"/>
  <c r="EP49" i="3"/>
  <c r="FB49" i="3"/>
  <c r="EQ49" i="3"/>
  <c r="FC49" i="3"/>
  <c r="ER49" i="3"/>
  <c r="FD49" i="3"/>
  <c r="ES49" i="3"/>
  <c r="ET49" i="3"/>
  <c r="EV49" i="3"/>
  <c r="EW49" i="3"/>
  <c r="EU49" i="3"/>
  <c r="EX49" i="3"/>
  <c r="EY49" i="3"/>
  <c r="EZ49" i="3"/>
  <c r="DZ41" i="3"/>
  <c r="EA41" i="3"/>
  <c r="DP41" i="3"/>
  <c r="EC41" i="3"/>
  <c r="ED41" i="3"/>
  <c r="EE41" i="3"/>
  <c r="EF41" i="3"/>
  <c r="EG41" i="3"/>
  <c r="DU41" i="3"/>
  <c r="EH41" i="3"/>
  <c r="DV41" i="3"/>
  <c r="EI41" i="3"/>
  <c r="DY41" i="3"/>
  <c r="DW41" i="3"/>
  <c r="DX41" i="3"/>
  <c r="CZ41" i="3"/>
  <c r="DL41" i="3"/>
  <c r="DE41" i="3"/>
  <c r="DF41" i="3"/>
  <c r="DG41" i="3"/>
  <c r="CY41" i="3"/>
  <c r="DK41" i="3"/>
  <c r="CX41" i="3"/>
  <c r="DA41" i="3"/>
  <c r="DB41" i="3"/>
  <c r="DC41" i="3"/>
  <c r="DD41" i="3"/>
  <c r="DH41" i="3"/>
  <c r="DI41" i="3"/>
  <c r="DJ41" i="3"/>
  <c r="DM41" i="3"/>
  <c r="DN41" i="3"/>
  <c r="FO41" i="3"/>
  <c r="GA41" i="3"/>
  <c r="FP41" i="3"/>
  <c r="FR41" i="3"/>
  <c r="FS41" i="3"/>
  <c r="FT41" i="3"/>
  <c r="FU41" i="3"/>
  <c r="FV41" i="3"/>
  <c r="FX41" i="3"/>
  <c r="FZ41" i="3"/>
  <c r="FY41" i="3"/>
  <c r="FM41" i="3"/>
  <c r="FN41" i="3"/>
  <c r="DP51" i="3"/>
  <c r="EC51" i="3"/>
  <c r="ED51" i="3"/>
  <c r="EE51" i="3"/>
  <c r="EF51" i="3"/>
  <c r="EG51" i="3"/>
  <c r="DU51" i="3"/>
  <c r="EH51" i="3"/>
  <c r="DV51" i="3"/>
  <c r="EI51" i="3"/>
  <c r="DW51" i="3"/>
  <c r="DX51" i="3"/>
  <c r="EA51" i="3"/>
  <c r="DZ51" i="3"/>
  <c r="DY51" i="3"/>
  <c r="DF51" i="3"/>
  <c r="CY51" i="3"/>
  <c r="DK51" i="3"/>
  <c r="CZ51" i="3"/>
  <c r="DL51" i="3"/>
  <c r="DA51" i="3"/>
  <c r="DM51" i="3"/>
  <c r="DE51" i="3"/>
  <c r="DJ51" i="3"/>
  <c r="DN51" i="3"/>
  <c r="CX51" i="3"/>
  <c r="DB51" i="3"/>
  <c r="DC51" i="3"/>
  <c r="DD51" i="3"/>
  <c r="DG51" i="3"/>
  <c r="DI51" i="3"/>
  <c r="DH51" i="3"/>
  <c r="FR51" i="3"/>
  <c r="FS51" i="3"/>
  <c r="FT51" i="3"/>
  <c r="FU51" i="3"/>
  <c r="FV51" i="3"/>
  <c r="FX51" i="3"/>
  <c r="FM51" i="3"/>
  <c r="FY51" i="3"/>
  <c r="FN51" i="3"/>
  <c r="FZ51" i="3"/>
  <c r="FO51" i="3"/>
  <c r="FP51" i="3"/>
  <c r="GA51" i="3"/>
  <c r="DU40" i="3"/>
  <c r="EH40" i="3"/>
  <c r="DV40" i="3"/>
  <c r="EI40" i="3"/>
  <c r="DW40" i="3"/>
  <c r="DX40" i="3"/>
  <c r="DY40" i="3"/>
  <c r="DZ40" i="3"/>
  <c r="EA40" i="3"/>
  <c r="DP40" i="3"/>
  <c r="EC40" i="3"/>
  <c r="ED40" i="3"/>
  <c r="EG40" i="3"/>
  <c r="EE40" i="3"/>
  <c r="EF40" i="3"/>
  <c r="DI40" i="3"/>
  <c r="DB40" i="3"/>
  <c r="DN40" i="3"/>
  <c r="DC40" i="3"/>
  <c r="DD40" i="3"/>
  <c r="DH40" i="3"/>
  <c r="CX40" i="3"/>
  <c r="CY40" i="3"/>
  <c r="CZ40" i="3"/>
  <c r="DA40" i="3"/>
  <c r="DE40" i="3"/>
  <c r="DF40" i="3"/>
  <c r="DG40" i="3"/>
  <c r="DJ40" i="3"/>
  <c r="DK40" i="3"/>
  <c r="DL40" i="3"/>
  <c r="DM40" i="3"/>
  <c r="FV40" i="3"/>
  <c r="FX40" i="3"/>
  <c r="FM40" i="3"/>
  <c r="FY40" i="3"/>
  <c r="FN40" i="3"/>
  <c r="FZ40" i="3"/>
  <c r="FO40" i="3"/>
  <c r="GA40" i="3"/>
  <c r="FP40" i="3"/>
  <c r="FR40" i="3"/>
  <c r="FS40" i="3"/>
  <c r="FT40" i="3"/>
  <c r="FU40" i="3"/>
  <c r="DW38" i="3"/>
  <c r="DX38" i="3"/>
  <c r="DY38" i="3"/>
  <c r="DZ38" i="3"/>
  <c r="EA38" i="3"/>
  <c r="DP38" i="3"/>
  <c r="EC38" i="3"/>
  <c r="ED38" i="3"/>
  <c r="EE38" i="3"/>
  <c r="EF38" i="3"/>
  <c r="DV38" i="3"/>
  <c r="EI38" i="3"/>
  <c r="DU38" i="3"/>
  <c r="EG38" i="3"/>
  <c r="EH38" i="3"/>
  <c r="DC38" i="3"/>
  <c r="DH38" i="3"/>
  <c r="DI38" i="3"/>
  <c r="CX38" i="3"/>
  <c r="DJ38" i="3"/>
  <c r="DB38" i="3"/>
  <c r="DN38" i="3"/>
  <c r="CY38" i="3"/>
  <c r="CZ38" i="3"/>
  <c r="DA38" i="3"/>
  <c r="DD38" i="3"/>
  <c r="DE38" i="3"/>
  <c r="DF38" i="3"/>
  <c r="DG38" i="3"/>
  <c r="DK38" i="3"/>
  <c r="DL38" i="3"/>
  <c r="DM38" i="3"/>
  <c r="FX38" i="3"/>
  <c r="FM38" i="3"/>
  <c r="FY38" i="3"/>
  <c r="FN38" i="3"/>
  <c r="FZ38" i="3"/>
  <c r="FO38" i="3"/>
  <c r="GA38" i="3"/>
  <c r="FP38" i="3"/>
  <c r="FR38" i="3"/>
  <c r="FS38" i="3"/>
  <c r="FT38" i="3"/>
  <c r="FU38" i="3"/>
  <c r="FV38" i="3"/>
  <c r="EE61" i="3"/>
  <c r="EF61" i="3"/>
  <c r="EG61" i="3"/>
  <c r="DU61" i="3"/>
  <c r="EH61" i="3"/>
  <c r="DV61" i="3"/>
  <c r="EI61" i="3"/>
  <c r="DW61" i="3"/>
  <c r="DX61" i="3"/>
  <c r="DY61" i="3"/>
  <c r="DZ61" i="3"/>
  <c r="ED61" i="3"/>
  <c r="DP61" i="3"/>
  <c r="EA61" i="3"/>
  <c r="EC61" i="3"/>
  <c r="DE61" i="3"/>
  <c r="DF61" i="3"/>
  <c r="CY61" i="3"/>
  <c r="DK61" i="3"/>
  <c r="DA61" i="3"/>
  <c r="DB61" i="3"/>
  <c r="DC61" i="3"/>
  <c r="DD61" i="3"/>
  <c r="DG61" i="3"/>
  <c r="DH61" i="3"/>
  <c r="DI61" i="3"/>
  <c r="DJ61" i="3"/>
  <c r="DL61" i="3"/>
  <c r="DM61" i="3"/>
  <c r="CZ61" i="3"/>
  <c r="DN61" i="3"/>
  <c r="CX61" i="3"/>
  <c r="FS61" i="3"/>
  <c r="FT61" i="3"/>
  <c r="FU61" i="3"/>
  <c r="FV61" i="3"/>
  <c r="FX61" i="3"/>
  <c r="FM61" i="3"/>
  <c r="FY61" i="3"/>
  <c r="FN61" i="3"/>
  <c r="FZ61" i="3"/>
  <c r="FO61" i="3"/>
  <c r="GA61" i="3"/>
  <c r="FP61" i="3"/>
  <c r="FR61" i="3"/>
  <c r="EF66" i="3"/>
  <c r="DU66" i="3"/>
  <c r="EH66" i="3"/>
  <c r="DV66" i="3"/>
  <c r="EI66" i="3"/>
  <c r="DX66" i="3"/>
  <c r="DY66" i="3"/>
  <c r="DZ66" i="3"/>
  <c r="EA66" i="3"/>
  <c r="EE66" i="3"/>
  <c r="DP66" i="3"/>
  <c r="DW66" i="3"/>
  <c r="EC66" i="3"/>
  <c r="EG66" i="3"/>
  <c r="ED66" i="3"/>
  <c r="DH66" i="3"/>
  <c r="DI66" i="3"/>
  <c r="DB66" i="3"/>
  <c r="DN66" i="3"/>
  <c r="DG66" i="3"/>
  <c r="DJ66" i="3"/>
  <c r="DK66" i="3"/>
  <c r="DL66" i="3"/>
  <c r="CX66" i="3"/>
  <c r="DM66" i="3"/>
  <c r="CY66" i="3"/>
  <c r="CZ66" i="3"/>
  <c r="DA66" i="3"/>
  <c r="DC66" i="3"/>
  <c r="DD66" i="3"/>
  <c r="DE66" i="3"/>
  <c r="DF66" i="3"/>
  <c r="FT66" i="3"/>
  <c r="FU66" i="3"/>
  <c r="FV66" i="3"/>
  <c r="FX66" i="3"/>
  <c r="FM66" i="3"/>
  <c r="FY66" i="3"/>
  <c r="FN66" i="3"/>
  <c r="FZ66" i="3"/>
  <c r="FO66" i="3"/>
  <c r="GA66" i="3"/>
  <c r="FP66" i="3"/>
  <c r="FR66" i="3"/>
  <c r="FS66" i="3"/>
  <c r="DY48" i="3"/>
  <c r="DZ48" i="3"/>
  <c r="EA48" i="3"/>
  <c r="DP48" i="3"/>
  <c r="EC48" i="3"/>
  <c r="ED48" i="3"/>
  <c r="EE48" i="3"/>
  <c r="EF48" i="3"/>
  <c r="EG48" i="3"/>
  <c r="DU48" i="3"/>
  <c r="EH48" i="3"/>
  <c r="DX48" i="3"/>
  <c r="DV48" i="3"/>
  <c r="DW48" i="3"/>
  <c r="EI48" i="3"/>
  <c r="DI48" i="3"/>
  <c r="DB48" i="3"/>
  <c r="DN48" i="3"/>
  <c r="DC48" i="3"/>
  <c r="DD48" i="3"/>
  <c r="DH48" i="3"/>
  <c r="DL48" i="3"/>
  <c r="DM48" i="3"/>
  <c r="CX48" i="3"/>
  <c r="CY48" i="3"/>
  <c r="CZ48" i="3"/>
  <c r="DA48" i="3"/>
  <c r="DE48" i="3"/>
  <c r="DF48" i="3"/>
  <c r="DG48" i="3"/>
  <c r="DK48" i="3"/>
  <c r="DJ48" i="3"/>
  <c r="FN48" i="3"/>
  <c r="FZ48" i="3"/>
  <c r="FO48" i="3"/>
  <c r="GA48" i="3"/>
  <c r="FP48" i="3"/>
  <c r="FR48" i="3"/>
  <c r="FS48" i="3"/>
  <c r="FT48" i="3"/>
  <c r="FU48" i="3"/>
  <c r="FV48" i="3"/>
  <c r="FM48" i="3"/>
  <c r="FY48" i="3"/>
  <c r="FX48" i="3"/>
  <c r="EA46" i="3"/>
  <c r="DP46" i="3"/>
  <c r="EC46" i="3"/>
  <c r="ED46" i="3"/>
  <c r="EE46" i="3"/>
  <c r="EF46" i="3"/>
  <c r="EG46" i="3"/>
  <c r="DU46" i="3"/>
  <c r="EH46" i="3"/>
  <c r="DV46" i="3"/>
  <c r="EI46" i="3"/>
  <c r="DW46" i="3"/>
  <c r="DZ46" i="3"/>
  <c r="DX46" i="3"/>
  <c r="DY46" i="3"/>
  <c r="DC46" i="3"/>
  <c r="DH46" i="3"/>
  <c r="DI46" i="3"/>
  <c r="CX46" i="3"/>
  <c r="DJ46" i="3"/>
  <c r="DB46" i="3"/>
  <c r="DN46" i="3"/>
  <c r="DM46" i="3"/>
  <c r="CY46" i="3"/>
  <c r="CZ46" i="3"/>
  <c r="DA46" i="3"/>
  <c r="DD46" i="3"/>
  <c r="DE46" i="3"/>
  <c r="DF46" i="3"/>
  <c r="DG46" i="3"/>
  <c r="DK46" i="3"/>
  <c r="DL46" i="3"/>
  <c r="FP46" i="3"/>
  <c r="FR46" i="3"/>
  <c r="FS46" i="3"/>
  <c r="FT46" i="3"/>
  <c r="FU46" i="3"/>
  <c r="FV46" i="3"/>
  <c r="FX46" i="3"/>
  <c r="FM46" i="3"/>
  <c r="FY46" i="3"/>
  <c r="FN46" i="3"/>
  <c r="FO46" i="3"/>
  <c r="FZ46" i="3"/>
  <c r="GA46" i="3"/>
  <c r="EG59" i="3"/>
  <c r="DU59" i="3"/>
  <c r="EH59" i="3"/>
  <c r="DV59" i="3"/>
  <c r="EI59" i="3"/>
  <c r="DW59" i="3"/>
  <c r="DX59" i="3"/>
  <c r="DY59" i="3"/>
  <c r="DZ59" i="3"/>
  <c r="EA59" i="3"/>
  <c r="DP59" i="3"/>
  <c r="EC59" i="3"/>
  <c r="EF59" i="3"/>
  <c r="ED59" i="3"/>
  <c r="EE59" i="3"/>
  <c r="CY59" i="3"/>
  <c r="DK59" i="3"/>
  <c r="CZ59" i="3"/>
  <c r="DL59" i="3"/>
  <c r="DE59" i="3"/>
  <c r="DJ59" i="3"/>
  <c r="DM59" i="3"/>
  <c r="DN59" i="3"/>
  <c r="CX59" i="3"/>
  <c r="DA59" i="3"/>
  <c r="DB59" i="3"/>
  <c r="DC59" i="3"/>
  <c r="DD59" i="3"/>
  <c r="DF59" i="3"/>
  <c r="DG59" i="3"/>
  <c r="DH59" i="3"/>
  <c r="DI59" i="3"/>
  <c r="FU59" i="3"/>
  <c r="FV59" i="3"/>
  <c r="FX59" i="3"/>
  <c r="FM59" i="3"/>
  <c r="FY59" i="3"/>
  <c r="FN59" i="3"/>
  <c r="FZ59" i="3"/>
  <c r="FO59" i="3"/>
  <c r="GA59" i="3"/>
  <c r="FP59" i="3"/>
  <c r="FR59" i="3"/>
  <c r="FS59" i="3"/>
  <c r="FT59" i="3"/>
  <c r="DP63" i="3"/>
  <c r="EC63" i="3"/>
  <c r="ED63" i="3"/>
  <c r="EE63" i="3"/>
  <c r="EF63" i="3"/>
  <c r="DU63" i="3"/>
  <c r="EH63" i="3"/>
  <c r="DV63" i="3"/>
  <c r="EI63" i="3"/>
  <c r="DW63" i="3"/>
  <c r="DX63" i="3"/>
  <c r="EA63" i="3"/>
  <c r="DY63" i="3"/>
  <c r="DZ63" i="3"/>
  <c r="EG63" i="3"/>
  <c r="CY63" i="3"/>
  <c r="DK63" i="3"/>
  <c r="CZ63" i="3"/>
  <c r="DL63" i="3"/>
  <c r="DE63" i="3"/>
  <c r="DG63" i="3"/>
  <c r="DH63" i="3"/>
  <c r="DI63" i="3"/>
  <c r="DJ63" i="3"/>
  <c r="DM63" i="3"/>
  <c r="DN63" i="3"/>
  <c r="CX63" i="3"/>
  <c r="DA63" i="3"/>
  <c r="DB63" i="3"/>
  <c r="DC63" i="3"/>
  <c r="DF63" i="3"/>
  <c r="DD63" i="3"/>
  <c r="FR63" i="3"/>
  <c r="FS63" i="3"/>
  <c r="FT63" i="3"/>
  <c r="FU63" i="3"/>
  <c r="FV63" i="3"/>
  <c r="FX63" i="3"/>
  <c r="FM63" i="3"/>
  <c r="FY63" i="3"/>
  <c r="FN63" i="3"/>
  <c r="FZ63" i="3"/>
  <c r="FO63" i="3"/>
  <c r="FP63" i="3"/>
  <c r="GA63" i="3"/>
  <c r="DX43" i="3"/>
  <c r="DY43" i="3"/>
  <c r="DZ43" i="3"/>
  <c r="EA43" i="3"/>
  <c r="DP43" i="3"/>
  <c r="EC43" i="3"/>
  <c r="ED43" i="3"/>
  <c r="EE43" i="3"/>
  <c r="EF43" i="3"/>
  <c r="EG43" i="3"/>
  <c r="DW43" i="3"/>
  <c r="DV43" i="3"/>
  <c r="EI43" i="3"/>
  <c r="EH43" i="3"/>
  <c r="DU43" i="3"/>
  <c r="DF43" i="3"/>
  <c r="CY43" i="3"/>
  <c r="DK43" i="3"/>
  <c r="CZ43" i="3"/>
  <c r="DL43" i="3"/>
  <c r="DA43" i="3"/>
  <c r="DM43" i="3"/>
  <c r="DE43" i="3"/>
  <c r="CX43" i="3"/>
  <c r="DB43" i="3"/>
  <c r="DC43" i="3"/>
  <c r="DD43" i="3"/>
  <c r="DG43" i="3"/>
  <c r="DH43" i="3"/>
  <c r="DI43" i="3"/>
  <c r="DJ43" i="3"/>
  <c r="DN43" i="3"/>
  <c r="FM43" i="3"/>
  <c r="FY43" i="3"/>
  <c r="FN43" i="3"/>
  <c r="FZ43" i="3"/>
  <c r="FO43" i="3"/>
  <c r="GA43" i="3"/>
  <c r="FP43" i="3"/>
  <c r="FR43" i="3"/>
  <c r="FS43" i="3"/>
  <c r="FT43" i="3"/>
  <c r="FU43" i="3"/>
  <c r="FV43" i="3"/>
  <c r="FX43" i="3"/>
  <c r="DX55" i="3"/>
  <c r="DY55" i="3"/>
  <c r="DZ55" i="3"/>
  <c r="EA55" i="3"/>
  <c r="DP55" i="3"/>
  <c r="EC55" i="3"/>
  <c r="ED55" i="3"/>
  <c r="EE55" i="3"/>
  <c r="EF55" i="3"/>
  <c r="EG55" i="3"/>
  <c r="DW55" i="3"/>
  <c r="EH55" i="3"/>
  <c r="EI55" i="3"/>
  <c r="DV55" i="3"/>
  <c r="DU55" i="3"/>
  <c r="CY55" i="3"/>
  <c r="DK55" i="3"/>
  <c r="CZ55" i="3"/>
  <c r="DL55" i="3"/>
  <c r="DE55" i="3"/>
  <c r="CX55" i="3"/>
  <c r="DA55" i="3"/>
  <c r="DB55" i="3"/>
  <c r="DC55" i="3"/>
  <c r="DD55" i="3"/>
  <c r="DF55" i="3"/>
  <c r="DG55" i="3"/>
  <c r="DH55" i="3"/>
  <c r="DI55" i="3"/>
  <c r="DJ55" i="3"/>
  <c r="DM55" i="3"/>
  <c r="DN55" i="3"/>
  <c r="FM55" i="3"/>
  <c r="FY55" i="3"/>
  <c r="FN55" i="3"/>
  <c r="FZ55" i="3"/>
  <c r="FO55" i="3"/>
  <c r="GA55" i="3"/>
  <c r="FP55" i="3"/>
  <c r="FR55" i="3"/>
  <c r="FS55" i="3"/>
  <c r="FT55" i="3"/>
  <c r="FU55" i="3"/>
  <c r="FV55" i="3"/>
  <c r="FX55" i="3"/>
  <c r="DW50" i="3"/>
  <c r="DX50" i="3"/>
  <c r="DY50" i="3"/>
  <c r="DZ50" i="3"/>
  <c r="EA50" i="3"/>
  <c r="DP50" i="3"/>
  <c r="EC50" i="3"/>
  <c r="ED50" i="3"/>
  <c r="EE50" i="3"/>
  <c r="EF50" i="3"/>
  <c r="DV50" i="3"/>
  <c r="EI50" i="3"/>
  <c r="DU50" i="3"/>
  <c r="EH50" i="3"/>
  <c r="EG50" i="3"/>
  <c r="DC50" i="3"/>
  <c r="DH50" i="3"/>
  <c r="DI50" i="3"/>
  <c r="CX50" i="3"/>
  <c r="DJ50" i="3"/>
  <c r="DB50" i="3"/>
  <c r="DN50" i="3"/>
  <c r="DL50" i="3"/>
  <c r="DM50" i="3"/>
  <c r="CY50" i="3"/>
  <c r="CZ50" i="3"/>
  <c r="DA50" i="3"/>
  <c r="DD50" i="3"/>
  <c r="DE50" i="3"/>
  <c r="DF50" i="3"/>
  <c r="DG50" i="3"/>
  <c r="DK50" i="3"/>
  <c r="FX50" i="3"/>
  <c r="FM50" i="3"/>
  <c r="FY50" i="3"/>
  <c r="FN50" i="3"/>
  <c r="FZ50" i="3"/>
  <c r="FO50" i="3"/>
  <c r="GA50" i="3"/>
  <c r="FP50" i="3"/>
  <c r="FR50" i="3"/>
  <c r="FS50" i="3"/>
  <c r="FT50" i="3"/>
  <c r="FU50" i="3"/>
  <c r="FV50" i="3"/>
  <c r="DV45" i="3"/>
  <c r="EI45" i="3"/>
  <c r="DW45" i="3"/>
  <c r="DX45" i="3"/>
  <c r="DY45" i="3"/>
  <c r="DZ45" i="3"/>
  <c r="EA45" i="3"/>
  <c r="DP45" i="3"/>
  <c r="EC45" i="3"/>
  <c r="ED45" i="3"/>
  <c r="EE45" i="3"/>
  <c r="DU45" i="3"/>
  <c r="EH45" i="3"/>
  <c r="EG45" i="3"/>
  <c r="EF45" i="3"/>
  <c r="CZ45" i="3"/>
  <c r="DL45" i="3"/>
  <c r="DE45" i="3"/>
  <c r="DF45" i="3"/>
  <c r="DG45" i="3"/>
  <c r="CY45" i="3"/>
  <c r="DK45" i="3"/>
  <c r="DN45" i="3"/>
  <c r="CX45" i="3"/>
  <c r="DA45" i="3"/>
  <c r="DB45" i="3"/>
  <c r="DC45" i="3"/>
  <c r="DD45" i="3"/>
  <c r="DH45" i="3"/>
  <c r="DI45" i="3"/>
  <c r="DM45" i="3"/>
  <c r="DJ45" i="3"/>
  <c r="FX45" i="3"/>
  <c r="FM45" i="3"/>
  <c r="FY45" i="3"/>
  <c r="FN45" i="3"/>
  <c r="FZ45" i="3"/>
  <c r="FO45" i="3"/>
  <c r="GA45" i="3"/>
  <c r="FP45" i="3"/>
  <c r="FR45" i="3"/>
  <c r="FS45" i="3"/>
  <c r="FT45" i="3"/>
  <c r="FV45" i="3"/>
  <c r="FU45" i="3"/>
  <c r="DX69" i="3"/>
  <c r="DY69" i="3"/>
  <c r="EA69" i="3"/>
  <c r="DP69" i="3"/>
  <c r="EC69" i="3"/>
  <c r="ED69" i="3"/>
  <c r="EE69" i="3"/>
  <c r="DU69" i="3"/>
  <c r="EH69" i="3"/>
  <c r="DV69" i="3"/>
  <c r="EF69" i="3"/>
  <c r="EG69" i="3"/>
  <c r="EI69" i="3"/>
  <c r="DW69" i="3"/>
  <c r="DZ69" i="3"/>
  <c r="DE69" i="3"/>
  <c r="DF69" i="3"/>
  <c r="CY69" i="3"/>
  <c r="DK69" i="3"/>
  <c r="DI69" i="3"/>
  <c r="DJ69" i="3"/>
  <c r="DL69" i="3"/>
  <c r="DM69" i="3"/>
  <c r="CX69" i="3"/>
  <c r="DN69" i="3"/>
  <c r="CZ69" i="3"/>
  <c r="DA69" i="3"/>
  <c r="DB69" i="3"/>
  <c r="DC69" i="3"/>
  <c r="DD69" i="3"/>
  <c r="DG69" i="3"/>
  <c r="DH69" i="3"/>
  <c r="FX69" i="3"/>
  <c r="FM69" i="3"/>
  <c r="FY69" i="3"/>
  <c r="FN69" i="3"/>
  <c r="FZ69" i="3"/>
  <c r="FO69" i="3"/>
  <c r="GA69" i="3"/>
  <c r="FR69" i="3"/>
  <c r="FS69" i="3"/>
  <c r="FT69" i="3"/>
  <c r="FP69" i="3"/>
  <c r="FU69" i="3"/>
  <c r="FV69" i="3"/>
  <c r="DP39" i="3"/>
  <c r="EC39" i="3"/>
  <c r="ED39" i="3"/>
  <c r="EE39" i="3"/>
  <c r="EF39" i="3"/>
  <c r="EG39" i="3"/>
  <c r="DU39" i="3"/>
  <c r="EH39" i="3"/>
  <c r="DV39" i="3"/>
  <c r="EI39" i="3"/>
  <c r="DW39" i="3"/>
  <c r="DX39" i="3"/>
  <c r="EA39" i="3"/>
  <c r="DZ39" i="3"/>
  <c r="DY39" i="3"/>
  <c r="DF39" i="3"/>
  <c r="CY39" i="3"/>
  <c r="DK39" i="3"/>
  <c r="CZ39" i="3"/>
  <c r="DL39" i="3"/>
  <c r="DA39" i="3"/>
  <c r="DM39" i="3"/>
  <c r="DE39" i="3"/>
  <c r="CX39" i="3"/>
  <c r="DB39" i="3"/>
  <c r="DC39" i="3"/>
  <c r="DD39" i="3"/>
  <c r="DG39" i="3"/>
  <c r="DH39" i="3"/>
  <c r="DI39" i="3"/>
  <c r="DJ39" i="3"/>
  <c r="DN39" i="3"/>
  <c r="FR39" i="3"/>
  <c r="FS39" i="3"/>
  <c r="FT39" i="3"/>
  <c r="FU39" i="3"/>
  <c r="FV39" i="3"/>
  <c r="FX39" i="3"/>
  <c r="FM39" i="3"/>
  <c r="FY39" i="3"/>
  <c r="FN39" i="3"/>
  <c r="FZ39" i="3"/>
  <c r="FO39" i="3"/>
  <c r="FP39" i="3"/>
  <c r="GA39" i="3"/>
  <c r="ED56" i="3"/>
  <c r="EE56" i="3"/>
  <c r="EF56" i="3"/>
  <c r="EG56" i="3"/>
  <c r="DU56" i="3"/>
  <c r="EH56" i="3"/>
  <c r="DV56" i="3"/>
  <c r="EI56" i="3"/>
  <c r="DW56" i="3"/>
  <c r="DX56" i="3"/>
  <c r="DY56" i="3"/>
  <c r="DP56" i="3"/>
  <c r="EC56" i="3"/>
  <c r="DZ56" i="3"/>
  <c r="EA56" i="3"/>
  <c r="DB56" i="3"/>
  <c r="DN56" i="3"/>
  <c r="DC56" i="3"/>
  <c r="DH56" i="3"/>
  <c r="DJ56" i="3"/>
  <c r="DK56" i="3"/>
  <c r="DL56" i="3"/>
  <c r="CX56" i="3"/>
  <c r="DM56" i="3"/>
  <c r="CY56" i="3"/>
  <c r="CZ56" i="3"/>
  <c r="DA56" i="3"/>
  <c r="DD56" i="3"/>
  <c r="DE56" i="3"/>
  <c r="DF56" i="3"/>
  <c r="DI56" i="3"/>
  <c r="DG56" i="3"/>
  <c r="FR56" i="3"/>
  <c r="FS56" i="3"/>
  <c r="FT56" i="3"/>
  <c r="FU56" i="3"/>
  <c r="FV56" i="3"/>
  <c r="FX56" i="3"/>
  <c r="FM56" i="3"/>
  <c r="FY56" i="3"/>
  <c r="FN56" i="3"/>
  <c r="FZ56" i="3"/>
  <c r="FO56" i="3"/>
  <c r="GA56" i="3"/>
  <c r="FP56" i="3"/>
  <c r="EF68" i="3"/>
  <c r="EG68" i="3"/>
  <c r="DV68" i="3"/>
  <c r="EI68" i="3"/>
  <c r="DW68" i="3"/>
  <c r="DX68" i="3"/>
  <c r="DY68" i="3"/>
  <c r="DP68" i="3"/>
  <c r="EC68" i="3"/>
  <c r="DU68" i="3"/>
  <c r="DZ68" i="3"/>
  <c r="ED68" i="3"/>
  <c r="EH68" i="3"/>
  <c r="EE68" i="3"/>
  <c r="EA68" i="3"/>
  <c r="DB68" i="3"/>
  <c r="DN68" i="3"/>
  <c r="DC68" i="3"/>
  <c r="DH68" i="3"/>
  <c r="CX68" i="3"/>
  <c r="DM68" i="3"/>
  <c r="CY68" i="3"/>
  <c r="CZ68" i="3"/>
  <c r="DA68" i="3"/>
  <c r="DD68" i="3"/>
  <c r="DE68" i="3"/>
  <c r="DF68" i="3"/>
  <c r="DG68" i="3"/>
  <c r="DI68" i="3"/>
  <c r="DJ68" i="3"/>
  <c r="DK68" i="3"/>
  <c r="DL68" i="3"/>
  <c r="FR68" i="3"/>
  <c r="FS68" i="3"/>
  <c r="FT68" i="3"/>
  <c r="FU68" i="3"/>
  <c r="FV68" i="3"/>
  <c r="FX68" i="3"/>
  <c r="FM68" i="3"/>
  <c r="FY68" i="3"/>
  <c r="FN68" i="3"/>
  <c r="FZ68" i="3"/>
  <c r="FO68" i="3"/>
  <c r="GA68" i="3"/>
  <c r="FP68" i="3"/>
  <c r="ED44" i="3"/>
  <c r="EE44" i="3"/>
  <c r="EF44" i="3"/>
  <c r="EG44" i="3"/>
  <c r="DU44" i="3"/>
  <c r="EH44" i="3"/>
  <c r="DV44" i="3"/>
  <c r="EI44" i="3"/>
  <c r="DW44" i="3"/>
  <c r="DX44" i="3"/>
  <c r="DY44" i="3"/>
  <c r="DP44" i="3"/>
  <c r="EC44" i="3"/>
  <c r="DZ44" i="3"/>
  <c r="EA44" i="3"/>
  <c r="DI44" i="3"/>
  <c r="DB44" i="3"/>
  <c r="DN44" i="3"/>
  <c r="DC44" i="3"/>
  <c r="DD44" i="3"/>
  <c r="DH44" i="3"/>
  <c r="DM44" i="3"/>
  <c r="CX44" i="3"/>
  <c r="CY44" i="3"/>
  <c r="CZ44" i="3"/>
  <c r="DA44" i="3"/>
  <c r="DE44" i="3"/>
  <c r="DF44" i="3"/>
  <c r="DG44" i="3"/>
  <c r="DJ44" i="3"/>
  <c r="DK44" i="3"/>
  <c r="DL44" i="3"/>
  <c r="FR44" i="3"/>
  <c r="FS44" i="3"/>
  <c r="FT44" i="3"/>
  <c r="FU44" i="3"/>
  <c r="FV44" i="3"/>
  <c r="FX44" i="3"/>
  <c r="FM44" i="3"/>
  <c r="FY44" i="3"/>
  <c r="FN44" i="3"/>
  <c r="FZ44" i="3"/>
  <c r="FO44" i="3"/>
  <c r="GA44" i="3"/>
  <c r="FP44" i="3"/>
  <c r="EE37" i="3"/>
  <c r="EF37" i="3"/>
  <c r="EG37" i="3"/>
  <c r="DU37" i="3"/>
  <c r="EH37" i="3"/>
  <c r="DV37" i="3"/>
  <c r="EI37" i="3"/>
  <c r="DW37" i="3"/>
  <c r="DX37" i="3"/>
  <c r="DY37" i="3"/>
  <c r="DZ37" i="3"/>
  <c r="ED37" i="3"/>
  <c r="DP37" i="3"/>
  <c r="EA37" i="3"/>
  <c r="EC37" i="3"/>
  <c r="CZ37" i="3"/>
  <c r="DL37" i="3"/>
  <c r="DE37" i="3"/>
  <c r="DF37" i="3"/>
  <c r="DG37" i="3"/>
  <c r="CY37" i="3"/>
  <c r="DK37" i="3"/>
  <c r="CX37" i="3"/>
  <c r="DA37" i="3"/>
  <c r="DB37" i="3"/>
  <c r="DC37" i="3"/>
  <c r="DD37" i="3"/>
  <c r="DH37" i="3"/>
  <c r="DI37" i="3"/>
  <c r="DJ37" i="3"/>
  <c r="DM37" i="3"/>
  <c r="DN37" i="3"/>
  <c r="FS37" i="3"/>
  <c r="FT37" i="3"/>
  <c r="FU37" i="3"/>
  <c r="FV37" i="3"/>
  <c r="FX37" i="3"/>
  <c r="FM37" i="3"/>
  <c r="FY37" i="3"/>
  <c r="FN37" i="3"/>
  <c r="FZ37" i="3"/>
  <c r="FO37" i="3"/>
  <c r="GA37" i="3"/>
  <c r="FP37" i="3"/>
  <c r="FR37" i="3"/>
  <c r="EA58" i="3"/>
  <c r="DP58" i="3"/>
  <c r="EC58" i="3"/>
  <c r="ED58" i="3"/>
  <c r="EE58" i="3"/>
  <c r="EF58" i="3"/>
  <c r="EG58" i="3"/>
  <c r="DU58" i="3"/>
  <c r="EH58" i="3"/>
  <c r="DV58" i="3"/>
  <c r="EI58" i="3"/>
  <c r="DW58" i="3"/>
  <c r="DZ58" i="3"/>
  <c r="DY58" i="3"/>
  <c r="DX58" i="3"/>
  <c r="DH58" i="3"/>
  <c r="DI58" i="3"/>
  <c r="DB58" i="3"/>
  <c r="DN58" i="3"/>
  <c r="CZ58" i="3"/>
  <c r="DA58" i="3"/>
  <c r="DC58" i="3"/>
  <c r="DD58" i="3"/>
  <c r="DE58" i="3"/>
  <c r="DF58" i="3"/>
  <c r="DG58" i="3"/>
  <c r="DJ58" i="3"/>
  <c r="DK58" i="3"/>
  <c r="DL58" i="3"/>
  <c r="CX58" i="3"/>
  <c r="CY58" i="3"/>
  <c r="DM58" i="3"/>
  <c r="FP58" i="3"/>
  <c r="FR58" i="3"/>
  <c r="FS58" i="3"/>
  <c r="FT58" i="3"/>
  <c r="FU58" i="3"/>
  <c r="FV58" i="3"/>
  <c r="FX58" i="3"/>
  <c r="FM58" i="3"/>
  <c r="FY58" i="3"/>
  <c r="FN58" i="3"/>
  <c r="FO58" i="3"/>
  <c r="FZ58" i="3"/>
  <c r="GA58" i="3"/>
  <c r="DZ65" i="3"/>
  <c r="DP65" i="3"/>
  <c r="EC65" i="3"/>
  <c r="ED65" i="3"/>
  <c r="EF65" i="3"/>
  <c r="EG65" i="3"/>
  <c r="DU65" i="3"/>
  <c r="EH65" i="3"/>
  <c r="DV65" i="3"/>
  <c r="EI65" i="3"/>
  <c r="DY65" i="3"/>
  <c r="DX65" i="3"/>
  <c r="EA65" i="3"/>
  <c r="EE65" i="3"/>
  <c r="DW65" i="3"/>
  <c r="DE65" i="3"/>
  <c r="DF65" i="3"/>
  <c r="CY65" i="3"/>
  <c r="DK65" i="3"/>
  <c r="DM65" i="3"/>
  <c r="CX65" i="3"/>
  <c r="DN65" i="3"/>
  <c r="CZ65" i="3"/>
  <c r="DA65" i="3"/>
  <c r="DB65" i="3"/>
  <c r="DC65" i="3"/>
  <c r="DD65" i="3"/>
  <c r="DG65" i="3"/>
  <c r="DH65" i="3"/>
  <c r="DI65" i="3"/>
  <c r="DL65" i="3"/>
  <c r="DJ65" i="3"/>
  <c r="FO65" i="3"/>
  <c r="GA65" i="3"/>
  <c r="FP65" i="3"/>
  <c r="FR65" i="3"/>
  <c r="FS65" i="3"/>
  <c r="FT65" i="3"/>
  <c r="FU65" i="3"/>
  <c r="FV65" i="3"/>
  <c r="FX65" i="3"/>
  <c r="FM65" i="3"/>
  <c r="FN65" i="3"/>
  <c r="FY65" i="3"/>
  <c r="FZ65" i="3"/>
  <c r="EF54" i="3"/>
  <c r="EG54" i="3"/>
  <c r="DU54" i="3"/>
  <c r="EH54" i="3"/>
  <c r="DV54" i="3"/>
  <c r="EI54" i="3"/>
  <c r="DW54" i="3"/>
  <c r="DX54" i="3"/>
  <c r="DY54" i="3"/>
  <c r="DZ54" i="3"/>
  <c r="EA54" i="3"/>
  <c r="EE54" i="3"/>
  <c r="DP54" i="3"/>
  <c r="ED54" i="3"/>
  <c r="EC54" i="3"/>
  <c r="DH54" i="3"/>
  <c r="DI54" i="3"/>
  <c r="DB54" i="3"/>
  <c r="DN54" i="3"/>
  <c r="DD54" i="3"/>
  <c r="DE54" i="3"/>
  <c r="DF54" i="3"/>
  <c r="DG54" i="3"/>
  <c r="DJ54" i="3"/>
  <c r="DK54" i="3"/>
  <c r="DL54" i="3"/>
  <c r="CX54" i="3"/>
  <c r="DM54" i="3"/>
  <c r="CY54" i="3"/>
  <c r="CZ54" i="3"/>
  <c r="DC54" i="3"/>
  <c r="DA54" i="3"/>
  <c r="FT54" i="3"/>
  <c r="FU54" i="3"/>
  <c r="FV54" i="3"/>
  <c r="FX54" i="3"/>
  <c r="FM54" i="3"/>
  <c r="FY54" i="3"/>
  <c r="FN54" i="3"/>
  <c r="FZ54" i="3"/>
  <c r="FO54" i="3"/>
  <c r="GA54" i="3"/>
  <c r="FP54" i="3"/>
  <c r="FR54" i="3"/>
  <c r="FS54" i="3"/>
  <c r="EF42" i="3"/>
  <c r="EG42" i="3"/>
  <c r="DU42" i="3"/>
  <c r="EH42" i="3"/>
  <c r="DV42" i="3"/>
  <c r="EI42" i="3"/>
  <c r="DW42" i="3"/>
  <c r="DX42" i="3"/>
  <c r="DY42" i="3"/>
  <c r="DZ42" i="3"/>
  <c r="EA42" i="3"/>
  <c r="EE42" i="3"/>
  <c r="EC42" i="3"/>
  <c r="ED42" i="3"/>
  <c r="DP42" i="3"/>
  <c r="DC42" i="3"/>
  <c r="DH42" i="3"/>
  <c r="DI42" i="3"/>
  <c r="CX42" i="3"/>
  <c r="DJ42" i="3"/>
  <c r="DB42" i="3"/>
  <c r="DN42" i="3"/>
  <c r="CY42" i="3"/>
  <c r="CZ42" i="3"/>
  <c r="DA42" i="3"/>
  <c r="DD42" i="3"/>
  <c r="DE42" i="3"/>
  <c r="DF42" i="3"/>
  <c r="DG42" i="3"/>
  <c r="DK42" i="3"/>
  <c r="DM42" i="3"/>
  <c r="DL42" i="3"/>
  <c r="FT42" i="3"/>
  <c r="FU42" i="3"/>
  <c r="FV42" i="3"/>
  <c r="FX42" i="3"/>
  <c r="FM42" i="3"/>
  <c r="FY42" i="3"/>
  <c r="FN42" i="3"/>
  <c r="FZ42" i="3"/>
  <c r="FO42" i="3"/>
  <c r="GA42" i="3"/>
  <c r="FP42" i="3"/>
  <c r="FR42" i="3"/>
  <c r="FS42" i="3"/>
  <c r="DX67" i="3"/>
  <c r="DZ67" i="3"/>
  <c r="EA67" i="3"/>
  <c r="ED67" i="3"/>
  <c r="EE67" i="3"/>
  <c r="EF67" i="3"/>
  <c r="EG67" i="3"/>
  <c r="DW67" i="3"/>
  <c r="DV67" i="3"/>
  <c r="DY67" i="3"/>
  <c r="EC67" i="3"/>
  <c r="EH67" i="3"/>
  <c r="DU67" i="3"/>
  <c r="DP67" i="3"/>
  <c r="EI67" i="3"/>
  <c r="CY67" i="3"/>
  <c r="DK67" i="3"/>
  <c r="CZ67" i="3"/>
  <c r="DL67" i="3"/>
  <c r="DE67" i="3"/>
  <c r="DC67" i="3"/>
  <c r="DD67" i="3"/>
  <c r="DF67" i="3"/>
  <c r="DG67" i="3"/>
  <c r="DH67" i="3"/>
  <c r="DI67" i="3"/>
  <c r="DJ67" i="3"/>
  <c r="DM67" i="3"/>
  <c r="DN67" i="3"/>
  <c r="CX67" i="3"/>
  <c r="DA67" i="3"/>
  <c r="DB67" i="3"/>
  <c r="FM67" i="3"/>
  <c r="FY67" i="3"/>
  <c r="FN67" i="3"/>
  <c r="FZ67" i="3"/>
  <c r="FO67" i="3"/>
  <c r="GA67" i="3"/>
  <c r="FP67" i="3"/>
  <c r="FR67" i="3"/>
  <c r="FS67" i="3"/>
  <c r="FT67" i="3"/>
  <c r="FU67" i="3"/>
  <c r="FV67" i="3"/>
  <c r="FX67" i="3"/>
  <c r="DV71" i="3"/>
  <c r="EI71" i="3"/>
  <c r="DW71" i="3"/>
  <c r="DY71" i="3"/>
  <c r="DZ71" i="3"/>
  <c r="EA71" i="3"/>
  <c r="DP71" i="3"/>
  <c r="EC71" i="3"/>
  <c r="EF71" i="3"/>
  <c r="DU71" i="3"/>
  <c r="DX71" i="3"/>
  <c r="EH71" i="3"/>
  <c r="ED71" i="3"/>
  <c r="EE71" i="3"/>
  <c r="EG71" i="3"/>
  <c r="CY71" i="3"/>
  <c r="DK71" i="3"/>
  <c r="CZ71" i="3"/>
  <c r="DL71" i="3"/>
  <c r="DE71" i="3"/>
  <c r="CX71" i="3"/>
  <c r="DA71" i="3"/>
  <c r="DB71" i="3"/>
  <c r="DC71" i="3"/>
  <c r="DD71" i="3"/>
  <c r="DF71" i="3"/>
  <c r="DG71" i="3"/>
  <c r="DH71" i="3"/>
  <c r="DI71" i="3"/>
  <c r="DJ71" i="3"/>
  <c r="DM71" i="3"/>
  <c r="DN71" i="3"/>
  <c r="FU71" i="3"/>
  <c r="FV71" i="3"/>
  <c r="FX71" i="3"/>
  <c r="FM71" i="3"/>
  <c r="FY71" i="3"/>
  <c r="FO71" i="3"/>
  <c r="GA71" i="3"/>
  <c r="FP71" i="3"/>
  <c r="FR71" i="3"/>
  <c r="FN71" i="3"/>
  <c r="FS71" i="3"/>
  <c r="FT71" i="3"/>
  <c r="FZ71" i="3"/>
  <c r="DZ53" i="3"/>
  <c r="EA53" i="3"/>
  <c r="DP53" i="3"/>
  <c r="EC53" i="3"/>
  <c r="ED53" i="3"/>
  <c r="EE53" i="3"/>
  <c r="EF53" i="3"/>
  <c r="EG53" i="3"/>
  <c r="DU53" i="3"/>
  <c r="EH53" i="3"/>
  <c r="DV53" i="3"/>
  <c r="EI53" i="3"/>
  <c r="DY53" i="3"/>
  <c r="DX53" i="3"/>
  <c r="DW53" i="3"/>
  <c r="CZ53" i="3"/>
  <c r="DE53" i="3"/>
  <c r="DF53" i="3"/>
  <c r="CY53" i="3"/>
  <c r="DK53" i="3"/>
  <c r="DI53" i="3"/>
  <c r="DJ53" i="3"/>
  <c r="DL53" i="3"/>
  <c r="DM53" i="3"/>
  <c r="DN53" i="3"/>
  <c r="CX53" i="3"/>
  <c r="DA53" i="3"/>
  <c r="DB53" i="3"/>
  <c r="DC53" i="3"/>
  <c r="DD53" i="3"/>
  <c r="DG53" i="3"/>
  <c r="DH53" i="3"/>
  <c r="FO53" i="3"/>
  <c r="GA53" i="3"/>
  <c r="FP53" i="3"/>
  <c r="FR53" i="3"/>
  <c r="FS53" i="3"/>
  <c r="FT53" i="3"/>
  <c r="FU53" i="3"/>
  <c r="FV53" i="3"/>
  <c r="FX53" i="3"/>
  <c r="FN53" i="3"/>
  <c r="FY53" i="3"/>
  <c r="FZ53" i="3"/>
  <c r="FM53" i="3"/>
  <c r="EA72" i="3"/>
  <c r="DP72" i="3"/>
  <c r="DU72" i="3"/>
  <c r="DX72" i="3"/>
  <c r="DV72" i="3"/>
  <c r="DW72" i="3"/>
  <c r="EC72" i="3"/>
  <c r="ED72" i="3"/>
  <c r="EE72" i="3"/>
  <c r="EI72" i="3"/>
  <c r="DZ72" i="3"/>
  <c r="EF72" i="3"/>
  <c r="EG72" i="3"/>
  <c r="EH72" i="3"/>
  <c r="DY72" i="3"/>
  <c r="DB72" i="3"/>
  <c r="DN72" i="3"/>
  <c r="DC72" i="3"/>
  <c r="DH72" i="3"/>
  <c r="DJ72" i="3"/>
  <c r="DK72" i="3"/>
  <c r="DL72" i="3"/>
  <c r="CX72" i="3"/>
  <c r="DM72" i="3"/>
  <c r="CY72" i="3"/>
  <c r="CZ72" i="3"/>
  <c r="DA72" i="3"/>
  <c r="DD72" i="3"/>
  <c r="DE72" i="3"/>
  <c r="DF72" i="3"/>
  <c r="DI72" i="3"/>
  <c r="DG72" i="3"/>
  <c r="FN72" i="3"/>
  <c r="FZ72" i="3"/>
  <c r="FO72" i="3"/>
  <c r="GA72" i="3"/>
  <c r="FP72" i="3"/>
  <c r="FR72" i="3"/>
  <c r="FT72" i="3"/>
  <c r="FU72" i="3"/>
  <c r="FV72" i="3"/>
  <c r="FM72" i="3"/>
  <c r="FS72" i="3"/>
  <c r="FX72" i="3"/>
  <c r="FY72" i="3"/>
  <c r="DU64" i="3"/>
  <c r="EH64" i="3"/>
  <c r="DV64" i="3"/>
  <c r="EI64" i="3"/>
  <c r="DW64" i="3"/>
  <c r="DX64" i="3"/>
  <c r="DZ64" i="3"/>
  <c r="EA64" i="3"/>
  <c r="DP64" i="3"/>
  <c r="EC64" i="3"/>
  <c r="ED64" i="3"/>
  <c r="EG64" i="3"/>
  <c r="DY64" i="3"/>
  <c r="EF64" i="3"/>
  <c r="EE64" i="3"/>
  <c r="DB64" i="3"/>
  <c r="DN64" i="3"/>
  <c r="DC64" i="3"/>
  <c r="DH64" i="3"/>
  <c r="DA64" i="3"/>
  <c r="DD64" i="3"/>
  <c r="DE64" i="3"/>
  <c r="DF64" i="3"/>
  <c r="DG64" i="3"/>
  <c r="DI64" i="3"/>
  <c r="DJ64" i="3"/>
  <c r="DK64" i="3"/>
  <c r="DL64" i="3"/>
  <c r="CX64" i="3"/>
  <c r="DM64" i="3"/>
  <c r="CY64" i="3"/>
  <c r="CZ64" i="3"/>
  <c r="FV64" i="3"/>
  <c r="FX64" i="3"/>
  <c r="FM64" i="3"/>
  <c r="FY64" i="3"/>
  <c r="FN64" i="3"/>
  <c r="FZ64" i="3"/>
  <c r="FO64" i="3"/>
  <c r="GA64" i="3"/>
  <c r="FP64" i="3"/>
  <c r="FR64" i="3"/>
  <c r="FS64" i="3"/>
  <c r="FU64" i="3"/>
  <c r="FT64" i="3"/>
  <c r="DV57" i="3"/>
  <c r="EI57" i="3"/>
  <c r="DW57" i="3"/>
  <c r="DX57" i="3"/>
  <c r="DY57" i="3"/>
  <c r="DZ57" i="3"/>
  <c r="EA57" i="3"/>
  <c r="DP57" i="3"/>
  <c r="EC57" i="3"/>
  <c r="ED57" i="3"/>
  <c r="EE57" i="3"/>
  <c r="DU57" i="3"/>
  <c r="EH57" i="3"/>
  <c r="EF57" i="3"/>
  <c r="EG57" i="3"/>
  <c r="DE57" i="3"/>
  <c r="DF57" i="3"/>
  <c r="CY57" i="3"/>
  <c r="DK57" i="3"/>
  <c r="DD57" i="3"/>
  <c r="DG57" i="3"/>
  <c r="DH57" i="3"/>
  <c r="DI57" i="3"/>
  <c r="DJ57" i="3"/>
  <c r="DL57" i="3"/>
  <c r="DM57" i="3"/>
  <c r="CX57" i="3"/>
  <c r="DN57" i="3"/>
  <c r="CZ57" i="3"/>
  <c r="DA57" i="3"/>
  <c r="DB57" i="3"/>
  <c r="DC57" i="3"/>
  <c r="FX57" i="3"/>
  <c r="FM57" i="3"/>
  <c r="FY57" i="3"/>
  <c r="FN57" i="3"/>
  <c r="FZ57" i="3"/>
  <c r="FO57" i="3"/>
  <c r="GA57" i="3"/>
  <c r="FP57" i="3"/>
  <c r="FR57" i="3"/>
  <c r="FS57" i="3"/>
  <c r="FT57" i="3"/>
  <c r="FU57" i="3"/>
  <c r="FV57" i="3"/>
  <c r="DU52" i="3"/>
  <c r="EH52" i="3"/>
  <c r="DV52" i="3"/>
  <c r="EI52" i="3"/>
  <c r="DW52" i="3"/>
  <c r="DX52" i="3"/>
  <c r="DY52" i="3"/>
  <c r="DZ52" i="3"/>
  <c r="EA52" i="3"/>
  <c r="DP52" i="3"/>
  <c r="EC52" i="3"/>
  <c r="ED52" i="3"/>
  <c r="EG52" i="3"/>
  <c r="EE52" i="3"/>
  <c r="EF52" i="3"/>
  <c r="DI52" i="3"/>
  <c r="DB52" i="3"/>
  <c r="DN52" i="3"/>
  <c r="DC52" i="3"/>
  <c r="DD52" i="3"/>
  <c r="DH52" i="3"/>
  <c r="DK52" i="3"/>
  <c r="DL52" i="3"/>
  <c r="DM52" i="3"/>
  <c r="CX52" i="3"/>
  <c r="CY52" i="3"/>
  <c r="CZ52" i="3"/>
  <c r="DA52" i="3"/>
  <c r="DE52" i="3"/>
  <c r="DF52" i="3"/>
  <c r="DG52" i="3"/>
  <c r="DJ52" i="3"/>
  <c r="FV52" i="3"/>
  <c r="FX52" i="3"/>
  <c r="FM52" i="3"/>
  <c r="FY52" i="3"/>
  <c r="FN52" i="3"/>
  <c r="FZ52" i="3"/>
  <c r="FO52" i="3"/>
  <c r="GA52" i="3"/>
  <c r="FP52" i="3"/>
  <c r="FR52" i="3"/>
  <c r="FS52" i="3"/>
  <c r="FT52" i="3"/>
  <c r="FU52" i="3"/>
  <c r="DY60" i="3"/>
  <c r="DZ60" i="3"/>
  <c r="EA60" i="3"/>
  <c r="DP60" i="3"/>
  <c r="EC60" i="3"/>
  <c r="ED60" i="3"/>
  <c r="EE60" i="3"/>
  <c r="EF60" i="3"/>
  <c r="EG60" i="3"/>
  <c r="DU60" i="3"/>
  <c r="EH60" i="3"/>
  <c r="DX60" i="3"/>
  <c r="DV60" i="3"/>
  <c r="DW60" i="3"/>
  <c r="EI60" i="3"/>
  <c r="DB60" i="3"/>
  <c r="DN60" i="3"/>
  <c r="DC60" i="3"/>
  <c r="DH60" i="3"/>
  <c r="DF60" i="3"/>
  <c r="DG60" i="3"/>
  <c r="DI60" i="3"/>
  <c r="DJ60" i="3"/>
  <c r="DK60" i="3"/>
  <c r="DL60" i="3"/>
  <c r="CX60" i="3"/>
  <c r="DM60" i="3"/>
  <c r="CY60" i="3"/>
  <c r="CZ60" i="3"/>
  <c r="DA60" i="3"/>
  <c r="DD60" i="3"/>
  <c r="DE60" i="3"/>
  <c r="FN60" i="3"/>
  <c r="FZ60" i="3"/>
  <c r="FO60" i="3"/>
  <c r="GA60" i="3"/>
  <c r="FP60" i="3"/>
  <c r="FR60" i="3"/>
  <c r="FS60" i="3"/>
  <c r="FT60" i="3"/>
  <c r="FU60" i="3"/>
  <c r="FV60" i="3"/>
  <c r="FY60" i="3"/>
  <c r="FX60" i="3"/>
  <c r="FM60" i="3"/>
  <c r="EG47" i="3"/>
  <c r="DU47" i="3"/>
  <c r="EH47" i="3"/>
  <c r="DV47" i="3"/>
  <c r="EI47" i="3"/>
  <c r="DW47" i="3"/>
  <c r="DX47" i="3"/>
  <c r="DY47" i="3"/>
  <c r="DZ47" i="3"/>
  <c r="EA47" i="3"/>
  <c r="DP47" i="3"/>
  <c r="EC47" i="3"/>
  <c r="EF47" i="3"/>
  <c r="EE47" i="3"/>
  <c r="ED47" i="3"/>
  <c r="DF47" i="3"/>
  <c r="CY47" i="3"/>
  <c r="DK47" i="3"/>
  <c r="CZ47" i="3"/>
  <c r="DL47" i="3"/>
  <c r="DA47" i="3"/>
  <c r="DM47" i="3"/>
  <c r="DE47" i="3"/>
  <c r="DN47" i="3"/>
  <c r="CX47" i="3"/>
  <c r="DB47" i="3"/>
  <c r="DC47" i="3"/>
  <c r="DD47" i="3"/>
  <c r="DG47" i="3"/>
  <c r="DH47" i="3"/>
  <c r="DI47" i="3"/>
  <c r="DJ47" i="3"/>
  <c r="FU47" i="3"/>
  <c r="FV47" i="3"/>
  <c r="FX47" i="3"/>
  <c r="FM47" i="3"/>
  <c r="FY47" i="3"/>
  <c r="FN47" i="3"/>
  <c r="FZ47" i="3"/>
  <c r="FO47" i="3"/>
  <c r="GA47" i="3"/>
  <c r="FP47" i="3"/>
  <c r="FR47" i="3"/>
  <c r="FS47" i="3"/>
  <c r="FT47" i="3"/>
  <c r="DW62" i="3"/>
  <c r="DX62" i="3"/>
  <c r="DY62" i="3"/>
  <c r="DZ62" i="3"/>
  <c r="DP62" i="3"/>
  <c r="EC62" i="3"/>
  <c r="ED62" i="3"/>
  <c r="EE62" i="3"/>
  <c r="EF62" i="3"/>
  <c r="DV62" i="3"/>
  <c r="EI62" i="3"/>
  <c r="EH62" i="3"/>
  <c r="DU62" i="3"/>
  <c r="EG62" i="3"/>
  <c r="EA62" i="3"/>
  <c r="DH62" i="3"/>
  <c r="DI62" i="3"/>
  <c r="DB62" i="3"/>
  <c r="DN62" i="3"/>
  <c r="DL62" i="3"/>
  <c r="CX62" i="3"/>
  <c r="DM62" i="3"/>
  <c r="CY62" i="3"/>
  <c r="CZ62" i="3"/>
  <c r="DA62" i="3"/>
  <c r="DC62" i="3"/>
  <c r="DD62" i="3"/>
  <c r="DE62" i="3"/>
  <c r="DF62" i="3"/>
  <c r="DG62" i="3"/>
  <c r="DJ62" i="3"/>
  <c r="DK62" i="3"/>
  <c r="FX62" i="3"/>
  <c r="FM62" i="3"/>
  <c r="FY62" i="3"/>
  <c r="FN62" i="3"/>
  <c r="FZ62" i="3"/>
  <c r="FO62" i="3"/>
  <c r="GA62" i="3"/>
  <c r="FP62" i="3"/>
  <c r="FR62" i="3"/>
  <c r="FS62" i="3"/>
  <c r="FT62" i="3"/>
  <c r="FU62" i="3"/>
  <c r="FV62" i="3"/>
  <c r="ED70" i="3"/>
  <c r="EE70" i="3"/>
  <c r="EG70" i="3"/>
  <c r="DU70" i="3"/>
  <c r="EH70" i="3"/>
  <c r="DV70" i="3"/>
  <c r="EI70" i="3"/>
  <c r="DW70" i="3"/>
  <c r="DZ70" i="3"/>
  <c r="EA70" i="3"/>
  <c r="EC70" i="3"/>
  <c r="EF70" i="3"/>
  <c r="DY70" i="3"/>
  <c r="DP70" i="3"/>
  <c r="DX70" i="3"/>
  <c r="DH70" i="3"/>
  <c r="DI70" i="3"/>
  <c r="DB70" i="3"/>
  <c r="DN70" i="3"/>
  <c r="DD70" i="3"/>
  <c r="DE70" i="3"/>
  <c r="DF70" i="3"/>
  <c r="DG70" i="3"/>
  <c r="DJ70" i="3"/>
  <c r="DK70" i="3"/>
  <c r="DL70" i="3"/>
  <c r="CX70" i="3"/>
  <c r="DM70" i="3"/>
  <c r="CY70" i="3"/>
  <c r="CZ70" i="3"/>
  <c r="DC70" i="3"/>
  <c r="DA70" i="3"/>
  <c r="FP70" i="3"/>
  <c r="FR70" i="3"/>
  <c r="FS70" i="3"/>
  <c r="FT70" i="3"/>
  <c r="FV70" i="3"/>
  <c r="FX70" i="3"/>
  <c r="FM70" i="3"/>
  <c r="FY70" i="3"/>
  <c r="FN70" i="3"/>
  <c r="FO70" i="3"/>
  <c r="GA70" i="3"/>
  <c r="FU70" i="3"/>
  <c r="FZ70" i="3"/>
  <c r="EE49" i="3"/>
  <c r="EF49" i="3"/>
  <c r="EG49" i="3"/>
  <c r="DU49" i="3"/>
  <c r="EH49" i="3"/>
  <c r="DV49" i="3"/>
  <c r="EI49" i="3"/>
  <c r="DW49" i="3"/>
  <c r="DX49" i="3"/>
  <c r="DY49" i="3"/>
  <c r="DZ49" i="3"/>
  <c r="ED49" i="3"/>
  <c r="DP49" i="3"/>
  <c r="EC49" i="3"/>
  <c r="EA49" i="3"/>
  <c r="CZ49" i="3"/>
  <c r="DL49" i="3"/>
  <c r="DE49" i="3"/>
  <c r="DF49" i="3"/>
  <c r="DG49" i="3"/>
  <c r="CY49" i="3"/>
  <c r="DK49" i="3"/>
  <c r="DM49" i="3"/>
  <c r="DN49" i="3"/>
  <c r="CX49" i="3"/>
  <c r="DA49" i="3"/>
  <c r="DB49" i="3"/>
  <c r="DC49" i="3"/>
  <c r="DD49" i="3"/>
  <c r="DH49" i="3"/>
  <c r="DI49" i="3"/>
  <c r="DJ49" i="3"/>
  <c r="FS49" i="3"/>
  <c r="FT49" i="3"/>
  <c r="FU49" i="3"/>
  <c r="FV49" i="3"/>
  <c r="FX49" i="3"/>
  <c r="FM49" i="3"/>
  <c r="FY49" i="3"/>
  <c r="FN49" i="3"/>
  <c r="FZ49" i="3"/>
  <c r="FO49" i="3"/>
  <c r="GA49" i="3"/>
  <c r="FP49" i="3"/>
  <c r="FR49" i="3"/>
  <c r="FX14" i="3"/>
  <c r="FM14" i="3"/>
  <c r="FY14" i="3"/>
  <c r="FN14" i="3"/>
  <c r="FZ14" i="3"/>
  <c r="FO14" i="3"/>
  <c r="GA14" i="3"/>
  <c r="FP14" i="3"/>
  <c r="FV14" i="3"/>
  <c r="FR14" i="3"/>
  <c r="FS14" i="3"/>
  <c r="FT14" i="3"/>
  <c r="FU14" i="3"/>
  <c r="FR15" i="3"/>
  <c r="FS15" i="3"/>
  <c r="FT15" i="3"/>
  <c r="FU15" i="3"/>
  <c r="FV15" i="3"/>
  <c r="FO15" i="3"/>
  <c r="FX15" i="3"/>
  <c r="FM15" i="3"/>
  <c r="FY15" i="3"/>
  <c r="FN15" i="3"/>
  <c r="FP15" i="3"/>
  <c r="GA15" i="3"/>
  <c r="FX12" i="3"/>
  <c r="FS12" i="3"/>
  <c r="FU12" i="3"/>
  <c r="FV12" i="3"/>
  <c r="FM12" i="3"/>
  <c r="FY12" i="3"/>
  <c r="FN12" i="3"/>
  <c r="FZ12" i="3"/>
  <c r="FO12" i="3"/>
  <c r="GA12" i="3"/>
  <c r="FP12" i="3"/>
  <c r="FR12" i="3"/>
  <c r="FT12" i="3"/>
  <c r="FR13" i="3"/>
  <c r="FS13" i="3"/>
  <c r="FO13" i="3"/>
  <c r="FT13" i="3"/>
  <c r="FU13" i="3"/>
  <c r="FV13" i="3"/>
  <c r="GA13" i="3"/>
  <c r="FX13" i="3"/>
  <c r="FM13" i="3"/>
  <c r="FY13" i="3"/>
  <c r="FN13" i="3"/>
  <c r="FZ13" i="3"/>
  <c r="FP13" i="3"/>
  <c r="BD56" i="9"/>
  <c r="BD102" i="9"/>
  <c r="BD103" i="9"/>
  <c r="BD46" i="9"/>
  <c r="BD38" i="9"/>
  <c r="BD105" i="9"/>
  <c r="BD113" i="9"/>
  <c r="BD6" i="9"/>
  <c r="BD57" i="9"/>
  <c r="BD41" i="9"/>
  <c r="BD124" i="9"/>
  <c r="BD64" i="9"/>
  <c r="BD39" i="9"/>
  <c r="BD62" i="9"/>
  <c r="BD35" i="9"/>
  <c r="BD30" i="9"/>
  <c r="BD114" i="9"/>
  <c r="BD55" i="9"/>
  <c r="BD48" i="9"/>
  <c r="BD63" i="9"/>
  <c r="BD125" i="9"/>
  <c r="BD96" i="9"/>
  <c r="BD7" i="9"/>
  <c r="BD123" i="9"/>
  <c r="BD118" i="9"/>
  <c r="BD49" i="9"/>
  <c r="BD110" i="9"/>
  <c r="BD119" i="9"/>
  <c r="BD111" i="9"/>
  <c r="BD5" i="9"/>
  <c r="BD109" i="9"/>
  <c r="BD100" i="9"/>
  <c r="BD95" i="9"/>
  <c r="BD104" i="9"/>
  <c r="BD122" i="9"/>
  <c r="BD91" i="9"/>
  <c r="BD42" i="9"/>
  <c r="BD40" i="9"/>
  <c r="BD33" i="9"/>
  <c r="BD36" i="9"/>
  <c r="BD92" i="9"/>
  <c r="BD61" i="9"/>
  <c r="BD121" i="9"/>
  <c r="BD94" i="9"/>
  <c r="BD51" i="9"/>
  <c r="BD59" i="9"/>
  <c r="BD98" i="9"/>
  <c r="BD120" i="9"/>
  <c r="BD99" i="9"/>
  <c r="BD43" i="9"/>
  <c r="BD31" i="9"/>
  <c r="BD117" i="9"/>
  <c r="BD53" i="9"/>
  <c r="BD108" i="9"/>
  <c r="BD44" i="9"/>
  <c r="BD112" i="9"/>
  <c r="BD34" i="9"/>
  <c r="BD52" i="9"/>
  <c r="BD54" i="9"/>
  <c r="BD58" i="9"/>
  <c r="BD115" i="9"/>
  <c r="BD97" i="9"/>
  <c r="BD37" i="9"/>
  <c r="BD45" i="9"/>
  <c r="BD116" i="9"/>
  <c r="BD47" i="9"/>
  <c r="BD50" i="9"/>
  <c r="BD60" i="9"/>
  <c r="BD29" i="9"/>
  <c r="BD4" i="9"/>
  <c r="BD101" i="9"/>
  <c r="BD93" i="9"/>
  <c r="BD107" i="9"/>
  <c r="BD106" i="9"/>
  <c r="BD32" i="9"/>
  <c r="AG107" i="9"/>
  <c r="AG117" i="9"/>
  <c r="AG125" i="9"/>
  <c r="AG33" i="9"/>
  <c r="AG96" i="9"/>
  <c r="AG102" i="9"/>
  <c r="AG46" i="9"/>
  <c r="AG56" i="9"/>
  <c r="AG92" i="9"/>
  <c r="AG124" i="9"/>
  <c r="AG97" i="9"/>
  <c r="AG51" i="9"/>
  <c r="AG116" i="9"/>
  <c r="AG47" i="9"/>
  <c r="AG101" i="9"/>
  <c r="AG112" i="9"/>
  <c r="AG48" i="9"/>
  <c r="AG111" i="9"/>
  <c r="AG119" i="9"/>
  <c r="AG45" i="9"/>
  <c r="AG32" i="9"/>
  <c r="AG94" i="9"/>
  <c r="AG104" i="9"/>
  <c r="AG49" i="9"/>
  <c r="AG93" i="9"/>
  <c r="AG98" i="9"/>
  <c r="AG109" i="9"/>
  <c r="AG55" i="9"/>
  <c r="AG44" i="9"/>
  <c r="AG58" i="9"/>
  <c r="AG36" i="9"/>
  <c r="AG120" i="9"/>
  <c r="AG31" i="9"/>
  <c r="AG59" i="9"/>
  <c r="AG50" i="9"/>
  <c r="AG54" i="9"/>
  <c r="AG30" i="9"/>
  <c r="AG113" i="9"/>
  <c r="AG105" i="9"/>
  <c r="AG106" i="9"/>
  <c r="AG42" i="9"/>
  <c r="AG40" i="9"/>
  <c r="AG95" i="9"/>
  <c r="AG53" i="9"/>
  <c r="AG52" i="9"/>
  <c r="AG100" i="9"/>
  <c r="AG103" i="9"/>
  <c r="AG108" i="9"/>
  <c r="AG62" i="9"/>
  <c r="AG29" i="9"/>
  <c r="AG64" i="9"/>
  <c r="AG122" i="9"/>
  <c r="AG41" i="9"/>
  <c r="AG38" i="9"/>
  <c r="AG37" i="9"/>
  <c r="AG34" i="9"/>
  <c r="AG35" i="9"/>
  <c r="AG115" i="9"/>
  <c r="AG110" i="9"/>
  <c r="AG57" i="9"/>
  <c r="AG39" i="9"/>
  <c r="AG121" i="9"/>
  <c r="I118" i="9"/>
  <c r="I92" i="9"/>
  <c r="I96" i="9"/>
  <c r="I108" i="9"/>
  <c r="CS54" i="3"/>
  <c r="CS66" i="3"/>
  <c r="U31" i="9"/>
  <c r="V31" i="9" s="1"/>
  <c r="I122" i="9"/>
  <c r="I93" i="9"/>
  <c r="CS70" i="3"/>
  <c r="I40" i="9"/>
  <c r="I57" i="9"/>
  <c r="I95" i="9"/>
  <c r="I115" i="9"/>
  <c r="I42" i="9"/>
  <c r="I94" i="9"/>
  <c r="U93" i="9"/>
  <c r="V93" i="9" s="1"/>
  <c r="I58" i="9"/>
  <c r="I36" i="9"/>
  <c r="I117" i="9"/>
  <c r="I56" i="9"/>
  <c r="I112" i="9"/>
  <c r="CS57" i="3"/>
  <c r="CS48" i="3"/>
  <c r="CS59" i="3"/>
  <c r="CS63" i="3"/>
  <c r="CS68" i="3"/>
  <c r="U58" i="9"/>
  <c r="V58" i="9" s="1"/>
  <c r="CS71" i="3"/>
  <c r="CS49" i="3"/>
  <c r="CS56" i="3"/>
  <c r="CS64" i="3"/>
  <c r="CS52" i="3"/>
  <c r="I6" i="9"/>
  <c r="CS50" i="3"/>
  <c r="I107" i="9"/>
  <c r="I34" i="9"/>
  <c r="I119" i="9"/>
  <c r="I113" i="9"/>
  <c r="U41" i="9"/>
  <c r="V41" i="9" s="1"/>
  <c r="I63" i="9"/>
  <c r="I105" i="9"/>
  <c r="U91" i="9"/>
  <c r="V91" i="9" s="1"/>
  <c r="I38" i="9"/>
  <c r="I110" i="9"/>
  <c r="I97" i="9"/>
  <c r="CS62" i="3"/>
  <c r="I61" i="9"/>
  <c r="I29" i="9"/>
  <c r="U113" i="9"/>
  <c r="V113" i="9" s="1"/>
  <c r="I35" i="9"/>
  <c r="I4" i="9"/>
  <c r="I5" i="9"/>
  <c r="U111" i="9"/>
  <c r="V111" i="9" s="1"/>
  <c r="I98" i="9"/>
  <c r="I60" i="9"/>
  <c r="I54" i="9"/>
  <c r="U53" i="9"/>
  <c r="V53" i="9" s="1"/>
  <c r="I53" i="9"/>
  <c r="I52" i="9"/>
  <c r="I47" i="9"/>
  <c r="I101" i="9"/>
  <c r="U108" i="9"/>
  <c r="V108" i="9" s="1"/>
  <c r="U35" i="9"/>
  <c r="V35" i="9" s="1"/>
  <c r="I109" i="9"/>
  <c r="I121" i="9"/>
  <c r="I59" i="9"/>
  <c r="U56" i="9"/>
  <c r="V56" i="9" s="1"/>
  <c r="U100" i="9"/>
  <c r="V100" i="9" s="1"/>
  <c r="U116" i="9"/>
  <c r="V116" i="9" s="1"/>
  <c r="I116" i="9"/>
  <c r="U47" i="9"/>
  <c r="V47" i="9" s="1"/>
  <c r="I103" i="9"/>
  <c r="U46" i="9"/>
  <c r="V46" i="9" s="1"/>
  <c r="I125" i="9"/>
  <c r="I114" i="9"/>
  <c r="I111" i="9"/>
  <c r="I32" i="9"/>
  <c r="U39" i="9"/>
  <c r="V39" i="9" s="1"/>
  <c r="I39" i="9"/>
  <c r="I55" i="9"/>
  <c r="I41" i="9"/>
  <c r="I7" i="9"/>
  <c r="U119" i="9"/>
  <c r="V119" i="9" s="1"/>
  <c r="U54" i="9"/>
  <c r="V54" i="9" s="1"/>
  <c r="I30" i="9"/>
  <c r="I120" i="9"/>
  <c r="U44" i="9"/>
  <c r="V44" i="9" s="1"/>
  <c r="I48" i="9"/>
  <c r="I62" i="9"/>
  <c r="I64" i="9"/>
  <c r="I37" i="9"/>
  <c r="T111" i="9"/>
  <c r="I50" i="9"/>
  <c r="U106" i="9"/>
  <c r="V106" i="9" s="1"/>
  <c r="U102" i="9"/>
  <c r="V102" i="9" s="1"/>
  <c r="U60" i="9"/>
  <c r="V60" i="9" s="1"/>
  <c r="U57" i="9"/>
  <c r="V57" i="9" s="1"/>
  <c r="U112" i="9"/>
  <c r="V112" i="9" s="1"/>
  <c r="U30" i="9"/>
  <c r="V30" i="9" s="1"/>
  <c r="I100" i="9"/>
  <c r="I91" i="9"/>
  <c r="I46" i="9"/>
  <c r="T93" i="9"/>
  <c r="I104" i="9"/>
  <c r="I31" i="9"/>
  <c r="U59" i="9"/>
  <c r="V59" i="9" s="1"/>
  <c r="I45" i="9"/>
  <c r="U40" i="9"/>
  <c r="V40" i="9" s="1"/>
  <c r="I99" i="9"/>
  <c r="I124" i="9"/>
  <c r="U123" i="9"/>
  <c r="V123" i="9" s="1"/>
  <c r="I33" i="9"/>
  <c r="I51" i="9"/>
  <c r="I43" i="9"/>
  <c r="U33" i="9"/>
  <c r="V33" i="9" s="1"/>
  <c r="I102" i="9"/>
  <c r="I49" i="9"/>
  <c r="I44" i="9"/>
  <c r="U29" i="9"/>
  <c r="V29" i="9" s="1"/>
  <c r="U64" i="9"/>
  <c r="V64" i="9" s="1"/>
  <c r="I123" i="9"/>
  <c r="U34" i="9"/>
  <c r="V34" i="9" s="1"/>
  <c r="CS67" i="3"/>
  <c r="CS39" i="3"/>
  <c r="CS47" i="3"/>
  <c r="U114" i="9"/>
  <c r="V114" i="9" s="1"/>
  <c r="U63" i="9"/>
  <c r="V63" i="9" s="1"/>
  <c r="CS38" i="3"/>
  <c r="U50" i="9"/>
  <c r="V50" i="9" s="1"/>
  <c r="I106" i="9"/>
  <c r="U45" i="9"/>
  <c r="V45" i="9" s="1"/>
  <c r="CS53" i="3"/>
  <c r="T102" i="9"/>
  <c r="U42" i="9"/>
  <c r="V42" i="9" s="1"/>
  <c r="CS51" i="3"/>
  <c r="U115" i="9"/>
  <c r="V115" i="9" s="1"/>
  <c r="CS55" i="3"/>
  <c r="U98" i="9"/>
  <c r="V98" i="9" s="1"/>
  <c r="T40" i="9"/>
  <c r="U94" i="9"/>
  <c r="V94" i="9" s="1"/>
  <c r="U110" i="9"/>
  <c r="V110" i="9" s="1"/>
  <c r="U95" i="9"/>
  <c r="V95" i="9" s="1"/>
  <c r="CS72" i="3"/>
  <c r="U97" i="9"/>
  <c r="V97" i="9" s="1"/>
  <c r="U55" i="9"/>
  <c r="V55" i="9" s="1"/>
  <c r="U36" i="9"/>
  <c r="V36" i="9" s="1"/>
  <c r="U124" i="9"/>
  <c r="V124" i="9" s="1"/>
  <c r="CS40" i="3"/>
  <c r="U101" i="9"/>
  <c r="V101" i="9" s="1"/>
  <c r="U120" i="9"/>
  <c r="V120" i="9" s="1"/>
  <c r="U92" i="9"/>
  <c r="V92" i="9" s="1"/>
  <c r="U62" i="9"/>
  <c r="V62" i="9" s="1"/>
  <c r="CS58" i="3"/>
  <c r="CS60" i="3"/>
  <c r="U105" i="9"/>
  <c r="V105" i="9" s="1"/>
  <c r="CS44" i="3"/>
  <c r="CS41" i="3"/>
  <c r="U32" i="9"/>
  <c r="V32" i="9" s="1"/>
  <c r="U43" i="9"/>
  <c r="V43" i="9" s="1"/>
  <c r="U107" i="9"/>
  <c r="V107" i="9" s="1"/>
  <c r="CS45" i="3"/>
  <c r="U118" i="9"/>
  <c r="V118" i="9" s="1"/>
  <c r="U49" i="9"/>
  <c r="V49" i="9" s="1"/>
  <c r="U52" i="9"/>
  <c r="V52" i="9" s="1"/>
  <c r="U48" i="9"/>
  <c r="V48" i="9" s="1"/>
  <c r="U117" i="9"/>
  <c r="V117" i="9" s="1"/>
  <c r="U38" i="9"/>
  <c r="V38" i="9" s="1"/>
  <c r="U37" i="9"/>
  <c r="V37" i="9" s="1"/>
  <c r="CS65" i="3"/>
  <c r="U51" i="9"/>
  <c r="V51" i="9" s="1"/>
  <c r="CS46" i="3"/>
  <c r="U104" i="9"/>
  <c r="V104" i="9" s="1"/>
  <c r="U125" i="9"/>
  <c r="V125" i="9" s="1"/>
  <c r="CS43" i="3"/>
  <c r="CS42" i="3"/>
  <c r="U109" i="9"/>
  <c r="V109" i="9" s="1"/>
  <c r="CS37" i="3"/>
  <c r="CS69" i="3"/>
  <c r="U121" i="9"/>
  <c r="V121" i="9" s="1"/>
  <c r="U99" i="9"/>
  <c r="V99" i="9" s="1"/>
  <c r="U103" i="9"/>
  <c r="V103" i="9" s="1"/>
  <c r="CS61" i="3"/>
  <c r="U122" i="9"/>
  <c r="V122" i="9" s="1"/>
  <c r="U96" i="9"/>
  <c r="V96" i="9" s="1"/>
  <c r="U61" i="9"/>
  <c r="V61" i="9" s="1"/>
  <c r="J51" i="11"/>
  <c r="AM11" i="3" l="1"/>
  <c r="BG11" i="3" s="1"/>
  <c r="BH11" i="3" l="1"/>
  <c r="BK11" i="3"/>
  <c r="BK261" i="3" s="1"/>
  <c r="BQ11" i="3"/>
  <c r="FF11" i="3" s="1" a="1"/>
  <c r="FF11" i="3" s="1"/>
  <c r="BN11" i="3"/>
  <c r="BN261" i="3" s="1"/>
  <c r="AR5" i="9"/>
  <c r="R4" i="13"/>
  <c r="R5" i="13"/>
  <c r="R3" i="13"/>
  <c r="R6" i="13"/>
  <c r="P2" i="13"/>
  <c r="R2" i="13"/>
  <c r="R52" i="11"/>
  <c r="S52" i="11"/>
  <c r="M52" i="11"/>
  <c r="K52" i="11"/>
  <c r="I52" i="11"/>
  <c r="H52" i="11"/>
  <c r="G52" i="11"/>
  <c r="F52" i="11"/>
  <c r="C52" i="11"/>
  <c r="B52" i="11"/>
  <c r="H51" i="11"/>
  <c r="AE4" i="9" l="1"/>
  <c r="AF4" i="9"/>
  <c r="AN4" i="9"/>
  <c r="L4" i="9"/>
  <c r="Y4" i="9"/>
  <c r="E4" i="9"/>
  <c r="K4" i="9"/>
  <c r="M4" i="9"/>
  <c r="H4" i="9"/>
  <c r="AH4" i="9"/>
  <c r="S4" i="9"/>
  <c r="T4" i="9" s="1"/>
  <c r="AS4" i="9"/>
  <c r="Q4" i="9"/>
  <c r="P4" i="9"/>
  <c r="J4" i="9"/>
  <c r="N4" i="9"/>
  <c r="O4" i="9"/>
  <c r="R4" i="9"/>
  <c r="C4" i="9" s="1"/>
  <c r="AI4" i="9"/>
  <c r="AB4" i="9"/>
  <c r="AJ4" i="9"/>
  <c r="AK4" i="9"/>
  <c r="AC4" i="9"/>
  <c r="AW4" i="9"/>
  <c r="W4" i="9"/>
  <c r="AV4" i="9"/>
  <c r="AX4" i="9"/>
  <c r="AU4" i="9"/>
  <c r="X4" i="9"/>
  <c r="AT4" i="9"/>
  <c r="AR4" i="9"/>
  <c r="BA4" i="9"/>
  <c r="AQ4" i="9"/>
  <c r="AZ4" i="9"/>
  <c r="AY4" i="9" s="1"/>
  <c r="AP4" i="9"/>
  <c r="J5" i="9"/>
  <c r="M5" i="9"/>
  <c r="H5" i="9"/>
  <c r="P5" i="9"/>
  <c r="AE5" i="9"/>
  <c r="S5" i="9"/>
  <c r="T5" i="9" s="1"/>
  <c r="AS5" i="9"/>
  <c r="K5" i="9"/>
  <c r="Q5" i="9"/>
  <c r="Y5" i="9"/>
  <c r="AF5" i="9"/>
  <c r="AI5" i="9"/>
  <c r="AH5" i="9"/>
  <c r="L5" i="9"/>
  <c r="R5" i="9"/>
  <c r="C5" i="9" s="1"/>
  <c r="AN5" i="9"/>
  <c r="N5" i="9"/>
  <c r="O5" i="9"/>
  <c r="E5" i="9"/>
  <c r="AB5" i="9"/>
  <c r="AJ5" i="9"/>
  <c r="AK5" i="9"/>
  <c r="AW5" i="9"/>
  <c r="AU5" i="9"/>
  <c r="W5" i="9"/>
  <c r="AV5" i="9"/>
  <c r="AX5" i="9"/>
  <c r="X5" i="9"/>
  <c r="AC5" i="9"/>
  <c r="BA5" i="9"/>
  <c r="AP5" i="9"/>
  <c r="AZ5" i="9"/>
  <c r="AY5" i="9" s="1"/>
  <c r="AQ5" i="9"/>
  <c r="AT5" i="9"/>
  <c r="P3" i="13"/>
  <c r="AS6" i="9"/>
  <c r="P6" i="9"/>
  <c r="L6" i="9"/>
  <c r="J6" i="9"/>
  <c r="AI6" i="9"/>
  <c r="Q6" i="9"/>
  <c r="Y6" i="9"/>
  <c r="AN6" i="9"/>
  <c r="AE6" i="9"/>
  <c r="K6" i="9"/>
  <c r="E6" i="9"/>
  <c r="AF6" i="9"/>
  <c r="R6" i="9"/>
  <c r="H6" i="9"/>
  <c r="M6" i="9"/>
  <c r="O6" i="9"/>
  <c r="N6" i="9"/>
  <c r="S6" i="9"/>
  <c r="T6" i="9" s="1"/>
  <c r="AH6" i="9"/>
  <c r="AB6" i="9"/>
  <c r="AJ6" i="9"/>
  <c r="AK6" i="9"/>
  <c r="AC6" i="9"/>
  <c r="W6" i="9"/>
  <c r="AU6" i="9"/>
  <c r="AV6" i="9"/>
  <c r="AX6" i="9"/>
  <c r="AW6" i="9"/>
  <c r="X6" i="9"/>
  <c r="AT6" i="9"/>
  <c r="AR6" i="9"/>
  <c r="AZ6" i="9"/>
  <c r="AY6" i="9" s="1"/>
  <c r="AQ6" i="9"/>
  <c r="AP6" i="9"/>
  <c r="BA6" i="9"/>
  <c r="AF7" i="9"/>
  <c r="R7" i="9"/>
  <c r="C7" i="9" s="1"/>
  <c r="O7" i="9"/>
  <c r="Y7" i="9"/>
  <c r="M7" i="9"/>
  <c r="J7" i="9"/>
  <c r="AH7" i="9"/>
  <c r="Q7" i="9"/>
  <c r="N7" i="9"/>
  <c r="K7" i="9"/>
  <c r="AN7" i="9"/>
  <c r="E7" i="9"/>
  <c r="L7" i="9"/>
  <c r="H7" i="9"/>
  <c r="P7" i="9"/>
  <c r="AE7" i="9"/>
  <c r="S7" i="9"/>
  <c r="T7" i="9" s="1"/>
  <c r="AS7" i="9"/>
  <c r="AI7" i="9"/>
  <c r="AJ7" i="9"/>
  <c r="AB7" i="9"/>
  <c r="AK7" i="9"/>
  <c r="W7" i="9"/>
  <c r="AW7" i="9"/>
  <c r="AC7" i="9"/>
  <c r="AV7" i="9"/>
  <c r="AX7" i="9"/>
  <c r="AU7" i="9"/>
  <c r="X7" i="9"/>
  <c r="AR7" i="9"/>
  <c r="AT7" i="9"/>
  <c r="AQ7" i="9"/>
  <c r="AP7" i="9"/>
  <c r="BA7" i="9"/>
  <c r="AZ7" i="9"/>
  <c r="AY7" i="9" s="1"/>
  <c r="B32" i="4"/>
  <c r="B33" i="4"/>
  <c r="B23" i="4"/>
  <c r="B24" i="4"/>
  <c r="B25" i="4"/>
  <c r="B26" i="4"/>
  <c r="B27" i="4"/>
  <c r="B28" i="4"/>
  <c r="B29" i="4"/>
  <c r="B30" i="4"/>
  <c r="B31" i="4"/>
  <c r="B22" i="4"/>
  <c r="G51" i="11"/>
  <c r="S51" i="11"/>
  <c r="R51" i="11"/>
  <c r="K51" i="11"/>
  <c r="I51" i="11"/>
  <c r="F51" i="11"/>
  <c r="C51" i="11"/>
  <c r="M51" i="11"/>
  <c r="FX7" i="3"/>
  <c r="FZ7" i="3"/>
  <c r="EE7" i="3"/>
  <c r="DJ7" i="3"/>
  <c r="DD7" i="3"/>
  <c r="FT7" i="3"/>
  <c r="FS7" i="3"/>
  <c r="FQ7" i="3"/>
  <c r="FO7" i="3"/>
  <c r="FM7" i="3"/>
  <c r="FF7" i="3"/>
  <c r="EV7" i="3"/>
  <c r="FC7" i="3"/>
  <c r="FA7" i="3"/>
  <c r="EW7" i="3"/>
  <c r="ET7" i="3"/>
  <c r="ER7" i="3"/>
  <c r="EP7" i="3"/>
  <c r="EK7" i="3"/>
  <c r="EH7" i="3"/>
  <c r="EF7" i="3"/>
  <c r="EA7" i="3"/>
  <c r="DY7" i="3"/>
  <c r="DW7" i="3"/>
  <c r="DU7" i="3"/>
  <c r="DP7" i="3"/>
  <c r="DM7" i="3"/>
  <c r="DK7" i="3"/>
  <c r="DF7" i="3"/>
  <c r="DB7" i="3"/>
  <c r="CZ7" i="3"/>
  <c r="CX7" i="3"/>
  <c r="CS7" i="3"/>
  <c r="C138" i="8"/>
  <c r="C137" i="8"/>
  <c r="C136" i="8"/>
  <c r="C135" i="8"/>
  <c r="C134" i="8"/>
  <c r="F57" i="8"/>
  <c r="I261" i="3"/>
  <c r="S261" i="3"/>
  <c r="FQ203" i="3" l="1"/>
  <c r="FQ257" i="3"/>
  <c r="FQ256" i="3"/>
  <c r="FQ254" i="3"/>
  <c r="FQ196" i="3"/>
  <c r="FQ248" i="3"/>
  <c r="FQ168" i="3"/>
  <c r="FQ223" i="3"/>
  <c r="FQ222" i="3"/>
  <c r="FQ161" i="3"/>
  <c r="FQ207" i="3"/>
  <c r="FQ215" i="3"/>
  <c r="FQ237" i="3"/>
  <c r="FQ174" i="3"/>
  <c r="FQ225" i="3"/>
  <c r="FQ241" i="3"/>
  <c r="FQ176" i="3"/>
  <c r="FQ171" i="3"/>
  <c r="FQ166" i="3"/>
  <c r="FQ255" i="3"/>
  <c r="FQ224" i="3"/>
  <c r="FQ187" i="3"/>
  <c r="FQ205" i="3"/>
  <c r="FQ169" i="3"/>
  <c r="FQ258" i="3"/>
  <c r="FQ167" i="3"/>
  <c r="FQ220" i="3"/>
  <c r="FQ178" i="3"/>
  <c r="FQ210" i="3"/>
  <c r="FQ260" i="3"/>
  <c r="FQ198" i="3"/>
  <c r="FQ253" i="3"/>
  <c r="FQ245" i="3"/>
  <c r="FQ250" i="3"/>
  <c r="FQ235" i="3"/>
  <c r="FQ204" i="3"/>
  <c r="FQ183" i="3"/>
  <c r="FQ232" i="3"/>
  <c r="FQ227" i="3"/>
  <c r="FQ216" i="3"/>
  <c r="FQ211" i="3"/>
  <c r="FQ213" i="3"/>
  <c r="FQ208" i="3"/>
  <c r="FQ175" i="3"/>
  <c r="FQ177" i="3"/>
  <c r="FQ239" i="3"/>
  <c r="FQ234" i="3"/>
  <c r="FQ188" i="3"/>
  <c r="FQ182" i="3"/>
  <c r="FQ219" i="3"/>
  <c r="FQ170" i="3"/>
  <c r="FQ233" i="3"/>
  <c r="FQ172" i="3"/>
  <c r="FQ164" i="3"/>
  <c r="FQ173" i="3"/>
  <c r="FQ163" i="3"/>
  <c r="FQ189" i="3"/>
  <c r="FQ199" i="3"/>
  <c r="FQ244" i="3"/>
  <c r="FQ214" i="3"/>
  <c r="FQ206" i="3"/>
  <c r="FQ202" i="3"/>
  <c r="FQ180" i="3"/>
  <c r="FQ194" i="3"/>
  <c r="FQ157" i="3"/>
  <c r="FQ226" i="3"/>
  <c r="FQ195" i="3"/>
  <c r="FQ162" i="3"/>
  <c r="FQ190" i="3"/>
  <c r="FQ160" i="3"/>
  <c r="FQ236" i="3"/>
  <c r="FQ249" i="3"/>
  <c r="FQ247" i="3"/>
  <c r="FQ217" i="3"/>
  <c r="FQ259" i="3"/>
  <c r="FQ229" i="3"/>
  <c r="FQ191" i="3"/>
  <c r="FQ218" i="3"/>
  <c r="FQ251" i="3"/>
  <c r="FQ184" i="3"/>
  <c r="FQ193" i="3"/>
  <c r="FQ200" i="3"/>
  <c r="FQ242" i="3"/>
  <c r="FQ238" i="3"/>
  <c r="FQ240" i="3"/>
  <c r="FQ186" i="3"/>
  <c r="FQ230" i="3"/>
  <c r="FQ158" i="3"/>
  <c r="FQ231" i="3"/>
  <c r="FQ201" i="3"/>
  <c r="FQ179" i="3"/>
  <c r="FQ243" i="3"/>
  <c r="FQ209" i="3"/>
  <c r="FQ228" i="3"/>
  <c r="FQ246" i="3"/>
  <c r="FQ212" i="3"/>
  <c r="FQ197" i="3"/>
  <c r="FQ165" i="3"/>
  <c r="FQ252" i="3"/>
  <c r="FQ221" i="3"/>
  <c r="FQ192" i="3"/>
  <c r="FQ31" i="3"/>
  <c r="BZ31" i="3" s="1"/>
  <c r="CA31" i="3" s="1"/>
  <c r="BY31" i="3" s="1"/>
  <c r="FQ151" i="3"/>
  <c r="FQ34" i="3"/>
  <c r="FQ159" i="3"/>
  <c r="FQ154" i="3"/>
  <c r="FQ155" i="3"/>
  <c r="FQ35" i="3"/>
  <c r="FQ32" i="3"/>
  <c r="BZ32" i="3" s="1"/>
  <c r="CA32" i="3" s="1"/>
  <c r="BY32" i="3" s="1"/>
  <c r="FQ153" i="3"/>
  <c r="FQ156" i="3"/>
  <c r="FQ36" i="3"/>
  <c r="FQ181" i="3"/>
  <c r="FQ33" i="3"/>
  <c r="FQ152" i="3"/>
  <c r="FQ185" i="3"/>
  <c r="FQ84" i="3"/>
  <c r="FQ90" i="3"/>
  <c r="FQ89" i="3"/>
  <c r="FQ91" i="3"/>
  <c r="FQ85" i="3"/>
  <c r="FQ83" i="3"/>
  <c r="FQ150" i="3"/>
  <c r="FQ142" i="3"/>
  <c r="FQ30" i="3"/>
  <c r="BZ30" i="3" s="1"/>
  <c r="CA30" i="3" s="1"/>
  <c r="BY30" i="3" s="1"/>
  <c r="FQ145" i="3"/>
  <c r="FQ144" i="3"/>
  <c r="FQ27" i="3"/>
  <c r="BZ27" i="3" s="1"/>
  <c r="CA27" i="3" s="1"/>
  <c r="BY27" i="3" s="1"/>
  <c r="FQ28" i="3"/>
  <c r="BZ28" i="3" s="1"/>
  <c r="CA28" i="3" s="1"/>
  <c r="BY28" i="3" s="1"/>
  <c r="FQ146" i="3"/>
  <c r="FQ24" i="3"/>
  <c r="BZ24" i="3" s="1"/>
  <c r="CA24" i="3" s="1"/>
  <c r="BY24" i="3" s="1"/>
  <c r="FQ147" i="3"/>
  <c r="FQ141" i="3"/>
  <c r="FQ138" i="3"/>
  <c r="FQ140" i="3"/>
  <c r="FQ148" i="3"/>
  <c r="FQ22" i="3"/>
  <c r="BZ22" i="3" s="1"/>
  <c r="CA22" i="3" s="1"/>
  <c r="BY22" i="3" s="1"/>
  <c r="FQ81" i="3"/>
  <c r="FQ143" i="3"/>
  <c r="FQ149" i="3"/>
  <c r="FQ139" i="3"/>
  <c r="FQ25" i="3"/>
  <c r="BZ25" i="3" s="1"/>
  <c r="CA25" i="3" s="1"/>
  <c r="BY25" i="3" s="1"/>
  <c r="FQ136" i="3"/>
  <c r="FQ29" i="3"/>
  <c r="BZ29" i="3" s="1"/>
  <c r="CA29" i="3" s="1"/>
  <c r="BY29" i="3" s="1"/>
  <c r="FQ26" i="3"/>
  <c r="BZ26" i="3" s="1"/>
  <c r="CA26" i="3" s="1"/>
  <c r="BY26" i="3" s="1"/>
  <c r="FQ21" i="3"/>
  <c r="BZ21" i="3" s="1"/>
  <c r="CA21" i="3" s="1"/>
  <c r="BY21" i="3" s="1"/>
  <c r="FQ16" i="3"/>
  <c r="BZ16" i="3" s="1"/>
  <c r="CA16" i="3" s="1"/>
  <c r="BY16" i="3" s="1"/>
  <c r="FQ19" i="3"/>
  <c r="BZ19" i="3" s="1"/>
  <c r="CA19" i="3" s="1"/>
  <c r="BY19" i="3" s="1"/>
  <c r="FQ20" i="3"/>
  <c r="BZ20" i="3" s="1"/>
  <c r="CA20" i="3" s="1"/>
  <c r="BY20" i="3" s="1"/>
  <c r="FQ18" i="3"/>
  <c r="BZ18" i="3" s="1"/>
  <c r="CA18" i="3" s="1"/>
  <c r="BY18" i="3" s="1"/>
  <c r="FQ23" i="3"/>
  <c r="BZ23" i="3" s="1"/>
  <c r="CA23" i="3" s="1"/>
  <c r="BY23" i="3" s="1"/>
  <c r="FQ17" i="3"/>
  <c r="BZ17" i="3" s="1"/>
  <c r="CA17" i="3" s="1"/>
  <c r="BY17" i="3" s="1"/>
  <c r="FQ59" i="3"/>
  <c r="FQ67" i="3"/>
  <c r="FQ52" i="3"/>
  <c r="FQ47" i="3"/>
  <c r="FQ49" i="3"/>
  <c r="FQ14" i="3"/>
  <c r="BZ14" i="3" s="1"/>
  <c r="CA14" i="3" s="1"/>
  <c r="BY14" i="3" s="1"/>
  <c r="FQ13" i="3"/>
  <c r="BZ13" i="3" s="1"/>
  <c r="CA13" i="3" s="1"/>
  <c r="BY13" i="3" s="1"/>
  <c r="FQ55" i="3"/>
  <c r="FQ69" i="3"/>
  <c r="FQ12" i="3"/>
  <c r="FQ43" i="3"/>
  <c r="FQ50" i="3"/>
  <c r="FQ39" i="3"/>
  <c r="FQ64" i="3"/>
  <c r="FQ51" i="3"/>
  <c r="FQ40" i="3"/>
  <c r="FQ45" i="3"/>
  <c r="FQ37" i="3"/>
  <c r="FQ60" i="3"/>
  <c r="FQ66" i="3"/>
  <c r="FQ48" i="3"/>
  <c r="FQ68" i="3"/>
  <c r="FQ44" i="3"/>
  <c r="FQ71" i="3"/>
  <c r="FQ62" i="3"/>
  <c r="FQ15" i="3"/>
  <c r="FQ65" i="3"/>
  <c r="FQ57" i="3"/>
  <c r="FQ61" i="3"/>
  <c r="FQ53" i="3"/>
  <c r="FQ41" i="3"/>
  <c r="FQ56" i="3"/>
  <c r="FQ72" i="3"/>
  <c r="FQ63" i="3"/>
  <c r="FQ70" i="3"/>
  <c r="FQ54" i="3"/>
  <c r="FQ58" i="3"/>
  <c r="FQ42" i="3"/>
  <c r="FQ38" i="3"/>
  <c r="FQ46" i="3"/>
  <c r="AX95" i="3"/>
  <c r="AX78" i="3"/>
  <c r="AX97" i="3"/>
  <c r="AX135" i="3"/>
  <c r="AX86" i="3"/>
  <c r="AX77" i="3"/>
  <c r="AX88" i="3"/>
  <c r="AX96" i="3"/>
  <c r="AX92" i="3"/>
  <c r="AX80" i="3"/>
  <c r="AX75" i="3"/>
  <c r="AX137" i="3"/>
  <c r="AO129" i="9" s="1"/>
  <c r="AX134" i="3"/>
  <c r="AX94" i="3"/>
  <c r="AX93" i="3"/>
  <c r="AX98" i="3"/>
  <c r="AX74" i="3"/>
  <c r="AX76" i="3"/>
  <c r="AX87" i="3"/>
  <c r="AX82" i="3"/>
  <c r="AX79" i="3"/>
  <c r="AX73" i="3"/>
  <c r="AX110" i="3"/>
  <c r="AX129" i="3"/>
  <c r="AX105" i="3"/>
  <c r="AX119" i="3"/>
  <c r="AX128" i="3"/>
  <c r="AX120" i="3"/>
  <c r="AX112" i="3"/>
  <c r="AX116" i="3"/>
  <c r="AX126" i="3"/>
  <c r="AX118" i="3"/>
  <c r="AX121" i="3"/>
  <c r="AX127" i="3"/>
  <c r="AX130" i="3"/>
  <c r="AX114" i="3"/>
  <c r="AX123" i="3"/>
  <c r="AX99" i="3"/>
  <c r="AX115" i="3"/>
  <c r="AX124" i="3"/>
  <c r="AX108" i="3"/>
  <c r="AX122" i="3"/>
  <c r="AX133" i="3"/>
  <c r="AX101" i="3"/>
  <c r="AX132" i="3"/>
  <c r="AX100" i="3"/>
  <c r="AX102" i="3"/>
  <c r="AX113" i="3"/>
  <c r="AX111" i="3"/>
  <c r="AX103" i="3"/>
  <c r="AX104" i="3"/>
  <c r="AX106" i="3"/>
  <c r="AX125" i="3"/>
  <c r="AX117" i="3"/>
  <c r="AX109" i="3"/>
  <c r="AX131" i="3"/>
  <c r="AX107" i="3"/>
  <c r="BB501" i="9"/>
  <c r="BC501" i="9" s="1"/>
  <c r="AZ501" i="9"/>
  <c r="AY501" i="9" s="1"/>
  <c r="BB502" i="9"/>
  <c r="BC502" i="9" s="1"/>
  <c r="AZ502" i="9"/>
  <c r="AY502" i="9" s="1"/>
  <c r="AG7" i="9"/>
  <c r="AG4" i="9"/>
  <c r="AG6" i="9"/>
  <c r="AG5" i="9"/>
  <c r="Z6" i="9"/>
  <c r="AA6" i="9" s="1"/>
  <c r="U6" i="9"/>
  <c r="V6" i="9" s="1"/>
  <c r="Z5" i="9"/>
  <c r="AA5" i="9" s="1"/>
  <c r="U5" i="9"/>
  <c r="V5" i="9" s="1"/>
  <c r="Z4" i="9"/>
  <c r="AA4" i="9" s="1"/>
  <c r="U4" i="9"/>
  <c r="V4" i="9" s="1"/>
  <c r="Z7" i="9"/>
  <c r="AA7" i="9" s="1"/>
  <c r="U7" i="9"/>
  <c r="V7" i="9" s="1"/>
  <c r="R11" i="3"/>
  <c r="J52" i="11"/>
  <c r="B103" i="8"/>
  <c r="C102" i="8" s="1"/>
  <c r="AM261" i="3"/>
  <c r="BZ12" i="3" l="1"/>
  <c r="CB12" i="3"/>
  <c r="BQ107" i="3"/>
  <c r="FF107" i="3" s="1" a="1"/>
  <c r="FF107" i="3" s="1"/>
  <c r="BP107" i="3"/>
  <c r="BQ108" i="3"/>
  <c r="FF108" i="3" s="1" a="1"/>
  <c r="FF108" i="3" s="1"/>
  <c r="BP108" i="3"/>
  <c r="BP105" i="3"/>
  <c r="BQ105" i="3"/>
  <c r="FF105" i="3" s="1" a="1"/>
  <c r="FF105" i="3" s="1"/>
  <c r="BP131" i="3"/>
  <c r="BQ131" i="3"/>
  <c r="FF131" i="3" s="1" a="1"/>
  <c r="FF131" i="3" s="1"/>
  <c r="BP113" i="3"/>
  <c r="BQ113" i="3"/>
  <c r="FF113" i="3" s="1" a="1"/>
  <c r="FF113" i="3" s="1"/>
  <c r="BQ124" i="3"/>
  <c r="FF124" i="3" s="1" a="1"/>
  <c r="FF124" i="3" s="1"/>
  <c r="BP124" i="3"/>
  <c r="BP118" i="3"/>
  <c r="BQ118" i="3"/>
  <c r="FF118" i="3" s="1" a="1"/>
  <c r="FF118" i="3" s="1"/>
  <c r="BP129" i="3"/>
  <c r="BQ129" i="3"/>
  <c r="FF129" i="3" s="1" a="1"/>
  <c r="FF129" i="3" s="1"/>
  <c r="BQ98" i="3"/>
  <c r="FF98" i="3" s="1" a="1"/>
  <c r="FF98" i="3" s="1"/>
  <c r="BP98" i="3"/>
  <c r="BQ96" i="3"/>
  <c r="FF96" i="3" s="1" a="1"/>
  <c r="FF96" i="3" s="1"/>
  <c r="BP96" i="3"/>
  <c r="CB56" i="3"/>
  <c r="CC56" i="3" s="1"/>
  <c r="CB71" i="3"/>
  <c r="CC71" i="3" s="1"/>
  <c r="CB148" i="3"/>
  <c r="CC148" i="3" s="1"/>
  <c r="CB91" i="3"/>
  <c r="CC91" i="3" s="1"/>
  <c r="CB212" i="3"/>
  <c r="CC212" i="3" s="1"/>
  <c r="CB158" i="3"/>
  <c r="CC158" i="3" s="1"/>
  <c r="CB184" i="3"/>
  <c r="CC184" i="3" s="1"/>
  <c r="CB249" i="3"/>
  <c r="CC249" i="3" s="1"/>
  <c r="CB194" i="3"/>
  <c r="CC194" i="3" s="1"/>
  <c r="CB163" i="3"/>
  <c r="CC163" i="3" s="1"/>
  <c r="CB188" i="3"/>
  <c r="CC188" i="3" s="1"/>
  <c r="CB216" i="3"/>
  <c r="CC216" i="3" s="1"/>
  <c r="CB253" i="3"/>
  <c r="CC253" i="3" s="1"/>
  <c r="CB169" i="3"/>
  <c r="CC169" i="3" s="1"/>
  <c r="CB241" i="3"/>
  <c r="CC241" i="3" s="1"/>
  <c r="CB223" i="3"/>
  <c r="CC223" i="3" s="1"/>
  <c r="BQ111" i="3"/>
  <c r="FF111" i="3" s="1" a="1"/>
  <c r="FF111" i="3" s="1"/>
  <c r="BP111" i="3"/>
  <c r="BP92" i="3"/>
  <c r="BQ92" i="3"/>
  <c r="FF92" i="3" s="1" a="1"/>
  <c r="FF92" i="3" s="1"/>
  <c r="BP109" i="3"/>
  <c r="BQ109" i="3"/>
  <c r="FF109" i="3" s="1" a="1"/>
  <c r="FF109" i="3" s="1"/>
  <c r="BQ102" i="3"/>
  <c r="FF102" i="3" s="1" a="1"/>
  <c r="FF102" i="3" s="1"/>
  <c r="BP102" i="3"/>
  <c r="BQ115" i="3"/>
  <c r="FF115" i="3" s="1" a="1"/>
  <c r="FF115" i="3" s="1"/>
  <c r="BP115" i="3"/>
  <c r="BP126" i="3"/>
  <c r="BQ126" i="3"/>
  <c r="FF126" i="3" s="1" a="1"/>
  <c r="FF126" i="3" s="1"/>
  <c r="BQ110" i="3"/>
  <c r="FF110" i="3" s="1" a="1"/>
  <c r="FF110" i="3" s="1"/>
  <c r="BP110" i="3"/>
  <c r="BQ93" i="3"/>
  <c r="FF93" i="3" s="1" a="1"/>
  <c r="FF93" i="3" s="1"/>
  <c r="BP93" i="3"/>
  <c r="BP88" i="3"/>
  <c r="BQ88" i="3"/>
  <c r="FF88" i="3" s="1" a="1"/>
  <c r="FF88" i="3" s="1"/>
  <c r="CB51" i="3"/>
  <c r="CC51" i="3" s="1"/>
  <c r="CB136" i="3"/>
  <c r="CC136" i="3" s="1"/>
  <c r="CB140" i="3"/>
  <c r="CC140" i="3" s="1"/>
  <c r="CB144" i="3"/>
  <c r="CC144" i="3" s="1"/>
  <c r="CB89" i="3"/>
  <c r="CC89" i="3" s="1"/>
  <c r="CB156" i="3"/>
  <c r="CC156" i="3" s="1"/>
  <c r="CB151" i="3"/>
  <c r="CC151" i="3" s="1"/>
  <c r="CB246" i="3"/>
  <c r="CC246" i="3" s="1"/>
  <c r="CB230" i="3"/>
  <c r="CC230" i="3" s="1"/>
  <c r="CB251" i="3"/>
  <c r="CC251" i="3" s="1"/>
  <c r="CB236" i="3"/>
  <c r="CC236" i="3" s="1"/>
  <c r="CB180" i="3"/>
  <c r="CC180" i="3" s="1"/>
  <c r="CB173" i="3"/>
  <c r="CC173" i="3" s="1"/>
  <c r="CB234" i="3"/>
  <c r="CC234" i="3" s="1"/>
  <c r="CB227" i="3"/>
  <c r="CC227" i="3" s="1"/>
  <c r="CB198" i="3"/>
  <c r="CC198" i="3" s="1"/>
  <c r="CB205" i="3"/>
  <c r="CC205" i="3" s="1"/>
  <c r="CB225" i="3"/>
  <c r="CC225" i="3" s="1"/>
  <c r="CB168" i="3"/>
  <c r="CC168" i="3" s="1"/>
  <c r="BP74" i="3"/>
  <c r="BQ74" i="3"/>
  <c r="FF74" i="3" s="1" a="1"/>
  <c r="FF74" i="3" s="1"/>
  <c r="BP117" i="3"/>
  <c r="BQ117" i="3"/>
  <c r="FF117" i="3" s="1" a="1"/>
  <c r="FF117" i="3" s="1"/>
  <c r="BP100" i="3"/>
  <c r="BQ100" i="3"/>
  <c r="FF100" i="3" s="1" a="1"/>
  <c r="FF100" i="3" s="1"/>
  <c r="BQ99" i="3"/>
  <c r="FF99" i="3" s="1" a="1"/>
  <c r="FF99" i="3" s="1"/>
  <c r="BP99" i="3"/>
  <c r="BQ116" i="3"/>
  <c r="FF116" i="3" s="1" a="1"/>
  <c r="FF116" i="3" s="1"/>
  <c r="BP116" i="3"/>
  <c r="BQ73" i="3"/>
  <c r="FF73" i="3" s="1" a="1"/>
  <c r="FF73" i="3" s="1"/>
  <c r="BP73" i="3"/>
  <c r="BP94" i="3"/>
  <c r="BQ94" i="3"/>
  <c r="FF94" i="3" s="1" a="1"/>
  <c r="FF94" i="3" s="1"/>
  <c r="BP77" i="3"/>
  <c r="BQ77" i="3"/>
  <c r="FF77" i="3" s="1" a="1"/>
  <c r="FF77" i="3" s="1"/>
  <c r="CB68" i="3"/>
  <c r="CC68" i="3" s="1"/>
  <c r="CB64" i="3"/>
  <c r="CC64" i="3" s="1"/>
  <c r="CB138" i="3"/>
  <c r="CC138" i="3" s="1"/>
  <c r="CB145" i="3"/>
  <c r="CC145" i="3" s="1"/>
  <c r="CB90" i="3"/>
  <c r="CC90" i="3" s="1"/>
  <c r="CB153" i="3"/>
  <c r="CC153" i="3" s="1"/>
  <c r="CB228" i="3"/>
  <c r="CC228" i="3" s="1"/>
  <c r="CB186" i="3"/>
  <c r="CC186" i="3" s="1"/>
  <c r="CB218" i="3"/>
  <c r="CC218" i="3" s="1"/>
  <c r="CB160" i="3"/>
  <c r="CC160" i="3" s="1"/>
  <c r="CB202" i="3"/>
  <c r="CC202" i="3" s="1"/>
  <c r="CB164" i="3"/>
  <c r="CC164" i="3" s="1"/>
  <c r="CB239" i="3"/>
  <c r="CC239" i="3" s="1"/>
  <c r="CB232" i="3"/>
  <c r="CC232" i="3" s="1"/>
  <c r="CB187" i="3"/>
  <c r="CC187" i="3" s="1"/>
  <c r="CB174" i="3"/>
  <c r="CC174" i="3" s="1"/>
  <c r="CB248" i="3"/>
  <c r="CC248" i="3" s="1"/>
  <c r="BP123" i="3"/>
  <c r="BQ123" i="3"/>
  <c r="FF123" i="3" s="1" a="1"/>
  <c r="FF123" i="3" s="1"/>
  <c r="BQ86" i="3"/>
  <c r="FF86" i="3" s="1" a="1"/>
  <c r="FF86" i="3" s="1"/>
  <c r="BP86" i="3"/>
  <c r="CB58" i="3"/>
  <c r="CC58" i="3" s="1"/>
  <c r="CB139" i="3"/>
  <c r="CC139" i="3" s="1"/>
  <c r="CB141" i="3"/>
  <c r="CC141" i="3" s="1"/>
  <c r="CB84" i="3"/>
  <c r="CC84" i="3" s="1"/>
  <c r="CB192" i="3"/>
  <c r="CC192" i="3" s="1"/>
  <c r="CB209" i="3"/>
  <c r="CC209" i="3" s="1"/>
  <c r="CB240" i="3"/>
  <c r="CC240" i="3" s="1"/>
  <c r="CB191" i="3"/>
  <c r="CC191" i="3" s="1"/>
  <c r="CB190" i="3"/>
  <c r="CC190" i="3" s="1"/>
  <c r="CB206" i="3"/>
  <c r="CC206" i="3" s="1"/>
  <c r="CB172" i="3"/>
  <c r="CC172" i="3" s="1"/>
  <c r="CB177" i="3"/>
  <c r="CC177" i="3" s="1"/>
  <c r="CB183" i="3"/>
  <c r="CC183" i="3" s="1"/>
  <c r="CB210" i="3"/>
  <c r="CC210" i="3" s="1"/>
  <c r="CB224" i="3"/>
  <c r="CC224" i="3" s="1"/>
  <c r="CB237" i="3"/>
  <c r="CC237" i="3" s="1"/>
  <c r="CB196" i="3"/>
  <c r="CC196" i="3" s="1"/>
  <c r="BP125" i="3"/>
  <c r="BQ125" i="3"/>
  <c r="FF125" i="3" s="1" a="1"/>
  <c r="FF125" i="3" s="1"/>
  <c r="BP112" i="3"/>
  <c r="BQ112" i="3"/>
  <c r="FF112" i="3" s="1" a="1"/>
  <c r="FF112" i="3" s="1"/>
  <c r="BP106" i="3"/>
  <c r="BQ106" i="3"/>
  <c r="FF106" i="3" s="1" a="1"/>
  <c r="FF106" i="3" s="1"/>
  <c r="BP101" i="3"/>
  <c r="BQ101" i="3"/>
  <c r="FF101" i="3" s="1" a="1"/>
  <c r="FF101" i="3" s="1"/>
  <c r="BP114" i="3"/>
  <c r="BQ114" i="3"/>
  <c r="FF114" i="3" s="1" a="1"/>
  <c r="FF114" i="3" s="1"/>
  <c r="BQ120" i="3"/>
  <c r="FF120" i="3" s="1" a="1"/>
  <c r="FF120" i="3" s="1"/>
  <c r="BP120" i="3"/>
  <c r="BP82" i="3"/>
  <c r="BQ82" i="3"/>
  <c r="FF82" i="3" s="1" a="1"/>
  <c r="FF82" i="3" s="1"/>
  <c r="BQ137" i="3"/>
  <c r="FF137" i="3" s="1" a="1"/>
  <c r="FF137" i="3" s="1"/>
  <c r="BP137" i="3"/>
  <c r="BB129" i="9" s="1"/>
  <c r="BP135" i="3"/>
  <c r="BQ135" i="3"/>
  <c r="FF135" i="3" s="1" a="1"/>
  <c r="FF135" i="3" s="1"/>
  <c r="CB57" i="3"/>
  <c r="CC57" i="3" s="1"/>
  <c r="CB66" i="3"/>
  <c r="CC66" i="3" s="1"/>
  <c r="CB149" i="3"/>
  <c r="CC149" i="3" s="1"/>
  <c r="CB147" i="3"/>
  <c r="CC147" i="3" s="1"/>
  <c r="CB142" i="3"/>
  <c r="CC142" i="3" s="1"/>
  <c r="CB185" i="3"/>
  <c r="CC185" i="3" s="1"/>
  <c r="CB221" i="3"/>
  <c r="CC221" i="3" s="1"/>
  <c r="CB243" i="3"/>
  <c r="CC243" i="3" s="1"/>
  <c r="CB238" i="3"/>
  <c r="CC238" i="3" s="1"/>
  <c r="CB229" i="3"/>
  <c r="CC229" i="3" s="1"/>
  <c r="CB162" i="3"/>
  <c r="CC162" i="3" s="1"/>
  <c r="CB214" i="3"/>
  <c r="CC214" i="3" s="1"/>
  <c r="CB233" i="3"/>
  <c r="CC233" i="3" s="1"/>
  <c r="CB175" i="3"/>
  <c r="CC175" i="3" s="1"/>
  <c r="CB204" i="3"/>
  <c r="CC204" i="3" s="1"/>
  <c r="CB178" i="3"/>
  <c r="CC178" i="3" s="1"/>
  <c r="CB255" i="3"/>
  <c r="CC255" i="3" s="1"/>
  <c r="CB215" i="3"/>
  <c r="CC215" i="3" s="1"/>
  <c r="CB254" i="3"/>
  <c r="CC254" i="3" s="1"/>
  <c r="BP79" i="3"/>
  <c r="BQ79" i="3"/>
  <c r="FF79" i="3" s="1" a="1"/>
  <c r="FF79" i="3" s="1"/>
  <c r="BQ104" i="3"/>
  <c r="FF104" i="3" s="1" a="1"/>
  <c r="FF104" i="3" s="1"/>
  <c r="BP104" i="3"/>
  <c r="BQ133" i="3"/>
  <c r="FF133" i="3" s="1" a="1"/>
  <c r="FF133" i="3" s="1"/>
  <c r="BP133" i="3"/>
  <c r="BP130" i="3"/>
  <c r="BQ130" i="3"/>
  <c r="FF130" i="3" s="1" a="1"/>
  <c r="FF130" i="3" s="1"/>
  <c r="BP128" i="3"/>
  <c r="BQ128" i="3"/>
  <c r="FF128" i="3" s="1" a="1"/>
  <c r="FF128" i="3" s="1"/>
  <c r="BQ87" i="3"/>
  <c r="FF87" i="3" s="1" a="1"/>
  <c r="FF87" i="3" s="1"/>
  <c r="BP87" i="3"/>
  <c r="BP75" i="3"/>
  <c r="BQ75" i="3"/>
  <c r="FF75" i="3" s="1" a="1"/>
  <c r="FF75" i="3" s="1"/>
  <c r="BQ97" i="3"/>
  <c r="FF97" i="3" s="1" a="1"/>
  <c r="FF97" i="3" s="1"/>
  <c r="BP97" i="3"/>
  <c r="CB70" i="3"/>
  <c r="CC70" i="3" s="1"/>
  <c r="CB65" i="3"/>
  <c r="CC65" i="3" s="1"/>
  <c r="CB52" i="3"/>
  <c r="CC52" i="3" s="1"/>
  <c r="CB143" i="3"/>
  <c r="CC143" i="3" s="1"/>
  <c r="CB150" i="3"/>
  <c r="CC150" i="3" s="1"/>
  <c r="CB152" i="3"/>
  <c r="CC152" i="3" s="1"/>
  <c r="CB155" i="3"/>
  <c r="CC155" i="3" s="1"/>
  <c r="CB252" i="3"/>
  <c r="CC252" i="3" s="1"/>
  <c r="CB179" i="3"/>
  <c r="CC179" i="3" s="1"/>
  <c r="CB242" i="3"/>
  <c r="CC242" i="3" s="1"/>
  <c r="CB259" i="3"/>
  <c r="CC259" i="3" s="1"/>
  <c r="CB195" i="3"/>
  <c r="CC195" i="3" s="1"/>
  <c r="CB244" i="3"/>
  <c r="CC244" i="3" s="1"/>
  <c r="CB170" i="3"/>
  <c r="CC170" i="3" s="1"/>
  <c r="CB208" i="3"/>
  <c r="CC208" i="3" s="1"/>
  <c r="CB235" i="3"/>
  <c r="CC235" i="3" s="1"/>
  <c r="CB220" i="3"/>
  <c r="CC220" i="3" s="1"/>
  <c r="CB166" i="3"/>
  <c r="CC166" i="3" s="1"/>
  <c r="CB207" i="3"/>
  <c r="CC207" i="3" s="1"/>
  <c r="CB256" i="3"/>
  <c r="CC256" i="3" s="1"/>
  <c r="BP132" i="3"/>
  <c r="BQ132" i="3"/>
  <c r="FF132" i="3" s="1" a="1"/>
  <c r="FF132" i="3" s="1"/>
  <c r="BP134" i="3"/>
  <c r="BQ134" i="3"/>
  <c r="FF134" i="3" s="1" a="1"/>
  <c r="FF134" i="3" s="1"/>
  <c r="BQ103" i="3"/>
  <c r="FF103" i="3" s="1" a="1"/>
  <c r="FF103" i="3" s="1"/>
  <c r="BP103" i="3"/>
  <c r="BP122" i="3"/>
  <c r="BQ122" i="3"/>
  <c r="FF122" i="3" s="1" a="1"/>
  <c r="FF122" i="3" s="1"/>
  <c r="BP127" i="3"/>
  <c r="BQ127" i="3"/>
  <c r="FF127" i="3" s="1" a="1"/>
  <c r="FF127" i="3" s="1"/>
  <c r="BP119" i="3"/>
  <c r="BQ119" i="3"/>
  <c r="FF119" i="3" s="1" a="1"/>
  <c r="FF119" i="3" s="1"/>
  <c r="BQ76" i="3"/>
  <c r="FF76" i="3" s="1" a="1"/>
  <c r="FF76" i="3" s="1"/>
  <c r="BP76" i="3"/>
  <c r="BP80" i="3"/>
  <c r="BQ80" i="3"/>
  <c r="FF80" i="3" s="1" a="1"/>
  <c r="FF80" i="3" s="1"/>
  <c r="BP78" i="3"/>
  <c r="BQ78" i="3"/>
  <c r="FF78" i="3" s="1" a="1"/>
  <c r="FF78" i="3" s="1"/>
  <c r="CB63" i="3"/>
  <c r="CC63" i="3" s="1"/>
  <c r="CB67" i="3"/>
  <c r="CC67" i="3" s="1"/>
  <c r="CB81" i="3"/>
  <c r="CC81" i="3" s="1"/>
  <c r="CB146" i="3"/>
  <c r="CC146" i="3" s="1"/>
  <c r="CB83" i="3"/>
  <c r="CC83" i="3" s="1"/>
  <c r="CB154" i="3"/>
  <c r="CC154" i="3" s="1"/>
  <c r="CB165" i="3"/>
  <c r="CC165" i="3" s="1"/>
  <c r="CB201" i="3"/>
  <c r="CC201" i="3" s="1"/>
  <c r="CB200" i="3"/>
  <c r="CC200" i="3" s="1"/>
  <c r="CB217" i="3"/>
  <c r="CC217" i="3" s="1"/>
  <c r="CB226" i="3"/>
  <c r="CC226" i="3" s="1"/>
  <c r="CB199" i="3"/>
  <c r="CC199" i="3" s="1"/>
  <c r="CB219" i="3"/>
  <c r="CC219" i="3" s="1"/>
  <c r="CB213" i="3"/>
  <c r="CC213" i="3" s="1"/>
  <c r="CB250" i="3"/>
  <c r="CC250" i="3" s="1"/>
  <c r="CB167" i="3"/>
  <c r="CC167" i="3" s="1"/>
  <c r="CB171" i="3"/>
  <c r="CC171" i="3" s="1"/>
  <c r="CB161" i="3"/>
  <c r="CC161" i="3" s="1"/>
  <c r="CB257" i="3"/>
  <c r="CC257" i="3" s="1"/>
  <c r="BQ121" i="3"/>
  <c r="FF121" i="3" s="1" a="1"/>
  <c r="FF121" i="3" s="1"/>
  <c r="BP121" i="3"/>
  <c r="BP95" i="3"/>
  <c r="BQ95" i="3"/>
  <c r="FF95" i="3" s="1" a="1"/>
  <c r="FF95" i="3" s="1"/>
  <c r="CB72" i="3"/>
  <c r="CC72" i="3" s="1"/>
  <c r="CB69" i="3"/>
  <c r="CC69" i="3" s="1"/>
  <c r="CB59" i="3"/>
  <c r="CC59" i="3" s="1"/>
  <c r="CB85" i="3"/>
  <c r="CC85" i="3" s="1"/>
  <c r="CB181" i="3"/>
  <c r="CC181" i="3" s="1"/>
  <c r="CB159" i="3"/>
  <c r="CC159" i="3" s="1"/>
  <c r="CB197" i="3"/>
  <c r="CC197" i="3" s="1"/>
  <c r="CB231" i="3"/>
  <c r="CC231" i="3" s="1"/>
  <c r="CB193" i="3"/>
  <c r="CC193" i="3" s="1"/>
  <c r="CB247" i="3"/>
  <c r="CC247" i="3" s="1"/>
  <c r="CB157" i="3"/>
  <c r="CC157" i="3" s="1"/>
  <c r="CB189" i="3"/>
  <c r="CC189" i="3" s="1"/>
  <c r="CB182" i="3"/>
  <c r="CC182" i="3" s="1"/>
  <c r="CB211" i="3"/>
  <c r="CC211" i="3" s="1"/>
  <c r="CB245" i="3"/>
  <c r="CC245" i="3" s="1"/>
  <c r="CB258" i="3"/>
  <c r="CC258" i="3" s="1"/>
  <c r="CB176" i="3"/>
  <c r="CC176" i="3" s="1"/>
  <c r="CB222" i="3"/>
  <c r="CC222" i="3" s="1"/>
  <c r="CB203" i="3"/>
  <c r="CC203" i="3" s="1"/>
  <c r="CB55" i="3"/>
  <c r="CC55" i="3" s="1"/>
  <c r="CB53" i="3"/>
  <c r="CC53" i="3" s="1"/>
  <c r="CB61" i="3"/>
  <c r="CC61" i="3" s="1"/>
  <c r="CB54" i="3"/>
  <c r="CC54" i="3" s="1"/>
  <c r="CB60" i="3"/>
  <c r="CC60" i="3" s="1"/>
  <c r="CB62" i="3"/>
  <c r="CC62" i="3" s="1"/>
  <c r="CB50" i="3"/>
  <c r="CC50" i="3" s="1"/>
  <c r="CB47" i="3"/>
  <c r="CC47" i="3" s="1"/>
  <c r="CB43" i="3"/>
  <c r="CC43" i="3" s="1"/>
  <c r="CB49" i="3"/>
  <c r="CC49" i="3" s="1"/>
  <c r="BJ11" i="3"/>
  <c r="BL11" i="3" s="1"/>
  <c r="BP11" i="3"/>
  <c r="CB45" i="3"/>
  <c r="CC45" i="3" s="1"/>
  <c r="CB48" i="3"/>
  <c r="CC48" i="3" s="1"/>
  <c r="CB46" i="3"/>
  <c r="CC46" i="3" s="1"/>
  <c r="CB44" i="3"/>
  <c r="CC44" i="3" s="1"/>
  <c r="BI11" i="3"/>
  <c r="AT11" i="3"/>
  <c r="AU11" i="3" s="1"/>
  <c r="CB30" i="3"/>
  <c r="CC30" i="3" s="1"/>
  <c r="CB40" i="3"/>
  <c r="CC40" i="3" s="1"/>
  <c r="CB29" i="3"/>
  <c r="CC29" i="3" s="1"/>
  <c r="CB35" i="3"/>
  <c r="CC35" i="3" s="1"/>
  <c r="CB20" i="3"/>
  <c r="CC20" i="3" s="1"/>
  <c r="CB38" i="3"/>
  <c r="CC38" i="3" s="1"/>
  <c r="CB24" i="3"/>
  <c r="CC24" i="3" s="1"/>
  <c r="CB33" i="3"/>
  <c r="CC33" i="3" s="1"/>
  <c r="CB42" i="3"/>
  <c r="CC42" i="3" s="1"/>
  <c r="CB25" i="3"/>
  <c r="CC25" i="3" s="1"/>
  <c r="CB39" i="3"/>
  <c r="CC39" i="3" s="1"/>
  <c r="CB28" i="3"/>
  <c r="CC28" i="3" s="1"/>
  <c r="CB18" i="3"/>
  <c r="CC18" i="3" s="1"/>
  <c r="CB17" i="3"/>
  <c r="CC17" i="3" s="1"/>
  <c r="CB27" i="3"/>
  <c r="CC27" i="3" s="1"/>
  <c r="CB34" i="3"/>
  <c r="CC34" i="3" s="1"/>
  <c r="CB31" i="3"/>
  <c r="CC31" i="3" s="1"/>
  <c r="CB23" i="3"/>
  <c r="CC23" i="3" s="1"/>
  <c r="CB19" i="3"/>
  <c r="CC19" i="3" s="1"/>
  <c r="CB36" i="3"/>
  <c r="CC36" i="3" s="1"/>
  <c r="CB41" i="3"/>
  <c r="CC41" i="3" s="1"/>
  <c r="CB13" i="3"/>
  <c r="CC13" i="3" s="1"/>
  <c r="CB16" i="3"/>
  <c r="CC16" i="3" s="1"/>
  <c r="CB37" i="3"/>
  <c r="CC37" i="3" s="1"/>
  <c r="CB14" i="3"/>
  <c r="CC14" i="3" s="1"/>
  <c r="CB21" i="3"/>
  <c r="CC21" i="3" s="1"/>
  <c r="CB22" i="3"/>
  <c r="CC22" i="3" s="1"/>
  <c r="CB26" i="3"/>
  <c r="CC26" i="3" s="1"/>
  <c r="CB32" i="3"/>
  <c r="CC32" i="3" s="1"/>
  <c r="BM11" i="3"/>
  <c r="P122" i="13"/>
  <c r="AO123" i="9"/>
  <c r="GC106" i="3"/>
  <c r="P97" i="13"/>
  <c r="AO98" i="9"/>
  <c r="P104" i="13"/>
  <c r="AO105" i="9"/>
  <c r="GC101" i="3"/>
  <c r="P92" i="13"/>
  <c r="AO93" i="9"/>
  <c r="P115" i="13"/>
  <c r="AO116" i="9"/>
  <c r="P105" i="13"/>
  <c r="GC114" i="3"/>
  <c r="AO106" i="9"/>
  <c r="P109" i="13"/>
  <c r="AO110" i="9"/>
  <c r="P111" i="13"/>
  <c r="AO112" i="9"/>
  <c r="P120" i="13"/>
  <c r="AO121" i="9"/>
  <c r="P73" i="13"/>
  <c r="AO74" i="9"/>
  <c r="P89" i="13"/>
  <c r="GC98" i="3"/>
  <c r="AO90" i="9"/>
  <c r="P128" i="13"/>
  <c r="CD137" i="3"/>
  <c r="EK137" i="3" s="1"/>
  <c r="GC96" i="3"/>
  <c r="P87" i="13"/>
  <c r="AO88" i="9"/>
  <c r="P126" i="13"/>
  <c r="GC135" i="3"/>
  <c r="AO127" i="9"/>
  <c r="P100" i="13"/>
  <c r="GC109" i="3"/>
  <c r="AO101" i="9"/>
  <c r="GC104" i="3"/>
  <c r="P95" i="13"/>
  <c r="AO96" i="9"/>
  <c r="P93" i="13"/>
  <c r="AO94" i="9"/>
  <c r="P124" i="13"/>
  <c r="GC133" i="3"/>
  <c r="AO125" i="9"/>
  <c r="P106" i="13"/>
  <c r="AO107" i="9"/>
  <c r="P121" i="13"/>
  <c r="AO122" i="9"/>
  <c r="P117" i="13"/>
  <c r="AO118" i="9"/>
  <c r="P119" i="13"/>
  <c r="AO120" i="9"/>
  <c r="P101" i="13"/>
  <c r="AO102" i="9"/>
  <c r="P78" i="13"/>
  <c r="AO79" i="9"/>
  <c r="GC93" i="3"/>
  <c r="P84" i="13"/>
  <c r="AO85" i="9"/>
  <c r="P66" i="13"/>
  <c r="AO67" i="9"/>
  <c r="P79" i="13"/>
  <c r="AO80" i="9"/>
  <c r="GC97" i="3"/>
  <c r="P88" i="13"/>
  <c r="AO89" i="9"/>
  <c r="P108" i="13"/>
  <c r="AO109" i="9"/>
  <c r="GC103" i="3"/>
  <c r="P94" i="13"/>
  <c r="AO95" i="9"/>
  <c r="GC100" i="3"/>
  <c r="P91" i="13"/>
  <c r="AO92" i="9"/>
  <c r="P113" i="13"/>
  <c r="AO114" i="9"/>
  <c r="GC99" i="3"/>
  <c r="P90" i="13"/>
  <c r="AO91" i="9"/>
  <c r="P118" i="13"/>
  <c r="AO119" i="9"/>
  <c r="P107" i="13"/>
  <c r="AO108" i="9"/>
  <c r="P110" i="13"/>
  <c r="AO111" i="9"/>
  <c r="P64" i="13"/>
  <c r="AO65" i="9"/>
  <c r="P67" i="13"/>
  <c r="AO68" i="9"/>
  <c r="P85" i="13"/>
  <c r="AO86" i="9"/>
  <c r="P71" i="13"/>
  <c r="AO72" i="9"/>
  <c r="P68" i="13"/>
  <c r="AO69" i="9"/>
  <c r="P69" i="13"/>
  <c r="AO70" i="9"/>
  <c r="P98" i="13"/>
  <c r="AO99" i="9"/>
  <c r="P116" i="13"/>
  <c r="AO117" i="9"/>
  <c r="GC111" i="3"/>
  <c r="P102" i="13"/>
  <c r="AO103" i="9"/>
  <c r="GC132" i="3"/>
  <c r="P123" i="13"/>
  <c r="AO124" i="9"/>
  <c r="P99" i="13"/>
  <c r="AO100" i="9"/>
  <c r="P114" i="13"/>
  <c r="AO115" i="9"/>
  <c r="P112" i="13"/>
  <c r="AO113" i="9"/>
  <c r="P103" i="13"/>
  <c r="AO104" i="9"/>
  <c r="GC105" i="3"/>
  <c r="P96" i="13"/>
  <c r="AO97" i="9"/>
  <c r="P70" i="13"/>
  <c r="AO71" i="9"/>
  <c r="P65" i="13"/>
  <c r="AO66" i="9"/>
  <c r="GC134" i="3"/>
  <c r="P125" i="13"/>
  <c r="AO126" i="9"/>
  <c r="P83" i="13"/>
  <c r="GC92" i="3"/>
  <c r="AO84" i="9"/>
  <c r="P77" i="13"/>
  <c r="AO78" i="9"/>
  <c r="GC95" i="3"/>
  <c r="P86" i="13"/>
  <c r="AO87" i="9"/>
  <c r="K2" i="13"/>
  <c r="F2" i="13"/>
  <c r="P5" i="13"/>
  <c r="P6" i="13"/>
  <c r="P4" i="13"/>
  <c r="L261" i="3"/>
  <c r="CA12" i="3" l="1"/>
  <c r="BY12" i="3" s="1"/>
  <c r="CC12" i="3" s="1"/>
  <c r="GC11" i="3"/>
  <c r="GQ95" i="3"/>
  <c r="GQ119" i="3"/>
  <c r="GQ134" i="3"/>
  <c r="GQ112" i="3"/>
  <c r="GQ123" i="3"/>
  <c r="GQ117" i="3"/>
  <c r="GQ126" i="3"/>
  <c r="GQ92" i="3"/>
  <c r="GQ129" i="3"/>
  <c r="GQ131" i="3"/>
  <c r="GQ87" i="3"/>
  <c r="GQ104" i="3"/>
  <c r="GQ120" i="3"/>
  <c r="GQ73" i="3"/>
  <c r="GQ78" i="3"/>
  <c r="GQ127" i="3"/>
  <c r="GQ132" i="3"/>
  <c r="GQ128" i="3"/>
  <c r="GQ79" i="3"/>
  <c r="GQ135" i="3"/>
  <c r="GQ114" i="3"/>
  <c r="GQ125" i="3"/>
  <c r="GQ74" i="3"/>
  <c r="GQ88" i="3"/>
  <c r="GQ118" i="3"/>
  <c r="GQ105" i="3"/>
  <c r="GQ121" i="3"/>
  <c r="GQ116" i="3"/>
  <c r="GQ115" i="3"/>
  <c r="GQ111" i="3"/>
  <c r="GQ80" i="3"/>
  <c r="GQ122" i="3"/>
  <c r="GQ130" i="3"/>
  <c r="GQ101" i="3"/>
  <c r="GQ77" i="3"/>
  <c r="GQ97" i="3"/>
  <c r="GQ137" i="3"/>
  <c r="GQ99" i="3"/>
  <c r="GQ93" i="3"/>
  <c r="GQ102" i="3"/>
  <c r="GQ96" i="3"/>
  <c r="GQ124" i="3"/>
  <c r="GQ108" i="3"/>
  <c r="GQ75" i="3"/>
  <c r="GQ82" i="3"/>
  <c r="GQ106" i="3"/>
  <c r="GQ94" i="3"/>
  <c r="GQ100" i="3"/>
  <c r="GQ109" i="3"/>
  <c r="GQ113" i="3"/>
  <c r="GQ76" i="3"/>
  <c r="GQ103" i="3"/>
  <c r="GQ133" i="3"/>
  <c r="GQ86" i="3"/>
  <c r="GQ110" i="3"/>
  <c r="GQ98" i="3"/>
  <c r="GQ107" i="3"/>
  <c r="BJ261" i="3"/>
  <c r="FH261" i="3"/>
  <c r="BX11" i="3"/>
  <c r="FW137" i="3"/>
  <c r="EB137" i="3"/>
  <c r="EL137" i="3"/>
  <c r="EM137" i="3"/>
  <c r="EN137" i="3"/>
  <c r="EO137" i="3"/>
  <c r="DT137" i="3"/>
  <c r="DR137" i="3"/>
  <c r="DS137" i="3"/>
  <c r="DQ137" i="3"/>
  <c r="CW137" i="3"/>
  <c r="CV137" i="3"/>
  <c r="FL137" i="3"/>
  <c r="CU137" i="3"/>
  <c r="FI137" i="3"/>
  <c r="CT137" i="3"/>
  <c r="FK137" i="3"/>
  <c r="FJ137" i="3"/>
  <c r="ET137" i="3"/>
  <c r="EU137" i="3"/>
  <c r="EV137" i="3"/>
  <c r="EW137" i="3"/>
  <c r="EX137" i="3"/>
  <c r="EY137" i="3"/>
  <c r="EZ137" i="3"/>
  <c r="FA137" i="3"/>
  <c r="EP137" i="3"/>
  <c r="FB137" i="3"/>
  <c r="EQ137" i="3"/>
  <c r="FC137" i="3"/>
  <c r="ER137" i="3"/>
  <c r="ES137" i="3"/>
  <c r="FD137" i="3"/>
  <c r="DP137" i="3"/>
  <c r="EC137" i="3"/>
  <c r="EE137" i="3"/>
  <c r="EF137" i="3"/>
  <c r="DU137" i="3"/>
  <c r="EH137" i="3"/>
  <c r="DW137" i="3"/>
  <c r="DV137" i="3"/>
  <c r="DZ137" i="3"/>
  <c r="EA137" i="3"/>
  <c r="ED137" i="3"/>
  <c r="DY137" i="3"/>
  <c r="DX137" i="3"/>
  <c r="EG137" i="3"/>
  <c r="EI137" i="3"/>
  <c r="CZ137" i="3"/>
  <c r="DL137" i="3"/>
  <c r="DC137" i="3"/>
  <c r="DD137" i="3"/>
  <c r="DE137" i="3"/>
  <c r="DF137" i="3"/>
  <c r="DI137" i="3"/>
  <c r="CX137" i="3"/>
  <c r="CY137" i="3"/>
  <c r="DA137" i="3"/>
  <c r="DB137" i="3"/>
  <c r="DG137" i="3"/>
  <c r="DH137" i="3"/>
  <c r="DJ137" i="3"/>
  <c r="DK137" i="3"/>
  <c r="DM137" i="3"/>
  <c r="DN137" i="3"/>
  <c r="FU137" i="3"/>
  <c r="FV137" i="3"/>
  <c r="FX137" i="3"/>
  <c r="FM137" i="3"/>
  <c r="FY137" i="3"/>
  <c r="FN137" i="3"/>
  <c r="FZ137" i="3"/>
  <c r="FO137" i="3"/>
  <c r="GA137" i="3"/>
  <c r="FP137" i="3"/>
  <c r="FQ137" i="3"/>
  <c r="FT137" i="3"/>
  <c r="FR137" i="3"/>
  <c r="FS137" i="3"/>
  <c r="BM261" i="3"/>
  <c r="BO11" i="3"/>
  <c r="BO261" i="3" s="1"/>
  <c r="CD95" i="3"/>
  <c r="EK95" i="3" s="1"/>
  <c r="BB87" i="9"/>
  <c r="CD86" i="3"/>
  <c r="EK86" i="3" s="1"/>
  <c r="BB78" i="9"/>
  <c r="GD134" i="3"/>
  <c r="GD74" i="3"/>
  <c r="CD79" i="3"/>
  <c r="EK79" i="3" s="1"/>
  <c r="BB71" i="9"/>
  <c r="BB97" i="9"/>
  <c r="CD105" i="3"/>
  <c r="EK105" i="3" s="1"/>
  <c r="GD112" i="3"/>
  <c r="CD112" i="3"/>
  <c r="EK112" i="3" s="1"/>
  <c r="BB104" i="9"/>
  <c r="GD121" i="3"/>
  <c r="CD123" i="3"/>
  <c r="EK123" i="3" s="1"/>
  <c r="BB115" i="9"/>
  <c r="CD132" i="3"/>
  <c r="EK132" i="3" s="1"/>
  <c r="BB124" i="9"/>
  <c r="BB103" i="9"/>
  <c r="CD111" i="3"/>
  <c r="EK111" i="3" s="1"/>
  <c r="GD125" i="3"/>
  <c r="GD107" i="3"/>
  <c r="BB70" i="9"/>
  <c r="CD78" i="3"/>
  <c r="EK78" i="3" s="1"/>
  <c r="CD77" i="3"/>
  <c r="EK77" i="3" s="1"/>
  <c r="BB69" i="9"/>
  <c r="CD76" i="3"/>
  <c r="EK76" i="3" s="1"/>
  <c r="BB68" i="9"/>
  <c r="CD73" i="3"/>
  <c r="EK73" i="3" s="1"/>
  <c r="BB65" i="9"/>
  <c r="BP261" i="3"/>
  <c r="BW267" i="3"/>
  <c r="CD119" i="3"/>
  <c r="EK119" i="3" s="1"/>
  <c r="BB111" i="9"/>
  <c r="CD99" i="3"/>
  <c r="EK99" i="3" s="1"/>
  <c r="BB91" i="9"/>
  <c r="CD122" i="3"/>
  <c r="EK122" i="3" s="1"/>
  <c r="BB114" i="9"/>
  <c r="CD100" i="3"/>
  <c r="EK100" i="3" s="1"/>
  <c r="BB92" i="9"/>
  <c r="GD103" i="3"/>
  <c r="CD97" i="3"/>
  <c r="EK97" i="3" s="1"/>
  <c r="BB89" i="9"/>
  <c r="CD88" i="3"/>
  <c r="EK88" i="3" s="1"/>
  <c r="BB80" i="9"/>
  <c r="GD93" i="3"/>
  <c r="CD110" i="3"/>
  <c r="EK110" i="3" s="1"/>
  <c r="GD110" i="3"/>
  <c r="BB102" i="9"/>
  <c r="GD128" i="3"/>
  <c r="GD126" i="3"/>
  <c r="GD130" i="3"/>
  <c r="GD115" i="3"/>
  <c r="CD102" i="3"/>
  <c r="EK102" i="3" s="1"/>
  <c r="BB94" i="9"/>
  <c r="GD104" i="3"/>
  <c r="CD96" i="3"/>
  <c r="EK96" i="3" s="1"/>
  <c r="BB88" i="9"/>
  <c r="GD137" i="3"/>
  <c r="CD98" i="3"/>
  <c r="EK98" i="3" s="1"/>
  <c r="BB90" i="9"/>
  <c r="GD120" i="3"/>
  <c r="CD114" i="3"/>
  <c r="EK114" i="3" s="1"/>
  <c r="BB106" i="9"/>
  <c r="CD131" i="3"/>
  <c r="EK131" i="3" s="1"/>
  <c r="BB123" i="9"/>
  <c r="GD92" i="3"/>
  <c r="CD121" i="3"/>
  <c r="EK121" i="3" s="1"/>
  <c r="BB113" i="9"/>
  <c r="GD123" i="3"/>
  <c r="BB99" i="9"/>
  <c r="CD107" i="3"/>
  <c r="EK107" i="3" s="1"/>
  <c r="GD78" i="3"/>
  <c r="GD80" i="3"/>
  <c r="GD94" i="3"/>
  <c r="GD76" i="3"/>
  <c r="GD119" i="3"/>
  <c r="CD127" i="3"/>
  <c r="EK127" i="3" s="1"/>
  <c r="BB119" i="9"/>
  <c r="GD100" i="3"/>
  <c r="GD97" i="3"/>
  <c r="GD75" i="3"/>
  <c r="GD87" i="3"/>
  <c r="BB107" i="9"/>
  <c r="CD115" i="3"/>
  <c r="EK115" i="3" s="1"/>
  <c r="GD133" i="3"/>
  <c r="CD109" i="3"/>
  <c r="EK109" i="3" s="1"/>
  <c r="BB101" i="9"/>
  <c r="GD135" i="3"/>
  <c r="CS137" i="3"/>
  <c r="GD98" i="3"/>
  <c r="CD82" i="3"/>
  <c r="EK82" i="3" s="1"/>
  <c r="BB74" i="9"/>
  <c r="GD129" i="3"/>
  <c r="GD118" i="3"/>
  <c r="GD124" i="3"/>
  <c r="GD101" i="3"/>
  <c r="CD106" i="3"/>
  <c r="EK106" i="3" s="1"/>
  <c r="BB98" i="9"/>
  <c r="GD131" i="3"/>
  <c r="GD95" i="3"/>
  <c r="GD86" i="3"/>
  <c r="CD92" i="3"/>
  <c r="EK92" i="3" s="1"/>
  <c r="BB84" i="9"/>
  <c r="CD134" i="3"/>
  <c r="EK134" i="3" s="1"/>
  <c r="BB126" i="9"/>
  <c r="CD74" i="3"/>
  <c r="EK74" i="3" s="1"/>
  <c r="BB66" i="9"/>
  <c r="GD79" i="3"/>
  <c r="GD105" i="3"/>
  <c r="BW266" i="3"/>
  <c r="GD108" i="3"/>
  <c r="CD108" i="3"/>
  <c r="EK108" i="3" s="1"/>
  <c r="BB100" i="9"/>
  <c r="GD132" i="3"/>
  <c r="GD111" i="3"/>
  <c r="CD125" i="3"/>
  <c r="EK125" i="3" s="1"/>
  <c r="BB117" i="9"/>
  <c r="GD77" i="3"/>
  <c r="CD80" i="3"/>
  <c r="EK80" i="3" s="1"/>
  <c r="BB72" i="9"/>
  <c r="BB86" i="9"/>
  <c r="CD94" i="3"/>
  <c r="EK94" i="3" s="1"/>
  <c r="GD73" i="3"/>
  <c r="BQ261" i="3"/>
  <c r="GD116" i="3"/>
  <c r="CD116" i="3"/>
  <c r="EK116" i="3" s="1"/>
  <c r="BB108" i="9"/>
  <c r="GD127" i="3"/>
  <c r="GD99" i="3"/>
  <c r="GD122" i="3"/>
  <c r="BB95" i="9"/>
  <c r="CD103" i="3"/>
  <c r="EK103" i="3" s="1"/>
  <c r="CD117" i="3"/>
  <c r="EK117" i="3" s="1"/>
  <c r="GD117" i="3"/>
  <c r="BB109" i="9"/>
  <c r="GD88" i="3"/>
  <c r="BB67" i="9"/>
  <c r="CD75" i="3"/>
  <c r="EK75" i="3" s="1"/>
  <c r="CD93" i="3"/>
  <c r="EK93" i="3" s="1"/>
  <c r="BB85" i="9"/>
  <c r="CD87" i="3"/>
  <c r="EK87" i="3" s="1"/>
  <c r="BB79" i="9"/>
  <c r="CD128" i="3"/>
  <c r="EK128" i="3" s="1"/>
  <c r="BB120" i="9"/>
  <c r="CD126" i="3"/>
  <c r="EK126" i="3" s="1"/>
  <c r="BB118" i="9"/>
  <c r="BB122" i="9"/>
  <c r="CD130" i="3"/>
  <c r="EK130" i="3" s="1"/>
  <c r="CD133" i="3"/>
  <c r="EK133" i="3" s="1"/>
  <c r="BB125" i="9"/>
  <c r="GD102" i="3"/>
  <c r="BB96" i="9"/>
  <c r="CD104" i="3"/>
  <c r="EK104" i="3" s="1"/>
  <c r="GD109" i="3"/>
  <c r="CD135" i="3"/>
  <c r="EK135" i="3" s="1"/>
  <c r="BB127" i="9"/>
  <c r="GD96" i="3"/>
  <c r="GD82" i="3"/>
  <c r="CD129" i="3"/>
  <c r="EK129" i="3" s="1"/>
  <c r="BB121" i="9"/>
  <c r="CD120" i="3"/>
  <c r="EK120" i="3" s="1"/>
  <c r="BB112" i="9"/>
  <c r="CD118" i="3"/>
  <c r="EK118" i="3" s="1"/>
  <c r="BB110" i="9"/>
  <c r="GD114" i="3"/>
  <c r="CD124" i="3"/>
  <c r="EK124" i="3" s="1"/>
  <c r="BB116" i="9"/>
  <c r="BB93" i="9"/>
  <c r="CD101" i="3"/>
  <c r="EK101" i="3" s="1"/>
  <c r="GD113" i="3"/>
  <c r="BB105" i="9"/>
  <c r="CD113" i="3"/>
  <c r="EK113" i="3" s="1"/>
  <c r="GD106" i="3"/>
  <c r="CD11" i="3"/>
  <c r="GD11" i="3"/>
  <c r="AO7" i="9"/>
  <c r="AO5" i="9"/>
  <c r="R261" i="3"/>
  <c r="AT261" i="3"/>
  <c r="CB137" i="3" l="1"/>
  <c r="CC137" i="3" s="1"/>
  <c r="BX261" i="3"/>
  <c r="EK11" i="3"/>
  <c r="ES11" i="3"/>
  <c r="FA11" i="3"/>
  <c r="DT11" i="3"/>
  <c r="EB11" i="3"/>
  <c r="CS11" i="3"/>
  <c r="DA11" i="3"/>
  <c r="DI11" i="3"/>
  <c r="EL11" i="3"/>
  <c r="ET11" i="3"/>
  <c r="FB11" i="3"/>
  <c r="DU11" i="3"/>
  <c r="EC11" i="3"/>
  <c r="CT11" i="3"/>
  <c r="DB11" i="3"/>
  <c r="EU11" i="3"/>
  <c r="DV11" i="3"/>
  <c r="DC11" i="3"/>
  <c r="DK11" i="3"/>
  <c r="FD11" i="3"/>
  <c r="CV11" i="3"/>
  <c r="EW11" i="3"/>
  <c r="DX11" i="3"/>
  <c r="DM11" i="3"/>
  <c r="EP11" i="3"/>
  <c r="EX11" i="3"/>
  <c r="DQ11" i="3"/>
  <c r="DY11" i="3"/>
  <c r="EG11" i="3"/>
  <c r="CX11" i="3"/>
  <c r="DF11" i="3"/>
  <c r="DN11" i="3"/>
  <c r="DG11" i="3"/>
  <c r="ER11" i="3"/>
  <c r="EZ11" i="3"/>
  <c r="EA11" i="3"/>
  <c r="CZ11" i="3"/>
  <c r="DJ11" i="3"/>
  <c r="FC11" i="3"/>
  <c r="CU11" i="3"/>
  <c r="EN11" i="3"/>
  <c r="DW11" i="3"/>
  <c r="DD11" i="3"/>
  <c r="EO11" i="3"/>
  <c r="DP11" i="3"/>
  <c r="DE11" i="3"/>
  <c r="EQ11" i="3"/>
  <c r="EY11" i="3"/>
  <c r="DR11" i="3"/>
  <c r="DZ11" i="3"/>
  <c r="EH11" i="3"/>
  <c r="CY11" i="3"/>
  <c r="DS11" i="3"/>
  <c r="EI11" i="3"/>
  <c r="DH11" i="3"/>
  <c r="EM11" i="3"/>
  <c r="ED11" i="3"/>
  <c r="EV11" i="3"/>
  <c r="EE11" i="3"/>
  <c r="DL11" i="3"/>
  <c r="EF11" i="3"/>
  <c r="CW11" i="3"/>
  <c r="FW80" i="3"/>
  <c r="FW103" i="3"/>
  <c r="FW125" i="3"/>
  <c r="FW115" i="3"/>
  <c r="FW118" i="3"/>
  <c r="FW135" i="3"/>
  <c r="FW93" i="3"/>
  <c r="FW82" i="3"/>
  <c r="FW121" i="3"/>
  <c r="FW98" i="3"/>
  <c r="FW88" i="3"/>
  <c r="FW111" i="3"/>
  <c r="FW112" i="3"/>
  <c r="FW128" i="3"/>
  <c r="FW124" i="3"/>
  <c r="FW75" i="3"/>
  <c r="FW94" i="3"/>
  <c r="FW74" i="3"/>
  <c r="FW99" i="3"/>
  <c r="FW76" i="3"/>
  <c r="FW86" i="3"/>
  <c r="FW113" i="3"/>
  <c r="FW122" i="3"/>
  <c r="FW120" i="3"/>
  <c r="FW126" i="3"/>
  <c r="FW106" i="3"/>
  <c r="FW97" i="3"/>
  <c r="FW105" i="3"/>
  <c r="FW130" i="3"/>
  <c r="FW73" i="3"/>
  <c r="FW101" i="3"/>
  <c r="FW104" i="3"/>
  <c r="FW108" i="3"/>
  <c r="FW134" i="3"/>
  <c r="FW131" i="3"/>
  <c r="FW96" i="3"/>
  <c r="FW119" i="3"/>
  <c r="FW77" i="3"/>
  <c r="FW132" i="3"/>
  <c r="FW95" i="3"/>
  <c r="FW129" i="3"/>
  <c r="FW107" i="3"/>
  <c r="FW78" i="3"/>
  <c r="FW11" i="3"/>
  <c r="FW116" i="3"/>
  <c r="FW114" i="3"/>
  <c r="FW110" i="3"/>
  <c r="FW100" i="3"/>
  <c r="FW123" i="3"/>
  <c r="FW79" i="3"/>
  <c r="FW92" i="3"/>
  <c r="FW109" i="3"/>
  <c r="FW133" i="3"/>
  <c r="FW87" i="3"/>
  <c r="FW117" i="3"/>
  <c r="FW127" i="3"/>
  <c r="FW102" i="3"/>
  <c r="EB115" i="3"/>
  <c r="EL115" i="3"/>
  <c r="EM115" i="3"/>
  <c r="EN115" i="3"/>
  <c r="EO115" i="3"/>
  <c r="DR115" i="3"/>
  <c r="DT115" i="3"/>
  <c r="DS115" i="3"/>
  <c r="DQ115" i="3"/>
  <c r="CT115" i="3"/>
  <c r="CV115" i="3"/>
  <c r="FK115" i="3"/>
  <c r="CU115" i="3"/>
  <c r="CW115" i="3"/>
  <c r="FI115" i="3"/>
  <c r="FL115" i="3"/>
  <c r="FJ115" i="3"/>
  <c r="EB77" i="3"/>
  <c r="EL77" i="3"/>
  <c r="EM77" i="3"/>
  <c r="EN77" i="3"/>
  <c r="EO77" i="3"/>
  <c r="DT77" i="3"/>
  <c r="DR77" i="3"/>
  <c r="CT77" i="3"/>
  <c r="CV77" i="3"/>
  <c r="CW77" i="3"/>
  <c r="DQ77" i="3"/>
  <c r="CU77" i="3"/>
  <c r="FL77" i="3"/>
  <c r="DS77" i="3"/>
  <c r="FK77" i="3"/>
  <c r="FJ77" i="3"/>
  <c r="FI77" i="3"/>
  <c r="EB80" i="3"/>
  <c r="EL80" i="3"/>
  <c r="EM80" i="3"/>
  <c r="EN80" i="3"/>
  <c r="EO80" i="3"/>
  <c r="DT80" i="3"/>
  <c r="DR80" i="3"/>
  <c r="CT80" i="3"/>
  <c r="CV80" i="3"/>
  <c r="CW80" i="3"/>
  <c r="DS80" i="3"/>
  <c r="DQ80" i="3"/>
  <c r="CU80" i="3"/>
  <c r="FL80" i="3"/>
  <c r="FJ80" i="3"/>
  <c r="FI80" i="3"/>
  <c r="FK80" i="3"/>
  <c r="EB78" i="3"/>
  <c r="EL78" i="3"/>
  <c r="EM78" i="3"/>
  <c r="EO78" i="3"/>
  <c r="DQ78" i="3"/>
  <c r="EN78" i="3"/>
  <c r="DR78" i="3"/>
  <c r="DT78" i="3"/>
  <c r="CU78" i="3"/>
  <c r="CV78" i="3"/>
  <c r="DS78" i="3"/>
  <c r="CW78" i="3"/>
  <c r="CT78" i="3"/>
  <c r="FK78" i="3"/>
  <c r="FL78" i="3"/>
  <c r="FJ78" i="3"/>
  <c r="FI78" i="3"/>
  <c r="EB93" i="3"/>
  <c r="EL93" i="3"/>
  <c r="EM93" i="3"/>
  <c r="EO93" i="3"/>
  <c r="DQ93" i="3"/>
  <c r="DS93" i="3"/>
  <c r="CU93" i="3"/>
  <c r="DR93" i="3"/>
  <c r="CV93" i="3"/>
  <c r="DT93" i="3"/>
  <c r="EN93" i="3"/>
  <c r="CW93" i="3"/>
  <c r="CT93" i="3"/>
  <c r="FJ93" i="3"/>
  <c r="FK93" i="3"/>
  <c r="FL93" i="3"/>
  <c r="FI93" i="3"/>
  <c r="EB82" i="3"/>
  <c r="EL82" i="3"/>
  <c r="EM82" i="3"/>
  <c r="EN82" i="3"/>
  <c r="EO82" i="3"/>
  <c r="DR82" i="3"/>
  <c r="DS82" i="3"/>
  <c r="DT82" i="3"/>
  <c r="DQ82" i="3"/>
  <c r="CV82" i="3"/>
  <c r="CT82" i="3"/>
  <c r="FK82" i="3"/>
  <c r="CW82" i="3"/>
  <c r="FL82" i="3"/>
  <c r="CU82" i="3"/>
  <c r="FJ82" i="3"/>
  <c r="FI82" i="3"/>
  <c r="EB130" i="3"/>
  <c r="EL130" i="3"/>
  <c r="EM130" i="3"/>
  <c r="EN130" i="3"/>
  <c r="EO130" i="3"/>
  <c r="DR130" i="3"/>
  <c r="DS130" i="3"/>
  <c r="CT130" i="3"/>
  <c r="DT130" i="3"/>
  <c r="CU130" i="3"/>
  <c r="DQ130" i="3"/>
  <c r="CV130" i="3"/>
  <c r="FK130" i="3"/>
  <c r="FJ130" i="3"/>
  <c r="FL130" i="3"/>
  <c r="CW130" i="3"/>
  <c r="FI130" i="3"/>
  <c r="EB94" i="3"/>
  <c r="EL94" i="3"/>
  <c r="EM94" i="3"/>
  <c r="EN94" i="3"/>
  <c r="EO94" i="3"/>
  <c r="DR94" i="3"/>
  <c r="DS94" i="3"/>
  <c r="CW94" i="3"/>
  <c r="DT94" i="3"/>
  <c r="CT94" i="3"/>
  <c r="DQ94" i="3"/>
  <c r="CU94" i="3"/>
  <c r="CV94" i="3"/>
  <c r="FK94" i="3"/>
  <c r="FJ94" i="3"/>
  <c r="FL94" i="3"/>
  <c r="FI94" i="3"/>
  <c r="EB114" i="3"/>
  <c r="EL114" i="3"/>
  <c r="EM114" i="3"/>
  <c r="EO114" i="3"/>
  <c r="DQ114" i="3"/>
  <c r="EN114" i="3"/>
  <c r="DR114" i="3"/>
  <c r="CU114" i="3"/>
  <c r="DS114" i="3"/>
  <c r="CV114" i="3"/>
  <c r="DT114" i="3"/>
  <c r="CT114" i="3"/>
  <c r="CW114" i="3"/>
  <c r="FK114" i="3"/>
  <c r="FL114" i="3"/>
  <c r="FI114" i="3"/>
  <c r="FJ114" i="3"/>
  <c r="EB100" i="3"/>
  <c r="EL100" i="3"/>
  <c r="EM100" i="3"/>
  <c r="EN100" i="3"/>
  <c r="EO100" i="3"/>
  <c r="DR100" i="3"/>
  <c r="DS100" i="3"/>
  <c r="CT100" i="3"/>
  <c r="DQ100" i="3"/>
  <c r="DT100" i="3"/>
  <c r="CU100" i="3"/>
  <c r="CV100" i="3"/>
  <c r="FK100" i="3"/>
  <c r="FI100" i="3"/>
  <c r="FJ100" i="3"/>
  <c r="CW100" i="3"/>
  <c r="FL100" i="3"/>
  <c r="EB123" i="3"/>
  <c r="EL123" i="3"/>
  <c r="EM123" i="3"/>
  <c r="EO123" i="3"/>
  <c r="DQ123" i="3"/>
  <c r="EN123" i="3"/>
  <c r="DT123" i="3"/>
  <c r="DR123" i="3"/>
  <c r="DS123" i="3"/>
  <c r="CW123" i="3"/>
  <c r="CT123" i="3"/>
  <c r="CU123" i="3"/>
  <c r="FK123" i="3"/>
  <c r="FI123" i="3"/>
  <c r="CV123" i="3"/>
  <c r="FJ123" i="3"/>
  <c r="FL123" i="3"/>
  <c r="EB101" i="3"/>
  <c r="EL101" i="3"/>
  <c r="EM101" i="3"/>
  <c r="EN101" i="3"/>
  <c r="EO101" i="3"/>
  <c r="DT101" i="3"/>
  <c r="DR101" i="3"/>
  <c r="DQ101" i="3"/>
  <c r="CT101" i="3"/>
  <c r="CV101" i="3"/>
  <c r="DS101" i="3"/>
  <c r="CU101" i="3"/>
  <c r="FL101" i="3"/>
  <c r="FK101" i="3"/>
  <c r="CW101" i="3"/>
  <c r="FI101" i="3"/>
  <c r="FJ101" i="3"/>
  <c r="EB126" i="3"/>
  <c r="EL126" i="3"/>
  <c r="EM126" i="3"/>
  <c r="EO126" i="3"/>
  <c r="DQ126" i="3"/>
  <c r="EN126" i="3"/>
  <c r="DT126" i="3"/>
  <c r="CW126" i="3"/>
  <c r="DR126" i="3"/>
  <c r="CT126" i="3"/>
  <c r="DS126" i="3"/>
  <c r="CU126" i="3"/>
  <c r="CV126" i="3"/>
  <c r="FK126" i="3"/>
  <c r="FL126" i="3"/>
  <c r="FI126" i="3"/>
  <c r="FJ126" i="3"/>
  <c r="EB117" i="3"/>
  <c r="EL117" i="3"/>
  <c r="EM117" i="3"/>
  <c r="EO117" i="3"/>
  <c r="DQ117" i="3"/>
  <c r="EN117" i="3"/>
  <c r="DS117" i="3"/>
  <c r="DR117" i="3"/>
  <c r="CU117" i="3"/>
  <c r="CV117" i="3"/>
  <c r="CW117" i="3"/>
  <c r="DT117" i="3"/>
  <c r="FK117" i="3"/>
  <c r="CT117" i="3"/>
  <c r="FJ117" i="3"/>
  <c r="FL117" i="3"/>
  <c r="FI117" i="3"/>
  <c r="EB106" i="3"/>
  <c r="EL106" i="3"/>
  <c r="EM106" i="3"/>
  <c r="EN106" i="3"/>
  <c r="EO106" i="3"/>
  <c r="DR106" i="3"/>
  <c r="DS106" i="3"/>
  <c r="DT106" i="3"/>
  <c r="DQ106" i="3"/>
  <c r="CT106" i="3"/>
  <c r="CW106" i="3"/>
  <c r="CU106" i="3"/>
  <c r="CV106" i="3"/>
  <c r="FK106" i="3"/>
  <c r="FJ106" i="3"/>
  <c r="FL106" i="3"/>
  <c r="FI106" i="3"/>
  <c r="EB124" i="3"/>
  <c r="EL124" i="3"/>
  <c r="EM124" i="3"/>
  <c r="EN124" i="3"/>
  <c r="EO124" i="3"/>
  <c r="DR124" i="3"/>
  <c r="DS124" i="3"/>
  <c r="DQ124" i="3"/>
  <c r="DT124" i="3"/>
  <c r="CT124" i="3"/>
  <c r="CU124" i="3"/>
  <c r="CW124" i="3"/>
  <c r="CV124" i="3"/>
  <c r="FK124" i="3"/>
  <c r="FI124" i="3"/>
  <c r="FJ124" i="3"/>
  <c r="FL124" i="3"/>
  <c r="EB74" i="3"/>
  <c r="EL74" i="3"/>
  <c r="EM74" i="3"/>
  <c r="EN74" i="3"/>
  <c r="EO74" i="3"/>
  <c r="DT74" i="3"/>
  <c r="CT74" i="3"/>
  <c r="CV74" i="3"/>
  <c r="CW74" i="3"/>
  <c r="DR74" i="3"/>
  <c r="DS74" i="3"/>
  <c r="DQ74" i="3"/>
  <c r="CU74" i="3"/>
  <c r="FK74" i="3"/>
  <c r="FJ74" i="3"/>
  <c r="FL74" i="3"/>
  <c r="FI74" i="3"/>
  <c r="EB99" i="3"/>
  <c r="EL99" i="3"/>
  <c r="EM99" i="3"/>
  <c r="EO99" i="3"/>
  <c r="DQ99" i="3"/>
  <c r="DT99" i="3"/>
  <c r="CU99" i="3"/>
  <c r="CV99" i="3"/>
  <c r="DS99" i="3"/>
  <c r="CW99" i="3"/>
  <c r="EN99" i="3"/>
  <c r="DR99" i="3"/>
  <c r="FK99" i="3"/>
  <c r="FI99" i="3"/>
  <c r="CT99" i="3"/>
  <c r="FJ99" i="3"/>
  <c r="FL99" i="3"/>
  <c r="EB103" i="3"/>
  <c r="EL103" i="3"/>
  <c r="EM103" i="3"/>
  <c r="EN103" i="3"/>
  <c r="EO103" i="3"/>
  <c r="DR103" i="3"/>
  <c r="DT103" i="3"/>
  <c r="DQ103" i="3"/>
  <c r="DS103" i="3"/>
  <c r="CW103" i="3"/>
  <c r="CT103" i="3"/>
  <c r="CV103" i="3"/>
  <c r="CU103" i="3"/>
  <c r="FK103" i="3"/>
  <c r="FI103" i="3"/>
  <c r="FL103" i="3"/>
  <c r="FJ103" i="3"/>
  <c r="EB135" i="3"/>
  <c r="EL135" i="3"/>
  <c r="EM135" i="3"/>
  <c r="EO135" i="3"/>
  <c r="DQ135" i="3"/>
  <c r="DT135" i="3"/>
  <c r="EN135" i="3"/>
  <c r="DR135" i="3"/>
  <c r="CW135" i="3"/>
  <c r="DS135" i="3"/>
  <c r="CT135" i="3"/>
  <c r="FK135" i="3"/>
  <c r="CU135" i="3"/>
  <c r="FL135" i="3"/>
  <c r="FI135" i="3"/>
  <c r="CV135" i="3"/>
  <c r="FJ135" i="3"/>
  <c r="EB107" i="3"/>
  <c r="EL107" i="3"/>
  <c r="EM107" i="3"/>
  <c r="EN107" i="3"/>
  <c r="EO107" i="3"/>
  <c r="DT107" i="3"/>
  <c r="DS107" i="3"/>
  <c r="CT107" i="3"/>
  <c r="DQ107" i="3"/>
  <c r="CV107" i="3"/>
  <c r="DR107" i="3"/>
  <c r="CU107" i="3"/>
  <c r="FL107" i="3"/>
  <c r="CW107" i="3"/>
  <c r="FK107" i="3"/>
  <c r="FJ107" i="3"/>
  <c r="FI107" i="3"/>
  <c r="EB112" i="3"/>
  <c r="EL112" i="3"/>
  <c r="EM112" i="3"/>
  <c r="EN112" i="3"/>
  <c r="EO112" i="3"/>
  <c r="DR112" i="3"/>
  <c r="DS112" i="3"/>
  <c r="DT112" i="3"/>
  <c r="CW112" i="3"/>
  <c r="CT112" i="3"/>
  <c r="CU112" i="3"/>
  <c r="CV112" i="3"/>
  <c r="FK112" i="3"/>
  <c r="DQ112" i="3"/>
  <c r="FI112" i="3"/>
  <c r="FJ112" i="3"/>
  <c r="FL112" i="3"/>
  <c r="EB110" i="3"/>
  <c r="EL110" i="3"/>
  <c r="EM110" i="3"/>
  <c r="EN110" i="3"/>
  <c r="EO110" i="3"/>
  <c r="DT110" i="3"/>
  <c r="CT110" i="3"/>
  <c r="CV110" i="3"/>
  <c r="DR110" i="3"/>
  <c r="DS110" i="3"/>
  <c r="DQ110" i="3"/>
  <c r="CW110" i="3"/>
  <c r="FK110" i="3"/>
  <c r="FJ110" i="3"/>
  <c r="FI110" i="3"/>
  <c r="FL110" i="3"/>
  <c r="CU110" i="3"/>
  <c r="EB104" i="3"/>
  <c r="EL104" i="3"/>
  <c r="EM104" i="3"/>
  <c r="EN104" i="3"/>
  <c r="EO104" i="3"/>
  <c r="DT104" i="3"/>
  <c r="DR104" i="3"/>
  <c r="CT104" i="3"/>
  <c r="CV104" i="3"/>
  <c r="DQ104" i="3"/>
  <c r="CU104" i="3"/>
  <c r="DS104" i="3"/>
  <c r="CW104" i="3"/>
  <c r="FJ104" i="3"/>
  <c r="FL104" i="3"/>
  <c r="FI104" i="3"/>
  <c r="FK104" i="3"/>
  <c r="EB105" i="3"/>
  <c r="EL105" i="3"/>
  <c r="EM105" i="3"/>
  <c r="EO105" i="3"/>
  <c r="EN105" i="3"/>
  <c r="DQ105" i="3"/>
  <c r="DS105" i="3"/>
  <c r="CU105" i="3"/>
  <c r="CV105" i="3"/>
  <c r="DR105" i="3"/>
  <c r="DT105" i="3"/>
  <c r="CT105" i="3"/>
  <c r="CW105" i="3"/>
  <c r="FK105" i="3"/>
  <c r="FJ105" i="3"/>
  <c r="FL105" i="3"/>
  <c r="FI105" i="3"/>
  <c r="EB87" i="3"/>
  <c r="EL87" i="3"/>
  <c r="EM87" i="3"/>
  <c r="EO87" i="3"/>
  <c r="DQ87" i="3"/>
  <c r="EN87" i="3"/>
  <c r="DT87" i="3"/>
  <c r="DR87" i="3"/>
  <c r="CU87" i="3"/>
  <c r="CV87" i="3"/>
  <c r="DS87" i="3"/>
  <c r="CT87" i="3"/>
  <c r="CW87" i="3"/>
  <c r="FK87" i="3"/>
  <c r="FI87" i="3"/>
  <c r="FJ87" i="3"/>
  <c r="FL87" i="3"/>
  <c r="EB125" i="3"/>
  <c r="EL125" i="3"/>
  <c r="EM125" i="3"/>
  <c r="EN125" i="3"/>
  <c r="EO125" i="3"/>
  <c r="DT125" i="3"/>
  <c r="DS125" i="3"/>
  <c r="DQ125" i="3"/>
  <c r="CW125" i="3"/>
  <c r="DR125" i="3"/>
  <c r="CV125" i="3"/>
  <c r="FL125" i="3"/>
  <c r="FK125" i="3"/>
  <c r="CU125" i="3"/>
  <c r="FI125" i="3"/>
  <c r="CT125" i="3"/>
  <c r="FJ125" i="3"/>
  <c r="EB134" i="3"/>
  <c r="EL134" i="3"/>
  <c r="EM134" i="3"/>
  <c r="EN134" i="3"/>
  <c r="EO134" i="3"/>
  <c r="DT134" i="3"/>
  <c r="DQ134" i="3"/>
  <c r="DR134" i="3"/>
  <c r="CT134" i="3"/>
  <c r="CW134" i="3"/>
  <c r="DS134" i="3"/>
  <c r="CU134" i="3"/>
  <c r="CV134" i="3"/>
  <c r="FK134" i="3"/>
  <c r="FJ134" i="3"/>
  <c r="FL134" i="3"/>
  <c r="FI134" i="3"/>
  <c r="EB96" i="3"/>
  <c r="EL96" i="3"/>
  <c r="EM96" i="3"/>
  <c r="EO96" i="3"/>
  <c r="DQ96" i="3"/>
  <c r="DS96" i="3"/>
  <c r="DT96" i="3"/>
  <c r="CU96" i="3"/>
  <c r="CV96" i="3"/>
  <c r="EN96" i="3"/>
  <c r="DR96" i="3"/>
  <c r="CT96" i="3"/>
  <c r="CW96" i="3"/>
  <c r="FK96" i="3"/>
  <c r="FL96" i="3"/>
  <c r="FJ96" i="3"/>
  <c r="FI96" i="3"/>
  <c r="EB119" i="3"/>
  <c r="EL119" i="3"/>
  <c r="EM119" i="3"/>
  <c r="EN119" i="3"/>
  <c r="EO119" i="3"/>
  <c r="DT119" i="3"/>
  <c r="DS119" i="3"/>
  <c r="DQ119" i="3"/>
  <c r="DR119" i="3"/>
  <c r="CT119" i="3"/>
  <c r="CW119" i="3"/>
  <c r="CV119" i="3"/>
  <c r="FL119" i="3"/>
  <c r="FK119" i="3"/>
  <c r="CU119" i="3"/>
  <c r="FI119" i="3"/>
  <c r="FJ119" i="3"/>
  <c r="EB111" i="3"/>
  <c r="EL111" i="3"/>
  <c r="EM111" i="3"/>
  <c r="EO111" i="3"/>
  <c r="DQ111" i="3"/>
  <c r="DT111" i="3"/>
  <c r="EN111" i="3"/>
  <c r="DS111" i="3"/>
  <c r="CU111" i="3"/>
  <c r="CV111" i="3"/>
  <c r="CW111" i="3"/>
  <c r="DR111" i="3"/>
  <c r="CT111" i="3"/>
  <c r="FK111" i="3"/>
  <c r="FI111" i="3"/>
  <c r="FJ111" i="3"/>
  <c r="FL111" i="3"/>
  <c r="EB122" i="3"/>
  <c r="EL122" i="3"/>
  <c r="EM122" i="3"/>
  <c r="EN122" i="3"/>
  <c r="EO122" i="3"/>
  <c r="DT122" i="3"/>
  <c r="DQ122" i="3"/>
  <c r="DS122" i="3"/>
  <c r="DR122" i="3"/>
  <c r="CT122" i="3"/>
  <c r="CW122" i="3"/>
  <c r="CU122" i="3"/>
  <c r="CV122" i="3"/>
  <c r="FK122" i="3"/>
  <c r="FJ122" i="3"/>
  <c r="FL122" i="3"/>
  <c r="FI122" i="3"/>
  <c r="EB128" i="3"/>
  <c r="EL128" i="3"/>
  <c r="EM128" i="3"/>
  <c r="EN128" i="3"/>
  <c r="EO128" i="3"/>
  <c r="DT128" i="3"/>
  <c r="DR128" i="3"/>
  <c r="DQ128" i="3"/>
  <c r="DS128" i="3"/>
  <c r="CT128" i="3"/>
  <c r="CV128" i="3"/>
  <c r="CU128" i="3"/>
  <c r="CW128" i="3"/>
  <c r="FJ128" i="3"/>
  <c r="FL128" i="3"/>
  <c r="FI128" i="3"/>
  <c r="FK128" i="3"/>
  <c r="EB121" i="3"/>
  <c r="EL121" i="3"/>
  <c r="EM121" i="3"/>
  <c r="EN121" i="3"/>
  <c r="EO121" i="3"/>
  <c r="DR121" i="3"/>
  <c r="DQ121" i="3"/>
  <c r="CT121" i="3"/>
  <c r="DS121" i="3"/>
  <c r="DT121" i="3"/>
  <c r="CU121" i="3"/>
  <c r="CV121" i="3"/>
  <c r="FK121" i="3"/>
  <c r="CW121" i="3"/>
  <c r="FL121" i="3"/>
  <c r="FJ121" i="3"/>
  <c r="FI121" i="3"/>
  <c r="EB75" i="3"/>
  <c r="EL75" i="3"/>
  <c r="EM75" i="3"/>
  <c r="EO75" i="3"/>
  <c r="DQ75" i="3"/>
  <c r="DT75" i="3"/>
  <c r="DR75" i="3"/>
  <c r="CU75" i="3"/>
  <c r="CV75" i="3"/>
  <c r="CW75" i="3"/>
  <c r="EN75" i="3"/>
  <c r="CT75" i="3"/>
  <c r="DS75" i="3"/>
  <c r="FK75" i="3"/>
  <c r="FI75" i="3"/>
  <c r="FJ75" i="3"/>
  <c r="FL75" i="3"/>
  <c r="EB116" i="3"/>
  <c r="EL116" i="3"/>
  <c r="EM116" i="3"/>
  <c r="EN116" i="3"/>
  <c r="EO116" i="3"/>
  <c r="DT116" i="3"/>
  <c r="DR116" i="3"/>
  <c r="CT116" i="3"/>
  <c r="CV116" i="3"/>
  <c r="DQ116" i="3"/>
  <c r="CU116" i="3"/>
  <c r="CW116" i="3"/>
  <c r="DS116" i="3"/>
  <c r="FJ116" i="3"/>
  <c r="FL116" i="3"/>
  <c r="FI116" i="3"/>
  <c r="FK116" i="3"/>
  <c r="EB92" i="3"/>
  <c r="EL92" i="3"/>
  <c r="EM92" i="3"/>
  <c r="EN92" i="3"/>
  <c r="EO92" i="3"/>
  <c r="DT92" i="3"/>
  <c r="DR92" i="3"/>
  <c r="CT92" i="3"/>
  <c r="CV92" i="3"/>
  <c r="DS92" i="3"/>
  <c r="DQ92" i="3"/>
  <c r="CW92" i="3"/>
  <c r="FJ92" i="3"/>
  <c r="FL92" i="3"/>
  <c r="FI92" i="3"/>
  <c r="FK92" i="3"/>
  <c r="CU92" i="3"/>
  <c r="EB79" i="3"/>
  <c r="EL79" i="3"/>
  <c r="EM79" i="3"/>
  <c r="EN79" i="3"/>
  <c r="EO79" i="3"/>
  <c r="DR79" i="3"/>
  <c r="DT79" i="3"/>
  <c r="DQ79" i="3"/>
  <c r="DS79" i="3"/>
  <c r="CU79" i="3"/>
  <c r="FK79" i="3"/>
  <c r="CT79" i="3"/>
  <c r="CV79" i="3"/>
  <c r="CW79" i="3"/>
  <c r="FJ79" i="3"/>
  <c r="FI79" i="3"/>
  <c r="FL79" i="3"/>
  <c r="EB98" i="3"/>
  <c r="EL98" i="3"/>
  <c r="EM98" i="3"/>
  <c r="EN98" i="3"/>
  <c r="EO98" i="3"/>
  <c r="DT98" i="3"/>
  <c r="CT98" i="3"/>
  <c r="CV98" i="3"/>
  <c r="DQ98" i="3"/>
  <c r="DR98" i="3"/>
  <c r="CU98" i="3"/>
  <c r="CW98" i="3"/>
  <c r="DS98" i="3"/>
  <c r="FK98" i="3"/>
  <c r="FJ98" i="3"/>
  <c r="FI98" i="3"/>
  <c r="FL98" i="3"/>
  <c r="EB88" i="3"/>
  <c r="EL88" i="3"/>
  <c r="EM88" i="3"/>
  <c r="EN88" i="3"/>
  <c r="EO88" i="3"/>
  <c r="DR88" i="3"/>
  <c r="DS88" i="3"/>
  <c r="DT88" i="3"/>
  <c r="CT88" i="3"/>
  <c r="DQ88" i="3"/>
  <c r="CW88" i="3"/>
  <c r="CU88" i="3"/>
  <c r="CV88" i="3"/>
  <c r="FK88" i="3"/>
  <c r="FI88" i="3"/>
  <c r="FL88" i="3"/>
  <c r="FJ88" i="3"/>
  <c r="EB120" i="3"/>
  <c r="EL120" i="3"/>
  <c r="EM120" i="3"/>
  <c r="EO120" i="3"/>
  <c r="DQ120" i="3"/>
  <c r="DS120" i="3"/>
  <c r="CW120" i="3"/>
  <c r="EN120" i="3"/>
  <c r="CT120" i="3"/>
  <c r="DR120" i="3"/>
  <c r="DT120" i="3"/>
  <c r="CV120" i="3"/>
  <c r="CU120" i="3"/>
  <c r="FK120" i="3"/>
  <c r="FL120" i="3"/>
  <c r="FJ120" i="3"/>
  <c r="FI120" i="3"/>
  <c r="EB133" i="3"/>
  <c r="EL133" i="3"/>
  <c r="EM133" i="3"/>
  <c r="EN133" i="3"/>
  <c r="EO133" i="3"/>
  <c r="DR133" i="3"/>
  <c r="DQ133" i="3"/>
  <c r="DT133" i="3"/>
  <c r="DS133" i="3"/>
  <c r="CT133" i="3"/>
  <c r="CU133" i="3"/>
  <c r="CV133" i="3"/>
  <c r="FK133" i="3"/>
  <c r="CW133" i="3"/>
  <c r="FL133" i="3"/>
  <c r="FJ133" i="3"/>
  <c r="FI133" i="3"/>
  <c r="EB127" i="3"/>
  <c r="EL127" i="3"/>
  <c r="EM127" i="3"/>
  <c r="EN127" i="3"/>
  <c r="EO127" i="3"/>
  <c r="DR127" i="3"/>
  <c r="DT127" i="3"/>
  <c r="DS127" i="3"/>
  <c r="CT127" i="3"/>
  <c r="DQ127" i="3"/>
  <c r="CU127" i="3"/>
  <c r="CV127" i="3"/>
  <c r="FK127" i="3"/>
  <c r="CW127" i="3"/>
  <c r="FI127" i="3"/>
  <c r="FL127" i="3"/>
  <c r="FJ127" i="3"/>
  <c r="EB102" i="3"/>
  <c r="EL102" i="3"/>
  <c r="EM102" i="3"/>
  <c r="EO102" i="3"/>
  <c r="DQ102" i="3"/>
  <c r="DR102" i="3"/>
  <c r="DS102" i="3"/>
  <c r="CU102" i="3"/>
  <c r="CV102" i="3"/>
  <c r="DT102" i="3"/>
  <c r="EN102" i="3"/>
  <c r="CW102" i="3"/>
  <c r="CT102" i="3"/>
  <c r="FK102" i="3"/>
  <c r="FI102" i="3"/>
  <c r="FL102" i="3"/>
  <c r="FJ102" i="3"/>
  <c r="EB97" i="3"/>
  <c r="EL97" i="3"/>
  <c r="EM97" i="3"/>
  <c r="EN97" i="3"/>
  <c r="EO97" i="3"/>
  <c r="DR97" i="3"/>
  <c r="DS97" i="3"/>
  <c r="DQ97" i="3"/>
  <c r="DT97" i="3"/>
  <c r="CT97" i="3"/>
  <c r="CV97" i="3"/>
  <c r="FK97" i="3"/>
  <c r="CU97" i="3"/>
  <c r="CW97" i="3"/>
  <c r="FL97" i="3"/>
  <c r="FJ97" i="3"/>
  <c r="FI97" i="3"/>
  <c r="EB113" i="3"/>
  <c r="EL113" i="3"/>
  <c r="EM113" i="3"/>
  <c r="EN113" i="3"/>
  <c r="EO113" i="3"/>
  <c r="DT113" i="3"/>
  <c r="DR113" i="3"/>
  <c r="CT113" i="3"/>
  <c r="CV113" i="3"/>
  <c r="DQ113" i="3"/>
  <c r="DS113" i="3"/>
  <c r="CU113" i="3"/>
  <c r="CW113" i="3"/>
  <c r="FL113" i="3"/>
  <c r="FK113" i="3"/>
  <c r="FI113" i="3"/>
  <c r="FJ113" i="3"/>
  <c r="EB108" i="3"/>
  <c r="EL108" i="3"/>
  <c r="EM108" i="3"/>
  <c r="EO108" i="3"/>
  <c r="EN108" i="3"/>
  <c r="DQ108" i="3"/>
  <c r="DS108" i="3"/>
  <c r="DT108" i="3"/>
  <c r="CU108" i="3"/>
  <c r="CV108" i="3"/>
  <c r="CW108" i="3"/>
  <c r="DR108" i="3"/>
  <c r="FK108" i="3"/>
  <c r="FL108" i="3"/>
  <c r="FI108" i="3"/>
  <c r="FJ108" i="3"/>
  <c r="CT108" i="3"/>
  <c r="EB131" i="3"/>
  <c r="EL131" i="3"/>
  <c r="EM131" i="3"/>
  <c r="EN131" i="3"/>
  <c r="EO131" i="3"/>
  <c r="DT131" i="3"/>
  <c r="DS131" i="3"/>
  <c r="DR131" i="3"/>
  <c r="CT131" i="3"/>
  <c r="DQ131" i="3"/>
  <c r="CW131" i="3"/>
  <c r="CV131" i="3"/>
  <c r="FL131" i="3"/>
  <c r="FK131" i="3"/>
  <c r="CU131" i="3"/>
  <c r="FJ131" i="3"/>
  <c r="FI131" i="3"/>
  <c r="EB73" i="3"/>
  <c r="EL73" i="3"/>
  <c r="EM73" i="3"/>
  <c r="EN73" i="3"/>
  <c r="EO73" i="3"/>
  <c r="DR73" i="3"/>
  <c r="DS73" i="3"/>
  <c r="DQ73" i="3"/>
  <c r="DT73" i="3"/>
  <c r="CW73" i="3"/>
  <c r="CV73" i="3"/>
  <c r="CU73" i="3"/>
  <c r="FK73" i="3"/>
  <c r="CT73" i="3"/>
  <c r="FL73" i="3"/>
  <c r="FJ73" i="3"/>
  <c r="FI73" i="3"/>
  <c r="EB132" i="3"/>
  <c r="EL132" i="3"/>
  <c r="EM132" i="3"/>
  <c r="EO132" i="3"/>
  <c r="DQ132" i="3"/>
  <c r="DS132" i="3"/>
  <c r="EN132" i="3"/>
  <c r="DT132" i="3"/>
  <c r="CW132" i="3"/>
  <c r="CT132" i="3"/>
  <c r="CV132" i="3"/>
  <c r="DR132" i="3"/>
  <c r="CU132" i="3"/>
  <c r="FK132" i="3"/>
  <c r="FL132" i="3"/>
  <c r="FJ132" i="3"/>
  <c r="FI132" i="3"/>
  <c r="EB95" i="3"/>
  <c r="EL95" i="3"/>
  <c r="EM95" i="3"/>
  <c r="EN95" i="3"/>
  <c r="EO95" i="3"/>
  <c r="DT95" i="3"/>
  <c r="DS95" i="3"/>
  <c r="DR95" i="3"/>
  <c r="CT95" i="3"/>
  <c r="CV95" i="3"/>
  <c r="CU95" i="3"/>
  <c r="CW95" i="3"/>
  <c r="FL95" i="3"/>
  <c r="FK95" i="3"/>
  <c r="DQ95" i="3"/>
  <c r="FI95" i="3"/>
  <c r="FJ95" i="3"/>
  <c r="EB118" i="3"/>
  <c r="EL118" i="3"/>
  <c r="EM118" i="3"/>
  <c r="EN118" i="3"/>
  <c r="EO118" i="3"/>
  <c r="DR118" i="3"/>
  <c r="DQ118" i="3"/>
  <c r="DS118" i="3"/>
  <c r="CT118" i="3"/>
  <c r="CU118" i="3"/>
  <c r="DT118" i="3"/>
  <c r="CV118" i="3"/>
  <c r="FK118" i="3"/>
  <c r="CW118" i="3"/>
  <c r="FJ118" i="3"/>
  <c r="FL118" i="3"/>
  <c r="FI118" i="3"/>
  <c r="EB129" i="3"/>
  <c r="EL129" i="3"/>
  <c r="EM129" i="3"/>
  <c r="EO129" i="3"/>
  <c r="DQ129" i="3"/>
  <c r="EN129" i="3"/>
  <c r="DR129" i="3"/>
  <c r="DS129" i="3"/>
  <c r="CW129" i="3"/>
  <c r="CT129" i="3"/>
  <c r="DT129" i="3"/>
  <c r="CU129" i="3"/>
  <c r="FK129" i="3"/>
  <c r="FJ129" i="3"/>
  <c r="CV129" i="3"/>
  <c r="FL129" i="3"/>
  <c r="FI129" i="3"/>
  <c r="EB109" i="3"/>
  <c r="EL109" i="3"/>
  <c r="EM109" i="3"/>
  <c r="EN109" i="3"/>
  <c r="EO109" i="3"/>
  <c r="DR109" i="3"/>
  <c r="DS109" i="3"/>
  <c r="DQ109" i="3"/>
  <c r="CT109" i="3"/>
  <c r="DT109" i="3"/>
  <c r="CU109" i="3"/>
  <c r="CW109" i="3"/>
  <c r="FK109" i="3"/>
  <c r="CV109" i="3"/>
  <c r="FL109" i="3"/>
  <c r="FJ109" i="3"/>
  <c r="FI109" i="3"/>
  <c r="EB76" i="3"/>
  <c r="EL76" i="3"/>
  <c r="EM76" i="3"/>
  <c r="EN76" i="3"/>
  <c r="EO76" i="3"/>
  <c r="DR76" i="3"/>
  <c r="DS76" i="3"/>
  <c r="DT76" i="3"/>
  <c r="CT76" i="3"/>
  <c r="CU76" i="3"/>
  <c r="DQ76" i="3"/>
  <c r="CV76" i="3"/>
  <c r="CW76" i="3"/>
  <c r="FK76" i="3"/>
  <c r="FI76" i="3"/>
  <c r="FJ76" i="3"/>
  <c r="FL76" i="3"/>
  <c r="EB86" i="3"/>
  <c r="EL86" i="3"/>
  <c r="EM86" i="3"/>
  <c r="EN86" i="3"/>
  <c r="EO86" i="3"/>
  <c r="DT86" i="3"/>
  <c r="CT86" i="3"/>
  <c r="CV86" i="3"/>
  <c r="CW86" i="3"/>
  <c r="DR86" i="3"/>
  <c r="DS86" i="3"/>
  <c r="DQ86" i="3"/>
  <c r="CU86" i="3"/>
  <c r="FK86" i="3"/>
  <c r="FJ86" i="3"/>
  <c r="FI86" i="3"/>
  <c r="FL86" i="3"/>
  <c r="FI11" i="3"/>
  <c r="FJ11" i="3"/>
  <c r="FL11" i="3"/>
  <c r="FK11" i="3"/>
  <c r="EX135" i="3"/>
  <c r="EY135" i="3"/>
  <c r="EZ135" i="3"/>
  <c r="FA135" i="3"/>
  <c r="EP135" i="3"/>
  <c r="FB135" i="3"/>
  <c r="EQ135" i="3"/>
  <c r="FC135" i="3"/>
  <c r="ER135" i="3"/>
  <c r="FD135" i="3"/>
  <c r="ES135" i="3"/>
  <c r="ET135" i="3"/>
  <c r="EU135" i="3"/>
  <c r="EV135" i="3"/>
  <c r="EW135" i="3"/>
  <c r="ET128" i="3"/>
  <c r="EU128" i="3"/>
  <c r="EV128" i="3"/>
  <c r="EW128" i="3"/>
  <c r="EX128" i="3"/>
  <c r="EY128" i="3"/>
  <c r="EZ128" i="3"/>
  <c r="FA128" i="3"/>
  <c r="EP128" i="3"/>
  <c r="FB128" i="3"/>
  <c r="EQ128" i="3"/>
  <c r="FC128" i="3"/>
  <c r="ER128" i="3"/>
  <c r="ES128" i="3"/>
  <c r="FD128" i="3"/>
  <c r="EX80" i="3"/>
  <c r="EY80" i="3"/>
  <c r="EZ80" i="3"/>
  <c r="FA80" i="3"/>
  <c r="EP80" i="3"/>
  <c r="FB80" i="3"/>
  <c r="EQ80" i="3"/>
  <c r="FC80" i="3"/>
  <c r="ER80" i="3"/>
  <c r="FD80" i="3"/>
  <c r="ES80" i="3"/>
  <c r="ET80" i="3"/>
  <c r="EU80" i="3"/>
  <c r="EV80" i="3"/>
  <c r="EW80" i="3"/>
  <c r="ET107" i="3"/>
  <c r="EU107" i="3"/>
  <c r="EV107" i="3"/>
  <c r="EW107" i="3"/>
  <c r="EX107" i="3"/>
  <c r="EY107" i="3"/>
  <c r="EZ107" i="3"/>
  <c r="FA107" i="3"/>
  <c r="EP107" i="3"/>
  <c r="FB107" i="3"/>
  <c r="EQ107" i="3"/>
  <c r="FC107" i="3"/>
  <c r="ER107" i="3"/>
  <c r="ES107" i="3"/>
  <c r="FD107" i="3"/>
  <c r="EX98" i="3"/>
  <c r="EY98" i="3"/>
  <c r="EZ98" i="3"/>
  <c r="FA98" i="3"/>
  <c r="EP98" i="3"/>
  <c r="FB98" i="3"/>
  <c r="EQ98" i="3"/>
  <c r="FC98" i="3"/>
  <c r="ER98" i="3"/>
  <c r="FD98" i="3"/>
  <c r="ES98" i="3"/>
  <c r="ET98" i="3"/>
  <c r="EU98" i="3"/>
  <c r="EV98" i="3"/>
  <c r="EW98" i="3"/>
  <c r="EP78" i="3"/>
  <c r="FB78" i="3"/>
  <c r="EQ78" i="3"/>
  <c r="FC78" i="3"/>
  <c r="ER78" i="3"/>
  <c r="FD78" i="3"/>
  <c r="ES78" i="3"/>
  <c r="ET78" i="3"/>
  <c r="EU78" i="3"/>
  <c r="EV78" i="3"/>
  <c r="EW78" i="3"/>
  <c r="EX78" i="3"/>
  <c r="EY78" i="3"/>
  <c r="EZ78" i="3"/>
  <c r="FA78" i="3"/>
  <c r="EP112" i="3"/>
  <c r="FB112" i="3"/>
  <c r="EQ112" i="3"/>
  <c r="FC112" i="3"/>
  <c r="ER112" i="3"/>
  <c r="FD112" i="3"/>
  <c r="ES112" i="3"/>
  <c r="ET112" i="3"/>
  <c r="EU112" i="3"/>
  <c r="EV112" i="3"/>
  <c r="EW112" i="3"/>
  <c r="EX112" i="3"/>
  <c r="EY112" i="3"/>
  <c r="EZ112" i="3"/>
  <c r="FA112" i="3"/>
  <c r="EX117" i="3"/>
  <c r="EY117" i="3"/>
  <c r="EZ117" i="3"/>
  <c r="FA117" i="3"/>
  <c r="EP117" i="3"/>
  <c r="FB117" i="3"/>
  <c r="EQ117" i="3"/>
  <c r="FC117" i="3"/>
  <c r="ER117" i="3"/>
  <c r="FD117" i="3"/>
  <c r="ES117" i="3"/>
  <c r="ET117" i="3"/>
  <c r="EU117" i="3"/>
  <c r="EV117" i="3"/>
  <c r="EW117" i="3"/>
  <c r="EX77" i="3"/>
  <c r="EY77" i="3"/>
  <c r="EZ77" i="3"/>
  <c r="FA77" i="3"/>
  <c r="EP77" i="3"/>
  <c r="FB77" i="3"/>
  <c r="EQ77" i="3"/>
  <c r="FC77" i="3"/>
  <c r="ER77" i="3"/>
  <c r="FD77" i="3"/>
  <c r="ES77" i="3"/>
  <c r="ET77" i="3"/>
  <c r="EU77" i="3"/>
  <c r="EV77" i="3"/>
  <c r="EW77" i="3"/>
  <c r="EP124" i="3"/>
  <c r="FB124" i="3"/>
  <c r="EQ124" i="3"/>
  <c r="FC124" i="3"/>
  <c r="ER124" i="3"/>
  <c r="FD124" i="3"/>
  <c r="ES124" i="3"/>
  <c r="ET124" i="3"/>
  <c r="EU124" i="3"/>
  <c r="EV124" i="3"/>
  <c r="EW124" i="3"/>
  <c r="EX124" i="3"/>
  <c r="EY124" i="3"/>
  <c r="EZ124" i="3"/>
  <c r="FA124" i="3"/>
  <c r="EX74" i="3"/>
  <c r="EY74" i="3"/>
  <c r="EZ74" i="3"/>
  <c r="FA74" i="3"/>
  <c r="EP74" i="3"/>
  <c r="FB74" i="3"/>
  <c r="EQ74" i="3"/>
  <c r="FC74" i="3"/>
  <c r="ER74" i="3"/>
  <c r="FD74" i="3"/>
  <c r="ES74" i="3"/>
  <c r="ET74" i="3"/>
  <c r="EU74" i="3"/>
  <c r="EV74" i="3"/>
  <c r="EW74" i="3"/>
  <c r="ET110" i="3"/>
  <c r="EU110" i="3"/>
  <c r="EV110" i="3"/>
  <c r="EW110" i="3"/>
  <c r="EX110" i="3"/>
  <c r="EY110" i="3"/>
  <c r="EZ110" i="3"/>
  <c r="FA110" i="3"/>
  <c r="EP110" i="3"/>
  <c r="FB110" i="3"/>
  <c r="EQ110" i="3"/>
  <c r="FC110" i="3"/>
  <c r="ER110" i="3"/>
  <c r="ES110" i="3"/>
  <c r="FD110" i="3"/>
  <c r="EP99" i="3"/>
  <c r="EQ99" i="3"/>
  <c r="ER99" i="3"/>
  <c r="ES99" i="3"/>
  <c r="ET99" i="3"/>
  <c r="EU99" i="3"/>
  <c r="EV99" i="3"/>
  <c r="EW99" i="3"/>
  <c r="EX99" i="3"/>
  <c r="EY99" i="3"/>
  <c r="EZ99" i="3"/>
  <c r="FA99" i="3"/>
  <c r="FB99" i="3"/>
  <c r="FC99" i="3"/>
  <c r="FD99" i="3"/>
  <c r="EX126" i="3"/>
  <c r="EY126" i="3"/>
  <c r="EZ126" i="3"/>
  <c r="FA126" i="3"/>
  <c r="EP126" i="3"/>
  <c r="FB126" i="3"/>
  <c r="EQ126" i="3"/>
  <c r="FC126" i="3"/>
  <c r="ER126" i="3"/>
  <c r="FD126" i="3"/>
  <c r="ES126" i="3"/>
  <c r="ET126" i="3"/>
  <c r="EU126" i="3"/>
  <c r="EV126" i="3"/>
  <c r="EW126" i="3"/>
  <c r="EP87" i="3"/>
  <c r="FB87" i="3"/>
  <c r="EQ87" i="3"/>
  <c r="FC87" i="3"/>
  <c r="ER87" i="3"/>
  <c r="FD87" i="3"/>
  <c r="ES87" i="3"/>
  <c r="ET87" i="3"/>
  <c r="EU87" i="3"/>
  <c r="EV87" i="3"/>
  <c r="EW87" i="3"/>
  <c r="EX87" i="3"/>
  <c r="EY87" i="3"/>
  <c r="EZ87" i="3"/>
  <c r="FA87" i="3"/>
  <c r="EX105" i="3"/>
  <c r="EY105" i="3"/>
  <c r="EZ105" i="3"/>
  <c r="FA105" i="3"/>
  <c r="EP105" i="3"/>
  <c r="FB105" i="3"/>
  <c r="EQ105" i="3"/>
  <c r="FC105" i="3"/>
  <c r="ER105" i="3"/>
  <c r="FD105" i="3"/>
  <c r="ES105" i="3"/>
  <c r="ET105" i="3"/>
  <c r="EU105" i="3"/>
  <c r="EV105" i="3"/>
  <c r="EW105" i="3"/>
  <c r="EP103" i="3"/>
  <c r="FB103" i="3"/>
  <c r="EQ103" i="3"/>
  <c r="FC103" i="3"/>
  <c r="ER103" i="3"/>
  <c r="FD103" i="3"/>
  <c r="ES103" i="3"/>
  <c r="ET103" i="3"/>
  <c r="EU103" i="3"/>
  <c r="EV103" i="3"/>
  <c r="EW103" i="3"/>
  <c r="EX103" i="3"/>
  <c r="EY103" i="3"/>
  <c r="EZ103" i="3"/>
  <c r="FA103" i="3"/>
  <c r="ET104" i="3"/>
  <c r="EU104" i="3"/>
  <c r="EV104" i="3"/>
  <c r="EW104" i="3"/>
  <c r="EX104" i="3"/>
  <c r="EY104" i="3"/>
  <c r="EZ104" i="3"/>
  <c r="FA104" i="3"/>
  <c r="EP104" i="3"/>
  <c r="FB104" i="3"/>
  <c r="EQ104" i="3"/>
  <c r="FC104" i="3"/>
  <c r="ER104" i="3"/>
  <c r="ES104" i="3"/>
  <c r="FD104" i="3"/>
  <c r="ET125" i="3"/>
  <c r="EU125" i="3"/>
  <c r="EV125" i="3"/>
  <c r="EW125" i="3"/>
  <c r="EX125" i="3"/>
  <c r="EY125" i="3"/>
  <c r="EZ125" i="3"/>
  <c r="FA125" i="3"/>
  <c r="EP125" i="3"/>
  <c r="FB125" i="3"/>
  <c r="EQ125" i="3"/>
  <c r="FC125" i="3"/>
  <c r="ER125" i="3"/>
  <c r="ES125" i="3"/>
  <c r="FD125" i="3"/>
  <c r="ET134" i="3"/>
  <c r="EU134" i="3"/>
  <c r="EV134" i="3"/>
  <c r="EW134" i="3"/>
  <c r="EX134" i="3"/>
  <c r="EY134" i="3"/>
  <c r="EZ134" i="3"/>
  <c r="FA134" i="3"/>
  <c r="EP134" i="3"/>
  <c r="FB134" i="3"/>
  <c r="EQ134" i="3"/>
  <c r="FC134" i="3"/>
  <c r="ER134" i="3"/>
  <c r="ES134" i="3"/>
  <c r="FD134" i="3"/>
  <c r="EP96" i="3"/>
  <c r="FB96" i="3"/>
  <c r="EQ96" i="3"/>
  <c r="FC96" i="3"/>
  <c r="ER96" i="3"/>
  <c r="FD96" i="3"/>
  <c r="ES96" i="3"/>
  <c r="ET96" i="3"/>
  <c r="EU96" i="3"/>
  <c r="EV96" i="3"/>
  <c r="EW96" i="3"/>
  <c r="EX96" i="3"/>
  <c r="EY96" i="3"/>
  <c r="EZ96" i="3"/>
  <c r="FA96" i="3"/>
  <c r="ET119" i="3"/>
  <c r="EU119" i="3"/>
  <c r="EV119" i="3"/>
  <c r="EW119" i="3"/>
  <c r="EX119" i="3"/>
  <c r="EY119" i="3"/>
  <c r="EZ119" i="3"/>
  <c r="FA119" i="3"/>
  <c r="EP119" i="3"/>
  <c r="FB119" i="3"/>
  <c r="EQ119" i="3"/>
  <c r="FC119" i="3"/>
  <c r="ER119" i="3"/>
  <c r="ES119" i="3"/>
  <c r="FD119" i="3"/>
  <c r="EX111" i="3"/>
  <c r="EY111" i="3"/>
  <c r="EZ111" i="3"/>
  <c r="FA111" i="3"/>
  <c r="EP111" i="3"/>
  <c r="FB111" i="3"/>
  <c r="EQ111" i="3"/>
  <c r="FC111" i="3"/>
  <c r="ER111" i="3"/>
  <c r="FD111" i="3"/>
  <c r="ES111" i="3"/>
  <c r="ET111" i="3"/>
  <c r="EU111" i="3"/>
  <c r="EV111" i="3"/>
  <c r="EW111" i="3"/>
  <c r="ET94" i="3"/>
  <c r="EU94" i="3"/>
  <c r="EV94" i="3"/>
  <c r="EW94" i="3"/>
  <c r="EX94" i="3"/>
  <c r="EY94" i="3"/>
  <c r="EZ94" i="3"/>
  <c r="FA94" i="3"/>
  <c r="EP94" i="3"/>
  <c r="FB94" i="3"/>
  <c r="EQ94" i="3"/>
  <c r="FC94" i="3"/>
  <c r="ER94" i="3"/>
  <c r="FD94" i="3"/>
  <c r="ES94" i="3"/>
  <c r="EP115" i="3"/>
  <c r="FB115" i="3"/>
  <c r="EQ115" i="3"/>
  <c r="FC115" i="3"/>
  <c r="ER115" i="3"/>
  <c r="FD115" i="3"/>
  <c r="ES115" i="3"/>
  <c r="ET115" i="3"/>
  <c r="EU115" i="3"/>
  <c r="EV115" i="3"/>
  <c r="EW115" i="3"/>
  <c r="EX115" i="3"/>
  <c r="EY115" i="3"/>
  <c r="EZ115" i="3"/>
  <c r="FA115" i="3"/>
  <c r="ET88" i="3"/>
  <c r="EU88" i="3"/>
  <c r="EV88" i="3"/>
  <c r="EW88" i="3"/>
  <c r="EX88" i="3"/>
  <c r="EY88" i="3"/>
  <c r="EZ88" i="3"/>
  <c r="FA88" i="3"/>
  <c r="EP88" i="3"/>
  <c r="FB88" i="3"/>
  <c r="EQ88" i="3"/>
  <c r="FC88" i="3"/>
  <c r="ER88" i="3"/>
  <c r="FD88" i="3"/>
  <c r="ES88" i="3"/>
  <c r="EP75" i="3"/>
  <c r="FB75" i="3"/>
  <c r="EQ75" i="3"/>
  <c r="FC75" i="3"/>
  <c r="ER75" i="3"/>
  <c r="FD75" i="3"/>
  <c r="ES75" i="3"/>
  <c r="ET75" i="3"/>
  <c r="EU75" i="3"/>
  <c r="EV75" i="3"/>
  <c r="EW75" i="3"/>
  <c r="EX75" i="3"/>
  <c r="EY75" i="3"/>
  <c r="EZ75" i="3"/>
  <c r="FA75" i="3"/>
  <c r="ET116" i="3"/>
  <c r="EU116" i="3"/>
  <c r="EV116" i="3"/>
  <c r="EW116" i="3"/>
  <c r="EX116" i="3"/>
  <c r="EY116" i="3"/>
  <c r="EZ116" i="3"/>
  <c r="FA116" i="3"/>
  <c r="EP116" i="3"/>
  <c r="FB116" i="3"/>
  <c r="EQ116" i="3"/>
  <c r="FC116" i="3"/>
  <c r="ER116" i="3"/>
  <c r="FD116" i="3"/>
  <c r="ES116" i="3"/>
  <c r="EX92" i="3"/>
  <c r="EY92" i="3"/>
  <c r="EZ92" i="3"/>
  <c r="FA92" i="3"/>
  <c r="EP92" i="3"/>
  <c r="FB92" i="3"/>
  <c r="EQ92" i="3"/>
  <c r="FC92" i="3"/>
  <c r="ER92" i="3"/>
  <c r="FD92" i="3"/>
  <c r="ES92" i="3"/>
  <c r="ET92" i="3"/>
  <c r="EU92" i="3"/>
  <c r="EV92" i="3"/>
  <c r="EW92" i="3"/>
  <c r="ET79" i="3"/>
  <c r="EU79" i="3"/>
  <c r="EV79" i="3"/>
  <c r="EW79" i="3"/>
  <c r="EX79" i="3"/>
  <c r="EY79" i="3"/>
  <c r="EZ79" i="3"/>
  <c r="FA79" i="3"/>
  <c r="EP79" i="3"/>
  <c r="FB79" i="3"/>
  <c r="EQ79" i="3"/>
  <c r="FC79" i="3"/>
  <c r="ER79" i="3"/>
  <c r="FD79" i="3"/>
  <c r="ES79" i="3"/>
  <c r="EX95" i="3"/>
  <c r="EY95" i="3"/>
  <c r="EZ95" i="3"/>
  <c r="FA95" i="3"/>
  <c r="EP95" i="3"/>
  <c r="FB95" i="3"/>
  <c r="EQ95" i="3"/>
  <c r="FC95" i="3"/>
  <c r="ER95" i="3"/>
  <c r="FD95" i="3"/>
  <c r="ES95" i="3"/>
  <c r="ET95" i="3"/>
  <c r="EU95" i="3"/>
  <c r="EV95" i="3"/>
  <c r="EW95" i="3"/>
  <c r="ET82" i="3"/>
  <c r="EU82" i="3"/>
  <c r="EV82" i="3"/>
  <c r="EW82" i="3"/>
  <c r="EX82" i="3"/>
  <c r="EY82" i="3"/>
  <c r="EZ82" i="3"/>
  <c r="FA82" i="3"/>
  <c r="EP82" i="3"/>
  <c r="FB82" i="3"/>
  <c r="EQ82" i="3"/>
  <c r="FC82" i="3"/>
  <c r="ER82" i="3"/>
  <c r="FD82" i="3"/>
  <c r="ES82" i="3"/>
  <c r="EX120" i="3"/>
  <c r="EY120" i="3"/>
  <c r="EZ120" i="3"/>
  <c r="FA120" i="3"/>
  <c r="EP120" i="3"/>
  <c r="FB120" i="3"/>
  <c r="EQ120" i="3"/>
  <c r="FC120" i="3"/>
  <c r="ER120" i="3"/>
  <c r="FD120" i="3"/>
  <c r="ES120" i="3"/>
  <c r="ET120" i="3"/>
  <c r="EU120" i="3"/>
  <c r="EW120" i="3"/>
  <c r="EV120" i="3"/>
  <c r="EP133" i="3"/>
  <c r="FB133" i="3"/>
  <c r="EQ133" i="3"/>
  <c r="FC133" i="3"/>
  <c r="ER133" i="3"/>
  <c r="FD133" i="3"/>
  <c r="ES133" i="3"/>
  <c r="ET133" i="3"/>
  <c r="EU133" i="3"/>
  <c r="EV133" i="3"/>
  <c r="EW133" i="3"/>
  <c r="EX133" i="3"/>
  <c r="EY133" i="3"/>
  <c r="EZ133" i="3"/>
  <c r="FA133" i="3"/>
  <c r="EP127" i="3"/>
  <c r="FB127" i="3"/>
  <c r="EQ127" i="3"/>
  <c r="FC127" i="3"/>
  <c r="ER127" i="3"/>
  <c r="FD127" i="3"/>
  <c r="ES127" i="3"/>
  <c r="ET127" i="3"/>
  <c r="EU127" i="3"/>
  <c r="EV127" i="3"/>
  <c r="EW127" i="3"/>
  <c r="EX127" i="3"/>
  <c r="EY127" i="3"/>
  <c r="FA127" i="3"/>
  <c r="EZ127" i="3"/>
  <c r="EX102" i="3"/>
  <c r="EY102" i="3"/>
  <c r="EZ102" i="3"/>
  <c r="FA102" i="3"/>
  <c r="EP102" i="3"/>
  <c r="FB102" i="3"/>
  <c r="EQ102" i="3"/>
  <c r="FC102" i="3"/>
  <c r="ER102" i="3"/>
  <c r="FD102" i="3"/>
  <c r="ES102" i="3"/>
  <c r="ET102" i="3"/>
  <c r="EU102" i="3"/>
  <c r="EW102" i="3"/>
  <c r="EV102" i="3"/>
  <c r="ET97" i="3"/>
  <c r="EU97" i="3"/>
  <c r="EV97" i="3"/>
  <c r="EW97" i="3"/>
  <c r="EX97" i="3"/>
  <c r="EY97" i="3"/>
  <c r="EZ97" i="3"/>
  <c r="FA97" i="3"/>
  <c r="EP97" i="3"/>
  <c r="FB97" i="3"/>
  <c r="EQ97" i="3"/>
  <c r="FC97" i="3"/>
  <c r="ER97" i="3"/>
  <c r="FD97" i="3"/>
  <c r="ES97" i="3"/>
  <c r="ET101" i="3"/>
  <c r="EU101" i="3"/>
  <c r="EV101" i="3"/>
  <c r="EW101" i="3"/>
  <c r="EX101" i="3"/>
  <c r="EY101" i="3"/>
  <c r="EZ101" i="3"/>
  <c r="FA101" i="3"/>
  <c r="EP101" i="3"/>
  <c r="FB101" i="3"/>
  <c r="EQ101" i="3"/>
  <c r="FC101" i="3"/>
  <c r="ER101" i="3"/>
  <c r="ES101" i="3"/>
  <c r="FD101" i="3"/>
  <c r="EP106" i="3"/>
  <c r="FB106" i="3"/>
  <c r="EQ106" i="3"/>
  <c r="FC106" i="3"/>
  <c r="ER106" i="3"/>
  <c r="FD106" i="3"/>
  <c r="ES106" i="3"/>
  <c r="ET106" i="3"/>
  <c r="EU106" i="3"/>
  <c r="EV106" i="3"/>
  <c r="EW106" i="3"/>
  <c r="EX106" i="3"/>
  <c r="EY106" i="3"/>
  <c r="EZ106" i="3"/>
  <c r="FA106" i="3"/>
  <c r="ET122" i="3"/>
  <c r="EU122" i="3"/>
  <c r="EV122" i="3"/>
  <c r="EW122" i="3"/>
  <c r="EX122" i="3"/>
  <c r="EY122" i="3"/>
  <c r="EZ122" i="3"/>
  <c r="FA122" i="3"/>
  <c r="EP122" i="3"/>
  <c r="FB122" i="3"/>
  <c r="EQ122" i="3"/>
  <c r="FC122" i="3"/>
  <c r="ER122" i="3"/>
  <c r="ES122" i="3"/>
  <c r="FD122" i="3"/>
  <c r="EP118" i="3"/>
  <c r="FB118" i="3"/>
  <c r="EQ118" i="3"/>
  <c r="FC118" i="3"/>
  <c r="ER118" i="3"/>
  <c r="FD118" i="3"/>
  <c r="ES118" i="3"/>
  <c r="ET118" i="3"/>
  <c r="EU118" i="3"/>
  <c r="EV118" i="3"/>
  <c r="EW118" i="3"/>
  <c r="EX118" i="3"/>
  <c r="EY118" i="3"/>
  <c r="EZ118" i="3"/>
  <c r="FA118" i="3"/>
  <c r="EP121" i="3"/>
  <c r="FB121" i="3"/>
  <c r="EQ121" i="3"/>
  <c r="FC121" i="3"/>
  <c r="ER121" i="3"/>
  <c r="FD121" i="3"/>
  <c r="ES121" i="3"/>
  <c r="ET121" i="3"/>
  <c r="EU121" i="3"/>
  <c r="EV121" i="3"/>
  <c r="EW121" i="3"/>
  <c r="EX121" i="3"/>
  <c r="EY121" i="3"/>
  <c r="EZ121" i="3"/>
  <c r="FA121" i="3"/>
  <c r="EP130" i="3"/>
  <c r="FB130" i="3"/>
  <c r="EQ130" i="3"/>
  <c r="FC130" i="3"/>
  <c r="ER130" i="3"/>
  <c r="FD130" i="3"/>
  <c r="ES130" i="3"/>
  <c r="ET130" i="3"/>
  <c r="EU130" i="3"/>
  <c r="EV130" i="3"/>
  <c r="EW130" i="3"/>
  <c r="EX130" i="3"/>
  <c r="EY130" i="3"/>
  <c r="EZ130" i="3"/>
  <c r="FA130" i="3"/>
  <c r="EX108" i="3"/>
  <c r="EY108" i="3"/>
  <c r="EZ108" i="3"/>
  <c r="FA108" i="3"/>
  <c r="EP108" i="3"/>
  <c r="FB108" i="3"/>
  <c r="EQ108" i="3"/>
  <c r="FC108" i="3"/>
  <c r="ER108" i="3"/>
  <c r="FD108" i="3"/>
  <c r="ES108" i="3"/>
  <c r="ET108" i="3"/>
  <c r="EU108" i="3"/>
  <c r="EV108" i="3"/>
  <c r="EW108" i="3"/>
  <c r="ET131" i="3"/>
  <c r="EU131" i="3"/>
  <c r="EV131" i="3"/>
  <c r="EW131" i="3"/>
  <c r="EX131" i="3"/>
  <c r="EY131" i="3"/>
  <c r="EZ131" i="3"/>
  <c r="FA131" i="3"/>
  <c r="EP131" i="3"/>
  <c r="FB131" i="3"/>
  <c r="EQ131" i="3"/>
  <c r="FC131" i="3"/>
  <c r="FD131" i="3"/>
  <c r="ES131" i="3"/>
  <c r="ER131" i="3"/>
  <c r="ET73" i="3"/>
  <c r="EU73" i="3"/>
  <c r="EV73" i="3"/>
  <c r="EW73" i="3"/>
  <c r="EX73" i="3"/>
  <c r="EY73" i="3"/>
  <c r="EZ73" i="3"/>
  <c r="FA73" i="3"/>
  <c r="EP73" i="3"/>
  <c r="FB73" i="3"/>
  <c r="EQ73" i="3"/>
  <c r="FC73" i="3"/>
  <c r="ER73" i="3"/>
  <c r="FD73" i="3"/>
  <c r="ES73" i="3"/>
  <c r="EX132" i="3"/>
  <c r="EY132" i="3"/>
  <c r="EZ132" i="3"/>
  <c r="FA132" i="3"/>
  <c r="EP132" i="3"/>
  <c r="FB132" i="3"/>
  <c r="EQ132" i="3"/>
  <c r="FC132" i="3"/>
  <c r="ER132" i="3"/>
  <c r="FD132" i="3"/>
  <c r="ES132" i="3"/>
  <c r="ET132" i="3"/>
  <c r="EU132" i="3"/>
  <c r="EV132" i="3"/>
  <c r="EW132" i="3"/>
  <c r="EP93" i="3"/>
  <c r="FB93" i="3"/>
  <c r="EQ93" i="3"/>
  <c r="FC93" i="3"/>
  <c r="ER93" i="3"/>
  <c r="FD93" i="3"/>
  <c r="ES93" i="3"/>
  <c r="ET93" i="3"/>
  <c r="EU93" i="3"/>
  <c r="EV93" i="3"/>
  <c r="EW93" i="3"/>
  <c r="EX93" i="3"/>
  <c r="EY93" i="3"/>
  <c r="EZ93" i="3"/>
  <c r="FA93" i="3"/>
  <c r="ET113" i="3"/>
  <c r="EU113" i="3"/>
  <c r="EV113" i="3"/>
  <c r="EW113" i="3"/>
  <c r="EX113" i="3"/>
  <c r="EY113" i="3"/>
  <c r="EZ113" i="3"/>
  <c r="FA113" i="3"/>
  <c r="EP113" i="3"/>
  <c r="FB113" i="3"/>
  <c r="EQ113" i="3"/>
  <c r="FC113" i="3"/>
  <c r="FD113" i="3"/>
  <c r="ES113" i="3"/>
  <c r="ER113" i="3"/>
  <c r="EX129" i="3"/>
  <c r="EY129" i="3"/>
  <c r="EZ129" i="3"/>
  <c r="FA129" i="3"/>
  <c r="EP129" i="3"/>
  <c r="FB129" i="3"/>
  <c r="EQ129" i="3"/>
  <c r="FC129" i="3"/>
  <c r="ER129" i="3"/>
  <c r="FD129" i="3"/>
  <c r="ES129" i="3"/>
  <c r="ET129" i="3"/>
  <c r="EU129" i="3"/>
  <c r="EV129" i="3"/>
  <c r="EW129" i="3"/>
  <c r="EP109" i="3"/>
  <c r="FB109" i="3"/>
  <c r="EQ109" i="3"/>
  <c r="FC109" i="3"/>
  <c r="ER109" i="3"/>
  <c r="FD109" i="3"/>
  <c r="ES109" i="3"/>
  <c r="ET109" i="3"/>
  <c r="EU109" i="3"/>
  <c r="EV109" i="3"/>
  <c r="EW109" i="3"/>
  <c r="EX109" i="3"/>
  <c r="EY109" i="3"/>
  <c r="FA109" i="3"/>
  <c r="EZ109" i="3"/>
  <c r="EX114" i="3"/>
  <c r="EY114" i="3"/>
  <c r="EZ114" i="3"/>
  <c r="FA114" i="3"/>
  <c r="EP114" i="3"/>
  <c r="FB114" i="3"/>
  <c r="EQ114" i="3"/>
  <c r="FC114" i="3"/>
  <c r="ER114" i="3"/>
  <c r="FD114" i="3"/>
  <c r="ES114" i="3"/>
  <c r="ET114" i="3"/>
  <c r="EU114" i="3"/>
  <c r="EV114" i="3"/>
  <c r="EW114" i="3"/>
  <c r="EP100" i="3"/>
  <c r="FB100" i="3"/>
  <c r="EQ100" i="3"/>
  <c r="FC100" i="3"/>
  <c r="ER100" i="3"/>
  <c r="FD100" i="3"/>
  <c r="ES100" i="3"/>
  <c r="ET100" i="3"/>
  <c r="EU100" i="3"/>
  <c r="EV100" i="3"/>
  <c r="EW100" i="3"/>
  <c r="EX100" i="3"/>
  <c r="EY100" i="3"/>
  <c r="EZ100" i="3"/>
  <c r="FA100" i="3"/>
  <c r="ET76" i="3"/>
  <c r="EU76" i="3"/>
  <c r="EV76" i="3"/>
  <c r="EW76" i="3"/>
  <c r="EX76" i="3"/>
  <c r="EY76" i="3"/>
  <c r="EZ76" i="3"/>
  <c r="FA76" i="3"/>
  <c r="EP76" i="3"/>
  <c r="FB76" i="3"/>
  <c r="EQ76" i="3"/>
  <c r="FC76" i="3"/>
  <c r="ER76" i="3"/>
  <c r="FD76" i="3"/>
  <c r="ES76" i="3"/>
  <c r="EX123" i="3"/>
  <c r="EY123" i="3"/>
  <c r="EZ123" i="3"/>
  <c r="FA123" i="3"/>
  <c r="EP123" i="3"/>
  <c r="FB123" i="3"/>
  <c r="EQ123" i="3"/>
  <c r="FC123" i="3"/>
  <c r="ER123" i="3"/>
  <c r="FD123" i="3"/>
  <c r="ES123" i="3"/>
  <c r="ET123" i="3"/>
  <c r="EU123" i="3"/>
  <c r="EV123" i="3"/>
  <c r="EW123" i="3"/>
  <c r="EX86" i="3"/>
  <c r="EY86" i="3"/>
  <c r="EZ86" i="3"/>
  <c r="FA86" i="3"/>
  <c r="EP86" i="3"/>
  <c r="FB86" i="3"/>
  <c r="EQ86" i="3"/>
  <c r="FC86" i="3"/>
  <c r="ER86" i="3"/>
  <c r="FD86" i="3"/>
  <c r="ES86" i="3"/>
  <c r="ET86" i="3"/>
  <c r="EU86" i="3"/>
  <c r="EV86" i="3"/>
  <c r="EW86" i="3"/>
  <c r="DX129" i="3"/>
  <c r="DZ129" i="3"/>
  <c r="EA129" i="3"/>
  <c r="ED129" i="3"/>
  <c r="EF129" i="3"/>
  <c r="EE129" i="3"/>
  <c r="EI129" i="3"/>
  <c r="DP129" i="3"/>
  <c r="DW129" i="3"/>
  <c r="DY129" i="3"/>
  <c r="DV129" i="3"/>
  <c r="DU129" i="3"/>
  <c r="EC129" i="3"/>
  <c r="EG129" i="3"/>
  <c r="EH129" i="3"/>
  <c r="CZ129" i="3"/>
  <c r="DL129" i="3"/>
  <c r="DC129" i="3"/>
  <c r="DD129" i="3"/>
  <c r="DE129" i="3"/>
  <c r="DF129" i="3"/>
  <c r="DI129" i="3"/>
  <c r="CX129" i="3"/>
  <c r="CY129" i="3"/>
  <c r="DA129" i="3"/>
  <c r="DB129" i="3"/>
  <c r="DG129" i="3"/>
  <c r="DH129" i="3"/>
  <c r="DJ129" i="3"/>
  <c r="DK129" i="3"/>
  <c r="DM129" i="3"/>
  <c r="DN129" i="3"/>
  <c r="FQ129" i="3"/>
  <c r="FR129" i="3"/>
  <c r="FS129" i="3"/>
  <c r="FT129" i="3"/>
  <c r="FU129" i="3"/>
  <c r="FV129" i="3"/>
  <c r="FX129" i="3"/>
  <c r="FM129" i="3"/>
  <c r="FY129" i="3"/>
  <c r="FP129" i="3"/>
  <c r="FN129" i="3"/>
  <c r="FO129" i="3"/>
  <c r="FZ129" i="3"/>
  <c r="GA129" i="3"/>
  <c r="DY94" i="3"/>
  <c r="DZ94" i="3"/>
  <c r="EA94" i="3"/>
  <c r="EE94" i="3"/>
  <c r="EF94" i="3"/>
  <c r="EG94" i="3"/>
  <c r="DX94" i="3"/>
  <c r="DV94" i="3"/>
  <c r="DW94" i="3"/>
  <c r="EC94" i="3"/>
  <c r="ED94" i="3"/>
  <c r="EH94" i="3"/>
  <c r="EI94" i="3"/>
  <c r="DP94" i="3"/>
  <c r="DU94" i="3"/>
  <c r="DH94" i="3"/>
  <c r="DI94" i="3"/>
  <c r="DB94" i="3"/>
  <c r="DN94" i="3"/>
  <c r="DL94" i="3"/>
  <c r="DC94" i="3"/>
  <c r="DD94" i="3"/>
  <c r="DE94" i="3"/>
  <c r="DG94" i="3"/>
  <c r="DA94" i="3"/>
  <c r="DJ94" i="3"/>
  <c r="DK94" i="3"/>
  <c r="CZ94" i="3"/>
  <c r="CY94" i="3"/>
  <c r="DF94" i="3"/>
  <c r="DM94" i="3"/>
  <c r="CX94" i="3"/>
  <c r="FV94" i="3"/>
  <c r="FX94" i="3"/>
  <c r="FM94" i="3"/>
  <c r="FY94" i="3"/>
  <c r="FN94" i="3"/>
  <c r="FZ94" i="3"/>
  <c r="FO94" i="3"/>
  <c r="GA94" i="3"/>
  <c r="FP94" i="3"/>
  <c r="FQ94" i="3"/>
  <c r="FR94" i="3"/>
  <c r="FU94" i="3"/>
  <c r="FS94" i="3"/>
  <c r="FT94" i="3"/>
  <c r="DX101" i="3"/>
  <c r="DY101" i="3"/>
  <c r="DZ101" i="3"/>
  <c r="ED101" i="3"/>
  <c r="EE101" i="3"/>
  <c r="EF101" i="3"/>
  <c r="DW101" i="3"/>
  <c r="DV101" i="3"/>
  <c r="EC101" i="3"/>
  <c r="EH101" i="3"/>
  <c r="EI101" i="3"/>
  <c r="DP101" i="3"/>
  <c r="EA101" i="3"/>
  <c r="EG101" i="3"/>
  <c r="DU101" i="3"/>
  <c r="DF101" i="3"/>
  <c r="CY101" i="3"/>
  <c r="DK101" i="3"/>
  <c r="DB101" i="3"/>
  <c r="DH101" i="3"/>
  <c r="DI101" i="3"/>
  <c r="DJ101" i="3"/>
  <c r="CX101" i="3"/>
  <c r="DM101" i="3"/>
  <c r="CZ101" i="3"/>
  <c r="DA101" i="3"/>
  <c r="DC101" i="3"/>
  <c r="DD101" i="3"/>
  <c r="DL101" i="3"/>
  <c r="DE101" i="3"/>
  <c r="DG101" i="3"/>
  <c r="DN101" i="3"/>
  <c r="FU101" i="3"/>
  <c r="FV101" i="3"/>
  <c r="FX101" i="3"/>
  <c r="FM101" i="3"/>
  <c r="FY101" i="3"/>
  <c r="FN101" i="3"/>
  <c r="FZ101" i="3"/>
  <c r="FO101" i="3"/>
  <c r="GA101" i="3"/>
  <c r="FP101" i="3"/>
  <c r="FQ101" i="3"/>
  <c r="FT101" i="3"/>
  <c r="FR101" i="3"/>
  <c r="FS101" i="3"/>
  <c r="DU126" i="3"/>
  <c r="EH126" i="3"/>
  <c r="DW126" i="3"/>
  <c r="DX126" i="3"/>
  <c r="DZ126" i="3"/>
  <c r="DP126" i="3"/>
  <c r="EC126" i="3"/>
  <c r="DY126" i="3"/>
  <c r="EE126" i="3"/>
  <c r="EF126" i="3"/>
  <c r="EI126" i="3"/>
  <c r="DV126" i="3"/>
  <c r="EA126" i="3"/>
  <c r="ED126" i="3"/>
  <c r="EG126" i="3"/>
  <c r="DC126" i="3"/>
  <c r="DF126" i="3"/>
  <c r="DG126" i="3"/>
  <c r="DH126" i="3"/>
  <c r="DI126" i="3"/>
  <c r="CZ126" i="3"/>
  <c r="DL126" i="3"/>
  <c r="DK126" i="3"/>
  <c r="DM126" i="3"/>
  <c r="DN126" i="3"/>
  <c r="CX126" i="3"/>
  <c r="CY126" i="3"/>
  <c r="DA126" i="3"/>
  <c r="DB126" i="3"/>
  <c r="DD126" i="3"/>
  <c r="DE126" i="3"/>
  <c r="DJ126" i="3"/>
  <c r="FN126" i="3"/>
  <c r="FZ126" i="3"/>
  <c r="FO126" i="3"/>
  <c r="GA126" i="3"/>
  <c r="FP126" i="3"/>
  <c r="FQ126" i="3"/>
  <c r="FR126" i="3"/>
  <c r="FS126" i="3"/>
  <c r="FT126" i="3"/>
  <c r="FU126" i="3"/>
  <c r="FV126" i="3"/>
  <c r="FM126" i="3"/>
  <c r="FY126" i="3"/>
  <c r="FX126" i="3"/>
  <c r="DX117" i="3"/>
  <c r="DZ117" i="3"/>
  <c r="EA117" i="3"/>
  <c r="ED117" i="3"/>
  <c r="EF117" i="3"/>
  <c r="EG117" i="3"/>
  <c r="DP117" i="3"/>
  <c r="DY117" i="3"/>
  <c r="DU117" i="3"/>
  <c r="DV117" i="3"/>
  <c r="EC117" i="3"/>
  <c r="EI117" i="3"/>
  <c r="DW117" i="3"/>
  <c r="EE117" i="3"/>
  <c r="EH117" i="3"/>
  <c r="DA117" i="3"/>
  <c r="DM117" i="3"/>
  <c r="DG117" i="3"/>
  <c r="DJ117" i="3"/>
  <c r="CX117" i="3"/>
  <c r="DK117" i="3"/>
  <c r="CY117" i="3"/>
  <c r="DL117" i="3"/>
  <c r="CZ117" i="3"/>
  <c r="DN117" i="3"/>
  <c r="DD117" i="3"/>
  <c r="DC117" i="3"/>
  <c r="DE117" i="3"/>
  <c r="DF117" i="3"/>
  <c r="DH117" i="3"/>
  <c r="DI117" i="3"/>
  <c r="DB117" i="3"/>
  <c r="FQ117" i="3"/>
  <c r="FR117" i="3"/>
  <c r="FS117" i="3"/>
  <c r="FT117" i="3"/>
  <c r="FU117" i="3"/>
  <c r="FV117" i="3"/>
  <c r="FX117" i="3"/>
  <c r="FM117" i="3"/>
  <c r="FY117" i="3"/>
  <c r="FP117" i="3"/>
  <c r="FN117" i="3"/>
  <c r="FO117" i="3"/>
  <c r="FZ117" i="3"/>
  <c r="GA117" i="3"/>
  <c r="DY106" i="3"/>
  <c r="DZ106" i="3"/>
  <c r="EA106" i="3"/>
  <c r="EE106" i="3"/>
  <c r="EF106" i="3"/>
  <c r="EG106" i="3"/>
  <c r="DX106" i="3"/>
  <c r="DU106" i="3"/>
  <c r="DW106" i="3"/>
  <c r="EC106" i="3"/>
  <c r="EH106" i="3"/>
  <c r="EI106" i="3"/>
  <c r="DP106" i="3"/>
  <c r="ED106" i="3"/>
  <c r="DV106" i="3"/>
  <c r="DI106" i="3"/>
  <c r="DB106" i="3"/>
  <c r="DN106" i="3"/>
  <c r="DD106" i="3"/>
  <c r="DF106" i="3"/>
  <c r="DH106" i="3"/>
  <c r="DG106" i="3"/>
  <c r="DL106" i="3"/>
  <c r="DM106" i="3"/>
  <c r="CX106" i="3"/>
  <c r="DA106" i="3"/>
  <c r="CY106" i="3"/>
  <c r="CZ106" i="3"/>
  <c r="DC106" i="3"/>
  <c r="DE106" i="3"/>
  <c r="DJ106" i="3"/>
  <c r="DK106" i="3"/>
  <c r="FV106" i="3"/>
  <c r="FX106" i="3"/>
  <c r="FM106" i="3"/>
  <c r="FY106" i="3"/>
  <c r="FN106" i="3"/>
  <c r="FZ106" i="3"/>
  <c r="FO106" i="3"/>
  <c r="GA106" i="3"/>
  <c r="FP106" i="3"/>
  <c r="FQ106" i="3"/>
  <c r="FR106" i="3"/>
  <c r="FU106" i="3"/>
  <c r="FS106" i="3"/>
  <c r="FT106" i="3"/>
  <c r="DW96" i="3"/>
  <c r="DX96" i="3"/>
  <c r="DY96" i="3"/>
  <c r="DP96" i="3"/>
  <c r="EC96" i="3"/>
  <c r="ED96" i="3"/>
  <c r="EE96" i="3"/>
  <c r="DV96" i="3"/>
  <c r="EI96" i="3"/>
  <c r="EG96" i="3"/>
  <c r="DU96" i="3"/>
  <c r="DZ96" i="3"/>
  <c r="EH96" i="3"/>
  <c r="EA96" i="3"/>
  <c r="EF96" i="3"/>
  <c r="DB96" i="3"/>
  <c r="DN96" i="3"/>
  <c r="DC96" i="3"/>
  <c r="DH96" i="3"/>
  <c r="DA96" i="3"/>
  <c r="DI96" i="3"/>
  <c r="DJ96" i="3"/>
  <c r="DK96" i="3"/>
  <c r="CX96" i="3"/>
  <c r="DM96" i="3"/>
  <c r="CZ96" i="3"/>
  <c r="DD96" i="3"/>
  <c r="DE96" i="3"/>
  <c r="DF96" i="3"/>
  <c r="CY96" i="3"/>
  <c r="DG96" i="3"/>
  <c r="DL96" i="3"/>
  <c r="FT96" i="3"/>
  <c r="FU96" i="3"/>
  <c r="FV96" i="3"/>
  <c r="FX96" i="3"/>
  <c r="FM96" i="3"/>
  <c r="FY96" i="3"/>
  <c r="FN96" i="3"/>
  <c r="FZ96" i="3"/>
  <c r="FO96" i="3"/>
  <c r="GA96" i="3"/>
  <c r="FP96" i="3"/>
  <c r="FS96" i="3"/>
  <c r="FQ96" i="3"/>
  <c r="FR96" i="3"/>
  <c r="DV119" i="3"/>
  <c r="EI119" i="3"/>
  <c r="DX119" i="3"/>
  <c r="DY119" i="3"/>
  <c r="EA119" i="3"/>
  <c r="ED119" i="3"/>
  <c r="EH119" i="3"/>
  <c r="EE119" i="3"/>
  <c r="EF119" i="3"/>
  <c r="DP119" i="3"/>
  <c r="DU119" i="3"/>
  <c r="EC119" i="3"/>
  <c r="EG119" i="3"/>
  <c r="DW119" i="3"/>
  <c r="DZ119" i="3"/>
  <c r="DG119" i="3"/>
  <c r="DD119" i="3"/>
  <c r="DH119" i="3"/>
  <c r="DI119" i="3"/>
  <c r="DJ119" i="3"/>
  <c r="CX119" i="3"/>
  <c r="DK119" i="3"/>
  <c r="DA119" i="3"/>
  <c r="DN119" i="3"/>
  <c r="DM119" i="3"/>
  <c r="CY119" i="3"/>
  <c r="CZ119" i="3"/>
  <c r="DB119" i="3"/>
  <c r="DC119" i="3"/>
  <c r="DE119" i="3"/>
  <c r="DF119" i="3"/>
  <c r="DL119" i="3"/>
  <c r="FO119" i="3"/>
  <c r="GA119" i="3"/>
  <c r="FP119" i="3"/>
  <c r="FQ119" i="3"/>
  <c r="FR119" i="3"/>
  <c r="FS119" i="3"/>
  <c r="FT119" i="3"/>
  <c r="FU119" i="3"/>
  <c r="FV119" i="3"/>
  <c r="FN119" i="3"/>
  <c r="FZ119" i="3"/>
  <c r="FM119" i="3"/>
  <c r="FX119" i="3"/>
  <c r="FY119" i="3"/>
  <c r="EG121" i="3"/>
  <c r="DV121" i="3"/>
  <c r="EI121" i="3"/>
  <c r="DW121" i="3"/>
  <c r="DY121" i="3"/>
  <c r="EA121" i="3"/>
  <c r="DU121" i="3"/>
  <c r="DX121" i="3"/>
  <c r="EF121" i="3"/>
  <c r="DZ121" i="3"/>
  <c r="DP121" i="3"/>
  <c r="EC121" i="3"/>
  <c r="ED121" i="3"/>
  <c r="EE121" i="3"/>
  <c r="EH121" i="3"/>
  <c r="CZ121" i="3"/>
  <c r="DL121" i="3"/>
  <c r="DC121" i="3"/>
  <c r="DD121" i="3"/>
  <c r="DE121" i="3"/>
  <c r="DF121" i="3"/>
  <c r="DI121" i="3"/>
  <c r="CX121" i="3"/>
  <c r="CY121" i="3"/>
  <c r="DA121" i="3"/>
  <c r="DB121" i="3"/>
  <c r="DG121" i="3"/>
  <c r="DH121" i="3"/>
  <c r="DJ121" i="3"/>
  <c r="DK121" i="3"/>
  <c r="DM121" i="3"/>
  <c r="DN121" i="3"/>
  <c r="FM121" i="3"/>
  <c r="FY121" i="3"/>
  <c r="FN121" i="3"/>
  <c r="FZ121" i="3"/>
  <c r="FO121" i="3"/>
  <c r="GA121" i="3"/>
  <c r="FP121" i="3"/>
  <c r="FQ121" i="3"/>
  <c r="FR121" i="3"/>
  <c r="FS121" i="3"/>
  <c r="FT121" i="3"/>
  <c r="FU121" i="3"/>
  <c r="FX121" i="3"/>
  <c r="FV121" i="3"/>
  <c r="DZ111" i="3"/>
  <c r="EA111" i="3"/>
  <c r="DP111" i="3"/>
  <c r="EC111" i="3"/>
  <c r="EF111" i="3"/>
  <c r="EG111" i="3"/>
  <c r="DU111" i="3"/>
  <c r="EH111" i="3"/>
  <c r="DY111" i="3"/>
  <c r="DW111" i="3"/>
  <c r="DX111" i="3"/>
  <c r="ED111" i="3"/>
  <c r="DV111" i="3"/>
  <c r="EE111" i="3"/>
  <c r="EI111" i="3"/>
  <c r="DG111" i="3"/>
  <c r="DI111" i="3"/>
  <c r="CY111" i="3"/>
  <c r="DK111" i="3"/>
  <c r="DJ111" i="3"/>
  <c r="CX111" i="3"/>
  <c r="DN111" i="3"/>
  <c r="CZ111" i="3"/>
  <c r="DA111" i="3"/>
  <c r="DB111" i="3"/>
  <c r="DE111" i="3"/>
  <c r="DC111" i="3"/>
  <c r="DD111" i="3"/>
  <c r="DF111" i="3"/>
  <c r="DH111" i="3"/>
  <c r="DL111" i="3"/>
  <c r="DM111" i="3"/>
  <c r="FX111" i="3"/>
  <c r="FM111" i="3"/>
  <c r="FY111" i="3"/>
  <c r="FN111" i="3"/>
  <c r="FZ111" i="3"/>
  <c r="FO111" i="3"/>
  <c r="GA111" i="3"/>
  <c r="FP111" i="3"/>
  <c r="FQ111" i="3"/>
  <c r="FR111" i="3"/>
  <c r="FS111" i="3"/>
  <c r="FV111" i="3"/>
  <c r="FT111" i="3"/>
  <c r="FU111" i="3"/>
  <c r="EE135" i="3"/>
  <c r="EG135" i="3"/>
  <c r="DU135" i="3"/>
  <c r="EH135" i="3"/>
  <c r="DW135" i="3"/>
  <c r="DY135" i="3"/>
  <c r="DX135" i="3"/>
  <c r="DZ135" i="3"/>
  <c r="EI135" i="3"/>
  <c r="DP135" i="3"/>
  <c r="EA135" i="3"/>
  <c r="EF135" i="3"/>
  <c r="DV135" i="3"/>
  <c r="EC135" i="3"/>
  <c r="ED135" i="3"/>
  <c r="DF135" i="3"/>
  <c r="DI135" i="3"/>
  <c r="CX135" i="3"/>
  <c r="DJ135" i="3"/>
  <c r="CY135" i="3"/>
  <c r="DK135" i="3"/>
  <c r="CZ135" i="3"/>
  <c r="DL135" i="3"/>
  <c r="DC135" i="3"/>
  <c r="DN135" i="3"/>
  <c r="DA135" i="3"/>
  <c r="DB135" i="3"/>
  <c r="DD135" i="3"/>
  <c r="DE135" i="3"/>
  <c r="DG135" i="3"/>
  <c r="DH135" i="3"/>
  <c r="DM135" i="3"/>
  <c r="FX135" i="3"/>
  <c r="FM135" i="3"/>
  <c r="FY135" i="3"/>
  <c r="FN135" i="3"/>
  <c r="FZ135" i="3"/>
  <c r="FO135" i="3"/>
  <c r="GA135" i="3"/>
  <c r="FP135" i="3"/>
  <c r="FQ135" i="3"/>
  <c r="FR135" i="3"/>
  <c r="FS135" i="3"/>
  <c r="FV135" i="3"/>
  <c r="FT135" i="3"/>
  <c r="FU135" i="3"/>
  <c r="DV79" i="3"/>
  <c r="EI79" i="3"/>
  <c r="DW79" i="3"/>
  <c r="DX79" i="3"/>
  <c r="EA79" i="3"/>
  <c r="DP79" i="3"/>
  <c r="EC79" i="3"/>
  <c r="ED79" i="3"/>
  <c r="DU79" i="3"/>
  <c r="EH79" i="3"/>
  <c r="DY79" i="3"/>
  <c r="DZ79" i="3"/>
  <c r="EE79" i="3"/>
  <c r="EF79" i="3"/>
  <c r="EG79" i="3"/>
  <c r="CY79" i="3"/>
  <c r="DK79" i="3"/>
  <c r="CZ79" i="3"/>
  <c r="DL79" i="3"/>
  <c r="DE79" i="3"/>
  <c r="DG79" i="3"/>
  <c r="DH79" i="3"/>
  <c r="DI79" i="3"/>
  <c r="DJ79" i="3"/>
  <c r="DN79" i="3"/>
  <c r="CX79" i="3"/>
  <c r="DA79" i="3"/>
  <c r="DB79" i="3"/>
  <c r="DC79" i="3"/>
  <c r="DF79" i="3"/>
  <c r="DM79" i="3"/>
  <c r="DD79" i="3"/>
  <c r="FM79" i="3"/>
  <c r="FY79" i="3"/>
  <c r="FO79" i="3"/>
  <c r="GA79" i="3"/>
  <c r="FS79" i="3"/>
  <c r="FT79" i="3"/>
  <c r="FV79" i="3"/>
  <c r="FN79" i="3"/>
  <c r="FP79" i="3"/>
  <c r="FQ79" i="3"/>
  <c r="FR79" i="3"/>
  <c r="FU79" i="3"/>
  <c r="FX79" i="3"/>
  <c r="FZ79" i="3"/>
  <c r="DU74" i="3"/>
  <c r="EH74" i="3"/>
  <c r="DV74" i="3"/>
  <c r="EI74" i="3"/>
  <c r="DW74" i="3"/>
  <c r="DZ74" i="3"/>
  <c r="EA74" i="3"/>
  <c r="DP74" i="3"/>
  <c r="EC74" i="3"/>
  <c r="EG74" i="3"/>
  <c r="DX74" i="3"/>
  <c r="DY74" i="3"/>
  <c r="ED74" i="3"/>
  <c r="EE74" i="3"/>
  <c r="EF74" i="3"/>
  <c r="DH74" i="3"/>
  <c r="DI74" i="3"/>
  <c r="DB74" i="3"/>
  <c r="DN74" i="3"/>
  <c r="CZ74" i="3"/>
  <c r="DA74" i="3"/>
  <c r="DC74" i="3"/>
  <c r="DD74" i="3"/>
  <c r="DE74" i="3"/>
  <c r="DF74" i="3"/>
  <c r="DG74" i="3"/>
  <c r="DJ74" i="3"/>
  <c r="DK74" i="3"/>
  <c r="DL74" i="3"/>
  <c r="CX74" i="3"/>
  <c r="CY74" i="3"/>
  <c r="DM74" i="3"/>
  <c r="FX74" i="3"/>
  <c r="FM74" i="3"/>
  <c r="FY74" i="3"/>
  <c r="FN74" i="3"/>
  <c r="FZ74" i="3"/>
  <c r="FR74" i="3"/>
  <c r="FS74" i="3"/>
  <c r="FT74" i="3"/>
  <c r="FU74" i="3"/>
  <c r="FO74" i="3"/>
  <c r="FP74" i="3"/>
  <c r="FQ74" i="3"/>
  <c r="FV74" i="3"/>
  <c r="GA74" i="3"/>
  <c r="DZ127" i="3"/>
  <c r="DP127" i="3"/>
  <c r="EC127" i="3"/>
  <c r="ED127" i="3"/>
  <c r="EF127" i="3"/>
  <c r="DU127" i="3"/>
  <c r="EH127" i="3"/>
  <c r="DY127" i="3"/>
  <c r="EG127" i="3"/>
  <c r="EI127" i="3"/>
  <c r="DV127" i="3"/>
  <c r="DW127" i="3"/>
  <c r="EE127" i="3"/>
  <c r="DX127" i="3"/>
  <c r="EA127" i="3"/>
  <c r="DF127" i="3"/>
  <c r="DI127" i="3"/>
  <c r="CX127" i="3"/>
  <c r="DJ127" i="3"/>
  <c r="CY127" i="3"/>
  <c r="DK127" i="3"/>
  <c r="CZ127" i="3"/>
  <c r="DL127" i="3"/>
  <c r="DC127" i="3"/>
  <c r="DN127" i="3"/>
  <c r="DA127" i="3"/>
  <c r="DB127" i="3"/>
  <c r="DD127" i="3"/>
  <c r="DE127" i="3"/>
  <c r="DG127" i="3"/>
  <c r="DH127" i="3"/>
  <c r="DM127" i="3"/>
  <c r="FS127" i="3"/>
  <c r="FT127" i="3"/>
  <c r="FU127" i="3"/>
  <c r="FV127" i="3"/>
  <c r="FX127" i="3"/>
  <c r="FM127" i="3"/>
  <c r="FY127" i="3"/>
  <c r="FN127" i="3"/>
  <c r="FZ127" i="3"/>
  <c r="FO127" i="3"/>
  <c r="GA127" i="3"/>
  <c r="FR127" i="3"/>
  <c r="FP127" i="3"/>
  <c r="FQ127" i="3"/>
  <c r="ED102" i="3"/>
  <c r="EE102" i="3"/>
  <c r="EF102" i="3"/>
  <c r="DV102" i="3"/>
  <c r="EI102" i="3"/>
  <c r="DW102" i="3"/>
  <c r="DX102" i="3"/>
  <c r="DP102" i="3"/>
  <c r="EC102" i="3"/>
  <c r="EH102" i="3"/>
  <c r="DU102" i="3"/>
  <c r="DY102" i="3"/>
  <c r="DZ102" i="3"/>
  <c r="EG102" i="3"/>
  <c r="EA102" i="3"/>
  <c r="DI102" i="3"/>
  <c r="DB102" i="3"/>
  <c r="DN102" i="3"/>
  <c r="DJ102" i="3"/>
  <c r="DA102" i="3"/>
  <c r="DC102" i="3"/>
  <c r="DD102" i="3"/>
  <c r="DF102" i="3"/>
  <c r="CZ102" i="3"/>
  <c r="DE102" i="3"/>
  <c r="DG102" i="3"/>
  <c r="DH102" i="3"/>
  <c r="DM102" i="3"/>
  <c r="DL102" i="3"/>
  <c r="CX102" i="3"/>
  <c r="CY102" i="3"/>
  <c r="DK102" i="3"/>
  <c r="FN102" i="3"/>
  <c r="FZ102" i="3"/>
  <c r="FO102" i="3"/>
  <c r="GA102" i="3"/>
  <c r="FP102" i="3"/>
  <c r="FQ102" i="3"/>
  <c r="FR102" i="3"/>
  <c r="FS102" i="3"/>
  <c r="FT102" i="3"/>
  <c r="FU102" i="3"/>
  <c r="FV102" i="3"/>
  <c r="FM102" i="3"/>
  <c r="FY102" i="3"/>
  <c r="FX102" i="3"/>
  <c r="DP97" i="3"/>
  <c r="EC97" i="3"/>
  <c r="ED97" i="3"/>
  <c r="EE97" i="3"/>
  <c r="DU97" i="3"/>
  <c r="EH97" i="3"/>
  <c r="DV97" i="3"/>
  <c r="EI97" i="3"/>
  <c r="DW97" i="3"/>
  <c r="EA97" i="3"/>
  <c r="DX97" i="3"/>
  <c r="DY97" i="3"/>
  <c r="DZ97" i="3"/>
  <c r="EF97" i="3"/>
  <c r="EG97" i="3"/>
  <c r="DE97" i="3"/>
  <c r="DF97" i="3"/>
  <c r="CY97" i="3"/>
  <c r="DK97" i="3"/>
  <c r="DM97" i="3"/>
  <c r="DC97" i="3"/>
  <c r="DD97" i="3"/>
  <c r="DG97" i="3"/>
  <c r="DI97" i="3"/>
  <c r="CZ97" i="3"/>
  <c r="DA97" i="3"/>
  <c r="DH97" i="3"/>
  <c r="DJ97" i="3"/>
  <c r="DL97" i="3"/>
  <c r="DN97" i="3"/>
  <c r="CX97" i="3"/>
  <c r="DB97" i="3"/>
  <c r="FM97" i="3"/>
  <c r="FY97" i="3"/>
  <c r="FN97" i="3"/>
  <c r="FZ97" i="3"/>
  <c r="FO97" i="3"/>
  <c r="GA97" i="3"/>
  <c r="FP97" i="3"/>
  <c r="FQ97" i="3"/>
  <c r="FR97" i="3"/>
  <c r="FS97" i="3"/>
  <c r="FT97" i="3"/>
  <c r="FU97" i="3"/>
  <c r="FX97" i="3"/>
  <c r="FV97" i="3"/>
  <c r="DV103" i="3"/>
  <c r="EI103" i="3"/>
  <c r="DW103" i="3"/>
  <c r="DX103" i="3"/>
  <c r="EA103" i="3"/>
  <c r="DP103" i="3"/>
  <c r="EC103" i="3"/>
  <c r="ED103" i="3"/>
  <c r="DU103" i="3"/>
  <c r="EH103" i="3"/>
  <c r="DY103" i="3"/>
  <c r="DZ103" i="3"/>
  <c r="EE103" i="3"/>
  <c r="EF103" i="3"/>
  <c r="EG103" i="3"/>
  <c r="CZ103" i="3"/>
  <c r="DL103" i="3"/>
  <c r="DE103" i="3"/>
  <c r="DC103" i="3"/>
  <c r="DI103" i="3"/>
  <c r="DJ103" i="3"/>
  <c r="DK103" i="3"/>
  <c r="CY103" i="3"/>
  <c r="DN103" i="3"/>
  <c r="DA103" i="3"/>
  <c r="DF103" i="3"/>
  <c r="DG103" i="3"/>
  <c r="DH103" i="3"/>
  <c r="DM103" i="3"/>
  <c r="CX103" i="3"/>
  <c r="DB103" i="3"/>
  <c r="DD103" i="3"/>
  <c r="FS103" i="3"/>
  <c r="FT103" i="3"/>
  <c r="FU103" i="3"/>
  <c r="FV103" i="3"/>
  <c r="FX103" i="3"/>
  <c r="FM103" i="3"/>
  <c r="FY103" i="3"/>
  <c r="FN103" i="3"/>
  <c r="FZ103" i="3"/>
  <c r="FO103" i="3"/>
  <c r="GA103" i="3"/>
  <c r="FR103" i="3"/>
  <c r="FP103" i="3"/>
  <c r="FQ103" i="3"/>
  <c r="EF88" i="3"/>
  <c r="EG88" i="3"/>
  <c r="DU88" i="3"/>
  <c r="EH88" i="3"/>
  <c r="DX88" i="3"/>
  <c r="DY88" i="3"/>
  <c r="DZ88" i="3"/>
  <c r="EE88" i="3"/>
  <c r="DP88" i="3"/>
  <c r="DV88" i="3"/>
  <c r="DW88" i="3"/>
  <c r="EA88" i="3"/>
  <c r="EC88" i="3"/>
  <c r="ED88" i="3"/>
  <c r="EI88" i="3"/>
  <c r="DB88" i="3"/>
  <c r="DN88" i="3"/>
  <c r="DC88" i="3"/>
  <c r="DH88" i="3"/>
  <c r="DJ88" i="3"/>
  <c r="DK88" i="3"/>
  <c r="CZ88" i="3"/>
  <c r="DA88" i="3"/>
  <c r="DD88" i="3"/>
  <c r="DF88" i="3"/>
  <c r="CY88" i="3"/>
  <c r="DE88" i="3"/>
  <c r="DG88" i="3"/>
  <c r="DI88" i="3"/>
  <c r="CX88" i="3"/>
  <c r="DL88" i="3"/>
  <c r="DM88" i="3"/>
  <c r="FP88" i="3"/>
  <c r="FQ88" i="3"/>
  <c r="FR88" i="3"/>
  <c r="FS88" i="3"/>
  <c r="FT88" i="3"/>
  <c r="FU88" i="3"/>
  <c r="FV88" i="3"/>
  <c r="FX88" i="3"/>
  <c r="FO88" i="3"/>
  <c r="GA88" i="3"/>
  <c r="FY88" i="3"/>
  <c r="FZ88" i="3"/>
  <c r="FM88" i="3"/>
  <c r="FN88" i="3"/>
  <c r="DZ87" i="3"/>
  <c r="EA87" i="3"/>
  <c r="DP87" i="3"/>
  <c r="EC87" i="3"/>
  <c r="EF87" i="3"/>
  <c r="EG87" i="3"/>
  <c r="DU87" i="3"/>
  <c r="EH87" i="3"/>
  <c r="DY87" i="3"/>
  <c r="EE87" i="3"/>
  <c r="DV87" i="3"/>
  <c r="DW87" i="3"/>
  <c r="EI87" i="3"/>
  <c r="DX87" i="3"/>
  <c r="ED87" i="3"/>
  <c r="CY87" i="3"/>
  <c r="DK87" i="3"/>
  <c r="CZ87" i="3"/>
  <c r="DL87" i="3"/>
  <c r="DE87" i="3"/>
  <c r="CX87" i="3"/>
  <c r="DA87" i="3"/>
  <c r="DF87" i="3"/>
  <c r="DG87" i="3"/>
  <c r="DH87" i="3"/>
  <c r="DI87" i="3"/>
  <c r="DJ87" i="3"/>
  <c r="DD87" i="3"/>
  <c r="DN87" i="3"/>
  <c r="DC87" i="3"/>
  <c r="DB87" i="3"/>
  <c r="DM87" i="3"/>
  <c r="FX87" i="3"/>
  <c r="FM87" i="3"/>
  <c r="FY87" i="3"/>
  <c r="FN87" i="3"/>
  <c r="FZ87" i="3"/>
  <c r="FO87" i="3"/>
  <c r="GA87" i="3"/>
  <c r="FP87" i="3"/>
  <c r="FQ87" i="3"/>
  <c r="FR87" i="3"/>
  <c r="FS87" i="3"/>
  <c r="FV87" i="3"/>
  <c r="FT87" i="3"/>
  <c r="FU87" i="3"/>
  <c r="DV131" i="3"/>
  <c r="EI131" i="3"/>
  <c r="DX131" i="3"/>
  <c r="DY131" i="3"/>
  <c r="EA131" i="3"/>
  <c r="ED131" i="3"/>
  <c r="EG131" i="3"/>
  <c r="EC131" i="3"/>
  <c r="EF131" i="3"/>
  <c r="EH131" i="3"/>
  <c r="DP131" i="3"/>
  <c r="DU131" i="3"/>
  <c r="DW131" i="3"/>
  <c r="DZ131" i="3"/>
  <c r="EE131" i="3"/>
  <c r="DF131" i="3"/>
  <c r="DI131" i="3"/>
  <c r="CX131" i="3"/>
  <c r="DJ131" i="3"/>
  <c r="CY131" i="3"/>
  <c r="DK131" i="3"/>
  <c r="CZ131" i="3"/>
  <c r="DL131" i="3"/>
  <c r="DC131" i="3"/>
  <c r="DB131" i="3"/>
  <c r="DD131" i="3"/>
  <c r="DE131" i="3"/>
  <c r="DG131" i="3"/>
  <c r="DH131" i="3"/>
  <c r="DM131" i="3"/>
  <c r="DN131" i="3"/>
  <c r="DA131" i="3"/>
  <c r="FO131" i="3"/>
  <c r="GA131" i="3"/>
  <c r="FP131" i="3"/>
  <c r="FQ131" i="3"/>
  <c r="FR131" i="3"/>
  <c r="FS131" i="3"/>
  <c r="FT131" i="3"/>
  <c r="FU131" i="3"/>
  <c r="FV131" i="3"/>
  <c r="FN131" i="3"/>
  <c r="FZ131" i="3"/>
  <c r="FM131" i="3"/>
  <c r="FX131" i="3"/>
  <c r="FY131" i="3"/>
  <c r="DP73" i="3"/>
  <c r="EC73" i="3"/>
  <c r="ED73" i="3"/>
  <c r="EE73" i="3"/>
  <c r="DU73" i="3"/>
  <c r="EH73" i="3"/>
  <c r="DV73" i="3"/>
  <c r="EI73" i="3"/>
  <c r="DW73" i="3"/>
  <c r="EA73" i="3"/>
  <c r="DX73" i="3"/>
  <c r="DY73" i="3"/>
  <c r="DZ73" i="3"/>
  <c r="EF73" i="3"/>
  <c r="EG73" i="3"/>
  <c r="DE73" i="3"/>
  <c r="DF73" i="3"/>
  <c r="CY73" i="3"/>
  <c r="DK73" i="3"/>
  <c r="DD73" i="3"/>
  <c r="DG73" i="3"/>
  <c r="DH73" i="3"/>
  <c r="DI73" i="3"/>
  <c r="DJ73" i="3"/>
  <c r="DL73" i="3"/>
  <c r="DM73" i="3"/>
  <c r="CX73" i="3"/>
  <c r="DN73" i="3"/>
  <c r="CZ73" i="3"/>
  <c r="DA73" i="3"/>
  <c r="DB73" i="3"/>
  <c r="DC73" i="3"/>
  <c r="FS73" i="3"/>
  <c r="FT73" i="3"/>
  <c r="FU73" i="3"/>
  <c r="FM73" i="3"/>
  <c r="FY73" i="3"/>
  <c r="FN73" i="3"/>
  <c r="FZ73" i="3"/>
  <c r="FO73" i="3"/>
  <c r="GA73" i="3"/>
  <c r="FP73" i="3"/>
  <c r="FV73" i="3"/>
  <c r="FX73" i="3"/>
  <c r="FR73" i="3"/>
  <c r="FQ73" i="3"/>
  <c r="EA132" i="3"/>
  <c r="ED132" i="3"/>
  <c r="EE132" i="3"/>
  <c r="EG132" i="3"/>
  <c r="DV132" i="3"/>
  <c r="EI132" i="3"/>
  <c r="DU132" i="3"/>
  <c r="EC132" i="3"/>
  <c r="EF132" i="3"/>
  <c r="DW132" i="3"/>
  <c r="DZ132" i="3"/>
  <c r="DP132" i="3"/>
  <c r="DX132" i="3"/>
  <c r="DY132" i="3"/>
  <c r="EH132" i="3"/>
  <c r="DI132" i="3"/>
  <c r="CZ132" i="3"/>
  <c r="DL132" i="3"/>
  <c r="DA132" i="3"/>
  <c r="DM132" i="3"/>
  <c r="DB132" i="3"/>
  <c r="DN132" i="3"/>
  <c r="DC132" i="3"/>
  <c r="DF132" i="3"/>
  <c r="DE132" i="3"/>
  <c r="DG132" i="3"/>
  <c r="DH132" i="3"/>
  <c r="DJ132" i="3"/>
  <c r="DK132" i="3"/>
  <c r="CX132" i="3"/>
  <c r="CY132" i="3"/>
  <c r="DD132" i="3"/>
  <c r="FT132" i="3"/>
  <c r="FU132" i="3"/>
  <c r="FV132" i="3"/>
  <c r="FX132" i="3"/>
  <c r="FM132" i="3"/>
  <c r="FY132" i="3"/>
  <c r="FN132" i="3"/>
  <c r="FZ132" i="3"/>
  <c r="FO132" i="3"/>
  <c r="GA132" i="3"/>
  <c r="FP132" i="3"/>
  <c r="FS132" i="3"/>
  <c r="FQ132" i="3"/>
  <c r="FR132" i="3"/>
  <c r="EF128" i="3"/>
  <c r="DU128" i="3"/>
  <c r="EH128" i="3"/>
  <c r="DV128" i="3"/>
  <c r="EI128" i="3"/>
  <c r="DX128" i="3"/>
  <c r="DZ128" i="3"/>
  <c r="EC128" i="3"/>
  <c r="EG128" i="3"/>
  <c r="DW128" i="3"/>
  <c r="DP128" i="3"/>
  <c r="EA128" i="3"/>
  <c r="ED128" i="3"/>
  <c r="DY128" i="3"/>
  <c r="EE128" i="3"/>
  <c r="DI128" i="3"/>
  <c r="CZ128" i="3"/>
  <c r="DL128" i="3"/>
  <c r="DA128" i="3"/>
  <c r="DM128" i="3"/>
  <c r="DB128" i="3"/>
  <c r="DN128" i="3"/>
  <c r="DC128" i="3"/>
  <c r="DF128" i="3"/>
  <c r="CX128" i="3"/>
  <c r="CY128" i="3"/>
  <c r="DD128" i="3"/>
  <c r="DE128" i="3"/>
  <c r="DG128" i="3"/>
  <c r="DH128" i="3"/>
  <c r="DJ128" i="3"/>
  <c r="DK128" i="3"/>
  <c r="FX128" i="3"/>
  <c r="FM128" i="3"/>
  <c r="FY128" i="3"/>
  <c r="FN128" i="3"/>
  <c r="FZ128" i="3"/>
  <c r="FO128" i="3"/>
  <c r="GA128" i="3"/>
  <c r="FP128" i="3"/>
  <c r="FQ128" i="3"/>
  <c r="FR128" i="3"/>
  <c r="FS128" i="3"/>
  <c r="FT128" i="3"/>
  <c r="FU128" i="3"/>
  <c r="FV128" i="3"/>
  <c r="DY134" i="3"/>
  <c r="EA134" i="3"/>
  <c r="DP134" i="3"/>
  <c r="EC134" i="3"/>
  <c r="EE134" i="3"/>
  <c r="EG134" i="3"/>
  <c r="DV134" i="3"/>
  <c r="DW134" i="3"/>
  <c r="EH134" i="3"/>
  <c r="DX134" i="3"/>
  <c r="DU134" i="3"/>
  <c r="DZ134" i="3"/>
  <c r="ED134" i="3"/>
  <c r="EF134" i="3"/>
  <c r="EI134" i="3"/>
  <c r="DC134" i="3"/>
  <c r="DF134" i="3"/>
  <c r="DG134" i="3"/>
  <c r="DH134" i="3"/>
  <c r="DI134" i="3"/>
  <c r="CZ134" i="3"/>
  <c r="DL134" i="3"/>
  <c r="DK134" i="3"/>
  <c r="DM134" i="3"/>
  <c r="DN134" i="3"/>
  <c r="CX134" i="3"/>
  <c r="CY134" i="3"/>
  <c r="DA134" i="3"/>
  <c r="DB134" i="3"/>
  <c r="DD134" i="3"/>
  <c r="DE134" i="3"/>
  <c r="DJ134" i="3"/>
  <c r="FR134" i="3"/>
  <c r="FS134" i="3"/>
  <c r="FT134" i="3"/>
  <c r="FU134" i="3"/>
  <c r="FV134" i="3"/>
  <c r="FX134" i="3"/>
  <c r="FM134" i="3"/>
  <c r="FY134" i="3"/>
  <c r="FN134" i="3"/>
  <c r="FZ134" i="3"/>
  <c r="FQ134" i="3"/>
  <c r="FO134" i="3"/>
  <c r="FP134" i="3"/>
  <c r="GA134" i="3"/>
  <c r="ED118" i="3"/>
  <c r="EF118" i="3"/>
  <c r="EG118" i="3"/>
  <c r="DV118" i="3"/>
  <c r="EI118" i="3"/>
  <c r="DX118" i="3"/>
  <c r="EH118" i="3"/>
  <c r="DP118" i="3"/>
  <c r="EA118" i="3"/>
  <c r="DU118" i="3"/>
  <c r="EE118" i="3"/>
  <c r="DW118" i="3"/>
  <c r="DY118" i="3"/>
  <c r="DZ118" i="3"/>
  <c r="EC118" i="3"/>
  <c r="DD118" i="3"/>
  <c r="CY118" i="3"/>
  <c r="DL118" i="3"/>
  <c r="DB118" i="3"/>
  <c r="DC118" i="3"/>
  <c r="DE118" i="3"/>
  <c r="DF118" i="3"/>
  <c r="DI118" i="3"/>
  <c r="DH118" i="3"/>
  <c r="DJ118" i="3"/>
  <c r="DK118" i="3"/>
  <c r="DM118" i="3"/>
  <c r="DN118" i="3"/>
  <c r="CX118" i="3"/>
  <c r="CZ118" i="3"/>
  <c r="DA118" i="3"/>
  <c r="DG118" i="3"/>
  <c r="FV118" i="3"/>
  <c r="FX118" i="3"/>
  <c r="FM118" i="3"/>
  <c r="FY118" i="3"/>
  <c r="FN118" i="3"/>
  <c r="FZ118" i="3"/>
  <c r="FO118" i="3"/>
  <c r="GA118" i="3"/>
  <c r="FP118" i="3"/>
  <c r="FQ118" i="3"/>
  <c r="FR118" i="3"/>
  <c r="FU118" i="3"/>
  <c r="FT118" i="3"/>
  <c r="FS118" i="3"/>
  <c r="EG93" i="3"/>
  <c r="DU93" i="3"/>
  <c r="EH93" i="3"/>
  <c r="DV93" i="3"/>
  <c r="EI93" i="3"/>
  <c r="DY93" i="3"/>
  <c r="DZ93" i="3"/>
  <c r="EA93" i="3"/>
  <c r="EF93" i="3"/>
  <c r="EE93" i="3"/>
  <c r="DP93" i="3"/>
  <c r="DW93" i="3"/>
  <c r="DX93" i="3"/>
  <c r="ED93" i="3"/>
  <c r="EC93" i="3"/>
  <c r="DE93" i="3"/>
  <c r="DF93" i="3"/>
  <c r="CY93" i="3"/>
  <c r="DK93" i="3"/>
  <c r="DA93" i="3"/>
  <c r="DH93" i="3"/>
  <c r="DI93" i="3"/>
  <c r="DJ93" i="3"/>
  <c r="DM93" i="3"/>
  <c r="CX93" i="3"/>
  <c r="DB93" i="3"/>
  <c r="DC93" i="3"/>
  <c r="DG93" i="3"/>
  <c r="DL93" i="3"/>
  <c r="DN93" i="3"/>
  <c r="CZ93" i="3"/>
  <c r="DD93" i="3"/>
  <c r="FQ93" i="3"/>
  <c r="FR93" i="3"/>
  <c r="FS93" i="3"/>
  <c r="FT93" i="3"/>
  <c r="FU93" i="3"/>
  <c r="FV93" i="3"/>
  <c r="FX93" i="3"/>
  <c r="FM93" i="3"/>
  <c r="FY93" i="3"/>
  <c r="FP93" i="3"/>
  <c r="FN93" i="3"/>
  <c r="FO93" i="3"/>
  <c r="FZ93" i="3"/>
  <c r="GA93" i="3"/>
  <c r="DY82" i="3"/>
  <c r="DZ82" i="3"/>
  <c r="EA82" i="3"/>
  <c r="EE82" i="3"/>
  <c r="EF82" i="3"/>
  <c r="EG82" i="3"/>
  <c r="DX82" i="3"/>
  <c r="DP82" i="3"/>
  <c r="DU82" i="3"/>
  <c r="DV82" i="3"/>
  <c r="DW82" i="3"/>
  <c r="EC82" i="3"/>
  <c r="ED82" i="3"/>
  <c r="EH82" i="3"/>
  <c r="EI82" i="3"/>
  <c r="DH82" i="3"/>
  <c r="DI82" i="3"/>
  <c r="DB82" i="3"/>
  <c r="DN82" i="3"/>
  <c r="DG82" i="3"/>
  <c r="DJ82" i="3"/>
  <c r="DK82" i="3"/>
  <c r="DL82" i="3"/>
  <c r="CY82" i="3"/>
  <c r="CZ82" i="3"/>
  <c r="DA82" i="3"/>
  <c r="DC82" i="3"/>
  <c r="DD82" i="3"/>
  <c r="CX82" i="3"/>
  <c r="DF82" i="3"/>
  <c r="DM82" i="3"/>
  <c r="DE82" i="3"/>
  <c r="FM82" i="3"/>
  <c r="FY82" i="3"/>
  <c r="FS82" i="3"/>
  <c r="FT82" i="3"/>
  <c r="FU82" i="3"/>
  <c r="FV82" i="3"/>
  <c r="FX82" i="3"/>
  <c r="FZ82" i="3"/>
  <c r="FN82" i="3"/>
  <c r="GA82" i="3"/>
  <c r="FO82" i="3"/>
  <c r="FR82" i="3"/>
  <c r="FP82" i="3"/>
  <c r="FQ82" i="3"/>
  <c r="DP109" i="3"/>
  <c r="EC109" i="3"/>
  <c r="ED109" i="3"/>
  <c r="EE109" i="3"/>
  <c r="DU109" i="3"/>
  <c r="EH109" i="3"/>
  <c r="DV109" i="3"/>
  <c r="EI109" i="3"/>
  <c r="DW109" i="3"/>
  <c r="EA109" i="3"/>
  <c r="DY109" i="3"/>
  <c r="DZ109" i="3"/>
  <c r="EG109" i="3"/>
  <c r="EF109" i="3"/>
  <c r="DX109" i="3"/>
  <c r="DF109" i="3"/>
  <c r="CY109" i="3"/>
  <c r="DK109" i="3"/>
  <c r="CX109" i="3"/>
  <c r="DM109" i="3"/>
  <c r="DA109" i="3"/>
  <c r="DC109" i="3"/>
  <c r="DB109" i="3"/>
  <c r="DG109" i="3"/>
  <c r="DH109" i="3"/>
  <c r="DI109" i="3"/>
  <c r="DJ109" i="3"/>
  <c r="CZ109" i="3"/>
  <c r="DD109" i="3"/>
  <c r="DE109" i="3"/>
  <c r="DL109" i="3"/>
  <c r="DN109" i="3"/>
  <c r="FM109" i="3"/>
  <c r="FY109" i="3"/>
  <c r="FN109" i="3"/>
  <c r="FZ109" i="3"/>
  <c r="FO109" i="3"/>
  <c r="GA109" i="3"/>
  <c r="FP109" i="3"/>
  <c r="FQ109" i="3"/>
  <c r="FR109" i="3"/>
  <c r="FS109" i="3"/>
  <c r="FT109" i="3"/>
  <c r="FU109" i="3"/>
  <c r="FX109" i="3"/>
  <c r="FV109" i="3"/>
  <c r="ED114" i="3"/>
  <c r="EE114" i="3"/>
  <c r="EF114" i="3"/>
  <c r="DV114" i="3"/>
  <c r="EI114" i="3"/>
  <c r="DW114" i="3"/>
  <c r="DX114" i="3"/>
  <c r="DP114" i="3"/>
  <c r="EC114" i="3"/>
  <c r="DY114" i="3"/>
  <c r="DZ114" i="3"/>
  <c r="EA114" i="3"/>
  <c r="DU114" i="3"/>
  <c r="EH114" i="3"/>
  <c r="EG114" i="3"/>
  <c r="DD114" i="3"/>
  <c r="DE114" i="3"/>
  <c r="DH114" i="3"/>
  <c r="DI114" i="3"/>
  <c r="DJ114" i="3"/>
  <c r="CX114" i="3"/>
  <c r="DK114" i="3"/>
  <c r="DA114" i="3"/>
  <c r="DN114" i="3"/>
  <c r="DM114" i="3"/>
  <c r="CY114" i="3"/>
  <c r="CZ114" i="3"/>
  <c r="DB114" i="3"/>
  <c r="DC114" i="3"/>
  <c r="DF114" i="3"/>
  <c r="DG114" i="3"/>
  <c r="DL114" i="3"/>
  <c r="FN114" i="3"/>
  <c r="FZ114" i="3"/>
  <c r="FO114" i="3"/>
  <c r="GA114" i="3"/>
  <c r="FP114" i="3"/>
  <c r="FQ114" i="3"/>
  <c r="FR114" i="3"/>
  <c r="FS114" i="3"/>
  <c r="FT114" i="3"/>
  <c r="FU114" i="3"/>
  <c r="FV114" i="3"/>
  <c r="FM114" i="3"/>
  <c r="FY114" i="3"/>
  <c r="FX114" i="3"/>
  <c r="EF100" i="3"/>
  <c r="EG100" i="3"/>
  <c r="DU100" i="3"/>
  <c r="EH100" i="3"/>
  <c r="DX100" i="3"/>
  <c r="DY100" i="3"/>
  <c r="DZ100" i="3"/>
  <c r="EE100" i="3"/>
  <c r="DW100" i="3"/>
  <c r="EA100" i="3"/>
  <c r="EC100" i="3"/>
  <c r="ED100" i="3"/>
  <c r="EI100" i="3"/>
  <c r="DV100" i="3"/>
  <c r="DP100" i="3"/>
  <c r="DC100" i="3"/>
  <c r="DH100" i="3"/>
  <c r="DI100" i="3"/>
  <c r="CZ100" i="3"/>
  <c r="DN100" i="3"/>
  <c r="DA100" i="3"/>
  <c r="DB100" i="3"/>
  <c r="DE100" i="3"/>
  <c r="DL100" i="3"/>
  <c r="CX100" i="3"/>
  <c r="CY100" i="3"/>
  <c r="DG100" i="3"/>
  <c r="DF100" i="3"/>
  <c r="DJ100" i="3"/>
  <c r="DK100" i="3"/>
  <c r="DM100" i="3"/>
  <c r="DD100" i="3"/>
  <c r="FP100" i="3"/>
  <c r="FQ100" i="3"/>
  <c r="FR100" i="3"/>
  <c r="FS100" i="3"/>
  <c r="FT100" i="3"/>
  <c r="FU100" i="3"/>
  <c r="FV100" i="3"/>
  <c r="FX100" i="3"/>
  <c r="FO100" i="3"/>
  <c r="GA100" i="3"/>
  <c r="FM100" i="3"/>
  <c r="FN100" i="3"/>
  <c r="FY100" i="3"/>
  <c r="FZ100" i="3"/>
  <c r="EF76" i="3"/>
  <c r="EG76" i="3"/>
  <c r="DU76" i="3"/>
  <c r="EH76" i="3"/>
  <c r="DX76" i="3"/>
  <c r="DY76" i="3"/>
  <c r="DZ76" i="3"/>
  <c r="EE76" i="3"/>
  <c r="DV76" i="3"/>
  <c r="DW76" i="3"/>
  <c r="EA76" i="3"/>
  <c r="EC76" i="3"/>
  <c r="ED76" i="3"/>
  <c r="DP76" i="3"/>
  <c r="EI76" i="3"/>
  <c r="DB76" i="3"/>
  <c r="DN76" i="3"/>
  <c r="DC76" i="3"/>
  <c r="DH76" i="3"/>
  <c r="DF76" i="3"/>
  <c r="DG76" i="3"/>
  <c r="DI76" i="3"/>
  <c r="DJ76" i="3"/>
  <c r="DK76" i="3"/>
  <c r="DL76" i="3"/>
  <c r="CX76" i="3"/>
  <c r="DM76" i="3"/>
  <c r="CY76" i="3"/>
  <c r="CZ76" i="3"/>
  <c r="DA76" i="3"/>
  <c r="DD76" i="3"/>
  <c r="DE76" i="3"/>
  <c r="FV76" i="3"/>
  <c r="FX76" i="3"/>
  <c r="FP76" i="3"/>
  <c r="FQ76" i="3"/>
  <c r="FR76" i="3"/>
  <c r="FS76" i="3"/>
  <c r="FU76" i="3"/>
  <c r="FY76" i="3"/>
  <c r="FZ76" i="3"/>
  <c r="GA76" i="3"/>
  <c r="FM76" i="3"/>
  <c r="FT76" i="3"/>
  <c r="FN76" i="3"/>
  <c r="FO76" i="3"/>
  <c r="EE123" i="3"/>
  <c r="EG123" i="3"/>
  <c r="DU123" i="3"/>
  <c r="EH123" i="3"/>
  <c r="DW123" i="3"/>
  <c r="DY123" i="3"/>
  <c r="DZ123" i="3"/>
  <c r="EA123" i="3"/>
  <c r="DP123" i="3"/>
  <c r="ED123" i="3"/>
  <c r="EF123" i="3"/>
  <c r="DV123" i="3"/>
  <c r="DX123" i="3"/>
  <c r="EC123" i="3"/>
  <c r="EI123" i="3"/>
  <c r="DF123" i="3"/>
  <c r="DI123" i="3"/>
  <c r="CX123" i="3"/>
  <c r="DJ123" i="3"/>
  <c r="CY123" i="3"/>
  <c r="DK123" i="3"/>
  <c r="CZ123" i="3"/>
  <c r="DL123" i="3"/>
  <c r="DC123" i="3"/>
  <c r="DB123" i="3"/>
  <c r="DD123" i="3"/>
  <c r="DE123" i="3"/>
  <c r="DG123" i="3"/>
  <c r="DH123" i="3"/>
  <c r="DM123" i="3"/>
  <c r="DN123" i="3"/>
  <c r="DA123" i="3"/>
  <c r="FX123" i="3"/>
  <c r="FM123" i="3"/>
  <c r="FY123" i="3"/>
  <c r="FN123" i="3"/>
  <c r="FZ123" i="3"/>
  <c r="FO123" i="3"/>
  <c r="GA123" i="3"/>
  <c r="FP123" i="3"/>
  <c r="FQ123" i="3"/>
  <c r="FR123" i="3"/>
  <c r="FS123" i="3"/>
  <c r="FV123" i="3"/>
  <c r="FT123" i="3"/>
  <c r="FU123" i="3"/>
  <c r="DU86" i="3"/>
  <c r="EH86" i="3"/>
  <c r="DV86" i="3"/>
  <c r="EI86" i="3"/>
  <c r="DW86" i="3"/>
  <c r="DZ86" i="3"/>
  <c r="EA86" i="3"/>
  <c r="DP86" i="3"/>
  <c r="EC86" i="3"/>
  <c r="EG86" i="3"/>
  <c r="DY86" i="3"/>
  <c r="EE86" i="3"/>
  <c r="EF86" i="3"/>
  <c r="ED86" i="3"/>
  <c r="DX86" i="3"/>
  <c r="DH86" i="3"/>
  <c r="DI86" i="3"/>
  <c r="DB86" i="3"/>
  <c r="DN86" i="3"/>
  <c r="DD86" i="3"/>
  <c r="DE86" i="3"/>
  <c r="DK86" i="3"/>
  <c r="DL86" i="3"/>
  <c r="CX86" i="3"/>
  <c r="DM86" i="3"/>
  <c r="CY86" i="3"/>
  <c r="CZ86" i="3"/>
  <c r="DA86" i="3"/>
  <c r="DF86" i="3"/>
  <c r="DG86" i="3"/>
  <c r="DJ86" i="3"/>
  <c r="DC86" i="3"/>
  <c r="FR86" i="3"/>
  <c r="FS86" i="3"/>
  <c r="FT86" i="3"/>
  <c r="FU86" i="3"/>
  <c r="FV86" i="3"/>
  <c r="FX86" i="3"/>
  <c r="FM86" i="3"/>
  <c r="FY86" i="3"/>
  <c r="FN86" i="3"/>
  <c r="FZ86" i="3"/>
  <c r="FQ86" i="3"/>
  <c r="FO86" i="3"/>
  <c r="FP86" i="3"/>
  <c r="GA86" i="3"/>
  <c r="EA80" i="3"/>
  <c r="DP80" i="3"/>
  <c r="EC80" i="3"/>
  <c r="ED80" i="3"/>
  <c r="EG80" i="3"/>
  <c r="DU80" i="3"/>
  <c r="EH80" i="3"/>
  <c r="DV80" i="3"/>
  <c r="EI80" i="3"/>
  <c r="DZ80" i="3"/>
  <c r="DX80" i="3"/>
  <c r="EE80" i="3"/>
  <c r="EF80" i="3"/>
  <c r="DW80" i="3"/>
  <c r="DY80" i="3"/>
  <c r="DB80" i="3"/>
  <c r="DN80" i="3"/>
  <c r="DC80" i="3"/>
  <c r="DH80" i="3"/>
  <c r="DA80" i="3"/>
  <c r="DD80" i="3"/>
  <c r="DE80" i="3"/>
  <c r="DF80" i="3"/>
  <c r="DI80" i="3"/>
  <c r="DJ80" i="3"/>
  <c r="DK80" i="3"/>
  <c r="DL80" i="3"/>
  <c r="CX80" i="3"/>
  <c r="DM80" i="3"/>
  <c r="CY80" i="3"/>
  <c r="CZ80" i="3"/>
  <c r="DG80" i="3"/>
  <c r="FR80" i="3"/>
  <c r="FT80" i="3"/>
  <c r="FX80" i="3"/>
  <c r="FM80" i="3"/>
  <c r="FO80" i="3"/>
  <c r="GA80" i="3"/>
  <c r="FN80" i="3"/>
  <c r="FP80" i="3"/>
  <c r="FQ80" i="3"/>
  <c r="FS80" i="3"/>
  <c r="FU80" i="3"/>
  <c r="FV80" i="3"/>
  <c r="FY80" i="3"/>
  <c r="FZ80" i="3"/>
  <c r="DW124" i="3"/>
  <c r="DY124" i="3"/>
  <c r="DZ124" i="3"/>
  <c r="DP124" i="3"/>
  <c r="EC124" i="3"/>
  <c r="EE124" i="3"/>
  <c r="DU124" i="3"/>
  <c r="EA124" i="3"/>
  <c r="ED124" i="3"/>
  <c r="EF124" i="3"/>
  <c r="DX124" i="3"/>
  <c r="DV124" i="3"/>
  <c r="EG124" i="3"/>
  <c r="EH124" i="3"/>
  <c r="EI124" i="3"/>
  <c r="DI124" i="3"/>
  <c r="CZ124" i="3"/>
  <c r="DL124" i="3"/>
  <c r="DA124" i="3"/>
  <c r="DM124" i="3"/>
  <c r="DB124" i="3"/>
  <c r="DN124" i="3"/>
  <c r="DC124" i="3"/>
  <c r="DF124" i="3"/>
  <c r="DE124" i="3"/>
  <c r="DG124" i="3"/>
  <c r="DH124" i="3"/>
  <c r="DJ124" i="3"/>
  <c r="DK124" i="3"/>
  <c r="CX124" i="3"/>
  <c r="DD124" i="3"/>
  <c r="CY124" i="3"/>
  <c r="FP124" i="3"/>
  <c r="FQ124" i="3"/>
  <c r="FR124" i="3"/>
  <c r="FS124" i="3"/>
  <c r="FT124" i="3"/>
  <c r="FU124" i="3"/>
  <c r="FV124" i="3"/>
  <c r="FX124" i="3"/>
  <c r="FO124" i="3"/>
  <c r="GA124" i="3"/>
  <c r="FM124" i="3"/>
  <c r="FN124" i="3"/>
  <c r="FY124" i="3"/>
  <c r="FZ124" i="3"/>
  <c r="DP125" i="3"/>
  <c r="EC125" i="3"/>
  <c r="EE125" i="3"/>
  <c r="EF125" i="3"/>
  <c r="DU125" i="3"/>
  <c r="EH125" i="3"/>
  <c r="DW125" i="3"/>
  <c r="DX125" i="3"/>
  <c r="EA125" i="3"/>
  <c r="ED125" i="3"/>
  <c r="DV125" i="3"/>
  <c r="DY125" i="3"/>
  <c r="EG125" i="3"/>
  <c r="DZ125" i="3"/>
  <c r="EI125" i="3"/>
  <c r="CZ125" i="3"/>
  <c r="DL125" i="3"/>
  <c r="DC125" i="3"/>
  <c r="DD125" i="3"/>
  <c r="DE125" i="3"/>
  <c r="DF125" i="3"/>
  <c r="DI125" i="3"/>
  <c r="DH125" i="3"/>
  <c r="DJ125" i="3"/>
  <c r="DK125" i="3"/>
  <c r="DM125" i="3"/>
  <c r="DN125" i="3"/>
  <c r="CX125" i="3"/>
  <c r="CY125" i="3"/>
  <c r="DA125" i="3"/>
  <c r="DB125" i="3"/>
  <c r="DG125" i="3"/>
  <c r="FU125" i="3"/>
  <c r="FV125" i="3"/>
  <c r="FX125" i="3"/>
  <c r="FM125" i="3"/>
  <c r="FY125" i="3"/>
  <c r="FN125" i="3"/>
  <c r="FZ125" i="3"/>
  <c r="FO125" i="3"/>
  <c r="GA125" i="3"/>
  <c r="FP125" i="3"/>
  <c r="FQ125" i="3"/>
  <c r="FT125" i="3"/>
  <c r="FR125" i="3"/>
  <c r="FS125" i="3"/>
  <c r="EF116" i="3"/>
  <c r="DU116" i="3"/>
  <c r="EH116" i="3"/>
  <c r="DV116" i="3"/>
  <c r="EI116" i="3"/>
  <c r="DX116" i="3"/>
  <c r="DY116" i="3"/>
  <c r="DZ116" i="3"/>
  <c r="ED116" i="3"/>
  <c r="DW116" i="3"/>
  <c r="EA116" i="3"/>
  <c r="DP116" i="3"/>
  <c r="EG116" i="3"/>
  <c r="EC116" i="3"/>
  <c r="EE116" i="3"/>
  <c r="CX116" i="3"/>
  <c r="DJ116" i="3"/>
  <c r="DB116" i="3"/>
  <c r="DE116" i="3"/>
  <c r="DF116" i="3"/>
  <c r="DG116" i="3"/>
  <c r="DH116" i="3"/>
  <c r="CY116" i="3"/>
  <c r="DL116" i="3"/>
  <c r="CZ116" i="3"/>
  <c r="DA116" i="3"/>
  <c r="DC116" i="3"/>
  <c r="DD116" i="3"/>
  <c r="DI116" i="3"/>
  <c r="DK116" i="3"/>
  <c r="DM116" i="3"/>
  <c r="DN116" i="3"/>
  <c r="FX116" i="3"/>
  <c r="FM116" i="3"/>
  <c r="FY116" i="3"/>
  <c r="FN116" i="3"/>
  <c r="FZ116" i="3"/>
  <c r="FO116" i="3"/>
  <c r="GA116" i="3"/>
  <c r="FP116" i="3"/>
  <c r="FQ116" i="3"/>
  <c r="FR116" i="3"/>
  <c r="FS116" i="3"/>
  <c r="FT116" i="3"/>
  <c r="FU116" i="3"/>
  <c r="FV116" i="3"/>
  <c r="EA92" i="3"/>
  <c r="DP92" i="3"/>
  <c r="EC92" i="3"/>
  <c r="ED92" i="3"/>
  <c r="EG92" i="3"/>
  <c r="DU92" i="3"/>
  <c r="EH92" i="3"/>
  <c r="DV92" i="3"/>
  <c r="EI92" i="3"/>
  <c r="DZ92" i="3"/>
  <c r="DW92" i="3"/>
  <c r="DY92" i="3"/>
  <c r="EF92" i="3"/>
  <c r="DX92" i="3"/>
  <c r="EE92" i="3"/>
  <c r="DB92" i="3"/>
  <c r="DN92" i="3"/>
  <c r="DC92" i="3"/>
  <c r="DH92" i="3"/>
  <c r="DF92" i="3"/>
  <c r="DL92" i="3"/>
  <c r="CX92" i="3"/>
  <c r="DM92" i="3"/>
  <c r="CY92" i="3"/>
  <c r="DA92" i="3"/>
  <c r="DD92" i="3"/>
  <c r="DE92" i="3"/>
  <c r="DG92" i="3"/>
  <c r="DI92" i="3"/>
  <c r="CZ92" i="3"/>
  <c r="DJ92" i="3"/>
  <c r="DK92" i="3"/>
  <c r="FX92" i="3"/>
  <c r="FM92" i="3"/>
  <c r="FY92" i="3"/>
  <c r="FN92" i="3"/>
  <c r="FZ92" i="3"/>
  <c r="FO92" i="3"/>
  <c r="GA92" i="3"/>
  <c r="FP92" i="3"/>
  <c r="FQ92" i="3"/>
  <c r="FR92" i="3"/>
  <c r="FS92" i="3"/>
  <c r="FT92" i="3"/>
  <c r="FU92" i="3"/>
  <c r="FV92" i="3"/>
  <c r="EA104" i="3"/>
  <c r="DP104" i="3"/>
  <c r="EC104" i="3"/>
  <c r="ED104" i="3"/>
  <c r="EG104" i="3"/>
  <c r="DU104" i="3"/>
  <c r="EH104" i="3"/>
  <c r="DV104" i="3"/>
  <c r="EI104" i="3"/>
  <c r="DZ104" i="3"/>
  <c r="DX104" i="3"/>
  <c r="EE104" i="3"/>
  <c r="EF104" i="3"/>
  <c r="DW104" i="3"/>
  <c r="DY104" i="3"/>
  <c r="DC104" i="3"/>
  <c r="DH104" i="3"/>
  <c r="DK104" i="3"/>
  <c r="DB104" i="3"/>
  <c r="DD104" i="3"/>
  <c r="DE104" i="3"/>
  <c r="DG104" i="3"/>
  <c r="DA104" i="3"/>
  <c r="DJ104" i="3"/>
  <c r="DL104" i="3"/>
  <c r="DM104" i="3"/>
  <c r="DN104" i="3"/>
  <c r="CX104" i="3"/>
  <c r="CY104" i="3"/>
  <c r="CZ104" i="3"/>
  <c r="DF104" i="3"/>
  <c r="DI104" i="3"/>
  <c r="FX104" i="3"/>
  <c r="FM104" i="3"/>
  <c r="FY104" i="3"/>
  <c r="FN104" i="3"/>
  <c r="FZ104" i="3"/>
  <c r="FO104" i="3"/>
  <c r="GA104" i="3"/>
  <c r="FP104" i="3"/>
  <c r="FQ104" i="3"/>
  <c r="FR104" i="3"/>
  <c r="FS104" i="3"/>
  <c r="FT104" i="3"/>
  <c r="FU104" i="3"/>
  <c r="FV104" i="3"/>
  <c r="FV11" i="3"/>
  <c r="FU11" i="3"/>
  <c r="FT11" i="3"/>
  <c r="FS11" i="3"/>
  <c r="FR11" i="3"/>
  <c r="FQ11" i="3"/>
  <c r="FM11" i="3"/>
  <c r="FP11" i="3"/>
  <c r="FY11" i="3"/>
  <c r="FX11" i="3"/>
  <c r="GA11" i="3"/>
  <c r="FO11" i="3"/>
  <c r="FZ11" i="3"/>
  <c r="FN11" i="3"/>
  <c r="DZ75" i="3"/>
  <c r="EA75" i="3"/>
  <c r="DP75" i="3"/>
  <c r="EC75" i="3"/>
  <c r="EF75" i="3"/>
  <c r="EG75" i="3"/>
  <c r="DU75" i="3"/>
  <c r="EH75" i="3"/>
  <c r="DY75" i="3"/>
  <c r="ED75" i="3"/>
  <c r="EI75" i="3"/>
  <c r="DV75" i="3"/>
  <c r="DX75" i="3"/>
  <c r="EE75" i="3"/>
  <c r="DW75" i="3"/>
  <c r="CY75" i="3"/>
  <c r="DK75" i="3"/>
  <c r="CZ75" i="3"/>
  <c r="DL75" i="3"/>
  <c r="DE75" i="3"/>
  <c r="DJ75" i="3"/>
  <c r="DM75" i="3"/>
  <c r="DN75" i="3"/>
  <c r="CX75" i="3"/>
  <c r="DA75" i="3"/>
  <c r="DB75" i="3"/>
  <c r="DC75" i="3"/>
  <c r="DD75" i="3"/>
  <c r="DF75" i="3"/>
  <c r="DG75" i="3"/>
  <c r="DH75" i="3"/>
  <c r="DI75" i="3"/>
  <c r="FQ75" i="3"/>
  <c r="FR75" i="3"/>
  <c r="FS75" i="3"/>
  <c r="FX75" i="3"/>
  <c r="FM75" i="3"/>
  <c r="FY75" i="3"/>
  <c r="FN75" i="3"/>
  <c r="FZ75" i="3"/>
  <c r="FO75" i="3"/>
  <c r="FP75" i="3"/>
  <c r="FT75" i="3"/>
  <c r="FU75" i="3"/>
  <c r="FV75" i="3"/>
  <c r="GA75" i="3"/>
  <c r="EA120" i="3"/>
  <c r="ED120" i="3"/>
  <c r="EE120" i="3"/>
  <c r="EG120" i="3"/>
  <c r="DV120" i="3"/>
  <c r="EI120" i="3"/>
  <c r="DU120" i="3"/>
  <c r="DW120" i="3"/>
  <c r="EF120" i="3"/>
  <c r="DY120" i="3"/>
  <c r="DZ120" i="3"/>
  <c r="EH120" i="3"/>
  <c r="DP120" i="3"/>
  <c r="DX120" i="3"/>
  <c r="EC120" i="3"/>
  <c r="CX120" i="3"/>
  <c r="DI120" i="3"/>
  <c r="CZ120" i="3"/>
  <c r="DL120" i="3"/>
  <c r="DA120" i="3"/>
  <c r="DM120" i="3"/>
  <c r="DB120" i="3"/>
  <c r="DN120" i="3"/>
  <c r="DC120" i="3"/>
  <c r="DF120" i="3"/>
  <c r="CY120" i="3"/>
  <c r="DD120" i="3"/>
  <c r="DE120" i="3"/>
  <c r="DG120" i="3"/>
  <c r="DH120" i="3"/>
  <c r="DJ120" i="3"/>
  <c r="DK120" i="3"/>
  <c r="FT120" i="3"/>
  <c r="FU120" i="3"/>
  <c r="FV120" i="3"/>
  <c r="FX120" i="3"/>
  <c r="FM120" i="3"/>
  <c r="FY120" i="3"/>
  <c r="FN120" i="3"/>
  <c r="FZ120" i="3"/>
  <c r="FO120" i="3"/>
  <c r="GA120" i="3"/>
  <c r="FP120" i="3"/>
  <c r="FS120" i="3"/>
  <c r="FQ120" i="3"/>
  <c r="FR120" i="3"/>
  <c r="EG133" i="3"/>
  <c r="DV133" i="3"/>
  <c r="EI133" i="3"/>
  <c r="DW133" i="3"/>
  <c r="DY133" i="3"/>
  <c r="EA133" i="3"/>
  <c r="DP133" i="3"/>
  <c r="DU133" i="3"/>
  <c r="EE133" i="3"/>
  <c r="DZ133" i="3"/>
  <c r="EC133" i="3"/>
  <c r="EF133" i="3"/>
  <c r="EH133" i="3"/>
  <c r="ED133" i="3"/>
  <c r="DX133" i="3"/>
  <c r="CZ133" i="3"/>
  <c r="DL133" i="3"/>
  <c r="DC133" i="3"/>
  <c r="DD133" i="3"/>
  <c r="DE133" i="3"/>
  <c r="DF133" i="3"/>
  <c r="DI133" i="3"/>
  <c r="DH133" i="3"/>
  <c r="DJ133" i="3"/>
  <c r="DK133" i="3"/>
  <c r="DM133" i="3"/>
  <c r="DN133" i="3"/>
  <c r="CX133" i="3"/>
  <c r="CY133" i="3"/>
  <c r="DA133" i="3"/>
  <c r="DB133" i="3"/>
  <c r="DG133" i="3"/>
  <c r="FM133" i="3"/>
  <c r="FY133" i="3"/>
  <c r="FN133" i="3"/>
  <c r="FZ133" i="3"/>
  <c r="FO133" i="3"/>
  <c r="GA133" i="3"/>
  <c r="FP133" i="3"/>
  <c r="FQ133" i="3"/>
  <c r="FR133" i="3"/>
  <c r="FS133" i="3"/>
  <c r="FT133" i="3"/>
  <c r="FU133" i="3"/>
  <c r="FX133" i="3"/>
  <c r="FV133" i="3"/>
  <c r="DV115" i="3"/>
  <c r="DW115" i="3"/>
  <c r="DX115" i="3"/>
  <c r="DP115" i="3"/>
  <c r="EC115" i="3"/>
  <c r="DU115" i="3"/>
  <c r="EH115" i="3"/>
  <c r="DZ115" i="3"/>
  <c r="EA115" i="3"/>
  <c r="EE115" i="3"/>
  <c r="EF115" i="3"/>
  <c r="EG115" i="3"/>
  <c r="ED115" i="3"/>
  <c r="EI115" i="3"/>
  <c r="DY115" i="3"/>
  <c r="DG115" i="3"/>
  <c r="DJ115" i="3"/>
  <c r="CZ115" i="3"/>
  <c r="DM115" i="3"/>
  <c r="DA115" i="3"/>
  <c r="DN115" i="3"/>
  <c r="DB115" i="3"/>
  <c r="DC115" i="3"/>
  <c r="DF115" i="3"/>
  <c r="CX115" i="3"/>
  <c r="CY115" i="3"/>
  <c r="DD115" i="3"/>
  <c r="DE115" i="3"/>
  <c r="DH115" i="3"/>
  <c r="DI115" i="3"/>
  <c r="DK115" i="3"/>
  <c r="DL115" i="3"/>
  <c r="FS115" i="3"/>
  <c r="FT115" i="3"/>
  <c r="FU115" i="3"/>
  <c r="FV115" i="3"/>
  <c r="FX115" i="3"/>
  <c r="FM115" i="3"/>
  <c r="FY115" i="3"/>
  <c r="FN115" i="3"/>
  <c r="FZ115" i="3"/>
  <c r="FO115" i="3"/>
  <c r="GA115" i="3"/>
  <c r="FR115" i="3"/>
  <c r="FP115" i="3"/>
  <c r="FQ115" i="3"/>
  <c r="DY122" i="3"/>
  <c r="EA122" i="3"/>
  <c r="DP122" i="3"/>
  <c r="EC122" i="3"/>
  <c r="EE122" i="3"/>
  <c r="EG122" i="3"/>
  <c r="DW122" i="3"/>
  <c r="DX122" i="3"/>
  <c r="EI122" i="3"/>
  <c r="DU122" i="3"/>
  <c r="DZ122" i="3"/>
  <c r="EH122" i="3"/>
  <c r="EF122" i="3"/>
  <c r="ED122" i="3"/>
  <c r="DV122" i="3"/>
  <c r="DC122" i="3"/>
  <c r="DF122" i="3"/>
  <c r="DG122" i="3"/>
  <c r="DH122" i="3"/>
  <c r="DI122" i="3"/>
  <c r="CZ122" i="3"/>
  <c r="DL122" i="3"/>
  <c r="CY122" i="3"/>
  <c r="DA122" i="3"/>
  <c r="DB122" i="3"/>
  <c r="DD122" i="3"/>
  <c r="DE122" i="3"/>
  <c r="DJ122" i="3"/>
  <c r="DK122" i="3"/>
  <c r="DM122" i="3"/>
  <c r="DN122" i="3"/>
  <c r="CX122" i="3"/>
  <c r="FR122" i="3"/>
  <c r="FS122" i="3"/>
  <c r="FT122" i="3"/>
  <c r="FU122" i="3"/>
  <c r="FV122" i="3"/>
  <c r="FX122" i="3"/>
  <c r="FM122" i="3"/>
  <c r="FY122" i="3"/>
  <c r="FN122" i="3"/>
  <c r="FZ122" i="3"/>
  <c r="FQ122" i="3"/>
  <c r="GA122" i="3"/>
  <c r="FO122" i="3"/>
  <c r="FP122" i="3"/>
  <c r="DX77" i="3"/>
  <c r="DY77" i="3"/>
  <c r="DZ77" i="3"/>
  <c r="ED77" i="3"/>
  <c r="EE77" i="3"/>
  <c r="EF77" i="3"/>
  <c r="DW77" i="3"/>
  <c r="DV77" i="3"/>
  <c r="EC77" i="3"/>
  <c r="EG77" i="3"/>
  <c r="EH77" i="3"/>
  <c r="EI77" i="3"/>
  <c r="EA77" i="3"/>
  <c r="DP77" i="3"/>
  <c r="DU77" i="3"/>
  <c r="DE77" i="3"/>
  <c r="DF77" i="3"/>
  <c r="CY77" i="3"/>
  <c r="DK77" i="3"/>
  <c r="DA77" i="3"/>
  <c r="DB77" i="3"/>
  <c r="DC77" i="3"/>
  <c r="DD77" i="3"/>
  <c r="DG77" i="3"/>
  <c r="DH77" i="3"/>
  <c r="DI77" i="3"/>
  <c r="DJ77" i="3"/>
  <c r="DL77" i="3"/>
  <c r="DM77" i="3"/>
  <c r="DN77" i="3"/>
  <c r="CZ77" i="3"/>
  <c r="CX77" i="3"/>
  <c r="FO77" i="3"/>
  <c r="GA77" i="3"/>
  <c r="FQ77" i="3"/>
  <c r="FU77" i="3"/>
  <c r="FV77" i="3"/>
  <c r="FX77" i="3"/>
  <c r="FZ77" i="3"/>
  <c r="FM77" i="3"/>
  <c r="FN77" i="3"/>
  <c r="FP77" i="3"/>
  <c r="FR77" i="3"/>
  <c r="FS77" i="3"/>
  <c r="FY77" i="3"/>
  <c r="FT77" i="3"/>
  <c r="EE95" i="3"/>
  <c r="EF95" i="3"/>
  <c r="EG95" i="3"/>
  <c r="DW95" i="3"/>
  <c r="DX95" i="3"/>
  <c r="DY95" i="3"/>
  <c r="ED95" i="3"/>
  <c r="DV95" i="3"/>
  <c r="EA95" i="3"/>
  <c r="EH95" i="3"/>
  <c r="EI95" i="3"/>
  <c r="EC95" i="3"/>
  <c r="DZ95" i="3"/>
  <c r="DP95" i="3"/>
  <c r="DU95" i="3"/>
  <c r="CY95" i="3"/>
  <c r="DK95" i="3"/>
  <c r="CZ95" i="3"/>
  <c r="DL95" i="3"/>
  <c r="DE95" i="3"/>
  <c r="DG95" i="3"/>
  <c r="DN95" i="3"/>
  <c r="CX95" i="3"/>
  <c r="DA95" i="3"/>
  <c r="DC95" i="3"/>
  <c r="DI95" i="3"/>
  <c r="DM95" i="3"/>
  <c r="DB95" i="3"/>
  <c r="DH95" i="3"/>
  <c r="DD95" i="3"/>
  <c r="DF95" i="3"/>
  <c r="DJ95" i="3"/>
  <c r="FO95" i="3"/>
  <c r="GA95" i="3"/>
  <c r="FP95" i="3"/>
  <c r="FQ95" i="3"/>
  <c r="FR95" i="3"/>
  <c r="FS95" i="3"/>
  <c r="FT95" i="3"/>
  <c r="FU95" i="3"/>
  <c r="FV95" i="3"/>
  <c r="FN95" i="3"/>
  <c r="FZ95" i="3"/>
  <c r="FM95" i="3"/>
  <c r="FY95" i="3"/>
  <c r="FX95" i="3"/>
  <c r="DX113" i="3"/>
  <c r="DY113" i="3"/>
  <c r="DZ113" i="3"/>
  <c r="ED113" i="3"/>
  <c r="EE113" i="3"/>
  <c r="EF113" i="3"/>
  <c r="DW113" i="3"/>
  <c r="EG113" i="3"/>
  <c r="EI113" i="3"/>
  <c r="DP113" i="3"/>
  <c r="DU113" i="3"/>
  <c r="DV113" i="3"/>
  <c r="EA113" i="3"/>
  <c r="EC113" i="3"/>
  <c r="EH113" i="3"/>
  <c r="DA113" i="3"/>
  <c r="DM113" i="3"/>
  <c r="CY113" i="3"/>
  <c r="DL113" i="3"/>
  <c r="DC113" i="3"/>
  <c r="DD113" i="3"/>
  <c r="DE113" i="3"/>
  <c r="DF113" i="3"/>
  <c r="DI113" i="3"/>
  <c r="DH113" i="3"/>
  <c r="DJ113" i="3"/>
  <c r="DK113" i="3"/>
  <c r="DN113" i="3"/>
  <c r="CX113" i="3"/>
  <c r="CZ113" i="3"/>
  <c r="DB113" i="3"/>
  <c r="DG113" i="3"/>
  <c r="FU113" i="3"/>
  <c r="FV113" i="3"/>
  <c r="FX113" i="3"/>
  <c r="FM113" i="3"/>
  <c r="FY113" i="3"/>
  <c r="FN113" i="3"/>
  <c r="FZ113" i="3"/>
  <c r="FO113" i="3"/>
  <c r="GA113" i="3"/>
  <c r="FP113" i="3"/>
  <c r="FQ113" i="3"/>
  <c r="FT113" i="3"/>
  <c r="FR113" i="3"/>
  <c r="FS113" i="3"/>
  <c r="ED130" i="3"/>
  <c r="EF130" i="3"/>
  <c r="EG130" i="3"/>
  <c r="DV130" i="3"/>
  <c r="EI130" i="3"/>
  <c r="DX130" i="3"/>
  <c r="EE130" i="3"/>
  <c r="DP130" i="3"/>
  <c r="DZ130" i="3"/>
  <c r="DU130" i="3"/>
  <c r="DW130" i="3"/>
  <c r="EA130" i="3"/>
  <c r="EH130" i="3"/>
  <c r="DY130" i="3"/>
  <c r="EC130" i="3"/>
  <c r="DC130" i="3"/>
  <c r="DF130" i="3"/>
  <c r="DG130" i="3"/>
  <c r="DH130" i="3"/>
  <c r="DI130" i="3"/>
  <c r="CZ130" i="3"/>
  <c r="DL130" i="3"/>
  <c r="CY130" i="3"/>
  <c r="DA130" i="3"/>
  <c r="DB130" i="3"/>
  <c r="DD130" i="3"/>
  <c r="DE130" i="3"/>
  <c r="DJ130" i="3"/>
  <c r="DK130" i="3"/>
  <c r="DM130" i="3"/>
  <c r="DN130" i="3"/>
  <c r="CX130" i="3"/>
  <c r="FV130" i="3"/>
  <c r="FX130" i="3"/>
  <c r="FM130" i="3"/>
  <c r="FY130" i="3"/>
  <c r="FN130" i="3"/>
  <c r="FZ130" i="3"/>
  <c r="FO130" i="3"/>
  <c r="GA130" i="3"/>
  <c r="FP130" i="3"/>
  <c r="FQ130" i="3"/>
  <c r="FR130" i="3"/>
  <c r="FU130" i="3"/>
  <c r="FS130" i="3"/>
  <c r="FT130" i="3"/>
  <c r="DW108" i="3"/>
  <c r="DX108" i="3"/>
  <c r="DY108" i="3"/>
  <c r="DP108" i="3"/>
  <c r="EC108" i="3"/>
  <c r="ED108" i="3"/>
  <c r="EE108" i="3"/>
  <c r="DV108" i="3"/>
  <c r="EI108" i="3"/>
  <c r="DU108" i="3"/>
  <c r="DZ108" i="3"/>
  <c r="EA108" i="3"/>
  <c r="EH108" i="3"/>
  <c r="EF108" i="3"/>
  <c r="EG108" i="3"/>
  <c r="DC108" i="3"/>
  <c r="DH108" i="3"/>
  <c r="DE108" i="3"/>
  <c r="DG108" i="3"/>
  <c r="DJ108" i="3"/>
  <c r="DB108" i="3"/>
  <c r="DI108" i="3"/>
  <c r="DK108" i="3"/>
  <c r="DL108" i="3"/>
  <c r="DM108" i="3"/>
  <c r="CY108" i="3"/>
  <c r="CX108" i="3"/>
  <c r="CZ108" i="3"/>
  <c r="DA108" i="3"/>
  <c r="DD108" i="3"/>
  <c r="DF108" i="3"/>
  <c r="DN108" i="3"/>
  <c r="FT108" i="3"/>
  <c r="FU108" i="3"/>
  <c r="FV108" i="3"/>
  <c r="FX108" i="3"/>
  <c r="FM108" i="3"/>
  <c r="FY108" i="3"/>
  <c r="FN108" i="3"/>
  <c r="FZ108" i="3"/>
  <c r="FO108" i="3"/>
  <c r="GA108" i="3"/>
  <c r="FP108" i="3"/>
  <c r="FS108" i="3"/>
  <c r="FQ108" i="3"/>
  <c r="FR108" i="3"/>
  <c r="EE107" i="3"/>
  <c r="EF107" i="3"/>
  <c r="EG107" i="3"/>
  <c r="DW107" i="3"/>
  <c r="DX107" i="3"/>
  <c r="DY107" i="3"/>
  <c r="ED107" i="3"/>
  <c r="EC107" i="3"/>
  <c r="EI107" i="3"/>
  <c r="DP107" i="3"/>
  <c r="DU107" i="3"/>
  <c r="DV107" i="3"/>
  <c r="EH107" i="3"/>
  <c r="DZ107" i="3"/>
  <c r="EA107" i="3"/>
  <c r="CZ107" i="3"/>
  <c r="DL107" i="3"/>
  <c r="DE107" i="3"/>
  <c r="DK107" i="3"/>
  <c r="CY107" i="3"/>
  <c r="DN107" i="3"/>
  <c r="DB107" i="3"/>
  <c r="DF107" i="3"/>
  <c r="DI107" i="3"/>
  <c r="DJ107" i="3"/>
  <c r="DM107" i="3"/>
  <c r="DA107" i="3"/>
  <c r="CX107" i="3"/>
  <c r="DC107" i="3"/>
  <c r="DD107" i="3"/>
  <c r="DG107" i="3"/>
  <c r="DH107" i="3"/>
  <c r="FO107" i="3"/>
  <c r="GA107" i="3"/>
  <c r="FP107" i="3"/>
  <c r="FQ107" i="3"/>
  <c r="FR107" i="3"/>
  <c r="FS107" i="3"/>
  <c r="FT107" i="3"/>
  <c r="FU107" i="3"/>
  <c r="FV107" i="3"/>
  <c r="FN107" i="3"/>
  <c r="FZ107" i="3"/>
  <c r="FX107" i="3"/>
  <c r="FY107" i="3"/>
  <c r="FM107" i="3"/>
  <c r="DU98" i="3"/>
  <c r="EH98" i="3"/>
  <c r="DV98" i="3"/>
  <c r="EI98" i="3"/>
  <c r="DW98" i="3"/>
  <c r="DZ98" i="3"/>
  <c r="EA98" i="3"/>
  <c r="DP98" i="3"/>
  <c r="EC98" i="3"/>
  <c r="EG98" i="3"/>
  <c r="DX98" i="3"/>
  <c r="ED98" i="3"/>
  <c r="EF98" i="3"/>
  <c r="DY98" i="3"/>
  <c r="EE98" i="3"/>
  <c r="DI98" i="3"/>
  <c r="DB98" i="3"/>
  <c r="DN98" i="3"/>
  <c r="DG98" i="3"/>
  <c r="CY98" i="3"/>
  <c r="DM98" i="3"/>
  <c r="CZ98" i="3"/>
  <c r="DA98" i="3"/>
  <c r="DD98" i="3"/>
  <c r="DF98" i="3"/>
  <c r="DK98" i="3"/>
  <c r="DL98" i="3"/>
  <c r="CX98" i="3"/>
  <c r="DC98" i="3"/>
  <c r="DE98" i="3"/>
  <c r="DH98" i="3"/>
  <c r="DJ98" i="3"/>
  <c r="FR98" i="3"/>
  <c r="FS98" i="3"/>
  <c r="FT98" i="3"/>
  <c r="FU98" i="3"/>
  <c r="FV98" i="3"/>
  <c r="FX98" i="3"/>
  <c r="FM98" i="3"/>
  <c r="FY98" i="3"/>
  <c r="FN98" i="3"/>
  <c r="FZ98" i="3"/>
  <c r="FQ98" i="3"/>
  <c r="FO98" i="3"/>
  <c r="FP98" i="3"/>
  <c r="GA98" i="3"/>
  <c r="ED78" i="3"/>
  <c r="EE78" i="3"/>
  <c r="EF78" i="3"/>
  <c r="DV78" i="3"/>
  <c r="EI78" i="3"/>
  <c r="DW78" i="3"/>
  <c r="DX78" i="3"/>
  <c r="DP78" i="3"/>
  <c r="EC78" i="3"/>
  <c r="EA78" i="3"/>
  <c r="EH78" i="3"/>
  <c r="DU78" i="3"/>
  <c r="EG78" i="3"/>
  <c r="DZ78" i="3"/>
  <c r="DY78" i="3"/>
  <c r="DH78" i="3"/>
  <c r="DI78" i="3"/>
  <c r="DB78" i="3"/>
  <c r="DN78" i="3"/>
  <c r="DL78" i="3"/>
  <c r="CX78" i="3"/>
  <c r="DM78" i="3"/>
  <c r="CY78" i="3"/>
  <c r="CZ78" i="3"/>
  <c r="DA78" i="3"/>
  <c r="DC78" i="3"/>
  <c r="DD78" i="3"/>
  <c r="DE78" i="3"/>
  <c r="DF78" i="3"/>
  <c r="DG78" i="3"/>
  <c r="DJ78" i="3"/>
  <c r="DK78" i="3"/>
  <c r="FT78" i="3"/>
  <c r="FV78" i="3"/>
  <c r="FN78" i="3"/>
  <c r="FZ78" i="3"/>
  <c r="FO78" i="3"/>
  <c r="GA78" i="3"/>
  <c r="FQ78" i="3"/>
  <c r="FM78" i="3"/>
  <c r="FP78" i="3"/>
  <c r="FR78" i="3"/>
  <c r="FS78" i="3"/>
  <c r="FU78" i="3"/>
  <c r="FY78" i="3"/>
  <c r="FX78" i="3"/>
  <c r="EF112" i="3"/>
  <c r="EG112" i="3"/>
  <c r="DU112" i="3"/>
  <c r="EH112" i="3"/>
  <c r="DX112" i="3"/>
  <c r="DY112" i="3"/>
  <c r="DZ112" i="3"/>
  <c r="EE112" i="3"/>
  <c r="DV112" i="3"/>
  <c r="EA112" i="3"/>
  <c r="EC112" i="3"/>
  <c r="EI112" i="3"/>
  <c r="DP112" i="3"/>
  <c r="ED112" i="3"/>
  <c r="DW112" i="3"/>
  <c r="CX112" i="3"/>
  <c r="DJ112" i="3"/>
  <c r="CZ112" i="3"/>
  <c r="DL112" i="3"/>
  <c r="DB112" i="3"/>
  <c r="DN112" i="3"/>
  <c r="DE112" i="3"/>
  <c r="DH112" i="3"/>
  <c r="DI112" i="3"/>
  <c r="DK112" i="3"/>
  <c r="DM112" i="3"/>
  <c r="DA112" i="3"/>
  <c r="CY112" i="3"/>
  <c r="DC112" i="3"/>
  <c r="DD112" i="3"/>
  <c r="DF112" i="3"/>
  <c r="DG112" i="3"/>
  <c r="FP112" i="3"/>
  <c r="FQ112" i="3"/>
  <c r="FR112" i="3"/>
  <c r="FS112" i="3"/>
  <c r="FT112" i="3"/>
  <c r="FU112" i="3"/>
  <c r="FV112" i="3"/>
  <c r="FX112" i="3"/>
  <c r="FO112" i="3"/>
  <c r="GA112" i="3"/>
  <c r="FM112" i="3"/>
  <c r="FN112" i="3"/>
  <c r="FY112" i="3"/>
  <c r="FZ112" i="3"/>
  <c r="DU110" i="3"/>
  <c r="EH110" i="3"/>
  <c r="DV110" i="3"/>
  <c r="EI110" i="3"/>
  <c r="DW110" i="3"/>
  <c r="DZ110" i="3"/>
  <c r="EA110" i="3"/>
  <c r="DP110" i="3"/>
  <c r="EC110" i="3"/>
  <c r="EG110" i="3"/>
  <c r="EE110" i="3"/>
  <c r="DY110" i="3"/>
  <c r="ED110" i="3"/>
  <c r="EF110" i="3"/>
  <c r="DX110" i="3"/>
  <c r="DD110" i="3"/>
  <c r="DF110" i="3"/>
  <c r="DH110" i="3"/>
  <c r="CY110" i="3"/>
  <c r="DN110" i="3"/>
  <c r="DB110" i="3"/>
  <c r="DC110" i="3"/>
  <c r="DE110" i="3"/>
  <c r="DG110" i="3"/>
  <c r="DK110" i="3"/>
  <c r="DJ110" i="3"/>
  <c r="DL110" i="3"/>
  <c r="DM110" i="3"/>
  <c r="CX110" i="3"/>
  <c r="CZ110" i="3"/>
  <c r="DA110" i="3"/>
  <c r="DI110" i="3"/>
  <c r="FR110" i="3"/>
  <c r="FS110" i="3"/>
  <c r="FT110" i="3"/>
  <c r="FU110" i="3"/>
  <c r="FV110" i="3"/>
  <c r="FX110" i="3"/>
  <c r="FM110" i="3"/>
  <c r="FY110" i="3"/>
  <c r="FN110" i="3"/>
  <c r="FZ110" i="3"/>
  <c r="FQ110" i="3"/>
  <c r="FO110" i="3"/>
  <c r="FP110" i="3"/>
  <c r="GA110" i="3"/>
  <c r="DZ99" i="3"/>
  <c r="EA99" i="3"/>
  <c r="DP99" i="3"/>
  <c r="EC99" i="3"/>
  <c r="EF99" i="3"/>
  <c r="EG99" i="3"/>
  <c r="DU99" i="3"/>
  <c r="EH99" i="3"/>
  <c r="DY99" i="3"/>
  <c r="EI99" i="3"/>
  <c r="DV99" i="3"/>
  <c r="DW99" i="3"/>
  <c r="DX99" i="3"/>
  <c r="ED99" i="3"/>
  <c r="EE99" i="3"/>
  <c r="CZ99" i="3"/>
  <c r="DL99" i="3"/>
  <c r="DE99" i="3"/>
  <c r="DA99" i="3"/>
  <c r="DG99" i="3"/>
  <c r="DH99" i="3"/>
  <c r="DI99" i="3"/>
  <c r="DK99" i="3"/>
  <c r="DJ99" i="3"/>
  <c r="CX99" i="3"/>
  <c r="DC99" i="3"/>
  <c r="CY99" i="3"/>
  <c r="DB99" i="3"/>
  <c r="DD99" i="3"/>
  <c r="DF99" i="3"/>
  <c r="DM99" i="3"/>
  <c r="DN99" i="3"/>
  <c r="FX99" i="3"/>
  <c r="FM99" i="3"/>
  <c r="FY99" i="3"/>
  <c r="FN99" i="3"/>
  <c r="FZ99" i="3"/>
  <c r="FO99" i="3"/>
  <c r="GA99" i="3"/>
  <c r="FP99" i="3"/>
  <c r="FQ99" i="3"/>
  <c r="FR99" i="3"/>
  <c r="FS99" i="3"/>
  <c r="FV99" i="3"/>
  <c r="FT99" i="3"/>
  <c r="FU99" i="3"/>
  <c r="EG105" i="3"/>
  <c r="DU105" i="3"/>
  <c r="EH105" i="3"/>
  <c r="DV105" i="3"/>
  <c r="EI105" i="3"/>
  <c r="DY105" i="3"/>
  <c r="DZ105" i="3"/>
  <c r="EA105" i="3"/>
  <c r="EF105" i="3"/>
  <c r="DP105" i="3"/>
  <c r="DW105" i="3"/>
  <c r="DX105" i="3"/>
  <c r="EC105" i="3"/>
  <c r="EE105" i="3"/>
  <c r="ED105" i="3"/>
  <c r="DF105" i="3"/>
  <c r="CY105" i="3"/>
  <c r="DK105" i="3"/>
  <c r="DD105" i="3"/>
  <c r="DJ105" i="3"/>
  <c r="DL105" i="3"/>
  <c r="CX105" i="3"/>
  <c r="DM105" i="3"/>
  <c r="DA105" i="3"/>
  <c r="DG105" i="3"/>
  <c r="DN105" i="3"/>
  <c r="DB105" i="3"/>
  <c r="CZ105" i="3"/>
  <c r="DC105" i="3"/>
  <c r="DE105" i="3"/>
  <c r="DH105" i="3"/>
  <c r="DI105" i="3"/>
  <c r="FQ105" i="3"/>
  <c r="FR105" i="3"/>
  <c r="FS105" i="3"/>
  <c r="FT105" i="3"/>
  <c r="FU105" i="3"/>
  <c r="FV105" i="3"/>
  <c r="FX105" i="3"/>
  <c r="FM105" i="3"/>
  <c r="FY105" i="3"/>
  <c r="FP105" i="3"/>
  <c r="FN105" i="3"/>
  <c r="FO105" i="3"/>
  <c r="FZ105" i="3"/>
  <c r="GA105" i="3"/>
  <c r="CS116" i="3"/>
  <c r="CS125" i="3"/>
  <c r="CS107" i="3"/>
  <c r="CS98" i="3"/>
  <c r="CS119" i="3"/>
  <c r="CS73" i="3"/>
  <c r="CS77" i="3"/>
  <c r="CS123" i="3"/>
  <c r="CS112" i="3"/>
  <c r="CS86" i="3"/>
  <c r="CS93" i="3"/>
  <c r="CS117" i="3"/>
  <c r="CS94" i="3"/>
  <c r="CS92" i="3"/>
  <c r="CS127" i="3"/>
  <c r="CS121" i="3"/>
  <c r="CS131" i="3"/>
  <c r="CS96" i="3"/>
  <c r="CS110" i="3"/>
  <c r="CS88" i="3"/>
  <c r="CS122" i="3"/>
  <c r="BW268" i="3"/>
  <c r="CS78" i="3"/>
  <c r="CS101" i="3"/>
  <c r="CS124" i="3"/>
  <c r="CS118" i="3"/>
  <c r="CS133" i="3"/>
  <c r="CS80" i="3"/>
  <c r="CS74" i="3"/>
  <c r="CS113" i="3"/>
  <c r="CS126" i="3"/>
  <c r="CS120" i="3"/>
  <c r="CS135" i="3"/>
  <c r="CS104" i="3"/>
  <c r="CS130" i="3"/>
  <c r="CS103" i="3"/>
  <c r="CS108" i="3"/>
  <c r="CS134" i="3"/>
  <c r="CS106" i="3"/>
  <c r="CS109" i="3"/>
  <c r="CS115" i="3"/>
  <c r="CS102" i="3"/>
  <c r="CS100" i="3"/>
  <c r="CS76" i="3"/>
  <c r="CS105" i="3"/>
  <c r="CS79" i="3"/>
  <c r="CS129" i="3"/>
  <c r="CS128" i="3"/>
  <c r="CS87" i="3"/>
  <c r="CS75" i="3"/>
  <c r="CS82" i="3"/>
  <c r="CS114" i="3"/>
  <c r="CS97" i="3"/>
  <c r="CS99" i="3"/>
  <c r="CS111" i="3"/>
  <c r="CS132" i="3"/>
  <c r="CS95" i="3"/>
  <c r="CD261" i="3"/>
  <c r="BL261" i="3"/>
  <c r="BB5" i="9"/>
  <c r="BB7" i="9"/>
  <c r="AO6" i="9"/>
  <c r="AO4" i="9"/>
  <c r="AU261" i="3"/>
  <c r="CB109" i="3" l="1"/>
  <c r="CC109" i="3" s="1"/>
  <c r="CB88" i="3"/>
  <c r="CC88" i="3" s="1"/>
  <c r="CB98" i="3"/>
  <c r="CC98" i="3" s="1"/>
  <c r="CB124" i="3"/>
  <c r="CC124" i="3" s="1"/>
  <c r="CB117" i="3"/>
  <c r="CC117" i="3" s="1"/>
  <c r="CB82" i="3"/>
  <c r="CC82" i="3" s="1"/>
  <c r="CB76" i="3"/>
  <c r="CC76" i="3" s="1"/>
  <c r="CB129" i="3"/>
  <c r="CC129" i="3" s="1"/>
  <c r="CB108" i="3"/>
  <c r="CC108" i="3" s="1"/>
  <c r="CB113" i="3"/>
  <c r="CC113" i="3" s="1"/>
  <c r="CB97" i="3"/>
  <c r="CC97" i="3" s="1"/>
  <c r="CB79" i="3"/>
  <c r="CC79" i="3" s="1"/>
  <c r="CB111" i="3"/>
  <c r="CC111" i="3" s="1"/>
  <c r="CB119" i="3"/>
  <c r="CC119" i="3" s="1"/>
  <c r="CB96" i="3"/>
  <c r="CC96" i="3" s="1"/>
  <c r="CB110" i="3"/>
  <c r="CC110" i="3" s="1"/>
  <c r="CB107" i="3"/>
  <c r="CC107" i="3" s="1"/>
  <c r="CB93" i="3"/>
  <c r="CC93" i="3" s="1"/>
  <c r="CB118" i="3"/>
  <c r="CC118" i="3" s="1"/>
  <c r="CB134" i="3"/>
  <c r="CC134" i="3" s="1"/>
  <c r="CB112" i="3"/>
  <c r="CC112" i="3" s="1"/>
  <c r="CB126" i="3"/>
  <c r="CC126" i="3" s="1"/>
  <c r="CB78" i="3"/>
  <c r="CC78" i="3" s="1"/>
  <c r="CB92" i="3"/>
  <c r="CC92" i="3" s="1"/>
  <c r="CB116" i="3"/>
  <c r="CC116" i="3" s="1"/>
  <c r="CB101" i="3"/>
  <c r="CC101" i="3" s="1"/>
  <c r="CB95" i="3"/>
  <c r="CC95" i="3" s="1"/>
  <c r="CB132" i="3"/>
  <c r="CC132" i="3" s="1"/>
  <c r="CB102" i="3"/>
  <c r="CC102" i="3" s="1"/>
  <c r="CB133" i="3"/>
  <c r="CC133" i="3" s="1"/>
  <c r="CB121" i="3"/>
  <c r="CC121" i="3" s="1"/>
  <c r="CB135" i="3"/>
  <c r="CC135" i="3" s="1"/>
  <c r="CB80" i="3"/>
  <c r="CC80" i="3" s="1"/>
  <c r="CB77" i="3"/>
  <c r="CC77" i="3" s="1"/>
  <c r="CB73" i="3"/>
  <c r="CC73" i="3" s="1"/>
  <c r="CB127" i="3"/>
  <c r="CC127" i="3" s="1"/>
  <c r="CB120" i="3"/>
  <c r="CC120" i="3" s="1"/>
  <c r="CB75" i="3"/>
  <c r="CC75" i="3" s="1"/>
  <c r="CB125" i="3"/>
  <c r="CC125" i="3" s="1"/>
  <c r="CB105" i="3"/>
  <c r="CC105" i="3" s="1"/>
  <c r="CB103" i="3"/>
  <c r="CC103" i="3" s="1"/>
  <c r="CB74" i="3"/>
  <c r="CC74" i="3" s="1"/>
  <c r="CB131" i="3"/>
  <c r="CC131" i="3" s="1"/>
  <c r="CB128" i="3"/>
  <c r="CC128" i="3" s="1"/>
  <c r="CB122" i="3"/>
  <c r="CC122" i="3" s="1"/>
  <c r="CB87" i="3"/>
  <c r="CC87" i="3" s="1"/>
  <c r="CB123" i="3"/>
  <c r="CC123" i="3" s="1"/>
  <c r="CB114" i="3"/>
  <c r="CC114" i="3" s="1"/>
  <c r="CB94" i="3"/>
  <c r="CC94" i="3" s="1"/>
  <c r="CB86" i="3"/>
  <c r="CC86" i="3" s="1"/>
  <c r="CB104" i="3"/>
  <c r="CC104" i="3" s="1"/>
  <c r="CB99" i="3"/>
  <c r="CC99" i="3" s="1"/>
  <c r="CB106" i="3"/>
  <c r="CC106" i="3" s="1"/>
  <c r="CB100" i="3"/>
  <c r="CC100" i="3" s="1"/>
  <c r="CB130" i="3"/>
  <c r="CC130" i="3" s="1"/>
  <c r="CB115" i="3"/>
  <c r="CC115" i="3" s="1"/>
  <c r="CB11" i="3"/>
  <c r="BZ11" i="3"/>
  <c r="AY15" i="3"/>
  <c r="AY17" i="3"/>
  <c r="AY19" i="3"/>
  <c r="AY39" i="3"/>
  <c r="AY44" i="3"/>
  <c r="AY38" i="3"/>
  <c r="AY37" i="3"/>
  <c r="AY40" i="3"/>
  <c r="AY46" i="3"/>
  <c r="AY52" i="3"/>
  <c r="AY75" i="3"/>
  <c r="AY79" i="3"/>
  <c r="AY83" i="3"/>
  <c r="AY92" i="3"/>
  <c r="AY77" i="3"/>
  <c r="AY85" i="3"/>
  <c r="AY73" i="3"/>
  <c r="AY81" i="3"/>
  <c r="AY88" i="3"/>
  <c r="AY96" i="3"/>
  <c r="AY100" i="3"/>
  <c r="AY115" i="3"/>
  <c r="AY119" i="3"/>
  <c r="AY141" i="3"/>
  <c r="AY113" i="3"/>
  <c r="AY121" i="3"/>
  <c r="AY147" i="3"/>
  <c r="AY117" i="3"/>
  <c r="AY159" i="3"/>
  <c r="AY163" i="3"/>
  <c r="AY167" i="3"/>
  <c r="AY171" i="3"/>
  <c r="AY175" i="3"/>
  <c r="AY179" i="3"/>
  <c r="AY183" i="3"/>
  <c r="AY143" i="3"/>
  <c r="AY157" i="3"/>
  <c r="AY165" i="3"/>
  <c r="AY173" i="3"/>
  <c r="AY181" i="3"/>
  <c r="AY255" i="3"/>
  <c r="AY231" i="3"/>
  <c r="AY161" i="3"/>
  <c r="AY169" i="3"/>
  <c r="AY177" i="3"/>
  <c r="AY239" i="3"/>
  <c r="AY242" i="3"/>
  <c r="AY254" i="3"/>
  <c r="AY234" i="3"/>
  <c r="AY114" i="3"/>
  <c r="AY212" i="3"/>
  <c r="AY190" i="3"/>
  <c r="AY198" i="3"/>
  <c r="AY256" i="3"/>
  <c r="AY249" i="3"/>
  <c r="AY233" i="3"/>
  <c r="AY215" i="3"/>
  <c r="AY204" i="3"/>
  <c r="AY236" i="3"/>
  <c r="AY220" i="3"/>
  <c r="AY185" i="3"/>
  <c r="AY156" i="3"/>
  <c r="AY226" i="3"/>
  <c r="AY201" i="3"/>
  <c r="AY195" i="3"/>
  <c r="AY178" i="3"/>
  <c r="AY238" i="3"/>
  <c r="AY228" i="3"/>
  <c r="AY160" i="3"/>
  <c r="AY134" i="3"/>
  <c r="AY184" i="3"/>
  <c r="AY152" i="3"/>
  <c r="AY132" i="3"/>
  <c r="AY112" i="3"/>
  <c r="AY148" i="3"/>
  <c r="AY130" i="3"/>
  <c r="AY260" i="3"/>
  <c r="AY237" i="3"/>
  <c r="AY188" i="3"/>
  <c r="AY210" i="3"/>
  <c r="AY247" i="3"/>
  <c r="AY229" i="3"/>
  <c r="AY174" i="3"/>
  <c r="AY218" i="3"/>
  <c r="AY213" i="3"/>
  <c r="AY180" i="3"/>
  <c r="AY207" i="3"/>
  <c r="AY199" i="3"/>
  <c r="AY194" i="3"/>
  <c r="AY170" i="3"/>
  <c r="AY186" i="3"/>
  <c r="AY131" i="3"/>
  <c r="AY126" i="3"/>
  <c r="AY155" i="3"/>
  <c r="AY151" i="3"/>
  <c r="AY129" i="3"/>
  <c r="AY127" i="3"/>
  <c r="AY109" i="3"/>
  <c r="AY252" i="3"/>
  <c r="AY243" i="3"/>
  <c r="AY227" i="3"/>
  <c r="AY216" i="3"/>
  <c r="AY208" i="3"/>
  <c r="AY224" i="3"/>
  <c r="AY217" i="3"/>
  <c r="AY166" i="3"/>
  <c r="AY259" i="3"/>
  <c r="AY245" i="3"/>
  <c r="AY221" i="3"/>
  <c r="AY211" i="3"/>
  <c r="AY241" i="3"/>
  <c r="AY230" i="3"/>
  <c r="AY225" i="3"/>
  <c r="AY172" i="3"/>
  <c r="AY232" i="3"/>
  <c r="AY205" i="3"/>
  <c r="AY197" i="3"/>
  <c r="AY193" i="3"/>
  <c r="AY162" i="3"/>
  <c r="AY222" i="3"/>
  <c r="AY176" i="3"/>
  <c r="AY253" i="3"/>
  <c r="AY202" i="3"/>
  <c r="AY158" i="3"/>
  <c r="AY203" i="3"/>
  <c r="AY168" i="3"/>
  <c r="AY150" i="3"/>
  <c r="AY137" i="3"/>
  <c r="AY145" i="3"/>
  <c r="AY128" i="3"/>
  <c r="AY111" i="3"/>
  <c r="AY86" i="3"/>
  <c r="AY90" i="3"/>
  <c r="AY89" i="3"/>
  <c r="AY97" i="3"/>
  <c r="AY47" i="3"/>
  <c r="AY31" i="3"/>
  <c r="AY34" i="3"/>
  <c r="AY26" i="3"/>
  <c r="AY21" i="3"/>
  <c r="AY107" i="3"/>
  <c r="AY214" i="3"/>
  <c r="AY258" i="3"/>
  <c r="AY191" i="3"/>
  <c r="AY196" i="3"/>
  <c r="AY187" i="3"/>
  <c r="AY139" i="3"/>
  <c r="AY149" i="3"/>
  <c r="AY124" i="3"/>
  <c r="AY138" i="3"/>
  <c r="AY125" i="3"/>
  <c r="AY78" i="3"/>
  <c r="AY84" i="3"/>
  <c r="AY82" i="3"/>
  <c r="AY103" i="3"/>
  <c r="AY93" i="3"/>
  <c r="AY53" i="3"/>
  <c r="AY25" i="3"/>
  <c r="AY244" i="3"/>
  <c r="AY240" i="3"/>
  <c r="AY200" i="3"/>
  <c r="AY248" i="3"/>
  <c r="AY164" i="3"/>
  <c r="AY192" i="3"/>
  <c r="AY144" i="3"/>
  <c r="AY189" i="3"/>
  <c r="AY154" i="3"/>
  <c r="AY120" i="3"/>
  <c r="AY135" i="3"/>
  <c r="AY136" i="3"/>
  <c r="AY123" i="3"/>
  <c r="AY110" i="3"/>
  <c r="AY106" i="3"/>
  <c r="AY80" i="3"/>
  <c r="AY105" i="3"/>
  <c r="AY76" i="3"/>
  <c r="AY74" i="3"/>
  <c r="AY104" i="3"/>
  <c r="AY54" i="3"/>
  <c r="AY45" i="3"/>
  <c r="AY41" i="3"/>
  <c r="AY42" i="3"/>
  <c r="AY36" i="3"/>
  <c r="AY32" i="3"/>
  <c r="AY23" i="3"/>
  <c r="AY28" i="3"/>
  <c r="AY206" i="3"/>
  <c r="AY209" i="3"/>
  <c r="AY122" i="3"/>
  <c r="AY153" i="3"/>
  <c r="AY118" i="3"/>
  <c r="AY133" i="3"/>
  <c r="AY116" i="3"/>
  <c r="AY108" i="3"/>
  <c r="AY91" i="3"/>
  <c r="AY101" i="3"/>
  <c r="AY50" i="3"/>
  <c r="AY48" i="3"/>
  <c r="AY57" i="3"/>
  <c r="AY56" i="3"/>
  <c r="AY35" i="3"/>
  <c r="AY30" i="3"/>
  <c r="AY22" i="3"/>
  <c r="AY20" i="3"/>
  <c r="AY27" i="3"/>
  <c r="AY18" i="3"/>
  <c r="AY71" i="3"/>
  <c r="AY72" i="3"/>
  <c r="AY98" i="3"/>
  <c r="AY43" i="3"/>
  <c r="AY95" i="3"/>
  <c r="AY146" i="3"/>
  <c r="AY223" i="3"/>
  <c r="AY70" i="3"/>
  <c r="AY251" i="3"/>
  <c r="AY219" i="3"/>
  <c r="AY58" i="3"/>
  <c r="AY182" i="3"/>
  <c r="AY61" i="3"/>
  <c r="AY102" i="3"/>
  <c r="AY33" i="3"/>
  <c r="AY60" i="3"/>
  <c r="AY49" i="3"/>
  <c r="AY235" i="3"/>
  <c r="AY29" i="3"/>
  <c r="AY64" i="3"/>
  <c r="AY87" i="3"/>
  <c r="AY16" i="3"/>
  <c r="AY65" i="3"/>
  <c r="AY62" i="3"/>
  <c r="AY55" i="3"/>
  <c r="AY142" i="3"/>
  <c r="AY63" i="3"/>
  <c r="AY59" i="3"/>
  <c r="AY94" i="3"/>
  <c r="AY250" i="3"/>
  <c r="AY51" i="3"/>
  <c r="AY68" i="3"/>
  <c r="AY69" i="3"/>
  <c r="AY140" i="3"/>
  <c r="AY246" i="3"/>
  <c r="AY66" i="3"/>
  <c r="AY24" i="3"/>
  <c r="AY67" i="3"/>
  <c r="AY99" i="3"/>
  <c r="AY257" i="3"/>
  <c r="AY14" i="3"/>
  <c r="AY12" i="3"/>
  <c r="AY13" i="3"/>
  <c r="BB6" i="9"/>
  <c r="BB4" i="9"/>
  <c r="AY11" i="3"/>
  <c r="CA11" i="3" l="1"/>
  <c r="GD261" i="3"/>
  <c r="AY261" i="3"/>
  <c r="BY11" i="3" l="1"/>
  <c r="CS261" i="3"/>
  <c r="E22" i="4" s="1"/>
  <c r="DP261" i="3"/>
  <c r="EK261" i="3"/>
  <c r="G22" i="4" s="1"/>
  <c r="CC11" i="3" l="1"/>
  <c r="F22" i="4"/>
  <c r="GO200" i="3" l="1"/>
  <c r="GP200" i="3" s="1"/>
  <c r="GR200" i="3" s="1"/>
  <c r="BC192" i="9" s="1"/>
  <c r="GO153" i="3"/>
  <c r="GP153" i="3" s="1"/>
  <c r="GO83" i="3"/>
  <c r="GP83" i="3" s="1"/>
  <c r="GO95" i="3"/>
  <c r="GP95" i="3" s="1"/>
  <c r="GO16" i="3"/>
  <c r="GP16" i="3" s="1"/>
  <c r="GO168" i="3"/>
  <c r="GP168" i="3" s="1"/>
  <c r="GO191" i="3"/>
  <c r="GP191" i="3" s="1"/>
  <c r="GO58" i="3"/>
  <c r="GP58" i="3" s="1"/>
  <c r="GO204" i="3"/>
  <c r="GP204" i="3" s="1"/>
  <c r="GO232" i="3"/>
  <c r="GP232" i="3" s="1"/>
  <c r="GO37" i="3"/>
  <c r="GP37" i="3" s="1"/>
  <c r="GQ37" i="3" s="1"/>
  <c r="GO67" i="3"/>
  <c r="GP67" i="3" s="1"/>
  <c r="GO167" i="3"/>
  <c r="GP167" i="3" s="1"/>
  <c r="GO99" i="3"/>
  <c r="GP99" i="3" s="1"/>
  <c r="GO238" i="3"/>
  <c r="GP238" i="3" s="1"/>
  <c r="GO119" i="3"/>
  <c r="GP119" i="3" s="1"/>
  <c r="GO258" i="3"/>
  <c r="GP258" i="3" s="1"/>
  <c r="GO159" i="3"/>
  <c r="GP159" i="3" s="1"/>
  <c r="GO194" i="3"/>
  <c r="GP194" i="3" s="1"/>
  <c r="GO161" i="3"/>
  <c r="GP161" i="3" s="1"/>
  <c r="GO245" i="3"/>
  <c r="GP245" i="3" s="1"/>
  <c r="GO162" i="3"/>
  <c r="GP162" i="3" s="1"/>
  <c r="GO90" i="3"/>
  <c r="GP90" i="3" s="1"/>
  <c r="GO93" i="3"/>
  <c r="GP93" i="3" s="1"/>
  <c r="GO246" i="3"/>
  <c r="GP246" i="3" s="1"/>
  <c r="GO115" i="3"/>
  <c r="GP115" i="3" s="1"/>
  <c r="GO178" i="3"/>
  <c r="GP178" i="3" s="1"/>
  <c r="GO237" i="3"/>
  <c r="GP237" i="3" s="1"/>
  <c r="GO118" i="3"/>
  <c r="GP118" i="3" s="1"/>
  <c r="GO190" i="3"/>
  <c r="GP190" i="3" s="1"/>
  <c r="GO185" i="3"/>
  <c r="GP185" i="3" s="1"/>
  <c r="GO98" i="3"/>
  <c r="GP98" i="3" s="1"/>
  <c r="GO184" i="3"/>
  <c r="GP184" i="3" s="1"/>
  <c r="GO158" i="3"/>
  <c r="GP158" i="3" s="1"/>
  <c r="GO228" i="3"/>
  <c r="GP228" i="3" s="1"/>
  <c r="GO25" i="3"/>
  <c r="GP25" i="3" s="1"/>
  <c r="GQ25" i="3" s="1"/>
  <c r="GO57" i="3"/>
  <c r="GP57" i="3" s="1"/>
  <c r="GO14" i="3"/>
  <c r="GP14" i="3" s="1"/>
  <c r="GQ14" i="3" s="1"/>
  <c r="GO19" i="3"/>
  <c r="GP19" i="3" s="1"/>
  <c r="GQ19" i="3" s="1"/>
  <c r="GO39" i="3"/>
  <c r="GP39" i="3" s="1"/>
  <c r="GO189" i="3"/>
  <c r="GP189" i="3" s="1"/>
  <c r="GO148" i="3"/>
  <c r="GP148" i="3" s="1"/>
  <c r="GO68" i="3"/>
  <c r="GP68" i="3" s="1"/>
  <c r="GO214" i="3"/>
  <c r="GP214" i="3" s="1"/>
  <c r="GO88" i="3"/>
  <c r="GP88" i="3" s="1"/>
  <c r="GO239" i="3"/>
  <c r="GP239" i="3" s="1"/>
  <c r="GO140" i="3"/>
  <c r="GP140" i="3" s="1"/>
  <c r="GO252" i="3"/>
  <c r="GP252" i="3" s="1"/>
  <c r="GO59" i="3"/>
  <c r="GP59" i="3" s="1"/>
  <c r="GO133" i="3"/>
  <c r="GP133" i="3" s="1"/>
  <c r="GO205" i="3"/>
  <c r="GP205" i="3" s="1"/>
  <c r="GO18" i="3"/>
  <c r="GP18" i="3" s="1"/>
  <c r="GO92" i="3"/>
  <c r="GP92" i="3" s="1"/>
  <c r="GO46" i="3"/>
  <c r="GP46" i="3" s="1"/>
  <c r="GO28" i="3"/>
  <c r="GP28" i="3" s="1"/>
  <c r="GO64" i="3"/>
  <c r="GP64" i="3" s="1"/>
  <c r="GO212" i="3"/>
  <c r="GP212" i="3" s="1"/>
  <c r="GO223" i="3"/>
  <c r="GP223" i="3" s="1"/>
  <c r="GO219" i="3"/>
  <c r="GP219" i="3" s="1"/>
  <c r="GO221" i="3"/>
  <c r="GP221" i="3" s="1"/>
  <c r="GO53" i="3"/>
  <c r="GP53" i="3" s="1"/>
  <c r="GO30" i="3"/>
  <c r="GP30" i="3" s="1"/>
  <c r="GO97" i="3"/>
  <c r="GP97" i="3" s="1"/>
  <c r="GO60" i="3"/>
  <c r="GP60" i="3" s="1"/>
  <c r="GQ60" i="3" s="1"/>
  <c r="GO24" i="3"/>
  <c r="GP24" i="3" s="1"/>
  <c r="GQ24" i="3" s="1"/>
  <c r="GO85" i="3"/>
  <c r="GP85" i="3" s="1"/>
  <c r="GO27" i="3"/>
  <c r="GP27" i="3" s="1"/>
  <c r="GO89" i="3"/>
  <c r="GP89" i="3" s="1"/>
  <c r="GO36" i="3"/>
  <c r="GP36" i="3" s="1"/>
  <c r="GQ36" i="3" s="1"/>
  <c r="GO186" i="3"/>
  <c r="GP186" i="3" s="1"/>
  <c r="GO188" i="3"/>
  <c r="GP188" i="3" s="1"/>
  <c r="GO210" i="3"/>
  <c r="GP210" i="3" s="1"/>
  <c r="GO100" i="3"/>
  <c r="GP100" i="3" s="1"/>
  <c r="GO172" i="3"/>
  <c r="GP172" i="3" s="1"/>
  <c r="GO209" i="3"/>
  <c r="GP209" i="3" s="1"/>
  <c r="GO61" i="3"/>
  <c r="GP61" i="3" s="1"/>
  <c r="GQ61" i="3" s="1"/>
  <c r="GO135" i="3"/>
  <c r="GP135" i="3" s="1"/>
  <c r="GO207" i="3"/>
  <c r="GP207" i="3" s="1"/>
  <c r="GO84" i="3"/>
  <c r="GP84" i="3" s="1"/>
  <c r="GO62" i="3"/>
  <c r="GP62" i="3" s="1"/>
  <c r="GQ62" i="3" s="1"/>
  <c r="GO136" i="3"/>
  <c r="GP136" i="3" s="1"/>
  <c r="GO208" i="3"/>
  <c r="GP208" i="3" s="1"/>
  <c r="GO182" i="3"/>
  <c r="GP182" i="3" s="1"/>
  <c r="GO73" i="3"/>
  <c r="GP73" i="3" s="1"/>
  <c r="GO236" i="3"/>
  <c r="GP236" i="3" s="1"/>
  <c r="GO87" i="3"/>
  <c r="GP87" i="3" s="1"/>
  <c r="GO165" i="3"/>
  <c r="GP165" i="3" s="1"/>
  <c r="GO66" i="3"/>
  <c r="GP66" i="3" s="1"/>
  <c r="GO224" i="3"/>
  <c r="GP224" i="3" s="1"/>
  <c r="GO121" i="3"/>
  <c r="GP121" i="3" s="1"/>
  <c r="GO193" i="3"/>
  <c r="GP193" i="3" s="1"/>
  <c r="GO81" i="3"/>
  <c r="GP81" i="3" s="1"/>
  <c r="GO13" i="3"/>
  <c r="GP13" i="3" s="1"/>
  <c r="GQ13" i="3" s="1"/>
  <c r="GO40" i="3"/>
  <c r="GP40" i="3" s="1"/>
  <c r="GQ40" i="3" s="1"/>
  <c r="GO71" i="3"/>
  <c r="GP71" i="3" s="1"/>
  <c r="GO51" i="3"/>
  <c r="GP51" i="3" s="1"/>
  <c r="GO52" i="3"/>
  <c r="GP52" i="3" s="1"/>
  <c r="GO164" i="3"/>
  <c r="GP164" i="3" s="1"/>
  <c r="GO247" i="3"/>
  <c r="GP247" i="3" s="1"/>
  <c r="GO166" i="3"/>
  <c r="GP166" i="3" s="1"/>
  <c r="GO31" i="3"/>
  <c r="GP31" i="3" s="1"/>
  <c r="GO101" i="3"/>
  <c r="GP101" i="3" s="1"/>
  <c r="GO142" i="3"/>
  <c r="GP142" i="3" s="1"/>
  <c r="GO253" i="3"/>
  <c r="GP253" i="3" s="1"/>
  <c r="GO145" i="3"/>
  <c r="GP145" i="3" s="1"/>
  <c r="GO218" i="3"/>
  <c r="GP218" i="3" s="1"/>
  <c r="GO111" i="3"/>
  <c r="GP111" i="3" s="1"/>
  <c r="GO143" i="3"/>
  <c r="GP143" i="3" s="1"/>
  <c r="GO34" i="3"/>
  <c r="GP34" i="3" s="1"/>
  <c r="GO256" i="3"/>
  <c r="GP256" i="3" s="1"/>
  <c r="GO137" i="3"/>
  <c r="GP137" i="3" s="1"/>
  <c r="GO126" i="3"/>
  <c r="GP126" i="3" s="1"/>
  <c r="GO198" i="3"/>
  <c r="GP198" i="3" s="1"/>
  <c r="GO181" i="3"/>
  <c r="GP181" i="3" s="1"/>
  <c r="GO65" i="3"/>
  <c r="GP65" i="3" s="1"/>
  <c r="GO54" i="3"/>
  <c r="GP54" i="3" s="1"/>
  <c r="GO226" i="3"/>
  <c r="GP226" i="3" s="1"/>
  <c r="GO251" i="3"/>
  <c r="GP251" i="3" s="1"/>
  <c r="GO120" i="3"/>
  <c r="GP120" i="3" s="1"/>
  <c r="GO192" i="3"/>
  <c r="GP192" i="3" s="1"/>
  <c r="GO141" i="3"/>
  <c r="GP141" i="3" s="1"/>
  <c r="GO217" i="3"/>
  <c r="GP217" i="3" s="1"/>
  <c r="GO254" i="3"/>
  <c r="GP254" i="3" s="1"/>
  <c r="GO233" i="3"/>
  <c r="GP233" i="3" s="1"/>
  <c r="GO149" i="3"/>
  <c r="GP149" i="3" s="1"/>
  <c r="GO150" i="3"/>
  <c r="GP150" i="3" s="1"/>
  <c r="GO220" i="3"/>
  <c r="GP220" i="3" s="1"/>
  <c r="GO72" i="3"/>
  <c r="GP72" i="3" s="1"/>
  <c r="GO234" i="3"/>
  <c r="GP234" i="3" s="1"/>
  <c r="GO201" i="3"/>
  <c r="GP201" i="3" s="1"/>
  <c r="GO55" i="3"/>
  <c r="GP55" i="3" s="1"/>
  <c r="GO129" i="3"/>
  <c r="GP129" i="3" s="1"/>
  <c r="GO77" i="3"/>
  <c r="GP77" i="3" s="1"/>
  <c r="GO156" i="3"/>
  <c r="GP156" i="3" s="1"/>
  <c r="GO107" i="3"/>
  <c r="GP107" i="3" s="1"/>
  <c r="GO139" i="3"/>
  <c r="GP139" i="3" s="1"/>
  <c r="GO259" i="3"/>
  <c r="GP259" i="3" s="1"/>
  <c r="GO33" i="3"/>
  <c r="GP33" i="3" s="1"/>
  <c r="GO146" i="3"/>
  <c r="GP146" i="3" s="1"/>
  <c r="GO197" i="3"/>
  <c r="GP197" i="3" s="1"/>
  <c r="GO177" i="3"/>
  <c r="GP177" i="3" s="1"/>
  <c r="GO75" i="3"/>
  <c r="GP75" i="3" s="1"/>
  <c r="GO103" i="3"/>
  <c r="GP103" i="3" s="1"/>
  <c r="GO213" i="3"/>
  <c r="GP213" i="3" s="1"/>
  <c r="GO132" i="3"/>
  <c r="GP132" i="3" s="1"/>
  <c r="GO257" i="3"/>
  <c r="GP257" i="3" s="1"/>
  <c r="GO80" i="3"/>
  <c r="GP80" i="3" s="1"/>
  <c r="GO229" i="3"/>
  <c r="GP229" i="3" s="1"/>
  <c r="GO122" i="3"/>
  <c r="GP122" i="3" s="1"/>
  <c r="GO35" i="3"/>
  <c r="GP35" i="3" s="1"/>
  <c r="GO248" i="3"/>
  <c r="GP248" i="3" s="1"/>
  <c r="GO82" i="3"/>
  <c r="GP82" i="3" s="1"/>
  <c r="GO29" i="3"/>
  <c r="GP29" i="3" s="1"/>
  <c r="GO176" i="3"/>
  <c r="GP176" i="3" s="1"/>
  <c r="GO187" i="3"/>
  <c r="GP187" i="3" s="1"/>
  <c r="GO183" i="3"/>
  <c r="GP183" i="3" s="1"/>
  <c r="GO91" i="3"/>
  <c r="GP91" i="3" s="1"/>
  <c r="GO76" i="3"/>
  <c r="GP76" i="3" s="1"/>
  <c r="GO106" i="3"/>
  <c r="GP106" i="3" s="1"/>
  <c r="GO131" i="3"/>
  <c r="GP131" i="3" s="1"/>
  <c r="GO105" i="3"/>
  <c r="GP105" i="3" s="1"/>
  <c r="GO216" i="3"/>
  <c r="GP216" i="3" s="1"/>
  <c r="GO96" i="3"/>
  <c r="GP96" i="3" s="1"/>
  <c r="GO171" i="3"/>
  <c r="GP171" i="3" s="1"/>
  <c r="GO241" i="3"/>
  <c r="GP241" i="3" s="1"/>
  <c r="GO134" i="3"/>
  <c r="GP134" i="3" s="1"/>
  <c r="GO243" i="3"/>
  <c r="GP243" i="3" s="1"/>
  <c r="GO174" i="3"/>
  <c r="GP174" i="3" s="1"/>
  <c r="GO244" i="3"/>
  <c r="GP244" i="3" s="1"/>
  <c r="GO114" i="3"/>
  <c r="GP114" i="3" s="1"/>
  <c r="GO144" i="3"/>
  <c r="GP144" i="3" s="1"/>
  <c r="GO50" i="3"/>
  <c r="GP50" i="3" s="1"/>
  <c r="GO127" i="3"/>
  <c r="GP127" i="3" s="1"/>
  <c r="GO199" i="3"/>
  <c r="GP199" i="3" s="1"/>
  <c r="GO155" i="3"/>
  <c r="GP155" i="3" s="1"/>
  <c r="GO180" i="3"/>
  <c r="GP180" i="3" s="1"/>
  <c r="GO250" i="3"/>
  <c r="GP250" i="3" s="1"/>
  <c r="GO225" i="3"/>
  <c r="GP225" i="3" s="1"/>
  <c r="GO203" i="3"/>
  <c r="GP203" i="3" s="1"/>
  <c r="GO70" i="3"/>
  <c r="GP70" i="3" s="1"/>
  <c r="GO206" i="3"/>
  <c r="GP206" i="3" s="1"/>
  <c r="GO125" i="3"/>
  <c r="GP125" i="3" s="1"/>
  <c r="GO173" i="3"/>
  <c r="GP173" i="3" s="1"/>
  <c r="GO86" i="3"/>
  <c r="GP86" i="3" s="1"/>
  <c r="GO38" i="3"/>
  <c r="GP38" i="3" s="1"/>
  <c r="GO69" i="3"/>
  <c r="GP69" i="3" s="1"/>
  <c r="GO215" i="3"/>
  <c r="GP215" i="3" s="1"/>
  <c r="GO79" i="3"/>
  <c r="GP79" i="3" s="1"/>
  <c r="GO109" i="3"/>
  <c r="GP109" i="3" s="1"/>
  <c r="GO151" i="3"/>
  <c r="GP151" i="3" s="1"/>
  <c r="GO26" i="3"/>
  <c r="GP26" i="3" s="1"/>
  <c r="GQ26" i="3" s="1"/>
  <c r="GO255" i="3"/>
  <c r="GP255" i="3" s="1"/>
  <c r="GO147" i="3"/>
  <c r="GP147" i="3" s="1"/>
  <c r="GO211" i="3"/>
  <c r="GP211" i="3" s="1"/>
  <c r="GO104" i="3"/>
  <c r="GP104" i="3" s="1"/>
  <c r="GO179" i="3"/>
  <c r="GP179" i="3" s="1"/>
  <c r="GO202" i="3"/>
  <c r="GP202" i="3" s="1"/>
  <c r="GO157" i="3"/>
  <c r="GP157" i="3" s="1"/>
  <c r="GO227" i="3"/>
  <c r="GP227" i="3" s="1"/>
  <c r="GO170" i="3"/>
  <c r="GP170" i="3" s="1"/>
  <c r="GO240" i="3"/>
  <c r="GP240" i="3" s="1"/>
  <c r="GO260" i="3"/>
  <c r="GP260" i="3" s="1"/>
  <c r="GO124" i="3"/>
  <c r="GP124" i="3" s="1"/>
  <c r="GO196" i="3"/>
  <c r="GP196" i="3" s="1"/>
  <c r="GO163" i="3"/>
  <c r="GP163" i="3" s="1"/>
  <c r="GO138" i="3"/>
  <c r="GP138" i="3" s="1"/>
  <c r="GO102" i="3"/>
  <c r="GP102" i="3" s="1"/>
  <c r="GO74" i="3"/>
  <c r="GP74" i="3" s="1"/>
  <c r="GO32" i="3"/>
  <c r="GP32" i="3" s="1"/>
  <c r="GO249" i="3"/>
  <c r="GP249" i="3" s="1"/>
  <c r="GQ249" i="3" s="1"/>
  <c r="GO56" i="3"/>
  <c r="GP56" i="3" s="1"/>
  <c r="GO130" i="3"/>
  <c r="GP130" i="3" s="1"/>
  <c r="GO78" i="3"/>
  <c r="GP78" i="3" s="1"/>
  <c r="GO160" i="3"/>
  <c r="GP160" i="3" s="1"/>
  <c r="GO175" i="3"/>
  <c r="GP175" i="3" s="1"/>
  <c r="GO123" i="3"/>
  <c r="GP123" i="3" s="1"/>
  <c r="GO195" i="3"/>
  <c r="GP195" i="3" s="1"/>
  <c r="GO128" i="3"/>
  <c r="GP128" i="3" s="1"/>
  <c r="GO94" i="3"/>
  <c r="GP94" i="3" s="1"/>
  <c r="GO169" i="3"/>
  <c r="GP169" i="3" s="1"/>
  <c r="GO22" i="3"/>
  <c r="GP22" i="3" s="1"/>
  <c r="GQ22" i="3" s="1"/>
  <c r="GO23" i="3"/>
  <c r="GP23" i="3" s="1"/>
  <c r="GQ23" i="3" s="1"/>
  <c r="GO242" i="3"/>
  <c r="GP242" i="3" s="1"/>
  <c r="GO63" i="3"/>
  <c r="GP63" i="3" s="1"/>
  <c r="GO152" i="3"/>
  <c r="GP152" i="3" s="1"/>
  <c r="GO222" i="3"/>
  <c r="GP222" i="3" s="1"/>
  <c r="GO235" i="3"/>
  <c r="GP235" i="3" s="1"/>
  <c r="GO154" i="3"/>
  <c r="GP154" i="3" s="1"/>
  <c r="FG261" i="3"/>
  <c r="FF261" i="3"/>
  <c r="GR138" i="3" l="1"/>
  <c r="BC130" i="9" s="1"/>
  <c r="GR80" i="3"/>
  <c r="BC72" i="9" s="1"/>
  <c r="GR107" i="3"/>
  <c r="BC99" i="9" s="1"/>
  <c r="GR137" i="3"/>
  <c r="BC129" i="9" s="1"/>
  <c r="GR165" i="3"/>
  <c r="BC157" i="9" s="1"/>
  <c r="GR97" i="3"/>
  <c r="BC89" i="9" s="1"/>
  <c r="GR222" i="3"/>
  <c r="BC214" i="9" s="1"/>
  <c r="GR160" i="3"/>
  <c r="BC152" i="9" s="1"/>
  <c r="GR260" i="3"/>
  <c r="GR151" i="3"/>
  <c r="BC143" i="9" s="1"/>
  <c r="GR203" i="3"/>
  <c r="BC195" i="9" s="1"/>
  <c r="GR243" i="3"/>
  <c r="BC235" i="9" s="1"/>
  <c r="GR187" i="3"/>
  <c r="BC179" i="9" s="1"/>
  <c r="GR103" i="3"/>
  <c r="BC95" i="9" s="1"/>
  <c r="GR55" i="3"/>
  <c r="BC47" i="9" s="1"/>
  <c r="GR120" i="3"/>
  <c r="BC112" i="9" s="1"/>
  <c r="GR111" i="3"/>
  <c r="BC103" i="9" s="1"/>
  <c r="GR71" i="3"/>
  <c r="BC63" i="9" s="1"/>
  <c r="GR182" i="3"/>
  <c r="BC174" i="9" s="1"/>
  <c r="GR188" i="3"/>
  <c r="BC180" i="9" s="1"/>
  <c r="GR219" i="3"/>
  <c r="BC211" i="9" s="1"/>
  <c r="GR140" i="3"/>
  <c r="BC132" i="9" s="1"/>
  <c r="GR228" i="3"/>
  <c r="BC220" i="9" s="1"/>
  <c r="GR90" i="3"/>
  <c r="BC82" i="9" s="1"/>
  <c r="GR37" i="3"/>
  <c r="BC29" i="9" s="1"/>
  <c r="GR225" i="3"/>
  <c r="BC217" i="9" s="1"/>
  <c r="GR251" i="3"/>
  <c r="BC243" i="9" s="1"/>
  <c r="GR232" i="3"/>
  <c r="BC224" i="9" s="1"/>
  <c r="GR63" i="3"/>
  <c r="BC55" i="9" s="1"/>
  <c r="GR130" i="3"/>
  <c r="BC122" i="9" s="1"/>
  <c r="GR170" i="3"/>
  <c r="BC162" i="9" s="1"/>
  <c r="GR79" i="3"/>
  <c r="BC71" i="9" s="1"/>
  <c r="GR250" i="3"/>
  <c r="BC242" i="9" s="1"/>
  <c r="GR241" i="3"/>
  <c r="BC233" i="9" s="1"/>
  <c r="GR29" i="3"/>
  <c r="BC21" i="9" s="1"/>
  <c r="GR177" i="3"/>
  <c r="BC169" i="9" s="1"/>
  <c r="GR234" i="3"/>
  <c r="BC226" i="9" s="1"/>
  <c r="GR226" i="3"/>
  <c r="BC218" i="9" s="1"/>
  <c r="GR145" i="3"/>
  <c r="BC137" i="9" s="1"/>
  <c r="GR136" i="3"/>
  <c r="BC128" i="9" s="1"/>
  <c r="GR36" i="3"/>
  <c r="BC28" i="9" s="1"/>
  <c r="GR212" i="3"/>
  <c r="BC204" i="9" s="1"/>
  <c r="GR88" i="3"/>
  <c r="BC80" i="9" s="1"/>
  <c r="GR184" i="3"/>
  <c r="BC176" i="9" s="1"/>
  <c r="GR245" i="3"/>
  <c r="BC237" i="9" s="1"/>
  <c r="GR204" i="3"/>
  <c r="BC196" i="9" s="1"/>
  <c r="GR128" i="3"/>
  <c r="BC120" i="9" s="1"/>
  <c r="GR176" i="3"/>
  <c r="BC168" i="9" s="1"/>
  <c r="GR162" i="3"/>
  <c r="BC154" i="9" s="1"/>
  <c r="GR242" i="3"/>
  <c r="BC234" i="9" s="1"/>
  <c r="GR56" i="3"/>
  <c r="BC48" i="9" s="1"/>
  <c r="GR227" i="3"/>
  <c r="BC219" i="9" s="1"/>
  <c r="GR215" i="3"/>
  <c r="BC207" i="9" s="1"/>
  <c r="GR180" i="3"/>
  <c r="BC172" i="9" s="1"/>
  <c r="GR171" i="3"/>
  <c r="BC163" i="9" s="1"/>
  <c r="GR82" i="3"/>
  <c r="BC74" i="9" s="1"/>
  <c r="GR197" i="3"/>
  <c r="BC189" i="9" s="1"/>
  <c r="GR72" i="3"/>
  <c r="BC64" i="9" s="1"/>
  <c r="GR54" i="3"/>
  <c r="BC46" i="9" s="1"/>
  <c r="GR253" i="3"/>
  <c r="BC245" i="9" s="1"/>
  <c r="GR81" i="3"/>
  <c r="BC73" i="9" s="1"/>
  <c r="GR62" i="3"/>
  <c r="BC54" i="9" s="1"/>
  <c r="GR89" i="3"/>
  <c r="BC81" i="9" s="1"/>
  <c r="GR64" i="3"/>
  <c r="BC56" i="9" s="1"/>
  <c r="GR214" i="3"/>
  <c r="BC206" i="9" s="1"/>
  <c r="GR98" i="3"/>
  <c r="BC90" i="9" s="1"/>
  <c r="GR161" i="3"/>
  <c r="BC153" i="9" s="1"/>
  <c r="GR58" i="3"/>
  <c r="BC50" i="9" s="1"/>
  <c r="GR211" i="3"/>
  <c r="BC203" i="9" s="1"/>
  <c r="GR152" i="3"/>
  <c r="BC144" i="9" s="1"/>
  <c r="GR134" i="3"/>
  <c r="BC126" i="9" s="1"/>
  <c r="GR40" i="3"/>
  <c r="BC32" i="9" s="1"/>
  <c r="GR208" i="3"/>
  <c r="BC200" i="9" s="1"/>
  <c r="GR239" i="3"/>
  <c r="BC231" i="9" s="1"/>
  <c r="GR23" i="3"/>
  <c r="BC15" i="9" s="1"/>
  <c r="GR249" i="3"/>
  <c r="BC241" i="9" s="1"/>
  <c r="GR157" i="3"/>
  <c r="BC149" i="9" s="1"/>
  <c r="GR69" i="3"/>
  <c r="BC61" i="9" s="1"/>
  <c r="GR155" i="3"/>
  <c r="BC147" i="9" s="1"/>
  <c r="GR96" i="3"/>
  <c r="BC88" i="9" s="1"/>
  <c r="GR248" i="3"/>
  <c r="BC240" i="9" s="1"/>
  <c r="GR146" i="3"/>
  <c r="BC138" i="9" s="1"/>
  <c r="GR220" i="3"/>
  <c r="BC212" i="9" s="1"/>
  <c r="GR65" i="3"/>
  <c r="BC57" i="9" s="1"/>
  <c r="GR142" i="3"/>
  <c r="BC134" i="9" s="1"/>
  <c r="GR193" i="3"/>
  <c r="BC185" i="9" s="1"/>
  <c r="GR84" i="3"/>
  <c r="BC76" i="9" s="1"/>
  <c r="GR27" i="3"/>
  <c r="BC19" i="9" s="1"/>
  <c r="GR28" i="3"/>
  <c r="BC20" i="9" s="1"/>
  <c r="GR68" i="3"/>
  <c r="BC60" i="9" s="1"/>
  <c r="GR185" i="3"/>
  <c r="BC177" i="9" s="1"/>
  <c r="GR194" i="3"/>
  <c r="BC186" i="9" s="1"/>
  <c r="GR191" i="3"/>
  <c r="BC183" i="9" s="1"/>
  <c r="GR144" i="3"/>
  <c r="BC136" i="9" s="1"/>
  <c r="GR109" i="3"/>
  <c r="BC101" i="9" s="1"/>
  <c r="GR201" i="3"/>
  <c r="BC193" i="9" s="1"/>
  <c r="GR158" i="3"/>
  <c r="BC150" i="9" s="1"/>
  <c r="GR22" i="3"/>
  <c r="BC14" i="9" s="1"/>
  <c r="GR32" i="3"/>
  <c r="BC24" i="9" s="1"/>
  <c r="GR202" i="3"/>
  <c r="BC194" i="9" s="1"/>
  <c r="GR199" i="3"/>
  <c r="BC191" i="9" s="1"/>
  <c r="GR216" i="3"/>
  <c r="BC208" i="9" s="1"/>
  <c r="GR35" i="3"/>
  <c r="BC27" i="9" s="1"/>
  <c r="GR33" i="3"/>
  <c r="BC25" i="9" s="1"/>
  <c r="GR150" i="3"/>
  <c r="BC142" i="9" s="1"/>
  <c r="GR181" i="3"/>
  <c r="BC173" i="9" s="1"/>
  <c r="GR101" i="3"/>
  <c r="BC93" i="9" s="1"/>
  <c r="GR121" i="3"/>
  <c r="BC113" i="9" s="1"/>
  <c r="GR207" i="3"/>
  <c r="BC199" i="9" s="1"/>
  <c r="GR85" i="3"/>
  <c r="BC77" i="9" s="1"/>
  <c r="GR46" i="3"/>
  <c r="BC38" i="9" s="1"/>
  <c r="GR148" i="3"/>
  <c r="BC140" i="9" s="1"/>
  <c r="GR190" i="3"/>
  <c r="BC182" i="9" s="1"/>
  <c r="GR159" i="3"/>
  <c r="BC151" i="9" s="1"/>
  <c r="GR168" i="3"/>
  <c r="BC160" i="9" s="1"/>
  <c r="GR173" i="3"/>
  <c r="BC165" i="9" s="1"/>
  <c r="GR78" i="3"/>
  <c r="BC70" i="9" s="1"/>
  <c r="GR218" i="3"/>
  <c r="BC210" i="9" s="1"/>
  <c r="GR223" i="3"/>
  <c r="BC215" i="9" s="1"/>
  <c r="GR169" i="3"/>
  <c r="BC161" i="9" s="1"/>
  <c r="GR74" i="3"/>
  <c r="BC66" i="9" s="1"/>
  <c r="GR179" i="3"/>
  <c r="BC171" i="9" s="1"/>
  <c r="GR38" i="3"/>
  <c r="BC30" i="9" s="1"/>
  <c r="GR127" i="3"/>
  <c r="BC119" i="9" s="1"/>
  <c r="GR105" i="3"/>
  <c r="BC97" i="9" s="1"/>
  <c r="GR122" i="3"/>
  <c r="BC114" i="9" s="1"/>
  <c r="GR259" i="3"/>
  <c r="BC251" i="9" s="1"/>
  <c r="GR149" i="3"/>
  <c r="BC141" i="9" s="1"/>
  <c r="GR198" i="3"/>
  <c r="BC190" i="9" s="1"/>
  <c r="GR31" i="3"/>
  <c r="BC23" i="9" s="1"/>
  <c r="GR224" i="3"/>
  <c r="BC216" i="9" s="1"/>
  <c r="GR135" i="3"/>
  <c r="BC127" i="9" s="1"/>
  <c r="GR24" i="3"/>
  <c r="BC16" i="9" s="1"/>
  <c r="GR92" i="3"/>
  <c r="BC84" i="9" s="1"/>
  <c r="GR189" i="3"/>
  <c r="BC181" i="9" s="1"/>
  <c r="GR118" i="3"/>
  <c r="BC110" i="9" s="1"/>
  <c r="GR258" i="3"/>
  <c r="BC250" i="9" s="1"/>
  <c r="GR16" i="3"/>
  <c r="BC8" i="9" s="1"/>
  <c r="GR240" i="3"/>
  <c r="BC232" i="9" s="1"/>
  <c r="GR75" i="3"/>
  <c r="BC67" i="9" s="1"/>
  <c r="GR186" i="3"/>
  <c r="BC178" i="9" s="1"/>
  <c r="GR94" i="3"/>
  <c r="BC86" i="9" s="1"/>
  <c r="GR102" i="3"/>
  <c r="BC94" i="9" s="1"/>
  <c r="GR104" i="3"/>
  <c r="BC96" i="9" s="1"/>
  <c r="GR86" i="3"/>
  <c r="BC78" i="9" s="1"/>
  <c r="GR50" i="3"/>
  <c r="BC42" i="9" s="1"/>
  <c r="GR131" i="3"/>
  <c r="BC123" i="9" s="1"/>
  <c r="GR229" i="3"/>
  <c r="BC221" i="9" s="1"/>
  <c r="GR139" i="3"/>
  <c r="BC131" i="9" s="1"/>
  <c r="GR233" i="3"/>
  <c r="BC225" i="9" s="1"/>
  <c r="GR126" i="3"/>
  <c r="BC118" i="9" s="1"/>
  <c r="GR166" i="3"/>
  <c r="BC158" i="9" s="1"/>
  <c r="GR66" i="3"/>
  <c r="BC58" i="9" s="1"/>
  <c r="GR61" i="3"/>
  <c r="BC53" i="9" s="1"/>
  <c r="GR60" i="3"/>
  <c r="BC52" i="9" s="1"/>
  <c r="GR18" i="3"/>
  <c r="BC10" i="9" s="1"/>
  <c r="GR39" i="3"/>
  <c r="BC31" i="9" s="1"/>
  <c r="GR237" i="3"/>
  <c r="BC229" i="9" s="1"/>
  <c r="GR119" i="3"/>
  <c r="BC111" i="9" s="1"/>
  <c r="GR95" i="3"/>
  <c r="BC87" i="9" s="1"/>
  <c r="GR19" i="3"/>
  <c r="BC11" i="9" s="1"/>
  <c r="GR178" i="3"/>
  <c r="BC170" i="9" s="1"/>
  <c r="GR238" i="3"/>
  <c r="BC230" i="9" s="1"/>
  <c r="GR83" i="3"/>
  <c r="BC75" i="9" s="1"/>
  <c r="GR106" i="3"/>
  <c r="BC98" i="9" s="1"/>
  <c r="GR254" i="3"/>
  <c r="BC246" i="9" s="1"/>
  <c r="GR247" i="3"/>
  <c r="BC239" i="9" s="1"/>
  <c r="GR209" i="3"/>
  <c r="BC201" i="9" s="1"/>
  <c r="GR205" i="3"/>
  <c r="BC197" i="9" s="1"/>
  <c r="GR195" i="3"/>
  <c r="BC187" i="9" s="1"/>
  <c r="GR163" i="3"/>
  <c r="BC155" i="9" s="1"/>
  <c r="GR147" i="3"/>
  <c r="BC139" i="9" s="1"/>
  <c r="GR125" i="3"/>
  <c r="BC117" i="9" s="1"/>
  <c r="GR114" i="3"/>
  <c r="BC106" i="9" s="1"/>
  <c r="GR76" i="3"/>
  <c r="BC68" i="9" s="1"/>
  <c r="GR257" i="3"/>
  <c r="BC249" i="9" s="1"/>
  <c r="GR156" i="3"/>
  <c r="BC148" i="9" s="1"/>
  <c r="GR217" i="3"/>
  <c r="BC209" i="9" s="1"/>
  <c r="GR256" i="3"/>
  <c r="BC248" i="9" s="1"/>
  <c r="GR164" i="3"/>
  <c r="BC156" i="9" s="1"/>
  <c r="GR87" i="3"/>
  <c r="BC79" i="9" s="1"/>
  <c r="GR172" i="3"/>
  <c r="BC164" i="9" s="1"/>
  <c r="GR30" i="3"/>
  <c r="BC22" i="9" s="1"/>
  <c r="GR133" i="3"/>
  <c r="BC125" i="9" s="1"/>
  <c r="GR14" i="3"/>
  <c r="BC6" i="9" s="1"/>
  <c r="GR115" i="3"/>
  <c r="BC107" i="9" s="1"/>
  <c r="GR99" i="3"/>
  <c r="BC91" i="9" s="1"/>
  <c r="GR153" i="3"/>
  <c r="BC145" i="9" s="1"/>
  <c r="GR154" i="3"/>
  <c r="BC146" i="9" s="1"/>
  <c r="GR123" i="3"/>
  <c r="BC115" i="9" s="1"/>
  <c r="GR196" i="3"/>
  <c r="BC188" i="9" s="1"/>
  <c r="GR255" i="3"/>
  <c r="BC247" i="9" s="1"/>
  <c r="GR206" i="3"/>
  <c r="BC198" i="9" s="1"/>
  <c r="GR244" i="3"/>
  <c r="BC236" i="9" s="1"/>
  <c r="GR91" i="3"/>
  <c r="BC83" i="9" s="1"/>
  <c r="GR132" i="3"/>
  <c r="BC124" i="9" s="1"/>
  <c r="GR77" i="3"/>
  <c r="BC69" i="9" s="1"/>
  <c r="GR141" i="3"/>
  <c r="BC133" i="9" s="1"/>
  <c r="GR34" i="3"/>
  <c r="BC26" i="9" s="1"/>
  <c r="GR52" i="3"/>
  <c r="BC44" i="9" s="1"/>
  <c r="GR236" i="3"/>
  <c r="BC228" i="9" s="1"/>
  <c r="GR100" i="3"/>
  <c r="BC92" i="9" s="1"/>
  <c r="GR53" i="3"/>
  <c r="BC45" i="9" s="1"/>
  <c r="GR59" i="3"/>
  <c r="BC51" i="9" s="1"/>
  <c r="GR57" i="3"/>
  <c r="BC49" i="9" s="1"/>
  <c r="GR246" i="3"/>
  <c r="BC238" i="9" s="1"/>
  <c r="GR167" i="3"/>
  <c r="BC159" i="9" s="1"/>
  <c r="GR235" i="3"/>
  <c r="BC227" i="9" s="1"/>
  <c r="GR175" i="3"/>
  <c r="BC167" i="9" s="1"/>
  <c r="GR124" i="3"/>
  <c r="BC116" i="9" s="1"/>
  <c r="GR26" i="3"/>
  <c r="BC18" i="9" s="1"/>
  <c r="GR70" i="3"/>
  <c r="BC62" i="9" s="1"/>
  <c r="GR174" i="3"/>
  <c r="BC166" i="9" s="1"/>
  <c r="GR183" i="3"/>
  <c r="BC175" i="9" s="1"/>
  <c r="GR213" i="3"/>
  <c r="BC205" i="9" s="1"/>
  <c r="GR129" i="3"/>
  <c r="BC121" i="9" s="1"/>
  <c r="GR192" i="3"/>
  <c r="BC184" i="9" s="1"/>
  <c r="GR143" i="3"/>
  <c r="BC135" i="9" s="1"/>
  <c r="GR51" i="3"/>
  <c r="BC43" i="9" s="1"/>
  <c r="GR73" i="3"/>
  <c r="BC65" i="9" s="1"/>
  <c r="GR210" i="3"/>
  <c r="BC202" i="9" s="1"/>
  <c r="GR221" i="3"/>
  <c r="BC213" i="9" s="1"/>
  <c r="GR252" i="3"/>
  <c r="BC244" i="9" s="1"/>
  <c r="GR25" i="3"/>
  <c r="BC17" i="9" s="1"/>
  <c r="GR93" i="3"/>
  <c r="BC85" i="9" s="1"/>
  <c r="GR67" i="3"/>
  <c r="BC59" i="9" s="1"/>
  <c r="GR13" i="3"/>
  <c r="BC5" i="9" s="1"/>
  <c r="FJ261" i="3"/>
  <c r="FL261" i="3"/>
  <c r="DV261" i="3"/>
  <c r="DG261" i="3"/>
  <c r="DX261" i="3"/>
  <c r="EV261" i="3"/>
  <c r="G28" i="4" s="1"/>
  <c r="DL261" i="3"/>
  <c r="DZ261" i="3"/>
  <c r="FS261" i="3"/>
  <c r="DR261" i="3"/>
  <c r="FB261" i="3"/>
  <c r="CW261" i="3"/>
  <c r="EY261" i="3"/>
  <c r="EP261" i="3"/>
  <c r="EO261" i="3"/>
  <c r="FT261" i="3"/>
  <c r="FQ261" i="3"/>
  <c r="FX261" i="3"/>
  <c r="ET261" i="3"/>
  <c r="FC261" i="3"/>
  <c r="DT261" i="3"/>
  <c r="DN261" i="3"/>
  <c r="FY261" i="3"/>
  <c r="DK261" i="3"/>
  <c r="CY261" i="3"/>
  <c r="B3" i="9"/>
  <c r="DW261" i="3"/>
  <c r="DI261" i="3"/>
  <c r="FV261" i="3"/>
  <c r="EQ261" i="3"/>
  <c r="EI261" i="3"/>
  <c r="DM261" i="3"/>
  <c r="FK261" i="3"/>
  <c r="DA261" i="3"/>
  <c r="DE261" i="3"/>
  <c r="FI261" i="3"/>
  <c r="FD261" i="3"/>
  <c r="FW261" i="3"/>
  <c r="EG261" i="3"/>
  <c r="EB261" i="3"/>
  <c r="F29" i="4" s="1"/>
  <c r="FN261" i="3"/>
  <c r="EM261" i="3"/>
  <c r="EW261" i="3"/>
  <c r="G29" i="4" s="1"/>
  <c r="EZ261" i="3"/>
  <c r="CT261" i="3"/>
  <c r="CU261" i="3"/>
  <c r="CZ261" i="3"/>
  <c r="DB261" i="3"/>
  <c r="FO261" i="3"/>
  <c r="FM261" i="3"/>
  <c r="EE261" i="3"/>
  <c r="F31" i="4" s="1"/>
  <c r="DC261" i="3"/>
  <c r="DQ261" i="3"/>
  <c r="EA261" i="3"/>
  <c r="F28" i="4" s="1"/>
  <c r="FR261" i="3"/>
  <c r="FA261" i="3"/>
  <c r="DF261" i="3"/>
  <c r="DD261" i="3"/>
  <c r="EN261" i="3"/>
  <c r="EF261" i="3"/>
  <c r="CV261" i="3"/>
  <c r="ED261" i="3"/>
  <c r="DS261" i="3"/>
  <c r="CX261" i="3"/>
  <c r="EL261" i="3"/>
  <c r="DJ261" i="3"/>
  <c r="E31" i="4" s="1"/>
  <c r="DY261" i="3"/>
  <c r="EU261" i="3"/>
  <c r="DU261" i="3"/>
  <c r="ES261" i="3"/>
  <c r="DH261" i="3"/>
  <c r="ER261" i="3"/>
  <c r="EC261" i="3"/>
  <c r="EX261" i="3"/>
  <c r="EH261" i="3"/>
  <c r="AL3" i="9" l="1"/>
  <c r="AM3" i="9"/>
  <c r="FP261" i="3"/>
  <c r="J3" i="9"/>
  <c r="A3" i="9"/>
  <c r="G32" i="4"/>
  <c r="F33" i="4"/>
  <c r="E24" i="4"/>
  <c r="F25" i="4"/>
  <c r="G23" i="4"/>
  <c r="F27" i="4"/>
  <c r="G30" i="4"/>
  <c r="F32" i="4"/>
  <c r="E29" i="4"/>
  <c r="E27" i="4"/>
  <c r="F24" i="4"/>
  <c r="F23" i="4"/>
  <c r="E32" i="4"/>
  <c r="G24" i="4"/>
  <c r="E28" i="4"/>
  <c r="E33" i="4"/>
  <c r="G33" i="4"/>
  <c r="F30" i="4"/>
  <c r="F26" i="4"/>
  <c r="E30" i="4"/>
  <c r="G27" i="4"/>
  <c r="G26" i="4"/>
  <c r="E25" i="4"/>
  <c r="E23" i="4"/>
  <c r="AF3" i="9"/>
  <c r="G31" i="4"/>
  <c r="E26" i="4"/>
  <c r="G25" i="4"/>
  <c r="E14" i="4"/>
  <c r="K3" i="9"/>
  <c r="Z3" i="9" s="1"/>
  <c r="AA3" i="9" s="1"/>
  <c r="R3" i="9"/>
  <c r="AO3" i="9"/>
  <c r="X3" i="9"/>
  <c r="S3" i="9"/>
  <c r="T3" i="9" s="1"/>
  <c r="AX3" i="9"/>
  <c r="Q3" i="9"/>
  <c r="P3" i="9"/>
  <c r="F3" i="9"/>
  <c r="G3" i="9"/>
  <c r="AI3" i="9"/>
  <c r="AH3" i="9"/>
  <c r="E13" i="4"/>
  <c r="E17" i="4" s="1"/>
  <c r="AZ3" i="9"/>
  <c r="AD3" i="9"/>
  <c r="AU3" i="9"/>
  <c r="E3" i="9"/>
  <c r="AR3" i="9"/>
  <c r="L3" i="9"/>
  <c r="O3" i="9"/>
  <c r="AB3" i="9"/>
  <c r="AC3" i="9"/>
  <c r="AS3" i="9"/>
  <c r="W3" i="9"/>
  <c r="AT3" i="9"/>
  <c r="AP3" i="9"/>
  <c r="AK3" i="9"/>
  <c r="BA3" i="9"/>
  <c r="AJ3" i="9"/>
  <c r="AE3" i="9"/>
  <c r="AV3" i="9"/>
  <c r="AQ3" i="9"/>
  <c r="AW3" i="9"/>
  <c r="BB3" i="9"/>
  <c r="N3" i="9"/>
  <c r="D3" i="9"/>
  <c r="AN3" i="9"/>
  <c r="Y3" i="9"/>
  <c r="H3" i="9"/>
  <c r="M3" i="9"/>
  <c r="H22" i="4" l="1"/>
  <c r="H28" i="4"/>
  <c r="C3" i="9"/>
  <c r="BE3" i="9"/>
  <c r="BF3" i="9"/>
  <c r="BD3" i="9"/>
  <c r="AY3" i="9"/>
  <c r="AG3" i="9"/>
  <c r="U3" i="9"/>
  <c r="V3" i="9" s="1"/>
  <c r="I3" i="9"/>
  <c r="H32" i="4"/>
  <c r="H25" i="4"/>
  <c r="H29" i="4"/>
  <c r="H31" i="4"/>
  <c r="H26" i="4"/>
  <c r="H24" i="4"/>
  <c r="H23" i="4"/>
  <c r="H27" i="4"/>
  <c r="E15" i="4"/>
  <c r="FU261" i="3"/>
  <c r="H30" i="4" s="1"/>
  <c r="CD266" i="3" l="1"/>
  <c r="CD267" i="3" l="1"/>
  <c r="GQ15" i="3" l="1"/>
  <c r="GO11" i="3"/>
  <c r="GA261" i="3"/>
  <c r="GO12" i="3"/>
  <c r="GP12" i="3" s="1"/>
  <c r="GQ12" i="3" s="1"/>
  <c r="GO21" i="3"/>
  <c r="GR12" i="3" l="1"/>
  <c r="BC4" i="9" s="1"/>
  <c r="GP21" i="3"/>
  <c r="GR21" i="3" l="1"/>
  <c r="BC13" i="9" s="1"/>
  <c r="FZ15" i="3" l="1"/>
  <c r="CB15" i="3" s="1"/>
  <c r="GO17" i="3"/>
  <c r="GP17" i="3" s="1"/>
  <c r="GR17" i="3" s="1"/>
  <c r="GO20" i="3"/>
  <c r="GP20" i="3" s="1"/>
  <c r="GR20" i="3" s="1"/>
  <c r="GO41" i="3"/>
  <c r="GP41" i="3" s="1"/>
  <c r="GR41" i="3" s="1"/>
  <c r="GO42" i="3"/>
  <c r="GP42" i="3" s="1"/>
  <c r="GR42" i="3" s="1"/>
  <c r="GO43" i="3"/>
  <c r="GP43" i="3" s="1"/>
  <c r="GR43" i="3" s="1"/>
  <c r="GO44" i="3"/>
  <c r="GP44" i="3" s="1"/>
  <c r="GR44" i="3" s="1"/>
  <c r="GO45" i="3"/>
  <c r="GP45" i="3" s="1"/>
  <c r="GR45" i="3" s="1"/>
  <c r="GO47" i="3"/>
  <c r="GP47" i="3" s="1"/>
  <c r="GR47" i="3" s="1"/>
  <c r="GO48" i="3"/>
  <c r="GP48" i="3" s="1"/>
  <c r="GR48" i="3" s="1"/>
  <c r="GO49" i="3"/>
  <c r="GP49" i="3" s="1"/>
  <c r="GR49" i="3" s="1"/>
  <c r="GO108" i="3"/>
  <c r="GP108" i="3" s="1"/>
  <c r="GR108" i="3" s="1"/>
  <c r="GO110" i="3"/>
  <c r="GP110" i="3" s="1"/>
  <c r="GR110" i="3" s="1"/>
  <c r="GO112" i="3"/>
  <c r="GP112" i="3" s="1"/>
  <c r="GR112" i="3" s="1"/>
  <c r="GO113" i="3"/>
  <c r="GP113" i="3" s="1"/>
  <c r="GR113" i="3" s="1"/>
  <c r="GO116" i="3"/>
  <c r="GP116" i="3" s="1"/>
  <c r="GR116" i="3" s="1"/>
  <c r="GO117" i="3"/>
  <c r="GP117" i="3" s="1"/>
  <c r="GR117" i="3" s="1"/>
  <c r="GO230" i="3"/>
  <c r="GP230" i="3" s="1"/>
  <c r="GR230" i="3" s="1"/>
  <c r="GO231" i="3"/>
  <c r="GP231" i="3" s="1"/>
  <c r="GR231" i="3" s="1"/>
  <c r="GQ20" i="3"/>
  <c r="GQ41" i="3"/>
  <c r="GQ42" i="3"/>
  <c r="BC7" i="9"/>
  <c r="BC40" i="9"/>
  <c r="BC35" i="9"/>
  <c r="BC36" i="9"/>
  <c r="BC9" i="9"/>
  <c r="BC37" i="9"/>
  <c r="BC109" i="9"/>
  <c r="BC108" i="9"/>
  <c r="BC33" i="9"/>
  <c r="BC12" i="9"/>
  <c r="BC100" i="9"/>
  <c r="BC41" i="9"/>
  <c r="BC223" i="9"/>
  <c r="BC105" i="9"/>
  <c r="BC39" i="9"/>
  <c r="BC34" i="9"/>
  <c r="BC222" i="9"/>
  <c r="BC104" i="9"/>
  <c r="BC102" i="9"/>
  <c r="CF267" i="3"/>
  <c r="GF240" i="3"/>
  <c r="GF204" i="3"/>
  <c r="GF176" i="3"/>
  <c r="GF108" i="3"/>
  <c r="GF231" i="3"/>
  <c r="GF199" i="3"/>
  <c r="GF167" i="3"/>
  <c r="GF135" i="3"/>
  <c r="GF103" i="3"/>
  <c r="GF71" i="3"/>
  <c r="GF39" i="3"/>
  <c r="GF238" i="3"/>
  <c r="GF206" i="3"/>
  <c r="GF174" i="3"/>
  <c r="GF142" i="3"/>
  <c r="GF110" i="3"/>
  <c r="GF78" i="3"/>
  <c r="GF46" i="3"/>
  <c r="GF148" i="3"/>
  <c r="GF96" i="3"/>
  <c r="GF64" i="3"/>
  <c r="GF32" i="3"/>
  <c r="GF229" i="3"/>
  <c r="GF197" i="3"/>
  <c r="GF165" i="3"/>
  <c r="GF133" i="3"/>
  <c r="GF101" i="3"/>
  <c r="GF69" i="3"/>
  <c r="GF37" i="3"/>
  <c r="GF22" i="3"/>
  <c r="GF28" i="3"/>
  <c r="GF171" i="3"/>
  <c r="GF139" i="3"/>
  <c r="GF178" i="3"/>
  <c r="GF156" i="3"/>
  <c r="GF169" i="3"/>
  <c r="GF232" i="3"/>
  <c r="GF200" i="3"/>
  <c r="GF168" i="3"/>
  <c r="GF259" i="3"/>
  <c r="GF227" i="3"/>
  <c r="GF195" i="3"/>
  <c r="GF163" i="3"/>
  <c r="GF131" i="3"/>
  <c r="GF99" i="3"/>
  <c r="GF67" i="3"/>
  <c r="GF35" i="3"/>
  <c r="GF234" i="3"/>
  <c r="GF202" i="3"/>
  <c r="GF170" i="3"/>
  <c r="GF138" i="3"/>
  <c r="GF106" i="3"/>
  <c r="GF74" i="3"/>
  <c r="GF42" i="3"/>
  <c r="GF140" i="3"/>
  <c r="GF92" i="3"/>
  <c r="GF60" i="3"/>
  <c r="GF257" i="3"/>
  <c r="GF225" i="3"/>
  <c r="GF193" i="3"/>
  <c r="GF161" i="3"/>
  <c r="GF129" i="3"/>
  <c r="GF97" i="3"/>
  <c r="GF65" i="3"/>
  <c r="GF33" i="3"/>
  <c r="GF18" i="3"/>
  <c r="GF24" i="3"/>
  <c r="GF203" i="3"/>
  <c r="GF107" i="3"/>
  <c r="GF146" i="3"/>
  <c r="GF36" i="3"/>
  <c r="GF73" i="3"/>
  <c r="GF228" i="3"/>
  <c r="GF196" i="3"/>
  <c r="GF160" i="3"/>
  <c r="GF255" i="3"/>
  <c r="GF223" i="3"/>
  <c r="GF191" i="3"/>
  <c r="GF159" i="3"/>
  <c r="GF127" i="3"/>
  <c r="GF95" i="3"/>
  <c r="GF63" i="3"/>
  <c r="GF31" i="3"/>
  <c r="GF230" i="3"/>
  <c r="GF198" i="3"/>
  <c r="GF166" i="3"/>
  <c r="GF134" i="3"/>
  <c r="GF102" i="3"/>
  <c r="GF70" i="3"/>
  <c r="GF38" i="3"/>
  <c r="GF132" i="3"/>
  <c r="GF88" i="3"/>
  <c r="GF56" i="3"/>
  <c r="GF253" i="3"/>
  <c r="GF221" i="3"/>
  <c r="GF189" i="3"/>
  <c r="GF157" i="3"/>
  <c r="GF125" i="3"/>
  <c r="GF93" i="3"/>
  <c r="GF61" i="3"/>
  <c r="GF27" i="3"/>
  <c r="GF14" i="3"/>
  <c r="GF20" i="3"/>
  <c r="GF235" i="3"/>
  <c r="GF210" i="3"/>
  <c r="GF50" i="3"/>
  <c r="GF233" i="3"/>
  <c r="GF41" i="3"/>
  <c r="GF224" i="3"/>
  <c r="GF184" i="3"/>
  <c r="GF152" i="3"/>
  <c r="GF251" i="3"/>
  <c r="GF219" i="3"/>
  <c r="GF187" i="3"/>
  <c r="GF155" i="3"/>
  <c r="GF123" i="3"/>
  <c r="GF91" i="3"/>
  <c r="GF59" i="3"/>
  <c r="GF258" i="3"/>
  <c r="GF226" i="3"/>
  <c r="GF194" i="3"/>
  <c r="GF162" i="3"/>
  <c r="GF130" i="3"/>
  <c r="GF98" i="3"/>
  <c r="GF66" i="3"/>
  <c r="GF34" i="3"/>
  <c r="GF124" i="3"/>
  <c r="GF84" i="3"/>
  <c r="GF52" i="3"/>
  <c r="GF249" i="3"/>
  <c r="GF217" i="3"/>
  <c r="GF185" i="3"/>
  <c r="GF153" i="3"/>
  <c r="GF121" i="3"/>
  <c r="GF89" i="3"/>
  <c r="GF57" i="3"/>
  <c r="GF23" i="3"/>
  <c r="GF29" i="3"/>
  <c r="GF16" i="3"/>
  <c r="GF236" i="3"/>
  <c r="GF114" i="3"/>
  <c r="GF137" i="3"/>
  <c r="GF188" i="3"/>
  <c r="GF220" i="3"/>
  <c r="GF256" i="3"/>
  <c r="GF144" i="3"/>
  <c r="GF247" i="3"/>
  <c r="GF215" i="3"/>
  <c r="GF183" i="3"/>
  <c r="GF151" i="3"/>
  <c r="GF119" i="3"/>
  <c r="GF87" i="3"/>
  <c r="GF55" i="3"/>
  <c r="GF254" i="3"/>
  <c r="GF222" i="3"/>
  <c r="GF190" i="3"/>
  <c r="GF158" i="3"/>
  <c r="GF126" i="3"/>
  <c r="GF94" i="3"/>
  <c r="GF62" i="3"/>
  <c r="GF180" i="3"/>
  <c r="GF116" i="3"/>
  <c r="GF80" i="3"/>
  <c r="GF48" i="3"/>
  <c r="GF245" i="3"/>
  <c r="GF213" i="3"/>
  <c r="GF181" i="3"/>
  <c r="GF149" i="3"/>
  <c r="GF117" i="3"/>
  <c r="GF85" i="3"/>
  <c r="GF53" i="3"/>
  <c r="GF19" i="3"/>
  <c r="GF25" i="3"/>
  <c r="GF12" i="3"/>
  <c r="GF208" i="3"/>
  <c r="GF242" i="3"/>
  <c r="GF68" i="3"/>
  <c r="GF26" i="3"/>
  <c r="GF252" i="3"/>
  <c r="GF216" i="3"/>
  <c r="GF192" i="3"/>
  <c r="GF136" i="3"/>
  <c r="GF243" i="3"/>
  <c r="GF211" i="3"/>
  <c r="GF179" i="3"/>
  <c r="GF147" i="3"/>
  <c r="GF115" i="3"/>
  <c r="GF83" i="3"/>
  <c r="GF51" i="3"/>
  <c r="GF250" i="3"/>
  <c r="GF218" i="3"/>
  <c r="GF186" i="3"/>
  <c r="GF154" i="3"/>
  <c r="GF122" i="3"/>
  <c r="GF90" i="3"/>
  <c r="GF58" i="3"/>
  <c r="GF172" i="3"/>
  <c r="GF112" i="3"/>
  <c r="GF76" i="3"/>
  <c r="GF44" i="3"/>
  <c r="GF241" i="3"/>
  <c r="GF209" i="3"/>
  <c r="GF177" i="3"/>
  <c r="GF145" i="3"/>
  <c r="GF113" i="3"/>
  <c r="GF81" i="3"/>
  <c r="GF49" i="3"/>
  <c r="GF15" i="3"/>
  <c r="GF21" i="3"/>
  <c r="GF120" i="3"/>
  <c r="GF75" i="3"/>
  <c r="GF82" i="3"/>
  <c r="GF201" i="3"/>
  <c r="GF13" i="3"/>
  <c r="GF248" i="3"/>
  <c r="GF212" i="3"/>
  <c r="GF260" i="3"/>
  <c r="GF128" i="3"/>
  <c r="GF239" i="3"/>
  <c r="GF207" i="3"/>
  <c r="GF175" i="3"/>
  <c r="GF143" i="3"/>
  <c r="GF111" i="3"/>
  <c r="GF79" i="3"/>
  <c r="GF47" i="3"/>
  <c r="GF246" i="3"/>
  <c r="GF214" i="3"/>
  <c r="GF182" i="3"/>
  <c r="GF150" i="3"/>
  <c r="GF118" i="3"/>
  <c r="GF86" i="3"/>
  <c r="GF54" i="3"/>
  <c r="GF164" i="3"/>
  <c r="GF104" i="3"/>
  <c r="GF72" i="3"/>
  <c r="GF40" i="3"/>
  <c r="GF237" i="3"/>
  <c r="GF205" i="3"/>
  <c r="GF173" i="3"/>
  <c r="GF141" i="3"/>
  <c r="GF109" i="3"/>
  <c r="GF77" i="3"/>
  <c r="GF45" i="3"/>
  <c r="GF30" i="3"/>
  <c r="GF17" i="3"/>
  <c r="GF244" i="3"/>
  <c r="GF43" i="3"/>
  <c r="GF100" i="3"/>
  <c r="GF105" i="3"/>
  <c r="BC2" i="13"/>
  <c r="GF11" i="3"/>
  <c r="CF266" i="3"/>
  <c r="GE257" i="3" s="1"/>
  <c r="GO4" i="3"/>
  <c r="GE147" i="3" l="1"/>
  <c r="GE79" i="3"/>
  <c r="AG213" i="3"/>
  <c r="FZ261" i="3"/>
  <c r="H33" i="4" s="1"/>
  <c r="AG11" i="3"/>
  <c r="AG250" i="3"/>
  <c r="AG157" i="3"/>
  <c r="AG121" i="3"/>
  <c r="GE143" i="3"/>
  <c r="AG119" i="3"/>
  <c r="GE78" i="3"/>
  <c r="GE240" i="3"/>
  <c r="AG257" i="3"/>
  <c r="AG191" i="3"/>
  <c r="GE172" i="3"/>
  <c r="GE197" i="3"/>
  <c r="AG222" i="3"/>
  <c r="GE203" i="3"/>
  <c r="GE192" i="3"/>
  <c r="AG18" i="3"/>
  <c r="AG172" i="3"/>
  <c r="AG259" i="3"/>
  <c r="GE212" i="3"/>
  <c r="GO15" i="3"/>
  <c r="GO261" i="3" s="1"/>
  <c r="GP11" i="3" s="1"/>
  <c r="GQ11" i="3" s="1"/>
  <c r="GQ261" i="3" s="1"/>
  <c r="GF261" i="3"/>
  <c r="F13" i="4" s="1"/>
  <c r="CB261" i="3"/>
  <c r="BZ15" i="3"/>
  <c r="AG116" i="3"/>
  <c r="AG40" i="3"/>
  <c r="AG110" i="3"/>
  <c r="GE55" i="3"/>
  <c r="GE30" i="3"/>
  <c r="AG241" i="3"/>
  <c r="AG182" i="3"/>
  <c r="AG92" i="3"/>
  <c r="AG101" i="3"/>
  <c r="AG60" i="3"/>
  <c r="GE124" i="3"/>
  <c r="GE102" i="3"/>
  <c r="GE26" i="3"/>
  <c r="AG173" i="3"/>
  <c r="AG27" i="3"/>
  <c r="GE158" i="3"/>
  <c r="AG19" i="3"/>
  <c r="AG36" i="3"/>
  <c r="GE62" i="3"/>
  <c r="GE113" i="3"/>
  <c r="GE109" i="3"/>
  <c r="GE194" i="3"/>
  <c r="GE11" i="3"/>
  <c r="GE48" i="3"/>
  <c r="GE15" i="3"/>
  <c r="AG139" i="3"/>
  <c r="AG56" i="3"/>
  <c r="AG38" i="3"/>
  <c r="GE167" i="3"/>
  <c r="GE125" i="3"/>
  <c r="GE31" i="3"/>
  <c r="GE135" i="3"/>
  <c r="GE67" i="3"/>
  <c r="AG130" i="3"/>
  <c r="AG231" i="3"/>
  <c r="GE180" i="3"/>
  <c r="AG230" i="3"/>
  <c r="GE39" i="3"/>
  <c r="GE236" i="3"/>
  <c r="AG208" i="3"/>
  <c r="GE116" i="3"/>
  <c r="AG184" i="3"/>
  <c r="GE87" i="3"/>
  <c r="AG160" i="3"/>
  <c r="AG107" i="3"/>
  <c r="AG98" i="3"/>
  <c r="AG89" i="3"/>
  <c r="GE215" i="3"/>
  <c r="GE42" i="3"/>
  <c r="GE237" i="3"/>
  <c r="GE112" i="3"/>
  <c r="GE70" i="3"/>
  <c r="AG24" i="3"/>
  <c r="AG199" i="3"/>
  <c r="AG190" i="3"/>
  <c r="AG181" i="3"/>
  <c r="GE98" i="3"/>
  <c r="GE243" i="3"/>
  <c r="GE185" i="3"/>
  <c r="GE53" i="3"/>
  <c r="AG125" i="3"/>
  <c r="AG232" i="3"/>
  <c r="AG227" i="3"/>
  <c r="AG218" i="3"/>
  <c r="AG209" i="3"/>
  <c r="GE29" i="3"/>
  <c r="GE118" i="3"/>
  <c r="GE161" i="3"/>
  <c r="GE105" i="3"/>
  <c r="AG70" i="3"/>
  <c r="AG244" i="3"/>
  <c r="AG159" i="3"/>
  <c r="AG150" i="3"/>
  <c r="AG141" i="3"/>
  <c r="GE151" i="3"/>
  <c r="GE82" i="3"/>
  <c r="GE199" i="3"/>
  <c r="GE209" i="3"/>
  <c r="GE13" i="3"/>
  <c r="AG136" i="3"/>
  <c r="AG251" i="3"/>
  <c r="AG242" i="3"/>
  <c r="AG233" i="3"/>
  <c r="GE16" i="3"/>
  <c r="GE179" i="3"/>
  <c r="GE205" i="3"/>
  <c r="GE152" i="3"/>
  <c r="AG78" i="3"/>
  <c r="AG69" i="3"/>
  <c r="GE218" i="3"/>
  <c r="GE122" i="3"/>
  <c r="GE164" i="3"/>
  <c r="GE73" i="3"/>
  <c r="AG80" i="3"/>
  <c r="AG87" i="3"/>
  <c r="AG248" i="3"/>
  <c r="AG243" i="3"/>
  <c r="AG234" i="3"/>
  <c r="AG225" i="3"/>
  <c r="GE21" i="3"/>
  <c r="GE54" i="3"/>
  <c r="GE85" i="3"/>
  <c r="GE136" i="3"/>
  <c r="AG176" i="3"/>
  <c r="GE183" i="3"/>
  <c r="AG32" i="3"/>
  <c r="AG75" i="3"/>
  <c r="AG66" i="3"/>
  <c r="AG57" i="3"/>
  <c r="GE190" i="3"/>
  <c r="GE170" i="3"/>
  <c r="GE117" i="3"/>
  <c r="GE52" i="3"/>
  <c r="GE154" i="3"/>
  <c r="AG148" i="3"/>
  <c r="AG167" i="3"/>
  <c r="AG158" i="3"/>
  <c r="AG149" i="3"/>
  <c r="GE115" i="3"/>
  <c r="GE139" i="3"/>
  <c r="GE229" i="3"/>
  <c r="GE225" i="3"/>
  <c r="GE155" i="3"/>
  <c r="AG260" i="3"/>
  <c r="AG195" i="3"/>
  <c r="AG186" i="3"/>
  <c r="AG177" i="3"/>
  <c r="GE146" i="3"/>
  <c r="GE259" i="3"/>
  <c r="GE156" i="3"/>
  <c r="GE45" i="3"/>
  <c r="AG93" i="3"/>
  <c r="AG240" i="3"/>
  <c r="AG127" i="3"/>
  <c r="AG118" i="3"/>
  <c r="AG109" i="3"/>
  <c r="GE126" i="3"/>
  <c r="GE111" i="3"/>
  <c r="GE77" i="3"/>
  <c r="GE149" i="3"/>
  <c r="GE195" i="3"/>
  <c r="AG104" i="3"/>
  <c r="AG219" i="3"/>
  <c r="AG210" i="3"/>
  <c r="AG201" i="3"/>
  <c r="GE19" i="3"/>
  <c r="GE150" i="3"/>
  <c r="GE101" i="3"/>
  <c r="GE92" i="3"/>
  <c r="AG46" i="3"/>
  <c r="AG37" i="3"/>
  <c r="GE63" i="3"/>
  <c r="GE198" i="3"/>
  <c r="GE41" i="3"/>
  <c r="GE20" i="3"/>
  <c r="AG204" i="3"/>
  <c r="AG55" i="3"/>
  <c r="AG216" i="3"/>
  <c r="AG211" i="3"/>
  <c r="AG202" i="3"/>
  <c r="AG193" i="3"/>
  <c r="GE99" i="3"/>
  <c r="GE182" i="3"/>
  <c r="GE40" i="3"/>
  <c r="GE76" i="3"/>
  <c r="AG44" i="3"/>
  <c r="GE245" i="3"/>
  <c r="AG156" i="3"/>
  <c r="AG43" i="3"/>
  <c r="AG34" i="3"/>
  <c r="AG25" i="3"/>
  <c r="GE66" i="3"/>
  <c r="GE246" i="3"/>
  <c r="GE241" i="3"/>
  <c r="AG175" i="3"/>
  <c r="GE260" i="3"/>
  <c r="AG20" i="3"/>
  <c r="AG135" i="3"/>
  <c r="AG126" i="3"/>
  <c r="AG117" i="3"/>
  <c r="GE94" i="3"/>
  <c r="GE75" i="3"/>
  <c r="GE108" i="3"/>
  <c r="GE165" i="3"/>
  <c r="GE175" i="3"/>
  <c r="AG132" i="3"/>
  <c r="AG163" i="3"/>
  <c r="AG154" i="3"/>
  <c r="AG145" i="3"/>
  <c r="GE131" i="3"/>
  <c r="GE34" i="3"/>
  <c r="GE213" i="3"/>
  <c r="GE217" i="3"/>
  <c r="GE22" i="3"/>
  <c r="AG112" i="3"/>
  <c r="AG95" i="3"/>
  <c r="AG86" i="3"/>
  <c r="AG77" i="3"/>
  <c r="GE186" i="3"/>
  <c r="GE90" i="3"/>
  <c r="GE193" i="3"/>
  <c r="GE89" i="3"/>
  <c r="GE258" i="3"/>
  <c r="AG228" i="3"/>
  <c r="AG187" i="3"/>
  <c r="AG178" i="3"/>
  <c r="AG169" i="3"/>
  <c r="GE255" i="3"/>
  <c r="GE210" i="3"/>
  <c r="GE96" i="3"/>
  <c r="GE32" i="3"/>
  <c r="AG14" i="3"/>
  <c r="GE14" i="3"/>
  <c r="GE51" i="3"/>
  <c r="GE176" i="3"/>
  <c r="GE204" i="3"/>
  <c r="AG79" i="3"/>
  <c r="AG76" i="3"/>
  <c r="AG23" i="3"/>
  <c r="AG196" i="3"/>
  <c r="AG179" i="3"/>
  <c r="AG170" i="3"/>
  <c r="AG161" i="3"/>
  <c r="GE59" i="3"/>
  <c r="GE242" i="3"/>
  <c r="GE36" i="3"/>
  <c r="GE248" i="3"/>
  <c r="AG152" i="3"/>
  <c r="AG111" i="3"/>
  <c r="GE133" i="3"/>
  <c r="AG28" i="3"/>
  <c r="AG258" i="3"/>
  <c r="AG249" i="3"/>
  <c r="GE12" i="3"/>
  <c r="GE107" i="3"/>
  <c r="GE231" i="3"/>
  <c r="GE181" i="3"/>
  <c r="AG15" i="3"/>
  <c r="GE189" i="3"/>
  <c r="AG144" i="3"/>
  <c r="AG103" i="3"/>
  <c r="AG94" i="3"/>
  <c r="AG85" i="3"/>
  <c r="GE235" i="3"/>
  <c r="GE58" i="3"/>
  <c r="GE224" i="3"/>
  <c r="GE104" i="3"/>
  <c r="GE35" i="3"/>
  <c r="AG256" i="3"/>
  <c r="AG131" i="3"/>
  <c r="AG122" i="3"/>
  <c r="AG113" i="3"/>
  <c r="GE110" i="3"/>
  <c r="GE91" i="3"/>
  <c r="GE93" i="3"/>
  <c r="GE157" i="3"/>
  <c r="GE250" i="3"/>
  <c r="AG236" i="3"/>
  <c r="AG63" i="3"/>
  <c r="AG54" i="3"/>
  <c r="AG45" i="3"/>
  <c r="GE238" i="3"/>
  <c r="GE227" i="3"/>
  <c r="GE72" i="3"/>
  <c r="GE28" i="3"/>
  <c r="GE56" i="3"/>
  <c r="AG100" i="3"/>
  <c r="AG155" i="3"/>
  <c r="AG146" i="3"/>
  <c r="AG137" i="3"/>
  <c r="GE171" i="3"/>
  <c r="GE130" i="3"/>
  <c r="GE184" i="3"/>
  <c r="GE201" i="3"/>
  <c r="AG229" i="3"/>
  <c r="GE25" i="3"/>
  <c r="GE38" i="3"/>
  <c r="GE145" i="3"/>
  <c r="GE144" i="3"/>
  <c r="AG253" i="3"/>
  <c r="AG247" i="3"/>
  <c r="AG238" i="3"/>
  <c r="AG68" i="3"/>
  <c r="AG147" i="3"/>
  <c r="AG138" i="3"/>
  <c r="AG129" i="3"/>
  <c r="GE46" i="3"/>
  <c r="GE219" i="3"/>
  <c r="GE153" i="3"/>
  <c r="GE188" i="3"/>
  <c r="AG180" i="3"/>
  <c r="AG166" i="3"/>
  <c r="GE129" i="3"/>
  <c r="AG235" i="3"/>
  <c r="AG226" i="3"/>
  <c r="AG217" i="3"/>
  <c r="GE27" i="3"/>
  <c r="GE86" i="3"/>
  <c r="GE221" i="3"/>
  <c r="GE121" i="3"/>
  <c r="AG102" i="3"/>
  <c r="GE60" i="3"/>
  <c r="AG16" i="3"/>
  <c r="AG71" i="3"/>
  <c r="AG62" i="3"/>
  <c r="AG53" i="3"/>
  <c r="GE206" i="3"/>
  <c r="GE191" i="3"/>
  <c r="GE103" i="3"/>
  <c r="GE44" i="3"/>
  <c r="GE252" i="3"/>
  <c r="AG128" i="3"/>
  <c r="AG99" i="3"/>
  <c r="AG90" i="3"/>
  <c r="AG81" i="3"/>
  <c r="GE251" i="3"/>
  <c r="GE74" i="3"/>
  <c r="GE208" i="3"/>
  <c r="GE97" i="3"/>
  <c r="GE207" i="3"/>
  <c r="AG108" i="3"/>
  <c r="AG31" i="3"/>
  <c r="AG22" i="3"/>
  <c r="AG13" i="3"/>
  <c r="GE239" i="3"/>
  <c r="GE80" i="3"/>
  <c r="GE220" i="3"/>
  <c r="AG239" i="3"/>
  <c r="GE69" i="3"/>
  <c r="AG224" i="3"/>
  <c r="AG123" i="3"/>
  <c r="AG114" i="3"/>
  <c r="AG105" i="3"/>
  <c r="GE142" i="3"/>
  <c r="GE127" i="3"/>
  <c r="GE64" i="3"/>
  <c r="GE141" i="3"/>
  <c r="AG197" i="3"/>
  <c r="GE47" i="3"/>
  <c r="GE166" i="3"/>
  <c r="GE71" i="3"/>
  <c r="GE84" i="3"/>
  <c r="AG72" i="3"/>
  <c r="AG215" i="3"/>
  <c r="AG206" i="3"/>
  <c r="AG192" i="3"/>
  <c r="AG115" i="3"/>
  <c r="AG106" i="3"/>
  <c r="AG97" i="3"/>
  <c r="GE174" i="3"/>
  <c r="GE163" i="3"/>
  <c r="GE33" i="3"/>
  <c r="GE128" i="3"/>
  <c r="AG48" i="3"/>
  <c r="AG221" i="3"/>
  <c r="GE120" i="3"/>
  <c r="AG203" i="3"/>
  <c r="AG194" i="3"/>
  <c r="AG185" i="3"/>
  <c r="GE50" i="3"/>
  <c r="GE223" i="3"/>
  <c r="GE216" i="3"/>
  <c r="GE61" i="3"/>
  <c r="AG189" i="3"/>
  <c r="AG120" i="3"/>
  <c r="AG140" i="3"/>
  <c r="AG39" i="3"/>
  <c r="AG30" i="3"/>
  <c r="AG21" i="3"/>
  <c r="GE114" i="3"/>
  <c r="GE200" i="3"/>
  <c r="GE233" i="3"/>
  <c r="AG143" i="3"/>
  <c r="GE253" i="3"/>
  <c r="AG252" i="3"/>
  <c r="AG67" i="3"/>
  <c r="AG58" i="3"/>
  <c r="AG49" i="3"/>
  <c r="GE222" i="3"/>
  <c r="GE211" i="3"/>
  <c r="GE88" i="3"/>
  <c r="GE37" i="3"/>
  <c r="GE230" i="3"/>
  <c r="AG255" i="3"/>
  <c r="AG246" i="3"/>
  <c r="AG237" i="3"/>
  <c r="GE23" i="3"/>
  <c r="GE159" i="3"/>
  <c r="GE49" i="3"/>
  <c r="GE160" i="3"/>
  <c r="AG47" i="3"/>
  <c r="AG200" i="3"/>
  <c r="AG96" i="3"/>
  <c r="AG91" i="3"/>
  <c r="AG82" i="3"/>
  <c r="AG73" i="3"/>
  <c r="GE202" i="3"/>
  <c r="GE106" i="3"/>
  <c r="GE177" i="3"/>
  <c r="GE81" i="3"/>
  <c r="AG165" i="3"/>
  <c r="GE43" i="3"/>
  <c r="GE226" i="3"/>
  <c r="GE65" i="3"/>
  <c r="GE256" i="3"/>
  <c r="AG212" i="3"/>
  <c r="AG183" i="3"/>
  <c r="AG174" i="3"/>
  <c r="AG64" i="3"/>
  <c r="AG83" i="3"/>
  <c r="AG74" i="3"/>
  <c r="AG65" i="3"/>
  <c r="GE234" i="3"/>
  <c r="GE138" i="3"/>
  <c r="GE148" i="3"/>
  <c r="GE68" i="3"/>
  <c r="AG52" i="3"/>
  <c r="AG61" i="3"/>
  <c r="AG88" i="3"/>
  <c r="AG171" i="3"/>
  <c r="AG162" i="3"/>
  <c r="AG153" i="3"/>
  <c r="GE95" i="3"/>
  <c r="GE83" i="3"/>
  <c r="GE244" i="3"/>
  <c r="GE232" i="3"/>
  <c r="AG29" i="3"/>
  <c r="AG164" i="3"/>
  <c r="AG12" i="3"/>
  <c r="AG254" i="3"/>
  <c r="AG245" i="3"/>
  <c r="GE17" i="3"/>
  <c r="GE123" i="3"/>
  <c r="GE169" i="3"/>
  <c r="GE173" i="3"/>
  <c r="AG198" i="3"/>
  <c r="GE249" i="3"/>
  <c r="AG124" i="3"/>
  <c r="AG35" i="3"/>
  <c r="AG26" i="3"/>
  <c r="AG17" i="3"/>
  <c r="GE162" i="3"/>
  <c r="GE140" i="3"/>
  <c r="GE228" i="3"/>
  <c r="AG207" i="3"/>
  <c r="GE137" i="3"/>
  <c r="AG223" i="3"/>
  <c r="AG214" i="3"/>
  <c r="AG205" i="3"/>
  <c r="GE18" i="3"/>
  <c r="GE134" i="3"/>
  <c r="GE132" i="3"/>
  <c r="GE100" i="3"/>
  <c r="AG134" i="3"/>
  <c r="AG168" i="3"/>
  <c r="AG220" i="3"/>
  <c r="AG59" i="3"/>
  <c r="AG50" i="3"/>
  <c r="AG41" i="3"/>
  <c r="GE254" i="3"/>
  <c r="GE247" i="3"/>
  <c r="GE57" i="3"/>
  <c r="GE24" i="3"/>
  <c r="AG133" i="3"/>
  <c r="GE187" i="3"/>
  <c r="GE178" i="3"/>
  <c r="GE168" i="3"/>
  <c r="GE196" i="3"/>
  <c r="AG84" i="3"/>
  <c r="AG151" i="3"/>
  <c r="AG142" i="3"/>
  <c r="AG188" i="3"/>
  <c r="AG51" i="3"/>
  <c r="AG42" i="3"/>
  <c r="AG33" i="3"/>
  <c r="GE119" i="3"/>
  <c r="GE214" i="3"/>
  <c r="GP15" i="3" l="1"/>
  <c r="GR15" i="3" s="1"/>
  <c r="AF2" i="3"/>
  <c r="BZ261" i="3"/>
  <c r="CA15" i="3"/>
  <c r="GR11" i="3"/>
  <c r="BC3" i="9" s="1"/>
  <c r="BG3" i="9" s="1"/>
  <c r="GP261" i="3" l="1"/>
  <c r="CA261" i="3"/>
  <c r="BY15" i="3"/>
  <c r="BY261" i="3" l="1"/>
  <c r="CC15" i="3"/>
  <c r="CC261" i="3" s="1"/>
  <c r="E16"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James C. Hall</author>
  </authors>
  <commentList>
    <comment ref="L973" authorId="0" shapeId="0" xr:uid="{00000000-0006-0000-0300-000001000000}">
      <text>
        <r>
          <rPr>
            <sz val="9"/>
            <color indexed="81"/>
            <rFont val="Tahoma"/>
            <family val="2"/>
          </rPr>
          <t>Specify the type of lighting equipment: Screw-in for lamps that have a screw-in base or General for all other lamp and fixture types.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James C. Hall</author>
    <author>Ashley Faircloth</author>
  </authors>
  <commentList>
    <comment ref="C14" authorId="0" shapeId="0" xr:uid="{00000000-0006-0000-0400-000001000000}">
      <text>
        <r>
          <rPr>
            <sz val="9"/>
            <color indexed="81"/>
            <rFont val="Tahoma"/>
            <family val="2"/>
          </rPr>
          <t>For internal use only.
The applicant may leave this field blank.</t>
        </r>
      </text>
    </comment>
    <comment ref="C19" authorId="0" shapeId="0" xr:uid="{00000000-0006-0000-0400-000002000000}">
      <text>
        <r>
          <rPr>
            <sz val="9"/>
            <color indexed="81"/>
            <rFont val="Tahoma"/>
            <family val="2"/>
          </rPr>
          <t xml:space="preserve">If the lighting project is complete, enter the total equipment cost of the new lighting equipment, including taxes.
</t>
        </r>
      </text>
    </comment>
    <comment ref="C20" authorId="1" shapeId="0" xr:uid="{6C38A141-ABFE-472D-A72A-FA117A81A54E}">
      <text>
        <r>
          <rPr>
            <sz val="9"/>
            <color indexed="81"/>
            <rFont val="Tahoma"/>
            <family val="2"/>
          </rPr>
          <t>Enter the total project cost including labor and taxes upon completion.</t>
        </r>
      </text>
    </comment>
    <comment ref="C36" authorId="0" shapeId="0" xr:uid="{00000000-0006-0000-0400-000003000000}">
      <text>
        <r>
          <rPr>
            <sz val="9"/>
            <color indexed="81"/>
            <rFont val="Tahoma"/>
            <family val="2"/>
          </rPr>
          <t>Specify the number of holidays the facility is shut down completely.</t>
        </r>
      </text>
    </comment>
    <comment ref="C37" authorId="0" shapeId="0" xr:uid="{00000000-0006-0000-0400-000004000000}">
      <text>
        <r>
          <rPr>
            <sz val="9"/>
            <color indexed="81"/>
            <rFont val="Tahoma"/>
            <family val="2"/>
          </rPr>
          <t xml:space="preserve">Specify the number of weeks the facility is in operation as defined by the lighting schedule above. Enter no more than 52 weeks.
</t>
        </r>
      </text>
    </comment>
    <comment ref="C38" authorId="0" shapeId="0" xr:uid="{00000000-0006-0000-0400-000005000000}">
      <text>
        <r>
          <rPr>
            <sz val="9"/>
            <color indexed="81"/>
            <rFont val="Tahoma"/>
            <family val="2"/>
          </rPr>
          <t>Specify the number of weeks the facility is unoccupied during the months of June, July, and August. Enter no more than 13 weeks.</t>
        </r>
      </text>
    </comment>
    <comment ref="C39" authorId="0" shapeId="0" xr:uid="{00000000-0006-0000-0400-000006000000}">
      <text>
        <r>
          <rPr>
            <sz val="9"/>
            <color indexed="81"/>
            <rFont val="Tahoma"/>
            <family val="2"/>
          </rPr>
          <t>Specify the number of weeks the facility is unoccupied during the months of January and February. Enter no more than 9 weeks.</t>
        </r>
      </text>
    </comment>
    <comment ref="C52" authorId="0" shapeId="0" xr:uid="{00000000-0006-0000-0400-000007000000}">
      <text>
        <r>
          <rPr>
            <sz val="9"/>
            <color indexed="81"/>
            <rFont val="Tahoma"/>
            <family val="2"/>
          </rPr>
          <t>Specify the number of holidays the facility is shut down completely.</t>
        </r>
      </text>
    </comment>
    <comment ref="C53" authorId="0" shapeId="0" xr:uid="{00000000-0006-0000-0400-000008000000}">
      <text>
        <r>
          <rPr>
            <sz val="9"/>
            <color indexed="81"/>
            <rFont val="Tahoma"/>
            <family val="2"/>
          </rPr>
          <t xml:space="preserve">Specify the number of weeks the facility is in operation as defined by the lighting schedule above. Enter no more than 52 weeks.
</t>
        </r>
      </text>
    </comment>
    <comment ref="C54" authorId="0" shapeId="0" xr:uid="{00000000-0006-0000-0400-000009000000}">
      <text>
        <r>
          <rPr>
            <sz val="9"/>
            <color indexed="81"/>
            <rFont val="Tahoma"/>
            <family val="2"/>
          </rPr>
          <t>Specify the number of weeks the facility is unoccupied during the months of June, July, and August. Enter no more than 13 weeks.</t>
        </r>
      </text>
    </comment>
    <comment ref="C55" authorId="0" shapeId="0" xr:uid="{00000000-0006-0000-0400-00000A000000}">
      <text>
        <r>
          <rPr>
            <sz val="9"/>
            <color indexed="81"/>
            <rFont val="Tahoma"/>
            <family val="2"/>
          </rPr>
          <t>Specify the number of weeks the facility is unoccupied during the months of January and February. Enter no more than 9 weeks.</t>
        </r>
      </text>
    </comment>
    <comment ref="C69" authorId="0" shapeId="0" xr:uid="{00000000-0006-0000-0400-00000B000000}">
      <text>
        <r>
          <rPr>
            <sz val="9"/>
            <color indexed="81"/>
            <rFont val="Tahoma"/>
            <family val="2"/>
          </rPr>
          <t>Specify the number of holidays the facility is shut down completely.</t>
        </r>
      </text>
    </comment>
    <comment ref="C70" authorId="0" shapeId="0" xr:uid="{00000000-0006-0000-0400-00000C000000}">
      <text>
        <r>
          <rPr>
            <sz val="9"/>
            <color indexed="81"/>
            <rFont val="Tahoma"/>
            <family val="2"/>
          </rPr>
          <t xml:space="preserve">Specify the number of weeks the facility is in operation as defined by the lighting schedule above. Enter no more than 52 weeks.
</t>
        </r>
      </text>
    </comment>
    <comment ref="C71" authorId="0" shapeId="0" xr:uid="{00000000-0006-0000-0400-00000D000000}">
      <text>
        <r>
          <rPr>
            <sz val="9"/>
            <color indexed="81"/>
            <rFont val="Tahoma"/>
            <family val="2"/>
          </rPr>
          <t>Specify the number of weeks the facility is unoccupied during the months of June, July, and August. Enter no more than 13 weeks.</t>
        </r>
      </text>
    </comment>
    <comment ref="C72" authorId="0" shapeId="0" xr:uid="{00000000-0006-0000-0400-00000E000000}">
      <text>
        <r>
          <rPr>
            <sz val="9"/>
            <color indexed="81"/>
            <rFont val="Tahoma"/>
            <family val="2"/>
          </rPr>
          <t>Specify the number of weeks the facility is unoccupied during the months of January and February. Enter no more than 9 weeks.</t>
        </r>
      </text>
    </comment>
    <comment ref="C86" authorId="0" shapeId="0" xr:uid="{00000000-0006-0000-0400-00000F000000}">
      <text>
        <r>
          <rPr>
            <sz val="9"/>
            <color indexed="81"/>
            <rFont val="Tahoma"/>
            <family val="2"/>
          </rPr>
          <t>Specify the number of holidays the facility is shut down completely.</t>
        </r>
      </text>
    </comment>
    <comment ref="C87" authorId="0" shapeId="0" xr:uid="{00000000-0006-0000-0400-000010000000}">
      <text>
        <r>
          <rPr>
            <sz val="9"/>
            <color indexed="81"/>
            <rFont val="Tahoma"/>
            <family val="2"/>
          </rPr>
          <t xml:space="preserve">Specify the number of weeks the facility is in operation as defined by the lighting schedule above. Enter no more than 52 weeks.
</t>
        </r>
      </text>
    </comment>
    <comment ref="C88" authorId="0" shapeId="0" xr:uid="{00000000-0006-0000-0400-000011000000}">
      <text>
        <r>
          <rPr>
            <sz val="9"/>
            <color indexed="81"/>
            <rFont val="Tahoma"/>
            <family val="2"/>
          </rPr>
          <t>Specify the number of weeks the facility is unoccupied during the months of June, July, and August. Enter no more than 13 weeks.</t>
        </r>
      </text>
    </comment>
    <comment ref="C89" authorId="0" shapeId="0" xr:uid="{00000000-0006-0000-0400-000012000000}">
      <text>
        <r>
          <rPr>
            <sz val="9"/>
            <color indexed="81"/>
            <rFont val="Tahoma"/>
            <family val="2"/>
          </rPr>
          <t>Specify the number of weeks the facility is unoccupied during the months of January and February. Enter no more than 9 weeks.</t>
        </r>
      </text>
    </comment>
    <comment ref="C103" authorId="0" shapeId="0" xr:uid="{00000000-0006-0000-0400-000013000000}">
      <text>
        <r>
          <rPr>
            <sz val="9"/>
            <color indexed="81"/>
            <rFont val="Tahoma"/>
            <family val="2"/>
          </rPr>
          <t>Specify the number of holidays the facility is shut down completely.</t>
        </r>
      </text>
    </comment>
    <comment ref="C104" authorId="0" shapeId="0" xr:uid="{00000000-0006-0000-0400-000014000000}">
      <text>
        <r>
          <rPr>
            <sz val="9"/>
            <color indexed="81"/>
            <rFont val="Tahoma"/>
            <family val="2"/>
          </rPr>
          <t xml:space="preserve">Specify the number of weeks the facility is in operation as defined by the lighting schedule above. Enter no more than 52 weeks.
</t>
        </r>
      </text>
    </comment>
    <comment ref="C105" authorId="0" shapeId="0" xr:uid="{00000000-0006-0000-0400-000015000000}">
      <text>
        <r>
          <rPr>
            <sz val="9"/>
            <color indexed="81"/>
            <rFont val="Tahoma"/>
            <family val="2"/>
          </rPr>
          <t>Specify the number of weeks the facility is unoccupied during the months of June, July, and August. Enter no more than 13 weeks.</t>
        </r>
      </text>
    </comment>
    <comment ref="C106" authorId="0" shapeId="0" xr:uid="{00000000-0006-0000-0400-000016000000}">
      <text>
        <r>
          <rPr>
            <sz val="9"/>
            <color indexed="81"/>
            <rFont val="Tahoma"/>
            <family val="2"/>
          </rPr>
          <t>Specify the number of weeks the facility is unoccupied during the months of January and February. Enter no more than 9 weeks.</t>
        </r>
      </text>
    </comment>
    <comment ref="C120" authorId="0" shapeId="0" xr:uid="{00000000-0006-0000-0400-000017000000}">
      <text>
        <r>
          <rPr>
            <sz val="9"/>
            <color indexed="81"/>
            <rFont val="Tahoma"/>
            <family val="2"/>
          </rPr>
          <t>Specify the number of holidays the facility is shut down completely.</t>
        </r>
      </text>
    </comment>
    <comment ref="C121" authorId="0" shapeId="0" xr:uid="{00000000-0006-0000-0400-000018000000}">
      <text>
        <r>
          <rPr>
            <sz val="9"/>
            <color indexed="81"/>
            <rFont val="Tahoma"/>
            <family val="2"/>
          </rPr>
          <t xml:space="preserve">Specify the number of weeks the facility is in operation as defined by the lighting schedule above. Enter no more than 52 weeks.
</t>
        </r>
      </text>
    </comment>
    <comment ref="C122" authorId="0" shapeId="0" xr:uid="{00000000-0006-0000-0400-000019000000}">
      <text>
        <r>
          <rPr>
            <sz val="9"/>
            <color indexed="81"/>
            <rFont val="Tahoma"/>
            <family val="2"/>
          </rPr>
          <t>Specify the number of weeks the facility is unoccupied during the months of June, July, and August. Enter no more than 13 weeks.</t>
        </r>
      </text>
    </comment>
    <comment ref="C123" authorId="0" shapeId="0" xr:uid="{00000000-0006-0000-0400-00001A000000}">
      <text>
        <r>
          <rPr>
            <sz val="9"/>
            <color indexed="81"/>
            <rFont val="Tahoma"/>
            <family val="2"/>
          </rPr>
          <t>Specify the number of weeks the facility is unoccupied during the months of January and February. Enter no more than 9 weeks.</t>
        </r>
      </text>
    </comment>
    <comment ref="C137" authorId="0" shapeId="0" xr:uid="{00000000-0006-0000-0400-00001B000000}">
      <text>
        <r>
          <rPr>
            <sz val="9"/>
            <color indexed="81"/>
            <rFont val="Tahoma"/>
            <family val="2"/>
          </rPr>
          <t>Specify the number of holidays the facility is shut down completely.</t>
        </r>
      </text>
    </comment>
    <comment ref="C138" authorId="0" shapeId="0" xr:uid="{00000000-0006-0000-0400-00001C000000}">
      <text>
        <r>
          <rPr>
            <sz val="9"/>
            <color indexed="81"/>
            <rFont val="Tahoma"/>
            <family val="2"/>
          </rPr>
          <t xml:space="preserve">Specify the number of weeks the facility is in operation as defined by the lighting schedule above. Enter no more than 52 weeks.
</t>
        </r>
      </text>
    </comment>
    <comment ref="C139" authorId="0" shapeId="0" xr:uid="{00000000-0006-0000-0400-00001D000000}">
      <text>
        <r>
          <rPr>
            <sz val="9"/>
            <color indexed="81"/>
            <rFont val="Tahoma"/>
            <family val="2"/>
          </rPr>
          <t>Specify the number of weeks the facility is unoccupied during the months of June, July, and August. Enter no more than 13 weeks.</t>
        </r>
      </text>
    </comment>
    <comment ref="C140" authorId="0" shapeId="0" xr:uid="{00000000-0006-0000-0400-00001E000000}">
      <text>
        <r>
          <rPr>
            <sz val="9"/>
            <color indexed="81"/>
            <rFont val="Tahoma"/>
            <family val="2"/>
          </rPr>
          <t>Specify the number of weeks the facility is unoccupied during the months of January and February. Enter no more than 9 weeks.</t>
        </r>
      </text>
    </comment>
    <comment ref="C154" authorId="0" shapeId="0" xr:uid="{00000000-0006-0000-0400-00001F000000}">
      <text>
        <r>
          <rPr>
            <sz val="9"/>
            <color indexed="81"/>
            <rFont val="Tahoma"/>
            <family val="2"/>
          </rPr>
          <t>Specify the number of holidays the facility is shut down completely.</t>
        </r>
      </text>
    </comment>
    <comment ref="C155" authorId="0" shapeId="0" xr:uid="{00000000-0006-0000-0400-000020000000}">
      <text>
        <r>
          <rPr>
            <sz val="9"/>
            <color indexed="81"/>
            <rFont val="Tahoma"/>
            <family val="2"/>
          </rPr>
          <t>Specify the number of weeks the facility is in operation as defined by the lighting schedule above. Enter a maximum of 52 weeks.</t>
        </r>
      </text>
    </comment>
    <comment ref="C156" authorId="0" shapeId="0" xr:uid="{00000000-0006-0000-0400-000021000000}">
      <text>
        <r>
          <rPr>
            <sz val="9"/>
            <color indexed="81"/>
            <rFont val="Tahoma"/>
            <family val="2"/>
          </rPr>
          <t>Specify the number of weeks the facility is unoccupied during the months of June, July, and August. Enter a maximum of 13 weeks.</t>
        </r>
      </text>
    </comment>
    <comment ref="C157" authorId="0" shapeId="0" xr:uid="{00000000-0006-0000-0400-000022000000}">
      <text>
        <r>
          <rPr>
            <sz val="9"/>
            <color indexed="81"/>
            <rFont val="Tahoma"/>
            <family val="2"/>
          </rPr>
          <t>Specify the number of weeks the facility is unoccupied during the months of January and February. Enter a maximum of 9 weeks.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tc={10CCEC61-C511-4EED-AD51-0F1DEE872981}</author>
    <author>Ashley Faircloth</author>
    <author>James C. Hall</author>
    <author>Nicholas Dombrosky</author>
    <author>tc={765AEC32-09E3-428F-AE6B-82BD9CB68EC3}</author>
  </authors>
  <commentList>
    <comment ref="FF7" authorId="0" shapeId="0" xr:uid="{10CCEC61-C511-4EED-AD51-0F1DEE872981}">
      <text>
        <t>[Threaded comment]
Your version of Excel allows you to read this threaded comment; however, any edits to it will get removed if the file is opened in a newer version of Excel. Learn more: https://go.microsoft.com/fwlink/?linkid=870924
Comment:
    Updated the formula to reference the Lookup Tables</t>
      </text>
    </comment>
    <comment ref="B8" authorId="1" shapeId="0" xr:uid="{BFF17112-2230-40EF-93D9-32D8E3DCE556}">
      <text>
        <r>
          <rPr>
            <sz val="9"/>
            <color indexed="81"/>
            <rFont val="Tahoma"/>
            <family val="2"/>
          </rPr>
          <t>If project is a New Construction project that has not completed it's building design, please refer to: http://energysavepa-cnc.com/</t>
        </r>
      </text>
    </comment>
    <comment ref="F8" authorId="2" shapeId="0" xr:uid="{00000000-0006-0000-0500-000001000000}">
      <text>
        <r>
          <rPr>
            <sz val="9"/>
            <color indexed="81"/>
            <rFont val="Tahoma"/>
            <family val="2"/>
          </rPr>
          <t xml:space="preserve">Select the most appropriate Facility Type from the drop down menu. An Interior/Exterior option must be selected first in column E before the drop down menu will appear. If the facility type font turns red, there is a selection mismatch between the Interior/Exterior drop down menu and the Facility/Area Type drop down menu.
</t>
        </r>
        <r>
          <rPr>
            <b/>
            <sz val="9"/>
            <color indexed="81"/>
            <rFont val="Tahoma"/>
            <family val="2"/>
          </rPr>
          <t xml:space="preserve">
IF the facility/building use is changing as part of this project, select the NEW facility type and appropriate TRM hours schedule should be used.
</t>
        </r>
      </text>
    </comment>
    <comment ref="G8" authorId="2" shapeId="0" xr:uid="{00000000-0006-0000-0500-000002000000}">
      <text>
        <r>
          <rPr>
            <sz val="9"/>
            <color indexed="81"/>
            <rFont val="Tahoma"/>
            <family val="2"/>
          </rPr>
          <t>Text will be highlighted in red if there is a mismatch between a selection in Column E and a selection in Column G.  Select a valid Space Cooling Type from the drop down menu in Column G.</t>
        </r>
      </text>
    </comment>
    <comment ref="H8" authorId="2" shapeId="0" xr:uid="{00000000-0006-0000-0500-000003000000}">
      <text>
        <r>
          <rPr>
            <sz val="9"/>
            <color indexed="81"/>
            <rFont val="Tahoma"/>
            <family val="2"/>
          </rPr>
          <t>Text will be highlighted in red if there is a selection mismatch between a selection in Column E and a selection in Column H.  Select a valid Space Heating Type from the drop down menu in Column H.</t>
        </r>
      </text>
    </comment>
    <comment ref="J8" authorId="2" shapeId="0" xr:uid="{00000000-0006-0000-0500-000004000000}">
      <text>
        <r>
          <rPr>
            <sz val="9"/>
            <color indexed="81"/>
            <rFont val="Tahoma"/>
            <family val="2"/>
          </rPr>
          <t>Fixture codes can be found using the Fixture Identities tab.  Custom fixtures can be entered starting on row 910 of the Fixture Identities tab. 
Green highlighted cells indicate a T12 fluorescent fixture code was entered and has been translated to an equivalent T8 fixture wattage. Purple highlighted cells indicate an LED exit sign is not replacing an existing exit sign.</t>
        </r>
      </text>
    </comment>
    <comment ref="S8" authorId="2" shapeId="0" xr:uid="{00000000-0006-0000-0500-000005000000}">
      <text>
        <r>
          <rPr>
            <sz val="9"/>
            <color indexed="81"/>
            <rFont val="Tahoma"/>
            <family val="2"/>
          </rPr>
          <t>If all lamps or fixtures are being removed, enter the quantity removed in Column S.  Next, select the Category and Description in Columns T and U based on the more efficient lighting equipment being installed that warrants the removal of lamps or fixtures.</t>
        </r>
      </text>
    </comment>
    <comment ref="AE8" authorId="2" shapeId="0" xr:uid="{00000000-0006-0000-0500-000006000000}">
      <text>
        <r>
          <rPr>
            <sz val="9"/>
            <color indexed="81"/>
            <rFont val="Tahoma"/>
            <family val="2"/>
          </rPr>
          <t>Watts entered should match the Watts off of the Design Lights Qualified Product or ENERGY STAR Qualified Product Listing. If the product is being submitted for Custom Consideration (meaning product does not have a DLC or ENERGY STAR QPL category), please input specification sheet wattage. If LED lamps are being installed, the Post Watts should equal the product of the lamp quantity per fixture and the Watts off of the DLC or ENERGY STAR listing. If all lamps or fixtures are being removed, then enter 0.</t>
        </r>
      </text>
    </comment>
    <comment ref="AF8" authorId="2" shapeId="0" xr:uid="{00000000-0006-0000-0500-000007000000}">
      <text>
        <r>
          <rPr>
            <sz val="9"/>
            <color indexed="81"/>
            <rFont val="Tahoma"/>
            <family val="2"/>
          </rPr>
          <t>Enter the cost per fixture from the itemized invoice.  Do not enter the total cost for the fixtures.  Red highlighted cells indicate the total equipment cost on the General Information tab or an itemized cost in Column AA has not been entered yet (and should be).</t>
        </r>
      </text>
    </comment>
    <comment ref="AG8" authorId="2" shapeId="0" xr:uid="{00000000-0006-0000-0500-000008000000}">
      <text>
        <r>
          <rPr>
            <sz val="9"/>
            <color indexed="81"/>
            <rFont val="Tahoma"/>
            <family val="2"/>
          </rPr>
          <t xml:space="preserve">Per fixture cost is calculated using a double weighted average of savings per fixture, and an extra weight for fixtures that fall in the 50% cap group.  Itemized costs entered in row AA will override the calculated costs in column AB.
</t>
        </r>
      </text>
    </comment>
    <comment ref="AK8" authorId="2" shapeId="0" xr:uid="{00000000-0006-0000-0500-000009000000}">
      <text>
        <r>
          <rPr>
            <sz val="9"/>
            <color indexed="81"/>
            <rFont val="Tahoma"/>
            <family val="2"/>
          </rPr>
          <t xml:space="preserve">Enter name of the manufacturer's specification/cut sheet for the proposed fixture or lamp (e.g., Cut Sheet A, Fixture A1, etc.)
</t>
        </r>
      </text>
    </comment>
    <comment ref="AL8" authorId="2" shapeId="0" xr:uid="{00000000-0006-0000-0500-00000A000000}">
      <text>
        <r>
          <rPr>
            <sz val="9"/>
            <color indexed="81"/>
            <rFont val="Tahoma"/>
            <family val="2"/>
          </rPr>
          <t xml:space="preserve">This is a calculated, non-editable field.
</t>
        </r>
      </text>
    </comment>
    <comment ref="AM8" authorId="2" shapeId="0" xr:uid="{00000000-0006-0000-0500-00000B000000}">
      <text>
        <r>
          <rPr>
            <sz val="9"/>
            <color indexed="81"/>
            <rFont val="Tahoma"/>
            <family val="2"/>
          </rPr>
          <t>If the message "← ENTER POST WATTS" is displayed please ensure the fixture/lamp watts are entered for that particular line in column AA.  If a Cut Sheet fixture is selected in column W, please ensure the fixture Watts for the selected Cut Sheet fixture is entered on the Fixture Identities Table.</t>
        </r>
      </text>
    </comment>
    <comment ref="AN8" authorId="2" shapeId="0" xr:uid="{00000000-0006-0000-0500-00000C000000}">
      <text>
        <r>
          <rPr>
            <sz val="9"/>
            <color indexed="81"/>
            <rFont val="Tahoma"/>
            <family val="2"/>
          </rPr>
          <t>Proposed Control Type options will be in red when lighting controls are specified on exterior lighting.  Choose a valid selection from the drop down menu when the font is in red.</t>
        </r>
      </text>
    </comment>
    <comment ref="AO8" authorId="3" shapeId="0" xr:uid="{14E978CB-245A-434D-A6DF-699829A39DB7}">
      <text>
        <r>
          <rPr>
            <sz val="9"/>
            <color indexed="81"/>
            <rFont val="Tahoma"/>
            <family val="2"/>
          </rPr>
          <t>Tier 1 – Zoned control earns an additional $0.05 per kWh saved.
Additional Incentive only associated to lighting measures tied to zonal control(s)
            Zonal Lighting Controls will be incentivized at Published Incentive Rates
Tier 2 – Fixture level : Luminaire-level lighting controls (LLLC) earns an additional $0.08 per kWh saved.
             Additional Incentive only associated to lighting fixtures that include a control.
             Implementation Vendor must validate as “active” control. 
Tier 3 – Network lighting controls earns an additional $0.10 per kWh saved.
  Additional Incentive is associated with lighting measures that are controlled by network lighting controls.
             Network lighting controls to be incentivized Published Incentive Rates
Tier 4 – Lighting Optimization earns $/0.10 kWh and $ 300 /kW (pK)  (Custom)
             Engineered solution for lighting optimization that includes, but not limited to, controls, fixture count reduction, Daylight Harvesting, High-End Trim (incl.                   High-End Trimming, Lumen Maintenance), Time Scheduling, Task Tuning, etc. and maintain applicable code required LPD for lighted space.</t>
        </r>
      </text>
    </comment>
    <comment ref="AP8" authorId="1" shapeId="0" xr:uid="{00000000-0006-0000-0500-00000D000000}">
      <text>
        <r>
          <rPr>
            <sz val="9"/>
            <color indexed="81"/>
            <rFont val="Tahoma"/>
            <family val="2"/>
          </rPr>
          <t xml:space="preserve">Number of sensors controlling each line of lighting. Sensors should control equal wattages or lighting system should be entered on a separate line.
</t>
        </r>
      </text>
    </comment>
    <comment ref="AQ8" authorId="1" shapeId="0" xr:uid="{00000000-0006-0000-0500-00000E000000}">
      <text>
        <r>
          <rPr>
            <sz val="9"/>
            <color indexed="81"/>
            <rFont val="Tahoma"/>
            <family val="2"/>
          </rPr>
          <t>If wattage controlled per sensor varies, please enter each wattage/fixture group controlled as separate rows in the calculator.
Sensors controlling &lt;20 watts are not eligible for incentives.</t>
        </r>
      </text>
    </comment>
    <comment ref="AR8" authorId="1" shapeId="0" xr:uid="{266D799D-BC69-40D6-A8FE-B026DEEF92EB}">
      <text>
        <r>
          <rPr>
            <b/>
            <sz val="9"/>
            <color indexed="81"/>
            <rFont val="Tahoma"/>
            <family val="2"/>
          </rPr>
          <t>If sensor is integrated into fixture, put fixture cost.</t>
        </r>
      </text>
    </comment>
    <comment ref="FH8" authorId="4" shapeId="0" xr:uid="{765AEC32-09E3-428F-AE6B-82BD9CB68EC3}">
      <text>
        <t>[Threaded comment]
Your version of Excel allows you to read this threaded comment; however, any edits to it will get removed if the file is opened in a newer version of Excel. Learn more: https://go.microsoft.com/fwlink/?linkid=870924
Comment:
    Incentive for LTO
Reply:
    Removed 9/1/2024</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James C. Hall</author>
    <author>tc={CED59F1E-CE4C-4555-85E5-F9782408C9B9}</author>
    <author>Jacob Steele</author>
    <author>tc={89294476-FEA6-44C6-92F7-FDA5497EAD3D}</author>
    <author>tc={136CF506-0671-48AE-82D1-C8196FBC034B}</author>
    <author>tc={7CAE2553-A488-4006-9B28-607885FD0540}</author>
    <author>tc={ED7313B9-F1B3-492E-94D6-C9F7ED68B5D6}</author>
    <author>tc={9EB110D8-D6B2-4254-9F97-9CD0CBA3ABF7}</author>
    <author>tc={0C9B17E5-D7B6-4D62-9B6A-22FD6F107882}</author>
    <author>tc={1D11CC5F-A235-49F8-A249-00932AE2A3D3}</author>
    <author>tc={44CE7A5D-1BC0-4389-AA97-C9AE13E195F2}</author>
    <author>tc={E499CBDC-530D-40B9-A2D6-C7D37BCF0BCE}</author>
  </authors>
  <commentList>
    <comment ref="E5" authorId="0" shapeId="0" xr:uid="{00000000-0006-0000-0600-000001000000}">
      <text>
        <r>
          <rPr>
            <sz val="9"/>
            <color indexed="81"/>
            <rFont val="Tahoma"/>
            <family val="2"/>
          </rPr>
          <t xml:space="preserve">Summer and Winter Hours and CFs provided by ADM 12_21_2016 See table starting at cell R66
</t>
        </r>
      </text>
    </comment>
    <comment ref="H5" authorId="0" shapeId="0" xr:uid="{00000000-0006-0000-0600-000002000000}">
      <text>
        <r>
          <rPr>
            <sz val="9"/>
            <color indexed="81"/>
            <rFont val="Tahoma"/>
            <family val="2"/>
          </rPr>
          <t xml:space="preserve">Summer and Winter Hours and CFs provided by ADM 12_21_2016 See table starting at cell R66
</t>
        </r>
      </text>
    </comment>
    <comment ref="T5" authorId="1" shapeId="0" xr:uid="{00000000-0006-0000-0600-000003000000}">
      <text>
        <t>[Threaded comment]
Your version of Excel allows you to read this threaded comment; however, any edits to it will get removed if the file is opened in a newer version of Excel. Learn more: https://go.microsoft.com/fwlink/?linkid=870924
Comment:
    Need to confirm this with ADM, not in TRM</t>
      </text>
    </comment>
    <comment ref="AM6" authorId="2" shapeId="0" xr:uid="{1C20BCCF-B82C-43AC-8925-CBF760D65B53}">
      <text>
        <r>
          <rPr>
            <b/>
            <sz val="9"/>
            <color indexed="81"/>
            <rFont val="Tahoma"/>
            <family val="2"/>
          </rPr>
          <t>Jacob Steele:</t>
        </r>
        <r>
          <rPr>
            <sz val="9"/>
            <color indexed="81"/>
            <rFont val="Tahoma"/>
            <family val="2"/>
          </rPr>
          <t xml:space="preserve">
All yellow cells have the rate selection from the dropdown tab applied to them.  </t>
        </r>
      </text>
    </comment>
    <comment ref="O9" authorId="3" shapeId="0" xr:uid="{00000000-0006-0000-0600-000004000000}">
      <text>
        <t>[Threaded comment]
Your version of Excel allows you to read this threaded comment; however, any edits to it will get removed if the file is opened in a newer version of Excel. Learn more: https://go.microsoft.com/fwlink/?linkid=870924
Comment:
    Using "in an auditorium" value</t>
      </text>
    </comment>
    <comment ref="S66" authorId="4" shapeId="0" xr:uid="{00000000-0006-0000-0600-000005000000}">
      <text>
        <t>[Threaded comment]
Your version of Excel allows you to read this threaded comment; however, any edits to it will get removed if the file is opened in a newer version of Excel. Learn more: https://go.microsoft.com/fwlink/?linkid=870924
Comment:
    Hours and Summer CF have been updated to Phase IV 2021 PA TRM. No PJM CF provided for winter at this time.</t>
      </text>
    </comment>
    <comment ref="U91" authorId="2" shapeId="0" xr:uid="{28AC98C0-C9F2-4895-8C93-3360CDDE7FFD}">
      <text>
        <r>
          <rPr>
            <b/>
            <sz val="9"/>
            <color indexed="81"/>
            <rFont val="Tahoma"/>
            <family val="2"/>
          </rPr>
          <t>Jacob Steele:</t>
        </r>
        <r>
          <rPr>
            <sz val="9"/>
            <color indexed="81"/>
            <rFont val="Tahoma"/>
            <family val="2"/>
          </rPr>
          <t xml:space="preserve">
All yellow cells have the rate selection from the dropdown tab applied to them.  </t>
        </r>
      </text>
    </comment>
    <comment ref="V94" authorId="5" shapeId="0" xr:uid="{00000000-0006-0000-0600-000006000000}">
      <text>
        <t>[Threaded comment]
Your version of Excel allows you to read this threaded comment; however, any edits to it will get removed if the file is opened in a newer version of Excel. Learn more: https://go.microsoft.com/fwlink/?linkid=870924
Comment:
    Utilizes Occupancy sensor SVG. FE and ADM to work on IMP for revised value.</t>
      </text>
    </comment>
    <comment ref="W94" authorId="6" shapeId="0" xr:uid="{00000000-0006-0000-0600-000007000000}">
      <text>
        <t>[Threaded comment]
Your version of Excel allows you to read this threaded comment; however, any edits to it will get removed if the file is opened in a newer version of Excel. Learn more: https://go.microsoft.com/fwlink/?linkid=870924
Comment:
    This is self generated - does not exist in App C</t>
      </text>
    </comment>
    <comment ref="V101" authorId="7" shapeId="0" xr:uid="{9EB110D8-D6B2-4254-9F97-9CD0CBA3ABF7}">
      <text>
        <t xml:space="preserve">[Threaded comment]
Your version of Excel allows you to read this threaded comment; however, any edits to it will get removed if the file is opened in a newer version of Excel. Learn more: https://go.microsoft.com/fwlink/?linkid=870924
Comment:
    per PUC presentation for 2026: PowerPoint Presentation (pa.gov) </t>
      </text>
    </comment>
    <comment ref="V105" authorId="8" shapeId="0" xr:uid="{00000000-0006-0000-0600-000008000000}">
      <text>
        <t>[Threaded comment]
Your version of Excel allows you to read this threaded comment; however, any edits to it will get removed if the file is opened in a newer version of Excel. Learn more: https://go.microsoft.com/fwlink/?linkid=870924
Comment:
    Utilizes Occupancy sensor SVG. FE and ADM to work on IMP for revised value.</t>
      </text>
    </comment>
    <comment ref="W105" authorId="9" shapeId="0" xr:uid="{00000000-0006-0000-0600-000009000000}">
      <text>
        <t>[Threaded comment]
Your version of Excel allows you to read this threaded comment; however, any edits to it will get removed if the file is opened in a newer version of Excel. Learn more: https://go.microsoft.com/fwlink/?linkid=870924
Comment:
    This is self generated - does not exist in App C</t>
      </text>
    </comment>
    <comment ref="S107" authorId="10" shapeId="0" xr:uid="{44CE7A5D-1BC0-4389-AA97-C9AE13E195F2}">
      <text>
        <t>[Threaded comment]
Your version of Excel allows you to read this threaded comment; however, any edits to it will get removed if the file is opened in a newer version of Excel. Learn more: https://go.microsoft.com/fwlink/?linkid=870924
Comment:
    Was 20, lighting inventory formula did not use this table before</t>
      </text>
    </comment>
    <comment ref="S108" authorId="11" shapeId="0" xr:uid="{E499CBDC-530D-40B9-A2D6-C7D37BCF0BCE}">
      <text>
        <t>[Threaded comment]
Your version of Excel allows you to read this threaded comment; however, any edits to it will get removed if the file is opened in a newer version of Excel. Learn more: https://go.microsoft.com/fwlink/?linkid=870924
Comment:
    Was 20, lighting inventory formula did not use this table before</t>
      </text>
    </comment>
    <comment ref="AM114" authorId="2" shapeId="0" xr:uid="{B4E087DD-0E00-4D96-AB5F-0F00E8846490}">
      <text>
        <r>
          <rPr>
            <b/>
            <sz val="9"/>
            <color indexed="81"/>
            <rFont val="Tahoma"/>
            <family val="2"/>
          </rPr>
          <t>Jacob Steele:</t>
        </r>
        <r>
          <rPr>
            <sz val="9"/>
            <color indexed="81"/>
            <rFont val="Tahoma"/>
            <family val="2"/>
          </rPr>
          <t xml:space="preserve">
All yellow cells have the rate selection from the dropdown tab applied to them.  </t>
        </r>
      </text>
    </comment>
    <comment ref="S118" authorId="2" shapeId="0" xr:uid="{60A6294C-ABA9-4E85-80F1-79BEB00C36A3}">
      <text>
        <r>
          <rPr>
            <b/>
            <sz val="9"/>
            <color indexed="81"/>
            <rFont val="Tahoma"/>
            <family val="2"/>
          </rPr>
          <t>Jacob Steele:</t>
        </r>
        <r>
          <rPr>
            <sz val="9"/>
            <color indexed="81"/>
            <rFont val="Tahoma"/>
            <family val="2"/>
          </rPr>
          <t xml:space="preserve">
Not editing, this is non-LTO 7/15/25</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<sst xmlns="http://schemas.openxmlformats.org/spreadsheetml/2006/main" count="14316" uniqueCount="4601">
  <si>
    <t>LIGHTING CALCULATOR INSTRUCTIONS</t>
  </si>
  <si>
    <t xml:space="preserve">Worksheet Version  </t>
  </si>
  <si>
    <t>Energy Solutions for Business Program</t>
  </si>
  <si>
    <t>Lighting Program applicants must submit a completed, electronic copy of the Lighting Worksheet along with a completed Lighting application online. The most up-to-date version of the Lighting Worksheet can be found on the Program web site: www.energysavePA-business.com. 
Please use the Lighting Inventory tab to define the lighting project.  For the Pre Fixture Code (not applicable to New Construction projects), please refer to the Fixture Identities tabs of the Lighting Worksheet to find the appropriate Fixture Code. 
If you have questions about the Program or need assistance completing the Lighting Worksheet, please call a program representative at 
844-323-6399 or email your inquiry to energysavePA@franklinenergy.com.
The table below provides explanations and some examples for each of the spreadsheet columns.</t>
  </si>
  <si>
    <t>Fixture Code Generator Tab</t>
  </si>
  <si>
    <t>The Fixture Code Generator tab is intended to help users find the correct fixture code to use on the Lighting Inventory tab.  There are 3 sections on the Fixture Code Generator.  Describe the fixture or lamp using the drop down menus to lookup the appropriate fixture code.  If an appropriate fixture code cannot be found, please go to row 974 on the Fixture Identities tab to create a custom fixture code.</t>
  </si>
  <si>
    <t>Fixture Identities Tab</t>
  </si>
  <si>
    <t xml:space="preserve">The Fixture Identities tab contains a list of lighting fixtures and lamps which is based off of the 2021 Pennsylvania Technical Reference Manual (PA TRM) Appendix C Lighting Audit &amp; Design Tool.  Each allowable fixture has a unique fixture code, description, and specified wattage value.  The sheet has filtering functions enabled so users can search for specific fixture codes by any of the available fields.  The sheet also has input fields for custom fixture codes starting on row 974.
Fixture codes can be entered into the Pre-Fixture Code column (column J) of the Lighting Inventory tab.  If an appropriate fixture code is not listed, a custom fixture can be configured starting on row 974.  Up to 50 custom fixtures can be entered.  Only custom fixture entries can be used in the Post Fixture section (column U) of the Lighting Inventory tab.  Custom fixture entries must be accompanied by a manufacturer's specification sheet for wattage confirmation. </t>
  </si>
  <si>
    <t>General Information Tab</t>
  </si>
  <si>
    <r>
      <t xml:space="preserve">The </t>
    </r>
    <r>
      <rPr>
        <b/>
        <sz val="11"/>
        <color theme="1"/>
        <rFont val="Calibri"/>
        <family val="2"/>
        <scheme val="minor"/>
      </rPr>
      <t>General Information</t>
    </r>
    <r>
      <rPr>
        <sz val="11"/>
        <color theme="1"/>
        <rFont val="Calibri"/>
        <family val="2"/>
        <scheme val="minor"/>
      </rPr>
      <t xml:space="preserve"> tab is where the user identifies facility-specific details of the project that have an effect on the calculation of gross savings.  Facility-specific details include such things as custom name, project site name, installation address, electric utility, project ID, new construction calculation method (if applicable), and lighting operation schedules.  White cells indicate editable fields.  </t>
    </r>
  </si>
  <si>
    <t>Customer Name</t>
  </si>
  <si>
    <t>Provide the company name as reflected on the utility bill</t>
  </si>
  <si>
    <t>Project Site Name</t>
  </si>
  <si>
    <t>Enter the name of the site or facility where the equipment is being installed.</t>
  </si>
  <si>
    <t>Installation Address</t>
  </si>
  <si>
    <t>Enter the site address of where the work is being done.</t>
  </si>
  <si>
    <t>Electric Utility Company</t>
  </si>
  <si>
    <t>Select the Utility Company name associated with the customer's electric utility account.  
Options are: Met-Ed, Penelec, Penn Power and West Penn Power.  This is used to determine the default exterior lighting hours of use.  Exterior lighting calculations will not work unless a selection is made.</t>
  </si>
  <si>
    <t>Project ID</t>
  </si>
  <si>
    <t xml:space="preserve">Enter the Project ID associated with the online incentive application (e.g., FPPLPR123456). </t>
  </si>
  <si>
    <t>External ID</t>
  </si>
  <si>
    <t>Leave blank, this is for internal Program management staff use only.</t>
  </si>
  <si>
    <t>Project Completion Date</t>
  </si>
  <si>
    <t>For completed projects enter in the project completion date.</t>
  </si>
  <si>
    <t>Calculation Method</t>
  </si>
  <si>
    <t>If applicable, select the ASHRAE evaluation method for New Construction projects that should be used for this project.  Options are Building Area and Space-by-Space.  New construction projects will require lighting schedules and dimensioned architectural drawings for the lighting layouts to verify dimensions specified on the Lighting Inventory tab.  If your New Construction project is in it's preliminary design please refer here for appropriate program participation: http://energysavepa-cnc.com/</t>
  </si>
  <si>
    <t>Lighting Operation Schedules</t>
  </si>
  <si>
    <t xml:space="preserve">Holidays Observed Annually  </t>
  </si>
  <si>
    <t>The number of days per year that the facility is shut down for holidays.</t>
  </si>
  <si>
    <t xml:space="preserve">Yearly Operating Weeks  </t>
  </si>
  <si>
    <t>The number of weeks per year that the facility operates according to the custom schedule entered (enter up to 52 weeks).</t>
  </si>
  <si>
    <t>Unoccupied Peak Weeks Summer</t>
  </si>
  <si>
    <t>The number of weeks the facility is unoccupied during the months of June, July and August (enter up to 13 weeks).</t>
  </si>
  <si>
    <t>Unoccupied Peak Weeks Winter</t>
  </si>
  <si>
    <t>The number of weeks the facility is unoccupied during the months of January and February (enter up to 9 weeks).</t>
  </si>
  <si>
    <t xml:space="preserve">Annual Hours  </t>
  </si>
  <si>
    <t>Calculated value.  The calculated annual hours of use associated with the custom schedule entered. As the formula for calculating Hours of Use in this fashion is hours*day*weeks, and (24) * (7) * (52) does not equal 8,760, the calculation includes an adjustment factor to appropriately annualize the usage based on this calculation method.</t>
  </si>
  <si>
    <t xml:space="preserve">Coincidence Factor Summer  </t>
  </si>
  <si>
    <t xml:space="preserve">Calculated value.  The percentage of the designated summer peak hours that the lights will be operational. 
CF = Pennsylvania-New Jersey-Maryland Interconnection (PJM) Demand Coincidence Factor.  Peak hours are considered between 2 pm and 6 pm across all summer weekdays (i.e. PJM’s EE Performance Hours for its Reliability Pricing Model).  Summer is defined by the months June, July and August.  </t>
  </si>
  <si>
    <t xml:space="preserve">Coincidence Factor Winter  </t>
  </si>
  <si>
    <t xml:space="preserve">Calculated value.  The percentage of the designated winter peak hours that the lights will be operational. 
CF = Pennsylvania-New Jersey-Maryland Interconnection (PJM) Demand Coincidence Factor.  Peak hours are considered between 7 a.m. and 9 a.m. and 6 p.m. to 8 p.m. across all winter weekdays (i.e. PJM’s EE Performance Hours for its Reliability Pricing Model).  Winter is defined by the months January and February.  </t>
  </si>
  <si>
    <t>Lighting Inventory Tab</t>
  </si>
  <si>
    <t>Each line item on the Lighting Inventory tab represents fixtures in a discrete area sharing a common baseline fixture, retrofit fixture, control type, hours of use, coincidence factor, and space cooling type. Fixtures with different entries for any of these categories must be on separate lines. Each line entry must be detailed enough to allow verification of fixture counts in discrete, well defined areas.</t>
  </si>
  <si>
    <t>Lighting Inventory Key</t>
  </si>
  <si>
    <t>White Cells</t>
  </si>
  <si>
    <t>Editable input fields for project, lighting schedule and equipment information.</t>
  </si>
  <si>
    <t>Green Cells</t>
  </si>
  <si>
    <t>A T12 fluorescent equipment code entered and has been translated to an equivalent T8 fixture wattage.</t>
  </si>
  <si>
    <t>Gray Cells</t>
  </si>
  <si>
    <t>Cell not applicable to the particular piece of proposed equipment or project type.</t>
  </si>
  <si>
    <t>Red Cells</t>
  </si>
  <si>
    <t>Red cells on the Lighting Inventory tab indicates a required field was left blank or an invalid selection was made using the drop down menus.</t>
  </si>
  <si>
    <t>Blue Cells</t>
  </si>
  <si>
    <t>Blue cells indicate the incentive for a line item is subject to an incentive cap of 50% of the total fixture or lamp cost (including taxes).  If row is highlighted in blue it is recommended to enter the cost of the fixture in the appropriate cell in column AA.  Entering in the cost per fixture or lamp will give a more accurate estimate of the final incentive paid for the equipment on a particular row.</t>
  </si>
  <si>
    <t>Orange Cells</t>
  </si>
  <si>
    <t>Indicates that the energy savings for a particular line item is negative.</t>
  </si>
  <si>
    <t xml:space="preserve">Column Name </t>
  </si>
  <si>
    <t>Description</t>
  </si>
  <si>
    <t xml:space="preserve">Line Item </t>
  </si>
  <si>
    <t xml:space="preserve">Not an editable field. Used for Program staff reference. </t>
  </si>
  <si>
    <t>Project Type</t>
  </si>
  <si>
    <t>Floor</t>
  </si>
  <si>
    <t>Floor where fixture(s) are located.  Please use B for basements and corresponding numerals for all other floors.
Enter a "1" for exterior lighting applications.</t>
  </si>
  <si>
    <t>Area Description</t>
  </si>
  <si>
    <t>Description of location that matches site map.  Examples include: director's office, room 325, copy room, front parking lot.</t>
  </si>
  <si>
    <t>Interior or Exterior?</t>
  </si>
  <si>
    <t>Select whether the lighting equipment is located inside or outside the facility.</t>
  </si>
  <si>
    <t>Facility Type</t>
  </si>
  <si>
    <t>Please select the facility type that best describes the usage of the facility from the drop down menu.  
Note: This choice determines the default values used for Coincidence Factors and Equivalent Full Load Hours, and must be one of the choices in the drop-down list on the worksheet. For interior New Construction fixtures, this also determines the baseline lighting power density (LPD) in ft2 when the Building Area method is select on the General Information tab.  Below is a list of facility types available for selection.</t>
  </si>
  <si>
    <t xml:space="preserve">Education - Primary School
Education - Secondary School
Education - Community College
Education - University
Grocery Store
Hospital
Medical - Clinic
Nursing Home
Lodging - Guest Rooms
Lodging - Common Spaces
Industrial - 1 Shift
Industrial - 2 Shift
Industrial - 3 Shift
Convenience/Gas - Retail Area
Convenience/Gas - Canopy
Religious Facility
Office - Large
Office - Small
</t>
  </si>
  <si>
    <t xml:space="preserve">Bar Lounge/Leisure
Restaurant - Dine-In
Restaurant - Fast Food
Retail - Large
Retail - Small
Auto Repair
Bank
Convention Center
Public Assembly
Gymnasium/Exercise Center
Library
Motion Picture Theater
Performing Arts Theater
Museum
Police/Fire Station
Post Office
Sports Arena
</t>
  </si>
  <si>
    <t>Daycare
Bakery
Courthouse
Laundromat
Penitentiary
Pump Station
Transportation
Waste Water Treatment Plant
Warehouse - Conditioned
Warehouse - Unconditioned
Warehouse - Refrigerated
Warehouse - In Unit
Multifamily - Common Areas
Parking Lot
Street Lighting
Parking Garage
Outdoor - Other</t>
  </si>
  <si>
    <t>Space Cooling Type</t>
  </si>
  <si>
    <r>
      <t xml:space="preserve">Select the appropriate choice from the drop down menu for space cooling. Options available for selection are:
</t>
    </r>
    <r>
      <rPr>
        <b/>
        <sz val="11"/>
        <rFont val="Calibri"/>
        <family val="2"/>
        <scheme val="minor"/>
      </rPr>
      <t>Cooled space</t>
    </r>
    <r>
      <rPr>
        <sz val="11"/>
        <rFont val="Calibri"/>
        <family val="2"/>
        <scheme val="minor"/>
      </rPr>
      <t xml:space="preserve"> - Space is air conditioned for the comfort of building occupants.
</t>
    </r>
    <r>
      <rPr>
        <b/>
        <sz val="11"/>
        <rFont val="Calibri"/>
        <family val="2"/>
        <scheme val="minor"/>
      </rPr>
      <t>Freezer space</t>
    </r>
    <r>
      <rPr>
        <sz val="11"/>
        <rFont val="Calibri"/>
        <family val="2"/>
        <scheme val="minor"/>
      </rPr>
      <t xml:space="preserve"> - Temperature in the space is between -35</t>
    </r>
    <r>
      <rPr>
        <sz val="11"/>
        <rFont val="Calibri"/>
        <family val="2"/>
      </rPr>
      <t>°</t>
    </r>
    <r>
      <rPr>
        <sz val="11"/>
        <rFont val="Calibri"/>
        <family val="2"/>
        <scheme val="minor"/>
      </rPr>
      <t>F and 20</t>
    </r>
    <r>
      <rPr>
        <sz val="11"/>
        <rFont val="Calibri"/>
        <family val="2"/>
      </rPr>
      <t>°</t>
    </r>
    <r>
      <rPr>
        <sz val="11"/>
        <rFont val="Calibri"/>
        <family val="2"/>
        <scheme val="minor"/>
      </rPr>
      <t xml:space="preserve">F
</t>
    </r>
    <r>
      <rPr>
        <b/>
        <sz val="11"/>
        <rFont val="Calibri"/>
        <family val="2"/>
        <scheme val="minor"/>
      </rPr>
      <t>Medium-temperature refrigerated space</t>
    </r>
    <r>
      <rPr>
        <sz val="11"/>
        <rFont val="Calibri"/>
        <family val="2"/>
        <scheme val="minor"/>
      </rPr>
      <t xml:space="preserve"> - Temperature in the space is between 20°F and 40°F
</t>
    </r>
    <r>
      <rPr>
        <b/>
        <sz val="11"/>
        <rFont val="Calibri"/>
        <family val="2"/>
        <scheme val="minor"/>
      </rPr>
      <t>High-temperature refrigerated space</t>
    </r>
    <r>
      <rPr>
        <sz val="11"/>
        <rFont val="Calibri"/>
        <family val="2"/>
        <scheme val="minor"/>
      </rPr>
      <t xml:space="preserve"> - Temperature in the space is between 40°F and 60°F
</t>
    </r>
    <r>
      <rPr>
        <b/>
        <sz val="11"/>
        <rFont val="Calibri"/>
        <family val="2"/>
        <scheme val="minor"/>
      </rPr>
      <t>Uncooled space</t>
    </r>
    <r>
      <rPr>
        <sz val="11"/>
        <rFont val="Calibri"/>
        <family val="2"/>
        <scheme val="minor"/>
      </rPr>
      <t xml:space="preserve"> - The space is not cooled or refrigerated.
Note: This choice determines the values used for Interactive Factor (demand) and Interactive Factor (energy) and must be one of the choices listed above.  This field will help account for energy savings related to interactive effects of reduced lighting space heat gains on the cooling system.</t>
    </r>
  </si>
  <si>
    <t>Space Heating Type</t>
  </si>
  <si>
    <r>
      <t xml:space="preserve">Select the appropriate choice from the drop down menu for space heating.  Options available for selection are:
</t>
    </r>
    <r>
      <rPr>
        <b/>
        <sz val="11"/>
        <color theme="1"/>
        <rFont val="Calibri"/>
        <family val="2"/>
        <scheme val="minor"/>
      </rPr>
      <t>Non-Electric Heat</t>
    </r>
    <r>
      <rPr>
        <sz val="11"/>
        <color theme="1"/>
        <rFont val="Calibri"/>
        <family val="2"/>
        <scheme val="minor"/>
      </rPr>
      <t xml:space="preserve"> - Primary space heating is provided by non-electric sources such as natural gas.
</t>
    </r>
    <r>
      <rPr>
        <b/>
        <sz val="11"/>
        <color theme="1"/>
        <rFont val="Calibri"/>
        <family val="2"/>
        <scheme val="minor"/>
      </rPr>
      <t>Electric Heat</t>
    </r>
    <r>
      <rPr>
        <sz val="11"/>
        <color theme="1"/>
        <rFont val="Calibri"/>
        <family val="2"/>
        <scheme val="minor"/>
      </rPr>
      <t xml:space="preserve"> - The primary space heating is provided by electrical means such as electric resistance coils or heat pump.
</t>
    </r>
    <r>
      <rPr>
        <b/>
        <sz val="11"/>
        <color theme="1"/>
        <rFont val="Calibri"/>
        <family val="2"/>
        <scheme val="minor"/>
      </rPr>
      <t>Unheated</t>
    </r>
    <r>
      <rPr>
        <sz val="11"/>
        <color theme="1"/>
        <rFont val="Calibri"/>
        <family val="2"/>
        <scheme val="minor"/>
      </rPr>
      <t xml:space="preserve"> - The space is unheated (e.g., warehouse or exterior parking lot).
Note: This choice determines the values used for Waste Heat Factor (demand) and Waste Heat Factor (energy) and must be one of the choices listed above. This field will help account for energy savings related to interactive effects of reduced lighting space heat reductions on the heating system.</t>
    </r>
  </si>
  <si>
    <t>Pre Fixture Quantity</t>
  </si>
  <si>
    <t>Quantity of existing fixtures accounted for on a line item.</t>
  </si>
  <si>
    <t>Pre Fixture Code</t>
  </si>
  <si>
    <t>Pre fixture codes come from the Fixture Identities tab. This value can be entered manually or selected from the drop-down list.  If using default fixture codes and their associated wattages, see the Fixture Code Legend on the bottom of this tab or click here for instructions on determining fixture codes found in the Fixture Identities tab. If using custom fixture codes (e.g. for project specific fixture wattages or if the desired fixture is not available in the Fixture Identities tab), use the Cut Sheet Fixtures portion to add a Fixture Description (column D) and Watt/Fixt (column H). These values will need to be verified by manufacturers' cut sheets. Fixture codes associated with T12 lighting fixtures will be automatically converted to an equivalent T8 fixture wattage per the requirements of the PA TRM.  If a T12 fixture code is entered, the code will be automatically highlighted in green.  Codes highlighted in red indicate an unusual fixture code was selected and may be subject to additional verification of onsite conditions.</t>
  </si>
  <si>
    <t xml:space="preserve"> Pre Watts per Fixture</t>
  </si>
  <si>
    <t>Watts per fixture for the existing fixture type on a given line. This value is assigned based on the pre-fixture code entered.  Please note: if the applicant enters in a T12 fixture code on the Pre Fixture Code column, then the wattage will be converted to an equivalent T8 fixture wattage.</t>
  </si>
  <si>
    <t>Pre kW per Space</t>
  </si>
  <si>
    <t>This item is calculated. (Pre Watts per Fixture) * (Pre Fixture Quantity)</t>
  </si>
  <si>
    <t>Existing Control Type</t>
  </si>
  <si>
    <r>
      <t xml:space="preserve">Select the existing lighting control type from the drop down menu or leave blank if the lighting equipment is manually controlled by a Light Switch.  Options are: Light Switch, Occupancy, Daylighting, Personal Tuning, Institutional Tuning, and Multi-Control.  Note: This choice determines the value used for the controls factor and must be one of the six choices listed above. This field will account for energy savings related to lighting controls as per the state-mandated TRM calculation methodology.  Control selections that are highlighted in red font indicate a control has not been specified on the post side, which would indicate a removal of controls.
</t>
    </r>
    <r>
      <rPr>
        <b/>
        <sz val="11"/>
        <color theme="1"/>
        <rFont val="Calibri"/>
        <family val="2"/>
        <scheme val="minor"/>
      </rPr>
      <t>Light Switch</t>
    </r>
    <r>
      <rPr>
        <sz val="11"/>
        <color theme="1"/>
        <rFont val="Calibri"/>
        <family val="2"/>
        <scheme val="minor"/>
      </rPr>
      <t xml:space="preserve"> - Manual on/off switch
</t>
    </r>
    <r>
      <rPr>
        <b/>
        <sz val="11"/>
        <color theme="1"/>
        <rFont val="Calibri"/>
        <family val="2"/>
        <scheme val="minor"/>
      </rPr>
      <t>Occupancy</t>
    </r>
    <r>
      <rPr>
        <sz val="11"/>
        <color theme="1"/>
        <rFont val="Calibri"/>
        <family val="2"/>
        <scheme val="minor"/>
      </rPr>
      <t xml:space="preserve"> - Adjusting light levels to the presence of occupants
</t>
    </r>
    <r>
      <rPr>
        <b/>
        <sz val="11"/>
        <color theme="1"/>
        <rFont val="Calibri"/>
        <family val="2"/>
        <scheme val="minor"/>
      </rPr>
      <t>Daylighting</t>
    </r>
    <r>
      <rPr>
        <sz val="11"/>
        <color theme="1"/>
        <rFont val="Calibri"/>
        <family val="2"/>
        <scheme val="minor"/>
      </rPr>
      <t xml:space="preserve"> - Adjusting </t>
    </r>
    <r>
      <rPr>
        <b/>
        <sz val="11"/>
        <color theme="1"/>
        <rFont val="Calibri"/>
        <family val="2"/>
        <scheme val="minor"/>
      </rPr>
      <t>interior</t>
    </r>
    <r>
      <rPr>
        <sz val="11"/>
        <color theme="1"/>
        <rFont val="Calibri"/>
        <family val="2"/>
        <scheme val="minor"/>
      </rPr>
      <t xml:space="preserve"> light levels automatically in response to the presence of natural daylight.  Daylighting controls do not apply to exterior dusk to dawn lighting applications (exterior hours of operation assume exterior dusk to dawn lighting controls are installed).
</t>
    </r>
    <r>
      <rPr>
        <b/>
        <sz val="11"/>
        <color theme="1"/>
        <rFont val="Calibri"/>
        <family val="2"/>
        <scheme val="minor"/>
      </rPr>
      <t>Personal Tuning</t>
    </r>
    <r>
      <rPr>
        <sz val="11"/>
        <color theme="1"/>
        <rFont val="Calibri"/>
        <family val="2"/>
        <scheme val="minor"/>
      </rPr>
      <t xml:space="preserve"> - Adjusting (dimming) individual light levels by occupants according to their personal preferences. This could apply to personal offices, workstations, open-plan offices and classrooms.
</t>
    </r>
    <r>
      <rPr>
        <b/>
        <sz val="11"/>
        <color theme="1"/>
        <rFont val="Calibri"/>
        <family val="2"/>
        <scheme val="minor"/>
      </rPr>
      <t>Institutional Tuning</t>
    </r>
    <r>
      <rPr>
        <sz val="11"/>
        <color theme="1"/>
        <rFont val="Calibri"/>
        <family val="2"/>
        <scheme val="minor"/>
      </rPr>
      <t xml:space="preserve"> - Adjustment of light levels through commissioning and technology to meet location specific needs or building policies. Examples would include building automation controlled lighting, ballast tuning, task tuning or high-end trim dimming.
</t>
    </r>
    <r>
      <rPr>
        <b/>
        <sz val="11"/>
        <color theme="1"/>
        <rFont val="Calibri"/>
        <family val="2"/>
        <scheme val="minor"/>
      </rPr>
      <t>Multi-Control</t>
    </r>
    <r>
      <rPr>
        <sz val="11"/>
        <color theme="1"/>
        <rFont val="Calibri"/>
        <family val="2"/>
        <scheme val="minor"/>
      </rPr>
      <t xml:space="preserve"> - Includes combination of any of the types described above (e.g., occupancy and personal tuning, daylighting and occupancy).</t>
    </r>
  </si>
  <si>
    <t>New Construction 
Space/Building Type</t>
  </si>
  <si>
    <t>This field is applicable only to New Construction projects.  Select the most appropriate space type from the drop down menu that matches the location of the lighting equipment.  This selection will determine the appropriate baseline power density for use in the energy savings calculations per the latest PA TRM.  Please note, the Calculation Method field must be completed on the General Information tab with a selection of "Space-by-Space" in order for the space type options to appear.  If "Building Area" is selected for the Calculation Method on the General Information tab, the Facility Type selection will be used to determine the lighting power density baseline.</t>
  </si>
  <si>
    <t>Units</t>
  </si>
  <si>
    <t>This field is applicable only to New Construction projects.  Area, linear feet or quantity. For interior lighting this is the area (ft^2) associated with the space type.  For exterior lighting this is the quantity, linear feet (ft) or area (ft^2) associated with the exterior lighting description.</t>
  </si>
  <si>
    <t>Lighting Power Density</t>
  </si>
  <si>
    <t>This field is applicable only to New Construction projects. This field is calculated based on the facility and space type (if applicable).  Lighting power densities are based off of ASHRAE 90.1 2007 as per the latest PA TRM.</t>
  </si>
  <si>
    <t>Baseline kW per Space (kW)</t>
  </si>
  <si>
    <t xml:space="preserve">This field is applicable only to New Construction projects. This item is calculated. 
(Lighting Power Density) * (Unit Quantity). </t>
  </si>
  <si>
    <t>Post Fixture Quantity</t>
  </si>
  <si>
    <t>Enter the quantity of new fixtures, lamps or retrofit kits accounted for on the particular line item.  If all the fixtures for a particular line item are being removed please enter the quantity of fixtures being removed.</t>
  </si>
  <si>
    <t>Post Fixture Category</t>
  </si>
  <si>
    <t xml:space="preserve">Category for the proposed fixture, lamp or retrofit type. If none of the categories are applicable, please choose Custom.  If fixtures are being removed, select the Category in Columns T based on the more efficient lighting equipment being installed that warrants the removal of lamps or fixtures. </t>
  </si>
  <si>
    <t>Post Fixture Description</t>
  </si>
  <si>
    <t>Description of the proposed retrofit or fixture type.  If fixtures are being removed, select the Description in Columns U based on the more efficient lighting equipment being installed that warrants the removal of lamps or fixtures. If Other was chosen in the Post Fixture Category column, please create a new "Cut Sheet" fixture entry on the Fixture Identities tab, starting on row number 910. When creating a "Cut Sheet" fixture, enter in fixture description, watts per lamp and watts per fixture for each custom fixture.  Then select the appropriate Cut Sheet number from the drop down menu to use the custom fixture in the Lighting Inventory tab.</t>
  </si>
  <si>
    <t>Incentive Rate</t>
  </si>
  <si>
    <t>This is a calculated field based on selections made in columns T &amp; U.  This column displays the current incentive rate per line item on the Lighting Inventory tab.  Line items with per fixture incentive caps will be displayed in red.</t>
  </si>
  <si>
    <t>Lamps per Fixture</t>
  </si>
  <si>
    <t>Number of lamps in the new fixture.  Enter "1" if installing a new LED fixture.</t>
  </si>
  <si>
    <t>Post Watts per Fixture</t>
  </si>
  <si>
    <t>Watts per fixture for the proposed fixture, or lamp, on a given line.  If all the fixtures for the particular line item are being removed, then enter 0.</t>
  </si>
  <si>
    <t>Cost per Fixture from Itemized Invoice ($)</t>
  </si>
  <si>
    <t>When columns S through AB have rows highlighted in blue (indicating the fixture may be capped at 50% of the fixture or lamp cost), please enter the cost per fixture, if known, in column AA; otherwise leave blank.  Entering in the per-fixture costs for each 50% capped row will give a better estimate of the final incentive.  Fixture costs from the final invoices will be used to calculate the final incentive payment amount.  If cells are highlighted red in column AA, enter in the cost per fixture to calculate the capped incentive.  Cells in column AA will only highlight in red if the project is marked as completed on the General Information tab and either the total equipment cost on the General Information tab is blank or the individual fixture costs in column AA of the Lighting Inventory tab were not entered.</t>
  </si>
  <si>
    <t>Calculated Cost Per 
Fixture ($)</t>
  </si>
  <si>
    <t>Per fixture costs in column AB are calculated using a double weighted average of energy savings per fixture, with an extra weight applied for fixtures that are eligible to be capped at 50% of the total fixture or lamp cost.  The calculated costs are based on the total equipment cost entered on the General Information tab.  It is preferred that users enter the actual fixture costs in column AA for each line item, but the total equipment cost can be used to determine a better incentive estimate for items capped at 50% of the total fixture or lamp cost.  Itemized costs entered in row AA will override the calculated costs in column AB, even if the total equipment costs has been entered on the General Information tab.</t>
  </si>
  <si>
    <t>LED Signage Linear Feet</t>
  </si>
  <si>
    <t>If applicable, enter the total linear feet of a channel letter sign being retrofitted with LED. The linear feet of a channel letter sign is determined by measuring the length of each individual letter at the centerline.  Add up the measurements from each letter to obtain the length of the entire sign.  Data can be entered into this column only if the option "LED Channel Signage" is selected in column T.</t>
  </si>
  <si>
    <t>Quantity of Doors</t>
  </si>
  <si>
    <t>If "LED Reach-in Case Lighting" is selected in column T, enter in the number of doors retrofitted with LED lighting equipment.  LED lighting upgrades on refrigerated cases without doors would eligible as a custom measure.  
See row 973 on the Fixture Identities tab for instructions on how to create a custom lighting fixture entry.</t>
  </si>
  <si>
    <t>Post Fixture Cut Sheet Number</t>
  </si>
  <si>
    <t>Identification number for the fixture specification/cut sheet associated with the proposed lighting equipment per line item (e.g., Cut Sheet 1, Cut Sheet A, A1, Spec B22, etc.). This information is used by technical staff to match up the manufacturer's specification sheets with the line item on the Lighting Inventory tab.</t>
  </si>
  <si>
    <t>Post Watts per Fixture Lookup</t>
  </si>
  <si>
    <t xml:space="preserve">This item is calculated.  The Post Watts per Fixture value from column Z will be used unless a custom or no change selection is made in column T.  If "No Change" is selected in column Z, then the pre-installation watts from column K will be used.  If a custom fixture is selected in column T, then the corresponding wattage from the Fixture Identities tab will be used. </t>
  </si>
  <si>
    <t>Post kW per Space</t>
  </si>
  <si>
    <t xml:space="preserve">This item is calculated. (Post Watts per Fixture) * (Post Fixture Quantity). </t>
  </si>
  <si>
    <t>Proposed Control Type</t>
  </si>
  <si>
    <t xml:space="preserve">Please choose the applicable control method from the drop down list, or leave blank if no lighting controls are being installed.  
Options are: Light Switch, Occupancy, Daylighting, Personal Tuning, Institutional Tuning, and Multi-Control. </t>
  </si>
  <si>
    <r>
      <rPr>
        <b/>
        <sz val="11"/>
        <rFont val="Calibri"/>
        <family val="2"/>
        <scheme val="minor"/>
      </rPr>
      <t>Light Switch</t>
    </r>
    <r>
      <rPr>
        <sz val="11"/>
        <rFont val="Calibri"/>
        <family val="2"/>
        <scheme val="minor"/>
      </rPr>
      <t xml:space="preserve"> - Manual on/off switch
</t>
    </r>
    <r>
      <rPr>
        <b/>
        <sz val="11"/>
        <rFont val="Calibri"/>
        <family val="2"/>
        <scheme val="minor"/>
      </rPr>
      <t>Occupancy</t>
    </r>
    <r>
      <rPr>
        <sz val="11"/>
        <rFont val="Calibri"/>
        <family val="2"/>
        <scheme val="minor"/>
      </rPr>
      <t xml:space="preserve"> - Adjusting light levels to the presence of occupants
</t>
    </r>
    <r>
      <rPr>
        <b/>
        <sz val="11"/>
        <rFont val="Calibri"/>
        <family val="2"/>
        <scheme val="minor"/>
      </rPr>
      <t>Daylighting</t>
    </r>
    <r>
      <rPr>
        <sz val="11"/>
        <rFont val="Calibri"/>
        <family val="2"/>
        <scheme val="minor"/>
      </rPr>
      <t xml:space="preserve"> - Adjusting light levels automatically in response to the presence of natural daylight
</t>
    </r>
    <r>
      <rPr>
        <b/>
        <sz val="11"/>
        <rFont val="Calibri"/>
        <family val="2"/>
        <scheme val="minor"/>
      </rPr>
      <t>Personal Tuning</t>
    </r>
    <r>
      <rPr>
        <sz val="11"/>
        <rFont val="Calibri"/>
        <family val="2"/>
        <scheme val="minor"/>
      </rPr>
      <t xml:space="preserve"> - Adjusting individual light levels by occupants according to their personal preferences. This could apply to personal offices, workstations, open-plan offices and classrooms.
</t>
    </r>
    <r>
      <rPr>
        <b/>
        <sz val="11"/>
        <rFont val="Calibri"/>
        <family val="2"/>
        <scheme val="minor"/>
      </rPr>
      <t>Institutional Tunin</t>
    </r>
    <r>
      <rPr>
        <sz val="11"/>
        <rFont val="Calibri"/>
        <family val="2"/>
        <scheme val="minor"/>
      </rPr>
      <t xml:space="preserve">g - Adjustment of light levels through commissioning and technology to meet location specific needs or building policies. Examples would include building automation controlled lighting, ballast tuning, task tuning or high-end trim dimming.
</t>
    </r>
    <r>
      <rPr>
        <b/>
        <sz val="11"/>
        <rFont val="Calibri"/>
        <family val="2"/>
        <scheme val="minor"/>
      </rPr>
      <t>Multi-Control</t>
    </r>
    <r>
      <rPr>
        <sz val="11"/>
        <rFont val="Calibri"/>
        <family val="2"/>
        <scheme val="minor"/>
      </rPr>
      <t xml:space="preserve"> - Includes combination of any of the types described above (e.g., occupancy and personal tuning, daylighting and occupancy).
Note: This choice determines the value used for controls factor, which will account for energy savings related to lighting control as per the state-mandated TRM calculation methodology.  
</t>
    </r>
    <r>
      <rPr>
        <b/>
        <sz val="11"/>
        <rFont val="Calibri"/>
        <family val="2"/>
        <scheme val="minor"/>
      </rPr>
      <t>New Construction Lighting Controls</t>
    </r>
    <r>
      <rPr>
        <sz val="11"/>
        <rFont val="Calibri"/>
        <family val="2"/>
        <scheme val="minor"/>
      </rPr>
      <t xml:space="preserve">
Lighting controls installed in spaces where they are required by code would not be eligible for incentives. In addition to the space type requirements below, lighting controls are required in buildings larger than 5,000ft2 to shut off all building interior lighting in all spaces. Exceptions to this rule include lighting intended for 24-hour operation, lighting in spaces were patient care is rendered and in spaces where automatic shutoff would endanger the safety or security of the room or building occupants. </t>
    </r>
  </si>
  <si>
    <t>Number of Sensors Installed</t>
  </si>
  <si>
    <t>This is the number of sensors installed to control the set of lighting. All sensors per line should be controlling an equal wattage. For different wattages controlled, please enter as a separate line item for that lighting and sensor group.</t>
  </si>
  <si>
    <t>Wattage Controlled per Sensor</t>
  </si>
  <si>
    <t>This is the wattage controlled per sensor.If wattage controlled per sensor varies, please enter each wattage/fixture group controlled as separate rows in the calculator.
Sensors controlling &lt;20 watts are not eligible for incentives.</t>
  </si>
  <si>
    <t>Change in Connected Load</t>
  </si>
  <si>
    <t xml:space="preserve">This item is calculated. Pre kW per Space - Post kW per Space. </t>
  </si>
  <si>
    <t>Use Applicant or Prescribed Hours?</t>
  </si>
  <si>
    <t>Lighting Schedule</t>
  </si>
  <si>
    <t xml:space="preserve">If "Applicant" is selected in column AJ, the applicable lighting schedule ID can be selected to use the hours entered on the General Information tab.   </t>
  </si>
  <si>
    <r>
      <t>Coincidence Factor PJM (CF</t>
    </r>
    <r>
      <rPr>
        <b/>
        <vertAlign val="subscript"/>
        <sz val="11"/>
        <rFont val="Calibri"/>
        <family val="2"/>
        <scheme val="minor"/>
      </rPr>
      <t>PJM</t>
    </r>
    <r>
      <rPr>
        <b/>
        <sz val="11"/>
        <rFont val="Calibri"/>
        <family val="2"/>
        <scheme val="minor"/>
      </rPr>
      <t>)</t>
    </r>
  </si>
  <si>
    <t xml:space="preserve">Calculated value.  The percentage of the designated peak hours that the lights will be operational. 
CF = Pennsylvania-New Jersey-Maryland Interconnection (PJM) Demand Coincidence Factor.  Peak hours are considered between 2 pm and 6 pm across all summer weekdays (i.e. PJM’s EE Performance Hours for its Reliability Pricing Model).  Summer is defined by the months June, July and August.  </t>
  </si>
  <si>
    <r>
      <t>Interactive Factor Demand (IF</t>
    </r>
    <r>
      <rPr>
        <b/>
        <vertAlign val="subscript"/>
        <sz val="11"/>
        <rFont val="Calibri"/>
        <family val="2"/>
        <scheme val="minor"/>
      </rPr>
      <t>demand</t>
    </r>
    <r>
      <rPr>
        <b/>
        <sz val="11"/>
        <rFont val="Calibri"/>
        <family val="2"/>
        <scheme val="minor"/>
      </rPr>
      <t>)</t>
    </r>
  </si>
  <si>
    <t>Interactive HVAC Demand Factor – applies to interior lighting in spaces that have air conditioning or refrigeration only.  This represents the secondary demand savings in cooling required which results from decreased indoor heat load.</t>
  </si>
  <si>
    <r>
      <t>Interactive Factor Energy (IF</t>
    </r>
    <r>
      <rPr>
        <b/>
        <vertAlign val="subscript"/>
        <sz val="11"/>
        <rFont val="Calibri"/>
        <family val="2"/>
        <scheme val="minor"/>
      </rPr>
      <t>energy</t>
    </r>
    <r>
      <rPr>
        <b/>
        <sz val="11"/>
        <rFont val="Calibri"/>
        <family val="2"/>
        <scheme val="minor"/>
      </rPr>
      <t>)</t>
    </r>
  </si>
  <si>
    <t xml:space="preserve">Interactive HVAC Energy Factor – applies to interior lighting in spaces that have air conditioning or refrigeration only.  This represents the secondary energy savings in cooling required which results from decreased indoor heat load. </t>
  </si>
  <si>
    <t>Pre Controls Savings Factor</t>
  </si>
  <si>
    <t>This is a calculated field.  Values represent the percent of time that lights are off due to lighting controls relative to the baseline controls system (typically a manual light switch).  Control savings factors are based off of the PA TRM.</t>
  </si>
  <si>
    <t>Post Controls Savings Factor</t>
  </si>
  <si>
    <r>
      <t>Demand Savings (kW</t>
    </r>
    <r>
      <rPr>
        <b/>
        <vertAlign val="subscript"/>
        <sz val="11"/>
        <rFont val="Calibri"/>
        <family val="2"/>
        <scheme val="minor"/>
      </rPr>
      <t>PJM</t>
    </r>
    <r>
      <rPr>
        <b/>
        <sz val="11"/>
        <rFont val="Calibri"/>
        <family val="2"/>
        <scheme val="minor"/>
      </rPr>
      <t>)</t>
    </r>
  </si>
  <si>
    <t>This item is calculated.  Demand Savings = ∆kW X CF X (1+IFdemand) for areas other than Uncooled and Cooled spaces.  Demand Savings = ∆kW X CF X WHF) for Uncooled and Cooled spaces.</t>
  </si>
  <si>
    <t>Total Incentive</t>
  </si>
  <si>
    <t>This is a calculated field, and is the total estimated incentive for a given line of the Lighting Inventory tab.</t>
  </si>
  <si>
    <t>Annual kWh Saved</t>
  </si>
  <si>
    <t>This is a calculated field which represents the total estimated annual energy savings for a given line of the Lighting Inventory tab.</t>
  </si>
  <si>
    <t>Project Summary Tab</t>
  </si>
  <si>
    <t>The Project Summary tab gives the overall project totals for incentives, energy and demand savings.  In addition, project savings are broken down into lighting categories for regulatory reporting purposes.</t>
  </si>
  <si>
    <t>Data Export Tab</t>
  </si>
  <si>
    <t>The Data Export tab is used by Program staff for processing and internal reporting purposes.</t>
  </si>
  <si>
    <t>Appendix C Tab</t>
  </si>
  <si>
    <t>The Appendix tab is used by Program staff for internal reporting purposes.</t>
  </si>
  <si>
    <t>Fixture Code Legend and Notes</t>
  </si>
  <si>
    <t>Sample Linear Fluorescent Fixture Code</t>
  </si>
  <si>
    <t>Sample of Other Fixture Code:</t>
  </si>
  <si>
    <t>CONFIGURATION (letter)</t>
  </si>
  <si>
    <t>FIXTURE TYPE</t>
  </si>
  <si>
    <t>NUMBER OF LAMPS</t>
  </si>
  <si>
    <t>Tandem Wired</t>
  </si>
  <si>
    <t xml:space="preserve">     Compact Fluorescent,</t>
  </si>
  <si>
    <t>1 Lamp Fixture</t>
  </si>
  <si>
    <t>CONFIGURATION (number)</t>
  </si>
  <si>
    <t xml:space="preserve">                  Quad Tube</t>
  </si>
  <si>
    <t>4 Lamps on this Ballast</t>
  </si>
  <si>
    <t>Fluorescent</t>
  </si>
  <si>
    <t>CFQ18/1-L</t>
  </si>
  <si>
    <t>F41ILL/T4-R</t>
  </si>
  <si>
    <t>BALLAST LIGHT OUTPUT</t>
  </si>
  <si>
    <t>LAMP LENGTH</t>
  </si>
  <si>
    <t>Reduced Light Output</t>
  </si>
  <si>
    <t>NATIONAL LAMP WATTAGE</t>
  </si>
  <si>
    <t>BALLAST TYPE</t>
  </si>
  <si>
    <t>4 Feet</t>
  </si>
  <si>
    <t>18W</t>
  </si>
  <si>
    <t>Electronic Ballast</t>
  </si>
  <si>
    <t>LAMP TYPE</t>
  </si>
  <si>
    <t>Instant start, T8</t>
  </si>
  <si>
    <t>Code Explanations</t>
  </si>
  <si>
    <t xml:space="preserve">   Fixture Type</t>
  </si>
  <si>
    <t xml:space="preserve"> for LED traffic signals</t>
  </si>
  <si>
    <t>CF</t>
  </si>
  <si>
    <t>Compact Fluorescent</t>
  </si>
  <si>
    <t>12GA</t>
  </si>
  <si>
    <t>12" Green Arrow</t>
  </si>
  <si>
    <t>CFD</t>
  </si>
  <si>
    <t>Compact Fluorescent, double-D shape</t>
  </si>
  <si>
    <t>12GB</t>
  </si>
  <si>
    <t>12" Green Ball</t>
  </si>
  <si>
    <t>CFS</t>
  </si>
  <si>
    <t>Compact Fluorescent, Spiral</t>
  </si>
  <si>
    <t>12RA</t>
  </si>
  <si>
    <t>12" Red Arrow</t>
  </si>
  <si>
    <t>CFT</t>
  </si>
  <si>
    <t>Compact Fluorescent, Twin tube</t>
  </si>
  <si>
    <t>12RB</t>
  </si>
  <si>
    <t>12" Red Ball</t>
  </si>
  <si>
    <t>(including "Biaxial" fixtures)</t>
  </si>
  <si>
    <t>8GB</t>
  </si>
  <si>
    <t>8" Green Ball</t>
  </si>
  <si>
    <t>CFQ</t>
  </si>
  <si>
    <t>Compact Fluorescent, Quad tube</t>
  </si>
  <si>
    <t>8RB</t>
  </si>
  <si>
    <t>8" Red Ball</t>
  </si>
  <si>
    <t>ECF</t>
  </si>
  <si>
    <t>Exit sign, Compact Fluorescent</t>
  </si>
  <si>
    <t>PH</t>
  </si>
  <si>
    <t>Pedestrian Hand Signal</t>
  </si>
  <si>
    <t>EI</t>
  </si>
  <si>
    <t>Exit sign, Incandescent</t>
  </si>
  <si>
    <t>ELED</t>
  </si>
  <si>
    <t>Exit sign, LED</t>
  </si>
  <si>
    <t>F</t>
  </si>
  <si>
    <t>Fluorescent, linear</t>
  </si>
  <si>
    <t>Ballast Type</t>
  </si>
  <si>
    <t>FC</t>
  </si>
  <si>
    <t>Fluorescent, Circline</t>
  </si>
  <si>
    <t xml:space="preserve">   for fluorescent fixtures</t>
  </si>
  <si>
    <t>FU</t>
  </si>
  <si>
    <t>Fluorescent, U-tube</t>
  </si>
  <si>
    <t>L</t>
  </si>
  <si>
    <t>Electronic</t>
  </si>
  <si>
    <t>H</t>
  </si>
  <si>
    <t>Halogen</t>
  </si>
  <si>
    <t>S</t>
  </si>
  <si>
    <t>Standard magnetic</t>
  </si>
  <si>
    <t>HLV</t>
  </si>
  <si>
    <t>Halogen, Low Voltage</t>
  </si>
  <si>
    <t>E</t>
  </si>
  <si>
    <t>Energy efficient magnetic</t>
  </si>
  <si>
    <t>HPS</t>
  </si>
  <si>
    <t>High Pressure Sodium</t>
  </si>
  <si>
    <t>I</t>
  </si>
  <si>
    <t>Incandescent</t>
  </si>
  <si>
    <t xml:space="preserve">   Configuration (letter)</t>
  </si>
  <si>
    <t>LED</t>
  </si>
  <si>
    <t>Light Emitting Diode (LED), Traffic Signal</t>
  </si>
  <si>
    <t>T</t>
  </si>
  <si>
    <t>Tandem wired fixture</t>
  </si>
  <si>
    <t>SLED</t>
  </si>
  <si>
    <t>Light Emitting Diode (LED), Screw-In</t>
  </si>
  <si>
    <t>D</t>
  </si>
  <si>
    <t>Delamped fixture, i.e. some lamps</t>
  </si>
  <si>
    <t>MH</t>
  </si>
  <si>
    <t>Metal Halide</t>
  </si>
  <si>
    <t>permanently removed but ballasts</t>
  </si>
  <si>
    <t>MHPS</t>
  </si>
  <si>
    <t>Metal Halide, Pulse Start</t>
  </si>
  <si>
    <t>remain</t>
  </si>
  <si>
    <t>MV</t>
  </si>
  <si>
    <t>Mercury Vapor</t>
  </si>
  <si>
    <t>QL</t>
  </si>
  <si>
    <t>Induction</t>
  </si>
  <si>
    <t xml:space="preserve">   Configuration (number)</t>
  </si>
  <si>
    <t xml:space="preserve">   for delamped fixtures</t>
  </si>
  <si>
    <t>Lamp Type</t>
  </si>
  <si>
    <t>Number signifies the total number of ballasts</t>
  </si>
  <si>
    <t>in the fixture: e.g. An "F42EEID2" is an</t>
  </si>
  <si>
    <t>A</t>
  </si>
  <si>
    <t>"F25T12" - 25 watt, 4ft, T12 lamp</t>
  </si>
  <si>
    <t>"F44EE" with two lamps removed so that there</t>
  </si>
  <si>
    <t>IL</t>
  </si>
  <si>
    <t>T8, Instant start</t>
  </si>
  <si>
    <t>is one extraneous ballast</t>
  </si>
  <si>
    <t>SIL</t>
  </si>
  <si>
    <t>T8, Instant start, Super 30 watt</t>
  </si>
  <si>
    <t>SSIL</t>
  </si>
  <si>
    <t>T8, Instant start, Super 28 watt</t>
  </si>
  <si>
    <t xml:space="preserve">   for tandem wired ballasts</t>
  </si>
  <si>
    <t>RSILL</t>
  </si>
  <si>
    <t>T8, Instant start, Super 25 watt</t>
  </si>
  <si>
    <t>Number signifies the total number of lamps</t>
  </si>
  <si>
    <t>T8, rapid start</t>
  </si>
  <si>
    <t>being run by the ballast: e.g. An "F42LLIT4"</t>
  </si>
  <si>
    <t>G</t>
  </si>
  <si>
    <t>T5, standard</t>
  </si>
  <si>
    <t>would indicate that a four-lamp ballast is</t>
  </si>
  <si>
    <t>GH</t>
  </si>
  <si>
    <t>T5, standard, High output lamp</t>
  </si>
  <si>
    <t>wired to run two-lamp fixtures.</t>
  </si>
  <si>
    <t>T12, Energy efficient</t>
  </si>
  <si>
    <t>EH</t>
  </si>
  <si>
    <t>T12, Energy efficient, High output lamp</t>
  </si>
  <si>
    <t xml:space="preserve">   with no preceding letter</t>
  </si>
  <si>
    <t>T12, Energy efficient, Instant start</t>
  </si>
  <si>
    <t>Number indicates the number of ballasts in an</t>
  </si>
  <si>
    <t>EV</t>
  </si>
  <si>
    <t>T12, Energy efficient, Very high output</t>
  </si>
  <si>
    <t>ambiguous multiple ballast fixture: e.g. An</t>
  </si>
  <si>
    <t>T12, Standard</t>
  </si>
  <si>
    <t>"F43ILU2" indicates a three-lamp fixture with</t>
  </si>
  <si>
    <t>T12, Standard, Instant start</t>
  </si>
  <si>
    <t>two ballasts (as is often the case if there is A/B</t>
  </si>
  <si>
    <t>SH</t>
  </si>
  <si>
    <t>T12, Standard, High output lamp</t>
  </si>
  <si>
    <t>switching).</t>
  </si>
  <si>
    <t>SV</t>
  </si>
  <si>
    <t>T12, Standard, Very high output lamp</t>
  </si>
  <si>
    <t>T10, Standard</t>
  </si>
  <si>
    <t>Ballast Light Output</t>
  </si>
  <si>
    <t>R</t>
  </si>
  <si>
    <t>Reduced light output</t>
  </si>
  <si>
    <t>High light output</t>
  </si>
  <si>
    <t>V</t>
  </si>
  <si>
    <t>Very high light output</t>
  </si>
  <si>
    <t>Notes:</t>
  </si>
  <si>
    <t>1) The column labeled Watts/Fixtures in the data table includes ballast loads.</t>
  </si>
  <si>
    <t>2) The fixture wattage values represent an average value, rounded to the nearest whole watt.</t>
  </si>
  <si>
    <t>Deemed Hours of Operation</t>
  </si>
  <si>
    <t xml:space="preserve">The table above is based off of the PA TRM 2021 </t>
  </si>
  <si>
    <t>Project Estimated Summary</t>
  </si>
  <si>
    <t>Lighting Equipment Incentive Program</t>
  </si>
  <si>
    <t xml:space="preserve"> Customer Name   </t>
  </si>
  <si>
    <t xml:space="preserve"> Building Name   </t>
  </si>
  <si>
    <t xml:space="preserve"> Building Address   </t>
  </si>
  <si>
    <t>Enter the cost per fixture in column AA on the Lighting Inventory tab or enter the total equipment cost on the General Information tab!</t>
  </si>
  <si>
    <t xml:space="preserve">  Estimated Annual Energy Savings (kWh)</t>
  </si>
  <si>
    <r>
      <t xml:space="preserve">  Demand Reduction (kW</t>
    </r>
    <r>
      <rPr>
        <b/>
        <vertAlign val="subscript"/>
        <sz val="11"/>
        <rFont val="Calibri"/>
        <family val="2"/>
      </rPr>
      <t>PJM</t>
    </r>
    <r>
      <rPr>
        <b/>
        <sz val="11"/>
        <rFont val="Calibri"/>
        <family val="2"/>
      </rPr>
      <t>)</t>
    </r>
  </si>
  <si>
    <t xml:space="preserve">  Annual Operating Hours</t>
  </si>
  <si>
    <t xml:space="preserve">  Total Calculated Project Incentive (Capped)</t>
  </si>
  <si>
    <t>Equipment Category</t>
  </si>
  <si>
    <t>kW</t>
  </si>
  <si>
    <t>kWh</t>
  </si>
  <si>
    <t>Quantity</t>
  </si>
  <si>
    <t>Incentive</t>
  </si>
  <si>
    <t>Franklin Energy - 844-323-6399 | energysavePA@franklinenergy.com</t>
  </si>
  <si>
    <t>Lighting Fixture Code Generator</t>
  </si>
  <si>
    <t>Linear</t>
  </si>
  <si>
    <t>U-Tube</t>
  </si>
  <si>
    <t>Linear, Circuline and U-tube Fluorescent Fixtures</t>
  </si>
  <si>
    <t>Circline</t>
  </si>
  <si>
    <t>Fixture Type:*</t>
  </si>
  <si>
    <t>Lamp Length</t>
  </si>
  <si>
    <t>RS</t>
  </si>
  <si>
    <t>Selected</t>
  </si>
  <si>
    <t>Fixture Subtype:*</t>
  </si>
  <si>
    <t>1.5 Feet (18 Inches)</t>
  </si>
  <si>
    <t>6 Inch Diameter</t>
  </si>
  <si>
    <t>NA</t>
  </si>
  <si>
    <t>Lamp Length:*</t>
  </si>
  <si>
    <t>2 Feet (24 Inches)</t>
  </si>
  <si>
    <t>8 Inch Diameter</t>
  </si>
  <si>
    <t>Number of Lamps:*</t>
  </si>
  <si>
    <t>3 Feet (36 Inches)</t>
  </si>
  <si>
    <t>12 Inch Diameter</t>
  </si>
  <si>
    <t>Lamp Type:*</t>
  </si>
  <si>
    <t>4 Feet (48 Inches)</t>
  </si>
  <si>
    <t>16 Inch Diameter</t>
  </si>
  <si>
    <t>Ballast Type:*</t>
  </si>
  <si>
    <t>5 Feet (60 Inches)</t>
  </si>
  <si>
    <t>8 Inch/12 Inch Diameters</t>
  </si>
  <si>
    <t>8/12</t>
  </si>
  <si>
    <t>22/32</t>
  </si>
  <si>
    <t>6 Feet (72 Inches)</t>
  </si>
  <si>
    <t>12 Inch/16 Inch Diameters</t>
  </si>
  <si>
    <t>12/16</t>
  </si>
  <si>
    <t>32/40</t>
  </si>
  <si>
    <t>8 Feet (96 Inches)</t>
  </si>
  <si>
    <t>20 Inch Diameter</t>
  </si>
  <si>
    <t>Number of Lamps</t>
  </si>
  <si>
    <t>Fixture Code:</t>
  </si>
  <si>
    <t>0 (Delamped)</t>
  </si>
  <si>
    <t>1 Lamp</t>
  </si>
  <si>
    <t>2 Lamps</t>
  </si>
  <si>
    <t>3 Lamps</t>
  </si>
  <si>
    <t>Compact Fluorescent and Exit Sign Fixtures</t>
  </si>
  <si>
    <t>4 Lamps</t>
  </si>
  <si>
    <t>5 Lamps</t>
  </si>
  <si>
    <t>Nominal Lamp Wattage:*</t>
  </si>
  <si>
    <t/>
  </si>
  <si>
    <t>6 Lamps</t>
  </si>
  <si>
    <t>8 Lamps</t>
  </si>
  <si>
    <t>T5, Standard</t>
  </si>
  <si>
    <t>T8, Instant Start</t>
  </si>
  <si>
    <t>T5, High Output</t>
  </si>
  <si>
    <t>T8, Rapid Start</t>
  </si>
  <si>
    <t>Super T8, Instant Start, 30 Watt</t>
  </si>
  <si>
    <t>T12, Energy Efficient</t>
  </si>
  <si>
    <t>All Other Fixtures</t>
  </si>
  <si>
    <t>Super T8, Instant Start, 28 Watt</t>
  </si>
  <si>
    <t>Super T8, Instant Start, 25 Watt</t>
  </si>
  <si>
    <t>SRIL</t>
  </si>
  <si>
    <t>T8, Instant Start, High Output</t>
  </si>
  <si>
    <t>ILH</t>
  </si>
  <si>
    <t>T8, Rapid Start, High Output</t>
  </si>
  <si>
    <t>LH</t>
  </si>
  <si>
    <t>SI</t>
  </si>
  <si>
    <t xml:space="preserve">If a generated code returns "Use Cut Sheet Fixture" for the Pre or Post Watts/Fixture, please use the Fixture Identities tab to determine an appropriate code.  
On the Fixture Identities, filter by Lamps/Fixture (column E) and/or Watts/Lamp (column F) to narrow the results.  Refer to the bottom of the Instructions tab for help with the naming convention.  
If an appropriate code is not found in the Fixture Identities, refer to the Fixture Identities tab row 973 on how to create a Cut Sheet Fixture.
</t>
  </si>
  <si>
    <t>T12, Instant Start, 25 Watt</t>
  </si>
  <si>
    <t>IAL</t>
  </si>
  <si>
    <t>T12, Energy Efficient, High output lamp</t>
  </si>
  <si>
    <t>T12, Energy Efficient, Instant start</t>
  </si>
  <si>
    <t>T12, Energy Efficient, Very high output</t>
  </si>
  <si>
    <t>Rapid Start Ballast</t>
  </si>
  <si>
    <t>Premium Electronic</t>
  </si>
  <si>
    <t>U</t>
  </si>
  <si>
    <t>Standard Magnetic</t>
  </si>
  <si>
    <t>Preheat Ballast</t>
  </si>
  <si>
    <t>Energy Efficient Magnetic</t>
  </si>
  <si>
    <t>Configuration Letter</t>
  </si>
  <si>
    <t>Configuration Number</t>
  </si>
  <si>
    <t>Tandem Wired Fixture</t>
  </si>
  <si>
    <t>Delamped Fixture</t>
  </si>
  <si>
    <t>Multiple Ballasts</t>
  </si>
  <si>
    <t>Ballast Factor</t>
  </si>
  <si>
    <t>Reduced Light Output (Low Ballast Factor)</t>
  </si>
  <si>
    <t>Normal Light Output (Normal Ballast Factor)</t>
  </si>
  <si>
    <t>High Light Output (High Ballast Factor)</t>
  </si>
  <si>
    <t>Very High Light Output (Very High Ballast Factor)</t>
  </si>
  <si>
    <t>Exit Sign</t>
  </si>
  <si>
    <t>Fixture Subtype</t>
  </si>
  <si>
    <t>Long</t>
  </si>
  <si>
    <t>Biax</t>
  </si>
  <si>
    <t>Lamp Options</t>
  </si>
  <si>
    <t>Spiral</t>
  </si>
  <si>
    <t>Standard</t>
  </si>
  <si>
    <t>Double-D shape</t>
  </si>
  <si>
    <t>2D</t>
  </si>
  <si>
    <t>BX</t>
  </si>
  <si>
    <t>Twin tube (including "Biaxial")</t>
  </si>
  <si>
    <t>Ballast Options</t>
  </si>
  <si>
    <t>Quad tube</t>
  </si>
  <si>
    <t>9 Lamps</t>
  </si>
  <si>
    <t>12 Lamps</t>
  </si>
  <si>
    <t>Bulb Wattage</t>
  </si>
  <si>
    <t>Low Voltage</t>
  </si>
  <si>
    <t>Edison Screw</t>
  </si>
  <si>
    <t>Pulse Start</t>
  </si>
  <si>
    <t>Long Life</t>
  </si>
  <si>
    <t>Edison Screw/Long Life</t>
  </si>
  <si>
    <t>EL</t>
  </si>
  <si>
    <t>Linear Reactor Ballast</t>
  </si>
  <si>
    <t>LR</t>
  </si>
  <si>
    <t>Super Constant Wattage Autotransformer Ballast</t>
  </si>
  <si>
    <t>SCWA</t>
  </si>
  <si>
    <t>Lamp Wattage</t>
  </si>
  <si>
    <r>
      <t>Fixture Identities Table</t>
    </r>
    <r>
      <rPr>
        <b/>
        <sz val="12"/>
        <color theme="1"/>
        <rFont val="Calibri"/>
        <family val="2"/>
        <scheme val="minor"/>
      </rPr>
      <t>*</t>
    </r>
  </si>
  <si>
    <t>* Fixture identities table based on the Pennsylvania ACT 129 Lighting Audit and Design Tool version 2016</t>
  </si>
  <si>
    <t>Use drop-down arrows in each column heading in row 5 to filter by parameter.  Codes in column A can be entered into column J on the Lighting Inventory tab.  
The fixture code legend on the bottom of the Instructions tab gives explanation to the Fixture Codes shown in the table below.
If your application contains custom lighting equipment not represented by the categories found in column U of the Lighting Inventory tab, 
then custom fixtures must be configured starting on row 974.</t>
  </si>
  <si>
    <t>Fixture Code</t>
  </si>
  <si>
    <t>Lighting Category</t>
  </si>
  <si>
    <t>Subcategory</t>
  </si>
  <si>
    <t>Lamp
Code</t>
  </si>
  <si>
    <t>Ballast</t>
  </si>
  <si>
    <t>Tube
Length</t>
  </si>
  <si>
    <t>Lamps Per Fixture</t>
  </si>
  <si>
    <t>Watts Per Lamp</t>
  </si>
  <si>
    <t>Watts Per Fixture</t>
  </si>
  <si>
    <t>Baseline
Fixture</t>
  </si>
  <si>
    <t>HOU
Type</t>
  </si>
  <si>
    <t>Flagged?</t>
  </si>
  <si>
    <t>SLED2/1</t>
  </si>
  <si>
    <t>LED Screw-In</t>
  </si>
  <si>
    <t>LED 2W</t>
  </si>
  <si>
    <t xml:space="preserve">Screw In - Light Emitting Diode Lamp, (1) 2W </t>
  </si>
  <si>
    <t>Screw-In</t>
  </si>
  <si>
    <t>N</t>
  </si>
  <si>
    <t>SLED3/1</t>
  </si>
  <si>
    <t>LED 3W</t>
  </si>
  <si>
    <t>Screw In - Light Emitting Diode Lamp, (1) 3W</t>
  </si>
  <si>
    <t>SLED4/1</t>
  </si>
  <si>
    <t>LED 4W</t>
  </si>
  <si>
    <t>Screw In - Light Emitting Diode Lamp, (1) 4W</t>
  </si>
  <si>
    <t>SLED5/1</t>
  </si>
  <si>
    <t>LED 5W</t>
  </si>
  <si>
    <t>Screw In - Light Emitting Diode Lamp, (1) 5W</t>
  </si>
  <si>
    <t>SLED6/1</t>
  </si>
  <si>
    <t>LED 6W</t>
  </si>
  <si>
    <t>Screw In - Light Emitting Diode Lamp, (1) 6W</t>
  </si>
  <si>
    <t>SLED7/1</t>
  </si>
  <si>
    <t>LED 7W</t>
  </si>
  <si>
    <t>Screw In - Light Emitting Diode Lamp, (1) 7W</t>
  </si>
  <si>
    <t>SLED8/1</t>
  </si>
  <si>
    <t>LED 8W</t>
  </si>
  <si>
    <t>Screw In - Light Emitting Diode Lamp, (1) 8W</t>
  </si>
  <si>
    <t>SLED9/1</t>
  </si>
  <si>
    <t>LED 9W</t>
  </si>
  <si>
    <t>Screw In - Light Emitting Diode Lamp, (1) 9W</t>
  </si>
  <si>
    <t>SLED10/1</t>
  </si>
  <si>
    <t>LED 10W</t>
  </si>
  <si>
    <t>Screw In - Light Emitting Diode Lamp, (1) 10W</t>
  </si>
  <si>
    <t>SLED11/1</t>
  </si>
  <si>
    <t>LED 11W</t>
  </si>
  <si>
    <t>Screw In - Light Emitting Diode Lamp, (1) 11W</t>
  </si>
  <si>
    <t>SLED12/1</t>
  </si>
  <si>
    <t>LED 12W</t>
  </si>
  <si>
    <t>Screw In - Light Emitting Diode Lamp, (1) 12W</t>
  </si>
  <si>
    <t>SLED13/1</t>
  </si>
  <si>
    <t>LED 13W</t>
  </si>
  <si>
    <t>Screw In - Light Emitting Diode Lamp, (1) 13W</t>
  </si>
  <si>
    <t>SLED14/1</t>
  </si>
  <si>
    <t>LED 14W</t>
  </si>
  <si>
    <t>Screw In - Light Emitting Diode Lamp, (1) 14W</t>
  </si>
  <si>
    <t>SLED15/1</t>
  </si>
  <si>
    <t>LED 15W</t>
  </si>
  <si>
    <t>Screw In - Light Emitting Diode Lamp, (1) 15W</t>
  </si>
  <si>
    <t>SLED16/1</t>
  </si>
  <si>
    <t>LED 16W</t>
  </si>
  <si>
    <t>Screw In - Light Emitting Diode Lamp, (1) 16W</t>
  </si>
  <si>
    <t>SLED17/1</t>
  </si>
  <si>
    <t>LED 17W</t>
  </si>
  <si>
    <t>Screw In - Light Emitting Diode Lamp, (1) 17W</t>
  </si>
  <si>
    <t>SLED18/1</t>
  </si>
  <si>
    <t>LED 18W</t>
  </si>
  <si>
    <t>Screw In - Light Emitting Diode Lamp, (1) 18W</t>
  </si>
  <si>
    <t>SLED19/1</t>
  </si>
  <si>
    <t>LED 19W</t>
  </si>
  <si>
    <t>Screw In - Light Emitting Diode Lamp, (1) 19W</t>
  </si>
  <si>
    <t>SLED20/1</t>
  </si>
  <si>
    <t>LED 20W</t>
  </si>
  <si>
    <t>Screw In - Light Emitting Diode Lamp, (1) 20W</t>
  </si>
  <si>
    <t>SLED21/1</t>
  </si>
  <si>
    <t>LED 21W</t>
  </si>
  <si>
    <t>Screw In - Light Emitting Diode Lamp, (1) 21W</t>
  </si>
  <si>
    <t>SLED22/1</t>
  </si>
  <si>
    <t>LED 22W</t>
  </si>
  <si>
    <t>Screw In - Light Emitting Diode Lamp, (1) 22W</t>
  </si>
  <si>
    <t>SLED26/1</t>
  </si>
  <si>
    <t>LED 26W</t>
  </si>
  <si>
    <t>Screw In - Light Emitting Diode Lamp, (1) 26W</t>
  </si>
  <si>
    <t>CF10/2D</t>
  </si>
  <si>
    <t>CFL</t>
  </si>
  <si>
    <t>CFL Fixture</t>
  </si>
  <si>
    <t>CFD10W</t>
  </si>
  <si>
    <t>Compact Fluorescent, 2D, (1) 10W lamp</t>
  </si>
  <si>
    <t>Mag-STD</t>
  </si>
  <si>
    <t>General</t>
  </si>
  <si>
    <t>CF10/2D-L</t>
  </si>
  <si>
    <t>CF11/1</t>
  </si>
  <si>
    <t>CF11W</t>
  </si>
  <si>
    <t>Compact Fluorescent, (1) 11W lamp</t>
  </si>
  <si>
    <t>CF16/2D</t>
  </si>
  <si>
    <t>CFD16W</t>
  </si>
  <si>
    <t>Compact Fluorescent, 2D, (1) 16W lamp</t>
  </si>
  <si>
    <t>CF16/2D-L</t>
  </si>
  <si>
    <t>CF21/2D</t>
  </si>
  <si>
    <t>CFD21W</t>
  </si>
  <si>
    <t>Compact Fluorescent, 2D, (1) 21W lamp</t>
  </si>
  <si>
    <t>CF21/2D-L</t>
  </si>
  <si>
    <t>CF23/1</t>
  </si>
  <si>
    <t>CF23W</t>
  </si>
  <si>
    <t>Compact Fluorescent, (1) 23W lamp</t>
  </si>
  <si>
    <t>CF23/1-L</t>
  </si>
  <si>
    <t>CF28/2D</t>
  </si>
  <si>
    <t>CFD28W</t>
  </si>
  <si>
    <t>Compact Fluorescent, 2D, (1) 28W lamp</t>
  </si>
  <si>
    <t>CF28/2D-L</t>
  </si>
  <si>
    <t>CF38/2D</t>
  </si>
  <si>
    <t>CFD38W</t>
  </si>
  <si>
    <t>Compact Fluorescent, 2D, (1) 38W lamp</t>
  </si>
  <si>
    <t>CF38/2D-L</t>
  </si>
  <si>
    <t>CF42/1-L</t>
  </si>
  <si>
    <t>CF42W</t>
  </si>
  <si>
    <t>Compact Fluorescent, (1) 42W lamp</t>
  </si>
  <si>
    <t>CFQ10/1</t>
  </si>
  <si>
    <t>CFQ10W</t>
  </si>
  <si>
    <t>Compact Fluorescent, quad, (1) 10W lamp</t>
  </si>
  <si>
    <t>CFQ13/1</t>
  </si>
  <si>
    <t>CFQ13W</t>
  </si>
  <si>
    <t>Compact Fluorescent, quad, (1) 13W lamp</t>
  </si>
  <si>
    <t>CFQ13/1-L</t>
  </si>
  <si>
    <t>Compact Fluorescent, quad, (1) 13W lamp, BF=1.05</t>
  </si>
  <si>
    <t>CFQ15/1</t>
  </si>
  <si>
    <t>CFQ15W</t>
  </si>
  <si>
    <t>Compact Fluorescent, quad, (1) 15W lamp</t>
  </si>
  <si>
    <t>CFQ17/1</t>
  </si>
  <si>
    <t>CFQ17W</t>
  </si>
  <si>
    <t>Compact Fluorescent, quad, (1) 17W lamp</t>
  </si>
  <si>
    <t>CFQ18/1</t>
  </si>
  <si>
    <t>CFQ18W</t>
  </si>
  <si>
    <t>Compact Fluorescent, quad, (1) 18W lamp</t>
  </si>
  <si>
    <t>Compact Fluorescent, quad, (1) 18W lamp, BF=1.0</t>
  </si>
  <si>
    <t>CFQ20/1</t>
  </si>
  <si>
    <t>CFQ20W</t>
  </si>
  <si>
    <t>Compact Fluorescent, quad, (1) 20W lamp</t>
  </si>
  <si>
    <t>CFQ22/1</t>
  </si>
  <si>
    <t>CFQ22W</t>
  </si>
  <si>
    <t>Compact Fluorescent, quad, (1) 22W lamp</t>
  </si>
  <si>
    <t>CFQ25/1</t>
  </si>
  <si>
    <t>CFQ25W</t>
  </si>
  <si>
    <t>Compact Fluorescent, quad, (1) 25W lamp</t>
  </si>
  <si>
    <t>CFQ26/1</t>
  </si>
  <si>
    <t>CFQ26W</t>
  </si>
  <si>
    <t>Compact Fluorescent, quad, (1) 26W lamp</t>
  </si>
  <si>
    <t>CFQ26/1-L</t>
  </si>
  <si>
    <t>Compact Fluorescent, quad, (1) 26W lamp, BF=0.95</t>
  </si>
  <si>
    <t>CFQ28/1</t>
  </si>
  <si>
    <t>CFQ28W</t>
  </si>
  <si>
    <t>Compact Fluorescent, quad, (1) 28W lamp</t>
  </si>
  <si>
    <t>CFQ9/1</t>
  </si>
  <si>
    <t>CFQ9W</t>
  </si>
  <si>
    <t>Compact Fluorescent, quad, (1) 9W lamp</t>
  </si>
  <si>
    <t>CFS7/1</t>
  </si>
  <si>
    <t>CFS7W</t>
  </si>
  <si>
    <t>Compact Fluorescent, spiral, (1) 7W lamp</t>
  </si>
  <si>
    <t>CFS9/1</t>
  </si>
  <si>
    <t>CFS9W</t>
  </si>
  <si>
    <t>Compact Fluorescent, spiral, (1) 9W lamp</t>
  </si>
  <si>
    <t>CFS11/1</t>
  </si>
  <si>
    <t>CFS11W</t>
  </si>
  <si>
    <t>Compact Fluorescent, spiral, (1) 11W lamp</t>
  </si>
  <si>
    <t>CFS13/1</t>
  </si>
  <si>
    <t>CFS13W</t>
  </si>
  <si>
    <t>Compact Fluorescent, spiral, (1) 13W lamp</t>
  </si>
  <si>
    <t>CFS15/1</t>
  </si>
  <si>
    <t>CFS15W</t>
  </si>
  <si>
    <t>Compact Fluorescent, spiral, (1) 15W lamp</t>
  </si>
  <si>
    <t>CFS20/1</t>
  </si>
  <si>
    <t>CFS20W</t>
  </si>
  <si>
    <t>Compact Fluorescent, spiral, (1) 20W lamp</t>
  </si>
  <si>
    <t>CFS23/1</t>
  </si>
  <si>
    <t>CFS23W</t>
  </si>
  <si>
    <t>Compact Fluorescent, spiral, (1) 23W lamp</t>
  </si>
  <si>
    <t>CFS26/1</t>
  </si>
  <si>
    <t>CFS26W</t>
  </si>
  <si>
    <t>Compact Fluorescent, spiral, (1) 26W lamp</t>
  </si>
  <si>
    <t>CFS27/1</t>
  </si>
  <si>
    <t>CFS27W</t>
  </si>
  <si>
    <t>Compact Fluorescent, spiral, (1) 27W lamp</t>
  </si>
  <si>
    <t>CFT13/1</t>
  </si>
  <si>
    <t>CFT13W</t>
  </si>
  <si>
    <t>Compact Fluorescent, twin, (1) 13W lamp</t>
  </si>
  <si>
    <t>CFT18/1</t>
  </si>
  <si>
    <t>CFT18W</t>
  </si>
  <si>
    <t>Compact Fluorescent, long twin., (1) 18W lamp</t>
  </si>
  <si>
    <t>CFT22/1</t>
  </si>
  <si>
    <t>CFT22W</t>
  </si>
  <si>
    <t>Compact Fluorescent, twin, (1) 22W lamp</t>
  </si>
  <si>
    <t>CFT24/1</t>
  </si>
  <si>
    <t>CFT24W</t>
  </si>
  <si>
    <t>Compact Fluorescent, long twin, (1) 24W lamp</t>
  </si>
  <si>
    <t>CFT28/1</t>
  </si>
  <si>
    <t>CFT28W</t>
  </si>
  <si>
    <t>Compact Fluorescent, twin, (1) 28W lamp</t>
  </si>
  <si>
    <t>CFT32/1-L</t>
  </si>
  <si>
    <t>CFM32W</t>
  </si>
  <si>
    <t>Compact Fluorescent, twin or multi, (1) 32W lamp</t>
  </si>
  <si>
    <t>CFT36/1</t>
  </si>
  <si>
    <t>CFT36W</t>
  </si>
  <si>
    <t>Compact Fluorescent, long twin, (1) 36W lamp</t>
  </si>
  <si>
    <t>CFT40/1</t>
  </si>
  <si>
    <t>CFT40W</t>
  </si>
  <si>
    <t>Compact Fluorescent, twin, (1) 40W lamp</t>
  </si>
  <si>
    <t>CFT40/1-BX</t>
  </si>
  <si>
    <t>Compact Fluorescent, Biax, (1) 40W lamp</t>
  </si>
  <si>
    <t>CFT40/1-L</t>
  </si>
  <si>
    <t>Compact Fluorescent, long twin, (1) 40W lamp</t>
  </si>
  <si>
    <t>CFT05/1</t>
  </si>
  <si>
    <t>CFT5W</t>
  </si>
  <si>
    <t>Compact Fluorescent, twin, (1) 5W lamp</t>
  </si>
  <si>
    <t>CFT5/1</t>
  </si>
  <si>
    <t>CFT50/1-BX</t>
  </si>
  <si>
    <t>CFT50W</t>
  </si>
  <si>
    <t>Compact Fluorescent, Biax, (1) 50W lamp</t>
  </si>
  <si>
    <t>CFT55/1-BX</t>
  </si>
  <si>
    <t>CFT55W</t>
  </si>
  <si>
    <t>Compact Fluorescent, Biax, (1) 55W lamp</t>
  </si>
  <si>
    <t>CFT7/1</t>
  </si>
  <si>
    <t>CFT7W</t>
  </si>
  <si>
    <t>Compact Fluorescent, twin, (1) 7W lamp</t>
  </si>
  <si>
    <t>CFT9/1</t>
  </si>
  <si>
    <t>CFT9W</t>
  </si>
  <si>
    <t>Compact Fluorescent, twin, (1) 9W lamp</t>
  </si>
  <si>
    <t>CF11/2</t>
  </si>
  <si>
    <t>Compact Fluorescent, (2) 11W lamp</t>
  </si>
  <si>
    <t>CF42/2-L</t>
  </si>
  <si>
    <t>Compact Fluorescent, (2) 42W lamp</t>
  </si>
  <si>
    <t>CFQ13/2</t>
  </si>
  <si>
    <t>Compact Fluorescent, quad, (2) 13W lamp</t>
  </si>
  <si>
    <t>CFQ13/2-L</t>
  </si>
  <si>
    <t>Compact Fluorescent, quad, (2) 13W lamp, BF=1.0</t>
  </si>
  <si>
    <t>CFQ17/2</t>
  </si>
  <si>
    <t>Compact Fluorescent, quad, (2) 17W lamp</t>
  </si>
  <si>
    <t>CFQ18/2</t>
  </si>
  <si>
    <t>Compact Fluorescent, quad, (2) 18W lamp</t>
  </si>
  <si>
    <t>CFQ18/2-L</t>
  </si>
  <si>
    <t>Compact Fluorescent, quad, (2) 18W lamp, BF=1.0</t>
  </si>
  <si>
    <t>CFQ20/2</t>
  </si>
  <si>
    <t>Compact Fluorescent, quad, (2) 20W lamp</t>
  </si>
  <si>
    <t>CFQ22/2</t>
  </si>
  <si>
    <t>Compact Fluorescent, quad, (2) 22W lamp</t>
  </si>
  <si>
    <t>CFQ25/2</t>
  </si>
  <si>
    <t>Compact Fluorescent, quad, (2) 25W lamp</t>
  </si>
  <si>
    <t>CFQ26/2</t>
  </si>
  <si>
    <t>Compact Fluorescent, quad, (2) 26W lamp</t>
  </si>
  <si>
    <t>CFQ26/2-L</t>
  </si>
  <si>
    <t>Compact Fluorescent, quad, (2) 26W lamp, BF=0.95</t>
  </si>
  <si>
    <t>CFQ9/2</t>
  </si>
  <si>
    <t>Compact Fluorescent, quad, (2) 9W lamp</t>
  </si>
  <si>
    <t>CFT13/2</t>
  </si>
  <si>
    <t>Compact Fluorescent, twin, (2) 13W lamp</t>
  </si>
  <si>
    <t>CFT22/2</t>
  </si>
  <si>
    <t>Compact Fluorescent, twin, (2) 22W lamp</t>
  </si>
  <si>
    <t>CFT28/2</t>
  </si>
  <si>
    <t>Compact Fluorescent, twin, (2) 28W lamp</t>
  </si>
  <si>
    <t>CFT32/2-L</t>
  </si>
  <si>
    <t>Compact Fluorescent, twin or multi, (2) 32W lamp</t>
  </si>
  <si>
    <t>CFT40/2</t>
  </si>
  <si>
    <t>Compact Fluorescent, twin, (2) 40W lamp</t>
  </si>
  <si>
    <t>CFT40/2-BX</t>
  </si>
  <si>
    <t>Compact Fluorescent, Biax, (2) 40W lamp</t>
  </si>
  <si>
    <t>CFT40/2-L</t>
  </si>
  <si>
    <t>Compact Fluorescent, long twin, (2) 40W lamp</t>
  </si>
  <si>
    <t>CFT5/2</t>
  </si>
  <si>
    <t>Compact Fluorescent, twin, (2) 5W lamp</t>
  </si>
  <si>
    <t>CFT50/2-BX</t>
  </si>
  <si>
    <t>Compact Fluorescent, Biax, (2) 50W lamp</t>
  </si>
  <si>
    <t>CFT55/2-BX</t>
  </si>
  <si>
    <t>Compact Fluorescent, Biax, (2) 55W lamp</t>
  </si>
  <si>
    <t>CFT7/2</t>
  </si>
  <si>
    <t>Compact Fluorescent, twin, (2) 7W lamp</t>
  </si>
  <si>
    <t>CFT9/2</t>
  </si>
  <si>
    <t>Compact Fluorescent, twin, (2) 9W lamp</t>
  </si>
  <si>
    <t>CF18/3-L</t>
  </si>
  <si>
    <t>CF18W</t>
  </si>
  <si>
    <t>Compact Fluorescent, (3) 18W lamp</t>
  </si>
  <si>
    <t>CF26/3-L</t>
  </si>
  <si>
    <t>CF26W</t>
  </si>
  <si>
    <t>Compact Fluorescent, (3) 26W lamp</t>
  </si>
  <si>
    <t>CF32/3-L</t>
  </si>
  <si>
    <t>CF32W</t>
  </si>
  <si>
    <t>Compact Fluorescent, (3) 32W lamp</t>
  </si>
  <si>
    <t>CF42/3-L</t>
  </si>
  <si>
    <t>Compact Fluorescent, (3) 42W lamp</t>
  </si>
  <si>
    <t>CFQ13/3</t>
  </si>
  <si>
    <t>Compact Fluorescent, quad, (3) 13W lamp</t>
  </si>
  <si>
    <t>CFQ22/3</t>
  </si>
  <si>
    <t>Compact Fluorescent, quad, (3) 22W lamp</t>
  </si>
  <si>
    <t>CFQ26/3</t>
  </si>
  <si>
    <t>Compact Fluorescent, quad, (3) 26W lamp</t>
  </si>
  <si>
    <t>CFT13/3</t>
  </si>
  <si>
    <t>Compact Fluorescent, twin, (3) 13 W lamp</t>
  </si>
  <si>
    <t>CFT40/3</t>
  </si>
  <si>
    <t>Compact Fluorescent, twin, (3) 40 W lamp</t>
  </si>
  <si>
    <t>CFT40/3-BX</t>
  </si>
  <si>
    <t>Compact Fluorescent, Biax, (3) 40W lamp</t>
  </si>
  <si>
    <t>CFT40/3-L</t>
  </si>
  <si>
    <t>Compact Fluorescent, long twin, (3) 40W lamp</t>
  </si>
  <si>
    <t>CFT50/3-BX</t>
  </si>
  <si>
    <t>Compact Fluorescent, Biax, (3) 50W lamp</t>
  </si>
  <si>
    <t>CFT55/3-BX</t>
  </si>
  <si>
    <t>Compact Fluorescent, Biax, (3) 55W lamp</t>
  </si>
  <si>
    <t>CFT9/3</t>
  </si>
  <si>
    <t>Compact Fluorescent, twin, (3) 9W lamp</t>
  </si>
  <si>
    <t>CF26/4-L</t>
  </si>
  <si>
    <t>Compact Fluorescent, (4) 26W lamp</t>
  </si>
  <si>
    <t>CF32/4-L</t>
  </si>
  <si>
    <t>Compact Fluorescent, (4) 32W lamp</t>
  </si>
  <si>
    <t>CF42/4-L</t>
  </si>
  <si>
    <t>Compact Fluorescent, (4) 42W lamp</t>
  </si>
  <si>
    <t>CFQ18/4</t>
  </si>
  <si>
    <t>Compact Fluorescent, quad, (4) 18W lamp</t>
  </si>
  <si>
    <t>CFT22/4</t>
  </si>
  <si>
    <t>Compact Fluorescent, twin, (4) 22W lamp</t>
  </si>
  <si>
    <t>CFT36/4-BX</t>
  </si>
  <si>
    <t>Compact Fluorescent, Biax, (4) 36W lamp</t>
  </si>
  <si>
    <t>CFT40/4-BX</t>
  </si>
  <si>
    <t>Compact Fluorescent, Biax, (4) 40W lamp</t>
  </si>
  <si>
    <t>CFT50/4-BX</t>
  </si>
  <si>
    <t>Compact Fluorescent, Biax, (4) 50W lamp</t>
  </si>
  <si>
    <t>CFT55/4-BX</t>
  </si>
  <si>
    <t>Compact Fluorescent, Biax, (4) 55W lamp</t>
  </si>
  <si>
    <t>CFT40/5-BX</t>
  </si>
  <si>
    <t>Compact Fluorescent, Biax, (5) 40W lamp</t>
  </si>
  <si>
    <t>CFT50/5-BX</t>
  </si>
  <si>
    <t>Compact Fluorescent, Biax, (5) 50W lamp</t>
  </si>
  <si>
    <t>CFT55/5-BX</t>
  </si>
  <si>
    <t>Compact Fluorescent, Biax, (5) 55W lamp</t>
  </si>
  <si>
    <t>CF26/6-L</t>
  </si>
  <si>
    <t>Compact Fluorescent, (6) 26W lamp</t>
  </si>
  <si>
    <t>CF32/6-L</t>
  </si>
  <si>
    <t>Compact Fluorescent, (6) 32W lamp</t>
  </si>
  <si>
    <t>CF42/6-L</t>
  </si>
  <si>
    <t>Compact Fluorescent, (6) 42W lamp</t>
  </si>
  <si>
    <t>CFQ26/6-L</t>
  </si>
  <si>
    <t>Compact Fluorescent, quad, (6) 26W lamp, BF=0.95</t>
  </si>
  <si>
    <t>CFT32/6-L</t>
  </si>
  <si>
    <t>Compact Fluorescent, twin or multi, (6) 32W lamp</t>
  </si>
  <si>
    <t>CFT36/6-BX</t>
  </si>
  <si>
    <t>Compact Fluorescent, Biax, (6) 36W lamp</t>
  </si>
  <si>
    <t>CFT36/6-L</t>
  </si>
  <si>
    <t>Compact Fluorescent, long Twin, (6) 36W lamp</t>
  </si>
  <si>
    <t>CFT36/6-LH</t>
  </si>
  <si>
    <t>Compact Fluorescent, long Twin, (6) 36W lamp/ High Ballast Factor</t>
  </si>
  <si>
    <t>CFT40/6-BX</t>
  </si>
  <si>
    <t>Compact Fluorescent, Biax, (6) 40W lamp</t>
  </si>
  <si>
    <t>CFT40/6-L</t>
  </si>
  <si>
    <t>Compact Fluorescent, long Twin, (6) 40W lamp</t>
  </si>
  <si>
    <t>CFT40/6-LH</t>
  </si>
  <si>
    <t>Compact Fluorescent, long Twin, (6) 40W lamp/ High Ballast Factor</t>
  </si>
  <si>
    <t>CFT50/6-BX</t>
  </si>
  <si>
    <t>Compact Fluorescent, Biax, (6) 50W lamp</t>
  </si>
  <si>
    <t>CFT55/6-BX</t>
  </si>
  <si>
    <t>Compact Fluorescent, Biax, (6) 55W lamp</t>
  </si>
  <si>
    <t>CFT55/6-L</t>
  </si>
  <si>
    <t>Compact Fluorescent, long Twin, (6) 55W lamp</t>
  </si>
  <si>
    <t>CFT55/6-LH</t>
  </si>
  <si>
    <t>Compact Fluorescent, long Twin, (6) 55W lamp/ High Ballast Factor</t>
  </si>
  <si>
    <t>CF26/8-L</t>
  </si>
  <si>
    <t>Compact Fluorescent, (8) 26W lamp</t>
  </si>
  <si>
    <t>CF32/8-L</t>
  </si>
  <si>
    <t>Compact Fluorescent, (8) 32W lamp</t>
  </si>
  <si>
    <t>CF42/8-L</t>
  </si>
  <si>
    <t>Compact Fluorescent, (8) 42W lamp</t>
  </si>
  <si>
    <t>CFT36/8-BX</t>
  </si>
  <si>
    <t>Compact Fluorescent, Biax, (8) 36W lamp</t>
  </si>
  <si>
    <t>CFT36/8-L</t>
  </si>
  <si>
    <t>Compact Fluorescent, long Twin, (8) 36W lamp</t>
  </si>
  <si>
    <t>CFT36/8-LH</t>
  </si>
  <si>
    <t>Compact Fluorescent, long Twin, (8) 36W lamp/ High Ballast Factor</t>
  </si>
  <si>
    <t>CFT40/8-BX</t>
  </si>
  <si>
    <t>Compact Fluorescent, Biax, (8) 40W lamp</t>
  </si>
  <si>
    <t>CFT40/8-L</t>
  </si>
  <si>
    <t>Compact Fluorescent, long Twin, (8) 40W lamp</t>
  </si>
  <si>
    <t>CFT40/8-LH</t>
  </si>
  <si>
    <t>Compact Fluorescent, long Twin, (8) 40W lamp/ High Ballast Factor</t>
  </si>
  <si>
    <t>CFT50/8-BX</t>
  </si>
  <si>
    <t>Compact Fluorescent, Biax, (8) 50W lamp</t>
  </si>
  <si>
    <t>CFT55/8-BX</t>
  </si>
  <si>
    <t>Compact Fluorescent, Biax, (8) 55W lamp</t>
  </si>
  <si>
    <t>CFT55/8-L</t>
  </si>
  <si>
    <t>Compact Fluorescent, long Twin, (8) 55W lamp</t>
  </si>
  <si>
    <t>CFT55/8-LH</t>
  </si>
  <si>
    <t>Compact Fluorescent, long Twin, (8) 55W lamp/ High Ballast Factor</t>
  </si>
  <si>
    <t>CFT36/9-BX</t>
  </si>
  <si>
    <t>Compact Fluorescent, Biax, (9) 36W lamp</t>
  </si>
  <si>
    <t>CFT40/9-BX</t>
  </si>
  <si>
    <t>Compact Fluorescent, Biax, (9) 40W lamp</t>
  </si>
  <si>
    <t>CFT50/9-BX</t>
  </si>
  <si>
    <t>Compact Fluorescent, Biax, (9) 50W lamp</t>
  </si>
  <si>
    <t>CFT55/9-BX</t>
  </si>
  <si>
    <t>Compact Fluorescent, Biax, (9) 55W lamp</t>
  </si>
  <si>
    <t>CFT40/12-BX</t>
  </si>
  <si>
    <t>Compact Fluorescent, Biax, (12) 40W lamp</t>
  </si>
  <si>
    <t>CFT50/12-BX</t>
  </si>
  <si>
    <t>Compact Fluorescent, Biax, (12) 50W lamp</t>
  </si>
  <si>
    <t>CFT55/12-BX</t>
  </si>
  <si>
    <t>Compact Fluorescent, Biax, (12) 55W lamp</t>
  </si>
  <si>
    <t>CFC7/1</t>
  </si>
  <si>
    <t>CFL Screw-In</t>
  </si>
  <si>
    <t>CFC7</t>
  </si>
  <si>
    <t>Compact Fluorescent, Screw-in, (1) 7W lamp</t>
  </si>
  <si>
    <t>CFC9/1</t>
  </si>
  <si>
    <t>CFC9</t>
  </si>
  <si>
    <t>Compact Fluorescent, Screw-in, (1) 9W lamp</t>
  </si>
  <si>
    <t>CFC11/1</t>
  </si>
  <si>
    <t>CFC11</t>
  </si>
  <si>
    <t>Compact Fluorescent, Screw-in, (1) 11W lamp</t>
  </si>
  <si>
    <t>CFC12/1</t>
  </si>
  <si>
    <t>CFC12</t>
  </si>
  <si>
    <t>Compact Fluorescent, Screw-in, (1) 12W lamp</t>
  </si>
  <si>
    <t>CFC13/1</t>
  </si>
  <si>
    <t>CFC13</t>
  </si>
  <si>
    <t>Compact Fluorescent, Screw-in, (1) 13W lamp</t>
  </si>
  <si>
    <t>CFC14/1</t>
  </si>
  <si>
    <t>CFC14</t>
  </si>
  <si>
    <t>Compact Fluorescent, Screw-in, (1) 14W lamp</t>
  </si>
  <si>
    <t>CFC15/1</t>
  </si>
  <si>
    <t>CFC15</t>
  </si>
  <si>
    <t>Compact Fluorescent, Screw-in, (1) 15W lamp</t>
  </si>
  <si>
    <t>CFC16/1</t>
  </si>
  <si>
    <t>CFC16</t>
  </si>
  <si>
    <t>Compact Fluorescent, Screw-in, (1) 16W lamp</t>
  </si>
  <si>
    <t>CFC17/1</t>
  </si>
  <si>
    <t>CFC17</t>
  </si>
  <si>
    <t>Compact Fluorescent, Screw-in, (1) 17W lamp</t>
  </si>
  <si>
    <t>CFC18/1</t>
  </si>
  <si>
    <t>CFC18</t>
  </si>
  <si>
    <t>Compact Fluorescent, Screw-in, (1) 18W lamp</t>
  </si>
  <si>
    <t>CFC20/1</t>
  </si>
  <si>
    <t>CFC20</t>
  </si>
  <si>
    <t>Compact Fluorescent, Screw-in, (1) 20W lamp</t>
  </si>
  <si>
    <t>CFC23/1</t>
  </si>
  <si>
    <t>CFC23</t>
  </si>
  <si>
    <t>Compact Fluorescent, Screw-in, (1) 23W lamp</t>
  </si>
  <si>
    <t>CFC26/1</t>
  </si>
  <si>
    <t>CFC26</t>
  </si>
  <si>
    <t>Compact Fluorescent, Screw-in, (1) 26W lamp</t>
  </si>
  <si>
    <t>CFC30/1</t>
  </si>
  <si>
    <t>CFC30</t>
  </si>
  <si>
    <t>Compact Fluorescent, Screw-in, (1) 30W lamp</t>
  </si>
  <si>
    <t>CCFC1.5/1</t>
  </si>
  <si>
    <t>Cold Cathode CFL</t>
  </si>
  <si>
    <t>CCFC1.5</t>
  </si>
  <si>
    <t>Cold-Cathode Compact Fluorescent, Screw-in, (1) 1.5W lamp</t>
  </si>
  <si>
    <t>CCFC3/1</t>
  </si>
  <si>
    <t>CCFC3</t>
  </si>
  <si>
    <t>Cold-Cathode Compact Fluorescent, Screw-in, (1) 3W lamp</t>
  </si>
  <si>
    <t>CCFC5/1</t>
  </si>
  <si>
    <t>CCFC5</t>
  </si>
  <si>
    <t>Cold-Cathode Compact Fluorescent, Screw-in, (1) 5W lamp</t>
  </si>
  <si>
    <t>CCFC8/1</t>
  </si>
  <si>
    <t>CCFC8</t>
  </si>
  <si>
    <t>Cold-Cathode Compact Fluorescent, Screw-in, (1) 8W lamp</t>
  </si>
  <si>
    <t>F1.51LS</t>
  </si>
  <si>
    <t>Linear Fluorescent</t>
  </si>
  <si>
    <t>T8 Linear Fluorescent</t>
  </si>
  <si>
    <t>F15T8</t>
  </si>
  <si>
    <t>Fluorescent, (1) 18" T8 lamp</t>
  </si>
  <si>
    <t>F1.52LS</t>
  </si>
  <si>
    <t>Fluorescent, (2) 18" T8 lamp</t>
  </si>
  <si>
    <t>F21ILL</t>
  </si>
  <si>
    <t>F17T8</t>
  </si>
  <si>
    <t>Fluorescent, (1) 24", T-8 lamp, Instant Start Ballast, NLO (BF: .85-.95)</t>
  </si>
  <si>
    <t>F21ILL/T2</t>
  </si>
  <si>
    <t>Fluorescent, (1) 24", T-8 lamp, Instant Start Ballast, NLO (BF: .85-.95), Tandem 2 Lamp Ballast</t>
  </si>
  <si>
    <t>F21ILL/T2-R</t>
  </si>
  <si>
    <t>Fluorescent, (1) 24", T-8 lamp, Instant Start Ballast, RLO (BF&lt;.85), Tandem 2 Lamp Ballast</t>
  </si>
  <si>
    <t>F21ILL/T3</t>
  </si>
  <si>
    <t>Fluorescent, (1) 24", T-8 lamp, Instant Start Ballast, NLO (BF: .85-.95), Tandem 3 Lamp Ballast</t>
  </si>
  <si>
    <t>F21ILL/T3-R</t>
  </si>
  <si>
    <t>Fluorescent, (1) 24", T-8 lamp, Instant Start Ballast, RLO (BF&lt;.85), Tandem 3 Lamp Ballast</t>
  </si>
  <si>
    <t>F21ILL/T4</t>
  </si>
  <si>
    <t>Fluorescent, (1) 24", T-8 lamp, Instant Start Ballast, NLO (BF: .85-.95), Tandem 4 Lamp Ballast</t>
  </si>
  <si>
    <t>F21ILL/T4-R</t>
  </si>
  <si>
    <t>Fluorescent, (1) 24", T-8 lamp, Instant Start Ballast, RLO (BF&lt;.85), Tandem 4 Lamp Ballast</t>
  </si>
  <si>
    <t>F21LL</t>
  </si>
  <si>
    <t>Fluorescent, (1) 24", T-8 lamp, Rapid Start Ballast, NLO (BF: .85-.95)</t>
  </si>
  <si>
    <t>Y</t>
  </si>
  <si>
    <t>F21LL/T2</t>
  </si>
  <si>
    <t>Fluorescent, (1) 24", T-8 lamp, Rapid Start Ballast, NLO (BF: .85-.95), Tandem 2 Lamp Ballast</t>
  </si>
  <si>
    <t>F21LL/T3</t>
  </si>
  <si>
    <t>Fluorescent, (1) 24", T-8 lamp, Rapid Start Ballast, NLO (BF: .85-.95), Tandem 3 Lamp Ballast</t>
  </si>
  <si>
    <t>F21LL/T4</t>
  </si>
  <si>
    <t>Fluorescent, (1) 24", T-8 lamp, Rapid Start Ballast, NLO (BF: .85-.95), Tandem 4 Lamp Ballast</t>
  </si>
  <si>
    <t>F21LL-R</t>
  </si>
  <si>
    <t>Fluorescent, (1) 24", T-8 lamp, Rapid Start Ballast, RLO (BF&lt;0.85)</t>
  </si>
  <si>
    <t>F21LS</t>
  </si>
  <si>
    <t>Fluorescent, (1) 24", T8 lamp, Standard Ballast</t>
  </si>
  <si>
    <t>F22ILE</t>
  </si>
  <si>
    <t>Fluorescent, (2) 24", T-8 Instant Start lamp, Energy Saving  Magnetic Ballast</t>
  </si>
  <si>
    <t>Mag-ES</t>
  </si>
  <si>
    <t>F22ILL</t>
  </si>
  <si>
    <t>Fluorescent, (2) 24", T-8 lamp, Instant Start Ballast, NLO (BF: .85-.95)</t>
  </si>
  <si>
    <t>F22ILL/T4</t>
  </si>
  <si>
    <t>Fluorescent, (2) 24", T-8 lamp, Instant Start Ballast, NLO (BF: .85-.95), Tandem 4 Lamp Ballast</t>
  </si>
  <si>
    <t>F22ILL/T4-R</t>
  </si>
  <si>
    <t>Fluorescent, (2) 24", T-8 lamp, Instant Start Ballast, RLO (BF&lt;.85), Tandem 4 Lamp Ballast</t>
  </si>
  <si>
    <t>F22ILL-R</t>
  </si>
  <si>
    <t>Fluorescent, (2) 24", T-8 lamp, Instant Start Ballast, RLO (BF&lt;0.85)</t>
  </si>
  <si>
    <t>F22LL</t>
  </si>
  <si>
    <t>Fluorescent, (2) 24", T-8 lamp, Rapid Start Ballast, NLO (BF: .85-.95)</t>
  </si>
  <si>
    <t>F22LL/T4</t>
  </si>
  <si>
    <t>Fluorescent, (2) 24", T-8 lamp, Rapid Start Ballast, NLO (BF: .85-.95), Tandem 4 Lamp Ballast</t>
  </si>
  <si>
    <t>F22LL-R</t>
  </si>
  <si>
    <t>Fluorescent, (2) 24", T-8 lamp, Rapid Start Ballast, RLO (BF&lt;0.85)</t>
  </si>
  <si>
    <t>F23ILL</t>
  </si>
  <si>
    <t>Fluorescent, (3) 24", T-8 lamp, Instant Start Ballast, NLO (BF: .85-.95)</t>
  </si>
  <si>
    <t>F23ILL-H</t>
  </si>
  <si>
    <t>Fluorescent, (3) 24", T-8 lamp, Instant Start Ballast, HLO (BF:.96-1.1)</t>
  </si>
  <si>
    <t>F23ILL-R</t>
  </si>
  <si>
    <t>Fluorescent, (3) 24", T-8 lamp, Instant Start Ballast, RLO (BF&lt;0.85)</t>
  </si>
  <si>
    <t>F23LL</t>
  </si>
  <si>
    <t>Fluorescent, (3) 24", T-8 lamp, Rapid Start Ballast, NLO (BF: .85-.95)</t>
  </si>
  <si>
    <t>F23LL-R</t>
  </si>
  <si>
    <t>Fluorescent, (3) 24", T-8 lamp, Rapid Start Ballast, RLO (BF&lt;0.85)</t>
  </si>
  <si>
    <t>F24ILL</t>
  </si>
  <si>
    <t>Fluorescent, (4) 24", T-8 lamp, Instant Start Ballast, NLO (BF: .85-.95)</t>
  </si>
  <si>
    <t>F24ILL-R</t>
  </si>
  <si>
    <t>Fluorescent, (4) 24", T-8 lamp, Instant Start Ballast, RLO (BF&lt;0.85)</t>
  </si>
  <si>
    <t>F24LL</t>
  </si>
  <si>
    <t>Fluorescent, (4) 24", T-8 lamp, Rapid Start Ballast, NLO (BF: .85-.95)</t>
  </si>
  <si>
    <t>F24LL-R</t>
  </si>
  <si>
    <t>Fluorescent, (4) 24", T-8 lamp, Rapid Start Ballast, RLO (BF&lt;0.85)</t>
  </si>
  <si>
    <t>F31ILL</t>
  </si>
  <si>
    <t>F25T8</t>
  </si>
  <si>
    <t>Fluorescent, (1) 36", T-8 lamp, Instant Start Ballast, NLO (BF: .85-.95)</t>
  </si>
  <si>
    <t>F31ILL/T2</t>
  </si>
  <si>
    <t>Fluorescent, (1) 36", T-8 lamp, Instant Start Ballast, NLO (BF: .85-.95), Tandem 2 Lamp Ballast</t>
  </si>
  <si>
    <t>F31ILL/T2-H</t>
  </si>
  <si>
    <t>Fluorescent, (1) 36", T-8 lamp, Instant Start Ballast, HLO (BF: .96-1.1), Tandem 2 Lamp Ballast</t>
  </si>
  <si>
    <t>F31ILL/T2-R</t>
  </si>
  <si>
    <t>Fluorescent, (1) 36", T-8 lamp, Instant Start Ballast, RLO (BF: .85-.95), Tandem 2 Lamp Ballast</t>
  </si>
  <si>
    <t>F31ILL/T3</t>
  </si>
  <si>
    <t>Fluorescent, (1) 36", T-8 lamp, Instant Start Ballast, NLO (BF: .85-.95), Tandem 3 Lamp Ballast</t>
  </si>
  <si>
    <t>F31ILL/T3-R</t>
  </si>
  <si>
    <t>Fluorescent, (1) 36", T-8 lamp, Instant Start Ballast, RLO (BF&lt;.85), Tandem 3 Lamp Ballast</t>
  </si>
  <si>
    <t>F31ILL/T4</t>
  </si>
  <si>
    <t>Fluorescent, (1) 36", T-8 lamp, Instant Start Ballast, NLO (BF: .85-.95), Tandem 4 Lamp Ballast</t>
  </si>
  <si>
    <t>F31ILL/T4-R</t>
  </si>
  <si>
    <t>Fluorescent, (1) 36", T-8 lamp, Instant Start Ballast, RLO (BF&lt;.85), Tandem 4 Lamp Ballast</t>
  </si>
  <si>
    <t>F31ILL-H</t>
  </si>
  <si>
    <t>Fluorescent, (1) 36", T-8 lamp, Instant Start Ballast, HLO (BF:.96-1.1)</t>
  </si>
  <si>
    <t>F31ILL-R</t>
  </si>
  <si>
    <t>Fluorescent, (1) 36", T-8 lamp, Instant Start Ballast, RLO (BF&lt;0.85)</t>
  </si>
  <si>
    <t>F31LL</t>
  </si>
  <si>
    <t>Fluorescent, (1) 36", T-8 lamp, Rapid Start Ballast, NLO (BF: .85-.95)</t>
  </si>
  <si>
    <t>F31LL/T2</t>
  </si>
  <si>
    <t>Fluorescent, (1) 36", T-8 lamp, Rapid Start Ballast, NLO (BF: .85-.95), Tandem 2 Lamp Ballast</t>
  </si>
  <si>
    <t>F31LL/T3</t>
  </si>
  <si>
    <t>Fluorescent, (1) 36", T-8 lamp, Rapid Start Ballast, NLO (BF: .85-.95), Tandem 3 Lamp Ballast</t>
  </si>
  <si>
    <t>F31LL/T4</t>
  </si>
  <si>
    <t>Fluorescent, (1) 36", T-8 lamp, Rapid Start Ballast, NLO (BF: .85-.95), Tandem 4 Lamp Ballast</t>
  </si>
  <si>
    <t>F31LL-H</t>
  </si>
  <si>
    <t>Fluorescent, (1) 36", T-8 lamp, Rapid Start Ballast, HLO (BF:.96-1.1)</t>
  </si>
  <si>
    <t>F31LL-R</t>
  </si>
  <si>
    <t>Fluorescent, (1) 36", T-8 lamp, Rapid Start Ballast, RLO (BF&lt;0.85)</t>
  </si>
  <si>
    <t>F32ILL</t>
  </si>
  <si>
    <t>Fluorescent, (2) 36", T-8 lamp, Instant Start Ballast, NLO (BF: .85-.95)</t>
  </si>
  <si>
    <t>F32ILL/T4</t>
  </si>
  <si>
    <t>Fluorescent, (2) 36", T-8 lamp, Instant Start Ballast, NLO (BF: .85-.95), Tandem 4 Lamp Ballast</t>
  </si>
  <si>
    <t>F32ILL/T4-R</t>
  </si>
  <si>
    <t>Fluorescent, (2) 36", T-8 lamp, Instant Start Ballast, RLO (BF&lt;.85), Tandem 4 Lamp Ballast</t>
  </si>
  <si>
    <t>F32ILL-H</t>
  </si>
  <si>
    <t>Fluorescent, (2) 36", T-8 lamp, Instant Start Ballast, HLO (BF:.96-1.1)</t>
  </si>
  <si>
    <t>F32ILL-R</t>
  </si>
  <si>
    <t>Fluorescent, (2) 36", T-8 lamp, Instant Start Ballast, RLO (BF&lt;0.85)</t>
  </si>
  <si>
    <t>F32LE</t>
  </si>
  <si>
    <t>Fluorescent, (2) 36", T-8 lamp</t>
  </si>
  <si>
    <t>F32LL</t>
  </si>
  <si>
    <t>Fluorescent, (2) 36", T-8 lamp, Rapid Start Ballast, NLO (BF: .85-.95)</t>
  </si>
  <si>
    <t>F32LL/T4</t>
  </si>
  <si>
    <t>Fluorescent, (2) 36", T-8 lamp, Rapid Start Ballast, NLO (BF: .85-.95), Tandem 4 Lamp Ballast</t>
  </si>
  <si>
    <t>F32LL-H</t>
  </si>
  <si>
    <t>Fluorescent, (2) 36", T-8 lamp, Rapid Start Ballast, HLO (BF:.96-1.1)</t>
  </si>
  <si>
    <t>F32LL-R</t>
  </si>
  <si>
    <t>Fluorescent, (2) 36", T-8 lamp, Rapid Start Ballast, RLO (BF&lt;0.85)</t>
  </si>
  <si>
    <t>F32LL-V</t>
  </si>
  <si>
    <t>Fluorescent, (2) 36", T-8 lamp, Rapid Start Ballast, VHLO (BF&gt;1.1)</t>
  </si>
  <si>
    <t>F33ILL</t>
  </si>
  <si>
    <t>Fluorescent, (3) 36", T-8 lamp, Instant Start Ballast, NLO (BF: .85-.95)</t>
  </si>
  <si>
    <t>F33ILL-R</t>
  </si>
  <si>
    <t>Fluorescent, (3) 36", T-8 lamp, Instant Start Ballast, RLO (BF&lt;0.85)</t>
  </si>
  <si>
    <t>F33LL</t>
  </si>
  <si>
    <t>Fluorescent, (3) 36", T-8 lamp, Rapid Start Ballast, NLO (BF: .85-.95)</t>
  </si>
  <si>
    <t>F33LL-R</t>
  </si>
  <si>
    <t>Fluorescent, (3) 36", T-8 lamp, Rapid Start Ballast, RLO (BF&lt;0.85)</t>
  </si>
  <si>
    <t>F34ILL</t>
  </si>
  <si>
    <t>Fluorescent, (4) 36", T-8 lamp, Instant Start Ballast, NLO (BF: .85-.95)</t>
  </si>
  <si>
    <t>F34ILL-R</t>
  </si>
  <si>
    <t>Fluorescent, (4) 36", T-8 lamp, Instant Start Ballast, RLO (BF&lt;0.85)</t>
  </si>
  <si>
    <t>F34LL</t>
  </si>
  <si>
    <t>Fluorescent, (4) 36", T-8 lamp, Rapid Start Ballast, NLO (BF: .85-.95)</t>
  </si>
  <si>
    <t>F34LL-R</t>
  </si>
  <si>
    <t>Fluorescent, (4) 36", T-8 lamp, Rapid Start Ballast, RLO (BF&lt;0.85)</t>
  </si>
  <si>
    <t>F36ILL-R</t>
  </si>
  <si>
    <t>Fluorescent, (6) 36", T-8 lamp, Instant Start Ballast, RLO (BF&lt;.85)</t>
  </si>
  <si>
    <t>F41ILL</t>
  </si>
  <si>
    <t>F32T8</t>
  </si>
  <si>
    <t>Fluorescent, (1) 48", T-8 lamp, Instant Start Ballast, NLO (BF: .85-.95)</t>
  </si>
  <si>
    <t>F41SILL</t>
  </si>
  <si>
    <t>F30T8</t>
  </si>
  <si>
    <t>Fluorescent, (1) 48", Super T-8 lamp, Instant Start Ballast, NLO (BF: .85-.95)</t>
  </si>
  <si>
    <t>F41SILL/T2</t>
  </si>
  <si>
    <t>Fluorescent, (1) 48", Super T-8 lamp, Instant Start Ballast, NLO (BF: .85-.95), Tandem 2 Lamp Ballast</t>
  </si>
  <si>
    <t>F41SILL/T3</t>
  </si>
  <si>
    <t>Fluorescent, (1) 48", Super T-8 lamp, Instant Start Ballast, NLO (BF: .85-.95), Tandem 3 Lamp Ballast</t>
  </si>
  <si>
    <t>F41SILL/T4</t>
  </si>
  <si>
    <t>Fluorescent, (1) 48", Super T-8 lamp, Instant Start Ballast, NLO (BF: .85-.95), Tandem 4 Lamp Ballast</t>
  </si>
  <si>
    <t>F41SILL-R</t>
  </si>
  <si>
    <t>Fluorescent, (1) 48", Super T-8 lamp, Instant Start Ballast, RLO (BF&lt;0.85)</t>
  </si>
  <si>
    <t>F41SILL/T2-R</t>
  </si>
  <si>
    <t>Fluorescent, (1) 48", Super T-8 lamp, IS Ballast, RLO (BF&lt;0.85), Tandem 2 Lamp Ballast</t>
  </si>
  <si>
    <t>F41SILL/T3-R</t>
  </si>
  <si>
    <t>Fluorescent, (1) 48", Super T-8 lamp, IS Ballast, RLO (BF&lt;0.85), Tandem 3 Lamp Ballast</t>
  </si>
  <si>
    <t>F41SILL/T4-R</t>
  </si>
  <si>
    <t>Fluorescent, (1) 48", Super T-8 lamp, IS Ballast, RLO (BF&lt;0.85), Tandem 4 Lamp Ballast</t>
  </si>
  <si>
    <t>F41SILL-H</t>
  </si>
  <si>
    <t>Fluorescent, (1) 48", Super T-8 lamp, Instant Start Ballast, HLO (BF:.96-1.1)</t>
  </si>
  <si>
    <t>F41SILL/T2-H</t>
  </si>
  <si>
    <t>Fluorescent, (1) 48", Super T-8 lamp, Instant Start Ballast, HLO (BF:.96-1.1), Tandem 2 Lamp Ballast</t>
  </si>
  <si>
    <t>F41SILL/T3-H</t>
  </si>
  <si>
    <t>Fluorescent, (1) 48", Super T-8 lamp, Instant Start Ballast, HLO (BF:.96-1.1), Tandem 3 Lamp Ballast</t>
  </si>
  <si>
    <t>F41SSILL</t>
  </si>
  <si>
    <t>F28T8</t>
  </si>
  <si>
    <t>F41SSILL/T2</t>
  </si>
  <si>
    <t>F41SSILL/T3</t>
  </si>
  <si>
    <t>F41SSILL/T4</t>
  </si>
  <si>
    <t>F41SSILL-R</t>
  </si>
  <si>
    <t>F41SSILL/T2-R</t>
  </si>
  <si>
    <t>F41SSILL/T3-R</t>
  </si>
  <si>
    <t>F41SSILL/T4-R</t>
  </si>
  <si>
    <t>F41SSILL-H</t>
  </si>
  <si>
    <t>F41SSILL/T2-H</t>
  </si>
  <si>
    <t>F41SSILL/T3-H</t>
  </si>
  <si>
    <t>F41ILL/T2</t>
  </si>
  <si>
    <t>Fluorescent, (1) 48", T-8 lamp, Instant Start Ballast, NLO (BF: .85-.95), Tandem 2 Lamp Ballast</t>
  </si>
  <si>
    <t>F41ILL/T2-H</t>
  </si>
  <si>
    <t>Fluorescent, (1) 48", T-8 lamp, Instant Start Ballast, HLO (BF:.96-1.1), Tandem 2 Lamp Ballast</t>
  </si>
  <si>
    <t>F41ILL/T2-R</t>
  </si>
  <si>
    <t>Fluorescent, (1) 48", T-8 lamp, IS Ballast, RLO (BF&lt;0.85), Tandem 2 Lamp Ballast</t>
  </si>
  <si>
    <t>F41ILL/T3</t>
  </si>
  <si>
    <t>Fluorescent, (1) 48", T-8 lamp, Instant Start Ballast, NLO (BF: .85-.95), Tandem 3 Lamp Ballast</t>
  </si>
  <si>
    <t>F41ILL/T3-H</t>
  </si>
  <si>
    <t>Fluorescent, (1) 48", T-8 lamp, Instant Start Ballast, HLO (BF:.96-1.1), Tandem 3 Lamp Ballast</t>
  </si>
  <si>
    <t>F41ILL/T3-R</t>
  </si>
  <si>
    <t>Fluorescent, (1) 48", T-8 lamp, IS Ballast, RLO (BF&lt;0.85), Tandem 3 Lamp Ballast</t>
  </si>
  <si>
    <t>F41ILL/T4</t>
  </si>
  <si>
    <t>Fluorescent, (1) 48", T-8 lamp, Instant Start Ballast, NLO (BF: .85-.95), Tandem 4 Lamp Ballast</t>
  </si>
  <si>
    <t>Fluorescent, (1) 48", T-8 lamp, IS Ballast, RLO (BF&lt;0.85), Tandem 4 Lamp Ballast</t>
  </si>
  <si>
    <t>F41ILL-H</t>
  </si>
  <si>
    <t>Fluorescent, (1) 48", T-8 lamp, Instant Start Ballast, HLO (BF:.96-1.1)</t>
  </si>
  <si>
    <t>F41LE</t>
  </si>
  <si>
    <t>Fluorescent, (1) 48", T-8 lamp</t>
  </si>
  <si>
    <t>F41LL</t>
  </si>
  <si>
    <t>Fluorescent, (1) 48", T-8 lamp, Rapid Start Ballast, NLO (BF: .85-.95)</t>
  </si>
  <si>
    <t>F41LL/T2</t>
  </si>
  <si>
    <t>Fluorescent, (1) 48", T-8 lamp, Rapid Start Ballast, NLO (BF: .85-.95), Tandem 2 Lamp Ballast</t>
  </si>
  <si>
    <t>F41LL/T2-H</t>
  </si>
  <si>
    <t>Fluorescent, (1) 48", T-8 lamp, Rapid Start Ballast, HLO (BF:.96-1.1), Tandem 2 Lamp Ballast</t>
  </si>
  <si>
    <t>F41LL/T2-R</t>
  </si>
  <si>
    <t>Fluorescent, (1) 48", T-8 lamp, Rapid Start Ballast, RLO (BF&lt;0.85), Tandem 2 Lamp Ballast</t>
  </si>
  <si>
    <t>F41LL/T3</t>
  </si>
  <si>
    <t>Fluorescent, (1) 48", T-8 lamp, Rapid Start Ballast, NLO (BF: .85-.95), Tandem 3 Lamp Ballast</t>
  </si>
  <si>
    <t>F41LL/T3-H</t>
  </si>
  <si>
    <t>Fluorescent, (1) 48", T-8 lamp, Rapid Start Ballast, HLO (BF:.96-1.1), Tandem 3 Lamp Ballast</t>
  </si>
  <si>
    <t>F41LL/T3-R</t>
  </si>
  <si>
    <t>Fluorescent, (1) 48", T-8 lamp, Rapid Start Ballast, RLO (BF&lt;0.85), Tandem 3 Lamp Ballast</t>
  </si>
  <si>
    <t>F41LL/T4</t>
  </si>
  <si>
    <t>Fluorescent, (1) 48", T-8 lamp, Rapid Start Ballast, NLO (BF: .85-.95), Tandem 4 Lamp Ballast</t>
  </si>
  <si>
    <t>F41LL/T4-R</t>
  </si>
  <si>
    <t>Fluorescent, (1) 48", T-8 lamp, Rapid Start Ballast, RLO (BF&lt;0.85), Tandem 4 Lamp Ballast</t>
  </si>
  <si>
    <t>F41LL-H</t>
  </si>
  <si>
    <t>Fluorescent, (1) 48", T-8 lamp, Rapid Start Ballast, HLO (BF:.96-1.1)</t>
  </si>
  <si>
    <t>F41LL-R</t>
  </si>
  <si>
    <t>Fluorescent, (1) 48", T-8 lamp, Rapid Start Ballast, RLO (BF&lt;0.85)</t>
  </si>
  <si>
    <t>F41RSILL</t>
  </si>
  <si>
    <t>Fluorescent, (1) 48", 25W T-8 lamp, Instant Start Ballast, NLO (BF: .85-.95)</t>
  </si>
  <si>
    <t>F41RSILL/T2</t>
  </si>
  <si>
    <t>Fluorescent, (1) 48", 25W T-8 lamp, Instant Start Ballast, NLO (BF: .85-.95), Tandem 2 Lamp Ballast</t>
  </si>
  <si>
    <t>F41RSILL/T3</t>
  </si>
  <si>
    <t>Fluorescent, (1) 48", 25W T-8 lamp, Instant Start Ballast, NLO (BF: .85-.95), Tandem 3 Lamp Ballast</t>
  </si>
  <si>
    <t>F41RSILL/T4</t>
  </si>
  <si>
    <t>Fluorescent, (1) 48", 25W T-8 lamp, Instant Start Ballast, NLO (BF: .85-.95), Tandem 4 Lamp Ballast</t>
  </si>
  <si>
    <t>F41RSILL-R</t>
  </si>
  <si>
    <t>Fluorescent, (1) 48", 25W T-8 lamp, Instant Start Ballast, RLO (BF&lt;0.85)</t>
  </si>
  <si>
    <t>F41RSILL-R/T2</t>
  </si>
  <si>
    <t>Fluorescent, (1) 48", 25W T-8 lamp, Instant Start Ballast, RLO (BF&lt;0.85), Tandem 2 Lamp Ballast</t>
  </si>
  <si>
    <t>F41RSILL-R/T3</t>
  </si>
  <si>
    <t>Fluorescent, (1) 48", 25W T-8 lamp, Instant Start Ballast, RLO (BF&lt;0.85), Tandem 3 Lamp Ballast</t>
  </si>
  <si>
    <t>F41RSILL-R/T4</t>
  </si>
  <si>
    <t>Fluorescent, (1) 48", 25W T-8 lamp, Instant Start Ballast, RLO (BF&lt;0.85), Tandem 4 Lamp Ballast</t>
  </si>
  <si>
    <t>F41RSILL-H</t>
  </si>
  <si>
    <t>Fluorescent, (1) 48", 25W T-8 lamp, Instant Start Ballast, HLO (BF:.96 - 1.2)</t>
  </si>
  <si>
    <t>F41RSILL-H/T2</t>
  </si>
  <si>
    <t>Fluorescent, (1) 48", 25W T-8 lamp, Instant Start Ballast, HLO (BF:.96 - 1.2), Tandem 2 Lamp Ballast</t>
  </si>
  <si>
    <t>F41RSILL-H/T3</t>
  </si>
  <si>
    <t>Fluorescent, (1) 48", 25W T-8 lamp, Instant Start Ballast, HLO (BF:.96 - 1.2), Tandem 3 Lamp Ballast</t>
  </si>
  <si>
    <t>F41RSILL-H/T4</t>
  </si>
  <si>
    <t>Fluorescent, (1) 48", 25W T-8 lamp, Instant Start Ballast, HLO (BF:.96 - 1.2), Tandem 4 Lamp Ballast</t>
  </si>
  <si>
    <t>F42ILL</t>
  </si>
  <si>
    <t>Fluorescent, (2) 48", T-8 lamp, Instant Start Ballast, NLO (BF: .85-.95)</t>
  </si>
  <si>
    <t>F42SILL</t>
  </si>
  <si>
    <t>Fluorescent, (2) 48", Super T-8 lamp, Instant Start Ballast, NLO (BF: .85-.95)</t>
  </si>
  <si>
    <t>F42SILL/T4</t>
  </si>
  <si>
    <t>Fluorescent, (2) 48", Super T-8 lamp, Instant Start Ballast, NLO (BF: .85-.95), Tandem 4 Lamp Ballast</t>
  </si>
  <si>
    <t>F42SILL-R</t>
  </si>
  <si>
    <t>Fluorescent, (2) 48", Super T-8 lamp, Instant Start Ballast, RLO (BF&lt;0.85)</t>
  </si>
  <si>
    <t>F42SILL/T4-R</t>
  </si>
  <si>
    <t>Fluorescent, (2) 48", Super T-8 lamp, IS Ballast, RLO (BF&lt;0.85), Tandem 4 Lamp Ballast</t>
  </si>
  <si>
    <t>F42SILL-H</t>
  </si>
  <si>
    <t>Fluorescent, (2) 48", Super T-8 lamp, Instant Start Ballast, HLO (BF:.96-2.2)</t>
  </si>
  <si>
    <t>F42SSILL</t>
  </si>
  <si>
    <t>F42SSILL/T4</t>
  </si>
  <si>
    <t>F42SSILL-R</t>
  </si>
  <si>
    <t>F42SSILL/T4-R</t>
  </si>
  <si>
    <t>F42SSILL-H</t>
  </si>
  <si>
    <t>F42ILL/T4</t>
  </si>
  <si>
    <t>Fluorescent, (2) 48", T-8 lamp, Instant Start Ballast, NLO (BF: .85-.95), Tandem 4 Lamp Ballast</t>
  </si>
  <si>
    <t>F42ILL/T4-R</t>
  </si>
  <si>
    <t>Fluorescent, (2) 48", T-8 lamp, Instant Start Ballast, RLO (BF&lt;0.85), Tandem 4 Lamp Ballast</t>
  </si>
  <si>
    <t>F42ILL-H</t>
  </si>
  <si>
    <t>Fluorescent, (2) 48", T-8 lamp, Instant Start Ballast, HLO (BF:.96-1.1)</t>
  </si>
  <si>
    <t>F42ILL-R</t>
  </si>
  <si>
    <t>Fluorescent, (2) 48", T-8 lamp, Instant Start Ballast, RLO (BF&lt;0.85)</t>
  </si>
  <si>
    <t>F42ILL-V</t>
  </si>
  <si>
    <t>Fluorescent, (2) 48", T-8 lamp, Instant Start Ballast, VHLO (BF&gt;1.1)</t>
  </si>
  <si>
    <t>F42LE</t>
  </si>
  <si>
    <t>Fluorescent, (2) 48", T-8 lamp</t>
  </si>
  <si>
    <t>F42LL</t>
  </si>
  <si>
    <t>Fluorescent, (2) 48", T-8 lamp, Rapid Start Ballast, NLO (BF: .85-.95)</t>
  </si>
  <si>
    <t>F42LL/T4</t>
  </si>
  <si>
    <t>Fluorescent, (2) 48", T-8 lamp, Rapid Start Ballast, NLO (BF: .85-.95), Tandem 4 Lamp Ballast</t>
  </si>
  <si>
    <t>F42LL/T4-R</t>
  </si>
  <si>
    <t>Fluorescent, (2) 48", T-8 lamp, Rapid Start Ballast, RLO (BF&lt;0.85), Tandem 4 Lamp Ballast</t>
  </si>
  <si>
    <t>F42LL-H</t>
  </si>
  <si>
    <t>Fluorescent, (2) 48", T-8 lamp, Rapid Start Ballast, HLO (BF:.96-1.1)</t>
  </si>
  <si>
    <t>F42LL-R</t>
  </si>
  <si>
    <t>Fluorescent, (2) 48", T-8 lamp, Rapid Start Ballast, RLO (BF&lt;0.85)</t>
  </si>
  <si>
    <t>F42LL-V</t>
  </si>
  <si>
    <t>Fluorescent, (2) 48", T-8 lamp, Rapid Start Ballast, VHLO (BF&gt;1.1)</t>
  </si>
  <si>
    <t>F42RSILL</t>
  </si>
  <si>
    <t>Fluorescent, (2) 48", 25W T-8 lamp, Instant Start Ballast, NLO (BF: .85-.95)</t>
  </si>
  <si>
    <t>F42RSILL/T4</t>
  </si>
  <si>
    <t>Fluorescent, (2) 48", 25W T-8 lamp, Instant Start Ballast, NLO (BF: .85-.95), Tandem 4 Lamp Ballast</t>
  </si>
  <si>
    <t>F42RSILL-R</t>
  </si>
  <si>
    <t>Fluorescent, (2) 48", 25W T-8 lamp, Instant Start Ballast, RLO (BF&lt;0.85)</t>
  </si>
  <si>
    <t>F42RSILL-R/T4</t>
  </si>
  <si>
    <t>Fluorescent, (2) 48", 25W T-8 lamp, Instant Start Ballast, RLO (BF&lt;0.85), Tandem 4 Lamp Ballast</t>
  </si>
  <si>
    <t>F42RSILL-H</t>
  </si>
  <si>
    <t>Fluorescent, (2) 48", 25W T-8 lamp, Instant Start Ballast, HLO (BF:.96 - 1.2)</t>
  </si>
  <si>
    <t>F42RSILL-H/T4</t>
  </si>
  <si>
    <t>Fluorescent, (2) 48", 25W T-8 lamp, Instant Start Ballast, HLO (BF:.96 - 1.2), Tandem 4 Lamp Ballast</t>
  </si>
  <si>
    <t>F43ILL</t>
  </si>
  <si>
    <t>Fluorescent, (3) 48", T-8 lamp, Instant Start Ballast, NLO (BF: .85-.95)</t>
  </si>
  <si>
    <t>F43SILL</t>
  </si>
  <si>
    <t>Fluorescent, (3) 48", Super T-8 lamp, Instant Start Ballast, NLO (BF: .85-.95)</t>
  </si>
  <si>
    <t>F43SILL-R</t>
  </si>
  <si>
    <t>Fluorescent, (3) 48", Super T-8 lamp, Instant Start Ballast, RLO (BF&lt;0.85)</t>
  </si>
  <si>
    <t>F43SILL-H</t>
  </si>
  <si>
    <t>Fluorescent, (3) 48", Super T-8 lamp, Instant Start Ballast, HLO (BF:.96-3.3)</t>
  </si>
  <si>
    <t>F43SSILL</t>
  </si>
  <si>
    <t>F43SSILL-R</t>
  </si>
  <si>
    <t>F43SSILL-H</t>
  </si>
  <si>
    <t>F43ILL/2</t>
  </si>
  <si>
    <t>Fluorescent, (3) 48", T-8 lamp, Instant Start Ballast, NLO (BF: .85-.95), (2) ballast</t>
  </si>
  <si>
    <t>F43ILL-H</t>
  </si>
  <si>
    <t>Fluorescent, (3) 48", T-8 lamp, Instant Start Ballast, HLO (BF:.96-1.1)</t>
  </si>
  <si>
    <t>F43ILL-R</t>
  </si>
  <si>
    <t>Fluorescent, (3) 48", T-8 lamp, Instant Start Ballast, RLO (BF&lt;0.85)</t>
  </si>
  <si>
    <t>F43ILL-V</t>
  </si>
  <si>
    <t>Fluorescent, (3) 48", T-8 lamp, Instant Start Ballast, VHLO (BF&gt;1.1)</t>
  </si>
  <si>
    <t>F43LE</t>
  </si>
  <si>
    <t>Fluorescent, (3) 48", T-8 lamp</t>
  </si>
  <si>
    <t>F43LL</t>
  </si>
  <si>
    <t>Fluorescent, (3) 48", T-8 lamp, Rapid Start Ballast, NLO (BF: .85-.95)</t>
  </si>
  <si>
    <t>F43LL/2</t>
  </si>
  <si>
    <t>Fluorescent, (3) 48", T-8 lamp, Rapid Start Ballast, NLO (BF: .85-.95), (2) ballast</t>
  </si>
  <si>
    <t>F43LL-H</t>
  </si>
  <si>
    <t>Fluorescent, (3) 48", T-8 lamp, Rapid Start Ballast, HLO (BF:.96-1.1)</t>
  </si>
  <si>
    <t>F43LL-R</t>
  </si>
  <si>
    <t>Fluorescent, (3) 48", T-8 lamp, Rapid Start Ballast, RLO (BF&lt;0.85)</t>
  </si>
  <si>
    <t>F43RSILL</t>
  </si>
  <si>
    <t>Fluorescent, (3) 48", 25W T-8 lamp, Instant Start Ballast, NLO (BF: .85-.95)</t>
  </si>
  <si>
    <t>F43RSILL-R</t>
  </si>
  <si>
    <t>Fluorescent, (3) 48", 25W T-8 lamp, Instant Start Ballast, RLO (BF&lt;0.85)</t>
  </si>
  <si>
    <t>F43RSILL-H</t>
  </si>
  <si>
    <t>Fluorescent, (3) 48", 25W T-8 lamp, Instant Start Ballast, HLO (BF:.96 - 1.2)</t>
  </si>
  <si>
    <t>F44ILL</t>
  </si>
  <si>
    <t>Fluorescent, (4) 48", T-8 lamp, Instant Start Ballast, NLO (BF: .85-.95)</t>
  </si>
  <si>
    <t>F44ILL-V</t>
  </si>
  <si>
    <t>Fluorescent, (4) 48", T-8 lamp, Instant Start Ballast, VHLO (BF&gt;1.1)</t>
  </si>
  <si>
    <t>F44SILL</t>
  </si>
  <si>
    <t>Fluorescent, (4) 48", Super T-8 lamp, Instant Start Ballast, NLO (BF: .85-.95)</t>
  </si>
  <si>
    <t>F44SILL-R</t>
  </si>
  <si>
    <t>Fluorescent, (4) 48", Super T-8 lamp, Instant Start Ballast, RLO (BF&lt;0.85)</t>
  </si>
  <si>
    <t>F44SILL-H</t>
  </si>
  <si>
    <t>Fluorescent, (4) 48", Super T-8 lamp, Instant Start Ballast, HLO (BF:.96-4.4)</t>
  </si>
  <si>
    <t>F44SSILL</t>
  </si>
  <si>
    <t>F44SSILL-R</t>
  </si>
  <si>
    <t>F44SSILL-H</t>
  </si>
  <si>
    <t>F44ILL/2</t>
  </si>
  <si>
    <t>Fluorescent, (4) 48", T-8 lamp, Instant Start Ballast, NLO (BF: .85-.95), (2) ballast</t>
  </si>
  <si>
    <t>F44ILL-R</t>
  </si>
  <si>
    <t>Fluorescent, (4) 48", T-8 lamp, Instant Start Ballast, RLO (BF&lt;0.85)</t>
  </si>
  <si>
    <t>F44LE</t>
  </si>
  <si>
    <t>Fluorescent, (4) 48", T-8 lamp</t>
  </si>
  <si>
    <t>F44LL</t>
  </si>
  <si>
    <t>Fluorescent, (4) 48", T-8 lamp, Rapid Start Ballast, NLO (BF: .85-.95)</t>
  </si>
  <si>
    <t>F44LL/2</t>
  </si>
  <si>
    <t>Fluorescent, (4) 48", T-8 lamp, Rapid Start Ballast, NLO (BF: .85-.95), (2) ballast</t>
  </si>
  <si>
    <t>F44LL-R</t>
  </si>
  <si>
    <t>Fluorescent, (4) 48", T-8 lamp, Rapid Start Ballast, RLO (BF&lt;0.85)</t>
  </si>
  <si>
    <t>F44ILL-H</t>
  </si>
  <si>
    <t>Fluorescent, (4) 48", T-8 lamp, Instant Start Ballast, HLO (BF: .96-1.2)</t>
  </si>
  <si>
    <t>F44RSILL</t>
  </si>
  <si>
    <t>Fluorescent, (4) 48", 25W T-8 lamp, Instant Start Ballast, NLO (BF: .85-.95)</t>
  </si>
  <si>
    <t>F44RSILL-R</t>
  </si>
  <si>
    <t>Fluorescent, (4) 48", 25W T-8 lamp, Instant Start Ballast, RLO (BF&lt;0.85)</t>
  </si>
  <si>
    <t>F44RSILL-H</t>
  </si>
  <si>
    <t>Fluorescent, (4) 48", 25W T-8 lamp, Instant Start Ballast, HLO (BF:.96 - 1.2)</t>
  </si>
  <si>
    <t>F45ILL</t>
  </si>
  <si>
    <t>Fluorescent, (5) 48", T-8 lamp, (1) 3-lamp IS ballast and (1) 2-lamp IS ballast, NLO (BF: .85-.95)</t>
  </si>
  <si>
    <t>F46ILL</t>
  </si>
  <si>
    <t>Fluorescent, (6) 48", T-8 lamp, Instant Start Ballast, NLO (BF: .85-.95)</t>
  </si>
  <si>
    <t>F46ILL-R</t>
  </si>
  <si>
    <t>Fluorescent, (6) 48", T-8 lamp, Instant Start Ballast, RLO (BF&lt; .85)</t>
  </si>
  <si>
    <t>F46LL</t>
  </si>
  <si>
    <t>Fluorescent, (6) 48", T-8 lamp,  NLO (BF: .85-.95)</t>
  </si>
  <si>
    <t>F46ILL-H</t>
  </si>
  <si>
    <t>Fluorescent, (6) 48", T-8 lamp, Instant Start Ballast, HLO (BF: .96-1.2)</t>
  </si>
  <si>
    <t>F46ILL-V</t>
  </si>
  <si>
    <t>Fluorescent, (6) 48", T-8 lamp, Instant Start Ballast, VLO (BF: &gt;1.2)</t>
  </si>
  <si>
    <t>F46SIL</t>
  </si>
  <si>
    <t>Fluorescent, (6) 48", 30W T-8 lamp, Instant Start Ballast, NLO (BF: .85-.95)</t>
  </si>
  <si>
    <t>F46SSIL</t>
  </si>
  <si>
    <t>Fluorescent, (6) 48", 28W T-8 lamp, Instant Start Ballast, NLO (BF: .85-.95)</t>
  </si>
  <si>
    <t>F48ILL</t>
  </si>
  <si>
    <t>Fluorescent, (8) 48", T-8 lamp, Instant Start Ballast, NLO (BF: .85-.95)</t>
  </si>
  <si>
    <t>F48ILL-R</t>
  </si>
  <si>
    <t>Fluorescent, (8) 48", T-8 lamp, Instant Start Ballast, RLO (BF&lt;0.85)</t>
  </si>
  <si>
    <t>F48LHL</t>
  </si>
  <si>
    <t>F48T8/HO</t>
  </si>
  <si>
    <t>Fluorescent, (8) 48", T-8 HO lamp,  NLO (BF: 0.95), 4 Ballasts</t>
  </si>
  <si>
    <t>F410GHL</t>
  </si>
  <si>
    <t>F48T5/HO</t>
  </si>
  <si>
    <t>Fluorescent, (10) 48", STD HO T5 lamp</t>
  </si>
  <si>
    <t>F412GHL</t>
  </si>
  <si>
    <t>Fluorescent, (12) 48", STD HO T5 lamp</t>
  </si>
  <si>
    <t>F51ILL</t>
  </si>
  <si>
    <t>F40T8</t>
  </si>
  <si>
    <t>Fluorescent, (1) 60", T-8 lamp, Instant Start Ballast, NLO (BF: .85-.95)</t>
  </si>
  <si>
    <t>F51ILL/T2</t>
  </si>
  <si>
    <t>Fluorescent, (1) 60", T-8 lamp, Instant Start Ballast, NLO (BF: .85-.95), Tandem 2 Lamp Ballast</t>
  </si>
  <si>
    <t>F51ILL/T3</t>
  </si>
  <si>
    <t>Fluorescent, (1) 60", T-8 lamp, Instant Start Ballast, NLO (BF: .85-.95), Tandem 3 Lamp Ballast</t>
  </si>
  <si>
    <t>F51ILL/T4</t>
  </si>
  <si>
    <t>Fluorescent, (1) 60", T-8 lamp, Instant Start Ballast, NLO (BF: .85-.95), Tandem 4 Lamp Ballast</t>
  </si>
  <si>
    <t>F51ILL-R</t>
  </si>
  <si>
    <t>Fluorescent, (1) 60", T-8 lamp, Instant Start Ballast, RLO (BF&lt;0.85)</t>
  </si>
  <si>
    <t>F52ILL</t>
  </si>
  <si>
    <t>Fluorescent, (2) 60", T-8 lamp, Instant Start Ballast, NLO (BF: .85-.95)</t>
  </si>
  <si>
    <t>F52ILL/T4</t>
  </si>
  <si>
    <t>Fluorescent, (2) 60", T-8 lamp, Instant Start Ballast, NLO (BF: .85-.95), Tandem 2 Lamp Ballast</t>
  </si>
  <si>
    <t>F52ILL-H</t>
  </si>
  <si>
    <t>Fluorescent, (2) 60", T-8 lamp, Instant Start Ballast, HLO (BF:.96-1.1)</t>
  </si>
  <si>
    <t>F52ILL-R</t>
  </si>
  <si>
    <t>Fluorescent, (2) 60", T-8 lamp, Instant Start Ballast, RLO (BF&lt;0.85)</t>
  </si>
  <si>
    <t>F53ILL</t>
  </si>
  <si>
    <t>Fluorescent, (3) 60", T-8 lamp, Instant Start Ballast, NLO (BF: .85-.95)</t>
  </si>
  <si>
    <t>F53ILL-H</t>
  </si>
  <si>
    <t>Fluorescent, (3) 60", T-8 lamp, Instant Start Ballast, HLO (BF:.96-1.1)</t>
  </si>
  <si>
    <t>F54ILL</t>
  </si>
  <si>
    <t>Fluorescent, (4) 60", T-8 lamp, Instant Start Ballast, NLO (BF: .85-.95)</t>
  </si>
  <si>
    <t>F54ILL-H</t>
  </si>
  <si>
    <t>Fluorescent, (4) 60", T-8 lamp, Instant Start Ballast, HLO (BF:.96-1.1)</t>
  </si>
  <si>
    <t>F62ILHL</t>
  </si>
  <si>
    <t>F72T8</t>
  </si>
  <si>
    <t>Fluorescent, (2) 72", T-8 HO lamp, Instant Start Ballast</t>
  </si>
  <si>
    <t>F81ILL</t>
  </si>
  <si>
    <t>F96T8</t>
  </si>
  <si>
    <t>Fluorescent, (1) 96", T-8 lamp, Instant Start Ballast, NLO (BF: .85-.95)</t>
  </si>
  <si>
    <t>F81ILL/T2</t>
  </si>
  <si>
    <t>Fluorescent, (1) 96", T-8 lamp, Instant Start Ballast, NLO (BF: .85-.95), Tandem 2 Lamp Ballast</t>
  </si>
  <si>
    <t>F81ILL/T2-R</t>
  </si>
  <si>
    <t>Fluorescent, (1) 96", T-8 lamp, Instant Start Ballast, RLO (BF&lt;.85), Tandem 2 Lamp Ballast</t>
  </si>
  <si>
    <t>F81ILL-H</t>
  </si>
  <si>
    <t>Fluorescent, (1) 96", T-8 lamp, Instant Start Ballast, HLO (BF:.96-1.1)</t>
  </si>
  <si>
    <t>F81ILL-R</t>
  </si>
  <si>
    <t>Fluorescent, (1) 96", T-8 lamp, Instant Start Ballast, RLO (BF&lt;0.85)</t>
  </si>
  <si>
    <t>F81ILL-V</t>
  </si>
  <si>
    <t>Fluorescent, (1) 96", T-8 lamp, Instant Start Ballast, VHLO (BF&gt;1.1)</t>
  </si>
  <si>
    <t>F81LHL</t>
  </si>
  <si>
    <t>F96T8/HO</t>
  </si>
  <si>
    <t>Fluorescent, (1) 96", T8 HO lamp</t>
  </si>
  <si>
    <t>F81LHL/T2</t>
  </si>
  <si>
    <t>Fluorescent, (1) 96", T8 HO lamp, tandem wired to 2-lamp ballast</t>
  </si>
  <si>
    <t>F82ILL</t>
  </si>
  <si>
    <t>Fluorescent, (2) 96", T-8 lamp, Instant Start Ballast, NLO (BF: .85-.95)</t>
  </si>
  <si>
    <t>F82ILL-R</t>
  </si>
  <si>
    <t>Fluorescent, (2) 96", T-8 lamp, Instant Start Ballast, RLO (BF&lt;0.85)</t>
  </si>
  <si>
    <t>F82LHL</t>
  </si>
  <si>
    <t>Fluorescent, (2) 96", T8 HO lamp</t>
  </si>
  <si>
    <t>F83ILL</t>
  </si>
  <si>
    <t>Fluorescent, (3) 96", T-8 lamp, Instant Start Ballast, NLO (BF: .85-.95)</t>
  </si>
  <si>
    <t>F84ILL</t>
  </si>
  <si>
    <t>Fluorescent, (4) 96", T-8 lamp, Instant Start Ballast, NLO (BF: .85-.95)</t>
  </si>
  <si>
    <t>F84LHL</t>
  </si>
  <si>
    <t>Fluorescent, (4) 96", T8 HO lamp</t>
  </si>
  <si>
    <t>F86ILL</t>
  </si>
  <si>
    <t>Fluorescent, (6) 96", T-8 lamp, Instant Start Ballast, NLO (BF: .85-.95)</t>
  </si>
  <si>
    <t>F21GL</t>
  </si>
  <si>
    <t>T5 Linear Fluorescent</t>
  </si>
  <si>
    <t>F24T5</t>
  </si>
  <si>
    <t>Fluorescent, (1) 24", STD T5 lamp</t>
  </si>
  <si>
    <t>F21GHL</t>
  </si>
  <si>
    <t>F24T5/HO</t>
  </si>
  <si>
    <t>Fluorescent, (1) 24", STD HO T5 lamp</t>
  </si>
  <si>
    <t>F22GHL</t>
  </si>
  <si>
    <t>Fluorescent, (2) 24", STD HO T5 lamp</t>
  </si>
  <si>
    <t>F22GL</t>
  </si>
  <si>
    <t>Fluorescent, (2) 24", STD T5 lamp</t>
  </si>
  <si>
    <t>F31GHL</t>
  </si>
  <si>
    <t>F36T5/HO</t>
  </si>
  <si>
    <t>Fluorescent, (1) 36", STD HO T5 lamp</t>
  </si>
  <si>
    <t>F31GL</t>
  </si>
  <si>
    <t>F36T5</t>
  </si>
  <si>
    <t>Fluorescent, (1) 36", STD T5 lamp</t>
  </si>
  <si>
    <t>F32GHL</t>
  </si>
  <si>
    <t>Fluorescent, (2) 36", STD HO T5 lamp</t>
  </si>
  <si>
    <t>F32SHS</t>
  </si>
  <si>
    <t>F36T12/HO</t>
  </si>
  <si>
    <t>Fluorescent, (2) 36", HO, lamp</t>
  </si>
  <si>
    <t>F32GL</t>
  </si>
  <si>
    <t>F41GHL</t>
  </si>
  <si>
    <t>Fluorescent, (1) 48", STD HO T5 lamp</t>
  </si>
  <si>
    <t>F41GL</t>
  </si>
  <si>
    <t>F48T5</t>
  </si>
  <si>
    <t>Fluorescent, (1) 48", STD T5 lamp</t>
  </si>
  <si>
    <t>F41GHL-H</t>
  </si>
  <si>
    <t>F54T5/HO</t>
  </si>
  <si>
    <t>Fluorescent, (1) 48", STD HO T5 lamp HLO (BF:  .96-1.2)</t>
  </si>
  <si>
    <t>F42GHL</t>
  </si>
  <si>
    <t>Fluorescent, (2) 48", STD HO T5 lamp</t>
  </si>
  <si>
    <t>F42GHL-H</t>
  </si>
  <si>
    <t>Fluorescent, (2) 48", STD HO T5 lamp HLO (BF:  .96-1.2)</t>
  </si>
  <si>
    <t>F43GHL</t>
  </si>
  <si>
    <t>Fluorescent, (3) 48", STD HO T5 lamp</t>
  </si>
  <si>
    <t>F43GHL-H</t>
  </si>
  <si>
    <t>Fluorescent, (3) 48", STD HO T5 lamp HLO (BF:  .96-1.2)</t>
  </si>
  <si>
    <t>F44GHL</t>
  </si>
  <si>
    <t>Fluorescent, (4) 48", STD HO T5 lamp</t>
  </si>
  <si>
    <t>F44GHL-H</t>
  </si>
  <si>
    <t>Fluorescent, (4) 48", STD HO T5 lamp HLO (BF:  .96-1.2)</t>
  </si>
  <si>
    <t>F45GHL</t>
  </si>
  <si>
    <t>Fluorescent, (5) 48", STD HO T5 lamp</t>
  </si>
  <si>
    <t>F46GHL</t>
  </si>
  <si>
    <t>Fluorescent, (6) 48", STD HO T5 lamp</t>
  </si>
  <si>
    <t>F46GHL-H</t>
  </si>
  <si>
    <t>Fluorescent, (6) 48", STD HO T5 lamp HLO (BF:  .96-1.2)</t>
  </si>
  <si>
    <t>F48GHL</t>
  </si>
  <si>
    <t>Fluorescent, (8) 48", STD HO T5 lamp</t>
  </si>
  <si>
    <t>F51GHL</t>
  </si>
  <si>
    <t>F60T5/HO</t>
  </si>
  <si>
    <t>Fluorescent, (1) 60", STD HO T5 lamp</t>
  </si>
  <si>
    <t>F51GL</t>
  </si>
  <si>
    <t>F60T5</t>
  </si>
  <si>
    <t>Fluorescent, (1) 60", STD T5 lamp</t>
  </si>
  <si>
    <t>F52GL</t>
  </si>
  <si>
    <t>Fluorescent, (2) 60", STD T5 lamp</t>
  </si>
  <si>
    <t>F1.51SS</t>
  </si>
  <si>
    <t>T12 Linear Fluorescent</t>
  </si>
  <si>
    <t>F15T12</t>
  </si>
  <si>
    <t>Fluorescent, (1) 18" T12 lamp</t>
  </si>
  <si>
    <t>F1.52SS</t>
  </si>
  <si>
    <t>Fluorescent, (2) 18", T12 lamp</t>
  </si>
  <si>
    <t>F21HS</t>
  </si>
  <si>
    <t>F24T12/HO</t>
  </si>
  <si>
    <t>Fluorescent, (1) 24", HO lamp</t>
  </si>
  <si>
    <t>F21SE</t>
  </si>
  <si>
    <t>F20T12</t>
  </si>
  <si>
    <t>Fluorescent, (1) 24", STD lamp</t>
  </si>
  <si>
    <t>F21SS</t>
  </si>
  <si>
    <t>F22SHS</t>
  </si>
  <si>
    <t>Fluorescent, (2) 24", HO lamp</t>
  </si>
  <si>
    <t>F22SE</t>
  </si>
  <si>
    <t>Fluorescent, (2) 24", STD lamp</t>
  </si>
  <si>
    <t>F22SS</t>
  </si>
  <si>
    <t>F23SE</t>
  </si>
  <si>
    <t>Fluorescent, (3) 24", STD lamp</t>
  </si>
  <si>
    <t>F23SS</t>
  </si>
  <si>
    <t>F24SE</t>
  </si>
  <si>
    <t>Fluorescent, (4) 24", STD lamp</t>
  </si>
  <si>
    <t>F24SS</t>
  </si>
  <si>
    <t>F26SE</t>
  </si>
  <si>
    <t>Fluorescent, (6) 24", STD lamp</t>
  </si>
  <si>
    <t>F26ILL</t>
  </si>
  <si>
    <t>F26SS</t>
  </si>
  <si>
    <t>F31EE</t>
  </si>
  <si>
    <t>F30T12/ES</t>
  </si>
  <si>
    <t>Fluorescent, (1) 36", ES lamp</t>
  </si>
  <si>
    <t>F31EE/T2</t>
  </si>
  <si>
    <t>Fluorescent, (1) 36", ES lamp, Tandem wired</t>
  </si>
  <si>
    <t>F31EL</t>
  </si>
  <si>
    <t>Fluorescent, (1) 36", ES  lamp</t>
  </si>
  <si>
    <t>F31ES</t>
  </si>
  <si>
    <t>F31ES/T2</t>
  </si>
  <si>
    <t>Fluorescent, (1) 36", ES  lamp, Tandem wired</t>
  </si>
  <si>
    <t>F31SE/T2</t>
  </si>
  <si>
    <t>F30T12</t>
  </si>
  <si>
    <t>Fluorescent, (1) 36", STD lamp, Tandem wired</t>
  </si>
  <si>
    <t>F31SHS</t>
  </si>
  <si>
    <t>Fluorescent, (1) 36", HO lamp</t>
  </si>
  <si>
    <t>F31SL</t>
  </si>
  <si>
    <t>Fluorescent, (1) 36", STD  lamp</t>
  </si>
  <si>
    <t>F31SS</t>
  </si>
  <si>
    <t>F31SS/T2</t>
  </si>
  <si>
    <t>Fluorescent, (1) 36", STD  lamp, Tandem wired</t>
  </si>
  <si>
    <t>F32EE</t>
  </si>
  <si>
    <t>Fluorescent, (2) 36", ES  lamp</t>
  </si>
  <si>
    <t>F32EL</t>
  </si>
  <si>
    <t>F32ES</t>
  </si>
  <si>
    <t>F32SE</t>
  </si>
  <si>
    <t>Fluorescent, (2) 36", STD  lamp</t>
  </si>
  <si>
    <t>F32SL</t>
  </si>
  <si>
    <t>F32SS</t>
  </si>
  <si>
    <t>F33EE</t>
  </si>
  <si>
    <t>Fluorescent, (3) 36", ES  lamp</t>
  </si>
  <si>
    <t>F33EL</t>
  </si>
  <si>
    <t>F33ES</t>
  </si>
  <si>
    <t>Fluorescent, (3) 36", ES lamp</t>
  </si>
  <si>
    <t>F33SE</t>
  </si>
  <si>
    <t>Fluorescent, (3) 36", STD lamp, (1) STD ballast and (1) ES ballast</t>
  </si>
  <si>
    <t>F33SS</t>
  </si>
  <si>
    <t>Fluorescent, (3) 36", STD lamp</t>
  </si>
  <si>
    <t>F34EE</t>
  </si>
  <si>
    <t>Fluorescent, (4) 36", ES  lamp</t>
  </si>
  <si>
    <t>F34EL</t>
  </si>
  <si>
    <t>F34SE</t>
  </si>
  <si>
    <t>Fluorescent, (4) 36", STD  lamp</t>
  </si>
  <si>
    <t>F34SL</t>
  </si>
  <si>
    <t>F34SS</t>
  </si>
  <si>
    <t>F36EE</t>
  </si>
  <si>
    <t>Fluorescent, (6) 36", ES  lamp</t>
  </si>
  <si>
    <t>F36ILL</t>
  </si>
  <si>
    <t>F36SE</t>
  </si>
  <si>
    <t>Fluorescent, (6) 36", STD  lamp</t>
  </si>
  <si>
    <t>F41EE</t>
  </si>
  <si>
    <t>F40T12/ES</t>
  </si>
  <si>
    <t>Fluorescent, (1) 48", ES lamp</t>
  </si>
  <si>
    <t>F41EE/D2</t>
  </si>
  <si>
    <t xml:space="preserve">Fluorescent, (1) 48", ES lamp, 2 ballast </t>
  </si>
  <si>
    <t>F41EE/T2</t>
  </si>
  <si>
    <t>Fluorescent, (1) 48", ES lamp, tandem wired, 2-lamp ballast</t>
  </si>
  <si>
    <t>F41EHS</t>
  </si>
  <si>
    <t>F48T12/HO/ES</t>
  </si>
  <si>
    <t>Fluorescent, (1) 48", ES HO lamp</t>
  </si>
  <si>
    <t>F41EIS</t>
  </si>
  <si>
    <t>F48T12/ES</t>
  </si>
  <si>
    <t>Fluorescent, (1) 48" ES Instant Start lamp. Magnetic ballast</t>
  </si>
  <si>
    <t>F41EL</t>
  </si>
  <si>
    <t>Fluorescent, (1) 48", T12 ES lamp, Electronic Ballast</t>
  </si>
  <si>
    <t>F41EL/T2</t>
  </si>
  <si>
    <t>Fluorescent, (1) 48", T-12 ES lamp, Rapid Start Ballast, NLO (BF: .85-.95), Tandem 2 Lamp Ballast</t>
  </si>
  <si>
    <t>F41ES</t>
  </si>
  <si>
    <t>F41EVS</t>
  </si>
  <si>
    <t>F48T12/VHO/ES</t>
  </si>
  <si>
    <t>Fluorescent, (1) 48", VHO ES lamp</t>
  </si>
  <si>
    <t>F41IAL</t>
  </si>
  <si>
    <t>F25T12</t>
  </si>
  <si>
    <t>Fluorescent, (1) 48", F25T12 lamp, Instant Start Ballast</t>
  </si>
  <si>
    <t>F41IAL/T2-R</t>
  </si>
  <si>
    <t>Fluorescent, (1) 48", F25T12 lamp, Instant Start, Tandem 2-Lamp Ballast, RLO (BF&lt;0.85)</t>
  </si>
  <si>
    <t>F41IAL/T3-R</t>
  </si>
  <si>
    <t>Fluorescent, (1) 48", F25T12 lamp, Instant Start, Tandem 3-Lamp Ballast, RLO (BF&lt;0.85)</t>
  </si>
  <si>
    <t>F41SE</t>
  </si>
  <si>
    <t>F40T12</t>
  </si>
  <si>
    <t>Fluorescent, (1) 48", STD lamp</t>
  </si>
  <si>
    <t>F41SHS</t>
  </si>
  <si>
    <t>F48T12/HO</t>
  </si>
  <si>
    <t>Fluorescent, (1) 48", STD HO lamp</t>
  </si>
  <si>
    <t>F41SIL</t>
  </si>
  <si>
    <t>F48T12</t>
  </si>
  <si>
    <t>Fluorescent, (1) 48", STD IS lamp, Electronic ballast</t>
  </si>
  <si>
    <t>F41SIL/T2</t>
  </si>
  <si>
    <t>Fluorescent, (1) 48", STD IS lamp, Electronic ballast, tandem wired</t>
  </si>
  <si>
    <t>F41SIS</t>
  </si>
  <si>
    <t xml:space="preserve">Fluorescent, (1) 48", STD IS lamp </t>
  </si>
  <si>
    <t>F41SIS/T2</t>
  </si>
  <si>
    <t>Fluorescent, (1) 48", STD IS lamp, tandem to 2-lamp ballast</t>
  </si>
  <si>
    <t>F41SL/T2</t>
  </si>
  <si>
    <t>Fluorescent, (1) 48", T-12 STD lamp, Rapid Start Ballast, NLO (BF: .85-.95), Tandem 2 Lamp Ballast</t>
  </si>
  <si>
    <t>F41SS</t>
  </si>
  <si>
    <t>F41SVS</t>
  </si>
  <si>
    <t>F48T12/VHO</t>
  </si>
  <si>
    <t>Fluorescent, (1) 48", STD VHO lamp</t>
  </si>
  <si>
    <t>F42EE</t>
  </si>
  <si>
    <t>Fluorescent, (2) 48", ES lamp</t>
  </si>
  <si>
    <t>F42EE/D2</t>
  </si>
  <si>
    <t>Fluorescent, (2) 48", ES lamp, 2 Ballasts (delamped)</t>
  </si>
  <si>
    <t>F42EHS</t>
  </si>
  <si>
    <t>Fluorescent, (2) 42", HO lamp (3.5' lamp)</t>
  </si>
  <si>
    <t>F42EIS</t>
  </si>
  <si>
    <t>Fluorescent, (2) 48" ES Instant Start lamp. Magnetic ballast</t>
  </si>
  <si>
    <t>F42EL</t>
  </si>
  <si>
    <t>Fluorescent, (2) 48", T12 ES lamps, Electronic Ballast</t>
  </si>
  <si>
    <t>F42ES</t>
  </si>
  <si>
    <t>F42EVS</t>
  </si>
  <si>
    <t>Fluorescent, (2) 48", VHO ES lamp</t>
  </si>
  <si>
    <t>F42IAL/T4-R</t>
  </si>
  <si>
    <t>Fluorescent, (2) 48", F25T12 lamp, Instant Start, Tandem 4-Lamp Ballast, RLO (BF&lt;0.85)</t>
  </si>
  <si>
    <t>F42IAL-R</t>
  </si>
  <si>
    <t>Fluorescent, (2) 48", F25T12 lamp, Instant Start Ballast, RLO (BF&lt;0.85)</t>
  </si>
  <si>
    <t>F42SE</t>
  </si>
  <si>
    <t>Fluorescent, (2) 48", STD lamp</t>
  </si>
  <si>
    <t>F42SHS</t>
  </si>
  <si>
    <t>Fluorescent, (2) 48", STD HO lamp</t>
  </si>
  <si>
    <t>F42SIL</t>
  </si>
  <si>
    <t>Fluorescent, (2) 48", STD IS lamp, Electronic ballast</t>
  </si>
  <si>
    <t>F42SIS</t>
  </si>
  <si>
    <t xml:space="preserve">Fluorescent, (2) 48", STD IS lamp </t>
  </si>
  <si>
    <t>F42GL</t>
  </si>
  <si>
    <t>Fluorescent, (2) 48", STD T5 lamp</t>
  </si>
  <si>
    <t>F42SS</t>
  </si>
  <si>
    <t>F42SVS</t>
  </si>
  <si>
    <t>Fluorescent, (2) 48", STD VHO lamp</t>
  </si>
  <si>
    <t>F43EE</t>
  </si>
  <si>
    <t>Fluorescent, (3) 48", ES lamp</t>
  </si>
  <si>
    <t>F43EHS</t>
  </si>
  <si>
    <t>Fluorescent, (3) 48", ES HO lamp (3.5' lamp)</t>
  </si>
  <si>
    <t>F43EIS</t>
  </si>
  <si>
    <t>Fluorescent, (3) 48" ES Instant Start lamp. Magnetic ballast</t>
  </si>
  <si>
    <t>F43EL</t>
  </si>
  <si>
    <t>Fluorescent, (3) 48", T12 ES lamps, Electronic Ballast</t>
  </si>
  <si>
    <t>F43ES</t>
  </si>
  <si>
    <t>F43EVS</t>
  </si>
  <si>
    <t>Fluorescent, (3) 48", VHO ES lamp</t>
  </si>
  <si>
    <t>F43IAL-R</t>
  </si>
  <si>
    <t>Fluorescent, (3) 48", F25T12 lamp, Instant Start Ballast, RLO (BF&lt;0.85)</t>
  </si>
  <si>
    <t>F43SE</t>
  </si>
  <si>
    <t>Fluorescent, (3) 48", STD lamp</t>
  </si>
  <si>
    <t>F43SHS</t>
  </si>
  <si>
    <t>Fluorescent, (3) 48", STD HO lamp</t>
  </si>
  <si>
    <t>F43SIL</t>
  </si>
  <si>
    <t>Fluorescent, (3) 48", STD IS lamp, Electronic ballast</t>
  </si>
  <si>
    <t>F43SIS</t>
  </si>
  <si>
    <t xml:space="preserve">Fluorescent, (3) 48", STD IS lamp </t>
  </si>
  <si>
    <t>F43SS</t>
  </si>
  <si>
    <t>F43SVS</t>
  </si>
  <si>
    <t>Fluorescent, (3) 48", STD VHO lamp</t>
  </si>
  <si>
    <t>F44EE</t>
  </si>
  <si>
    <t>Fluorescent, (4) 48", ES lamp</t>
  </si>
  <si>
    <t>F44EE/D4</t>
  </si>
  <si>
    <t>Fluorescent, (4) 48", ES lamp, 4 Ballasts (delamped)</t>
  </si>
  <si>
    <t>F44EHS</t>
  </si>
  <si>
    <t>Fluorescent, (4) 48", ES HO lamp</t>
  </si>
  <si>
    <t>F44EIS</t>
  </si>
  <si>
    <t>Fluorescent, (4) 48" ES Instant Start lamp, Magnetic ballast</t>
  </si>
  <si>
    <t>F44EL</t>
  </si>
  <si>
    <t>Fluorescent, (4) 48", T12 ES lamp, Electronic Ballast</t>
  </si>
  <si>
    <t>F44ES</t>
  </si>
  <si>
    <t>F44EVS</t>
  </si>
  <si>
    <t>Fluorescent, (4) 48", VHO ES lamp</t>
  </si>
  <si>
    <t>F44IAL-R</t>
  </si>
  <si>
    <t>Fluorescent, (4) 48", F25T12 lamp, Instant Start Ballast, RLO (BF&lt;0.85)</t>
  </si>
  <si>
    <t>F44SE</t>
  </si>
  <si>
    <t>Fluorescent, (4) 48", STD lamp</t>
  </si>
  <si>
    <t>F44SHS</t>
  </si>
  <si>
    <t>Fluorescent, (4) 48", STD HO lamp</t>
  </si>
  <si>
    <t>F44SIL</t>
  </si>
  <si>
    <t>Fluorescent, (4) 48", STD IS lamp, Electronic ballast</t>
  </si>
  <si>
    <t>F44SIS</t>
  </si>
  <si>
    <t xml:space="preserve">Fluorescent, (4) 48", STD IS lamp </t>
  </si>
  <si>
    <t>F44SS</t>
  </si>
  <si>
    <t>F44SVS</t>
  </si>
  <si>
    <t>Fluorescent, (4) 48", STD VHO lamp</t>
  </si>
  <si>
    <t>F46EE</t>
  </si>
  <si>
    <t>Fluorescent, (6) 48", ES lamp</t>
  </si>
  <si>
    <t>F46EL</t>
  </si>
  <si>
    <t>F46ES</t>
  </si>
  <si>
    <t>F46EHS</t>
  </si>
  <si>
    <t>Fluorescent, (6) 48", ES HO lamp (3.5' lamp)</t>
  </si>
  <si>
    <t>F46SE</t>
  </si>
  <si>
    <t>Fluorescent, (6) 48", STD lamp</t>
  </si>
  <si>
    <t>F46SS</t>
  </si>
  <si>
    <t>F48EE</t>
  </si>
  <si>
    <t>Fluorescent, (8) 48", ES lamp</t>
  </si>
  <si>
    <t>F48EHS</t>
  </si>
  <si>
    <t>Fluorescent, (8) 48", ES HO lamp (3.5' lamp)</t>
  </si>
  <si>
    <t>F51ILHL</t>
  </si>
  <si>
    <t>F60T8/HO</t>
  </si>
  <si>
    <t>Fluorescent, (1) 60", T-8 HO lamp, Instant Start Ballast</t>
  </si>
  <si>
    <t>N/A</t>
  </si>
  <si>
    <t>F51SHE</t>
  </si>
  <si>
    <t>F60T12/HO</t>
  </si>
  <si>
    <t>Fluorescent, (1) 60", STD HO lamp</t>
  </si>
  <si>
    <t>F51SHL</t>
  </si>
  <si>
    <t>F51SHS</t>
  </si>
  <si>
    <t>F51SL</t>
  </si>
  <si>
    <t>F60T12</t>
  </si>
  <si>
    <t>Fluorescent, (1) 60", STD lamp</t>
  </si>
  <si>
    <t>F51SS</t>
  </si>
  <si>
    <t>F51SVS</t>
  </si>
  <si>
    <t>F60T12/VHO</t>
  </si>
  <si>
    <t>Fluorescent, (1) 60", VHO ES lamp</t>
  </si>
  <si>
    <t>F52ILHL</t>
  </si>
  <si>
    <t>Fluorescent, (2) 60", T-8 HO lamp, Instant Start Ballast</t>
  </si>
  <si>
    <t>F52SHE</t>
  </si>
  <si>
    <t>Fluorescent, (2) 60", STD HO lamp</t>
  </si>
  <si>
    <t>F52SHL</t>
  </si>
  <si>
    <t>F52SHS</t>
  </si>
  <si>
    <t>F52SL</t>
  </si>
  <si>
    <t>Fluorescent, (2) 60", STD lamp</t>
  </si>
  <si>
    <t>F52SS</t>
  </si>
  <si>
    <t>F52SVS</t>
  </si>
  <si>
    <t>Fluorescent, (2) 60", VHO ES lamp</t>
  </si>
  <si>
    <t>F61ISL</t>
  </si>
  <si>
    <t>F72T12</t>
  </si>
  <si>
    <t>Fluorescent, (1) 72", STD lamp, IS electronic ballast</t>
  </si>
  <si>
    <t>F61ILL</t>
  </si>
  <si>
    <t>F61SE</t>
  </si>
  <si>
    <t>Fluorescent, (1) 72", STD lamp</t>
  </si>
  <si>
    <t>F61SHS</t>
  </si>
  <si>
    <t>F72T12/HO</t>
  </si>
  <si>
    <t>Fluorescent, (1) 72", STD HO lamp</t>
  </si>
  <si>
    <t>F61SS</t>
  </si>
  <si>
    <t>F61SVS</t>
  </si>
  <si>
    <t>F72T12/VHO</t>
  </si>
  <si>
    <t>Fluorescent, (1) 72", VHO lamp</t>
  </si>
  <si>
    <t>F62ISL</t>
  </si>
  <si>
    <t>Fluorescent, (2) 72", STD lamp, IS electronic ballast</t>
  </si>
  <si>
    <t>F62ILL</t>
  </si>
  <si>
    <t>F62SE</t>
  </si>
  <si>
    <t>Fluorescent, (2) 72", STD lamp</t>
  </si>
  <si>
    <t>F62SHE</t>
  </si>
  <si>
    <t>Fluorescent, (2) 72", STD HO lamp</t>
  </si>
  <si>
    <t>F62SHS</t>
  </si>
  <si>
    <t>F62SL</t>
  </si>
  <si>
    <t>F62SS</t>
  </si>
  <si>
    <t>F62SVS</t>
  </si>
  <si>
    <t>Fluorescent, (2) 72", VHO lamp</t>
  </si>
  <si>
    <t>F63ISL</t>
  </si>
  <si>
    <t>Fluorescent, (3) 72", STD lamp, IS electronic ballast</t>
  </si>
  <si>
    <t>F63ILL</t>
  </si>
  <si>
    <t>F63SS</t>
  </si>
  <si>
    <t>Fluorescent, (3) 72", STD lamp</t>
  </si>
  <si>
    <t>F64ISL</t>
  </si>
  <si>
    <t>Fluorescent, (4) 72", STD lamp, IS electronic ballast</t>
  </si>
  <si>
    <t>F64ILL</t>
  </si>
  <si>
    <t>F64SE</t>
  </si>
  <si>
    <t>Fluorescent, (4) 72", STD lamp</t>
  </si>
  <si>
    <t>F64SHE</t>
  </si>
  <si>
    <t>Fluorescent, (4) 72", STD HO lamp</t>
  </si>
  <si>
    <t>F64SS</t>
  </si>
  <si>
    <t>F81EE</t>
  </si>
  <si>
    <t>F96T12/ES</t>
  </si>
  <si>
    <t>Fluorescent, (1) 96", ES lamp</t>
  </si>
  <si>
    <t>F81EE/T2</t>
  </si>
  <si>
    <t>Fluorescent, (1) 96", ES lamp, tandem to 2-lamp ballast</t>
  </si>
  <si>
    <t>F81EHL</t>
  </si>
  <si>
    <t>F96T12/HO/ES</t>
  </si>
  <si>
    <t>Fluorescent, (1) 96", ES HO lamp</t>
  </si>
  <si>
    <t>F81EHL/T2</t>
  </si>
  <si>
    <t>Fluorescent, (1) 96", ES HO lamp, Rapid Start Ballast, NLO (BF: .85-.95), Tandem 2 Lamp Ballast</t>
  </si>
  <si>
    <t>F81EHS</t>
  </si>
  <si>
    <t>F81EL</t>
  </si>
  <si>
    <t>F81EL/T2</t>
  </si>
  <si>
    <t>Fluorescent, (1) 96", ES lamp, Rapid Start Ballast, NLO (BF: .85-.95), Tandem 2 Lamp Ballast</t>
  </si>
  <si>
    <t>F81ES</t>
  </si>
  <si>
    <t>F81ES/T2</t>
  </si>
  <si>
    <t>F81EVS</t>
  </si>
  <si>
    <t>F96T12/VHO/ES</t>
  </si>
  <si>
    <t>Fluorescent, (1) 96", ES VHO lamp</t>
  </si>
  <si>
    <t>F81SE</t>
  </si>
  <si>
    <t>F96T12</t>
  </si>
  <si>
    <t>Fluorescent, (1) 96", STD lamp</t>
  </si>
  <si>
    <t>F81SHE</t>
  </si>
  <si>
    <t>F96T12/HO</t>
  </si>
  <si>
    <t>Fluorescent, (1) 96", STD HO lamp</t>
  </si>
  <si>
    <t>F81SHL/T2</t>
  </si>
  <si>
    <t>Fluorescent, (1) 96", STD HO lamp, Rapid Start Ballast, NLO (BF: .85-.95), Tandem 2 Lamp Ballast</t>
  </si>
  <si>
    <t>F81SHS</t>
  </si>
  <si>
    <t>F81SL</t>
  </si>
  <si>
    <t>Fluorescent, (1) 96", STD lamp, Instant Start Ballast, NLO (BF: .85-.95)</t>
  </si>
  <si>
    <t>F81SL/T2</t>
  </si>
  <si>
    <t>Fluorescent, (1) 96", STD lamp, Rapid Start Ballast, NLO (BF: .85-.95), Tandem 2 Lamp Ballast</t>
  </si>
  <si>
    <t>F81SS</t>
  </si>
  <si>
    <t>F81SVS</t>
  </si>
  <si>
    <t>F96T12/VHO</t>
  </si>
  <si>
    <t>Fluorescent, (1) 96", STD VHO lamp</t>
  </si>
  <si>
    <t>F82EE</t>
  </si>
  <si>
    <t>Fluorescent, (2) 96", ES lamp</t>
  </si>
  <si>
    <t>F82EHE</t>
  </si>
  <si>
    <t>Fluorescent, (2) 96", ES HO lamp</t>
  </si>
  <si>
    <t>F82EHL</t>
  </si>
  <si>
    <t>F82EHS</t>
  </si>
  <si>
    <t>F82EL</t>
  </si>
  <si>
    <t>F82ES</t>
  </si>
  <si>
    <t>F82EVS</t>
  </si>
  <si>
    <t>Fluorescent, (2) 96", ES VHO lamp</t>
  </si>
  <si>
    <t>F82SE</t>
  </si>
  <si>
    <t>Fluorescent, (2) 96", STD lamp</t>
  </si>
  <si>
    <t>F82SHE</t>
  </si>
  <si>
    <t>Fluorescent, (2) 96", STD HO lamp</t>
  </si>
  <si>
    <t>F82SHL</t>
  </si>
  <si>
    <t>F82SHS</t>
  </si>
  <si>
    <t>F82SL</t>
  </si>
  <si>
    <t>Fluorescent, (2) 96", STD lamp, Instant Start Ballast, NLO (BF: .85-.95)</t>
  </si>
  <si>
    <t>F82SS</t>
  </si>
  <si>
    <t>F82SVS</t>
  </si>
  <si>
    <t>Fluorescent, (2) 96", STD VHO lamp</t>
  </si>
  <si>
    <t>F83EE</t>
  </si>
  <si>
    <t>Fluorescent, (3) 96", ES lamp</t>
  </si>
  <si>
    <t>F83EHE</t>
  </si>
  <si>
    <t>Fluorescent, (3) 96", ES HO lamp, (1) 2-lamp ES Ballast, (1) 1-lamp STD Ballast</t>
  </si>
  <si>
    <t>Mag-ES/STD</t>
  </si>
  <si>
    <t>F83LHL</t>
  </si>
  <si>
    <t>F83EHS</t>
  </si>
  <si>
    <t>Fluorescent, (3) 96", ES HO lamp</t>
  </si>
  <si>
    <t>F83EL</t>
  </si>
  <si>
    <t>F83ES</t>
  </si>
  <si>
    <t>F83EVS</t>
  </si>
  <si>
    <t>Fluorescent, (3) 96", ES VHO lamp</t>
  </si>
  <si>
    <t>F83SHS</t>
  </si>
  <si>
    <t>Fluorescent, (3) 96", STD HO lamp</t>
  </si>
  <si>
    <t>F83SS</t>
  </si>
  <si>
    <t>Fluorescent, (3) 96", STD lamp</t>
  </si>
  <si>
    <t>F83SVS</t>
  </si>
  <si>
    <t>Fluorescent, (3) 96", STD VHO lamp</t>
  </si>
  <si>
    <t>F84EE</t>
  </si>
  <si>
    <t>Fluorescent, (4) 96", ES lamp</t>
  </si>
  <si>
    <t>F84EHE</t>
  </si>
  <si>
    <t>Fluorescent, (4) 96", ES HO lamp</t>
  </si>
  <si>
    <t>F84EHL</t>
  </si>
  <si>
    <t>F84EHS</t>
  </si>
  <si>
    <t>F84EL</t>
  </si>
  <si>
    <t>F84ES</t>
  </si>
  <si>
    <t>F84EVS</t>
  </si>
  <si>
    <t>Fluorescent, (4) 96", ES VHO lamp</t>
  </si>
  <si>
    <t>F84SE</t>
  </si>
  <si>
    <t>Fluorescent, (4) 96", STD lamp</t>
  </si>
  <si>
    <t>F84SHE</t>
  </si>
  <si>
    <t>Fluorescent, (4) 96", STD HO lamp</t>
  </si>
  <si>
    <t>F84SHL</t>
  </si>
  <si>
    <t>F84SHS</t>
  </si>
  <si>
    <t>F84SL</t>
  </si>
  <si>
    <t>Fluorescent, (4) 96", STD lamp, Instant Start Ballast, NLO (BF: .85-.95)</t>
  </si>
  <si>
    <t>F84SS</t>
  </si>
  <si>
    <t>F84SVS</t>
  </si>
  <si>
    <t>Fluorescent, (4) 96", STD VHO lamp</t>
  </si>
  <si>
    <t>F86EHS</t>
  </si>
  <si>
    <t>Fluorescent, (6) 96", ES HO lamp</t>
  </si>
  <si>
    <t>F86LHL</t>
  </si>
  <si>
    <t>F86EE</t>
  </si>
  <si>
    <t>Fluorescent, (6) 96", ES lamp</t>
  </si>
  <si>
    <t>F86EL</t>
  </si>
  <si>
    <t>F41TS</t>
  </si>
  <si>
    <t>T10 Linear Fluorescent</t>
  </si>
  <si>
    <t>F40T10</t>
  </si>
  <si>
    <t>Fluorescent, (1) 48", T-10 lamp</t>
  </si>
  <si>
    <t>FU1EE</t>
  </si>
  <si>
    <t>U-Tube Fluorescent</t>
  </si>
  <si>
    <t>FU40T12/ES</t>
  </si>
  <si>
    <t>Fluorescent, (1) U-Tube, ES lamp</t>
  </si>
  <si>
    <t>FU1ILL</t>
  </si>
  <si>
    <t>FU31T8/6</t>
  </si>
  <si>
    <t>Fluorescent, (1) U-Tube, T-8 lamp, Instant Start ballast</t>
  </si>
  <si>
    <t>FU1LL</t>
  </si>
  <si>
    <t>Fluorescent, (1) U-Tube, T-8 lamp</t>
  </si>
  <si>
    <t>FU1LL-R</t>
  </si>
  <si>
    <t>Fluorescent, (1) U-Tube, T-8 lamp, RLO (BF&lt;0.85)</t>
  </si>
  <si>
    <t>FU2SS</t>
  </si>
  <si>
    <t>FU40T12</t>
  </si>
  <si>
    <t>Fluorescent, (2) U-Tube, STD lamp</t>
  </si>
  <si>
    <t>FU2SE</t>
  </si>
  <si>
    <t>FU2EE</t>
  </si>
  <si>
    <t>Fluorescent, (2) U-Tube, ES lamp</t>
  </si>
  <si>
    <t>FU2ES</t>
  </si>
  <si>
    <t>FU2ILL</t>
  </si>
  <si>
    <t>Fluorescent, (2) U-Tube, T-8 lamp, Instant Start Ballast</t>
  </si>
  <si>
    <t>FU2ILL/T4</t>
  </si>
  <si>
    <t>Fluorescent, (2) U-Tube, T-8 lamp, Instant Start Ballast, tandem wired</t>
  </si>
  <si>
    <t>FU2ILL/T4-R</t>
  </si>
  <si>
    <t>Fluorescent, (2) U-Tube, T-8 lamp, Instant Start Ballast, RLO, tandem wired</t>
  </si>
  <si>
    <t>FU2ILL-H</t>
  </si>
  <si>
    <t>Fluorescent, (2) U-Tube, T-8 lamp, Instant Start HLO Ballast</t>
  </si>
  <si>
    <t>FU2ILL-R</t>
  </si>
  <si>
    <t>Fluorescent, (2) U-Tube, T-8 lamp, Instant Start RLO Ballast</t>
  </si>
  <si>
    <t>FU2LL</t>
  </si>
  <si>
    <t>Fluorescent, (2) U-Tube, T-8 lamp</t>
  </si>
  <si>
    <t>FU2LL/T2</t>
  </si>
  <si>
    <t>Fluorescent, (2) U-Tube, T-8 lamp, Tandem 4 lamp ballast</t>
  </si>
  <si>
    <t>FU2LL-R</t>
  </si>
  <si>
    <t>Fluorescent, (2) U-Tube, T-8 lamp, RLO (BF&lt;0.85)</t>
  </si>
  <si>
    <t>FU3EE</t>
  </si>
  <si>
    <t>Fluorescent, (3) U-Tube, ES lamp</t>
  </si>
  <si>
    <t>FU3ILL</t>
  </si>
  <si>
    <t>Fluorescent, (3) U-Tube, T-8 lamp, Instant Start Ballast</t>
  </si>
  <si>
    <t>FU3ILL-R</t>
  </si>
  <si>
    <t>Fluorescent, (3) U-Tube, T-8 lamp, Instant Start RLO Ballast</t>
  </si>
  <si>
    <t>FC12/1</t>
  </si>
  <si>
    <t>Circular Fluorescent</t>
  </si>
  <si>
    <t>FC12T9</t>
  </si>
  <si>
    <t>Fluorescent, (1) 12" circular lamp, RS ballast</t>
  </si>
  <si>
    <t>FC16/1</t>
  </si>
  <si>
    <t>FC16T9</t>
  </si>
  <si>
    <t>Fluorescent, (1) 16" circular lamp</t>
  </si>
  <si>
    <t>FC20</t>
  </si>
  <si>
    <t>FC6T9</t>
  </si>
  <si>
    <t>Fluorescent, Circlite, (1) 20W lamp, Preheat ballast</t>
  </si>
  <si>
    <t>FC22/1</t>
  </si>
  <si>
    <t>FC8T9</t>
  </si>
  <si>
    <t>Fluorescent, Circlite, (1) 22W lamp, preheat ballast</t>
  </si>
  <si>
    <t>FC22/32/1</t>
  </si>
  <si>
    <t>FC22/32T9</t>
  </si>
  <si>
    <t>Fluorescent, Circlite, (1) 22W/32W lamp, preheat ballast</t>
  </si>
  <si>
    <t>FC32/1</t>
  </si>
  <si>
    <t>Fluorescent, Circline, (1) 32W lamp, preheat ballast</t>
  </si>
  <si>
    <t>FC32/40/1</t>
  </si>
  <si>
    <t>FC32/40T9</t>
  </si>
  <si>
    <t>Fluorescent, Circlite, (1) 32W/40W lamp, preheat ballast</t>
  </si>
  <si>
    <t>FC40/1</t>
  </si>
  <si>
    <t>FC44/1</t>
  </si>
  <si>
    <t>FC44T9</t>
  </si>
  <si>
    <t>Fluorescent, Circlite, (1) 44W lamp, preheat ballast</t>
  </si>
  <si>
    <t>FC6/1</t>
  </si>
  <si>
    <t>Fluorescent, (1) 6" circular lamp, RS ballast</t>
  </si>
  <si>
    <t>FC8/1</t>
  </si>
  <si>
    <t>Fluorescent, (1) 8" circular lamp, RS ballast</t>
  </si>
  <si>
    <t>FC12/2</t>
  </si>
  <si>
    <t>Fluorescent, (2) 12" circular lamp, RS ballast</t>
  </si>
  <si>
    <t>FC8/2</t>
  </si>
  <si>
    <t>Fluorescent, (2) 8" circular lamp, RS ballast</t>
  </si>
  <si>
    <t>F40EE/D1</t>
  </si>
  <si>
    <t>Delamp</t>
  </si>
  <si>
    <t>None</t>
  </si>
  <si>
    <t>Fluorescent, (0) 48" lamp, Completely delamped fixture with (1) hot ballast</t>
  </si>
  <si>
    <t>F40EE/D2</t>
  </si>
  <si>
    <t>Fluorescent, (0) 48" lamp, Completely delamped fixture with (2) hot ballast</t>
  </si>
  <si>
    <t>ECF5/1</t>
  </si>
  <si>
    <t>EXIT Compact Fluorescent, (1) 5W lamp</t>
  </si>
  <si>
    <t>ECF7/1</t>
  </si>
  <si>
    <t>EXIT Compact Fluorescent, (1) 7W lamp</t>
  </si>
  <si>
    <t>ECF8/1</t>
  </si>
  <si>
    <t>F8T5</t>
  </si>
  <si>
    <t>EXIT T5 Fluorescent, (1) 8W lamp</t>
  </si>
  <si>
    <t>ECF9/1</t>
  </si>
  <si>
    <t>EXIT Compact Fluorescent, (1) 9W lamp</t>
  </si>
  <si>
    <t>EI15/1</t>
  </si>
  <si>
    <t>I15</t>
  </si>
  <si>
    <t>EXIT Incandescent, (1) 15W lamp</t>
  </si>
  <si>
    <t>EI20/1</t>
  </si>
  <si>
    <t>I20</t>
  </si>
  <si>
    <t>EXIT Incandescent, (1) 20W lamp</t>
  </si>
  <si>
    <t>EI25/1</t>
  </si>
  <si>
    <t>I25</t>
  </si>
  <si>
    <t>EXIT Incandescent, (1) 25W lamp</t>
  </si>
  <si>
    <t>EI34/1</t>
  </si>
  <si>
    <t>I34</t>
  </si>
  <si>
    <t>EXIT Incandescent, (1) 34W lamp</t>
  </si>
  <si>
    <t>EI40/1</t>
  </si>
  <si>
    <t>I40</t>
  </si>
  <si>
    <t>EXIT Incandescent, (1) 40W lamp</t>
  </si>
  <si>
    <t>EI5/1</t>
  </si>
  <si>
    <t>I5</t>
  </si>
  <si>
    <t>EXIT Incandescent, (1) 5W lamp</t>
  </si>
  <si>
    <t>EI7.5/1</t>
  </si>
  <si>
    <t>I7.5</t>
  </si>
  <si>
    <t>EXIT Tungsten, (1) 7.5 W lamp</t>
  </si>
  <si>
    <t>ELED0.5/1</t>
  </si>
  <si>
    <t>LED0.5W</t>
  </si>
  <si>
    <t>EXIT Light Emitting Diode, (1) 0.5W lamp, Single Sided</t>
  </si>
  <si>
    <t>ELED1.5/1</t>
  </si>
  <si>
    <t>LED1.5W</t>
  </si>
  <si>
    <t>EXIT Light Emitting Diode, (1) 1.5W lamp, Single Sided</t>
  </si>
  <si>
    <t>ELED10.5/1</t>
  </si>
  <si>
    <t>LED10.5W</t>
  </si>
  <si>
    <t>EXIT Light Emitting Diode, (1) 10.5W lamp, Single Sided</t>
  </si>
  <si>
    <t>ELED2/1</t>
  </si>
  <si>
    <t>LED2W</t>
  </si>
  <si>
    <t>EXIT Light Emitting Diode, (1) 2W lamp, Single Sided</t>
  </si>
  <si>
    <t>ELED3/1</t>
  </si>
  <si>
    <t>LED3W</t>
  </si>
  <si>
    <t>EXIT Light Emitting Diode, (1) 3W lamp, Single Sided</t>
  </si>
  <si>
    <t>ELED5/1</t>
  </si>
  <si>
    <t>LED5W</t>
  </si>
  <si>
    <t>EXIT Light Emitting Diode, (1) 5W lamp, Single Sided</t>
  </si>
  <si>
    <t>ELED8/1</t>
  </si>
  <si>
    <t>LED8W</t>
  </si>
  <si>
    <t>EXIT Light Emitting Diode, (1) 8W lamp, Single Sided</t>
  </si>
  <si>
    <t>ECF5/2</t>
  </si>
  <si>
    <t>EXIT Compact Fluorescent, (2) 5W lamp</t>
  </si>
  <si>
    <t>ECF7/2</t>
  </si>
  <si>
    <t>EXIT Compact Fluorescent, (2) 7W lamp</t>
  </si>
  <si>
    <t>ECF8/2</t>
  </si>
  <si>
    <t>EXIT T5 Fluorescent, (2) 8W lamp</t>
  </si>
  <si>
    <t>ECF9/2</t>
  </si>
  <si>
    <t>EXIT Compact Fluorescent, (2) 9W lamp</t>
  </si>
  <si>
    <t>EI10/2</t>
  </si>
  <si>
    <t>I10</t>
  </si>
  <si>
    <t>EXIT Incandescent, (2) 10W lamp</t>
  </si>
  <si>
    <t>EI15/2</t>
  </si>
  <si>
    <t>EXIT Incandescent, (2) 15W lamp</t>
  </si>
  <si>
    <t>EI20/2</t>
  </si>
  <si>
    <t>EXIT Incandescent, (2) 20W lamp</t>
  </si>
  <si>
    <t>EI25/2</t>
  </si>
  <si>
    <t>EXIT Incandescent, (2) 25W lamp</t>
  </si>
  <si>
    <t>EI34/2</t>
  </si>
  <si>
    <t>EXIT Incandescent, (2) 34W lamp</t>
  </si>
  <si>
    <t>EI40/2</t>
  </si>
  <si>
    <t>EXIT Incandescent, (2) 40W lamp</t>
  </si>
  <si>
    <t>EI5/2</t>
  </si>
  <si>
    <t>EXIT Incandescent, (2) 5W lamp</t>
  </si>
  <si>
    <t>EI50/2</t>
  </si>
  <si>
    <t>I50</t>
  </si>
  <si>
    <t>EXIT Incandescent, (2) 50W lamp</t>
  </si>
  <si>
    <t>EI7.5/2</t>
  </si>
  <si>
    <t>EXIT Tungsten, (2) 7.5 W lamp</t>
  </si>
  <si>
    <t>ELED0.5/2</t>
  </si>
  <si>
    <t>EXIT Light Emitting Diode, (2) 0.5W lamp, Dual Sided</t>
  </si>
  <si>
    <t>ELED1.5/2</t>
  </si>
  <si>
    <t>EXIT Light Emitting Diode, (2) 1.5W lamp, Dual Sided</t>
  </si>
  <si>
    <t>ELED10.5/2</t>
  </si>
  <si>
    <t>EXIT Light Emitting Diode, (2) 10.5W lamp, Dual Sided</t>
  </si>
  <si>
    <t>ELED2/2</t>
  </si>
  <si>
    <t>EXIT Light Emitting Diode, (2) 2W lamp, Dual Sided</t>
  </si>
  <si>
    <t>ELED3/2</t>
  </si>
  <si>
    <t>EXIT Light Emitting Diode, (2) 3W lamp, Dual Sided</t>
  </si>
  <si>
    <t>ELED5/2</t>
  </si>
  <si>
    <t>EXIT Light Emitting Diode, (2) 5W lamp, Dual Sided</t>
  </si>
  <si>
    <t>ELED8/2</t>
  </si>
  <si>
    <t>EXIT Light Emitting Diode, (2) 8W lamp, Dual Sided</t>
  </si>
  <si>
    <t>I100/1</t>
  </si>
  <si>
    <t>Standard Incandescent</t>
  </si>
  <si>
    <t>I100</t>
  </si>
  <si>
    <t>Incandescent, (1) 100W lamp</t>
  </si>
  <si>
    <t>GSL33/1</t>
  </si>
  <si>
    <t>I1000/1</t>
  </si>
  <si>
    <t>I1000</t>
  </si>
  <si>
    <t>Incandescent, (1) 1000W lamp</t>
  </si>
  <si>
    <t>I100E/1</t>
  </si>
  <si>
    <t>I100/ES</t>
  </si>
  <si>
    <t>Incandescent, (1) 100W ES lamp</t>
  </si>
  <si>
    <t>GSL28/1</t>
  </si>
  <si>
    <t>I100EL/1</t>
  </si>
  <si>
    <t>I100/ES/LL</t>
  </si>
  <si>
    <t>Incandescent, (1) 100W ES/LL lamp</t>
  </si>
  <si>
    <t>I120/1</t>
  </si>
  <si>
    <t>I120</t>
  </si>
  <si>
    <t>Incandescent, (1) 120W lamp</t>
  </si>
  <si>
    <t>GSL40/1</t>
  </si>
  <si>
    <t>I125/1</t>
  </si>
  <si>
    <t>I125</t>
  </si>
  <si>
    <t>Incandescent, (1) 125W lamp</t>
  </si>
  <si>
    <t>GSL44/1</t>
  </si>
  <si>
    <t>I135/1</t>
  </si>
  <si>
    <t>I135</t>
  </si>
  <si>
    <t>Incandescent, (1) 135W lamp</t>
  </si>
  <si>
    <t>GSL48/1</t>
  </si>
  <si>
    <t>I15/1</t>
  </si>
  <si>
    <t>Incandescent, (1) 15W lamp</t>
  </si>
  <si>
    <t>I150/1</t>
  </si>
  <si>
    <t>I150</t>
  </si>
  <si>
    <t>Incandescent, (1) 150W lamp</t>
  </si>
  <si>
    <t>GSL58/1</t>
  </si>
  <si>
    <t>I1500/1</t>
  </si>
  <si>
    <t>I1500</t>
  </si>
  <si>
    <t>Incandescent, (1) 1500W lamp</t>
  </si>
  <si>
    <t>I150E/1</t>
  </si>
  <si>
    <t>I150/ES</t>
  </si>
  <si>
    <t>Incandescent, (1) 150W ES lamp</t>
  </si>
  <si>
    <t>I150EL/1</t>
  </si>
  <si>
    <t>I150/ES/LL</t>
  </si>
  <si>
    <t>Incandescent, (1) 150W ES/LL lamp</t>
  </si>
  <si>
    <t>I170/1</t>
  </si>
  <si>
    <t>I170</t>
  </si>
  <si>
    <t>Incandescent, (1) 170W lamp</t>
  </si>
  <si>
    <t>GSL66/1</t>
  </si>
  <si>
    <t>I20/1</t>
  </si>
  <si>
    <t>Incandescent, (1) 20W lamp</t>
  </si>
  <si>
    <t>I200/1</t>
  </si>
  <si>
    <t>I200</t>
  </si>
  <si>
    <t>Incandescent, (1) 200W lamp</t>
  </si>
  <si>
    <t>I2000/1</t>
  </si>
  <si>
    <t>I2000</t>
  </si>
  <si>
    <t>Incandescent, (1) 2000W lamp</t>
  </si>
  <si>
    <t>I200L/1</t>
  </si>
  <si>
    <t>I200/LL</t>
  </si>
  <si>
    <t>Incandescent, (1) 200W LL lamp</t>
  </si>
  <si>
    <t>I25/1</t>
  </si>
  <si>
    <t>Incandescent, (1) 25W lamp</t>
  </si>
  <si>
    <t>I250/1</t>
  </si>
  <si>
    <t>I250</t>
  </si>
  <si>
    <t>Incandescent, (1) 250W lamp</t>
  </si>
  <si>
    <t>I300/1</t>
  </si>
  <si>
    <t>I300</t>
  </si>
  <si>
    <t>Incandescent, (1) 300W lamp</t>
  </si>
  <si>
    <t>I34/1</t>
  </si>
  <si>
    <t>Incandescent, (1) 34W lamp</t>
  </si>
  <si>
    <t>GSL8/1</t>
  </si>
  <si>
    <t>I36/1</t>
  </si>
  <si>
    <t>I36</t>
  </si>
  <si>
    <t>Incandescent, (1) 36W lamp</t>
  </si>
  <si>
    <t>I40/1</t>
  </si>
  <si>
    <t>Incandescent, (1) 40W lamp</t>
  </si>
  <si>
    <t>GSL10/1</t>
  </si>
  <si>
    <t>I400/1</t>
  </si>
  <si>
    <t>I400</t>
  </si>
  <si>
    <t>Incandescent, (1) 400W lamp</t>
  </si>
  <si>
    <t>I40E/1</t>
  </si>
  <si>
    <t>I40/ES</t>
  </si>
  <si>
    <t>Incandescent, (1) 40W ES lamp</t>
  </si>
  <si>
    <t>I40EL/1</t>
  </si>
  <si>
    <t>I40/ES/LL</t>
  </si>
  <si>
    <t>Incandescent, (1) 40W ES/LL lamp</t>
  </si>
  <si>
    <t>I42/1</t>
  </si>
  <si>
    <t>I42</t>
  </si>
  <si>
    <t>Incandescent, (1) 42W lamp</t>
  </si>
  <si>
    <t>GSL11/1</t>
  </si>
  <si>
    <t>I448/1</t>
  </si>
  <si>
    <t>I448</t>
  </si>
  <si>
    <t>Incandescent, (1) 448W lamp</t>
  </si>
  <si>
    <t>I45/1</t>
  </si>
  <si>
    <t>I45</t>
  </si>
  <si>
    <t>Incandescent, (1) 45W lamp</t>
  </si>
  <si>
    <t>I50/1</t>
  </si>
  <si>
    <t>Incandescent, (1) 50W lamp</t>
  </si>
  <si>
    <t>GSL13/1</t>
  </si>
  <si>
    <t>I500/1</t>
  </si>
  <si>
    <t>I500</t>
  </si>
  <si>
    <t>Incandescent, (1) 500W lamp</t>
  </si>
  <si>
    <t>I52/1</t>
  </si>
  <si>
    <t>I52</t>
  </si>
  <si>
    <t>Incandescent, (1) 52W lamp</t>
  </si>
  <si>
    <t>I54/1</t>
  </si>
  <si>
    <t>I54</t>
  </si>
  <si>
    <t>Incandescent, (1) 54W lamp</t>
  </si>
  <si>
    <t>GSL14/1</t>
  </si>
  <si>
    <t>I55/1</t>
  </si>
  <si>
    <t>I55</t>
  </si>
  <si>
    <t>Incandescent, (1) 55W lamp</t>
  </si>
  <si>
    <t>I60/1</t>
  </si>
  <si>
    <t>I60</t>
  </si>
  <si>
    <t>Incandescent, (1) 60W lamp</t>
  </si>
  <si>
    <t>GSL17/1</t>
  </si>
  <si>
    <t>I60E/1</t>
  </si>
  <si>
    <t>I60/ES</t>
  </si>
  <si>
    <t>Incandescent, (1) 60W ES lamp</t>
  </si>
  <si>
    <t>I60EL/1</t>
  </si>
  <si>
    <t>I60/ES/LL</t>
  </si>
  <si>
    <t>Incandescent, (1) 60W ES/LL lamp</t>
  </si>
  <si>
    <t>I65/1</t>
  </si>
  <si>
    <t>I65</t>
  </si>
  <si>
    <t>Incandescent, (1) 65W lamp</t>
  </si>
  <si>
    <t>GSL18/1</t>
  </si>
  <si>
    <t>I67/1</t>
  </si>
  <si>
    <t>I67</t>
  </si>
  <si>
    <t>Incandescent, (1) 67W lamp</t>
  </si>
  <si>
    <t>GSL19/1</t>
  </si>
  <si>
    <t>I69/1</t>
  </si>
  <si>
    <t>I69</t>
  </si>
  <si>
    <t>Incandescent, (1) 69W lamp</t>
  </si>
  <si>
    <t>I7.5/1</t>
  </si>
  <si>
    <t>Tungsten exit light, (1) 7.5 W lamp,  used in night light application</t>
  </si>
  <si>
    <t>I72/1</t>
  </si>
  <si>
    <t>I72</t>
  </si>
  <si>
    <t>Incandescent, (1) 72W lamp</t>
  </si>
  <si>
    <t>GSL20/1</t>
  </si>
  <si>
    <t>I75/1</t>
  </si>
  <si>
    <t>I75</t>
  </si>
  <si>
    <t>Incandescent, (1) 75W lamp</t>
  </si>
  <si>
    <t>GSL23/1</t>
  </si>
  <si>
    <t>I750/1</t>
  </si>
  <si>
    <t>I750</t>
  </si>
  <si>
    <t>Incandescent, (1) 750W lamp</t>
  </si>
  <si>
    <t>I75E/1</t>
  </si>
  <si>
    <t>I75/ES</t>
  </si>
  <si>
    <t>Incandescent, (1) 75W ES lamp</t>
  </si>
  <si>
    <t>I75EL/1</t>
  </si>
  <si>
    <t>I75/ES/LL</t>
  </si>
  <si>
    <t>Incandescent, (1) 75W ES/LL lamp</t>
  </si>
  <si>
    <t>I80/1</t>
  </si>
  <si>
    <t>I80</t>
  </si>
  <si>
    <t>Incandescent, (1) 80W lamp</t>
  </si>
  <si>
    <t>GSL25/1</t>
  </si>
  <si>
    <t>I85/1</t>
  </si>
  <si>
    <t>I85</t>
  </si>
  <si>
    <t>Incandescent, (1) 85W lamp</t>
  </si>
  <si>
    <t>GSL26/1</t>
  </si>
  <si>
    <t>I90/1</t>
  </si>
  <si>
    <t>I90</t>
  </si>
  <si>
    <t>Incandescent, (1) 90W lamp</t>
  </si>
  <si>
    <t>I93/1</t>
  </si>
  <si>
    <t>I93</t>
  </si>
  <si>
    <t>Incandescent, (1) 93W lamp</t>
  </si>
  <si>
    <t>GSL29/1</t>
  </si>
  <si>
    <t>I95/1</t>
  </si>
  <si>
    <t>I95</t>
  </si>
  <si>
    <t>Incandescent, (1) 95W lamp</t>
  </si>
  <si>
    <t>GSL30/1</t>
  </si>
  <si>
    <t>I100/2</t>
  </si>
  <si>
    <t>Incandescent, (2) 100W lamp</t>
  </si>
  <si>
    <t>GSL33/2</t>
  </si>
  <si>
    <t>I120/2</t>
  </si>
  <si>
    <t>Incandescent, (2) 120W lamp</t>
  </si>
  <si>
    <t>GSL40/2</t>
  </si>
  <si>
    <t>I135/2</t>
  </si>
  <si>
    <t>Incandescent, (2) 135W lamp</t>
  </si>
  <si>
    <t>GSL48/2</t>
  </si>
  <si>
    <t>I15/2</t>
  </si>
  <si>
    <t>Incandescent, (2) 15W lamp</t>
  </si>
  <si>
    <t>I150/2</t>
  </si>
  <si>
    <t>Incandescent, (2) 150W lamp</t>
  </si>
  <si>
    <t>GSL58/2</t>
  </si>
  <si>
    <t>I20/2</t>
  </si>
  <si>
    <t>Incandescent, (2) 20W lamp</t>
  </si>
  <si>
    <t>I200/2</t>
  </si>
  <si>
    <t>Incandescent, (2) 200W lamp</t>
  </si>
  <si>
    <t>I25/2</t>
  </si>
  <si>
    <t>Incandescent, (2) 25W lamp</t>
  </si>
  <si>
    <t>I34/2</t>
  </si>
  <si>
    <t>Incandescent, (2) 34W lamp</t>
  </si>
  <si>
    <t>GSL8/2</t>
  </si>
  <si>
    <t>I40/2</t>
  </si>
  <si>
    <t>Incandescent, (2) 40W lamp</t>
  </si>
  <si>
    <t>GSL10/2</t>
  </si>
  <si>
    <t>I50/2</t>
  </si>
  <si>
    <t>Incandescent, (2) 50W lamp</t>
  </si>
  <si>
    <t>GSL13/2</t>
  </si>
  <si>
    <t>I52/2</t>
  </si>
  <si>
    <t>Incandescent, (2) 52W lamp</t>
  </si>
  <si>
    <t>I54/2</t>
  </si>
  <si>
    <t>Incandescent, (2) 54W lamp</t>
  </si>
  <si>
    <t>GSL14/2</t>
  </si>
  <si>
    <t>I55/2</t>
  </si>
  <si>
    <t>Incandescent, (2) 55W lamp</t>
  </si>
  <si>
    <t>I60/2</t>
  </si>
  <si>
    <t>Incandescent, (2) 60W lamp</t>
  </si>
  <si>
    <t>GSL17/2</t>
  </si>
  <si>
    <t>I65/2</t>
  </si>
  <si>
    <t>Incandescent, (2) 65W lamp</t>
  </si>
  <si>
    <t>GSL18/2</t>
  </si>
  <si>
    <t>I67/2</t>
  </si>
  <si>
    <t>Incandescent, (2) 67W lamp</t>
  </si>
  <si>
    <t>GSL19/2</t>
  </si>
  <si>
    <t>I7.5/2</t>
  </si>
  <si>
    <t>Tungsten exit light, (2) 7.5 W lamp,  used in night light application</t>
  </si>
  <si>
    <t>I75/2</t>
  </si>
  <si>
    <t>Incandescent, (2) 75W lamp</t>
  </si>
  <si>
    <t>GSL23/2</t>
  </si>
  <si>
    <t>I90/2</t>
  </si>
  <si>
    <t>Incandescent, (2) 90W lamp</t>
  </si>
  <si>
    <t>GSL28/2</t>
  </si>
  <si>
    <t>I95/2</t>
  </si>
  <si>
    <t>Incandescent, (2) 95W lamp</t>
  </si>
  <si>
    <t>GSL30/2</t>
  </si>
  <si>
    <t>I100/3</t>
  </si>
  <si>
    <t>Incandescent, (3) 100W lamp</t>
  </si>
  <si>
    <t>GSL33/3</t>
  </si>
  <si>
    <t>I60/3</t>
  </si>
  <si>
    <t>Incandescent, (3) 60W lamp</t>
  </si>
  <si>
    <t>GSL17/3</t>
  </si>
  <si>
    <t>I67/3</t>
  </si>
  <si>
    <t>Incandescent, (3) 67W lamp</t>
  </si>
  <si>
    <t>GSL19/3</t>
  </si>
  <si>
    <t>I75/3</t>
  </si>
  <si>
    <t>Incandescent, (3) 75W lamp</t>
  </si>
  <si>
    <t>GSL23/3</t>
  </si>
  <si>
    <t>I90/3</t>
  </si>
  <si>
    <t>Incandescent, (3) 90W lamp</t>
  </si>
  <si>
    <t>GSL28/3</t>
  </si>
  <si>
    <t>I100/4</t>
  </si>
  <si>
    <t>Incandescent, (4) 100W lamp</t>
  </si>
  <si>
    <t>GSL33/4</t>
  </si>
  <si>
    <t>I25/4</t>
  </si>
  <si>
    <t>Incandescent, (4) 25W lamp</t>
  </si>
  <si>
    <t>I60/4</t>
  </si>
  <si>
    <t>Incandescent, (4) 60W lamp</t>
  </si>
  <si>
    <t>GSL17/4</t>
  </si>
  <si>
    <t>I75/4</t>
  </si>
  <si>
    <t>Incandescent, (4) 75W lamp</t>
  </si>
  <si>
    <t>GSL23/4</t>
  </si>
  <si>
    <t>I100/5</t>
  </si>
  <si>
    <t>Incandescent, (5) 100W lamp</t>
  </si>
  <si>
    <t>GSL33/5</t>
  </si>
  <si>
    <t>I60/5</t>
  </si>
  <si>
    <t>Incandescent, (5) 60W lamp</t>
  </si>
  <si>
    <t>GSL17/5</t>
  </si>
  <si>
    <t>H100/1</t>
  </si>
  <si>
    <t>Halogen Incandescent</t>
  </si>
  <si>
    <t>H100</t>
  </si>
  <si>
    <t>Halogen Incandescent, (1) 100W lamp</t>
  </si>
  <si>
    <t>GSL46/1</t>
  </si>
  <si>
    <t>H1000/1</t>
  </si>
  <si>
    <t>H1000</t>
  </si>
  <si>
    <t>Halogen Incandescent, (1) 1000W lamp</t>
  </si>
  <si>
    <t>H1200/1</t>
  </si>
  <si>
    <t>H1200</t>
  </si>
  <si>
    <t>Halogen Incandescent, (1) 1200W lamp</t>
  </si>
  <si>
    <t>H150/1</t>
  </si>
  <si>
    <t>H150</t>
  </si>
  <si>
    <t>Halogen Incandescent, (1) 150W lamp</t>
  </si>
  <si>
    <t>GSL69/1</t>
  </si>
  <si>
    <t>H1500/1</t>
  </si>
  <si>
    <t>H1500</t>
  </si>
  <si>
    <t>Halogen Incandescent, (1) 1500W lamp</t>
  </si>
  <si>
    <t>H200/1</t>
  </si>
  <si>
    <t>H200</t>
  </si>
  <si>
    <t>Halogen Incandescent, (1) 200W lamp</t>
  </si>
  <si>
    <t>H250/1</t>
  </si>
  <si>
    <t>H250</t>
  </si>
  <si>
    <t>Halogen Incandescent, (1) 250W lamp</t>
  </si>
  <si>
    <t>H300/1</t>
  </si>
  <si>
    <t>H300</t>
  </si>
  <si>
    <t>Halogen Incandescent, (1) 300W lamp</t>
  </si>
  <si>
    <t>H35/1</t>
  </si>
  <si>
    <t>H35</t>
  </si>
  <si>
    <t>Halogen Incandescent, (1) 35W lamp</t>
  </si>
  <si>
    <t>GSL12/1</t>
  </si>
  <si>
    <t>H350/1</t>
  </si>
  <si>
    <t>H350</t>
  </si>
  <si>
    <t>Halogen Incandescent, (1) 350W lamp</t>
  </si>
  <si>
    <t>H40/1</t>
  </si>
  <si>
    <t>H40</t>
  </si>
  <si>
    <t>Halogen Incandescent, (1) 40W lamp</t>
  </si>
  <si>
    <t>H400/1</t>
  </si>
  <si>
    <t>H400</t>
  </si>
  <si>
    <t>Halogen Incandescent, (1) 400W lamp</t>
  </si>
  <si>
    <t>H42/1</t>
  </si>
  <si>
    <t>H42</t>
  </si>
  <si>
    <t>Halogen Incandescent, (1) 42W lamp</t>
  </si>
  <si>
    <t>H425/1</t>
  </si>
  <si>
    <t>H425</t>
  </si>
  <si>
    <t>Halogen Incandescent, (1) 425W lamp</t>
  </si>
  <si>
    <t>H45/1</t>
  </si>
  <si>
    <t>H45</t>
  </si>
  <si>
    <t>Halogen Incandescent, (1) 45W lamp</t>
  </si>
  <si>
    <t>H50/1</t>
  </si>
  <si>
    <t>H50</t>
  </si>
  <si>
    <t>Halogen Incandescent, (1) 50W lamp</t>
  </si>
  <si>
    <t>H500/1</t>
  </si>
  <si>
    <t>H500</t>
  </si>
  <si>
    <t>Halogen Incandescent, (1) 500W lamp</t>
  </si>
  <si>
    <t>H52/1</t>
  </si>
  <si>
    <t>H52</t>
  </si>
  <si>
    <t>Halogen Incandescent, (1) 52W lamp</t>
  </si>
  <si>
    <t>H55/1</t>
  </si>
  <si>
    <t>H55</t>
  </si>
  <si>
    <t>Halogen Incandescent, (1) 55W lamp</t>
  </si>
  <si>
    <t>GSL24/1</t>
  </si>
  <si>
    <t>H60/1</t>
  </si>
  <si>
    <t>H60</t>
  </si>
  <si>
    <t>Halogen Incandescent, (1) 60W lamp</t>
  </si>
  <si>
    <t>H72/1</t>
  </si>
  <si>
    <t>H72</t>
  </si>
  <si>
    <t>Halogen Incandescent, (1) 72W lamp</t>
  </si>
  <si>
    <t>H75/1</t>
  </si>
  <si>
    <t>H75</t>
  </si>
  <si>
    <t>Halogen Incandescent, (1) 75W lamp</t>
  </si>
  <si>
    <t>GSL34/1</t>
  </si>
  <si>
    <t>H750/1</t>
  </si>
  <si>
    <t>H750</t>
  </si>
  <si>
    <t>Halogen Incandescent, (1) 750W lamp</t>
  </si>
  <si>
    <t>H90/1</t>
  </si>
  <si>
    <t>H90</t>
  </si>
  <si>
    <t>Halogen Incandescent, (1) 90W lamp</t>
  </si>
  <si>
    <t>GSL41/1</t>
  </si>
  <si>
    <t>H900/1</t>
  </si>
  <si>
    <t>H900</t>
  </si>
  <si>
    <t>Halogen Incandescent, (1) 900W lamp</t>
  </si>
  <si>
    <t>HLV20/1</t>
  </si>
  <si>
    <t>H20/LV</t>
  </si>
  <si>
    <t>Halogen Low Voltage Incandescent, (1) 20W lamp</t>
  </si>
  <si>
    <t>HLV25/1</t>
  </si>
  <si>
    <t>H25/LV</t>
  </si>
  <si>
    <t>Halogen Low Voltage Incandescent, (1) 25W lamp</t>
  </si>
  <si>
    <t>GSL9/1</t>
  </si>
  <si>
    <t>HLV35/1</t>
  </si>
  <si>
    <t>H35/LV</t>
  </si>
  <si>
    <t>Halogen Low Voltage Incandescent, (1) 35W lamp</t>
  </si>
  <si>
    <t>HLV42/1</t>
  </si>
  <si>
    <t>H42/LV</t>
  </si>
  <si>
    <t>Halogen Low Voltage Incandescent, (1) 42W lamp</t>
  </si>
  <si>
    <t>HLV50/1</t>
  </si>
  <si>
    <t>H50/LV</t>
  </si>
  <si>
    <t>Halogen Low Voltage Incandescent, (1) 50W lamp</t>
  </si>
  <si>
    <t>HLV65/1</t>
  </si>
  <si>
    <t>H65/LV</t>
  </si>
  <si>
    <t>Halogen Low Voltage Incandescent, (1) 65W lamp</t>
  </si>
  <si>
    <t>HLV75/1</t>
  </si>
  <si>
    <t>H75/LV</t>
  </si>
  <si>
    <t>Halogen Low Voltage Incandescent, (1) 75W lamp</t>
  </si>
  <si>
    <t>H150/2</t>
  </si>
  <si>
    <t>Halogen Incandescent, (2) 150W lamp</t>
  </si>
  <si>
    <t>GSL69/2</t>
  </si>
  <si>
    <t>H45/2</t>
  </si>
  <si>
    <t>Halogen Incandescent, (2) 45W lamp</t>
  </si>
  <si>
    <t>H50/2</t>
  </si>
  <si>
    <t>Halogen Incandescent, (2) 50W lamp</t>
  </si>
  <si>
    <t>H55/2</t>
  </si>
  <si>
    <t>Halogen Incandescent, (2) 55W lamp</t>
  </si>
  <si>
    <t>GSL24/2</t>
  </si>
  <si>
    <t>H75/2</t>
  </si>
  <si>
    <t>Halogen Incandescent, (2) 75W lamp</t>
  </si>
  <si>
    <t>GSL34/2</t>
  </si>
  <si>
    <t>H90/2</t>
  </si>
  <si>
    <t>Halogen Incandescent, (2) 90W lamp</t>
  </si>
  <si>
    <t>GSL41/2</t>
  </si>
  <si>
    <t>QL55/1</t>
  </si>
  <si>
    <t>Induction Fluorescent</t>
  </si>
  <si>
    <t>QL55</t>
  </si>
  <si>
    <t>QL Induction, (1) 55W lamp</t>
  </si>
  <si>
    <t>Generator</t>
  </si>
  <si>
    <t>QL85/1</t>
  </si>
  <si>
    <t>QL85</t>
  </si>
  <si>
    <t>QL Induction, (1) 85W lamp</t>
  </si>
  <si>
    <t>QL165/1</t>
  </si>
  <si>
    <t>QL165</t>
  </si>
  <si>
    <t>QL Induction, (1) 165W lamp</t>
  </si>
  <si>
    <t>MH100/1</t>
  </si>
  <si>
    <t>High Intensity Discharge</t>
  </si>
  <si>
    <t>MH100</t>
  </si>
  <si>
    <t>Metal Halide, (1) 100W lamp</t>
  </si>
  <si>
    <t>CWA</t>
  </si>
  <si>
    <t>MH1000/1</t>
  </si>
  <si>
    <t>MH1000</t>
  </si>
  <si>
    <t>Metal Halide, (1) 1000W lamp</t>
  </si>
  <si>
    <t>MH150/1</t>
  </si>
  <si>
    <t>MH150</t>
  </si>
  <si>
    <t>Metal Halide, (1) 150W lamp</t>
  </si>
  <si>
    <t>MH1500/1</t>
  </si>
  <si>
    <t>MH1500</t>
  </si>
  <si>
    <t>Metal Halide, (1) 1500W lamp</t>
  </si>
  <si>
    <t>MH175/1</t>
  </si>
  <si>
    <t>MH175</t>
  </si>
  <si>
    <t>Metal Halide, (1) 175W lamp</t>
  </si>
  <si>
    <t>MH1800/1</t>
  </si>
  <si>
    <t>MH1800</t>
  </si>
  <si>
    <t>Metal Halide, (1) 1800W lamp</t>
  </si>
  <si>
    <t>MH200/1</t>
  </si>
  <si>
    <t>MH200</t>
  </si>
  <si>
    <t>Metal Halide, (1) 200W lamp</t>
  </si>
  <si>
    <t>MH250/1</t>
  </si>
  <si>
    <t>MH250</t>
  </si>
  <si>
    <t>Metal Halide, (1) 250W lamp</t>
  </si>
  <si>
    <t>MH32/1</t>
  </si>
  <si>
    <t>MH32</t>
  </si>
  <si>
    <t>Metal Halide, (1) 32W lamp</t>
  </si>
  <si>
    <t>MH300/1</t>
  </si>
  <si>
    <t>MH300</t>
  </si>
  <si>
    <t>Metal Halide, (1) 300W lamp</t>
  </si>
  <si>
    <t>MH320/1</t>
  </si>
  <si>
    <t>MH320</t>
  </si>
  <si>
    <t>Metal Halide, (1) 320W lamp</t>
  </si>
  <si>
    <t>MH350/1</t>
  </si>
  <si>
    <t>MH350</t>
  </si>
  <si>
    <t>Metal Halide, (1) 350W lamp</t>
  </si>
  <si>
    <t>MH360/1</t>
  </si>
  <si>
    <t>MH360</t>
  </si>
  <si>
    <t>Metal Halide, (1) 360W lamp</t>
  </si>
  <si>
    <t>MH400/1</t>
  </si>
  <si>
    <t>MH400</t>
  </si>
  <si>
    <t>Metal Halide, (1) 400W lamp</t>
  </si>
  <si>
    <t>MH450/1</t>
  </si>
  <si>
    <t>MH450</t>
  </si>
  <si>
    <t>Metal Halide, (1) 450W lamp</t>
  </si>
  <si>
    <t>MH35/1</t>
  </si>
  <si>
    <t>MH35</t>
  </si>
  <si>
    <t>Metal Halide, (1) 35W lamp</t>
  </si>
  <si>
    <t>MH50/1</t>
  </si>
  <si>
    <t>MH50</t>
  </si>
  <si>
    <t>Metal Halide, (1) 50W lamp</t>
  </si>
  <si>
    <t>MH70/1</t>
  </si>
  <si>
    <t>MH70</t>
  </si>
  <si>
    <t>Metal Halide, (1) 70W lamp</t>
  </si>
  <si>
    <t>MH750/1</t>
  </si>
  <si>
    <t>MH750</t>
  </si>
  <si>
    <t>Metal Halide, (1) 750W lamp</t>
  </si>
  <si>
    <t>MH400/2</t>
  </si>
  <si>
    <t>Metal Halide, (2) 400W lamp</t>
  </si>
  <si>
    <t>MHPS/LR/100/1</t>
  </si>
  <si>
    <t>Pulse Start Metal Halide</t>
  </si>
  <si>
    <t>MHPS100</t>
  </si>
  <si>
    <t>Metal Halide Pulse Start, (1) 100W lamp w/ Linear Reactor Ballast</t>
  </si>
  <si>
    <t>MHPS/LR/150/1</t>
  </si>
  <si>
    <t>MHPS150</t>
  </si>
  <si>
    <t>Metal Halide Pulse Start, (1) 150W lamp w/ Linear Reactor Ballast</t>
  </si>
  <si>
    <t>MHPS/LR/175/1</t>
  </si>
  <si>
    <t>MHPS175</t>
  </si>
  <si>
    <t>Metal Halide Pulse Start, (1) 175W lamp w/ Linear Reactor Ballast</t>
  </si>
  <si>
    <t>MHPS/LR/200/1</t>
  </si>
  <si>
    <t>MHPS200</t>
  </si>
  <si>
    <t>Metal Halide Pulse Start, (1) 200W lamp w/ Linear Reactor Ballast</t>
  </si>
  <si>
    <t>MHPS/LR/250/1</t>
  </si>
  <si>
    <t>MHPS250</t>
  </si>
  <si>
    <t>Metal Halide Pulse Start, (1) 250W lamp w/ Linear Reactor Ballast</t>
  </si>
  <si>
    <t>MHPS/LR/300/1</t>
  </si>
  <si>
    <t>MHPS300</t>
  </si>
  <si>
    <t>Metal Halide Pulse Start, (1) 300W lamp w/ Linear Reactor Ballast</t>
  </si>
  <si>
    <t>MHPS/LR/320/1</t>
  </si>
  <si>
    <t>MHPS320</t>
  </si>
  <si>
    <t>Metal Halide Pulse Start, (1) 320W lamp w/ Linear Reactor Ballast</t>
  </si>
  <si>
    <t>MHPS/LR/350/1</t>
  </si>
  <si>
    <t>MHPS350</t>
  </si>
  <si>
    <t>Metal Halide Pulse Start, (1) 350W lamp w/ Linear Reactor Ballast</t>
  </si>
  <si>
    <t>MHPS/LR/400/1</t>
  </si>
  <si>
    <t>MHPS400</t>
  </si>
  <si>
    <t>Metal Halide Pulse Start, (1) 400W lamp w/ Linear Reactor Ballast</t>
  </si>
  <si>
    <t>MHPS/LR/450/1</t>
  </si>
  <si>
    <t>MHPS450</t>
  </si>
  <si>
    <t>Metal Halide Pulse Start, (1) 450W lamp w/ Linear Reactor Ballast</t>
  </si>
  <si>
    <t>MHPS/LR/750/1</t>
  </si>
  <si>
    <t>MHPS750</t>
  </si>
  <si>
    <t>Metal Halide Pulse Start, (1) 750W lamp w/ Linear Reactor Ballast</t>
  </si>
  <si>
    <t>MHPS/SCWA/100/1</t>
  </si>
  <si>
    <t>Metal Halide Pulse Start, (1) 100W lamp w/ Super Constant Wattage Autotransformer Ballast</t>
  </si>
  <si>
    <t>MHPS/SCWA/1000/1</t>
  </si>
  <si>
    <t>MHPS1000</t>
  </si>
  <si>
    <t>Metal Halide Pulse Start, (1) 1000W lamp w/ Super Constant Wattage Autotransformer Ballast</t>
  </si>
  <si>
    <t>MHPS/SCWA/150/1</t>
  </si>
  <si>
    <t>Metal Halide Pulse Start, (1) 150W lamp w/ Super Constant Wattage Autotransformer Ballast</t>
  </si>
  <si>
    <t>MHPS/SCWA/175/1</t>
  </si>
  <si>
    <t>Metal Halide Pulse Start, (1) 175W lamp w/ Super Constant Wattage Autotransformer Ballast</t>
  </si>
  <si>
    <t>MHPS/SCWA/200/1</t>
  </si>
  <si>
    <t>Metal Halide Pulse Start, (1) 200W lamp w/ Super Constant Wattage Autotransformer Ballast</t>
  </si>
  <si>
    <t>MHPS/SCWA/250/1</t>
  </si>
  <si>
    <t>Metal Halide Pulse Start, (1) 250W lamp w/ Super Constant Wattage Autotransformer Ballast</t>
  </si>
  <si>
    <t>MHPS/SCWA/300/1</t>
  </si>
  <si>
    <t>Metal Halide Pulse Start, (1) 300W lamp w/ Super Constant Wattage Autotransformer Ballast</t>
  </si>
  <si>
    <t>MHPS/SCWA/320/1</t>
  </si>
  <si>
    <t>Metal Halide Pulse Start, (1) 320W lamp w/ Super Constant Wattage Autotransformer Ballast</t>
  </si>
  <si>
    <t>MHPS/SCWA/350/1</t>
  </si>
  <si>
    <t>Metal Halide Pulse Start, (1) 350W lamp w/ Super Constant Wattage Autotransformer Ballast</t>
  </si>
  <si>
    <t>MHPS/SCWA/400/1</t>
  </si>
  <si>
    <t>Metal Halide Pulse Start, (1) 400W lamp w/ Super Constant Wattage Autotransformer Ballast</t>
  </si>
  <si>
    <t>MHPS/SCWA/450/1</t>
  </si>
  <si>
    <t>Metal Halide Pulse Start, (1) 450W lamp w/ Super Constant Wattage Autotransformer Ballast</t>
  </si>
  <si>
    <t>MHPS/SCWA/750/1</t>
  </si>
  <si>
    <t>Metal Halide Pulse Start, (1) 750W lamp w/ Super Constant Wattage Autotransformer Ballast</t>
  </si>
  <si>
    <t>HPS100/1</t>
  </si>
  <si>
    <t>HPS100</t>
  </si>
  <si>
    <t>High Pressure Sodium, (1) 100W lamp</t>
  </si>
  <si>
    <t>HPS1000/1</t>
  </si>
  <si>
    <t>HPS1000</t>
  </si>
  <si>
    <t>High Pressure Sodium, (1) 1000W lamp</t>
  </si>
  <si>
    <t>HPS150/1</t>
  </si>
  <si>
    <t>HPS150</t>
  </si>
  <si>
    <t>High Pressure Sodium, (1) 150W lamp</t>
  </si>
  <si>
    <t>HPS200/1</t>
  </si>
  <si>
    <t>HPS200</t>
  </si>
  <si>
    <t>High Pressure Sodium, (1) 200W lamp</t>
  </si>
  <si>
    <t>HPS225/1</t>
  </si>
  <si>
    <t>HPS225</t>
  </si>
  <si>
    <t>High Pressure Sodium, (1) 225W lamp</t>
  </si>
  <si>
    <t>HPS250/1</t>
  </si>
  <si>
    <t>HPS250</t>
  </si>
  <si>
    <t>High Pressure Sodium, (1) 250W lamp</t>
  </si>
  <si>
    <t>HPS310/1</t>
  </si>
  <si>
    <t>HPS310</t>
  </si>
  <si>
    <t>High Pressure Sodium, (1) 310W lamp</t>
  </si>
  <si>
    <t>HPS35/1</t>
  </si>
  <si>
    <t>HPS35</t>
  </si>
  <si>
    <t>High Pressure Sodium, (1) 35W lamp</t>
  </si>
  <si>
    <t>HPS360/1</t>
  </si>
  <si>
    <t>HPS360</t>
  </si>
  <si>
    <t>High Pressure Sodium, (1) 360W lamp</t>
  </si>
  <si>
    <t>HPS400/1</t>
  </si>
  <si>
    <t>HPS400</t>
  </si>
  <si>
    <t>High Pressure Sodium, (1) 400W lamp</t>
  </si>
  <si>
    <t>HPS50/1</t>
  </si>
  <si>
    <t>HPS50</t>
  </si>
  <si>
    <t>High Pressure Sodium, (1) 50W lamp</t>
  </si>
  <si>
    <t>HPS600/1</t>
  </si>
  <si>
    <t>HPS600</t>
  </si>
  <si>
    <t>High Pressure Sodium, (1) 600W lamp</t>
  </si>
  <si>
    <t>HPS70/1</t>
  </si>
  <si>
    <t>HPS70</t>
  </si>
  <si>
    <t>High Pressure Sodium, (1) 70W lamp</t>
  </si>
  <si>
    <t>HPS750/1</t>
  </si>
  <si>
    <t>HPS750</t>
  </si>
  <si>
    <t>High Pressure Sodium, (1) 750W lamp</t>
  </si>
  <si>
    <t>MV100/1</t>
  </si>
  <si>
    <t>MV100</t>
  </si>
  <si>
    <t>Mercury Vapor, (1) 100W lamp</t>
  </si>
  <si>
    <t>MV1000/1</t>
  </si>
  <si>
    <t>MV1000</t>
  </si>
  <si>
    <t>Mercury Vapor, (1) 1000W lamp</t>
  </si>
  <si>
    <t>MV175/1</t>
  </si>
  <si>
    <t>MV175</t>
  </si>
  <si>
    <t>Mercury Vapor, (1) 175W lamp</t>
  </si>
  <si>
    <t>MV250/1</t>
  </si>
  <si>
    <t>MV250</t>
  </si>
  <si>
    <t>Mercury Vapor, (1) 250W lamp</t>
  </si>
  <si>
    <t>MV40/1</t>
  </si>
  <si>
    <t>MV40</t>
  </si>
  <si>
    <t>Mercury Vapor, (1) 40W lamp</t>
  </si>
  <si>
    <t>MV400/1</t>
  </si>
  <si>
    <t>MV400</t>
  </si>
  <si>
    <t>Mercury Vapor, (1) 400W lamp</t>
  </si>
  <si>
    <t>MV50/1</t>
  </si>
  <si>
    <t>MV50</t>
  </si>
  <si>
    <t>Mercury Vapor, (1) 50W lamp</t>
  </si>
  <si>
    <t>MV700/1</t>
  </si>
  <si>
    <t>MV700</t>
  </si>
  <si>
    <t>Mercury Vapor, (1) 700W lamp</t>
  </si>
  <si>
    <t>MV75/1</t>
  </si>
  <si>
    <t>MV75</t>
  </si>
  <si>
    <t>Mercury Vapor, (1) 75W lamp</t>
  </si>
  <si>
    <t>MV400/2</t>
  </si>
  <si>
    <t>Mercury Vapor, (2) 400W lamp</t>
  </si>
  <si>
    <t>T12 EPACT/EISA Baseline</t>
  </si>
  <si>
    <t>EPACT/EISA Compliance</t>
  </si>
  <si>
    <t>Baseline Code for 24" 6-Lamp T12 EPACT/EISA Compliant T8</t>
  </si>
  <si>
    <t>Baseline Code for 36" 6-Lamp T12 EPACT/EISA Compliant T8</t>
  </si>
  <si>
    <t>Baseline Code for 72" 1-Lamp T12 EPACT/EISA Compliant T8</t>
  </si>
  <si>
    <t>Baseline Code for 72" 2-Lamp T12 EPACT/EISA Compliant T8</t>
  </si>
  <si>
    <t>Baseline Code for 72" 3-Lamp T12 EPACT/EISA Compliant T8</t>
  </si>
  <si>
    <t>Baseline Code for 72" 4-Lamp T12 EPACT/EISA Compliant T8</t>
  </si>
  <si>
    <t>Baseline Code for 96" 3-Lamp T12HO EPACT/EISA Compliant T8</t>
  </si>
  <si>
    <t>Baseline Code for 96" 6-Lamp T12HO EPACT/EISA Compliant T8</t>
  </si>
  <si>
    <t>GSL</t>
  </si>
  <si>
    <t>GFL Screw-In</t>
  </si>
  <si>
    <t>GSL33</t>
  </si>
  <si>
    <t>Baseline Code for Generic EISA Compliant General Service Lamp, Screw-in, (1) 33W lamp</t>
  </si>
  <si>
    <t>GSL28</t>
  </si>
  <si>
    <t>Baseline Code for Generic EISA Compliant General Service Lamp, Screw-in, (1) 28W lamp</t>
  </si>
  <si>
    <t>GSL40</t>
  </si>
  <si>
    <t>Baseline Code for Generic EISA Compliant General Service Lamp, Screw-in, (1) 40W lamp</t>
  </si>
  <si>
    <t>GSL44</t>
  </si>
  <si>
    <t>Baseline Code for Generic EISA Compliant General Service Lamp, Screw-in, (1) 44W lamp</t>
  </si>
  <si>
    <t>GSL48</t>
  </si>
  <si>
    <t>Baseline Code for Generic EISA Compliant General Service Lamp, Screw-in, (1) 48W lamp</t>
  </si>
  <si>
    <t>GSL58</t>
  </si>
  <si>
    <t>Baseline Code for Generic EISA Compliant General Service Lamp, Screw-in, (1) 58W lamp</t>
  </si>
  <si>
    <t>GSL66</t>
  </si>
  <si>
    <t>Baseline Code for Generic EISA Compliant General Service Lamp, Screw-in, (1) 66W lamp</t>
  </si>
  <si>
    <t>GSL8</t>
  </si>
  <si>
    <t>Baseline Code for Generic EISA Compliant General Service Lamp, Screw-in, (1) 8W lamp</t>
  </si>
  <si>
    <t>GSL10</t>
  </si>
  <si>
    <t>Baseline Code for Generic EISA Compliant General Service Lamp, Screw-in, (1) 10W lamp</t>
  </si>
  <si>
    <t>GSL11</t>
  </si>
  <si>
    <t>Baseline Code for Generic EISA Compliant General Service Lamp, Screw-in, (1) 11W lamp</t>
  </si>
  <si>
    <t>GSL13</t>
  </si>
  <si>
    <t>Baseline Code for Generic EISA Compliant General Service Lamp, Screw-in, (1) 13W lamp</t>
  </si>
  <si>
    <t>GSL14</t>
  </si>
  <si>
    <t>Baseline Code for Generic EISA Compliant General Service Lamp, Screw-in, (1) 14W lamp</t>
  </si>
  <si>
    <t>GSL17</t>
  </si>
  <si>
    <t>Baseline Code for Generic EISA Compliant General Service Lamp, Screw-in, (1) 17W lamp</t>
  </si>
  <si>
    <t>GSL18</t>
  </si>
  <si>
    <t>Baseline Code for Generic EISA Compliant General Service Lamp, Screw-in, (1) 18W lamp</t>
  </si>
  <si>
    <t>GSL19</t>
  </si>
  <si>
    <t>Baseline Code for Generic EISA Compliant General Service Lamp, Screw-in, (1) 19W lamp</t>
  </si>
  <si>
    <t>GSL20</t>
  </si>
  <si>
    <t>Baseline Code for Generic EISA Compliant General Service Lamp, Screw-in, (1) 20W lamp</t>
  </si>
  <si>
    <t>GSL23</t>
  </si>
  <si>
    <t>Baseline Code for Generic EISA Compliant General Service Lamp, Screw-in, (1) 23W lamp</t>
  </si>
  <si>
    <t>GSL25</t>
  </si>
  <si>
    <t>Baseline Code for Generic EISA Compliant General Service Lamp, Screw-in, (1) 25W lamp</t>
  </si>
  <si>
    <t>GSL26</t>
  </si>
  <si>
    <t>Baseline Code for Generic EISA Compliant General Service Lamp, Screw-in, (1) 26W lamp</t>
  </si>
  <si>
    <t>GSL29</t>
  </si>
  <si>
    <t>Baseline Code for Generic EISA Compliant General Service Lamp, Screw-in, (1) 29W lamp</t>
  </si>
  <si>
    <t>GSL30</t>
  </si>
  <si>
    <t>Baseline Code for Generic EISA Compliant General Service Lamp, Screw-in, (1) 30W lamp</t>
  </si>
  <si>
    <t>Baseline Code for Generic EISA Compliant General Service Lamp, Screw-in, (2) 33W lamp</t>
  </si>
  <si>
    <t>Baseline Code for Generic EISA Compliant General Service Lamp, Screw-in, (2) 40W lamp</t>
  </si>
  <si>
    <t>Baseline Code for Generic EISA Compliant General Service Lamp, Screw-in, (2) 48W lamp</t>
  </si>
  <si>
    <t>Baseline Code for Generic EISA Compliant General Service Lamp, Screw-in, (2) 58W lamp</t>
  </si>
  <si>
    <t>Baseline Code for Generic EISA Compliant General Service Lamp, Screw-in, (2) 8W lamp</t>
  </si>
  <si>
    <t>Baseline Code for Generic EISA Compliant General Service Lamp, Screw-in, (2) 10W lamp</t>
  </si>
  <si>
    <t>Baseline Code for Generic EISA Compliant General Service Lamp, Screw-in, (2) 13W lamp</t>
  </si>
  <si>
    <t>Baseline Code for Generic EISA Compliant General Service Lamp, Screw-in, (2) 14W lamp</t>
  </si>
  <si>
    <t>Baseline Code for Generic EISA Compliant General Service Lamp, Screw-in, (2) 17W lamp</t>
  </si>
  <si>
    <t>Baseline Code for Generic EISA Compliant General Service Lamp, Screw-in, (2) 18W lamp</t>
  </si>
  <si>
    <t>Baseline Code for Generic EISA Compliant General Service Lamp, Screw-in, (2) 19W lamp</t>
  </si>
  <si>
    <t>Baseline Code for Generic EISA Compliant General Service Lamp, Screw-in, (2) 23W lamp</t>
  </si>
  <si>
    <t>Baseline Code for Generic EISA Compliant General Service Lamp, Screw-in, (2) 28W lamp</t>
  </si>
  <si>
    <t>Baseline Code for Generic EISA Compliant General Service Lamp, Screw-in, (2) 30W lamp</t>
  </si>
  <si>
    <t>Baseline Code for Generic EISA Compliant General Service Lamp, Screw-in, (3) 33W lamp</t>
  </si>
  <si>
    <t>Baseline Code for Generic EISA Compliant General Service Lamp, Screw-in, (3) 17W lamp</t>
  </si>
  <si>
    <t>Baseline Code for Generic EISA Compliant General Service Lamp, Screw-in, (3) 19W lamp</t>
  </si>
  <si>
    <t>Baseline Code for Generic EISA Compliant General Service Lamp, Screw-in, (3) 23W lamp</t>
  </si>
  <si>
    <t>Baseline Code for Generic EISA Compliant General Service Lamp, Screw-in, (3) 28W lamp</t>
  </si>
  <si>
    <t>Baseline Code for Generic EISA Compliant General Service Lamp, Screw-in, (4) 33W lamp</t>
  </si>
  <si>
    <t>Baseline Code for Generic EISA Compliant General Service Lamp, Screw-in, (4) 17W lamp</t>
  </si>
  <si>
    <t>Baseline Code for Generic EISA Compliant General Service Lamp, Screw-in, (4) 23W lamp</t>
  </si>
  <si>
    <t>Baseline Code for Generic EISA Compliant General Service Lamp, Screw-in, (5) 33W lamp</t>
  </si>
  <si>
    <t>Baseline Code for Generic EISA Compliant General Service Lamp, Screw-in, (5) 17W lamp</t>
  </si>
  <si>
    <t>GSL46</t>
  </si>
  <si>
    <t>Baseline Code for Generic EISA Compliant General Service Lamp, Screw-in, (1) 46W lamp</t>
  </si>
  <si>
    <t>GSL69</t>
  </si>
  <si>
    <t>Baseline Code for Generic EISA Compliant General Service Lamp, Screw-in, (1) 69W lamp</t>
  </si>
  <si>
    <t>GSL12</t>
  </si>
  <si>
    <t>Baseline Code for Generic EISA Compliant General Service Lamp, Screw-in, (1) 12W lamp</t>
  </si>
  <si>
    <t>GSL24</t>
  </si>
  <si>
    <t>Baseline Code for Generic EISA Compliant General Service Lamp, Screw-in, (1) 24W lamp</t>
  </si>
  <si>
    <t>GSL34</t>
  </si>
  <si>
    <t>Baseline Code for Generic EISA Compliant General Service Lamp, Screw-in, (1) 34W lamp</t>
  </si>
  <si>
    <t>GSL41</t>
  </si>
  <si>
    <t>Baseline Code for Generic EISA Compliant General Service Lamp, Screw-in, (1) 41W lamp</t>
  </si>
  <si>
    <t>GSL9</t>
  </si>
  <si>
    <t>Baseline Code for Generic EISA Compliant General Service Lamp, Screw-in, (1) 9W lamp</t>
  </si>
  <si>
    <t>Baseline Code for Generic EISA Compliant General Service Lamp, Screw-in, (2) 69W lamp</t>
  </si>
  <si>
    <t>Baseline Code for Generic EISA Compliant General Service Lamp, Screw-in, (2) 24W lamp</t>
  </si>
  <si>
    <t>Baseline Code for Generic EISA Compliant General Service Lamp, Screw-in, (2) 34W lamp</t>
  </si>
  <si>
    <t>Baseline Code for Generic EISA Compliant General Service Lamp, Screw-in, (2) 41W lamp</t>
  </si>
  <si>
    <t>Cut Sheet Fixtures - Please enter the appropriate information in the cells marked "Edit" below.  Up to 50 custom fixtures can be created.</t>
  </si>
  <si>
    <t>Reporting Category</t>
  </si>
  <si>
    <t>Cut Sheet 1</t>
  </si>
  <si>
    <t>Custom, From Cut Sheet</t>
  </si>
  <si>
    <t>Edit</t>
  </si>
  <si>
    <t>Cut Sheet 2</t>
  </si>
  <si>
    <t>Cut Sheet 3</t>
  </si>
  <si>
    <t>Cut Sheet 4</t>
  </si>
  <si>
    <t>Cut Sheet 5</t>
  </si>
  <si>
    <t>Cut Sheet 6</t>
  </si>
  <si>
    <t>Cut Sheet 7</t>
  </si>
  <si>
    <t>Cut Sheet 8</t>
  </si>
  <si>
    <t>Cut Sheet 9</t>
  </si>
  <si>
    <t>Cut Sheet 10</t>
  </si>
  <si>
    <t>Cut Sheet 11</t>
  </si>
  <si>
    <t>Cut Sheet 12</t>
  </si>
  <si>
    <t>Cut Sheet 13</t>
  </si>
  <si>
    <t>Cut Sheet 14</t>
  </si>
  <si>
    <t>Cut Sheet 15</t>
  </si>
  <si>
    <t>Cut Sheet 16</t>
  </si>
  <si>
    <t>Cut Sheet 17</t>
  </si>
  <si>
    <t>Cut Sheet 18</t>
  </si>
  <si>
    <t>Cut Sheet 19</t>
  </si>
  <si>
    <t>Cut Sheet 20</t>
  </si>
  <si>
    <t>Cut Sheet 21</t>
  </si>
  <si>
    <t>Cut Sheet 22</t>
  </si>
  <si>
    <t>Cut Sheet 23</t>
  </si>
  <si>
    <t>Cut Sheet 24</t>
  </si>
  <si>
    <t>Cut Sheet 25</t>
  </si>
  <si>
    <t>Cut Sheet 26</t>
  </si>
  <si>
    <t>Cut Sheet 27</t>
  </si>
  <si>
    <t>Cut Sheet 28</t>
  </si>
  <si>
    <t>Cut Sheet 29</t>
  </si>
  <si>
    <t>Cut Sheet 30</t>
  </si>
  <si>
    <t>Cut Sheet 31</t>
  </si>
  <si>
    <t>Cut Sheet 32</t>
  </si>
  <si>
    <t>Cut Sheet 33</t>
  </si>
  <si>
    <t>Cut Sheet 34</t>
  </si>
  <si>
    <t>Cut Sheet 35</t>
  </si>
  <si>
    <t>Cut Sheet 36</t>
  </si>
  <si>
    <t>Cut Sheet 37</t>
  </si>
  <si>
    <t>Cut Sheet 38</t>
  </si>
  <si>
    <t>Cut Sheet 39</t>
  </si>
  <si>
    <t>Cut Sheet 40</t>
  </si>
  <si>
    <t>Cut Sheet 41</t>
  </si>
  <si>
    <t>Cut Sheet 42</t>
  </si>
  <si>
    <t>Cut Sheet 43</t>
  </si>
  <si>
    <t>Cut Sheet 44</t>
  </si>
  <si>
    <t>Cut Sheet 45</t>
  </si>
  <si>
    <t>Cut Sheet 46</t>
  </si>
  <si>
    <t>Cut Sheet 47</t>
  </si>
  <si>
    <t>Cut Sheet 48</t>
  </si>
  <si>
    <t>Cut Sheet 49</t>
  </si>
  <si>
    <t>Cut Sheet 50</t>
  </si>
  <si>
    <t>Lighting Worksheet - General Information Form</t>
  </si>
  <si>
    <r>
      <t xml:space="preserve">Enter general project information in the yellow cells.  If all or a portion of the lighting project is considered a major renovation or new construction, the project is only eligible for this program if the design and/or project is complete. If your New Construction project is in it's preliminary design phase, please visit: http://energysavepa-cnc.com/ for more information.  Customers may leave the Project ID and External ID fields blank as those fields are used for internal processing.
If the deemed facility hours, as defined on the </t>
    </r>
    <r>
      <rPr>
        <i/>
        <sz val="10.5"/>
        <rFont val="Calibri"/>
        <family val="2"/>
        <scheme val="minor"/>
      </rPr>
      <t>Instructions tab</t>
    </r>
    <r>
      <rPr>
        <b/>
        <sz val="10.5"/>
        <rFont val="Calibri"/>
        <family val="2"/>
        <scheme val="minor"/>
      </rPr>
      <t>,</t>
    </r>
    <r>
      <rPr>
        <sz val="10.5"/>
        <rFont val="Calibri"/>
        <family val="2"/>
        <scheme val="minor"/>
      </rPr>
      <t xml:space="preserve"> are not a good fit to the facility's actual hours of operation, custom lighting schedules may be defined below for use in the </t>
    </r>
    <r>
      <rPr>
        <i/>
        <sz val="10.5"/>
        <rFont val="Calibri"/>
        <family val="2"/>
        <scheme val="minor"/>
      </rPr>
      <t>Lighting Inventory</t>
    </r>
    <r>
      <rPr>
        <sz val="10.5"/>
        <rFont val="Calibri"/>
        <family val="2"/>
        <scheme val="minor"/>
      </rPr>
      <t xml:space="preserve"> calculations.</t>
    </r>
  </si>
  <si>
    <t>Custom Lighting Schedule Summary</t>
  </si>
  <si>
    <t>Annual 
Hours</t>
  </si>
  <si>
    <t>CF
Summer</t>
  </si>
  <si>
    <t>CF
Winter</t>
  </si>
  <si>
    <t xml:space="preserve">*Customer (Company) Name   </t>
  </si>
  <si>
    <t xml:space="preserve">*Project Site Name   </t>
  </si>
  <si>
    <t xml:space="preserve">*Installation Address   </t>
  </si>
  <si>
    <t>*FirstEnergy Operating Company</t>
  </si>
  <si>
    <t xml:space="preserve">Project ID   </t>
  </si>
  <si>
    <t>Legacy ID</t>
  </si>
  <si>
    <t xml:space="preserve"> New Construction Calculation Method   </t>
  </si>
  <si>
    <t>Please refer to the New Contsruction qualifications on the Instructions tab.</t>
  </si>
  <si>
    <t>Yes</t>
  </si>
  <si>
    <t xml:space="preserve">Total Equipment Cost   </t>
  </si>
  <si>
    <t>Customer Sector</t>
  </si>
  <si>
    <t>Total Project Cost</t>
  </si>
  <si>
    <t>Custom schedules may defined in the tables below by editing the yellow cells.  If custom schedules are used in the lighting calculations, additional information such as site inspections, customer interviews and data logging may be required.  
If your facility type/building use is changing during this project, the TRM default schedule must be used.
Custom schedule names can be defined by editing the generic schedule names (e.g., "Manufacturing Floor").
-   Enter 1 to specify when the lighting equipment is on.  Cells populated with a 1 will turn green.
-   Enter 0 to specify when the lighting equipment is off.  Cells populated with a 0 will turn red.
-   Half hours can be specified by entering 0.5.  Cells populated with a 0.5 will turn light green.
When complete, all yellow cells in the table should contain either a 1, 0 or 0.5. 
Please Note: The lighting schedule calculators function as a percent.  Users have the option to enter in any number between 0 to 1 to define the percentage of time the lighting equipment is in operation for each one hour period (e.g., enter 0.25 for 15 minutes or .75 for 45 minutes).  Please see the example on the Instructions tab or contact a Program representative for assistance in completing the custom lighting schedule forms.</t>
  </si>
  <si>
    <t>Summer PJM Coincidence Factor 
Calculation</t>
  </si>
  <si>
    <t>Winter PJM Coincidence Factor
Calculation</t>
  </si>
  <si>
    <t xml:space="preserve">  </t>
  </si>
  <si>
    <t>❶</t>
  </si>
  <si>
    <t xml:space="preserve"> Midnight to 1</t>
  </si>
  <si>
    <t xml:space="preserve"> 1 to 2 a.m.</t>
  </si>
  <si>
    <t xml:space="preserve"> 2 to 3 a.m.</t>
  </si>
  <si>
    <t xml:space="preserve"> 3 to 4 a.m.</t>
  </si>
  <si>
    <t xml:space="preserve"> 4 to 5 a.m.</t>
  </si>
  <si>
    <t xml:space="preserve"> 5 to 6 a.m.</t>
  </si>
  <si>
    <t xml:space="preserve"> 6 to 7 a.m.</t>
  </si>
  <si>
    <t xml:space="preserve"> 7 to 8 a.m.</t>
  </si>
  <si>
    <t xml:space="preserve"> 8 to 9 a.m.</t>
  </si>
  <si>
    <t xml:space="preserve"> 9 to 10 a.m.</t>
  </si>
  <si>
    <t xml:space="preserve"> 10 to 11 a.m.</t>
  </si>
  <si>
    <t xml:space="preserve"> 11 to Noon</t>
  </si>
  <si>
    <t xml:space="preserve"> Noon to 1</t>
  </si>
  <si>
    <t xml:space="preserve"> 1 to 2 p.m.</t>
  </si>
  <si>
    <t xml:space="preserve"> 2 to 3 p.m.</t>
  </si>
  <si>
    <t xml:space="preserve"> 3 to 4 p.m.</t>
  </si>
  <si>
    <t xml:space="preserve"> 4 to 5 p.m.</t>
  </si>
  <si>
    <t xml:space="preserve"> 5 to 6 p.m.</t>
  </si>
  <si>
    <t xml:space="preserve"> 6 to 7 p.m.</t>
  </si>
  <si>
    <t xml:space="preserve"> 7 to 8 p.m.</t>
  </si>
  <si>
    <t xml:space="preserve"> 8 to 9 p.m.</t>
  </si>
  <si>
    <t xml:space="preserve"> 9 to 10 p.m.</t>
  </si>
  <si>
    <t xml:space="preserve"> 10 to 11 p.m.</t>
  </si>
  <si>
    <t xml:space="preserve"> 11 to Midnight</t>
  </si>
  <si>
    <t>Hours per day</t>
  </si>
  <si>
    <t>Hours per year</t>
  </si>
  <si>
    <t xml:space="preserve">  2 p.m.</t>
  </si>
  <si>
    <t xml:space="preserve">  3 p.m.</t>
  </si>
  <si>
    <t xml:space="preserve">  4 p.m.</t>
  </si>
  <si>
    <t xml:space="preserve">  5 p.m.</t>
  </si>
  <si>
    <t xml:space="preserve">  7 a.m.</t>
  </si>
  <si>
    <t xml:space="preserve">  8 a.m.</t>
  </si>
  <si>
    <t xml:space="preserve">  6 p.m.</t>
  </si>
  <si>
    <t xml:space="preserve">  7 p.m.</t>
  </si>
  <si>
    <t xml:space="preserve">Monday </t>
  </si>
  <si>
    <t>Monday</t>
  </si>
  <si>
    <t xml:space="preserve">Tuesday </t>
  </si>
  <si>
    <t>Tuesday</t>
  </si>
  <si>
    <t xml:space="preserve">Wednesday </t>
  </si>
  <si>
    <t>Wednesday</t>
  </si>
  <si>
    <t xml:space="preserve">Thursday </t>
  </si>
  <si>
    <t>Thursday</t>
  </si>
  <si>
    <t xml:space="preserve">Friday </t>
  </si>
  <si>
    <t>Friday</t>
  </si>
  <si>
    <t xml:space="preserve">Saturday </t>
  </si>
  <si>
    <t xml:space="preserve">Sunday </t>
  </si>
  <si>
    <t>Holidays Observed Annually</t>
  </si>
  <si>
    <t>Annual Hours</t>
  </si>
  <si>
    <t>Yearly Operating Weeks</t>
  </si>
  <si>
    <t>Summer PJM Coincidence Factor</t>
  </si>
  <si>
    <t>Unoccupied Summer Peak Weeks</t>
  </si>
  <si>
    <t>Winter PJM Coincidence Factor</t>
  </si>
  <si>
    <t>Unoccupied Winter Peak Weeks</t>
  </si>
  <si>
    <t>&lt;&lt; Input Schedule Name 2 &gt;&gt;</t>
  </si>
  <si>
    <t>❷</t>
  </si>
  <si>
    <t>&lt;&lt; Input Schedule Name 3 &gt;&gt;</t>
  </si>
  <si>
    <t>❸</t>
  </si>
  <si>
    <t>&lt;&lt; Input Schedule Name 4 &gt;&gt;</t>
  </si>
  <si>
    <t>❹</t>
  </si>
  <si>
    <t>&lt;&lt; Input Schedule Name 5 &gt;&gt;</t>
  </si>
  <si>
    <t>❺</t>
  </si>
  <si>
    <t>&lt;&lt; Input Schedule Name 6 &gt;&gt;</t>
  </si>
  <si>
    <t>❻</t>
  </si>
  <si>
    <t>&lt;&lt; Input Schedule Name 7 &gt;&gt;</t>
  </si>
  <si>
    <t>❼</t>
  </si>
  <si>
    <t>&lt;&lt; Input Schedule Name 8 &gt;&gt;</t>
  </si>
  <si>
    <t>❽</t>
  </si>
  <si>
    <t xml:space="preserve">     Franklin Energy - 844-323-6399 | energysavePA@franklinenergy.com</t>
  </si>
  <si>
    <t>Retrofit Lighting Worksheet</t>
  </si>
  <si>
    <t>↓  When rows are highlighted in blue (indicating the fixture may be capped at 50% of the fixture cost) please enter the cost per fixture, if known, in column AA; otherwise leave blank.  Entering in the per-fixture costs for each 50% capped row will give a better estimate of the final incentive.  Fixture costs from the equipment invoices will be used to calculate the final incentive.  If cells are highlighted red in column AA, enter in the cost per fixture to calculate the capped incentive.</t>
  </si>
  <si>
    <t>Hide Columns BG to FY</t>
  </si>
  <si>
    <t>Please enter this information on the General Information tab</t>
  </si>
  <si>
    <t xml:space="preserve">If "Custom" is selected as the Post Fixture Category, please enter the lighting equipment details as a custom "Cut Sheet" fixture on the Fixture Identities tab.  Custom fixtures can be entered in the Fixture Identities tab starting on row 974.  
</t>
  </si>
  <si>
    <t>CR Added</t>
  </si>
  <si>
    <t xml:space="preserve">Customer Name   </t>
  </si>
  <si>
    <t>Total Equipment Cost</t>
  </si>
  <si>
    <t xml:space="preserve">Building Address   </t>
  </si>
  <si>
    <t>Calculation Method (New Construction)</t>
  </si>
  <si>
    <t>CI-CO-PR-IT-LI-000001-01-FEPA-CI</t>
  </si>
  <si>
    <t>CI-CO-PR-IT-LI-000002-01-FEPA-CI</t>
  </si>
  <si>
    <t>CI-CO-PR-IT-LI-000003-01-FEPA-CI</t>
  </si>
  <si>
    <t>CI-CO-PR-IT-LI-000004-01-FEPA-CI</t>
  </si>
  <si>
    <t>CI-CO-PR-IT-LI-000005-01-FEPA-CI</t>
  </si>
  <si>
    <t>CI-CO-PR-IT-LI-000006-01-FEPA-CI</t>
  </si>
  <si>
    <t>CI-CO-PR-IT-LI-000007-01-FEPA-CI</t>
  </si>
  <si>
    <t>CI-CO-PR-IT-LI-000008-01-FEPA-CI</t>
  </si>
  <si>
    <t>CI-CO-PR-IT-LI-000011-01-FEPA-CI</t>
  </si>
  <si>
    <t>CI-CO-PR-IT-LI-000010-01-FEPA-CI</t>
  </si>
  <si>
    <t>CI-CO-CU-IT-LI-000003-01-FEPA-CI</t>
  </si>
  <si>
    <t>Prescriptive Cap Lookup</t>
  </si>
  <si>
    <t>Incentive Capped?</t>
  </si>
  <si>
    <t>Weighted Savings</t>
  </si>
  <si>
    <t>50% of Weighted Equipment Cost</t>
  </si>
  <si>
    <t>Missing total or itemized fixture costs for 50% capped fixtures</t>
  </si>
  <si>
    <t>New Construction Sensors Eligible for Incentive?</t>
  </si>
  <si>
    <t>Pre Fixture Code Flagged as Unusual?</t>
  </si>
  <si>
    <t>Pre and Post Controls?</t>
  </si>
  <si>
    <t>Facility/Area Type Selection Mismatch?</t>
  </si>
  <si>
    <t>Cooling Selection Mismatch?</t>
  </si>
  <si>
    <t>Heating Selection Mismatch?</t>
  </si>
  <si>
    <t>Post Lighting Controls Mismatch?</t>
  </si>
  <si>
    <t>Summarized Incentive</t>
  </si>
  <si>
    <t>Capped Incentive</t>
  </si>
  <si>
    <t>Controls Incentive</t>
  </si>
  <si>
    <t>Fixture Incentive</t>
  </si>
  <si>
    <t>* Indicates a required field</t>
  </si>
  <si>
    <t>Pre Installation [Retrofit]</t>
  </si>
  <si>
    <t>Baseline [New Construction]</t>
  </si>
  <si>
    <t>Post Installation [Retrofit]</t>
  </si>
  <si>
    <t>Total Savings kW</t>
  </si>
  <si>
    <r>
      <t>Demand Savings kW</t>
    </r>
    <r>
      <rPr>
        <b/>
        <vertAlign val="subscript"/>
        <sz val="10"/>
        <color indexed="9"/>
        <rFont val="Calibri"/>
        <family val="2"/>
      </rPr>
      <t>PJM Summer</t>
    </r>
  </si>
  <si>
    <r>
      <t>Demand Savings kW</t>
    </r>
    <r>
      <rPr>
        <b/>
        <vertAlign val="subscript"/>
        <sz val="10"/>
        <color indexed="9"/>
        <rFont val="Calibri"/>
        <family val="2"/>
      </rPr>
      <t>PJM Winter</t>
    </r>
  </si>
  <si>
    <t>Energy Savings (kWh)</t>
  </si>
  <si>
    <t>T12 on Pre?</t>
  </si>
  <si>
    <t>Prescriptive?</t>
  </si>
  <si>
    <t>Baseline Fluorescent?</t>
  </si>
  <si>
    <t>LED Exit Sign Prescriptive?</t>
  </si>
  <si>
    <t>LED Exit Sign on Pre?</t>
  </si>
  <si>
    <t>50% Cap on incentive?</t>
  </si>
  <si>
    <t>T5</t>
  </si>
  <si>
    <t>T8</t>
  </si>
  <si>
    <t>LED Reach-in Refrigerator/Freezer Lights</t>
  </si>
  <si>
    <t>Line Item</t>
  </si>
  <si>
    <t>*Project Type
(drop down menu)</t>
  </si>
  <si>
    <t>*Interior or Exterior Fixture? (drop down menu)</t>
  </si>
  <si>
    <t>*Facility Type 
(drop down menu)</t>
  </si>
  <si>
    <t>*Space Cooling Type
(drop down menu)</t>
  </si>
  <si>
    <t>*Space Heating Type
(drop down menu)</t>
  </si>
  <si>
    <t>*Pre Fixture 
Quantity</t>
  </si>
  <si>
    <t>*Pre Fixture 
Code</t>
  </si>
  <si>
    <t>Pre Watts per Fixture (lookup from Wattage Table)</t>
  </si>
  <si>
    <t>Pre kW per Space (Calculated)</t>
  </si>
  <si>
    <t>Existing Control Type
(if no controls leave blank)</t>
  </si>
  <si>
    <r>
      <t>Units - e.g. Square Feet (ft</t>
    </r>
    <r>
      <rPr>
        <vertAlign val="superscript"/>
        <sz val="8"/>
        <color indexed="9"/>
        <rFont val="Calibri"/>
        <family val="2"/>
      </rPr>
      <t>2</t>
    </r>
    <r>
      <rPr>
        <sz val="8"/>
        <color indexed="9"/>
        <rFont val="Calibri"/>
        <family val="2"/>
      </rPr>
      <t>)  If multiple fixture types are used, please only enter the total area/distance/qty once per space.</t>
    </r>
  </si>
  <si>
    <t>Lighting Power Density (W/unit)</t>
  </si>
  <si>
    <t>*Post Fixture Quantity</t>
  </si>
  <si>
    <t>Navigator Quantity</t>
  </si>
  <si>
    <t>*Post Fixture Category 
(drop down menu)</t>
  </si>
  <si>
    <t>*Post Fixture Description 
(drop down menu)</t>
  </si>
  <si>
    <t>Lookup Category</t>
  </si>
  <si>
    <t>Program Measure Name</t>
  </si>
  <si>
    <t>Navigator External ID</t>
  </si>
  <si>
    <t>HOU Type</t>
  </si>
  <si>
    <t>Incentive Rate 
(lookup)</t>
  </si>
  <si>
    <t>Calculated Cost Per Fixture ($)</t>
  </si>
  <si>
    <t>Total Cost Per Line</t>
  </si>
  <si>
    <t>LED Signage Linear Feet 
(if applicable)</t>
  </si>
  <si>
    <t>Quantity of Doors 
(if applicable)</t>
  </si>
  <si>
    <t>Post kW per Space (kW)</t>
  </si>
  <si>
    <t>Proposed Control Type 
(drop down menu)
if no controls are installed on post equipment leave blank</t>
  </si>
  <si>
    <t>Cost per Sensor from Itemized Invoice ($)</t>
  </si>
  <si>
    <t>Total Cost per Line of Sensors</t>
  </si>
  <si>
    <t>Change in Connected Load (kW)</t>
  </si>
  <si>
    <t>∆kW Absolute Value for EFLH Weight</t>
  </si>
  <si>
    <t>Lighting Schedule
(from General Info tab)</t>
  </si>
  <si>
    <t>Prescribed Equivalent Full Load Hours (EFLH)</t>
  </si>
  <si>
    <r>
      <t xml:space="preserve">EFLH weighted average by </t>
    </r>
    <r>
      <rPr>
        <b/>
        <sz val="10"/>
        <color theme="0"/>
        <rFont val="Calibri"/>
        <family val="2"/>
      </rPr>
      <t>Δ</t>
    </r>
    <r>
      <rPr>
        <b/>
        <sz val="10"/>
        <color theme="0"/>
        <rFont val="Calibri"/>
        <family val="2"/>
        <scheme val="minor"/>
      </rPr>
      <t>kW</t>
    </r>
  </si>
  <si>
    <t>Coincidence Factor Summer PJM</t>
  </si>
  <si>
    <t>Coincidence Factor Winter PJM</t>
  </si>
  <si>
    <r>
      <t>Interactive Factor Demand Summer (If</t>
    </r>
    <r>
      <rPr>
        <b/>
        <vertAlign val="subscript"/>
        <sz val="10"/>
        <color indexed="9"/>
        <rFont val="Calibri"/>
        <family val="2"/>
      </rPr>
      <t>demand Summer</t>
    </r>
    <r>
      <rPr>
        <b/>
        <sz val="10"/>
        <color indexed="9"/>
        <rFont val="Calibri"/>
        <family val="2"/>
      </rPr>
      <t>)</t>
    </r>
  </si>
  <si>
    <r>
      <t>Interactive Factor Demand Winter (If</t>
    </r>
    <r>
      <rPr>
        <b/>
        <vertAlign val="subscript"/>
        <sz val="10"/>
        <color indexed="9"/>
        <rFont val="Calibri"/>
        <family val="2"/>
      </rPr>
      <t>demand Winter</t>
    </r>
    <r>
      <rPr>
        <b/>
        <sz val="10"/>
        <color indexed="9"/>
        <rFont val="Calibri"/>
        <family val="2"/>
      </rPr>
      <t>)</t>
    </r>
  </si>
  <si>
    <r>
      <t>Interactive Factor Energy (If</t>
    </r>
    <r>
      <rPr>
        <b/>
        <vertAlign val="subscript"/>
        <sz val="10"/>
        <color indexed="9"/>
        <rFont val="Calibri"/>
        <family val="2"/>
      </rPr>
      <t>energy</t>
    </r>
    <r>
      <rPr>
        <b/>
        <sz val="10"/>
        <color indexed="9"/>
        <rFont val="Calibri"/>
        <family val="2"/>
      </rPr>
      <t>)</t>
    </r>
  </si>
  <si>
    <t>Total Savings kW (no controls)</t>
  </si>
  <si>
    <t>Total Savings kW Controls Only</t>
  </si>
  <si>
    <t>Total kW Savings (no CF)</t>
  </si>
  <si>
    <t>Demand Savings (no controls)</t>
  </si>
  <si>
    <t>Demand Savings Controls Only</t>
  </si>
  <si>
    <r>
      <t>Demand Savings (kW</t>
    </r>
    <r>
      <rPr>
        <b/>
        <vertAlign val="subscript"/>
        <sz val="10"/>
        <color indexed="9"/>
        <rFont val="Calibri"/>
        <family val="2"/>
      </rPr>
      <t>PJM Summer</t>
    </r>
    <r>
      <rPr>
        <b/>
        <sz val="10"/>
        <color indexed="9"/>
        <rFont val="Calibri"/>
        <family val="2"/>
      </rPr>
      <t>)</t>
    </r>
  </si>
  <si>
    <r>
      <t>Demand Savings (kW</t>
    </r>
    <r>
      <rPr>
        <b/>
        <vertAlign val="subscript"/>
        <sz val="10"/>
        <color indexed="9"/>
        <rFont val="Calibri"/>
        <family val="2"/>
      </rPr>
      <t>PJM Winter</t>
    </r>
    <r>
      <rPr>
        <b/>
        <sz val="10"/>
        <color indexed="9"/>
        <rFont val="Calibri"/>
        <family val="2"/>
      </rPr>
      <t>)</t>
    </r>
  </si>
  <si>
    <t>Annual Energy Savings (no controls)</t>
  </si>
  <si>
    <r>
      <t xml:space="preserve">Annual Energy Savings (kWh) </t>
    </r>
    <r>
      <rPr>
        <b/>
        <sz val="10"/>
        <color indexed="9"/>
        <rFont val="Calibri"/>
        <family val="2"/>
      </rPr>
      <t>Controls Only</t>
    </r>
  </si>
  <si>
    <t>Controls Total Incentive</t>
  </si>
  <si>
    <t>Controls Capped Incentive</t>
  </si>
  <si>
    <t>Fixture Total Incentive</t>
  </si>
  <si>
    <t>Fixture Capped Incentive</t>
  </si>
  <si>
    <t>kW Capped Incentive</t>
  </si>
  <si>
    <t>Capped Performance Incentive</t>
  </si>
  <si>
    <t>Exterior Lighting Description</t>
  </si>
  <si>
    <t xml:space="preserve">Building Type </t>
  </si>
  <si>
    <t>Space Cooling</t>
  </si>
  <si>
    <t>Space Heating</t>
  </si>
  <si>
    <t xml:space="preserve">Post Fixture Description </t>
  </si>
  <si>
    <t>New Construction Space Type</t>
  </si>
  <si>
    <t>Lighting 
Controls</t>
  </si>
  <si>
    <t>Interior/Exterior</t>
  </si>
  <si>
    <t>Interior</t>
  </si>
  <si>
    <t>Exterior</t>
  </si>
  <si>
    <t>Area/Distance/Qty</t>
  </si>
  <si>
    <r>
      <t>kW</t>
    </r>
    <r>
      <rPr>
        <b/>
        <vertAlign val="subscript"/>
        <sz val="10"/>
        <color indexed="9"/>
        <rFont val="Calibri"/>
        <family val="2"/>
      </rPr>
      <t>PJM</t>
    </r>
  </si>
  <si>
    <t>Qty</t>
  </si>
  <si>
    <t>$</t>
  </si>
  <si>
    <t>Key</t>
  </si>
  <si>
    <t>ReplType</t>
  </si>
  <si>
    <t>Location</t>
  </si>
  <si>
    <t>FacitiltyType</t>
  </si>
  <si>
    <t>CoolType</t>
  </si>
  <si>
    <t>HeatingType</t>
  </si>
  <si>
    <t>PreFixQty</t>
  </si>
  <si>
    <t>PreFix</t>
  </si>
  <si>
    <t>PreWatts</t>
  </si>
  <si>
    <t>ExstCont</t>
  </si>
  <si>
    <t>PostQty</t>
  </si>
  <si>
    <t>PostCat</t>
  </si>
  <si>
    <t>PostDesc</t>
  </si>
  <si>
    <t>ExternalID</t>
  </si>
  <si>
    <t>PostWatt</t>
  </si>
  <si>
    <t>MeasureCost</t>
  </si>
  <si>
    <t>LnFt</t>
  </si>
  <si>
    <t>PropCont</t>
  </si>
  <si>
    <t>EquipmentSizeUnitQuantity</t>
  </si>
  <si>
    <t>WattCont</t>
  </si>
  <si>
    <t>ContMeasureCost</t>
  </si>
  <si>
    <t>HOURS</t>
  </si>
  <si>
    <t>NcpkW</t>
  </si>
  <si>
    <t>ContNcpkW</t>
  </si>
  <si>
    <t>CoinckW</t>
  </si>
  <si>
    <t>ContCoinckW</t>
  </si>
  <si>
    <t>ContkWh</t>
  </si>
  <si>
    <t>ContUncapIncentive</t>
  </si>
  <si>
    <t>ContCapIncentive</t>
  </si>
  <si>
    <t>UncapIncentive</t>
  </si>
  <si>
    <t>CapIncentive</t>
  </si>
  <si>
    <t>kWCapIncentive</t>
  </si>
  <si>
    <t>No</t>
  </si>
  <si>
    <t>Totals</t>
  </si>
  <si>
    <t>Total kWh * the weight</t>
  </si>
  <si>
    <t>Total cost * the weight</t>
  </si>
  <si>
    <t>Energy Savings</t>
  </si>
  <si>
    <t>Weighted %</t>
  </si>
  <si>
    <t>Equipment Cost</t>
  </si>
  <si>
    <t>50% Capped Savings kWh</t>
  </si>
  <si>
    <t>Prescriptive/Non-Capped Savings kWh</t>
  </si>
  <si>
    <t>Version</t>
  </si>
  <si>
    <t>Building Area Method</t>
  </si>
  <si>
    <t>Screw-Based
CFL &amp; LED</t>
  </si>
  <si>
    <t>Other General Service Lighting</t>
  </si>
  <si>
    <t>Mapping from PA TRM 2021 to IECC 2015</t>
  </si>
  <si>
    <t>New Construction Controls SVGbase</t>
  </si>
  <si>
    <t>Appendix C 
Facility Types</t>
  </si>
  <si>
    <t>Incentive Lookup</t>
  </si>
  <si>
    <t>Retrofit Incentive Lookup</t>
  </si>
  <si>
    <t>Row Number for Data Export</t>
  </si>
  <si>
    <t>Letter for Pre Cut Sheet</t>
  </si>
  <si>
    <t>Mapping from PA TRM 2021 to facility types</t>
  </si>
  <si>
    <t>Space-by-Space Method</t>
  </si>
  <si>
    <t>Space Conditioning Type</t>
  </si>
  <si>
    <t>Interactive Factors</t>
  </si>
  <si>
    <t>Appendix C 
Lookup</t>
  </si>
  <si>
    <t>Sensors Required by Code</t>
  </si>
  <si>
    <t>HOU</t>
  </si>
  <si>
    <t>Summer CF</t>
  </si>
  <si>
    <t>Winter CF</t>
  </si>
  <si>
    <t>LPD</t>
  </si>
  <si>
    <t>LPD Allowance</t>
  </si>
  <si>
    <r>
      <t>If</t>
    </r>
    <r>
      <rPr>
        <b/>
        <vertAlign val="subscript"/>
        <sz val="16"/>
        <rFont val="Calibri"/>
        <family val="2"/>
      </rPr>
      <t xml:space="preserve">demand </t>
    </r>
    <r>
      <rPr>
        <b/>
        <sz val="16"/>
        <rFont val="Calibri"/>
        <family val="2"/>
      </rPr>
      <t>Summer</t>
    </r>
  </si>
  <si>
    <r>
      <t>If</t>
    </r>
    <r>
      <rPr>
        <b/>
        <vertAlign val="subscript"/>
        <sz val="16"/>
        <rFont val="Calibri"/>
        <family val="2"/>
      </rPr>
      <t xml:space="preserve">demand </t>
    </r>
    <r>
      <rPr>
        <b/>
        <sz val="16"/>
        <rFont val="Calibri"/>
        <family val="2"/>
      </rPr>
      <t>Winter</t>
    </r>
    <r>
      <rPr>
        <b/>
        <vertAlign val="subscript"/>
        <sz val="16"/>
        <rFont val="Calibri"/>
        <family val="2"/>
      </rPr>
      <t xml:space="preserve"> </t>
    </r>
  </si>
  <si>
    <r>
      <t>If</t>
    </r>
    <r>
      <rPr>
        <b/>
        <vertAlign val="subscript"/>
        <sz val="16"/>
        <rFont val="Calibri"/>
        <family val="2"/>
      </rPr>
      <t>energy</t>
    </r>
  </si>
  <si>
    <t>Occ Sensors 
Req'd?</t>
  </si>
  <si>
    <t>Retrofit Equipment Description 
Drop Down Options</t>
  </si>
  <si>
    <t>Name</t>
  </si>
  <si>
    <t>Equipment Category
Drop Down Options</t>
  </si>
  <si>
    <t>Post Fixture Description 
Drop Down</t>
  </si>
  <si>
    <t>Post Fixture Description 
Drop Down Logic</t>
  </si>
  <si>
    <t>External ID for Navigator
Interior</t>
  </si>
  <si>
    <t>External ID For Navigator
Exterior</t>
  </si>
  <si>
    <t>Screw-Based
CFL &amp; LED?</t>
  </si>
  <si>
    <t>Measure Life
(years)</t>
  </si>
  <si>
    <t>Incentive Caps</t>
  </si>
  <si>
    <t>Cap Units</t>
  </si>
  <si>
    <t>Incentive Prescriptive?</t>
  </si>
  <si>
    <t>Prescriptive if not Incandescent</t>
  </si>
  <si>
    <t>Capped at 50%?</t>
  </si>
  <si>
    <t>B</t>
  </si>
  <si>
    <t>Education - Primary School</t>
  </si>
  <si>
    <t>Education</t>
  </si>
  <si>
    <t>School/University</t>
  </si>
  <si>
    <t>School/university</t>
  </si>
  <si>
    <t>NEW CONSTRUCTION WHOLE BUILDING</t>
  </si>
  <si>
    <t>Non-Electric Heat</t>
  </si>
  <si>
    <t>Non-Electric</t>
  </si>
  <si>
    <t>University Classroom (excluding Shop or Labs)</t>
  </si>
  <si>
    <t>Fluorescent Fixtures</t>
  </si>
  <si>
    <t>Flu_Fixt</t>
  </si>
  <si>
    <t>CFL Lamps</t>
  </si>
  <si>
    <t>CFL_Lamps</t>
  </si>
  <si>
    <t>T5 Fluorescent - New Fixture</t>
  </si>
  <si>
    <t>Per kWh</t>
  </si>
  <si>
    <t>C</t>
  </si>
  <si>
    <t>Education - Secondary School</t>
  </si>
  <si>
    <t>Atrium, &lt; 40 ft. in height</t>
  </si>
  <si>
    <t>Electric Heat</t>
  </si>
  <si>
    <t>Electric</t>
  </si>
  <si>
    <t>Conference, Meeting or Training Room</t>
  </si>
  <si>
    <t>Fluorescent Retrofits</t>
  </si>
  <si>
    <t>Flu_Ret</t>
  </si>
  <si>
    <t>CFL Fixtures</t>
  </si>
  <si>
    <t>CFL_Fixtures</t>
  </si>
  <si>
    <t>T8 Fluorescent - New Fixture</t>
  </si>
  <si>
    <t>Education - Community College</t>
  </si>
  <si>
    <t>Atrium, &gt;= 40 ft. in height</t>
  </si>
  <si>
    <t>Unheated</t>
  </si>
  <si>
    <t>Employee Lunch or Break Room</t>
  </si>
  <si>
    <t>Exit Signs</t>
  </si>
  <si>
    <t>Exit</t>
  </si>
  <si>
    <t>T5 Fluorescent - High or Low Bay</t>
  </si>
  <si>
    <t>Education - University</t>
  </si>
  <si>
    <t>Audience Seating Area</t>
  </si>
  <si>
    <t>Air Conditioned</t>
  </si>
  <si>
    <t>Comfort Cooled</t>
  </si>
  <si>
    <t>Other</t>
  </si>
  <si>
    <t>LED Replacement Lamps</t>
  </si>
  <si>
    <t>LED_Lamps</t>
  </si>
  <si>
    <t>T8 Fluorescent - High or Low Bay</t>
  </si>
  <si>
    <t>Grocery Store</t>
  </si>
  <si>
    <t>Grocery</t>
  </si>
  <si>
    <t>Retail</t>
  </si>
  <si>
    <t>Bank Activity Area</t>
  </si>
  <si>
    <t>Uncooled</t>
  </si>
  <si>
    <t>Unconditioned</t>
  </si>
  <si>
    <t>Copy or Printing Room</t>
  </si>
  <si>
    <t>Interior LED Fixtures replacing lamp(s) ≤ 250 Watts</t>
  </si>
  <si>
    <t>LED_Fixt_Int</t>
  </si>
  <si>
    <t>T5 Fluorescent - Retrofit</t>
  </si>
  <si>
    <t>Hospital</t>
  </si>
  <si>
    <t>Health</t>
  </si>
  <si>
    <t>Classroom</t>
  </si>
  <si>
    <t>Freezer Space</t>
  </si>
  <si>
    <t>Freezer</t>
  </si>
  <si>
    <t>Dressing, Locker or Fitting Room</t>
  </si>
  <si>
    <t>Interior LED Fixtures replacing lamp(s) &gt;250 Watts</t>
  </si>
  <si>
    <t>LED_Fixt_Int_250</t>
  </si>
  <si>
    <t>T8 Fluorescent - Retrofit</t>
  </si>
  <si>
    <t>Medical - Clinic</t>
  </si>
  <si>
    <t>Healthcare Clinic</t>
  </si>
  <si>
    <t>Health-care clinic</t>
  </si>
  <si>
    <t>Computer Room</t>
  </si>
  <si>
    <t>Med Temp Refrigerated Space</t>
  </si>
  <si>
    <t>Med. Temp. Refrg.</t>
  </si>
  <si>
    <t>Private Office less than 250 ft^2</t>
  </si>
  <si>
    <t>Exterior LED Fixtures replacing lamp(s) ≤ 250 Watts</t>
  </si>
  <si>
    <t>LED_Fixt_Ext</t>
  </si>
  <si>
    <t>T5 Fluorescent - Delamp</t>
  </si>
  <si>
    <t>Nursing Home</t>
  </si>
  <si>
    <t>Dormitory</t>
  </si>
  <si>
    <t>High Temp Refrigerated Space</t>
  </si>
  <si>
    <t>High Temp. Refrg.</t>
  </si>
  <si>
    <t>Restrooms</t>
  </si>
  <si>
    <t>Exterior LED Fixtures replacing lamp(s) &gt;250 Watts</t>
  </si>
  <si>
    <t>LED_Fixt_Ext_250</t>
  </si>
  <si>
    <t>T8 Fluorescent - Delamp</t>
  </si>
  <si>
    <t>J</t>
  </si>
  <si>
    <t>Lodging - Entire Facility</t>
  </si>
  <si>
    <t>Lodging</t>
  </si>
  <si>
    <t>Hotel</t>
  </si>
  <si>
    <t>Convention Center/Exhibit Space</t>
  </si>
  <si>
    <t>Storage or Supply Room  50 ft^2 to 1,000 ft^2</t>
  </si>
  <si>
    <t>Interior LED Retrofit Kits</t>
  </si>
  <si>
    <t>LED_Ret_Int</t>
  </si>
  <si>
    <t>LED Exit Signs</t>
  </si>
  <si>
    <t>Per Sign</t>
  </si>
  <si>
    <t>K</t>
  </si>
  <si>
    <t>Industrial - 1 Shift</t>
  </si>
  <si>
    <t>Industrial/Manufacturing - 1 Shift</t>
  </si>
  <si>
    <t>Manufacturing Facility</t>
  </si>
  <si>
    <t>Copy/Print Room</t>
  </si>
  <si>
    <t>Exterior LED Retrofit Kits</t>
  </si>
  <si>
    <t>LED_Ret_Ext</t>
  </si>
  <si>
    <t>Photoluminescent Exit Signs</t>
  </si>
  <si>
    <t>Industrial - 2 Shift</t>
  </si>
  <si>
    <t>Industrial/Manufacturing - 2 Shift</t>
  </si>
  <si>
    <t>Manufacturing - 1 Shift</t>
  </si>
  <si>
    <t>Corridor</t>
  </si>
  <si>
    <t>Control Type</t>
  </si>
  <si>
    <t>SVG</t>
  </si>
  <si>
    <t>Incentive ($/Sensor)</t>
  </si>
  <si>
    <t>Measure Life</t>
  </si>
  <si>
    <t>FirstEnergy Op Co</t>
  </si>
  <si>
    <t>LED Channel Signage</t>
  </si>
  <si>
    <t>LED_Signs</t>
  </si>
  <si>
    <t>A-Style LED Lamp</t>
  </si>
  <si>
    <t>Per Lamp</t>
  </si>
  <si>
    <t>M</t>
  </si>
  <si>
    <t>Industrial - 3 Shift</t>
  </si>
  <si>
    <t>Industrial/Manufacturing - 3 Shift</t>
  </si>
  <si>
    <t>Manufacturing - 2 Shift</t>
  </si>
  <si>
    <t>Courtroom</t>
  </si>
  <si>
    <t>Light Switch</t>
  </si>
  <si>
    <t>Met-Ed</t>
  </si>
  <si>
    <t>Reporting Categories</t>
  </si>
  <si>
    <t>Measure ID</t>
  </si>
  <si>
    <t>Retrofit ID</t>
  </si>
  <si>
    <t>LED Box Signage</t>
  </si>
  <si>
    <t>LED_Box_Signs</t>
  </si>
  <si>
    <t>PAR/BR/R 20 LED Lamp</t>
  </si>
  <si>
    <t>Convenience/Gas - Retail Area</t>
  </si>
  <si>
    <t>Manufacturing - 3 Shift</t>
  </si>
  <si>
    <t>Dining Area</t>
  </si>
  <si>
    <t>Occupancy</t>
  </si>
  <si>
    <t>Penelec</t>
  </si>
  <si>
    <t>FEPA-107</t>
  </si>
  <si>
    <t>Retrofit ID 1</t>
  </si>
  <si>
    <t>LED Reach-in Case Lighting</t>
  </si>
  <si>
    <t>LED_Fridge</t>
  </si>
  <si>
    <t>PAR/BR/R 30, PAR 38, or BR40 LED Lamp</t>
  </si>
  <si>
    <t>O</t>
  </si>
  <si>
    <t>Convenience/Gas - Canopy</t>
  </si>
  <si>
    <t>Exterior, Photocell-Controlled</t>
  </si>
  <si>
    <t>Canopies and Overhangs</t>
  </si>
  <si>
    <t>Dormitory/Living Quarters</t>
  </si>
  <si>
    <t>Daylighting</t>
  </si>
  <si>
    <t>Penn Power</t>
  </si>
  <si>
    <t>CFL Lamps Specialty</t>
  </si>
  <si>
    <t>FEPA-110</t>
  </si>
  <si>
    <t>Retrofit ID 2</t>
  </si>
  <si>
    <t>Tube LED Lamps - Type A (runs on existing ballast)</t>
  </si>
  <si>
    <t>P</t>
  </si>
  <si>
    <t>Religious Facility</t>
  </si>
  <si>
    <t>Institutional/Public Service</t>
  </si>
  <si>
    <t>Religeous Building</t>
  </si>
  <si>
    <t>Transportation</t>
  </si>
  <si>
    <t>Electrical/Mechanical Room</t>
  </si>
  <si>
    <t>Personal Tuning</t>
  </si>
  <si>
    <t>West Penn Power</t>
  </si>
  <si>
    <t>FEPA-108</t>
  </si>
  <si>
    <t>Retrofit ID 3</t>
  </si>
  <si>
    <t>High Intensity Discharge (HID)</t>
  </si>
  <si>
    <t>HID</t>
  </si>
  <si>
    <t>Tube LED Lamps - Type B (line voltage to sockets)</t>
  </si>
  <si>
    <t>Q</t>
  </si>
  <si>
    <t>Office - Large</t>
  </si>
  <si>
    <t>Office</t>
  </si>
  <si>
    <t>Religious building</t>
  </si>
  <si>
    <t>Elevator Lobby</t>
  </si>
  <si>
    <t>Institutional Tuning</t>
  </si>
  <si>
    <t>CFL Lamps (Post 2020)</t>
  </si>
  <si>
    <t>FEPA-109</t>
  </si>
  <si>
    <t>Retrofit ID 4</t>
  </si>
  <si>
    <t>Custom</t>
  </si>
  <si>
    <t>Tube LED Lamps - Type C (remote driver)</t>
  </si>
  <si>
    <t>Office - Small</t>
  </si>
  <si>
    <t>Emergency Vehicle Garage</t>
  </si>
  <si>
    <t>Multi-Control</t>
  </si>
  <si>
    <t>Lighting Controls</t>
  </si>
  <si>
    <t>FEPA-111</t>
  </si>
  <si>
    <t>Retrofit ID 5</t>
  </si>
  <si>
    <t>No Change</t>
  </si>
  <si>
    <t>No_Change</t>
  </si>
  <si>
    <t>MR16 LED Lamp</t>
  </si>
  <si>
    <t>Bar Lounge/Leisure</t>
  </si>
  <si>
    <t>Restaurant</t>
  </si>
  <si>
    <t>Dining: bar lounge/leisure</t>
  </si>
  <si>
    <t>Fire Station/Sleeping Quarters</t>
  </si>
  <si>
    <t>Exterior Controls Not Eligible</t>
  </si>
  <si>
    <t>Linear Fluorescent T5</t>
  </si>
  <si>
    <t>FEPA-112</t>
  </si>
  <si>
    <t>Retrofit ID 6</t>
  </si>
  <si>
    <t>Corn Cob Style Lamp</t>
  </si>
  <si>
    <t>Restaurant - Dine-In</t>
  </si>
  <si>
    <t>Dining Family</t>
  </si>
  <si>
    <t>Food Preparation Area</t>
  </si>
  <si>
    <t>Linear Fluorescent T8</t>
  </si>
  <si>
    <t>FEPA-113</t>
  </si>
  <si>
    <t>Retrofit ID 7</t>
  </si>
  <si>
    <t>Specialty LED Lamp (Candelabra, GU24, or Plug-in)</t>
  </si>
  <si>
    <t>Restaurant - Fast Food</t>
  </si>
  <si>
    <t>Dining: Cafeteria/fast food</t>
  </si>
  <si>
    <t>Dining: family</t>
  </si>
  <si>
    <t>Guest Room</t>
  </si>
  <si>
    <t>LED Linear</t>
  </si>
  <si>
    <t>FEPA-114</t>
  </si>
  <si>
    <t>Retrofit ID 8</t>
  </si>
  <si>
    <t>Troffer or Strip Fixture</t>
  </si>
  <si>
    <t>Retail - Large</t>
  </si>
  <si>
    <t>Dining: cafeteria/fast food</t>
  </si>
  <si>
    <t>Laboratory</t>
  </si>
  <si>
    <t>Applicant or Prescribed?</t>
  </si>
  <si>
    <t>Calculation Method (NC)</t>
  </si>
  <si>
    <t>Project Complete?</t>
  </si>
  <si>
    <t>FEPA-115</t>
  </si>
  <si>
    <t>Retrofit ID 9</t>
  </si>
  <si>
    <t>High or Low Bay Fixture</t>
  </si>
  <si>
    <t>W</t>
  </si>
  <si>
    <t>Retail - Small</t>
  </si>
  <si>
    <t>Laundry/Washing Area</t>
  </si>
  <si>
    <t>Retrofit</t>
  </si>
  <si>
    <t>Applicant</t>
  </si>
  <si>
    <t>Not Applicable</t>
  </si>
  <si>
    <t>FEPA-116</t>
  </si>
  <si>
    <t>Retrofit ID 10</t>
  </si>
  <si>
    <t>Recessed Downlight</t>
  </si>
  <si>
    <t>X</t>
  </si>
  <si>
    <t>Auto Repair</t>
  </si>
  <si>
    <t>Miscellaneous / Other</t>
  </si>
  <si>
    <t>Automotive Facility</t>
  </si>
  <si>
    <t>Loading dock, interior</t>
  </si>
  <si>
    <t>New Construction</t>
  </si>
  <si>
    <t>Prescribed</t>
  </si>
  <si>
    <t>Building Area</t>
  </si>
  <si>
    <t>LED Fixture - External</t>
  </si>
  <si>
    <t>FEPA-117</t>
  </si>
  <si>
    <t>Retrofit ID 11</t>
  </si>
  <si>
    <t>Retrofit Category Drop Down Interior</t>
  </si>
  <si>
    <t>Flood Light</t>
  </si>
  <si>
    <t>Bank</t>
  </si>
  <si>
    <t>Automotive facility</t>
  </si>
  <si>
    <t>Lobby</t>
  </si>
  <si>
    <t>Space-by-Space</t>
  </si>
  <si>
    <t>LED Fixture - Internal</t>
  </si>
  <si>
    <t>FEPA-118</t>
  </si>
  <si>
    <t>Retrofit ID 12</t>
  </si>
  <si>
    <t>Wrap or Vapor Tight</t>
  </si>
  <si>
    <t>Z</t>
  </si>
  <si>
    <t>Convention Center</t>
  </si>
  <si>
    <t>Locker Room</t>
  </si>
  <si>
    <t>Choose Calc. Method on Gen. Info Sheet</t>
  </si>
  <si>
    <t>LED Lamps</t>
  </si>
  <si>
    <t>FEPA-119</t>
  </si>
  <si>
    <t>Retrofit ID 13</t>
  </si>
  <si>
    <t>Track Fixture</t>
  </si>
  <si>
    <t>AA</t>
  </si>
  <si>
    <t>Public Assembly</t>
  </si>
  <si>
    <t>Town Hall</t>
  </si>
  <si>
    <t>Convention center</t>
  </si>
  <si>
    <t>Lounge/Breakroom</t>
  </si>
  <si>
    <t>LED Lamps (Post 2020)</t>
  </si>
  <si>
    <t>FEPA-120</t>
  </si>
  <si>
    <t>Retrofit ID 14</t>
  </si>
  <si>
    <t>Linear Suspended/Architectural Strip</t>
  </si>
  <si>
    <t>AB</t>
  </si>
  <si>
    <t>Gymnasium/Exercise Center</t>
  </si>
  <si>
    <t>Gymnasium</t>
  </si>
  <si>
    <t>Town hall</t>
  </si>
  <si>
    <t>Office, Enclosed</t>
  </si>
  <si>
    <t>FEPA-121</t>
  </si>
  <si>
    <t>Retrofit ID 15</t>
  </si>
  <si>
    <t>Wall Pack</t>
  </si>
  <si>
    <t>AC</t>
  </si>
  <si>
    <t>Library</t>
  </si>
  <si>
    <t>Custom EFLH and CF Lookup</t>
  </si>
  <si>
    <t>Street &amp; Area Lighting</t>
  </si>
  <si>
    <t>FEPA-122</t>
  </si>
  <si>
    <t>Retrofit ID 17</t>
  </si>
  <si>
    <t>Wall Sconce</t>
  </si>
  <si>
    <t>AD</t>
  </si>
  <si>
    <t>Motion Picture Theater</t>
  </si>
  <si>
    <t>Parking Area, Interior</t>
  </si>
  <si>
    <t>Schedule Number</t>
  </si>
  <si>
    <t>Lighting Schedule Name</t>
  </si>
  <si>
    <t>EFLH</t>
  </si>
  <si>
    <t>CFSummer</t>
  </si>
  <si>
    <t>CFWinter</t>
  </si>
  <si>
    <t>Custom - Process Improvement</t>
  </si>
  <si>
    <t>a0c55000000Acu9AAC</t>
  </si>
  <si>
    <t>Retrofit ID 18</t>
  </si>
  <si>
    <t>Decorative Pendant</t>
  </si>
  <si>
    <t>AE</t>
  </si>
  <si>
    <t>Performing Arts Theater</t>
  </si>
  <si>
    <t>Motion picture theater</t>
  </si>
  <si>
    <t>Pharmacy Area</t>
  </si>
  <si>
    <t>Use Default Facility Hours</t>
  </si>
  <si>
    <t>Variable</t>
  </si>
  <si>
    <t>AF</t>
  </si>
  <si>
    <t>Museum</t>
  </si>
  <si>
    <t>Performing arts theater</t>
  </si>
  <si>
    <t>Restroom</t>
  </si>
  <si>
    <t>AG</t>
  </si>
  <si>
    <t>Police</t>
  </si>
  <si>
    <t>Sales Area</t>
  </si>
  <si>
    <t>AH</t>
  </si>
  <si>
    <t>Volunteer Fire Station</t>
  </si>
  <si>
    <t>ADM Recommendation</t>
  </si>
  <si>
    <t>Seating Area, General</t>
  </si>
  <si>
    <t>Sector</t>
  </si>
  <si>
    <t>AI</t>
  </si>
  <si>
    <t>Fire Station</t>
  </si>
  <si>
    <t>SCI</t>
  </si>
  <si>
    <t>AJ</t>
  </si>
  <si>
    <t>Post Office</t>
  </si>
  <si>
    <t>Storage Room</t>
  </si>
  <si>
    <t>LCI</t>
  </si>
  <si>
    <t>AK</t>
  </si>
  <si>
    <t>Sports Arena</t>
  </si>
  <si>
    <t>Post office</t>
  </si>
  <si>
    <t>Vehicular Maintenance Area</t>
  </si>
  <si>
    <t>GOV'T</t>
  </si>
  <si>
    <t>AL</t>
  </si>
  <si>
    <t>Daycare</t>
  </si>
  <si>
    <t>Sports arena</t>
  </si>
  <si>
    <t>Workshop</t>
  </si>
  <si>
    <t>AM</t>
  </si>
  <si>
    <t>Bakery</t>
  </si>
  <si>
    <t>Base Site Allowance</t>
  </si>
  <si>
    <t>AN</t>
  </si>
  <si>
    <t>Courthouse</t>
  </si>
  <si>
    <t>AO</t>
  </si>
  <si>
    <t>Laundromat</t>
  </si>
  <si>
    <t>Canopy Fixture</t>
  </si>
  <si>
    <t>Per Fixture</t>
  </si>
  <si>
    <t>AP</t>
  </si>
  <si>
    <t>Penitentiary</t>
  </si>
  <si>
    <t>Building Type</t>
  </si>
  <si>
    <t>SVGbase</t>
  </si>
  <si>
    <t>Cap Weight</t>
  </si>
  <si>
    <t>AQ</t>
  </si>
  <si>
    <t>Pump Station</t>
  </si>
  <si>
    <t>Warehouse</t>
  </si>
  <si>
    <t>Retrofit Category Drop Down Exterior</t>
  </si>
  <si>
    <t>AR</t>
  </si>
  <si>
    <t>Parking Garage Fixture</t>
  </si>
  <si>
    <t>AS</t>
  </si>
  <si>
    <t>Waste Water Treatment Plant</t>
  </si>
  <si>
    <t>Parking Lot/Area Pole Mounted</t>
  </si>
  <si>
    <t>AT</t>
  </si>
  <si>
    <t>Warehouse - Conditioned</t>
  </si>
  <si>
    <t>Pathway/Landscape Fixture</t>
  </si>
  <si>
    <t>AU</t>
  </si>
  <si>
    <t>Warehouse - Unconditioned</t>
  </si>
  <si>
    <t>Post Top Fixture</t>
  </si>
  <si>
    <t>AV</t>
  </si>
  <si>
    <t>Warehouse - Refrigerated</t>
  </si>
  <si>
    <t>AW</t>
  </si>
  <si>
    <t>Warehouse - In Unit</t>
  </si>
  <si>
    <t>Soffit/Overhang Fixture</t>
  </si>
  <si>
    <t>AX</t>
  </si>
  <si>
    <t>Multifamily - Common Areas</t>
  </si>
  <si>
    <t>Multi-Family Common Areas</t>
  </si>
  <si>
    <t>Multifamily</t>
  </si>
  <si>
    <t>Streetlight Fixture</t>
  </si>
  <si>
    <t>AY</t>
  </si>
  <si>
    <t>Parking Lot</t>
  </si>
  <si>
    <t>AZ</t>
  </si>
  <si>
    <t>BA</t>
  </si>
  <si>
    <t>Street Lighting</t>
  </si>
  <si>
    <t>BB</t>
  </si>
  <si>
    <t>Parking Garage</t>
  </si>
  <si>
    <t>Parking garage</t>
  </si>
  <si>
    <t>BC</t>
  </si>
  <si>
    <t>Outdoor - Other</t>
  </si>
  <si>
    <t>BD</t>
  </si>
  <si>
    <t>Building Type Already Entered in Column F</t>
  </si>
  <si>
    <t>BE</t>
  </si>
  <si>
    <t>Select Interior or Exterior in column E</t>
  </si>
  <si>
    <t>BF</t>
  </si>
  <si>
    <t>BG</t>
  </si>
  <si>
    <t>BH</t>
  </si>
  <si>
    <t>BI</t>
  </si>
  <si>
    <t>BJ</t>
  </si>
  <si>
    <t>Summer and Winter Hours and CFs provided by ADM 12_21_2016</t>
  </si>
  <si>
    <t>BK</t>
  </si>
  <si>
    <t>BL</t>
  </si>
  <si>
    <t>Screw Base Lighting</t>
  </si>
  <si>
    <t>General Lighting</t>
  </si>
  <si>
    <t>BM</t>
  </si>
  <si>
    <t>PJM Winter CF</t>
  </si>
  <si>
    <t>BN</t>
  </si>
  <si>
    <t>BO</t>
  </si>
  <si>
    <t>Decorative Pendant Retrofit</t>
  </si>
  <si>
    <t>BP</t>
  </si>
  <si>
    <t>High or Low Bay Fixture Retrofit</t>
  </si>
  <si>
    <t>BQ</t>
  </si>
  <si>
    <t>Linear Suspended/Architectural Strip Retrofit</t>
  </si>
  <si>
    <t>BR</t>
  </si>
  <si>
    <t>Recessed Downlight Retrofit</t>
  </si>
  <si>
    <t>BS</t>
  </si>
  <si>
    <t>Track Fixture Retrofit</t>
  </si>
  <si>
    <t>BT</t>
  </si>
  <si>
    <t>Troffer or Strip Fixture Retrofit</t>
  </si>
  <si>
    <t>BU</t>
  </si>
  <si>
    <t>Wall Pack Retrofit</t>
  </si>
  <si>
    <t>BV</t>
  </si>
  <si>
    <t>Wall Sconce Retrofit</t>
  </si>
  <si>
    <t>BW</t>
  </si>
  <si>
    <t>Wrap or Vapor Tight Retrofit</t>
  </si>
  <si>
    <t>Canopy Fixture Retrofit</t>
  </si>
  <si>
    <t>BY</t>
  </si>
  <si>
    <t>SELECTED Lighting Zone</t>
  </si>
  <si>
    <t>Lighting Zone 3</t>
  </si>
  <si>
    <t>Flood Light Retrofit</t>
  </si>
  <si>
    <t>BZ</t>
  </si>
  <si>
    <t>Non-standard units</t>
  </si>
  <si>
    <t>Notes</t>
  </si>
  <si>
    <t>Parking Garage Fixture Retrofit</t>
  </si>
  <si>
    <t>CA</t>
  </si>
  <si>
    <t>Uncovered parking areas</t>
  </si>
  <si>
    <t>ft^2</t>
  </si>
  <si>
    <t>Parking Lot/Area Pole Mounted Fixture Retrofit</t>
  </si>
  <si>
    <t>CB</t>
  </si>
  <si>
    <t>W/linear ft</t>
  </si>
  <si>
    <t>linear ft</t>
  </si>
  <si>
    <t>Pathway/Landscape Fixture Retrofit</t>
  </si>
  <si>
    <t>CC</t>
  </si>
  <si>
    <t>Post Top Fixture Retrofit</t>
  </si>
  <si>
    <t>CD</t>
  </si>
  <si>
    <t>Stairways</t>
  </si>
  <si>
    <t>Soffit/Overhang Fixture Retrofit</t>
  </si>
  <si>
    <t>CE</t>
  </si>
  <si>
    <t>Pedestrian tunnels</t>
  </si>
  <si>
    <t>Streetlight Fixture Retrofit</t>
  </si>
  <si>
    <t>Landscaping</t>
  </si>
  <si>
    <t>CG</t>
  </si>
  <si>
    <t>Building main entries</t>
  </si>
  <si>
    <t>W/linear ft of door width</t>
  </si>
  <si>
    <t>linear ft of door width</t>
  </si>
  <si>
    <t>Signage ≤ 2ft - New Red LEDs</t>
  </si>
  <si>
    <t>linear foot</t>
  </si>
  <si>
    <t>CH</t>
  </si>
  <si>
    <t>TRM Code</t>
  </si>
  <si>
    <t>Signage &gt; 2ft - New Red LEDs</t>
  </si>
  <si>
    <t>CI</t>
  </si>
  <si>
    <t>Entry canopies</t>
  </si>
  <si>
    <t>S_LS</t>
  </si>
  <si>
    <t>Signage ≤ 2ft - New White LEDs</t>
  </si>
  <si>
    <t>CJ</t>
  </si>
  <si>
    <t>Sales canopies - free standing and attached</t>
  </si>
  <si>
    <t>O_OS</t>
  </si>
  <si>
    <t>Signage &gt; 2ft - New White LEDs</t>
  </si>
  <si>
    <t>CK</t>
  </si>
  <si>
    <t>DL_PS</t>
  </si>
  <si>
    <t>LED Illuminated Box Signs</t>
  </si>
  <si>
    <t>CL</t>
  </si>
  <si>
    <t>Street frontage for vehicle sales</t>
  </si>
  <si>
    <t>Vacancy</t>
  </si>
  <si>
    <t>O_VS</t>
  </si>
  <si>
    <t>Refrigerated Case Lighting with Doors</t>
  </si>
  <si>
    <t>CM</t>
  </si>
  <si>
    <t>Dual Daylighting and Occupancy</t>
  </si>
  <si>
    <t>MT</t>
  </si>
  <si>
    <t>Refrigerated Case Lighting without Doors</t>
  </si>
  <si>
    <t>CN</t>
  </si>
  <si>
    <t>Building facades (ft^2 based)</t>
  </si>
  <si>
    <t>Either/or</t>
  </si>
  <si>
    <t>Wireless On-Off Switches</t>
  </si>
  <si>
    <t>PT_WS</t>
  </si>
  <si>
    <t>Freezer Case Lighting</t>
  </si>
  <si>
    <t>CO</t>
  </si>
  <si>
    <t>Bi-Level Switching</t>
  </si>
  <si>
    <t>PT_BLS</t>
  </si>
  <si>
    <t>Induction Fixture</t>
  </si>
  <si>
    <t>CP</t>
  </si>
  <si>
    <t>Entrances/Inspection stations at guarded facilities</t>
  </si>
  <si>
    <t>for uncovered areas only</t>
  </si>
  <si>
    <t>Dimmer</t>
  </si>
  <si>
    <t>PT_DIM</t>
  </si>
  <si>
    <t>Induction Screw-in Lamp</t>
  </si>
  <si>
    <t>CQ</t>
  </si>
  <si>
    <t>Loading areas - law enforcement and emergency vehicles</t>
  </si>
  <si>
    <t>Dimmable Ballasts</t>
  </si>
  <si>
    <t>IT_DIM</t>
  </si>
  <si>
    <t>Induction Retrofit Kit</t>
  </si>
  <si>
    <t>CR</t>
  </si>
  <si>
    <t>Drive-through windows/doors</t>
  </si>
  <si>
    <t>drive through</t>
  </si>
  <si>
    <t>Photosensors</t>
  </si>
  <si>
    <t>CS</t>
  </si>
  <si>
    <t>Parking near 24-hour retail entrances</t>
  </si>
  <si>
    <t>for each main entry</t>
  </si>
  <si>
    <t>entry(entries)</t>
  </si>
  <si>
    <t>CT</t>
  </si>
  <si>
    <t>Automated teller machines</t>
  </si>
  <si>
    <t xml:space="preserve">plus </t>
  </si>
  <si>
    <t>ATM(s)</t>
  </si>
  <si>
    <t>CU</t>
  </si>
  <si>
    <t>for each additional machine</t>
  </si>
  <si>
    <t>additional ATMs</t>
  </si>
  <si>
    <t>CV</t>
  </si>
  <si>
    <t>CW</t>
  </si>
  <si>
    <t>CX</t>
  </si>
  <si>
    <t>CY</t>
  </si>
  <si>
    <t>SELECTED State</t>
  </si>
  <si>
    <t>PA</t>
  </si>
  <si>
    <t>CZ</t>
  </si>
  <si>
    <t>Lighting Zone 0</t>
  </si>
  <si>
    <t>Lighting Zone 1</t>
  </si>
  <si>
    <t>Lighting Zone 2</t>
  </si>
  <si>
    <t>Lighting Zone 4</t>
  </si>
  <si>
    <t>DA</t>
  </si>
  <si>
    <t>DB</t>
  </si>
  <si>
    <t>DC</t>
  </si>
  <si>
    <t>DD</t>
  </si>
  <si>
    <t>Equipment Description 
Drop Down Options</t>
  </si>
  <si>
    <t>New Construction Table</t>
  </si>
  <si>
    <t>DE</t>
  </si>
  <si>
    <t>Reporting Category 
Interior</t>
  </si>
  <si>
    <t>Reporting Category 
Exterior</t>
  </si>
  <si>
    <t>DF</t>
  </si>
  <si>
    <t>DG</t>
  </si>
  <si>
    <t>DH</t>
  </si>
  <si>
    <t>Interior LED Fixtures</t>
  </si>
  <si>
    <t>DI</t>
  </si>
  <si>
    <t>Exterior LED Fixtures</t>
  </si>
  <si>
    <t>DJ</t>
  </si>
  <si>
    <t>DK</t>
  </si>
  <si>
    <t>DL</t>
  </si>
  <si>
    <t>DM</t>
  </si>
  <si>
    <t>DN</t>
  </si>
  <si>
    <t>DO</t>
  </si>
  <si>
    <t>DP</t>
  </si>
  <si>
    <t>DQ</t>
  </si>
  <si>
    <t>DR</t>
  </si>
  <si>
    <t>DS</t>
  </si>
  <si>
    <t>Drive-through windows</t>
  </si>
  <si>
    <t>DT</t>
  </si>
  <si>
    <t>24-hour retail parking</t>
  </si>
  <si>
    <t>New Construction Category Drop Down Interior</t>
  </si>
  <si>
    <t>DU</t>
  </si>
  <si>
    <t>Automated teller machines base</t>
  </si>
  <si>
    <t>DV</t>
  </si>
  <si>
    <t>Automated teller machines each additional</t>
  </si>
  <si>
    <t>DW</t>
  </si>
  <si>
    <t>DX</t>
  </si>
  <si>
    <t>DY</t>
  </si>
  <si>
    <t>Lighting Zone</t>
  </si>
  <si>
    <t>DZ</t>
  </si>
  <si>
    <t>EA</t>
  </si>
  <si>
    <t>EB</t>
  </si>
  <si>
    <t>EC</t>
  </si>
  <si>
    <t>ED</t>
  </si>
  <si>
    <t>EE</t>
  </si>
  <si>
    <t>EF</t>
  </si>
  <si>
    <t>EG</t>
  </si>
  <si>
    <t>Lighting Controls SDX</t>
  </si>
  <si>
    <t>Lighting Controls TRM</t>
  </si>
  <si>
    <t>New Construction Category Drop Down Exterior</t>
  </si>
  <si>
    <t>Occupancy Sensors</t>
  </si>
  <si>
    <t>EJ</t>
  </si>
  <si>
    <t>EK</t>
  </si>
  <si>
    <t>Dimmers</t>
  </si>
  <si>
    <t>Dimmable ballasts</t>
  </si>
  <si>
    <t>EM</t>
  </si>
  <si>
    <t>Occupancy and personal tuning/daylighting and occupancy</t>
  </si>
  <si>
    <t>EN</t>
  </si>
  <si>
    <t>EO</t>
  </si>
  <si>
    <t>EP</t>
  </si>
  <si>
    <t>EQ</t>
  </si>
  <si>
    <t>ER</t>
  </si>
  <si>
    <t>ES</t>
  </si>
  <si>
    <t>ET</t>
  </si>
  <si>
    <t>EU</t>
  </si>
  <si>
    <t>EW</t>
  </si>
  <si>
    <t>External Id</t>
  </si>
  <si>
    <t>Controls External ID</t>
  </si>
  <si>
    <t>Ltg + Controls</t>
  </si>
  <si>
    <t>EX</t>
  </si>
  <si>
    <t>LED Fixture External-Downstream-FEPA CI</t>
  </si>
  <si>
    <t>EY</t>
  </si>
  <si>
    <t>LED Fixture Internal-Downstream-FEPA CI</t>
  </si>
  <si>
    <t>EZ</t>
  </si>
  <si>
    <t>LED Lamp-Downstream-FEPA CI</t>
  </si>
  <si>
    <t>FA</t>
  </si>
  <si>
    <t>LED Linear-Downstream-FEPA CI</t>
  </si>
  <si>
    <t>FB</t>
  </si>
  <si>
    <t>Lighting - Other-Downstream-FEPA CI</t>
  </si>
  <si>
    <t>CI-CO-PR-IT-LI-000009-01-FEPA-CI</t>
  </si>
  <si>
    <t>Network Lighting Control-Downstream-FEPA CI</t>
  </si>
  <si>
    <t>CI-CO-PR-IT-LI-000012-01-FEPA-CI</t>
  </si>
  <si>
    <t>FD</t>
  </si>
  <si>
    <t>Street &amp; Area Lighting (Customer Owned)-Downstream-FEPA CI</t>
  </si>
  <si>
    <t>FE</t>
  </si>
  <si>
    <t>Street Lighting (Tariff / Customer Owned(MU))-Downstream-FEPA CI</t>
  </si>
  <si>
    <t>CI-CO-PR-IT-LI-000015-01-FEPA-CI</t>
  </si>
  <si>
    <t>FF</t>
  </si>
  <si>
    <t>Street Lighting (Tariff / Utility Owned(EMU))-Downstream-FEPA CI</t>
  </si>
  <si>
    <t>CI-CO-PR-IT-LI-000014-01-FEPA-CI</t>
  </si>
  <si>
    <t>FG</t>
  </si>
  <si>
    <t>Linear Fluorescent-Downstream-FEPA CI</t>
  </si>
  <si>
    <t>FH</t>
  </si>
  <si>
    <t>Lighting - Custom-Downstream-FEPA CI</t>
  </si>
  <si>
    <t>FI</t>
  </si>
  <si>
    <t>Exit Sign-Downstream-FEPA CI</t>
  </si>
  <si>
    <t>FJ</t>
  </si>
  <si>
    <t>LED Channel Signage-Downstream-FEPA CI</t>
  </si>
  <si>
    <t>FK</t>
  </si>
  <si>
    <t>LED Reach in Refrig / Frzer Light-Downstream-FEPA CI</t>
  </si>
  <si>
    <t>FL</t>
  </si>
  <si>
    <t>Lighting Control (Daylight &amp; Occupancy)-Downstream-FEPA CI</t>
  </si>
  <si>
    <t>FM</t>
  </si>
  <si>
    <t>FN</t>
  </si>
  <si>
    <t>FO</t>
  </si>
  <si>
    <t>FP</t>
  </si>
  <si>
    <t>FQ</t>
  </si>
  <si>
    <t>FR</t>
  </si>
  <si>
    <t>FS</t>
  </si>
  <si>
    <t>FT</t>
  </si>
  <si>
    <t>FV</t>
  </si>
  <si>
    <t>FW</t>
  </si>
  <si>
    <t>FX</t>
  </si>
  <si>
    <t>FY</t>
  </si>
  <si>
    <t>FZ</t>
  </si>
  <si>
    <t>GA</t>
  </si>
  <si>
    <t>GB</t>
  </si>
  <si>
    <t>GC</t>
  </si>
  <si>
    <t>GD</t>
  </si>
  <si>
    <t>GE</t>
  </si>
  <si>
    <t>GF</t>
  </si>
  <si>
    <t>GG</t>
  </si>
  <si>
    <t>GI</t>
  </si>
  <si>
    <t>GJ</t>
  </si>
  <si>
    <t>GK</t>
  </si>
  <si>
    <t>GL</t>
  </si>
  <si>
    <t>GM</t>
  </si>
  <si>
    <t>GN</t>
  </si>
  <si>
    <t>GO</t>
  </si>
  <si>
    <t>GP</t>
  </si>
  <si>
    <t>GQ</t>
  </si>
  <si>
    <t>GR</t>
  </si>
  <si>
    <t>GS</t>
  </si>
  <si>
    <t>GT</t>
  </si>
  <si>
    <t>GU</t>
  </si>
  <si>
    <t>GV</t>
  </si>
  <si>
    <t>GW</t>
  </si>
  <si>
    <t>GX</t>
  </si>
  <si>
    <t>GY</t>
  </si>
  <si>
    <t>GZ</t>
  </si>
  <si>
    <t>HA</t>
  </si>
  <si>
    <t>HB</t>
  </si>
  <si>
    <t>HC</t>
  </si>
  <si>
    <t>HD</t>
  </si>
  <si>
    <t>HE</t>
  </si>
  <si>
    <t>HF</t>
  </si>
  <si>
    <t>HG</t>
  </si>
  <si>
    <t>HH</t>
  </si>
  <si>
    <t>HI</t>
  </si>
  <si>
    <t>HJ</t>
  </si>
  <si>
    <t>HK</t>
  </si>
  <si>
    <t>HL</t>
  </si>
  <si>
    <t>HM</t>
  </si>
  <si>
    <t>HN</t>
  </si>
  <si>
    <t>HO</t>
  </si>
  <si>
    <t>HP</t>
  </si>
  <si>
    <t>HQ</t>
  </si>
  <si>
    <t>HR</t>
  </si>
  <si>
    <t>HS</t>
  </si>
  <si>
    <t>HT</t>
  </si>
  <si>
    <t>HU</t>
  </si>
  <si>
    <t>HV</t>
  </si>
  <si>
    <t>HW</t>
  </si>
  <si>
    <t>HX</t>
  </si>
  <si>
    <t>HY</t>
  </si>
  <si>
    <t>HZ</t>
  </si>
  <si>
    <t>IA</t>
  </si>
  <si>
    <t>IB</t>
  </si>
  <si>
    <t>IC</t>
  </si>
  <si>
    <t>ID</t>
  </si>
  <si>
    <t>IE</t>
  </si>
  <si>
    <t>IF</t>
  </si>
  <si>
    <t>IG</t>
  </si>
  <si>
    <t>IH</t>
  </si>
  <si>
    <t>II</t>
  </si>
  <si>
    <t>IJ</t>
  </si>
  <si>
    <t>IK</t>
  </si>
  <si>
    <t>IM</t>
  </si>
  <si>
    <t>IN</t>
  </si>
  <si>
    <t>IO</t>
  </si>
  <si>
    <t>IP</t>
  </si>
  <si>
    <t>IQ</t>
  </si>
  <si>
    <t>IR</t>
  </si>
  <si>
    <t>IS</t>
  </si>
  <si>
    <t>IT</t>
  </si>
  <si>
    <t>IU</t>
  </si>
  <si>
    <t>IV</t>
  </si>
  <si>
    <t>IW</t>
  </si>
  <si>
    <t>IX</t>
  </si>
  <si>
    <t>IY</t>
  </si>
  <si>
    <t>IZ</t>
  </si>
  <si>
    <t>JA</t>
  </si>
  <si>
    <t>JB</t>
  </si>
  <si>
    <t>JC</t>
  </si>
  <si>
    <t>JD</t>
  </si>
  <si>
    <t>JE</t>
  </si>
  <si>
    <t>JF</t>
  </si>
  <si>
    <t>JG</t>
  </si>
  <si>
    <t>JH</t>
  </si>
  <si>
    <t>JI</t>
  </si>
  <si>
    <t>JJ</t>
  </si>
  <si>
    <t>JK</t>
  </si>
  <si>
    <t>JL</t>
  </si>
  <si>
    <t>JM</t>
  </si>
  <si>
    <t>JN</t>
  </si>
  <si>
    <t>JO</t>
  </si>
  <si>
    <t>JP</t>
  </si>
  <si>
    <t>JQ</t>
  </si>
  <si>
    <t>JR</t>
  </si>
  <si>
    <t>JS</t>
  </si>
  <si>
    <t>JT</t>
  </si>
  <si>
    <t>JU</t>
  </si>
  <si>
    <t>JV</t>
  </si>
  <si>
    <t>JW</t>
  </si>
  <si>
    <t>JX</t>
  </si>
  <si>
    <t>JY</t>
  </si>
  <si>
    <t>JZ</t>
  </si>
  <si>
    <t>KA</t>
  </si>
  <si>
    <t>KB</t>
  </si>
  <si>
    <t>KC</t>
  </si>
  <si>
    <t>KD</t>
  </si>
  <si>
    <t>KE</t>
  </si>
  <si>
    <t>KF</t>
  </si>
  <si>
    <t>KG</t>
  </si>
  <si>
    <t>KH</t>
  </si>
  <si>
    <t>KI</t>
  </si>
  <si>
    <t>KJ</t>
  </si>
  <si>
    <t>KK</t>
  </si>
  <si>
    <t>KL</t>
  </si>
  <si>
    <t>KM</t>
  </si>
  <si>
    <t>KN</t>
  </si>
  <si>
    <t>KO</t>
  </si>
  <si>
    <t>KP</t>
  </si>
  <si>
    <t>KQ</t>
  </si>
  <si>
    <t>KR</t>
  </si>
  <si>
    <t>KS</t>
  </si>
  <si>
    <t>KT</t>
  </si>
  <si>
    <t>KU</t>
  </si>
  <si>
    <t>KV</t>
  </si>
  <si>
    <t>KW</t>
  </si>
  <si>
    <t>KX</t>
  </si>
  <si>
    <t>KY</t>
  </si>
  <si>
    <t>KZ</t>
  </si>
  <si>
    <t>LA</t>
  </si>
  <si>
    <t>LB</t>
  </si>
  <si>
    <t>LC</t>
  </si>
  <si>
    <t>LD</t>
  </si>
  <si>
    <t>LE</t>
  </si>
  <si>
    <t>LF</t>
  </si>
  <si>
    <t>LG</t>
  </si>
  <si>
    <t>LI</t>
  </si>
  <si>
    <t>LJ</t>
  </si>
  <si>
    <t>LK</t>
  </si>
  <si>
    <t>LL</t>
  </si>
  <si>
    <t>LM</t>
  </si>
  <si>
    <t>LN</t>
  </si>
  <si>
    <t>LO</t>
  </si>
  <si>
    <t>LP</t>
  </si>
  <si>
    <t>LQ</t>
  </si>
  <si>
    <t>LS</t>
  </si>
  <si>
    <t>LT</t>
  </si>
  <si>
    <t>LU</t>
  </si>
  <si>
    <t>LV</t>
  </si>
  <si>
    <t>LW</t>
  </si>
  <si>
    <t>LX</t>
  </si>
  <si>
    <t>LY</t>
  </si>
  <si>
    <t>LZ</t>
  </si>
  <si>
    <t>MA</t>
  </si>
  <si>
    <t>MB</t>
  </si>
  <si>
    <t>MC</t>
  </si>
  <si>
    <t>MD</t>
  </si>
  <si>
    <t>ME</t>
  </si>
  <si>
    <t>MF</t>
  </si>
  <si>
    <t>MG</t>
  </si>
  <si>
    <t>MI</t>
  </si>
  <si>
    <t>MJ</t>
  </si>
  <si>
    <t>MK</t>
  </si>
  <si>
    <t>ML</t>
  </si>
  <si>
    <t>MM</t>
  </si>
  <si>
    <t>MN</t>
  </si>
  <si>
    <t>MO</t>
  </si>
  <si>
    <t>MP</t>
  </si>
  <si>
    <t>MQ</t>
  </si>
  <si>
    <t>MR</t>
  </si>
  <si>
    <t>MS</t>
  </si>
  <si>
    <t>MU</t>
  </si>
  <si>
    <t>MW</t>
  </si>
  <si>
    <t>MX</t>
  </si>
  <si>
    <t>MY</t>
  </si>
  <si>
    <t>MZ</t>
  </si>
  <si>
    <t>NB</t>
  </si>
  <si>
    <t>NC</t>
  </si>
  <si>
    <t>ND</t>
  </si>
  <si>
    <t>NE</t>
  </si>
  <si>
    <t>NF</t>
  </si>
  <si>
    <t>NG</t>
  </si>
  <si>
    <t>NH</t>
  </si>
  <si>
    <t>NI</t>
  </si>
  <si>
    <t>NJ</t>
  </si>
  <si>
    <t>NK</t>
  </si>
  <si>
    <t>NL</t>
  </si>
  <si>
    <t>NM</t>
  </si>
  <si>
    <t>NN</t>
  </si>
  <si>
    <t>NO</t>
  </si>
  <si>
    <t>NP</t>
  </si>
  <si>
    <t>NQ</t>
  </si>
  <si>
    <t>NR</t>
  </si>
  <si>
    <t>NS</t>
  </si>
  <si>
    <t>NT</t>
  </si>
  <si>
    <t>NU</t>
  </si>
  <si>
    <t>NV</t>
  </si>
  <si>
    <t>NW</t>
  </si>
  <si>
    <t>NX</t>
  </si>
  <si>
    <t>NY</t>
  </si>
  <si>
    <t>NZ</t>
  </si>
  <si>
    <t>OA</t>
  </si>
  <si>
    <t>OB</t>
  </si>
  <si>
    <t>OC</t>
  </si>
  <si>
    <t>OD</t>
  </si>
  <si>
    <t>OE</t>
  </si>
  <si>
    <t>OF</t>
  </si>
  <si>
    <t>OG</t>
  </si>
  <si>
    <t>OH</t>
  </si>
  <si>
    <t>OI</t>
  </si>
  <si>
    <t>OJ</t>
  </si>
  <si>
    <t>OK</t>
  </si>
  <si>
    <t>OL</t>
  </si>
  <si>
    <t>OM</t>
  </si>
  <si>
    <t>ON</t>
  </si>
  <si>
    <t>OO</t>
  </si>
  <si>
    <t>OP</t>
  </si>
  <si>
    <t>OQ</t>
  </si>
  <si>
    <t>OR</t>
  </si>
  <si>
    <t>OS</t>
  </si>
  <si>
    <t>OT</t>
  </si>
  <si>
    <t>OU</t>
  </si>
  <si>
    <t>OV</t>
  </si>
  <si>
    <t>OW</t>
  </si>
  <si>
    <t>OX</t>
  </si>
  <si>
    <t>OY</t>
  </si>
  <si>
    <t>OZ</t>
  </si>
  <si>
    <t>PB</t>
  </si>
  <si>
    <t>PC</t>
  </si>
  <si>
    <t>PD</t>
  </si>
  <si>
    <t>PE</t>
  </si>
  <si>
    <t>PF</t>
  </si>
  <si>
    <t>PG</t>
  </si>
  <si>
    <t>PI</t>
  </si>
  <si>
    <t>PJ</t>
  </si>
  <si>
    <t>PK</t>
  </si>
  <si>
    <t>PL</t>
  </si>
  <si>
    <t>PM</t>
  </si>
  <si>
    <t>PN</t>
  </si>
  <si>
    <t>PO</t>
  </si>
  <si>
    <t>PP</t>
  </si>
  <si>
    <t>PQ</t>
  </si>
  <si>
    <t>PR</t>
  </si>
  <si>
    <t>PS</t>
  </si>
  <si>
    <t>PT</t>
  </si>
  <si>
    <t>PU</t>
  </si>
  <si>
    <t>PV</t>
  </si>
  <si>
    <t>PW</t>
  </si>
  <si>
    <t>PX</t>
  </si>
  <si>
    <t>PY</t>
  </si>
  <si>
    <t>PZ</t>
  </si>
  <si>
    <t>QA</t>
  </si>
  <si>
    <t>QB</t>
  </si>
  <si>
    <t>QC</t>
  </si>
  <si>
    <t>QD</t>
  </si>
  <si>
    <t>QE</t>
  </si>
  <si>
    <t>QF</t>
  </si>
  <si>
    <t>QG</t>
  </si>
  <si>
    <t>QH</t>
  </si>
  <si>
    <t>QI</t>
  </si>
  <si>
    <t>QJ</t>
  </si>
  <si>
    <t>QK</t>
  </si>
  <si>
    <t>QM</t>
  </si>
  <si>
    <t>QN</t>
  </si>
  <si>
    <t>QO</t>
  </si>
  <si>
    <t>QP</t>
  </si>
  <si>
    <t>QQ</t>
  </si>
  <si>
    <t>QR</t>
  </si>
  <si>
    <t>QS</t>
  </si>
  <si>
    <t>QT</t>
  </si>
  <si>
    <t>QU</t>
  </si>
  <si>
    <t>QV</t>
  </si>
  <si>
    <t>QW</t>
  </si>
  <si>
    <t>QX</t>
  </si>
  <si>
    <t>QY</t>
  </si>
  <si>
    <t>QZ</t>
  </si>
  <si>
    <t>RA</t>
  </si>
  <si>
    <t>RB</t>
  </si>
  <si>
    <t>RC</t>
  </si>
  <si>
    <t>RD</t>
  </si>
  <si>
    <t>RE</t>
  </si>
  <si>
    <t>RF</t>
  </si>
  <si>
    <t>RG</t>
  </si>
  <si>
    <t>RH</t>
  </si>
  <si>
    <t>RI</t>
  </si>
  <si>
    <t>RJ</t>
  </si>
  <si>
    <t>RK</t>
  </si>
  <si>
    <t>RL</t>
  </si>
  <si>
    <t>RM</t>
  </si>
  <si>
    <t>RN</t>
  </si>
  <si>
    <t>RO</t>
  </si>
  <si>
    <t>RP</t>
  </si>
  <si>
    <t>RQ</t>
  </si>
  <si>
    <t>RR</t>
  </si>
  <si>
    <t>RT</t>
  </si>
  <si>
    <t>RU</t>
  </si>
  <si>
    <t>RV</t>
  </si>
  <si>
    <t>RW</t>
  </si>
  <si>
    <t>RX</t>
  </si>
  <si>
    <t>RY</t>
  </si>
  <si>
    <t>RZ</t>
  </si>
  <si>
    <t>SA</t>
  </si>
  <si>
    <t>SB</t>
  </si>
  <si>
    <t>SC</t>
  </si>
  <si>
    <t>SD</t>
  </si>
  <si>
    <t>SE</t>
  </si>
  <si>
    <t>SF</t>
  </si>
  <si>
    <t>SG</t>
  </si>
  <si>
    <t>SJ</t>
  </si>
  <si>
    <t>SK</t>
  </si>
  <si>
    <t>SL</t>
  </si>
  <si>
    <t>SM</t>
  </si>
  <si>
    <t>SN</t>
  </si>
  <si>
    <t>SO</t>
  </si>
  <si>
    <t>SP</t>
  </si>
  <si>
    <t>SQ</t>
  </si>
  <si>
    <t>SR</t>
  </si>
  <si>
    <t>SS</t>
  </si>
  <si>
    <t>ST</t>
  </si>
  <si>
    <t>SU</t>
  </si>
  <si>
    <t>SW</t>
  </si>
  <si>
    <t>SX</t>
  </si>
  <si>
    <t>SY</t>
  </si>
  <si>
    <t>SZ</t>
  </si>
  <si>
    <t>TA</t>
  </si>
  <si>
    <t>TB</t>
  </si>
  <si>
    <t>TC</t>
  </si>
  <si>
    <t>TD</t>
  </si>
  <si>
    <t>TE</t>
  </si>
  <si>
    <t>TF</t>
  </si>
  <si>
    <t>TG</t>
  </si>
  <si>
    <t>TH</t>
  </si>
  <si>
    <t>TI</t>
  </si>
  <si>
    <t>TJ</t>
  </si>
  <si>
    <t>TK</t>
  </si>
  <si>
    <t>TL</t>
  </si>
  <si>
    <t>TM</t>
  </si>
  <si>
    <t>TN</t>
  </si>
  <si>
    <t>TO</t>
  </si>
  <si>
    <t>TP</t>
  </si>
  <si>
    <t>TQ</t>
  </si>
  <si>
    <t>TR</t>
  </si>
  <si>
    <t>TS</t>
  </si>
  <si>
    <t>TT</t>
  </si>
  <si>
    <t>TU</t>
  </si>
  <si>
    <t>TV</t>
  </si>
  <si>
    <t>TW</t>
  </si>
  <si>
    <t>TX</t>
  </si>
  <si>
    <t>TY</t>
  </si>
  <si>
    <t>TZ</t>
  </si>
  <si>
    <t>UA</t>
  </si>
  <si>
    <t>UB</t>
  </si>
  <si>
    <t>UC</t>
  </si>
  <si>
    <t>UD</t>
  </si>
  <si>
    <t>UE</t>
  </si>
  <si>
    <t>UF</t>
  </si>
  <si>
    <t>UG</t>
  </si>
  <si>
    <t>UH</t>
  </si>
  <si>
    <t>UI</t>
  </si>
  <si>
    <t>UJ</t>
  </si>
  <si>
    <t>UK</t>
  </si>
  <si>
    <t>UL</t>
  </si>
  <si>
    <t>UM</t>
  </si>
  <si>
    <t>UN</t>
  </si>
  <si>
    <t>UO</t>
  </si>
  <si>
    <t>UP</t>
  </si>
  <si>
    <t>UQ</t>
  </si>
  <si>
    <t>UR</t>
  </si>
  <si>
    <t>US</t>
  </si>
  <si>
    <t>UT</t>
  </si>
  <si>
    <t>UU</t>
  </si>
  <si>
    <t>UV</t>
  </si>
  <si>
    <t>UW</t>
  </si>
  <si>
    <t>UX</t>
  </si>
  <si>
    <t>UY</t>
  </si>
  <si>
    <t>UZ</t>
  </si>
  <si>
    <t>VA</t>
  </si>
  <si>
    <t>VB</t>
  </si>
  <si>
    <t>VC</t>
  </si>
  <si>
    <t>VD</t>
  </si>
  <si>
    <t>VE</t>
  </si>
  <si>
    <t>VF</t>
  </si>
  <si>
    <t>VG</t>
  </si>
  <si>
    <t>VH</t>
  </si>
  <si>
    <t>VI</t>
  </si>
  <si>
    <t>VJ</t>
  </si>
  <si>
    <t>VK</t>
  </si>
  <si>
    <t>VL</t>
  </si>
  <si>
    <t>VM</t>
  </si>
  <si>
    <t>VN</t>
  </si>
  <si>
    <t>VO</t>
  </si>
  <si>
    <t>VP</t>
  </si>
  <si>
    <t>VQ</t>
  </si>
  <si>
    <t>VR</t>
  </si>
  <si>
    <t>VS</t>
  </si>
  <si>
    <t>VT</t>
  </si>
  <si>
    <t>VU</t>
  </si>
  <si>
    <t>VV</t>
  </si>
  <si>
    <t>VW</t>
  </si>
  <si>
    <t>VX</t>
  </si>
  <si>
    <t>VY</t>
  </si>
  <si>
    <t>VZ</t>
  </si>
  <si>
    <t>WA</t>
  </si>
  <si>
    <t>WB</t>
  </si>
  <si>
    <t>WC</t>
  </si>
  <si>
    <t>WD</t>
  </si>
  <si>
    <t>WE</t>
  </si>
  <si>
    <t>WF</t>
  </si>
  <si>
    <t>WG</t>
  </si>
  <si>
    <t>WH</t>
  </si>
  <si>
    <t>WI</t>
  </si>
  <si>
    <t>WJ</t>
  </si>
  <si>
    <t>WK</t>
  </si>
  <si>
    <t>WL</t>
  </si>
  <si>
    <t>WM</t>
  </si>
  <si>
    <t>WN</t>
  </si>
  <si>
    <t>WO</t>
  </si>
  <si>
    <t>WP</t>
  </si>
  <si>
    <t>WQ</t>
  </si>
  <si>
    <t>WR</t>
  </si>
  <si>
    <t>WS</t>
  </si>
  <si>
    <t>WT</t>
  </si>
  <si>
    <t>WU</t>
  </si>
  <si>
    <t>WV</t>
  </si>
  <si>
    <t>WW</t>
  </si>
  <si>
    <t>WX</t>
  </si>
  <si>
    <t>WY</t>
  </si>
  <si>
    <t>WZ</t>
  </si>
  <si>
    <t>XA</t>
  </si>
  <si>
    <t>XB</t>
  </si>
  <si>
    <t>XC</t>
  </si>
  <si>
    <t>XD</t>
  </si>
  <si>
    <t>XE</t>
  </si>
  <si>
    <t>XF</t>
  </si>
  <si>
    <t>XG</t>
  </si>
  <si>
    <t>XH</t>
  </si>
  <si>
    <t>XI</t>
  </si>
  <si>
    <t>XJ</t>
  </si>
  <si>
    <t>XK</t>
  </si>
  <si>
    <t>XL</t>
  </si>
  <si>
    <t>XM</t>
  </si>
  <si>
    <t>XN</t>
  </si>
  <si>
    <t>XO</t>
  </si>
  <si>
    <t>XP</t>
  </si>
  <si>
    <t>XQ</t>
  </si>
  <si>
    <t>XR</t>
  </si>
  <si>
    <t>XS</t>
  </si>
  <si>
    <t>XT</t>
  </si>
  <si>
    <t>XU</t>
  </si>
  <si>
    <t>XV</t>
  </si>
  <si>
    <t>XW</t>
  </si>
  <si>
    <t>XX</t>
  </si>
  <si>
    <t>XY</t>
  </si>
  <si>
    <t>XZ</t>
  </si>
  <si>
    <t>YA</t>
  </si>
  <si>
    <t>YB</t>
  </si>
  <si>
    <t>YC</t>
  </si>
  <si>
    <t>YD</t>
  </si>
  <si>
    <t>YE</t>
  </si>
  <si>
    <t>YF</t>
  </si>
  <si>
    <t>YG</t>
  </si>
  <si>
    <t>YH</t>
  </si>
  <si>
    <t>YI</t>
  </si>
  <si>
    <t>YJ</t>
  </si>
  <si>
    <t>YK</t>
  </si>
  <si>
    <t>YL</t>
  </si>
  <si>
    <t>YM</t>
  </si>
  <si>
    <t>YN</t>
  </si>
  <si>
    <t>YO</t>
  </si>
  <si>
    <t>YP</t>
  </si>
  <si>
    <t>YQ</t>
  </si>
  <si>
    <t>YR</t>
  </si>
  <si>
    <t>YS</t>
  </si>
  <si>
    <t>YT</t>
  </si>
  <si>
    <t>YU</t>
  </si>
  <si>
    <t>YV</t>
  </si>
  <si>
    <t>YW</t>
  </si>
  <si>
    <t>YX</t>
  </si>
  <si>
    <t>YY</t>
  </si>
  <si>
    <t>YZ</t>
  </si>
  <si>
    <t>ZA</t>
  </si>
  <si>
    <t>ZB</t>
  </si>
  <si>
    <t>ZC</t>
  </si>
  <si>
    <t>ZD</t>
  </si>
  <si>
    <t>ZE</t>
  </si>
  <si>
    <t>ZF</t>
  </si>
  <si>
    <t>ZG</t>
  </si>
  <si>
    <t>ZH</t>
  </si>
  <si>
    <t>ZI</t>
  </si>
  <si>
    <t>ZJ</t>
  </si>
  <si>
    <t>ZK</t>
  </si>
  <si>
    <t>ZL</t>
  </si>
  <si>
    <t>ZM</t>
  </si>
  <si>
    <t>ZN</t>
  </si>
  <si>
    <t>ZO</t>
  </si>
  <si>
    <t>ZP</t>
  </si>
  <si>
    <t>ZQ</t>
  </si>
  <si>
    <t>ZR</t>
  </si>
  <si>
    <t>ZS</t>
  </si>
  <si>
    <t>ZT</t>
  </si>
  <si>
    <t>ZU</t>
  </si>
  <si>
    <t>ZV</t>
  </si>
  <si>
    <t>ZW</t>
  </si>
  <si>
    <t>ZX</t>
  </si>
  <si>
    <t>ZY</t>
  </si>
  <si>
    <t>ZZ</t>
  </si>
  <si>
    <t>AAA</t>
  </si>
  <si>
    <t>AAB</t>
  </si>
  <si>
    <t>AAC</t>
  </si>
  <si>
    <t>AAD</t>
  </si>
  <si>
    <t>AAE</t>
  </si>
  <si>
    <t>AAF</t>
  </si>
  <si>
    <t>AAG</t>
  </si>
  <si>
    <t>AAH</t>
  </si>
  <si>
    <t>AAI</t>
  </si>
  <si>
    <t>AAJ</t>
  </si>
  <si>
    <t>AAK</t>
  </si>
  <si>
    <t>AAL</t>
  </si>
  <si>
    <t>AAM</t>
  </si>
  <si>
    <t>AAN</t>
  </si>
  <si>
    <t>AAO</t>
  </si>
  <si>
    <t>AAP</t>
  </si>
  <si>
    <t>AAQ</t>
  </si>
  <si>
    <t>AAR</t>
  </si>
  <si>
    <t>AAS</t>
  </si>
  <si>
    <t>AAT</t>
  </si>
  <si>
    <t>AAU</t>
  </si>
  <si>
    <t>AAV</t>
  </si>
  <si>
    <t>AAW</t>
  </si>
  <si>
    <t>AAX</t>
  </si>
  <si>
    <t>AAY</t>
  </si>
  <si>
    <t>AAZ</t>
  </si>
  <si>
    <t>BBA</t>
  </si>
  <si>
    <t>BBB</t>
  </si>
  <si>
    <t>BBC</t>
  </si>
  <si>
    <t>BBD</t>
  </si>
  <si>
    <t>BBE</t>
  </si>
  <si>
    <t>BBF</t>
  </si>
  <si>
    <t>BBG</t>
  </si>
  <si>
    <t>BBH</t>
  </si>
  <si>
    <t>BBI</t>
  </si>
  <si>
    <t>BBJ</t>
  </si>
  <si>
    <t>BBK</t>
  </si>
  <si>
    <t>BBL</t>
  </si>
  <si>
    <t>BBM</t>
  </si>
  <si>
    <t>BBN</t>
  </si>
  <si>
    <t>BBO</t>
  </si>
  <si>
    <t>BBP</t>
  </si>
  <si>
    <t>BBQ</t>
  </si>
  <si>
    <t>BBR</t>
  </si>
  <si>
    <t>BBS</t>
  </si>
  <si>
    <t>BBT</t>
  </si>
  <si>
    <t>BBU</t>
  </si>
  <si>
    <t>BBV</t>
  </si>
  <si>
    <t>BBW</t>
  </si>
  <si>
    <t>BBX</t>
  </si>
  <si>
    <t>BBY</t>
  </si>
  <si>
    <t>BBZ</t>
  </si>
  <si>
    <t>CCA</t>
  </si>
  <si>
    <t>CCB</t>
  </si>
  <si>
    <t>CCC</t>
  </si>
  <si>
    <t>CCD</t>
  </si>
  <si>
    <t>CCE</t>
  </si>
  <si>
    <t>CCF</t>
  </si>
  <si>
    <t>CCG</t>
  </si>
  <si>
    <t>CCH</t>
  </si>
  <si>
    <t>CCI</t>
  </si>
  <si>
    <t>CCJ</t>
  </si>
  <si>
    <t>CCK</t>
  </si>
  <si>
    <t>CCL</t>
  </si>
  <si>
    <t>CCM</t>
  </si>
  <si>
    <t>CCN</t>
  </si>
  <si>
    <t>CCO</t>
  </si>
  <si>
    <t>CCP</t>
  </si>
  <si>
    <t>CCQ</t>
  </si>
  <si>
    <t>CCR</t>
  </si>
  <si>
    <t>CCS</t>
  </si>
  <si>
    <t>CCT</t>
  </si>
  <si>
    <t>CCU</t>
  </si>
  <si>
    <t>CCV</t>
  </si>
  <si>
    <t>CCW</t>
  </si>
  <si>
    <t>CCX</t>
  </si>
  <si>
    <t>CCY</t>
  </si>
  <si>
    <t>CCZ</t>
  </si>
  <si>
    <t>DDA</t>
  </si>
  <si>
    <t>DDB</t>
  </si>
  <si>
    <t>DDC</t>
  </si>
  <si>
    <t>DDD</t>
  </si>
  <si>
    <t>DDE</t>
  </si>
  <si>
    <t>DDF</t>
  </si>
  <si>
    <t>DDG</t>
  </si>
  <si>
    <t>DDH</t>
  </si>
  <si>
    <t>DDI</t>
  </si>
  <si>
    <t>DDJ</t>
  </si>
  <si>
    <t>DDK</t>
  </si>
  <si>
    <t>DDL</t>
  </si>
  <si>
    <t>DDM</t>
  </si>
  <si>
    <t>DDN</t>
  </si>
  <si>
    <t>DDO</t>
  </si>
  <si>
    <t>DDP</t>
  </si>
  <si>
    <t>DDQ</t>
  </si>
  <si>
    <t>DDR</t>
  </si>
  <si>
    <t>DDS</t>
  </si>
  <si>
    <t>DDT</t>
  </si>
  <si>
    <t>DDU</t>
  </si>
  <si>
    <t>DDV</t>
  </si>
  <si>
    <t>DDW</t>
  </si>
  <si>
    <t>DDX</t>
  </si>
  <si>
    <t>DDY</t>
  </si>
  <si>
    <t>DDZ</t>
  </si>
  <si>
    <t>EEA</t>
  </si>
  <si>
    <t>EEB</t>
  </si>
  <si>
    <t>EEC</t>
  </si>
  <si>
    <t>EED</t>
  </si>
  <si>
    <t>EEE</t>
  </si>
  <si>
    <t>EEF</t>
  </si>
  <si>
    <t>EEG</t>
  </si>
  <si>
    <t>EEH</t>
  </si>
  <si>
    <t>EEI</t>
  </si>
  <si>
    <t>EEJ</t>
  </si>
  <si>
    <t>EEK</t>
  </si>
  <si>
    <t>EEL</t>
  </si>
  <si>
    <t>EEM</t>
  </si>
  <si>
    <t>EEN</t>
  </si>
  <si>
    <t>EEO</t>
  </si>
  <si>
    <t>EEP</t>
  </si>
  <si>
    <t>EEQ</t>
  </si>
  <si>
    <t>EER</t>
  </si>
  <si>
    <t>EES</t>
  </si>
  <si>
    <t>EET</t>
  </si>
  <si>
    <t>EEU</t>
  </si>
  <si>
    <t>EEV</t>
  </si>
  <si>
    <t>EEW</t>
  </si>
  <si>
    <t>EEX</t>
  </si>
  <si>
    <t>EEY</t>
  </si>
  <si>
    <t>EEZ</t>
  </si>
  <si>
    <t>FFA</t>
  </si>
  <si>
    <t>FFB</t>
  </si>
  <si>
    <t>FFC</t>
  </si>
  <si>
    <t>FFD</t>
  </si>
  <si>
    <t>FFE</t>
  </si>
  <si>
    <t>FFF</t>
  </si>
  <si>
    <t>FFG</t>
  </si>
  <si>
    <t>FFH</t>
  </si>
  <si>
    <t>FFI</t>
  </si>
  <si>
    <t>FFJ</t>
  </si>
  <si>
    <t>FFK</t>
  </si>
  <si>
    <t>FFL</t>
  </si>
  <si>
    <t>FFM</t>
  </si>
  <si>
    <t>FFN</t>
  </si>
  <si>
    <t>FFO</t>
  </si>
  <si>
    <t>FFP</t>
  </si>
  <si>
    <t>FFQ</t>
  </si>
  <si>
    <t>FFR</t>
  </si>
  <si>
    <t>FFS</t>
  </si>
  <si>
    <t>FFT</t>
  </si>
  <si>
    <t>FFU</t>
  </si>
  <si>
    <t>FFV</t>
  </si>
  <si>
    <t>FFW</t>
  </si>
  <si>
    <t>FFX</t>
  </si>
  <si>
    <t>FFY</t>
  </si>
  <si>
    <t>FFZ</t>
  </si>
  <si>
    <t>GGA</t>
  </si>
  <si>
    <t>GGB</t>
  </si>
  <si>
    <t>GGC</t>
  </si>
  <si>
    <t>GGD</t>
  </si>
  <si>
    <t>GGE</t>
  </si>
  <si>
    <t>GGF</t>
  </si>
  <si>
    <t>GGG</t>
  </si>
  <si>
    <t>GGH</t>
  </si>
  <si>
    <t>GGI</t>
  </si>
  <si>
    <t>GGJ</t>
  </si>
  <si>
    <t>GGK</t>
  </si>
  <si>
    <t>GGL</t>
  </si>
  <si>
    <t>GGM</t>
  </si>
  <si>
    <t>GGN</t>
  </si>
  <si>
    <t>GGO</t>
  </si>
  <si>
    <t>GGP</t>
  </si>
  <si>
    <t>GGQ</t>
  </si>
  <si>
    <t>GGR</t>
  </si>
  <si>
    <t>GGS</t>
  </si>
  <si>
    <t>GGT</t>
  </si>
  <si>
    <t>GGU</t>
  </si>
  <si>
    <t>GGV</t>
  </si>
  <si>
    <t>GGW</t>
  </si>
  <si>
    <t>GGX</t>
  </si>
  <si>
    <t>GGY</t>
  </si>
  <si>
    <t>GGZ</t>
  </si>
  <si>
    <t>HHA</t>
  </si>
  <si>
    <t>HHB</t>
  </si>
  <si>
    <t>HHC</t>
  </si>
  <si>
    <t>HHD</t>
  </si>
  <si>
    <t>HHE</t>
  </si>
  <si>
    <t>HHF</t>
  </si>
  <si>
    <t>HHG</t>
  </si>
  <si>
    <t>HHH</t>
  </si>
  <si>
    <t>HHI</t>
  </si>
  <si>
    <t>HHJ</t>
  </si>
  <si>
    <t>HHK</t>
  </si>
  <si>
    <t>HHL</t>
  </si>
  <si>
    <t>HHM</t>
  </si>
  <si>
    <t>HHN</t>
  </si>
  <si>
    <t>HHO</t>
  </si>
  <si>
    <t>HHP</t>
  </si>
  <si>
    <t>HHQ</t>
  </si>
  <si>
    <t>HHR</t>
  </si>
  <si>
    <t>HHS</t>
  </si>
  <si>
    <t>HHT</t>
  </si>
  <si>
    <t>HHU</t>
  </si>
  <si>
    <t>HHV</t>
  </si>
  <si>
    <t>HHW</t>
  </si>
  <si>
    <t>HHX</t>
  </si>
  <si>
    <t>HHY</t>
  </si>
  <si>
    <t>HHZ</t>
  </si>
  <si>
    <t>IIA</t>
  </si>
  <si>
    <t>IIB</t>
  </si>
  <si>
    <t>IIC</t>
  </si>
  <si>
    <t>IID</t>
  </si>
  <si>
    <t>IIE</t>
  </si>
  <si>
    <t>IIF</t>
  </si>
  <si>
    <t>IIG</t>
  </si>
  <si>
    <t>IIH</t>
  </si>
  <si>
    <t>III</t>
  </si>
  <si>
    <t>IIJ</t>
  </si>
  <si>
    <t>IIK</t>
  </si>
  <si>
    <t>IIL</t>
  </si>
  <si>
    <t>IIM</t>
  </si>
  <si>
    <t>IIN</t>
  </si>
  <si>
    <t>IIO</t>
  </si>
  <si>
    <t>IIP</t>
  </si>
  <si>
    <t>IIQ</t>
  </si>
  <si>
    <t>IIR</t>
  </si>
  <si>
    <t>IIS</t>
  </si>
  <si>
    <t>IIT</t>
  </si>
  <si>
    <t>IIU</t>
  </si>
  <si>
    <t>IIV</t>
  </si>
  <si>
    <t>IIW</t>
  </si>
  <si>
    <t>IIX</t>
  </si>
  <si>
    <t>IIY</t>
  </si>
  <si>
    <t>IIZ</t>
  </si>
  <si>
    <t>JJA</t>
  </si>
  <si>
    <t>JJB</t>
  </si>
  <si>
    <t>JJC</t>
  </si>
  <si>
    <t>JJD</t>
  </si>
  <si>
    <t>JJE</t>
  </si>
  <si>
    <t>JJF</t>
  </si>
  <si>
    <t>JJG</t>
  </si>
  <si>
    <t>JJH</t>
  </si>
  <si>
    <t>JJI</t>
  </si>
  <si>
    <t>JJJ</t>
  </si>
  <si>
    <t>JJK</t>
  </si>
  <si>
    <t>JJL</t>
  </si>
  <si>
    <t>JJM</t>
  </si>
  <si>
    <t>JJN</t>
  </si>
  <si>
    <t>JJO</t>
  </si>
  <si>
    <t>JJP</t>
  </si>
  <si>
    <t>JJQ</t>
  </si>
  <si>
    <t>JJR</t>
  </si>
  <si>
    <t>JJS</t>
  </si>
  <si>
    <t>JJT</t>
  </si>
  <si>
    <t>JJU</t>
  </si>
  <si>
    <t>JJV</t>
  </si>
  <si>
    <t>JJW</t>
  </si>
  <si>
    <t>JJX</t>
  </si>
  <si>
    <t>JJY</t>
  </si>
  <si>
    <t>JJZ</t>
  </si>
  <si>
    <t>KKA</t>
  </si>
  <si>
    <t>KKB</t>
  </si>
  <si>
    <t>KKC</t>
  </si>
  <si>
    <t>KKD</t>
  </si>
  <si>
    <t>KKE</t>
  </si>
  <si>
    <t>KKF</t>
  </si>
  <si>
    <t>KKG</t>
  </si>
  <si>
    <t>KKH</t>
  </si>
  <si>
    <t>KKI</t>
  </si>
  <si>
    <t>KKJ</t>
  </si>
  <si>
    <t>KKK</t>
  </si>
  <si>
    <t>KKL</t>
  </si>
  <si>
    <t>KKM</t>
  </si>
  <si>
    <t>KKN</t>
  </si>
  <si>
    <t>KKO</t>
  </si>
  <si>
    <t>KKP</t>
  </si>
  <si>
    <t>KKQ</t>
  </si>
  <si>
    <t>KKR</t>
  </si>
  <si>
    <t>KKS</t>
  </si>
  <si>
    <t>KKT</t>
  </si>
  <si>
    <t>KKU</t>
  </si>
  <si>
    <t>KKV</t>
  </si>
  <si>
    <t>KKW</t>
  </si>
  <si>
    <t>KKX</t>
  </si>
  <si>
    <t>KKY</t>
  </si>
  <si>
    <t>KKZ</t>
  </si>
  <si>
    <t>LLA</t>
  </si>
  <si>
    <t>LLB</t>
  </si>
  <si>
    <t>LLC</t>
  </si>
  <si>
    <t>LLD</t>
  </si>
  <si>
    <t>LLE</t>
  </si>
  <si>
    <t>LLF</t>
  </si>
  <si>
    <t>LLG</t>
  </si>
  <si>
    <t>LLH</t>
  </si>
  <si>
    <t>LLI</t>
  </si>
  <si>
    <t>LLJ</t>
  </si>
  <si>
    <t>LLK</t>
  </si>
  <si>
    <t>LLL</t>
  </si>
  <si>
    <t>Inspection Form</t>
  </si>
  <si>
    <t xml:space="preserve">Project Name  </t>
  </si>
  <si>
    <t xml:space="preserve">Project ID  </t>
  </si>
  <si>
    <t xml:space="preserve">Address  </t>
  </si>
  <si>
    <t>Line 
#</t>
  </si>
  <si>
    <t>PRE CONDITIONS</t>
  </si>
  <si>
    <t>POST CONDITIONS</t>
  </si>
  <si>
    <t xml:space="preserve"> Fixt 
 Qty</t>
  </si>
  <si>
    <t>Area 
Description</t>
  </si>
  <si>
    <t>Interior/
Exterior</t>
  </si>
  <si>
    <t>A/C ?</t>
  </si>
  <si>
    <t>Heating System</t>
  </si>
  <si>
    <t>Fixture 
Type</t>
  </si>
  <si>
    <t>Pre Fixt 
Watts</t>
  </si>
  <si>
    <t>Post Fixt 
 Qty</t>
  </si>
  <si>
    <t>Fixture Type</t>
  </si>
  <si>
    <t>Post Fixt 
Watts</t>
  </si>
  <si>
    <t>Sensors</t>
  </si>
  <si>
    <t>Engineering Changelog</t>
  </si>
  <si>
    <t xml:space="preserve">Version </t>
  </si>
  <si>
    <t>Date</t>
  </si>
  <si>
    <t>Engineer</t>
  </si>
  <si>
    <t>QC Engineer</t>
  </si>
  <si>
    <t>Sodexo</t>
  </si>
  <si>
    <t>This is the original version of the submitted calculator</t>
  </si>
  <si>
    <t>Ryan Novosedliak</t>
  </si>
  <si>
    <t>Removed sodexo naming from CALC. Added total cap for Calculator.</t>
  </si>
  <si>
    <t>Tom Cosgro</t>
  </si>
  <si>
    <t>Double checked cap out and it looks good. Hide all lines on Lighting inventory and relock calculator.  Will need to modify Email address and phone number from Instructions, General Information, and project summary tab before uploading</t>
  </si>
  <si>
    <t>4.6.2</t>
  </si>
  <si>
    <t>-</t>
  </si>
  <si>
    <t>Updated General Information tab to remove redundant entry fields.</t>
  </si>
  <si>
    <t>4.6.3</t>
  </si>
  <si>
    <t>Michael Stevenson</t>
  </si>
  <si>
    <t>Updated Version number to correctly show version number.</t>
  </si>
  <si>
    <t>Coorected reporting of incentive with controls.</t>
  </si>
  <si>
    <t>Ashley Faircloth</t>
  </si>
  <si>
    <t>Alexander Heyworth</t>
  </si>
  <si>
    <t>Updated entire workbook for 2021 Phase 4 TRM, removed New Construction as eligible project</t>
  </si>
  <si>
    <t>Updated lighting controls options</t>
  </si>
  <si>
    <t>Made ADM modifications including: CF corrections for Exterior, Industrial manufacturing, MF, and parking garages. Added Exterior-Photocell. Corrected missing formulas on inventory and data export. Added note regarding wattage controlled per sensor, removed lodging-guest rooms. Adjusted parking lot and gas station canopies to use photocell hours.</t>
  </si>
  <si>
    <t>Nic Schueller</t>
  </si>
  <si>
    <t>Corrected LED tube incentive to $0.05 not $5/lamp. Adjusted lamp incentives to operate per lamp correctly.</t>
  </si>
  <si>
    <t>5.2.2</t>
  </si>
  <si>
    <t>Sara Aaserud</t>
  </si>
  <si>
    <t>Updated Custom Process to correct Phase 4 categories. Added New Construction into picklist selections. Added Capped incentive column to be displayed to customer/program ally and rolls up into  project summary page. Added note regarding New Construction qualifications. Corrected  incentive for $5/lamp incentive to multiply by fixture quantity and lamp qty.</t>
  </si>
  <si>
    <t>5.2.3</t>
  </si>
  <si>
    <t>Sarah Speck</t>
  </si>
  <si>
    <t>Removed Type B linear LED replacement lamps from offering picklist, added note they do not qualify.</t>
  </si>
  <si>
    <t>Kevin Boyd</t>
  </si>
  <si>
    <t>Re-added Type B linear LED as it now qualifies per instructions; added a total kW calculation field for data entry</t>
  </si>
  <si>
    <t>Line 
Item</t>
  </si>
  <si>
    <t>Project Measure Name</t>
  </si>
  <si>
    <t>Measure Quantity</t>
  </si>
  <si>
    <t>Program ID</t>
  </si>
  <si>
    <t>Project Name</t>
  </si>
  <si>
    <t>Account ID</t>
  </si>
  <si>
    <t>Calculator Version</t>
  </si>
  <si>
    <t>Interior or Exterior</t>
  </si>
  <si>
    <t>Primary Heating Type</t>
  </si>
  <si>
    <t>Base Fixture 
Quantity</t>
  </si>
  <si>
    <t>As Found Fixture Code</t>
  </si>
  <si>
    <t>As Found Fixture Description</t>
  </si>
  <si>
    <t>Base Fixture 
Code</t>
  </si>
  <si>
    <t>Base Fixture Description</t>
  </si>
  <si>
    <t>Base Watts per Fixture</t>
  </si>
  <si>
    <t>Base kW per Space</t>
  </si>
  <si>
    <t>Base Lighting Control Type</t>
  </si>
  <si>
    <t>New Construction 
Area Type</t>
  </si>
  <si>
    <t>New Construction Baseline Quantity</t>
  </si>
  <si>
    <t>New Construction Baseline Units</t>
  </si>
  <si>
    <t>New Construction Baseline kW per Space</t>
  </si>
  <si>
    <t>New Fixture 
Quantity</t>
  </si>
  <si>
    <t xml:space="preserve">New Fixture Category </t>
  </si>
  <si>
    <t xml:space="preserve">New Fixture Description </t>
  </si>
  <si>
    <t>New Lamps per Fixture</t>
  </si>
  <si>
    <t>New Fixture Cut Sheet ID</t>
  </si>
  <si>
    <t>New Watts per 
Fixture</t>
  </si>
  <si>
    <t>New Lighting Control 
Type</t>
  </si>
  <si>
    <t>Lighting Control
Measure Life</t>
  </si>
  <si>
    <t>Use Applicant or 
Prescribed Hours?</t>
  </si>
  <si>
    <t>Coincidence 
Factor Summer PJM</t>
  </si>
  <si>
    <t>Coincidence 
Factor Winter PJM</t>
  </si>
  <si>
    <t xml:space="preserve">Interactive Factor Demand Summer </t>
  </si>
  <si>
    <t>Interactive Factor Demand Winter</t>
  </si>
  <si>
    <t xml:space="preserve">Interactive Factor Energy </t>
  </si>
  <si>
    <t>Base Controls 
Factor Demand</t>
  </si>
  <si>
    <t>Base Controls 
Factor Energy</t>
  </si>
  <si>
    <t>New Controls 
Factor Demand</t>
  </si>
  <si>
    <t>New Controls 
Factor Energy</t>
  </si>
  <si>
    <t>kW Saved (Same as kW PJM Summer Saved)</t>
  </si>
  <si>
    <t>kW PJM Saved Summer</t>
  </si>
  <si>
    <t>kW PJM Saved Winter</t>
  </si>
  <si>
    <t>kWh Saved</t>
  </si>
  <si>
    <t>Sensor Cost</t>
  </si>
  <si>
    <t>Non Coincident kW</t>
  </si>
  <si>
    <t>Space Designation</t>
  </si>
  <si>
    <t>Optional Space Details</t>
  </si>
  <si>
    <t>Pre Fixture Wattage</t>
  </si>
  <si>
    <t>Pre Control Type</t>
  </si>
  <si>
    <t>Post Fixture Code</t>
  </si>
  <si>
    <t>New Construction Baseline Description</t>
  </si>
  <si>
    <t>Fixture Tag or ID (Opt.)</t>
  </si>
  <si>
    <t>Post Fixture Wattage</t>
  </si>
  <si>
    <t>Post Control Type</t>
  </si>
  <si>
    <t>IFenergy</t>
  </si>
  <si>
    <t>IFdemand</t>
  </si>
  <si>
    <t>SVGee</t>
  </si>
  <si>
    <t>Applicant Name</t>
  </si>
  <si>
    <t>Facility Name</t>
  </si>
  <si>
    <t>Utility</t>
  </si>
  <si>
    <t>Construction Type</t>
  </si>
  <si>
    <t>Facility Size (ft2)</t>
  </si>
  <si>
    <t>Installation Date</t>
  </si>
  <si>
    <t>Heating Fuel Type</t>
  </si>
  <si>
    <t>HOU/CF Source</t>
  </si>
  <si>
    <t>Custom Cut Sheet for Lookup</t>
  </si>
  <si>
    <t>5.5.1</t>
  </si>
  <si>
    <t>Lewis Vanlue</t>
  </si>
  <si>
    <t>Nicholas Dombrosky</t>
  </si>
  <si>
    <t>Updated incadescent baseline</t>
  </si>
  <si>
    <t>5.5.2</t>
  </si>
  <si>
    <t>Updated halogen low voltage incandescent lamps (Rows 827-832) baseline</t>
  </si>
  <si>
    <t>Networked Lighting Controls</t>
  </si>
  <si>
    <t>Watts Min Controlled (&gt;=)</t>
  </si>
  <si>
    <t>Watts Max Controlled (&lt;)</t>
  </si>
  <si>
    <t>Control Strategy</t>
  </si>
  <si>
    <t>Zoned Control</t>
  </si>
  <si>
    <t>Fixture Control</t>
  </si>
  <si>
    <t>Controls Addition</t>
  </si>
  <si>
    <t>Network Lighting Control</t>
  </si>
  <si>
    <t>Unit</t>
  </si>
  <si>
    <t>Additional Incentive kWh</t>
  </si>
  <si>
    <t>Additional Incentive kW</t>
  </si>
  <si>
    <t>per kWh saved</t>
  </si>
  <si>
    <t>Per Door</t>
  </si>
  <si>
    <t>Increased per kWh incentive from 0.05 to 0.10. Updated Lighting Controls incentive formula to reference the Lookup Tables. Added Network Lighting Controls SVG and incentive at $0.3/watt controlled. Added additional incentive for lighting controls (Zoned,Fixture,NLC). Fixed Refrigerated Case lighting incentive rates with cap of $75/door</t>
  </si>
  <si>
    <t>Removed base incentive per sensor per client direction</t>
  </si>
  <si>
    <t>Row Identifier</t>
  </si>
  <si>
    <t>ControlStrategy</t>
  </si>
  <si>
    <t>RowIdentifier</t>
  </si>
  <si>
    <t>5.5.3_LTO</t>
  </si>
  <si>
    <t>5.5.3_LTOv3</t>
  </si>
  <si>
    <t>Uncapped Incentive</t>
  </si>
  <si>
    <t>Retrofit projects of existing equipment and New Construction is eligible for incentives under the Energy Solutions for Business Program.</t>
  </si>
  <si>
    <t>Andrew Weiner</t>
  </si>
  <si>
    <t>Corrected formula for Nav fixture Qty. Added Row Identifier for Navigator</t>
  </si>
  <si>
    <t>Clarified Project Summary Page capped/uncapped incentive
Adjusted for cost capped concerns with sensors
Adjusted for negative controls savings to not allow additional incentive
Set new formatting warnings for New Construction and Exit signs projects
Changed Instuction tab to reword the New Construction projects can apply. "Retrofit projects of existing equipment and New Construction is eligible for incentives under the Energy Solutions for Business Program."</t>
  </si>
  <si>
    <t>5.5.3_LTOv4</t>
  </si>
  <si>
    <t>Post Lighting Controls</t>
  </si>
  <si>
    <t>Exterior_controls</t>
  </si>
  <si>
    <t>&lt;&lt; Input Schedule Name 1 &gt;&gt;</t>
  </si>
  <si>
    <t>Repaired Row Identifier column, New Construction building area method adjustment and aligned Post SVG for New Construction, removed ability to apply for exterior photcell rebate and split sensor and fixture capping concerns</t>
  </si>
  <si>
    <t>IECC 2018</t>
  </si>
  <si>
    <t>Dining areas</t>
  </si>
  <si>
    <t>Loading docks</t>
  </si>
  <si>
    <t>Outdoor Sales, Open Areas (including vehicles sales lots)</t>
  </si>
  <si>
    <t>Walkways and ramps less than 10' Wide</t>
  </si>
  <si>
    <t>Walkways and ramps 10' Wide or Greater, plaza areas, special feature areas</t>
  </si>
  <si>
    <t>New Construction IECC 2015 to IECC 2018. Total kW remove CF from calculation</t>
  </si>
  <si>
    <t>5.5.4</t>
  </si>
  <si>
    <t>Reverted calculator to non LTO</t>
  </si>
  <si>
    <t>IECC 2018 Available Space Types for Selected Building Type</t>
  </si>
  <si>
    <t>Conference/Meeting Room</t>
  </si>
  <si>
    <t>Office, Open Plan</t>
  </si>
  <si>
    <t>Stairwell</t>
  </si>
  <si>
    <t>IECC 2018 LPD (W/ft2)</t>
  </si>
  <si>
    <t>Removed 9/1/2024</t>
  </si>
  <si>
    <t>Leave blank or choose "Prescribed" to use the default equipment full load hours (hours of operation).  Default hours are based on facility type and the post lighting equipment type as defined in the PA TRM.  The full table of deemed hours are given below starting at row 171.  Choose "Applicant" to use custom defined equipment full load hours from the General Information tab.  See the instructions on the General Information tab for entering in custom lighting operation schedules.  Projects with energy savings 120,000 kWh or less must use prescribed hours from the PA Technical Reference Manual.</t>
  </si>
  <si>
    <r>
      <t xml:space="preserve">Applicants may create up to 8 custom lighting operation schedules for use in the Lighting Inventory tab.  Edit the yellow cells to specify the on and off times of the lighting equipment during a regular work week.  Enter in a 0 to define when the lighting equipment is off and enter in a 1 to specify when the equipment is on.  In addition, any decimal between 0 and 1 may be entered to define the percentage of time the equipment is on during any given hour (e.g., enter 0.25 for 15 minutes or .75 for 45 minutes).  </t>
    </r>
    <r>
      <rPr>
        <b/>
        <sz val="11"/>
        <color theme="1"/>
        <rFont val="Calibri"/>
        <family val="2"/>
        <scheme val="minor"/>
      </rPr>
      <t>Keep in mind that additional verification such as site inspections, customer interviews and data logging may be required to support and verify custom lighting schedules.  Projects with energy savings 120,000 kWh or less must use prescribed hours from the PA Technical Reference Manual unless data from a recent light logging study can be provided.</t>
    </r>
    <r>
      <rPr>
        <sz val="11"/>
        <color theme="1"/>
        <rFont val="Calibri"/>
        <family val="2"/>
        <scheme val="minor"/>
      </rPr>
      <t xml:space="preserve">
The example below shows a completed schedule for an office that is open from 7a.m. to 5p.m., Monday - Friday and from 8a.m. to noon on Saturdays and is closed 10 days a year for holidays.</t>
    </r>
  </si>
  <si>
    <t>Updated Instruction sheet from 25,000 to 120,000 kWh</t>
  </si>
  <si>
    <t>5.5.3_LTOv5</t>
  </si>
  <si>
    <t>V5.5.4</t>
  </si>
  <si>
    <t>V5.5.5</t>
  </si>
  <si>
    <t>Required for savings validation is an input for annual kWh utility usage to compare this projects annual savings</t>
  </si>
  <si>
    <t>Annual kWh Usage</t>
  </si>
  <si>
    <t xml:space="preserve">  Project Savings Compared to Annual Usage</t>
  </si>
  <si>
    <t>v7.0</t>
  </si>
  <si>
    <t>Updated to V6.0 LTO incentive rates, per FEPA instructions</t>
  </si>
  <si>
    <t>Updated to V7.0 non-LTO incentive rates, added annual kWh utility usage input on the General Information tabe and savings /annual usage percentage calculation on the Project Summary Tab. Fixed cell reference on Project Summary tab incentive for Lighting Controls</t>
  </si>
  <si>
    <t>Jacob Steele</t>
  </si>
  <si>
    <t>Utility - Customer Type</t>
  </si>
  <si>
    <t>Default</t>
  </si>
  <si>
    <t xml:space="preserve">Selection </t>
  </si>
  <si>
    <t>Penelec - LCI</t>
  </si>
  <si>
    <t>v7.1</t>
  </si>
  <si>
    <t xml:space="preserve">Updated  V7.1 with FEPA rates effective 7/15/25. Created dropdown on summary page for utility - customer type that will drives the incentive rates on the lookup table, either standard rate, or half the standard rate (default).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</si>
</sst>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_(&quot;$&quot;* \(#,##0.00\);_(&quot;$&quot;* &quot;-&quot;??_);_(@_)"/>
    <numFmt numFmtId="43" formatCode="_(* #,##0.00_);_(* \(#,##0.00\);_(* &quot;-&quot;??_);_(@_)"/>
    <numFmt numFmtId="164" formatCode="0.0"/>
    <numFmt numFmtId="165" formatCode="&quot;$&quot;#,##0.00"/>
    <numFmt numFmtId="166" formatCode="General_)"/>
    <numFmt numFmtId="167" formatCode="_(* #,##0_);_(* \(#,##0\);_(* &quot;-&quot;??_);_(@_)"/>
    <numFmt numFmtId="168" formatCode="0.00000000"/>
    <numFmt numFmtId="169" formatCode="0.0000000"/>
    <numFmt numFmtId="170" formatCode="0.000"/>
    <numFmt numFmtId="171" formatCode="0.0000"/>
    <numFmt numFmtId="172" formatCode="0.0000000000"/>
    <numFmt numFmtId="173" formatCode="_(* #,##0.0000_);_(* \(#,##0.0000\);_(* &quot;-&quot;??_);_(@_)"/>
    <numFmt numFmtId="174" formatCode="0.0%"/>
  </numFmts>
  <fonts count="107" x14ac:knownFonts="1">
    <font>
      <sz val="11"/>
      <color theme="1"/>
      <name val="Calibri"/>
      <family val="2"/>
      <scheme val="minor"/>
    </font>
    <font>
      <sz val="10"/>
      <name val="Arial"/>
      <family val="2"/>
    </font>
    <font>
      <sz val="10"/>
      <name val="Arial"/>
      <family val="2"/>
    </font>
    <font>
      <b/>
      <sz val="10"/>
      <color indexed="9"/>
      <name val="Calibri"/>
      <family val="2"/>
    </font>
    <font>
      <b/>
      <vertAlign val="subscript"/>
      <sz val="10"/>
      <color indexed="9"/>
      <name val="Calibri"/>
      <family val="2"/>
    </font>
    <font>
      <sz val="8"/>
      <color indexed="9"/>
      <name val="Calibri"/>
      <family val="2"/>
    </font>
    <font>
      <vertAlign val="superscript"/>
      <sz val="8"/>
      <color indexed="9"/>
      <name val="Calibri"/>
      <family val="2"/>
    </font>
    <font>
      <sz val="8"/>
      <name val="Arial"/>
      <family val="2"/>
    </font>
    <font>
      <b/>
      <sz val="11"/>
      <name val="Calibri"/>
      <family val="2"/>
    </font>
    <font>
      <b/>
      <vertAlign val="subscript"/>
      <sz val="11"/>
      <name val="Calibri"/>
      <family val="2"/>
    </font>
    <font>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sz val="10"/>
      <color rgb="FF000000"/>
      <name val="Times New Roman"/>
      <family val="1"/>
    </font>
    <font>
      <b/>
      <sz val="11"/>
      <color theme="1"/>
      <name val="Calibri"/>
      <family val="2"/>
      <scheme val="minor"/>
    </font>
    <font>
      <sz val="10"/>
      <color theme="1"/>
      <name val="Calibri"/>
      <family val="2"/>
      <scheme val="minor"/>
    </font>
    <font>
      <sz val="10"/>
      <name val="Calibri"/>
      <family val="2"/>
      <scheme val="minor"/>
    </font>
    <font>
      <b/>
      <sz val="10"/>
      <color theme="1"/>
      <name val="Calibri"/>
      <family val="2"/>
      <scheme val="minor"/>
    </font>
    <font>
      <sz val="8"/>
      <color theme="1"/>
      <name val="Calibri"/>
      <family val="2"/>
    </font>
    <font>
      <sz val="12"/>
      <color theme="1"/>
      <name val="Calibri"/>
      <family val="2"/>
    </font>
    <font>
      <sz val="8"/>
      <color theme="1"/>
      <name val="Arial"/>
      <family val="2"/>
    </font>
    <font>
      <i/>
      <sz val="11"/>
      <color theme="1"/>
      <name val="Calibri"/>
      <family val="2"/>
    </font>
    <font>
      <sz val="10"/>
      <color theme="1"/>
      <name val="Arial"/>
      <family val="2"/>
    </font>
    <font>
      <sz val="10"/>
      <color theme="0"/>
      <name val="Calibri"/>
      <family val="2"/>
      <scheme val="minor"/>
    </font>
    <font>
      <b/>
      <sz val="10"/>
      <name val="Calibri"/>
      <family val="2"/>
      <scheme val="minor"/>
    </font>
    <font>
      <b/>
      <sz val="12"/>
      <color theme="0"/>
      <name val="Calibri"/>
      <family val="2"/>
      <scheme val="minor"/>
    </font>
    <font>
      <b/>
      <sz val="10"/>
      <color theme="0"/>
      <name val="Calibri"/>
      <family val="2"/>
      <scheme val="minor"/>
    </font>
    <font>
      <sz val="9"/>
      <color theme="1"/>
      <name val="Calibri"/>
      <family val="2"/>
      <scheme val="minor"/>
    </font>
    <font>
      <b/>
      <sz val="11"/>
      <color theme="1"/>
      <name val="Calibri"/>
      <family val="2"/>
    </font>
    <font>
      <b/>
      <sz val="18"/>
      <color theme="0"/>
      <name val="Calibri"/>
      <family val="2"/>
      <scheme val="minor"/>
    </font>
    <font>
      <sz val="11"/>
      <name val="Calibri"/>
      <family val="2"/>
      <scheme val="minor"/>
    </font>
    <font>
      <sz val="8"/>
      <color theme="1"/>
      <name val="Calibri"/>
      <family val="2"/>
      <scheme val="minor"/>
    </font>
    <font>
      <sz val="12"/>
      <color theme="1"/>
      <name val="Calibri"/>
      <family val="2"/>
      <scheme val="minor"/>
    </font>
    <font>
      <b/>
      <sz val="12"/>
      <color theme="1"/>
      <name val="Calibri"/>
      <family val="2"/>
      <scheme val="minor"/>
    </font>
    <font>
      <b/>
      <sz val="8"/>
      <color theme="0"/>
      <name val="Arial"/>
      <family val="2"/>
    </font>
    <font>
      <sz val="10"/>
      <color theme="1"/>
      <name val="Calibri"/>
      <family val="2"/>
    </font>
    <font>
      <b/>
      <sz val="9"/>
      <name val="Calibri"/>
      <family val="2"/>
      <scheme val="minor"/>
    </font>
    <font>
      <sz val="22"/>
      <color theme="0"/>
      <name val="Calibri"/>
      <family val="2"/>
      <scheme val="minor"/>
    </font>
    <font>
      <b/>
      <sz val="11"/>
      <name val="Calibri"/>
      <family val="2"/>
      <scheme val="minor"/>
    </font>
    <font>
      <b/>
      <sz val="14"/>
      <color theme="0"/>
      <name val="Calibri"/>
      <family val="2"/>
    </font>
    <font>
      <sz val="16"/>
      <color theme="0"/>
      <name val="Calibri"/>
      <family val="2"/>
      <scheme val="minor"/>
    </font>
    <font>
      <sz val="8"/>
      <color theme="0"/>
      <name val="Calibri"/>
      <family val="2"/>
      <scheme val="minor"/>
    </font>
    <font>
      <sz val="14"/>
      <color theme="0"/>
      <name val="Calibri"/>
      <family val="2"/>
      <scheme val="minor"/>
    </font>
    <font>
      <b/>
      <sz val="8"/>
      <color theme="0"/>
      <name val="Calibri"/>
      <family val="2"/>
      <scheme val="minor"/>
    </font>
    <font>
      <sz val="26"/>
      <color rgb="FF01175F"/>
      <name val="Calibri"/>
      <family val="2"/>
      <scheme val="minor"/>
    </font>
    <font>
      <b/>
      <sz val="24"/>
      <color theme="0"/>
      <name val="Calibri"/>
      <family val="2"/>
      <scheme val="minor"/>
    </font>
    <font>
      <b/>
      <sz val="10"/>
      <color theme="0"/>
      <name val="Calibri"/>
      <family val="2"/>
    </font>
    <font>
      <sz val="9"/>
      <name val="Calibri"/>
      <family val="2"/>
      <scheme val="minor"/>
    </font>
    <font>
      <b/>
      <sz val="9"/>
      <color theme="0"/>
      <name val="Calibri"/>
      <family val="2"/>
      <scheme val="minor"/>
    </font>
    <font>
      <b/>
      <sz val="9"/>
      <color theme="1"/>
      <name val="Calibri"/>
      <family val="2"/>
      <scheme val="minor"/>
    </font>
    <font>
      <sz val="11"/>
      <name val="Calibri"/>
      <family val="2"/>
    </font>
    <font>
      <b/>
      <vertAlign val="subscript"/>
      <sz val="11"/>
      <name val="Calibri"/>
      <family val="2"/>
      <scheme val="minor"/>
    </font>
    <font>
      <sz val="6.5"/>
      <color theme="1"/>
      <name val="Calibri"/>
      <family val="2"/>
      <scheme val="minor"/>
    </font>
    <font>
      <b/>
      <sz val="11"/>
      <color rgb="FF0070C0"/>
      <name val="Arial"/>
      <family val="2"/>
    </font>
    <font>
      <sz val="14"/>
      <color theme="0"/>
      <name val="Arial"/>
      <family val="2"/>
    </font>
    <font>
      <sz val="11"/>
      <name val="Arial"/>
      <family val="2"/>
    </font>
    <font>
      <sz val="10"/>
      <color indexed="9"/>
      <name val="Arial"/>
      <family val="2"/>
    </font>
    <font>
      <b/>
      <sz val="11"/>
      <color rgb="FFFF0000"/>
      <name val="Arial"/>
      <family val="2"/>
    </font>
    <font>
      <sz val="11"/>
      <color theme="0"/>
      <name val="Arial"/>
      <family val="2"/>
    </font>
    <font>
      <i/>
      <sz val="11"/>
      <color indexed="8"/>
      <name val="Calibri"/>
      <family val="2"/>
    </font>
    <font>
      <b/>
      <sz val="11"/>
      <name val="Arial"/>
      <family val="2"/>
    </font>
    <font>
      <sz val="11"/>
      <color indexed="8"/>
      <name val="Arial"/>
      <family val="2"/>
    </font>
    <font>
      <b/>
      <sz val="11"/>
      <color indexed="10"/>
      <name val="Arial"/>
      <family val="2"/>
    </font>
    <font>
      <b/>
      <sz val="10"/>
      <name val="Arial"/>
      <family val="2"/>
    </font>
    <font>
      <sz val="12"/>
      <color rgb="FFFF0000"/>
      <name val="Arial"/>
      <family val="2"/>
    </font>
    <font>
      <sz val="12"/>
      <name val="Arial"/>
      <family val="2"/>
    </font>
    <font>
      <b/>
      <sz val="10"/>
      <color theme="0"/>
      <name val="Arial"/>
      <family val="2"/>
    </font>
    <font>
      <b/>
      <sz val="16"/>
      <name val="Calibri"/>
      <family val="2"/>
      <scheme val="minor"/>
    </font>
    <font>
      <b/>
      <vertAlign val="subscript"/>
      <sz val="16"/>
      <name val="Calibri"/>
      <family val="2"/>
    </font>
    <font>
      <b/>
      <sz val="16"/>
      <name val="Calibri"/>
      <family val="2"/>
    </font>
    <font>
      <b/>
      <sz val="14"/>
      <color theme="1"/>
      <name val="Calibri"/>
      <family val="2"/>
      <scheme val="minor"/>
    </font>
    <font>
      <b/>
      <sz val="18"/>
      <name val="Calibri"/>
      <family val="2"/>
      <scheme val="minor"/>
    </font>
    <font>
      <b/>
      <sz val="12"/>
      <name val="Calibri"/>
      <family val="2"/>
      <scheme val="minor"/>
    </font>
    <font>
      <b/>
      <sz val="14"/>
      <name val="Calibri"/>
      <family val="2"/>
      <scheme val="minor"/>
    </font>
    <font>
      <sz val="28"/>
      <name val="Calibri"/>
      <family val="2"/>
      <scheme val="minor"/>
    </font>
    <font>
      <b/>
      <sz val="22"/>
      <name val="Calibri"/>
      <family val="2"/>
      <scheme val="minor"/>
    </font>
    <font>
      <sz val="10"/>
      <color theme="1" tint="0.14999847407452621"/>
      <name val="Calibri"/>
      <family val="2"/>
      <scheme val="minor"/>
    </font>
    <font>
      <b/>
      <sz val="16"/>
      <color theme="1" tint="0.14999847407452621"/>
      <name val="Calibri"/>
      <family val="2"/>
      <scheme val="minor"/>
    </font>
    <font>
      <b/>
      <sz val="10"/>
      <color theme="1" tint="0.14999847407452621"/>
      <name val="Calibri"/>
      <family val="2"/>
      <scheme val="minor"/>
    </font>
    <font>
      <b/>
      <i/>
      <sz val="12"/>
      <name val="Calibri"/>
      <family val="2"/>
      <scheme val="minor"/>
    </font>
    <font>
      <b/>
      <sz val="22"/>
      <name val="Arial"/>
      <family val="2"/>
    </font>
    <font>
      <b/>
      <sz val="18"/>
      <color theme="1"/>
      <name val="Calibri"/>
      <family val="2"/>
      <scheme val="minor"/>
    </font>
    <font>
      <sz val="10.5"/>
      <name val="Calibri"/>
      <family val="2"/>
      <scheme val="minor"/>
    </font>
    <font>
      <b/>
      <sz val="10.5"/>
      <name val="Calibri"/>
      <family val="2"/>
      <scheme val="minor"/>
    </font>
    <font>
      <b/>
      <sz val="8"/>
      <name val="Calibri"/>
      <family val="2"/>
      <scheme val="minor"/>
    </font>
    <font>
      <sz val="28"/>
      <color theme="3" tint="-0.249977111117893"/>
      <name val="Calibri"/>
      <family val="2"/>
      <scheme val="minor"/>
    </font>
    <font>
      <sz val="28"/>
      <color theme="3" tint="-0.249977111117893"/>
      <name val="Calibri"/>
      <family val="2"/>
    </font>
    <font>
      <i/>
      <sz val="10.5"/>
      <name val="Calibri"/>
      <family val="2"/>
      <scheme val="minor"/>
    </font>
    <font>
      <sz val="8"/>
      <name val="Calibri"/>
      <family val="2"/>
      <scheme val="minor"/>
    </font>
    <font>
      <b/>
      <sz val="14"/>
      <color rgb="FFC00000"/>
      <name val="Calibri"/>
      <family val="2"/>
      <scheme val="minor"/>
    </font>
    <font>
      <b/>
      <sz val="11"/>
      <color rgb="FF960000"/>
      <name val="Calibri"/>
      <family val="2"/>
      <scheme val="minor"/>
    </font>
    <font>
      <sz val="12"/>
      <name val="Calibri"/>
      <family val="2"/>
      <scheme val="minor"/>
    </font>
    <font>
      <b/>
      <sz val="10"/>
      <color rgb="FFFF0000"/>
      <name val="Calibri"/>
      <family val="2"/>
      <scheme val="minor"/>
    </font>
    <font>
      <sz val="10"/>
      <color rgb="FFFF0000"/>
      <name val="Calibri"/>
      <family val="2"/>
      <scheme val="minor"/>
    </font>
    <font>
      <b/>
      <sz val="10"/>
      <color theme="0" tint="-0.14999847407452621"/>
      <name val="Calibri"/>
      <family val="2"/>
      <scheme val="minor"/>
    </font>
    <font>
      <sz val="10"/>
      <color theme="0" tint="-0.14999847407452621"/>
      <name val="Calibri"/>
      <family val="2"/>
      <scheme val="minor"/>
    </font>
    <font>
      <sz val="9"/>
      <color rgb="FFFF0000"/>
      <name val="Calibri"/>
      <family val="2"/>
      <scheme val="minor"/>
    </font>
    <font>
      <b/>
      <sz val="9"/>
      <color indexed="81"/>
      <name val="Tahoma"/>
      <family val="2"/>
    </font>
    <font>
      <b/>
      <i/>
      <sz val="10"/>
      <color theme="0"/>
      <name val="Calibri"/>
      <family val="2"/>
      <scheme val="minor"/>
    </font>
    <font>
      <i/>
      <sz val="10"/>
      <color theme="0"/>
      <name val="Calibri"/>
      <family val="2"/>
      <scheme val="minor"/>
    </font>
    <font>
      <i/>
      <sz val="9"/>
      <color theme="0"/>
      <name val="Calibri"/>
      <family val="2"/>
      <scheme val="minor"/>
    </font>
    <font>
      <i/>
      <sz val="10"/>
      <name val="Calibri"/>
      <family val="2"/>
      <scheme val="minor"/>
    </font>
    <font>
      <sz val="10"/>
      <color rgb="FF000000"/>
      <name val="Calibri"/>
      <family val="2"/>
      <scheme val="minor"/>
    </font>
    <font>
      <sz val="9"/>
      <color rgb="FF000000"/>
      <name val="Calibri"/>
      <family val="2"/>
      <scheme val="minor"/>
    </font>
    <font>
      <b/>
      <sz val="11"/>
      <name val="Tahoma"/>
      <family val="2"/>
    </font>
    <font>
      <sz val="10"/>
      <name val="Tahoma"/>
      <family val="2"/>
    </font>
  </fonts>
  <fills count="3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2" tint="-0.89999084444715716"/>
        <bgColor indexed="64"/>
      </patternFill>
    </fill>
    <fill>
      <patternFill patternType="solid">
        <fgColor theme="4" tint="0.79998168889431442"/>
        <bgColor indexed="64"/>
      </patternFill>
    </fill>
    <fill>
      <patternFill patternType="solid">
        <fgColor rgb="FFFF0000"/>
        <bgColor indexed="64"/>
      </patternFill>
    </fill>
    <fill>
      <patternFill patternType="solid">
        <fgColor theme="4" tint="-0.249977111117893"/>
        <bgColor indexed="64"/>
      </patternFill>
    </fill>
    <fill>
      <patternFill patternType="solid">
        <fgColor rgb="FFC00000"/>
        <bgColor indexed="64"/>
      </patternFill>
    </fill>
    <fill>
      <patternFill patternType="solid">
        <fgColor rgb="FF92D050"/>
        <bgColor indexed="64"/>
      </patternFill>
    </fill>
    <fill>
      <patternFill patternType="solid">
        <fgColor theme="2" tint="-0.749992370372631"/>
        <bgColor indexed="64"/>
      </patternFill>
    </fill>
    <fill>
      <patternFill patternType="solid">
        <fgColor rgb="FFF3A36D"/>
        <bgColor indexed="64"/>
      </patternFill>
    </fill>
    <fill>
      <patternFill patternType="solid">
        <fgColor indexed="9"/>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1" tint="4.9989318521683403E-2"/>
        <bgColor indexed="64"/>
      </patternFill>
    </fill>
    <fill>
      <patternFill patternType="solid">
        <fgColor theme="2"/>
        <bgColor indexed="64"/>
      </patternFill>
    </fill>
    <fill>
      <patternFill patternType="solid">
        <fgColor theme="7" tint="0.39997558519241921"/>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rgb="FF0060AF"/>
        <bgColor indexed="64"/>
      </patternFill>
    </fill>
    <fill>
      <patternFill patternType="solid">
        <fgColor rgb="FF005CB8"/>
        <bgColor indexed="64"/>
      </patternFill>
    </fill>
    <fill>
      <patternFill patternType="solid">
        <fgColor rgb="FFDFD2A7"/>
        <bgColor indexed="64"/>
      </patternFill>
    </fill>
    <fill>
      <patternFill patternType="solid">
        <fgColor theme="7" tint="-0.249977111117893"/>
        <bgColor indexed="64"/>
      </patternFill>
    </fill>
    <fill>
      <patternFill patternType="solid">
        <fgColor theme="1" tint="0.249977111117893"/>
        <bgColor indexed="64"/>
      </patternFill>
    </fill>
    <fill>
      <patternFill patternType="solid">
        <fgColor theme="8"/>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theme="1"/>
        <bgColor indexed="64"/>
      </patternFill>
    </fill>
    <fill>
      <patternFill patternType="solid">
        <fgColor rgb="FF00B050"/>
        <bgColor indexed="64"/>
      </patternFill>
    </fill>
    <fill>
      <patternFill patternType="solid">
        <fgColor rgb="FF4682B4"/>
        <bgColor rgb="FF4682B4"/>
      </patternFill>
    </fill>
    <fill>
      <patternFill patternType="solid">
        <fgColor rgb="FFFFFF00"/>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ck">
        <color indexed="64"/>
      </right>
      <top/>
      <bottom/>
      <diagonal/>
    </border>
    <border>
      <left style="thin">
        <color indexed="64"/>
      </left>
      <right style="thick">
        <color indexed="64"/>
      </right>
      <top style="thin">
        <color indexed="64"/>
      </top>
      <bottom style="thin">
        <color indexed="64"/>
      </bottom>
      <diagonal/>
    </border>
    <border>
      <left style="thin">
        <color rgb="FFD3D3D3"/>
      </left>
      <right style="thin">
        <color rgb="FFD3D3D3"/>
      </right>
      <top style="thin">
        <color rgb="FFD3D3D3"/>
      </top>
      <bottom style="thin">
        <color rgb="FFD3D3D3"/>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14">
    <xf numFmtId="0" fontId="0" fillId="0" borderId="0"/>
    <xf numFmtId="43" fontId="11" fillId="0" borderId="0" applyFont="0" applyFill="0" applyBorder="0" applyAlignment="0" applyProtection="0"/>
    <xf numFmtId="0" fontId="14" fillId="0" borderId="0"/>
    <xf numFmtId="0" fontId="2" fillId="0" borderId="0"/>
    <xf numFmtId="0" fontId="11" fillId="0" borderId="0"/>
    <xf numFmtId="0" fontId="1" fillId="0" borderId="0"/>
    <xf numFmtId="0" fontId="2" fillId="0" borderId="0"/>
    <xf numFmtId="0" fontId="2" fillId="0" borderId="0"/>
    <xf numFmtId="0" fontId="2" fillId="0" borderId="0"/>
    <xf numFmtId="0" fontId="2" fillId="0" borderId="0"/>
    <xf numFmtId="9" fontId="11" fillId="0" borderId="0" applyFont="0" applyFill="0" applyBorder="0" applyAlignment="0" applyProtection="0"/>
    <xf numFmtId="9" fontId="14" fillId="0" borderId="0" applyFont="0" applyFill="0" applyBorder="0" applyAlignment="0" applyProtection="0"/>
    <xf numFmtId="0" fontId="1" fillId="0" borderId="0"/>
    <xf numFmtId="44" fontId="11" fillId="0" borderId="0" applyFont="0" applyFill="0" applyBorder="0" applyAlignment="0" applyProtection="0"/>
  </cellStyleXfs>
  <cellXfs count="1228">
    <xf numFmtId="0" fontId="0" fillId="0" borderId="0" xfId="0"/>
    <xf numFmtId="0" fontId="16" fillId="0" borderId="0" xfId="0" applyFont="1"/>
    <xf numFmtId="0" fontId="16" fillId="0" borderId="0" xfId="0" applyFont="1" applyAlignment="1">
      <alignment horizontal="center" vertical="center"/>
    </xf>
    <xf numFmtId="2" fontId="17" fillId="0" borderId="1" xfId="3" applyNumberFormat="1" applyFont="1" applyBorder="1" applyAlignment="1" applyProtection="1">
      <alignment horizontal="center" vertical="center"/>
      <protection hidden="1"/>
    </xf>
    <xf numFmtId="0" fontId="17" fillId="0" borderId="1" xfId="3" applyFont="1" applyBorder="1" applyAlignment="1" applyProtection="1">
      <alignment horizontal="center" vertical="center"/>
      <protection hidden="1"/>
    </xf>
    <xf numFmtId="0" fontId="17" fillId="0" borderId="0" xfId="3" applyFont="1" applyProtection="1">
      <protection hidden="1"/>
    </xf>
    <xf numFmtId="2" fontId="17" fillId="0" borderId="0" xfId="3" applyNumberFormat="1" applyFont="1" applyAlignment="1" applyProtection="1">
      <alignment horizontal="center" vertical="center"/>
      <protection hidden="1"/>
    </xf>
    <xf numFmtId="0" fontId="0" fillId="2" borderId="0" xfId="0" applyFill="1"/>
    <xf numFmtId="0" fontId="16" fillId="2" borderId="0" xfId="0" applyFont="1" applyFill="1"/>
    <xf numFmtId="0" fontId="0" fillId="4" borderId="13" xfId="0" applyFill="1" applyBorder="1"/>
    <xf numFmtId="0" fontId="0" fillId="4" borderId="0" xfId="0" applyFill="1"/>
    <xf numFmtId="0" fontId="19" fillId="4" borderId="0" xfId="0" applyFont="1" applyFill="1" applyAlignment="1">
      <alignment horizontal="center"/>
    </xf>
    <xf numFmtId="0" fontId="0" fillId="4" borderId="14" xfId="0" applyFill="1" applyBorder="1"/>
    <xf numFmtId="0" fontId="19" fillId="4" borderId="13" xfId="0" applyFont="1" applyFill="1" applyBorder="1"/>
    <xf numFmtId="0" fontId="19" fillId="4" borderId="0" xfId="0" applyFont="1" applyFill="1"/>
    <xf numFmtId="0" fontId="20" fillId="4" borderId="0" xfId="0" applyFont="1" applyFill="1"/>
    <xf numFmtId="0" fontId="20" fillId="4" borderId="0" xfId="0" applyFont="1" applyFill="1" applyAlignment="1">
      <alignment horizontal="center"/>
    </xf>
    <xf numFmtId="0" fontId="19" fillId="4" borderId="13" xfId="0" applyFont="1" applyFill="1" applyBorder="1" applyAlignment="1">
      <alignment horizontal="left"/>
    </xf>
    <xf numFmtId="0" fontId="21" fillId="4" borderId="0" xfId="0" applyFont="1" applyFill="1"/>
    <xf numFmtId="0" fontId="19" fillId="4" borderId="13" xfId="0" applyFont="1" applyFill="1" applyBorder="1" applyAlignment="1">
      <alignment horizontal="center"/>
    </xf>
    <xf numFmtId="0" fontId="0" fillId="4" borderId="15" xfId="0" applyFill="1" applyBorder="1"/>
    <xf numFmtId="0" fontId="0" fillId="4" borderId="16" xfId="0" applyFill="1" applyBorder="1"/>
    <xf numFmtId="0" fontId="22" fillId="4" borderId="13" xfId="0" applyFont="1" applyFill="1" applyBorder="1"/>
    <xf numFmtId="0" fontId="22" fillId="4" borderId="0" xfId="0" applyFont="1" applyFill="1"/>
    <xf numFmtId="0" fontId="23" fillId="4" borderId="0" xfId="0" applyFont="1" applyFill="1"/>
    <xf numFmtId="0" fontId="23" fillId="4" borderId="13" xfId="0" applyFont="1" applyFill="1" applyBorder="1"/>
    <xf numFmtId="0" fontId="0" fillId="0" borderId="0" xfId="0" applyAlignment="1">
      <alignment horizontal="center" vertical="center"/>
    </xf>
    <xf numFmtId="0" fontId="17" fillId="0" borderId="1" xfId="3" applyFont="1" applyBorder="1" applyAlignment="1" applyProtection="1">
      <alignment horizontal="left" vertical="center"/>
      <protection hidden="1"/>
    </xf>
    <xf numFmtId="0" fontId="17" fillId="0" borderId="0" xfId="3" applyFont="1" applyAlignment="1" applyProtection="1">
      <alignment horizontal="center" vertical="center"/>
      <protection hidden="1"/>
    </xf>
    <xf numFmtId="0" fontId="28" fillId="0" borderId="1" xfId="0" applyFont="1" applyBorder="1" applyAlignment="1" applyProtection="1">
      <alignment horizontal="center" vertical="center"/>
      <protection locked="0"/>
    </xf>
    <xf numFmtId="2" fontId="17" fillId="0" borderId="1" xfId="0" applyNumberFormat="1" applyFont="1" applyBorder="1" applyAlignment="1">
      <alignment horizontal="left" vertical="center"/>
    </xf>
    <xf numFmtId="0" fontId="17" fillId="0" borderId="1" xfId="0" applyFont="1" applyBorder="1" applyAlignment="1">
      <alignment horizontal="left" vertical="center"/>
    </xf>
    <xf numFmtId="0" fontId="0" fillId="4" borderId="22" xfId="0" applyFill="1" applyBorder="1"/>
    <xf numFmtId="0" fontId="0" fillId="4" borderId="26" xfId="0" applyFill="1" applyBorder="1"/>
    <xf numFmtId="0" fontId="19" fillId="4" borderId="26" xfId="0" applyFont="1" applyFill="1" applyBorder="1" applyAlignment="1">
      <alignment horizontal="center"/>
    </xf>
    <xf numFmtId="0" fontId="29" fillId="4" borderId="22" xfId="0" applyFont="1" applyFill="1" applyBorder="1"/>
    <xf numFmtId="0" fontId="17" fillId="0" borderId="1" xfId="3" applyFont="1" applyBorder="1" applyAlignment="1">
      <alignment horizontal="center" vertical="center"/>
    </xf>
    <xf numFmtId="0" fontId="17" fillId="0" borderId="1" xfId="0" applyFont="1" applyBorder="1" applyAlignment="1">
      <alignment horizontal="center" vertical="center"/>
    </xf>
    <xf numFmtId="0" fontId="7" fillId="2" borderId="13" xfId="0" applyFont="1" applyFill="1" applyBorder="1"/>
    <xf numFmtId="0" fontId="7" fillId="2" borderId="0" xfId="0" applyFont="1" applyFill="1"/>
    <xf numFmtId="0" fontId="0" fillId="2" borderId="14" xfId="0" applyFill="1" applyBorder="1"/>
    <xf numFmtId="0" fontId="33" fillId="2" borderId="0" xfId="0" applyFont="1" applyFill="1" applyAlignment="1">
      <alignment vertical="center"/>
    </xf>
    <xf numFmtId="0" fontId="0" fillId="2" borderId="15" xfId="0" applyFill="1" applyBorder="1"/>
    <xf numFmtId="0" fontId="0" fillId="2" borderId="16" xfId="0" applyFill="1" applyBorder="1"/>
    <xf numFmtId="0" fontId="0" fillId="2" borderId="17" xfId="0" applyFill="1" applyBorder="1"/>
    <xf numFmtId="0" fontId="0" fillId="2" borderId="0" xfId="0" applyFill="1" applyAlignment="1">
      <alignment horizontal="left" vertical="center"/>
    </xf>
    <xf numFmtId="9" fontId="17" fillId="0" borderId="0" xfId="10" applyFont="1" applyFill="1" applyBorder="1" applyAlignment="1">
      <alignment horizontal="center" vertical="center"/>
    </xf>
    <xf numFmtId="0" fontId="25" fillId="3" borderId="1" xfId="3" applyFont="1" applyFill="1" applyBorder="1" applyAlignment="1" applyProtection="1">
      <alignment horizontal="left" vertical="center"/>
      <protection hidden="1"/>
    </xf>
    <xf numFmtId="0" fontId="25" fillId="3" borderId="1" xfId="3" applyFont="1" applyFill="1" applyBorder="1" applyAlignment="1" applyProtection="1">
      <alignment horizontal="center" vertical="center"/>
      <protection hidden="1"/>
    </xf>
    <xf numFmtId="0" fontId="25" fillId="3" borderId="1" xfId="0" applyFont="1" applyFill="1" applyBorder="1" applyAlignment="1">
      <alignment vertical="center" wrapText="1"/>
    </xf>
    <xf numFmtId="0" fontId="25" fillId="3" borderId="1" xfId="0" applyFont="1" applyFill="1" applyBorder="1" applyAlignment="1">
      <alignment vertical="center"/>
    </xf>
    <xf numFmtId="0" fontId="25" fillId="3" borderId="1" xfId="0" applyFont="1" applyFill="1" applyBorder="1" applyAlignment="1">
      <alignment horizontal="left" vertical="center" wrapText="1"/>
    </xf>
    <xf numFmtId="0" fontId="39" fillId="3" borderId="1" xfId="0" applyFont="1" applyFill="1" applyBorder="1" applyAlignment="1">
      <alignment horizontal="center" vertical="center" wrapText="1"/>
    </xf>
    <xf numFmtId="0" fontId="17" fillId="3" borderId="1" xfId="0" applyFont="1" applyFill="1" applyBorder="1" applyAlignment="1">
      <alignment horizontal="center" vertical="center"/>
    </xf>
    <xf numFmtId="0" fontId="38" fillId="8" borderId="0" xfId="0" applyFont="1" applyFill="1" applyAlignment="1">
      <alignment horizontal="center" vertical="center"/>
    </xf>
    <xf numFmtId="0" fontId="38" fillId="2" borderId="22" xfId="0" applyFont="1" applyFill="1" applyBorder="1" applyAlignment="1">
      <alignment horizontal="center" vertical="center"/>
    </xf>
    <xf numFmtId="0" fontId="38" fillId="2" borderId="26" xfId="0" applyFont="1" applyFill="1" applyBorder="1" applyAlignment="1">
      <alignment horizontal="center" vertical="center"/>
    </xf>
    <xf numFmtId="0" fontId="38" fillId="2" borderId="23" xfId="0" applyFont="1" applyFill="1" applyBorder="1" applyAlignment="1">
      <alignment horizontal="center" vertical="center"/>
    </xf>
    <xf numFmtId="0" fontId="38" fillId="8" borderId="13" xfId="0" applyFont="1" applyFill="1" applyBorder="1" applyAlignment="1">
      <alignment horizontal="center" vertical="center"/>
    </xf>
    <xf numFmtId="0" fontId="38" fillId="8" borderId="14" xfId="0" applyFont="1" applyFill="1" applyBorder="1" applyAlignment="1">
      <alignment horizontal="center" vertical="center"/>
    </xf>
    <xf numFmtId="0" fontId="7" fillId="2" borderId="16" xfId="0" applyFont="1" applyFill="1" applyBorder="1"/>
    <xf numFmtId="2" fontId="25" fillId="3" borderId="1" xfId="3" applyNumberFormat="1" applyFont="1" applyFill="1" applyBorder="1" applyAlignment="1" applyProtection="1">
      <alignment horizontal="center" vertical="center" wrapText="1"/>
      <protection hidden="1"/>
    </xf>
    <xf numFmtId="9" fontId="17" fillId="0" borderId="1" xfId="10" applyFont="1" applyFill="1" applyBorder="1" applyAlignment="1" applyProtection="1">
      <alignment horizontal="center"/>
      <protection hidden="1"/>
    </xf>
    <xf numFmtId="165" fontId="17" fillId="0" borderId="1" xfId="3" applyNumberFormat="1" applyFont="1" applyBorder="1" applyAlignment="1">
      <alignment horizontal="center" vertical="center"/>
    </xf>
    <xf numFmtId="0" fontId="19" fillId="4" borderId="26" xfId="0" applyFont="1" applyFill="1" applyBorder="1" applyAlignment="1">
      <alignment vertical="center"/>
    </xf>
    <xf numFmtId="168" fontId="0" fillId="0" borderId="0" xfId="0" applyNumberFormat="1" applyAlignment="1">
      <alignment horizontal="center" vertical="center"/>
    </xf>
    <xf numFmtId="1" fontId="0" fillId="0" borderId="0" xfId="0" applyNumberFormat="1" applyAlignment="1">
      <alignment horizontal="center" vertical="center"/>
    </xf>
    <xf numFmtId="2" fontId="0" fillId="0" borderId="0" xfId="0" applyNumberFormat="1" applyAlignment="1">
      <alignment horizontal="center" vertical="center"/>
    </xf>
    <xf numFmtId="0" fontId="0" fillId="0" borderId="6" xfId="0" applyBorder="1" applyAlignment="1">
      <alignment horizontal="center" vertical="center"/>
    </xf>
    <xf numFmtId="0" fontId="0" fillId="0" borderId="6" xfId="0" applyBorder="1" applyAlignment="1">
      <alignment horizontal="center" vertical="center" wrapText="1"/>
    </xf>
    <xf numFmtId="165" fontId="17" fillId="0" borderId="1" xfId="0" applyNumberFormat="1" applyFont="1" applyBorder="1" applyAlignment="1">
      <alignment horizontal="center" vertical="center"/>
    </xf>
    <xf numFmtId="165" fontId="17" fillId="0" borderId="1" xfId="3" applyNumberFormat="1" applyFont="1" applyBorder="1" applyAlignment="1">
      <alignment horizontal="left" vertical="center"/>
    </xf>
    <xf numFmtId="0" fontId="28" fillId="0" borderId="1" xfId="0" applyFont="1" applyBorder="1" applyAlignment="1" applyProtection="1">
      <alignment horizontal="center" vertical="center" wrapText="1"/>
      <protection locked="0"/>
    </xf>
    <xf numFmtId="0" fontId="28" fillId="2" borderId="1" xfId="0" applyFont="1" applyFill="1" applyBorder="1" applyAlignment="1" applyProtection="1">
      <alignment horizontal="center" vertical="center"/>
      <protection locked="0"/>
    </xf>
    <xf numFmtId="0" fontId="0" fillId="0" borderId="16" xfId="0" applyBorder="1" applyAlignment="1">
      <alignment horizontal="center" vertical="center"/>
    </xf>
    <xf numFmtId="168" fontId="0" fillId="0" borderId="16" xfId="0" applyNumberFormat="1" applyBorder="1" applyAlignment="1">
      <alignment horizontal="center" vertical="center"/>
    </xf>
    <xf numFmtId="1" fontId="0" fillId="0" borderId="16" xfId="0" applyNumberFormat="1" applyBorder="1" applyAlignment="1">
      <alignment horizontal="center" vertical="center"/>
    </xf>
    <xf numFmtId="2" fontId="0" fillId="0" borderId="16" xfId="0" applyNumberFormat="1" applyBorder="1" applyAlignment="1">
      <alignment horizontal="center" vertical="center"/>
    </xf>
    <xf numFmtId="0" fontId="39" fillId="11" borderId="31" xfId="0" applyFont="1" applyFill="1" applyBorder="1" applyAlignment="1">
      <alignment horizontal="center" vertical="center" wrapText="1"/>
    </xf>
    <xf numFmtId="0" fontId="13" fillId="12" borderId="31" xfId="0" applyFont="1" applyFill="1" applyBorder="1" applyAlignment="1">
      <alignment horizontal="center" vertical="center" wrapText="1"/>
    </xf>
    <xf numFmtId="0" fontId="13" fillId="10" borderId="31" xfId="0" applyFont="1" applyFill="1" applyBorder="1" applyAlignment="1">
      <alignment horizontal="center" vertical="center" wrapText="1"/>
    </xf>
    <xf numFmtId="0" fontId="16" fillId="9" borderId="0" xfId="0" applyFont="1" applyFill="1"/>
    <xf numFmtId="2" fontId="48" fillId="9" borderId="1" xfId="0" applyNumberFormat="1" applyFont="1" applyFill="1" applyBorder="1" applyAlignment="1">
      <alignment horizontal="center" vertical="center"/>
    </xf>
    <xf numFmtId="43" fontId="28" fillId="9" borderId="1" xfId="1" applyFont="1" applyFill="1" applyBorder="1" applyAlignment="1" applyProtection="1">
      <alignment horizontal="center" vertical="center"/>
    </xf>
    <xf numFmtId="4" fontId="48" fillId="9" borderId="1" xfId="1" applyNumberFormat="1" applyFont="1" applyFill="1" applyBorder="1" applyAlignment="1" applyProtection="1">
      <alignment horizontal="right" vertical="center"/>
    </xf>
    <xf numFmtId="0" fontId="17" fillId="9" borderId="0" xfId="0" applyFont="1" applyFill="1"/>
    <xf numFmtId="0" fontId="25" fillId="9" borderId="0" xfId="0" applyFont="1" applyFill="1"/>
    <xf numFmtId="0" fontId="27" fillId="9" borderId="0" xfId="0" applyFont="1" applyFill="1"/>
    <xf numFmtId="2" fontId="28" fillId="9" borderId="1" xfId="0" applyNumberFormat="1" applyFont="1" applyFill="1" applyBorder="1" applyAlignment="1">
      <alignment horizontal="center" vertical="center"/>
    </xf>
    <xf numFmtId="0" fontId="53" fillId="0" borderId="1" xfId="0" applyFont="1" applyBorder="1" applyAlignment="1">
      <alignment horizontal="center" vertical="center"/>
    </xf>
    <xf numFmtId="0" fontId="53" fillId="0" borderId="1" xfId="0" applyFont="1" applyBorder="1" applyAlignment="1">
      <alignment horizontal="left" vertical="center"/>
    </xf>
    <xf numFmtId="0" fontId="53" fillId="2" borderId="1" xfId="0" applyFont="1" applyFill="1" applyBorder="1" applyAlignment="1">
      <alignment horizontal="center"/>
    </xf>
    <xf numFmtId="0" fontId="53" fillId="0" borderId="1" xfId="0" applyFont="1" applyBorder="1"/>
    <xf numFmtId="0" fontId="53" fillId="7" borderId="1" xfId="0" applyFont="1" applyFill="1" applyBorder="1" applyAlignment="1">
      <alignment horizontal="center" vertical="center"/>
    </xf>
    <xf numFmtId="0" fontId="53" fillId="7" borderId="1" xfId="0" applyFont="1" applyFill="1" applyBorder="1" applyAlignment="1">
      <alignment horizontal="left" vertical="center"/>
    </xf>
    <xf numFmtId="0" fontId="53" fillId="7" borderId="1" xfId="0" applyFont="1" applyFill="1" applyBorder="1"/>
    <xf numFmtId="169" fontId="0" fillId="0" borderId="0" xfId="0" applyNumberFormat="1" applyAlignment="1">
      <alignment horizontal="center" vertical="center"/>
    </xf>
    <xf numFmtId="169" fontId="0" fillId="0" borderId="16" xfId="0" applyNumberFormat="1" applyBorder="1" applyAlignment="1">
      <alignment horizontal="center" vertical="center"/>
    </xf>
    <xf numFmtId="0" fontId="17" fillId="9" borderId="0" xfId="0" applyFont="1" applyFill="1" applyProtection="1">
      <protection locked="0"/>
    </xf>
    <xf numFmtId="0" fontId="17" fillId="9" borderId="0" xfId="0" applyFont="1" applyFill="1" applyAlignment="1" applyProtection="1">
      <alignment vertical="center"/>
      <protection locked="0"/>
    </xf>
    <xf numFmtId="0" fontId="17" fillId="0" borderId="0" xfId="0" applyFont="1" applyProtection="1">
      <protection locked="0"/>
    </xf>
    <xf numFmtId="0" fontId="16" fillId="0" borderId="0" xfId="0" applyFont="1" applyProtection="1">
      <protection locked="0"/>
    </xf>
    <xf numFmtId="0" fontId="25" fillId="9" borderId="0" xfId="0" applyFont="1" applyFill="1" applyAlignment="1" applyProtection="1">
      <alignment vertical="center"/>
      <protection locked="0"/>
    </xf>
    <xf numFmtId="0" fontId="28" fillId="0" borderId="0" xfId="0" applyFont="1" applyProtection="1">
      <protection locked="0"/>
    </xf>
    <xf numFmtId="0" fontId="16" fillId="0" borderId="0" xfId="0" applyFont="1" applyAlignment="1" applyProtection="1">
      <alignment horizontal="center" vertical="center"/>
      <protection locked="0"/>
    </xf>
    <xf numFmtId="0" fontId="28" fillId="9" borderId="1" xfId="0" applyFont="1" applyFill="1" applyBorder="1" applyAlignment="1">
      <alignment horizontal="center" vertical="center"/>
    </xf>
    <xf numFmtId="0" fontId="37" fillId="0" borderId="0" xfId="0" applyFont="1" applyAlignment="1">
      <alignment horizontal="center" vertical="center"/>
    </xf>
    <xf numFmtId="2" fontId="37" fillId="0" borderId="0" xfId="0" applyNumberFormat="1" applyFont="1" applyAlignment="1">
      <alignment horizontal="center" vertical="center"/>
    </xf>
    <xf numFmtId="0" fontId="50" fillId="0" borderId="0" xfId="0" applyFont="1" applyProtection="1">
      <protection locked="0"/>
    </xf>
    <xf numFmtId="2" fontId="28" fillId="0" borderId="0" xfId="0" applyNumberFormat="1" applyFont="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16" fillId="0" borderId="1" xfId="0" applyFont="1" applyBorder="1" applyAlignment="1" applyProtection="1">
      <alignment horizontal="left" vertical="center" wrapText="1"/>
      <protection locked="0"/>
    </xf>
    <xf numFmtId="0" fontId="16" fillId="0" borderId="1" xfId="0" applyFont="1" applyBorder="1" applyAlignment="1" applyProtection="1">
      <alignment horizontal="left" vertical="center"/>
      <protection locked="0"/>
    </xf>
    <xf numFmtId="0" fontId="2" fillId="14" borderId="0" xfId="3" applyFill="1"/>
    <xf numFmtId="0" fontId="2" fillId="2" borderId="0" xfId="3" applyFill="1"/>
    <xf numFmtId="0" fontId="2" fillId="2" borderId="0" xfId="3" applyFill="1" applyAlignment="1">
      <alignment horizontal="left"/>
    </xf>
    <xf numFmtId="0" fontId="2" fillId="2" borderId="71" xfId="3" applyFill="1" applyBorder="1"/>
    <xf numFmtId="0" fontId="54" fillId="14" borderId="0" xfId="3" applyFont="1" applyFill="1" applyAlignment="1">
      <alignment vertical="center" wrapText="1"/>
    </xf>
    <xf numFmtId="0" fontId="56" fillId="2" borderId="0" xfId="3" applyFont="1" applyFill="1"/>
    <xf numFmtId="0" fontId="57" fillId="14" borderId="0" xfId="3" applyFont="1" applyFill="1"/>
    <xf numFmtId="0" fontId="56" fillId="14" borderId="0" xfId="3" applyFont="1" applyFill="1"/>
    <xf numFmtId="0" fontId="56" fillId="14" borderId="0" xfId="3" applyFont="1" applyFill="1" applyAlignment="1">
      <alignment horizontal="left"/>
    </xf>
    <xf numFmtId="0" fontId="58" fillId="14" borderId="0" xfId="3" applyFont="1" applyFill="1"/>
    <xf numFmtId="0" fontId="56" fillId="2" borderId="71" xfId="3" applyFont="1" applyFill="1" applyBorder="1"/>
    <xf numFmtId="0" fontId="60" fillId="14" borderId="0" xfId="3" applyFont="1" applyFill="1"/>
    <xf numFmtId="0" fontId="56" fillId="14" borderId="2" xfId="3" applyFont="1" applyFill="1" applyBorder="1"/>
    <xf numFmtId="0" fontId="56" fillId="14" borderId="4" xfId="3" applyFont="1" applyFill="1" applyBorder="1"/>
    <xf numFmtId="1" fontId="56" fillId="14" borderId="0" xfId="3" applyNumberFormat="1" applyFont="1" applyFill="1"/>
    <xf numFmtId="0" fontId="1" fillId="2" borderId="10" xfId="3" applyFont="1" applyFill="1" applyBorder="1" applyAlignment="1">
      <alignment horizontal="center" vertical="center"/>
    </xf>
    <xf numFmtId="0" fontId="61" fillId="14" borderId="2" xfId="3" applyFont="1" applyFill="1" applyBorder="1"/>
    <xf numFmtId="0" fontId="56" fillId="14" borderId="3" xfId="3" applyFont="1" applyFill="1" applyBorder="1"/>
    <xf numFmtId="0" fontId="56" fillId="14" borderId="6" xfId="3" applyFont="1" applyFill="1" applyBorder="1"/>
    <xf numFmtId="0" fontId="56" fillId="14" borderId="71" xfId="3" applyFont="1" applyFill="1" applyBorder="1"/>
    <xf numFmtId="0" fontId="56" fillId="14" borderId="1" xfId="3" applyFont="1" applyFill="1" applyBorder="1"/>
    <xf numFmtId="49" fontId="56" fillId="14" borderId="1" xfId="3" applyNumberFormat="1" applyFont="1" applyFill="1" applyBorder="1"/>
    <xf numFmtId="0" fontId="62" fillId="14" borderId="1" xfId="3" applyFont="1" applyFill="1" applyBorder="1"/>
    <xf numFmtId="0" fontId="67" fillId="16" borderId="28" xfId="3" applyFont="1" applyFill="1" applyBorder="1" applyAlignment="1">
      <alignment horizontal="center" vertical="center"/>
    </xf>
    <xf numFmtId="0" fontId="56" fillId="0" borderId="0" xfId="3" applyFont="1"/>
    <xf numFmtId="0" fontId="62" fillId="14" borderId="0" xfId="3" applyFont="1" applyFill="1"/>
    <xf numFmtId="0" fontId="63" fillId="14" borderId="0" xfId="3" applyFont="1" applyFill="1" applyAlignment="1">
      <alignment vertical="center" wrapText="1"/>
    </xf>
    <xf numFmtId="0" fontId="56" fillId="14" borderId="0" xfId="3" applyFont="1" applyFill="1" applyAlignment="1">
      <alignment vertical="center"/>
    </xf>
    <xf numFmtId="0" fontId="56" fillId="2" borderId="0" xfId="3" applyFont="1" applyFill="1" applyAlignment="1">
      <alignment vertical="center" wrapText="1"/>
    </xf>
    <xf numFmtId="0" fontId="61" fillId="14" borderId="1" xfId="3" applyFont="1" applyFill="1" applyBorder="1"/>
    <xf numFmtId="0" fontId="56" fillId="0" borderId="3" xfId="3" applyFont="1" applyBorder="1"/>
    <xf numFmtId="0" fontId="56" fillId="2" borderId="3" xfId="3" applyFont="1" applyFill="1" applyBorder="1"/>
    <xf numFmtId="0" fontId="56" fillId="2" borderId="4" xfId="3" applyFont="1" applyFill="1" applyBorder="1"/>
    <xf numFmtId="0" fontId="56" fillId="0" borderId="1" xfId="3" applyFont="1" applyBorder="1"/>
    <xf numFmtId="0" fontId="56" fillId="2" borderId="1" xfId="3" applyFont="1" applyFill="1" applyBorder="1"/>
    <xf numFmtId="0" fontId="56" fillId="14" borderId="7" xfId="3" applyFont="1" applyFill="1" applyBorder="1"/>
    <xf numFmtId="0" fontId="56" fillId="14" borderId="5" xfId="3" applyFont="1" applyFill="1" applyBorder="1"/>
    <xf numFmtId="0" fontId="56" fillId="0" borderId="5" xfId="3" applyFont="1" applyBorder="1"/>
    <xf numFmtId="0" fontId="56" fillId="2" borderId="5" xfId="3" applyFont="1" applyFill="1" applyBorder="1"/>
    <xf numFmtId="0" fontId="56" fillId="14" borderId="67" xfId="3" applyFont="1" applyFill="1" applyBorder="1"/>
    <xf numFmtId="0" fontId="61" fillId="14" borderId="8" xfId="3" applyFont="1" applyFill="1" applyBorder="1"/>
    <xf numFmtId="0" fontId="61" fillId="14" borderId="3" xfId="3" applyFont="1" applyFill="1" applyBorder="1"/>
    <xf numFmtId="0" fontId="56" fillId="14" borderId="9" xfId="3" applyFont="1" applyFill="1" applyBorder="1"/>
    <xf numFmtId="0" fontId="56" fillId="17" borderId="1" xfId="3" applyFont="1" applyFill="1" applyBorder="1"/>
    <xf numFmtId="0" fontId="61" fillId="14" borderId="0" xfId="3" applyFont="1" applyFill="1"/>
    <xf numFmtId="0" fontId="2" fillId="14" borderId="0" xfId="3" applyFill="1" applyAlignment="1">
      <alignment horizontal="left"/>
    </xf>
    <xf numFmtId="0" fontId="2" fillId="14" borderId="0" xfId="3" applyFill="1" applyAlignment="1">
      <alignment vertical="center"/>
    </xf>
    <xf numFmtId="0" fontId="2" fillId="14" borderId="71" xfId="3" applyFill="1" applyBorder="1"/>
    <xf numFmtId="0" fontId="64" fillId="14" borderId="2" xfId="3" applyFont="1" applyFill="1" applyBorder="1"/>
    <xf numFmtId="0" fontId="2" fillId="14" borderId="3" xfId="3" applyFill="1" applyBorder="1"/>
    <xf numFmtId="0" fontId="2" fillId="14" borderId="4" xfId="3" applyFill="1" applyBorder="1"/>
    <xf numFmtId="0" fontId="1" fillId="14" borderId="0" xfId="3" applyFont="1" applyFill="1" applyAlignment="1">
      <alignment vertical="center"/>
    </xf>
    <xf numFmtId="0" fontId="1" fillId="14" borderId="1" xfId="3" applyFont="1" applyFill="1" applyBorder="1"/>
    <xf numFmtId="0" fontId="2" fillId="14" borderId="1" xfId="3" applyFill="1" applyBorder="1"/>
    <xf numFmtId="0" fontId="2" fillId="14" borderId="5" xfId="3" applyFill="1" applyBorder="1"/>
    <xf numFmtId="0" fontId="1" fillId="14" borderId="5" xfId="3" applyFont="1" applyFill="1" applyBorder="1"/>
    <xf numFmtId="0" fontId="2" fillId="14" borderId="3" xfId="3" applyFill="1" applyBorder="1" applyAlignment="1">
      <alignment vertical="center"/>
    </xf>
    <xf numFmtId="0" fontId="1" fillId="14" borderId="72" xfId="3" applyFont="1" applyFill="1" applyBorder="1"/>
    <xf numFmtId="0" fontId="2" fillId="14" borderId="72" xfId="3" applyFill="1" applyBorder="1"/>
    <xf numFmtId="0" fontId="2" fillId="14" borderId="1" xfId="3" applyFill="1" applyBorder="1" applyAlignment="1">
      <alignment vertical="center"/>
    </xf>
    <xf numFmtId="0" fontId="2" fillId="14" borderId="2" xfId="3" applyFill="1" applyBorder="1"/>
    <xf numFmtId="0" fontId="2" fillId="17" borderId="0" xfId="3" applyFill="1"/>
    <xf numFmtId="0" fontId="65" fillId="15" borderId="1" xfId="12" applyFont="1" applyFill="1" applyBorder="1" applyAlignment="1">
      <alignment horizontal="center"/>
    </xf>
    <xf numFmtId="0" fontId="66" fillId="15" borderId="1" xfId="12" applyFont="1" applyFill="1" applyBorder="1" applyAlignment="1">
      <alignment horizontal="center"/>
    </xf>
    <xf numFmtId="0" fontId="66" fillId="15" borderId="2" xfId="12" applyFont="1" applyFill="1" applyBorder="1" applyAlignment="1">
      <alignment horizontal="center"/>
    </xf>
    <xf numFmtId="0" fontId="66" fillId="15" borderId="7" xfId="12" applyFont="1" applyFill="1" applyBorder="1" applyAlignment="1">
      <alignment horizontal="center"/>
    </xf>
    <xf numFmtId="0" fontId="1" fillId="15" borderId="10" xfId="3" applyFont="1" applyFill="1" applyBorder="1" applyAlignment="1" applyProtection="1">
      <alignment horizontal="center" vertical="center"/>
      <protection locked="0"/>
    </xf>
    <xf numFmtId="0" fontId="1" fillId="15" borderId="12" xfId="3" applyFont="1" applyFill="1" applyBorder="1" applyAlignment="1" applyProtection="1">
      <alignment horizontal="center" vertical="center"/>
      <protection locked="0"/>
    </xf>
    <xf numFmtId="0" fontId="1" fillId="15" borderId="11" xfId="3" applyFont="1" applyFill="1" applyBorder="1" applyAlignment="1" applyProtection="1">
      <alignment horizontal="center" vertical="center"/>
      <protection locked="0"/>
    </xf>
    <xf numFmtId="167" fontId="49" fillId="9" borderId="57" xfId="1" applyNumberFormat="1" applyFont="1" applyFill="1" applyBorder="1" applyAlignment="1" applyProtection="1">
      <alignment horizontal="center" vertical="center"/>
    </xf>
    <xf numFmtId="43" fontId="49" fillId="9" borderId="15" xfId="1" applyFont="1" applyFill="1" applyBorder="1" applyAlignment="1" applyProtection="1">
      <alignment horizontal="center" vertical="center"/>
    </xf>
    <xf numFmtId="43" fontId="48" fillId="9" borderId="1" xfId="1" applyFont="1" applyFill="1" applyBorder="1" applyAlignment="1" applyProtection="1">
      <alignment horizontal="center" vertical="center"/>
    </xf>
    <xf numFmtId="0" fontId="68" fillId="3" borderId="5" xfId="0" applyFont="1" applyFill="1" applyBorder="1" applyAlignment="1">
      <alignment horizontal="center" vertical="center"/>
    </xf>
    <xf numFmtId="0" fontId="0" fillId="0" borderId="0" xfId="0" applyAlignment="1">
      <alignment horizontal="center"/>
    </xf>
    <xf numFmtId="170" fontId="0" fillId="0" borderId="0" xfId="0" applyNumberFormat="1" applyAlignment="1">
      <alignment horizontal="center" vertical="center"/>
    </xf>
    <xf numFmtId="1" fontId="0" fillId="0" borderId="0" xfId="0" applyNumberFormat="1"/>
    <xf numFmtId="0" fontId="0" fillId="0" borderId="7" xfId="0" applyBorder="1" applyAlignment="1">
      <alignment horizontal="center" wrapText="1"/>
    </xf>
    <xf numFmtId="0" fontId="17" fillId="0" borderId="0" xfId="0" applyFont="1" applyAlignment="1">
      <alignment horizontal="center" vertical="center"/>
    </xf>
    <xf numFmtId="1" fontId="25" fillId="0" borderId="1" xfId="0" applyNumberFormat="1" applyFont="1" applyBorder="1" applyAlignment="1">
      <alignment horizontal="center" vertical="center" wrapText="1"/>
    </xf>
    <xf numFmtId="0" fontId="17" fillId="4" borderId="1" xfId="8" applyFont="1" applyFill="1" applyBorder="1" applyAlignment="1">
      <alignment horizontal="center" vertical="center"/>
    </xf>
    <xf numFmtId="0" fontId="17" fillId="4" borderId="1" xfId="7" applyFont="1" applyFill="1" applyBorder="1" applyAlignment="1">
      <alignment horizontal="center" vertical="center" shrinkToFit="1"/>
    </xf>
    <xf numFmtId="0" fontId="17" fillId="4" borderId="1" xfId="7" applyFont="1" applyFill="1" applyBorder="1" applyAlignment="1">
      <alignment horizontal="center" vertical="center"/>
    </xf>
    <xf numFmtId="0" fontId="17" fillId="4" borderId="1" xfId="6" applyFont="1" applyFill="1" applyBorder="1" applyAlignment="1">
      <alignment horizontal="center" vertical="center"/>
    </xf>
    <xf numFmtId="0" fontId="17" fillId="4" borderId="1" xfId="9" applyFont="1" applyFill="1" applyBorder="1" applyAlignment="1">
      <alignment horizontal="center" vertical="center"/>
    </xf>
    <xf numFmtId="0" fontId="17" fillId="4" borderId="1" xfId="6" applyFont="1" applyFill="1" applyBorder="1" applyAlignment="1">
      <alignment horizontal="center" vertical="center" shrinkToFit="1"/>
    </xf>
    <xf numFmtId="0" fontId="25" fillId="4" borderId="1" xfId="6" applyFont="1" applyFill="1" applyBorder="1" applyAlignment="1">
      <alignment horizontal="center" vertical="center"/>
    </xf>
    <xf numFmtId="1" fontId="17" fillId="4" borderId="1" xfId="6" applyNumberFormat="1" applyFont="1" applyFill="1" applyBorder="1" applyAlignment="1">
      <alignment horizontal="center" vertical="center"/>
    </xf>
    <xf numFmtId="0" fontId="17" fillId="4" borderId="2" xfId="6" applyFont="1" applyFill="1" applyBorder="1" applyAlignment="1">
      <alignment horizontal="center" vertical="center"/>
    </xf>
    <xf numFmtId="0" fontId="17" fillId="0" borderId="0" xfId="6" applyFont="1" applyAlignment="1">
      <alignment horizontal="center" vertical="center"/>
    </xf>
    <xf numFmtId="0" fontId="17" fillId="15" borderId="1" xfId="6" applyFont="1" applyFill="1" applyBorder="1" applyAlignment="1" applyProtection="1">
      <alignment horizontal="center" vertical="center"/>
      <protection locked="0"/>
    </xf>
    <xf numFmtId="0" fontId="17" fillId="4" borderId="4" xfId="6" applyFont="1" applyFill="1" applyBorder="1" applyAlignment="1" applyProtection="1">
      <alignment horizontal="center" vertical="center"/>
      <protection locked="0"/>
    </xf>
    <xf numFmtId="0" fontId="17" fillId="15" borderId="5" xfId="6" applyFont="1" applyFill="1" applyBorder="1" applyAlignment="1" applyProtection="1">
      <alignment horizontal="center" vertical="center"/>
      <protection locked="0"/>
    </xf>
    <xf numFmtId="0" fontId="17" fillId="4" borderId="67" xfId="6" applyFont="1" applyFill="1" applyBorder="1" applyAlignment="1" applyProtection="1">
      <alignment horizontal="center" vertical="center"/>
      <protection locked="0"/>
    </xf>
    <xf numFmtId="0" fontId="12" fillId="6" borderId="1" xfId="0" applyFont="1" applyFill="1" applyBorder="1" applyAlignment="1">
      <alignment horizontal="center" vertical="center"/>
    </xf>
    <xf numFmtId="0" fontId="12" fillId="6" borderId="10" xfId="0" applyFont="1" applyFill="1" applyBorder="1" applyAlignment="1">
      <alignment horizontal="center" vertical="center"/>
    </xf>
    <xf numFmtId="2" fontId="12" fillId="6" borderId="24" xfId="0" applyNumberFormat="1" applyFont="1" applyFill="1" applyBorder="1" applyAlignment="1">
      <alignment horizontal="center" vertical="center"/>
    </xf>
    <xf numFmtId="0" fontId="0" fillId="2" borderId="13" xfId="0" applyFill="1" applyBorder="1"/>
    <xf numFmtId="0" fontId="15" fillId="2" borderId="62" xfId="0" applyFont="1" applyFill="1" applyBorder="1" applyAlignment="1">
      <alignment horizontal="right"/>
    </xf>
    <xf numFmtId="0" fontId="15" fillId="2" borderId="68" xfId="0" applyFont="1" applyFill="1" applyBorder="1" applyAlignment="1">
      <alignment horizontal="right" vertical="center"/>
    </xf>
    <xf numFmtId="0" fontId="0" fillId="2" borderId="60" xfId="0" applyFill="1" applyBorder="1" applyAlignment="1">
      <alignment horizontal="left" vertical="center" wrapText="1"/>
    </xf>
    <xf numFmtId="0" fontId="31" fillId="9" borderId="0" xfId="0" applyFont="1" applyFill="1"/>
    <xf numFmtId="0" fontId="72" fillId="9" borderId="0" xfId="0" applyFont="1" applyFill="1" applyAlignment="1">
      <alignment vertical="top"/>
    </xf>
    <xf numFmtId="0" fontId="72" fillId="9" borderId="0" xfId="0" applyFont="1" applyFill="1" applyAlignment="1">
      <alignment horizontal="left" vertical="top"/>
    </xf>
    <xf numFmtId="0" fontId="17" fillId="2" borderId="0" xfId="0" applyFont="1" applyFill="1" applyAlignment="1">
      <alignment vertical="center"/>
    </xf>
    <xf numFmtId="0" fontId="39" fillId="2" borderId="0" xfId="0" applyFont="1" applyFill="1"/>
    <xf numFmtId="0" fontId="17" fillId="15" borderId="18" xfId="0" applyFont="1" applyFill="1" applyBorder="1" applyAlignment="1">
      <alignment horizontal="center" vertical="center"/>
    </xf>
    <xf numFmtId="0" fontId="17" fillId="9" borderId="0" xfId="0" applyFont="1" applyFill="1" applyAlignment="1">
      <alignment vertical="center"/>
    </xf>
    <xf numFmtId="0" fontId="17" fillId="15" borderId="27" xfId="0" applyFont="1" applyFill="1" applyBorder="1" applyAlignment="1">
      <alignment horizontal="center" vertical="center"/>
    </xf>
    <xf numFmtId="0" fontId="0" fillId="9" borderId="0" xfId="0" applyFill="1"/>
    <xf numFmtId="0" fontId="15" fillId="0" borderId="7" xfId="0" applyFont="1" applyBorder="1" applyAlignment="1">
      <alignment horizontal="center" textRotation="90"/>
    </xf>
    <xf numFmtId="0" fontId="15" fillId="0" borderId="12" xfId="0" applyFont="1" applyBorder="1" applyAlignment="1">
      <alignment horizontal="center" textRotation="90"/>
    </xf>
    <xf numFmtId="0" fontId="15" fillId="2" borderId="53" xfId="0" applyFont="1" applyFill="1" applyBorder="1" applyAlignment="1">
      <alignment horizontal="right" vertical="center"/>
    </xf>
    <xf numFmtId="164" fontId="0" fillId="2" borderId="10" xfId="0" applyNumberFormat="1" applyFill="1" applyBorder="1" applyAlignment="1">
      <alignment horizontal="center" vertical="center"/>
    </xf>
    <xf numFmtId="0" fontId="15" fillId="2" borderId="31" xfId="0" applyFont="1" applyFill="1" applyBorder="1" applyAlignment="1">
      <alignment horizontal="right" vertical="center"/>
    </xf>
    <xf numFmtId="0" fontId="15" fillId="2" borderId="60" xfId="0" applyFont="1" applyFill="1" applyBorder="1" applyAlignment="1">
      <alignment horizontal="right" vertical="center"/>
    </xf>
    <xf numFmtId="0" fontId="15" fillId="2" borderId="19" xfId="0" applyFont="1" applyFill="1" applyBorder="1" applyAlignment="1">
      <alignment horizontal="right"/>
    </xf>
    <xf numFmtId="0" fontId="15" fillId="2" borderId="66" xfId="0" applyFont="1" applyFill="1" applyBorder="1" applyAlignment="1">
      <alignment horizontal="right" vertical="center"/>
    </xf>
    <xf numFmtId="0" fontId="16" fillId="2" borderId="22" xfId="0" applyFont="1" applyFill="1" applyBorder="1"/>
    <xf numFmtId="0" fontId="16" fillId="2" borderId="26" xfId="0" applyFont="1" applyFill="1" applyBorder="1"/>
    <xf numFmtId="0" fontId="16" fillId="2" borderId="23" xfId="0" applyFont="1" applyFill="1" applyBorder="1"/>
    <xf numFmtId="0" fontId="16" fillId="2" borderId="13" xfId="0" applyFont="1" applyFill="1" applyBorder="1"/>
    <xf numFmtId="0" fontId="16" fillId="2" borderId="14" xfId="0" applyFont="1" applyFill="1" applyBorder="1"/>
    <xf numFmtId="0" fontId="0" fillId="2" borderId="0" xfId="0" applyFill="1" applyAlignment="1">
      <alignment horizontal="center" vertical="center"/>
    </xf>
    <xf numFmtId="0" fontId="25" fillId="0" borderId="2" xfId="0" applyFont="1" applyBorder="1" applyAlignment="1">
      <alignment horizontal="center" vertical="center" wrapText="1"/>
    </xf>
    <xf numFmtId="0" fontId="25" fillId="0" borderId="4" xfId="0" applyFont="1" applyBorder="1" applyAlignment="1">
      <alignment horizontal="center" vertical="center" wrapText="1"/>
    </xf>
    <xf numFmtId="0" fontId="27" fillId="20" borderId="31" xfId="0" applyFont="1" applyFill="1" applyBorder="1" applyAlignment="1" applyProtection="1">
      <alignment horizontal="center" vertical="center" wrapText="1"/>
      <protection locked="0"/>
    </xf>
    <xf numFmtId="0" fontId="27" fillId="20" borderId="18" xfId="0" applyFont="1" applyFill="1" applyBorder="1" applyAlignment="1" applyProtection="1">
      <alignment horizontal="center" vertical="center" wrapText="1"/>
      <protection locked="0"/>
    </xf>
    <xf numFmtId="0" fontId="27" fillId="20" borderId="2" xfId="0" applyFont="1" applyFill="1" applyBorder="1" applyAlignment="1" applyProtection="1">
      <alignment horizontal="center" vertical="center" wrapText="1"/>
      <protection locked="0"/>
    </xf>
    <xf numFmtId="0" fontId="27" fillId="20" borderId="32" xfId="0" applyFont="1" applyFill="1" applyBorder="1" applyAlignment="1" applyProtection="1">
      <alignment horizontal="center" vertical="center" wrapText="1"/>
      <protection locked="0"/>
    </xf>
    <xf numFmtId="0" fontId="27" fillId="20" borderId="35" xfId="0" applyFont="1" applyFill="1" applyBorder="1" applyAlignment="1" applyProtection="1">
      <alignment horizontal="center" vertical="center" wrapText="1"/>
      <protection locked="0"/>
    </xf>
    <xf numFmtId="0" fontId="27" fillId="20" borderId="36" xfId="0" applyFont="1" applyFill="1" applyBorder="1" applyAlignment="1" applyProtection="1">
      <alignment horizontal="center" vertical="center" wrapText="1"/>
      <protection locked="0"/>
    </xf>
    <xf numFmtId="0" fontId="27" fillId="20" borderId="28" xfId="0" applyFont="1" applyFill="1" applyBorder="1" applyAlignment="1" applyProtection="1">
      <alignment horizontal="center" vertical="center" wrapText="1"/>
      <protection locked="0"/>
    </xf>
    <xf numFmtId="0" fontId="27" fillId="20" borderId="24" xfId="0" applyFont="1" applyFill="1" applyBorder="1" applyAlignment="1" applyProtection="1">
      <alignment horizontal="center" vertical="center" wrapText="1"/>
      <protection locked="0"/>
    </xf>
    <xf numFmtId="0" fontId="27" fillId="20" borderId="25" xfId="0" applyFont="1" applyFill="1" applyBorder="1" applyAlignment="1" applyProtection="1">
      <alignment horizontal="center" vertical="center" wrapText="1"/>
      <protection locked="0"/>
    </xf>
    <xf numFmtId="0" fontId="27" fillId="20" borderId="47" xfId="0" applyFont="1" applyFill="1" applyBorder="1" applyAlignment="1" applyProtection="1">
      <alignment horizontal="center" vertical="center" wrapText="1"/>
      <protection locked="0"/>
    </xf>
    <xf numFmtId="0" fontId="28" fillId="0" borderId="1" xfId="0" applyFont="1" applyBorder="1" applyAlignment="1">
      <alignment horizontal="left" vertical="center"/>
    </xf>
    <xf numFmtId="0" fontId="17" fillId="0" borderId="0" xfId="0" applyFont="1"/>
    <xf numFmtId="2" fontId="28" fillId="0" borderId="1" xfId="0" applyNumberFormat="1" applyFont="1" applyBorder="1" applyAlignment="1">
      <alignment horizontal="center" vertical="center"/>
    </xf>
    <xf numFmtId="2" fontId="28" fillId="0" borderId="0" xfId="0" applyNumberFormat="1" applyFont="1" applyAlignment="1">
      <alignment horizontal="center" vertical="center"/>
    </xf>
    <xf numFmtId="1" fontId="28" fillId="0" borderId="1" xfId="0" applyNumberFormat="1" applyFont="1" applyBorder="1" applyAlignment="1">
      <alignment horizontal="center" vertical="center"/>
    </xf>
    <xf numFmtId="165" fontId="28" fillId="0" borderId="1" xfId="0" applyNumberFormat="1" applyFont="1" applyBorder="1" applyAlignment="1">
      <alignment horizontal="center" vertical="center"/>
    </xf>
    <xf numFmtId="165" fontId="28" fillId="0" borderId="1" xfId="0" applyNumberFormat="1" applyFont="1" applyBorder="1" applyAlignment="1">
      <alignment horizontal="center"/>
    </xf>
    <xf numFmtId="0" fontId="28" fillId="0" borderId="1" xfId="0" applyFont="1" applyBorder="1" applyAlignment="1">
      <alignment horizontal="center" vertical="center"/>
    </xf>
    <xf numFmtId="0" fontId="50" fillId="0" borderId="0" xfId="0" applyFont="1"/>
    <xf numFmtId="2" fontId="37" fillId="0" borderId="0" xfId="1" applyNumberFormat="1" applyFont="1" applyFill="1" applyBorder="1" applyAlignment="1" applyProtection="1">
      <alignment horizontal="center" vertical="center"/>
    </xf>
    <xf numFmtId="1" fontId="37" fillId="0" borderId="0" xfId="1" applyNumberFormat="1" applyFont="1" applyFill="1" applyBorder="1" applyAlignment="1" applyProtection="1">
      <alignment horizontal="center" vertical="center"/>
    </xf>
    <xf numFmtId="165" fontId="37" fillId="0" borderId="0" xfId="1" applyNumberFormat="1" applyFont="1" applyFill="1" applyBorder="1" applyAlignment="1" applyProtection="1">
      <alignment horizontal="center" vertical="center"/>
    </xf>
    <xf numFmtId="0" fontId="77" fillId="3" borderId="0" xfId="0" applyFont="1" applyFill="1"/>
    <xf numFmtId="0" fontId="16" fillId="3" borderId="0" xfId="0" applyFont="1" applyFill="1" applyAlignment="1">
      <alignment horizontal="center" vertical="center"/>
    </xf>
    <xf numFmtId="0" fontId="16" fillId="3" borderId="0" xfId="0" applyFont="1" applyFill="1"/>
    <xf numFmtId="0" fontId="77" fillId="3" borderId="0" xfId="0" applyFont="1" applyFill="1" applyAlignment="1">
      <alignment vertical="center"/>
    </xf>
    <xf numFmtId="0" fontId="79" fillId="3" borderId="0" xfId="0" applyFont="1" applyFill="1"/>
    <xf numFmtId="0" fontId="79" fillId="3" borderId="0" xfId="0" applyFont="1" applyFill="1" applyAlignment="1">
      <alignment horizontal="right" vertical="center"/>
    </xf>
    <xf numFmtId="0" fontId="36" fillId="3" borderId="0" xfId="0" applyFont="1" applyFill="1"/>
    <xf numFmtId="0" fontId="27" fillId="3" borderId="0" xfId="0" applyFont="1" applyFill="1"/>
    <xf numFmtId="0" fontId="27" fillId="3" borderId="0" xfId="0" applyFont="1" applyFill="1" applyAlignment="1">
      <alignment horizontal="center" vertical="center"/>
    </xf>
    <xf numFmtId="165" fontId="28" fillId="15" borderId="1" xfId="1" applyNumberFormat="1" applyFont="1" applyFill="1" applyBorder="1" applyAlignment="1" applyProtection="1">
      <alignment horizontal="right" vertical="center"/>
    </xf>
    <xf numFmtId="2" fontId="28" fillId="15" borderId="1" xfId="0" applyNumberFormat="1" applyFont="1" applyFill="1" applyBorder="1" applyAlignment="1">
      <alignment horizontal="center" vertical="center"/>
    </xf>
    <xf numFmtId="1" fontId="28" fillId="15" borderId="1" xfId="0" applyNumberFormat="1" applyFont="1" applyFill="1" applyBorder="1" applyAlignment="1">
      <alignment horizontal="center" vertical="center"/>
    </xf>
    <xf numFmtId="0" fontId="28" fillId="15" borderId="1" xfId="0" applyFont="1" applyFill="1" applyBorder="1" applyAlignment="1">
      <alignment horizontal="center" vertical="center"/>
    </xf>
    <xf numFmtId="0" fontId="0" fillId="22" borderId="22" xfId="0" applyFill="1" applyBorder="1"/>
    <xf numFmtId="0" fontId="0" fillId="22" borderId="26" xfId="0" applyFill="1" applyBorder="1"/>
    <xf numFmtId="0" fontId="0" fillId="22" borderId="23" xfId="0" applyFill="1" applyBorder="1"/>
    <xf numFmtId="0" fontId="0" fillId="21" borderId="26" xfId="0" applyFill="1" applyBorder="1"/>
    <xf numFmtId="0" fontId="0" fillId="21" borderId="23" xfId="0" applyFill="1" applyBorder="1"/>
    <xf numFmtId="0" fontId="0" fillId="22" borderId="13" xfId="0" applyFill="1" applyBorder="1"/>
    <xf numFmtId="0" fontId="0" fillId="22" borderId="0" xfId="0" applyFill="1"/>
    <xf numFmtId="0" fontId="0" fillId="22" borderId="14" xfId="0" applyFill="1" applyBorder="1"/>
    <xf numFmtId="0" fontId="0" fillId="22" borderId="15" xfId="0" applyFill="1" applyBorder="1"/>
    <xf numFmtId="0" fontId="0" fillId="22" borderId="16" xfId="0" applyFill="1" applyBorder="1"/>
    <xf numFmtId="0" fontId="0" fillId="22" borderId="17" xfId="0" applyFill="1" applyBorder="1"/>
    <xf numFmtId="0" fontId="2" fillId="22" borderId="22" xfId="3" applyFill="1" applyBorder="1"/>
    <xf numFmtId="0" fontId="56" fillId="22" borderId="23" xfId="3" applyFont="1" applyFill="1" applyBorder="1"/>
    <xf numFmtId="0" fontId="2" fillId="22" borderId="13" xfId="3" applyFill="1" applyBorder="1"/>
    <xf numFmtId="0" fontId="56" fillId="22" borderId="14" xfId="3" applyFont="1" applyFill="1" applyBorder="1"/>
    <xf numFmtId="0" fontId="56" fillId="22" borderId="13" xfId="3" applyFont="1" applyFill="1" applyBorder="1"/>
    <xf numFmtId="0" fontId="59" fillId="22" borderId="0" xfId="3" applyFont="1" applyFill="1"/>
    <xf numFmtId="0" fontId="56" fillId="22" borderId="17" xfId="3" applyFont="1" applyFill="1" applyBorder="1"/>
    <xf numFmtId="0" fontId="1" fillId="22" borderId="0" xfId="3" applyFont="1" applyFill="1"/>
    <xf numFmtId="0" fontId="56" fillId="22" borderId="15" xfId="3" applyFont="1" applyFill="1" applyBorder="1"/>
    <xf numFmtId="0" fontId="56" fillId="22" borderId="16" xfId="3" applyFont="1" applyFill="1" applyBorder="1"/>
    <xf numFmtId="0" fontId="71" fillId="3" borderId="0" xfId="5" applyFont="1" applyFill="1" applyAlignment="1">
      <alignment vertical="center"/>
    </xf>
    <xf numFmtId="0" fontId="71" fillId="3" borderId="0" xfId="5" applyFont="1" applyFill="1" applyAlignment="1">
      <alignment horizontal="center" vertical="center" wrapText="1"/>
    </xf>
    <xf numFmtId="0" fontId="0" fillId="3" borderId="0" xfId="5" applyFont="1" applyFill="1"/>
    <xf numFmtId="0" fontId="72" fillId="2" borderId="0" xfId="0" applyFont="1" applyFill="1" applyAlignment="1">
      <alignment horizontal="left" vertical="top"/>
    </xf>
    <xf numFmtId="0" fontId="72" fillId="2" borderId="14" xfId="0" applyFont="1" applyFill="1" applyBorder="1" applyAlignment="1">
      <alignment horizontal="left" vertical="top"/>
    </xf>
    <xf numFmtId="0" fontId="17" fillId="2" borderId="14" xfId="0" applyFont="1" applyFill="1" applyBorder="1" applyAlignment="1">
      <alignment vertical="center"/>
    </xf>
    <xf numFmtId="0" fontId="17" fillId="2" borderId="0" xfId="0" applyFont="1" applyFill="1"/>
    <xf numFmtId="0" fontId="25" fillId="2" borderId="0" xfId="0" applyFont="1" applyFill="1"/>
    <xf numFmtId="0" fontId="17" fillId="2" borderId="0" xfId="0" applyFont="1" applyFill="1" applyAlignment="1">
      <alignment horizontal="center" vertical="center"/>
    </xf>
    <xf numFmtId="1" fontId="17" fillId="2" borderId="0" xfId="0" applyNumberFormat="1" applyFont="1" applyFill="1" applyAlignment="1">
      <alignment horizontal="center" vertical="center"/>
    </xf>
    <xf numFmtId="2" fontId="17" fillId="2" borderId="0" xfId="0" applyNumberFormat="1" applyFont="1" applyFill="1" applyAlignment="1">
      <alignment horizontal="center" vertical="center"/>
    </xf>
    <xf numFmtId="0" fontId="71" fillId="2" borderId="0" xfId="0" applyFont="1" applyFill="1" applyAlignment="1">
      <alignment vertical="center"/>
    </xf>
    <xf numFmtId="0" fontId="71" fillId="2" borderId="14" xfId="0" applyFont="1" applyFill="1" applyBorder="1" applyAlignment="1">
      <alignment vertical="center"/>
    </xf>
    <xf numFmtId="0" fontId="31" fillId="2" borderId="0" xfId="0" applyFont="1" applyFill="1"/>
    <xf numFmtId="0" fontId="12" fillId="2" borderId="0" xfId="0" applyFont="1" applyFill="1"/>
    <xf numFmtId="0" fontId="71" fillId="2" borderId="13" xfId="0" applyFont="1" applyFill="1" applyBorder="1" applyAlignment="1">
      <alignment vertical="center"/>
    </xf>
    <xf numFmtId="0" fontId="71" fillId="2" borderId="15" xfId="0" applyFont="1" applyFill="1" applyBorder="1" applyAlignment="1">
      <alignment vertical="center"/>
    </xf>
    <xf numFmtId="0" fontId="71" fillId="2" borderId="16" xfId="0" applyFont="1" applyFill="1" applyBorder="1" applyAlignment="1">
      <alignment vertical="center"/>
    </xf>
    <xf numFmtId="0" fontId="71" fillId="2" borderId="17" xfId="0" applyFont="1" applyFill="1" applyBorder="1" applyAlignment="1">
      <alignment vertical="center"/>
    </xf>
    <xf numFmtId="0" fontId="24" fillId="2" borderId="0" xfId="0" applyFont="1" applyFill="1" applyAlignment="1">
      <alignment vertical="center"/>
    </xf>
    <xf numFmtId="0" fontId="25" fillId="2" borderId="0" xfId="0" applyFont="1" applyFill="1" applyAlignment="1">
      <alignment vertical="center"/>
    </xf>
    <xf numFmtId="0" fontId="74" fillId="2" borderId="0" xfId="0" applyFont="1" applyFill="1" applyAlignment="1">
      <alignment vertical="center"/>
    </xf>
    <xf numFmtId="0" fontId="0" fillId="21" borderId="0" xfId="0" applyFill="1"/>
    <xf numFmtId="0" fontId="38" fillId="21" borderId="0" xfId="0" applyFont="1" applyFill="1" applyAlignment="1">
      <alignment horizontal="center" vertical="center"/>
    </xf>
    <xf numFmtId="0" fontId="12" fillId="21" borderId="0" xfId="0" applyFont="1" applyFill="1"/>
    <xf numFmtId="167" fontId="31" fillId="21" borderId="0" xfId="1" applyNumberFormat="1" applyFont="1" applyFill="1" applyBorder="1" applyProtection="1"/>
    <xf numFmtId="0" fontId="16" fillId="21" borderId="0" xfId="0" applyFont="1" applyFill="1"/>
    <xf numFmtId="0" fontId="0" fillId="21" borderId="14" xfId="0" applyFill="1" applyBorder="1"/>
    <xf numFmtId="0" fontId="0" fillId="21" borderId="14" xfId="0" applyFill="1" applyBorder="1" applyAlignment="1">
      <alignment horizontal="left" vertical="center"/>
    </xf>
    <xf numFmtId="0" fontId="31" fillId="21" borderId="0" xfId="0" applyFont="1" applyFill="1"/>
    <xf numFmtId="0" fontId="0" fillId="21" borderId="16" xfId="0" applyFill="1" applyBorder="1"/>
    <xf numFmtId="0" fontId="0" fillId="21" borderId="17" xfId="0" applyFill="1" applyBorder="1"/>
    <xf numFmtId="0" fontId="31" fillId="21" borderId="43" xfId="0" applyFont="1" applyFill="1" applyBorder="1"/>
    <xf numFmtId="0" fontId="38" fillId="21" borderId="43" xfId="0" applyFont="1" applyFill="1" applyBorder="1" applyAlignment="1">
      <alignment horizontal="center" vertical="center"/>
    </xf>
    <xf numFmtId="0" fontId="12" fillId="21" borderId="0" xfId="0" applyFont="1" applyFill="1" applyAlignment="1">
      <alignment horizontal="left" vertical="center"/>
    </xf>
    <xf numFmtId="0" fontId="39" fillId="2" borderId="34" xfId="0" applyFont="1" applyFill="1" applyBorder="1" applyAlignment="1">
      <alignment horizontal="center" vertical="center" wrapText="1"/>
    </xf>
    <xf numFmtId="0" fontId="39" fillId="13" borderId="31" xfId="0" applyFont="1" applyFill="1" applyBorder="1" applyAlignment="1">
      <alignment horizontal="center" vertical="center" wrapText="1"/>
    </xf>
    <xf numFmtId="0" fontId="31" fillId="3" borderId="0" xfId="0" applyFont="1" applyFill="1"/>
    <xf numFmtId="0" fontId="0" fillId="3" borderId="0" xfId="0" applyFill="1"/>
    <xf numFmtId="0" fontId="35" fillId="20" borderId="1" xfId="0" applyFont="1" applyFill="1" applyBorder="1" applyAlignment="1">
      <alignment horizontal="center" textRotation="180" wrapText="1"/>
    </xf>
    <xf numFmtId="0" fontId="35" fillId="20" borderId="1" xfId="0" applyFont="1" applyFill="1" applyBorder="1" applyAlignment="1">
      <alignment textRotation="180" wrapText="1"/>
    </xf>
    <xf numFmtId="0" fontId="35" fillId="20" borderId="1" xfId="0" applyFont="1" applyFill="1" applyBorder="1" applyAlignment="1">
      <alignment horizontal="center" vertical="top" textRotation="180"/>
    </xf>
    <xf numFmtId="0" fontId="25" fillId="15" borderId="1" xfId="3" applyFont="1" applyFill="1" applyBorder="1" applyAlignment="1" applyProtection="1">
      <alignment horizontal="center"/>
      <protection hidden="1"/>
    </xf>
    <xf numFmtId="0" fontId="0" fillId="0" borderId="51" xfId="0" applyBorder="1" applyAlignment="1">
      <alignment horizontal="center" vertical="center"/>
    </xf>
    <xf numFmtId="168" fontId="0" fillId="0" borderId="51" xfId="0" applyNumberFormat="1" applyBorder="1" applyAlignment="1">
      <alignment horizontal="center" vertical="center"/>
    </xf>
    <xf numFmtId="169" fontId="0" fillId="0" borderId="51" xfId="0" applyNumberFormat="1" applyBorder="1" applyAlignment="1">
      <alignment horizontal="center" vertical="center"/>
    </xf>
    <xf numFmtId="1" fontId="0" fillId="0" borderId="51" xfId="0" applyNumberFormat="1" applyBorder="1" applyAlignment="1">
      <alignment horizontal="center" vertical="center"/>
    </xf>
    <xf numFmtId="2" fontId="0" fillId="0" borderId="51" xfId="0" applyNumberFormat="1" applyBorder="1" applyAlignment="1">
      <alignment horizontal="center" vertical="center"/>
    </xf>
    <xf numFmtId="0" fontId="0" fillId="2" borderId="45" xfId="0" applyFill="1" applyBorder="1"/>
    <xf numFmtId="0" fontId="73" fillId="0" borderId="33" xfId="0" applyFont="1" applyBorder="1" applyAlignment="1">
      <alignment horizontal="center" textRotation="90"/>
    </xf>
    <xf numFmtId="0" fontId="73" fillId="0" borderId="7" xfId="0" applyFont="1" applyBorder="1" applyAlignment="1">
      <alignment horizontal="center" textRotation="90"/>
    </xf>
    <xf numFmtId="0" fontId="34" fillId="0" borderId="7" xfId="0" applyFont="1" applyBorder="1" applyAlignment="1">
      <alignment horizontal="center" textRotation="90"/>
    </xf>
    <xf numFmtId="2" fontId="28" fillId="9" borderId="24" xfId="0" applyNumberFormat="1" applyFont="1" applyFill="1" applyBorder="1" applyAlignment="1">
      <alignment horizontal="center" vertical="center"/>
    </xf>
    <xf numFmtId="0" fontId="28" fillId="0" borderId="24" xfId="0" applyFont="1" applyBorder="1" applyAlignment="1" applyProtection="1">
      <alignment horizontal="center" vertical="center"/>
      <protection locked="0"/>
    </xf>
    <xf numFmtId="0" fontId="28" fillId="2" borderId="24" xfId="0" applyFont="1" applyFill="1" applyBorder="1" applyAlignment="1" applyProtection="1">
      <alignment horizontal="center" vertical="center"/>
      <protection locked="0"/>
    </xf>
    <xf numFmtId="1" fontId="28" fillId="15" borderId="24" xfId="0" applyNumberFormat="1" applyFont="1" applyFill="1" applyBorder="1" applyAlignment="1">
      <alignment horizontal="center" vertical="center"/>
    </xf>
    <xf numFmtId="2" fontId="28" fillId="15" borderId="24" xfId="0" applyNumberFormat="1" applyFont="1" applyFill="1" applyBorder="1" applyAlignment="1">
      <alignment horizontal="center" vertical="center"/>
    </xf>
    <xf numFmtId="0" fontId="16" fillId="0" borderId="24" xfId="0" applyFont="1" applyBorder="1" applyAlignment="1" applyProtection="1">
      <alignment horizontal="center" vertical="center"/>
      <protection locked="0"/>
    </xf>
    <xf numFmtId="0" fontId="28" fillId="15" borderId="24" xfId="0" applyFont="1" applyFill="1" applyBorder="1" applyAlignment="1">
      <alignment horizontal="center" vertical="center"/>
    </xf>
    <xf numFmtId="0" fontId="0" fillId="2" borderId="0" xfId="0" applyFill="1" applyAlignment="1">
      <alignment horizontal="center"/>
    </xf>
    <xf numFmtId="0" fontId="12" fillId="0" borderId="0" xfId="0" applyFont="1"/>
    <xf numFmtId="0" fontId="17" fillId="15" borderId="30" xfId="0" applyFont="1" applyFill="1" applyBorder="1" applyAlignment="1">
      <alignment horizontal="center" vertical="center"/>
    </xf>
    <xf numFmtId="0" fontId="34" fillId="2" borderId="12" xfId="0" applyFont="1" applyFill="1" applyBorder="1" applyAlignment="1">
      <alignment horizontal="center" textRotation="90" wrapText="1"/>
    </xf>
    <xf numFmtId="0" fontId="0" fillId="20" borderId="41" xfId="0" applyFill="1" applyBorder="1"/>
    <xf numFmtId="0" fontId="0" fillId="20" borderId="43" xfId="0" applyFill="1" applyBorder="1"/>
    <xf numFmtId="0" fontId="0" fillId="20" borderId="42" xfId="0" applyFill="1" applyBorder="1"/>
    <xf numFmtId="0" fontId="17" fillId="2" borderId="13" xfId="0" applyFont="1" applyFill="1" applyBorder="1" applyAlignment="1">
      <alignment vertical="center"/>
    </xf>
    <xf numFmtId="0" fontId="17" fillId="2" borderId="0" xfId="0" applyFont="1" applyFill="1" applyAlignment="1">
      <alignment horizontal="right" vertical="center"/>
    </xf>
    <xf numFmtId="2" fontId="17" fillId="18" borderId="21" xfId="0" applyNumberFormat="1" applyFont="1" applyFill="1" applyBorder="1" applyAlignment="1">
      <alignment horizontal="center" vertical="center"/>
    </xf>
    <xf numFmtId="2" fontId="17" fillId="18" borderId="10" xfId="0" applyNumberFormat="1" applyFont="1" applyFill="1" applyBorder="1" applyAlignment="1">
      <alignment horizontal="center" vertical="center"/>
    </xf>
    <xf numFmtId="2" fontId="17" fillId="18" borderId="28" xfId="0" applyNumberFormat="1" applyFont="1" applyFill="1" applyBorder="1" applyAlignment="1">
      <alignment horizontal="center" vertical="center"/>
    </xf>
    <xf numFmtId="1" fontId="17" fillId="0" borderId="1" xfId="3" applyNumberFormat="1" applyFont="1" applyBorder="1" applyAlignment="1">
      <alignment horizontal="center" vertical="center"/>
    </xf>
    <xf numFmtId="1" fontId="16" fillId="2" borderId="0" xfId="0" applyNumberFormat="1" applyFont="1" applyFill="1"/>
    <xf numFmtId="1" fontId="16" fillId="0" borderId="0" xfId="0" applyNumberFormat="1" applyFont="1"/>
    <xf numFmtId="1" fontId="28" fillId="9" borderId="18" xfId="1" applyNumberFormat="1" applyFont="1" applyFill="1" applyBorder="1" applyAlignment="1" applyProtection="1">
      <alignment horizontal="center" vertical="center"/>
    </xf>
    <xf numFmtId="0" fontId="0" fillId="0" borderId="0" xfId="0" applyAlignment="1">
      <alignment horizontal="center" vertical="center" wrapText="1"/>
    </xf>
    <xf numFmtId="165" fontId="28" fillId="15" borderId="1" xfId="0" applyNumberFormat="1" applyFont="1" applyFill="1" applyBorder="1" applyAlignment="1">
      <alignment horizontal="center" vertical="center"/>
    </xf>
    <xf numFmtId="165" fontId="28" fillId="15" borderId="24" xfId="0" applyNumberFormat="1" applyFont="1" applyFill="1" applyBorder="1" applyAlignment="1">
      <alignment horizontal="center" vertical="center"/>
    </xf>
    <xf numFmtId="0" fontId="28" fillId="9" borderId="24" xfId="0" applyFont="1" applyFill="1" applyBorder="1" applyAlignment="1">
      <alignment horizontal="center" vertical="center"/>
    </xf>
    <xf numFmtId="0" fontId="16" fillId="0" borderId="0" xfId="0" applyFont="1" applyAlignment="1">
      <alignment horizontal="center"/>
    </xf>
    <xf numFmtId="0" fontId="28" fillId="9" borderId="0" xfId="0" applyFont="1" applyFill="1"/>
    <xf numFmtId="1" fontId="32" fillId="15" borderId="1" xfId="0" applyNumberFormat="1" applyFont="1" applyFill="1" applyBorder="1" applyAlignment="1">
      <alignment horizontal="center" vertical="center"/>
    </xf>
    <xf numFmtId="2" fontId="32" fillId="15" borderId="1" xfId="0" applyNumberFormat="1" applyFont="1" applyFill="1" applyBorder="1" applyAlignment="1">
      <alignment horizontal="center" vertical="center"/>
    </xf>
    <xf numFmtId="1" fontId="32" fillId="15" borderId="24" xfId="0" applyNumberFormat="1" applyFont="1" applyFill="1" applyBorder="1" applyAlignment="1">
      <alignment horizontal="center" vertical="center"/>
    </xf>
    <xf numFmtId="0" fontId="15" fillId="23" borderId="31" xfId="0" applyFont="1" applyFill="1" applyBorder="1" applyAlignment="1">
      <alignment horizontal="center" vertical="center" wrapText="1"/>
    </xf>
    <xf numFmtId="165" fontId="28" fillId="2" borderId="1" xfId="0" applyNumberFormat="1" applyFont="1" applyFill="1" applyBorder="1" applyAlignment="1" applyProtection="1">
      <alignment horizontal="center" vertical="center"/>
      <protection locked="0"/>
    </xf>
    <xf numFmtId="165" fontId="28" fillId="2" borderId="24" xfId="0" applyNumberFormat="1" applyFont="1" applyFill="1" applyBorder="1" applyAlignment="1" applyProtection="1">
      <alignment horizontal="center" vertical="center"/>
      <protection locked="0"/>
    </xf>
    <xf numFmtId="14" fontId="0" fillId="2" borderId="0" xfId="0" applyNumberFormat="1" applyFill="1"/>
    <xf numFmtId="0" fontId="16" fillId="2" borderId="0" xfId="0" applyFont="1" applyFill="1" applyAlignment="1">
      <alignment horizontal="center"/>
    </xf>
    <xf numFmtId="0" fontId="16" fillId="0" borderId="0" xfId="0" applyFont="1" applyAlignment="1" applyProtection="1">
      <alignment horizontal="center"/>
      <protection locked="0"/>
    </xf>
    <xf numFmtId="0" fontId="50" fillId="0" borderId="0" xfId="0" applyFont="1" applyAlignment="1" applyProtection="1">
      <alignment horizontal="center"/>
      <protection locked="0"/>
    </xf>
    <xf numFmtId="0" fontId="16" fillId="9" borderId="0" xfId="0" applyFont="1" applyFill="1" applyAlignment="1">
      <alignment horizontal="center"/>
    </xf>
    <xf numFmtId="0" fontId="79" fillId="3" borderId="16" xfId="0" applyFont="1" applyFill="1" applyBorder="1" applyAlignment="1">
      <alignment vertical="center"/>
    </xf>
    <xf numFmtId="0" fontId="79" fillId="3" borderId="17" xfId="0" applyFont="1" applyFill="1" applyBorder="1" applyAlignment="1">
      <alignment vertical="center"/>
    </xf>
    <xf numFmtId="2" fontId="32" fillId="15" borderId="24" xfId="0" applyNumberFormat="1" applyFont="1" applyFill="1" applyBorder="1" applyAlignment="1">
      <alignment horizontal="center" vertical="center"/>
    </xf>
    <xf numFmtId="0" fontId="28" fillId="0" borderId="2" xfId="0" applyFont="1" applyBorder="1" applyAlignment="1">
      <alignment horizontal="center"/>
    </xf>
    <xf numFmtId="0" fontId="17" fillId="9" borderId="0" xfId="0" applyFont="1" applyFill="1" applyAlignment="1">
      <alignment horizontal="center" vertical="center"/>
    </xf>
    <xf numFmtId="0" fontId="50" fillId="0" borderId="0" xfId="0" applyFont="1" applyAlignment="1">
      <alignment horizontal="center" vertical="center"/>
    </xf>
    <xf numFmtId="0" fontId="28" fillId="0" borderId="24" xfId="0" applyFont="1" applyBorder="1" applyAlignment="1" applyProtection="1">
      <alignment horizontal="center" vertical="center" wrapText="1"/>
      <protection locked="0"/>
    </xf>
    <xf numFmtId="0" fontId="25" fillId="0" borderId="1" xfId="0" applyFont="1" applyBorder="1" applyAlignment="1">
      <alignment horizontal="center" vertical="center" wrapText="1"/>
    </xf>
    <xf numFmtId="0" fontId="16" fillId="2" borderId="0" xfId="0" applyFont="1" applyFill="1" applyProtection="1">
      <protection locked="0"/>
    </xf>
    <xf numFmtId="0" fontId="28" fillId="2" borderId="0" xfId="0" applyFont="1" applyFill="1" applyProtection="1">
      <protection locked="0"/>
    </xf>
    <xf numFmtId="0" fontId="50" fillId="2" borderId="0" xfId="0" applyFont="1" applyFill="1" applyProtection="1">
      <protection locked="0"/>
    </xf>
    <xf numFmtId="43" fontId="48" fillId="9" borderId="24" xfId="1" applyFont="1" applyFill="1" applyBorder="1" applyAlignment="1" applyProtection="1">
      <alignment horizontal="center" vertical="center"/>
    </xf>
    <xf numFmtId="0" fontId="16" fillId="2" borderId="0" xfId="0" applyFont="1" applyFill="1" applyAlignment="1" applyProtection="1">
      <alignment horizontal="center" vertical="center"/>
      <protection locked="0"/>
    </xf>
    <xf numFmtId="0" fontId="17" fillId="2" borderId="0" xfId="0" applyFont="1" applyFill="1" applyProtection="1">
      <protection locked="0"/>
    </xf>
    <xf numFmtId="2" fontId="28" fillId="2" borderId="0" xfId="0" applyNumberFormat="1" applyFont="1" applyFill="1" applyAlignment="1" applyProtection="1">
      <alignment horizontal="center" vertical="center"/>
      <protection locked="0"/>
    </xf>
    <xf numFmtId="0" fontId="16" fillId="2" borderId="0" xfId="0" applyFont="1" applyFill="1" applyAlignment="1" applyProtection="1">
      <alignment horizontal="center"/>
      <protection locked="0"/>
    </xf>
    <xf numFmtId="0" fontId="16" fillId="2" borderId="0" xfId="0" applyFont="1" applyFill="1" applyAlignment="1">
      <alignment horizontal="center" vertical="center"/>
    </xf>
    <xf numFmtId="0" fontId="16" fillId="2" borderId="64" xfId="0" applyFont="1" applyFill="1" applyBorder="1" applyAlignment="1">
      <alignment horizontal="center" vertical="center"/>
    </xf>
    <xf numFmtId="0" fontId="16" fillId="2" borderId="51" xfId="0" applyFont="1" applyFill="1" applyBorder="1" applyAlignment="1">
      <alignment horizontal="center" vertical="center"/>
    </xf>
    <xf numFmtId="0" fontId="28" fillId="2" borderId="51" xfId="0" applyFont="1" applyFill="1" applyBorder="1" applyAlignment="1">
      <alignment horizontal="center" vertical="center"/>
    </xf>
    <xf numFmtId="0" fontId="28" fillId="2" borderId="51" xfId="0" applyFont="1" applyFill="1" applyBorder="1"/>
    <xf numFmtId="0" fontId="18" fillId="2" borderId="51" xfId="0" applyFont="1" applyFill="1" applyBorder="1" applyAlignment="1">
      <alignment horizontal="center" vertical="center" wrapText="1"/>
    </xf>
    <xf numFmtId="1" fontId="18" fillId="2" borderId="67" xfId="0" applyNumberFormat="1" applyFont="1" applyFill="1" applyBorder="1" applyAlignment="1">
      <alignment horizontal="center" vertical="center" wrapText="1"/>
    </xf>
    <xf numFmtId="0" fontId="16" fillId="2" borderId="9" xfId="0" applyFont="1" applyFill="1" applyBorder="1" applyAlignment="1">
      <alignment horizontal="center" vertical="center"/>
    </xf>
    <xf numFmtId="0" fontId="50" fillId="2" borderId="0" xfId="0" applyFont="1" applyFill="1" applyAlignment="1">
      <alignment horizontal="center" vertical="center"/>
    </xf>
    <xf numFmtId="43" fontId="50" fillId="2" borderId="0" xfId="1" applyFont="1" applyFill="1" applyBorder="1" applyAlignment="1" applyProtection="1">
      <alignment horizontal="center" vertical="center"/>
    </xf>
    <xf numFmtId="1" fontId="50" fillId="2" borderId="19" xfId="0" applyNumberFormat="1" applyFont="1" applyFill="1" applyBorder="1" applyAlignment="1">
      <alignment horizontal="center" vertical="center"/>
    </xf>
    <xf numFmtId="43" fontId="28" fillId="2" borderId="0" xfId="0" applyNumberFormat="1" applyFont="1" applyFill="1" applyAlignment="1">
      <alignment vertical="center"/>
    </xf>
    <xf numFmtId="9" fontId="50" fillId="2" borderId="0" xfId="10" applyFont="1" applyFill="1" applyBorder="1" applyAlignment="1" applyProtection="1">
      <alignment horizontal="right" vertical="center"/>
    </xf>
    <xf numFmtId="43" fontId="28" fillId="2" borderId="0" xfId="1" applyFont="1" applyFill="1" applyBorder="1" applyProtection="1"/>
    <xf numFmtId="165" fontId="28" fillId="2" borderId="19" xfId="0" applyNumberFormat="1" applyFont="1" applyFill="1" applyBorder="1"/>
    <xf numFmtId="43" fontId="28" fillId="2" borderId="0" xfId="0" applyNumberFormat="1" applyFont="1" applyFill="1" applyAlignment="1">
      <alignment horizontal="right" vertical="center"/>
    </xf>
    <xf numFmtId="0" fontId="16" fillId="2" borderId="8" xfId="0" applyFont="1" applyFill="1" applyBorder="1" applyAlignment="1">
      <alignment horizontal="center" vertical="center"/>
    </xf>
    <xf numFmtId="0" fontId="16" fillId="2" borderId="6" xfId="0" applyFont="1" applyFill="1" applyBorder="1" applyAlignment="1">
      <alignment horizontal="center" vertical="center"/>
    </xf>
    <xf numFmtId="0" fontId="28" fillId="2" borderId="6" xfId="0" applyFont="1" applyFill="1" applyBorder="1" applyAlignment="1">
      <alignment horizontal="right" vertical="center"/>
    </xf>
    <xf numFmtId="43" fontId="28" fillId="2" borderId="6" xfId="0" applyNumberFormat="1" applyFont="1" applyFill="1" applyBorder="1" applyAlignment="1">
      <alignment horizontal="right" vertical="center"/>
    </xf>
    <xf numFmtId="0" fontId="28" fillId="2" borderId="6" xfId="0" applyFont="1" applyFill="1" applyBorder="1"/>
    <xf numFmtId="1" fontId="28" fillId="2" borderId="33" xfId="0" applyNumberFormat="1" applyFont="1" applyFill="1" applyBorder="1"/>
    <xf numFmtId="0" fontId="37" fillId="2" borderId="0" xfId="0" applyFont="1" applyFill="1" applyAlignment="1">
      <alignment horizontal="center" vertical="center"/>
    </xf>
    <xf numFmtId="0" fontId="37" fillId="2" borderId="0" xfId="0" applyFont="1" applyFill="1" applyAlignment="1">
      <alignment horizontal="left" vertical="center"/>
    </xf>
    <xf numFmtId="2" fontId="37" fillId="2" borderId="0" xfId="0" applyNumberFormat="1" applyFont="1" applyFill="1" applyAlignment="1">
      <alignment horizontal="center" vertical="center"/>
    </xf>
    <xf numFmtId="0" fontId="90" fillId="0" borderId="0" xfId="0" applyFont="1"/>
    <xf numFmtId="165" fontId="28" fillId="0" borderId="0" xfId="0" applyNumberFormat="1" applyFont="1" applyProtection="1">
      <protection locked="0"/>
    </xf>
    <xf numFmtId="165" fontId="50" fillId="0" borderId="0" xfId="0" applyNumberFormat="1" applyFont="1" applyProtection="1">
      <protection locked="0"/>
    </xf>
    <xf numFmtId="0" fontId="91" fillId="0" borderId="0" xfId="0" applyFont="1" applyProtection="1">
      <protection locked="0"/>
    </xf>
    <xf numFmtId="0" fontId="27" fillId="24" borderId="55" xfId="0" applyFont="1" applyFill="1" applyBorder="1" applyAlignment="1">
      <alignment horizontal="center" vertical="center" wrapText="1"/>
    </xf>
    <xf numFmtId="2" fontId="12" fillId="25" borderId="21" xfId="0" applyNumberFormat="1" applyFont="1" applyFill="1" applyBorder="1" applyAlignment="1" applyProtection="1">
      <alignment horizontal="center" vertical="center"/>
      <protection hidden="1"/>
    </xf>
    <xf numFmtId="0" fontId="0" fillId="25" borderId="57" xfId="0" applyFill="1" applyBorder="1"/>
    <xf numFmtId="0" fontId="0" fillId="25" borderId="15" xfId="0" applyFill="1" applyBorder="1"/>
    <xf numFmtId="0" fontId="0" fillId="25" borderId="16" xfId="0" applyFill="1" applyBorder="1"/>
    <xf numFmtId="0" fontId="0" fillId="25" borderId="17" xfId="0" applyFill="1" applyBorder="1"/>
    <xf numFmtId="0" fontId="0" fillId="25" borderId="41" xfId="0" applyFill="1" applyBorder="1"/>
    <xf numFmtId="0" fontId="0" fillId="25" borderId="43" xfId="0" applyFill="1" applyBorder="1"/>
    <xf numFmtId="0" fontId="0" fillId="25" borderId="42" xfId="0" applyFill="1" applyBorder="1"/>
    <xf numFmtId="0" fontId="27" fillId="25" borderId="27" xfId="0" applyFont="1" applyFill="1" applyBorder="1" applyAlignment="1">
      <alignment horizontal="center" vertical="center" wrapText="1"/>
    </xf>
    <xf numFmtId="0" fontId="27" fillId="25" borderId="28" xfId="0" applyFont="1" applyFill="1" applyBorder="1" applyAlignment="1">
      <alignment horizontal="center" vertical="center" wrapText="1"/>
    </xf>
    <xf numFmtId="0" fontId="13" fillId="25" borderId="38" xfId="0" applyFont="1" applyFill="1" applyBorder="1" applyAlignment="1">
      <alignment horizontal="center" vertical="center"/>
    </xf>
    <xf numFmtId="0" fontId="13" fillId="25" borderId="39" xfId="0" applyFont="1" applyFill="1" applyBorder="1" applyAlignment="1">
      <alignment horizontal="center" vertical="center"/>
    </xf>
    <xf numFmtId="0" fontId="13" fillId="25" borderId="40" xfId="0" applyFont="1" applyFill="1" applyBorder="1" applyAlignment="1">
      <alignment horizontal="center" vertical="center"/>
    </xf>
    <xf numFmtId="0" fontId="38" fillId="25" borderId="41" xfId="0" applyFont="1" applyFill="1" applyBorder="1" applyAlignment="1">
      <alignment horizontal="center" vertical="center"/>
    </xf>
    <xf numFmtId="0" fontId="38" fillId="25" borderId="42" xfId="0" applyFont="1" applyFill="1" applyBorder="1" applyAlignment="1">
      <alignment horizontal="center" vertical="center"/>
    </xf>
    <xf numFmtId="43" fontId="49" fillId="25" borderId="57" xfId="1" applyFont="1" applyFill="1" applyBorder="1" applyAlignment="1" applyProtection="1">
      <alignment horizontal="center" vertical="center"/>
    </xf>
    <xf numFmtId="43" fontId="37" fillId="25" borderId="0" xfId="0" applyNumberFormat="1" applyFont="1" applyFill="1" applyAlignment="1">
      <alignment horizontal="center" vertical="center"/>
    </xf>
    <xf numFmtId="4" fontId="37" fillId="25" borderId="0" xfId="0" applyNumberFormat="1" applyFont="1" applyFill="1" applyAlignment="1">
      <alignment horizontal="right" vertical="center"/>
    </xf>
    <xf numFmtId="1" fontId="37" fillId="25" borderId="0" xfId="0" applyNumberFormat="1" applyFont="1" applyFill="1" applyAlignment="1">
      <alignment horizontal="center" vertical="center"/>
    </xf>
    <xf numFmtId="165" fontId="49" fillId="25" borderId="57" xfId="1" applyNumberFormat="1" applyFont="1" applyFill="1" applyBorder="1" applyAlignment="1" applyProtection="1">
      <alignment horizontal="right" vertical="center"/>
    </xf>
    <xf numFmtId="43" fontId="49" fillId="25" borderId="57" xfId="1" applyFont="1" applyFill="1" applyBorder="1" applyAlignment="1" applyProtection="1">
      <alignment horizontal="right" vertical="center"/>
    </xf>
    <xf numFmtId="0" fontId="49" fillId="25" borderId="57" xfId="0" applyFont="1" applyFill="1" applyBorder="1" applyAlignment="1">
      <alignment horizontal="center" vertical="center"/>
    </xf>
    <xf numFmtId="167" fontId="49" fillId="25" borderId="57" xfId="1" applyNumberFormat="1" applyFont="1" applyFill="1" applyBorder="1" applyAlignment="1" applyProtection="1">
      <alignment horizontal="center" vertical="center"/>
    </xf>
    <xf numFmtId="0" fontId="17" fillId="26" borderId="1" xfId="0" applyFont="1" applyFill="1" applyBorder="1" applyAlignment="1" applyProtection="1">
      <alignment horizontal="center" vertical="center"/>
      <protection locked="0"/>
    </xf>
    <xf numFmtId="0" fontId="0" fillId="2" borderId="51" xfId="0" applyFill="1" applyBorder="1" applyAlignment="1">
      <alignment horizontal="left" vertical="center" wrapText="1"/>
    </xf>
    <xf numFmtId="0" fontId="0" fillId="2" borderId="52" xfId="0" applyFill="1" applyBorder="1" applyAlignment="1">
      <alignment horizontal="left" vertical="center" wrapText="1"/>
    </xf>
    <xf numFmtId="0" fontId="56" fillId="14" borderId="1" xfId="3" applyFont="1" applyFill="1" applyBorder="1" applyAlignment="1">
      <alignment horizontal="center"/>
    </xf>
    <xf numFmtId="0" fontId="56" fillId="14" borderId="2" xfId="3" applyFont="1" applyFill="1" applyBorder="1" applyAlignment="1">
      <alignment horizontal="center"/>
    </xf>
    <xf numFmtId="0" fontId="39" fillId="2" borderId="0" xfId="0" applyFont="1" applyFill="1" applyAlignment="1">
      <alignment horizontal="right" vertical="center"/>
    </xf>
    <xf numFmtId="0" fontId="85" fillId="2" borderId="0" xfId="0" applyFont="1" applyFill="1" applyAlignment="1">
      <alignment horizontal="center" vertical="center" wrapText="1"/>
    </xf>
    <xf numFmtId="0" fontId="27" fillId="20" borderId="34" xfId="0" applyFont="1" applyFill="1" applyBorder="1" applyAlignment="1" applyProtection="1">
      <alignment horizontal="center" vertical="center"/>
      <protection locked="0"/>
    </xf>
    <xf numFmtId="0" fontId="79" fillId="3" borderId="16" xfId="0" applyFont="1" applyFill="1" applyBorder="1" applyAlignment="1">
      <alignment horizontal="left" vertical="center"/>
    </xf>
    <xf numFmtId="0" fontId="50" fillId="2" borderId="0" xfId="0" applyFont="1" applyFill="1" applyAlignment="1">
      <alignment horizontal="right" vertical="center"/>
    </xf>
    <xf numFmtId="0" fontId="31" fillId="21" borderId="0" xfId="0" applyFont="1" applyFill="1" applyAlignment="1">
      <alignment horizontal="center"/>
    </xf>
    <xf numFmtId="0" fontId="25" fillId="3" borderId="1" xfId="0" applyFont="1" applyFill="1" applyBorder="1" applyAlignment="1">
      <alignment horizontal="center" vertical="center"/>
    </xf>
    <xf numFmtId="0" fontId="25" fillId="3" borderId="1" xfId="0" applyFont="1" applyFill="1" applyBorder="1" applyAlignment="1">
      <alignment horizontal="center" vertical="center" wrapText="1"/>
    </xf>
    <xf numFmtId="0" fontId="53" fillId="7" borderId="1" xfId="0" applyFont="1" applyFill="1" applyBorder="1" applyAlignment="1">
      <alignment horizontal="center"/>
    </xf>
    <xf numFmtId="0" fontId="53" fillId="0" borderId="1" xfId="0" applyFont="1" applyBorder="1" applyAlignment="1">
      <alignment horizontal="center"/>
    </xf>
    <xf numFmtId="0" fontId="35" fillId="20" borderId="1" xfId="0" applyFont="1" applyFill="1" applyBorder="1" applyAlignment="1">
      <alignment horizontal="center" wrapText="1"/>
    </xf>
    <xf numFmtId="0" fontId="38" fillId="2" borderId="13" xfId="0" applyFont="1" applyFill="1" applyBorder="1" applyAlignment="1">
      <alignment horizontal="center" vertical="center"/>
    </xf>
    <xf numFmtId="0" fontId="38" fillId="2" borderId="0" xfId="0" applyFont="1" applyFill="1" applyAlignment="1">
      <alignment horizontal="center" vertical="center"/>
    </xf>
    <xf numFmtId="0" fontId="38" fillId="2" borderId="14" xfId="0" applyFont="1" applyFill="1" applyBorder="1" applyAlignment="1">
      <alignment horizontal="center" vertical="center"/>
    </xf>
    <xf numFmtId="0" fontId="31" fillId="4" borderId="1" xfId="6" applyFont="1" applyFill="1" applyBorder="1" applyAlignment="1">
      <alignment horizontal="center"/>
    </xf>
    <xf numFmtId="0" fontId="31" fillId="4" borderId="1" xfId="6" applyFont="1" applyFill="1" applyBorder="1" applyAlignment="1">
      <alignment horizontal="left" indent="1"/>
    </xf>
    <xf numFmtId="0" fontId="0" fillId="4" borderId="1" xfId="0" applyFill="1" applyBorder="1" applyAlignment="1">
      <alignment horizontal="center"/>
    </xf>
    <xf numFmtId="2" fontId="93" fillId="0" borderId="0" xfId="0" applyNumberFormat="1" applyFont="1" applyAlignment="1">
      <alignment horizontal="left"/>
    </xf>
    <xf numFmtId="0" fontId="17" fillId="0" borderId="1" xfId="0" applyFont="1" applyBorder="1"/>
    <xf numFmtId="2" fontId="17" fillId="0" borderId="1" xfId="0" applyNumberFormat="1" applyFont="1" applyBorder="1" applyAlignment="1">
      <alignment horizontal="center" vertical="center"/>
    </xf>
    <xf numFmtId="0" fontId="17" fillId="0" borderId="1" xfId="3" applyFont="1" applyBorder="1" applyProtection="1">
      <protection hidden="1"/>
    </xf>
    <xf numFmtId="0" fontId="96" fillId="3" borderId="0" xfId="0" applyFont="1" applyFill="1"/>
    <xf numFmtId="0" fontId="27" fillId="25" borderId="55" xfId="0" applyFont="1" applyFill="1" applyBorder="1" applyAlignment="1">
      <alignment horizontal="center" vertical="center" wrapText="1"/>
    </xf>
    <xf numFmtId="0" fontId="27" fillId="25" borderId="57" xfId="0" applyFont="1" applyFill="1" applyBorder="1" applyAlignment="1">
      <alignment horizontal="center" vertical="center" wrapText="1"/>
    </xf>
    <xf numFmtId="0" fontId="28" fillId="0" borderId="5" xfId="0" applyFont="1" applyBorder="1" applyAlignment="1" applyProtection="1">
      <alignment horizontal="center" vertical="center"/>
      <protection locked="0"/>
    </xf>
    <xf numFmtId="1" fontId="97" fillId="0" borderId="1" xfId="0" applyNumberFormat="1" applyFont="1" applyBorder="1" applyAlignment="1">
      <alignment horizontal="center" vertical="center"/>
    </xf>
    <xf numFmtId="9" fontId="17" fillId="0" borderId="1" xfId="10" applyFont="1" applyBorder="1" applyAlignment="1" applyProtection="1">
      <alignment horizontal="center" vertical="center"/>
      <protection hidden="1"/>
    </xf>
    <xf numFmtId="166" fontId="17" fillId="0" borderId="1" xfId="3" applyNumberFormat="1" applyFont="1" applyBorder="1" applyAlignment="1" applyProtection="1">
      <alignment horizontal="center" vertical="center"/>
      <protection hidden="1"/>
    </xf>
    <xf numFmtId="165" fontId="17" fillId="9" borderId="0" xfId="0" applyNumberFormat="1" applyFont="1" applyFill="1" applyProtection="1">
      <protection locked="0"/>
    </xf>
    <xf numFmtId="0" fontId="17" fillId="28" borderId="1" xfId="3" applyFont="1" applyFill="1" applyBorder="1" applyAlignment="1" applyProtection="1">
      <alignment horizontal="left" vertical="center"/>
      <protection hidden="1"/>
    </xf>
    <xf numFmtId="0" fontId="25" fillId="28" borderId="1" xfId="0" applyFont="1" applyFill="1" applyBorder="1" applyAlignment="1">
      <alignment horizontal="center" vertical="center"/>
    </xf>
    <xf numFmtId="166" fontId="25" fillId="28" borderId="1" xfId="3" applyNumberFormat="1" applyFont="1" applyFill="1" applyBorder="1" applyAlignment="1" applyProtection="1">
      <alignment horizontal="left" vertical="center"/>
      <protection hidden="1"/>
    </xf>
    <xf numFmtId="0" fontId="25" fillId="28" borderId="1" xfId="3" applyFont="1" applyFill="1" applyBorder="1" applyAlignment="1" applyProtection="1">
      <alignment vertical="center"/>
      <protection hidden="1"/>
    </xf>
    <xf numFmtId="166" fontId="17" fillId="28" borderId="1" xfId="3" applyNumberFormat="1" applyFont="1" applyFill="1" applyBorder="1" applyAlignment="1" applyProtection="1">
      <alignment horizontal="left" vertical="center"/>
      <protection hidden="1"/>
    </xf>
    <xf numFmtId="9" fontId="17" fillId="28" borderId="1" xfId="10" applyFont="1" applyFill="1" applyBorder="1" applyAlignment="1" applyProtection="1">
      <alignment horizontal="center" vertical="center"/>
      <protection hidden="1"/>
    </xf>
    <xf numFmtId="0" fontId="17" fillId="28" borderId="1" xfId="0" applyFont="1" applyFill="1" applyBorder="1" applyAlignment="1">
      <alignment horizontal="left" vertical="center"/>
    </xf>
    <xf numFmtId="9" fontId="17" fillId="28" borderId="1" xfId="10" applyFont="1" applyFill="1" applyBorder="1" applyAlignment="1">
      <alignment horizontal="center" vertical="center"/>
    </xf>
    <xf numFmtId="0" fontId="17" fillId="28" borderId="4" xfId="3" applyFont="1" applyFill="1" applyBorder="1" applyAlignment="1" applyProtection="1">
      <alignment horizontal="left" vertical="center"/>
      <protection hidden="1"/>
    </xf>
    <xf numFmtId="44" fontId="0" fillId="0" borderId="0" xfId="13" applyFont="1" applyAlignment="1">
      <alignment horizontal="center" vertical="center"/>
    </xf>
    <xf numFmtId="0" fontId="0" fillId="30" borderId="0" xfId="0" applyFill="1" applyAlignment="1">
      <alignment horizontal="center" vertical="center"/>
    </xf>
    <xf numFmtId="0" fontId="0" fillId="31" borderId="0" xfId="0" applyFill="1" applyAlignment="1">
      <alignment horizontal="center" vertical="center"/>
    </xf>
    <xf numFmtId="0" fontId="17" fillId="0" borderId="22" xfId="3" applyFont="1" applyBorder="1" applyAlignment="1" applyProtection="1">
      <alignment horizontal="center" vertical="center"/>
      <protection hidden="1"/>
    </xf>
    <xf numFmtId="0" fontId="17" fillId="0" borderId="29" xfId="3" applyFont="1" applyBorder="1" applyAlignment="1" applyProtection="1">
      <alignment horizontal="center" vertical="center"/>
      <protection hidden="1"/>
    </xf>
    <xf numFmtId="0" fontId="25" fillId="0" borderId="29" xfId="3" applyFont="1" applyBorder="1" applyAlignment="1" applyProtection="1">
      <alignment horizontal="center" vertical="center"/>
      <protection hidden="1"/>
    </xf>
    <xf numFmtId="0" fontId="25" fillId="0" borderId="21" xfId="3" applyFont="1" applyBorder="1" applyAlignment="1" applyProtection="1">
      <alignment horizontal="center" vertical="center"/>
      <protection hidden="1"/>
    </xf>
    <xf numFmtId="166" fontId="17" fillId="0" borderId="13" xfId="3" applyNumberFormat="1" applyFont="1" applyBorder="1" applyAlignment="1" applyProtection="1">
      <alignment horizontal="center" vertical="center"/>
      <protection hidden="1"/>
    </xf>
    <xf numFmtId="0" fontId="25" fillId="0" borderId="5" xfId="3" applyFont="1" applyBorder="1" applyAlignment="1" applyProtection="1">
      <alignment horizontal="center" vertical="center"/>
      <protection hidden="1"/>
    </xf>
    <xf numFmtId="0" fontId="25" fillId="0" borderId="11" xfId="3" applyFont="1" applyBorder="1" applyAlignment="1" applyProtection="1">
      <alignment horizontal="center" vertical="center"/>
      <protection hidden="1"/>
    </xf>
    <xf numFmtId="0" fontId="17" fillId="0" borderId="10" xfId="3" applyFont="1" applyBorder="1" applyAlignment="1" applyProtection="1">
      <alignment horizontal="center" vertical="center"/>
      <protection hidden="1"/>
    </xf>
    <xf numFmtId="0" fontId="17" fillId="0" borderId="5" xfId="3" applyFont="1" applyBorder="1" applyAlignment="1" applyProtection="1">
      <alignment horizontal="left" vertical="center"/>
      <protection hidden="1"/>
    </xf>
    <xf numFmtId="0" fontId="17" fillId="0" borderId="5" xfId="3" applyFont="1" applyBorder="1" applyAlignment="1" applyProtection="1">
      <alignment horizontal="center" vertical="center"/>
      <protection hidden="1"/>
    </xf>
    <xf numFmtId="0" fontId="17" fillId="0" borderId="11" xfId="3" applyFont="1" applyBorder="1" applyAlignment="1" applyProtection="1">
      <alignment horizontal="center" vertical="center"/>
      <protection hidden="1"/>
    </xf>
    <xf numFmtId="0" fontId="17" fillId="0" borderId="24" xfId="3" applyFont="1" applyBorder="1" applyAlignment="1" applyProtection="1">
      <alignment horizontal="center" vertical="center"/>
      <protection hidden="1"/>
    </xf>
    <xf numFmtId="0" fontId="17" fillId="0" borderId="28" xfId="3" applyFont="1" applyBorder="1" applyAlignment="1" applyProtection="1">
      <alignment horizontal="center" vertical="center"/>
      <protection hidden="1"/>
    </xf>
    <xf numFmtId="166" fontId="17" fillId="0" borderId="0" xfId="3" applyNumberFormat="1" applyFont="1" applyProtection="1">
      <protection hidden="1"/>
    </xf>
    <xf numFmtId="0" fontId="25" fillId="0" borderId="1" xfId="3" applyFont="1" applyBorder="1" applyAlignment="1">
      <alignment horizontal="center" vertical="center"/>
    </xf>
    <xf numFmtId="0" fontId="25" fillId="0" borderId="1" xfId="0" applyFont="1" applyBorder="1" applyAlignment="1">
      <alignment horizontal="center" vertical="center"/>
    </xf>
    <xf numFmtId="165" fontId="28" fillId="15" borderId="2" xfId="1" applyNumberFormat="1" applyFont="1" applyFill="1" applyBorder="1" applyAlignment="1" applyProtection="1">
      <alignment horizontal="right" vertical="center"/>
    </xf>
    <xf numFmtId="0" fontId="27" fillId="2" borderId="0" xfId="0" applyFont="1" applyFill="1" applyAlignment="1">
      <alignment horizontal="center" vertical="center"/>
    </xf>
    <xf numFmtId="0" fontId="27" fillId="2" borderId="0" xfId="0" applyFont="1" applyFill="1" applyAlignment="1" applyProtection="1">
      <alignment horizontal="center" vertical="center" wrapText="1"/>
      <protection locked="0"/>
    </xf>
    <xf numFmtId="0" fontId="16" fillId="32" borderId="0" xfId="0" applyFont="1" applyFill="1"/>
    <xf numFmtId="2" fontId="48" fillId="32" borderId="1" xfId="0" applyNumberFormat="1" applyFont="1" applyFill="1" applyBorder="1" applyAlignment="1">
      <alignment horizontal="center" vertical="center"/>
    </xf>
    <xf numFmtId="2" fontId="28" fillId="32" borderId="1" xfId="0" applyNumberFormat="1" applyFont="1" applyFill="1" applyBorder="1" applyAlignment="1">
      <alignment horizontal="center" vertical="center"/>
    </xf>
    <xf numFmtId="2" fontId="48" fillId="32" borderId="24" xfId="0" applyNumberFormat="1" applyFont="1" applyFill="1" applyBorder="1" applyAlignment="1">
      <alignment horizontal="center" vertical="center"/>
    </xf>
    <xf numFmtId="2" fontId="28" fillId="32" borderId="24" xfId="0" applyNumberFormat="1" applyFont="1" applyFill="1" applyBorder="1" applyAlignment="1">
      <alignment horizontal="center" vertical="center"/>
    </xf>
    <xf numFmtId="2" fontId="37" fillId="32" borderId="0" xfId="0" applyNumberFormat="1" applyFont="1" applyFill="1" applyAlignment="1">
      <alignment horizontal="center" vertical="center"/>
    </xf>
    <xf numFmtId="43" fontId="49" fillId="32" borderId="57" xfId="1" applyFont="1" applyFill="1" applyBorder="1" applyAlignment="1" applyProtection="1">
      <alignment horizontal="center" vertical="center"/>
    </xf>
    <xf numFmtId="0" fontId="16" fillId="32" borderId="0" xfId="0" applyFont="1" applyFill="1" applyProtection="1">
      <protection locked="0"/>
    </xf>
    <xf numFmtId="0" fontId="37" fillId="9" borderId="0" xfId="0" applyFont="1" applyFill="1" applyAlignment="1">
      <alignment horizontal="center" vertical="center"/>
    </xf>
    <xf numFmtId="0" fontId="16" fillId="9" borderId="0" xfId="0" applyFont="1" applyFill="1" applyProtection="1">
      <protection locked="0"/>
    </xf>
    <xf numFmtId="0" fontId="27" fillId="32" borderId="0" xfId="0" applyFont="1" applyFill="1"/>
    <xf numFmtId="0" fontId="37" fillId="32" borderId="0" xfId="0" applyFont="1" applyFill="1" applyAlignment="1">
      <alignment horizontal="center" vertical="center"/>
    </xf>
    <xf numFmtId="0" fontId="99" fillId="33" borderId="20" xfId="0" applyFont="1" applyFill="1" applyBorder="1" applyAlignment="1">
      <alignment horizontal="center" vertical="center"/>
    </xf>
    <xf numFmtId="0" fontId="99" fillId="33" borderId="19" xfId="0" applyFont="1" applyFill="1" applyBorder="1" applyAlignment="1">
      <alignment horizontal="center" vertical="center"/>
    </xf>
    <xf numFmtId="0" fontId="99" fillId="33" borderId="20" xfId="0" applyFont="1" applyFill="1" applyBorder="1" applyAlignment="1">
      <alignment horizontal="center" vertical="center" wrapText="1"/>
    </xf>
    <xf numFmtId="0" fontId="99" fillId="33" borderId="9" xfId="0" applyFont="1" applyFill="1" applyBorder="1" applyAlignment="1">
      <alignment horizontal="center" vertical="center" wrapText="1"/>
    </xf>
    <xf numFmtId="0" fontId="99" fillId="33" borderId="0" xfId="0" applyFont="1" applyFill="1" applyAlignment="1">
      <alignment horizontal="center" vertical="center" wrapText="1"/>
    </xf>
    <xf numFmtId="0" fontId="99" fillId="33" borderId="19" xfId="0" applyFont="1" applyFill="1" applyBorder="1" applyAlignment="1">
      <alignment horizontal="center" vertical="center" wrapText="1"/>
    </xf>
    <xf numFmtId="0" fontId="99" fillId="33" borderId="14" xfId="0" applyFont="1" applyFill="1" applyBorder="1" applyAlignment="1">
      <alignment horizontal="center" vertical="center" wrapText="1"/>
    </xf>
    <xf numFmtId="0" fontId="99" fillId="0" borderId="0" xfId="0" applyFont="1" applyAlignment="1">
      <alignment horizontal="center" vertical="center" wrapText="1"/>
    </xf>
    <xf numFmtId="0" fontId="99" fillId="0" borderId="19" xfId="0" applyFont="1" applyBorder="1" applyAlignment="1" applyProtection="1">
      <alignment horizontal="center" vertical="center" wrapText="1"/>
      <protection locked="0"/>
    </xf>
    <xf numFmtId="0" fontId="100" fillId="0" borderId="20" xfId="0" applyFont="1" applyBorder="1" applyProtection="1">
      <protection locked="0"/>
    </xf>
    <xf numFmtId="0" fontId="100" fillId="0" borderId="20" xfId="0" applyFont="1" applyBorder="1" applyAlignment="1" applyProtection="1">
      <alignment horizontal="center" vertical="center" wrapText="1"/>
      <protection locked="0"/>
    </xf>
    <xf numFmtId="0" fontId="100" fillId="0" borderId="9" xfId="0" applyFont="1" applyBorder="1" applyAlignment="1" applyProtection="1">
      <alignment horizontal="center" vertical="center"/>
      <protection locked="0"/>
    </xf>
    <xf numFmtId="0" fontId="100" fillId="0" borderId="20" xfId="0" applyFont="1" applyBorder="1" applyAlignment="1" applyProtection="1">
      <alignment horizontal="center" vertical="center"/>
      <protection locked="0"/>
    </xf>
    <xf numFmtId="0" fontId="100" fillId="0" borderId="0" xfId="0" applyFont="1" applyProtection="1">
      <protection locked="0"/>
    </xf>
    <xf numFmtId="0" fontId="100" fillId="0" borderId="9" xfId="0" applyFont="1" applyBorder="1" applyProtection="1">
      <protection locked="0"/>
    </xf>
    <xf numFmtId="0" fontId="100" fillId="0" borderId="19" xfId="0" applyFont="1" applyBorder="1" applyProtection="1">
      <protection locked="0"/>
    </xf>
    <xf numFmtId="2" fontId="101" fillId="0" borderId="0" xfId="0" applyNumberFormat="1" applyFont="1" applyAlignment="1" applyProtection="1">
      <alignment horizontal="center" vertical="center"/>
      <protection locked="0"/>
    </xf>
    <xf numFmtId="0" fontId="100" fillId="0" borderId="7" xfId="0" applyFont="1" applyBorder="1" applyProtection="1">
      <protection locked="0"/>
    </xf>
    <xf numFmtId="0" fontId="100" fillId="0" borderId="1" xfId="0" applyFont="1" applyBorder="1" applyAlignment="1">
      <alignment horizontal="center" vertical="center"/>
    </xf>
    <xf numFmtId="0" fontId="100" fillId="0" borderId="0" xfId="0" applyFont="1" applyAlignment="1" applyProtection="1">
      <alignment horizontal="center" vertical="center" wrapText="1"/>
      <protection locked="0"/>
    </xf>
    <xf numFmtId="43" fontId="49" fillId="25" borderId="0" xfId="1" applyFont="1" applyFill="1" applyBorder="1" applyAlignment="1" applyProtection="1">
      <alignment horizontal="right" vertical="center"/>
    </xf>
    <xf numFmtId="0" fontId="27" fillId="20" borderId="41" xfId="0" applyFont="1" applyFill="1" applyBorder="1" applyAlignment="1" applyProtection="1">
      <alignment vertical="center"/>
      <protection locked="0"/>
    </xf>
    <xf numFmtId="0" fontId="27" fillId="20" borderId="43" xfId="0" applyFont="1" applyFill="1" applyBorder="1" applyAlignment="1" applyProtection="1">
      <alignment vertical="center"/>
      <protection locked="0"/>
    </xf>
    <xf numFmtId="0" fontId="27" fillId="20" borderId="55" xfId="0" applyFont="1" applyFill="1" applyBorder="1" applyAlignment="1">
      <alignment horizontal="center" vertical="center" wrapText="1"/>
    </xf>
    <xf numFmtId="0" fontId="27" fillId="20" borderId="58" xfId="0" applyFont="1" applyFill="1" applyBorder="1" applyAlignment="1">
      <alignment horizontal="center" vertical="center" wrapText="1"/>
    </xf>
    <xf numFmtId="0" fontId="27" fillId="20" borderId="57" xfId="0" applyFont="1" applyFill="1" applyBorder="1" applyAlignment="1">
      <alignment horizontal="center" vertical="center" wrapText="1"/>
    </xf>
    <xf numFmtId="170" fontId="28" fillId="15" borderId="1" xfId="0" applyNumberFormat="1" applyFont="1" applyFill="1" applyBorder="1" applyAlignment="1">
      <alignment horizontal="center" vertical="center"/>
    </xf>
    <xf numFmtId="171" fontId="28" fillId="15" borderId="1" xfId="0" applyNumberFormat="1" applyFont="1" applyFill="1" applyBorder="1" applyAlignment="1">
      <alignment horizontal="center" vertical="center"/>
    </xf>
    <xf numFmtId="172" fontId="48" fillId="9" borderId="1" xfId="0" applyNumberFormat="1" applyFont="1" applyFill="1" applyBorder="1" applyAlignment="1">
      <alignment horizontal="center" vertical="center"/>
    </xf>
    <xf numFmtId="43" fontId="31" fillId="2" borderId="18" xfId="1" applyFont="1" applyFill="1" applyBorder="1" applyAlignment="1" applyProtection="1">
      <alignment horizontal="center" vertical="center"/>
    </xf>
    <xf numFmtId="43" fontId="31" fillId="2" borderId="1" xfId="1" applyFont="1" applyFill="1" applyBorder="1" applyAlignment="1" applyProtection="1">
      <alignment horizontal="center" vertical="center"/>
    </xf>
    <xf numFmtId="43" fontId="31" fillId="2" borderId="27" xfId="1" applyFont="1" applyFill="1" applyBorder="1" applyAlignment="1" applyProtection="1">
      <alignment horizontal="center" vertical="center"/>
    </xf>
    <xf numFmtId="43" fontId="31" fillId="2" borderId="24" xfId="1" applyFont="1" applyFill="1" applyBorder="1" applyAlignment="1" applyProtection="1">
      <alignment horizontal="center" vertical="center"/>
    </xf>
    <xf numFmtId="2" fontId="28" fillId="15" borderId="10" xfId="1" applyNumberFormat="1" applyFont="1" applyFill="1" applyBorder="1" applyAlignment="1" applyProtection="1">
      <alignment horizontal="right" vertical="center"/>
    </xf>
    <xf numFmtId="2" fontId="28" fillId="15" borderId="28" xfId="1" applyNumberFormat="1" applyFont="1" applyFill="1" applyBorder="1" applyAlignment="1" applyProtection="1">
      <alignment horizontal="right" vertical="center"/>
    </xf>
    <xf numFmtId="0" fontId="17" fillId="0" borderId="1" xfId="6" applyFont="1" applyBorder="1" applyAlignment="1">
      <alignment horizontal="center" vertical="center"/>
    </xf>
    <xf numFmtId="0" fontId="27" fillId="20" borderId="43" xfId="0" applyFont="1" applyFill="1" applyBorder="1" applyAlignment="1" applyProtection="1">
      <alignment horizontal="center" vertical="center"/>
      <protection locked="0"/>
    </xf>
    <xf numFmtId="3" fontId="17" fillId="0" borderId="1" xfId="0" applyNumberFormat="1" applyFont="1" applyBorder="1" applyAlignment="1">
      <alignment horizontal="center" vertical="center"/>
    </xf>
    <xf numFmtId="4" fontId="17" fillId="0" borderId="1" xfId="0" applyNumberFormat="1" applyFont="1" applyBorder="1" applyAlignment="1">
      <alignment horizontal="center" vertical="center"/>
    </xf>
    <xf numFmtId="10" fontId="17" fillId="0" borderId="1" xfId="10" applyNumberFormat="1" applyFont="1" applyFill="1" applyBorder="1" applyAlignment="1">
      <alignment horizontal="center" vertical="center"/>
    </xf>
    <xf numFmtId="164" fontId="17" fillId="0" borderId="1" xfId="0" applyNumberFormat="1" applyFont="1" applyBorder="1" applyAlignment="1">
      <alignment horizontal="center" vertical="center"/>
    </xf>
    <xf numFmtId="0" fontId="17" fillId="0" borderId="20" xfId="0" applyFont="1" applyBorder="1"/>
    <xf numFmtId="0" fontId="17" fillId="0" borderId="20" xfId="0" applyFont="1" applyBorder="1" applyAlignment="1">
      <alignment horizontal="center" vertical="center"/>
    </xf>
    <xf numFmtId="4" fontId="17" fillId="0" borderId="20" xfId="0" applyNumberFormat="1" applyFont="1" applyBorder="1" applyAlignment="1">
      <alignment horizontal="center" vertical="center"/>
    </xf>
    <xf numFmtId="0" fontId="31" fillId="0" borderId="0" xfId="0" applyFont="1"/>
    <xf numFmtId="2" fontId="17" fillId="0" borderId="1" xfId="0" applyNumberFormat="1" applyFont="1" applyBorder="1" applyAlignment="1">
      <alignment horizontal="center"/>
    </xf>
    <xf numFmtId="0" fontId="17" fillId="0" borderId="1" xfId="0" applyFont="1" applyBorder="1" applyAlignment="1">
      <alignment horizontal="center"/>
    </xf>
    <xf numFmtId="165" fontId="97" fillId="0" borderId="1" xfId="0" applyNumberFormat="1" applyFont="1" applyBorder="1" applyAlignment="1">
      <alignment horizontal="center" vertical="center"/>
    </xf>
    <xf numFmtId="171" fontId="16" fillId="2" borderId="0" xfId="0" applyNumberFormat="1" applyFont="1" applyFill="1"/>
    <xf numFmtId="0" fontId="0" fillId="0" borderId="0" xfId="0" applyAlignment="1">
      <alignment wrapText="1"/>
    </xf>
    <xf numFmtId="44" fontId="31" fillId="2" borderId="10" xfId="13" applyFont="1" applyFill="1" applyBorder="1" applyAlignment="1" applyProtection="1">
      <alignment horizontal="right" vertical="center"/>
    </xf>
    <xf numFmtId="44" fontId="31" fillId="2" borderId="28" xfId="13" applyFont="1" applyFill="1" applyBorder="1" applyAlignment="1" applyProtection="1">
      <alignment horizontal="right" vertical="center"/>
    </xf>
    <xf numFmtId="171" fontId="16" fillId="0" borderId="0" xfId="0" applyNumberFormat="1" applyFont="1" applyProtection="1">
      <protection locked="0"/>
    </xf>
    <xf numFmtId="165" fontId="16" fillId="0" borderId="0" xfId="0" applyNumberFormat="1" applyFont="1" applyProtection="1">
      <protection locked="0"/>
    </xf>
    <xf numFmtId="1" fontId="102" fillId="0" borderId="0" xfId="0" applyNumberFormat="1" applyFont="1"/>
    <xf numFmtId="0" fontId="27" fillId="20" borderId="0" xfId="0" applyFont="1" applyFill="1" applyAlignment="1" applyProtection="1">
      <alignment horizontal="center" vertical="center" wrapText="1"/>
      <protection locked="0"/>
    </xf>
    <xf numFmtId="0" fontId="100" fillId="0" borderId="0" xfId="0" applyFont="1" applyAlignment="1" applyProtection="1">
      <alignment horizontal="center" vertical="center"/>
      <protection locked="0"/>
    </xf>
    <xf numFmtId="0" fontId="17" fillId="5" borderId="0" xfId="0" applyFont="1" applyFill="1" applyProtection="1">
      <protection locked="0"/>
    </xf>
    <xf numFmtId="0" fontId="25" fillId="5" borderId="0" xfId="0" applyFont="1" applyFill="1" applyAlignment="1" applyProtection="1">
      <alignment vertical="center"/>
      <protection locked="0"/>
    </xf>
    <xf numFmtId="0" fontId="100" fillId="5" borderId="9" xfId="0" applyFont="1" applyFill="1" applyBorder="1" applyAlignment="1" applyProtection="1">
      <alignment horizontal="center" vertical="center"/>
      <protection locked="0"/>
    </xf>
    <xf numFmtId="0" fontId="28" fillId="5" borderId="1" xfId="0" applyFont="1" applyFill="1" applyBorder="1" applyAlignment="1">
      <alignment horizontal="left" vertical="center"/>
    </xf>
    <xf numFmtId="0" fontId="50" fillId="5" borderId="0" xfId="0" applyFont="1" applyFill="1"/>
    <xf numFmtId="0" fontId="16" fillId="5" borderId="0" xfId="0" applyFont="1" applyFill="1" applyProtection="1">
      <protection locked="0"/>
    </xf>
    <xf numFmtId="0" fontId="103" fillId="0" borderId="1" xfId="0" applyFont="1" applyBorder="1" applyAlignment="1" applyProtection="1">
      <alignment horizontal="center" vertical="center"/>
      <protection locked="0"/>
    </xf>
    <xf numFmtId="0" fontId="104" fillId="0" borderId="1" xfId="0" applyFont="1" applyBorder="1" applyAlignment="1" applyProtection="1">
      <alignment horizontal="center" vertical="center"/>
      <protection locked="0"/>
    </xf>
    <xf numFmtId="0" fontId="104" fillId="0" borderId="1" xfId="0" applyFont="1" applyBorder="1" applyAlignment="1" applyProtection="1">
      <alignment horizontal="center" vertical="center" wrapText="1"/>
      <protection locked="0"/>
    </xf>
    <xf numFmtId="43" fontId="48" fillId="25" borderId="1" xfId="1" applyFont="1" applyFill="1" applyBorder="1" applyAlignment="1" applyProtection="1">
      <alignment horizontal="center" vertical="center"/>
    </xf>
    <xf numFmtId="43" fontId="28" fillId="0" borderId="0" xfId="0" applyNumberFormat="1" applyFont="1" applyProtection="1">
      <protection locked="0"/>
    </xf>
    <xf numFmtId="1" fontId="17" fillId="0" borderId="1" xfId="0" applyNumberFormat="1" applyFont="1" applyBorder="1" applyAlignment="1">
      <alignment horizontal="center" vertical="center"/>
    </xf>
    <xf numFmtId="0" fontId="17" fillId="5" borderId="1" xfId="0" applyFont="1" applyFill="1" applyBorder="1"/>
    <xf numFmtId="2" fontId="17" fillId="5" borderId="1" xfId="0" applyNumberFormat="1" applyFont="1" applyFill="1" applyBorder="1" applyAlignment="1">
      <alignment horizontal="center" vertical="center"/>
    </xf>
    <xf numFmtId="0" fontId="17" fillId="0" borderId="30" xfId="3" applyFont="1" applyBorder="1" applyAlignment="1">
      <alignment horizontal="center" vertical="center"/>
    </xf>
    <xf numFmtId="0" fontId="17" fillId="0" borderId="29" xfId="3" applyFont="1" applyBorder="1" applyAlignment="1">
      <alignment horizontal="center" vertical="center"/>
    </xf>
    <xf numFmtId="0" fontId="17" fillId="0" borderId="21" xfId="3" applyFont="1" applyBorder="1" applyAlignment="1">
      <alignment horizontal="center" vertical="center"/>
    </xf>
    <xf numFmtId="0" fontId="17" fillId="0" borderId="18" xfId="3" applyFont="1" applyBorder="1" applyAlignment="1">
      <alignment horizontal="center" vertical="center"/>
    </xf>
    <xf numFmtId="0" fontId="17" fillId="0" borderId="10" xfId="3" applyFont="1" applyBorder="1" applyAlignment="1">
      <alignment horizontal="center" vertical="center"/>
    </xf>
    <xf numFmtId="0" fontId="17" fillId="0" borderId="18" xfId="3" applyFont="1" applyBorder="1" applyAlignment="1">
      <alignment horizontal="left" vertical="center"/>
    </xf>
    <xf numFmtId="0" fontId="17" fillId="0" borderId="27" xfId="3" applyFont="1" applyBorder="1" applyAlignment="1">
      <alignment horizontal="left" vertical="center"/>
    </xf>
    <xf numFmtId="0" fontId="17" fillId="0" borderId="24" xfId="3" applyFont="1" applyBorder="1" applyAlignment="1">
      <alignment horizontal="center" vertical="center"/>
    </xf>
    <xf numFmtId="0" fontId="25" fillId="3" borderId="1" xfId="0" applyFont="1" applyFill="1" applyBorder="1" applyAlignment="1">
      <alignment horizontal="left" vertical="center"/>
    </xf>
    <xf numFmtId="0" fontId="25" fillId="0" borderId="0" xfId="0" applyFont="1" applyAlignment="1">
      <alignment horizontal="right"/>
    </xf>
    <xf numFmtId="0" fontId="31" fillId="0" borderId="0" xfId="0" applyFont="1" applyAlignment="1">
      <alignment horizontal="center" vertical="center"/>
    </xf>
    <xf numFmtId="0" fontId="31" fillId="0" borderId="0" xfId="0" applyFont="1" applyAlignment="1">
      <alignment horizontal="center"/>
    </xf>
    <xf numFmtId="0" fontId="17" fillId="0" borderId="0" xfId="0" applyFont="1" applyAlignment="1">
      <alignment horizontal="right"/>
    </xf>
    <xf numFmtId="2" fontId="17" fillId="0" borderId="0" xfId="0" applyNumberFormat="1" applyFont="1" applyAlignment="1">
      <alignment horizontal="left"/>
    </xf>
    <xf numFmtId="0" fontId="17" fillId="3" borderId="0" xfId="0" applyFont="1" applyFill="1"/>
    <xf numFmtId="164" fontId="17" fillId="0" borderId="0" xfId="0" applyNumberFormat="1" applyFont="1" applyAlignment="1">
      <alignment horizontal="center" vertical="center"/>
    </xf>
    <xf numFmtId="170" fontId="17" fillId="0" borderId="1" xfId="0" applyNumberFormat="1" applyFont="1" applyBorder="1" applyAlignment="1">
      <alignment horizontal="center" vertical="center"/>
    </xf>
    <xf numFmtId="170" fontId="17" fillId="27" borderId="1" xfId="0" applyNumberFormat="1" applyFont="1" applyFill="1" applyBorder="1" applyAlignment="1">
      <alignment horizontal="center" vertical="center"/>
    </xf>
    <xf numFmtId="0" fontId="31" fillId="0" borderId="1" xfId="0" applyFont="1" applyBorder="1"/>
    <xf numFmtId="0" fontId="17" fillId="0" borderId="2" xfId="0" applyFont="1" applyBorder="1" applyAlignment="1">
      <alignment horizontal="left" vertical="center"/>
    </xf>
    <xf numFmtId="165" fontId="17" fillId="0" borderId="1" xfId="0" applyNumberFormat="1" applyFont="1" applyBorder="1" applyAlignment="1">
      <alignment horizontal="left" vertical="center"/>
    </xf>
    <xf numFmtId="0" fontId="17" fillId="0" borderId="1" xfId="0" applyFont="1" applyBorder="1" applyAlignment="1">
      <alignment vertical="center"/>
    </xf>
    <xf numFmtId="165" fontId="17" fillId="28" borderId="1" xfId="0" applyNumberFormat="1" applyFont="1" applyFill="1" applyBorder="1" applyAlignment="1">
      <alignment horizontal="center" vertical="center"/>
    </xf>
    <xf numFmtId="0" fontId="17" fillId="28" borderId="1" xfId="0" applyFont="1" applyFill="1" applyBorder="1" applyAlignment="1">
      <alignment horizontal="center" vertical="center"/>
    </xf>
    <xf numFmtId="0" fontId="17" fillId="27" borderId="1" xfId="0" applyFont="1" applyFill="1" applyBorder="1" applyAlignment="1">
      <alignment horizontal="left" vertical="center"/>
    </xf>
    <xf numFmtId="0" fontId="31" fillId="27" borderId="1" xfId="0" applyFont="1" applyFill="1" applyBorder="1" applyAlignment="1">
      <alignment horizontal="center" vertical="center"/>
    </xf>
    <xf numFmtId="9" fontId="17" fillId="28" borderId="1" xfId="10" applyFont="1" applyFill="1" applyBorder="1" applyAlignment="1">
      <alignment horizontal="center"/>
    </xf>
    <xf numFmtId="0" fontId="17" fillId="28" borderId="0" xfId="0" applyFont="1" applyFill="1"/>
    <xf numFmtId="164" fontId="17" fillId="28" borderId="1" xfId="0" applyNumberFormat="1" applyFont="1" applyFill="1" applyBorder="1" applyAlignment="1">
      <alignment horizontal="left" vertical="center"/>
    </xf>
    <xf numFmtId="165" fontId="17" fillId="28" borderId="0" xfId="0" applyNumberFormat="1" applyFont="1" applyFill="1" applyAlignment="1">
      <alignment horizontal="center" vertical="center"/>
    </xf>
    <xf numFmtId="0" fontId="17" fillId="28" borderId="0" xfId="0" applyFont="1" applyFill="1" applyAlignment="1">
      <alignment horizontal="center" vertical="center"/>
    </xf>
    <xf numFmtId="0" fontId="17" fillId="0" borderId="1" xfId="0" applyFont="1" applyBorder="1" applyAlignment="1">
      <alignment horizontal="left"/>
    </xf>
    <xf numFmtId="0" fontId="31" fillId="27" borderId="1" xfId="0" applyFont="1" applyFill="1" applyBorder="1"/>
    <xf numFmtId="0" fontId="39" fillId="3" borderId="1" xfId="0" applyFont="1" applyFill="1" applyBorder="1" applyAlignment="1">
      <alignment horizontal="center"/>
    </xf>
    <xf numFmtId="9" fontId="31" fillId="0" borderId="1" xfId="10" applyFont="1" applyBorder="1" applyAlignment="1">
      <alignment horizontal="center" vertical="center"/>
    </xf>
    <xf numFmtId="9" fontId="17" fillId="0" borderId="1" xfId="10" applyFont="1" applyFill="1" applyBorder="1" applyAlignment="1">
      <alignment horizontal="center"/>
    </xf>
    <xf numFmtId="0" fontId="39" fillId="3" borderId="1" xfId="0" applyFont="1" applyFill="1" applyBorder="1" applyAlignment="1">
      <alignment horizontal="left"/>
    </xf>
    <xf numFmtId="0" fontId="17" fillId="19" borderId="1" xfId="0" applyFont="1" applyFill="1" applyBorder="1" applyAlignment="1">
      <alignment horizontal="center"/>
    </xf>
    <xf numFmtId="0" fontId="39" fillId="0" borderId="0" xfId="0" applyFont="1"/>
    <xf numFmtId="0" fontId="39" fillId="0" borderId="1" xfId="0" applyFont="1" applyBorder="1" applyAlignment="1">
      <alignment horizontal="left" vertical="center" wrapText="1"/>
    </xf>
    <xf numFmtId="0" fontId="17" fillId="0" borderId="2" xfId="0" applyFont="1" applyBorder="1"/>
    <xf numFmtId="0" fontId="17" fillId="0" borderId="10" xfId="0" applyFont="1" applyBorder="1" applyAlignment="1">
      <alignment horizontal="center" vertical="center"/>
    </xf>
    <xf numFmtId="0" fontId="39" fillId="0" borderId="1" xfId="0" applyFont="1" applyBorder="1"/>
    <xf numFmtId="0" fontId="17" fillId="0" borderId="28" xfId="3" applyFont="1" applyBorder="1" applyAlignment="1">
      <alignment horizontal="center" vertical="center"/>
    </xf>
    <xf numFmtId="0" fontId="48" fillId="0" borderId="1" xfId="0" applyFont="1" applyBorder="1" applyAlignment="1">
      <alignment horizontal="center" vertical="center" wrapText="1"/>
    </xf>
    <xf numFmtId="0" fontId="105" fillId="34" borderId="0" xfId="0" applyFont="1" applyFill="1" applyAlignment="1">
      <alignment vertical="top" wrapText="1" readingOrder="1"/>
    </xf>
    <xf numFmtId="0" fontId="106" fillId="0" borderId="73" xfId="0" applyFont="1" applyBorder="1" applyAlignment="1">
      <alignment vertical="top" wrapText="1" readingOrder="1"/>
    </xf>
    <xf numFmtId="166" fontId="25" fillId="3" borderId="5" xfId="3" applyNumberFormat="1" applyFont="1" applyFill="1" applyBorder="1" applyAlignment="1" applyProtection="1">
      <alignment horizontal="left" vertical="center"/>
      <protection hidden="1"/>
    </xf>
    <xf numFmtId="166" fontId="17" fillId="0" borderId="59" xfId="3" applyNumberFormat="1" applyFont="1" applyBorder="1" applyAlignment="1" applyProtection="1">
      <alignment horizontal="left" vertical="center"/>
      <protection hidden="1"/>
    </xf>
    <xf numFmtId="166" fontId="17" fillId="0" borderId="35" xfId="3" applyNumberFormat="1" applyFont="1" applyBorder="1" applyAlignment="1" applyProtection="1">
      <alignment horizontal="left" vertical="center"/>
      <protection hidden="1"/>
    </xf>
    <xf numFmtId="166" fontId="17" fillId="0" borderId="36" xfId="3" applyNumberFormat="1" applyFont="1" applyBorder="1" applyAlignment="1" applyProtection="1">
      <alignment horizontal="left" vertical="center"/>
      <protection hidden="1"/>
    </xf>
    <xf numFmtId="0" fontId="25" fillId="3" borderId="5" xfId="0" applyFont="1" applyFill="1" applyBorder="1" applyAlignment="1">
      <alignment horizontal="center" vertical="center"/>
    </xf>
    <xf numFmtId="166" fontId="17" fillId="0" borderId="30" xfId="3" applyNumberFormat="1" applyFont="1" applyBorder="1" applyAlignment="1" applyProtection="1">
      <alignment horizontal="center" vertical="center"/>
      <protection hidden="1"/>
    </xf>
    <xf numFmtId="166" fontId="17" fillId="0" borderId="29" xfId="3" applyNumberFormat="1" applyFont="1" applyBorder="1" applyAlignment="1" applyProtection="1">
      <alignment horizontal="center" vertical="center"/>
      <protection hidden="1"/>
    </xf>
    <xf numFmtId="9" fontId="17" fillId="0" borderId="29" xfId="10" applyFont="1" applyBorder="1" applyAlignment="1" applyProtection="1">
      <alignment horizontal="center" vertical="center"/>
      <protection hidden="1"/>
    </xf>
    <xf numFmtId="166" fontId="17" fillId="0" borderId="21" xfId="3" applyNumberFormat="1" applyFont="1" applyBorder="1" applyAlignment="1" applyProtection="1">
      <alignment horizontal="center" vertical="center"/>
      <protection hidden="1"/>
    </xf>
    <xf numFmtId="166" fontId="17" fillId="0" borderId="18" xfId="3" applyNumberFormat="1" applyFont="1" applyBorder="1" applyAlignment="1" applyProtection="1">
      <alignment horizontal="center" vertical="center"/>
      <protection hidden="1"/>
    </xf>
    <xf numFmtId="166" fontId="17" fillId="0" borderId="10" xfId="3" applyNumberFormat="1" applyFont="1" applyBorder="1" applyAlignment="1" applyProtection="1">
      <alignment horizontal="center" vertical="center"/>
      <protection hidden="1"/>
    </xf>
    <xf numFmtId="166" fontId="17" fillId="0" borderId="27" xfId="3" applyNumberFormat="1" applyFont="1" applyBorder="1" applyAlignment="1" applyProtection="1">
      <alignment horizontal="center" vertical="center"/>
      <protection hidden="1"/>
    </xf>
    <xf numFmtId="166" fontId="17" fillId="0" borderId="24" xfId="3" applyNumberFormat="1" applyFont="1" applyBorder="1" applyAlignment="1" applyProtection="1">
      <alignment horizontal="center" vertical="center"/>
      <protection hidden="1"/>
    </xf>
    <xf numFmtId="9" fontId="17" fillId="0" borderId="24" xfId="10" applyFont="1" applyBorder="1" applyAlignment="1" applyProtection="1">
      <alignment horizontal="center" vertical="center"/>
      <protection hidden="1"/>
    </xf>
    <xf numFmtId="166" fontId="17" fillId="0" borderId="28" xfId="3" applyNumberFormat="1" applyFont="1" applyBorder="1" applyAlignment="1" applyProtection="1">
      <alignment horizontal="center" vertical="center"/>
      <protection hidden="1"/>
    </xf>
    <xf numFmtId="0" fontId="27" fillId="28" borderId="10" xfId="0" applyFont="1" applyFill="1" applyBorder="1" applyAlignment="1" applyProtection="1">
      <alignment horizontal="center" vertical="center" wrapText="1"/>
      <protection locked="0"/>
    </xf>
    <xf numFmtId="0" fontId="27" fillId="28" borderId="36" xfId="0" applyFont="1" applyFill="1" applyBorder="1" applyAlignment="1" applyProtection="1">
      <alignment horizontal="center" vertical="center" wrapText="1"/>
      <protection locked="0"/>
    </xf>
    <xf numFmtId="0" fontId="16" fillId="28" borderId="0" xfId="0" applyFont="1" applyFill="1"/>
    <xf numFmtId="0" fontId="36" fillId="28" borderId="0" xfId="0" applyFont="1" applyFill="1"/>
    <xf numFmtId="0" fontId="13" fillId="28" borderId="0" xfId="0" applyFont="1" applyFill="1" applyAlignment="1">
      <alignment horizontal="center" vertical="center"/>
    </xf>
    <xf numFmtId="0" fontId="99" fillId="28" borderId="20" xfId="0" applyFont="1" applyFill="1" applyBorder="1" applyAlignment="1">
      <alignment horizontal="center" vertical="center" wrapText="1"/>
    </xf>
    <xf numFmtId="0" fontId="28" fillId="28" borderId="1" xfId="0" applyFont="1" applyFill="1" applyBorder="1" applyAlignment="1">
      <alignment horizontal="center" vertical="center"/>
    </xf>
    <xf numFmtId="0" fontId="37" fillId="28" borderId="0" xfId="0" applyFont="1" applyFill="1" applyAlignment="1">
      <alignment horizontal="center" vertical="center"/>
    </xf>
    <xf numFmtId="0" fontId="94" fillId="28" borderId="0" xfId="0" applyFont="1" applyFill="1" applyAlignment="1">
      <alignment horizontal="center"/>
    </xf>
    <xf numFmtId="166" fontId="17" fillId="28" borderId="1" xfId="3" applyNumberFormat="1" applyFont="1" applyFill="1" applyBorder="1" applyAlignment="1" applyProtection="1">
      <alignment horizontal="center" vertical="center"/>
      <protection hidden="1"/>
    </xf>
    <xf numFmtId="0" fontId="13" fillId="25" borderId="43" xfId="0" applyFont="1" applyFill="1" applyBorder="1" applyAlignment="1">
      <alignment horizontal="center" vertical="center"/>
    </xf>
    <xf numFmtId="0" fontId="13" fillId="25" borderId="42" xfId="0" applyFont="1" applyFill="1" applyBorder="1" applyAlignment="1">
      <alignment horizontal="center" vertical="center"/>
    </xf>
    <xf numFmtId="173" fontId="28" fillId="0" borderId="0" xfId="0" applyNumberFormat="1" applyFont="1" applyProtection="1">
      <protection locked="0"/>
    </xf>
    <xf numFmtId="0" fontId="16" fillId="3" borderId="16" xfId="0" applyFont="1" applyFill="1" applyBorder="1"/>
    <xf numFmtId="0" fontId="27" fillId="2" borderId="0" xfId="0" applyFont="1" applyFill="1" applyAlignment="1">
      <alignment vertical="center"/>
    </xf>
    <xf numFmtId="0" fontId="25" fillId="2" borderId="0" xfId="0" applyFont="1" applyFill="1" applyAlignment="1" applyProtection="1">
      <alignment vertical="center"/>
      <protection locked="0"/>
    </xf>
    <xf numFmtId="0" fontId="38" fillId="21" borderId="26" xfId="0" applyFont="1" applyFill="1" applyBorder="1" applyAlignment="1">
      <alignment horizontal="center" vertical="center"/>
    </xf>
    <xf numFmtId="43" fontId="39" fillId="2" borderId="21" xfId="1" applyFont="1" applyFill="1" applyBorder="1" applyAlignment="1" applyProtection="1">
      <alignment horizontal="right" vertical="center"/>
    </xf>
    <xf numFmtId="43" fontId="39" fillId="2" borderId="10" xfId="1" applyFont="1" applyFill="1" applyBorder="1" applyAlignment="1" applyProtection="1">
      <alignment horizontal="right" vertical="center"/>
    </xf>
    <xf numFmtId="1" fontId="39" fillId="2" borderId="10" xfId="1" applyNumberFormat="1" applyFont="1" applyFill="1" applyBorder="1" applyAlignment="1" applyProtection="1">
      <alignment horizontal="right" vertical="center"/>
    </xf>
    <xf numFmtId="165" fontId="39" fillId="2" borderId="10" xfId="1" applyNumberFormat="1" applyFont="1" applyFill="1" applyBorder="1" applyAlignment="1" applyProtection="1">
      <alignment horizontal="right" vertical="center"/>
    </xf>
    <xf numFmtId="14" fontId="0" fillId="0" borderId="1" xfId="0" applyNumberFormat="1" applyBorder="1"/>
    <xf numFmtId="0" fontId="0" fillId="0" borderId="1" xfId="0" applyBorder="1"/>
    <xf numFmtId="0" fontId="0" fillId="0" borderId="1" xfId="0" applyBorder="1" applyAlignment="1">
      <alignment wrapText="1"/>
    </xf>
    <xf numFmtId="0" fontId="0" fillId="0" borderId="1" xfId="0" applyBorder="1" applyAlignment="1">
      <alignment horizontal="right"/>
    </xf>
    <xf numFmtId="164" fontId="0" fillId="0" borderId="1" xfId="0" applyNumberFormat="1" applyBorder="1" applyAlignment="1">
      <alignment horizontal="left"/>
    </xf>
    <xf numFmtId="174" fontId="85" fillId="2" borderId="28" xfId="10" applyNumberFormat="1" applyFont="1" applyFill="1" applyBorder="1" applyAlignment="1" applyProtection="1">
      <alignment horizontal="right" vertical="center"/>
    </xf>
    <xf numFmtId="0" fontId="39" fillId="26" borderId="41" xfId="0" applyFont="1" applyFill="1" applyBorder="1"/>
    <xf numFmtId="0" fontId="12" fillId="26" borderId="76" xfId="0" applyFont="1" applyFill="1" applyBorder="1"/>
    <xf numFmtId="0" fontId="0" fillId="2" borderId="40" xfId="0" applyFill="1" applyBorder="1"/>
    <xf numFmtId="0" fontId="0" fillId="2" borderId="30" xfId="0" applyFill="1" applyBorder="1"/>
    <xf numFmtId="0" fontId="0" fillId="2" borderId="29" xfId="0" applyFill="1" applyBorder="1"/>
    <xf numFmtId="0" fontId="0" fillId="2" borderId="21" xfId="0" applyFill="1" applyBorder="1"/>
    <xf numFmtId="0" fontId="0" fillId="2" borderId="27" xfId="0" applyFill="1" applyBorder="1"/>
    <xf numFmtId="0" fontId="0" fillId="2" borderId="24" xfId="0" applyFill="1" applyBorder="1"/>
    <xf numFmtId="0" fontId="31" fillId="3" borderId="28" xfId="0" applyFont="1" applyFill="1" applyBorder="1"/>
    <xf numFmtId="166" fontId="17" fillId="35" borderId="29" xfId="3" applyNumberFormat="1" applyFont="1" applyFill="1" applyBorder="1" applyAlignment="1" applyProtection="1">
      <alignment horizontal="center" vertical="center"/>
      <protection hidden="1"/>
    </xf>
    <xf numFmtId="166" fontId="17" fillId="35" borderId="1" xfId="3" applyNumberFormat="1" applyFont="1" applyFill="1" applyBorder="1" applyAlignment="1" applyProtection="1">
      <alignment horizontal="center" vertical="center"/>
      <protection hidden="1"/>
    </xf>
    <xf numFmtId="166" fontId="17" fillId="35" borderId="24" xfId="3" applyNumberFormat="1" applyFont="1" applyFill="1" applyBorder="1" applyAlignment="1" applyProtection="1">
      <alignment horizontal="center" vertical="center"/>
      <protection hidden="1"/>
    </xf>
    <xf numFmtId="165" fontId="94" fillId="35" borderId="1" xfId="0" applyNumberFormat="1" applyFont="1" applyFill="1" applyBorder="1" applyAlignment="1">
      <alignment horizontal="center" vertical="center"/>
    </xf>
    <xf numFmtId="165" fontId="17" fillId="35" borderId="1" xfId="0" applyNumberFormat="1" applyFont="1" applyFill="1" applyBorder="1" applyAlignment="1">
      <alignment horizontal="center" vertical="center"/>
    </xf>
    <xf numFmtId="165" fontId="17" fillId="35" borderId="1" xfId="0" applyNumberFormat="1" applyFont="1" applyFill="1" applyBorder="1" applyAlignment="1">
      <alignment horizontal="center"/>
    </xf>
    <xf numFmtId="0" fontId="31" fillId="0" borderId="0" xfId="0" quotePrefix="1" applyFont="1"/>
    <xf numFmtId="0" fontId="22" fillId="4" borderId="0" xfId="0" applyFont="1" applyFill="1" applyAlignment="1">
      <alignment horizontal="left"/>
    </xf>
    <xf numFmtId="0" fontId="22" fillId="4" borderId="14" xfId="0" applyFont="1" applyFill="1" applyBorder="1" applyAlignment="1">
      <alignment horizontal="left"/>
    </xf>
    <xf numFmtId="0" fontId="0" fillId="4" borderId="14" xfId="0" applyFill="1" applyBorder="1" applyAlignment="1">
      <alignment horizontal="center"/>
    </xf>
    <xf numFmtId="166" fontId="39" fillId="2" borderId="60" xfId="3" applyNumberFormat="1" applyFont="1" applyFill="1" applyBorder="1" applyAlignment="1" applyProtection="1">
      <alignment horizontal="right" vertical="center" wrapText="1"/>
      <protection hidden="1"/>
    </xf>
    <xf numFmtId="166" fontId="39" fillId="2" borderId="67" xfId="3" applyNumberFormat="1" applyFont="1" applyFill="1" applyBorder="1" applyAlignment="1" applyProtection="1">
      <alignment horizontal="right" vertical="center" wrapText="1"/>
      <protection hidden="1"/>
    </xf>
    <xf numFmtId="166" fontId="39" fillId="2" borderId="53" xfId="3" applyNumberFormat="1" applyFont="1" applyFill="1" applyBorder="1" applyAlignment="1" applyProtection="1">
      <alignment horizontal="right" vertical="center" wrapText="1"/>
      <protection hidden="1"/>
    </xf>
    <xf numFmtId="166" fontId="39" fillId="2" borderId="33" xfId="3" applyNumberFormat="1" applyFont="1" applyFill="1" applyBorder="1" applyAlignment="1" applyProtection="1">
      <alignment horizontal="right" vertical="center" wrapText="1"/>
      <protection hidden="1"/>
    </xf>
    <xf numFmtId="166" fontId="39" fillId="2" borderId="13" xfId="3" applyNumberFormat="1" applyFont="1" applyFill="1" applyBorder="1" applyAlignment="1" applyProtection="1">
      <alignment horizontal="right" vertical="center" wrapText="1"/>
      <protection hidden="1"/>
    </xf>
    <xf numFmtId="166" fontId="39" fillId="2" borderId="19" xfId="3" applyNumberFormat="1" applyFont="1" applyFill="1" applyBorder="1" applyAlignment="1" applyProtection="1">
      <alignment horizontal="right" vertical="center" wrapText="1"/>
      <protection hidden="1"/>
    </xf>
    <xf numFmtId="0" fontId="31" fillId="2" borderId="2" xfId="3" quotePrefix="1" applyFont="1" applyFill="1" applyBorder="1" applyAlignment="1" applyProtection="1">
      <alignment horizontal="left" vertical="center" wrapText="1"/>
      <protection hidden="1"/>
    </xf>
    <xf numFmtId="0" fontId="31" fillId="2" borderId="3" xfId="3" applyFont="1" applyFill="1" applyBorder="1" applyAlignment="1" applyProtection="1">
      <alignment horizontal="left" vertical="center" wrapText="1"/>
      <protection hidden="1"/>
    </xf>
    <xf numFmtId="0" fontId="31" fillId="2" borderId="44" xfId="3" applyFont="1" applyFill="1" applyBorder="1" applyAlignment="1" applyProtection="1">
      <alignment horizontal="left" vertical="center" wrapText="1"/>
      <protection hidden="1"/>
    </xf>
    <xf numFmtId="166" fontId="39" fillId="2" borderId="31" xfId="3" applyNumberFormat="1" applyFont="1" applyFill="1" applyBorder="1" applyAlignment="1" applyProtection="1">
      <alignment horizontal="right" vertical="center" wrapText="1"/>
      <protection hidden="1"/>
    </xf>
    <xf numFmtId="166" fontId="39" fillId="2" borderId="4" xfId="3" applyNumberFormat="1" applyFont="1" applyFill="1" applyBorder="1" applyAlignment="1" applyProtection="1">
      <alignment horizontal="right" vertical="center" wrapText="1"/>
      <protection hidden="1"/>
    </xf>
    <xf numFmtId="0" fontId="39" fillId="2" borderId="31" xfId="3" applyFont="1" applyFill="1" applyBorder="1" applyAlignment="1" applyProtection="1">
      <alignment horizontal="right" vertical="center" wrapText="1"/>
      <protection hidden="1"/>
    </xf>
    <xf numFmtId="0" fontId="39" fillId="2" borderId="4" xfId="3" applyFont="1" applyFill="1" applyBorder="1" applyAlignment="1" applyProtection="1">
      <alignment horizontal="right" vertical="center" wrapText="1"/>
      <protection hidden="1"/>
    </xf>
    <xf numFmtId="0" fontId="31" fillId="2" borderId="2" xfId="3" applyFont="1" applyFill="1" applyBorder="1" applyAlignment="1" applyProtection="1">
      <alignment horizontal="left" vertical="center" wrapText="1"/>
      <protection hidden="1"/>
    </xf>
    <xf numFmtId="0" fontId="39" fillId="2" borderId="18" xfId="3" applyFont="1" applyFill="1" applyBorder="1" applyAlignment="1" applyProtection="1">
      <alignment horizontal="right" vertical="center"/>
      <protection hidden="1"/>
    </xf>
    <xf numFmtId="0" fontId="39" fillId="2" borderId="1" xfId="3" applyFont="1" applyFill="1" applyBorder="1" applyAlignment="1" applyProtection="1">
      <alignment horizontal="right" vertical="center"/>
      <protection hidden="1"/>
    </xf>
    <xf numFmtId="0" fontId="31" fillId="2" borderId="1" xfId="3" applyFont="1" applyFill="1" applyBorder="1" applyAlignment="1" applyProtection="1">
      <alignment horizontal="left" vertical="center" wrapText="1"/>
      <protection hidden="1"/>
    </xf>
    <xf numFmtId="0" fontId="31" fillId="2" borderId="1" xfId="3" applyFont="1" applyFill="1" applyBorder="1" applyAlignment="1" applyProtection="1">
      <alignment horizontal="left" vertical="center"/>
      <protection hidden="1"/>
    </xf>
    <xf numFmtId="0" fontId="31" fillId="2" borderId="10" xfId="3" applyFont="1" applyFill="1" applyBorder="1" applyAlignment="1" applyProtection="1">
      <alignment horizontal="left" vertical="center"/>
      <protection hidden="1"/>
    </xf>
    <xf numFmtId="0" fontId="39" fillId="2" borderId="18" xfId="3" applyFont="1" applyFill="1" applyBorder="1" applyAlignment="1" applyProtection="1">
      <alignment horizontal="right" vertical="center" wrapText="1"/>
      <protection hidden="1"/>
    </xf>
    <xf numFmtId="0" fontId="39" fillId="2" borderId="1" xfId="3" applyFont="1" applyFill="1" applyBorder="1" applyAlignment="1" applyProtection="1">
      <alignment horizontal="right" vertical="center" wrapText="1"/>
      <protection hidden="1"/>
    </xf>
    <xf numFmtId="0" fontId="31" fillId="2" borderId="10" xfId="3" applyFont="1" applyFill="1" applyBorder="1" applyAlignment="1" applyProtection="1">
      <alignment horizontal="left" vertical="center" wrapText="1"/>
      <protection hidden="1"/>
    </xf>
    <xf numFmtId="3" fontId="39" fillId="2" borderId="18" xfId="3" applyNumberFormat="1" applyFont="1" applyFill="1" applyBorder="1" applyAlignment="1" applyProtection="1">
      <alignment horizontal="right" vertical="center" wrapText="1"/>
      <protection hidden="1"/>
    </xf>
    <xf numFmtId="3" fontId="39" fillId="2" borderId="1" xfId="3" applyNumberFormat="1" applyFont="1" applyFill="1" applyBorder="1" applyAlignment="1" applyProtection="1">
      <alignment horizontal="right" vertical="center" wrapText="1"/>
      <protection hidden="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0" fillId="2" borderId="44" xfId="0" applyFill="1" applyBorder="1" applyAlignment="1">
      <alignment horizontal="left" vertical="center" wrapText="1"/>
    </xf>
    <xf numFmtId="166" fontId="31" fillId="2" borderId="4" xfId="3" applyNumberFormat="1" applyFont="1" applyFill="1" applyBorder="1" applyAlignment="1" applyProtection="1">
      <alignment horizontal="right" vertical="center" wrapText="1"/>
      <protection hidden="1"/>
    </xf>
    <xf numFmtId="0" fontId="31" fillId="2" borderId="9" xfId="3" applyFont="1" applyFill="1" applyBorder="1" applyAlignment="1" applyProtection="1">
      <alignment horizontal="left" vertical="top" wrapText="1"/>
      <protection hidden="1"/>
    </xf>
    <xf numFmtId="0" fontId="31" fillId="2" borderId="0" xfId="3" applyFont="1" applyFill="1" applyAlignment="1" applyProtection="1">
      <alignment horizontal="left" vertical="top" wrapText="1"/>
      <protection hidden="1"/>
    </xf>
    <xf numFmtId="0" fontId="31" fillId="2" borderId="8" xfId="3" applyFont="1" applyFill="1" applyBorder="1" applyAlignment="1" applyProtection="1">
      <alignment horizontal="left" vertical="top" wrapText="1"/>
      <protection hidden="1"/>
    </xf>
    <xf numFmtId="0" fontId="31" fillId="2" borderId="6" xfId="3" applyFont="1" applyFill="1" applyBorder="1" applyAlignment="1" applyProtection="1">
      <alignment horizontal="left" vertical="top" wrapText="1"/>
      <protection hidden="1"/>
    </xf>
    <xf numFmtId="0" fontId="15" fillId="0" borderId="18" xfId="0" applyFont="1" applyBorder="1" applyAlignment="1">
      <alignment horizontal="right" vertical="center" wrapText="1"/>
    </xf>
    <xf numFmtId="0" fontId="15" fillId="0" borderId="1" xfId="0" applyFont="1" applyBorder="1" applyAlignment="1">
      <alignment horizontal="right" vertical="center"/>
    </xf>
    <xf numFmtId="0" fontId="0" fillId="2" borderId="1" xfId="0" applyFill="1" applyBorder="1" applyAlignment="1">
      <alignment horizontal="left" vertical="center" wrapText="1"/>
    </xf>
    <xf numFmtId="0" fontId="0" fillId="2" borderId="10" xfId="0" applyFill="1" applyBorder="1" applyAlignment="1">
      <alignment horizontal="left" vertical="center" wrapText="1"/>
    </xf>
    <xf numFmtId="0" fontId="0" fillId="2" borderId="5" xfId="0" applyFill="1" applyBorder="1" applyAlignment="1">
      <alignment horizontal="left" vertical="center" wrapText="1"/>
    </xf>
    <xf numFmtId="0" fontId="0" fillId="2" borderId="11" xfId="0" applyFill="1" applyBorder="1" applyAlignment="1">
      <alignment horizontal="left" vertical="center" wrapText="1"/>
    </xf>
    <xf numFmtId="0" fontId="15" fillId="2" borderId="18" xfId="0" applyFont="1" applyFill="1" applyBorder="1" applyAlignment="1">
      <alignment horizontal="right" vertical="center" wrapText="1"/>
    </xf>
    <xf numFmtId="0" fontId="15" fillId="2" borderId="1" xfId="0" applyFont="1" applyFill="1" applyBorder="1" applyAlignment="1">
      <alignment horizontal="right" vertical="center" wrapText="1"/>
    </xf>
    <xf numFmtId="0" fontId="0" fillId="22" borderId="0" xfId="0" applyFill="1" applyAlignment="1">
      <alignment horizontal="center" vertical="center" wrapText="1"/>
    </xf>
    <xf numFmtId="0" fontId="39" fillId="2" borderId="47" xfId="3" applyFont="1" applyFill="1" applyBorder="1" applyAlignment="1" applyProtection="1">
      <alignment horizontal="right" vertical="center" wrapText="1"/>
      <protection hidden="1"/>
    </xf>
    <xf numFmtId="0" fontId="39" fillId="2" borderId="70" xfId="3" applyFont="1" applyFill="1" applyBorder="1" applyAlignment="1" applyProtection="1">
      <alignment horizontal="right" vertical="center" wrapText="1"/>
      <protection hidden="1"/>
    </xf>
    <xf numFmtId="0" fontId="31" fillId="2" borderId="25" xfId="3" applyFont="1" applyFill="1" applyBorder="1" applyAlignment="1" applyProtection="1">
      <alignment horizontal="left" vertical="center" wrapText="1"/>
      <protection hidden="1"/>
    </xf>
    <xf numFmtId="0" fontId="31" fillId="2" borderId="45" xfId="3" applyFont="1" applyFill="1" applyBorder="1" applyAlignment="1" applyProtection="1">
      <alignment horizontal="left" vertical="center" wrapText="1"/>
      <protection hidden="1"/>
    </xf>
    <xf numFmtId="0" fontId="31" fillId="2" borderId="46" xfId="3" applyFont="1" applyFill="1" applyBorder="1" applyAlignment="1" applyProtection="1">
      <alignment horizontal="left" vertical="center" wrapText="1"/>
      <protection hidden="1"/>
    </xf>
    <xf numFmtId="0" fontId="73" fillId="22" borderId="22" xfId="0" applyFont="1" applyFill="1" applyBorder="1" applyAlignment="1">
      <alignment horizontal="center" vertical="center" wrapText="1"/>
    </xf>
    <xf numFmtId="0" fontId="73" fillId="22" borderId="26" xfId="0" applyFont="1" applyFill="1" applyBorder="1" applyAlignment="1">
      <alignment horizontal="center" vertical="center" wrapText="1"/>
    </xf>
    <xf numFmtId="0" fontId="73" fillId="22" borderId="23" xfId="0" applyFont="1" applyFill="1" applyBorder="1" applyAlignment="1">
      <alignment horizontal="center" vertical="center" wrapText="1"/>
    </xf>
    <xf numFmtId="0" fontId="31" fillId="2" borderId="1" xfId="3" applyFont="1" applyFill="1" applyBorder="1" applyAlignment="1" applyProtection="1">
      <alignment horizontal="center" vertical="center" wrapText="1"/>
      <protection hidden="1"/>
    </xf>
    <xf numFmtId="0" fontId="39" fillId="2" borderId="1" xfId="3" applyFont="1" applyFill="1" applyBorder="1" applyAlignment="1" applyProtection="1">
      <alignment horizontal="center" vertical="center" wrapText="1"/>
      <protection hidden="1"/>
    </xf>
    <xf numFmtId="0" fontId="73" fillId="22" borderId="41" xfId="0" applyFont="1" applyFill="1" applyBorder="1" applyAlignment="1">
      <alignment horizontal="center" vertical="center" wrapText="1"/>
    </xf>
    <xf numFmtId="0" fontId="73" fillId="22" borderId="43" xfId="0" applyFont="1" applyFill="1" applyBorder="1" applyAlignment="1">
      <alignment horizontal="center" vertical="center" wrapText="1"/>
    </xf>
    <xf numFmtId="0" fontId="73" fillId="22" borderId="42" xfId="0" applyFont="1" applyFill="1" applyBorder="1" applyAlignment="1">
      <alignment horizontal="center" vertical="center" wrapText="1"/>
    </xf>
    <xf numFmtId="0" fontId="31" fillId="2" borderId="41" xfId="3" applyFont="1" applyFill="1" applyBorder="1" applyAlignment="1" applyProtection="1">
      <alignment horizontal="center" vertical="center" wrapText="1"/>
      <protection hidden="1"/>
    </xf>
    <xf numFmtId="0" fontId="39" fillId="2" borderId="43" xfId="3" applyFont="1" applyFill="1" applyBorder="1" applyAlignment="1" applyProtection="1">
      <alignment horizontal="center" vertical="center" wrapText="1"/>
      <protection hidden="1"/>
    </xf>
    <xf numFmtId="0" fontId="39" fillId="2" borderId="42" xfId="3" applyFont="1" applyFill="1" applyBorder="1" applyAlignment="1" applyProtection="1">
      <alignment horizontal="center" vertical="center" wrapText="1"/>
      <protection hidden="1"/>
    </xf>
    <xf numFmtId="0" fontId="72" fillId="22" borderId="13" xfId="0" applyFont="1" applyFill="1" applyBorder="1" applyAlignment="1">
      <alignment horizontal="center" vertical="center"/>
    </xf>
    <xf numFmtId="0" fontId="72" fillId="22" borderId="0" xfId="0" applyFont="1" applyFill="1" applyAlignment="1">
      <alignment horizontal="center" vertical="center"/>
    </xf>
    <xf numFmtId="0" fontId="81" fillId="22" borderId="22" xfId="0" applyFont="1" applyFill="1" applyBorder="1" applyAlignment="1">
      <alignment horizontal="center" vertical="center"/>
    </xf>
    <xf numFmtId="0" fontId="81" fillId="22" borderId="26" xfId="0" applyFont="1" applyFill="1" applyBorder="1" applyAlignment="1">
      <alignment horizontal="center" vertical="center"/>
    </xf>
    <xf numFmtId="0" fontId="81" fillId="22" borderId="23" xfId="0" applyFont="1" applyFill="1" applyBorder="1" applyAlignment="1">
      <alignment horizontal="center" vertical="center"/>
    </xf>
    <xf numFmtId="0" fontId="81" fillId="22" borderId="13" xfId="0" applyFont="1" applyFill="1" applyBorder="1" applyAlignment="1">
      <alignment horizontal="center" vertical="center"/>
    </xf>
    <xf numFmtId="0" fontId="81" fillId="22" borderId="0" xfId="0" applyFont="1" applyFill="1" applyAlignment="1">
      <alignment horizontal="center" vertical="center"/>
    </xf>
    <xf numFmtId="0" fontId="81" fillId="22" borderId="14" xfId="0" applyFont="1" applyFill="1" applyBorder="1" applyAlignment="1">
      <alignment horizontal="center" vertical="center"/>
    </xf>
    <xf numFmtId="0" fontId="40" fillId="24" borderId="22" xfId="0" applyFont="1" applyFill="1" applyBorder="1" applyAlignment="1">
      <alignment horizontal="center" vertical="center"/>
    </xf>
    <xf numFmtId="0" fontId="40" fillId="24" borderId="26" xfId="0" applyFont="1" applyFill="1" applyBorder="1" applyAlignment="1">
      <alignment horizontal="center" vertical="center"/>
    </xf>
    <xf numFmtId="0" fontId="40" fillId="24" borderId="23" xfId="0" applyFont="1" applyFill="1" applyBorder="1" applyAlignment="1">
      <alignment horizontal="center" vertical="center"/>
    </xf>
    <xf numFmtId="0" fontId="40" fillId="24" borderId="15" xfId="0" applyFont="1" applyFill="1" applyBorder="1" applyAlignment="1">
      <alignment horizontal="center" vertical="center"/>
    </xf>
    <xf numFmtId="0" fontId="40" fillId="24" borderId="16" xfId="0" applyFont="1" applyFill="1" applyBorder="1" applyAlignment="1">
      <alignment horizontal="center" vertical="center"/>
    </xf>
    <xf numFmtId="0" fontId="40" fillId="24" borderId="17" xfId="0" applyFont="1" applyFill="1" applyBorder="1" applyAlignment="1">
      <alignment horizontal="center" vertical="center"/>
    </xf>
    <xf numFmtId="0" fontId="0" fillId="4" borderId="26" xfId="0" applyFill="1" applyBorder="1" applyAlignment="1">
      <alignment horizontal="center"/>
    </xf>
    <xf numFmtId="0" fontId="0" fillId="4" borderId="23" xfId="0" applyFill="1" applyBorder="1" applyAlignment="1">
      <alignment horizontal="center"/>
    </xf>
    <xf numFmtId="0" fontId="0" fillId="4" borderId="0" xfId="0" applyFill="1" applyAlignment="1">
      <alignment horizontal="center"/>
    </xf>
    <xf numFmtId="0" fontId="0" fillId="4" borderId="16" xfId="0" applyFill="1" applyBorder="1" applyAlignment="1">
      <alignment horizontal="center"/>
    </xf>
    <xf numFmtId="0" fontId="0" fillId="4" borderId="17" xfId="0" applyFill="1" applyBorder="1" applyAlignment="1">
      <alignment horizontal="center"/>
    </xf>
    <xf numFmtId="0" fontId="31" fillId="2" borderId="15" xfId="3" applyFont="1" applyFill="1" applyBorder="1" applyAlignment="1" applyProtection="1">
      <alignment horizontal="center" vertical="center" wrapText="1"/>
      <protection hidden="1"/>
    </xf>
    <xf numFmtId="0" fontId="31" fillId="2" borderId="16" xfId="3" applyFont="1" applyFill="1" applyBorder="1" applyAlignment="1" applyProtection="1">
      <alignment horizontal="center" vertical="center" wrapText="1"/>
      <protection hidden="1"/>
    </xf>
    <xf numFmtId="0" fontId="31" fillId="2" borderId="17" xfId="3" applyFont="1" applyFill="1" applyBorder="1" applyAlignment="1" applyProtection="1">
      <alignment horizontal="center" vertical="center" wrapText="1"/>
      <protection hidden="1"/>
    </xf>
    <xf numFmtId="0" fontId="0" fillId="4" borderId="15" xfId="0" applyFill="1" applyBorder="1" applyAlignment="1">
      <alignment horizontal="left"/>
    </xf>
    <xf numFmtId="0" fontId="0" fillId="4" borderId="16" xfId="0" applyFill="1" applyBorder="1" applyAlignment="1">
      <alignment horizontal="left"/>
    </xf>
    <xf numFmtId="0" fontId="0" fillId="4" borderId="17" xfId="0" applyFill="1" applyBorder="1" applyAlignment="1">
      <alignment horizontal="left"/>
    </xf>
    <xf numFmtId="166" fontId="39" fillId="0" borderId="31" xfId="3" applyNumberFormat="1" applyFont="1" applyBorder="1" applyAlignment="1" applyProtection="1">
      <alignment horizontal="right" vertical="center" wrapText="1"/>
      <protection hidden="1"/>
    </xf>
    <xf numFmtId="166" fontId="39" fillId="0" borderId="4" xfId="3" applyNumberFormat="1" applyFont="1" applyBorder="1" applyAlignment="1" applyProtection="1">
      <alignment horizontal="right" vertical="center" wrapText="1"/>
      <protection hidden="1"/>
    </xf>
    <xf numFmtId="166" fontId="39" fillId="0" borderId="34" xfId="3" applyNumberFormat="1" applyFont="1" applyBorder="1" applyAlignment="1" applyProtection="1">
      <alignment horizontal="right" vertical="center" wrapText="1"/>
      <protection hidden="1"/>
    </xf>
    <xf numFmtId="166" fontId="39" fillId="0" borderId="50" xfId="3" applyNumberFormat="1" applyFont="1" applyBorder="1" applyAlignment="1" applyProtection="1">
      <alignment horizontal="right" vertical="center" wrapText="1"/>
      <protection hidden="1"/>
    </xf>
    <xf numFmtId="0" fontId="31" fillId="2" borderId="64" xfId="3" applyFont="1" applyFill="1" applyBorder="1" applyAlignment="1" applyProtection="1">
      <alignment horizontal="left" vertical="center" wrapText="1"/>
      <protection hidden="1"/>
    </xf>
    <xf numFmtId="0" fontId="31" fillId="2" borderId="51" xfId="3" applyFont="1" applyFill="1" applyBorder="1" applyAlignment="1" applyProtection="1">
      <alignment horizontal="left" vertical="center" wrapText="1"/>
      <protection hidden="1"/>
    </xf>
    <xf numFmtId="0" fontId="31" fillId="2" borderId="52" xfId="3" applyFont="1" applyFill="1" applyBorder="1" applyAlignment="1" applyProtection="1">
      <alignment horizontal="left" vertical="center" wrapText="1"/>
      <protection hidden="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4" xfId="0" applyBorder="1" applyAlignment="1">
      <alignment horizontal="left" vertical="center" wrapText="1"/>
    </xf>
    <xf numFmtId="0" fontId="12" fillId="25" borderId="50" xfId="0" applyFont="1" applyFill="1" applyBorder="1" applyAlignment="1">
      <alignment horizontal="right" vertical="center"/>
    </xf>
    <xf numFmtId="0" fontId="12" fillId="25" borderId="29" xfId="0" applyFont="1" applyFill="1" applyBorder="1" applyAlignment="1">
      <alignment horizontal="right" vertical="center"/>
    </xf>
    <xf numFmtId="0" fontId="41" fillId="25" borderId="51" xfId="0" applyFont="1" applyFill="1" applyBorder="1" applyAlignment="1">
      <alignment horizontal="center" vertical="center" wrapText="1"/>
    </xf>
    <xf numFmtId="0" fontId="12" fillId="25" borderId="51" xfId="0" applyFont="1" applyFill="1" applyBorder="1" applyAlignment="1">
      <alignment horizontal="center" vertical="center" wrapText="1"/>
    </xf>
    <xf numFmtId="0" fontId="12" fillId="25" borderId="52" xfId="0" applyFont="1" applyFill="1" applyBorder="1" applyAlignment="1">
      <alignment horizontal="center" vertical="center" wrapText="1"/>
    </xf>
    <xf numFmtId="0" fontId="12" fillId="25" borderId="16" xfId="0" applyFont="1" applyFill="1" applyBorder="1" applyAlignment="1">
      <alignment horizontal="center" vertical="center" wrapText="1"/>
    </xf>
    <xf numFmtId="0" fontId="12" fillId="25" borderId="17" xfId="0" applyFont="1" applyFill="1" applyBorder="1" applyAlignment="1">
      <alignment horizontal="center" vertical="center" wrapText="1"/>
    </xf>
    <xf numFmtId="0" fontId="0" fillId="0" borderId="30" xfId="0" applyBorder="1" applyAlignment="1">
      <alignment horizontal="left" vertical="center" wrapText="1"/>
    </xf>
    <xf numFmtId="0" fontId="0" fillId="0" borderId="29" xfId="0" applyBorder="1" applyAlignment="1">
      <alignment horizontal="left" vertical="center" wrapText="1"/>
    </xf>
    <xf numFmtId="0" fontId="0" fillId="0" borderId="21" xfId="0" applyBorder="1" applyAlignment="1">
      <alignment horizontal="left" vertical="center" wrapText="1"/>
    </xf>
    <xf numFmtId="0" fontId="0" fillId="0" borderId="18" xfId="0" applyBorder="1" applyAlignment="1">
      <alignment horizontal="left" vertical="center" wrapText="1"/>
    </xf>
    <xf numFmtId="0" fontId="0" fillId="0" borderId="1" xfId="0" applyBorder="1" applyAlignment="1">
      <alignment horizontal="left" vertical="center" wrapText="1"/>
    </xf>
    <xf numFmtId="0" fontId="0" fillId="0" borderId="10" xfId="0" applyBorder="1" applyAlignment="1">
      <alignment horizontal="left" vertical="center" wrapText="1"/>
    </xf>
    <xf numFmtId="0" fontId="0" fillId="0" borderId="69" xfId="0" applyBorder="1" applyAlignment="1">
      <alignment horizontal="left" vertical="center" wrapText="1"/>
    </xf>
    <xf numFmtId="0" fontId="0" fillId="0" borderId="5" xfId="0" applyBorder="1" applyAlignment="1">
      <alignment horizontal="left" vertical="center" wrapText="1"/>
    </xf>
    <xf numFmtId="0" fontId="0" fillId="0" borderId="11" xfId="0" applyBorder="1" applyAlignment="1">
      <alignment horizontal="left" vertical="center" wrapText="1"/>
    </xf>
    <xf numFmtId="0" fontId="31" fillId="25" borderId="22" xfId="0" applyFont="1" applyFill="1" applyBorder="1" applyAlignment="1">
      <alignment horizontal="center"/>
    </xf>
    <xf numFmtId="0" fontId="31" fillId="25" borderId="26" xfId="0" applyFont="1" applyFill="1" applyBorder="1" applyAlignment="1">
      <alignment horizontal="center"/>
    </xf>
    <xf numFmtId="0" fontId="31" fillId="25" borderId="13" xfId="0" applyFont="1" applyFill="1" applyBorder="1" applyAlignment="1">
      <alignment horizontal="center"/>
    </xf>
    <xf numFmtId="0" fontId="31" fillId="25" borderId="0" xfId="0" applyFont="1" applyFill="1" applyAlignment="1">
      <alignment horizontal="center"/>
    </xf>
    <xf numFmtId="0" fontId="31" fillId="25" borderId="15" xfId="0" applyFont="1" applyFill="1" applyBorder="1" applyAlignment="1">
      <alignment horizontal="center"/>
    </xf>
    <xf numFmtId="0" fontId="31" fillId="25" borderId="16" xfId="0" applyFont="1" applyFill="1" applyBorder="1" applyAlignment="1">
      <alignment horizontal="center"/>
    </xf>
    <xf numFmtId="0" fontId="30" fillId="25" borderId="26" xfId="0" applyFont="1" applyFill="1" applyBorder="1" applyAlignment="1">
      <alignment horizontal="center" vertical="center"/>
    </xf>
    <xf numFmtId="0" fontId="30" fillId="25" borderId="23" xfId="0" applyFont="1" applyFill="1" applyBorder="1" applyAlignment="1">
      <alignment horizontal="center" vertical="center"/>
    </xf>
    <xf numFmtId="0" fontId="30" fillId="25" borderId="0" xfId="0" applyFont="1" applyFill="1" applyAlignment="1">
      <alignment horizontal="center" vertical="center"/>
    </xf>
    <xf numFmtId="0" fontId="30" fillId="25" borderId="14" xfId="0" applyFont="1" applyFill="1" applyBorder="1" applyAlignment="1">
      <alignment horizontal="center" vertical="center"/>
    </xf>
    <xf numFmtId="0" fontId="30" fillId="25" borderId="16" xfId="0" applyFont="1" applyFill="1" applyBorder="1" applyAlignment="1">
      <alignment horizontal="center" vertical="center"/>
    </xf>
    <xf numFmtId="0" fontId="30" fillId="25" borderId="17" xfId="0" applyFont="1" applyFill="1" applyBorder="1" applyAlignment="1">
      <alignment horizontal="center" vertical="center"/>
    </xf>
    <xf numFmtId="0" fontId="39" fillId="22" borderId="22" xfId="0" applyFont="1" applyFill="1" applyBorder="1" applyAlignment="1">
      <alignment horizontal="center" vertical="center"/>
    </xf>
    <xf numFmtId="0" fontId="25" fillId="22" borderId="26" xfId="0" applyFont="1" applyFill="1" applyBorder="1" applyAlignment="1">
      <alignment horizontal="center" vertical="center"/>
    </xf>
    <xf numFmtId="0" fontId="25" fillId="22" borderId="23" xfId="0" applyFont="1" applyFill="1" applyBorder="1" applyAlignment="1">
      <alignment horizontal="center" vertical="center"/>
    </xf>
    <xf numFmtId="0" fontId="74" fillId="22" borderId="41" xfId="0" applyFont="1" applyFill="1" applyBorder="1" applyAlignment="1">
      <alignment horizontal="center" vertical="center" wrapText="1"/>
    </xf>
    <xf numFmtId="0" fontId="74" fillId="22" borderId="43" xfId="0" applyFont="1" applyFill="1" applyBorder="1" applyAlignment="1">
      <alignment horizontal="center" vertical="center" wrapText="1"/>
    </xf>
    <xf numFmtId="0" fontId="74" fillId="22" borderId="42" xfId="0" applyFont="1" applyFill="1" applyBorder="1" applyAlignment="1">
      <alignment horizontal="center" vertical="center" wrapText="1"/>
    </xf>
    <xf numFmtId="0" fontId="31" fillId="0" borderId="41" xfId="0" applyFont="1" applyBorder="1" applyAlignment="1">
      <alignment horizontal="center" vertical="center" wrapText="1"/>
    </xf>
    <xf numFmtId="0" fontId="26" fillId="0" borderId="43" xfId="0" applyFont="1" applyBorder="1" applyAlignment="1">
      <alignment horizontal="center" vertical="center" wrapText="1"/>
    </xf>
    <xf numFmtId="0" fontId="26" fillId="0" borderId="42" xfId="0" applyFont="1" applyBorder="1" applyAlignment="1">
      <alignment horizontal="center" vertical="center" wrapText="1"/>
    </xf>
    <xf numFmtId="0" fontId="15" fillId="2" borderId="69" xfId="0" applyFont="1" applyFill="1" applyBorder="1" applyAlignment="1">
      <alignment horizontal="right" vertical="center" wrapText="1"/>
    </xf>
    <xf numFmtId="0" fontId="15" fillId="2" borderId="5" xfId="0" applyFont="1" applyFill="1" applyBorder="1" applyAlignment="1">
      <alignment horizontal="right" vertical="center" wrapText="1"/>
    </xf>
    <xf numFmtId="0" fontId="31" fillId="2" borderId="22" xfId="0" applyFont="1" applyFill="1" applyBorder="1" applyAlignment="1">
      <alignment horizontal="left" vertical="center" wrapText="1"/>
    </xf>
    <xf numFmtId="0" fontId="31" fillId="2" borderId="26" xfId="0" applyFont="1" applyFill="1" applyBorder="1" applyAlignment="1">
      <alignment horizontal="left" vertical="center" wrapText="1"/>
    </xf>
    <xf numFmtId="0" fontId="31" fillId="2" borderId="23" xfId="0" applyFont="1" applyFill="1" applyBorder="1" applyAlignment="1">
      <alignment horizontal="left" vertical="center" wrapText="1"/>
    </xf>
    <xf numFmtId="0" fontId="31" fillId="2" borderId="13" xfId="0" applyFont="1" applyFill="1" applyBorder="1" applyAlignment="1">
      <alignment horizontal="left" vertical="center" wrapText="1"/>
    </xf>
    <xf numFmtId="0" fontId="31" fillId="2" borderId="0" xfId="0" applyFont="1" applyFill="1" applyAlignment="1">
      <alignment horizontal="left" vertical="center" wrapText="1"/>
    </xf>
    <xf numFmtId="0" fontId="31" fillId="2" borderId="14" xfId="0" applyFont="1" applyFill="1" applyBorder="1" applyAlignment="1">
      <alignment horizontal="left" vertical="center" wrapText="1"/>
    </xf>
    <xf numFmtId="0" fontId="31" fillId="2" borderId="15" xfId="0" applyFont="1" applyFill="1" applyBorder="1" applyAlignment="1">
      <alignment horizontal="left" vertical="center" wrapText="1"/>
    </xf>
    <xf numFmtId="0" fontId="31" fillId="2" borderId="16" xfId="0" applyFont="1" applyFill="1" applyBorder="1" applyAlignment="1">
      <alignment horizontal="left" vertical="center" wrapText="1"/>
    </xf>
    <xf numFmtId="0" fontId="31" fillId="2" borderId="17" xfId="0" applyFont="1" applyFill="1" applyBorder="1" applyAlignment="1">
      <alignment horizontal="left" vertical="center" wrapText="1"/>
    </xf>
    <xf numFmtId="0" fontId="31" fillId="2" borderId="54" xfId="3" applyFont="1" applyFill="1" applyBorder="1" applyAlignment="1" applyProtection="1">
      <alignment horizontal="left" vertical="top" wrapText="1"/>
      <protection hidden="1"/>
    </xf>
    <xf numFmtId="0" fontId="31" fillId="0" borderId="18" xfId="0" applyFont="1" applyBorder="1" applyAlignment="1">
      <alignment horizontal="left" vertical="center" wrapText="1"/>
    </xf>
    <xf numFmtId="0" fontId="31" fillId="0" borderId="1" xfId="0" applyFont="1" applyBorder="1" applyAlignment="1">
      <alignment horizontal="left" vertical="center" wrapText="1"/>
    </xf>
    <xf numFmtId="0" fontId="31" fillId="0" borderId="10" xfId="0" applyFont="1" applyBorder="1" applyAlignment="1">
      <alignment horizontal="left" vertical="center" wrapText="1"/>
    </xf>
    <xf numFmtId="0" fontId="0" fillId="2" borderId="27" xfId="0" applyFill="1" applyBorder="1" applyAlignment="1">
      <alignment horizontal="left" vertical="center" wrapText="1"/>
    </xf>
    <xf numFmtId="0" fontId="0" fillId="2" borderId="24" xfId="0" applyFill="1" applyBorder="1" applyAlignment="1">
      <alignment horizontal="left" vertical="center" wrapText="1"/>
    </xf>
    <xf numFmtId="0" fontId="0" fillId="2" borderId="28" xfId="0" applyFill="1" applyBorder="1" applyAlignment="1">
      <alignment horizontal="left" vertical="center" wrapText="1"/>
    </xf>
    <xf numFmtId="0" fontId="15" fillId="2" borderId="60" xfId="0" applyFont="1" applyFill="1" applyBorder="1" applyAlignment="1">
      <alignment horizontal="right" vertical="center" wrapText="1"/>
    </xf>
    <xf numFmtId="0" fontId="15" fillId="2" borderId="67" xfId="0" applyFont="1" applyFill="1" applyBorder="1" applyAlignment="1">
      <alignment horizontal="right" vertical="center" wrapText="1"/>
    </xf>
    <xf numFmtId="0" fontId="31" fillId="2" borderId="14" xfId="3" applyFont="1" applyFill="1" applyBorder="1" applyAlignment="1" applyProtection="1">
      <alignment horizontal="left" vertical="top" wrapText="1"/>
      <protection hidden="1"/>
    </xf>
    <xf numFmtId="0" fontId="39" fillId="22" borderId="65" xfId="3" applyFont="1" applyFill="1" applyBorder="1" applyAlignment="1" applyProtection="1">
      <alignment horizontal="center" vertical="center" wrapText="1"/>
      <protection hidden="1"/>
    </xf>
    <xf numFmtId="0" fontId="39" fillId="22" borderId="16" xfId="3" applyFont="1" applyFill="1" applyBorder="1" applyAlignment="1" applyProtection="1">
      <alignment horizontal="center" vertical="center" wrapText="1"/>
      <protection hidden="1"/>
    </xf>
    <xf numFmtId="0" fontId="39" fillId="22" borderId="17" xfId="3" applyFont="1" applyFill="1" applyBorder="1" applyAlignment="1" applyProtection="1">
      <alignment horizontal="center" vertical="center" wrapText="1"/>
      <protection hidden="1"/>
    </xf>
    <xf numFmtId="0" fontId="0" fillId="0" borderId="37" xfId="0"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31" fillId="0" borderId="2" xfId="3" applyFont="1" applyBorder="1" applyAlignment="1" applyProtection="1">
      <alignment horizontal="left" vertical="center" wrapText="1"/>
      <protection hidden="1"/>
    </xf>
    <xf numFmtId="0" fontId="31" fillId="0" borderId="3" xfId="3" applyFont="1" applyBorder="1" applyAlignment="1" applyProtection="1">
      <alignment horizontal="left" vertical="center" wrapText="1"/>
      <protection hidden="1"/>
    </xf>
    <xf numFmtId="0" fontId="31" fillId="0" borderId="44" xfId="3" applyFont="1" applyBorder="1" applyAlignment="1" applyProtection="1">
      <alignment horizontal="left" vertical="center" wrapText="1"/>
      <protection hidden="1"/>
    </xf>
    <xf numFmtId="0" fontId="0" fillId="0" borderId="2" xfId="0" quotePrefix="1" applyBorder="1" applyAlignment="1">
      <alignment horizontal="left" vertical="center" wrapText="1"/>
    </xf>
    <xf numFmtId="0" fontId="39" fillId="22" borderId="15" xfId="3" applyFont="1" applyFill="1" applyBorder="1" applyAlignment="1" applyProtection="1">
      <alignment horizontal="center" vertical="center"/>
      <protection hidden="1"/>
    </xf>
    <xf numFmtId="0" fontId="39" fillId="22" borderId="66" xfId="3" applyFont="1" applyFill="1" applyBorder="1" applyAlignment="1" applyProtection="1">
      <alignment horizontal="center" vertical="center"/>
      <protection hidden="1"/>
    </xf>
    <xf numFmtId="0" fontId="15" fillId="0" borderId="18" xfId="0" applyFont="1" applyBorder="1" applyAlignment="1">
      <alignment horizontal="right" vertical="center"/>
    </xf>
    <xf numFmtId="166" fontId="39" fillId="2" borderId="3" xfId="3" applyNumberFormat="1" applyFont="1" applyFill="1" applyBorder="1" applyAlignment="1" applyProtection="1">
      <alignment horizontal="right" vertical="center" wrapText="1"/>
      <protection hidden="1"/>
    </xf>
    <xf numFmtId="0" fontId="31" fillId="0" borderId="2" xfId="0" applyFont="1" applyBorder="1" applyAlignment="1">
      <alignment horizontal="left" vertical="center" wrapText="1"/>
    </xf>
    <xf numFmtId="0" fontId="31" fillId="0" borderId="3" xfId="0" applyFont="1" applyBorder="1" applyAlignment="1">
      <alignment horizontal="left" vertical="center" wrapText="1"/>
    </xf>
    <xf numFmtId="0" fontId="31" fillId="0" borderId="44" xfId="0" applyFont="1" applyBorder="1" applyAlignment="1">
      <alignment horizontal="left" vertical="center" wrapText="1"/>
    </xf>
    <xf numFmtId="0" fontId="31" fillId="2" borderId="30" xfId="0" applyFont="1" applyFill="1" applyBorder="1" applyAlignment="1">
      <alignment horizontal="left" vertical="center" wrapText="1"/>
    </xf>
    <xf numFmtId="0" fontId="31" fillId="2" borderId="29" xfId="0" applyFont="1" applyFill="1" applyBorder="1" applyAlignment="1">
      <alignment horizontal="left" vertical="center" wrapText="1"/>
    </xf>
    <xf numFmtId="0" fontId="31" fillId="2" borderId="21" xfId="0" applyFont="1" applyFill="1" applyBorder="1" applyAlignment="1">
      <alignment horizontal="left" vertical="center" wrapText="1"/>
    </xf>
    <xf numFmtId="0" fontId="31" fillId="2" borderId="18" xfId="0" applyFont="1" applyFill="1" applyBorder="1" applyAlignment="1">
      <alignment horizontal="left" vertical="center" wrapText="1"/>
    </xf>
    <xf numFmtId="0" fontId="31" fillId="2" borderId="1" xfId="0" applyFont="1" applyFill="1" applyBorder="1" applyAlignment="1">
      <alignment horizontal="left" vertical="center" wrapText="1"/>
    </xf>
    <xf numFmtId="0" fontId="31" fillId="2" borderId="10" xfId="0" applyFont="1" applyFill="1" applyBorder="1" applyAlignment="1">
      <alignment horizontal="left" vertical="center" wrapText="1"/>
    </xf>
    <xf numFmtId="0" fontId="0" fillId="2" borderId="64" xfId="0" applyFill="1" applyBorder="1" applyAlignment="1">
      <alignment horizontal="left" vertical="center" wrapText="1"/>
    </xf>
    <xf numFmtId="0" fontId="0" fillId="2" borderId="51" xfId="0" applyFill="1" applyBorder="1" applyAlignment="1">
      <alignment horizontal="left" vertical="center" wrapText="1"/>
    </xf>
    <xf numFmtId="0" fontId="0" fillId="2" borderId="52" xfId="0" applyFill="1" applyBorder="1" applyAlignment="1">
      <alignment horizontal="left" vertical="center" wrapText="1"/>
    </xf>
    <xf numFmtId="0" fontId="15" fillId="2" borderId="31" xfId="0" applyFont="1" applyFill="1" applyBorder="1" applyAlignment="1">
      <alignment horizontal="right" vertical="center" wrapText="1"/>
    </xf>
    <xf numFmtId="0" fontId="15" fillId="2" borderId="4" xfId="0" applyFont="1" applyFill="1" applyBorder="1" applyAlignment="1">
      <alignment horizontal="right" vertical="center" wrapText="1"/>
    </xf>
    <xf numFmtId="0" fontId="80" fillId="22" borderId="31" xfId="0" applyFont="1" applyFill="1" applyBorder="1" applyAlignment="1">
      <alignment horizontal="center" vertical="center" wrapText="1"/>
    </xf>
    <xf numFmtId="0" fontId="80" fillId="22" borderId="3" xfId="0" applyFont="1" applyFill="1" applyBorder="1" applyAlignment="1">
      <alignment horizontal="center" vertical="center" wrapText="1"/>
    </xf>
    <xf numFmtId="0" fontId="80" fillId="22" borderId="44" xfId="0" applyFont="1" applyFill="1" applyBorder="1" applyAlignment="1">
      <alignment horizontal="center" vertical="center" wrapText="1"/>
    </xf>
    <xf numFmtId="0" fontId="0" fillId="2" borderId="60" xfId="0" applyFill="1" applyBorder="1" applyAlignment="1">
      <alignment horizontal="left" vertical="top" wrapText="1"/>
    </xf>
    <xf numFmtId="0" fontId="0" fillId="2" borderId="51" xfId="0" applyFill="1" applyBorder="1" applyAlignment="1">
      <alignment horizontal="left" vertical="top" wrapText="1"/>
    </xf>
    <xf numFmtId="0" fontId="0" fillId="2" borderId="52" xfId="0" applyFill="1" applyBorder="1" applyAlignment="1">
      <alignment horizontal="left" vertical="top" wrapText="1"/>
    </xf>
    <xf numFmtId="0" fontId="0" fillId="2" borderId="34" xfId="0" applyFill="1" applyBorder="1" applyAlignment="1">
      <alignment horizontal="left" vertical="center" wrapText="1"/>
    </xf>
    <xf numFmtId="0" fontId="0" fillId="2" borderId="48" xfId="0" applyFill="1" applyBorder="1" applyAlignment="1">
      <alignment horizontal="left" vertical="center" wrapText="1"/>
    </xf>
    <xf numFmtId="0" fontId="0" fillId="2" borderId="49" xfId="0" applyFill="1" applyBorder="1" applyAlignment="1">
      <alignment horizontal="left" vertical="center" wrapText="1"/>
    </xf>
    <xf numFmtId="0" fontId="15" fillId="2" borderId="32" xfId="0" applyFont="1" applyFill="1" applyBorder="1" applyAlignment="1">
      <alignment horizontal="right" vertical="center" wrapText="1"/>
    </xf>
    <xf numFmtId="0" fontId="15" fillId="2" borderId="7" xfId="0" applyFont="1" applyFill="1" applyBorder="1" applyAlignment="1">
      <alignment horizontal="right" vertical="center" wrapText="1"/>
    </xf>
    <xf numFmtId="0" fontId="0" fillId="2" borderId="2" xfId="0" quotePrefix="1" applyFill="1" applyBorder="1" applyAlignment="1">
      <alignment horizontal="left" vertical="center" wrapText="1"/>
    </xf>
    <xf numFmtId="166" fontId="39" fillId="0" borderId="32" xfId="3" applyNumberFormat="1" applyFont="1" applyBorder="1" applyAlignment="1" applyProtection="1">
      <alignment horizontal="right" vertical="center" wrapText="1"/>
      <protection hidden="1"/>
    </xf>
    <xf numFmtId="166" fontId="39" fillId="0" borderId="7" xfId="3" applyNumberFormat="1" applyFont="1" applyBorder="1" applyAlignment="1" applyProtection="1">
      <alignment horizontal="right" vertical="center" wrapText="1"/>
      <protection hidden="1"/>
    </xf>
    <xf numFmtId="0" fontId="31" fillId="2" borderId="43" xfId="3" applyFont="1" applyFill="1" applyBorder="1" applyAlignment="1" applyProtection="1">
      <alignment horizontal="center" vertical="center" wrapText="1"/>
      <protection hidden="1"/>
    </xf>
    <xf numFmtId="0" fontId="31" fillId="2" borderId="42" xfId="3" applyFont="1" applyFill="1" applyBorder="1" applyAlignment="1" applyProtection="1">
      <alignment horizontal="center" vertical="center" wrapText="1"/>
      <protection hidden="1"/>
    </xf>
    <xf numFmtId="166" fontId="39" fillId="2" borderId="18" xfId="3" applyNumberFormat="1" applyFont="1" applyFill="1" applyBorder="1" applyAlignment="1" applyProtection="1">
      <alignment horizontal="right" vertical="center" wrapText="1"/>
      <protection hidden="1"/>
    </xf>
    <xf numFmtId="166" fontId="39" fillId="2" borderId="1" xfId="3" applyNumberFormat="1" applyFont="1" applyFill="1" applyBorder="1" applyAlignment="1" applyProtection="1">
      <alignment horizontal="right" vertical="center" wrapText="1"/>
      <protection hidden="1"/>
    </xf>
    <xf numFmtId="0" fontId="31" fillId="2" borderId="2" xfId="3" applyFont="1" applyFill="1" applyBorder="1" applyAlignment="1" applyProtection="1">
      <alignment horizontal="left" vertical="top" wrapText="1"/>
      <protection hidden="1"/>
    </xf>
    <xf numFmtId="0" fontId="31" fillId="2" borderId="3" xfId="3" applyFont="1" applyFill="1" applyBorder="1" applyAlignment="1" applyProtection="1">
      <alignment horizontal="left" vertical="top" wrapText="1"/>
      <protection hidden="1"/>
    </xf>
    <xf numFmtId="0" fontId="31" fillId="2" borderId="44" xfId="3" applyFont="1" applyFill="1" applyBorder="1" applyAlignment="1" applyProtection="1">
      <alignment horizontal="left" vertical="top" wrapText="1"/>
      <protection hidden="1"/>
    </xf>
    <xf numFmtId="0" fontId="0" fillId="4" borderId="0" xfId="0" applyFill="1" applyAlignment="1">
      <alignment horizontal="left"/>
    </xf>
    <xf numFmtId="0" fontId="0" fillId="4" borderId="14" xfId="0" applyFill="1" applyBorder="1" applyAlignment="1">
      <alignment horizontal="left"/>
    </xf>
    <xf numFmtId="0" fontId="40" fillId="24" borderId="22" xfId="0" applyFont="1" applyFill="1" applyBorder="1" applyAlignment="1">
      <alignment horizontal="center" vertical="center" wrapText="1"/>
    </xf>
    <xf numFmtId="0" fontId="40" fillId="24" borderId="26" xfId="0" applyFont="1" applyFill="1" applyBorder="1" applyAlignment="1">
      <alignment horizontal="center" vertical="center" wrapText="1"/>
    </xf>
    <xf numFmtId="0" fontId="40" fillId="24" borderId="23" xfId="0" applyFont="1" applyFill="1" applyBorder="1" applyAlignment="1">
      <alignment horizontal="center" vertical="center" wrapText="1"/>
    </xf>
    <xf numFmtId="0" fontId="40" fillId="24" borderId="13" xfId="0" applyFont="1" applyFill="1" applyBorder="1" applyAlignment="1">
      <alignment horizontal="center" vertical="center" wrapText="1"/>
    </xf>
    <xf numFmtId="0" fontId="40" fillId="24" borderId="0" xfId="0" applyFont="1" applyFill="1" applyAlignment="1">
      <alignment horizontal="center" vertical="center" wrapText="1"/>
    </xf>
    <xf numFmtId="0" fontId="40" fillId="24" borderId="14" xfId="0" applyFont="1" applyFill="1" applyBorder="1" applyAlignment="1">
      <alignment horizontal="center" vertical="center" wrapText="1"/>
    </xf>
    <xf numFmtId="0" fontId="31" fillId="2" borderId="7" xfId="3" applyFont="1" applyFill="1" applyBorder="1" applyAlignment="1" applyProtection="1">
      <alignment horizontal="left" vertical="center" wrapText="1"/>
      <protection hidden="1"/>
    </xf>
    <xf numFmtId="0" fontId="31" fillId="2" borderId="12" xfId="3" applyFont="1" applyFill="1" applyBorder="1" applyAlignment="1" applyProtection="1">
      <alignment horizontal="left" vertical="center" wrapText="1"/>
      <protection hidden="1"/>
    </xf>
    <xf numFmtId="166" fontId="39" fillId="2" borderId="32" xfId="3" applyNumberFormat="1" applyFont="1" applyFill="1" applyBorder="1" applyAlignment="1" applyProtection="1">
      <alignment horizontal="right" vertical="center" wrapText="1"/>
      <protection hidden="1"/>
    </xf>
    <xf numFmtId="166" fontId="39" fillId="2" borderId="7" xfId="3" applyNumberFormat="1" applyFont="1" applyFill="1" applyBorder="1" applyAlignment="1" applyProtection="1">
      <alignment horizontal="right" vertical="center" wrapText="1"/>
      <protection hidden="1"/>
    </xf>
    <xf numFmtId="0" fontId="0" fillId="4" borderId="13" xfId="0" applyFill="1" applyBorder="1" applyAlignment="1">
      <alignment horizontal="left"/>
    </xf>
    <xf numFmtId="0" fontId="0" fillId="4" borderId="0" xfId="0" applyFill="1" applyAlignment="1">
      <alignment horizontal="center" vertical="center"/>
    </xf>
    <xf numFmtId="0" fontId="0" fillId="4" borderId="14" xfId="0" applyFill="1" applyBorder="1" applyAlignment="1">
      <alignment horizontal="center" vertical="center"/>
    </xf>
    <xf numFmtId="0" fontId="12" fillId="29" borderId="41" xfId="0" applyFont="1" applyFill="1" applyBorder="1" applyAlignment="1">
      <alignment horizontal="center" vertical="center"/>
    </xf>
    <xf numFmtId="0" fontId="12" fillId="29" borderId="43" xfId="0" applyFont="1" applyFill="1" applyBorder="1" applyAlignment="1">
      <alignment horizontal="center" vertical="center"/>
    </xf>
    <xf numFmtId="0" fontId="12" fillId="29" borderId="42" xfId="0" applyFont="1" applyFill="1" applyBorder="1" applyAlignment="1">
      <alignment horizontal="center" vertical="center"/>
    </xf>
    <xf numFmtId="0" fontId="39" fillId="26" borderId="27" xfId="0" applyFont="1" applyFill="1" applyBorder="1" applyAlignment="1">
      <alignment horizontal="left" vertical="center"/>
    </xf>
    <xf numFmtId="0" fontId="39" fillId="26" borderId="24" xfId="0" applyFont="1" applyFill="1" applyBorder="1" applyAlignment="1">
      <alignment horizontal="left" vertical="center"/>
    </xf>
    <xf numFmtId="0" fontId="39" fillId="26" borderId="25" xfId="0" applyFont="1" applyFill="1" applyBorder="1" applyAlignment="1">
      <alignment horizontal="left" vertical="center"/>
    </xf>
    <xf numFmtId="0" fontId="39" fillId="26" borderId="18" xfId="0" applyFont="1" applyFill="1" applyBorder="1" applyAlignment="1">
      <alignment horizontal="left" vertical="center"/>
    </xf>
    <xf numFmtId="0" fontId="39" fillId="26" borderId="1" xfId="0" applyFont="1" applyFill="1" applyBorder="1" applyAlignment="1">
      <alignment horizontal="left" vertical="center"/>
    </xf>
    <xf numFmtId="0" fontId="39" fillId="26" borderId="2" xfId="0" applyFont="1" applyFill="1" applyBorder="1" applyAlignment="1">
      <alignment horizontal="left" vertical="center"/>
    </xf>
    <xf numFmtId="0" fontId="46" fillId="25" borderId="22" xfId="0" applyFont="1" applyFill="1" applyBorder="1" applyAlignment="1">
      <alignment horizontal="center" vertical="center"/>
    </xf>
    <xf numFmtId="0" fontId="46" fillId="25" borderId="26" xfId="0" applyFont="1" applyFill="1" applyBorder="1" applyAlignment="1">
      <alignment horizontal="center" vertical="center"/>
    </xf>
    <xf numFmtId="0" fontId="46" fillId="25" borderId="23" xfId="0" applyFont="1" applyFill="1" applyBorder="1" applyAlignment="1">
      <alignment horizontal="center" vertical="center"/>
    </xf>
    <xf numFmtId="0" fontId="46" fillId="25" borderId="13" xfId="0" applyFont="1" applyFill="1" applyBorder="1" applyAlignment="1">
      <alignment horizontal="center" vertical="center"/>
    </xf>
    <xf numFmtId="0" fontId="46" fillId="25" borderId="0" xfId="0" applyFont="1" applyFill="1" applyAlignment="1">
      <alignment horizontal="center" vertical="center"/>
    </xf>
    <xf numFmtId="0" fontId="46" fillId="25" borderId="14" xfId="0" applyFont="1" applyFill="1" applyBorder="1" applyAlignment="1">
      <alignment horizontal="center" vertical="center"/>
    </xf>
    <xf numFmtId="0" fontId="46" fillId="25" borderId="15" xfId="0" applyFont="1" applyFill="1" applyBorder="1" applyAlignment="1">
      <alignment horizontal="center" vertical="center"/>
    </xf>
    <xf numFmtId="0" fontId="46" fillId="25" borderId="16" xfId="0" applyFont="1" applyFill="1" applyBorder="1" applyAlignment="1">
      <alignment horizontal="center" vertical="center"/>
    </xf>
    <xf numFmtId="0" fontId="46" fillId="25" borderId="17" xfId="0" applyFont="1" applyFill="1" applyBorder="1" applyAlignment="1">
      <alignment horizontal="center" vertical="center"/>
    </xf>
    <xf numFmtId="0" fontId="39" fillId="26" borderId="30" xfId="0" applyFont="1" applyFill="1" applyBorder="1" applyAlignment="1">
      <alignment horizontal="left" vertical="center"/>
    </xf>
    <xf numFmtId="0" fontId="39" fillId="26" borderId="29" xfId="0" applyFont="1" applyFill="1" applyBorder="1" applyAlignment="1">
      <alignment horizontal="left" vertical="center"/>
    </xf>
    <xf numFmtId="0" fontId="27" fillId="25" borderId="18" xfId="0" applyFont="1" applyFill="1" applyBorder="1" applyAlignment="1">
      <alignment horizontal="left" vertical="center"/>
    </xf>
    <xf numFmtId="0" fontId="27" fillId="25" borderId="1" xfId="0" applyFont="1" applyFill="1" applyBorder="1" applyAlignment="1">
      <alignment horizontal="left" vertical="center"/>
    </xf>
    <xf numFmtId="0" fontId="27" fillId="25" borderId="10" xfId="0" applyFont="1" applyFill="1" applyBorder="1" applyAlignment="1">
      <alignment horizontal="left" vertical="center"/>
    </xf>
    <xf numFmtId="167" fontId="25" fillId="21" borderId="0" xfId="1" applyNumberFormat="1" applyFont="1" applyFill="1" applyBorder="1" applyAlignment="1" applyProtection="1">
      <alignment horizontal="center" vertical="center" wrapText="1"/>
    </xf>
    <xf numFmtId="0" fontId="43" fillId="25" borderId="43" xfId="0" applyFont="1" applyFill="1" applyBorder="1" applyAlignment="1">
      <alignment horizontal="center" vertical="center"/>
    </xf>
    <xf numFmtId="0" fontId="27" fillId="25" borderId="27" xfId="0" applyFont="1" applyFill="1" applyBorder="1" applyAlignment="1">
      <alignment horizontal="left" vertical="center"/>
    </xf>
    <xf numFmtId="0" fontId="27" fillId="25" borderId="24" xfId="0" applyFont="1" applyFill="1" applyBorder="1" applyAlignment="1">
      <alignment horizontal="left" vertical="center"/>
    </xf>
    <xf numFmtId="0" fontId="27" fillId="25" borderId="28" xfId="0" applyFont="1" applyFill="1" applyBorder="1" applyAlignment="1">
      <alignment horizontal="left" vertical="center"/>
    </xf>
    <xf numFmtId="0" fontId="27" fillId="25" borderId="30" xfId="0" applyFont="1" applyFill="1" applyBorder="1" applyAlignment="1">
      <alignment horizontal="left" vertical="center"/>
    </xf>
    <xf numFmtId="0" fontId="27" fillId="25" borderId="29" xfId="0" applyFont="1" applyFill="1" applyBorder="1" applyAlignment="1">
      <alignment horizontal="left" vertical="center"/>
    </xf>
    <xf numFmtId="0" fontId="27" fillId="25" borderId="21" xfId="0" applyFont="1" applyFill="1" applyBorder="1" applyAlignment="1">
      <alignment horizontal="left" vertical="center"/>
    </xf>
    <xf numFmtId="0" fontId="31" fillId="21" borderId="0" xfId="0" applyFont="1" applyFill="1" applyAlignment="1">
      <alignment horizontal="center"/>
    </xf>
    <xf numFmtId="0" fontId="39" fillId="26" borderId="37" xfId="0" applyFont="1" applyFill="1" applyBorder="1" applyAlignment="1">
      <alignment horizontal="left" vertical="center"/>
    </xf>
    <xf numFmtId="0" fontId="13" fillId="25" borderId="16" xfId="0" applyFont="1" applyFill="1" applyBorder="1" applyAlignment="1">
      <alignment horizontal="center"/>
    </xf>
    <xf numFmtId="0" fontId="13" fillId="25" borderId="17" xfId="0" applyFont="1" applyFill="1" applyBorder="1" applyAlignment="1">
      <alignment horizontal="center"/>
    </xf>
    <xf numFmtId="0" fontId="56" fillId="14" borderId="1" xfId="3" applyFont="1" applyFill="1" applyBorder="1" applyAlignment="1">
      <alignment horizontal="center"/>
    </xf>
    <xf numFmtId="0" fontId="64" fillId="2" borderId="18" xfId="3" applyFont="1" applyFill="1" applyBorder="1" applyAlignment="1">
      <alignment horizontal="left" vertical="center"/>
    </xf>
    <xf numFmtId="0" fontId="64" fillId="2" borderId="1" xfId="3" applyFont="1" applyFill="1" applyBorder="1" applyAlignment="1">
      <alignment horizontal="left" vertical="center"/>
    </xf>
    <xf numFmtId="0" fontId="55" fillId="22" borderId="26" xfId="3" applyFont="1" applyFill="1" applyBorder="1" applyAlignment="1">
      <alignment horizontal="center"/>
    </xf>
    <xf numFmtId="0" fontId="81" fillId="22" borderId="0" xfId="3" applyFont="1" applyFill="1" applyAlignment="1">
      <alignment horizontal="center"/>
    </xf>
    <xf numFmtId="0" fontId="67" fillId="24" borderId="22" xfId="3" applyFont="1" applyFill="1" applyBorder="1" applyAlignment="1">
      <alignment horizontal="center" vertical="center"/>
    </xf>
    <xf numFmtId="0" fontId="67" fillId="24" borderId="26" xfId="3" applyFont="1" applyFill="1" applyBorder="1" applyAlignment="1">
      <alignment horizontal="center" vertical="center"/>
    </xf>
    <xf numFmtId="0" fontId="67" fillId="24" borderId="23" xfId="3" applyFont="1" applyFill="1" applyBorder="1" applyAlignment="1">
      <alignment horizontal="center" vertical="center"/>
    </xf>
    <xf numFmtId="0" fontId="56" fillId="14" borderId="2" xfId="3" applyFont="1" applyFill="1" applyBorder="1" applyAlignment="1">
      <alignment horizontal="center"/>
    </xf>
    <xf numFmtId="0" fontId="56" fillId="14" borderId="4" xfId="3" applyFont="1" applyFill="1" applyBorder="1" applyAlignment="1">
      <alignment horizontal="center"/>
    </xf>
    <xf numFmtId="0" fontId="64" fillId="2" borderId="47" xfId="3" applyFont="1" applyFill="1" applyBorder="1" applyAlignment="1">
      <alignment horizontal="left" vertical="center"/>
    </xf>
    <xf numFmtId="0" fontId="64" fillId="2" borderId="45" xfId="3" applyFont="1" applyFill="1" applyBorder="1" applyAlignment="1">
      <alignment horizontal="left" vertical="center"/>
    </xf>
    <xf numFmtId="0" fontId="64" fillId="2" borderId="70" xfId="3" applyFont="1" applyFill="1" applyBorder="1" applyAlignment="1">
      <alignment horizontal="left" vertical="center"/>
    </xf>
    <xf numFmtId="0" fontId="64" fillId="2" borderId="27" xfId="3" applyFont="1" applyFill="1" applyBorder="1" applyAlignment="1">
      <alignment horizontal="left" vertical="center"/>
    </xf>
    <xf numFmtId="0" fontId="64" fillId="2" borderId="24" xfId="3" applyFont="1" applyFill="1" applyBorder="1" applyAlignment="1">
      <alignment horizontal="left" vertical="center"/>
    </xf>
    <xf numFmtId="0" fontId="67" fillId="24" borderId="41" xfId="3" applyFont="1" applyFill="1" applyBorder="1" applyAlignment="1">
      <alignment horizontal="center" vertical="center"/>
    </xf>
    <xf numFmtId="0" fontId="67" fillId="24" borderId="43" xfId="3" applyFont="1" applyFill="1" applyBorder="1" applyAlignment="1">
      <alignment horizontal="center" vertical="center"/>
    </xf>
    <xf numFmtId="0" fontId="67" fillId="24" borderId="42" xfId="3" applyFont="1" applyFill="1" applyBorder="1" applyAlignment="1">
      <alignment horizontal="center" vertical="center"/>
    </xf>
    <xf numFmtId="0" fontId="64" fillId="2" borderId="34" xfId="3" applyFont="1" applyFill="1" applyBorder="1" applyAlignment="1">
      <alignment horizontal="left" vertical="center"/>
    </xf>
    <xf numFmtId="0" fontId="64" fillId="2" borderId="48" xfId="3" applyFont="1" applyFill="1" applyBorder="1" applyAlignment="1">
      <alignment horizontal="left" vertical="center"/>
    </xf>
    <xf numFmtId="0" fontId="64" fillId="2" borderId="50" xfId="3" applyFont="1" applyFill="1" applyBorder="1" applyAlignment="1">
      <alignment horizontal="left" vertical="center"/>
    </xf>
    <xf numFmtId="0" fontId="64" fillId="2" borderId="31" xfId="3" applyFont="1" applyFill="1" applyBorder="1" applyAlignment="1">
      <alignment horizontal="left" vertical="center"/>
    </xf>
    <xf numFmtId="0" fontId="64" fillId="2" borderId="3" xfId="3" applyFont="1" applyFill="1" applyBorder="1" applyAlignment="1">
      <alignment horizontal="left" vertical="center"/>
    </xf>
    <xf numFmtId="0" fontId="64" fillId="2" borderId="4" xfId="3" applyFont="1" applyFill="1" applyBorder="1" applyAlignment="1">
      <alignment horizontal="left" vertical="center"/>
    </xf>
    <xf numFmtId="0" fontId="67" fillId="24" borderId="30" xfId="3" applyFont="1" applyFill="1" applyBorder="1" applyAlignment="1">
      <alignment horizontal="center" vertical="center"/>
    </xf>
    <xf numFmtId="0" fontId="67" fillId="24" borderId="29" xfId="3" applyFont="1" applyFill="1" applyBorder="1" applyAlignment="1">
      <alignment horizontal="center" vertical="center"/>
    </xf>
    <xf numFmtId="0" fontId="67" fillId="24" borderId="21" xfId="3" applyFont="1" applyFill="1" applyBorder="1" applyAlignment="1">
      <alignment horizontal="center" vertical="center"/>
    </xf>
    <xf numFmtId="0" fontId="64" fillId="22" borderId="0" xfId="3" applyFont="1" applyFill="1" applyAlignment="1">
      <alignment horizontal="left" vertical="center" wrapText="1"/>
    </xf>
    <xf numFmtId="0" fontId="64" fillId="22" borderId="0" xfId="3" applyFont="1" applyFill="1" applyAlignment="1">
      <alignment horizontal="left" vertical="center"/>
    </xf>
    <xf numFmtId="0" fontId="56" fillId="14" borderId="3" xfId="3" applyFont="1" applyFill="1" applyBorder="1" applyAlignment="1">
      <alignment horizontal="center"/>
    </xf>
    <xf numFmtId="0" fontId="56" fillId="14" borderId="2" xfId="3" applyFont="1" applyFill="1" applyBorder="1" applyAlignment="1">
      <alignment horizontal="center" vertical="center"/>
    </xf>
    <xf numFmtId="0" fontId="56" fillId="14" borderId="3" xfId="3" applyFont="1" applyFill="1" applyBorder="1" applyAlignment="1">
      <alignment horizontal="center" vertical="center"/>
    </xf>
    <xf numFmtId="0" fontId="56" fillId="14" borderId="4" xfId="3" applyFont="1" applyFill="1" applyBorder="1" applyAlignment="1">
      <alignment horizontal="center" vertical="center"/>
    </xf>
    <xf numFmtId="0" fontId="1" fillId="14" borderId="1" xfId="3" applyFont="1" applyFill="1" applyBorder="1" applyAlignment="1">
      <alignment horizontal="center"/>
    </xf>
    <xf numFmtId="0" fontId="1" fillId="14" borderId="2" xfId="3" applyFont="1" applyFill="1" applyBorder="1" applyAlignment="1">
      <alignment horizontal="center"/>
    </xf>
    <xf numFmtId="0" fontId="1" fillId="14" borderId="4" xfId="3" applyFont="1" applyFill="1" applyBorder="1" applyAlignment="1">
      <alignment horizontal="center"/>
    </xf>
    <xf numFmtId="0" fontId="82" fillId="3" borderId="0" xfId="5" applyFont="1" applyFill="1" applyAlignment="1">
      <alignment horizontal="center" vertical="center" wrapText="1"/>
    </xf>
    <xf numFmtId="0" fontId="15" fillId="3" borderId="0" xfId="5" applyFont="1" applyFill="1" applyAlignment="1">
      <alignment horizontal="center" vertical="center" wrapText="1"/>
    </xf>
    <xf numFmtId="0" fontId="27" fillId="24" borderId="22" xfId="0" applyFont="1" applyFill="1" applyBorder="1" applyAlignment="1">
      <alignment horizontal="center" vertical="center" wrapText="1"/>
    </xf>
    <xf numFmtId="0" fontId="27" fillId="24" borderId="26" xfId="0" applyFont="1" applyFill="1" applyBorder="1" applyAlignment="1">
      <alignment horizontal="center" vertical="center" wrapText="1"/>
    </xf>
    <xf numFmtId="0" fontId="27" fillId="24" borderId="23" xfId="0" applyFont="1" applyFill="1" applyBorder="1" applyAlignment="1">
      <alignment horizontal="center" vertical="center" wrapText="1"/>
    </xf>
    <xf numFmtId="0" fontId="76" fillId="2" borderId="0" xfId="0" applyFont="1" applyFill="1" applyAlignment="1">
      <alignment horizontal="left" vertical="center"/>
    </xf>
    <xf numFmtId="0" fontId="76" fillId="2" borderId="14" xfId="0" applyFont="1" applyFill="1" applyBorder="1" applyAlignment="1">
      <alignment horizontal="left" vertical="center"/>
    </xf>
    <xf numFmtId="0" fontId="25" fillId="2" borderId="0" xfId="0" applyFont="1" applyFill="1" applyAlignment="1">
      <alignment horizontal="right" vertical="center"/>
    </xf>
    <xf numFmtId="0" fontId="25" fillId="2" borderId="19" xfId="0" applyFont="1" applyFill="1" applyBorder="1" applyAlignment="1">
      <alignment horizontal="right" vertical="center"/>
    </xf>
    <xf numFmtId="0" fontId="0" fillId="26" borderId="1" xfId="0" applyFill="1" applyBorder="1" applyAlignment="1" applyProtection="1">
      <alignment horizontal="center" vertical="center"/>
      <protection locked="0"/>
    </xf>
    <xf numFmtId="2" fontId="12" fillId="5" borderId="1" xfId="0" applyNumberFormat="1" applyFont="1" applyFill="1" applyBorder="1" applyAlignment="1">
      <alignment horizontal="center" vertical="center"/>
    </xf>
    <xf numFmtId="0" fontId="12" fillId="5" borderId="1" xfId="0" applyFont="1" applyFill="1" applyBorder="1" applyAlignment="1">
      <alignment horizontal="center" vertical="center"/>
    </xf>
    <xf numFmtId="0" fontId="0" fillId="26" borderId="7" xfId="0" applyFill="1" applyBorder="1" applyAlignment="1" applyProtection="1">
      <alignment horizontal="center" vertical="center"/>
      <protection locked="0"/>
    </xf>
    <xf numFmtId="0" fontId="25" fillId="2" borderId="26" xfId="0" applyFont="1" applyFill="1" applyBorder="1" applyAlignment="1">
      <alignment horizontal="right" vertical="center"/>
    </xf>
    <xf numFmtId="1" fontId="12" fillId="5" borderId="29" xfId="0" applyNumberFormat="1" applyFont="1" applyFill="1" applyBorder="1" applyAlignment="1">
      <alignment horizontal="center" vertical="center"/>
    </xf>
    <xf numFmtId="0" fontId="18" fillId="2" borderId="26" xfId="0" applyFont="1" applyFill="1" applyBorder="1" applyAlignment="1">
      <alignment horizontal="center" vertical="center" wrapText="1"/>
    </xf>
    <xf numFmtId="0" fontId="18" fillId="2" borderId="26" xfId="0" applyFont="1" applyFill="1" applyBorder="1" applyAlignment="1">
      <alignment horizontal="center" vertical="center"/>
    </xf>
    <xf numFmtId="0" fontId="18" fillId="2" borderId="23" xfId="0" applyFont="1" applyFill="1" applyBorder="1" applyAlignment="1">
      <alignment horizontal="center" vertical="center"/>
    </xf>
    <xf numFmtId="0" fontId="18" fillId="2" borderId="0" xfId="0" applyFont="1" applyFill="1" applyAlignment="1">
      <alignment horizontal="center" vertical="center"/>
    </xf>
    <xf numFmtId="0" fontId="18" fillId="2" borderId="14" xfId="0" applyFont="1" applyFill="1" applyBorder="1" applyAlignment="1">
      <alignment horizontal="center" vertical="center"/>
    </xf>
    <xf numFmtId="0" fontId="18" fillId="2" borderId="22" xfId="0" applyFont="1" applyFill="1" applyBorder="1" applyAlignment="1">
      <alignment horizontal="center" vertical="center" wrapText="1"/>
    </xf>
    <xf numFmtId="0" fontId="18" fillId="2" borderId="13" xfId="0" applyFont="1" applyFill="1" applyBorder="1" applyAlignment="1">
      <alignment horizontal="center" vertical="center"/>
    </xf>
    <xf numFmtId="0" fontId="87" fillId="2" borderId="58" xfId="0" applyFont="1" applyFill="1" applyBorder="1" applyAlignment="1">
      <alignment horizontal="center" vertical="center"/>
    </xf>
    <xf numFmtId="0" fontId="75" fillId="2" borderId="58" xfId="0" applyFont="1" applyFill="1" applyBorder="1" applyAlignment="1">
      <alignment horizontal="center" vertical="center"/>
    </xf>
    <xf numFmtId="0" fontId="75" fillId="2" borderId="57" xfId="0" applyFont="1" applyFill="1" applyBorder="1" applyAlignment="1">
      <alignment horizontal="center" vertical="center"/>
    </xf>
    <xf numFmtId="0" fontId="34" fillId="2" borderId="7" xfId="0" applyFont="1" applyFill="1" applyBorder="1" applyAlignment="1">
      <alignment horizontal="center" textRotation="90" wrapText="1"/>
    </xf>
    <xf numFmtId="164" fontId="0" fillId="2" borderId="1" xfId="0" applyNumberFormat="1" applyFill="1" applyBorder="1" applyAlignment="1">
      <alignment horizontal="center" vertical="center"/>
    </xf>
    <xf numFmtId="0" fontId="71" fillId="2" borderId="0" xfId="0" applyFont="1" applyFill="1" applyAlignment="1" applyProtection="1">
      <alignment horizontal="center" vertical="center"/>
      <protection locked="0"/>
    </xf>
    <xf numFmtId="0" fontId="86" fillId="2" borderId="58" xfId="0" applyFont="1" applyFill="1" applyBorder="1" applyAlignment="1">
      <alignment horizontal="center" vertical="center"/>
    </xf>
    <xf numFmtId="0" fontId="17" fillId="18" borderId="29" xfId="0" applyFont="1" applyFill="1" applyBorder="1" applyAlignment="1">
      <alignment horizontal="center" vertical="center"/>
    </xf>
    <xf numFmtId="1" fontId="17" fillId="18" borderId="37" xfId="0" applyNumberFormat="1" applyFont="1" applyFill="1" applyBorder="1" applyAlignment="1">
      <alignment horizontal="center" vertical="center"/>
    </xf>
    <xf numFmtId="1" fontId="17" fillId="18" borderId="50" xfId="0" applyNumberFormat="1" applyFont="1" applyFill="1" applyBorder="1" applyAlignment="1">
      <alignment horizontal="center" vertical="center"/>
    </xf>
    <xf numFmtId="2" fontId="17" fillId="18" borderId="29" xfId="0" applyNumberFormat="1" applyFont="1" applyFill="1" applyBorder="1" applyAlignment="1">
      <alignment horizontal="center" vertical="center"/>
    </xf>
    <xf numFmtId="0" fontId="83" fillId="2" borderId="0" xfId="0" applyFont="1" applyFill="1" applyAlignment="1">
      <alignment horizontal="left" vertical="top" wrapText="1"/>
    </xf>
    <xf numFmtId="0" fontId="31" fillId="2" borderId="0" xfId="0" applyFont="1" applyFill="1" applyAlignment="1">
      <alignment horizontal="left" vertical="top" wrapText="1"/>
    </xf>
    <xf numFmtId="0" fontId="39" fillId="2" borderId="0" xfId="0" applyFont="1" applyFill="1" applyAlignment="1">
      <alignment horizontal="right" vertical="center"/>
    </xf>
    <xf numFmtId="0" fontId="17" fillId="18" borderId="1" xfId="0" applyFont="1" applyFill="1" applyBorder="1" applyAlignment="1">
      <alignment horizontal="center" vertical="center"/>
    </xf>
    <xf numFmtId="1" fontId="17" fillId="18" borderId="2" xfId="0" applyNumberFormat="1" applyFont="1" applyFill="1" applyBorder="1" applyAlignment="1">
      <alignment horizontal="center" vertical="center"/>
    </xf>
    <xf numFmtId="1" fontId="17" fillId="18" borderId="4" xfId="0" applyNumberFormat="1" applyFont="1" applyFill="1" applyBorder="1" applyAlignment="1">
      <alignment horizontal="center" vertical="center"/>
    </xf>
    <xf numFmtId="2" fontId="17" fillId="18" borderId="1" xfId="0" applyNumberFormat="1" applyFont="1" applyFill="1" applyBorder="1" applyAlignment="1">
      <alignment horizontal="center" vertical="center"/>
    </xf>
    <xf numFmtId="0" fontId="17" fillId="18" borderId="24" xfId="0" applyFont="1" applyFill="1" applyBorder="1" applyAlignment="1">
      <alignment horizontal="center" vertical="center"/>
    </xf>
    <xf numFmtId="1" fontId="17" fillId="18" borderId="25" xfId="0" applyNumberFormat="1" applyFont="1" applyFill="1" applyBorder="1" applyAlignment="1">
      <alignment horizontal="center" vertical="center"/>
    </xf>
    <xf numFmtId="1" fontId="17" fillId="18" borderId="70" xfId="0" applyNumberFormat="1" applyFont="1" applyFill="1" applyBorder="1" applyAlignment="1">
      <alignment horizontal="center" vertical="center"/>
    </xf>
    <xf numFmtId="2" fontId="17" fillId="18" borderId="24" xfId="0" applyNumberFormat="1" applyFont="1" applyFill="1" applyBorder="1" applyAlignment="1">
      <alignment horizontal="center" vertical="center"/>
    </xf>
    <xf numFmtId="0" fontId="27" fillId="25" borderId="41" xfId="0" applyFont="1" applyFill="1" applyBorder="1" applyAlignment="1">
      <alignment horizontal="right" vertical="center"/>
    </xf>
    <xf numFmtId="0" fontId="27" fillId="25" borderId="43" xfId="0" applyFont="1" applyFill="1" applyBorder="1" applyAlignment="1">
      <alignment horizontal="right" vertical="center"/>
    </xf>
    <xf numFmtId="0" fontId="27" fillId="25" borderId="76" xfId="0" applyFont="1" applyFill="1" applyBorder="1" applyAlignment="1">
      <alignment horizontal="right" vertical="center"/>
    </xf>
    <xf numFmtId="165" fontId="25" fillId="26" borderId="75" xfId="0" applyNumberFormat="1" applyFont="1" applyFill="1" applyBorder="1" applyAlignment="1" applyProtection="1">
      <alignment horizontal="left" vertical="center"/>
      <protection locked="0"/>
    </xf>
    <xf numFmtId="165" fontId="25" fillId="26" borderId="43" xfId="0" applyNumberFormat="1" applyFont="1" applyFill="1" applyBorder="1" applyAlignment="1" applyProtection="1">
      <alignment horizontal="left" vertical="center"/>
      <protection locked="0"/>
    </xf>
    <xf numFmtId="165" fontId="25" fillId="26" borderId="42" xfId="0" applyNumberFormat="1" applyFont="1" applyFill="1" applyBorder="1" applyAlignment="1" applyProtection="1">
      <alignment horizontal="left" vertical="center"/>
      <protection locked="0"/>
    </xf>
    <xf numFmtId="0" fontId="27" fillId="2" borderId="0" xfId="0" applyFont="1" applyFill="1" applyAlignment="1">
      <alignment horizontal="center" vertical="center"/>
    </xf>
    <xf numFmtId="0" fontId="27" fillId="2" borderId="0" xfId="0" applyFont="1" applyFill="1" applyAlignment="1" applyProtection="1">
      <alignment horizontal="center" vertical="center" wrapText="1"/>
      <protection locked="0"/>
    </xf>
    <xf numFmtId="165" fontId="25" fillId="26" borderId="75" xfId="0" applyNumberFormat="1" applyFont="1" applyFill="1" applyBorder="1" applyAlignment="1">
      <alignment horizontal="left" vertical="center"/>
    </xf>
    <xf numFmtId="165" fontId="25" fillId="26" borderId="43" xfId="0" applyNumberFormat="1" applyFont="1" applyFill="1" applyBorder="1" applyAlignment="1">
      <alignment horizontal="left" vertical="center"/>
    </xf>
    <xf numFmtId="165" fontId="25" fillId="26" borderId="42" xfId="0" applyNumberFormat="1" applyFont="1" applyFill="1" applyBorder="1" applyAlignment="1">
      <alignment horizontal="left" vertical="center"/>
    </xf>
    <xf numFmtId="0" fontId="25" fillId="26" borderId="75" xfId="0" applyFont="1" applyFill="1" applyBorder="1" applyAlignment="1" applyProtection="1">
      <alignment horizontal="left" vertical="center"/>
      <protection locked="0"/>
    </xf>
    <xf numFmtId="0" fontId="25" fillId="26" borderId="43" xfId="0" applyFont="1" applyFill="1" applyBorder="1" applyAlignment="1" applyProtection="1">
      <alignment horizontal="left" vertical="center"/>
      <protection locked="0"/>
    </xf>
    <xf numFmtId="0" fontId="25" fillId="26" borderId="42" xfId="0" applyFont="1" applyFill="1" applyBorder="1" applyAlignment="1" applyProtection="1">
      <alignment horizontal="left" vertical="center"/>
      <protection locked="0"/>
    </xf>
    <xf numFmtId="0" fontId="27" fillId="25" borderId="18" xfId="0" applyFont="1" applyFill="1" applyBorder="1" applyAlignment="1">
      <alignment horizontal="right" vertical="center"/>
    </xf>
    <xf numFmtId="0" fontId="27" fillId="25" borderId="1" xfId="0" applyFont="1" applyFill="1" applyBorder="1" applyAlignment="1">
      <alignment horizontal="right" vertical="center"/>
    </xf>
    <xf numFmtId="43" fontId="25" fillId="26" borderId="1" xfId="1" applyFont="1" applyFill="1" applyBorder="1" applyAlignment="1" applyProtection="1">
      <alignment horizontal="left" vertical="center"/>
      <protection locked="0"/>
    </xf>
    <xf numFmtId="43" fontId="25" fillId="26" borderId="10" xfId="1" applyFont="1" applyFill="1" applyBorder="1" applyAlignment="1" applyProtection="1">
      <alignment horizontal="left" vertical="center"/>
      <protection locked="0"/>
    </xf>
    <xf numFmtId="0" fontId="25" fillId="26" borderId="1" xfId="0" applyFont="1" applyFill="1" applyBorder="1" applyAlignment="1" applyProtection="1">
      <alignment horizontal="left" vertical="center"/>
      <protection locked="0"/>
    </xf>
    <xf numFmtId="0" fontId="25" fillId="26" borderId="10" xfId="0" applyFont="1" applyFill="1" applyBorder="1" applyAlignment="1" applyProtection="1">
      <alignment horizontal="left" vertical="center"/>
      <protection locked="0"/>
    </xf>
    <xf numFmtId="0" fontId="25" fillId="26" borderId="25" xfId="0" applyFont="1" applyFill="1" applyBorder="1" applyAlignment="1" applyProtection="1">
      <alignment horizontal="left" vertical="center"/>
      <protection locked="0"/>
    </xf>
    <xf numFmtId="0" fontId="25" fillId="26" borderId="45" xfId="0" applyFont="1" applyFill="1" applyBorder="1" applyAlignment="1" applyProtection="1">
      <alignment horizontal="left" vertical="center"/>
      <protection locked="0"/>
    </xf>
    <xf numFmtId="0" fontId="25" fillId="26" borderId="46" xfId="0" applyFont="1" applyFill="1" applyBorder="1" applyAlignment="1" applyProtection="1">
      <alignment horizontal="left" vertical="center"/>
      <protection locked="0"/>
    </xf>
    <xf numFmtId="0" fontId="92" fillId="29" borderId="22" xfId="0" applyFont="1" applyFill="1" applyBorder="1" applyAlignment="1">
      <alignment horizontal="left" vertical="center"/>
    </xf>
    <xf numFmtId="0" fontId="92" fillId="29" borderId="26" xfId="0" applyFont="1" applyFill="1" applyBorder="1" applyAlignment="1">
      <alignment horizontal="left" vertical="center"/>
    </xf>
    <xf numFmtId="0" fontId="92" fillId="29" borderId="23" xfId="0" applyFont="1" applyFill="1" applyBorder="1" applyAlignment="1">
      <alignment horizontal="left" vertical="center"/>
    </xf>
    <xf numFmtId="0" fontId="92" fillId="29" borderId="13" xfId="0" applyFont="1" applyFill="1" applyBorder="1" applyAlignment="1">
      <alignment horizontal="left" vertical="center"/>
    </xf>
    <xf numFmtId="0" fontId="92" fillId="29" borderId="0" xfId="0" applyFont="1" applyFill="1" applyAlignment="1">
      <alignment horizontal="left" vertical="center"/>
    </xf>
    <xf numFmtId="0" fontId="92" fillId="29" borderId="14" xfId="0" applyFont="1" applyFill="1" applyBorder="1" applyAlignment="1">
      <alignment horizontal="left" vertical="center"/>
    </xf>
    <xf numFmtId="0" fontId="92" fillId="29" borderId="15" xfId="0" applyFont="1" applyFill="1" applyBorder="1" applyAlignment="1">
      <alignment horizontal="left" vertical="center"/>
    </xf>
    <xf numFmtId="0" fontId="92" fillId="29" borderId="16" xfId="0" applyFont="1" applyFill="1" applyBorder="1" applyAlignment="1">
      <alignment horizontal="left" vertical="center"/>
    </xf>
    <xf numFmtId="0" fontId="92" fillId="29" borderId="17" xfId="0" applyFont="1" applyFill="1" applyBorder="1" applyAlignment="1">
      <alignment horizontal="left" vertical="center"/>
    </xf>
    <xf numFmtId="0" fontId="24" fillId="20" borderId="41" xfId="0" applyFont="1" applyFill="1" applyBorder="1" applyAlignment="1">
      <alignment horizontal="center"/>
    </xf>
    <xf numFmtId="0" fontId="24" fillId="20" borderId="43" xfId="0" applyFont="1" applyFill="1" applyBorder="1" applyAlignment="1">
      <alignment horizontal="center"/>
    </xf>
    <xf numFmtId="0" fontId="24" fillId="20" borderId="42" xfId="0" applyFont="1" applyFill="1" applyBorder="1" applyAlignment="1">
      <alignment horizontal="center"/>
    </xf>
    <xf numFmtId="0" fontId="84" fillId="2" borderId="0" xfId="0" applyFont="1" applyFill="1" applyAlignment="1">
      <alignment horizontal="left" vertical="top"/>
    </xf>
    <xf numFmtId="0" fontId="25" fillId="2" borderId="0" xfId="0" applyFont="1" applyFill="1" applyAlignment="1">
      <alignment horizontal="center" vertical="center"/>
    </xf>
    <xf numFmtId="0" fontId="25" fillId="2" borderId="0" xfId="0" applyFont="1" applyFill="1" applyAlignment="1">
      <alignment horizontal="center" vertical="center" wrapText="1"/>
    </xf>
    <xf numFmtId="0" fontId="85" fillId="2" borderId="0" xfId="0" applyFont="1" applyFill="1" applyAlignment="1">
      <alignment horizontal="center" vertical="center" wrapText="1"/>
    </xf>
    <xf numFmtId="0" fontId="85" fillId="2" borderId="0" xfId="0" applyFont="1" applyFill="1" applyAlignment="1">
      <alignment horizontal="center" vertical="center"/>
    </xf>
    <xf numFmtId="0" fontId="71" fillId="2" borderId="16" xfId="0" applyFont="1" applyFill="1" applyBorder="1" applyAlignment="1" applyProtection="1">
      <alignment horizontal="center" vertical="center"/>
      <protection locked="0"/>
    </xf>
    <xf numFmtId="0" fontId="74" fillId="2" borderId="0" xfId="0" applyFont="1" applyFill="1" applyAlignment="1" applyProtection="1">
      <alignment horizontal="center" vertical="center"/>
      <protection locked="0"/>
    </xf>
    <xf numFmtId="0" fontId="27" fillId="25" borderId="30" xfId="0" applyFont="1" applyFill="1" applyBorder="1" applyAlignment="1">
      <alignment horizontal="right" vertical="center"/>
    </xf>
    <xf numFmtId="0" fontId="27" fillId="25" borderId="29" xfId="0" applyFont="1" applyFill="1" applyBorder="1" applyAlignment="1">
      <alignment horizontal="right" vertical="center"/>
    </xf>
    <xf numFmtId="0" fontId="25" fillId="26" borderId="29" xfId="0" applyFont="1" applyFill="1" applyBorder="1" applyAlignment="1" applyProtection="1">
      <alignment horizontal="left" vertical="center"/>
      <protection locked="0"/>
    </xf>
    <xf numFmtId="0" fontId="25" fillId="26" borderId="21" xfId="0" applyFont="1" applyFill="1" applyBorder="1" applyAlignment="1" applyProtection="1">
      <alignment horizontal="left" vertical="center"/>
      <protection locked="0"/>
    </xf>
    <xf numFmtId="0" fontId="27" fillId="25" borderId="27" xfId="0" applyFont="1" applyFill="1" applyBorder="1" applyAlignment="1">
      <alignment horizontal="right" vertical="center"/>
    </xf>
    <xf numFmtId="0" fontId="27" fillId="25" borderId="24" xfId="0" applyFont="1" applyFill="1" applyBorder="1" applyAlignment="1">
      <alignment horizontal="right" vertical="center"/>
    </xf>
    <xf numFmtId="0" fontId="27" fillId="20" borderId="34" xfId="0" applyFont="1" applyFill="1" applyBorder="1" applyAlignment="1" applyProtection="1">
      <alignment horizontal="center" vertical="center"/>
      <protection locked="0"/>
    </xf>
    <xf numFmtId="0" fontId="27" fillId="20" borderId="48" xfId="0" applyFont="1" applyFill="1" applyBorder="1" applyAlignment="1" applyProtection="1">
      <alignment horizontal="center" vertical="center"/>
      <protection locked="0"/>
    </xf>
    <xf numFmtId="0" fontId="27" fillId="20" borderId="49" xfId="0" applyFont="1" applyFill="1" applyBorder="1" applyAlignment="1" applyProtection="1">
      <alignment horizontal="center" vertical="center"/>
      <protection locked="0"/>
    </xf>
    <xf numFmtId="0" fontId="27" fillId="20" borderId="55" xfId="0" applyFont="1" applyFill="1" applyBorder="1" applyAlignment="1" applyProtection="1">
      <alignment horizontal="center" vertical="center" wrapText="1"/>
      <protection locked="0"/>
    </xf>
    <xf numFmtId="0" fontId="27" fillId="20" borderId="56" xfId="0" applyFont="1" applyFill="1" applyBorder="1" applyAlignment="1" applyProtection="1">
      <alignment horizontal="center" vertical="center" wrapText="1"/>
      <protection locked="0"/>
    </xf>
    <xf numFmtId="0" fontId="27" fillId="25" borderId="49" xfId="0" applyFont="1" applyFill="1" applyBorder="1" applyAlignment="1">
      <alignment horizontal="center" vertical="center" wrapText="1"/>
    </xf>
    <xf numFmtId="0" fontId="27" fillId="25" borderId="46" xfId="0" applyFont="1" applyFill="1" applyBorder="1" applyAlignment="1">
      <alignment horizontal="center" vertical="center" wrapText="1"/>
    </xf>
    <xf numFmtId="0" fontId="27" fillId="20" borderId="57" xfId="0" applyFont="1" applyFill="1" applyBorder="1" applyAlignment="1" applyProtection="1">
      <alignment horizontal="center" vertical="center" wrapText="1"/>
      <protection locked="0"/>
    </xf>
    <xf numFmtId="0" fontId="27" fillId="32" borderId="41" xfId="0" applyFont="1" applyFill="1" applyBorder="1" applyAlignment="1">
      <alignment horizontal="center" vertical="center"/>
    </xf>
    <xf numFmtId="0" fontId="27" fillId="32" borderId="42" xfId="0" applyFont="1" applyFill="1" applyBorder="1" applyAlignment="1">
      <alignment horizontal="center" vertical="center"/>
    </xf>
    <xf numFmtId="0" fontId="27" fillId="20" borderId="55" xfId="0" applyFont="1" applyFill="1" applyBorder="1" applyAlignment="1">
      <alignment horizontal="center" vertical="center" wrapText="1"/>
    </xf>
    <xf numFmtId="0" fontId="27" fillId="20" borderId="58" xfId="0" applyFont="1" applyFill="1" applyBorder="1" applyAlignment="1">
      <alignment horizontal="center" vertical="center" wrapText="1"/>
    </xf>
    <xf numFmtId="0" fontId="27" fillId="20" borderId="57" xfId="0" applyFont="1" applyFill="1" applyBorder="1" applyAlignment="1">
      <alignment horizontal="center" vertical="center" wrapText="1"/>
    </xf>
    <xf numFmtId="0" fontId="27" fillId="20" borderId="49" xfId="0" applyFont="1" applyFill="1" applyBorder="1" applyAlignment="1">
      <alignment horizontal="center" vertical="center" wrapText="1"/>
    </xf>
    <xf numFmtId="0" fontId="27" fillId="20" borderId="46" xfId="0" applyFont="1" applyFill="1" applyBorder="1" applyAlignment="1">
      <alignment horizontal="center" vertical="center" wrapText="1"/>
    </xf>
    <xf numFmtId="0" fontId="27" fillId="25" borderId="61" xfId="0" applyFont="1" applyFill="1" applyBorder="1" applyAlignment="1">
      <alignment horizontal="center" vertical="center" wrapText="1"/>
    </xf>
    <xf numFmtId="0" fontId="27" fillId="25" borderId="68" xfId="0" applyFont="1" applyFill="1" applyBorder="1" applyAlignment="1">
      <alignment horizontal="center" vertical="center" wrapText="1"/>
    </xf>
    <xf numFmtId="0" fontId="27" fillId="5" borderId="55" xfId="0" applyFont="1" applyFill="1" applyBorder="1" applyAlignment="1" applyProtection="1">
      <alignment horizontal="center" vertical="center" wrapText="1"/>
      <protection locked="0"/>
    </xf>
    <xf numFmtId="0" fontId="27" fillId="5" borderId="57" xfId="0" applyFont="1" applyFill="1" applyBorder="1" applyAlignment="1" applyProtection="1">
      <alignment horizontal="center" vertical="center" wrapText="1"/>
      <protection locked="0"/>
    </xf>
    <xf numFmtId="0" fontId="27" fillId="20" borderId="43" xfId="0" applyFont="1" applyFill="1" applyBorder="1" applyAlignment="1" applyProtection="1">
      <alignment horizontal="center" vertical="center"/>
      <protection locked="0"/>
    </xf>
    <xf numFmtId="0" fontId="27" fillId="20" borderId="42" xfId="0" applyFont="1" applyFill="1" applyBorder="1" applyAlignment="1" applyProtection="1">
      <alignment horizontal="center" vertical="center"/>
      <protection locked="0"/>
    </xf>
    <xf numFmtId="0" fontId="27" fillId="20" borderId="41" xfId="0" applyFont="1" applyFill="1" applyBorder="1" applyAlignment="1" applyProtection="1">
      <alignment horizontal="left" vertical="center"/>
      <protection locked="0"/>
    </xf>
    <xf numFmtId="0" fontId="27" fillId="20" borderId="43" xfId="0" applyFont="1" applyFill="1" applyBorder="1" applyAlignment="1" applyProtection="1">
      <alignment horizontal="left" vertical="center"/>
      <protection locked="0"/>
    </xf>
    <xf numFmtId="0" fontId="44" fillId="20" borderId="43" xfId="0" applyFont="1" applyFill="1" applyBorder="1" applyAlignment="1" applyProtection="1">
      <alignment horizontal="center" vertical="center"/>
      <protection locked="0"/>
    </xf>
    <xf numFmtId="0" fontId="27" fillId="20" borderId="41" xfId="0" applyFont="1" applyFill="1" applyBorder="1" applyAlignment="1" applyProtection="1">
      <alignment horizontal="center" vertical="center"/>
      <protection locked="0"/>
    </xf>
    <xf numFmtId="0" fontId="27" fillId="25" borderId="55" xfId="0" applyFont="1" applyFill="1" applyBorder="1" applyAlignment="1">
      <alignment horizontal="center" vertical="center" wrapText="1"/>
    </xf>
    <xf numFmtId="0" fontId="27" fillId="25" borderId="57" xfId="0" applyFont="1" applyFill="1" applyBorder="1" applyAlignment="1">
      <alignment horizontal="center" vertical="center" wrapText="1"/>
    </xf>
    <xf numFmtId="0" fontId="27" fillId="25" borderId="59" xfId="0" applyFont="1" applyFill="1" applyBorder="1" applyAlignment="1">
      <alignment horizontal="center" vertical="center" wrapText="1"/>
    </xf>
    <xf numFmtId="0" fontId="27" fillId="25" borderId="36" xfId="0" applyFont="1" applyFill="1" applyBorder="1" applyAlignment="1">
      <alignment horizontal="center" vertical="center" wrapText="1"/>
    </xf>
    <xf numFmtId="0" fontId="27" fillId="25" borderId="57" xfId="0" applyFont="1" applyFill="1" applyBorder="1" applyAlignment="1">
      <alignment horizontal="center" vertical="center"/>
    </xf>
    <xf numFmtId="0" fontId="27" fillId="25" borderId="55" xfId="0" applyFont="1" applyFill="1" applyBorder="1" applyAlignment="1">
      <alignment horizontal="center" vertical="center"/>
    </xf>
    <xf numFmtId="0" fontId="42" fillId="25" borderId="34" xfId="0" applyFont="1" applyFill="1" applyBorder="1" applyAlignment="1">
      <alignment horizontal="center" vertical="center" wrapText="1"/>
    </xf>
    <xf numFmtId="0" fontId="42" fillId="25" borderId="49" xfId="0" applyFont="1" applyFill="1" applyBorder="1" applyAlignment="1">
      <alignment horizontal="center" vertical="center" wrapText="1"/>
    </xf>
    <xf numFmtId="0" fontId="27" fillId="32" borderId="55" xfId="0" applyFont="1" applyFill="1" applyBorder="1" applyAlignment="1">
      <alignment horizontal="center" vertical="center" wrapText="1"/>
    </xf>
    <xf numFmtId="0" fontId="27" fillId="32" borderId="57" xfId="0" applyFont="1" applyFill="1" applyBorder="1" applyAlignment="1">
      <alignment horizontal="center" vertical="center" wrapText="1"/>
    </xf>
    <xf numFmtId="0" fontId="27" fillId="25" borderId="74" xfId="0" applyFont="1" applyFill="1" applyBorder="1" applyAlignment="1">
      <alignment horizontal="center" vertical="center" wrapText="1"/>
    </xf>
    <xf numFmtId="0" fontId="27" fillId="25" borderId="66" xfId="0" applyFont="1" applyFill="1" applyBorder="1" applyAlignment="1">
      <alignment horizontal="center" vertical="center" wrapText="1"/>
    </xf>
    <xf numFmtId="0" fontId="27" fillId="20" borderId="41" xfId="0" applyFont="1" applyFill="1" applyBorder="1" applyAlignment="1">
      <alignment horizontal="center" vertical="center"/>
    </xf>
    <xf numFmtId="0" fontId="27" fillId="20" borderId="42" xfId="0" applyFont="1" applyFill="1" applyBorder="1" applyAlignment="1">
      <alignment horizontal="center" vertical="center"/>
    </xf>
    <xf numFmtId="0" fontId="27" fillId="28" borderId="55" xfId="0" applyFont="1" applyFill="1" applyBorder="1" applyAlignment="1">
      <alignment horizontal="center" vertical="center" wrapText="1"/>
    </xf>
    <xf numFmtId="0" fontId="27" fillId="28" borderId="57" xfId="0" applyFont="1" applyFill="1" applyBorder="1" applyAlignment="1">
      <alignment horizontal="center" vertical="center" wrapText="1"/>
    </xf>
    <xf numFmtId="0" fontId="78" fillId="3" borderId="0" xfId="0" applyFont="1" applyFill="1" applyAlignment="1">
      <alignment horizontal="left" vertical="center"/>
    </xf>
    <xf numFmtId="0" fontId="95" fillId="3" borderId="0" xfId="0" applyFont="1" applyFill="1" applyAlignment="1">
      <alignment horizontal="right" indent="1"/>
    </xf>
    <xf numFmtId="0" fontId="95" fillId="3" borderId="19" xfId="0" applyFont="1" applyFill="1" applyBorder="1" applyAlignment="1">
      <alignment horizontal="right" indent="1"/>
    </xf>
    <xf numFmtId="0" fontId="79" fillId="3" borderId="0" xfId="0" applyFont="1" applyFill="1" applyAlignment="1">
      <alignment horizontal="center"/>
    </xf>
    <xf numFmtId="0" fontId="27" fillId="25" borderId="2" xfId="0" applyFont="1" applyFill="1" applyBorder="1" applyAlignment="1">
      <alignment horizontal="left" vertical="center"/>
    </xf>
    <xf numFmtId="0" fontId="27" fillId="25" borderId="4" xfId="0" applyFont="1" applyFill="1" applyBorder="1" applyAlignment="1">
      <alignment horizontal="left" vertical="center"/>
    </xf>
    <xf numFmtId="0" fontId="26" fillId="25" borderId="22" xfId="0" applyFont="1" applyFill="1" applyBorder="1" applyAlignment="1">
      <alignment horizontal="center" vertical="center"/>
    </xf>
    <xf numFmtId="0" fontId="26" fillId="25" borderId="26" xfId="0" applyFont="1" applyFill="1" applyBorder="1" applyAlignment="1">
      <alignment horizontal="center" vertical="center"/>
    </xf>
    <xf numFmtId="0" fontId="77" fillId="3" borderId="0" xfId="0" applyFont="1" applyFill="1" applyAlignment="1">
      <alignment horizontal="center" wrapText="1"/>
    </xf>
    <xf numFmtId="0" fontId="77" fillId="3" borderId="16" xfId="0" applyFont="1" applyFill="1" applyBorder="1" applyAlignment="1">
      <alignment horizontal="center" wrapText="1"/>
    </xf>
    <xf numFmtId="0" fontId="79" fillId="3" borderId="6" xfId="0" applyFont="1" applyFill="1" applyBorder="1" applyAlignment="1">
      <alignment horizontal="center" vertical="center"/>
    </xf>
    <xf numFmtId="0" fontId="79" fillId="3" borderId="16" xfId="0" applyFont="1" applyFill="1" applyBorder="1" applyAlignment="1">
      <alignment horizontal="left" vertical="center"/>
    </xf>
    <xf numFmtId="0" fontId="77" fillId="3" borderId="0" xfId="0" applyFont="1" applyFill="1" applyAlignment="1">
      <alignment horizontal="left" vertical="center"/>
    </xf>
    <xf numFmtId="0" fontId="18" fillId="3" borderId="0" xfId="0" applyFont="1" applyFill="1" applyAlignment="1">
      <alignment horizontal="left" vertical="center" wrapText="1"/>
    </xf>
    <xf numFmtId="0" fontId="18" fillId="3" borderId="16" xfId="0" applyFont="1" applyFill="1" applyBorder="1" applyAlignment="1">
      <alignment horizontal="left" vertical="center" wrapText="1"/>
    </xf>
    <xf numFmtId="0" fontId="13" fillId="25" borderId="41" xfId="0" applyFont="1" applyFill="1" applyBorder="1" applyAlignment="1">
      <alignment horizontal="center" vertical="center"/>
    </xf>
    <xf numFmtId="0" fontId="13" fillId="25" borderId="43" xfId="0" applyFont="1" applyFill="1" applyBorder="1" applyAlignment="1">
      <alignment horizontal="center" vertical="center"/>
    </xf>
    <xf numFmtId="0" fontId="16" fillId="0" borderId="0" xfId="0" applyFont="1" applyAlignment="1" applyProtection="1">
      <alignment horizontal="center" vertical="center" wrapText="1"/>
      <protection locked="0"/>
    </xf>
    <xf numFmtId="0" fontId="27" fillId="20" borderId="58" xfId="0" applyFont="1" applyFill="1" applyBorder="1" applyAlignment="1" applyProtection="1">
      <alignment horizontal="center" vertical="center" wrapText="1"/>
      <protection locked="0"/>
    </xf>
    <xf numFmtId="0" fontId="50" fillId="2" borderId="9" xfId="0" applyFont="1" applyFill="1" applyBorder="1" applyAlignment="1">
      <alignment horizontal="right" vertical="center"/>
    </xf>
    <xf numFmtId="0" fontId="50" fillId="2" borderId="0" xfId="0" applyFont="1" applyFill="1" applyAlignment="1">
      <alignment horizontal="right" vertical="center"/>
    </xf>
    <xf numFmtId="0" fontId="17" fillId="0" borderId="23" xfId="0" applyFont="1" applyBorder="1" applyAlignment="1">
      <alignment horizontal="center"/>
    </xf>
    <xf numFmtId="0" fontId="17" fillId="0" borderId="14" xfId="0" applyFont="1" applyBorder="1" applyAlignment="1">
      <alignment horizontal="center"/>
    </xf>
    <xf numFmtId="0" fontId="17" fillId="0" borderId="17" xfId="0" applyFont="1" applyBorder="1" applyAlignment="1">
      <alignment horizontal="center"/>
    </xf>
    <xf numFmtId="0" fontId="25" fillId="3" borderId="1" xfId="0" applyFont="1" applyFill="1" applyBorder="1" applyAlignment="1">
      <alignment horizontal="left" vertical="center"/>
    </xf>
    <xf numFmtId="0" fontId="39" fillId="0" borderId="1" xfId="0" applyFont="1" applyBorder="1" applyAlignment="1">
      <alignment horizontal="left" vertical="center" wrapText="1"/>
    </xf>
    <xf numFmtId="0" fontId="39" fillId="0" borderId="2" xfId="0" applyFont="1" applyBorder="1" applyAlignment="1">
      <alignment horizontal="left"/>
    </xf>
    <xf numFmtId="0" fontId="39" fillId="0" borderId="3" xfId="0" applyFont="1" applyBorder="1" applyAlignment="1">
      <alignment horizontal="left"/>
    </xf>
    <xf numFmtId="0" fontId="39" fillId="0" borderId="4" xfId="0" applyFont="1" applyBorder="1" applyAlignment="1">
      <alignment horizontal="left"/>
    </xf>
    <xf numFmtId="0" fontId="39" fillId="0" borderId="2" xfId="0" applyFont="1" applyBorder="1" applyAlignment="1">
      <alignment horizontal="left" vertical="center" wrapText="1"/>
    </xf>
    <xf numFmtId="0" fontId="39" fillId="0" borderId="3" xfId="0" applyFont="1" applyBorder="1" applyAlignment="1">
      <alignment horizontal="left" vertical="center" wrapText="1"/>
    </xf>
    <xf numFmtId="0" fontId="39" fillId="0" borderId="4" xfId="0" applyFont="1" applyBorder="1" applyAlignment="1">
      <alignment horizontal="left" vertical="center" wrapText="1"/>
    </xf>
    <xf numFmtId="0" fontId="25" fillId="3" borderId="1" xfId="0" applyFont="1" applyFill="1" applyBorder="1" applyAlignment="1">
      <alignment horizontal="center" vertical="center" wrapText="1"/>
    </xf>
    <xf numFmtId="164" fontId="25" fillId="3" borderId="5" xfId="0" applyNumberFormat="1" applyFont="1" applyFill="1" applyBorder="1" applyAlignment="1">
      <alignment horizontal="center" vertical="center"/>
    </xf>
    <xf numFmtId="164" fontId="25" fillId="3" borderId="7" xfId="0" applyNumberFormat="1" applyFont="1" applyFill="1" applyBorder="1" applyAlignment="1">
      <alignment horizontal="center" vertical="center"/>
    </xf>
    <xf numFmtId="164" fontId="25" fillId="3" borderId="1" xfId="0" applyNumberFormat="1" applyFont="1" applyFill="1" applyBorder="1" applyAlignment="1">
      <alignment horizontal="center" vertical="center" wrapText="1"/>
    </xf>
    <xf numFmtId="164" fontId="17" fillId="3" borderId="1" xfId="0" applyNumberFormat="1" applyFont="1" applyFill="1" applyBorder="1" applyAlignment="1">
      <alignment horizontal="center" vertical="center" wrapText="1"/>
    </xf>
    <xf numFmtId="0" fontId="25" fillId="3" borderId="5" xfId="0" applyFont="1" applyFill="1" applyBorder="1" applyAlignment="1">
      <alignment horizontal="center" vertical="center" wrapText="1"/>
    </xf>
    <xf numFmtId="0" fontId="25" fillId="3" borderId="20"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3" borderId="1" xfId="0" applyFont="1" applyFill="1" applyBorder="1" applyAlignment="1">
      <alignment horizontal="center" vertical="center"/>
    </xf>
    <xf numFmtId="166" fontId="39" fillId="0" borderId="13" xfId="3" applyNumberFormat="1" applyFont="1" applyBorder="1" applyAlignment="1" applyProtection="1">
      <alignment horizontal="center" vertical="center" textRotation="90"/>
      <protection hidden="1"/>
    </xf>
    <xf numFmtId="166" fontId="39" fillId="0" borderId="15" xfId="3" applyNumberFormat="1" applyFont="1" applyBorder="1" applyAlignment="1" applyProtection="1">
      <alignment horizontal="center" vertical="center" textRotation="90"/>
      <protection hidden="1"/>
    </xf>
    <xf numFmtId="0" fontId="25" fillId="3" borderId="64" xfId="0" applyFont="1" applyFill="1" applyBorder="1" applyAlignment="1">
      <alignment horizontal="center" vertical="center" wrapText="1"/>
    </xf>
    <xf numFmtId="0" fontId="25" fillId="3" borderId="51" xfId="0" applyFont="1" applyFill="1" applyBorder="1" applyAlignment="1">
      <alignment horizontal="center" vertical="center" wrapText="1"/>
    </xf>
    <xf numFmtId="0" fontId="25" fillId="3" borderId="67" xfId="0" applyFont="1" applyFill="1" applyBorder="1" applyAlignment="1">
      <alignment horizontal="center" vertical="center" wrapText="1"/>
    </xf>
    <xf numFmtId="0" fontId="25" fillId="3" borderId="8" xfId="0" applyFont="1" applyFill="1" applyBorder="1" applyAlignment="1">
      <alignment horizontal="center" vertical="center" wrapText="1"/>
    </xf>
    <xf numFmtId="0" fontId="25" fillId="3" borderId="6" xfId="0" applyFont="1" applyFill="1" applyBorder="1" applyAlignment="1">
      <alignment horizontal="center" vertical="center" wrapText="1"/>
    </xf>
    <xf numFmtId="0" fontId="25" fillId="3" borderId="33" xfId="0" applyFont="1" applyFill="1" applyBorder="1" applyAlignment="1">
      <alignment horizontal="center" vertical="center" wrapText="1"/>
    </xf>
    <xf numFmtId="0" fontId="25" fillId="3" borderId="2" xfId="0" applyFont="1" applyFill="1" applyBorder="1" applyAlignment="1">
      <alignment horizontal="left" vertical="center"/>
    </xf>
    <xf numFmtId="0" fontId="25" fillId="3" borderId="3" xfId="0" applyFont="1" applyFill="1" applyBorder="1" applyAlignment="1">
      <alignment horizontal="left" vertical="center"/>
    </xf>
    <xf numFmtId="0" fontId="25" fillId="3" borderId="4" xfId="0" applyFont="1" applyFill="1" applyBorder="1" applyAlignment="1">
      <alignment horizontal="left" vertical="center"/>
    </xf>
    <xf numFmtId="0" fontId="25" fillId="3" borderId="7" xfId="0" applyFont="1" applyFill="1" applyBorder="1" applyAlignment="1">
      <alignment horizontal="center" vertical="center"/>
    </xf>
    <xf numFmtId="164" fontId="25" fillId="3" borderId="1" xfId="0" applyNumberFormat="1" applyFont="1" applyFill="1" applyBorder="1" applyAlignment="1">
      <alignment horizontal="center" vertical="center"/>
    </xf>
    <xf numFmtId="0" fontId="25" fillId="3" borderId="9" xfId="0" applyFont="1" applyFill="1" applyBorder="1" applyAlignment="1">
      <alignment horizontal="center" vertical="center" wrapText="1"/>
    </xf>
    <xf numFmtId="0" fontId="25" fillId="3" borderId="0" xfId="0" applyFont="1" applyFill="1" applyAlignment="1">
      <alignment horizontal="center" vertical="center" wrapText="1"/>
    </xf>
    <xf numFmtId="0" fontId="25" fillId="3" borderId="19" xfId="0" applyFont="1" applyFill="1" applyBorder="1" applyAlignment="1">
      <alignment horizontal="center" vertical="center" wrapText="1"/>
    </xf>
    <xf numFmtId="0" fontId="53" fillId="7" borderId="1" xfId="0" applyFont="1" applyFill="1" applyBorder="1" applyAlignment="1">
      <alignment horizontal="center"/>
    </xf>
    <xf numFmtId="0" fontId="53" fillId="7" borderId="1" xfId="0" applyFont="1" applyFill="1" applyBorder="1" applyAlignment="1">
      <alignment horizontal="left"/>
    </xf>
    <xf numFmtId="0" fontId="53" fillId="0" borderId="1" xfId="0" applyFont="1" applyBorder="1" applyAlignment="1">
      <alignment horizontal="center"/>
    </xf>
    <xf numFmtId="0" fontId="53" fillId="0" borderId="1" xfId="0" applyFont="1" applyBorder="1" applyAlignment="1">
      <alignment horizontal="left"/>
    </xf>
    <xf numFmtId="0" fontId="15" fillId="4" borderId="1" xfId="0" applyFont="1" applyFill="1" applyBorder="1" applyAlignment="1">
      <alignment horizontal="right" vertical="center"/>
    </xf>
    <xf numFmtId="0" fontId="0" fillId="4" borderId="1" xfId="0" applyFill="1" applyBorder="1" applyAlignment="1">
      <alignment horizontal="left" vertical="center"/>
    </xf>
    <xf numFmtId="0" fontId="15" fillId="4" borderId="2" xfId="0" applyFont="1" applyFill="1" applyBorder="1" applyAlignment="1">
      <alignment horizontal="right" vertical="center"/>
    </xf>
    <xf numFmtId="0" fontId="15" fillId="4" borderId="3" xfId="0" applyFont="1" applyFill="1" applyBorder="1" applyAlignment="1">
      <alignment horizontal="right" vertical="center"/>
    </xf>
    <xf numFmtId="0" fontId="15" fillId="4" borderId="4" xfId="0" applyFont="1" applyFill="1" applyBorder="1" applyAlignment="1">
      <alignment horizontal="right" vertical="center"/>
    </xf>
    <xf numFmtId="0" fontId="0" fillId="4" borderId="2" xfId="0" applyFill="1" applyBorder="1" applyAlignment="1">
      <alignment horizontal="left" vertical="center"/>
    </xf>
    <xf numFmtId="0" fontId="0" fillId="4" borderId="3" xfId="0" applyFill="1" applyBorder="1" applyAlignment="1">
      <alignment horizontal="left" vertical="center"/>
    </xf>
    <xf numFmtId="0" fontId="0" fillId="4" borderId="4" xfId="0" applyFill="1" applyBorder="1" applyAlignment="1">
      <alignment horizontal="left" vertical="center"/>
    </xf>
    <xf numFmtId="0" fontId="35" fillId="20" borderId="61" xfId="0" applyFont="1" applyFill="1" applyBorder="1" applyAlignment="1">
      <alignment horizontal="center" wrapText="1"/>
    </xf>
    <xf numFmtId="0" fontId="35" fillId="20" borderId="32" xfId="0" applyFont="1" applyFill="1" applyBorder="1" applyAlignment="1">
      <alignment horizontal="center" wrapText="1"/>
    </xf>
    <xf numFmtId="0" fontId="35" fillId="20" borderId="29" xfId="0" applyFont="1" applyFill="1" applyBorder="1" applyAlignment="1">
      <alignment horizontal="center" vertical="center"/>
    </xf>
    <xf numFmtId="0" fontId="35" fillId="20" borderId="63" xfId="0" applyFont="1" applyFill="1" applyBorder="1" applyAlignment="1">
      <alignment horizontal="center" vertical="center"/>
    </xf>
    <xf numFmtId="0" fontId="35" fillId="20" borderId="26" xfId="0" applyFont="1" applyFill="1" applyBorder="1" applyAlignment="1">
      <alignment horizontal="center" vertical="center"/>
    </xf>
    <xf numFmtId="0" fontId="35" fillId="20" borderId="23" xfId="0" applyFont="1" applyFill="1" applyBorder="1" applyAlignment="1">
      <alignment horizontal="center" vertical="center"/>
    </xf>
    <xf numFmtId="0" fontId="35" fillId="20" borderId="2" xfId="0" applyFont="1" applyFill="1" applyBorder="1" applyAlignment="1">
      <alignment horizontal="center" wrapText="1"/>
    </xf>
    <xf numFmtId="0" fontId="35" fillId="20" borderId="3" xfId="0" applyFont="1" applyFill="1" applyBorder="1" applyAlignment="1">
      <alignment horizontal="center" wrapText="1"/>
    </xf>
    <xf numFmtId="0" fontId="35" fillId="20" borderId="4" xfId="0" applyFont="1" applyFill="1" applyBorder="1" applyAlignment="1">
      <alignment horizontal="center" wrapText="1"/>
    </xf>
    <xf numFmtId="0" fontId="35" fillId="20" borderId="1" xfId="0" applyFont="1" applyFill="1" applyBorder="1" applyAlignment="1">
      <alignment horizontal="center" wrapText="1"/>
    </xf>
    <xf numFmtId="0" fontId="35" fillId="20" borderId="2" xfId="0" applyFont="1" applyFill="1" applyBorder="1" applyAlignment="1">
      <alignment horizontal="center"/>
    </xf>
    <xf numFmtId="0" fontId="35" fillId="20" borderId="3" xfId="0" applyFont="1" applyFill="1" applyBorder="1" applyAlignment="1">
      <alignment horizontal="center"/>
    </xf>
    <xf numFmtId="0" fontId="35" fillId="20" borderId="44" xfId="0" applyFont="1" applyFill="1" applyBorder="1" applyAlignment="1">
      <alignment horizontal="center"/>
    </xf>
    <xf numFmtId="0" fontId="16" fillId="2" borderId="0" xfId="0" applyFont="1" applyFill="1" applyAlignment="1">
      <alignment horizontal="center" vertical="center"/>
    </xf>
    <xf numFmtId="0" fontId="7" fillId="2" borderId="0" xfId="0" applyFont="1" applyFill="1" applyAlignment="1" applyProtection="1">
      <alignment horizontal="center"/>
      <protection locked="0"/>
    </xf>
    <xf numFmtId="0" fontId="7" fillId="2" borderId="0" xfId="0" applyFont="1" applyFill="1" applyAlignment="1">
      <alignment horizontal="center"/>
    </xf>
    <xf numFmtId="0" fontId="26" fillId="2" borderId="0" xfId="0" applyFont="1" applyFill="1" applyAlignment="1">
      <alignment horizontal="center" vertical="center"/>
    </xf>
    <xf numFmtId="0" fontId="0" fillId="2" borderId="0" xfId="0" applyFill="1" applyAlignment="1">
      <alignment horizontal="center" vertical="center"/>
    </xf>
    <xf numFmtId="0" fontId="45" fillId="2" borderId="0" xfId="0" applyFont="1" applyFill="1" applyAlignment="1">
      <alignment horizontal="left" vertical="center"/>
    </xf>
    <xf numFmtId="0" fontId="38" fillId="2" borderId="0" xfId="0" applyFont="1" applyFill="1" applyAlignment="1">
      <alignment horizontal="left" vertical="center"/>
    </xf>
    <xf numFmtId="0" fontId="38" fillId="2" borderId="13" xfId="0" applyFont="1" applyFill="1" applyBorder="1" applyAlignment="1">
      <alignment horizontal="center" vertical="center"/>
    </xf>
    <xf numFmtId="0" fontId="38" fillId="2" borderId="0" xfId="0" applyFont="1" applyFill="1" applyAlignment="1">
      <alignment horizontal="center" vertical="center"/>
    </xf>
    <xf numFmtId="0" fontId="38" fillId="2" borderId="14" xfId="0" applyFont="1" applyFill="1" applyBorder="1" applyAlignment="1">
      <alignment horizontal="center" vertical="center"/>
    </xf>
    <xf numFmtId="0" fontId="28" fillId="2" borderId="0" xfId="0" applyFont="1" applyFill="1" applyAlignment="1" applyProtection="1">
      <alignment horizontal="center" vertical="center"/>
      <protection locked="0"/>
    </xf>
    <xf numFmtId="0" fontId="44" fillId="2" borderId="0" xfId="0" applyFont="1" applyFill="1" applyAlignment="1" applyProtection="1">
      <alignment horizontal="center"/>
      <protection locked="0"/>
    </xf>
    <xf numFmtId="0" fontId="28" fillId="2" borderId="0" xfId="0" applyFont="1" applyFill="1" applyAlignment="1" applyProtection="1">
      <alignment horizontal="center"/>
      <protection locked="0"/>
    </xf>
    <xf numFmtId="0" fontId="0" fillId="0" borderId="1" xfId="0" applyBorder="1" applyAlignment="1">
      <alignment horizontal="right"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25" fillId="0" borderId="1" xfId="0" applyFont="1" applyBorder="1" applyAlignment="1">
      <alignment horizontal="center" vertical="center" wrapText="1"/>
    </xf>
  </cellXfs>
  <cellStyles count="14">
    <cellStyle name="Comma" xfId="1" builtinId="3"/>
    <cellStyle name="Currency" xfId="13" builtinId="4"/>
    <cellStyle name="Normal" xfId="0" builtinId="0"/>
    <cellStyle name="Normal 2" xfId="2" xr:uid="{00000000-0005-0000-0000-000002000000}"/>
    <cellStyle name="Normal 2 2" xfId="3" xr:uid="{00000000-0005-0000-0000-000003000000}"/>
    <cellStyle name="Normal 4" xfId="4" xr:uid="{00000000-0005-0000-0000-000004000000}"/>
    <cellStyle name="Normal 7" xfId="5" xr:uid="{00000000-0005-0000-0000-000005000000}"/>
    <cellStyle name="Normal_lighttableapril1601" xfId="12" xr:uid="{00000000-0005-0000-0000-000006000000}"/>
    <cellStyle name="Normal_lighttableapril1601 2" xfId="6" xr:uid="{00000000-0005-0000-0000-000007000000}"/>
    <cellStyle name="Normal_lighttableapril1601 2 2" xfId="7" xr:uid="{00000000-0005-0000-0000-000008000000}"/>
    <cellStyle name="Normal_lighttableapril1601 2 3" xfId="8" xr:uid="{00000000-0005-0000-0000-000009000000}"/>
    <cellStyle name="Normal_lighttableapril1601 4" xfId="9" xr:uid="{00000000-0005-0000-0000-00000A000000}"/>
    <cellStyle name="Percent" xfId="10" builtinId="5"/>
    <cellStyle name="Percent 2" xfId="11" xr:uid="{00000000-0005-0000-0000-00000C000000}"/>
  </cellStyles>
  <dxfs count="118">
    <dxf>
      <font>
        <color rgb="FF9C0006"/>
      </font>
      <fill>
        <patternFill>
          <bgColor rgb="FFFFC7CE"/>
        </patternFill>
      </fill>
    </dxf>
    <dxf>
      <font>
        <color rgb="FF9C0006"/>
      </font>
      <fill>
        <patternFill>
          <bgColor rgb="FFFFC7CE"/>
        </patternFill>
      </fill>
    </dxf>
    <dxf>
      <font>
        <b/>
        <i val="0"/>
        <color theme="0"/>
      </font>
      <fill>
        <patternFill>
          <bgColor rgb="FFC00000"/>
        </patternFill>
      </fill>
    </dxf>
    <dxf>
      <font>
        <b/>
        <i val="0"/>
        <color theme="0"/>
      </font>
      <fill>
        <patternFill>
          <bgColor rgb="FFC00000"/>
        </patternFill>
      </fill>
    </dxf>
    <dxf>
      <font>
        <b/>
        <i val="0"/>
        <color theme="0"/>
      </font>
      <fill>
        <patternFill>
          <bgColor theme="9" tint="-0.24994659260841701"/>
        </patternFill>
      </fill>
    </dxf>
    <dxf>
      <font>
        <b/>
        <i val="0"/>
        <color theme="0"/>
      </font>
      <fill>
        <patternFill>
          <bgColor rgb="FFC00000"/>
        </patternFill>
      </fill>
    </dxf>
    <dxf>
      <font>
        <b/>
        <i val="0"/>
        <color theme="0"/>
      </font>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ont>
        <b/>
        <i val="0"/>
        <color rgb="FFFF0000"/>
      </font>
      <fill>
        <patternFill>
          <bgColor theme="2" tint="-0.749961851863155"/>
        </patternFill>
      </fill>
    </dxf>
    <dxf>
      <font>
        <b/>
        <i val="0"/>
        <color rgb="FFFF0000"/>
      </font>
    </dxf>
    <dxf>
      <font>
        <b/>
        <i val="0"/>
        <color rgb="FFFF0000"/>
      </font>
    </dxf>
    <dxf>
      <font>
        <b/>
        <i val="0"/>
        <color auto="1"/>
      </font>
      <fill>
        <patternFill>
          <bgColor rgb="FFF3A36D"/>
        </patternFill>
      </fill>
      <border>
        <left style="thin">
          <color theme="5" tint="-0.24994659260841701"/>
        </left>
        <right style="thin">
          <color theme="5" tint="-0.24994659260841701"/>
        </right>
        <top style="thin">
          <color theme="5" tint="-0.24994659260841701"/>
        </top>
        <bottom style="thin">
          <color theme="5" tint="-0.24994659260841701"/>
        </bottom>
      </border>
    </dxf>
    <dxf>
      <font>
        <b/>
        <i val="0"/>
        <color rgb="FFFF0000"/>
      </font>
      <fill>
        <patternFill>
          <bgColor theme="2" tint="-0.749961851863155"/>
        </patternFill>
      </fill>
    </dxf>
    <dxf>
      <font>
        <b/>
        <i val="0"/>
        <color theme="0"/>
      </font>
      <fill>
        <patternFill>
          <bgColor rgb="FFC00000"/>
        </patternFill>
      </fill>
    </dxf>
    <dxf>
      <font>
        <b/>
        <i val="0"/>
        <color theme="0"/>
      </font>
      <fill>
        <patternFill>
          <bgColor theme="5" tint="-0.24994659260841701"/>
        </patternFill>
      </fill>
    </dxf>
    <dxf>
      <fill>
        <patternFill>
          <bgColor rgb="FFC00000"/>
        </patternFill>
      </fill>
    </dxf>
    <dxf>
      <fill>
        <patternFill>
          <bgColor theme="2" tint="-0.749961851863155"/>
        </patternFill>
      </fill>
    </dxf>
    <dxf>
      <fill>
        <patternFill>
          <bgColor theme="0"/>
        </patternFill>
      </fill>
    </dxf>
    <dxf>
      <font>
        <b/>
        <i val="0"/>
        <color theme="0"/>
      </font>
      <fill>
        <patternFill>
          <bgColor rgb="FFC00000"/>
        </patternFill>
      </fill>
    </dxf>
    <dxf>
      <fill>
        <patternFill>
          <bgColor theme="2" tint="-0.749961851863155"/>
        </patternFill>
      </fill>
    </dxf>
    <dxf>
      <font>
        <b/>
        <i val="0"/>
        <color theme="0"/>
      </font>
      <fill>
        <patternFill>
          <bgColor rgb="FFC00000"/>
        </patternFill>
      </fill>
    </dxf>
    <dxf>
      <font>
        <b/>
        <i val="0"/>
        <color theme="0"/>
      </font>
      <fill>
        <patternFill>
          <bgColor rgb="FFC00000"/>
        </patternFill>
      </fill>
    </dxf>
    <dxf>
      <font>
        <color theme="2" tint="-0.24994659260841701"/>
      </font>
      <fill>
        <patternFill>
          <bgColor theme="2" tint="-0.749961851863155"/>
        </patternFill>
      </fill>
    </dxf>
    <dxf>
      <font>
        <b val="0"/>
        <i val="0"/>
        <color theme="2" tint="-0.24994659260841701"/>
      </font>
      <fill>
        <patternFill>
          <bgColor theme="2" tint="-0.749961851863155"/>
        </patternFill>
      </fill>
    </dxf>
    <dxf>
      <font>
        <b/>
        <i val="0"/>
        <color theme="0"/>
      </font>
      <fill>
        <patternFill>
          <bgColor rgb="FFC00000"/>
        </patternFill>
      </fill>
    </dxf>
    <dxf>
      <fill>
        <patternFill>
          <bgColor rgb="FFC00000"/>
        </patternFill>
      </fill>
    </dxf>
    <dxf>
      <fill>
        <patternFill>
          <bgColor rgb="FFC00000"/>
        </patternFill>
      </fill>
    </dxf>
    <dxf>
      <fill>
        <patternFill>
          <bgColor rgb="FFC00000"/>
        </patternFill>
      </fill>
    </dxf>
    <dxf>
      <fill>
        <patternFill>
          <bgColor theme="2" tint="-0.749961851863155"/>
        </patternFill>
      </fill>
    </dxf>
    <dxf>
      <font>
        <b/>
        <i val="0"/>
        <color auto="1"/>
      </font>
      <fill>
        <patternFill>
          <bgColor rgb="FFF3A36D"/>
        </patternFill>
      </fill>
      <border>
        <left style="thin">
          <color theme="5" tint="-0.24994659260841701"/>
        </left>
        <right style="thin">
          <color theme="5" tint="-0.24994659260841701"/>
        </right>
        <top style="thin">
          <color theme="5" tint="-0.24994659260841701"/>
        </top>
        <bottom style="thin">
          <color theme="5" tint="-0.24994659260841701"/>
        </bottom>
      </border>
    </dxf>
    <dxf>
      <font>
        <b/>
        <i val="0"/>
        <color rgb="FFC00000"/>
      </font>
    </dxf>
    <dxf>
      <font>
        <b/>
        <i val="0"/>
        <color theme="0"/>
      </font>
      <fill>
        <patternFill>
          <bgColor theme="9" tint="-0.24994659260841701"/>
        </patternFill>
      </fill>
    </dxf>
    <dxf>
      <font>
        <b/>
        <i val="0"/>
        <color theme="0"/>
      </font>
      <fill>
        <patternFill>
          <bgColor theme="9" tint="-0.24994659260841701"/>
        </patternFill>
      </fill>
    </dxf>
    <dxf>
      <font>
        <b/>
        <i val="0"/>
        <color theme="0"/>
      </font>
      <fill>
        <patternFill>
          <bgColor theme="9" tint="-0.24994659260841701"/>
        </patternFill>
      </fill>
    </dxf>
    <dxf>
      <font>
        <b/>
        <i val="0"/>
        <color theme="0"/>
      </font>
      <fill>
        <patternFill patternType="solid">
          <bgColor theme="9" tint="-0.24994659260841701"/>
        </patternFill>
      </fill>
    </dxf>
    <dxf>
      <font>
        <b/>
        <i val="0"/>
        <color theme="0"/>
      </font>
      <fill>
        <patternFill>
          <bgColor rgb="FFC00000"/>
        </patternFill>
      </fill>
    </dxf>
    <dxf>
      <font>
        <b/>
        <i val="0"/>
        <color theme="0"/>
      </font>
      <fill>
        <patternFill>
          <bgColor rgb="FFC00000"/>
        </patternFill>
      </fill>
    </dxf>
    <dxf>
      <font>
        <b/>
        <i val="0"/>
        <color auto="1"/>
      </font>
      <fill>
        <patternFill>
          <bgColor theme="4" tint="0.59996337778862885"/>
        </patternFill>
      </fill>
      <border>
        <left style="thin">
          <color rgb="FF00B0F0"/>
        </left>
        <right style="thin">
          <color rgb="FF00B0F0"/>
        </right>
        <top style="thin">
          <color rgb="FF00B0F0"/>
        </top>
        <bottom style="thin">
          <color rgb="FF00B0F0"/>
        </bottom>
        <vertical/>
        <horizontal/>
      </border>
    </dxf>
    <dxf>
      <font>
        <b/>
        <i val="0"/>
        <color auto="1"/>
      </font>
      <fill>
        <patternFill>
          <bgColor theme="4" tint="0.59996337778862885"/>
        </patternFill>
      </fill>
      <border>
        <left style="thin">
          <color rgb="FF00B0F0"/>
        </left>
        <right style="thin">
          <color rgb="FF00B0F0"/>
        </right>
        <top style="thin">
          <color rgb="FF00B0F0"/>
        </top>
        <bottom style="thin">
          <color rgb="FF00B0F0"/>
        </bottom>
        <vertical/>
        <horizontal/>
      </border>
    </dxf>
    <dxf>
      <font>
        <b/>
        <i val="0"/>
        <color theme="0"/>
      </font>
      <fill>
        <patternFill>
          <bgColor rgb="FFC00000"/>
        </patternFill>
      </fill>
    </dxf>
    <dxf>
      <font>
        <color theme="2" tint="-0.749961851863155"/>
      </font>
      <fill>
        <patternFill>
          <bgColor theme="2" tint="-0.749961851863155"/>
        </patternFill>
      </fill>
    </dxf>
    <dxf>
      <font>
        <b/>
        <i val="0"/>
        <color rgb="FFFF0000"/>
      </font>
    </dxf>
    <dxf>
      <font>
        <b/>
        <i val="0"/>
        <color theme="0"/>
      </font>
      <fill>
        <patternFill>
          <bgColor theme="9" tint="-0.24994659260841701"/>
        </patternFill>
      </fill>
    </dxf>
    <dxf>
      <font>
        <b/>
        <i val="0"/>
        <u val="none"/>
        <color rgb="FFFF0000"/>
      </font>
      <border>
        <left style="thin">
          <color auto="1"/>
        </left>
        <right style="thin">
          <color auto="1"/>
        </right>
        <top style="thin">
          <color auto="1"/>
        </top>
        <bottom style="thin">
          <color auto="1"/>
        </bottom>
      </border>
    </dxf>
    <dxf>
      <font>
        <b/>
        <i val="0"/>
        <color theme="0"/>
      </font>
      <fill>
        <patternFill>
          <bgColor rgb="FF7030A0"/>
        </patternFill>
      </fill>
    </dxf>
    <dxf>
      <font>
        <b/>
        <i val="0"/>
        <color theme="0"/>
      </font>
      <fill>
        <patternFill>
          <bgColor rgb="FFC00000"/>
        </patternFill>
      </fill>
    </dxf>
    <dxf>
      <font>
        <color theme="2" tint="-0.749961851863155"/>
      </font>
      <fill>
        <patternFill>
          <bgColor theme="2" tint="-0.749961851863155"/>
        </patternFill>
      </fill>
    </dxf>
    <dxf>
      <font>
        <b/>
        <i val="0"/>
        <color rgb="FFFF0000"/>
      </font>
    </dxf>
    <dxf>
      <font>
        <b/>
        <i val="0"/>
        <color rgb="FFFF0000"/>
      </font>
    </dxf>
    <dxf>
      <font>
        <b/>
        <i val="0"/>
        <color theme="0"/>
      </font>
      <fill>
        <patternFill>
          <bgColor rgb="FFC00000"/>
        </patternFill>
      </fill>
    </dxf>
    <dxf>
      <font>
        <b/>
        <i val="0"/>
        <color rgb="FFFF0000"/>
      </font>
    </dxf>
    <dxf>
      <fill>
        <patternFill>
          <bgColor theme="0"/>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499984740745262"/>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theme="9" tint="-0.24994659260841701"/>
        </patternFill>
      </fill>
    </dxf>
    <dxf>
      <font>
        <b/>
        <i val="0"/>
        <color theme="0"/>
      </font>
      <fill>
        <patternFill>
          <bgColor rgb="FFC00000"/>
        </patternFill>
      </fill>
    </dxf>
    <dxf>
      <font>
        <b/>
        <i val="0"/>
        <color theme="0"/>
      </font>
      <fill>
        <patternFill>
          <bgColor theme="9" tint="-0.499984740745262"/>
        </patternFill>
      </fill>
    </dxf>
    <dxf>
      <font>
        <b/>
        <i val="0"/>
        <color theme="1"/>
      </font>
      <fill>
        <patternFill>
          <bgColor theme="7" tint="0.59996337778862885"/>
        </patternFill>
      </fill>
    </dxf>
    <dxf>
      <font>
        <b/>
        <i val="0"/>
        <color theme="0"/>
      </font>
      <fill>
        <patternFill>
          <bgColor theme="9" tint="-0.24994659260841701"/>
        </patternFill>
      </fill>
    </dxf>
    <dxf>
      <font>
        <b/>
        <i val="0"/>
        <color theme="0"/>
      </font>
      <fill>
        <patternFill>
          <bgColor theme="9" tint="-0.499984740745262"/>
        </patternFill>
      </fill>
    </dxf>
    <dxf>
      <font>
        <b/>
        <i val="0"/>
        <color theme="0"/>
      </font>
      <fill>
        <patternFill>
          <bgColor rgb="FFC00000"/>
        </patternFill>
      </fill>
    </dxf>
    <dxf>
      <font>
        <b/>
        <i val="0"/>
        <color theme="0"/>
      </font>
      <fill>
        <patternFill>
          <bgColor theme="9" tint="-0.24994659260841701"/>
        </patternFill>
      </fill>
    </dxf>
    <dxf>
      <font>
        <b/>
        <i val="0"/>
        <color theme="0"/>
      </font>
      <fill>
        <patternFill>
          <bgColor rgb="FFC00000"/>
        </patternFill>
      </fill>
    </dxf>
    <dxf>
      <font>
        <b/>
        <i val="0"/>
        <color theme="0"/>
      </font>
      <fill>
        <patternFill>
          <bgColor theme="9" tint="-0.499984740745262"/>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theme="9" tint="-0.499984740745262"/>
        </patternFill>
      </fill>
    </dxf>
    <dxf>
      <font>
        <b/>
        <i val="0"/>
        <color theme="0"/>
      </font>
      <fill>
        <patternFill>
          <bgColor theme="9" tint="-0.499984740745262"/>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rgb="FFC00000"/>
        </patternFill>
      </fill>
    </dxf>
    <dxf>
      <font>
        <b/>
        <i val="0"/>
        <color theme="0"/>
      </font>
      <fill>
        <patternFill>
          <bgColor theme="9" tint="-0.499984740745262"/>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499984740745262"/>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rgb="FF9C0006"/>
      </font>
      <fill>
        <patternFill>
          <bgColor rgb="FFFFC7CE"/>
        </patternFill>
      </fill>
    </dxf>
    <dxf>
      <fill>
        <patternFill>
          <bgColor rgb="FFFFFF00"/>
        </patternFill>
      </fill>
    </dxf>
  </dxfs>
  <tableStyles count="0" defaultTableStyle="TableStyleMedium2" defaultPivotStyle="PivotStyleLight16"/>
  <colors>
    <mruColors>
      <color rgb="FFDFD2A7"/>
      <color rgb="FF005CB8"/>
      <color rgb="FFFDC171"/>
      <color rgb="FF1E427C"/>
      <color rgb="FF0060AF"/>
      <color rgb="FF960000"/>
      <color rgb="FF893BC3"/>
      <color rgb="FFEBF74B"/>
      <color rgb="FFFFD869"/>
      <color rgb="FFFFD6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83630</xdr:colOff>
      <xdr:row>1</xdr:row>
      <xdr:rowOff>188132</xdr:rowOff>
    </xdr:from>
    <xdr:to>
      <xdr:col>3</xdr:col>
      <xdr:colOff>625111</xdr:colOff>
      <xdr:row>3</xdr:row>
      <xdr:rowOff>380999</xdr:rowOff>
    </xdr:to>
    <xdr:pic>
      <xdr:nvPicPr>
        <xdr:cNvPr id="29217" name="Picture 1">
          <a:extLst>
            <a:ext uri="{FF2B5EF4-FFF2-40B4-BE49-F238E27FC236}">
              <a16:creationId xmlns:a16="http://schemas.microsoft.com/office/drawing/2014/main" id="{00000000-0008-0000-0000-0000217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53424" y="535514"/>
          <a:ext cx="2192556" cy="820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638735</xdr:colOff>
      <xdr:row>111</xdr:row>
      <xdr:rowOff>168088</xdr:rowOff>
    </xdr:from>
    <xdr:to>
      <xdr:col>1</xdr:col>
      <xdr:colOff>963706</xdr:colOff>
      <xdr:row>112</xdr:row>
      <xdr:rowOff>67235</xdr:rowOff>
    </xdr:to>
    <xdr:cxnSp macro="">
      <xdr:nvCxnSpPr>
        <xdr:cNvPr id="29218" name="Straight Arrow Connector 1">
          <a:extLst>
            <a:ext uri="{FF2B5EF4-FFF2-40B4-BE49-F238E27FC236}">
              <a16:creationId xmlns:a16="http://schemas.microsoft.com/office/drawing/2014/main" id="{00000000-0008-0000-0000-000022720000}"/>
            </a:ext>
          </a:extLst>
        </xdr:cNvPr>
        <xdr:cNvCxnSpPr>
          <a:cxnSpLocks noChangeShapeType="1"/>
        </xdr:cNvCxnSpPr>
      </xdr:nvCxnSpPr>
      <xdr:spPr bwMode="auto">
        <a:xfrm>
          <a:off x="1008529" y="52768500"/>
          <a:ext cx="324971" cy="100853"/>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1075765</xdr:colOff>
      <xdr:row>108</xdr:row>
      <xdr:rowOff>179294</xdr:rowOff>
    </xdr:from>
    <xdr:to>
      <xdr:col>2</xdr:col>
      <xdr:colOff>123825</xdr:colOff>
      <xdr:row>112</xdr:row>
      <xdr:rowOff>19050</xdr:rowOff>
    </xdr:to>
    <xdr:cxnSp macro="">
      <xdr:nvCxnSpPr>
        <xdr:cNvPr id="29219" name="Straight Arrow Connector 2">
          <a:extLst>
            <a:ext uri="{FF2B5EF4-FFF2-40B4-BE49-F238E27FC236}">
              <a16:creationId xmlns:a16="http://schemas.microsoft.com/office/drawing/2014/main" id="{00000000-0008-0000-0000-000023720000}"/>
            </a:ext>
          </a:extLst>
        </xdr:cNvPr>
        <xdr:cNvCxnSpPr>
          <a:cxnSpLocks noChangeShapeType="1"/>
        </xdr:cNvCxnSpPr>
      </xdr:nvCxnSpPr>
      <xdr:spPr bwMode="auto">
        <a:xfrm>
          <a:off x="1445559" y="39411088"/>
          <a:ext cx="291913" cy="612962"/>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818033</xdr:colOff>
      <xdr:row>112</xdr:row>
      <xdr:rowOff>168088</xdr:rowOff>
    </xdr:from>
    <xdr:to>
      <xdr:col>2</xdr:col>
      <xdr:colOff>78441</xdr:colOff>
      <xdr:row>114</xdr:row>
      <xdr:rowOff>78442</xdr:rowOff>
    </xdr:to>
    <xdr:cxnSp macro="">
      <xdr:nvCxnSpPr>
        <xdr:cNvPr id="29220" name="Straight Arrow Connector 3">
          <a:extLst>
            <a:ext uri="{FF2B5EF4-FFF2-40B4-BE49-F238E27FC236}">
              <a16:creationId xmlns:a16="http://schemas.microsoft.com/office/drawing/2014/main" id="{00000000-0008-0000-0000-000024720000}"/>
            </a:ext>
          </a:extLst>
        </xdr:cNvPr>
        <xdr:cNvCxnSpPr>
          <a:cxnSpLocks noChangeShapeType="1"/>
        </xdr:cNvCxnSpPr>
      </xdr:nvCxnSpPr>
      <xdr:spPr bwMode="auto">
        <a:xfrm flipV="1">
          <a:off x="1187827" y="40173088"/>
          <a:ext cx="504261" cy="30256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438150</xdr:colOff>
      <xdr:row>109</xdr:row>
      <xdr:rowOff>11206</xdr:rowOff>
    </xdr:from>
    <xdr:to>
      <xdr:col>3</xdr:col>
      <xdr:colOff>78441</xdr:colOff>
      <xdr:row>112</xdr:row>
      <xdr:rowOff>19050</xdr:rowOff>
    </xdr:to>
    <xdr:cxnSp macro="">
      <xdr:nvCxnSpPr>
        <xdr:cNvPr id="29221" name="Straight Arrow Connector 4">
          <a:extLst>
            <a:ext uri="{FF2B5EF4-FFF2-40B4-BE49-F238E27FC236}">
              <a16:creationId xmlns:a16="http://schemas.microsoft.com/office/drawing/2014/main" id="{00000000-0008-0000-0000-000025720000}"/>
            </a:ext>
          </a:extLst>
        </xdr:cNvPr>
        <xdr:cNvCxnSpPr>
          <a:cxnSpLocks noChangeShapeType="1"/>
        </xdr:cNvCxnSpPr>
      </xdr:nvCxnSpPr>
      <xdr:spPr bwMode="auto">
        <a:xfrm flipH="1">
          <a:off x="2051797" y="39433500"/>
          <a:ext cx="301438" cy="59055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542926</xdr:colOff>
      <xdr:row>111</xdr:row>
      <xdr:rowOff>0</xdr:rowOff>
    </xdr:from>
    <xdr:to>
      <xdr:col>3</xdr:col>
      <xdr:colOff>437030</xdr:colOff>
      <xdr:row>112</xdr:row>
      <xdr:rowOff>38100</xdr:rowOff>
    </xdr:to>
    <xdr:cxnSp macro="">
      <xdr:nvCxnSpPr>
        <xdr:cNvPr id="29222" name="Straight Arrow Connector 5">
          <a:extLst>
            <a:ext uri="{FF2B5EF4-FFF2-40B4-BE49-F238E27FC236}">
              <a16:creationId xmlns:a16="http://schemas.microsoft.com/office/drawing/2014/main" id="{00000000-0008-0000-0000-000026720000}"/>
            </a:ext>
          </a:extLst>
        </xdr:cNvPr>
        <xdr:cNvCxnSpPr>
          <a:cxnSpLocks noChangeShapeType="1"/>
        </xdr:cNvCxnSpPr>
      </xdr:nvCxnSpPr>
      <xdr:spPr bwMode="auto">
        <a:xfrm flipH="1">
          <a:off x="2156573" y="39803294"/>
          <a:ext cx="555251" cy="239806"/>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85725</xdr:colOff>
      <xdr:row>112</xdr:row>
      <xdr:rowOff>152400</xdr:rowOff>
    </xdr:from>
    <xdr:to>
      <xdr:col>3</xdr:col>
      <xdr:colOff>314325</xdr:colOff>
      <xdr:row>113</xdr:row>
      <xdr:rowOff>57150</xdr:rowOff>
    </xdr:to>
    <xdr:cxnSp macro="">
      <xdr:nvCxnSpPr>
        <xdr:cNvPr id="29223" name="Straight Arrow Connector 6">
          <a:extLst>
            <a:ext uri="{FF2B5EF4-FFF2-40B4-BE49-F238E27FC236}">
              <a16:creationId xmlns:a16="http://schemas.microsoft.com/office/drawing/2014/main" id="{00000000-0008-0000-0000-000027720000}"/>
            </a:ext>
          </a:extLst>
        </xdr:cNvPr>
        <xdr:cNvCxnSpPr>
          <a:cxnSpLocks noChangeShapeType="1"/>
        </xdr:cNvCxnSpPr>
      </xdr:nvCxnSpPr>
      <xdr:spPr bwMode="auto">
        <a:xfrm rot="10800000">
          <a:off x="2362200" y="35499675"/>
          <a:ext cx="228600" cy="10477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314326</xdr:colOff>
      <xdr:row>112</xdr:row>
      <xdr:rowOff>171450</xdr:rowOff>
    </xdr:from>
    <xdr:to>
      <xdr:col>3</xdr:col>
      <xdr:colOff>425824</xdr:colOff>
      <xdr:row>116</xdr:row>
      <xdr:rowOff>56029</xdr:rowOff>
    </xdr:to>
    <xdr:cxnSp macro="">
      <xdr:nvCxnSpPr>
        <xdr:cNvPr id="29224" name="Straight Arrow Connector 7">
          <a:extLst>
            <a:ext uri="{FF2B5EF4-FFF2-40B4-BE49-F238E27FC236}">
              <a16:creationId xmlns:a16="http://schemas.microsoft.com/office/drawing/2014/main" id="{00000000-0008-0000-0000-000028720000}"/>
            </a:ext>
          </a:extLst>
        </xdr:cNvPr>
        <xdr:cNvCxnSpPr>
          <a:cxnSpLocks noChangeShapeType="1"/>
        </xdr:cNvCxnSpPr>
      </xdr:nvCxnSpPr>
      <xdr:spPr bwMode="auto">
        <a:xfrm flipH="1" flipV="1">
          <a:off x="1927973" y="40176450"/>
          <a:ext cx="772645" cy="65778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228600</xdr:colOff>
      <xdr:row>112</xdr:row>
      <xdr:rowOff>180975</xdr:rowOff>
    </xdr:from>
    <xdr:to>
      <xdr:col>2</xdr:col>
      <xdr:colOff>304800</xdr:colOff>
      <xdr:row>116</xdr:row>
      <xdr:rowOff>66675</xdr:rowOff>
    </xdr:to>
    <xdr:cxnSp macro="">
      <xdr:nvCxnSpPr>
        <xdr:cNvPr id="29225" name="Straight Arrow Connector 8">
          <a:extLst>
            <a:ext uri="{FF2B5EF4-FFF2-40B4-BE49-F238E27FC236}">
              <a16:creationId xmlns:a16="http://schemas.microsoft.com/office/drawing/2014/main" id="{00000000-0008-0000-0000-000029720000}"/>
            </a:ext>
          </a:extLst>
        </xdr:cNvPr>
        <xdr:cNvCxnSpPr>
          <a:cxnSpLocks noChangeShapeType="1"/>
        </xdr:cNvCxnSpPr>
      </xdr:nvCxnSpPr>
      <xdr:spPr bwMode="auto">
        <a:xfrm rot="16200000" flipV="1">
          <a:off x="1557337" y="35818763"/>
          <a:ext cx="657225" cy="7620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152400</xdr:colOff>
      <xdr:row>110</xdr:row>
      <xdr:rowOff>0</xdr:rowOff>
    </xdr:from>
    <xdr:to>
      <xdr:col>9</xdr:col>
      <xdr:colOff>28575</xdr:colOff>
      <xdr:row>111</xdr:row>
      <xdr:rowOff>57150</xdr:rowOff>
    </xdr:to>
    <xdr:cxnSp macro="">
      <xdr:nvCxnSpPr>
        <xdr:cNvPr id="29226" name="Straight Arrow Connector 10">
          <a:extLst>
            <a:ext uri="{FF2B5EF4-FFF2-40B4-BE49-F238E27FC236}">
              <a16:creationId xmlns:a16="http://schemas.microsoft.com/office/drawing/2014/main" id="{00000000-0008-0000-0000-00002A720000}"/>
            </a:ext>
          </a:extLst>
        </xdr:cNvPr>
        <xdr:cNvCxnSpPr>
          <a:cxnSpLocks noChangeShapeType="1"/>
        </xdr:cNvCxnSpPr>
      </xdr:nvCxnSpPr>
      <xdr:spPr bwMode="auto">
        <a:xfrm>
          <a:off x="5210175" y="34956750"/>
          <a:ext cx="781050" cy="24765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627529</xdr:colOff>
      <xdr:row>111</xdr:row>
      <xdr:rowOff>190500</xdr:rowOff>
    </xdr:from>
    <xdr:to>
      <xdr:col>9</xdr:col>
      <xdr:colOff>352425</xdr:colOff>
      <xdr:row>114</xdr:row>
      <xdr:rowOff>78441</xdr:rowOff>
    </xdr:to>
    <xdr:cxnSp macro="">
      <xdr:nvCxnSpPr>
        <xdr:cNvPr id="29227" name="Straight Arrow Connector 11">
          <a:extLst>
            <a:ext uri="{FF2B5EF4-FFF2-40B4-BE49-F238E27FC236}">
              <a16:creationId xmlns:a16="http://schemas.microsoft.com/office/drawing/2014/main" id="{00000000-0008-0000-0000-00002B720000}"/>
            </a:ext>
          </a:extLst>
        </xdr:cNvPr>
        <xdr:cNvCxnSpPr>
          <a:cxnSpLocks noChangeShapeType="1"/>
        </xdr:cNvCxnSpPr>
      </xdr:nvCxnSpPr>
      <xdr:spPr bwMode="auto">
        <a:xfrm flipV="1">
          <a:off x="5692588" y="39993794"/>
          <a:ext cx="632572" cy="481853"/>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542926</xdr:colOff>
      <xdr:row>108</xdr:row>
      <xdr:rowOff>156882</xdr:rowOff>
    </xdr:from>
    <xdr:to>
      <xdr:col>10</xdr:col>
      <xdr:colOff>246529</xdr:colOff>
      <xdr:row>111</xdr:row>
      <xdr:rowOff>9525</xdr:rowOff>
    </xdr:to>
    <xdr:cxnSp macro="">
      <xdr:nvCxnSpPr>
        <xdr:cNvPr id="29228" name="Straight Arrow Connector 12">
          <a:extLst>
            <a:ext uri="{FF2B5EF4-FFF2-40B4-BE49-F238E27FC236}">
              <a16:creationId xmlns:a16="http://schemas.microsoft.com/office/drawing/2014/main" id="{00000000-0008-0000-0000-00002C720000}"/>
            </a:ext>
          </a:extLst>
        </xdr:cNvPr>
        <xdr:cNvCxnSpPr>
          <a:cxnSpLocks noChangeShapeType="1"/>
        </xdr:cNvCxnSpPr>
      </xdr:nvCxnSpPr>
      <xdr:spPr bwMode="auto">
        <a:xfrm flipH="1">
          <a:off x="6515661" y="39388676"/>
          <a:ext cx="588868" cy="424143"/>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694765</xdr:colOff>
      <xdr:row>112</xdr:row>
      <xdr:rowOff>11206</xdr:rowOff>
    </xdr:from>
    <xdr:to>
      <xdr:col>10</xdr:col>
      <xdr:colOff>352426</xdr:colOff>
      <xdr:row>114</xdr:row>
      <xdr:rowOff>47626</xdr:rowOff>
    </xdr:to>
    <xdr:cxnSp macro="">
      <xdr:nvCxnSpPr>
        <xdr:cNvPr id="29229" name="Straight Arrow Connector 13">
          <a:extLst>
            <a:ext uri="{FF2B5EF4-FFF2-40B4-BE49-F238E27FC236}">
              <a16:creationId xmlns:a16="http://schemas.microsoft.com/office/drawing/2014/main" id="{00000000-0008-0000-0000-00002D720000}"/>
            </a:ext>
          </a:extLst>
        </xdr:cNvPr>
        <xdr:cNvCxnSpPr>
          <a:cxnSpLocks noChangeShapeType="1"/>
        </xdr:cNvCxnSpPr>
      </xdr:nvCxnSpPr>
      <xdr:spPr bwMode="auto">
        <a:xfrm flipH="1" flipV="1">
          <a:off x="6667500" y="40016206"/>
          <a:ext cx="542926" cy="428626"/>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638735</xdr:colOff>
      <xdr:row>111</xdr:row>
      <xdr:rowOff>168088</xdr:rowOff>
    </xdr:from>
    <xdr:to>
      <xdr:col>1</xdr:col>
      <xdr:colOff>963706</xdr:colOff>
      <xdr:row>112</xdr:row>
      <xdr:rowOff>67235</xdr:rowOff>
    </xdr:to>
    <xdr:cxnSp macro="">
      <xdr:nvCxnSpPr>
        <xdr:cNvPr id="18" name="Straight Arrow Connector 1">
          <a:extLst>
            <a:ext uri="{FF2B5EF4-FFF2-40B4-BE49-F238E27FC236}">
              <a16:creationId xmlns:a16="http://schemas.microsoft.com/office/drawing/2014/main" id="{00000000-0008-0000-0000-000012000000}"/>
            </a:ext>
          </a:extLst>
        </xdr:cNvPr>
        <xdr:cNvCxnSpPr>
          <a:cxnSpLocks noChangeShapeType="1"/>
        </xdr:cNvCxnSpPr>
      </xdr:nvCxnSpPr>
      <xdr:spPr bwMode="auto">
        <a:xfrm>
          <a:off x="1010210" y="61509088"/>
          <a:ext cx="324971" cy="99172"/>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1075765</xdr:colOff>
      <xdr:row>108</xdr:row>
      <xdr:rowOff>179294</xdr:rowOff>
    </xdr:from>
    <xdr:to>
      <xdr:col>2</xdr:col>
      <xdr:colOff>123825</xdr:colOff>
      <xdr:row>112</xdr:row>
      <xdr:rowOff>19050</xdr:rowOff>
    </xdr:to>
    <xdr:cxnSp macro="">
      <xdr:nvCxnSpPr>
        <xdr:cNvPr id="19" name="Straight Arrow Connector 2">
          <a:extLst>
            <a:ext uri="{FF2B5EF4-FFF2-40B4-BE49-F238E27FC236}">
              <a16:creationId xmlns:a16="http://schemas.microsoft.com/office/drawing/2014/main" id="{00000000-0008-0000-0000-000013000000}"/>
            </a:ext>
          </a:extLst>
        </xdr:cNvPr>
        <xdr:cNvCxnSpPr>
          <a:cxnSpLocks noChangeShapeType="1"/>
        </xdr:cNvCxnSpPr>
      </xdr:nvCxnSpPr>
      <xdr:spPr bwMode="auto">
        <a:xfrm>
          <a:off x="1437715" y="60948794"/>
          <a:ext cx="124385" cy="611281"/>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818033</xdr:colOff>
      <xdr:row>112</xdr:row>
      <xdr:rowOff>168088</xdr:rowOff>
    </xdr:from>
    <xdr:to>
      <xdr:col>2</xdr:col>
      <xdr:colOff>78441</xdr:colOff>
      <xdr:row>114</xdr:row>
      <xdr:rowOff>78442</xdr:rowOff>
    </xdr:to>
    <xdr:cxnSp macro="">
      <xdr:nvCxnSpPr>
        <xdr:cNvPr id="21" name="Straight Arrow Connector 3">
          <a:extLst>
            <a:ext uri="{FF2B5EF4-FFF2-40B4-BE49-F238E27FC236}">
              <a16:creationId xmlns:a16="http://schemas.microsoft.com/office/drawing/2014/main" id="{00000000-0008-0000-0000-000015000000}"/>
            </a:ext>
          </a:extLst>
        </xdr:cNvPr>
        <xdr:cNvCxnSpPr>
          <a:cxnSpLocks noChangeShapeType="1"/>
        </xdr:cNvCxnSpPr>
      </xdr:nvCxnSpPr>
      <xdr:spPr bwMode="auto">
        <a:xfrm flipV="1">
          <a:off x="1189508" y="61709113"/>
          <a:ext cx="327208" cy="300879"/>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438150</xdr:colOff>
      <xdr:row>109</xdr:row>
      <xdr:rowOff>11206</xdr:rowOff>
    </xdr:from>
    <xdr:to>
      <xdr:col>3</xdr:col>
      <xdr:colOff>78441</xdr:colOff>
      <xdr:row>112</xdr:row>
      <xdr:rowOff>19050</xdr:rowOff>
    </xdr:to>
    <xdr:cxnSp macro="">
      <xdr:nvCxnSpPr>
        <xdr:cNvPr id="22" name="Straight Arrow Connector 4">
          <a:extLst>
            <a:ext uri="{FF2B5EF4-FFF2-40B4-BE49-F238E27FC236}">
              <a16:creationId xmlns:a16="http://schemas.microsoft.com/office/drawing/2014/main" id="{00000000-0008-0000-0000-000016000000}"/>
            </a:ext>
          </a:extLst>
        </xdr:cNvPr>
        <xdr:cNvCxnSpPr>
          <a:cxnSpLocks noChangeShapeType="1"/>
        </xdr:cNvCxnSpPr>
      </xdr:nvCxnSpPr>
      <xdr:spPr bwMode="auto">
        <a:xfrm flipH="1">
          <a:off x="1876425" y="60971206"/>
          <a:ext cx="202266" cy="588869"/>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542926</xdr:colOff>
      <xdr:row>111</xdr:row>
      <xdr:rowOff>0</xdr:rowOff>
    </xdr:from>
    <xdr:to>
      <xdr:col>3</xdr:col>
      <xdr:colOff>437030</xdr:colOff>
      <xdr:row>112</xdr:row>
      <xdr:rowOff>38100</xdr:rowOff>
    </xdr:to>
    <xdr:cxnSp macro="">
      <xdr:nvCxnSpPr>
        <xdr:cNvPr id="23" name="Straight Arrow Connector 5">
          <a:extLst>
            <a:ext uri="{FF2B5EF4-FFF2-40B4-BE49-F238E27FC236}">
              <a16:creationId xmlns:a16="http://schemas.microsoft.com/office/drawing/2014/main" id="{00000000-0008-0000-0000-000017000000}"/>
            </a:ext>
          </a:extLst>
        </xdr:cNvPr>
        <xdr:cNvCxnSpPr>
          <a:cxnSpLocks noChangeShapeType="1"/>
        </xdr:cNvCxnSpPr>
      </xdr:nvCxnSpPr>
      <xdr:spPr bwMode="auto">
        <a:xfrm flipH="1">
          <a:off x="1981201" y="61341000"/>
          <a:ext cx="456079" cy="23812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85725</xdr:colOff>
      <xdr:row>112</xdr:row>
      <xdr:rowOff>152400</xdr:rowOff>
    </xdr:from>
    <xdr:to>
      <xdr:col>3</xdr:col>
      <xdr:colOff>314325</xdr:colOff>
      <xdr:row>113</xdr:row>
      <xdr:rowOff>57150</xdr:rowOff>
    </xdr:to>
    <xdr:cxnSp macro="">
      <xdr:nvCxnSpPr>
        <xdr:cNvPr id="24" name="Straight Arrow Connector 6">
          <a:extLst>
            <a:ext uri="{FF2B5EF4-FFF2-40B4-BE49-F238E27FC236}">
              <a16:creationId xmlns:a16="http://schemas.microsoft.com/office/drawing/2014/main" id="{00000000-0008-0000-0000-000018000000}"/>
            </a:ext>
          </a:extLst>
        </xdr:cNvPr>
        <xdr:cNvCxnSpPr>
          <a:cxnSpLocks noChangeShapeType="1"/>
        </xdr:cNvCxnSpPr>
      </xdr:nvCxnSpPr>
      <xdr:spPr bwMode="auto">
        <a:xfrm rot="10800000">
          <a:off x="2085975" y="61693425"/>
          <a:ext cx="228600" cy="10477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314326</xdr:colOff>
      <xdr:row>112</xdr:row>
      <xdr:rowOff>171450</xdr:rowOff>
    </xdr:from>
    <xdr:to>
      <xdr:col>3</xdr:col>
      <xdr:colOff>425824</xdr:colOff>
      <xdr:row>116</xdr:row>
      <xdr:rowOff>56029</xdr:rowOff>
    </xdr:to>
    <xdr:cxnSp macro="">
      <xdr:nvCxnSpPr>
        <xdr:cNvPr id="25" name="Straight Arrow Connector 7">
          <a:extLst>
            <a:ext uri="{FF2B5EF4-FFF2-40B4-BE49-F238E27FC236}">
              <a16:creationId xmlns:a16="http://schemas.microsoft.com/office/drawing/2014/main" id="{00000000-0008-0000-0000-000019000000}"/>
            </a:ext>
          </a:extLst>
        </xdr:cNvPr>
        <xdr:cNvCxnSpPr>
          <a:cxnSpLocks noChangeShapeType="1"/>
        </xdr:cNvCxnSpPr>
      </xdr:nvCxnSpPr>
      <xdr:spPr bwMode="auto">
        <a:xfrm flipH="1" flipV="1">
          <a:off x="1752601" y="61712475"/>
          <a:ext cx="673473" cy="656104"/>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228600</xdr:colOff>
      <xdr:row>112</xdr:row>
      <xdr:rowOff>180975</xdr:rowOff>
    </xdr:from>
    <xdr:to>
      <xdr:col>2</xdr:col>
      <xdr:colOff>304800</xdr:colOff>
      <xdr:row>116</xdr:row>
      <xdr:rowOff>66675</xdr:rowOff>
    </xdr:to>
    <xdr:cxnSp macro="">
      <xdr:nvCxnSpPr>
        <xdr:cNvPr id="26" name="Straight Arrow Connector 8">
          <a:extLst>
            <a:ext uri="{FF2B5EF4-FFF2-40B4-BE49-F238E27FC236}">
              <a16:creationId xmlns:a16="http://schemas.microsoft.com/office/drawing/2014/main" id="{00000000-0008-0000-0000-00001A000000}"/>
            </a:ext>
          </a:extLst>
        </xdr:cNvPr>
        <xdr:cNvCxnSpPr>
          <a:cxnSpLocks noChangeShapeType="1"/>
        </xdr:cNvCxnSpPr>
      </xdr:nvCxnSpPr>
      <xdr:spPr bwMode="auto">
        <a:xfrm rot="16200000" flipV="1">
          <a:off x="1376362" y="62012513"/>
          <a:ext cx="657225" cy="7620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152400</xdr:colOff>
      <xdr:row>110</xdr:row>
      <xdr:rowOff>0</xdr:rowOff>
    </xdr:from>
    <xdr:to>
      <xdr:col>9</xdr:col>
      <xdr:colOff>28575</xdr:colOff>
      <xdr:row>111</xdr:row>
      <xdr:rowOff>57150</xdr:rowOff>
    </xdr:to>
    <xdr:cxnSp macro="">
      <xdr:nvCxnSpPr>
        <xdr:cNvPr id="27" name="Straight Arrow Connector 10">
          <a:extLst>
            <a:ext uri="{FF2B5EF4-FFF2-40B4-BE49-F238E27FC236}">
              <a16:creationId xmlns:a16="http://schemas.microsoft.com/office/drawing/2014/main" id="{00000000-0008-0000-0000-00001B000000}"/>
            </a:ext>
          </a:extLst>
        </xdr:cNvPr>
        <xdr:cNvCxnSpPr>
          <a:cxnSpLocks noChangeShapeType="1"/>
        </xdr:cNvCxnSpPr>
      </xdr:nvCxnSpPr>
      <xdr:spPr bwMode="auto">
        <a:xfrm>
          <a:off x="5067300" y="61150500"/>
          <a:ext cx="1543050" cy="24765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627529</xdr:colOff>
      <xdr:row>111</xdr:row>
      <xdr:rowOff>190500</xdr:rowOff>
    </xdr:from>
    <xdr:to>
      <xdr:col>9</xdr:col>
      <xdr:colOff>352425</xdr:colOff>
      <xdr:row>114</xdr:row>
      <xdr:rowOff>78441</xdr:rowOff>
    </xdr:to>
    <xdr:cxnSp macro="">
      <xdr:nvCxnSpPr>
        <xdr:cNvPr id="28" name="Straight Arrow Connector 11">
          <a:extLst>
            <a:ext uri="{FF2B5EF4-FFF2-40B4-BE49-F238E27FC236}">
              <a16:creationId xmlns:a16="http://schemas.microsoft.com/office/drawing/2014/main" id="{00000000-0008-0000-0000-00001C000000}"/>
            </a:ext>
          </a:extLst>
        </xdr:cNvPr>
        <xdr:cNvCxnSpPr>
          <a:cxnSpLocks noChangeShapeType="1"/>
        </xdr:cNvCxnSpPr>
      </xdr:nvCxnSpPr>
      <xdr:spPr bwMode="auto">
        <a:xfrm flipV="1">
          <a:off x="5542429" y="61531500"/>
          <a:ext cx="1391771" cy="478491"/>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542926</xdr:colOff>
      <xdr:row>108</xdr:row>
      <xdr:rowOff>156882</xdr:rowOff>
    </xdr:from>
    <xdr:to>
      <xdr:col>10</xdr:col>
      <xdr:colOff>246529</xdr:colOff>
      <xdr:row>111</xdr:row>
      <xdr:rowOff>9525</xdr:rowOff>
    </xdr:to>
    <xdr:cxnSp macro="">
      <xdr:nvCxnSpPr>
        <xdr:cNvPr id="29" name="Straight Arrow Connector 12">
          <a:extLst>
            <a:ext uri="{FF2B5EF4-FFF2-40B4-BE49-F238E27FC236}">
              <a16:creationId xmlns:a16="http://schemas.microsoft.com/office/drawing/2014/main" id="{00000000-0008-0000-0000-00001D000000}"/>
            </a:ext>
          </a:extLst>
        </xdr:cNvPr>
        <xdr:cNvCxnSpPr>
          <a:cxnSpLocks noChangeShapeType="1"/>
        </xdr:cNvCxnSpPr>
      </xdr:nvCxnSpPr>
      <xdr:spPr bwMode="auto">
        <a:xfrm flipH="1">
          <a:off x="7124701" y="60926382"/>
          <a:ext cx="370353" cy="424143"/>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694765</xdr:colOff>
      <xdr:row>112</xdr:row>
      <xdr:rowOff>11206</xdr:rowOff>
    </xdr:from>
    <xdr:to>
      <xdr:col>10</xdr:col>
      <xdr:colOff>352426</xdr:colOff>
      <xdr:row>114</xdr:row>
      <xdr:rowOff>47626</xdr:rowOff>
    </xdr:to>
    <xdr:cxnSp macro="">
      <xdr:nvCxnSpPr>
        <xdr:cNvPr id="30" name="Straight Arrow Connector 13">
          <a:extLst>
            <a:ext uri="{FF2B5EF4-FFF2-40B4-BE49-F238E27FC236}">
              <a16:creationId xmlns:a16="http://schemas.microsoft.com/office/drawing/2014/main" id="{00000000-0008-0000-0000-00001E000000}"/>
            </a:ext>
          </a:extLst>
        </xdr:cNvPr>
        <xdr:cNvCxnSpPr>
          <a:cxnSpLocks noChangeShapeType="1"/>
        </xdr:cNvCxnSpPr>
      </xdr:nvCxnSpPr>
      <xdr:spPr bwMode="auto">
        <a:xfrm flipH="1" flipV="1">
          <a:off x="7247965" y="61552231"/>
          <a:ext cx="352986" cy="42694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1</xdr:col>
      <xdr:colOff>324970</xdr:colOff>
      <xdr:row>28</xdr:row>
      <xdr:rowOff>11206</xdr:rowOff>
    </xdr:from>
    <xdr:to>
      <xdr:col>12</xdr:col>
      <xdr:colOff>78441</xdr:colOff>
      <xdr:row>29</xdr:row>
      <xdr:rowOff>172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694764" y="11586882"/>
          <a:ext cx="8135471" cy="3462790"/>
        </a:xfrm>
        <a:prstGeom prst="rect">
          <a:avLst/>
        </a:prstGeom>
      </xdr:spPr>
    </xdr:pic>
    <xdr:clientData/>
  </xdr:twoCellAnchor>
  <xdr:twoCellAnchor editAs="oneCell">
    <xdr:from>
      <xdr:col>0</xdr:col>
      <xdr:colOff>235324</xdr:colOff>
      <xdr:row>172</xdr:row>
      <xdr:rowOff>145676</xdr:rowOff>
    </xdr:from>
    <xdr:to>
      <xdr:col>12</xdr:col>
      <xdr:colOff>427057</xdr:colOff>
      <xdr:row>221</xdr:row>
      <xdr:rowOff>98794</xdr:rowOff>
    </xdr:to>
    <xdr:pic>
      <xdr:nvPicPr>
        <xdr:cNvPr id="4" name="Picture 3">
          <a:extLst>
            <a:ext uri="{FF2B5EF4-FFF2-40B4-BE49-F238E27FC236}">
              <a16:creationId xmlns:a16="http://schemas.microsoft.com/office/drawing/2014/main" id="{0A9AE64B-0455-4EAF-BA0E-03486AAAE4F5}"/>
            </a:ext>
          </a:extLst>
        </xdr:cNvPr>
        <xdr:cNvPicPr>
          <a:picLocks noChangeAspect="1"/>
        </xdr:cNvPicPr>
      </xdr:nvPicPr>
      <xdr:blipFill>
        <a:blip xmlns:r="http://schemas.openxmlformats.org/officeDocument/2006/relationships" r:embed="rId3"/>
        <a:stretch>
          <a:fillRect/>
        </a:stretch>
      </xdr:blipFill>
      <xdr:spPr>
        <a:xfrm>
          <a:off x="235324" y="78911823"/>
          <a:ext cx="8961905" cy="9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89087</xdr:colOff>
      <xdr:row>1</xdr:row>
      <xdr:rowOff>173423</xdr:rowOff>
    </xdr:from>
    <xdr:to>
      <xdr:col>3</xdr:col>
      <xdr:colOff>588424</xdr:colOff>
      <xdr:row>3</xdr:row>
      <xdr:rowOff>59123</xdr:rowOff>
    </xdr:to>
    <xdr:pic>
      <xdr:nvPicPr>
        <xdr:cNvPr id="17142" name="Picture 1">
          <a:extLst>
            <a:ext uri="{FF2B5EF4-FFF2-40B4-BE49-F238E27FC236}">
              <a16:creationId xmlns:a16="http://schemas.microsoft.com/office/drawing/2014/main" id="{00000000-0008-0000-0300-0000F64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93862" y="278198"/>
          <a:ext cx="1832837"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119424</xdr:colOff>
      <xdr:row>159</xdr:row>
      <xdr:rowOff>19049</xdr:rowOff>
    </xdr:from>
    <xdr:to>
      <xdr:col>30</xdr:col>
      <xdr:colOff>513983</xdr:colOff>
      <xdr:row>161</xdr:row>
      <xdr:rowOff>228598</xdr:rowOff>
    </xdr:to>
    <xdr:pic>
      <xdr:nvPicPr>
        <xdr:cNvPr id="3" name="Picture 2">
          <a:extLst>
            <a:ext uri="{FF2B5EF4-FFF2-40B4-BE49-F238E27FC236}">
              <a16:creationId xmlns:a16="http://schemas.microsoft.com/office/drawing/2014/main" id="{F3332B8B-93EE-4EC7-ACF1-E990303020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472849" y="45234224"/>
          <a:ext cx="1832834" cy="6857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47625</xdr:rowOff>
    </xdr:from>
    <xdr:to>
      <xdr:col>3</xdr:col>
      <xdr:colOff>123825</xdr:colOff>
      <xdr:row>6</xdr:row>
      <xdr:rowOff>38100</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400050" y="323850"/>
          <a:ext cx="1828800" cy="933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t> </a:t>
          </a:r>
        </a:p>
      </xdr:txBody>
    </xdr:sp>
    <xdr:clientData/>
  </xdr:twoCellAnchor>
  <xdr:twoCellAnchor editAs="oneCell">
    <xdr:from>
      <xdr:col>1</xdr:col>
      <xdr:colOff>0</xdr:colOff>
      <xdr:row>1</xdr:row>
      <xdr:rowOff>183169</xdr:rowOff>
    </xdr:from>
    <xdr:to>
      <xdr:col>3</xdr:col>
      <xdr:colOff>131674</xdr:colOff>
      <xdr:row>5</xdr:row>
      <xdr:rowOff>93634</xdr:rowOff>
    </xdr:to>
    <xdr:pic>
      <xdr:nvPicPr>
        <xdr:cNvPr id="23966" name="Picture 1">
          <a:extLst>
            <a:ext uri="{FF2B5EF4-FFF2-40B4-BE49-F238E27FC236}">
              <a16:creationId xmlns:a16="http://schemas.microsoft.com/office/drawing/2014/main" id="{00000000-0008-0000-0400-00009E5D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00050" y="459394"/>
          <a:ext cx="1832839"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19</xdr:col>
      <xdr:colOff>949476</xdr:colOff>
      <xdr:row>125</xdr:row>
      <xdr:rowOff>4535</xdr:rowOff>
    </xdr:from>
    <xdr:to>
      <xdr:col>24</xdr:col>
      <xdr:colOff>139785</xdr:colOff>
      <xdr:row>132</xdr:row>
      <xdr:rowOff>162588</xdr:rowOff>
    </xdr:to>
    <xdr:pic>
      <xdr:nvPicPr>
        <xdr:cNvPr id="2" name="Picture 1">
          <a:extLst>
            <a:ext uri="{FF2B5EF4-FFF2-40B4-BE49-F238E27FC236}">
              <a16:creationId xmlns:a16="http://schemas.microsoft.com/office/drawing/2014/main" id="{61B9AB1E-7679-1CAF-1877-AA202AEA4A01}"/>
            </a:ext>
          </a:extLst>
        </xdr:cNvPr>
        <xdr:cNvPicPr>
          <a:picLocks noChangeAspect="1"/>
        </xdr:cNvPicPr>
      </xdr:nvPicPr>
      <xdr:blipFill>
        <a:blip xmlns:r="http://schemas.openxmlformats.org/officeDocument/2006/relationships" r:embed="rId1"/>
        <a:stretch>
          <a:fillRect/>
        </a:stretch>
      </xdr:blipFill>
      <xdr:spPr>
        <a:xfrm>
          <a:off x="29728583" y="25749249"/>
          <a:ext cx="7109666" cy="1505160"/>
        </a:xfrm>
        <a:prstGeom prst="rect">
          <a:avLst/>
        </a:prstGeom>
      </xdr:spPr>
    </xdr:pic>
    <xdr:clientData/>
  </xdr:twoCellAnchor>
  <xdr:twoCellAnchor editAs="oneCell">
    <xdr:from>
      <xdr:col>21</xdr:col>
      <xdr:colOff>169336</xdr:colOff>
      <xdr:row>112</xdr:row>
      <xdr:rowOff>74083</xdr:rowOff>
    </xdr:from>
    <xdr:to>
      <xdr:col>24</xdr:col>
      <xdr:colOff>2224344</xdr:colOff>
      <xdr:row>122</xdr:row>
      <xdr:rowOff>74389</xdr:rowOff>
    </xdr:to>
    <xdr:pic>
      <xdr:nvPicPr>
        <xdr:cNvPr id="3" name="Picture 2">
          <a:extLst>
            <a:ext uri="{FF2B5EF4-FFF2-40B4-BE49-F238E27FC236}">
              <a16:creationId xmlns:a16="http://schemas.microsoft.com/office/drawing/2014/main" id="{B7E60CD5-927C-654C-D8D7-3A3A7172DFE2}"/>
            </a:ext>
          </a:extLst>
        </xdr:cNvPr>
        <xdr:cNvPicPr>
          <a:picLocks noChangeAspect="1"/>
        </xdr:cNvPicPr>
      </xdr:nvPicPr>
      <xdr:blipFill>
        <a:blip xmlns:r="http://schemas.openxmlformats.org/officeDocument/2006/relationships" r:embed="rId2"/>
        <a:stretch>
          <a:fillRect/>
        </a:stretch>
      </xdr:blipFill>
      <xdr:spPr>
        <a:xfrm>
          <a:off x="33274003" y="21304250"/>
          <a:ext cx="5611008" cy="219105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Ashley Faircloth" id="{5633577D-73A4-429C-A858-64236109D3C3}" userId="S::afaircloth@franklinenergy.com::10dca644-ffd1-4c71-bb63-9c308866372c" providerId="AD"/>
  <person displayName="Nicholas Dombrosky" id="{33279813-B356-41E1-A855-64056A228ACF}" userId="S::ndombrosky@franklinenergy.com::b3bd36ee-4cee-4fc8-9bd7-97ae5f694616"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F7" dT="2024-02-16T16:48:31.96" personId="{33279813-B356-41E1-A855-64056A228ACF}" id="{10CCEC61-C511-4EED-AD51-0F1DEE872981}">
    <text>Updated the formula to reference the Lookup Tables</text>
  </threadedComment>
  <threadedComment ref="FH8" dT="2024-08-29T20:13:58.89" personId="{33279813-B356-41E1-A855-64056A228ACF}" id="{765AEC32-09E3-428F-AE6B-82BD9CB68EC3}">
    <text>Incentive for LTO</text>
  </threadedComment>
  <threadedComment ref="FH8" dT="2024-08-29T20:14:09.03" personId="{33279813-B356-41E1-A855-64056A228ACF}" id="{DC7C0572-EB7E-4C5E-AD10-4A6760CCC9D9}" parentId="{765AEC32-09E3-428F-AE6B-82BD9CB68EC3}">
    <text>Removed 9/1/2024</text>
  </threadedComment>
</ThreadedComments>
</file>

<file path=xl/threadedComments/threadedComment2.xml><?xml version="1.0" encoding="utf-8"?>
<ThreadedComments xmlns="http://schemas.microsoft.com/office/spreadsheetml/2018/threadedcomments" xmlns:x="http://schemas.openxmlformats.org/spreadsheetml/2006/main">
  <threadedComment ref="T5" dT="2021-05-19T02:03:17.38" personId="{5633577D-73A4-429C-A858-64236109D3C3}" id="{CED59F1E-CE4C-4555-85E5-F9782408C9B9}">
    <text>Need to confirm this with ADM, not in TRM</text>
  </threadedComment>
  <threadedComment ref="O9" dT="2021-05-19T14:46:04.94" personId="{5633577D-73A4-429C-A858-64236109D3C3}" id="{89294476-FEA6-44C6-92F7-FDA5497EAD3D}">
    <text>Using "in an auditorium" value</text>
  </threadedComment>
  <threadedComment ref="S66" dT="2021-06-06T22:13:40.11" personId="{5633577D-73A4-429C-A858-64236109D3C3}" id="{136CF506-0671-48AE-82D1-C8196FBC034B}">
    <text>Hours and Summer CF have been updated to Phase IV 2021 PA TRM. No PJM CF provided for winter at this time.</text>
  </threadedComment>
  <threadedComment ref="V94" dT="2021-06-06T22:08:10.31" personId="{5633577D-73A4-429C-A858-64236109D3C3}" id="{7CAE2553-A488-4006-9B28-607885FD0540}">
    <text>Utilizes Occupancy sensor SVG. FE and ADM to work on IMP for revised value.</text>
  </threadedComment>
  <threadedComment ref="W94" dT="2021-06-06T22:11:25.63" personId="{5633577D-73A4-429C-A858-64236109D3C3}" id="{ED7313B9-F1B3-492E-94D6-C9F7ED68B5D6}">
    <text>This is self generated - does not exist in App C</text>
  </threadedComment>
  <threadedComment ref="V101" dT="2024-02-15T21:27:18.57" personId="{33279813-B356-41E1-A855-64056A228ACF}" id="{9EB110D8-D6B2-4254-9F97-9CD0CBA3ABF7}">
    <text xml:space="preserve">per PUC presentation for 2026: PowerPoint Presentation (pa.gov) </text>
    <extLst>
      <x:ext xmlns:xltc2="http://schemas.microsoft.com/office/spreadsheetml/2020/threadedcomments2" uri="{F7C98A9C-CBB3-438F-8F68-D28B6AF4A901}">
        <xltc2:checksum>1786443135</xltc2:checksum>
        <xltc2:hyperlink startIndex="31" length="32" url="https://www.puc.pa.gov/media/2755/2026_trm_update_stakeholder_meeting_presentation020124.pdf"/>
      </x:ext>
    </extLst>
  </threadedComment>
  <threadedComment ref="V105" dT="2021-06-06T22:08:10.31" personId="{5633577D-73A4-429C-A858-64236109D3C3}" id="{0C9B17E5-D7B6-4D62-9B6A-22FD6F107882}">
    <text>Utilizes Occupancy sensor SVG. FE and ADM to work on IMP for revised value.</text>
  </threadedComment>
  <threadedComment ref="W105" dT="2021-06-06T22:11:25.63" personId="{5633577D-73A4-429C-A858-64236109D3C3}" id="{1D11CC5F-A235-49F8-A249-00932AE2A3D3}">
    <text>This is self generated - does not exist in App C</text>
  </threadedComment>
  <threadedComment ref="S107" dT="2024-02-16T16:49:37.10" personId="{33279813-B356-41E1-A855-64056A228ACF}" id="{44CE7A5D-1BC0-4389-AA97-C9AE13E195F2}">
    <text>Was 20, lighting inventory formula did not use this table before</text>
  </threadedComment>
  <threadedComment ref="S108" dT="2024-02-16T16:49:37.10" personId="{33279813-B356-41E1-A855-64056A228ACF}" id="{E499CBDC-530D-40B9-A2D6-C7D37BCF0BCE}">
    <text>Was 20, lighting inventory formula did not use this table before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5" Type="http://schemas.microsoft.com/office/2017/10/relationships/threadedComment" Target="../threadedComments/threadedComment2.xm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E223"/>
  <sheetViews>
    <sheetView tabSelected="1" workbookViewId="0">
      <selection activeCell="W4" sqref="W4"/>
    </sheetView>
  </sheetViews>
  <sheetFormatPr defaultColWidth="9.140625" defaultRowHeight="15" x14ac:dyDescent="0.25"/>
  <cols>
    <col min="1" max="1" width="5.5703125" style="7" customWidth="1"/>
    <col min="2" max="2" width="16" style="7" customWidth="1"/>
    <col min="3" max="3" width="8.7109375" style="7" customWidth="1"/>
    <col min="4" max="4" width="10.28515625" style="7" customWidth="1"/>
    <col min="5" max="5" width="12.42578125" style="7" customWidth="1"/>
    <col min="6" max="6" width="11.5703125" style="7" customWidth="1"/>
    <col min="7" max="7" width="9.42578125" style="7" customWidth="1"/>
    <col min="8" max="8" width="13.42578125" style="7" customWidth="1"/>
    <col min="9" max="9" width="11.5703125" style="7" customWidth="1"/>
    <col min="10" max="10" width="10" style="7" customWidth="1"/>
    <col min="11" max="11" width="13.5703125" style="7" customWidth="1"/>
    <col min="12" max="12" width="8.5703125" style="7" customWidth="1"/>
    <col min="13" max="13" width="9.42578125" style="7" bestFit="1" customWidth="1"/>
    <col min="14" max="14" width="5.85546875" style="7" customWidth="1"/>
    <col min="15" max="17" width="9.140625" style="7"/>
    <col min="18" max="18" width="9.140625" style="7" customWidth="1"/>
    <col min="19" max="30" width="9.140625" style="7"/>
    <col min="31" max="31" width="9.85546875" style="7" bestFit="1" customWidth="1"/>
    <col min="32" max="33" width="9.140625" style="7"/>
    <col min="34" max="34" width="23.7109375" style="7" customWidth="1"/>
    <col min="35" max="16384" width="9.140625" style="7"/>
  </cols>
  <sheetData>
    <row r="1" spans="1:14" ht="27.75" customHeight="1" thickBot="1" x14ac:dyDescent="0.3">
      <c r="A1" s="273"/>
      <c r="B1" s="274"/>
      <c r="C1" s="274"/>
      <c r="D1" s="274"/>
      <c r="E1" s="274"/>
      <c r="F1" s="274"/>
      <c r="G1" s="274"/>
      <c r="H1" s="274"/>
      <c r="I1" s="274"/>
      <c r="J1" s="274"/>
      <c r="K1" s="274"/>
      <c r="L1" s="274"/>
      <c r="M1" s="274"/>
      <c r="N1" s="275"/>
    </row>
    <row r="2" spans="1:14" ht="16.5" customHeight="1" x14ac:dyDescent="0.25">
      <c r="A2" s="278"/>
      <c r="B2" s="819"/>
      <c r="C2" s="820"/>
      <c r="D2" s="825" t="s">
        <v>0</v>
      </c>
      <c r="E2" s="825"/>
      <c r="F2" s="825"/>
      <c r="G2" s="825"/>
      <c r="H2" s="825"/>
      <c r="I2" s="825"/>
      <c r="J2" s="826"/>
      <c r="K2" s="803" t="s">
        <v>1</v>
      </c>
      <c r="L2" s="804"/>
      <c r="M2" s="432">
        <v>7.1</v>
      </c>
      <c r="N2" s="280"/>
    </row>
    <row r="3" spans="1:14" ht="32.25" customHeight="1" x14ac:dyDescent="0.25">
      <c r="A3" s="278"/>
      <c r="B3" s="821"/>
      <c r="C3" s="822"/>
      <c r="D3" s="827"/>
      <c r="E3" s="827"/>
      <c r="F3" s="827"/>
      <c r="G3" s="827"/>
      <c r="H3" s="827"/>
      <c r="I3" s="827"/>
      <c r="J3" s="828"/>
      <c r="K3" s="805" t="s">
        <v>2</v>
      </c>
      <c r="L3" s="806"/>
      <c r="M3" s="807"/>
      <c r="N3" s="280"/>
    </row>
    <row r="4" spans="1:14" ht="39.75" customHeight="1" thickBot="1" x14ac:dyDescent="0.3">
      <c r="A4" s="278"/>
      <c r="B4" s="823"/>
      <c r="C4" s="824"/>
      <c r="D4" s="829"/>
      <c r="E4" s="829"/>
      <c r="F4" s="829"/>
      <c r="G4" s="829"/>
      <c r="H4" s="829"/>
      <c r="I4" s="829"/>
      <c r="J4" s="830"/>
      <c r="K4" s="808"/>
      <c r="L4" s="808"/>
      <c r="M4" s="809"/>
      <c r="N4" s="280"/>
    </row>
    <row r="5" spans="1:14" ht="15.75" thickBot="1" x14ac:dyDescent="0.3">
      <c r="A5" s="278"/>
      <c r="B5" s="279"/>
      <c r="C5" s="279"/>
      <c r="D5" s="279"/>
      <c r="E5" s="279"/>
      <c r="F5" s="279"/>
      <c r="G5" s="279"/>
      <c r="H5" s="279"/>
      <c r="I5" s="279"/>
      <c r="J5" s="279"/>
      <c r="K5" s="279"/>
      <c r="L5" s="279"/>
      <c r="M5" s="279"/>
      <c r="N5" s="280"/>
    </row>
    <row r="6" spans="1:14" ht="37.5" customHeight="1" x14ac:dyDescent="0.25">
      <c r="A6" s="278"/>
      <c r="B6" s="810" t="s">
        <v>3</v>
      </c>
      <c r="C6" s="811"/>
      <c r="D6" s="811"/>
      <c r="E6" s="811"/>
      <c r="F6" s="811"/>
      <c r="G6" s="811"/>
      <c r="H6" s="811"/>
      <c r="I6" s="811"/>
      <c r="J6" s="811"/>
      <c r="K6" s="811"/>
      <c r="L6" s="811"/>
      <c r="M6" s="812"/>
      <c r="N6" s="280"/>
    </row>
    <row r="7" spans="1:14" ht="26.25" customHeight="1" x14ac:dyDescent="0.25">
      <c r="A7" s="278"/>
      <c r="B7" s="813"/>
      <c r="C7" s="814"/>
      <c r="D7" s="814"/>
      <c r="E7" s="814"/>
      <c r="F7" s="814"/>
      <c r="G7" s="814"/>
      <c r="H7" s="814"/>
      <c r="I7" s="814"/>
      <c r="J7" s="814"/>
      <c r="K7" s="814"/>
      <c r="L7" s="814"/>
      <c r="M7" s="815"/>
      <c r="N7" s="280"/>
    </row>
    <row r="8" spans="1:14" ht="30.75" customHeight="1" x14ac:dyDescent="0.25">
      <c r="A8" s="278"/>
      <c r="B8" s="813"/>
      <c r="C8" s="814"/>
      <c r="D8" s="814"/>
      <c r="E8" s="814"/>
      <c r="F8" s="814"/>
      <c r="G8" s="814"/>
      <c r="H8" s="814"/>
      <c r="I8" s="814"/>
      <c r="J8" s="814"/>
      <c r="K8" s="814"/>
      <c r="L8" s="814"/>
      <c r="M8" s="815"/>
      <c r="N8" s="280"/>
    </row>
    <row r="9" spans="1:14" ht="18.75" customHeight="1" thickBot="1" x14ac:dyDescent="0.3">
      <c r="A9" s="278"/>
      <c r="B9" s="816"/>
      <c r="C9" s="817"/>
      <c r="D9" s="817"/>
      <c r="E9" s="817"/>
      <c r="F9" s="817"/>
      <c r="G9" s="817"/>
      <c r="H9" s="817"/>
      <c r="I9" s="817"/>
      <c r="J9" s="817"/>
      <c r="K9" s="817"/>
      <c r="L9" s="817"/>
      <c r="M9" s="818"/>
      <c r="N9" s="280"/>
    </row>
    <row r="10" spans="1:14" ht="24" customHeight="1" thickBot="1" x14ac:dyDescent="0.3">
      <c r="A10" s="278"/>
      <c r="B10" s="834" t="s">
        <v>4</v>
      </c>
      <c r="C10" s="835"/>
      <c r="D10" s="835"/>
      <c r="E10" s="835"/>
      <c r="F10" s="835"/>
      <c r="G10" s="835"/>
      <c r="H10" s="835"/>
      <c r="I10" s="835"/>
      <c r="J10" s="835"/>
      <c r="K10" s="835"/>
      <c r="L10" s="835"/>
      <c r="M10" s="836"/>
      <c r="N10" s="280"/>
    </row>
    <row r="11" spans="1:14" ht="33" customHeight="1" x14ac:dyDescent="0.25">
      <c r="A11" s="278"/>
      <c r="B11" s="842" t="s">
        <v>5</v>
      </c>
      <c r="C11" s="843"/>
      <c r="D11" s="843"/>
      <c r="E11" s="843"/>
      <c r="F11" s="843"/>
      <c r="G11" s="843"/>
      <c r="H11" s="843"/>
      <c r="I11" s="843"/>
      <c r="J11" s="843"/>
      <c r="K11" s="843"/>
      <c r="L11" s="843"/>
      <c r="M11" s="844"/>
      <c r="N11" s="280"/>
    </row>
    <row r="12" spans="1:14" ht="18.75" customHeight="1" thickBot="1" x14ac:dyDescent="0.3">
      <c r="A12" s="278"/>
      <c r="B12" s="845"/>
      <c r="C12" s="846"/>
      <c r="D12" s="846"/>
      <c r="E12" s="846"/>
      <c r="F12" s="846"/>
      <c r="G12" s="846"/>
      <c r="H12" s="846"/>
      <c r="I12" s="846"/>
      <c r="J12" s="846"/>
      <c r="K12" s="846"/>
      <c r="L12" s="846"/>
      <c r="M12" s="847"/>
      <c r="N12" s="280"/>
    </row>
    <row r="13" spans="1:14" ht="24" customHeight="1" thickBot="1" x14ac:dyDescent="0.3">
      <c r="A13" s="278"/>
      <c r="B13" s="834" t="s">
        <v>6</v>
      </c>
      <c r="C13" s="835"/>
      <c r="D13" s="835"/>
      <c r="E13" s="835"/>
      <c r="F13" s="835"/>
      <c r="G13" s="835"/>
      <c r="H13" s="835"/>
      <c r="I13" s="835"/>
      <c r="J13" s="835"/>
      <c r="K13" s="835"/>
      <c r="L13" s="835"/>
      <c r="M13" s="836"/>
      <c r="N13" s="280"/>
    </row>
    <row r="14" spans="1:14" ht="36" customHeight="1" x14ac:dyDescent="0.25">
      <c r="A14" s="278"/>
      <c r="B14" s="842" t="s">
        <v>7</v>
      </c>
      <c r="C14" s="843"/>
      <c r="D14" s="843"/>
      <c r="E14" s="843"/>
      <c r="F14" s="843"/>
      <c r="G14" s="843"/>
      <c r="H14" s="843"/>
      <c r="I14" s="843"/>
      <c r="J14" s="843"/>
      <c r="K14" s="843"/>
      <c r="L14" s="843"/>
      <c r="M14" s="844"/>
      <c r="N14" s="280"/>
    </row>
    <row r="15" spans="1:14" ht="33" customHeight="1" x14ac:dyDescent="0.25">
      <c r="A15" s="278"/>
      <c r="B15" s="845"/>
      <c r="C15" s="846"/>
      <c r="D15" s="846"/>
      <c r="E15" s="846"/>
      <c r="F15" s="846"/>
      <c r="G15" s="846"/>
      <c r="H15" s="846"/>
      <c r="I15" s="846"/>
      <c r="J15" s="846"/>
      <c r="K15" s="846"/>
      <c r="L15" s="846"/>
      <c r="M15" s="847"/>
      <c r="N15" s="280"/>
    </row>
    <row r="16" spans="1:14" ht="61.5" customHeight="1" thickBot="1" x14ac:dyDescent="0.3">
      <c r="A16" s="278"/>
      <c r="B16" s="848"/>
      <c r="C16" s="849"/>
      <c r="D16" s="849"/>
      <c r="E16" s="849"/>
      <c r="F16" s="849"/>
      <c r="G16" s="849"/>
      <c r="H16" s="849"/>
      <c r="I16" s="849"/>
      <c r="J16" s="849"/>
      <c r="K16" s="849"/>
      <c r="L16" s="849"/>
      <c r="M16" s="850"/>
      <c r="N16" s="280"/>
    </row>
    <row r="17" spans="1:31" ht="24" customHeight="1" thickBot="1" x14ac:dyDescent="0.3">
      <c r="A17" s="278"/>
      <c r="B17" s="834" t="s">
        <v>8</v>
      </c>
      <c r="C17" s="835"/>
      <c r="D17" s="835"/>
      <c r="E17" s="835"/>
      <c r="F17" s="835"/>
      <c r="G17" s="835"/>
      <c r="H17" s="835"/>
      <c r="I17" s="835"/>
      <c r="J17" s="835"/>
      <c r="K17" s="835"/>
      <c r="L17" s="835"/>
      <c r="M17" s="836"/>
      <c r="N17" s="280"/>
    </row>
    <row r="18" spans="1:31" ht="54" customHeight="1" x14ac:dyDescent="0.25">
      <c r="A18" s="278"/>
      <c r="B18" s="895" t="s">
        <v>9</v>
      </c>
      <c r="C18" s="896"/>
      <c r="D18" s="896"/>
      <c r="E18" s="896"/>
      <c r="F18" s="896"/>
      <c r="G18" s="896"/>
      <c r="H18" s="896"/>
      <c r="I18" s="896"/>
      <c r="J18" s="896"/>
      <c r="K18" s="896"/>
      <c r="L18" s="896"/>
      <c r="M18" s="897"/>
      <c r="N18" s="280"/>
    </row>
    <row r="19" spans="1:31" ht="18.75" customHeight="1" x14ac:dyDescent="0.25">
      <c r="A19" s="278"/>
      <c r="B19" s="898" t="s">
        <v>10</v>
      </c>
      <c r="C19" s="899"/>
      <c r="D19" s="745" t="s">
        <v>11</v>
      </c>
      <c r="E19" s="745"/>
      <c r="F19" s="745"/>
      <c r="G19" s="745"/>
      <c r="H19" s="745"/>
      <c r="I19" s="745"/>
      <c r="J19" s="745"/>
      <c r="K19" s="745"/>
      <c r="L19" s="745"/>
      <c r="M19" s="746"/>
      <c r="N19" s="280"/>
    </row>
    <row r="20" spans="1:31" ht="18.75" customHeight="1" x14ac:dyDescent="0.25">
      <c r="A20" s="278"/>
      <c r="B20" s="749" t="s">
        <v>12</v>
      </c>
      <c r="C20" s="750"/>
      <c r="D20" s="745" t="s">
        <v>13</v>
      </c>
      <c r="E20" s="745"/>
      <c r="F20" s="745"/>
      <c r="G20" s="745"/>
      <c r="H20" s="745"/>
      <c r="I20" s="745"/>
      <c r="J20" s="745"/>
      <c r="K20" s="745"/>
      <c r="L20" s="745"/>
      <c r="M20" s="746"/>
      <c r="N20" s="280"/>
    </row>
    <row r="21" spans="1:31" ht="18.75" customHeight="1" x14ac:dyDescent="0.25">
      <c r="A21" s="278"/>
      <c r="B21" s="749" t="s">
        <v>14</v>
      </c>
      <c r="C21" s="750"/>
      <c r="D21" s="745" t="s">
        <v>15</v>
      </c>
      <c r="E21" s="745"/>
      <c r="F21" s="745"/>
      <c r="G21" s="745"/>
      <c r="H21" s="745"/>
      <c r="I21" s="745"/>
      <c r="J21" s="745"/>
      <c r="K21" s="745"/>
      <c r="L21" s="745"/>
      <c r="M21" s="746"/>
      <c r="N21" s="280"/>
    </row>
    <row r="22" spans="1:31" ht="49.5" customHeight="1" x14ac:dyDescent="0.25">
      <c r="A22" s="278"/>
      <c r="B22" s="749" t="s">
        <v>16</v>
      </c>
      <c r="C22" s="750"/>
      <c r="D22" s="745" t="s">
        <v>17</v>
      </c>
      <c r="E22" s="745"/>
      <c r="F22" s="745"/>
      <c r="G22" s="745"/>
      <c r="H22" s="745"/>
      <c r="I22" s="745"/>
      <c r="J22" s="745"/>
      <c r="K22" s="745"/>
      <c r="L22" s="745"/>
      <c r="M22" s="746"/>
      <c r="N22" s="280"/>
    </row>
    <row r="23" spans="1:31" ht="18.75" customHeight="1" x14ac:dyDescent="0.25">
      <c r="A23" s="278"/>
      <c r="B23" s="749" t="s">
        <v>18</v>
      </c>
      <c r="C23" s="750"/>
      <c r="D23" s="814" t="s">
        <v>19</v>
      </c>
      <c r="E23" s="814"/>
      <c r="F23" s="814"/>
      <c r="G23" s="814"/>
      <c r="H23" s="814"/>
      <c r="I23" s="814"/>
      <c r="J23" s="814"/>
      <c r="K23" s="814"/>
      <c r="L23" s="814"/>
      <c r="M23" s="815"/>
      <c r="N23" s="280"/>
    </row>
    <row r="24" spans="1:31" ht="18.75" customHeight="1" x14ac:dyDescent="0.25">
      <c r="A24" s="278"/>
      <c r="B24" s="749" t="s">
        <v>20</v>
      </c>
      <c r="C24" s="750"/>
      <c r="D24" s="745" t="s">
        <v>21</v>
      </c>
      <c r="E24" s="745"/>
      <c r="F24" s="745"/>
      <c r="G24" s="745"/>
      <c r="H24" s="745"/>
      <c r="I24" s="745"/>
      <c r="J24" s="745"/>
      <c r="K24" s="745"/>
      <c r="L24" s="745"/>
      <c r="M24" s="746"/>
      <c r="N24" s="280"/>
    </row>
    <row r="25" spans="1:31" ht="18.75" customHeight="1" x14ac:dyDescent="0.25">
      <c r="A25" s="278"/>
      <c r="B25" s="749" t="s">
        <v>22</v>
      </c>
      <c r="C25" s="750"/>
      <c r="D25" s="745" t="s">
        <v>23</v>
      </c>
      <c r="E25" s="745"/>
      <c r="F25" s="745"/>
      <c r="G25" s="745"/>
      <c r="H25" s="745"/>
      <c r="I25" s="745"/>
      <c r="J25" s="745"/>
      <c r="K25" s="745"/>
      <c r="L25" s="745"/>
      <c r="M25" s="746"/>
      <c r="N25" s="280"/>
    </row>
    <row r="26" spans="1:31" ht="75" customHeight="1" x14ac:dyDescent="0.25">
      <c r="A26" s="278"/>
      <c r="B26" s="840" t="s">
        <v>24</v>
      </c>
      <c r="C26" s="841"/>
      <c r="D26" s="747" t="s">
        <v>25</v>
      </c>
      <c r="E26" s="747"/>
      <c r="F26" s="747"/>
      <c r="G26" s="747"/>
      <c r="H26" s="747"/>
      <c r="I26" s="747"/>
      <c r="J26" s="747"/>
      <c r="K26" s="747"/>
      <c r="L26" s="747"/>
      <c r="M26" s="748"/>
      <c r="N26" s="280"/>
    </row>
    <row r="27" spans="1:31" ht="21" customHeight="1" x14ac:dyDescent="0.25">
      <c r="A27" s="278"/>
      <c r="B27" s="889" t="s">
        <v>26</v>
      </c>
      <c r="C27" s="890"/>
      <c r="D27" s="890"/>
      <c r="E27" s="890"/>
      <c r="F27" s="890"/>
      <c r="G27" s="890"/>
      <c r="H27" s="890"/>
      <c r="I27" s="890"/>
      <c r="J27" s="890"/>
      <c r="K27" s="890"/>
      <c r="L27" s="890"/>
      <c r="M27" s="891"/>
      <c r="N27" s="280"/>
    </row>
    <row r="28" spans="1:31" ht="125.25" customHeight="1" x14ac:dyDescent="0.25">
      <c r="A28" s="278"/>
      <c r="B28" s="892" t="s">
        <v>4583</v>
      </c>
      <c r="C28" s="893"/>
      <c r="D28" s="893"/>
      <c r="E28" s="893"/>
      <c r="F28" s="893"/>
      <c r="G28" s="893"/>
      <c r="H28" s="893"/>
      <c r="I28" s="893"/>
      <c r="J28" s="893"/>
      <c r="K28" s="893"/>
      <c r="L28" s="893"/>
      <c r="M28" s="894"/>
      <c r="N28" s="280"/>
    </row>
    <row r="29" spans="1:31" ht="273.75" customHeight="1" x14ac:dyDescent="0.25">
      <c r="A29" s="278"/>
      <c r="B29" s="212"/>
      <c r="C29" s="456"/>
      <c r="D29" s="456"/>
      <c r="E29" s="456"/>
      <c r="F29" s="456"/>
      <c r="G29" s="456"/>
      <c r="H29" s="456"/>
      <c r="I29" s="456"/>
      <c r="J29" s="456"/>
      <c r="K29" s="456"/>
      <c r="L29" s="456"/>
      <c r="M29" s="457"/>
      <c r="N29" s="280"/>
      <c r="AC29" s="381"/>
      <c r="AE29" s="381"/>
    </row>
    <row r="30" spans="1:31" ht="25.5" customHeight="1" x14ac:dyDescent="0.25">
      <c r="A30" s="278"/>
      <c r="B30" s="887" t="s">
        <v>27</v>
      </c>
      <c r="C30" s="888"/>
      <c r="D30" s="735" t="s">
        <v>28</v>
      </c>
      <c r="E30" s="736"/>
      <c r="F30" s="736"/>
      <c r="G30" s="736"/>
      <c r="H30" s="736"/>
      <c r="I30" s="736"/>
      <c r="J30" s="736"/>
      <c r="K30" s="736"/>
      <c r="L30" s="736"/>
      <c r="M30" s="737"/>
      <c r="N30" s="280"/>
    </row>
    <row r="31" spans="1:31" ht="30" customHeight="1" x14ac:dyDescent="0.25">
      <c r="A31" s="278"/>
      <c r="B31" s="887" t="s">
        <v>29</v>
      </c>
      <c r="C31" s="888"/>
      <c r="D31" s="735" t="s">
        <v>30</v>
      </c>
      <c r="E31" s="736"/>
      <c r="F31" s="736"/>
      <c r="G31" s="736"/>
      <c r="H31" s="736"/>
      <c r="I31" s="736"/>
      <c r="J31" s="736"/>
      <c r="K31" s="736"/>
      <c r="L31" s="736"/>
      <c r="M31" s="737"/>
      <c r="N31" s="280"/>
    </row>
    <row r="32" spans="1:31" ht="31.5" customHeight="1" x14ac:dyDescent="0.25">
      <c r="A32" s="278"/>
      <c r="B32" s="887" t="s">
        <v>31</v>
      </c>
      <c r="C32" s="888"/>
      <c r="D32" s="735" t="s">
        <v>32</v>
      </c>
      <c r="E32" s="736"/>
      <c r="F32" s="736"/>
      <c r="G32" s="736"/>
      <c r="H32" s="736"/>
      <c r="I32" s="736"/>
      <c r="J32" s="736"/>
      <c r="K32" s="736"/>
      <c r="L32" s="736"/>
      <c r="M32" s="737"/>
      <c r="N32" s="280"/>
    </row>
    <row r="33" spans="1:14" ht="31.5" customHeight="1" x14ac:dyDescent="0.25">
      <c r="A33" s="278"/>
      <c r="B33" s="887" t="s">
        <v>33</v>
      </c>
      <c r="C33" s="888"/>
      <c r="D33" s="735" t="s">
        <v>34</v>
      </c>
      <c r="E33" s="736"/>
      <c r="F33" s="736"/>
      <c r="G33" s="736"/>
      <c r="H33" s="736"/>
      <c r="I33" s="736"/>
      <c r="J33" s="736"/>
      <c r="K33" s="736"/>
      <c r="L33" s="736"/>
      <c r="M33" s="737"/>
      <c r="N33" s="280"/>
    </row>
    <row r="34" spans="1:14" ht="48.75" customHeight="1" x14ac:dyDescent="0.25">
      <c r="A34" s="278"/>
      <c r="B34" s="887" t="s">
        <v>35</v>
      </c>
      <c r="C34" s="888"/>
      <c r="D34" s="735" t="s">
        <v>36</v>
      </c>
      <c r="E34" s="736"/>
      <c r="F34" s="736"/>
      <c r="G34" s="736"/>
      <c r="H34" s="736"/>
      <c r="I34" s="736"/>
      <c r="J34" s="736"/>
      <c r="K34" s="736"/>
      <c r="L34" s="736"/>
      <c r="M34" s="737"/>
      <c r="N34" s="280"/>
    </row>
    <row r="35" spans="1:14" ht="66" customHeight="1" x14ac:dyDescent="0.25">
      <c r="A35" s="278"/>
      <c r="B35" s="858" t="s">
        <v>37</v>
      </c>
      <c r="C35" s="859"/>
      <c r="D35" s="884" t="s">
        <v>38</v>
      </c>
      <c r="E35" s="885"/>
      <c r="F35" s="885"/>
      <c r="G35" s="885"/>
      <c r="H35" s="885"/>
      <c r="I35" s="885"/>
      <c r="J35" s="885"/>
      <c r="K35" s="885"/>
      <c r="L35" s="885"/>
      <c r="M35" s="886"/>
      <c r="N35" s="280"/>
    </row>
    <row r="36" spans="1:14" ht="66.75" customHeight="1" thickBot="1" x14ac:dyDescent="0.3">
      <c r="A36" s="278"/>
      <c r="B36" s="858" t="s">
        <v>39</v>
      </c>
      <c r="C36" s="859"/>
      <c r="D36" s="884" t="s">
        <v>40</v>
      </c>
      <c r="E36" s="885"/>
      <c r="F36" s="885"/>
      <c r="G36" s="885"/>
      <c r="H36" s="885"/>
      <c r="I36" s="885"/>
      <c r="J36" s="885"/>
      <c r="K36" s="885"/>
      <c r="L36" s="885"/>
      <c r="M36" s="886"/>
      <c r="N36" s="280"/>
    </row>
    <row r="37" spans="1:14" ht="29.25" customHeight="1" thickBot="1" x14ac:dyDescent="0.3">
      <c r="A37" s="278"/>
      <c r="B37" s="762" t="s">
        <v>41</v>
      </c>
      <c r="C37" s="763"/>
      <c r="D37" s="763"/>
      <c r="E37" s="763"/>
      <c r="F37" s="763"/>
      <c r="G37" s="763"/>
      <c r="H37" s="763"/>
      <c r="I37" s="763"/>
      <c r="J37" s="763"/>
      <c r="K37" s="763"/>
      <c r="L37" s="763"/>
      <c r="M37" s="764"/>
      <c r="N37" s="280"/>
    </row>
    <row r="38" spans="1:14" ht="52.5" customHeight="1" thickBot="1" x14ac:dyDescent="0.3">
      <c r="A38" s="278"/>
      <c r="B38" s="837" t="s">
        <v>42</v>
      </c>
      <c r="C38" s="838"/>
      <c r="D38" s="838"/>
      <c r="E38" s="838"/>
      <c r="F38" s="838"/>
      <c r="G38" s="838"/>
      <c r="H38" s="838"/>
      <c r="I38" s="838"/>
      <c r="J38" s="838"/>
      <c r="K38" s="838"/>
      <c r="L38" s="838"/>
      <c r="M38" s="839"/>
      <c r="N38" s="280"/>
    </row>
    <row r="39" spans="1:14" ht="17.25" customHeight="1" thickBot="1" x14ac:dyDescent="0.3">
      <c r="A39" s="278"/>
      <c r="B39" s="831" t="s">
        <v>43</v>
      </c>
      <c r="C39" s="832"/>
      <c r="D39" s="832"/>
      <c r="E39" s="832"/>
      <c r="F39" s="832"/>
      <c r="G39" s="832"/>
      <c r="H39" s="832"/>
      <c r="I39" s="832"/>
      <c r="J39" s="832"/>
      <c r="K39" s="832"/>
      <c r="L39" s="832"/>
      <c r="M39" s="833"/>
      <c r="N39" s="280"/>
    </row>
    <row r="40" spans="1:14" ht="23.25" customHeight="1" x14ac:dyDescent="0.25">
      <c r="A40" s="278"/>
      <c r="B40" s="329" t="s">
        <v>44</v>
      </c>
      <c r="C40" s="878" t="s">
        <v>45</v>
      </c>
      <c r="D40" s="879"/>
      <c r="E40" s="879"/>
      <c r="F40" s="879"/>
      <c r="G40" s="879"/>
      <c r="H40" s="879"/>
      <c r="I40" s="879"/>
      <c r="J40" s="879"/>
      <c r="K40" s="879"/>
      <c r="L40" s="879"/>
      <c r="M40" s="880"/>
      <c r="N40" s="280"/>
    </row>
    <row r="41" spans="1:14" ht="23.25" customHeight="1" x14ac:dyDescent="0.25">
      <c r="A41" s="278"/>
      <c r="B41" s="78" t="s">
        <v>46</v>
      </c>
      <c r="C41" s="881" t="s">
        <v>47</v>
      </c>
      <c r="D41" s="882"/>
      <c r="E41" s="882"/>
      <c r="F41" s="882"/>
      <c r="G41" s="882"/>
      <c r="H41" s="882"/>
      <c r="I41" s="882"/>
      <c r="J41" s="882"/>
      <c r="K41" s="882"/>
      <c r="L41" s="882"/>
      <c r="M41" s="883"/>
      <c r="N41" s="280"/>
    </row>
    <row r="42" spans="1:14" ht="23.25" customHeight="1" x14ac:dyDescent="0.25">
      <c r="A42" s="278"/>
      <c r="B42" s="79" t="s">
        <v>48</v>
      </c>
      <c r="C42" s="881" t="s">
        <v>49</v>
      </c>
      <c r="D42" s="882"/>
      <c r="E42" s="882"/>
      <c r="F42" s="882"/>
      <c r="G42" s="882"/>
      <c r="H42" s="882"/>
      <c r="I42" s="882"/>
      <c r="J42" s="882"/>
      <c r="K42" s="882"/>
      <c r="L42" s="882"/>
      <c r="M42" s="883"/>
      <c r="N42" s="280"/>
    </row>
    <row r="43" spans="1:14" ht="33" customHeight="1" x14ac:dyDescent="0.25">
      <c r="A43" s="278"/>
      <c r="B43" s="80" t="s">
        <v>50</v>
      </c>
      <c r="C43" s="852" t="s">
        <v>51</v>
      </c>
      <c r="D43" s="853"/>
      <c r="E43" s="853"/>
      <c r="F43" s="853"/>
      <c r="G43" s="853"/>
      <c r="H43" s="853"/>
      <c r="I43" s="853"/>
      <c r="J43" s="853"/>
      <c r="K43" s="853"/>
      <c r="L43" s="853"/>
      <c r="M43" s="854"/>
      <c r="N43" s="280"/>
    </row>
    <row r="44" spans="1:14" ht="49.5" customHeight="1" x14ac:dyDescent="0.25">
      <c r="A44" s="278"/>
      <c r="B44" s="378" t="s">
        <v>52</v>
      </c>
      <c r="C44" s="852" t="s">
        <v>53</v>
      </c>
      <c r="D44" s="853"/>
      <c r="E44" s="853"/>
      <c r="F44" s="853"/>
      <c r="G44" s="853"/>
      <c r="H44" s="853"/>
      <c r="I44" s="853"/>
      <c r="J44" s="853"/>
      <c r="K44" s="853"/>
      <c r="L44" s="853"/>
      <c r="M44" s="854"/>
      <c r="N44" s="280"/>
    </row>
    <row r="45" spans="1:14" ht="22.5" customHeight="1" thickBot="1" x14ac:dyDescent="0.3">
      <c r="A45" s="278"/>
      <c r="B45" s="330" t="s">
        <v>54</v>
      </c>
      <c r="C45" s="855" t="s">
        <v>55</v>
      </c>
      <c r="D45" s="856"/>
      <c r="E45" s="856"/>
      <c r="F45" s="856"/>
      <c r="G45" s="856"/>
      <c r="H45" s="856"/>
      <c r="I45" s="856"/>
      <c r="J45" s="856"/>
      <c r="K45" s="856"/>
      <c r="L45" s="856"/>
      <c r="M45" s="857"/>
      <c r="N45" s="280"/>
    </row>
    <row r="46" spans="1:14" ht="17.25" customHeight="1" thickBot="1" x14ac:dyDescent="0.3">
      <c r="A46" s="278"/>
      <c r="B46" s="871" t="s">
        <v>56</v>
      </c>
      <c r="C46" s="872"/>
      <c r="D46" s="861" t="s">
        <v>57</v>
      </c>
      <c r="E46" s="862"/>
      <c r="F46" s="862"/>
      <c r="G46" s="862"/>
      <c r="H46" s="862"/>
      <c r="I46" s="862"/>
      <c r="J46" s="862"/>
      <c r="K46" s="862"/>
      <c r="L46" s="862"/>
      <c r="M46" s="863"/>
      <c r="N46" s="280"/>
    </row>
    <row r="47" spans="1:14" ht="21.75" customHeight="1" x14ac:dyDescent="0.25">
      <c r="A47" s="278"/>
      <c r="B47" s="795" t="s">
        <v>58</v>
      </c>
      <c r="C47" s="796"/>
      <c r="D47" s="864" t="s">
        <v>59</v>
      </c>
      <c r="E47" s="865"/>
      <c r="F47" s="865"/>
      <c r="G47" s="865"/>
      <c r="H47" s="865"/>
      <c r="I47" s="865"/>
      <c r="J47" s="865"/>
      <c r="K47" s="865"/>
      <c r="L47" s="865"/>
      <c r="M47" s="866"/>
      <c r="N47" s="280"/>
    </row>
    <row r="48" spans="1:14" ht="81.75" customHeight="1" x14ac:dyDescent="0.25">
      <c r="A48" s="278"/>
      <c r="B48" s="873" t="s">
        <v>60</v>
      </c>
      <c r="C48" s="744"/>
      <c r="D48" s="800" t="s">
        <v>4558</v>
      </c>
      <c r="E48" s="801"/>
      <c r="F48" s="801"/>
      <c r="G48" s="801"/>
      <c r="H48" s="801"/>
      <c r="I48" s="801"/>
      <c r="J48" s="801"/>
      <c r="K48" s="801"/>
      <c r="L48" s="801"/>
      <c r="M48" s="802"/>
      <c r="N48" s="280"/>
    </row>
    <row r="49" spans="1:14" ht="33.75" customHeight="1" x14ac:dyDescent="0.25">
      <c r="A49" s="278"/>
      <c r="B49" s="793" t="s">
        <v>61</v>
      </c>
      <c r="C49" s="794"/>
      <c r="D49" s="800" t="s">
        <v>62</v>
      </c>
      <c r="E49" s="801"/>
      <c r="F49" s="801"/>
      <c r="G49" s="801"/>
      <c r="H49" s="801"/>
      <c r="I49" s="801"/>
      <c r="J49" s="801"/>
      <c r="K49" s="801"/>
      <c r="L49" s="801"/>
      <c r="M49" s="802"/>
      <c r="N49" s="280"/>
    </row>
    <row r="50" spans="1:14" ht="33" customHeight="1" x14ac:dyDescent="0.25">
      <c r="A50" s="278"/>
      <c r="B50" s="793" t="s">
        <v>63</v>
      </c>
      <c r="C50" s="794"/>
      <c r="D50" s="867" t="s">
        <v>64</v>
      </c>
      <c r="E50" s="868"/>
      <c r="F50" s="868"/>
      <c r="G50" s="868"/>
      <c r="H50" s="868"/>
      <c r="I50" s="868"/>
      <c r="J50" s="868"/>
      <c r="K50" s="868"/>
      <c r="L50" s="868"/>
      <c r="M50" s="869"/>
      <c r="N50" s="280"/>
    </row>
    <row r="51" spans="1:14" ht="21.75" customHeight="1" x14ac:dyDescent="0.25">
      <c r="A51" s="278"/>
      <c r="B51" s="793" t="s">
        <v>65</v>
      </c>
      <c r="C51" s="794"/>
      <c r="D51" s="800" t="s">
        <v>66</v>
      </c>
      <c r="E51" s="801"/>
      <c r="F51" s="801"/>
      <c r="G51" s="801"/>
      <c r="H51" s="801"/>
      <c r="I51" s="801"/>
      <c r="J51" s="801"/>
      <c r="K51" s="801"/>
      <c r="L51" s="801"/>
      <c r="M51" s="802"/>
      <c r="N51" s="280"/>
    </row>
    <row r="52" spans="1:14" ht="78.75" customHeight="1" x14ac:dyDescent="0.25">
      <c r="A52" s="278"/>
      <c r="B52" s="711" t="s">
        <v>67</v>
      </c>
      <c r="C52" s="712"/>
      <c r="D52" s="797" t="s">
        <v>68</v>
      </c>
      <c r="E52" s="798"/>
      <c r="F52" s="798"/>
      <c r="G52" s="798"/>
      <c r="H52" s="798"/>
      <c r="I52" s="798"/>
      <c r="J52" s="798"/>
      <c r="K52" s="798"/>
      <c r="L52" s="798"/>
      <c r="M52" s="799"/>
      <c r="N52" s="280"/>
    </row>
    <row r="53" spans="1:14" ht="94.5" customHeight="1" x14ac:dyDescent="0.25">
      <c r="A53" s="278"/>
      <c r="B53" s="715"/>
      <c r="C53" s="716"/>
      <c r="D53" s="739" t="s">
        <v>69</v>
      </c>
      <c r="E53" s="740"/>
      <c r="F53" s="740"/>
      <c r="G53" s="740" t="s">
        <v>70</v>
      </c>
      <c r="H53" s="740"/>
      <c r="I53" s="740"/>
      <c r="J53" s="740" t="s">
        <v>71</v>
      </c>
      <c r="K53" s="740"/>
      <c r="L53" s="740"/>
      <c r="M53" s="860"/>
      <c r="N53" s="280"/>
    </row>
    <row r="54" spans="1:14" ht="177" customHeight="1" x14ac:dyDescent="0.25">
      <c r="A54" s="278"/>
      <c r="B54" s="713"/>
      <c r="C54" s="714"/>
      <c r="D54" s="741"/>
      <c r="E54" s="742"/>
      <c r="F54" s="742"/>
      <c r="G54" s="742"/>
      <c r="H54" s="742"/>
      <c r="I54" s="742"/>
      <c r="J54" s="742"/>
      <c r="K54" s="742"/>
      <c r="L54" s="742"/>
      <c r="M54" s="851"/>
      <c r="N54" s="280"/>
    </row>
    <row r="55" spans="1:14" ht="144.75" customHeight="1" x14ac:dyDescent="0.25">
      <c r="A55" s="278"/>
      <c r="B55" s="901" t="s">
        <v>72</v>
      </c>
      <c r="C55" s="902"/>
      <c r="D55" s="867" t="s">
        <v>73</v>
      </c>
      <c r="E55" s="868"/>
      <c r="F55" s="868"/>
      <c r="G55" s="868"/>
      <c r="H55" s="868"/>
      <c r="I55" s="868"/>
      <c r="J55" s="868"/>
      <c r="K55" s="868"/>
      <c r="L55" s="868"/>
      <c r="M55" s="869"/>
      <c r="N55" s="280"/>
    </row>
    <row r="56" spans="1:14" ht="128.25" customHeight="1" x14ac:dyDescent="0.25">
      <c r="A56" s="278"/>
      <c r="B56" s="793" t="s">
        <v>74</v>
      </c>
      <c r="C56" s="794"/>
      <c r="D56" s="800" t="s">
        <v>75</v>
      </c>
      <c r="E56" s="801"/>
      <c r="F56" s="801"/>
      <c r="G56" s="801"/>
      <c r="H56" s="801"/>
      <c r="I56" s="801"/>
      <c r="J56" s="801"/>
      <c r="K56" s="801"/>
      <c r="L56" s="801"/>
      <c r="M56" s="802"/>
      <c r="N56" s="280"/>
    </row>
    <row r="57" spans="1:14" ht="21.75" customHeight="1" x14ac:dyDescent="0.25">
      <c r="A57" s="278"/>
      <c r="B57" s="793" t="s">
        <v>76</v>
      </c>
      <c r="C57" s="794"/>
      <c r="D57" s="800" t="s">
        <v>77</v>
      </c>
      <c r="E57" s="801"/>
      <c r="F57" s="801"/>
      <c r="G57" s="801"/>
      <c r="H57" s="801"/>
      <c r="I57" s="801"/>
      <c r="J57" s="801"/>
      <c r="K57" s="801"/>
      <c r="L57" s="801"/>
      <c r="M57" s="802"/>
      <c r="N57" s="280"/>
    </row>
    <row r="58" spans="1:14" ht="140.25" customHeight="1" x14ac:dyDescent="0.25">
      <c r="A58" s="278"/>
      <c r="B58" s="793" t="s">
        <v>78</v>
      </c>
      <c r="C58" s="794"/>
      <c r="D58" s="800" t="s">
        <v>79</v>
      </c>
      <c r="E58" s="801"/>
      <c r="F58" s="801"/>
      <c r="G58" s="801"/>
      <c r="H58" s="801"/>
      <c r="I58" s="801"/>
      <c r="J58" s="801"/>
      <c r="K58" s="801"/>
      <c r="L58" s="801"/>
      <c r="M58" s="802"/>
      <c r="N58" s="280"/>
    </row>
    <row r="59" spans="1:14" ht="51.75" customHeight="1" x14ac:dyDescent="0.25">
      <c r="A59" s="278"/>
      <c r="B59" s="793" t="s">
        <v>80</v>
      </c>
      <c r="C59" s="794"/>
      <c r="D59" s="800" t="s">
        <v>81</v>
      </c>
      <c r="E59" s="801"/>
      <c r="F59" s="801"/>
      <c r="G59" s="801"/>
      <c r="H59" s="801"/>
      <c r="I59" s="801"/>
      <c r="J59" s="801"/>
      <c r="K59" s="801"/>
      <c r="L59" s="801"/>
      <c r="M59" s="802"/>
      <c r="N59" s="280"/>
    </row>
    <row r="60" spans="1:14" ht="22.5" customHeight="1" x14ac:dyDescent="0.25">
      <c r="A60" s="278"/>
      <c r="B60" s="793" t="s">
        <v>82</v>
      </c>
      <c r="C60" s="794"/>
      <c r="D60" s="800" t="s">
        <v>83</v>
      </c>
      <c r="E60" s="801"/>
      <c r="F60" s="801"/>
      <c r="G60" s="801"/>
      <c r="H60" s="801"/>
      <c r="I60" s="801"/>
      <c r="J60" s="801"/>
      <c r="K60" s="801"/>
      <c r="L60" s="801"/>
      <c r="M60" s="802"/>
      <c r="N60" s="280"/>
    </row>
    <row r="61" spans="1:14" ht="277.5" customHeight="1" x14ac:dyDescent="0.25">
      <c r="A61" s="278"/>
      <c r="B61" s="793" t="s">
        <v>84</v>
      </c>
      <c r="C61" s="794"/>
      <c r="D61" s="870" t="s">
        <v>85</v>
      </c>
      <c r="E61" s="801"/>
      <c r="F61" s="801"/>
      <c r="G61" s="801"/>
      <c r="H61" s="801"/>
      <c r="I61" s="801"/>
      <c r="J61" s="801"/>
      <c r="K61" s="801"/>
      <c r="L61" s="801"/>
      <c r="M61" s="802"/>
      <c r="N61" s="280"/>
    </row>
    <row r="62" spans="1:14" ht="99" hidden="1" customHeight="1" x14ac:dyDescent="0.25">
      <c r="A62" s="278"/>
      <c r="B62" s="743" t="s">
        <v>86</v>
      </c>
      <c r="C62" s="744"/>
      <c r="D62" s="800" t="s">
        <v>87</v>
      </c>
      <c r="E62" s="801"/>
      <c r="F62" s="801"/>
      <c r="G62" s="801"/>
      <c r="H62" s="801"/>
      <c r="I62" s="801"/>
      <c r="J62" s="801"/>
      <c r="K62" s="801"/>
      <c r="L62" s="801"/>
      <c r="M62" s="802"/>
      <c r="N62" s="280"/>
    </row>
    <row r="63" spans="1:14" ht="51" customHeight="1" x14ac:dyDescent="0.25">
      <c r="A63" s="278"/>
      <c r="B63" s="720" t="s">
        <v>88</v>
      </c>
      <c r="C63" s="738"/>
      <c r="D63" s="724" t="s">
        <v>89</v>
      </c>
      <c r="E63" s="718"/>
      <c r="F63" s="718"/>
      <c r="G63" s="718"/>
      <c r="H63" s="718"/>
      <c r="I63" s="718"/>
      <c r="J63" s="718"/>
      <c r="K63" s="718"/>
      <c r="L63" s="718"/>
      <c r="M63" s="719"/>
      <c r="N63" s="280"/>
    </row>
    <row r="64" spans="1:14" ht="43.5" hidden="1" customHeight="1" x14ac:dyDescent="0.25">
      <c r="A64" s="278"/>
      <c r="B64" s="720" t="s">
        <v>90</v>
      </c>
      <c r="C64" s="721"/>
      <c r="D64" s="800" t="s">
        <v>91</v>
      </c>
      <c r="E64" s="801"/>
      <c r="F64" s="801"/>
      <c r="G64" s="801"/>
      <c r="H64" s="801"/>
      <c r="I64" s="801"/>
      <c r="J64" s="801"/>
      <c r="K64" s="801"/>
      <c r="L64" s="801"/>
      <c r="M64" s="802"/>
      <c r="N64" s="280"/>
    </row>
    <row r="65" spans="1:14" ht="39" customHeight="1" x14ac:dyDescent="0.25">
      <c r="A65" s="278"/>
      <c r="B65" s="720" t="s">
        <v>92</v>
      </c>
      <c r="C65" s="721"/>
      <c r="D65" s="900" t="s">
        <v>93</v>
      </c>
      <c r="E65" s="736"/>
      <c r="F65" s="736"/>
      <c r="G65" s="736"/>
      <c r="H65" s="736"/>
      <c r="I65" s="736"/>
      <c r="J65" s="736"/>
      <c r="K65" s="736"/>
      <c r="L65" s="736"/>
      <c r="M65" s="737"/>
      <c r="N65" s="280"/>
    </row>
    <row r="66" spans="1:14" ht="34.5" customHeight="1" x14ac:dyDescent="0.25">
      <c r="A66" s="278"/>
      <c r="B66" s="720" t="s">
        <v>94</v>
      </c>
      <c r="C66" s="721"/>
      <c r="D66" s="735" t="s">
        <v>95</v>
      </c>
      <c r="E66" s="736"/>
      <c r="F66" s="736"/>
      <c r="G66" s="736"/>
      <c r="H66" s="736"/>
      <c r="I66" s="736"/>
      <c r="J66" s="736"/>
      <c r="K66" s="736"/>
      <c r="L66" s="736"/>
      <c r="M66" s="737"/>
      <c r="N66" s="280"/>
    </row>
    <row r="67" spans="1:14" ht="49.5" customHeight="1" x14ac:dyDescent="0.25">
      <c r="A67" s="278"/>
      <c r="B67" s="720" t="s">
        <v>96</v>
      </c>
      <c r="C67" s="721"/>
      <c r="D67" s="735" t="s">
        <v>97</v>
      </c>
      <c r="E67" s="736"/>
      <c r="F67" s="736"/>
      <c r="G67" s="736"/>
      <c r="H67" s="736"/>
      <c r="I67" s="736"/>
      <c r="J67" s="736"/>
      <c r="K67" s="736"/>
      <c r="L67" s="736"/>
      <c r="M67" s="737"/>
      <c r="N67" s="280"/>
    </row>
    <row r="68" spans="1:14" ht="99" customHeight="1" x14ac:dyDescent="0.25">
      <c r="A68" s="278"/>
      <c r="B68" s="720" t="s">
        <v>98</v>
      </c>
      <c r="C68" s="721"/>
      <c r="D68" s="735" t="s">
        <v>99</v>
      </c>
      <c r="E68" s="736"/>
      <c r="F68" s="736"/>
      <c r="G68" s="736"/>
      <c r="H68" s="736"/>
      <c r="I68" s="736"/>
      <c r="J68" s="736"/>
      <c r="K68" s="736"/>
      <c r="L68" s="736"/>
      <c r="M68" s="737"/>
      <c r="N68" s="280"/>
    </row>
    <row r="69" spans="1:14" ht="39" customHeight="1" x14ac:dyDescent="0.25">
      <c r="A69" s="278"/>
      <c r="B69" s="720" t="s">
        <v>100</v>
      </c>
      <c r="C69" s="721"/>
      <c r="D69" s="735" t="s">
        <v>101</v>
      </c>
      <c r="E69" s="736"/>
      <c r="F69" s="736"/>
      <c r="G69" s="736"/>
      <c r="H69" s="736"/>
      <c r="I69" s="736"/>
      <c r="J69" s="736"/>
      <c r="K69" s="736"/>
      <c r="L69" s="736"/>
      <c r="M69" s="737"/>
      <c r="N69" s="280"/>
    </row>
    <row r="70" spans="1:14" ht="21.75" customHeight="1" x14ac:dyDescent="0.25">
      <c r="A70" s="278"/>
      <c r="B70" s="720" t="s">
        <v>102</v>
      </c>
      <c r="C70" s="721"/>
      <c r="D70" s="735" t="s">
        <v>103</v>
      </c>
      <c r="E70" s="736"/>
      <c r="F70" s="736"/>
      <c r="G70" s="736"/>
      <c r="H70" s="736"/>
      <c r="I70" s="736"/>
      <c r="J70" s="736"/>
      <c r="K70" s="736"/>
      <c r="L70" s="736"/>
      <c r="M70" s="737"/>
      <c r="N70" s="280"/>
    </row>
    <row r="71" spans="1:14" ht="36.75" customHeight="1" x14ac:dyDescent="0.25">
      <c r="A71" s="278"/>
      <c r="B71" s="720" t="s">
        <v>104</v>
      </c>
      <c r="C71" s="721"/>
      <c r="D71" s="735" t="s">
        <v>105</v>
      </c>
      <c r="E71" s="736"/>
      <c r="F71" s="736"/>
      <c r="G71" s="736"/>
      <c r="H71" s="736"/>
      <c r="I71" s="736"/>
      <c r="J71" s="736"/>
      <c r="K71" s="736"/>
      <c r="L71" s="736"/>
      <c r="M71" s="737"/>
      <c r="N71" s="280"/>
    </row>
    <row r="72" spans="1:14" ht="114" customHeight="1" x14ac:dyDescent="0.25">
      <c r="A72" s="278"/>
      <c r="B72" s="720" t="s">
        <v>106</v>
      </c>
      <c r="C72" s="721"/>
      <c r="D72" s="800" t="s">
        <v>107</v>
      </c>
      <c r="E72" s="801"/>
      <c r="F72" s="801"/>
      <c r="G72" s="801"/>
      <c r="H72" s="801"/>
      <c r="I72" s="801"/>
      <c r="J72" s="801"/>
      <c r="K72" s="801"/>
      <c r="L72" s="801"/>
      <c r="M72" s="802"/>
      <c r="N72" s="280"/>
    </row>
    <row r="73" spans="1:14" ht="109.5" customHeight="1" x14ac:dyDescent="0.25">
      <c r="A73" s="278"/>
      <c r="B73" s="720" t="s">
        <v>108</v>
      </c>
      <c r="C73" s="721"/>
      <c r="D73" s="800" t="s">
        <v>109</v>
      </c>
      <c r="E73" s="801"/>
      <c r="F73" s="801"/>
      <c r="G73" s="801"/>
      <c r="H73" s="801"/>
      <c r="I73" s="801"/>
      <c r="J73" s="801"/>
      <c r="K73" s="801"/>
      <c r="L73" s="801"/>
      <c r="M73" s="802"/>
      <c r="N73" s="280"/>
    </row>
    <row r="74" spans="1:14" ht="69" customHeight="1" x14ac:dyDescent="0.25">
      <c r="A74" s="278"/>
      <c r="B74" s="720" t="s">
        <v>110</v>
      </c>
      <c r="C74" s="721"/>
      <c r="D74" s="735" t="s">
        <v>111</v>
      </c>
      <c r="E74" s="736"/>
      <c r="F74" s="736"/>
      <c r="G74" s="736"/>
      <c r="H74" s="736"/>
      <c r="I74" s="736"/>
      <c r="J74" s="736"/>
      <c r="K74" s="736"/>
      <c r="L74" s="736"/>
      <c r="M74" s="737"/>
      <c r="N74" s="280"/>
    </row>
    <row r="75" spans="1:14" ht="51.75" customHeight="1" x14ac:dyDescent="0.25">
      <c r="A75" s="278"/>
      <c r="B75" s="720" t="s">
        <v>112</v>
      </c>
      <c r="C75" s="721"/>
      <c r="D75" s="875" t="s">
        <v>113</v>
      </c>
      <c r="E75" s="876"/>
      <c r="F75" s="876"/>
      <c r="G75" s="876"/>
      <c r="H75" s="876"/>
      <c r="I75" s="876"/>
      <c r="J75" s="876"/>
      <c r="K75" s="876"/>
      <c r="L75" s="876"/>
      <c r="M75" s="877"/>
      <c r="N75" s="280"/>
    </row>
    <row r="76" spans="1:14" ht="51" customHeight="1" x14ac:dyDescent="0.25">
      <c r="A76" s="278"/>
      <c r="B76" s="720" t="s">
        <v>114</v>
      </c>
      <c r="C76" s="874"/>
      <c r="D76" s="735" t="s">
        <v>115</v>
      </c>
      <c r="E76" s="736"/>
      <c r="F76" s="736"/>
      <c r="G76" s="736"/>
      <c r="H76" s="736"/>
      <c r="I76" s="736"/>
      <c r="J76" s="736"/>
      <c r="K76" s="736"/>
      <c r="L76" s="736"/>
      <c r="M76" s="737"/>
      <c r="N76" s="280"/>
    </row>
    <row r="77" spans="1:14" ht="66" customHeight="1" x14ac:dyDescent="0.25">
      <c r="A77" s="278"/>
      <c r="B77" s="720" t="s">
        <v>116</v>
      </c>
      <c r="C77" s="721"/>
      <c r="D77" s="735" t="s">
        <v>117</v>
      </c>
      <c r="E77" s="736"/>
      <c r="F77" s="736"/>
      <c r="G77" s="736"/>
      <c r="H77" s="736"/>
      <c r="I77" s="736"/>
      <c r="J77" s="736"/>
      <c r="K77" s="736"/>
      <c r="L77" s="736"/>
      <c r="M77" s="737"/>
      <c r="N77" s="280"/>
    </row>
    <row r="78" spans="1:14" ht="21.75" customHeight="1" x14ac:dyDescent="0.25">
      <c r="A78" s="278"/>
      <c r="B78" s="720" t="s">
        <v>118</v>
      </c>
      <c r="C78" s="721"/>
      <c r="D78" s="735" t="s">
        <v>119</v>
      </c>
      <c r="E78" s="736"/>
      <c r="F78" s="736"/>
      <c r="G78" s="736"/>
      <c r="H78" s="736"/>
      <c r="I78" s="736"/>
      <c r="J78" s="736"/>
      <c r="K78" s="736"/>
      <c r="L78" s="736"/>
      <c r="M78" s="737"/>
      <c r="N78" s="280"/>
    </row>
    <row r="79" spans="1:14" ht="51" customHeight="1" x14ac:dyDescent="0.25">
      <c r="A79" s="278"/>
      <c r="B79" s="711" t="s">
        <v>120</v>
      </c>
      <c r="C79" s="712"/>
      <c r="D79" s="797" t="s">
        <v>121</v>
      </c>
      <c r="E79" s="798"/>
      <c r="F79" s="798"/>
      <c r="G79" s="798"/>
      <c r="H79" s="798"/>
      <c r="I79" s="798"/>
      <c r="J79" s="798"/>
      <c r="K79" s="798"/>
      <c r="L79" s="798"/>
      <c r="M79" s="799"/>
      <c r="N79" s="280"/>
    </row>
    <row r="80" spans="1:14" ht="276" customHeight="1" x14ac:dyDescent="0.25">
      <c r="A80" s="278"/>
      <c r="B80" s="713"/>
      <c r="C80" s="714"/>
      <c r="D80" s="741" t="s">
        <v>122</v>
      </c>
      <c r="E80" s="742"/>
      <c r="F80" s="742"/>
      <c r="G80" s="742"/>
      <c r="H80" s="742"/>
      <c r="I80" s="742"/>
      <c r="J80" s="742"/>
      <c r="K80" s="742"/>
      <c r="L80" s="742"/>
      <c r="M80" s="851"/>
      <c r="N80" s="280"/>
    </row>
    <row r="81" spans="1:14" ht="59.25" customHeight="1" x14ac:dyDescent="0.25">
      <c r="A81" s="278"/>
      <c r="B81" s="720" t="s">
        <v>123</v>
      </c>
      <c r="C81" s="721"/>
      <c r="D81" s="907" t="s">
        <v>124</v>
      </c>
      <c r="E81" s="908"/>
      <c r="F81" s="908"/>
      <c r="G81" s="908"/>
      <c r="H81" s="908"/>
      <c r="I81" s="908"/>
      <c r="J81" s="908"/>
      <c r="K81" s="908"/>
      <c r="L81" s="908"/>
      <c r="M81" s="909"/>
      <c r="N81" s="280"/>
    </row>
    <row r="82" spans="1:14" ht="60" customHeight="1" x14ac:dyDescent="0.25">
      <c r="A82" s="278"/>
      <c r="B82" s="720" t="s">
        <v>125</v>
      </c>
      <c r="C82" s="721"/>
      <c r="D82" s="907" t="s">
        <v>126</v>
      </c>
      <c r="E82" s="908"/>
      <c r="F82" s="908"/>
      <c r="G82" s="908"/>
      <c r="H82" s="908"/>
      <c r="I82" s="908"/>
      <c r="J82" s="908"/>
      <c r="K82" s="908"/>
      <c r="L82" s="908"/>
      <c r="M82" s="909"/>
      <c r="N82" s="280"/>
    </row>
    <row r="83" spans="1:14" ht="20.25" customHeight="1" x14ac:dyDescent="0.25">
      <c r="A83" s="278"/>
      <c r="B83" s="720" t="s">
        <v>127</v>
      </c>
      <c r="C83" s="721"/>
      <c r="D83" s="717" t="s">
        <v>128</v>
      </c>
      <c r="E83" s="718"/>
      <c r="F83" s="718"/>
      <c r="G83" s="718"/>
      <c r="H83" s="718"/>
      <c r="I83" s="718"/>
      <c r="J83" s="718"/>
      <c r="K83" s="718"/>
      <c r="L83" s="718"/>
      <c r="M83" s="719"/>
      <c r="N83" s="280"/>
    </row>
    <row r="84" spans="1:14" ht="99" customHeight="1" x14ac:dyDescent="0.25">
      <c r="A84" s="278"/>
      <c r="B84" s="730" t="s">
        <v>129</v>
      </c>
      <c r="C84" s="731"/>
      <c r="D84" s="724" t="s">
        <v>4582</v>
      </c>
      <c r="E84" s="718"/>
      <c r="F84" s="718"/>
      <c r="G84" s="718"/>
      <c r="H84" s="718"/>
      <c r="I84" s="718"/>
      <c r="J84" s="718"/>
      <c r="K84" s="718"/>
      <c r="L84" s="718"/>
      <c r="M84" s="719"/>
      <c r="N84" s="280"/>
    </row>
    <row r="85" spans="1:14" ht="36" customHeight="1" x14ac:dyDescent="0.25">
      <c r="A85" s="278"/>
      <c r="B85" s="722" t="s">
        <v>130</v>
      </c>
      <c r="C85" s="723"/>
      <c r="D85" s="724" t="s">
        <v>131</v>
      </c>
      <c r="E85" s="718"/>
      <c r="F85" s="718"/>
      <c r="G85" s="718"/>
      <c r="H85" s="718"/>
      <c r="I85" s="718"/>
      <c r="J85" s="718"/>
      <c r="K85" s="718"/>
      <c r="L85" s="718"/>
      <c r="M85" s="719"/>
      <c r="N85" s="280"/>
    </row>
    <row r="86" spans="1:14" ht="69" customHeight="1" x14ac:dyDescent="0.25">
      <c r="A86" s="278"/>
      <c r="B86" s="905" t="s">
        <v>132</v>
      </c>
      <c r="C86" s="906"/>
      <c r="D86" s="867" t="s">
        <v>133</v>
      </c>
      <c r="E86" s="868"/>
      <c r="F86" s="868"/>
      <c r="G86" s="868"/>
      <c r="H86" s="868"/>
      <c r="I86" s="868"/>
      <c r="J86" s="868"/>
      <c r="K86" s="868"/>
      <c r="L86" s="868"/>
      <c r="M86" s="869"/>
      <c r="N86" s="280"/>
    </row>
    <row r="87" spans="1:14" ht="46.5" customHeight="1" x14ac:dyDescent="0.25">
      <c r="A87" s="278"/>
      <c r="B87" s="920" t="s">
        <v>134</v>
      </c>
      <c r="C87" s="921"/>
      <c r="D87" s="918" t="s">
        <v>135</v>
      </c>
      <c r="E87" s="918"/>
      <c r="F87" s="918"/>
      <c r="G87" s="918"/>
      <c r="H87" s="918"/>
      <c r="I87" s="918"/>
      <c r="J87" s="918"/>
      <c r="K87" s="918"/>
      <c r="L87" s="918"/>
      <c r="M87" s="919"/>
      <c r="N87" s="280"/>
    </row>
    <row r="88" spans="1:14" ht="50.25" customHeight="1" x14ac:dyDescent="0.25">
      <c r="A88" s="278"/>
      <c r="B88" s="733" t="s">
        <v>136</v>
      </c>
      <c r="C88" s="734"/>
      <c r="D88" s="727" t="s">
        <v>137</v>
      </c>
      <c r="E88" s="727"/>
      <c r="F88" s="727"/>
      <c r="G88" s="727"/>
      <c r="H88" s="727"/>
      <c r="I88" s="727"/>
      <c r="J88" s="727"/>
      <c r="K88" s="727"/>
      <c r="L88" s="727"/>
      <c r="M88" s="732"/>
      <c r="N88" s="280"/>
    </row>
    <row r="89" spans="1:14" ht="40.5" customHeight="1" x14ac:dyDescent="0.25">
      <c r="A89" s="278"/>
      <c r="B89" s="725" t="s">
        <v>138</v>
      </c>
      <c r="C89" s="726"/>
      <c r="D89" s="727" t="s">
        <v>139</v>
      </c>
      <c r="E89" s="727"/>
      <c r="F89" s="727"/>
      <c r="G89" s="727"/>
      <c r="H89" s="727"/>
      <c r="I89" s="727"/>
      <c r="J89" s="727"/>
      <c r="K89" s="727"/>
      <c r="L89" s="727"/>
      <c r="M89" s="732"/>
      <c r="N89" s="280"/>
    </row>
    <row r="90" spans="1:14" ht="40.5" customHeight="1" x14ac:dyDescent="0.25">
      <c r="A90" s="278"/>
      <c r="B90" s="725" t="s">
        <v>140</v>
      </c>
      <c r="C90" s="726"/>
      <c r="D90" s="724" t="s">
        <v>139</v>
      </c>
      <c r="E90" s="718"/>
      <c r="F90" s="718"/>
      <c r="G90" s="718"/>
      <c r="H90" s="718"/>
      <c r="I90" s="718"/>
      <c r="J90" s="718"/>
      <c r="K90" s="718"/>
      <c r="L90" s="718"/>
      <c r="M90" s="719"/>
      <c r="N90" s="280"/>
    </row>
    <row r="91" spans="1:14" ht="34.5" customHeight="1" x14ac:dyDescent="0.25">
      <c r="A91" s="278"/>
      <c r="B91" s="725" t="s">
        <v>141</v>
      </c>
      <c r="C91" s="726"/>
      <c r="D91" s="727" t="s">
        <v>142</v>
      </c>
      <c r="E91" s="728"/>
      <c r="F91" s="728"/>
      <c r="G91" s="728"/>
      <c r="H91" s="728"/>
      <c r="I91" s="728"/>
      <c r="J91" s="728"/>
      <c r="K91" s="728"/>
      <c r="L91" s="728"/>
      <c r="M91" s="729"/>
      <c r="N91" s="280"/>
    </row>
    <row r="92" spans="1:14" ht="20.25" customHeight="1" x14ac:dyDescent="0.25">
      <c r="A92" s="278"/>
      <c r="B92" s="722" t="s">
        <v>143</v>
      </c>
      <c r="C92" s="723"/>
      <c r="D92" s="724" t="s">
        <v>144</v>
      </c>
      <c r="E92" s="718"/>
      <c r="F92" s="718"/>
      <c r="G92" s="718"/>
      <c r="H92" s="718"/>
      <c r="I92" s="718"/>
      <c r="J92" s="718"/>
      <c r="K92" s="718"/>
      <c r="L92" s="718"/>
      <c r="M92" s="719"/>
      <c r="N92" s="280"/>
    </row>
    <row r="93" spans="1:14" ht="34.5" customHeight="1" thickBot="1" x14ac:dyDescent="0.3">
      <c r="A93" s="278"/>
      <c r="B93" s="752" t="s">
        <v>145</v>
      </c>
      <c r="C93" s="753"/>
      <c r="D93" s="754" t="s">
        <v>146</v>
      </c>
      <c r="E93" s="755"/>
      <c r="F93" s="755"/>
      <c r="G93" s="755"/>
      <c r="H93" s="755"/>
      <c r="I93" s="755"/>
      <c r="J93" s="755"/>
      <c r="K93" s="755"/>
      <c r="L93" s="755"/>
      <c r="M93" s="756"/>
      <c r="N93" s="280"/>
    </row>
    <row r="94" spans="1:14" ht="29.25" customHeight="1" x14ac:dyDescent="0.25">
      <c r="A94" s="278"/>
      <c r="B94" s="757" t="s">
        <v>147</v>
      </c>
      <c r="C94" s="758"/>
      <c r="D94" s="758"/>
      <c r="E94" s="758"/>
      <c r="F94" s="758"/>
      <c r="G94" s="758"/>
      <c r="H94" s="758"/>
      <c r="I94" s="758"/>
      <c r="J94" s="758"/>
      <c r="K94" s="758"/>
      <c r="L94" s="758"/>
      <c r="M94" s="759"/>
      <c r="N94" s="280"/>
    </row>
    <row r="95" spans="1:14" ht="33" customHeight="1" x14ac:dyDescent="0.25">
      <c r="A95" s="278"/>
      <c r="B95" s="760" t="s">
        <v>148</v>
      </c>
      <c r="C95" s="761"/>
      <c r="D95" s="761"/>
      <c r="E95" s="761"/>
      <c r="F95" s="761"/>
      <c r="G95" s="761"/>
      <c r="H95" s="761"/>
      <c r="I95" s="761"/>
      <c r="J95" s="761"/>
      <c r="K95" s="761"/>
      <c r="L95" s="761"/>
      <c r="M95" s="761"/>
      <c r="N95" s="280"/>
    </row>
    <row r="96" spans="1:14" ht="33" customHeight="1" thickBot="1" x14ac:dyDescent="0.3">
      <c r="A96" s="278"/>
      <c r="B96" s="787" t="s">
        <v>4588</v>
      </c>
      <c r="C96" s="788"/>
      <c r="D96" s="788"/>
      <c r="E96" s="788"/>
      <c r="F96" s="788"/>
      <c r="G96" s="788"/>
      <c r="H96" s="788"/>
      <c r="I96" s="788"/>
      <c r="J96" s="788"/>
      <c r="K96" s="788"/>
      <c r="L96" s="788"/>
      <c r="M96" s="789"/>
      <c r="N96" s="280"/>
    </row>
    <row r="97" spans="1:14" ht="29.25" customHeight="1" thickBot="1" x14ac:dyDescent="0.3">
      <c r="A97" s="278"/>
      <c r="B97" s="762" t="s">
        <v>149</v>
      </c>
      <c r="C97" s="763"/>
      <c r="D97" s="763"/>
      <c r="E97" s="763"/>
      <c r="F97" s="763"/>
      <c r="G97" s="763"/>
      <c r="H97" s="763"/>
      <c r="I97" s="763"/>
      <c r="J97" s="763"/>
      <c r="K97" s="763"/>
      <c r="L97" s="763"/>
      <c r="M97" s="764"/>
      <c r="N97" s="280"/>
    </row>
    <row r="98" spans="1:14" ht="29.25" customHeight="1" thickBot="1" x14ac:dyDescent="0.3">
      <c r="A98" s="278"/>
      <c r="B98" s="765" t="s">
        <v>150</v>
      </c>
      <c r="C98" s="766"/>
      <c r="D98" s="766"/>
      <c r="E98" s="766"/>
      <c r="F98" s="766"/>
      <c r="G98" s="766"/>
      <c r="H98" s="766"/>
      <c r="I98" s="766"/>
      <c r="J98" s="766"/>
      <c r="K98" s="766"/>
      <c r="L98" s="766"/>
      <c r="M98" s="767"/>
      <c r="N98" s="280"/>
    </row>
    <row r="99" spans="1:14" ht="29.25" customHeight="1" thickBot="1" x14ac:dyDescent="0.3">
      <c r="A99" s="278"/>
      <c r="B99" s="762" t="s">
        <v>151</v>
      </c>
      <c r="C99" s="763"/>
      <c r="D99" s="763"/>
      <c r="E99" s="763"/>
      <c r="F99" s="763"/>
      <c r="G99" s="763"/>
      <c r="H99" s="763"/>
      <c r="I99" s="763"/>
      <c r="J99" s="763"/>
      <c r="K99" s="763"/>
      <c r="L99" s="763"/>
      <c r="M99" s="764"/>
      <c r="N99" s="280"/>
    </row>
    <row r="100" spans="1:14" ht="29.25" customHeight="1" thickBot="1" x14ac:dyDescent="0.3">
      <c r="A100" s="278"/>
      <c r="B100" s="765" t="s">
        <v>152</v>
      </c>
      <c r="C100" s="903"/>
      <c r="D100" s="903"/>
      <c r="E100" s="903"/>
      <c r="F100" s="903"/>
      <c r="G100" s="903"/>
      <c r="H100" s="903"/>
      <c r="I100" s="903"/>
      <c r="J100" s="903"/>
      <c r="K100" s="903"/>
      <c r="L100" s="903"/>
      <c r="M100" s="904"/>
      <c r="N100" s="280"/>
    </row>
    <row r="101" spans="1:14" ht="11.25" customHeight="1" x14ac:dyDescent="0.25">
      <c r="A101" s="278"/>
      <c r="B101" s="279"/>
      <c r="C101" s="279"/>
      <c r="D101" s="279"/>
      <c r="E101" s="279"/>
      <c r="F101" s="279"/>
      <c r="G101" s="279"/>
      <c r="H101" s="279"/>
      <c r="I101" s="279"/>
      <c r="J101" s="279"/>
      <c r="K101" s="279"/>
      <c r="L101" s="279"/>
      <c r="M101" s="279"/>
      <c r="N101" s="280"/>
    </row>
    <row r="102" spans="1:14" ht="15.75" thickBot="1" x14ac:dyDescent="0.3">
      <c r="A102" s="281"/>
      <c r="B102" s="282"/>
      <c r="C102" s="282"/>
      <c r="D102" s="282"/>
      <c r="E102" s="282"/>
      <c r="F102" s="282"/>
      <c r="G102" s="282"/>
      <c r="H102" s="282"/>
      <c r="I102" s="282"/>
      <c r="J102" s="282"/>
      <c r="K102" s="282"/>
      <c r="L102" s="282"/>
      <c r="M102" s="282"/>
      <c r="N102" s="283"/>
    </row>
    <row r="103" spans="1:14" x14ac:dyDescent="0.25">
      <c r="A103" s="770" t="s">
        <v>153</v>
      </c>
      <c r="B103" s="771"/>
      <c r="C103" s="771"/>
      <c r="D103" s="771"/>
      <c r="E103" s="771"/>
      <c r="F103" s="771"/>
      <c r="G103" s="771"/>
      <c r="H103" s="771"/>
      <c r="I103" s="771"/>
      <c r="J103" s="771"/>
      <c r="K103" s="771"/>
      <c r="L103" s="771"/>
      <c r="M103" s="771"/>
      <c r="N103" s="772"/>
    </row>
    <row r="104" spans="1:14" x14ac:dyDescent="0.25">
      <c r="A104" s="773"/>
      <c r="B104" s="774"/>
      <c r="C104" s="774"/>
      <c r="D104" s="774"/>
      <c r="E104" s="774"/>
      <c r="F104" s="774"/>
      <c r="G104" s="774"/>
      <c r="H104" s="774"/>
      <c r="I104" s="774"/>
      <c r="J104" s="774"/>
      <c r="K104" s="774"/>
      <c r="L104" s="774"/>
      <c r="M104" s="774"/>
      <c r="N104" s="775"/>
    </row>
    <row r="105" spans="1:14" ht="15.75" customHeight="1" thickBot="1" x14ac:dyDescent="0.3">
      <c r="A105" s="773"/>
      <c r="B105" s="774"/>
      <c r="C105" s="774"/>
      <c r="D105" s="774"/>
      <c r="E105" s="774"/>
      <c r="F105" s="774"/>
      <c r="G105" s="774"/>
      <c r="H105" s="774"/>
      <c r="I105" s="774"/>
      <c r="J105" s="774"/>
      <c r="K105" s="774"/>
      <c r="L105" s="774"/>
      <c r="M105" s="774"/>
      <c r="N105" s="775"/>
    </row>
    <row r="106" spans="1:14" ht="15" customHeight="1" x14ac:dyDescent="0.25">
      <c r="A106" s="278"/>
      <c r="B106" s="912" t="s">
        <v>154</v>
      </c>
      <c r="C106" s="913"/>
      <c r="D106" s="913"/>
      <c r="E106" s="913"/>
      <c r="F106" s="914"/>
      <c r="G106" s="776" t="s">
        <v>155</v>
      </c>
      <c r="H106" s="777"/>
      <c r="I106" s="777"/>
      <c r="J106" s="777"/>
      <c r="K106" s="777"/>
      <c r="L106" s="777"/>
      <c r="M106" s="778"/>
      <c r="N106" s="280"/>
    </row>
    <row r="107" spans="1:14" ht="15.75" customHeight="1" thickBot="1" x14ac:dyDescent="0.3">
      <c r="A107" s="278"/>
      <c r="B107" s="915"/>
      <c r="C107" s="916"/>
      <c r="D107" s="916"/>
      <c r="E107" s="916"/>
      <c r="F107" s="917"/>
      <c r="G107" s="779"/>
      <c r="H107" s="780"/>
      <c r="I107" s="780"/>
      <c r="J107" s="780"/>
      <c r="K107" s="780"/>
      <c r="L107" s="780"/>
      <c r="M107" s="781"/>
      <c r="N107" s="280"/>
    </row>
    <row r="108" spans="1:14" x14ac:dyDescent="0.25">
      <c r="A108" s="278"/>
      <c r="B108" s="32"/>
      <c r="C108" s="33"/>
      <c r="D108" s="34" t="s">
        <v>156</v>
      </c>
      <c r="E108" s="34"/>
      <c r="F108" s="33"/>
      <c r="G108" s="64" t="s">
        <v>157</v>
      </c>
      <c r="H108" s="64"/>
      <c r="I108" s="64"/>
      <c r="J108" s="64"/>
      <c r="K108" s="34" t="s">
        <v>158</v>
      </c>
      <c r="L108" s="782"/>
      <c r="M108" s="783"/>
      <c r="N108" s="280"/>
    </row>
    <row r="109" spans="1:14" x14ac:dyDescent="0.25">
      <c r="A109" s="278"/>
      <c r="B109" s="13" t="s">
        <v>158</v>
      </c>
      <c r="C109" s="10"/>
      <c r="D109" s="14" t="s">
        <v>159</v>
      </c>
      <c r="E109" s="11"/>
      <c r="F109" s="10"/>
      <c r="G109" s="14" t="s">
        <v>160</v>
      </c>
      <c r="H109" s="10"/>
      <c r="I109" s="10"/>
      <c r="J109" s="10"/>
      <c r="K109" s="11" t="s">
        <v>161</v>
      </c>
      <c r="L109" s="784"/>
      <c r="M109" s="710"/>
      <c r="N109" s="280"/>
    </row>
    <row r="110" spans="1:14" x14ac:dyDescent="0.25">
      <c r="A110" s="278"/>
      <c r="B110" s="9"/>
      <c r="C110" s="10"/>
      <c r="D110" s="10"/>
      <c r="E110" s="11" t="s">
        <v>162</v>
      </c>
      <c r="F110" s="10"/>
      <c r="G110" s="14" t="s">
        <v>163</v>
      </c>
      <c r="H110" s="10"/>
      <c r="I110" s="10"/>
      <c r="J110" s="10"/>
      <c r="K110" s="10"/>
      <c r="L110" s="784"/>
      <c r="M110" s="710"/>
      <c r="N110" s="280"/>
    </row>
    <row r="111" spans="1:14" x14ac:dyDescent="0.25">
      <c r="A111" s="278"/>
      <c r="B111" s="13" t="s">
        <v>157</v>
      </c>
      <c r="C111" s="10"/>
      <c r="D111" s="10"/>
      <c r="E111" s="11" t="s">
        <v>164</v>
      </c>
      <c r="F111" s="10"/>
      <c r="G111" s="10"/>
      <c r="H111" s="10"/>
      <c r="I111" s="10"/>
      <c r="J111" s="10"/>
      <c r="K111" s="10"/>
      <c r="L111" s="784"/>
      <c r="M111" s="710"/>
      <c r="N111" s="280"/>
    </row>
    <row r="112" spans="1:14" ht="15.75" x14ac:dyDescent="0.25">
      <c r="A112" s="278"/>
      <c r="B112" s="13" t="s">
        <v>165</v>
      </c>
      <c r="C112" s="10"/>
      <c r="D112" s="10"/>
      <c r="E112" s="10"/>
      <c r="F112" s="10"/>
      <c r="G112" s="10"/>
      <c r="H112" s="10"/>
      <c r="I112" s="10"/>
      <c r="J112" s="15" t="s">
        <v>166</v>
      </c>
      <c r="K112" s="10"/>
      <c r="L112" s="784"/>
      <c r="M112" s="710"/>
      <c r="N112" s="280"/>
    </row>
    <row r="113" spans="1:14" ht="15.75" x14ac:dyDescent="0.25">
      <c r="A113" s="278"/>
      <c r="B113" s="9"/>
      <c r="C113" s="16" t="s">
        <v>167</v>
      </c>
      <c r="D113" s="10"/>
      <c r="E113" s="10"/>
      <c r="F113" s="10"/>
      <c r="G113" s="10"/>
      <c r="H113" s="10"/>
      <c r="I113" s="10"/>
      <c r="J113" s="10"/>
      <c r="K113" s="10"/>
      <c r="L113" s="784"/>
      <c r="M113" s="710"/>
      <c r="N113" s="280"/>
    </row>
    <row r="114" spans="1:14" x14ac:dyDescent="0.25">
      <c r="A114" s="278"/>
      <c r="B114" s="9"/>
      <c r="C114" s="10"/>
      <c r="D114" s="10"/>
      <c r="E114" s="11" t="s">
        <v>168</v>
      </c>
      <c r="F114" s="10"/>
      <c r="G114" s="10"/>
      <c r="H114" s="10"/>
      <c r="I114" s="10"/>
      <c r="J114" s="10"/>
      <c r="K114" s="10"/>
      <c r="L114" s="784"/>
      <c r="M114" s="710"/>
      <c r="N114" s="280"/>
    </row>
    <row r="115" spans="1:14" x14ac:dyDescent="0.25">
      <c r="A115" s="278"/>
      <c r="B115" s="17" t="s">
        <v>169</v>
      </c>
      <c r="C115" s="10"/>
      <c r="D115" s="10"/>
      <c r="E115" s="11" t="s">
        <v>170</v>
      </c>
      <c r="F115" s="10"/>
      <c r="G115" s="18" t="s">
        <v>171</v>
      </c>
      <c r="H115" s="18"/>
      <c r="I115" s="18"/>
      <c r="J115" s="10"/>
      <c r="K115" s="11" t="s">
        <v>172</v>
      </c>
      <c r="L115" s="784"/>
      <c r="M115" s="710"/>
      <c r="N115" s="280"/>
    </row>
    <row r="116" spans="1:14" x14ac:dyDescent="0.25">
      <c r="A116" s="278"/>
      <c r="B116" s="19" t="s">
        <v>173</v>
      </c>
      <c r="C116" s="10"/>
      <c r="D116" s="10"/>
      <c r="E116" s="10"/>
      <c r="F116" s="10"/>
      <c r="G116" s="10"/>
      <c r="H116" s="18" t="s">
        <v>174</v>
      </c>
      <c r="I116" s="18"/>
      <c r="J116" s="10"/>
      <c r="K116" s="11" t="s">
        <v>175</v>
      </c>
      <c r="L116" s="784"/>
      <c r="M116" s="710"/>
      <c r="N116" s="280"/>
    </row>
    <row r="117" spans="1:14" x14ac:dyDescent="0.25">
      <c r="A117" s="278"/>
      <c r="B117" s="9"/>
      <c r="C117" s="11" t="s">
        <v>176</v>
      </c>
      <c r="D117" s="10"/>
      <c r="E117" s="11" t="s">
        <v>172</v>
      </c>
      <c r="F117" s="10"/>
      <c r="G117" s="10"/>
      <c r="H117" s="10"/>
      <c r="I117" s="10"/>
      <c r="J117" s="10"/>
      <c r="K117" s="10"/>
      <c r="L117" s="784"/>
      <c r="M117" s="710"/>
      <c r="N117" s="280"/>
    </row>
    <row r="118" spans="1:14" x14ac:dyDescent="0.25">
      <c r="A118" s="278"/>
      <c r="B118" s="9"/>
      <c r="C118" s="11" t="s">
        <v>177</v>
      </c>
      <c r="D118" s="10"/>
      <c r="E118" s="11" t="s">
        <v>175</v>
      </c>
      <c r="F118" s="10"/>
      <c r="G118" s="10"/>
      <c r="H118" s="10"/>
      <c r="I118" s="10"/>
      <c r="J118" s="10"/>
      <c r="K118" s="10"/>
      <c r="L118" s="784"/>
      <c r="M118" s="710"/>
      <c r="N118" s="280"/>
    </row>
    <row r="119" spans="1:14" ht="15.75" thickBot="1" x14ac:dyDescent="0.3">
      <c r="A119" s="278"/>
      <c r="B119" s="20"/>
      <c r="C119" s="21"/>
      <c r="D119" s="21"/>
      <c r="E119" s="21"/>
      <c r="F119" s="21"/>
      <c r="G119" s="21"/>
      <c r="H119" s="21"/>
      <c r="I119" s="21"/>
      <c r="J119" s="21"/>
      <c r="K119" s="21"/>
      <c r="L119" s="785"/>
      <c r="M119" s="786"/>
      <c r="N119" s="280"/>
    </row>
    <row r="120" spans="1:14" x14ac:dyDescent="0.25">
      <c r="A120" s="278"/>
      <c r="B120" s="35" t="s">
        <v>178</v>
      </c>
      <c r="C120" s="33"/>
      <c r="D120" s="33"/>
      <c r="E120" s="33"/>
      <c r="F120" s="33"/>
      <c r="G120" s="33"/>
      <c r="H120" s="33"/>
      <c r="I120" s="33"/>
      <c r="J120" s="33"/>
      <c r="K120" s="33"/>
      <c r="L120" s="782"/>
      <c r="M120" s="783"/>
      <c r="N120" s="280"/>
    </row>
    <row r="121" spans="1:14" x14ac:dyDescent="0.25">
      <c r="A121" s="278"/>
      <c r="B121" s="22" t="s">
        <v>179</v>
      </c>
      <c r="C121" s="10"/>
      <c r="D121" s="10"/>
      <c r="E121" s="10"/>
      <c r="F121" s="10"/>
      <c r="G121" s="10"/>
      <c r="H121" s="708" t="s">
        <v>180</v>
      </c>
      <c r="I121" s="708"/>
      <c r="J121" s="708"/>
      <c r="K121" s="708"/>
      <c r="L121" s="708"/>
      <c r="M121" s="709"/>
      <c r="N121" s="280"/>
    </row>
    <row r="122" spans="1:14" x14ac:dyDescent="0.25">
      <c r="A122" s="278"/>
      <c r="B122" s="9" t="s">
        <v>181</v>
      </c>
      <c r="C122" s="10" t="s">
        <v>182</v>
      </c>
      <c r="D122" s="10"/>
      <c r="E122" s="10"/>
      <c r="F122" s="10"/>
      <c r="G122" s="10"/>
      <c r="H122" s="10" t="s">
        <v>183</v>
      </c>
      <c r="I122" s="10"/>
      <c r="J122" s="12" t="s">
        <v>184</v>
      </c>
      <c r="K122" s="9"/>
      <c r="L122" s="10"/>
      <c r="M122" s="12"/>
      <c r="N122" s="280"/>
    </row>
    <row r="123" spans="1:14" x14ac:dyDescent="0.25">
      <c r="A123" s="278"/>
      <c r="B123" s="9" t="s">
        <v>185</v>
      </c>
      <c r="C123" s="10" t="s">
        <v>186</v>
      </c>
      <c r="D123" s="10"/>
      <c r="E123" s="10"/>
      <c r="F123" s="10"/>
      <c r="G123" s="10"/>
      <c r="H123" s="10" t="s">
        <v>187</v>
      </c>
      <c r="I123" s="10"/>
      <c r="J123" s="12" t="s">
        <v>188</v>
      </c>
      <c r="K123" s="9"/>
      <c r="L123" s="10"/>
      <c r="M123" s="12"/>
      <c r="N123" s="280"/>
    </row>
    <row r="124" spans="1:14" x14ac:dyDescent="0.25">
      <c r="A124" s="278"/>
      <c r="B124" s="9" t="s">
        <v>189</v>
      </c>
      <c r="C124" s="10" t="s">
        <v>190</v>
      </c>
      <c r="D124" s="10"/>
      <c r="E124" s="10"/>
      <c r="F124" s="10"/>
      <c r="G124" s="10"/>
      <c r="H124" s="10" t="s">
        <v>191</v>
      </c>
      <c r="I124" s="10"/>
      <c r="J124" s="10" t="s">
        <v>192</v>
      </c>
      <c r="K124" s="9"/>
      <c r="L124" s="10"/>
      <c r="M124" s="12"/>
      <c r="N124" s="280"/>
    </row>
    <row r="125" spans="1:14" x14ac:dyDescent="0.25">
      <c r="A125" s="278"/>
      <c r="B125" s="9" t="s">
        <v>193</v>
      </c>
      <c r="C125" s="10" t="s">
        <v>194</v>
      </c>
      <c r="D125" s="10"/>
      <c r="E125" s="10"/>
      <c r="F125" s="10"/>
      <c r="G125" s="10"/>
      <c r="H125" s="10" t="s">
        <v>195</v>
      </c>
      <c r="I125" s="10"/>
      <c r="J125" s="10" t="s">
        <v>196</v>
      </c>
      <c r="K125" s="9"/>
      <c r="L125" s="10"/>
      <c r="M125" s="12"/>
      <c r="N125" s="280"/>
    </row>
    <row r="126" spans="1:14" x14ac:dyDescent="0.25">
      <c r="A126" s="278"/>
      <c r="B126" s="9"/>
      <c r="C126" s="10" t="s">
        <v>197</v>
      </c>
      <c r="D126" s="10"/>
      <c r="E126" s="10"/>
      <c r="F126" s="10"/>
      <c r="G126" s="10"/>
      <c r="H126" s="10" t="s">
        <v>198</v>
      </c>
      <c r="I126" s="10"/>
      <c r="J126" s="10" t="s">
        <v>199</v>
      </c>
      <c r="K126" s="9"/>
      <c r="L126" s="10"/>
      <c r="M126" s="12"/>
      <c r="N126" s="280"/>
    </row>
    <row r="127" spans="1:14" x14ac:dyDescent="0.25">
      <c r="A127" s="278"/>
      <c r="B127" s="9" t="s">
        <v>200</v>
      </c>
      <c r="C127" s="10" t="s">
        <v>201</v>
      </c>
      <c r="D127" s="10"/>
      <c r="E127" s="10"/>
      <c r="F127" s="10"/>
      <c r="G127" s="10"/>
      <c r="H127" s="10" t="s">
        <v>202</v>
      </c>
      <c r="I127" s="10"/>
      <c r="J127" s="10" t="s">
        <v>203</v>
      </c>
      <c r="K127" s="9"/>
      <c r="L127" s="10"/>
      <c r="M127" s="12"/>
      <c r="N127" s="280"/>
    </row>
    <row r="128" spans="1:14" x14ac:dyDescent="0.25">
      <c r="A128" s="278"/>
      <c r="B128" s="9" t="s">
        <v>204</v>
      </c>
      <c r="C128" s="10" t="s">
        <v>205</v>
      </c>
      <c r="D128" s="10"/>
      <c r="E128" s="10"/>
      <c r="F128" s="10"/>
      <c r="G128" s="10"/>
      <c r="H128" s="10" t="s">
        <v>206</v>
      </c>
      <c r="I128" s="10"/>
      <c r="J128" s="10" t="s">
        <v>207</v>
      </c>
      <c r="K128" s="9"/>
      <c r="L128" s="10"/>
      <c r="M128" s="12"/>
      <c r="N128" s="280"/>
    </row>
    <row r="129" spans="1:14" x14ac:dyDescent="0.25">
      <c r="A129" s="278"/>
      <c r="B129" s="9" t="s">
        <v>208</v>
      </c>
      <c r="C129" s="10" t="s">
        <v>209</v>
      </c>
      <c r="D129" s="10"/>
      <c r="E129" s="10"/>
      <c r="F129" s="10"/>
      <c r="G129" s="10"/>
      <c r="H129" s="10"/>
      <c r="I129" s="10"/>
      <c r="J129" s="10"/>
      <c r="K129" s="10"/>
      <c r="L129" s="10"/>
      <c r="M129" s="12"/>
      <c r="N129" s="280"/>
    </row>
    <row r="130" spans="1:14" x14ac:dyDescent="0.25">
      <c r="A130" s="278"/>
      <c r="B130" s="9" t="s">
        <v>210</v>
      </c>
      <c r="C130" s="10" t="s">
        <v>211</v>
      </c>
      <c r="D130" s="10"/>
      <c r="E130" s="10"/>
      <c r="F130" s="10"/>
      <c r="G130" s="10"/>
      <c r="H130" s="10"/>
      <c r="I130" s="10"/>
      <c r="J130" s="10"/>
      <c r="K130" s="10"/>
      <c r="L130" s="10"/>
      <c r="M130" s="12"/>
      <c r="N130" s="280"/>
    </row>
    <row r="131" spans="1:14" x14ac:dyDescent="0.25">
      <c r="A131" s="278"/>
      <c r="B131" s="9" t="s">
        <v>212</v>
      </c>
      <c r="C131" s="10" t="s">
        <v>213</v>
      </c>
      <c r="D131" s="10"/>
      <c r="E131" s="10"/>
      <c r="F131" s="10"/>
      <c r="G131" s="10" t="s">
        <v>214</v>
      </c>
      <c r="H131" s="10"/>
      <c r="I131" s="10"/>
      <c r="J131" s="10"/>
      <c r="K131" s="10"/>
      <c r="L131" s="10"/>
      <c r="M131" s="12"/>
      <c r="N131" s="280"/>
    </row>
    <row r="132" spans="1:14" x14ac:dyDescent="0.25">
      <c r="A132" s="278"/>
      <c r="B132" s="9" t="s">
        <v>215</v>
      </c>
      <c r="C132" s="10" t="s">
        <v>216</v>
      </c>
      <c r="D132" s="10"/>
      <c r="E132" s="10"/>
      <c r="F132" s="10"/>
      <c r="G132" s="23"/>
      <c r="H132" s="910" t="s">
        <v>217</v>
      </c>
      <c r="I132" s="910"/>
      <c r="J132" s="910"/>
      <c r="K132" s="910"/>
      <c r="L132" s="910"/>
      <c r="M132" s="911"/>
      <c r="N132" s="280"/>
    </row>
    <row r="133" spans="1:14" x14ac:dyDescent="0.25">
      <c r="A133" s="278"/>
      <c r="B133" s="9" t="s">
        <v>218</v>
      </c>
      <c r="C133" s="10" t="s">
        <v>219</v>
      </c>
      <c r="D133" s="10"/>
      <c r="E133" s="10"/>
      <c r="F133" s="10"/>
      <c r="G133" s="10"/>
      <c r="H133" s="10" t="s">
        <v>220</v>
      </c>
      <c r="I133" s="10"/>
      <c r="J133" s="10" t="s">
        <v>221</v>
      </c>
      <c r="K133" s="10"/>
      <c r="L133" s="710"/>
      <c r="M133" s="710"/>
      <c r="N133" s="280"/>
    </row>
    <row r="134" spans="1:14" x14ac:dyDescent="0.25">
      <c r="A134" s="278"/>
      <c r="B134" s="9" t="s">
        <v>222</v>
      </c>
      <c r="C134" s="10" t="s">
        <v>223</v>
      </c>
      <c r="D134" s="10"/>
      <c r="E134" s="10"/>
      <c r="F134" s="10"/>
      <c r="G134" s="10"/>
      <c r="H134" s="10" t="s">
        <v>224</v>
      </c>
      <c r="I134" s="10"/>
      <c r="J134" s="12" t="s">
        <v>225</v>
      </c>
      <c r="K134" s="10"/>
      <c r="L134" s="710"/>
      <c r="M134" s="710"/>
      <c r="N134" s="280"/>
    </row>
    <row r="135" spans="1:14" x14ac:dyDescent="0.25">
      <c r="A135" s="278"/>
      <c r="B135" s="9" t="s">
        <v>226</v>
      </c>
      <c r="C135" s="10" t="s">
        <v>227</v>
      </c>
      <c r="D135" s="10"/>
      <c r="E135" s="10"/>
      <c r="F135" s="10"/>
      <c r="G135" s="10"/>
      <c r="H135" s="10" t="s">
        <v>228</v>
      </c>
      <c r="I135" s="10"/>
      <c r="J135" s="12" t="s">
        <v>229</v>
      </c>
      <c r="K135" s="10"/>
      <c r="L135" s="710"/>
      <c r="M135" s="710"/>
      <c r="N135" s="280"/>
    </row>
    <row r="136" spans="1:14" x14ac:dyDescent="0.25">
      <c r="A136" s="278"/>
      <c r="B136" s="9" t="s">
        <v>230</v>
      </c>
      <c r="C136" s="10" t="s">
        <v>231</v>
      </c>
      <c r="D136" s="10"/>
      <c r="E136" s="10"/>
      <c r="F136" s="10"/>
      <c r="G136" s="10"/>
      <c r="H136" s="10"/>
      <c r="I136" s="10"/>
      <c r="J136" s="10"/>
      <c r="K136" s="10"/>
      <c r="L136" s="710"/>
      <c r="M136" s="710"/>
      <c r="N136" s="280"/>
    </row>
    <row r="137" spans="1:14" x14ac:dyDescent="0.25">
      <c r="A137" s="278"/>
      <c r="B137" s="9" t="s">
        <v>232</v>
      </c>
      <c r="C137" s="10" t="s">
        <v>233</v>
      </c>
      <c r="D137" s="10"/>
      <c r="E137" s="10"/>
      <c r="F137" s="10"/>
      <c r="G137" s="23"/>
      <c r="H137" s="910" t="s">
        <v>234</v>
      </c>
      <c r="I137" s="910"/>
      <c r="J137" s="910"/>
      <c r="K137" s="910"/>
      <c r="L137" s="910"/>
      <c r="M137" s="911"/>
      <c r="N137" s="280"/>
    </row>
    <row r="138" spans="1:14" x14ac:dyDescent="0.25">
      <c r="A138" s="278"/>
      <c r="B138" s="9" t="s">
        <v>235</v>
      </c>
      <c r="C138" s="24" t="s">
        <v>236</v>
      </c>
      <c r="D138" s="10"/>
      <c r="E138" s="10"/>
      <c r="F138" s="10"/>
      <c r="G138" s="10"/>
      <c r="H138" s="10" t="s">
        <v>237</v>
      </c>
      <c r="I138" s="10"/>
      <c r="J138" s="911" t="s">
        <v>238</v>
      </c>
      <c r="K138" s="911"/>
      <c r="L138" s="911"/>
      <c r="M138" s="911"/>
      <c r="N138" s="280"/>
    </row>
    <row r="139" spans="1:14" x14ac:dyDescent="0.25">
      <c r="A139" s="278"/>
      <c r="B139" s="25" t="s">
        <v>239</v>
      </c>
      <c r="C139" s="24" t="s">
        <v>240</v>
      </c>
      <c r="D139" s="10"/>
      <c r="E139" s="10"/>
      <c r="F139" s="10"/>
      <c r="G139" s="10"/>
      <c r="H139" s="10" t="s">
        <v>241</v>
      </c>
      <c r="I139" s="10"/>
      <c r="J139" s="911" t="s">
        <v>242</v>
      </c>
      <c r="K139" s="911"/>
      <c r="L139" s="911"/>
      <c r="M139" s="911"/>
      <c r="N139" s="280"/>
    </row>
    <row r="140" spans="1:14" x14ac:dyDescent="0.25">
      <c r="A140" s="278"/>
      <c r="B140" s="9" t="s">
        <v>243</v>
      </c>
      <c r="C140" s="10" t="s">
        <v>244</v>
      </c>
      <c r="D140" s="10"/>
      <c r="E140" s="10"/>
      <c r="F140" s="10"/>
      <c r="G140" s="10"/>
      <c r="H140" s="10"/>
      <c r="I140" s="10"/>
      <c r="J140" s="911" t="s">
        <v>245</v>
      </c>
      <c r="K140" s="911"/>
      <c r="L140" s="911"/>
      <c r="M140" s="911"/>
      <c r="N140" s="280"/>
    </row>
    <row r="141" spans="1:14" x14ac:dyDescent="0.25">
      <c r="A141" s="278"/>
      <c r="B141" s="9" t="s">
        <v>246</v>
      </c>
      <c r="C141" s="10" t="s">
        <v>247</v>
      </c>
      <c r="D141" s="10"/>
      <c r="E141" s="10"/>
      <c r="F141" s="10"/>
      <c r="G141" s="10"/>
      <c r="H141" s="10"/>
      <c r="I141" s="10"/>
      <c r="J141" s="10" t="s">
        <v>248</v>
      </c>
      <c r="K141" s="10"/>
      <c r="L141" s="710"/>
      <c r="M141" s="710"/>
      <c r="N141" s="280"/>
    </row>
    <row r="142" spans="1:14" x14ac:dyDescent="0.25">
      <c r="A142" s="278"/>
      <c r="B142" s="9" t="s">
        <v>249</v>
      </c>
      <c r="C142" s="10" t="s">
        <v>250</v>
      </c>
      <c r="D142" s="10"/>
      <c r="E142" s="10"/>
      <c r="F142" s="10"/>
      <c r="G142" s="10"/>
      <c r="H142" s="923"/>
      <c r="I142" s="923"/>
      <c r="J142" s="923"/>
      <c r="K142" s="923"/>
      <c r="L142" s="923"/>
      <c r="M142" s="924"/>
      <c r="N142" s="280"/>
    </row>
    <row r="143" spans="1:14" x14ac:dyDescent="0.25">
      <c r="A143" s="278"/>
      <c r="B143" s="9" t="s">
        <v>251</v>
      </c>
      <c r="C143" s="10" t="s">
        <v>252</v>
      </c>
      <c r="D143" s="10"/>
      <c r="E143" s="10"/>
      <c r="F143" s="10"/>
      <c r="G143" s="23"/>
      <c r="H143" s="910" t="s">
        <v>253</v>
      </c>
      <c r="I143" s="910"/>
      <c r="J143" s="910"/>
      <c r="K143" s="910"/>
      <c r="L143" s="910"/>
      <c r="M143" s="911"/>
      <c r="N143" s="280"/>
    </row>
    <row r="144" spans="1:14" x14ac:dyDescent="0.25">
      <c r="A144" s="278"/>
      <c r="B144" s="9"/>
      <c r="C144" s="10"/>
      <c r="D144" s="10"/>
      <c r="E144" s="10"/>
      <c r="F144" s="10"/>
      <c r="G144" s="23" t="s">
        <v>254</v>
      </c>
      <c r="H144" s="10"/>
      <c r="I144" s="10"/>
      <c r="J144" s="10"/>
      <c r="K144" s="10"/>
      <c r="L144" s="710"/>
      <c r="M144" s="710"/>
      <c r="N144" s="280"/>
    </row>
    <row r="145" spans="1:14" x14ac:dyDescent="0.25">
      <c r="A145" s="278"/>
      <c r="B145" s="22" t="s">
        <v>255</v>
      </c>
      <c r="C145" s="10"/>
      <c r="D145" s="10"/>
      <c r="E145" s="10"/>
      <c r="F145" s="10"/>
      <c r="G145" s="10" t="s">
        <v>256</v>
      </c>
      <c r="H145" s="10"/>
      <c r="I145" s="10"/>
      <c r="J145" s="10"/>
      <c r="K145" s="10"/>
      <c r="L145" s="710"/>
      <c r="M145" s="710"/>
      <c r="N145" s="280"/>
    </row>
    <row r="146" spans="1:14" x14ac:dyDescent="0.25">
      <c r="A146" s="278"/>
      <c r="B146" s="22" t="s">
        <v>217</v>
      </c>
      <c r="C146" s="10"/>
      <c r="D146" s="10"/>
      <c r="E146" s="10"/>
      <c r="F146" s="10"/>
      <c r="G146" s="10" t="s">
        <v>257</v>
      </c>
      <c r="H146" s="10"/>
      <c r="I146" s="10"/>
      <c r="J146" s="10"/>
      <c r="K146" s="10"/>
      <c r="L146" s="710"/>
      <c r="M146" s="710"/>
      <c r="N146" s="280"/>
    </row>
    <row r="147" spans="1:14" x14ac:dyDescent="0.25">
      <c r="A147" s="278"/>
      <c r="B147" s="9" t="s">
        <v>258</v>
      </c>
      <c r="C147" s="10" t="s">
        <v>259</v>
      </c>
      <c r="D147" s="10"/>
      <c r="E147" s="10"/>
      <c r="F147" s="10"/>
      <c r="G147" s="10" t="s">
        <v>260</v>
      </c>
      <c r="H147" s="10"/>
      <c r="I147" s="10"/>
      <c r="J147" s="10"/>
      <c r="K147" s="10"/>
      <c r="L147" s="710"/>
      <c r="M147" s="710"/>
      <c r="N147" s="280"/>
    </row>
    <row r="148" spans="1:14" x14ac:dyDescent="0.25">
      <c r="A148" s="278"/>
      <c r="B148" s="9" t="s">
        <v>261</v>
      </c>
      <c r="C148" s="10" t="s">
        <v>262</v>
      </c>
      <c r="D148" s="10"/>
      <c r="E148" s="10"/>
      <c r="F148" s="10"/>
      <c r="G148" s="10" t="s">
        <v>263</v>
      </c>
      <c r="H148" s="10"/>
      <c r="I148" s="10"/>
      <c r="J148" s="10"/>
      <c r="K148" s="10"/>
      <c r="L148" s="710"/>
      <c r="M148" s="710"/>
      <c r="N148" s="280"/>
    </row>
    <row r="149" spans="1:14" x14ac:dyDescent="0.25">
      <c r="A149" s="278"/>
      <c r="B149" s="9" t="s">
        <v>264</v>
      </c>
      <c r="C149" s="10" t="s">
        <v>265</v>
      </c>
      <c r="D149" s="10"/>
      <c r="E149" s="10"/>
      <c r="F149" s="10"/>
      <c r="G149" s="10"/>
      <c r="H149" s="10"/>
      <c r="I149" s="10"/>
      <c r="J149" s="10"/>
      <c r="K149" s="10"/>
      <c r="L149" s="710"/>
      <c r="M149" s="710"/>
      <c r="N149" s="280"/>
    </row>
    <row r="150" spans="1:14" x14ac:dyDescent="0.25">
      <c r="A150" s="278"/>
      <c r="B150" s="9" t="s">
        <v>266</v>
      </c>
      <c r="C150" s="10" t="s">
        <v>267</v>
      </c>
      <c r="D150" s="10"/>
      <c r="E150" s="10"/>
      <c r="F150" s="10"/>
      <c r="G150" s="23" t="s">
        <v>268</v>
      </c>
      <c r="H150" s="10"/>
      <c r="I150" s="10"/>
      <c r="J150" s="10"/>
      <c r="K150" s="10"/>
      <c r="L150" s="710"/>
      <c r="M150" s="710"/>
      <c r="N150" s="280"/>
    </row>
    <row r="151" spans="1:14" x14ac:dyDescent="0.25">
      <c r="A151" s="278"/>
      <c r="B151" s="25" t="s">
        <v>269</v>
      </c>
      <c r="C151" s="24" t="s">
        <v>270</v>
      </c>
      <c r="D151" s="10"/>
      <c r="E151" s="10"/>
      <c r="F151" s="10"/>
      <c r="G151" s="10" t="s">
        <v>271</v>
      </c>
      <c r="H151" s="10"/>
      <c r="I151" s="10"/>
      <c r="J151" s="10"/>
      <c r="K151" s="10"/>
      <c r="L151" s="710"/>
      <c r="M151" s="710"/>
      <c r="N151" s="280"/>
    </row>
    <row r="152" spans="1:14" x14ac:dyDescent="0.25">
      <c r="A152" s="278"/>
      <c r="B152" s="9" t="s">
        <v>220</v>
      </c>
      <c r="C152" s="10" t="s">
        <v>272</v>
      </c>
      <c r="D152" s="10"/>
      <c r="E152" s="10"/>
      <c r="F152" s="10"/>
      <c r="G152" s="10" t="s">
        <v>273</v>
      </c>
      <c r="H152" s="10"/>
      <c r="I152" s="10"/>
      <c r="J152" s="10"/>
      <c r="K152" s="10"/>
      <c r="L152" s="710"/>
      <c r="M152" s="710"/>
      <c r="N152" s="280"/>
    </row>
    <row r="153" spans="1:14" x14ac:dyDescent="0.25">
      <c r="A153" s="278"/>
      <c r="B153" s="9" t="s">
        <v>274</v>
      </c>
      <c r="C153" s="10" t="s">
        <v>275</v>
      </c>
      <c r="D153" s="10"/>
      <c r="E153" s="10"/>
      <c r="F153" s="10"/>
      <c r="G153" s="10" t="s">
        <v>276</v>
      </c>
      <c r="H153" s="10"/>
      <c r="I153" s="10"/>
      <c r="J153" s="10"/>
      <c r="K153" s="10"/>
      <c r="L153" s="710"/>
      <c r="M153" s="710"/>
      <c r="N153" s="280"/>
    </row>
    <row r="154" spans="1:14" x14ac:dyDescent="0.25">
      <c r="A154" s="278"/>
      <c r="B154" s="9" t="s">
        <v>277</v>
      </c>
      <c r="C154" s="10" t="s">
        <v>278</v>
      </c>
      <c r="D154" s="10"/>
      <c r="E154" s="10"/>
      <c r="F154" s="10"/>
      <c r="G154" s="10" t="s">
        <v>279</v>
      </c>
      <c r="H154" s="10"/>
      <c r="I154" s="10"/>
      <c r="J154" s="10"/>
      <c r="K154" s="10"/>
      <c r="L154" s="710"/>
      <c r="M154" s="710"/>
      <c r="N154" s="280"/>
    </row>
    <row r="155" spans="1:14" x14ac:dyDescent="0.25">
      <c r="A155" s="278"/>
      <c r="B155" s="9" t="s">
        <v>228</v>
      </c>
      <c r="C155" s="10" t="s">
        <v>280</v>
      </c>
      <c r="D155" s="10"/>
      <c r="E155" s="10"/>
      <c r="F155" s="10"/>
      <c r="G155" s="10"/>
      <c r="H155" s="10"/>
      <c r="I155" s="10"/>
      <c r="J155" s="10"/>
      <c r="K155" s="10"/>
      <c r="L155" s="710"/>
      <c r="M155" s="710"/>
      <c r="N155" s="280"/>
    </row>
    <row r="156" spans="1:14" x14ac:dyDescent="0.25">
      <c r="A156" s="278"/>
      <c r="B156" s="9" t="s">
        <v>281</v>
      </c>
      <c r="C156" s="10" t="s">
        <v>282</v>
      </c>
      <c r="D156" s="10"/>
      <c r="E156" s="10"/>
      <c r="F156" s="10"/>
      <c r="G156" s="23" t="s">
        <v>283</v>
      </c>
      <c r="H156" s="10"/>
      <c r="I156" s="10"/>
      <c r="J156" s="10"/>
      <c r="K156" s="10"/>
      <c r="L156" s="710"/>
      <c r="M156" s="710"/>
      <c r="N156" s="280"/>
    </row>
    <row r="157" spans="1:14" x14ac:dyDescent="0.25">
      <c r="A157" s="278"/>
      <c r="B157" s="9" t="s">
        <v>208</v>
      </c>
      <c r="C157" s="10" t="s">
        <v>284</v>
      </c>
      <c r="D157" s="10"/>
      <c r="E157" s="10"/>
      <c r="F157" s="10"/>
      <c r="G157" s="10" t="s">
        <v>285</v>
      </c>
      <c r="H157" s="10"/>
      <c r="I157" s="10"/>
      <c r="J157" s="10"/>
      <c r="K157" s="10"/>
      <c r="L157" s="710"/>
      <c r="M157" s="710"/>
      <c r="N157" s="280"/>
    </row>
    <row r="158" spans="1:14" x14ac:dyDescent="0.25">
      <c r="A158" s="278"/>
      <c r="B158" s="9" t="s">
        <v>286</v>
      </c>
      <c r="C158" s="10" t="s">
        <v>287</v>
      </c>
      <c r="D158" s="10"/>
      <c r="E158" s="10"/>
      <c r="F158" s="10"/>
      <c r="G158" s="10" t="s">
        <v>288</v>
      </c>
      <c r="H158" s="10"/>
      <c r="I158" s="10"/>
      <c r="J158" s="10"/>
      <c r="K158" s="10"/>
      <c r="L158" s="710"/>
      <c r="M158" s="710"/>
      <c r="N158" s="280"/>
    </row>
    <row r="159" spans="1:14" x14ac:dyDescent="0.25">
      <c r="A159" s="278"/>
      <c r="B159" s="9" t="s">
        <v>224</v>
      </c>
      <c r="C159" s="10" t="s">
        <v>289</v>
      </c>
      <c r="D159" s="10"/>
      <c r="E159" s="10"/>
      <c r="F159" s="10"/>
      <c r="G159" s="10" t="s">
        <v>290</v>
      </c>
      <c r="H159" s="10"/>
      <c r="I159" s="10"/>
      <c r="J159" s="10"/>
      <c r="K159" s="10"/>
      <c r="L159" s="710"/>
      <c r="M159" s="710"/>
      <c r="N159" s="280"/>
    </row>
    <row r="160" spans="1:14" x14ac:dyDescent="0.25">
      <c r="A160" s="278"/>
      <c r="B160" s="9" t="s">
        <v>264</v>
      </c>
      <c r="C160" s="10" t="s">
        <v>291</v>
      </c>
      <c r="D160" s="10"/>
      <c r="E160" s="10"/>
      <c r="F160" s="10"/>
      <c r="G160" s="10" t="s">
        <v>292</v>
      </c>
      <c r="H160" s="10"/>
      <c r="I160" s="10"/>
      <c r="J160" s="10"/>
      <c r="K160" s="10"/>
      <c r="L160" s="710"/>
      <c r="M160" s="710"/>
      <c r="N160" s="280"/>
    </row>
    <row r="161" spans="1:14" x14ac:dyDescent="0.25">
      <c r="A161" s="278"/>
      <c r="B161" s="9" t="s">
        <v>293</v>
      </c>
      <c r="C161" s="10" t="s">
        <v>294</v>
      </c>
      <c r="D161" s="10"/>
      <c r="E161" s="10"/>
      <c r="F161" s="10"/>
      <c r="G161" s="10" t="s">
        <v>295</v>
      </c>
      <c r="H161" s="10"/>
      <c r="I161" s="10"/>
      <c r="J161" s="10"/>
      <c r="K161" s="10"/>
      <c r="L161" s="710"/>
      <c r="M161" s="710"/>
      <c r="N161" s="280"/>
    </row>
    <row r="162" spans="1:14" x14ac:dyDescent="0.25">
      <c r="A162" s="278"/>
      <c r="B162" s="9" t="s">
        <v>296</v>
      </c>
      <c r="C162" s="10" t="s">
        <v>297</v>
      </c>
      <c r="D162" s="10"/>
      <c r="E162" s="10"/>
      <c r="F162" s="10"/>
      <c r="G162" s="10"/>
      <c r="H162" s="10"/>
      <c r="I162" s="10"/>
      <c r="J162" s="10"/>
      <c r="K162" s="10"/>
      <c r="L162" s="710"/>
      <c r="M162" s="710"/>
      <c r="N162" s="280"/>
    </row>
    <row r="163" spans="1:14" x14ac:dyDescent="0.25">
      <c r="A163" s="278"/>
      <c r="B163" s="9" t="s">
        <v>237</v>
      </c>
      <c r="C163" s="10" t="s">
        <v>298</v>
      </c>
      <c r="D163" s="10"/>
      <c r="E163" s="10"/>
      <c r="F163" s="10"/>
      <c r="G163" s="23" t="s">
        <v>299</v>
      </c>
      <c r="H163" s="10"/>
      <c r="I163" s="10"/>
      <c r="J163" s="10"/>
      <c r="K163" s="10"/>
      <c r="L163" s="710"/>
      <c r="M163" s="710"/>
      <c r="N163" s="280"/>
    </row>
    <row r="164" spans="1:14" x14ac:dyDescent="0.25">
      <c r="A164" s="278"/>
      <c r="B164" s="9"/>
      <c r="C164" s="10"/>
      <c r="D164" s="10"/>
      <c r="E164" s="10"/>
      <c r="F164" s="10"/>
      <c r="G164" s="10" t="s">
        <v>300</v>
      </c>
      <c r="H164" s="10" t="s">
        <v>301</v>
      </c>
      <c r="I164" s="10"/>
      <c r="J164" s="10"/>
      <c r="K164" s="10"/>
      <c r="L164" s="710"/>
      <c r="M164" s="710"/>
      <c r="N164" s="280"/>
    </row>
    <row r="165" spans="1:14" x14ac:dyDescent="0.25">
      <c r="A165" s="278"/>
      <c r="B165" s="9"/>
      <c r="C165" s="10"/>
      <c r="D165" s="10"/>
      <c r="E165" s="10"/>
      <c r="F165" s="10"/>
      <c r="G165" s="10" t="s">
        <v>222</v>
      </c>
      <c r="H165" s="10" t="s">
        <v>302</v>
      </c>
      <c r="I165" s="10"/>
      <c r="J165" s="10"/>
      <c r="K165" s="10"/>
      <c r="L165" s="710"/>
      <c r="M165" s="710"/>
      <c r="N165" s="280"/>
    </row>
    <row r="166" spans="1:14" x14ac:dyDescent="0.25">
      <c r="A166" s="278"/>
      <c r="B166" s="9"/>
      <c r="C166" s="10"/>
      <c r="D166" s="10"/>
      <c r="E166" s="10"/>
      <c r="F166" s="10"/>
      <c r="G166" s="10" t="s">
        <v>303</v>
      </c>
      <c r="H166" s="10" t="s">
        <v>304</v>
      </c>
      <c r="I166" s="10"/>
      <c r="J166" s="10"/>
      <c r="K166" s="10"/>
      <c r="L166" s="710"/>
      <c r="M166" s="710"/>
      <c r="N166" s="280"/>
    </row>
    <row r="167" spans="1:14" x14ac:dyDescent="0.25">
      <c r="A167" s="278"/>
      <c r="B167" s="9"/>
      <c r="C167" s="10"/>
      <c r="D167" s="10"/>
      <c r="E167" s="10"/>
      <c r="F167" s="10"/>
      <c r="G167" s="10"/>
      <c r="H167" s="10"/>
      <c r="I167" s="10"/>
      <c r="J167" s="10"/>
      <c r="K167" s="10"/>
      <c r="L167" s="710"/>
      <c r="M167" s="710"/>
      <c r="N167" s="280"/>
    </row>
    <row r="168" spans="1:14" x14ac:dyDescent="0.25">
      <c r="A168" s="278"/>
      <c r="B168" s="9" t="s">
        <v>305</v>
      </c>
      <c r="C168" s="10"/>
      <c r="D168" s="10"/>
      <c r="E168" s="10"/>
      <c r="F168" s="10"/>
      <c r="G168" s="10"/>
      <c r="H168" s="10"/>
      <c r="I168" s="10"/>
      <c r="J168" s="10"/>
      <c r="K168" s="10"/>
      <c r="L168" s="710"/>
      <c r="M168" s="710"/>
      <c r="N168" s="280"/>
    </row>
    <row r="169" spans="1:14" x14ac:dyDescent="0.25">
      <c r="A169" s="278"/>
      <c r="B169" s="922" t="s">
        <v>306</v>
      </c>
      <c r="C169" s="910"/>
      <c r="D169" s="910"/>
      <c r="E169" s="910"/>
      <c r="F169" s="910"/>
      <c r="G169" s="910"/>
      <c r="H169" s="910"/>
      <c r="I169" s="910"/>
      <c r="J169" s="910"/>
      <c r="K169" s="910"/>
      <c r="L169" s="910"/>
      <c r="M169" s="911"/>
      <c r="N169" s="280"/>
    </row>
    <row r="170" spans="1:14" ht="20.25" customHeight="1" thickBot="1" x14ac:dyDescent="0.3">
      <c r="A170" s="278"/>
      <c r="B170" s="790" t="s">
        <v>307</v>
      </c>
      <c r="C170" s="791"/>
      <c r="D170" s="791"/>
      <c r="E170" s="791"/>
      <c r="F170" s="791"/>
      <c r="G170" s="791"/>
      <c r="H170" s="791"/>
      <c r="I170" s="791"/>
      <c r="J170" s="791"/>
      <c r="K170" s="791"/>
      <c r="L170" s="791"/>
      <c r="M170" s="792"/>
      <c r="N170" s="280"/>
    </row>
    <row r="171" spans="1:14" x14ac:dyDescent="0.25">
      <c r="A171" s="768" t="s">
        <v>308</v>
      </c>
      <c r="B171" s="769"/>
      <c r="C171" s="769"/>
      <c r="D171" s="769"/>
      <c r="E171" s="769"/>
      <c r="F171" s="769"/>
      <c r="G171" s="769"/>
      <c r="H171" s="769"/>
      <c r="I171" s="769"/>
      <c r="J171" s="769"/>
      <c r="K171" s="769"/>
      <c r="L171" s="769"/>
      <c r="M171" s="769"/>
      <c r="N171" s="280"/>
    </row>
    <row r="172" spans="1:14" x14ac:dyDescent="0.25">
      <c r="A172" s="768"/>
      <c r="B172" s="769"/>
      <c r="C172" s="769"/>
      <c r="D172" s="769"/>
      <c r="E172" s="769"/>
      <c r="F172" s="769"/>
      <c r="G172" s="769"/>
      <c r="H172" s="769"/>
      <c r="I172" s="769"/>
      <c r="J172" s="769"/>
      <c r="K172" s="769"/>
      <c r="L172" s="769"/>
      <c r="M172" s="769"/>
      <c r="N172" s="280"/>
    </row>
    <row r="173" spans="1:14" x14ac:dyDescent="0.25">
      <c r="A173" s="768"/>
      <c r="B173" s="769"/>
      <c r="C173" s="769"/>
      <c r="D173" s="769"/>
      <c r="E173" s="769"/>
      <c r="F173" s="769"/>
      <c r="G173" s="769"/>
      <c r="H173" s="769"/>
      <c r="I173" s="769"/>
      <c r="J173" s="769"/>
      <c r="K173" s="769"/>
      <c r="L173" s="769"/>
      <c r="M173" s="769"/>
      <c r="N173" s="280"/>
    </row>
    <row r="174" spans="1:14" x14ac:dyDescent="0.25">
      <c r="A174" s="278"/>
      <c r="N174" s="280"/>
    </row>
    <row r="175" spans="1:14" x14ac:dyDescent="0.25">
      <c r="A175" s="278"/>
      <c r="N175" s="280"/>
    </row>
    <row r="176" spans="1:14" x14ac:dyDescent="0.25">
      <c r="A176" s="278"/>
      <c r="N176" s="280"/>
    </row>
    <row r="177" spans="1:14" x14ac:dyDescent="0.25">
      <c r="A177" s="278"/>
      <c r="N177" s="280"/>
    </row>
    <row r="178" spans="1:14" x14ac:dyDescent="0.25">
      <c r="A178" s="278"/>
      <c r="N178" s="280"/>
    </row>
    <row r="179" spans="1:14" x14ac:dyDescent="0.25">
      <c r="A179" s="278"/>
      <c r="N179" s="280"/>
    </row>
    <row r="180" spans="1:14" x14ac:dyDescent="0.25">
      <c r="A180" s="278"/>
      <c r="N180" s="280"/>
    </row>
    <row r="181" spans="1:14" x14ac:dyDescent="0.25">
      <c r="A181" s="278"/>
      <c r="N181" s="280"/>
    </row>
    <row r="182" spans="1:14" x14ac:dyDescent="0.25">
      <c r="A182" s="278"/>
      <c r="N182" s="280"/>
    </row>
    <row r="183" spans="1:14" x14ac:dyDescent="0.25">
      <c r="A183" s="278"/>
      <c r="N183" s="280"/>
    </row>
    <row r="184" spans="1:14" x14ac:dyDescent="0.25">
      <c r="A184" s="278"/>
      <c r="N184" s="280"/>
    </row>
    <row r="185" spans="1:14" x14ac:dyDescent="0.25">
      <c r="A185" s="278"/>
      <c r="N185" s="280"/>
    </row>
    <row r="186" spans="1:14" x14ac:dyDescent="0.25">
      <c r="A186" s="278"/>
      <c r="N186" s="280"/>
    </row>
    <row r="187" spans="1:14" x14ac:dyDescent="0.25">
      <c r="A187" s="278"/>
      <c r="N187" s="280"/>
    </row>
    <row r="188" spans="1:14" x14ac:dyDescent="0.25">
      <c r="A188" s="278"/>
      <c r="N188" s="280"/>
    </row>
    <row r="189" spans="1:14" x14ac:dyDescent="0.25">
      <c r="A189" s="278"/>
      <c r="N189" s="280"/>
    </row>
    <row r="190" spans="1:14" x14ac:dyDescent="0.25">
      <c r="A190" s="278"/>
      <c r="N190" s="280"/>
    </row>
    <row r="191" spans="1:14" x14ac:dyDescent="0.25">
      <c r="A191" s="278"/>
      <c r="N191" s="280"/>
    </row>
    <row r="192" spans="1:14" x14ac:dyDescent="0.25">
      <c r="A192" s="278"/>
      <c r="N192" s="280"/>
    </row>
    <row r="193" spans="1:14" x14ac:dyDescent="0.25">
      <c r="A193" s="278"/>
      <c r="N193" s="280"/>
    </row>
    <row r="194" spans="1:14" x14ac:dyDescent="0.25">
      <c r="A194" s="278"/>
      <c r="N194" s="280"/>
    </row>
    <row r="195" spans="1:14" x14ac:dyDescent="0.25">
      <c r="A195" s="278"/>
      <c r="N195" s="280"/>
    </row>
    <row r="196" spans="1:14" x14ac:dyDescent="0.25">
      <c r="A196" s="278"/>
      <c r="N196" s="280"/>
    </row>
    <row r="197" spans="1:14" x14ac:dyDescent="0.25">
      <c r="A197" s="278"/>
      <c r="N197" s="280"/>
    </row>
    <row r="198" spans="1:14" x14ac:dyDescent="0.25">
      <c r="A198" s="278"/>
      <c r="N198" s="280"/>
    </row>
    <row r="199" spans="1:14" x14ac:dyDescent="0.25">
      <c r="A199" s="278"/>
      <c r="N199" s="280"/>
    </row>
    <row r="200" spans="1:14" x14ac:dyDescent="0.25">
      <c r="A200" s="278"/>
      <c r="N200" s="280"/>
    </row>
    <row r="201" spans="1:14" x14ac:dyDescent="0.25">
      <c r="A201" s="278"/>
      <c r="N201" s="280"/>
    </row>
    <row r="202" spans="1:14" x14ac:dyDescent="0.25">
      <c r="A202" s="278"/>
      <c r="N202" s="280"/>
    </row>
    <row r="203" spans="1:14" x14ac:dyDescent="0.25">
      <c r="A203" s="278"/>
      <c r="N203" s="280"/>
    </row>
    <row r="204" spans="1:14" x14ac:dyDescent="0.25">
      <c r="A204" s="278"/>
      <c r="N204" s="280"/>
    </row>
    <row r="205" spans="1:14" x14ac:dyDescent="0.25">
      <c r="A205" s="278"/>
      <c r="N205" s="280"/>
    </row>
    <row r="206" spans="1:14" x14ac:dyDescent="0.25">
      <c r="A206" s="278"/>
      <c r="N206" s="280"/>
    </row>
    <row r="207" spans="1:14" x14ac:dyDescent="0.25">
      <c r="A207" s="278"/>
      <c r="N207" s="280"/>
    </row>
    <row r="208" spans="1:14" x14ac:dyDescent="0.25">
      <c r="A208" s="278"/>
      <c r="N208" s="280"/>
    </row>
    <row r="209" spans="1:14" x14ac:dyDescent="0.25">
      <c r="A209" s="278"/>
      <c r="N209" s="280"/>
    </row>
    <row r="210" spans="1:14" x14ac:dyDescent="0.25">
      <c r="A210" s="278"/>
      <c r="N210" s="280"/>
    </row>
    <row r="211" spans="1:14" x14ac:dyDescent="0.25">
      <c r="A211" s="278"/>
      <c r="N211" s="280"/>
    </row>
    <row r="212" spans="1:14" x14ac:dyDescent="0.25">
      <c r="A212" s="278"/>
      <c r="N212" s="280"/>
    </row>
    <row r="213" spans="1:14" x14ac:dyDescent="0.25">
      <c r="A213" s="278"/>
      <c r="N213" s="280"/>
    </row>
    <row r="214" spans="1:14" x14ac:dyDescent="0.25">
      <c r="A214" s="278"/>
      <c r="N214" s="280"/>
    </row>
    <row r="215" spans="1:14" x14ac:dyDescent="0.25">
      <c r="A215" s="278"/>
      <c r="N215" s="280"/>
    </row>
    <row r="216" spans="1:14" x14ac:dyDescent="0.25">
      <c r="A216" s="278"/>
      <c r="N216" s="280"/>
    </row>
    <row r="217" spans="1:14" x14ac:dyDescent="0.25">
      <c r="A217" s="278"/>
      <c r="N217" s="280"/>
    </row>
    <row r="218" spans="1:14" x14ac:dyDescent="0.25">
      <c r="A218" s="278"/>
      <c r="N218" s="280"/>
    </row>
    <row r="219" spans="1:14" x14ac:dyDescent="0.25">
      <c r="A219" s="278"/>
      <c r="N219" s="280"/>
    </row>
    <row r="220" spans="1:14" x14ac:dyDescent="0.25">
      <c r="A220" s="278"/>
      <c r="N220" s="280"/>
    </row>
    <row r="221" spans="1:14" x14ac:dyDescent="0.25">
      <c r="A221" s="278"/>
      <c r="N221" s="280"/>
    </row>
    <row r="222" spans="1:14" ht="51" customHeight="1" x14ac:dyDescent="0.25">
      <c r="A222" s="278"/>
      <c r="B222" s="751" t="s">
        <v>309</v>
      </c>
      <c r="C222" s="751"/>
      <c r="D222" s="751"/>
      <c r="E222" s="751"/>
      <c r="F222" s="751"/>
      <c r="G222" s="751"/>
      <c r="H222" s="751"/>
      <c r="I222" s="751"/>
      <c r="J222" s="751"/>
      <c r="K222" s="751"/>
      <c r="L222" s="751"/>
      <c r="M222" s="751"/>
      <c r="N222" s="280"/>
    </row>
    <row r="223" spans="1:14" ht="23.25" customHeight="1" thickBot="1" x14ac:dyDescent="0.3">
      <c r="A223" s="281"/>
      <c r="B223" s="282"/>
      <c r="C223" s="282"/>
      <c r="D223" s="282"/>
      <c r="E223" s="282"/>
      <c r="F223" s="282"/>
      <c r="G223" s="282"/>
      <c r="H223" s="282"/>
      <c r="I223" s="282"/>
      <c r="J223" s="282"/>
      <c r="K223" s="282"/>
      <c r="L223" s="282"/>
      <c r="M223" s="282"/>
      <c r="N223" s="283"/>
    </row>
  </sheetData>
  <sheetProtection algorithmName="SHA-512" hashValue="MvCaSYSY3LDSLbE3lLgP35FHnafjg67VUnyuE6P9kdmvdTR6f8JmvP1XOlrPwsWIjjYY6Eq6Pis+rEEWQt1waw==" saltValue="yACqtiU+iF5NB6iVfbsrwg==" spinCount="100000" sheet="1" objects="1" scenarios="1"/>
  <mergeCells count="211">
    <mergeCell ref="L168:M168"/>
    <mergeCell ref="B169:M169"/>
    <mergeCell ref="L134:M134"/>
    <mergeCell ref="L135:M135"/>
    <mergeCell ref="L136:M136"/>
    <mergeCell ref="L141:M141"/>
    <mergeCell ref="L144:M144"/>
    <mergeCell ref="L145:M145"/>
    <mergeCell ref="L146:M146"/>
    <mergeCell ref="H137:M137"/>
    <mergeCell ref="J138:M138"/>
    <mergeCell ref="J140:M140"/>
    <mergeCell ref="J139:M139"/>
    <mergeCell ref="L150:M150"/>
    <mergeCell ref="L151:M151"/>
    <mergeCell ref="L152:M152"/>
    <mergeCell ref="L153:M153"/>
    <mergeCell ref="L154:M154"/>
    <mergeCell ref="L155:M155"/>
    <mergeCell ref="H142:M142"/>
    <mergeCell ref="H143:M143"/>
    <mergeCell ref="D81:M81"/>
    <mergeCell ref="D82:M82"/>
    <mergeCell ref="B82:C82"/>
    <mergeCell ref="L165:M165"/>
    <mergeCell ref="L166:M166"/>
    <mergeCell ref="L167:M167"/>
    <mergeCell ref="L120:M120"/>
    <mergeCell ref="H132:M132"/>
    <mergeCell ref="L133:M133"/>
    <mergeCell ref="B106:F107"/>
    <mergeCell ref="D87:M87"/>
    <mergeCell ref="B87:C87"/>
    <mergeCell ref="L157:M157"/>
    <mergeCell ref="L158:M158"/>
    <mergeCell ref="L159:M159"/>
    <mergeCell ref="L160:M160"/>
    <mergeCell ref="L161:M161"/>
    <mergeCell ref="L162:M162"/>
    <mergeCell ref="L163:M163"/>
    <mergeCell ref="L164:M164"/>
    <mergeCell ref="L147:M147"/>
    <mergeCell ref="L148:M148"/>
    <mergeCell ref="L149:M149"/>
    <mergeCell ref="B32:C32"/>
    <mergeCell ref="B34:C34"/>
    <mergeCell ref="L113:M113"/>
    <mergeCell ref="L114:M114"/>
    <mergeCell ref="L115:M115"/>
    <mergeCell ref="L116:M116"/>
    <mergeCell ref="L117:M117"/>
    <mergeCell ref="B69:C69"/>
    <mergeCell ref="D67:M67"/>
    <mergeCell ref="B66:C66"/>
    <mergeCell ref="D65:M65"/>
    <mergeCell ref="D60:M60"/>
    <mergeCell ref="D58:M58"/>
    <mergeCell ref="B55:C55"/>
    <mergeCell ref="D57:M57"/>
    <mergeCell ref="B99:M99"/>
    <mergeCell ref="B100:M100"/>
    <mergeCell ref="D89:M89"/>
    <mergeCell ref="B89:C89"/>
    <mergeCell ref="D86:M86"/>
    <mergeCell ref="B86:C86"/>
    <mergeCell ref="D77:M77"/>
    <mergeCell ref="B74:C74"/>
    <mergeCell ref="D70:M70"/>
    <mergeCell ref="B10:M10"/>
    <mergeCell ref="B11:M12"/>
    <mergeCell ref="B21:C21"/>
    <mergeCell ref="B22:C22"/>
    <mergeCell ref="B23:C23"/>
    <mergeCell ref="B37:M37"/>
    <mergeCell ref="C40:M40"/>
    <mergeCell ref="C41:M41"/>
    <mergeCell ref="C42:M42"/>
    <mergeCell ref="B36:C36"/>
    <mergeCell ref="D36:M36"/>
    <mergeCell ref="B33:C33"/>
    <mergeCell ref="D33:M33"/>
    <mergeCell ref="D30:M30"/>
    <mergeCell ref="D31:M31"/>
    <mergeCell ref="D32:M32"/>
    <mergeCell ref="D34:M34"/>
    <mergeCell ref="D35:M35"/>
    <mergeCell ref="B27:M27"/>
    <mergeCell ref="B28:M28"/>
    <mergeCell ref="B18:M18"/>
    <mergeCell ref="B19:C19"/>
    <mergeCell ref="B30:C30"/>
    <mergeCell ref="B31:C31"/>
    <mergeCell ref="B48:C48"/>
    <mergeCell ref="B78:C78"/>
    <mergeCell ref="D78:M78"/>
    <mergeCell ref="D76:M76"/>
    <mergeCell ref="B76:C76"/>
    <mergeCell ref="D71:M71"/>
    <mergeCell ref="D55:M55"/>
    <mergeCell ref="B60:C60"/>
    <mergeCell ref="B77:C77"/>
    <mergeCell ref="D63:M63"/>
    <mergeCell ref="D64:M64"/>
    <mergeCell ref="B57:C57"/>
    <mergeCell ref="B56:C56"/>
    <mergeCell ref="D69:M69"/>
    <mergeCell ref="B75:C75"/>
    <mergeCell ref="D75:M75"/>
    <mergeCell ref="B72:C72"/>
    <mergeCell ref="D72:M72"/>
    <mergeCell ref="B73:C73"/>
    <mergeCell ref="D73:M73"/>
    <mergeCell ref="B70:C70"/>
    <mergeCell ref="B71:C71"/>
    <mergeCell ref="B68:C68"/>
    <mergeCell ref="D23:M23"/>
    <mergeCell ref="D52:M52"/>
    <mergeCell ref="D59:M59"/>
    <mergeCell ref="D56:M56"/>
    <mergeCell ref="B58:C58"/>
    <mergeCell ref="D80:M80"/>
    <mergeCell ref="C43:M43"/>
    <mergeCell ref="C45:M45"/>
    <mergeCell ref="B35:C35"/>
    <mergeCell ref="C44:M44"/>
    <mergeCell ref="B59:C59"/>
    <mergeCell ref="J53:M54"/>
    <mergeCell ref="B67:C67"/>
    <mergeCell ref="D46:M46"/>
    <mergeCell ref="D47:M47"/>
    <mergeCell ref="D48:M48"/>
    <mergeCell ref="D49:M49"/>
    <mergeCell ref="D50:M50"/>
    <mergeCell ref="D61:M61"/>
    <mergeCell ref="D62:M62"/>
    <mergeCell ref="B65:C65"/>
    <mergeCell ref="B64:C64"/>
    <mergeCell ref="B61:C61"/>
    <mergeCell ref="B46:C46"/>
    <mergeCell ref="B170:M170"/>
    <mergeCell ref="B49:C49"/>
    <mergeCell ref="B47:C47"/>
    <mergeCell ref="B50:C50"/>
    <mergeCell ref="D79:M79"/>
    <mergeCell ref="B51:C51"/>
    <mergeCell ref="D51:M51"/>
    <mergeCell ref="K2:L2"/>
    <mergeCell ref="K3:M4"/>
    <mergeCell ref="B6:M9"/>
    <mergeCell ref="B2:C4"/>
    <mergeCell ref="D2:J4"/>
    <mergeCell ref="B39:M39"/>
    <mergeCell ref="B13:M13"/>
    <mergeCell ref="B17:M17"/>
    <mergeCell ref="B24:C24"/>
    <mergeCell ref="B25:C25"/>
    <mergeCell ref="B38:M38"/>
    <mergeCell ref="B26:C26"/>
    <mergeCell ref="B14:M16"/>
    <mergeCell ref="D19:M19"/>
    <mergeCell ref="D20:M20"/>
    <mergeCell ref="D21:M21"/>
    <mergeCell ref="D22:M22"/>
    <mergeCell ref="D24:M24"/>
    <mergeCell ref="D25:M25"/>
    <mergeCell ref="D26:M26"/>
    <mergeCell ref="B20:C20"/>
    <mergeCell ref="B222:M222"/>
    <mergeCell ref="B93:C93"/>
    <mergeCell ref="D93:M93"/>
    <mergeCell ref="B94:M94"/>
    <mergeCell ref="B95:M95"/>
    <mergeCell ref="B97:M97"/>
    <mergeCell ref="B98:M98"/>
    <mergeCell ref="B92:C92"/>
    <mergeCell ref="D92:M92"/>
    <mergeCell ref="A171:M173"/>
    <mergeCell ref="A103:N105"/>
    <mergeCell ref="G106:M107"/>
    <mergeCell ref="L108:M108"/>
    <mergeCell ref="L109:M109"/>
    <mergeCell ref="L110:M110"/>
    <mergeCell ref="L111:M111"/>
    <mergeCell ref="L112:M112"/>
    <mergeCell ref="L118:M118"/>
    <mergeCell ref="L119:M119"/>
    <mergeCell ref="B96:M96"/>
    <mergeCell ref="H121:M121"/>
    <mergeCell ref="L156:M156"/>
    <mergeCell ref="B79:C80"/>
    <mergeCell ref="B52:C54"/>
    <mergeCell ref="D83:M83"/>
    <mergeCell ref="B83:C83"/>
    <mergeCell ref="B85:C85"/>
    <mergeCell ref="D85:M85"/>
    <mergeCell ref="B90:C90"/>
    <mergeCell ref="D90:M90"/>
    <mergeCell ref="D91:M91"/>
    <mergeCell ref="B91:C91"/>
    <mergeCell ref="D84:M84"/>
    <mergeCell ref="B84:C84"/>
    <mergeCell ref="D88:M88"/>
    <mergeCell ref="B88:C88"/>
    <mergeCell ref="D74:M74"/>
    <mergeCell ref="D66:M66"/>
    <mergeCell ref="B63:C63"/>
    <mergeCell ref="D68:M68"/>
    <mergeCell ref="D53:F54"/>
    <mergeCell ref="G53:I54"/>
    <mergeCell ref="B62:C62"/>
    <mergeCell ref="B81:C81"/>
  </mergeCells>
  <pageMargins left="0.7" right="0.7" top="0.75" bottom="0.75" header="0.3" footer="0.3"/>
  <pageSetup fitToHeight="0" orientation="portrait" r:id="rId1"/>
  <headerFooter differentFirst="1">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autoPageBreaks="0"/>
  </sheetPr>
  <dimension ref="A1:BG502"/>
  <sheetViews>
    <sheetView workbookViewId="0"/>
  </sheetViews>
  <sheetFormatPr defaultColWidth="9.140625" defaultRowHeight="15" x14ac:dyDescent="0.25"/>
  <cols>
    <col min="1" max="1" width="9.7109375" style="26" customWidth="1"/>
    <col min="2" max="2" width="37.42578125" style="26" bestFit="1" customWidth="1"/>
    <col min="3" max="3" width="11.140625" style="26" customWidth="1"/>
    <col min="4" max="5" width="14.42578125" style="26" customWidth="1"/>
    <col min="6" max="6" width="50.42578125" style="26" bestFit="1" customWidth="1"/>
    <col min="7" max="9" width="23.5703125" style="26" customWidth="1"/>
    <col min="10" max="10" width="11" style="26" customWidth="1"/>
    <col min="11" max="11" width="17" style="26" bestFit="1" customWidth="1"/>
    <col min="12" max="12" width="7.85546875" style="26" customWidth="1"/>
    <col min="13" max="13" width="20.140625" style="26" customWidth="1"/>
    <col min="14" max="14" width="18.28515625" style="26" customWidth="1"/>
    <col min="15" max="15" width="32.28515625" style="26" customWidth="1"/>
    <col min="16" max="16" width="18.28515625" style="26" bestFit="1" customWidth="1"/>
    <col min="17" max="17" width="18.42578125" style="26" bestFit="1" customWidth="1"/>
    <col min="18" max="18" width="14.85546875" style="26" customWidth="1"/>
    <col min="19" max="19" width="28.85546875" style="26" customWidth="1"/>
    <col min="20" max="20" width="51.7109375" style="26" customWidth="1"/>
    <col min="21" max="21" width="18.5703125" style="26" customWidth="1"/>
    <col min="22" max="22" width="41.140625" style="26" customWidth="1"/>
    <col min="23" max="23" width="20" style="26" bestFit="1" customWidth="1"/>
    <col min="24" max="24" width="14" style="26" customWidth="1"/>
    <col min="25" max="25" width="15.140625" style="26" customWidth="1"/>
    <col min="26" max="26" width="21.42578125" style="26" customWidth="1"/>
    <col min="27" max="27" width="18.140625" style="26" customWidth="1"/>
    <col min="28" max="28" width="18.42578125" style="26" customWidth="1"/>
    <col min="29" max="29" width="22.85546875" style="26" customWidth="1"/>
    <col min="30" max="30" width="13.28515625" style="26" customWidth="1"/>
    <col min="31" max="31" width="35.28515625" style="26" bestFit="1" customWidth="1"/>
    <col min="32" max="32" width="56.28515625" style="26" bestFit="1" customWidth="1"/>
    <col min="33" max="33" width="15.140625" style="26" customWidth="1"/>
    <col min="34" max="34" width="12.5703125" style="26" customWidth="1"/>
    <col min="35" max="35" width="18.28515625" style="26" customWidth="1"/>
    <col min="36" max="36" width="18.28515625" style="26" bestFit="1" customWidth="1"/>
    <col min="37" max="37" width="21.85546875" style="26" customWidth="1"/>
    <col min="38" max="38" width="23.7109375" style="26" customWidth="1"/>
    <col min="39" max="39" width="16.5703125" style="26" customWidth="1"/>
    <col min="40" max="40" width="19.42578125" style="26" customWidth="1"/>
    <col min="41" max="41" width="15.28515625" style="26" customWidth="1"/>
    <col min="42" max="42" width="18.5703125" style="26" bestFit="1" customWidth="1"/>
    <col min="43" max="43" width="17.28515625" style="26" bestFit="1" customWidth="1"/>
    <col min="44" max="44" width="16.5703125" style="26" bestFit="1" customWidth="1"/>
    <col min="45" max="45" width="16.85546875" style="26" customWidth="1"/>
    <col min="46" max="46" width="14.28515625" style="26" customWidth="1"/>
    <col min="47" max="47" width="14.42578125" style="26" bestFit="1" customWidth="1"/>
    <col min="48" max="48" width="16.42578125" style="26" customWidth="1"/>
    <col min="49" max="49" width="17.5703125" style="26" customWidth="1"/>
    <col min="50" max="50" width="15.28515625" style="26" customWidth="1"/>
    <col min="51" max="51" width="22.7109375" style="26" customWidth="1"/>
    <col min="52" max="53" width="14.7109375" style="26" customWidth="1"/>
    <col min="54" max="54" width="19.7109375" style="26" customWidth="1"/>
    <col min="55" max="57" width="14.7109375" style="26" customWidth="1"/>
    <col min="58" max="58" width="18.28515625" style="26" bestFit="1" customWidth="1"/>
    <col min="59" max="59" width="18.5703125" style="26" customWidth="1"/>
    <col min="60" max="16384" width="9.140625" style="26"/>
  </cols>
  <sheetData>
    <row r="1" spans="1:59" x14ac:dyDescent="0.25">
      <c r="A1" s="499"/>
      <c r="B1" s="499"/>
      <c r="C1" s="500"/>
      <c r="D1" s="499"/>
      <c r="E1" s="499"/>
      <c r="F1" s="499"/>
      <c r="G1" s="500"/>
      <c r="H1" s="499"/>
      <c r="I1" s="499"/>
      <c r="J1" s="499"/>
      <c r="K1" s="500"/>
      <c r="L1" s="499"/>
      <c r="M1" s="499"/>
      <c r="N1" s="500"/>
      <c r="O1" s="500"/>
      <c r="P1" s="500"/>
      <c r="Q1" s="500"/>
      <c r="R1" s="500"/>
      <c r="S1" s="500"/>
      <c r="T1" s="499"/>
      <c r="U1" s="500"/>
      <c r="V1" s="499"/>
      <c r="W1" s="500"/>
      <c r="X1" s="499"/>
      <c r="Y1" s="500"/>
      <c r="Z1" s="500"/>
      <c r="AA1" s="500"/>
      <c r="AB1" s="500"/>
      <c r="AC1" s="500"/>
      <c r="AD1" s="500"/>
      <c r="AE1" s="500"/>
      <c r="AF1" s="500"/>
      <c r="AG1" s="499"/>
      <c r="AH1" s="499"/>
      <c r="AI1" s="499"/>
      <c r="AJ1" s="500"/>
      <c r="AK1" s="499"/>
      <c r="AL1" s="500"/>
      <c r="AM1" s="499"/>
      <c r="AN1" s="499"/>
      <c r="AO1" s="500"/>
      <c r="AP1" s="500"/>
      <c r="AQ1" s="499"/>
      <c r="AR1" s="499"/>
      <c r="AS1" s="499"/>
      <c r="AT1" s="499"/>
      <c r="AU1" s="499"/>
      <c r="AV1" s="499"/>
      <c r="AW1" s="499"/>
      <c r="AX1" s="499"/>
      <c r="AY1" s="500"/>
      <c r="AZ1" s="499"/>
      <c r="BA1" s="499"/>
      <c r="BB1" s="500"/>
      <c r="BC1" s="500"/>
      <c r="BD1" s="500"/>
      <c r="BE1" s="500"/>
      <c r="BF1" s="500"/>
      <c r="BG1" s="500"/>
    </row>
    <row r="2" spans="1:59" ht="30.75" customHeight="1" x14ac:dyDescent="0.25">
      <c r="A2" s="369" t="s">
        <v>4465</v>
      </c>
      <c r="B2" s="69" t="s">
        <v>4466</v>
      </c>
      <c r="C2" s="369" t="s">
        <v>4467</v>
      </c>
      <c r="D2" s="69" t="s">
        <v>18</v>
      </c>
      <c r="E2" s="69" t="s">
        <v>4468</v>
      </c>
      <c r="F2" s="69" t="s">
        <v>4469</v>
      </c>
      <c r="G2" s="69" t="s">
        <v>4470</v>
      </c>
      <c r="H2" s="69" t="s">
        <v>3112</v>
      </c>
      <c r="I2" s="69" t="s">
        <v>3113</v>
      </c>
      <c r="J2" s="69" t="s">
        <v>4471</v>
      </c>
      <c r="K2" s="68" t="s">
        <v>60</v>
      </c>
      <c r="L2" s="68" t="s">
        <v>61</v>
      </c>
      <c r="M2" s="68" t="s">
        <v>63</v>
      </c>
      <c r="N2" s="69" t="s">
        <v>4472</v>
      </c>
      <c r="O2" s="68" t="s">
        <v>3323</v>
      </c>
      <c r="P2" s="69" t="s">
        <v>72</v>
      </c>
      <c r="Q2" s="69" t="s">
        <v>4473</v>
      </c>
      <c r="R2" s="69" t="s">
        <v>4474</v>
      </c>
      <c r="S2" s="69" t="s">
        <v>4475</v>
      </c>
      <c r="T2" s="69" t="s">
        <v>4476</v>
      </c>
      <c r="U2" s="69" t="s">
        <v>4477</v>
      </c>
      <c r="V2" s="68" t="s">
        <v>4478</v>
      </c>
      <c r="W2" s="69" t="s">
        <v>4479</v>
      </c>
      <c r="X2" s="69" t="s">
        <v>4480</v>
      </c>
      <c r="Y2" s="69" t="s">
        <v>4481</v>
      </c>
      <c r="Z2" s="69" t="s">
        <v>4482</v>
      </c>
      <c r="AA2" s="69" t="s">
        <v>4483</v>
      </c>
      <c r="AB2" s="69" t="s">
        <v>4484</v>
      </c>
      <c r="AC2" s="69" t="s">
        <v>4485</v>
      </c>
      <c r="AD2" s="69" t="s">
        <v>4486</v>
      </c>
      <c r="AE2" s="69" t="s">
        <v>4487</v>
      </c>
      <c r="AF2" s="69" t="s">
        <v>4488</v>
      </c>
      <c r="AG2" s="369" t="s">
        <v>3098</v>
      </c>
      <c r="AH2" s="69" t="s">
        <v>4489</v>
      </c>
      <c r="AI2" s="69" t="s">
        <v>4490</v>
      </c>
      <c r="AJ2" s="69" t="s">
        <v>4491</v>
      </c>
      <c r="AK2" s="69" t="s">
        <v>118</v>
      </c>
      <c r="AL2" s="369" t="s">
        <v>4492</v>
      </c>
      <c r="AM2" s="369" t="s">
        <v>4493</v>
      </c>
      <c r="AN2" s="69" t="s">
        <v>4494</v>
      </c>
      <c r="AO2" s="69" t="s">
        <v>2770</v>
      </c>
      <c r="AP2" s="69" t="s">
        <v>4495</v>
      </c>
      <c r="AQ2" s="69" t="s">
        <v>4496</v>
      </c>
      <c r="AR2" s="69" t="s">
        <v>4497</v>
      </c>
      <c r="AS2" s="69" t="s">
        <v>4498</v>
      </c>
      <c r="AT2" s="69" t="s">
        <v>4499</v>
      </c>
      <c r="AU2" s="69" t="s">
        <v>4500</v>
      </c>
      <c r="AV2" s="69" t="s">
        <v>4501</v>
      </c>
      <c r="AW2" s="69" t="s">
        <v>4502</v>
      </c>
      <c r="AX2" s="69" t="s">
        <v>4503</v>
      </c>
      <c r="AY2" s="69" t="s">
        <v>4504</v>
      </c>
      <c r="AZ2" s="69" t="s">
        <v>4505</v>
      </c>
      <c r="BA2" s="69" t="s">
        <v>4506</v>
      </c>
      <c r="BB2" s="69" t="s">
        <v>4507</v>
      </c>
      <c r="BC2" s="369" t="s">
        <v>324</v>
      </c>
      <c r="BD2" s="369" t="s">
        <v>2952</v>
      </c>
      <c r="BE2" s="369" t="s">
        <v>4508</v>
      </c>
      <c r="BF2" s="26" t="s">
        <v>4509</v>
      </c>
      <c r="BG2" s="26" t="s">
        <v>2897</v>
      </c>
    </row>
    <row r="3" spans="1:59" x14ac:dyDescent="0.25">
      <c r="A3" s="26" t="str">
        <f>IF(B3="", "", 'Lookup Tables'!AW4)</f>
        <v/>
      </c>
      <c r="B3" s="337" t="str">
        <f>IF(OR('Lighting Inventory'!Y11="", 'Lighting Inventory'!V11="No Change"),"", 'Lighting Inventory'!Y11)</f>
        <v/>
      </c>
      <c r="C3" s="26" t="str">
        <f>IF(B3="", "", IF('Lighting Inventory'!Y11='Lookup Tables'!$Y$32, 'Lighting Inventory'!AJ11, IF(AD3=0, R3, AD3)))</f>
        <v/>
      </c>
      <c r="D3" s="337" t="str">
        <f>IF(B3="", "", 'General Information'!$F$14)</f>
        <v/>
      </c>
      <c r="E3" s="337" t="str">
        <f>IF(B3="", "", "FPPLPR")</f>
        <v/>
      </c>
      <c r="F3" s="337" t="str">
        <f>IF(B3="", "", CONCATENATE('General Information'!$F$9, " - ", 'General Information'!$F$14))</f>
        <v/>
      </c>
      <c r="G3" s="337" t="str">
        <f>IF(B3="", "", 'General Information'!$F$15)</f>
        <v/>
      </c>
      <c r="H3" s="337" t="str">
        <f>IF(B3="", "", IF(VLOOKUP(B3, 'Lookup Tables'!$Y$18:$AA$34, 2, FALSE)="Traffic", VLOOKUP('Lighting Inventory'!W11, 'Lookup Tables'!#REF!, 11, FALSE), VLOOKUP(B3, 'Lookup Tables'!$Y$18:$AA$34, 2, FALSE)))</f>
        <v/>
      </c>
      <c r="I3" s="337" t="str">
        <f>IF(B3="", "", CONCATENATE(D3, 'Data Export'!A3))</f>
        <v/>
      </c>
      <c r="J3" s="337" t="str">
        <f>IF(B3="", "", 'Lookup Tables'!$B$1)</f>
        <v/>
      </c>
      <c r="K3" s="337" t="str">
        <f>IF(B3="", "", 'Lighting Inventory'!B11)</f>
        <v/>
      </c>
      <c r="L3" s="337" t="str">
        <f>IF(B3="", "", 'Lighting Inventory'!C11)</f>
        <v/>
      </c>
      <c r="M3" s="337" t="str">
        <f>IF(B3="", "",'Lighting Inventory'!D11)</f>
        <v/>
      </c>
      <c r="N3" s="337" t="str">
        <f>IF(B3="", "",'Lighting Inventory'!E11)</f>
        <v/>
      </c>
      <c r="O3" s="337" t="str">
        <f>IF(B3="", "", 'Lighting Inventory'!F11)</f>
        <v/>
      </c>
      <c r="P3" s="337" t="str">
        <f>IF(B3="", "", 'Lighting Inventory'!G11)</f>
        <v/>
      </c>
      <c r="Q3" s="337" t="str">
        <f>IF(B3="", "", 'Lighting Inventory'!H11)</f>
        <v/>
      </c>
      <c r="R3" s="337" t="str">
        <f>IF(B3="", "", 'Lighting Inventory'!I11)</f>
        <v/>
      </c>
      <c r="S3" s="337" t="str">
        <f>IF(B3="", "", 'Lighting Inventory'!J11)</f>
        <v/>
      </c>
      <c r="T3" s="337" t="str">
        <f>IFERROR(IF(B3="","",VLOOKUP(S3,'Fixture Identities'!$A$7:$G$1023,5,FALSE)), "New Construction")</f>
        <v/>
      </c>
      <c r="U3" s="337" t="str">
        <f>IFERROR(IF(B3="", "", IF(K3="New Construction", "NC", IF(VLOOKUP(S3, 'Fixture Identities'!$A$7:$I$1023,3, FALSE)="T12 Linear Fluorescent", VLOOKUP(S3, 'Fixture Identities'!$A$7:$K$1012, 11, FALSE), S3))), "")</f>
        <v/>
      </c>
      <c r="V3" s="337" t="str">
        <f>IFERROR(IF(OR(B3="", U3=0), "", VLOOKUP(U3, 'Fixture Identities'!$A$7:$G$1023, 5, FALSE)), "")</f>
        <v/>
      </c>
      <c r="W3" s="337" t="str">
        <f>IF(B3="", "",'Lighting Inventory'!K11)</f>
        <v/>
      </c>
      <c r="X3" s="338" t="str">
        <f>IF(B3="", "", 'Lighting Inventory'!L11)</f>
        <v/>
      </c>
      <c r="Y3" s="337" t="str">
        <f>IF(B3="", "", IF('Lighting Inventory'!M11="", "Light Switch",'Lighting Inventory'!M11))</f>
        <v/>
      </c>
      <c r="Z3" s="337" t="str">
        <f>IF(OR(K3="Retrofit", B3=""), "", 'Lighting Inventory'!N11)</f>
        <v/>
      </c>
      <c r="AA3" s="337" t="str">
        <f>IF(OR(Z3="",B3=""), "", 'Lighting Inventory'!O11)</f>
        <v/>
      </c>
      <c r="AB3" s="337" t="str">
        <f>IF(B3="", "", 'Lighting Inventory'!P11)</f>
        <v/>
      </c>
      <c r="AC3" s="339" t="str">
        <f>IF(B3="", "", 'Lighting Inventory'!R11)</f>
        <v/>
      </c>
      <c r="AD3" s="337" t="str">
        <f>IF(B3="", "", 'Lighting Inventory'!S11)</f>
        <v/>
      </c>
      <c r="AE3" s="337" t="str">
        <f>IF(B3="", "", 'Lighting Inventory'!V11)</f>
        <v/>
      </c>
      <c r="AF3" s="337" t="str">
        <f>IF(B3="", "", 'Lighting Inventory'!W11)</f>
        <v/>
      </c>
      <c r="AG3" s="26" t="str">
        <f>IF(OR(AF3="", B3=""), "", IF(AE3="Custom", "0", VLOOKUP(AF3, 'Lookup Tables'!$AI$6:$AP$102, 8, FALSE)))</f>
        <v/>
      </c>
      <c r="AH3" s="337" t="str">
        <f>IF(B3="", "", 'Lighting Inventory'!AD11)</f>
        <v/>
      </c>
      <c r="AI3" s="337" t="str">
        <f>IF(OR('Lighting Inventory'!AK11="", B3=""), "", 'Lighting Inventory'!AK11)</f>
        <v/>
      </c>
      <c r="AJ3" s="340" t="str">
        <f>IF(B3="", "", 'Lighting Inventory'!AL11)</f>
        <v/>
      </c>
      <c r="AK3" s="338" t="str">
        <f>IF(B3="", "", 'Lighting Inventory'!AM11)</f>
        <v/>
      </c>
      <c r="AL3" s="26" t="str">
        <f>IF(B3="", "", 'Lighting Inventory'!AN11)</f>
        <v/>
      </c>
      <c r="AM3" s="26" t="str">
        <f>IF(B3="", "", 8)</f>
        <v/>
      </c>
      <c r="AN3" s="337" t="str">
        <f>IF(B3="","",IF('Lighting Inventory'!AV11="","Prescribed",'Lighting Inventory'!AV11))</f>
        <v/>
      </c>
      <c r="AO3" s="340" t="str">
        <f>IF(B3="", "", 'Lighting Inventory'!AX11)</f>
        <v/>
      </c>
      <c r="AP3" s="341" t="str">
        <f>IF(B3="", "", 'Lighting Inventory'!AZ11)</f>
        <v/>
      </c>
      <c r="AQ3" s="341" t="str">
        <f>IF(B3="", "", 'Lighting Inventory'!BA11)</f>
        <v/>
      </c>
      <c r="AR3" s="341" t="str">
        <f>IF(B3="", "", 'Lighting Inventory'!BB11)</f>
        <v/>
      </c>
      <c r="AS3" s="341" t="str">
        <f>IF(B3="", "", 'Lighting Inventory'!BC11)</f>
        <v/>
      </c>
      <c r="AT3" s="341" t="str">
        <f>IF(B3="", "", 'Lighting Inventory'!BD11)</f>
        <v/>
      </c>
      <c r="AU3" s="341" t="str">
        <f>IF(B3="", "", 'Lighting Inventory'!BE11)</f>
        <v/>
      </c>
      <c r="AV3" s="341" t="str">
        <f>IF(B3="", "", 'Lighting Inventory'!BE11)</f>
        <v/>
      </c>
      <c r="AW3" s="341" t="str">
        <f>IF(B3="", "", 'Lighting Inventory'!BF11)</f>
        <v/>
      </c>
      <c r="AX3" s="341" t="str">
        <f>IF(B3="", "", 'Lighting Inventory'!BF11)</f>
        <v/>
      </c>
      <c r="AY3" s="338" t="str">
        <f>AZ3</f>
        <v/>
      </c>
      <c r="AZ3" s="338" t="str">
        <f>IF(B3="", "", 'Lighting Inventory'!BJ11)</f>
        <v/>
      </c>
      <c r="BA3" s="338" t="str">
        <f>IF(B3="", "", 'Lighting Inventory'!BM11)</f>
        <v/>
      </c>
      <c r="BB3" s="338" t="str">
        <f>IF(B3="","",SUM('Lighting Inventory'!BP11:BP11))</f>
        <v/>
      </c>
      <c r="BC3" s="67" t="str">
        <f>IF(OR(AE3="", B3=""),"", 'Lighting Inventory'!GR11)</f>
        <v/>
      </c>
      <c r="BD3" s="67" t="str">
        <f>IFERROR(IF(B3="", "", 'Lighting Inventory'!AF11)*AD3," ")</f>
        <v xml:space="preserve"> </v>
      </c>
      <c r="BE3" s="67" t="str">
        <f>IFERROR(IF(B3="", "", 'Lighting Inventory'!AR11)*AD3," ")</f>
        <v xml:space="preserve"> </v>
      </c>
      <c r="BF3" s="67" t="str">
        <f>IFERROR(AZ3/AP3," ")</f>
        <v xml:space="preserve"> </v>
      </c>
      <c r="BG3" s="498" t="str">
        <f>IFERROR(IF(BC3&gt;BD3,BD3,BC3)," ")</f>
        <v/>
      </c>
    </row>
    <row r="4" spans="1:59" x14ac:dyDescent="0.25">
      <c r="A4" s="26" t="str">
        <f>IF(B4="", "", 'Lookup Tables'!AW5)</f>
        <v/>
      </c>
      <c r="B4" s="26" t="str">
        <f>IF(OR('Lighting Inventory'!Y12="", 'Lighting Inventory'!V12="No Change"),"", 'Lighting Inventory'!Y12)</f>
        <v/>
      </c>
      <c r="C4" s="26" t="str">
        <f>IF(B4="", "", IF('Lighting Inventory'!Y12='Lookup Tables'!$Y$32, 'Lighting Inventory'!AJ12, IF(AD4=0, R4, AD4)))</f>
        <v/>
      </c>
      <c r="D4" s="26" t="str">
        <f>IF(B4="", "", 'General Information'!$F$14)</f>
        <v/>
      </c>
      <c r="E4" s="26" t="str">
        <f t="shared" ref="E4:E8" si="0">IF(B4="", "", "FPPLPR")</f>
        <v/>
      </c>
      <c r="F4" s="26" t="str">
        <f>IF(B4="", "", CONCATENATE('General Information'!$F$9, " - ", 'General Information'!$F$14))</f>
        <v/>
      </c>
      <c r="G4" s="26" t="str">
        <f>IF(B4="", "", 'General Information'!$F$15)</f>
        <v/>
      </c>
      <c r="H4" s="26" t="str">
        <f>IF(B4="", "", IF(VLOOKUP(B4, 'Lookup Tables'!$Y$18:$AA$34, 2, FALSE)="Traffic", VLOOKUP('Lighting Inventory'!W12, 'Lookup Tables'!#REF!, 11, FALSE), VLOOKUP(B4, 'Lookup Tables'!$Y$18:$AA$34, 2, FALSE)))</f>
        <v/>
      </c>
      <c r="I4" s="26" t="str">
        <f>IF(B4="", "", CONCATENATE(D4, 'Data Export'!A4))</f>
        <v/>
      </c>
      <c r="J4" s="26" t="str">
        <f>IF(B4="", "", 'Lookup Tables'!$B$1)</f>
        <v/>
      </c>
      <c r="K4" s="26" t="str">
        <f>IF(B4="", "", 'Lighting Inventory'!B12)</f>
        <v/>
      </c>
      <c r="L4" s="26" t="str">
        <f>IF(B4="", "", 'Lighting Inventory'!C12)</f>
        <v/>
      </c>
      <c r="M4" s="26" t="str">
        <f>IF(B4="", "",'Lighting Inventory'!D12)</f>
        <v/>
      </c>
      <c r="N4" s="26" t="str">
        <f>IF(B4="", "",'Lighting Inventory'!E12)</f>
        <v/>
      </c>
      <c r="O4" s="26" t="str">
        <f>IF(B4="", "", 'Lighting Inventory'!F12)</f>
        <v/>
      </c>
      <c r="P4" s="26" t="str">
        <f>IF(B4="", "", 'Lighting Inventory'!G12)</f>
        <v/>
      </c>
      <c r="Q4" s="26" t="str">
        <f>IF(B4="", "", 'Lighting Inventory'!H12)</f>
        <v/>
      </c>
      <c r="R4" s="26" t="str">
        <f>IF(B4="", "", 'Lighting Inventory'!I12)</f>
        <v/>
      </c>
      <c r="S4" s="26" t="str">
        <f>IF(B4="", "", 'Lighting Inventory'!J12)</f>
        <v/>
      </c>
      <c r="T4" s="26" t="str">
        <f>IFERROR(IF(B4="","",VLOOKUP(S4,'Fixture Identities'!$A$7:$G$1023,5,FALSE)), "New Construction")</f>
        <v/>
      </c>
      <c r="U4" s="26" t="str">
        <f>IFERROR(IF(B4="", "", IF(K4="New Construction", "NC", IF(VLOOKUP(S4, 'Fixture Identities'!$A$7:$I$1023,3, FALSE)="T12 Linear Fluorescent", VLOOKUP(S4, 'Fixture Identities'!$A$7:$K$1012, 11, FALSE), S4))), "")</f>
        <v/>
      </c>
      <c r="V4" s="26" t="str">
        <f>IFERROR(IF(OR(B4="", U4=0), "", VLOOKUP(U4, 'Fixture Identities'!$A$7:$G$1023, 5, FALSE)), "")</f>
        <v/>
      </c>
      <c r="W4" s="26" t="str">
        <f>IF(B4="", "",'Lighting Inventory'!K12)</f>
        <v/>
      </c>
      <c r="X4" s="65" t="str">
        <f>IF(B4="", "", 'Lighting Inventory'!L12)</f>
        <v/>
      </c>
      <c r="Y4" s="26" t="str">
        <f>IF(B4="", "", IF('Lighting Inventory'!M12="", "Light Switch",'Lighting Inventory'!M12))</f>
        <v/>
      </c>
      <c r="Z4" s="26" t="str">
        <f>IF(OR(K4="Retrofit", B4=""), "", 'Lighting Inventory'!N12)</f>
        <v/>
      </c>
      <c r="AA4" s="26" t="str">
        <f>IF(OR(Z4="",B4=""), "", 'Lighting Inventory'!O12)</f>
        <v/>
      </c>
      <c r="AB4" s="26" t="str">
        <f>IF(B4="", "", 'Lighting Inventory'!P12)</f>
        <v/>
      </c>
      <c r="AC4" s="96" t="str">
        <f>IF(B4="", "", 'Lighting Inventory'!R12)</f>
        <v/>
      </c>
      <c r="AD4" s="26" t="str">
        <f>IF(B4="", "", 'Lighting Inventory'!S12)</f>
        <v/>
      </c>
      <c r="AE4" s="26" t="str">
        <f>IF(B4="", "", 'Lighting Inventory'!V12)</f>
        <v/>
      </c>
      <c r="AF4" s="26" t="str">
        <f>IF(B4="", "", 'Lighting Inventory'!W12)</f>
        <v/>
      </c>
      <c r="AG4" s="26" t="str">
        <f>IF(OR(AF4="", B4=""), "", IF(AE4="Custom", "0", VLOOKUP(AF4, 'Lookup Tables'!$AI$6:$AP$102, 8, FALSE)))</f>
        <v/>
      </c>
      <c r="AH4" s="26" t="str">
        <f>IF(B4="", "", 'Lighting Inventory'!AD12)</f>
        <v/>
      </c>
      <c r="AI4" s="26" t="str">
        <f>IF(OR('Lighting Inventory'!AK12="", B4=""), "", 'Lighting Inventory'!AK12)</f>
        <v/>
      </c>
      <c r="AJ4" s="66" t="str">
        <f>IF(B4="", "", 'Lighting Inventory'!AL12)</f>
        <v/>
      </c>
      <c r="AK4" s="65" t="str">
        <f>IF(B4="", "", 'Lighting Inventory'!AM12)</f>
        <v/>
      </c>
      <c r="AL4" s="26" t="str">
        <f>IF(B4="", "", 'Lighting Inventory'!AN12)</f>
        <v/>
      </c>
      <c r="AM4" s="26" t="str">
        <f t="shared" ref="AM4:AM67" si="1">IF(B4="", "", 8)</f>
        <v/>
      </c>
      <c r="AN4" s="26" t="str">
        <f>IF(B4="","",IF('Lighting Inventory'!AV12="","Prescribed",'Lighting Inventory'!AV12))</f>
        <v/>
      </c>
      <c r="AO4" s="66" t="str">
        <f>IF(B4="", "", 'Lighting Inventory'!AX12)</f>
        <v/>
      </c>
      <c r="AP4" s="67" t="str">
        <f>IF(B4="", "", 'Lighting Inventory'!AZ12)</f>
        <v/>
      </c>
      <c r="AQ4" s="67" t="str">
        <f>IF(B4="", "", 'Lighting Inventory'!BA12)</f>
        <v/>
      </c>
      <c r="AR4" s="67" t="str">
        <f>IF(B4="", "", 'Lighting Inventory'!BB12)</f>
        <v/>
      </c>
      <c r="AS4" s="67" t="str">
        <f>IF(B4="", "", 'Lighting Inventory'!BC12)</f>
        <v/>
      </c>
      <c r="AT4" s="67" t="str">
        <f>IF(B4="", "", 'Lighting Inventory'!BD12)</f>
        <v/>
      </c>
      <c r="AU4" s="67" t="str">
        <f>IF(B4="", "", 'Lighting Inventory'!BE12)</f>
        <v/>
      </c>
      <c r="AV4" s="67" t="str">
        <f>IF(B4="", "", 'Lighting Inventory'!BE12)</f>
        <v/>
      </c>
      <c r="AW4" s="67" t="str">
        <f>IF(B4="", "", 'Lighting Inventory'!BF12)</f>
        <v/>
      </c>
      <c r="AX4" s="67" t="str">
        <f>IF(B4="", "", 'Lighting Inventory'!BF12)</f>
        <v/>
      </c>
      <c r="AY4" s="65" t="str">
        <f t="shared" ref="AY4:AY8" si="2">AZ4</f>
        <v/>
      </c>
      <c r="AZ4" s="65" t="str">
        <f>IF(B4="", "", 'Lighting Inventory'!BJ12)</f>
        <v/>
      </c>
      <c r="BA4" s="65" t="str">
        <f>IF(B4="", "", 'Lighting Inventory'!BM12)</f>
        <v/>
      </c>
      <c r="BB4" s="65" t="str">
        <f>IF(B4="","",SUM('Lighting Inventory'!BP12:BP12))</f>
        <v/>
      </c>
      <c r="BC4" s="67" t="str">
        <f>IF(OR(AE4="", B4=""),"", 'Lighting Inventory'!GR12)</f>
        <v/>
      </c>
      <c r="BD4" s="67" t="str">
        <f>IFERROR(IF(B4="", "", 'Lighting Inventory'!AF12)*AD4," ")</f>
        <v xml:space="preserve"> </v>
      </c>
      <c r="BE4" s="67"/>
      <c r="BF4" s="67"/>
    </row>
    <row r="5" spans="1:59" x14ac:dyDescent="0.25">
      <c r="A5" s="26" t="str">
        <f>IF(B5="", "", 'Lookup Tables'!AW6)</f>
        <v/>
      </c>
      <c r="B5" s="26" t="str">
        <f>IF(OR('Lighting Inventory'!Y13="", 'Lighting Inventory'!V13="No Change"),"", 'Lighting Inventory'!Y13)</f>
        <v/>
      </c>
      <c r="C5" s="26" t="str">
        <f>IF(B5="", "", IF('Lighting Inventory'!Y13='Lookup Tables'!$Y$32, 'Lighting Inventory'!AJ13, IF(AD5=0, R5, AD5)))</f>
        <v/>
      </c>
      <c r="D5" s="26" t="str">
        <f>IF(B5="", "", 'General Information'!$F$14)</f>
        <v/>
      </c>
      <c r="E5" s="26" t="str">
        <f t="shared" si="0"/>
        <v/>
      </c>
      <c r="F5" s="26" t="str">
        <f>IF(B5="", "", CONCATENATE('General Information'!$F$9, " - ", 'General Information'!$F$14))</f>
        <v/>
      </c>
      <c r="G5" s="26" t="str">
        <f>IF(B5="", "", 'General Information'!$F$15)</f>
        <v/>
      </c>
      <c r="H5" s="26" t="str">
        <f>IF(B5="", "", IF(VLOOKUP(B5, 'Lookup Tables'!$Y$18:$AA$34, 2, FALSE)="Traffic", VLOOKUP('Lighting Inventory'!W13, 'Lookup Tables'!#REF!, 11, FALSE), VLOOKUP(B5, 'Lookup Tables'!$Y$18:$AA$34, 2, FALSE)))</f>
        <v/>
      </c>
      <c r="I5" s="26" t="str">
        <f>IF(B5="", "", CONCATENATE(D5, 'Data Export'!A5))</f>
        <v/>
      </c>
      <c r="J5" s="26" t="str">
        <f>IF(B5="", "", 'Lookup Tables'!$B$1)</f>
        <v/>
      </c>
      <c r="K5" s="26" t="str">
        <f>IF(B5="", "", 'Lighting Inventory'!B13)</f>
        <v/>
      </c>
      <c r="L5" s="26" t="str">
        <f>IF(B5="", "", 'Lighting Inventory'!C13)</f>
        <v/>
      </c>
      <c r="M5" s="26" t="str">
        <f>IF(B5="", "",'Lighting Inventory'!D13)</f>
        <v/>
      </c>
      <c r="N5" s="26" t="str">
        <f>IF(B5="", "",'Lighting Inventory'!E13)</f>
        <v/>
      </c>
      <c r="O5" s="26" t="str">
        <f>IF(B5="", "", 'Lighting Inventory'!F13)</f>
        <v/>
      </c>
      <c r="P5" s="26" t="str">
        <f>IF(B5="", "", 'Lighting Inventory'!G13)</f>
        <v/>
      </c>
      <c r="Q5" s="26" t="str">
        <f>IF(B5="", "", 'Lighting Inventory'!H13)</f>
        <v/>
      </c>
      <c r="R5" s="26" t="str">
        <f>IF(B5="", "", 'Lighting Inventory'!I13)</f>
        <v/>
      </c>
      <c r="S5" s="26" t="str">
        <f>IF(B5="", "", 'Lighting Inventory'!J13)</f>
        <v/>
      </c>
      <c r="T5" s="26" t="str">
        <f>IFERROR(IF(B5="","",VLOOKUP(S5,'Fixture Identities'!$A$7:$G$1023,5,FALSE)), "New Construction")</f>
        <v/>
      </c>
      <c r="U5" s="26" t="str">
        <f>IFERROR(IF(B5="", "", IF(K5="New Construction", "NC", IF(VLOOKUP(S5, 'Fixture Identities'!$A$7:$I$1023,3, FALSE)="T12 Linear Fluorescent", VLOOKUP(S5, 'Fixture Identities'!$A$7:$K$1012, 11, FALSE), S5))), "")</f>
        <v/>
      </c>
      <c r="V5" s="26" t="str">
        <f>IFERROR(IF(OR(B5="", U5=0), "", VLOOKUP(U5, 'Fixture Identities'!$A$7:$G$1023, 5, FALSE)), "")</f>
        <v/>
      </c>
      <c r="W5" s="26" t="str">
        <f>IF(B5="", "",'Lighting Inventory'!K13)</f>
        <v/>
      </c>
      <c r="X5" s="65" t="str">
        <f>IF(B5="", "", 'Lighting Inventory'!L13)</f>
        <v/>
      </c>
      <c r="Y5" s="26" t="str">
        <f>IF(B5="", "", IF('Lighting Inventory'!M13="", "Light Switch",'Lighting Inventory'!M13))</f>
        <v/>
      </c>
      <c r="Z5" s="26" t="str">
        <f>IF(OR(K5="Retrofit", B5=""), "", 'Lighting Inventory'!N13)</f>
        <v/>
      </c>
      <c r="AA5" s="26" t="str">
        <f>IF(OR(Z5="",B5=""), "", 'Lighting Inventory'!O13)</f>
        <v/>
      </c>
      <c r="AB5" s="26" t="str">
        <f>IF(B5="", "", 'Lighting Inventory'!P13)</f>
        <v/>
      </c>
      <c r="AC5" s="96" t="str">
        <f>IF(B5="", "", 'Lighting Inventory'!R13)</f>
        <v/>
      </c>
      <c r="AD5" s="26" t="str">
        <f>IF(B5="", "", 'Lighting Inventory'!S13)</f>
        <v/>
      </c>
      <c r="AE5" s="26" t="str">
        <f>IF(B5="", "", 'Lighting Inventory'!V13)</f>
        <v/>
      </c>
      <c r="AF5" s="26" t="str">
        <f>IF(B5="", "", 'Lighting Inventory'!W13)</f>
        <v/>
      </c>
      <c r="AG5" s="26" t="str">
        <f>IF(OR(AF5="", B5=""), "", IF(AE5="Custom", "0", VLOOKUP(AF5, 'Lookup Tables'!$AI$6:$AP$102, 8, FALSE)))</f>
        <v/>
      </c>
      <c r="AH5" s="26" t="str">
        <f>IF(B5="", "", 'Lighting Inventory'!AD13)</f>
        <v/>
      </c>
      <c r="AI5" s="26" t="str">
        <f>IF(OR('Lighting Inventory'!AK13="", B5=""), "", 'Lighting Inventory'!AK13)</f>
        <v/>
      </c>
      <c r="AJ5" s="66" t="str">
        <f>IF(B5="", "", 'Lighting Inventory'!AL13)</f>
        <v/>
      </c>
      <c r="AK5" s="65" t="str">
        <f>IF(B5="", "", 'Lighting Inventory'!AM13)</f>
        <v/>
      </c>
      <c r="AL5" s="26" t="str">
        <f>IF(B5="", "", 'Lighting Inventory'!AN13)</f>
        <v/>
      </c>
      <c r="AM5" s="26" t="str">
        <f t="shared" si="1"/>
        <v/>
      </c>
      <c r="AN5" s="26" t="str">
        <f>IF(B5="","",IF('Lighting Inventory'!AV13="","Prescribed",'Lighting Inventory'!AV13))</f>
        <v/>
      </c>
      <c r="AO5" s="66" t="str">
        <f>IF(B5="", "", 'Lighting Inventory'!AX13)</f>
        <v/>
      </c>
      <c r="AP5" s="67" t="str">
        <f>IF(B5="", "", 'Lighting Inventory'!AZ13)</f>
        <v/>
      </c>
      <c r="AQ5" s="67" t="str">
        <f>IF(B5="", "", 'Lighting Inventory'!BA13)</f>
        <v/>
      </c>
      <c r="AR5" s="67" t="str">
        <f>IF(B5="", "", 'Lighting Inventory'!BB13)</f>
        <v/>
      </c>
      <c r="AS5" s="67" t="str">
        <f>IF(B5="", "", 'Lighting Inventory'!BC13)</f>
        <v/>
      </c>
      <c r="AT5" s="67" t="str">
        <f>IF(B5="", "", 'Lighting Inventory'!BD13)</f>
        <v/>
      </c>
      <c r="AU5" s="67" t="str">
        <f>IF(B5="", "", 'Lighting Inventory'!BE13)</f>
        <v/>
      </c>
      <c r="AV5" s="67" t="str">
        <f>IF(B5="", "", 'Lighting Inventory'!BE13)</f>
        <v/>
      </c>
      <c r="AW5" s="67" t="str">
        <f>IF(B5="", "", 'Lighting Inventory'!BF13)</f>
        <v/>
      </c>
      <c r="AX5" s="67" t="str">
        <f>IF(B5="", "", 'Lighting Inventory'!BF13)</f>
        <v/>
      </c>
      <c r="AY5" s="65" t="str">
        <f t="shared" si="2"/>
        <v/>
      </c>
      <c r="AZ5" s="65" t="str">
        <f>IF(B5="", "", 'Lighting Inventory'!BJ13)</f>
        <v/>
      </c>
      <c r="BA5" s="65" t="str">
        <f>IF(B5="", "", 'Lighting Inventory'!BM13)</f>
        <v/>
      </c>
      <c r="BB5" s="65" t="str">
        <f>IF(B5="","",SUM('Lighting Inventory'!BP13:BP13))</f>
        <v/>
      </c>
      <c r="BC5" s="67" t="str">
        <f>IF(OR(AE5="", B5=""),"", 'Lighting Inventory'!GR13)</f>
        <v/>
      </c>
      <c r="BD5" s="67" t="str">
        <f>IFERROR(IF(B5="", "", 'Lighting Inventory'!AF13)*AD5," ")</f>
        <v xml:space="preserve"> </v>
      </c>
      <c r="BE5" s="67"/>
      <c r="BF5" s="67"/>
    </row>
    <row r="6" spans="1:59" x14ac:dyDescent="0.25">
      <c r="A6" s="26" t="str">
        <f>IF(B6="", "", 'Lookup Tables'!AW7)</f>
        <v/>
      </c>
      <c r="B6" s="26" t="str">
        <f>IF(OR('Lighting Inventory'!Y14="", 'Lighting Inventory'!V14="No Change"),"", 'Lighting Inventory'!Y14)</f>
        <v/>
      </c>
      <c r="C6" s="26" t="str">
        <f>IF(B6="", "", IF('Lighting Inventory'!Y14='Lookup Tables'!$Y$32, 'Lighting Inventory'!AJ14, IF(AD6=0, R6, AD6)))</f>
        <v/>
      </c>
      <c r="D6" s="26" t="str">
        <f>IF(B6="", "", 'General Information'!$F$14)</f>
        <v/>
      </c>
      <c r="E6" s="26" t="str">
        <f t="shared" si="0"/>
        <v/>
      </c>
      <c r="F6" s="26" t="str">
        <f>IF(B6="", "", CONCATENATE('General Information'!$F$9, " - ", 'General Information'!$F$14))</f>
        <v/>
      </c>
      <c r="G6" s="26" t="str">
        <f>IF(B6="", "", 'General Information'!$F$15)</f>
        <v/>
      </c>
      <c r="H6" s="26" t="str">
        <f>IF(B6="", "", IF(VLOOKUP(B6, 'Lookup Tables'!$Y$18:$AA$34, 2, FALSE)="Traffic", VLOOKUP('Lighting Inventory'!W14, 'Lookup Tables'!#REF!, 11, FALSE), VLOOKUP(B6, 'Lookup Tables'!$Y$18:$AA$34, 2, FALSE)))</f>
        <v/>
      </c>
      <c r="I6" s="26" t="str">
        <f>IF(B6="", "", CONCATENATE(D6, 'Data Export'!A6))</f>
        <v/>
      </c>
      <c r="J6" s="26" t="str">
        <f>IF(B6="", "", 'Lookup Tables'!$B$1)</f>
        <v/>
      </c>
      <c r="K6" s="26" t="str">
        <f>IF(B6="", "", 'Lighting Inventory'!B14)</f>
        <v/>
      </c>
      <c r="L6" s="26" t="str">
        <f>IF(B6="", "", 'Lighting Inventory'!C14)</f>
        <v/>
      </c>
      <c r="M6" s="26" t="str">
        <f>IF(B6="", "",'Lighting Inventory'!D14)</f>
        <v/>
      </c>
      <c r="N6" s="26" t="str">
        <f>IF(B6="", "",'Lighting Inventory'!E14)</f>
        <v/>
      </c>
      <c r="O6" s="26" t="str">
        <f>IF(B6="", "", 'Lighting Inventory'!F14)</f>
        <v/>
      </c>
      <c r="P6" s="26" t="str">
        <f>IF(B6="", "", 'Lighting Inventory'!G14)</f>
        <v/>
      </c>
      <c r="Q6" s="26" t="str">
        <f>IF(B6="", "", 'Lighting Inventory'!H14)</f>
        <v/>
      </c>
      <c r="R6" s="26" t="str">
        <f>IF(B6="", "", 'Lighting Inventory'!I14)</f>
        <v/>
      </c>
      <c r="S6" s="26" t="str">
        <f>IF(B6="", "", 'Lighting Inventory'!J14)</f>
        <v/>
      </c>
      <c r="T6" s="26" t="str">
        <f>IFERROR(IF(B6="","",VLOOKUP(S6,'Fixture Identities'!$A$7:$G$1023,5,FALSE)), "New Construction")</f>
        <v/>
      </c>
      <c r="U6" s="26" t="str">
        <f>IFERROR(IF(B6="", "", IF(K6="New Construction", "NC", IF(VLOOKUP(S6, 'Fixture Identities'!$A$7:$I$1023,3, FALSE)="T12 Linear Fluorescent", VLOOKUP(S6, 'Fixture Identities'!$A$7:$K$1012, 11, FALSE), S6))), "")</f>
        <v/>
      </c>
      <c r="V6" s="26" t="str">
        <f>IFERROR(IF(OR(B6="", U6=0), "", VLOOKUP(U6, 'Fixture Identities'!$A$7:$G$1023, 5, FALSE)), "")</f>
        <v/>
      </c>
      <c r="W6" s="26" t="str">
        <f>IF(B6="", "",'Lighting Inventory'!K14)</f>
        <v/>
      </c>
      <c r="X6" s="65" t="str">
        <f>IF(B6="", "", 'Lighting Inventory'!L14)</f>
        <v/>
      </c>
      <c r="Y6" s="26" t="str">
        <f>IF(B6="", "", IF('Lighting Inventory'!M14="", "Light Switch",'Lighting Inventory'!M14))</f>
        <v/>
      </c>
      <c r="Z6" s="26" t="str">
        <f>IF(OR(K6="Retrofit", B6=""), "", 'Lighting Inventory'!N14)</f>
        <v/>
      </c>
      <c r="AA6" s="26" t="str">
        <f>IF(OR(Z6="",B6=""), "", 'Lighting Inventory'!O14)</f>
        <v/>
      </c>
      <c r="AB6" s="26" t="str">
        <f>IF(B6="", "", 'Lighting Inventory'!P14)</f>
        <v/>
      </c>
      <c r="AC6" s="96" t="str">
        <f>IF(B6="", "", 'Lighting Inventory'!R14)</f>
        <v/>
      </c>
      <c r="AD6" s="26" t="str">
        <f>IF(B6="", "", 'Lighting Inventory'!S14)</f>
        <v/>
      </c>
      <c r="AE6" s="26" t="str">
        <f>IF(B6="", "", 'Lighting Inventory'!V14)</f>
        <v/>
      </c>
      <c r="AF6" s="26" t="str">
        <f>IF(B6="", "", 'Lighting Inventory'!W14)</f>
        <v/>
      </c>
      <c r="AG6" s="26" t="str">
        <f>IF(OR(AF6="", B6=""), "", IF(AE6="Custom", "0", VLOOKUP(AF6, 'Lookup Tables'!$AI$6:$AP$102, 8, FALSE)))</f>
        <v/>
      </c>
      <c r="AH6" s="26" t="str">
        <f>IF(B6="", "", 'Lighting Inventory'!AD14)</f>
        <v/>
      </c>
      <c r="AI6" s="26" t="str">
        <f>IF(OR('Lighting Inventory'!AK14="", B6=""), "", 'Lighting Inventory'!AK14)</f>
        <v/>
      </c>
      <c r="AJ6" s="66" t="str">
        <f>IF(B6="", "", 'Lighting Inventory'!AL14)</f>
        <v/>
      </c>
      <c r="AK6" s="65" t="str">
        <f>IF(B6="", "", 'Lighting Inventory'!AM14)</f>
        <v/>
      </c>
      <c r="AL6" s="26" t="str">
        <f>IF(B6="", "", 'Lighting Inventory'!AN14)</f>
        <v/>
      </c>
      <c r="AM6" s="26" t="str">
        <f t="shared" si="1"/>
        <v/>
      </c>
      <c r="AN6" s="26" t="str">
        <f>IF(B6="","",IF('Lighting Inventory'!AV14="","Prescribed",'Lighting Inventory'!AV14))</f>
        <v/>
      </c>
      <c r="AO6" s="66" t="str">
        <f>IF(B6="", "", 'Lighting Inventory'!AX14)</f>
        <v/>
      </c>
      <c r="AP6" s="67" t="str">
        <f>IF(B6="", "", 'Lighting Inventory'!AZ14)</f>
        <v/>
      </c>
      <c r="AQ6" s="67" t="str">
        <f>IF(B6="", "", 'Lighting Inventory'!BA14)</f>
        <v/>
      </c>
      <c r="AR6" s="67" t="str">
        <f>IF(B6="", "", 'Lighting Inventory'!BB14)</f>
        <v/>
      </c>
      <c r="AS6" s="67" t="str">
        <f>IF(B6="", "", 'Lighting Inventory'!BC14)</f>
        <v/>
      </c>
      <c r="AT6" s="67" t="str">
        <f>IF(B6="", "", 'Lighting Inventory'!BD14)</f>
        <v/>
      </c>
      <c r="AU6" s="67" t="str">
        <f>IF(B6="", "", 'Lighting Inventory'!BE14)</f>
        <v/>
      </c>
      <c r="AV6" s="67" t="str">
        <f>IF(B6="", "", 'Lighting Inventory'!BE14)</f>
        <v/>
      </c>
      <c r="AW6" s="67" t="str">
        <f>IF(B6="", "", 'Lighting Inventory'!BF14)</f>
        <v/>
      </c>
      <c r="AX6" s="67" t="str">
        <f>IF(B6="", "", 'Lighting Inventory'!BF14)</f>
        <v/>
      </c>
      <c r="AY6" s="65" t="str">
        <f t="shared" si="2"/>
        <v/>
      </c>
      <c r="AZ6" s="65" t="str">
        <f>IF(B6="", "", 'Lighting Inventory'!BJ14)</f>
        <v/>
      </c>
      <c r="BA6" s="65" t="str">
        <f>IF(B6="", "", 'Lighting Inventory'!BM14)</f>
        <v/>
      </c>
      <c r="BB6" s="65" t="str">
        <f>IF(B6="","",SUM('Lighting Inventory'!BP14:BP14))</f>
        <v/>
      </c>
      <c r="BC6" s="67" t="str">
        <f>IF(OR(AE6="", B6=""),"", 'Lighting Inventory'!GR14)</f>
        <v/>
      </c>
      <c r="BD6" s="67" t="str">
        <f>IFERROR(IF(B6="", "", 'Lighting Inventory'!AF14)*AD6," ")</f>
        <v xml:space="preserve"> </v>
      </c>
      <c r="BE6" s="67"/>
      <c r="BF6" s="67"/>
    </row>
    <row r="7" spans="1:59" x14ac:dyDescent="0.25">
      <c r="A7" s="26" t="str">
        <f>IF(B7="", "", 'Lookup Tables'!AW8)</f>
        <v/>
      </c>
      <c r="B7" s="26" t="str">
        <f>IF(OR('Lighting Inventory'!Y15="", 'Lighting Inventory'!V15="No Change"),"", 'Lighting Inventory'!Y15)</f>
        <v/>
      </c>
      <c r="C7" s="26" t="str">
        <f>IF(B7="", "", IF('Lighting Inventory'!Y15='Lookup Tables'!$Y$32, 'Lighting Inventory'!AJ15, IF(AD7=0, R7, AD7)))</f>
        <v/>
      </c>
      <c r="D7" s="26" t="str">
        <f>IF(B7="", "", 'General Information'!$F$14)</f>
        <v/>
      </c>
      <c r="E7" s="26" t="str">
        <f t="shared" si="0"/>
        <v/>
      </c>
      <c r="F7" s="26" t="str">
        <f>IF(B7="", "", CONCATENATE('General Information'!$F$9, " - ", 'General Information'!$F$14))</f>
        <v/>
      </c>
      <c r="G7" s="26" t="str">
        <f>IF(B7="", "", 'General Information'!$F$15)</f>
        <v/>
      </c>
      <c r="H7" s="26" t="str">
        <f>IF(B7="", "", IF(VLOOKUP(B7, 'Lookup Tables'!$Y$18:$AA$34, 2, FALSE)="Traffic", VLOOKUP('Lighting Inventory'!W15, 'Lookup Tables'!#REF!, 11, FALSE), VLOOKUP(B7, 'Lookup Tables'!$Y$18:$AA$34, 2, FALSE)))</f>
        <v/>
      </c>
      <c r="I7" s="26" t="str">
        <f>IF(B7="", "", CONCATENATE(D7, 'Data Export'!A7))</f>
        <v/>
      </c>
      <c r="J7" s="26" t="str">
        <f>IF(B7="", "", 'Lookup Tables'!$B$1)</f>
        <v/>
      </c>
      <c r="K7" s="26" t="str">
        <f>IF(B7="", "", 'Lighting Inventory'!B15)</f>
        <v/>
      </c>
      <c r="L7" s="26" t="str">
        <f>IF(B7="", "", 'Lighting Inventory'!C15)</f>
        <v/>
      </c>
      <c r="M7" s="26" t="str">
        <f>IF(B7="", "",'Lighting Inventory'!D15)</f>
        <v/>
      </c>
      <c r="N7" s="26" t="str">
        <f>IF(B7="", "",'Lighting Inventory'!E15)</f>
        <v/>
      </c>
      <c r="O7" s="26" t="str">
        <f>IF(B7="", "", 'Lighting Inventory'!F15)</f>
        <v/>
      </c>
      <c r="P7" s="26" t="str">
        <f>IF(B7="", "", 'Lighting Inventory'!G15)</f>
        <v/>
      </c>
      <c r="Q7" s="26" t="str">
        <f>IF(B7="", "", 'Lighting Inventory'!H15)</f>
        <v/>
      </c>
      <c r="R7" s="26" t="str">
        <f>IF(B7="", "", 'Lighting Inventory'!I15)</f>
        <v/>
      </c>
      <c r="S7" s="26" t="str">
        <f>IF(B7="", "", 'Lighting Inventory'!J15)</f>
        <v/>
      </c>
      <c r="T7" s="26" t="str">
        <f>IFERROR(IF(B7="","",VLOOKUP(S7,'Fixture Identities'!$A$7:$G$1023,5,FALSE)), "New Construction")</f>
        <v/>
      </c>
      <c r="U7" s="26" t="str">
        <f>IFERROR(IF(B7="", "", IF(K7="New Construction", "NC", IF(VLOOKUP(S7, 'Fixture Identities'!$A$7:$I$1023,3, FALSE)="T12 Linear Fluorescent", VLOOKUP(S7, 'Fixture Identities'!$A$7:$K$1012, 11, FALSE), S7))), "")</f>
        <v/>
      </c>
      <c r="V7" s="26" t="str">
        <f>IFERROR(IF(OR(B7="", U7=0), "", VLOOKUP(U7, 'Fixture Identities'!$A$7:$G$1023, 5, FALSE)), "")</f>
        <v/>
      </c>
      <c r="W7" s="26" t="str">
        <f>IF(B7="", "",'Lighting Inventory'!K15)</f>
        <v/>
      </c>
      <c r="X7" s="65" t="str">
        <f>IF(B7="", "", 'Lighting Inventory'!L15)</f>
        <v/>
      </c>
      <c r="Y7" s="26" t="str">
        <f>IF(B7="", "", IF('Lighting Inventory'!M15="", "Light Switch",'Lighting Inventory'!M15))</f>
        <v/>
      </c>
      <c r="Z7" s="26" t="str">
        <f>IF(OR(K7="Retrofit", B7=""), "", 'Lighting Inventory'!N15)</f>
        <v/>
      </c>
      <c r="AA7" s="26" t="str">
        <f>IF(OR(Z7="",B7=""), "", 'Lighting Inventory'!O15)</f>
        <v/>
      </c>
      <c r="AB7" s="26" t="str">
        <f>IF(B7="", "", 'Lighting Inventory'!P15)</f>
        <v/>
      </c>
      <c r="AC7" s="96" t="str">
        <f>IF(B7="", "", 'Lighting Inventory'!R15)</f>
        <v/>
      </c>
      <c r="AD7" s="26" t="str">
        <f>IF(B7="", "", 'Lighting Inventory'!S15)</f>
        <v/>
      </c>
      <c r="AE7" s="26" t="str">
        <f>IF(B7="", "", 'Lighting Inventory'!V15)</f>
        <v/>
      </c>
      <c r="AF7" s="26" t="str">
        <f>IF(B7="", "", 'Lighting Inventory'!W15)</f>
        <v/>
      </c>
      <c r="AG7" s="26" t="str">
        <f>IF(OR(AF7="", B7=""), "", IF(AE7="Custom", "0", VLOOKUP(AF7, 'Lookup Tables'!$AI$6:$AP$102, 8, FALSE)))</f>
        <v/>
      </c>
      <c r="AH7" s="26" t="str">
        <f>IF(B7="", "", 'Lighting Inventory'!AD15)</f>
        <v/>
      </c>
      <c r="AI7" s="26" t="str">
        <f>IF(OR('Lighting Inventory'!AK15="", B7=""), "", 'Lighting Inventory'!AK15)</f>
        <v/>
      </c>
      <c r="AJ7" s="66" t="str">
        <f>IF(B7="", "", 'Lighting Inventory'!AL15)</f>
        <v/>
      </c>
      <c r="AK7" s="65" t="str">
        <f>IF(B7="", "", 'Lighting Inventory'!AM15)</f>
        <v/>
      </c>
      <c r="AL7" s="26" t="str">
        <f>IF(B7="", "", 'Lighting Inventory'!AN15)</f>
        <v/>
      </c>
      <c r="AM7" s="26" t="str">
        <f t="shared" si="1"/>
        <v/>
      </c>
      <c r="AN7" s="26" t="str">
        <f>IF(B7="","",IF('Lighting Inventory'!AV15="","Prescribed",'Lighting Inventory'!AV15))</f>
        <v/>
      </c>
      <c r="AO7" s="66" t="str">
        <f>IF(B7="", "", 'Lighting Inventory'!AX15)</f>
        <v/>
      </c>
      <c r="AP7" s="67" t="str">
        <f>IF(B7="", "", 'Lighting Inventory'!AZ15)</f>
        <v/>
      </c>
      <c r="AQ7" s="67" t="str">
        <f>IF(B7="", "", 'Lighting Inventory'!BA15)</f>
        <v/>
      </c>
      <c r="AR7" s="67" t="str">
        <f>IF(B7="", "", 'Lighting Inventory'!BB15)</f>
        <v/>
      </c>
      <c r="AS7" s="67" t="str">
        <f>IF(B7="", "", 'Lighting Inventory'!BC15)</f>
        <v/>
      </c>
      <c r="AT7" s="67" t="str">
        <f>IF(B7="", "", 'Lighting Inventory'!BD15)</f>
        <v/>
      </c>
      <c r="AU7" s="67" t="str">
        <f>IF(B7="", "", 'Lighting Inventory'!BE15)</f>
        <v/>
      </c>
      <c r="AV7" s="67" t="str">
        <f>IF(B7="", "", 'Lighting Inventory'!BE15)</f>
        <v/>
      </c>
      <c r="AW7" s="67" t="str">
        <f>IF(B7="", "", 'Lighting Inventory'!BF15)</f>
        <v/>
      </c>
      <c r="AX7" s="67" t="str">
        <f>IF(B7="", "", 'Lighting Inventory'!BF15)</f>
        <v/>
      </c>
      <c r="AY7" s="65" t="str">
        <f t="shared" si="2"/>
        <v/>
      </c>
      <c r="AZ7" s="65" t="str">
        <f>IF(B7="", "", 'Lighting Inventory'!BJ15)</f>
        <v/>
      </c>
      <c r="BA7" s="65" t="str">
        <f>IF(B7="", "", 'Lighting Inventory'!BM15)</f>
        <v/>
      </c>
      <c r="BB7" s="65" t="str">
        <f>IF(B7="","",SUM('Lighting Inventory'!BP15:BP15))</f>
        <v/>
      </c>
      <c r="BC7" s="67" t="str">
        <f>IF(OR(AE7="", B7=""),"", 'Lighting Inventory'!GR15)</f>
        <v/>
      </c>
      <c r="BD7" s="67" t="str">
        <f>IFERROR(IF(B7="", "", 'Lighting Inventory'!AF15)*AD7," ")</f>
        <v xml:space="preserve"> </v>
      </c>
      <c r="BE7" s="67"/>
      <c r="BF7" s="67"/>
    </row>
    <row r="8" spans="1:59" x14ac:dyDescent="0.25">
      <c r="A8" s="26" t="str">
        <f>IF(B8="", "", 'Lookup Tables'!AW9)</f>
        <v/>
      </c>
      <c r="B8" s="26" t="str">
        <f>IF(OR('Lighting Inventory'!Y16="", 'Lighting Inventory'!V16="No Change"),"", 'Lighting Inventory'!Y16)</f>
        <v/>
      </c>
      <c r="C8" s="26" t="str">
        <f>IF(B8="", "", IF('Lighting Inventory'!Y16='Lookup Tables'!$Y$32, 'Lighting Inventory'!AJ16, IF(AD8=0, R8, AD8)))</f>
        <v/>
      </c>
      <c r="D8" s="26" t="str">
        <f>IF(B8="", "", 'General Information'!$F$14)</f>
        <v/>
      </c>
      <c r="E8" s="26" t="str">
        <f t="shared" si="0"/>
        <v/>
      </c>
      <c r="F8" s="26" t="str">
        <f>IF(B8="", "", CONCATENATE('General Information'!$F$9, " - ", 'General Information'!$F$14))</f>
        <v/>
      </c>
      <c r="G8" s="26" t="str">
        <f>IF(B8="", "", 'General Information'!$F$15)</f>
        <v/>
      </c>
      <c r="H8" s="26" t="str">
        <f>IF(B8="", "", IF(VLOOKUP(B8, 'Lookup Tables'!$Y$18:$AA$34, 2, FALSE)="Traffic", VLOOKUP('Lighting Inventory'!W16, 'Lookup Tables'!#REF!, 11, FALSE), VLOOKUP(B8, 'Lookup Tables'!$Y$18:$AA$34, 2, FALSE)))</f>
        <v/>
      </c>
      <c r="I8" s="26" t="str">
        <f>IF(B8="", "", CONCATENATE(D8, 'Data Export'!A8))</f>
        <v/>
      </c>
      <c r="J8" s="26" t="str">
        <f>IF(B8="", "", 'Lookup Tables'!$B$1)</f>
        <v/>
      </c>
      <c r="K8" s="26" t="str">
        <f>IF(B8="", "", 'Lighting Inventory'!B16)</f>
        <v/>
      </c>
      <c r="L8" s="26" t="str">
        <f>IF(B8="", "", 'Lighting Inventory'!C16)</f>
        <v/>
      </c>
      <c r="M8" s="26" t="str">
        <f>IF(B8="", "",'Lighting Inventory'!D16)</f>
        <v/>
      </c>
      <c r="N8" s="26" t="str">
        <f>IF(B8="", "",'Lighting Inventory'!E16)</f>
        <v/>
      </c>
      <c r="O8" s="26" t="str">
        <f>IF(B8="", "", 'Lighting Inventory'!F16)</f>
        <v/>
      </c>
      <c r="P8" s="26" t="str">
        <f>IF(B8="", "", 'Lighting Inventory'!G16)</f>
        <v/>
      </c>
      <c r="Q8" s="26" t="str">
        <f>IF(B8="", "", 'Lighting Inventory'!H16)</f>
        <v/>
      </c>
      <c r="R8" s="26" t="str">
        <f>IF(B8="", "", 'Lighting Inventory'!I16)</f>
        <v/>
      </c>
      <c r="S8" s="26" t="str">
        <f>IF(B8="", "", 'Lighting Inventory'!J16)</f>
        <v/>
      </c>
      <c r="T8" s="26" t="str">
        <f>IFERROR(IF(B8="","",VLOOKUP(S8,'Fixture Identities'!$A$7:$G$1023,5,FALSE)), "New Construction")</f>
        <v/>
      </c>
      <c r="U8" s="26" t="str">
        <f>IFERROR(IF(B8="", "", IF(K8="New Construction", "NC", IF(VLOOKUP(S8, 'Fixture Identities'!$A$7:$I$1023,3, FALSE)="T12 Linear Fluorescent", VLOOKUP(S8, 'Fixture Identities'!$A$7:$K$1012, 11, FALSE), S8))), "")</f>
        <v/>
      </c>
      <c r="V8" s="26" t="str">
        <f>IFERROR(IF(OR(B8="", U8=0), "", VLOOKUP(U8, 'Fixture Identities'!$A$7:$G$1023, 5, FALSE)), "")</f>
        <v/>
      </c>
      <c r="W8" s="26" t="str">
        <f>IF(B8="", "",'Lighting Inventory'!K16)</f>
        <v/>
      </c>
      <c r="X8" s="65" t="str">
        <f>IF(B8="", "", 'Lighting Inventory'!L16)</f>
        <v/>
      </c>
      <c r="Y8" s="26" t="str">
        <f>IF(B8="", "", IF('Lighting Inventory'!M16="", "Light Switch",'Lighting Inventory'!M16))</f>
        <v/>
      </c>
      <c r="Z8" s="26" t="str">
        <f>IF(OR(K8="Retrofit", B8=""), "", 'Lighting Inventory'!N16)</f>
        <v/>
      </c>
      <c r="AA8" s="26" t="str">
        <f>IF(OR(Z8="",B8=""), "", 'Lighting Inventory'!O16)</f>
        <v/>
      </c>
      <c r="AB8" s="26" t="str">
        <f>IF(B8="", "", 'Lighting Inventory'!P16)</f>
        <v/>
      </c>
      <c r="AC8" s="96" t="str">
        <f>IF(B8="", "", 'Lighting Inventory'!R16)</f>
        <v/>
      </c>
      <c r="AD8" s="26" t="str">
        <f>IF(B8="", "", 'Lighting Inventory'!S16)</f>
        <v/>
      </c>
      <c r="AE8" s="26" t="str">
        <f>IF(B8="", "", 'Lighting Inventory'!V16)</f>
        <v/>
      </c>
      <c r="AF8" s="26" t="str">
        <f>IF(B8="", "", 'Lighting Inventory'!W16)</f>
        <v/>
      </c>
      <c r="AG8" s="26" t="str">
        <f>IF(OR(AF8="", B8=""), "", IF(AE8="Custom", "0", VLOOKUP(AF8, 'Lookup Tables'!$AI$6:$AP$102, 8, FALSE)))</f>
        <v/>
      </c>
      <c r="AH8" s="26" t="str">
        <f>IF(B8="", "", 'Lighting Inventory'!AD16)</f>
        <v/>
      </c>
      <c r="AI8" s="26" t="str">
        <f>IF(OR('Lighting Inventory'!AK16="", B8=""), "", 'Lighting Inventory'!AK16)</f>
        <v/>
      </c>
      <c r="AJ8" s="66" t="str">
        <f>IF(B8="", "", 'Lighting Inventory'!AL16)</f>
        <v/>
      </c>
      <c r="AK8" s="65" t="str">
        <f>IF(B8="", "", 'Lighting Inventory'!AM16)</f>
        <v/>
      </c>
      <c r="AL8" s="26" t="str">
        <f>IF(B8="", "", 'Lighting Inventory'!AN16)</f>
        <v/>
      </c>
      <c r="AM8" s="26" t="str">
        <f t="shared" si="1"/>
        <v/>
      </c>
      <c r="AN8" s="26" t="str">
        <f>IF(B8="","",IF('Lighting Inventory'!AV16="","Prescribed",'Lighting Inventory'!AV16))</f>
        <v/>
      </c>
      <c r="AO8" s="66" t="str">
        <f>IF(B8="", "", 'Lighting Inventory'!AX16)</f>
        <v/>
      </c>
      <c r="AP8" s="67" t="str">
        <f>IF(B8="", "", 'Lighting Inventory'!AZ16)</f>
        <v/>
      </c>
      <c r="AQ8" s="67" t="str">
        <f>IF(B8="", "", 'Lighting Inventory'!BA16)</f>
        <v/>
      </c>
      <c r="AR8" s="67" t="str">
        <f>IF(B8="", "", 'Lighting Inventory'!BB16)</f>
        <v/>
      </c>
      <c r="AS8" s="67" t="str">
        <f>IF(B8="", "", 'Lighting Inventory'!BC16)</f>
        <v/>
      </c>
      <c r="AT8" s="67" t="str">
        <f>IF(B8="", "", 'Lighting Inventory'!BD16)</f>
        <v/>
      </c>
      <c r="AU8" s="67" t="str">
        <f>IF(B8="", "", 'Lighting Inventory'!BE16)</f>
        <v/>
      </c>
      <c r="AV8" s="67" t="str">
        <f>IF(B8="", "", 'Lighting Inventory'!BE16)</f>
        <v/>
      </c>
      <c r="AW8" s="67" t="str">
        <f>IF(B8="", "", 'Lighting Inventory'!BF16)</f>
        <v/>
      </c>
      <c r="AX8" s="67" t="str">
        <f>IF(B8="", "", 'Lighting Inventory'!BF16)</f>
        <v/>
      </c>
      <c r="AY8" s="65" t="str">
        <f t="shared" si="2"/>
        <v/>
      </c>
      <c r="AZ8" s="65" t="str">
        <f>IF(B8="", "", 'Lighting Inventory'!BJ16)</f>
        <v/>
      </c>
      <c r="BA8" s="65" t="str">
        <f>IF(B8="", "", 'Lighting Inventory'!BM16)</f>
        <v/>
      </c>
      <c r="BB8" s="65" t="str">
        <f>IF(B8="","",SUM('Lighting Inventory'!BP16:BP16))</f>
        <v/>
      </c>
      <c r="BC8" s="67" t="str">
        <f>IF(OR(AE8="", B8=""),"", 'Lighting Inventory'!GR16)</f>
        <v/>
      </c>
      <c r="BD8" s="67" t="str">
        <f>IFERROR(IF(B8="", "", 'Lighting Inventory'!AF16)*AD8," ")</f>
        <v xml:space="preserve"> </v>
      </c>
      <c r="BE8" s="67"/>
      <c r="BF8" s="67"/>
    </row>
    <row r="9" spans="1:59" x14ac:dyDescent="0.25">
      <c r="A9" s="26" t="str">
        <f>IF(B9="", "", 'Lookup Tables'!AW10)</f>
        <v/>
      </c>
      <c r="B9" s="26" t="str">
        <f>IF(OR('Lighting Inventory'!Y17="", 'Lighting Inventory'!V17="No Change"),"", 'Lighting Inventory'!Y17)</f>
        <v/>
      </c>
      <c r="C9" s="26" t="str">
        <f>IF(B9="", "", IF('Lighting Inventory'!Y17='Lookup Tables'!$Y$32, 'Lighting Inventory'!AJ17, IF(AD9=0, R9, AD9)))</f>
        <v/>
      </c>
      <c r="D9" s="26" t="str">
        <f>IF(B9="", "", 'General Information'!$F$14)</f>
        <v/>
      </c>
      <c r="E9" s="26" t="str">
        <f t="shared" ref="E9:E72" si="3">IF(B9="", "", "FPPLPR")</f>
        <v/>
      </c>
      <c r="F9" s="26" t="str">
        <f>IF(B9="", "", CONCATENATE('General Information'!$F$9, " - ", 'General Information'!$F$14))</f>
        <v/>
      </c>
      <c r="G9" s="26" t="str">
        <f>IF(B9="", "", 'General Information'!$F$15)</f>
        <v/>
      </c>
      <c r="H9" s="26" t="str">
        <f>IF(B9="", "", IF(VLOOKUP(B9, 'Lookup Tables'!$Y$18:$AA$34, 2, FALSE)="Traffic", VLOOKUP('Lighting Inventory'!W17, 'Lookup Tables'!#REF!, 11, FALSE), VLOOKUP(B9, 'Lookup Tables'!$Y$18:$AA$34, 2, FALSE)))</f>
        <v/>
      </c>
      <c r="I9" s="26" t="str">
        <f>IF(B9="", "", CONCATENATE(D9, 'Data Export'!A9))</f>
        <v/>
      </c>
      <c r="J9" s="26" t="str">
        <f>IF(B9="", "", 'Lookup Tables'!$B$1)</f>
        <v/>
      </c>
      <c r="K9" s="26" t="str">
        <f>IF(B9="", "", 'Lighting Inventory'!B17)</f>
        <v/>
      </c>
      <c r="L9" s="26" t="str">
        <f>IF(B9="", "", 'Lighting Inventory'!C17)</f>
        <v/>
      </c>
      <c r="M9" s="26" t="str">
        <f>IF(B9="", "",'Lighting Inventory'!D17)</f>
        <v/>
      </c>
      <c r="N9" s="26" t="str">
        <f>IF(B9="", "",'Lighting Inventory'!E17)</f>
        <v/>
      </c>
      <c r="O9" s="26" t="str">
        <f>IF(B9="", "", 'Lighting Inventory'!F17)</f>
        <v/>
      </c>
      <c r="P9" s="26" t="str">
        <f>IF(B9="", "", 'Lighting Inventory'!G17)</f>
        <v/>
      </c>
      <c r="Q9" s="26" t="str">
        <f>IF(B9="", "", 'Lighting Inventory'!H17)</f>
        <v/>
      </c>
      <c r="R9" s="26" t="str">
        <f>IF(B9="", "", 'Lighting Inventory'!I17)</f>
        <v/>
      </c>
      <c r="S9" s="26" t="str">
        <f>IF(B9="", "", 'Lighting Inventory'!J17)</f>
        <v/>
      </c>
      <c r="T9" s="26" t="str">
        <f>IFERROR(IF(B9="","",VLOOKUP(S9,'Fixture Identities'!$A$7:$G$1023,5,FALSE)), "New Construction")</f>
        <v/>
      </c>
      <c r="U9" s="26" t="str">
        <f>IFERROR(IF(B9="", "", IF(K9="New Construction", "NC", IF(VLOOKUP(S9, 'Fixture Identities'!$A$7:$I$1023,3, FALSE)="T12 Linear Fluorescent", VLOOKUP(S9, 'Fixture Identities'!$A$7:$K$1012, 11, FALSE), S9))), "")</f>
        <v/>
      </c>
      <c r="V9" s="26" t="str">
        <f>IFERROR(IF(OR(B9="", U9=0), "", VLOOKUP(U9, 'Fixture Identities'!$A$7:$G$1023, 5, FALSE)), "")</f>
        <v/>
      </c>
      <c r="W9" s="26" t="str">
        <f>IF(B9="", "",'Lighting Inventory'!K17)</f>
        <v/>
      </c>
      <c r="X9" s="65" t="str">
        <f>IF(B9="", "", 'Lighting Inventory'!L17)</f>
        <v/>
      </c>
      <c r="Y9" s="26" t="str">
        <f>IF(B9="", "", IF('Lighting Inventory'!M17="", "Light Switch",'Lighting Inventory'!M17))</f>
        <v/>
      </c>
      <c r="Z9" s="26" t="str">
        <f>IF(OR(K9="Retrofit", B9=""), "", 'Lighting Inventory'!N17)</f>
        <v/>
      </c>
      <c r="AA9" s="26" t="str">
        <f>IF(OR(Z9="",B9=""), "", 'Lighting Inventory'!O17)</f>
        <v/>
      </c>
      <c r="AB9" s="26" t="str">
        <f>IF(B9="", "", 'Lighting Inventory'!P17)</f>
        <v/>
      </c>
      <c r="AC9" s="96" t="str">
        <f>IF(B9="", "", 'Lighting Inventory'!R17)</f>
        <v/>
      </c>
      <c r="AD9" s="26" t="str">
        <f>IF(B9="", "", 'Lighting Inventory'!S17)</f>
        <v/>
      </c>
      <c r="AE9" s="26" t="str">
        <f>IF(B9="", "", 'Lighting Inventory'!V17)</f>
        <v/>
      </c>
      <c r="AF9" s="26" t="str">
        <f>IF(B9="", "", 'Lighting Inventory'!W17)</f>
        <v/>
      </c>
      <c r="AG9" s="26" t="str">
        <f>IF(OR(AF9="", B9=""), "", IF(AE9="Custom", "0", VLOOKUP(AF9, 'Lookup Tables'!$AI$6:$AP$102, 8, FALSE)))</f>
        <v/>
      </c>
      <c r="AH9" s="26" t="str">
        <f>IF(B9="", "", 'Lighting Inventory'!AD17)</f>
        <v/>
      </c>
      <c r="AI9" s="26" t="str">
        <f>IF(OR('Lighting Inventory'!AK17="", B9=""), "", 'Lighting Inventory'!AK17)</f>
        <v/>
      </c>
      <c r="AJ9" s="66" t="str">
        <f>IF(B9="", "", 'Lighting Inventory'!AL17)</f>
        <v/>
      </c>
      <c r="AK9" s="65" t="str">
        <f>IF(B9="", "", 'Lighting Inventory'!AM17)</f>
        <v/>
      </c>
      <c r="AL9" s="26" t="str">
        <f>IF(B9="", "", 'Lighting Inventory'!AN17)</f>
        <v/>
      </c>
      <c r="AM9" s="26" t="str">
        <f t="shared" si="1"/>
        <v/>
      </c>
      <c r="AN9" s="26" t="str">
        <f>IF(B9="","",IF('Lighting Inventory'!AV17="","Prescribed",'Lighting Inventory'!AV17))</f>
        <v/>
      </c>
      <c r="AO9" s="66" t="str">
        <f>IF(B9="", "", 'Lighting Inventory'!AX17)</f>
        <v/>
      </c>
      <c r="AP9" s="67" t="str">
        <f>IF(B9="", "", 'Lighting Inventory'!AZ17)</f>
        <v/>
      </c>
      <c r="AQ9" s="67" t="str">
        <f>IF(B9="", "", 'Lighting Inventory'!BA17)</f>
        <v/>
      </c>
      <c r="AR9" s="67" t="str">
        <f>IF(B9="", "", 'Lighting Inventory'!BB17)</f>
        <v/>
      </c>
      <c r="AS9" s="67" t="str">
        <f>IF(B9="", "", 'Lighting Inventory'!BC17)</f>
        <v/>
      </c>
      <c r="AT9" s="67" t="str">
        <f>IF(B9="", "", 'Lighting Inventory'!BD17)</f>
        <v/>
      </c>
      <c r="AU9" s="67" t="str">
        <f>IF(B9="", "", 'Lighting Inventory'!BE17)</f>
        <v/>
      </c>
      <c r="AV9" s="67" t="str">
        <f>IF(B9="", "", 'Lighting Inventory'!BE17)</f>
        <v/>
      </c>
      <c r="AW9" s="67" t="str">
        <f>IF(B9="", "", 'Lighting Inventory'!BF17)</f>
        <v/>
      </c>
      <c r="AX9" s="67" t="str">
        <f>IF(B9="", "", 'Lighting Inventory'!BF17)</f>
        <v/>
      </c>
      <c r="AY9" s="65" t="str">
        <f t="shared" ref="AY9:AY72" si="4">AZ9</f>
        <v/>
      </c>
      <c r="AZ9" s="65" t="str">
        <f>IF(B9="", "", 'Lighting Inventory'!BJ17)</f>
        <v/>
      </c>
      <c r="BA9" s="65" t="str">
        <f>IF(B9="", "", 'Lighting Inventory'!BM17)</f>
        <v/>
      </c>
      <c r="BB9" s="65" t="str">
        <f>IF(B9="","",SUM('Lighting Inventory'!BP17:BP17))</f>
        <v/>
      </c>
      <c r="BC9" s="67" t="str">
        <f>IF(OR(AE9="", B9=""),"", 'Lighting Inventory'!GR17)</f>
        <v/>
      </c>
      <c r="BD9" s="67" t="str">
        <f>IFERROR(IF(B9="", "", 'Lighting Inventory'!AF17)*AD9," ")</f>
        <v xml:space="preserve"> </v>
      </c>
      <c r="BE9" s="67"/>
      <c r="BF9" s="67"/>
    </row>
    <row r="10" spans="1:59" x14ac:dyDescent="0.25">
      <c r="A10" s="26" t="str">
        <f>IF(B10="", "", 'Lookup Tables'!AW11)</f>
        <v/>
      </c>
      <c r="B10" s="26" t="str">
        <f>IF(OR('Lighting Inventory'!Y18="", 'Lighting Inventory'!V18="No Change"),"", 'Lighting Inventory'!Y18)</f>
        <v/>
      </c>
      <c r="C10" s="26" t="str">
        <f>IF(B10="", "", IF('Lighting Inventory'!Y18='Lookup Tables'!$Y$32, 'Lighting Inventory'!AJ18, IF(AD10=0, R10, AD10)))</f>
        <v/>
      </c>
      <c r="D10" s="26" t="str">
        <f>IF(B10="", "", 'General Information'!$F$14)</f>
        <v/>
      </c>
      <c r="E10" s="26" t="str">
        <f t="shared" si="3"/>
        <v/>
      </c>
      <c r="F10" s="26" t="str">
        <f>IF(B10="", "", CONCATENATE('General Information'!$F$9, " - ", 'General Information'!$F$14))</f>
        <v/>
      </c>
      <c r="G10" s="26" t="str">
        <f>IF(B10="", "", 'General Information'!$F$15)</f>
        <v/>
      </c>
      <c r="H10" s="26" t="str">
        <f>IF(B10="", "", IF(VLOOKUP(B10, 'Lookup Tables'!$Y$18:$AA$34, 2, FALSE)="Traffic", VLOOKUP('Lighting Inventory'!W18, 'Lookup Tables'!#REF!, 11, FALSE), VLOOKUP(B10, 'Lookup Tables'!$Y$18:$AA$34, 2, FALSE)))</f>
        <v/>
      </c>
      <c r="I10" s="26" t="str">
        <f>IF(B10="", "", CONCATENATE(D10, 'Data Export'!A10))</f>
        <v/>
      </c>
      <c r="J10" s="26" t="str">
        <f>IF(B10="", "", 'Lookup Tables'!$B$1)</f>
        <v/>
      </c>
      <c r="K10" s="26" t="str">
        <f>IF(B10="", "", 'Lighting Inventory'!B18)</f>
        <v/>
      </c>
      <c r="L10" s="26" t="str">
        <f>IF(B10="", "", 'Lighting Inventory'!C18)</f>
        <v/>
      </c>
      <c r="M10" s="26" t="str">
        <f>IF(B10="", "",'Lighting Inventory'!D18)</f>
        <v/>
      </c>
      <c r="N10" s="26" t="str">
        <f>IF(B10="", "",'Lighting Inventory'!E18)</f>
        <v/>
      </c>
      <c r="O10" s="26" t="str">
        <f>IF(B10="", "", 'Lighting Inventory'!F18)</f>
        <v/>
      </c>
      <c r="P10" s="26" t="str">
        <f>IF(B10="", "", 'Lighting Inventory'!G18)</f>
        <v/>
      </c>
      <c r="Q10" s="26" t="str">
        <f>IF(B10="", "", 'Lighting Inventory'!H18)</f>
        <v/>
      </c>
      <c r="R10" s="26" t="str">
        <f>IF(B10="", "", 'Lighting Inventory'!I18)</f>
        <v/>
      </c>
      <c r="S10" s="26" t="str">
        <f>IF(B10="", "", 'Lighting Inventory'!J18)</f>
        <v/>
      </c>
      <c r="T10" s="26" t="str">
        <f>IFERROR(IF(B10="","",VLOOKUP(S10,'Fixture Identities'!$A$7:$G$1023,5,FALSE)), "New Construction")</f>
        <v/>
      </c>
      <c r="U10" s="26" t="str">
        <f>IFERROR(IF(B10="", "", IF(K10="New Construction", "NC", IF(VLOOKUP(S10, 'Fixture Identities'!$A$7:$I$1023,3, FALSE)="T12 Linear Fluorescent", VLOOKUP(S10, 'Fixture Identities'!$A$7:$K$1012, 11, FALSE), S10))), "")</f>
        <v/>
      </c>
      <c r="V10" s="26" t="str">
        <f>IFERROR(IF(OR(B10="", U10=0), "", VLOOKUP(U10, 'Fixture Identities'!$A$7:$G$1023, 5, FALSE)), "")</f>
        <v/>
      </c>
      <c r="W10" s="26" t="str">
        <f>IF(B10="", "",'Lighting Inventory'!K18)</f>
        <v/>
      </c>
      <c r="X10" s="65" t="str">
        <f>IF(B10="", "", 'Lighting Inventory'!L18)</f>
        <v/>
      </c>
      <c r="Y10" s="26" t="str">
        <f>IF(B10="", "", IF('Lighting Inventory'!M18="", "Light Switch",'Lighting Inventory'!M18))</f>
        <v/>
      </c>
      <c r="Z10" s="26" t="str">
        <f>IF(OR(K10="Retrofit", B10=""), "", 'Lighting Inventory'!N18)</f>
        <v/>
      </c>
      <c r="AA10" s="26" t="str">
        <f>IF(OR(Z10="",B10=""), "", 'Lighting Inventory'!O18)</f>
        <v/>
      </c>
      <c r="AB10" s="26" t="str">
        <f>IF(B10="", "", 'Lighting Inventory'!P18)</f>
        <v/>
      </c>
      <c r="AC10" s="96" t="str">
        <f>IF(B10="", "", 'Lighting Inventory'!R18)</f>
        <v/>
      </c>
      <c r="AD10" s="26" t="str">
        <f>IF(B10="", "", 'Lighting Inventory'!S18)</f>
        <v/>
      </c>
      <c r="AE10" s="26" t="str">
        <f>IF(B10="", "", 'Lighting Inventory'!V18)</f>
        <v/>
      </c>
      <c r="AF10" s="26" t="str">
        <f>IF(B10="", "", 'Lighting Inventory'!W18)</f>
        <v/>
      </c>
      <c r="AG10" s="26" t="str">
        <f>IF(OR(AF10="", B10=""), "", IF(AE10="Custom", "0", VLOOKUP(AF10, 'Lookup Tables'!$AI$6:$AP$102, 8, FALSE)))</f>
        <v/>
      </c>
      <c r="AH10" s="26" t="str">
        <f>IF(B10="", "", 'Lighting Inventory'!AD18)</f>
        <v/>
      </c>
      <c r="AI10" s="26" t="str">
        <f>IF(OR('Lighting Inventory'!AK18="", B10=""), "", 'Lighting Inventory'!AK18)</f>
        <v/>
      </c>
      <c r="AJ10" s="66" t="str">
        <f>IF(B10="", "", 'Lighting Inventory'!AL18)</f>
        <v/>
      </c>
      <c r="AK10" s="65" t="str">
        <f>IF(B10="", "", 'Lighting Inventory'!AM18)</f>
        <v/>
      </c>
      <c r="AL10" s="26" t="str">
        <f>IF(B10="", "", 'Lighting Inventory'!AN18)</f>
        <v/>
      </c>
      <c r="AM10" s="26" t="str">
        <f t="shared" si="1"/>
        <v/>
      </c>
      <c r="AN10" s="26" t="str">
        <f>IF(B10="","",IF('Lighting Inventory'!AV18="","Prescribed",'Lighting Inventory'!AV18))</f>
        <v/>
      </c>
      <c r="AO10" s="66" t="str">
        <f>IF(B10="", "", 'Lighting Inventory'!AX18)</f>
        <v/>
      </c>
      <c r="AP10" s="67" t="str">
        <f>IF(B10="", "", 'Lighting Inventory'!AZ18)</f>
        <v/>
      </c>
      <c r="AQ10" s="67" t="str">
        <f>IF(B10="", "", 'Lighting Inventory'!BA18)</f>
        <v/>
      </c>
      <c r="AR10" s="67" t="str">
        <f>IF(B10="", "", 'Lighting Inventory'!BB18)</f>
        <v/>
      </c>
      <c r="AS10" s="67" t="str">
        <f>IF(B10="", "", 'Lighting Inventory'!BC18)</f>
        <v/>
      </c>
      <c r="AT10" s="67" t="str">
        <f>IF(B10="", "", 'Lighting Inventory'!BD18)</f>
        <v/>
      </c>
      <c r="AU10" s="67" t="str">
        <f>IF(B10="", "", 'Lighting Inventory'!BE18)</f>
        <v/>
      </c>
      <c r="AV10" s="67" t="str">
        <f>IF(B10="", "", 'Lighting Inventory'!BE18)</f>
        <v/>
      </c>
      <c r="AW10" s="67" t="str">
        <f>IF(B10="", "", 'Lighting Inventory'!BF18)</f>
        <v/>
      </c>
      <c r="AX10" s="67" t="str">
        <f>IF(B10="", "", 'Lighting Inventory'!BF18)</f>
        <v/>
      </c>
      <c r="AY10" s="65" t="str">
        <f t="shared" si="4"/>
        <v/>
      </c>
      <c r="AZ10" s="65" t="str">
        <f>IF(B10="", "", 'Lighting Inventory'!BJ18)</f>
        <v/>
      </c>
      <c r="BA10" s="65" t="str">
        <f>IF(B10="", "", 'Lighting Inventory'!BM18)</f>
        <v/>
      </c>
      <c r="BB10" s="65" t="str">
        <f>IF(B10="","",SUM('Lighting Inventory'!BP18:BP18))</f>
        <v/>
      </c>
      <c r="BC10" s="67" t="str">
        <f>IF(OR(AE10="", B10=""),"", 'Lighting Inventory'!GR18)</f>
        <v/>
      </c>
      <c r="BD10" s="67" t="str">
        <f>IFERROR(IF(B10="", "", 'Lighting Inventory'!AF18)*AD10," ")</f>
        <v xml:space="preserve"> </v>
      </c>
      <c r="BE10" s="67"/>
      <c r="BF10" s="67"/>
    </row>
    <row r="11" spans="1:59" x14ac:dyDescent="0.25">
      <c r="A11" s="26" t="str">
        <f>IF(B11="", "", 'Lookup Tables'!AW12)</f>
        <v/>
      </c>
      <c r="B11" s="26" t="str">
        <f>IF(OR('Lighting Inventory'!Y19="", 'Lighting Inventory'!V19="No Change"),"", 'Lighting Inventory'!Y19)</f>
        <v/>
      </c>
      <c r="C11" s="26" t="str">
        <f>IF(B11="", "", IF('Lighting Inventory'!Y19='Lookup Tables'!$Y$32, 'Lighting Inventory'!AJ19, IF(AD11=0, R11, AD11)))</f>
        <v/>
      </c>
      <c r="D11" s="26" t="str">
        <f>IF(B11="", "", 'General Information'!$F$14)</f>
        <v/>
      </c>
      <c r="E11" s="26" t="str">
        <f t="shared" si="3"/>
        <v/>
      </c>
      <c r="F11" s="26" t="str">
        <f>IF(B11="", "", CONCATENATE('General Information'!$F$9, " - ", 'General Information'!$F$14))</f>
        <v/>
      </c>
      <c r="G11" s="26" t="str">
        <f>IF(B11="", "", 'General Information'!$F$15)</f>
        <v/>
      </c>
      <c r="H11" s="26" t="str">
        <f>IF(B11="", "", IF(VLOOKUP(B11, 'Lookup Tables'!$Y$18:$AA$34, 2, FALSE)="Traffic", VLOOKUP('Lighting Inventory'!W19, 'Lookup Tables'!#REF!, 11, FALSE), VLOOKUP(B11, 'Lookup Tables'!$Y$18:$AA$34, 2, FALSE)))</f>
        <v/>
      </c>
      <c r="I11" s="26" t="str">
        <f>IF(B11="", "", CONCATENATE(D11, 'Data Export'!A11))</f>
        <v/>
      </c>
      <c r="J11" s="26" t="str">
        <f>IF(B11="", "", 'Lookup Tables'!$B$1)</f>
        <v/>
      </c>
      <c r="K11" s="26" t="str">
        <f>IF(B11="", "", 'Lighting Inventory'!B19)</f>
        <v/>
      </c>
      <c r="L11" s="26" t="str">
        <f>IF(B11="", "", 'Lighting Inventory'!C19)</f>
        <v/>
      </c>
      <c r="M11" s="26" t="str">
        <f>IF(B11="", "",'Lighting Inventory'!D19)</f>
        <v/>
      </c>
      <c r="N11" s="26" t="str">
        <f>IF(B11="", "",'Lighting Inventory'!E19)</f>
        <v/>
      </c>
      <c r="O11" s="26" t="str">
        <f>IF(B11="", "", 'Lighting Inventory'!F19)</f>
        <v/>
      </c>
      <c r="P11" s="26" t="str">
        <f>IF(B11="", "", 'Lighting Inventory'!G19)</f>
        <v/>
      </c>
      <c r="Q11" s="26" t="str">
        <f>IF(B11="", "", 'Lighting Inventory'!H19)</f>
        <v/>
      </c>
      <c r="R11" s="26" t="str">
        <f>IF(B11="", "", 'Lighting Inventory'!I19)</f>
        <v/>
      </c>
      <c r="S11" s="26" t="str">
        <f>IF(B11="", "", 'Lighting Inventory'!J19)</f>
        <v/>
      </c>
      <c r="T11" s="26" t="str">
        <f>IFERROR(IF(B11="","",VLOOKUP(S11,'Fixture Identities'!$A$7:$G$1023,5,FALSE)), "New Construction")</f>
        <v/>
      </c>
      <c r="U11" s="26" t="str">
        <f>IFERROR(IF(B11="", "", IF(K11="New Construction", "NC", IF(VLOOKUP(S11, 'Fixture Identities'!$A$7:$I$1023,3, FALSE)="T12 Linear Fluorescent", VLOOKUP(S11, 'Fixture Identities'!$A$7:$K$1012, 11, FALSE), S11))), "")</f>
        <v/>
      </c>
      <c r="V11" s="26" t="str">
        <f>IFERROR(IF(OR(B11="", U11=0), "", VLOOKUP(U11, 'Fixture Identities'!$A$7:$G$1023, 5, FALSE)), "")</f>
        <v/>
      </c>
      <c r="W11" s="26" t="str">
        <f>IF(B11="", "",'Lighting Inventory'!K19)</f>
        <v/>
      </c>
      <c r="X11" s="65" t="str">
        <f>IF(B11="", "", 'Lighting Inventory'!L19)</f>
        <v/>
      </c>
      <c r="Y11" s="26" t="str">
        <f>IF(B11="", "", IF('Lighting Inventory'!M19="", "Light Switch",'Lighting Inventory'!M19))</f>
        <v/>
      </c>
      <c r="Z11" s="26" t="str">
        <f>IF(OR(K11="Retrofit", B11=""), "", 'Lighting Inventory'!N19)</f>
        <v/>
      </c>
      <c r="AA11" s="26" t="str">
        <f>IF(OR(Z11="",B11=""), "", 'Lighting Inventory'!O19)</f>
        <v/>
      </c>
      <c r="AB11" s="26" t="str">
        <f>IF(B11="", "", 'Lighting Inventory'!P19)</f>
        <v/>
      </c>
      <c r="AC11" s="96" t="str">
        <f>IF(B11="", "", 'Lighting Inventory'!R19)</f>
        <v/>
      </c>
      <c r="AD11" s="26" t="str">
        <f>IF(B11="", "", 'Lighting Inventory'!S19)</f>
        <v/>
      </c>
      <c r="AE11" s="26" t="str">
        <f>IF(B11="", "", 'Lighting Inventory'!V19)</f>
        <v/>
      </c>
      <c r="AF11" s="26" t="str">
        <f>IF(B11="", "", 'Lighting Inventory'!W19)</f>
        <v/>
      </c>
      <c r="AG11" s="26" t="str">
        <f>IF(OR(AF11="", B11=""), "", IF(AE11="Custom", "0", VLOOKUP(AF11, 'Lookup Tables'!$AI$6:$AP$102, 8, FALSE)))</f>
        <v/>
      </c>
      <c r="AH11" s="26" t="str">
        <f>IF(B11="", "", 'Lighting Inventory'!AD19)</f>
        <v/>
      </c>
      <c r="AI11" s="26" t="str">
        <f>IF(OR('Lighting Inventory'!AK19="", B11=""), "", 'Lighting Inventory'!AK19)</f>
        <v/>
      </c>
      <c r="AJ11" s="66" t="str">
        <f>IF(B11="", "", 'Lighting Inventory'!AL19)</f>
        <v/>
      </c>
      <c r="AK11" s="65" t="str">
        <f>IF(B11="", "", 'Lighting Inventory'!AM19)</f>
        <v/>
      </c>
      <c r="AL11" s="26" t="str">
        <f>IF(B11="", "", 'Lighting Inventory'!AN19)</f>
        <v/>
      </c>
      <c r="AM11" s="26" t="str">
        <f t="shared" si="1"/>
        <v/>
      </c>
      <c r="AN11" s="26" t="str">
        <f>IF(B11="","",IF('Lighting Inventory'!AV19="","Prescribed",'Lighting Inventory'!AV19))</f>
        <v/>
      </c>
      <c r="AO11" s="66" t="str">
        <f>IF(B11="", "", 'Lighting Inventory'!AX19)</f>
        <v/>
      </c>
      <c r="AP11" s="67" t="str">
        <f>IF(B11="", "", 'Lighting Inventory'!AZ19)</f>
        <v/>
      </c>
      <c r="AQ11" s="67" t="str">
        <f>IF(B11="", "", 'Lighting Inventory'!BA19)</f>
        <v/>
      </c>
      <c r="AR11" s="67" t="str">
        <f>IF(B11="", "", 'Lighting Inventory'!BB19)</f>
        <v/>
      </c>
      <c r="AS11" s="67" t="str">
        <f>IF(B11="", "", 'Lighting Inventory'!BC19)</f>
        <v/>
      </c>
      <c r="AT11" s="67" t="str">
        <f>IF(B11="", "", 'Lighting Inventory'!BD19)</f>
        <v/>
      </c>
      <c r="AU11" s="67" t="str">
        <f>IF(B11="", "", 'Lighting Inventory'!BE19)</f>
        <v/>
      </c>
      <c r="AV11" s="67" t="str">
        <f>IF(B11="", "", 'Lighting Inventory'!BE19)</f>
        <v/>
      </c>
      <c r="AW11" s="67" t="str">
        <f>IF(B11="", "", 'Lighting Inventory'!BF19)</f>
        <v/>
      </c>
      <c r="AX11" s="67" t="str">
        <f>IF(B11="", "", 'Lighting Inventory'!BF19)</f>
        <v/>
      </c>
      <c r="AY11" s="65" t="str">
        <f t="shared" si="4"/>
        <v/>
      </c>
      <c r="AZ11" s="65" t="str">
        <f>IF(B11="", "", 'Lighting Inventory'!BJ19)</f>
        <v/>
      </c>
      <c r="BA11" s="65" t="str">
        <f>IF(B11="", "", 'Lighting Inventory'!BM19)</f>
        <v/>
      </c>
      <c r="BB11" s="65" t="str">
        <f>IF(B11="","",SUM('Lighting Inventory'!BP19:BP19))</f>
        <v/>
      </c>
      <c r="BC11" s="67" t="str">
        <f>IF(OR(AE11="", B11=""),"", 'Lighting Inventory'!GR19)</f>
        <v/>
      </c>
      <c r="BD11" s="67" t="str">
        <f>IFERROR(IF(B11="", "", 'Lighting Inventory'!AF19)*AD11," ")</f>
        <v xml:space="preserve"> </v>
      </c>
      <c r="BE11" s="67"/>
      <c r="BF11" s="67"/>
    </row>
    <row r="12" spans="1:59" x14ac:dyDescent="0.25">
      <c r="A12" s="26" t="str">
        <f>IF(B12="", "", 'Lookup Tables'!AW13)</f>
        <v/>
      </c>
      <c r="B12" s="26" t="str">
        <f>IF(OR('Lighting Inventory'!Y20="", 'Lighting Inventory'!V20="No Change"),"", 'Lighting Inventory'!Y20)</f>
        <v/>
      </c>
      <c r="C12" s="26" t="str">
        <f>IF(B12="", "", IF('Lighting Inventory'!Y20='Lookup Tables'!$Y$32, 'Lighting Inventory'!AJ20, IF(AD12=0, R12, AD12)))</f>
        <v/>
      </c>
      <c r="D12" s="26" t="str">
        <f>IF(B12="", "", 'General Information'!$F$14)</f>
        <v/>
      </c>
      <c r="E12" s="26" t="str">
        <f t="shared" si="3"/>
        <v/>
      </c>
      <c r="F12" s="26" t="str">
        <f>IF(B12="", "", CONCATENATE('General Information'!$F$9, " - ", 'General Information'!$F$14))</f>
        <v/>
      </c>
      <c r="G12" s="26" t="str">
        <f>IF(B12="", "", 'General Information'!$F$15)</f>
        <v/>
      </c>
      <c r="H12" s="26" t="str">
        <f>IF(B12="", "", IF(VLOOKUP(B12, 'Lookup Tables'!$Y$18:$AA$34, 2, FALSE)="Traffic", VLOOKUP('Lighting Inventory'!W20, 'Lookup Tables'!#REF!, 11, FALSE), VLOOKUP(B12, 'Lookup Tables'!$Y$18:$AA$34, 2, FALSE)))</f>
        <v/>
      </c>
      <c r="I12" s="26" t="str">
        <f>IF(B12="", "", CONCATENATE(D12, 'Data Export'!A12))</f>
        <v/>
      </c>
      <c r="J12" s="26" t="str">
        <f>IF(B12="", "", 'Lookup Tables'!$B$1)</f>
        <v/>
      </c>
      <c r="K12" s="26" t="str">
        <f>IF(B12="", "", 'Lighting Inventory'!B20)</f>
        <v/>
      </c>
      <c r="L12" s="26" t="str">
        <f>IF(B12="", "", 'Lighting Inventory'!C20)</f>
        <v/>
      </c>
      <c r="M12" s="26" t="str">
        <f>IF(B12="", "",'Lighting Inventory'!D20)</f>
        <v/>
      </c>
      <c r="N12" s="26" t="str">
        <f>IF(B12="", "",'Lighting Inventory'!E20)</f>
        <v/>
      </c>
      <c r="O12" s="26" t="str">
        <f>IF(B12="", "", 'Lighting Inventory'!F20)</f>
        <v/>
      </c>
      <c r="P12" s="26" t="str">
        <f>IF(B12="", "", 'Lighting Inventory'!G20)</f>
        <v/>
      </c>
      <c r="Q12" s="26" t="str">
        <f>IF(B12="", "", 'Lighting Inventory'!H20)</f>
        <v/>
      </c>
      <c r="R12" s="26" t="str">
        <f>IF(B12="", "", 'Lighting Inventory'!I20)</f>
        <v/>
      </c>
      <c r="S12" s="26" t="str">
        <f>IF(B12="", "", 'Lighting Inventory'!J20)</f>
        <v/>
      </c>
      <c r="T12" s="26" t="str">
        <f>IFERROR(IF(B12="","",VLOOKUP(S12,'Fixture Identities'!$A$7:$G$1023,5,FALSE)), "New Construction")</f>
        <v/>
      </c>
      <c r="U12" s="26" t="str">
        <f>IFERROR(IF(B12="", "", IF(K12="New Construction", "NC", IF(VLOOKUP(S12, 'Fixture Identities'!$A$7:$I$1023,3, FALSE)="T12 Linear Fluorescent", VLOOKUP(S12, 'Fixture Identities'!$A$7:$K$1012, 11, FALSE), S12))), "")</f>
        <v/>
      </c>
      <c r="V12" s="26" t="str">
        <f>IFERROR(IF(OR(B12="", U12=0), "", VLOOKUP(U12, 'Fixture Identities'!$A$7:$G$1023, 5, FALSE)), "")</f>
        <v/>
      </c>
      <c r="W12" s="26" t="str">
        <f>IF(B12="", "",'Lighting Inventory'!K20)</f>
        <v/>
      </c>
      <c r="X12" s="65" t="str">
        <f>IF(B12="", "", 'Lighting Inventory'!L20)</f>
        <v/>
      </c>
      <c r="Y12" s="26" t="str">
        <f>IF(B12="", "", IF('Lighting Inventory'!M20="", "Light Switch",'Lighting Inventory'!M20))</f>
        <v/>
      </c>
      <c r="Z12" s="26" t="str">
        <f>IF(OR(K12="Retrofit", B12=""), "", 'Lighting Inventory'!N20)</f>
        <v/>
      </c>
      <c r="AA12" s="26" t="str">
        <f>IF(OR(Z12="",B12=""), "", 'Lighting Inventory'!O20)</f>
        <v/>
      </c>
      <c r="AB12" s="26" t="str">
        <f>IF(B12="", "", 'Lighting Inventory'!P20)</f>
        <v/>
      </c>
      <c r="AC12" s="96" t="str">
        <f>IF(B12="", "", 'Lighting Inventory'!R20)</f>
        <v/>
      </c>
      <c r="AD12" s="26" t="str">
        <f>IF(B12="", "", 'Lighting Inventory'!S20)</f>
        <v/>
      </c>
      <c r="AE12" s="26" t="str">
        <f>IF(B12="", "", 'Lighting Inventory'!V20)</f>
        <v/>
      </c>
      <c r="AF12" s="26" t="str">
        <f>IF(B12="", "", 'Lighting Inventory'!W20)</f>
        <v/>
      </c>
      <c r="AG12" s="26" t="str">
        <f>IF(OR(AF12="", B12=""), "", IF(AE12="Custom", "0", VLOOKUP(AF12, 'Lookup Tables'!$AI$6:$AP$102, 8, FALSE)))</f>
        <v/>
      </c>
      <c r="AH12" s="26" t="str">
        <f>IF(B12="", "", 'Lighting Inventory'!AD20)</f>
        <v/>
      </c>
      <c r="AI12" s="26" t="str">
        <f>IF(OR('Lighting Inventory'!AK20="", B12=""), "", 'Lighting Inventory'!AK20)</f>
        <v/>
      </c>
      <c r="AJ12" s="66" t="str">
        <f>IF(B12="", "", 'Lighting Inventory'!AL20)</f>
        <v/>
      </c>
      <c r="AK12" s="65" t="str">
        <f>IF(B12="", "", 'Lighting Inventory'!AM20)</f>
        <v/>
      </c>
      <c r="AL12" s="26" t="str">
        <f>IF(B12="", "", 'Lighting Inventory'!AN20)</f>
        <v/>
      </c>
      <c r="AM12" s="26" t="str">
        <f t="shared" si="1"/>
        <v/>
      </c>
      <c r="AN12" s="26" t="str">
        <f>IF(B12="","",IF('Lighting Inventory'!AV20="","Prescribed",'Lighting Inventory'!AV20))</f>
        <v/>
      </c>
      <c r="AO12" s="66" t="str">
        <f>IF(B12="", "", 'Lighting Inventory'!AX20)</f>
        <v/>
      </c>
      <c r="AP12" s="67" t="str">
        <f>IF(B12="", "", 'Lighting Inventory'!AZ20)</f>
        <v/>
      </c>
      <c r="AQ12" s="67" t="str">
        <f>IF(B12="", "", 'Lighting Inventory'!BA20)</f>
        <v/>
      </c>
      <c r="AR12" s="67" t="str">
        <f>IF(B12="", "", 'Lighting Inventory'!BB20)</f>
        <v/>
      </c>
      <c r="AS12" s="67" t="str">
        <f>IF(B12="", "", 'Lighting Inventory'!BC20)</f>
        <v/>
      </c>
      <c r="AT12" s="67" t="str">
        <f>IF(B12="", "", 'Lighting Inventory'!BD20)</f>
        <v/>
      </c>
      <c r="AU12" s="67" t="str">
        <f>IF(B12="", "", 'Lighting Inventory'!BE20)</f>
        <v/>
      </c>
      <c r="AV12" s="67" t="str">
        <f>IF(B12="", "", 'Lighting Inventory'!BE20)</f>
        <v/>
      </c>
      <c r="AW12" s="67" t="str">
        <f>IF(B12="", "", 'Lighting Inventory'!BF20)</f>
        <v/>
      </c>
      <c r="AX12" s="67" t="str">
        <f>IF(B12="", "", 'Lighting Inventory'!BF20)</f>
        <v/>
      </c>
      <c r="AY12" s="65" t="str">
        <f t="shared" si="4"/>
        <v/>
      </c>
      <c r="AZ12" s="65" t="str">
        <f>IF(B12="", "", 'Lighting Inventory'!BJ20)</f>
        <v/>
      </c>
      <c r="BA12" s="65" t="str">
        <f>IF(B12="", "", 'Lighting Inventory'!BM20)</f>
        <v/>
      </c>
      <c r="BB12" s="65" t="str">
        <f>IF(B12="","",SUM('Lighting Inventory'!BP20:BP20))</f>
        <v/>
      </c>
      <c r="BC12" s="67" t="str">
        <f>IF(OR(AE12="", B12=""),"", 'Lighting Inventory'!GR20)</f>
        <v/>
      </c>
      <c r="BD12" s="67" t="str">
        <f>IFERROR(IF(B12="", "", 'Lighting Inventory'!AF20)*AD12," ")</f>
        <v xml:space="preserve"> </v>
      </c>
      <c r="BE12" s="67"/>
      <c r="BF12" s="67"/>
    </row>
    <row r="13" spans="1:59" x14ac:dyDescent="0.25">
      <c r="A13" s="26" t="str">
        <f>IF(B13="", "", 'Lookup Tables'!AW14)</f>
        <v/>
      </c>
      <c r="B13" s="26" t="str">
        <f>IF(OR('Lighting Inventory'!Y21="", 'Lighting Inventory'!V21="No Change"),"", 'Lighting Inventory'!Y21)</f>
        <v/>
      </c>
      <c r="C13" s="26" t="str">
        <f>IF(B13="", "", IF('Lighting Inventory'!Y21='Lookup Tables'!$Y$32, 'Lighting Inventory'!AJ21, IF(AD13=0, R13, AD13)))</f>
        <v/>
      </c>
      <c r="D13" s="26" t="str">
        <f>IF(B13="", "", 'General Information'!$F$14)</f>
        <v/>
      </c>
      <c r="E13" s="26" t="str">
        <f t="shared" si="3"/>
        <v/>
      </c>
      <c r="F13" s="26" t="str">
        <f>IF(B13="", "", CONCATENATE('General Information'!$F$9, " - ", 'General Information'!$F$14))</f>
        <v/>
      </c>
      <c r="G13" s="26" t="str">
        <f>IF(B13="", "", 'General Information'!$F$15)</f>
        <v/>
      </c>
      <c r="H13" s="26" t="str">
        <f>IF(B13="", "", IF(VLOOKUP(B13, 'Lookup Tables'!$Y$18:$AA$34, 2, FALSE)="Traffic", VLOOKUP('Lighting Inventory'!W21, 'Lookup Tables'!#REF!, 11, FALSE), VLOOKUP(B13, 'Lookup Tables'!$Y$18:$AA$34, 2, FALSE)))</f>
        <v/>
      </c>
      <c r="I13" s="26" t="str">
        <f>IF(B13="", "", CONCATENATE(D13, 'Data Export'!A13))</f>
        <v/>
      </c>
      <c r="J13" s="26" t="str">
        <f>IF(B13="", "", 'Lookup Tables'!$B$1)</f>
        <v/>
      </c>
      <c r="K13" s="26" t="str">
        <f>IF(B13="", "", 'Lighting Inventory'!B21)</f>
        <v/>
      </c>
      <c r="L13" s="26" t="str">
        <f>IF(B13="", "", 'Lighting Inventory'!C21)</f>
        <v/>
      </c>
      <c r="M13" s="26" t="str">
        <f>IF(B13="", "",'Lighting Inventory'!D21)</f>
        <v/>
      </c>
      <c r="N13" s="26" t="str">
        <f>IF(B13="", "",'Lighting Inventory'!E21)</f>
        <v/>
      </c>
      <c r="O13" s="26" t="str">
        <f>IF(B13="", "", 'Lighting Inventory'!F21)</f>
        <v/>
      </c>
      <c r="P13" s="26" t="str">
        <f>IF(B13="", "", 'Lighting Inventory'!G21)</f>
        <v/>
      </c>
      <c r="Q13" s="26" t="str">
        <f>IF(B13="", "", 'Lighting Inventory'!H21)</f>
        <v/>
      </c>
      <c r="R13" s="26" t="str">
        <f>IF(B13="", "", 'Lighting Inventory'!I21)</f>
        <v/>
      </c>
      <c r="S13" s="26" t="str">
        <f>IF(B13="", "", 'Lighting Inventory'!J21)</f>
        <v/>
      </c>
      <c r="T13" s="26" t="str">
        <f>IFERROR(IF(B13="","",VLOOKUP(S13,'Fixture Identities'!$A$7:$G$1023,5,FALSE)), "New Construction")</f>
        <v/>
      </c>
      <c r="U13" s="26" t="str">
        <f>IFERROR(IF(B13="", "", IF(K13="New Construction", "NC", IF(VLOOKUP(S13, 'Fixture Identities'!$A$7:$I$1023,3, FALSE)="T12 Linear Fluorescent", VLOOKUP(S13, 'Fixture Identities'!$A$7:$K$1012, 11, FALSE), S13))), "")</f>
        <v/>
      </c>
      <c r="V13" s="26" t="str">
        <f>IFERROR(IF(OR(B13="", U13=0), "", VLOOKUP(U13, 'Fixture Identities'!$A$7:$G$1023, 5, FALSE)), "")</f>
        <v/>
      </c>
      <c r="W13" s="26" t="str">
        <f>IF(B13="", "",'Lighting Inventory'!K21)</f>
        <v/>
      </c>
      <c r="X13" s="65" t="str">
        <f>IF(B13="", "", 'Lighting Inventory'!L21)</f>
        <v/>
      </c>
      <c r="Y13" s="26" t="str">
        <f>IF(B13="", "", IF('Lighting Inventory'!M21="", "Light Switch",'Lighting Inventory'!M21))</f>
        <v/>
      </c>
      <c r="Z13" s="26" t="str">
        <f>IF(OR(K13="Retrofit", B13=""), "", 'Lighting Inventory'!N21)</f>
        <v/>
      </c>
      <c r="AA13" s="26" t="str">
        <f>IF(OR(Z13="",B13=""), "", 'Lighting Inventory'!O21)</f>
        <v/>
      </c>
      <c r="AB13" s="26" t="str">
        <f>IF(B13="", "", 'Lighting Inventory'!P21)</f>
        <v/>
      </c>
      <c r="AC13" s="96" t="str">
        <f>IF(B13="", "", 'Lighting Inventory'!R21)</f>
        <v/>
      </c>
      <c r="AD13" s="26" t="str">
        <f>IF(B13="", "", 'Lighting Inventory'!S21)</f>
        <v/>
      </c>
      <c r="AE13" s="26" t="str">
        <f>IF(B13="", "", 'Lighting Inventory'!V21)</f>
        <v/>
      </c>
      <c r="AF13" s="26" t="str">
        <f>IF(B13="", "", 'Lighting Inventory'!W21)</f>
        <v/>
      </c>
      <c r="AG13" s="26" t="str">
        <f>IF(OR(AF13="", B13=""), "", IF(AE13="Custom", "0", VLOOKUP(AF13, 'Lookup Tables'!$AI$6:$AP$102, 8, FALSE)))</f>
        <v/>
      </c>
      <c r="AH13" s="26" t="str">
        <f>IF(B13="", "", 'Lighting Inventory'!AD21)</f>
        <v/>
      </c>
      <c r="AI13" s="26" t="str">
        <f>IF(OR('Lighting Inventory'!AK21="", B13=""), "", 'Lighting Inventory'!AK21)</f>
        <v/>
      </c>
      <c r="AJ13" s="66" t="str">
        <f>IF(B13="", "", 'Lighting Inventory'!AL21)</f>
        <v/>
      </c>
      <c r="AK13" s="65" t="str">
        <f>IF(B13="", "", 'Lighting Inventory'!AM21)</f>
        <v/>
      </c>
      <c r="AL13" s="26" t="str">
        <f>IF(B13="", "", 'Lighting Inventory'!AN21)</f>
        <v/>
      </c>
      <c r="AM13" s="26" t="str">
        <f t="shared" si="1"/>
        <v/>
      </c>
      <c r="AN13" s="26" t="str">
        <f>IF(B13="","",IF('Lighting Inventory'!AV21="","Prescribed",'Lighting Inventory'!AV21))</f>
        <v/>
      </c>
      <c r="AO13" s="66" t="str">
        <f>IF(B13="", "", 'Lighting Inventory'!AX21)</f>
        <v/>
      </c>
      <c r="AP13" s="67" t="str">
        <f>IF(B13="", "", 'Lighting Inventory'!AZ21)</f>
        <v/>
      </c>
      <c r="AQ13" s="67" t="str">
        <f>IF(B13="", "", 'Lighting Inventory'!BA21)</f>
        <v/>
      </c>
      <c r="AR13" s="67" t="str">
        <f>IF(B13="", "", 'Lighting Inventory'!BB21)</f>
        <v/>
      </c>
      <c r="AS13" s="67" t="str">
        <f>IF(B13="", "", 'Lighting Inventory'!BC21)</f>
        <v/>
      </c>
      <c r="AT13" s="67" t="str">
        <f>IF(B13="", "", 'Lighting Inventory'!BD21)</f>
        <v/>
      </c>
      <c r="AU13" s="67" t="str">
        <f>IF(B13="", "", 'Lighting Inventory'!BE21)</f>
        <v/>
      </c>
      <c r="AV13" s="67" t="str">
        <f>IF(B13="", "", 'Lighting Inventory'!BE21)</f>
        <v/>
      </c>
      <c r="AW13" s="67" t="str">
        <f>IF(B13="", "", 'Lighting Inventory'!BF21)</f>
        <v/>
      </c>
      <c r="AX13" s="67" t="str">
        <f>IF(B13="", "", 'Lighting Inventory'!BF21)</f>
        <v/>
      </c>
      <c r="AY13" s="65" t="str">
        <f t="shared" si="4"/>
        <v/>
      </c>
      <c r="AZ13" s="65" t="str">
        <f>IF(B13="", "", 'Lighting Inventory'!BJ21)</f>
        <v/>
      </c>
      <c r="BA13" s="65" t="str">
        <f>IF(B13="", "", 'Lighting Inventory'!BM21)</f>
        <v/>
      </c>
      <c r="BB13" s="65" t="str">
        <f>IF(B13="","",SUM('Lighting Inventory'!BP21:BP21))</f>
        <v/>
      </c>
      <c r="BC13" s="67" t="str">
        <f>IF(OR(AE13="", B13=""),"", 'Lighting Inventory'!GR21)</f>
        <v/>
      </c>
      <c r="BD13" s="67" t="str">
        <f>IFERROR(IF(B13="", "", 'Lighting Inventory'!AF21)*AD13," ")</f>
        <v xml:space="preserve"> </v>
      </c>
      <c r="BE13" s="67"/>
      <c r="BF13" s="67"/>
    </row>
    <row r="14" spans="1:59" x14ac:dyDescent="0.25">
      <c r="A14" s="26" t="str">
        <f>IF(B14="", "", 'Lookup Tables'!AW15)</f>
        <v/>
      </c>
      <c r="B14" s="26" t="str">
        <f>IF(OR('Lighting Inventory'!Y22="", 'Lighting Inventory'!V22="No Change"),"", 'Lighting Inventory'!Y22)</f>
        <v/>
      </c>
      <c r="C14" s="26" t="str">
        <f>IF(B14="", "", IF('Lighting Inventory'!Y22='Lookup Tables'!$Y$32, 'Lighting Inventory'!AJ22, IF(AD14=0, R14, AD14)))</f>
        <v/>
      </c>
      <c r="D14" s="26" t="str">
        <f>IF(B14="", "", 'General Information'!$F$14)</f>
        <v/>
      </c>
      <c r="E14" s="26" t="str">
        <f t="shared" si="3"/>
        <v/>
      </c>
      <c r="F14" s="26" t="str">
        <f>IF(B14="", "", CONCATENATE('General Information'!$F$9, " - ", 'General Information'!$F$14))</f>
        <v/>
      </c>
      <c r="G14" s="26" t="str">
        <f>IF(B14="", "", 'General Information'!$F$15)</f>
        <v/>
      </c>
      <c r="H14" s="26" t="str">
        <f>IF(B14="", "", IF(VLOOKUP(B14, 'Lookup Tables'!$Y$18:$AA$34, 2, FALSE)="Traffic", VLOOKUP('Lighting Inventory'!W22, 'Lookup Tables'!#REF!, 11, FALSE), VLOOKUP(B14, 'Lookup Tables'!$Y$18:$AA$34, 2, FALSE)))</f>
        <v/>
      </c>
      <c r="I14" s="26" t="str">
        <f>IF(B14="", "", CONCATENATE(D14, 'Data Export'!A14))</f>
        <v/>
      </c>
      <c r="J14" s="26" t="str">
        <f>IF(B14="", "", 'Lookup Tables'!$B$1)</f>
        <v/>
      </c>
      <c r="K14" s="26" t="str">
        <f>IF(B14="", "", 'Lighting Inventory'!B22)</f>
        <v/>
      </c>
      <c r="L14" s="26" t="str">
        <f>IF(B14="", "", 'Lighting Inventory'!C22)</f>
        <v/>
      </c>
      <c r="M14" s="26" t="str">
        <f>IF(B14="", "",'Lighting Inventory'!D22)</f>
        <v/>
      </c>
      <c r="N14" s="26" t="str">
        <f>IF(B14="", "",'Lighting Inventory'!E22)</f>
        <v/>
      </c>
      <c r="O14" s="26" t="str">
        <f>IF(B14="", "", 'Lighting Inventory'!F22)</f>
        <v/>
      </c>
      <c r="P14" s="26" t="str">
        <f>IF(B14="", "", 'Lighting Inventory'!G22)</f>
        <v/>
      </c>
      <c r="Q14" s="26" t="str">
        <f>IF(B14="", "", 'Lighting Inventory'!H22)</f>
        <v/>
      </c>
      <c r="R14" s="26" t="str">
        <f>IF(B14="", "", 'Lighting Inventory'!I22)</f>
        <v/>
      </c>
      <c r="S14" s="26" t="str">
        <f>IF(B14="", "", 'Lighting Inventory'!J22)</f>
        <v/>
      </c>
      <c r="T14" s="26" t="str">
        <f>IFERROR(IF(B14="","",VLOOKUP(S14,'Fixture Identities'!$A$7:$G$1023,5,FALSE)), "New Construction")</f>
        <v/>
      </c>
      <c r="U14" s="26" t="str">
        <f>IFERROR(IF(B14="", "", IF(K14="New Construction", "NC", IF(VLOOKUP(S14, 'Fixture Identities'!$A$7:$I$1023,3, FALSE)="T12 Linear Fluorescent", VLOOKUP(S14, 'Fixture Identities'!$A$7:$K$1012, 11, FALSE), S14))), "")</f>
        <v/>
      </c>
      <c r="V14" s="26" t="str">
        <f>IFERROR(IF(OR(B14="", U14=0), "", VLOOKUP(U14, 'Fixture Identities'!$A$7:$G$1023, 5, FALSE)), "")</f>
        <v/>
      </c>
      <c r="W14" s="26" t="str">
        <f>IF(B14="", "",'Lighting Inventory'!K22)</f>
        <v/>
      </c>
      <c r="X14" s="65" t="str">
        <f>IF(B14="", "", 'Lighting Inventory'!L22)</f>
        <v/>
      </c>
      <c r="Y14" s="26" t="str">
        <f>IF(B14="", "", IF('Lighting Inventory'!M22="", "Light Switch",'Lighting Inventory'!M22))</f>
        <v/>
      </c>
      <c r="Z14" s="26" t="str">
        <f>IF(OR(K14="Retrofit", B14=""), "", 'Lighting Inventory'!N22)</f>
        <v/>
      </c>
      <c r="AA14" s="26" t="str">
        <f>IF(OR(Z14="",B14=""), "", 'Lighting Inventory'!O22)</f>
        <v/>
      </c>
      <c r="AB14" s="26" t="str">
        <f>IF(B14="", "", 'Lighting Inventory'!P22)</f>
        <v/>
      </c>
      <c r="AC14" s="96" t="str">
        <f>IF(B14="", "", 'Lighting Inventory'!R22)</f>
        <v/>
      </c>
      <c r="AD14" s="26" t="str">
        <f>IF(B14="", "", 'Lighting Inventory'!S22)</f>
        <v/>
      </c>
      <c r="AE14" s="26" t="str">
        <f>IF(B14="", "", 'Lighting Inventory'!V22)</f>
        <v/>
      </c>
      <c r="AF14" s="26" t="str">
        <f>IF(B14="", "", 'Lighting Inventory'!W22)</f>
        <v/>
      </c>
      <c r="AG14" s="26" t="str">
        <f>IF(OR(AF14="", B14=""), "", IF(AE14="Custom", "0", VLOOKUP(AF14, 'Lookup Tables'!$AI$6:$AP$102, 8, FALSE)))</f>
        <v/>
      </c>
      <c r="AH14" s="26" t="str">
        <f>IF(B14="", "", 'Lighting Inventory'!AD22)</f>
        <v/>
      </c>
      <c r="AI14" s="26" t="str">
        <f>IF(OR('Lighting Inventory'!AK22="", B14=""), "", 'Lighting Inventory'!AK22)</f>
        <v/>
      </c>
      <c r="AJ14" s="66" t="str">
        <f>IF(B14="", "", 'Lighting Inventory'!AL22)</f>
        <v/>
      </c>
      <c r="AK14" s="65" t="str">
        <f>IF(B14="", "", 'Lighting Inventory'!AM22)</f>
        <v/>
      </c>
      <c r="AL14" s="26" t="str">
        <f>IF(B14="", "", 'Lighting Inventory'!AN22)</f>
        <v/>
      </c>
      <c r="AM14" s="26" t="str">
        <f t="shared" si="1"/>
        <v/>
      </c>
      <c r="AN14" s="26" t="str">
        <f>IF(B14="","",IF('Lighting Inventory'!AV22="","Prescribed",'Lighting Inventory'!AV22))</f>
        <v/>
      </c>
      <c r="AO14" s="66" t="str">
        <f>IF(B14="", "", 'Lighting Inventory'!AX22)</f>
        <v/>
      </c>
      <c r="AP14" s="67" t="str">
        <f>IF(B14="", "", 'Lighting Inventory'!AZ22)</f>
        <v/>
      </c>
      <c r="AQ14" s="67" t="str">
        <f>IF(B14="", "", 'Lighting Inventory'!BA22)</f>
        <v/>
      </c>
      <c r="AR14" s="67" t="str">
        <f>IF(B14="", "", 'Lighting Inventory'!BB22)</f>
        <v/>
      </c>
      <c r="AS14" s="67" t="str">
        <f>IF(B14="", "", 'Lighting Inventory'!BC22)</f>
        <v/>
      </c>
      <c r="AT14" s="67" t="str">
        <f>IF(B14="", "", 'Lighting Inventory'!BD22)</f>
        <v/>
      </c>
      <c r="AU14" s="67" t="str">
        <f>IF(B14="", "", 'Lighting Inventory'!BE22)</f>
        <v/>
      </c>
      <c r="AV14" s="67" t="str">
        <f>IF(B14="", "", 'Lighting Inventory'!BE22)</f>
        <v/>
      </c>
      <c r="AW14" s="67" t="str">
        <f>IF(B14="", "", 'Lighting Inventory'!BF22)</f>
        <v/>
      </c>
      <c r="AX14" s="67" t="str">
        <f>IF(B14="", "", 'Lighting Inventory'!BF22)</f>
        <v/>
      </c>
      <c r="AY14" s="65" t="str">
        <f t="shared" si="4"/>
        <v/>
      </c>
      <c r="AZ14" s="65" t="str">
        <f>IF(B14="", "", 'Lighting Inventory'!BJ22)</f>
        <v/>
      </c>
      <c r="BA14" s="65" t="str">
        <f>IF(B14="", "", 'Lighting Inventory'!BM22)</f>
        <v/>
      </c>
      <c r="BB14" s="65" t="str">
        <f>IF(B14="","",SUM('Lighting Inventory'!BP22:BP22))</f>
        <v/>
      </c>
      <c r="BC14" s="67" t="str">
        <f>IF(OR(AE14="", B14=""),"", 'Lighting Inventory'!GR22)</f>
        <v/>
      </c>
      <c r="BD14" s="67" t="str">
        <f>IFERROR(IF(B14="", "", 'Lighting Inventory'!AF22)*AD14," ")</f>
        <v xml:space="preserve"> </v>
      </c>
      <c r="BE14" s="67"/>
      <c r="BF14" s="67"/>
    </row>
    <row r="15" spans="1:59" x14ac:dyDescent="0.25">
      <c r="A15" s="26" t="str">
        <f>IF(B15="", "", 'Lookup Tables'!AW16)</f>
        <v/>
      </c>
      <c r="B15" s="26" t="str">
        <f>IF(OR('Lighting Inventory'!Y23="", 'Lighting Inventory'!V23="No Change"),"", 'Lighting Inventory'!Y23)</f>
        <v/>
      </c>
      <c r="C15" s="26" t="str">
        <f>IF(B15="", "", IF('Lighting Inventory'!Y23='Lookup Tables'!$Y$32, 'Lighting Inventory'!AJ23, IF(AD15=0, R15, AD15)))</f>
        <v/>
      </c>
      <c r="D15" s="26" t="str">
        <f>IF(B15="", "", 'General Information'!$F$14)</f>
        <v/>
      </c>
      <c r="E15" s="26" t="str">
        <f t="shared" si="3"/>
        <v/>
      </c>
      <c r="F15" s="26" t="str">
        <f>IF(B15="", "", CONCATENATE('General Information'!$F$9, " - ", 'General Information'!$F$14))</f>
        <v/>
      </c>
      <c r="G15" s="26" t="str">
        <f>IF(B15="", "", 'General Information'!$F$15)</f>
        <v/>
      </c>
      <c r="H15" s="26" t="str">
        <f>IF(B15="", "", IF(VLOOKUP(B15, 'Lookup Tables'!$Y$18:$AA$34, 2, FALSE)="Traffic", VLOOKUP('Lighting Inventory'!W23, 'Lookup Tables'!#REF!, 11, FALSE), VLOOKUP(B15, 'Lookup Tables'!$Y$18:$AA$34, 2, FALSE)))</f>
        <v/>
      </c>
      <c r="I15" s="26" t="str">
        <f>IF(B15="", "", CONCATENATE(D15, 'Data Export'!A15))</f>
        <v/>
      </c>
      <c r="J15" s="26" t="str">
        <f>IF(B15="", "", 'Lookup Tables'!$B$1)</f>
        <v/>
      </c>
      <c r="K15" s="26" t="str">
        <f>IF(B15="", "", 'Lighting Inventory'!B23)</f>
        <v/>
      </c>
      <c r="L15" s="26" t="str">
        <f>IF(B15="", "", 'Lighting Inventory'!C23)</f>
        <v/>
      </c>
      <c r="M15" s="26" t="str">
        <f>IF(B15="", "",'Lighting Inventory'!D23)</f>
        <v/>
      </c>
      <c r="N15" s="26" t="str">
        <f>IF(B15="", "",'Lighting Inventory'!E23)</f>
        <v/>
      </c>
      <c r="O15" s="26" t="str">
        <f>IF(B15="", "", 'Lighting Inventory'!F23)</f>
        <v/>
      </c>
      <c r="P15" s="26" t="str">
        <f>IF(B15="", "", 'Lighting Inventory'!G23)</f>
        <v/>
      </c>
      <c r="Q15" s="26" t="str">
        <f>IF(B15="", "", 'Lighting Inventory'!H23)</f>
        <v/>
      </c>
      <c r="R15" s="26" t="str">
        <f>IF(B15="", "", 'Lighting Inventory'!I23)</f>
        <v/>
      </c>
      <c r="S15" s="26" t="str">
        <f>IF(B15="", "", 'Lighting Inventory'!J23)</f>
        <v/>
      </c>
      <c r="T15" s="26" t="str">
        <f>IFERROR(IF(B15="","",VLOOKUP(S15,'Fixture Identities'!$A$7:$G$1023,5,FALSE)), "New Construction")</f>
        <v/>
      </c>
      <c r="U15" s="26" t="str">
        <f>IFERROR(IF(B15="", "", IF(K15="New Construction", "NC", IF(VLOOKUP(S15, 'Fixture Identities'!$A$7:$I$1023,3, FALSE)="T12 Linear Fluorescent", VLOOKUP(S15, 'Fixture Identities'!$A$7:$K$1012, 11, FALSE), S15))), "")</f>
        <v/>
      </c>
      <c r="V15" s="26" t="str">
        <f>IFERROR(IF(OR(B15="", U15=0), "", VLOOKUP(U15, 'Fixture Identities'!$A$7:$G$1023, 5, FALSE)), "")</f>
        <v/>
      </c>
      <c r="W15" s="26" t="str">
        <f>IF(B15="", "",'Lighting Inventory'!K23)</f>
        <v/>
      </c>
      <c r="X15" s="65" t="str">
        <f>IF(B15="", "", 'Lighting Inventory'!L23)</f>
        <v/>
      </c>
      <c r="Y15" s="26" t="str">
        <f>IF(B15="", "", IF('Lighting Inventory'!M23="", "Light Switch",'Lighting Inventory'!M23))</f>
        <v/>
      </c>
      <c r="Z15" s="26" t="str">
        <f>IF(OR(K15="Retrofit", B15=""), "", 'Lighting Inventory'!N23)</f>
        <v/>
      </c>
      <c r="AA15" s="26" t="str">
        <f>IF(OR(Z15="",B15=""), "", 'Lighting Inventory'!O23)</f>
        <v/>
      </c>
      <c r="AB15" s="26" t="str">
        <f>IF(B15="", "", 'Lighting Inventory'!P23)</f>
        <v/>
      </c>
      <c r="AC15" s="96" t="str">
        <f>IF(B15="", "", 'Lighting Inventory'!R23)</f>
        <v/>
      </c>
      <c r="AD15" s="26" t="str">
        <f>IF(B15="", "", 'Lighting Inventory'!S23)</f>
        <v/>
      </c>
      <c r="AE15" s="26" t="str">
        <f>IF(B15="", "", 'Lighting Inventory'!V23)</f>
        <v/>
      </c>
      <c r="AF15" s="26" t="str">
        <f>IF(B15="", "", 'Lighting Inventory'!W23)</f>
        <v/>
      </c>
      <c r="AG15" s="26" t="str">
        <f>IF(OR(AF15="", B15=""), "", IF(AE15="Custom", "0", VLOOKUP(AF15, 'Lookup Tables'!$AI$6:$AP$102, 8, FALSE)))</f>
        <v/>
      </c>
      <c r="AH15" s="26" t="str">
        <f>IF(B15="", "", 'Lighting Inventory'!AD23)</f>
        <v/>
      </c>
      <c r="AI15" s="26" t="str">
        <f>IF(OR('Lighting Inventory'!AK23="", B15=""), "", 'Lighting Inventory'!AK23)</f>
        <v/>
      </c>
      <c r="AJ15" s="66" t="str">
        <f>IF(B15="", "", 'Lighting Inventory'!AL23)</f>
        <v/>
      </c>
      <c r="AK15" s="65" t="str">
        <f>IF(B15="", "", 'Lighting Inventory'!AM23)</f>
        <v/>
      </c>
      <c r="AL15" s="26" t="str">
        <f>IF(B15="", "", 'Lighting Inventory'!AN23)</f>
        <v/>
      </c>
      <c r="AM15" s="26" t="str">
        <f t="shared" si="1"/>
        <v/>
      </c>
      <c r="AN15" s="26" t="str">
        <f>IF(B15="","",IF('Lighting Inventory'!AV23="","Prescribed",'Lighting Inventory'!AV23))</f>
        <v/>
      </c>
      <c r="AO15" s="66" t="str">
        <f>IF(B15="", "", 'Lighting Inventory'!AX23)</f>
        <v/>
      </c>
      <c r="AP15" s="67" t="str">
        <f>IF(B15="", "", 'Lighting Inventory'!AZ23)</f>
        <v/>
      </c>
      <c r="AQ15" s="67" t="str">
        <f>IF(B15="", "", 'Lighting Inventory'!BA23)</f>
        <v/>
      </c>
      <c r="AR15" s="67" t="str">
        <f>IF(B15="", "", 'Lighting Inventory'!BB23)</f>
        <v/>
      </c>
      <c r="AS15" s="67" t="str">
        <f>IF(B15="", "", 'Lighting Inventory'!BC23)</f>
        <v/>
      </c>
      <c r="AT15" s="67" t="str">
        <f>IF(B15="", "", 'Lighting Inventory'!BD23)</f>
        <v/>
      </c>
      <c r="AU15" s="67" t="str">
        <f>IF(B15="", "", 'Lighting Inventory'!BE23)</f>
        <v/>
      </c>
      <c r="AV15" s="67" t="str">
        <f>IF(B15="", "", 'Lighting Inventory'!BE23)</f>
        <v/>
      </c>
      <c r="AW15" s="67" t="str">
        <f>IF(B15="", "", 'Lighting Inventory'!BF23)</f>
        <v/>
      </c>
      <c r="AX15" s="67" t="str">
        <f>IF(B15="", "", 'Lighting Inventory'!BF23)</f>
        <v/>
      </c>
      <c r="AY15" s="65" t="str">
        <f t="shared" si="4"/>
        <v/>
      </c>
      <c r="AZ15" s="65" t="str">
        <f>IF(B15="", "", 'Lighting Inventory'!BJ23)</f>
        <v/>
      </c>
      <c r="BA15" s="65" t="str">
        <f>IF(B15="", "", 'Lighting Inventory'!BM23)</f>
        <v/>
      </c>
      <c r="BB15" s="65" t="str">
        <f>IF(B15="","",SUM('Lighting Inventory'!BP23:BP23))</f>
        <v/>
      </c>
      <c r="BC15" s="67" t="str">
        <f>IF(OR(AE15="", B15=""),"", 'Lighting Inventory'!GR23)</f>
        <v/>
      </c>
      <c r="BD15" s="67" t="str">
        <f>IFERROR(IF(B15="", "", 'Lighting Inventory'!AF23)*AD15," ")</f>
        <v xml:space="preserve"> </v>
      </c>
      <c r="BE15" s="67"/>
      <c r="BF15" s="67"/>
    </row>
    <row r="16" spans="1:59" x14ac:dyDescent="0.25">
      <c r="A16" s="26" t="str">
        <f>IF(B16="", "", 'Lookup Tables'!AW17)</f>
        <v/>
      </c>
      <c r="B16" s="26" t="str">
        <f>IF(OR('Lighting Inventory'!Y24="", 'Lighting Inventory'!V24="No Change"),"", 'Lighting Inventory'!Y24)</f>
        <v/>
      </c>
      <c r="C16" s="26" t="str">
        <f>IF(B16="", "", IF('Lighting Inventory'!Y24='Lookup Tables'!$Y$32, 'Lighting Inventory'!AJ24, IF(AD16=0, R16, AD16)))</f>
        <v/>
      </c>
      <c r="D16" s="26" t="str">
        <f>IF(B16="", "", 'General Information'!$F$14)</f>
        <v/>
      </c>
      <c r="E16" s="26" t="str">
        <f t="shared" si="3"/>
        <v/>
      </c>
      <c r="F16" s="26" t="str">
        <f>IF(B16="", "", CONCATENATE('General Information'!$F$9, " - ", 'General Information'!$F$14))</f>
        <v/>
      </c>
      <c r="G16" s="26" t="str">
        <f>IF(B16="", "", 'General Information'!$F$15)</f>
        <v/>
      </c>
      <c r="H16" s="26" t="str">
        <f>IF(B16="", "", IF(VLOOKUP(B16, 'Lookup Tables'!$Y$18:$AA$34, 2, FALSE)="Traffic", VLOOKUP('Lighting Inventory'!W24, 'Lookup Tables'!#REF!, 11, FALSE), VLOOKUP(B16, 'Lookup Tables'!$Y$18:$AA$34, 2, FALSE)))</f>
        <v/>
      </c>
      <c r="I16" s="26" t="str">
        <f>IF(B16="", "", CONCATENATE(D16, 'Data Export'!A16))</f>
        <v/>
      </c>
      <c r="J16" s="26" t="str">
        <f>IF(B16="", "", 'Lookup Tables'!$B$1)</f>
        <v/>
      </c>
      <c r="K16" s="26" t="str">
        <f>IF(B16="", "", 'Lighting Inventory'!B24)</f>
        <v/>
      </c>
      <c r="L16" s="26" t="str">
        <f>IF(B16="", "", 'Lighting Inventory'!C24)</f>
        <v/>
      </c>
      <c r="M16" s="26" t="str">
        <f>IF(B16="", "",'Lighting Inventory'!D24)</f>
        <v/>
      </c>
      <c r="N16" s="26" t="str">
        <f>IF(B16="", "",'Lighting Inventory'!E24)</f>
        <v/>
      </c>
      <c r="O16" s="26" t="str">
        <f>IF(B16="", "", 'Lighting Inventory'!F24)</f>
        <v/>
      </c>
      <c r="P16" s="26" t="str">
        <f>IF(B16="", "", 'Lighting Inventory'!G24)</f>
        <v/>
      </c>
      <c r="Q16" s="26" t="str">
        <f>IF(B16="", "", 'Lighting Inventory'!H24)</f>
        <v/>
      </c>
      <c r="R16" s="26" t="str">
        <f>IF(B16="", "", 'Lighting Inventory'!I24)</f>
        <v/>
      </c>
      <c r="S16" s="26" t="str">
        <f>IF(B16="", "", 'Lighting Inventory'!J24)</f>
        <v/>
      </c>
      <c r="T16" s="26" t="str">
        <f>IFERROR(IF(B16="","",VLOOKUP(S16,'Fixture Identities'!$A$7:$G$1023,5,FALSE)), "New Construction")</f>
        <v/>
      </c>
      <c r="U16" s="26" t="str">
        <f>IFERROR(IF(B16="", "", IF(K16="New Construction", "NC", IF(VLOOKUP(S16, 'Fixture Identities'!$A$7:$I$1023,3, FALSE)="T12 Linear Fluorescent", VLOOKUP(S16, 'Fixture Identities'!$A$7:$K$1012, 11, FALSE), S16))), "")</f>
        <v/>
      </c>
      <c r="V16" s="26" t="str">
        <f>IFERROR(IF(OR(B16="", U16=0), "", VLOOKUP(U16, 'Fixture Identities'!$A$7:$G$1023, 5, FALSE)), "")</f>
        <v/>
      </c>
      <c r="W16" s="26" t="str">
        <f>IF(B16="", "",'Lighting Inventory'!K24)</f>
        <v/>
      </c>
      <c r="X16" s="65" t="str">
        <f>IF(B16="", "", 'Lighting Inventory'!L24)</f>
        <v/>
      </c>
      <c r="Y16" s="26" t="str">
        <f>IF(B16="", "", IF('Lighting Inventory'!M24="", "Light Switch",'Lighting Inventory'!M24))</f>
        <v/>
      </c>
      <c r="Z16" s="26" t="str">
        <f>IF(OR(K16="Retrofit", B16=""), "", 'Lighting Inventory'!N24)</f>
        <v/>
      </c>
      <c r="AA16" s="26" t="str">
        <f>IF(OR(Z16="",B16=""), "", 'Lighting Inventory'!O24)</f>
        <v/>
      </c>
      <c r="AB16" s="26" t="str">
        <f>IF(B16="", "", 'Lighting Inventory'!P24)</f>
        <v/>
      </c>
      <c r="AC16" s="96" t="str">
        <f>IF(B16="", "", 'Lighting Inventory'!R24)</f>
        <v/>
      </c>
      <c r="AD16" s="26" t="str">
        <f>IF(B16="", "", 'Lighting Inventory'!S24)</f>
        <v/>
      </c>
      <c r="AE16" s="26" t="str">
        <f>IF(B16="", "", 'Lighting Inventory'!V24)</f>
        <v/>
      </c>
      <c r="AF16" s="26" t="str">
        <f>IF(B16="", "", 'Lighting Inventory'!W24)</f>
        <v/>
      </c>
      <c r="AG16" s="26" t="str">
        <f>IF(OR(AF16="", B16=""), "", IF(AE16="Custom", "0", VLOOKUP(AF16, 'Lookup Tables'!$AI$6:$AP$102, 8, FALSE)))</f>
        <v/>
      </c>
      <c r="AH16" s="26" t="str">
        <f>IF(B16="", "", 'Lighting Inventory'!AD24)</f>
        <v/>
      </c>
      <c r="AI16" s="26" t="str">
        <f>IF(OR('Lighting Inventory'!AK24="", B16=""), "", 'Lighting Inventory'!AK24)</f>
        <v/>
      </c>
      <c r="AJ16" s="66" t="str">
        <f>IF(B16="", "", 'Lighting Inventory'!AL24)</f>
        <v/>
      </c>
      <c r="AK16" s="65" t="str">
        <f>IF(B16="", "", 'Lighting Inventory'!AM24)</f>
        <v/>
      </c>
      <c r="AL16" s="26" t="str">
        <f>IF(B16="", "", 'Lighting Inventory'!#REF!)</f>
        <v/>
      </c>
      <c r="AM16" s="26" t="str">
        <f t="shared" si="1"/>
        <v/>
      </c>
      <c r="AN16" s="26" t="str">
        <f>IF(B16="","",IF('Lighting Inventory'!AV24="","Prescribed",'Lighting Inventory'!AV24))</f>
        <v/>
      </c>
      <c r="AO16" s="66" t="str">
        <f>IF(B16="", "", 'Lighting Inventory'!AX24)</f>
        <v/>
      </c>
      <c r="AP16" s="67" t="str">
        <f>IF(B16="", "", 'Lighting Inventory'!AZ24)</f>
        <v/>
      </c>
      <c r="AQ16" s="67" t="str">
        <f>IF(B16="", "", 'Lighting Inventory'!BA24)</f>
        <v/>
      </c>
      <c r="AR16" s="67" t="str">
        <f>IF(B16="", "", 'Lighting Inventory'!BB24)</f>
        <v/>
      </c>
      <c r="AS16" s="67" t="str">
        <f>IF(B16="", "", 'Lighting Inventory'!BC24)</f>
        <v/>
      </c>
      <c r="AT16" s="67" t="str">
        <f>IF(B16="", "", 'Lighting Inventory'!BD24)</f>
        <v/>
      </c>
      <c r="AU16" s="67" t="str">
        <f>IF(B16="", "", 'Lighting Inventory'!BE24)</f>
        <v/>
      </c>
      <c r="AV16" s="67" t="str">
        <f>IF(B16="", "", 'Lighting Inventory'!BE24)</f>
        <v/>
      </c>
      <c r="AW16" s="67" t="str">
        <f>IF(B16="", "", 'Lighting Inventory'!BF24)</f>
        <v/>
      </c>
      <c r="AX16" s="67" t="str">
        <f>IF(B16="", "", 'Lighting Inventory'!BF24)</f>
        <v/>
      </c>
      <c r="AY16" s="65" t="str">
        <f t="shared" si="4"/>
        <v/>
      </c>
      <c r="AZ16" s="65" t="str">
        <f>IF(B16="", "", 'Lighting Inventory'!BJ24)</f>
        <v/>
      </c>
      <c r="BA16" s="65" t="str">
        <f>IF(B16="", "", 'Lighting Inventory'!BM24)</f>
        <v/>
      </c>
      <c r="BB16" s="65" t="str">
        <f>IF(B16="","",SUM('Lighting Inventory'!BP24:BP24))</f>
        <v/>
      </c>
      <c r="BC16" s="67" t="str">
        <f>IF(OR(AE16="", B16=""),"", 'Lighting Inventory'!GR24)</f>
        <v/>
      </c>
      <c r="BD16" s="67" t="str">
        <f>IFERROR(IF(B16="", "", 'Lighting Inventory'!AF24)*AD16," ")</f>
        <v xml:space="preserve"> </v>
      </c>
      <c r="BE16" s="67"/>
      <c r="BF16" s="67"/>
    </row>
    <row r="17" spans="1:58" x14ac:dyDescent="0.25">
      <c r="A17" s="26" t="str">
        <f>IF(B17="", "", 'Lookup Tables'!AW18)</f>
        <v/>
      </c>
      <c r="B17" s="26" t="str">
        <f>IF(OR('Lighting Inventory'!Y25="", 'Lighting Inventory'!V25="No Change"),"", 'Lighting Inventory'!Y25)</f>
        <v/>
      </c>
      <c r="C17" s="26" t="str">
        <f>IF(B17="", "", IF('Lighting Inventory'!Y25='Lookup Tables'!$Y$32, 'Lighting Inventory'!AJ25, IF(AD17=0, R17, AD17)))</f>
        <v/>
      </c>
      <c r="D17" s="26" t="str">
        <f>IF(B17="", "", 'General Information'!$F$14)</f>
        <v/>
      </c>
      <c r="E17" s="26" t="str">
        <f t="shared" si="3"/>
        <v/>
      </c>
      <c r="F17" s="26" t="str">
        <f>IF(B17="", "", CONCATENATE('General Information'!$F$9, " - ", 'General Information'!$F$14))</f>
        <v/>
      </c>
      <c r="G17" s="26" t="str">
        <f>IF(B17="", "", 'General Information'!$F$15)</f>
        <v/>
      </c>
      <c r="H17" s="26" t="str">
        <f>IF(B17="", "", IF(VLOOKUP(B17, 'Lookup Tables'!$Y$18:$AA$34, 2, FALSE)="Traffic", VLOOKUP('Lighting Inventory'!W25, 'Lookup Tables'!#REF!, 11, FALSE), VLOOKUP(B17, 'Lookup Tables'!$Y$18:$AA$34, 2, FALSE)))</f>
        <v/>
      </c>
      <c r="I17" s="26" t="str">
        <f>IF(B17="", "", CONCATENATE(D17, 'Data Export'!A17))</f>
        <v/>
      </c>
      <c r="J17" s="26" t="str">
        <f>IF(B17="", "", 'Lookup Tables'!$B$1)</f>
        <v/>
      </c>
      <c r="K17" s="26" t="str">
        <f>IF(B17="", "", 'Lighting Inventory'!B25)</f>
        <v/>
      </c>
      <c r="L17" s="26" t="str">
        <f>IF(B17="", "", 'Lighting Inventory'!C25)</f>
        <v/>
      </c>
      <c r="M17" s="26" t="str">
        <f>IF(B17="", "",'Lighting Inventory'!D25)</f>
        <v/>
      </c>
      <c r="N17" s="26" t="str">
        <f>IF(B17="", "",'Lighting Inventory'!E25)</f>
        <v/>
      </c>
      <c r="O17" s="26" t="str">
        <f>IF(B17="", "", 'Lighting Inventory'!F25)</f>
        <v/>
      </c>
      <c r="P17" s="26" t="str">
        <f>IF(B17="", "", 'Lighting Inventory'!G25)</f>
        <v/>
      </c>
      <c r="Q17" s="26" t="str">
        <f>IF(B17="", "", 'Lighting Inventory'!H25)</f>
        <v/>
      </c>
      <c r="R17" s="26" t="str">
        <f>IF(B17="", "", 'Lighting Inventory'!I25)</f>
        <v/>
      </c>
      <c r="S17" s="26" t="str">
        <f>IF(B17="", "", 'Lighting Inventory'!J25)</f>
        <v/>
      </c>
      <c r="T17" s="26" t="str">
        <f>IFERROR(IF(B17="","",VLOOKUP(S17,'Fixture Identities'!$A$7:$G$1023,5,FALSE)), "New Construction")</f>
        <v/>
      </c>
      <c r="U17" s="26" t="str">
        <f>IFERROR(IF(B17="", "", IF(K17="New Construction", "NC", IF(VLOOKUP(S17, 'Fixture Identities'!$A$7:$I$1023,3, FALSE)="T12 Linear Fluorescent", VLOOKUP(S17, 'Fixture Identities'!$A$7:$K$1012, 11, FALSE), S17))), "")</f>
        <v/>
      </c>
      <c r="V17" s="26" t="str">
        <f>IFERROR(IF(OR(B17="", U17=0), "", VLOOKUP(U17, 'Fixture Identities'!$A$7:$G$1023, 5, FALSE)), "")</f>
        <v/>
      </c>
      <c r="W17" s="26" t="str">
        <f>IF(B17="", "",'Lighting Inventory'!K25)</f>
        <v/>
      </c>
      <c r="X17" s="65" t="str">
        <f>IF(B17="", "", 'Lighting Inventory'!L25)</f>
        <v/>
      </c>
      <c r="Y17" s="26" t="str">
        <f>IF(B17="", "", IF('Lighting Inventory'!M25="", "Light Switch",'Lighting Inventory'!M25))</f>
        <v/>
      </c>
      <c r="Z17" s="26" t="str">
        <f>IF(OR(K17="Retrofit", B17=""), "", 'Lighting Inventory'!N25)</f>
        <v/>
      </c>
      <c r="AA17" s="26" t="str">
        <f>IF(OR(Z17="",B17=""), "", 'Lighting Inventory'!O25)</f>
        <v/>
      </c>
      <c r="AB17" s="26" t="str">
        <f>IF(B17="", "", 'Lighting Inventory'!P25)</f>
        <v/>
      </c>
      <c r="AC17" s="96" t="str">
        <f>IF(B17="", "", 'Lighting Inventory'!R25)</f>
        <v/>
      </c>
      <c r="AD17" s="26" t="str">
        <f>IF(B17="", "", 'Lighting Inventory'!S25)</f>
        <v/>
      </c>
      <c r="AE17" s="26" t="str">
        <f>IF(B17="", "", 'Lighting Inventory'!V25)</f>
        <v/>
      </c>
      <c r="AF17" s="26" t="str">
        <f>IF(B17="", "", 'Lighting Inventory'!W25)</f>
        <v/>
      </c>
      <c r="AG17" s="26" t="str">
        <f>IF(OR(AF17="", B17=""), "", IF(AE17="Custom", "0", VLOOKUP(AF17, 'Lookup Tables'!$AI$6:$AP$102, 8, FALSE)))</f>
        <v/>
      </c>
      <c r="AH17" s="26" t="str">
        <f>IF(B17="", "", 'Lighting Inventory'!AD25)</f>
        <v/>
      </c>
      <c r="AI17" s="26" t="str">
        <f>IF(OR('Lighting Inventory'!AK25="", B17=""), "", 'Lighting Inventory'!AK25)</f>
        <v/>
      </c>
      <c r="AJ17" s="66" t="str">
        <f>IF(B17="", "", 'Lighting Inventory'!AL25)</f>
        <v/>
      </c>
      <c r="AK17" s="65" t="str">
        <f>IF(B17="", "", 'Lighting Inventory'!AM25)</f>
        <v/>
      </c>
      <c r="AL17" s="26" t="str">
        <f>IF(B17="", "", 'Lighting Inventory'!AN24)</f>
        <v/>
      </c>
      <c r="AM17" s="26" t="str">
        <f t="shared" si="1"/>
        <v/>
      </c>
      <c r="AN17" s="26" t="str">
        <f>IF(B17="","",IF('Lighting Inventory'!AV25="","Prescribed",'Lighting Inventory'!AV25))</f>
        <v/>
      </c>
      <c r="AO17" s="66" t="str">
        <f>IF(B17="", "", 'Lighting Inventory'!AX25)</f>
        <v/>
      </c>
      <c r="AP17" s="67" t="str">
        <f>IF(B17="", "", 'Lighting Inventory'!AZ25)</f>
        <v/>
      </c>
      <c r="AQ17" s="67" t="str">
        <f>IF(B17="", "", 'Lighting Inventory'!BA25)</f>
        <v/>
      </c>
      <c r="AR17" s="67" t="str">
        <f>IF(B17="", "", 'Lighting Inventory'!BB25)</f>
        <v/>
      </c>
      <c r="AS17" s="67" t="str">
        <f>IF(B17="", "", 'Lighting Inventory'!BC25)</f>
        <v/>
      </c>
      <c r="AT17" s="67" t="str">
        <f>IF(B17="", "", 'Lighting Inventory'!BD25)</f>
        <v/>
      </c>
      <c r="AU17" s="67" t="str">
        <f>IF(B17="", "", 'Lighting Inventory'!BE25)</f>
        <v/>
      </c>
      <c r="AV17" s="67" t="str">
        <f>IF(B17="", "", 'Lighting Inventory'!BE25)</f>
        <v/>
      </c>
      <c r="AW17" s="67" t="str">
        <f>IF(B17="", "", 'Lighting Inventory'!BF25)</f>
        <v/>
      </c>
      <c r="AX17" s="67" t="str">
        <f>IF(B17="", "", 'Lighting Inventory'!BF25)</f>
        <v/>
      </c>
      <c r="AY17" s="65" t="str">
        <f t="shared" si="4"/>
        <v/>
      </c>
      <c r="AZ17" s="65" t="str">
        <f>IF(B17="", "", 'Lighting Inventory'!BJ25)</f>
        <v/>
      </c>
      <c r="BA17" s="65" t="str">
        <f>IF(B17="", "", 'Lighting Inventory'!BM25)</f>
        <v/>
      </c>
      <c r="BB17" s="65" t="str">
        <f>IF(B17="","",SUM('Lighting Inventory'!BP25:BP25))</f>
        <v/>
      </c>
      <c r="BC17" s="67" t="str">
        <f>IF(OR(AE17="", B17=""),"", 'Lighting Inventory'!GR25)</f>
        <v/>
      </c>
      <c r="BD17" s="67" t="str">
        <f>IFERROR(IF(B17="", "", 'Lighting Inventory'!AF25)*AD17," ")</f>
        <v xml:space="preserve"> </v>
      </c>
      <c r="BE17" s="67"/>
      <c r="BF17" s="67"/>
    </row>
    <row r="18" spans="1:58" x14ac:dyDescent="0.25">
      <c r="A18" s="26" t="str">
        <f>IF(B18="", "", 'Lookup Tables'!AW19)</f>
        <v/>
      </c>
      <c r="B18" s="26" t="str">
        <f>IF(OR('Lighting Inventory'!Y26="", 'Lighting Inventory'!V26="No Change"),"", 'Lighting Inventory'!Y26)</f>
        <v/>
      </c>
      <c r="C18" s="26" t="str">
        <f>IF(B18="", "", IF('Lighting Inventory'!Y26='Lookup Tables'!$Y$32, 'Lighting Inventory'!AJ26, IF(AD18=0, R18, AD18)))</f>
        <v/>
      </c>
      <c r="D18" s="26" t="str">
        <f>IF(B18="", "", 'General Information'!$F$14)</f>
        <v/>
      </c>
      <c r="E18" s="26" t="str">
        <f t="shared" si="3"/>
        <v/>
      </c>
      <c r="F18" s="26" t="str">
        <f>IF(B18="", "", CONCATENATE('General Information'!$F$9, " - ", 'General Information'!$F$14))</f>
        <v/>
      </c>
      <c r="G18" s="26" t="str">
        <f>IF(B18="", "", 'General Information'!$F$15)</f>
        <v/>
      </c>
      <c r="H18" s="26" t="str">
        <f>IF(B18="", "", IF(VLOOKUP(B18, 'Lookup Tables'!$Y$18:$AA$34, 2, FALSE)="Traffic", VLOOKUP('Lighting Inventory'!W26, 'Lookup Tables'!#REF!, 11, FALSE), VLOOKUP(B18, 'Lookup Tables'!$Y$18:$AA$34, 2, FALSE)))</f>
        <v/>
      </c>
      <c r="I18" s="26" t="str">
        <f>IF(B18="", "", CONCATENATE(D18, 'Data Export'!A18))</f>
        <v/>
      </c>
      <c r="J18" s="26" t="str">
        <f>IF(B18="", "", 'Lookup Tables'!$B$1)</f>
        <v/>
      </c>
      <c r="K18" s="26" t="str">
        <f>IF(B18="", "", 'Lighting Inventory'!B26)</f>
        <v/>
      </c>
      <c r="L18" s="26" t="str">
        <f>IF(B18="", "", 'Lighting Inventory'!C26)</f>
        <v/>
      </c>
      <c r="M18" s="26" t="str">
        <f>IF(B18="", "",'Lighting Inventory'!D26)</f>
        <v/>
      </c>
      <c r="N18" s="26" t="str">
        <f>IF(B18="", "",'Lighting Inventory'!E26)</f>
        <v/>
      </c>
      <c r="O18" s="26" t="str">
        <f>IF(B18="", "", 'Lighting Inventory'!F26)</f>
        <v/>
      </c>
      <c r="P18" s="26" t="str">
        <f>IF(B18="", "", 'Lighting Inventory'!G26)</f>
        <v/>
      </c>
      <c r="Q18" s="26" t="str">
        <f>IF(B18="", "", 'Lighting Inventory'!H26)</f>
        <v/>
      </c>
      <c r="R18" s="26" t="str">
        <f>IF(B18="", "", 'Lighting Inventory'!I26)</f>
        <v/>
      </c>
      <c r="S18" s="26" t="str">
        <f>IF(B18="", "", 'Lighting Inventory'!J26)</f>
        <v/>
      </c>
      <c r="T18" s="26" t="str">
        <f>IFERROR(IF(B18="","",VLOOKUP(S18,'Fixture Identities'!$A$7:$G$1023,5,FALSE)), "New Construction")</f>
        <v/>
      </c>
      <c r="U18" s="26" t="str">
        <f>IFERROR(IF(B18="", "", IF(K18="New Construction", "NC", IF(VLOOKUP(S18, 'Fixture Identities'!$A$7:$I$1023,3, FALSE)="T12 Linear Fluorescent", VLOOKUP(S18, 'Fixture Identities'!$A$7:$K$1012, 11, FALSE), S18))), "")</f>
        <v/>
      </c>
      <c r="V18" s="26" t="str">
        <f>IFERROR(IF(OR(B18="", U18=0), "", VLOOKUP(U18, 'Fixture Identities'!$A$7:$G$1023, 5, FALSE)), "")</f>
        <v/>
      </c>
      <c r="W18" s="26" t="str">
        <f>IF(B18="", "",'Lighting Inventory'!K26)</f>
        <v/>
      </c>
      <c r="X18" s="65" t="str">
        <f>IF(B18="", "", 'Lighting Inventory'!L26)</f>
        <v/>
      </c>
      <c r="Y18" s="26" t="str">
        <f>IF(B18="", "", IF('Lighting Inventory'!M26="", "Light Switch",'Lighting Inventory'!M26))</f>
        <v/>
      </c>
      <c r="Z18" s="26" t="str">
        <f>IF(OR(K18="Retrofit", B18=""), "", 'Lighting Inventory'!N26)</f>
        <v/>
      </c>
      <c r="AA18" s="26" t="str">
        <f>IF(OR(Z18="",B18=""), "", 'Lighting Inventory'!O26)</f>
        <v/>
      </c>
      <c r="AB18" s="26" t="str">
        <f>IF(B18="", "", 'Lighting Inventory'!P26)</f>
        <v/>
      </c>
      <c r="AC18" s="96" t="str">
        <f>IF(B18="", "", 'Lighting Inventory'!R26)</f>
        <v/>
      </c>
      <c r="AD18" s="26" t="str">
        <f>IF(B18="", "", 'Lighting Inventory'!S26)</f>
        <v/>
      </c>
      <c r="AE18" s="26" t="str">
        <f>IF(B18="", "", 'Lighting Inventory'!V26)</f>
        <v/>
      </c>
      <c r="AF18" s="26" t="str">
        <f>IF(B18="", "", 'Lighting Inventory'!W26)</f>
        <v/>
      </c>
      <c r="AG18" s="26" t="str">
        <f>IF(OR(AF18="", B18=""), "", IF(AE18="Custom", "0", VLOOKUP(AF18, 'Lookup Tables'!$AI$6:$AP$102, 8, FALSE)))</f>
        <v/>
      </c>
      <c r="AH18" s="26" t="str">
        <f>IF(B18="", "", 'Lighting Inventory'!AD26)</f>
        <v/>
      </c>
      <c r="AI18" s="26" t="str">
        <f>IF(OR('Lighting Inventory'!AK26="", B18=""), "", 'Lighting Inventory'!AK26)</f>
        <v/>
      </c>
      <c r="AJ18" s="66" t="str">
        <f>IF(B18="", "", 'Lighting Inventory'!AL26)</f>
        <v/>
      </c>
      <c r="AK18" s="65" t="str">
        <f>IF(B18="", "", 'Lighting Inventory'!AM26)</f>
        <v/>
      </c>
      <c r="AL18" s="26" t="str">
        <f>IF(B18="", "", 'Lighting Inventory'!AN26)</f>
        <v/>
      </c>
      <c r="AM18" s="26" t="str">
        <f t="shared" si="1"/>
        <v/>
      </c>
      <c r="AN18" s="26" t="str">
        <f>IF(B18="","",IF('Lighting Inventory'!AV26="","Prescribed",'Lighting Inventory'!AV26))</f>
        <v/>
      </c>
      <c r="AO18" s="66" t="str">
        <f>IF(B18="", "", 'Lighting Inventory'!AX26)</f>
        <v/>
      </c>
      <c r="AP18" s="67" t="str">
        <f>IF(B18="", "", 'Lighting Inventory'!AZ26)</f>
        <v/>
      </c>
      <c r="AQ18" s="67" t="str">
        <f>IF(B18="", "", 'Lighting Inventory'!BA26)</f>
        <v/>
      </c>
      <c r="AR18" s="67" t="str">
        <f>IF(B18="", "", 'Lighting Inventory'!BB26)</f>
        <v/>
      </c>
      <c r="AS18" s="67" t="str">
        <f>IF(B18="", "", 'Lighting Inventory'!BC26)</f>
        <v/>
      </c>
      <c r="AT18" s="67" t="str">
        <f>IF(B18="", "", 'Lighting Inventory'!BD26)</f>
        <v/>
      </c>
      <c r="AU18" s="67" t="str">
        <f>IF(B18="", "", 'Lighting Inventory'!BE26)</f>
        <v/>
      </c>
      <c r="AV18" s="67" t="str">
        <f>IF(B18="", "", 'Lighting Inventory'!BE26)</f>
        <v/>
      </c>
      <c r="AW18" s="67" t="str">
        <f>IF(B18="", "", 'Lighting Inventory'!BF26)</f>
        <v/>
      </c>
      <c r="AX18" s="67" t="str">
        <f>IF(B18="", "", 'Lighting Inventory'!BF26)</f>
        <v/>
      </c>
      <c r="AY18" s="65" t="str">
        <f t="shared" si="4"/>
        <v/>
      </c>
      <c r="AZ18" s="65" t="str">
        <f>IF(B18="", "", 'Lighting Inventory'!BJ26)</f>
        <v/>
      </c>
      <c r="BA18" s="65" t="str">
        <f>IF(B18="", "", 'Lighting Inventory'!BM26)</f>
        <v/>
      </c>
      <c r="BB18" s="65" t="str">
        <f>IF(B18="","",SUM('Lighting Inventory'!BP26:BP26))</f>
        <v/>
      </c>
      <c r="BC18" s="67" t="str">
        <f>IF(OR(AE18="", B18=""),"", 'Lighting Inventory'!GR26)</f>
        <v/>
      </c>
      <c r="BD18" s="67" t="str">
        <f>IFERROR(IF(B18="", "", 'Lighting Inventory'!AF26)*AD18," ")</f>
        <v xml:space="preserve"> </v>
      </c>
      <c r="BE18" s="67"/>
      <c r="BF18" s="67"/>
    </row>
    <row r="19" spans="1:58" x14ac:dyDescent="0.25">
      <c r="A19" s="26" t="str">
        <f>IF(B19="", "", 'Lookup Tables'!AW20)</f>
        <v/>
      </c>
      <c r="B19" s="26" t="str">
        <f>IF(OR('Lighting Inventory'!Y27="", 'Lighting Inventory'!V27="No Change"),"", 'Lighting Inventory'!Y27)</f>
        <v/>
      </c>
      <c r="C19" s="26" t="str">
        <f>IF(B19="", "", IF('Lighting Inventory'!Y27='Lookup Tables'!$Y$32, 'Lighting Inventory'!AJ27, IF(AD19=0, R19, AD19)))</f>
        <v/>
      </c>
      <c r="D19" s="26" t="str">
        <f>IF(B19="", "", 'General Information'!$F$14)</f>
        <v/>
      </c>
      <c r="E19" s="26" t="str">
        <f t="shared" si="3"/>
        <v/>
      </c>
      <c r="F19" s="26" t="str">
        <f>IF(B19="", "", CONCATENATE('General Information'!$F$9, " - ", 'General Information'!$F$14))</f>
        <v/>
      </c>
      <c r="G19" s="26" t="str">
        <f>IF(B19="", "", 'General Information'!$F$15)</f>
        <v/>
      </c>
      <c r="H19" s="26" t="str">
        <f>IF(B19="", "", IF(VLOOKUP(B19, 'Lookup Tables'!$Y$18:$AA$34, 2, FALSE)="Traffic", VLOOKUP('Lighting Inventory'!W27, 'Lookup Tables'!#REF!, 11, FALSE), VLOOKUP(B19, 'Lookup Tables'!$Y$18:$AA$34, 2, FALSE)))</f>
        <v/>
      </c>
      <c r="I19" s="26" t="str">
        <f>IF(B19="", "", CONCATENATE(D19, 'Data Export'!A19))</f>
        <v/>
      </c>
      <c r="J19" s="26" t="str">
        <f>IF(B19="", "", 'Lookup Tables'!$B$1)</f>
        <v/>
      </c>
      <c r="K19" s="26" t="str">
        <f>IF(B19="", "", 'Lighting Inventory'!B27)</f>
        <v/>
      </c>
      <c r="L19" s="26" t="str">
        <f>IF(B19="", "", 'Lighting Inventory'!C27)</f>
        <v/>
      </c>
      <c r="M19" s="26" t="str">
        <f>IF(B19="", "",'Lighting Inventory'!D27)</f>
        <v/>
      </c>
      <c r="N19" s="26" t="str">
        <f>IF(B19="", "",'Lighting Inventory'!E27)</f>
        <v/>
      </c>
      <c r="O19" s="26" t="str">
        <f>IF(B19="", "", 'Lighting Inventory'!F27)</f>
        <v/>
      </c>
      <c r="P19" s="26" t="str">
        <f>IF(B19="", "", 'Lighting Inventory'!G27)</f>
        <v/>
      </c>
      <c r="Q19" s="26" t="str">
        <f>IF(B19="", "", 'Lighting Inventory'!H27)</f>
        <v/>
      </c>
      <c r="R19" s="26" t="str">
        <f>IF(B19="", "", 'Lighting Inventory'!I27)</f>
        <v/>
      </c>
      <c r="S19" s="26" t="str">
        <f>IF(B19="", "", 'Lighting Inventory'!J27)</f>
        <v/>
      </c>
      <c r="T19" s="26" t="str">
        <f>IFERROR(IF(B19="","",VLOOKUP(S19,'Fixture Identities'!$A$7:$G$1023,5,FALSE)), "New Construction")</f>
        <v/>
      </c>
      <c r="U19" s="26" t="str">
        <f>IFERROR(IF(B19="", "", IF(K19="New Construction", "NC", IF(VLOOKUP(S19, 'Fixture Identities'!$A$7:$I$1023,3, FALSE)="T12 Linear Fluorescent", VLOOKUP(S19, 'Fixture Identities'!$A$7:$K$1012, 11, FALSE), S19))), "")</f>
        <v/>
      </c>
      <c r="V19" s="26" t="str">
        <f>IFERROR(IF(OR(B19="", U19=0), "", VLOOKUP(U19, 'Fixture Identities'!$A$7:$G$1023, 5, FALSE)), "")</f>
        <v/>
      </c>
      <c r="W19" s="26" t="str">
        <f>IF(B19="", "",'Lighting Inventory'!K27)</f>
        <v/>
      </c>
      <c r="X19" s="65" t="str">
        <f>IF(B19="", "", 'Lighting Inventory'!L27)</f>
        <v/>
      </c>
      <c r="Y19" s="26" t="str">
        <f>IF(B19="", "", IF('Lighting Inventory'!M27="", "Light Switch",'Lighting Inventory'!M27))</f>
        <v/>
      </c>
      <c r="Z19" s="26" t="str">
        <f>IF(OR(K19="Retrofit", B19=""), "", 'Lighting Inventory'!N27)</f>
        <v/>
      </c>
      <c r="AA19" s="26" t="str">
        <f>IF(OR(Z19="",B19=""), "", 'Lighting Inventory'!O27)</f>
        <v/>
      </c>
      <c r="AB19" s="26" t="str">
        <f>IF(B19="", "", 'Lighting Inventory'!P27)</f>
        <v/>
      </c>
      <c r="AC19" s="96" t="str">
        <f>IF(B19="", "", 'Lighting Inventory'!R27)</f>
        <v/>
      </c>
      <c r="AD19" s="26" t="str">
        <f>IF(B19="", "", 'Lighting Inventory'!S27)</f>
        <v/>
      </c>
      <c r="AE19" s="26" t="str">
        <f>IF(B19="", "", 'Lighting Inventory'!V27)</f>
        <v/>
      </c>
      <c r="AF19" s="26" t="str">
        <f>IF(B19="", "", 'Lighting Inventory'!W27)</f>
        <v/>
      </c>
      <c r="AG19" s="26" t="str">
        <f>IF(OR(AF19="", B19=""), "", IF(AE19="Custom", "0", VLOOKUP(AF19, 'Lookup Tables'!$AI$6:$AP$102, 8, FALSE)))</f>
        <v/>
      </c>
      <c r="AH19" s="26" t="str">
        <f>IF(B19="", "", 'Lighting Inventory'!AD27)</f>
        <v/>
      </c>
      <c r="AI19" s="26" t="str">
        <f>IF(OR('Lighting Inventory'!AK27="", B19=""), "", 'Lighting Inventory'!AK27)</f>
        <v/>
      </c>
      <c r="AJ19" s="66" t="str">
        <f>IF(B19="", "", 'Lighting Inventory'!AL27)</f>
        <v/>
      </c>
      <c r="AK19" s="65" t="str">
        <f>IF(B19="", "", 'Lighting Inventory'!AM27)</f>
        <v/>
      </c>
      <c r="AL19" s="26" t="str">
        <f>IF(B19="", "", 'Lighting Inventory'!AN27)</f>
        <v/>
      </c>
      <c r="AM19" s="26" t="str">
        <f t="shared" si="1"/>
        <v/>
      </c>
      <c r="AN19" s="26" t="str">
        <f>IF(B19="","",IF('Lighting Inventory'!AV27="","Prescribed",'Lighting Inventory'!AV27))</f>
        <v/>
      </c>
      <c r="AO19" s="66" t="str">
        <f>IF(B19="", "", 'Lighting Inventory'!AX27)</f>
        <v/>
      </c>
      <c r="AP19" s="67" t="str">
        <f>IF(B19="", "", 'Lighting Inventory'!AZ27)</f>
        <v/>
      </c>
      <c r="AQ19" s="67" t="str">
        <f>IF(B19="", "", 'Lighting Inventory'!BA27)</f>
        <v/>
      </c>
      <c r="AR19" s="67" t="str">
        <f>IF(B19="", "", 'Lighting Inventory'!BB27)</f>
        <v/>
      </c>
      <c r="AS19" s="67" t="str">
        <f>IF(B19="", "", 'Lighting Inventory'!BC27)</f>
        <v/>
      </c>
      <c r="AT19" s="67" t="str">
        <f>IF(B19="", "", 'Lighting Inventory'!BD27)</f>
        <v/>
      </c>
      <c r="AU19" s="67" t="str">
        <f>IF(B19="", "", 'Lighting Inventory'!BE27)</f>
        <v/>
      </c>
      <c r="AV19" s="67" t="str">
        <f>IF(B19="", "", 'Lighting Inventory'!BE27)</f>
        <v/>
      </c>
      <c r="AW19" s="67" t="str">
        <f>IF(B19="", "", 'Lighting Inventory'!BF27)</f>
        <v/>
      </c>
      <c r="AX19" s="67" t="str">
        <f>IF(B19="", "", 'Lighting Inventory'!BF27)</f>
        <v/>
      </c>
      <c r="AY19" s="65" t="str">
        <f t="shared" si="4"/>
        <v/>
      </c>
      <c r="AZ19" s="65" t="str">
        <f>IF(B19="", "", 'Lighting Inventory'!BJ27)</f>
        <v/>
      </c>
      <c r="BA19" s="65" t="str">
        <f>IF(B19="", "", 'Lighting Inventory'!BM27)</f>
        <v/>
      </c>
      <c r="BB19" s="65" t="str">
        <f>IF(B19="","",SUM('Lighting Inventory'!BP27:BP27))</f>
        <v/>
      </c>
      <c r="BC19" s="67" t="str">
        <f>IF(OR(AE19="", B19=""),"", 'Lighting Inventory'!GR27)</f>
        <v/>
      </c>
      <c r="BD19" s="67" t="str">
        <f>IFERROR(IF(B19="", "", 'Lighting Inventory'!AF27)*AD19," ")</f>
        <v xml:space="preserve"> </v>
      </c>
      <c r="BE19" s="67"/>
      <c r="BF19" s="67"/>
    </row>
    <row r="20" spans="1:58" x14ac:dyDescent="0.25">
      <c r="A20" s="26" t="str">
        <f>IF(B20="", "", 'Lookup Tables'!AW21)</f>
        <v/>
      </c>
      <c r="B20" s="26" t="str">
        <f>IF(OR('Lighting Inventory'!Y28="", 'Lighting Inventory'!V28="No Change"),"", 'Lighting Inventory'!Y28)</f>
        <v/>
      </c>
      <c r="C20" s="26" t="str">
        <f>IF(B20="", "", IF('Lighting Inventory'!Y28='Lookup Tables'!$Y$32, 'Lighting Inventory'!AJ28, IF(AD20=0, R20, AD20)))</f>
        <v/>
      </c>
      <c r="D20" s="26" t="str">
        <f>IF(B20="", "", 'General Information'!$F$14)</f>
        <v/>
      </c>
      <c r="E20" s="26" t="str">
        <f t="shared" si="3"/>
        <v/>
      </c>
      <c r="F20" s="26" t="str">
        <f>IF(B20="", "", CONCATENATE('General Information'!$F$9, " - ", 'General Information'!$F$14))</f>
        <v/>
      </c>
      <c r="G20" s="26" t="str">
        <f>IF(B20="", "", 'General Information'!$F$15)</f>
        <v/>
      </c>
      <c r="H20" s="26" t="str">
        <f>IF(B20="", "", IF(VLOOKUP(B20, 'Lookup Tables'!$Y$18:$AA$34, 2, FALSE)="Traffic", VLOOKUP('Lighting Inventory'!W28, 'Lookup Tables'!#REF!, 11, FALSE), VLOOKUP(B20, 'Lookup Tables'!$Y$18:$AA$34, 2, FALSE)))</f>
        <v/>
      </c>
      <c r="I20" s="26" t="str">
        <f>IF(B20="", "", CONCATENATE(D20, 'Data Export'!A20))</f>
        <v/>
      </c>
      <c r="J20" s="26" t="str">
        <f>IF(B20="", "", 'Lookup Tables'!$B$1)</f>
        <v/>
      </c>
      <c r="K20" s="26" t="str">
        <f>IF(B20="", "", 'Lighting Inventory'!B28)</f>
        <v/>
      </c>
      <c r="L20" s="26" t="str">
        <f>IF(B20="", "", 'Lighting Inventory'!C28)</f>
        <v/>
      </c>
      <c r="M20" s="26" t="str">
        <f>IF(B20="", "",'Lighting Inventory'!D28)</f>
        <v/>
      </c>
      <c r="N20" s="26" t="str">
        <f>IF(B20="", "",'Lighting Inventory'!E28)</f>
        <v/>
      </c>
      <c r="O20" s="26" t="str">
        <f>IF(B20="", "", 'Lighting Inventory'!F28)</f>
        <v/>
      </c>
      <c r="P20" s="26" t="str">
        <f>IF(B20="", "", 'Lighting Inventory'!G28)</f>
        <v/>
      </c>
      <c r="Q20" s="26" t="str">
        <f>IF(B20="", "", 'Lighting Inventory'!H28)</f>
        <v/>
      </c>
      <c r="R20" s="26" t="str">
        <f>IF(B20="", "", 'Lighting Inventory'!I28)</f>
        <v/>
      </c>
      <c r="S20" s="26" t="str">
        <f>IF(B20="", "", 'Lighting Inventory'!J28)</f>
        <v/>
      </c>
      <c r="T20" s="26" t="str">
        <f>IFERROR(IF(B20="","",VLOOKUP(S20,'Fixture Identities'!$A$7:$G$1023,5,FALSE)), "New Construction")</f>
        <v/>
      </c>
      <c r="U20" s="26" t="str">
        <f>IFERROR(IF(B20="", "", IF(K20="New Construction", "NC", IF(VLOOKUP(S20, 'Fixture Identities'!$A$7:$I$1023,3, FALSE)="T12 Linear Fluorescent", VLOOKUP(S20, 'Fixture Identities'!$A$7:$K$1012, 11, FALSE), S20))), "")</f>
        <v/>
      </c>
      <c r="V20" s="26" t="str">
        <f>IFERROR(IF(OR(B20="", U20=0), "", VLOOKUP(U20, 'Fixture Identities'!$A$7:$G$1023, 5, FALSE)), "")</f>
        <v/>
      </c>
      <c r="W20" s="26" t="str">
        <f>IF(B20="", "",'Lighting Inventory'!K28)</f>
        <v/>
      </c>
      <c r="X20" s="65" t="str">
        <f>IF(B20="", "", 'Lighting Inventory'!L28)</f>
        <v/>
      </c>
      <c r="Y20" s="26" t="str">
        <f>IF(B20="", "", IF('Lighting Inventory'!M28="", "Light Switch",'Lighting Inventory'!M28))</f>
        <v/>
      </c>
      <c r="Z20" s="26" t="str">
        <f>IF(OR(K20="Retrofit", B20=""), "", 'Lighting Inventory'!N28)</f>
        <v/>
      </c>
      <c r="AA20" s="26" t="str">
        <f>IF(OR(Z20="",B20=""), "", 'Lighting Inventory'!O28)</f>
        <v/>
      </c>
      <c r="AB20" s="26" t="str">
        <f>IF(B20="", "", 'Lighting Inventory'!P28)</f>
        <v/>
      </c>
      <c r="AC20" s="96" t="str">
        <f>IF(B20="", "", 'Lighting Inventory'!R28)</f>
        <v/>
      </c>
      <c r="AD20" s="26" t="str">
        <f>IF(B20="", "", 'Lighting Inventory'!S28)</f>
        <v/>
      </c>
      <c r="AE20" s="26" t="str">
        <f>IF(B20="", "", 'Lighting Inventory'!V28)</f>
        <v/>
      </c>
      <c r="AF20" s="26" t="str">
        <f>IF(B20="", "", 'Lighting Inventory'!W28)</f>
        <v/>
      </c>
      <c r="AG20" s="26" t="str">
        <f>IF(OR(AF20="", B20=""), "", IF(AE20="Custom", "0", VLOOKUP(AF20, 'Lookup Tables'!$AI$6:$AP$102, 8, FALSE)))</f>
        <v/>
      </c>
      <c r="AH20" s="26" t="str">
        <f>IF(B20="", "", 'Lighting Inventory'!AD28)</f>
        <v/>
      </c>
      <c r="AI20" s="26" t="str">
        <f>IF(OR('Lighting Inventory'!AK28="", B20=""), "", 'Lighting Inventory'!AK28)</f>
        <v/>
      </c>
      <c r="AJ20" s="66" t="str">
        <f>IF(B20="", "", 'Lighting Inventory'!AL28)</f>
        <v/>
      </c>
      <c r="AK20" s="65" t="str">
        <f>IF(B20="", "", 'Lighting Inventory'!AM28)</f>
        <v/>
      </c>
      <c r="AL20" s="26" t="str">
        <f>IF(B20="", "", 'Lighting Inventory'!AN28)</f>
        <v/>
      </c>
      <c r="AM20" s="26" t="str">
        <f t="shared" si="1"/>
        <v/>
      </c>
      <c r="AN20" s="26" t="str">
        <f>IF(B20="","",IF('Lighting Inventory'!AV28="","Prescribed",'Lighting Inventory'!AV28))</f>
        <v/>
      </c>
      <c r="AO20" s="66" t="str">
        <f>IF(B20="", "", 'Lighting Inventory'!AX28)</f>
        <v/>
      </c>
      <c r="AP20" s="67" t="str">
        <f>IF(B20="", "", 'Lighting Inventory'!AZ28)</f>
        <v/>
      </c>
      <c r="AQ20" s="67" t="str">
        <f>IF(B20="", "", 'Lighting Inventory'!BA28)</f>
        <v/>
      </c>
      <c r="AR20" s="67" t="str">
        <f>IF(B20="", "", 'Lighting Inventory'!BB28)</f>
        <v/>
      </c>
      <c r="AS20" s="67" t="str">
        <f>IF(B20="", "", 'Lighting Inventory'!BC28)</f>
        <v/>
      </c>
      <c r="AT20" s="67" t="str">
        <f>IF(B20="", "", 'Lighting Inventory'!BD28)</f>
        <v/>
      </c>
      <c r="AU20" s="67" t="str">
        <f>IF(B20="", "", 'Lighting Inventory'!BE28)</f>
        <v/>
      </c>
      <c r="AV20" s="67" t="str">
        <f>IF(B20="", "", 'Lighting Inventory'!BE28)</f>
        <v/>
      </c>
      <c r="AW20" s="67" t="str">
        <f>IF(B20="", "", 'Lighting Inventory'!BF28)</f>
        <v/>
      </c>
      <c r="AX20" s="67" t="str">
        <f>IF(B20="", "", 'Lighting Inventory'!BF28)</f>
        <v/>
      </c>
      <c r="AY20" s="65" t="str">
        <f t="shared" si="4"/>
        <v/>
      </c>
      <c r="AZ20" s="65" t="str">
        <f>IF(B20="", "", 'Lighting Inventory'!BJ28)</f>
        <v/>
      </c>
      <c r="BA20" s="65" t="str">
        <f>IF(B20="", "", 'Lighting Inventory'!BM28)</f>
        <v/>
      </c>
      <c r="BB20" s="65" t="str">
        <f>IF(B20="","",SUM('Lighting Inventory'!BP28:BP28))</f>
        <v/>
      </c>
      <c r="BC20" s="67" t="str">
        <f>IF(OR(AE20="", B20=""),"", 'Lighting Inventory'!GR28)</f>
        <v/>
      </c>
      <c r="BD20" s="67" t="str">
        <f>IFERROR(IF(B20="", "", 'Lighting Inventory'!AF28)*AD20," ")</f>
        <v xml:space="preserve"> </v>
      </c>
      <c r="BE20" s="67"/>
      <c r="BF20" s="67"/>
    </row>
    <row r="21" spans="1:58" x14ac:dyDescent="0.25">
      <c r="A21" s="26" t="str">
        <f>IF(B21="", "", 'Lookup Tables'!AW22)</f>
        <v/>
      </c>
      <c r="B21" s="26" t="str">
        <f>IF(OR('Lighting Inventory'!Y29="", 'Lighting Inventory'!V29="No Change"),"", 'Lighting Inventory'!Y29)</f>
        <v/>
      </c>
      <c r="C21" s="26" t="str">
        <f>IF(B21="", "", IF('Lighting Inventory'!Y29='Lookup Tables'!$Y$32, 'Lighting Inventory'!AJ29, IF(AD21=0, R21, AD21)))</f>
        <v/>
      </c>
      <c r="D21" s="26" t="str">
        <f>IF(B21="", "", 'General Information'!$F$14)</f>
        <v/>
      </c>
      <c r="E21" s="26" t="str">
        <f t="shared" si="3"/>
        <v/>
      </c>
      <c r="F21" s="26" t="str">
        <f>IF(B21="", "", CONCATENATE('General Information'!$F$9, " - ", 'General Information'!$F$14))</f>
        <v/>
      </c>
      <c r="G21" s="26" t="str">
        <f>IF(B21="", "", 'General Information'!$F$15)</f>
        <v/>
      </c>
      <c r="H21" s="26" t="str">
        <f>IF(B21="", "", IF(VLOOKUP(B21, 'Lookup Tables'!$Y$18:$AA$34, 2, FALSE)="Traffic", VLOOKUP('Lighting Inventory'!W29, 'Lookup Tables'!#REF!, 11, FALSE), VLOOKUP(B21, 'Lookup Tables'!$Y$18:$AA$34, 2, FALSE)))</f>
        <v/>
      </c>
      <c r="I21" s="26" t="str">
        <f>IF(B21="", "", CONCATENATE(D21, 'Data Export'!A21))</f>
        <v/>
      </c>
      <c r="J21" s="26" t="str">
        <f>IF(B21="", "", 'Lookup Tables'!$B$1)</f>
        <v/>
      </c>
      <c r="K21" s="26" t="str">
        <f>IF(B21="", "", 'Lighting Inventory'!B29)</f>
        <v/>
      </c>
      <c r="L21" s="26" t="str">
        <f>IF(B21="", "", 'Lighting Inventory'!C29)</f>
        <v/>
      </c>
      <c r="M21" s="26" t="str">
        <f>IF(B21="", "",'Lighting Inventory'!D29)</f>
        <v/>
      </c>
      <c r="N21" s="26" t="str">
        <f>IF(B21="", "",'Lighting Inventory'!E29)</f>
        <v/>
      </c>
      <c r="O21" s="26" t="str">
        <f>IF(B21="", "", 'Lighting Inventory'!F29)</f>
        <v/>
      </c>
      <c r="P21" s="26" t="str">
        <f>IF(B21="", "", 'Lighting Inventory'!G29)</f>
        <v/>
      </c>
      <c r="Q21" s="26" t="str">
        <f>IF(B21="", "", 'Lighting Inventory'!H29)</f>
        <v/>
      </c>
      <c r="R21" s="26" t="str">
        <f>IF(B21="", "", 'Lighting Inventory'!I29)</f>
        <v/>
      </c>
      <c r="S21" s="26" t="str">
        <f>IF(B21="", "", 'Lighting Inventory'!J29)</f>
        <v/>
      </c>
      <c r="T21" s="26" t="str">
        <f>IFERROR(IF(B21="","",VLOOKUP(S21,'Fixture Identities'!$A$7:$G$1023,5,FALSE)), "New Construction")</f>
        <v/>
      </c>
      <c r="U21" s="26" t="str">
        <f>IFERROR(IF(B21="", "", IF(K21="New Construction", "NC", IF(VLOOKUP(S21, 'Fixture Identities'!$A$7:$I$1023,3, FALSE)="T12 Linear Fluorescent", VLOOKUP(S21, 'Fixture Identities'!$A$7:$K$1012, 11, FALSE), S21))), "")</f>
        <v/>
      </c>
      <c r="V21" s="26" t="str">
        <f>IFERROR(IF(OR(B21="", U21=0), "", VLOOKUP(U21, 'Fixture Identities'!$A$7:$G$1023, 5, FALSE)), "")</f>
        <v/>
      </c>
      <c r="W21" s="26" t="str">
        <f>IF(B21="", "",'Lighting Inventory'!K29)</f>
        <v/>
      </c>
      <c r="X21" s="65" t="str">
        <f>IF(B21="", "", 'Lighting Inventory'!L29)</f>
        <v/>
      </c>
      <c r="Y21" s="26" t="str">
        <f>IF(B21="", "", IF('Lighting Inventory'!M29="", "Light Switch",'Lighting Inventory'!M29))</f>
        <v/>
      </c>
      <c r="Z21" s="26" t="str">
        <f>IF(OR(K21="Retrofit", B21=""), "", 'Lighting Inventory'!N29)</f>
        <v/>
      </c>
      <c r="AA21" s="26" t="str">
        <f>IF(OR(Z21="",B21=""), "", 'Lighting Inventory'!O29)</f>
        <v/>
      </c>
      <c r="AB21" s="26" t="str">
        <f>IF(B21="", "", 'Lighting Inventory'!P29)</f>
        <v/>
      </c>
      <c r="AC21" s="96" t="str">
        <f>IF(B21="", "", 'Lighting Inventory'!R29)</f>
        <v/>
      </c>
      <c r="AD21" s="26" t="str">
        <f>IF(B21="", "", 'Lighting Inventory'!S29)</f>
        <v/>
      </c>
      <c r="AE21" s="26" t="str">
        <f>IF(B21="", "", 'Lighting Inventory'!V29)</f>
        <v/>
      </c>
      <c r="AF21" s="26" t="str">
        <f>IF(B21="", "", 'Lighting Inventory'!W29)</f>
        <v/>
      </c>
      <c r="AG21" s="26" t="str">
        <f>IF(OR(AF21="", B21=""), "", IF(AE21="Custom", "0", VLOOKUP(AF21, 'Lookup Tables'!$AI$6:$AP$102, 8, FALSE)))</f>
        <v/>
      </c>
      <c r="AH21" s="26" t="str">
        <f>IF(B21="", "", 'Lighting Inventory'!AD29)</f>
        <v/>
      </c>
      <c r="AI21" s="26" t="str">
        <f>IF(OR('Lighting Inventory'!AK29="", B21=""), "", 'Lighting Inventory'!AK29)</f>
        <v/>
      </c>
      <c r="AJ21" s="66" t="str">
        <f>IF(B21="", "", 'Lighting Inventory'!AL29)</f>
        <v/>
      </c>
      <c r="AK21" s="65" t="str">
        <f>IF(B21="", "", 'Lighting Inventory'!AM29)</f>
        <v/>
      </c>
      <c r="AL21" s="26" t="str">
        <f>IF(B21="", "", 'Lighting Inventory'!AN29)</f>
        <v/>
      </c>
      <c r="AM21" s="26" t="str">
        <f t="shared" si="1"/>
        <v/>
      </c>
      <c r="AN21" s="26" t="str">
        <f>IF(B21="","",IF('Lighting Inventory'!AV29="","Prescribed",'Lighting Inventory'!AV29))</f>
        <v/>
      </c>
      <c r="AO21" s="66" t="str">
        <f>IF(B21="", "", 'Lighting Inventory'!AX29)</f>
        <v/>
      </c>
      <c r="AP21" s="67" t="str">
        <f>IF(B21="", "", 'Lighting Inventory'!AZ29)</f>
        <v/>
      </c>
      <c r="AQ21" s="67" t="str">
        <f>IF(B21="", "", 'Lighting Inventory'!BA29)</f>
        <v/>
      </c>
      <c r="AR21" s="67" t="str">
        <f>IF(B21="", "", 'Lighting Inventory'!BB29)</f>
        <v/>
      </c>
      <c r="AS21" s="67" t="str">
        <f>IF(B21="", "", 'Lighting Inventory'!BC29)</f>
        <v/>
      </c>
      <c r="AT21" s="67" t="str">
        <f>IF(B21="", "", 'Lighting Inventory'!BD29)</f>
        <v/>
      </c>
      <c r="AU21" s="67" t="str">
        <f>IF(B21="", "", 'Lighting Inventory'!BE29)</f>
        <v/>
      </c>
      <c r="AV21" s="67" t="str">
        <f>IF(B21="", "", 'Lighting Inventory'!BE29)</f>
        <v/>
      </c>
      <c r="AW21" s="67" t="str">
        <f>IF(B21="", "", 'Lighting Inventory'!BF29)</f>
        <v/>
      </c>
      <c r="AX21" s="67" t="str">
        <f>IF(B21="", "", 'Lighting Inventory'!BF29)</f>
        <v/>
      </c>
      <c r="AY21" s="65" t="str">
        <f t="shared" si="4"/>
        <v/>
      </c>
      <c r="AZ21" s="65" t="str">
        <f>IF(B21="", "", 'Lighting Inventory'!BJ29)</f>
        <v/>
      </c>
      <c r="BA21" s="65" t="str">
        <f>IF(B21="", "", 'Lighting Inventory'!BM29)</f>
        <v/>
      </c>
      <c r="BB21" s="65" t="str">
        <f>IF(B21="","",SUM('Lighting Inventory'!BP29:BP29))</f>
        <v/>
      </c>
      <c r="BC21" s="67" t="str">
        <f>IF(OR(AE21="", B21=""),"", 'Lighting Inventory'!GR29)</f>
        <v/>
      </c>
      <c r="BD21" s="67" t="str">
        <f>IFERROR(IF(B21="", "", 'Lighting Inventory'!AF29)*AD21," ")</f>
        <v xml:space="preserve"> </v>
      </c>
      <c r="BE21" s="67"/>
      <c r="BF21" s="67"/>
    </row>
    <row r="22" spans="1:58" x14ac:dyDescent="0.25">
      <c r="A22" s="26" t="str">
        <f>IF(B22="", "", 'Lookup Tables'!AW23)</f>
        <v/>
      </c>
      <c r="B22" s="26" t="str">
        <f>IF(OR('Lighting Inventory'!Y30="", 'Lighting Inventory'!V30="No Change"),"", 'Lighting Inventory'!Y30)</f>
        <v/>
      </c>
      <c r="C22" s="26" t="str">
        <f>IF(B22="", "", IF('Lighting Inventory'!Y30='Lookup Tables'!$Y$32, 'Lighting Inventory'!AJ30, IF(AD22=0, R22, AD22)))</f>
        <v/>
      </c>
      <c r="D22" s="26" t="str">
        <f>IF(B22="", "", 'General Information'!$F$14)</f>
        <v/>
      </c>
      <c r="E22" s="26" t="str">
        <f t="shared" si="3"/>
        <v/>
      </c>
      <c r="F22" s="26" t="str">
        <f>IF(B22="", "", CONCATENATE('General Information'!$F$9, " - ", 'General Information'!$F$14))</f>
        <v/>
      </c>
      <c r="G22" s="26" t="str">
        <f>IF(B22="", "", 'General Information'!$F$15)</f>
        <v/>
      </c>
      <c r="H22" s="26" t="str">
        <f>IF(B22="", "", IF(VLOOKUP(B22, 'Lookup Tables'!$Y$18:$AA$34, 2, FALSE)="Traffic", VLOOKUP('Lighting Inventory'!W30, 'Lookup Tables'!#REF!, 11, FALSE), VLOOKUP(B22, 'Lookup Tables'!$Y$18:$AA$34, 2, FALSE)))</f>
        <v/>
      </c>
      <c r="I22" s="26" t="str">
        <f>IF(B22="", "", CONCATENATE(D22, 'Data Export'!A22))</f>
        <v/>
      </c>
      <c r="J22" s="26" t="str">
        <f>IF(B22="", "", 'Lookup Tables'!$B$1)</f>
        <v/>
      </c>
      <c r="K22" s="26" t="str">
        <f>IF(B22="", "", 'Lighting Inventory'!B30)</f>
        <v/>
      </c>
      <c r="L22" s="26" t="str">
        <f>IF(B22="", "", 'Lighting Inventory'!C30)</f>
        <v/>
      </c>
      <c r="M22" s="26" t="str">
        <f>IF(B22="", "",'Lighting Inventory'!D30)</f>
        <v/>
      </c>
      <c r="N22" s="26" t="str">
        <f>IF(B22="", "",'Lighting Inventory'!E30)</f>
        <v/>
      </c>
      <c r="O22" s="26" t="str">
        <f>IF(B22="", "", 'Lighting Inventory'!F30)</f>
        <v/>
      </c>
      <c r="P22" s="26" t="str">
        <f>IF(B22="", "", 'Lighting Inventory'!G30)</f>
        <v/>
      </c>
      <c r="Q22" s="26" t="str">
        <f>IF(B22="", "", 'Lighting Inventory'!H30)</f>
        <v/>
      </c>
      <c r="R22" s="26" t="str">
        <f>IF(B22="", "", 'Lighting Inventory'!I30)</f>
        <v/>
      </c>
      <c r="S22" s="26" t="str">
        <f>IF(B22="", "", 'Lighting Inventory'!J30)</f>
        <v/>
      </c>
      <c r="T22" s="26" t="str">
        <f>IFERROR(IF(B22="","",VLOOKUP(S22,'Fixture Identities'!$A$7:$G$1023,5,FALSE)), "New Construction")</f>
        <v/>
      </c>
      <c r="U22" s="26" t="str">
        <f>IFERROR(IF(B22="", "", IF(K22="New Construction", "NC", IF(VLOOKUP(S22, 'Fixture Identities'!$A$7:$I$1023,3, FALSE)="T12 Linear Fluorescent", VLOOKUP(S22, 'Fixture Identities'!$A$7:$K$1012, 11, FALSE), S22))), "")</f>
        <v/>
      </c>
      <c r="V22" s="26" t="str">
        <f>IFERROR(IF(OR(B22="", U22=0), "", VLOOKUP(U22, 'Fixture Identities'!$A$7:$G$1023, 5, FALSE)), "")</f>
        <v/>
      </c>
      <c r="W22" s="26" t="str">
        <f>IF(B22="", "",'Lighting Inventory'!K30)</f>
        <v/>
      </c>
      <c r="X22" s="65" t="str">
        <f>IF(B22="", "", 'Lighting Inventory'!L30)</f>
        <v/>
      </c>
      <c r="Y22" s="26" t="str">
        <f>IF(B22="", "", IF('Lighting Inventory'!M30="", "Light Switch",'Lighting Inventory'!M30))</f>
        <v/>
      </c>
      <c r="Z22" s="26" t="str">
        <f>IF(OR(K22="Retrofit", B22=""), "", 'Lighting Inventory'!N30)</f>
        <v/>
      </c>
      <c r="AA22" s="26" t="str">
        <f>IF(OR(Z22="",B22=""), "", 'Lighting Inventory'!O30)</f>
        <v/>
      </c>
      <c r="AB22" s="26" t="str">
        <f>IF(B22="", "", 'Lighting Inventory'!P30)</f>
        <v/>
      </c>
      <c r="AC22" s="96" t="str">
        <f>IF(B22="", "", 'Lighting Inventory'!R30)</f>
        <v/>
      </c>
      <c r="AD22" s="26" t="str">
        <f>IF(B22="", "", 'Lighting Inventory'!S30)</f>
        <v/>
      </c>
      <c r="AE22" s="26" t="str">
        <f>IF(B22="", "", 'Lighting Inventory'!V30)</f>
        <v/>
      </c>
      <c r="AF22" s="26" t="str">
        <f>IF(B22="", "", 'Lighting Inventory'!W30)</f>
        <v/>
      </c>
      <c r="AG22" s="26" t="str">
        <f>IF(OR(AF22="", B22=""), "", IF(AE22="Custom", "0", VLOOKUP(AF22, 'Lookup Tables'!$AI$6:$AP$102, 8, FALSE)))</f>
        <v/>
      </c>
      <c r="AH22" s="26" t="str">
        <f>IF(B22="", "", 'Lighting Inventory'!AD30)</f>
        <v/>
      </c>
      <c r="AI22" s="26" t="str">
        <f>IF(OR('Lighting Inventory'!AK30="", B22=""), "", 'Lighting Inventory'!AK30)</f>
        <v/>
      </c>
      <c r="AJ22" s="66" t="str">
        <f>IF(B22="", "", 'Lighting Inventory'!AL30)</f>
        <v/>
      </c>
      <c r="AK22" s="65" t="str">
        <f>IF(B22="", "", 'Lighting Inventory'!AM30)</f>
        <v/>
      </c>
      <c r="AL22" s="26" t="str">
        <f>IF(B22="", "", 'Lighting Inventory'!AN30)</f>
        <v/>
      </c>
      <c r="AM22" s="26" t="str">
        <f t="shared" si="1"/>
        <v/>
      </c>
      <c r="AN22" s="26" t="str">
        <f>IF(B22="","",IF('Lighting Inventory'!AV30="","Prescribed",'Lighting Inventory'!AV30))</f>
        <v/>
      </c>
      <c r="AO22" s="66" t="str">
        <f>IF(B22="", "", 'Lighting Inventory'!AX30)</f>
        <v/>
      </c>
      <c r="AP22" s="67" t="str">
        <f>IF(B22="", "", 'Lighting Inventory'!AZ30)</f>
        <v/>
      </c>
      <c r="AQ22" s="67" t="str">
        <f>IF(B22="", "", 'Lighting Inventory'!BA30)</f>
        <v/>
      </c>
      <c r="AR22" s="67" t="str">
        <f>IF(B22="", "", 'Lighting Inventory'!BB30)</f>
        <v/>
      </c>
      <c r="AS22" s="67" t="str">
        <f>IF(B22="", "", 'Lighting Inventory'!BC30)</f>
        <v/>
      </c>
      <c r="AT22" s="67" t="str">
        <f>IF(B22="", "", 'Lighting Inventory'!BD30)</f>
        <v/>
      </c>
      <c r="AU22" s="67" t="str">
        <f>IF(B22="", "", 'Lighting Inventory'!BE30)</f>
        <v/>
      </c>
      <c r="AV22" s="67" t="str">
        <f>IF(B22="", "", 'Lighting Inventory'!BE30)</f>
        <v/>
      </c>
      <c r="AW22" s="67" t="str">
        <f>IF(B22="", "", 'Lighting Inventory'!BF30)</f>
        <v/>
      </c>
      <c r="AX22" s="67" t="str">
        <f>IF(B22="", "", 'Lighting Inventory'!BF30)</f>
        <v/>
      </c>
      <c r="AY22" s="65" t="str">
        <f t="shared" si="4"/>
        <v/>
      </c>
      <c r="AZ22" s="65" t="str">
        <f>IF(B22="", "", 'Lighting Inventory'!BJ30)</f>
        <v/>
      </c>
      <c r="BA22" s="65" t="str">
        <f>IF(B22="", "", 'Lighting Inventory'!BM30)</f>
        <v/>
      </c>
      <c r="BB22" s="65" t="str">
        <f>IF(B22="","",SUM('Lighting Inventory'!BP30:BP30))</f>
        <v/>
      </c>
      <c r="BC22" s="67" t="str">
        <f>IF(OR(AE22="", B22=""),"", 'Lighting Inventory'!GR30)</f>
        <v/>
      </c>
      <c r="BD22" s="67" t="str">
        <f>IFERROR(IF(B22="", "", 'Lighting Inventory'!AF30)*AD22," ")</f>
        <v xml:space="preserve"> </v>
      </c>
      <c r="BE22" s="67"/>
      <c r="BF22" s="67"/>
    </row>
    <row r="23" spans="1:58" x14ac:dyDescent="0.25">
      <c r="A23" s="26" t="str">
        <f>IF(B23="", "", 'Lookup Tables'!AW24)</f>
        <v/>
      </c>
      <c r="B23" s="26" t="str">
        <f>IF(OR('Lighting Inventory'!Y31="", 'Lighting Inventory'!V31="No Change"),"", 'Lighting Inventory'!Y31)</f>
        <v/>
      </c>
      <c r="C23" s="26" t="str">
        <f>IF(B23="", "", IF('Lighting Inventory'!Y31='Lookup Tables'!$Y$32, 'Lighting Inventory'!AJ31, IF(AD23=0, R23, AD23)))</f>
        <v/>
      </c>
      <c r="D23" s="26" t="str">
        <f>IF(B23="", "", 'General Information'!$F$14)</f>
        <v/>
      </c>
      <c r="E23" s="26" t="str">
        <f t="shared" si="3"/>
        <v/>
      </c>
      <c r="F23" s="26" t="str">
        <f>IF(B23="", "", CONCATENATE('General Information'!$F$9, " - ", 'General Information'!$F$14))</f>
        <v/>
      </c>
      <c r="G23" s="26" t="str">
        <f>IF(B23="", "", 'General Information'!$F$15)</f>
        <v/>
      </c>
      <c r="H23" s="26" t="str">
        <f>IF(B23="", "", IF(VLOOKUP(B23, 'Lookup Tables'!$Y$18:$AA$34, 2, FALSE)="Traffic", VLOOKUP('Lighting Inventory'!W31, 'Lookup Tables'!#REF!, 11, FALSE), VLOOKUP(B23, 'Lookup Tables'!$Y$18:$AA$34, 2, FALSE)))</f>
        <v/>
      </c>
      <c r="I23" s="26" t="str">
        <f>IF(B23="", "", CONCATENATE(D23, 'Data Export'!A23))</f>
        <v/>
      </c>
      <c r="J23" s="26" t="str">
        <f>IF(B23="", "", 'Lookup Tables'!$B$1)</f>
        <v/>
      </c>
      <c r="K23" s="26" t="str">
        <f>IF(B23="", "", 'Lighting Inventory'!B31)</f>
        <v/>
      </c>
      <c r="L23" s="26" t="str">
        <f>IF(B23="", "", 'Lighting Inventory'!C31)</f>
        <v/>
      </c>
      <c r="M23" s="26" t="str">
        <f>IF(B23="", "",'Lighting Inventory'!D31)</f>
        <v/>
      </c>
      <c r="N23" s="26" t="str">
        <f>IF(B23="", "",'Lighting Inventory'!E31)</f>
        <v/>
      </c>
      <c r="O23" s="26" t="str">
        <f>IF(B23="", "", 'Lighting Inventory'!F31)</f>
        <v/>
      </c>
      <c r="P23" s="26" t="str">
        <f>IF(B23="", "", 'Lighting Inventory'!G31)</f>
        <v/>
      </c>
      <c r="Q23" s="26" t="str">
        <f>IF(B23="", "", 'Lighting Inventory'!H31)</f>
        <v/>
      </c>
      <c r="R23" s="26" t="str">
        <f>IF(B23="", "", 'Lighting Inventory'!I31)</f>
        <v/>
      </c>
      <c r="S23" s="26" t="str">
        <f>IF(B23="", "", 'Lighting Inventory'!J31)</f>
        <v/>
      </c>
      <c r="T23" s="26" t="str">
        <f>IFERROR(IF(B23="","",VLOOKUP(S23,'Fixture Identities'!$A$7:$G$1023,5,FALSE)), "New Construction")</f>
        <v/>
      </c>
      <c r="U23" s="26" t="str">
        <f>IFERROR(IF(B23="", "", IF(K23="New Construction", "NC", IF(VLOOKUP(S23, 'Fixture Identities'!$A$7:$I$1023,3, FALSE)="T12 Linear Fluorescent", VLOOKUP(S23, 'Fixture Identities'!$A$7:$K$1012, 11, FALSE), S23))), "")</f>
        <v/>
      </c>
      <c r="V23" s="26" t="str">
        <f>IFERROR(IF(OR(B23="", U23=0), "", VLOOKUP(U23, 'Fixture Identities'!$A$7:$G$1023, 5, FALSE)), "")</f>
        <v/>
      </c>
      <c r="W23" s="26" t="str">
        <f>IF(B23="", "",'Lighting Inventory'!K31)</f>
        <v/>
      </c>
      <c r="X23" s="65" t="str">
        <f>IF(B23="", "", 'Lighting Inventory'!L31)</f>
        <v/>
      </c>
      <c r="Y23" s="26" t="str">
        <f>IF(B23="", "", IF('Lighting Inventory'!M31="", "Light Switch",'Lighting Inventory'!M31))</f>
        <v/>
      </c>
      <c r="Z23" s="26" t="str">
        <f>IF(OR(K23="Retrofit", B23=""), "", 'Lighting Inventory'!N31)</f>
        <v/>
      </c>
      <c r="AA23" s="26" t="str">
        <f>IF(OR(Z23="",B23=""), "", 'Lighting Inventory'!O31)</f>
        <v/>
      </c>
      <c r="AB23" s="26" t="str">
        <f>IF(B23="", "", 'Lighting Inventory'!P31)</f>
        <v/>
      </c>
      <c r="AC23" s="96" t="str">
        <f>IF(B23="", "", 'Lighting Inventory'!R31)</f>
        <v/>
      </c>
      <c r="AD23" s="26" t="str">
        <f>IF(B23="", "", 'Lighting Inventory'!S31)</f>
        <v/>
      </c>
      <c r="AE23" s="26" t="str">
        <f>IF(B23="", "", 'Lighting Inventory'!V31)</f>
        <v/>
      </c>
      <c r="AF23" s="26" t="str">
        <f>IF(B23="", "", 'Lighting Inventory'!W31)</f>
        <v/>
      </c>
      <c r="AG23" s="26" t="str">
        <f>IF(OR(AF23="", B23=""), "", IF(AE23="Custom", "0", VLOOKUP(AF23, 'Lookup Tables'!$AI$6:$AP$102, 8, FALSE)))</f>
        <v/>
      </c>
      <c r="AH23" s="26" t="str">
        <f>IF(B23="", "", 'Lighting Inventory'!AD31)</f>
        <v/>
      </c>
      <c r="AI23" s="26" t="str">
        <f>IF(OR('Lighting Inventory'!AK31="", B23=""), "", 'Lighting Inventory'!AK31)</f>
        <v/>
      </c>
      <c r="AJ23" s="66" t="str">
        <f>IF(B23="", "", 'Lighting Inventory'!AL31)</f>
        <v/>
      </c>
      <c r="AK23" s="65" t="str">
        <f>IF(B23="", "", 'Lighting Inventory'!AM31)</f>
        <v/>
      </c>
      <c r="AL23" s="26" t="str">
        <f>IF(B23="", "", 'Lighting Inventory'!AN31)</f>
        <v/>
      </c>
      <c r="AM23" s="26" t="str">
        <f t="shared" si="1"/>
        <v/>
      </c>
      <c r="AN23" s="26" t="str">
        <f>IF(B23="","",IF('Lighting Inventory'!AV31="","Prescribed",'Lighting Inventory'!AV31))</f>
        <v/>
      </c>
      <c r="AO23" s="66" t="str">
        <f>IF(B23="", "", 'Lighting Inventory'!AX31)</f>
        <v/>
      </c>
      <c r="AP23" s="67" t="str">
        <f>IF(B23="", "", 'Lighting Inventory'!AZ31)</f>
        <v/>
      </c>
      <c r="AQ23" s="67" t="str">
        <f>IF(B23="", "", 'Lighting Inventory'!BA31)</f>
        <v/>
      </c>
      <c r="AR23" s="67" t="str">
        <f>IF(B23="", "", 'Lighting Inventory'!BB31)</f>
        <v/>
      </c>
      <c r="AS23" s="67" t="str">
        <f>IF(B23="", "", 'Lighting Inventory'!BC31)</f>
        <v/>
      </c>
      <c r="AT23" s="67" t="str">
        <f>IF(B23="", "", 'Lighting Inventory'!BD31)</f>
        <v/>
      </c>
      <c r="AU23" s="67" t="str">
        <f>IF(B23="", "", 'Lighting Inventory'!BE31)</f>
        <v/>
      </c>
      <c r="AV23" s="67" t="str">
        <f>IF(B23="", "", 'Lighting Inventory'!BE31)</f>
        <v/>
      </c>
      <c r="AW23" s="67" t="str">
        <f>IF(B23="", "", 'Lighting Inventory'!BF31)</f>
        <v/>
      </c>
      <c r="AX23" s="67" t="str">
        <f>IF(B23="", "", 'Lighting Inventory'!BF31)</f>
        <v/>
      </c>
      <c r="AY23" s="65" t="str">
        <f t="shared" si="4"/>
        <v/>
      </c>
      <c r="AZ23" s="65" t="str">
        <f>IF(B23="", "", 'Lighting Inventory'!BJ31)</f>
        <v/>
      </c>
      <c r="BA23" s="65" t="str">
        <f>IF(B23="", "", 'Lighting Inventory'!BM31)</f>
        <v/>
      </c>
      <c r="BB23" s="65" t="str">
        <f>IF(B23="","",SUM('Lighting Inventory'!BP31:BP31))</f>
        <v/>
      </c>
      <c r="BC23" s="67" t="str">
        <f>IF(OR(AE23="", B23=""),"", 'Lighting Inventory'!GR31)</f>
        <v/>
      </c>
      <c r="BD23" s="67" t="str">
        <f>IFERROR(IF(B23="", "", 'Lighting Inventory'!AF31)*AD23," ")</f>
        <v xml:space="preserve"> </v>
      </c>
      <c r="BE23" s="67"/>
      <c r="BF23" s="67"/>
    </row>
    <row r="24" spans="1:58" x14ac:dyDescent="0.25">
      <c r="A24" s="26" t="str">
        <f>IF(B24="", "", 'Lookup Tables'!AW25)</f>
        <v/>
      </c>
      <c r="B24" s="26" t="str">
        <f>IF(OR('Lighting Inventory'!Y32="", 'Lighting Inventory'!V32="No Change"),"", 'Lighting Inventory'!Y32)</f>
        <v/>
      </c>
      <c r="C24" s="26" t="str">
        <f>IF(B24="", "", IF('Lighting Inventory'!Y32='Lookup Tables'!$Y$32, 'Lighting Inventory'!AJ32, IF(AD24=0, R24, AD24)))</f>
        <v/>
      </c>
      <c r="D24" s="26" t="str">
        <f>IF(B24="", "", 'General Information'!$F$14)</f>
        <v/>
      </c>
      <c r="E24" s="26" t="str">
        <f t="shared" si="3"/>
        <v/>
      </c>
      <c r="F24" s="26" t="str">
        <f>IF(B24="", "", CONCATENATE('General Information'!$F$9, " - ", 'General Information'!$F$14))</f>
        <v/>
      </c>
      <c r="G24" s="26" t="str">
        <f>IF(B24="", "", 'General Information'!$F$15)</f>
        <v/>
      </c>
      <c r="H24" s="26" t="str">
        <f>IF(B24="", "", IF(VLOOKUP(B24, 'Lookup Tables'!$Y$18:$AA$34, 2, FALSE)="Traffic", VLOOKUP('Lighting Inventory'!W32, 'Lookup Tables'!#REF!, 11, FALSE), VLOOKUP(B24, 'Lookup Tables'!$Y$18:$AA$34, 2, FALSE)))</f>
        <v/>
      </c>
      <c r="I24" s="26" t="str">
        <f>IF(B24="", "", CONCATENATE(D24, 'Data Export'!A24))</f>
        <v/>
      </c>
      <c r="J24" s="26" t="str">
        <f>IF(B24="", "", 'Lookup Tables'!$B$1)</f>
        <v/>
      </c>
      <c r="K24" s="26" t="str">
        <f>IF(B24="", "", 'Lighting Inventory'!B32)</f>
        <v/>
      </c>
      <c r="L24" s="26" t="str">
        <f>IF(B24="", "", 'Lighting Inventory'!C32)</f>
        <v/>
      </c>
      <c r="M24" s="26" t="str">
        <f>IF(B24="", "",'Lighting Inventory'!D32)</f>
        <v/>
      </c>
      <c r="N24" s="26" t="str">
        <f>IF(B24="", "",'Lighting Inventory'!E32)</f>
        <v/>
      </c>
      <c r="O24" s="26" t="str">
        <f>IF(B24="", "", 'Lighting Inventory'!F32)</f>
        <v/>
      </c>
      <c r="P24" s="26" t="str">
        <f>IF(B24="", "", 'Lighting Inventory'!G32)</f>
        <v/>
      </c>
      <c r="Q24" s="26" t="str">
        <f>IF(B24="", "", 'Lighting Inventory'!H32)</f>
        <v/>
      </c>
      <c r="R24" s="26" t="str">
        <f>IF(B24="", "", 'Lighting Inventory'!I32)</f>
        <v/>
      </c>
      <c r="S24" s="26" t="str">
        <f>IF(B24="", "", 'Lighting Inventory'!J32)</f>
        <v/>
      </c>
      <c r="T24" s="26" t="str">
        <f>IFERROR(IF(B24="","",VLOOKUP(S24,'Fixture Identities'!$A$7:$G$1023,5,FALSE)), "New Construction")</f>
        <v/>
      </c>
      <c r="U24" s="26" t="str">
        <f>IFERROR(IF(B24="", "", IF(K24="New Construction", "NC", IF(VLOOKUP(S24, 'Fixture Identities'!$A$7:$I$1023,3, FALSE)="T12 Linear Fluorescent", VLOOKUP(S24, 'Fixture Identities'!$A$7:$K$1012, 11, FALSE), S24))), "")</f>
        <v/>
      </c>
      <c r="V24" s="26" t="str">
        <f>IFERROR(IF(OR(B24="", U24=0), "", VLOOKUP(U24, 'Fixture Identities'!$A$7:$G$1023, 5, FALSE)), "")</f>
        <v/>
      </c>
      <c r="W24" s="26" t="str">
        <f>IF(B24="", "",'Lighting Inventory'!K32)</f>
        <v/>
      </c>
      <c r="X24" s="65" t="str">
        <f>IF(B24="", "", 'Lighting Inventory'!L32)</f>
        <v/>
      </c>
      <c r="Y24" s="26" t="str">
        <f>IF(B24="", "", IF('Lighting Inventory'!M32="", "Light Switch",'Lighting Inventory'!M32))</f>
        <v/>
      </c>
      <c r="Z24" s="26" t="str">
        <f>IF(OR(K24="Retrofit", B24=""), "", 'Lighting Inventory'!N32)</f>
        <v/>
      </c>
      <c r="AA24" s="26" t="str">
        <f>IF(OR(Z24="",B24=""), "", 'Lighting Inventory'!O32)</f>
        <v/>
      </c>
      <c r="AB24" s="26" t="str">
        <f>IF(B24="", "", 'Lighting Inventory'!P32)</f>
        <v/>
      </c>
      <c r="AC24" s="96" t="str">
        <f>IF(B24="", "", 'Lighting Inventory'!R32)</f>
        <v/>
      </c>
      <c r="AD24" s="26" t="str">
        <f>IF(B24="", "", 'Lighting Inventory'!S32)</f>
        <v/>
      </c>
      <c r="AE24" s="26" t="str">
        <f>IF(B24="", "", 'Lighting Inventory'!V32)</f>
        <v/>
      </c>
      <c r="AF24" s="26" t="str">
        <f>IF(B24="", "", 'Lighting Inventory'!W32)</f>
        <v/>
      </c>
      <c r="AG24" s="26" t="str">
        <f>IF(OR(AF24="", B24=""), "", IF(AE24="Custom", "0", VLOOKUP(AF24, 'Lookup Tables'!$AI$6:$AP$102, 8, FALSE)))</f>
        <v/>
      </c>
      <c r="AH24" s="26" t="str">
        <f>IF(B24="", "", 'Lighting Inventory'!AD32)</f>
        <v/>
      </c>
      <c r="AI24" s="26" t="str">
        <f>IF(OR('Lighting Inventory'!AK32="", B24=""), "", 'Lighting Inventory'!AK32)</f>
        <v/>
      </c>
      <c r="AJ24" s="66" t="str">
        <f>IF(B24="", "", 'Lighting Inventory'!AL32)</f>
        <v/>
      </c>
      <c r="AK24" s="65" t="str">
        <f>IF(B24="", "", 'Lighting Inventory'!AM32)</f>
        <v/>
      </c>
      <c r="AL24" s="26" t="str">
        <f>IF(B24="", "", 'Lighting Inventory'!AN32)</f>
        <v/>
      </c>
      <c r="AM24" s="26" t="str">
        <f t="shared" si="1"/>
        <v/>
      </c>
      <c r="AN24" s="26" t="str">
        <f>IF(B24="","",IF('Lighting Inventory'!AV32="","Prescribed",'Lighting Inventory'!AV32))</f>
        <v/>
      </c>
      <c r="AO24" s="66" t="str">
        <f>IF(B24="", "", 'Lighting Inventory'!AX32)</f>
        <v/>
      </c>
      <c r="AP24" s="67" t="str">
        <f>IF(B24="", "", 'Lighting Inventory'!AZ32)</f>
        <v/>
      </c>
      <c r="AQ24" s="67" t="str">
        <f>IF(B24="", "", 'Lighting Inventory'!BA32)</f>
        <v/>
      </c>
      <c r="AR24" s="67" t="str">
        <f>IF(B24="", "", 'Lighting Inventory'!BB32)</f>
        <v/>
      </c>
      <c r="AS24" s="67" t="str">
        <f>IF(B24="", "", 'Lighting Inventory'!BC32)</f>
        <v/>
      </c>
      <c r="AT24" s="67" t="str">
        <f>IF(B24="", "", 'Lighting Inventory'!BD32)</f>
        <v/>
      </c>
      <c r="AU24" s="67" t="str">
        <f>IF(B24="", "", 'Lighting Inventory'!BE32)</f>
        <v/>
      </c>
      <c r="AV24" s="67" t="str">
        <f>IF(B24="", "", 'Lighting Inventory'!BE32)</f>
        <v/>
      </c>
      <c r="AW24" s="67" t="str">
        <f>IF(B24="", "", 'Lighting Inventory'!BF32)</f>
        <v/>
      </c>
      <c r="AX24" s="67" t="str">
        <f>IF(B24="", "", 'Lighting Inventory'!BF32)</f>
        <v/>
      </c>
      <c r="AY24" s="65" t="str">
        <f t="shared" si="4"/>
        <v/>
      </c>
      <c r="AZ24" s="65" t="str">
        <f>IF(B24="", "", 'Lighting Inventory'!BJ32)</f>
        <v/>
      </c>
      <c r="BA24" s="65" t="str">
        <f>IF(B24="", "", 'Lighting Inventory'!BM32)</f>
        <v/>
      </c>
      <c r="BB24" s="65" t="str">
        <f>IF(B24="","",SUM('Lighting Inventory'!BP32:BP32))</f>
        <v/>
      </c>
      <c r="BC24" s="67" t="str">
        <f>IF(OR(AE24="", B24=""),"", 'Lighting Inventory'!GR32)</f>
        <v/>
      </c>
      <c r="BD24" s="67" t="str">
        <f>IFERROR(IF(B24="", "", 'Lighting Inventory'!AF32)*AD24," ")</f>
        <v xml:space="preserve"> </v>
      </c>
      <c r="BE24" s="67"/>
      <c r="BF24" s="67"/>
    </row>
    <row r="25" spans="1:58" x14ac:dyDescent="0.25">
      <c r="A25" s="26" t="str">
        <f>IF(B25="", "", 'Lookup Tables'!AW26)</f>
        <v/>
      </c>
      <c r="B25" s="26" t="str">
        <f>IF(OR('Lighting Inventory'!Y33="", 'Lighting Inventory'!V33="No Change"),"", 'Lighting Inventory'!Y33)</f>
        <v/>
      </c>
      <c r="C25" s="26" t="str">
        <f>IF(B25="", "", IF('Lighting Inventory'!Y33='Lookup Tables'!$Y$32, 'Lighting Inventory'!AJ33, IF(AD25=0, R25, AD25)))</f>
        <v/>
      </c>
      <c r="D25" s="26" t="str">
        <f>IF(B25="", "", 'General Information'!$F$14)</f>
        <v/>
      </c>
      <c r="E25" s="26" t="str">
        <f t="shared" si="3"/>
        <v/>
      </c>
      <c r="F25" s="26" t="str">
        <f>IF(B25="", "", CONCATENATE('General Information'!$F$9, " - ", 'General Information'!$F$14))</f>
        <v/>
      </c>
      <c r="G25" s="26" t="str">
        <f>IF(B25="", "", 'General Information'!$F$15)</f>
        <v/>
      </c>
      <c r="H25" s="26" t="str">
        <f>IF(B25="", "", IF(VLOOKUP(B25, 'Lookup Tables'!$Y$18:$AA$34, 2, FALSE)="Traffic", VLOOKUP('Lighting Inventory'!W33, 'Lookup Tables'!#REF!, 11, FALSE), VLOOKUP(B25, 'Lookup Tables'!$Y$18:$AA$34, 2, FALSE)))</f>
        <v/>
      </c>
      <c r="I25" s="26" t="str">
        <f>IF(B25="", "", CONCATENATE(D25, 'Data Export'!A25))</f>
        <v/>
      </c>
      <c r="J25" s="26" t="str">
        <f>IF(B25="", "", 'Lookup Tables'!$B$1)</f>
        <v/>
      </c>
      <c r="K25" s="26" t="str">
        <f>IF(B25="", "", 'Lighting Inventory'!B33)</f>
        <v/>
      </c>
      <c r="L25" s="26" t="str">
        <f>IF(B25="", "", 'Lighting Inventory'!C33)</f>
        <v/>
      </c>
      <c r="M25" s="26" t="str">
        <f>IF(B25="", "",'Lighting Inventory'!D33)</f>
        <v/>
      </c>
      <c r="N25" s="26" t="str">
        <f>IF(B25="", "",'Lighting Inventory'!E33)</f>
        <v/>
      </c>
      <c r="O25" s="26" t="str">
        <f>IF(B25="", "", 'Lighting Inventory'!F33)</f>
        <v/>
      </c>
      <c r="P25" s="26" t="str">
        <f>IF(B25="", "", 'Lighting Inventory'!G33)</f>
        <v/>
      </c>
      <c r="Q25" s="26" t="str">
        <f>IF(B25="", "", 'Lighting Inventory'!H33)</f>
        <v/>
      </c>
      <c r="R25" s="26" t="str">
        <f>IF(B25="", "", 'Lighting Inventory'!I33)</f>
        <v/>
      </c>
      <c r="S25" s="26" t="str">
        <f>IF(B25="", "", 'Lighting Inventory'!J33)</f>
        <v/>
      </c>
      <c r="T25" s="26" t="str">
        <f>IFERROR(IF(B25="","",VLOOKUP(S25,'Fixture Identities'!$A$7:$G$1023,5,FALSE)), "New Construction")</f>
        <v/>
      </c>
      <c r="U25" s="26" t="str">
        <f>IFERROR(IF(B25="", "", IF(K25="New Construction", "NC", IF(VLOOKUP(S25, 'Fixture Identities'!$A$7:$I$1023,3, FALSE)="T12 Linear Fluorescent", VLOOKUP(S25, 'Fixture Identities'!$A$7:$K$1012, 11, FALSE), S25))), "")</f>
        <v/>
      </c>
      <c r="V25" s="26" t="str">
        <f>IFERROR(IF(OR(B25="", U25=0), "", VLOOKUP(U25, 'Fixture Identities'!$A$7:$G$1023, 5, FALSE)), "")</f>
        <v/>
      </c>
      <c r="W25" s="26" t="str">
        <f>IF(B25="", "",'Lighting Inventory'!K33)</f>
        <v/>
      </c>
      <c r="X25" s="65" t="str">
        <f>IF(B25="", "", 'Lighting Inventory'!L33)</f>
        <v/>
      </c>
      <c r="Y25" s="26" t="str">
        <f>IF(B25="", "", IF('Lighting Inventory'!M33="", "Light Switch",'Lighting Inventory'!M33))</f>
        <v/>
      </c>
      <c r="Z25" s="26" t="str">
        <f>IF(OR(K25="Retrofit", B25=""), "", 'Lighting Inventory'!N33)</f>
        <v/>
      </c>
      <c r="AA25" s="26" t="str">
        <f>IF(OR(Z25="",B25=""), "", 'Lighting Inventory'!O33)</f>
        <v/>
      </c>
      <c r="AB25" s="26" t="str">
        <f>IF(B25="", "", 'Lighting Inventory'!P33)</f>
        <v/>
      </c>
      <c r="AC25" s="96" t="str">
        <f>IF(B25="", "", 'Lighting Inventory'!R33)</f>
        <v/>
      </c>
      <c r="AD25" s="26" t="str">
        <f>IF(B25="", "", 'Lighting Inventory'!S33)</f>
        <v/>
      </c>
      <c r="AE25" s="26" t="str">
        <f>IF(B25="", "", 'Lighting Inventory'!V33)</f>
        <v/>
      </c>
      <c r="AF25" s="26" t="str">
        <f>IF(B25="", "", 'Lighting Inventory'!W33)</f>
        <v/>
      </c>
      <c r="AG25" s="26" t="str">
        <f>IF(OR(AF25="", B25=""), "", IF(AE25="Custom", "0", VLOOKUP(AF25, 'Lookup Tables'!$AI$6:$AP$102, 8, FALSE)))</f>
        <v/>
      </c>
      <c r="AH25" s="26" t="str">
        <f>IF(B25="", "", 'Lighting Inventory'!AD33)</f>
        <v/>
      </c>
      <c r="AI25" s="26" t="str">
        <f>IF(OR('Lighting Inventory'!AK33="", B25=""), "", 'Lighting Inventory'!AK33)</f>
        <v/>
      </c>
      <c r="AJ25" s="66" t="str">
        <f>IF(B25="", "", 'Lighting Inventory'!AL33)</f>
        <v/>
      </c>
      <c r="AK25" s="65" t="str">
        <f>IF(B25="", "", 'Lighting Inventory'!AM33)</f>
        <v/>
      </c>
      <c r="AL25" s="26" t="str">
        <f>IF(B25="", "", 'Lighting Inventory'!AN33)</f>
        <v/>
      </c>
      <c r="AM25" s="26" t="str">
        <f t="shared" si="1"/>
        <v/>
      </c>
      <c r="AN25" s="26" t="str">
        <f>IF(B25="","",IF('Lighting Inventory'!AV33="","Prescribed",'Lighting Inventory'!AV33))</f>
        <v/>
      </c>
      <c r="AO25" s="66" t="str">
        <f>IF(B25="", "", 'Lighting Inventory'!AX33)</f>
        <v/>
      </c>
      <c r="AP25" s="67" t="str">
        <f>IF(B25="", "", 'Lighting Inventory'!AZ33)</f>
        <v/>
      </c>
      <c r="AQ25" s="67" t="str">
        <f>IF(B25="", "", 'Lighting Inventory'!BA33)</f>
        <v/>
      </c>
      <c r="AR25" s="67" t="str">
        <f>IF(B25="", "", 'Lighting Inventory'!BB33)</f>
        <v/>
      </c>
      <c r="AS25" s="67" t="str">
        <f>IF(B25="", "", 'Lighting Inventory'!BC33)</f>
        <v/>
      </c>
      <c r="AT25" s="67" t="str">
        <f>IF(B25="", "", 'Lighting Inventory'!BD33)</f>
        <v/>
      </c>
      <c r="AU25" s="67" t="str">
        <f>IF(B25="", "", 'Lighting Inventory'!BE33)</f>
        <v/>
      </c>
      <c r="AV25" s="67" t="str">
        <f>IF(B25="", "", 'Lighting Inventory'!BE33)</f>
        <v/>
      </c>
      <c r="AW25" s="67" t="str">
        <f>IF(B25="", "", 'Lighting Inventory'!BF33)</f>
        <v/>
      </c>
      <c r="AX25" s="67" t="str">
        <f>IF(B25="", "", 'Lighting Inventory'!BF33)</f>
        <v/>
      </c>
      <c r="AY25" s="65" t="str">
        <f t="shared" si="4"/>
        <v/>
      </c>
      <c r="AZ25" s="65" t="str">
        <f>IF(B25="", "", 'Lighting Inventory'!BJ33)</f>
        <v/>
      </c>
      <c r="BA25" s="65" t="str">
        <f>IF(B25="", "", 'Lighting Inventory'!BM33)</f>
        <v/>
      </c>
      <c r="BB25" s="65" t="str">
        <f>IF(B25="","",SUM('Lighting Inventory'!BP33:BP33))</f>
        <v/>
      </c>
      <c r="BC25" s="67" t="str">
        <f>IF(OR(AE25="", B25=""),"", 'Lighting Inventory'!GR33)</f>
        <v/>
      </c>
      <c r="BD25" s="67" t="str">
        <f>IFERROR(IF(B25="", "", 'Lighting Inventory'!AF33)*AD25," ")</f>
        <v xml:space="preserve"> </v>
      </c>
      <c r="BE25" s="67"/>
      <c r="BF25" s="67"/>
    </row>
    <row r="26" spans="1:58" x14ac:dyDescent="0.25">
      <c r="A26" s="26" t="str">
        <f>IF(B26="", "", 'Lookup Tables'!AW27)</f>
        <v/>
      </c>
      <c r="B26" s="26" t="str">
        <f>IF(OR('Lighting Inventory'!Y34="", 'Lighting Inventory'!V34="No Change"),"", 'Lighting Inventory'!Y34)</f>
        <v/>
      </c>
      <c r="C26" s="26" t="str">
        <f>IF(B26="", "", IF('Lighting Inventory'!Y34='Lookup Tables'!$Y$32, 'Lighting Inventory'!AJ34, IF(AD26=0, R26, AD26)))</f>
        <v/>
      </c>
      <c r="D26" s="26" t="str">
        <f>IF(B26="", "", 'General Information'!$F$14)</f>
        <v/>
      </c>
      <c r="E26" s="26" t="str">
        <f t="shared" si="3"/>
        <v/>
      </c>
      <c r="F26" s="26" t="str">
        <f>IF(B26="", "", CONCATENATE('General Information'!$F$9, " - ", 'General Information'!$F$14))</f>
        <v/>
      </c>
      <c r="G26" s="26" t="str">
        <f>IF(B26="", "", 'General Information'!$F$15)</f>
        <v/>
      </c>
      <c r="H26" s="26" t="str">
        <f>IF(B26="", "", IF(VLOOKUP(B26, 'Lookup Tables'!$Y$18:$AA$34, 2, FALSE)="Traffic", VLOOKUP('Lighting Inventory'!W34, 'Lookup Tables'!#REF!, 11, FALSE), VLOOKUP(B26, 'Lookup Tables'!$Y$18:$AA$34, 2, FALSE)))</f>
        <v/>
      </c>
      <c r="I26" s="26" t="str">
        <f>IF(B26="", "", CONCATENATE(D26, 'Data Export'!A26))</f>
        <v/>
      </c>
      <c r="J26" s="26" t="str">
        <f>IF(B26="", "", 'Lookup Tables'!$B$1)</f>
        <v/>
      </c>
      <c r="K26" s="26" t="str">
        <f>IF(B26="", "", 'Lighting Inventory'!B34)</f>
        <v/>
      </c>
      <c r="L26" s="26" t="str">
        <f>IF(B26="", "", 'Lighting Inventory'!C34)</f>
        <v/>
      </c>
      <c r="M26" s="26" t="str">
        <f>IF(B26="", "",'Lighting Inventory'!D34)</f>
        <v/>
      </c>
      <c r="N26" s="26" t="str">
        <f>IF(B26="", "",'Lighting Inventory'!E34)</f>
        <v/>
      </c>
      <c r="O26" s="26" t="str">
        <f>IF(B26="", "", 'Lighting Inventory'!F34)</f>
        <v/>
      </c>
      <c r="P26" s="26" t="str">
        <f>IF(B26="", "", 'Lighting Inventory'!G34)</f>
        <v/>
      </c>
      <c r="Q26" s="26" t="str">
        <f>IF(B26="", "", 'Lighting Inventory'!H34)</f>
        <v/>
      </c>
      <c r="R26" s="26" t="str">
        <f>IF(B26="", "", 'Lighting Inventory'!I34)</f>
        <v/>
      </c>
      <c r="S26" s="26" t="str">
        <f>IF(B26="", "", 'Lighting Inventory'!J34)</f>
        <v/>
      </c>
      <c r="T26" s="26" t="str">
        <f>IFERROR(IF(B26="","",VLOOKUP(S26,'Fixture Identities'!$A$7:$G$1023,5,FALSE)), "New Construction")</f>
        <v/>
      </c>
      <c r="U26" s="26" t="str">
        <f>IFERROR(IF(B26="", "", IF(K26="New Construction", "NC", IF(VLOOKUP(S26, 'Fixture Identities'!$A$7:$I$1023,3, FALSE)="T12 Linear Fluorescent", VLOOKUP(S26, 'Fixture Identities'!$A$7:$K$1012, 11, FALSE), S26))), "")</f>
        <v/>
      </c>
      <c r="V26" s="26" t="str">
        <f>IFERROR(IF(OR(B26="", U26=0), "", VLOOKUP(U26, 'Fixture Identities'!$A$7:$G$1023, 5, FALSE)), "")</f>
        <v/>
      </c>
      <c r="W26" s="26" t="str">
        <f>IF(B26="", "",'Lighting Inventory'!K34)</f>
        <v/>
      </c>
      <c r="X26" s="65" t="str">
        <f>IF(B26="", "", 'Lighting Inventory'!L34)</f>
        <v/>
      </c>
      <c r="Y26" s="26" t="str">
        <f>IF(B26="", "", IF('Lighting Inventory'!M34="", "Light Switch",'Lighting Inventory'!M34))</f>
        <v/>
      </c>
      <c r="Z26" s="26" t="str">
        <f>IF(OR(K26="Retrofit", B26=""), "", 'Lighting Inventory'!N34)</f>
        <v/>
      </c>
      <c r="AA26" s="26" t="str">
        <f>IF(OR(Z26="",B26=""), "", 'Lighting Inventory'!O34)</f>
        <v/>
      </c>
      <c r="AB26" s="26" t="str">
        <f>IF(B26="", "", 'Lighting Inventory'!P34)</f>
        <v/>
      </c>
      <c r="AC26" s="96" t="str">
        <f>IF(B26="", "", 'Lighting Inventory'!R34)</f>
        <v/>
      </c>
      <c r="AD26" s="26" t="str">
        <f>IF(B26="", "", 'Lighting Inventory'!S34)</f>
        <v/>
      </c>
      <c r="AE26" s="26" t="str">
        <f>IF(B26="", "", 'Lighting Inventory'!V34)</f>
        <v/>
      </c>
      <c r="AF26" s="26" t="str">
        <f>IF(B26="", "", 'Lighting Inventory'!W34)</f>
        <v/>
      </c>
      <c r="AG26" s="26" t="str">
        <f>IF(OR(AF26="", B26=""), "", IF(AE26="Custom", "0", VLOOKUP(AF26, 'Lookup Tables'!$AI$6:$AP$102, 8, FALSE)))</f>
        <v/>
      </c>
      <c r="AH26" s="26" t="str">
        <f>IF(B26="", "", 'Lighting Inventory'!AD34)</f>
        <v/>
      </c>
      <c r="AI26" s="26" t="str">
        <f>IF(OR('Lighting Inventory'!AK34="", B26=""), "", 'Lighting Inventory'!AK34)</f>
        <v/>
      </c>
      <c r="AJ26" s="66" t="str">
        <f>IF(B26="", "", 'Lighting Inventory'!AL34)</f>
        <v/>
      </c>
      <c r="AK26" s="65" t="str">
        <f>IF(B26="", "", 'Lighting Inventory'!AM34)</f>
        <v/>
      </c>
      <c r="AL26" s="26" t="str">
        <f>IF(B26="", "", 'Lighting Inventory'!AN34)</f>
        <v/>
      </c>
      <c r="AM26" s="26" t="str">
        <f t="shared" si="1"/>
        <v/>
      </c>
      <c r="AN26" s="26" t="str">
        <f>IF(B26="","",IF('Lighting Inventory'!AV34="","Prescribed",'Lighting Inventory'!AV34))</f>
        <v/>
      </c>
      <c r="AO26" s="66" t="str">
        <f>IF(B26="", "", 'Lighting Inventory'!AX34)</f>
        <v/>
      </c>
      <c r="AP26" s="67" t="str">
        <f>IF(B26="", "", 'Lighting Inventory'!AZ34)</f>
        <v/>
      </c>
      <c r="AQ26" s="67" t="str">
        <f>IF(B26="", "", 'Lighting Inventory'!BA34)</f>
        <v/>
      </c>
      <c r="AR26" s="67" t="str">
        <f>IF(B26="", "", 'Lighting Inventory'!BB34)</f>
        <v/>
      </c>
      <c r="AS26" s="67" t="str">
        <f>IF(B26="", "", 'Lighting Inventory'!BC34)</f>
        <v/>
      </c>
      <c r="AT26" s="67" t="str">
        <f>IF(B26="", "", 'Lighting Inventory'!BD34)</f>
        <v/>
      </c>
      <c r="AU26" s="67" t="str">
        <f>IF(B26="", "", 'Lighting Inventory'!BE34)</f>
        <v/>
      </c>
      <c r="AV26" s="67" t="str">
        <f>IF(B26="", "", 'Lighting Inventory'!BE34)</f>
        <v/>
      </c>
      <c r="AW26" s="67" t="str">
        <f>IF(B26="", "", 'Lighting Inventory'!BF34)</f>
        <v/>
      </c>
      <c r="AX26" s="67" t="str">
        <f>IF(B26="", "", 'Lighting Inventory'!BF34)</f>
        <v/>
      </c>
      <c r="AY26" s="65" t="str">
        <f t="shared" si="4"/>
        <v/>
      </c>
      <c r="AZ26" s="65" t="str">
        <f>IF(B26="", "", 'Lighting Inventory'!BJ34)</f>
        <v/>
      </c>
      <c r="BA26" s="65" t="str">
        <f>IF(B26="", "", 'Lighting Inventory'!BM34)</f>
        <v/>
      </c>
      <c r="BB26" s="65" t="str">
        <f>IF(B26="","",SUM('Lighting Inventory'!BP34:BP34))</f>
        <v/>
      </c>
      <c r="BC26" s="67" t="str">
        <f>IF(OR(AE26="", B26=""),"", 'Lighting Inventory'!GR34)</f>
        <v/>
      </c>
      <c r="BD26" s="67" t="str">
        <f>IFERROR(IF(B26="", "", 'Lighting Inventory'!AF34)*AD26," ")</f>
        <v xml:space="preserve"> </v>
      </c>
      <c r="BE26" s="67"/>
      <c r="BF26" s="67"/>
    </row>
    <row r="27" spans="1:58" x14ac:dyDescent="0.25">
      <c r="A27" s="26" t="str">
        <f>IF(B27="", "", 'Lookup Tables'!AW28)</f>
        <v/>
      </c>
      <c r="B27" s="26" t="str">
        <f>IF(OR('Lighting Inventory'!Y35="", 'Lighting Inventory'!V35="No Change"),"", 'Lighting Inventory'!Y35)</f>
        <v/>
      </c>
      <c r="C27" s="26" t="str">
        <f>IF(B27="", "", IF('Lighting Inventory'!Y35='Lookup Tables'!$Y$32, 'Lighting Inventory'!AJ35, IF(AD27=0, R27, AD27)))</f>
        <v/>
      </c>
      <c r="D27" s="26" t="str">
        <f>IF(B27="", "", 'General Information'!$F$14)</f>
        <v/>
      </c>
      <c r="E27" s="26" t="str">
        <f t="shared" si="3"/>
        <v/>
      </c>
      <c r="F27" s="26" t="str">
        <f>IF(B27="", "", CONCATENATE('General Information'!$F$9, " - ", 'General Information'!$F$14))</f>
        <v/>
      </c>
      <c r="G27" s="26" t="str">
        <f>IF(B27="", "", 'General Information'!$F$15)</f>
        <v/>
      </c>
      <c r="H27" s="26" t="str">
        <f>IF(B27="", "", IF(VLOOKUP(B27, 'Lookup Tables'!$Y$18:$AA$34, 2, FALSE)="Traffic", VLOOKUP('Lighting Inventory'!W35, 'Lookup Tables'!#REF!, 11, FALSE), VLOOKUP(B27, 'Lookup Tables'!$Y$18:$AA$34, 2, FALSE)))</f>
        <v/>
      </c>
      <c r="I27" s="26" t="str">
        <f>IF(B27="", "", CONCATENATE(D27, 'Data Export'!A27))</f>
        <v/>
      </c>
      <c r="J27" s="26" t="str">
        <f>IF(B27="", "", 'Lookup Tables'!$B$1)</f>
        <v/>
      </c>
      <c r="K27" s="26" t="str">
        <f>IF(B27="", "", 'Lighting Inventory'!B35)</f>
        <v/>
      </c>
      <c r="L27" s="26" t="str">
        <f>IF(B27="", "", 'Lighting Inventory'!C35)</f>
        <v/>
      </c>
      <c r="M27" s="26" t="str">
        <f>IF(B27="", "",'Lighting Inventory'!D35)</f>
        <v/>
      </c>
      <c r="N27" s="26" t="str">
        <f>IF(B27="", "",'Lighting Inventory'!E35)</f>
        <v/>
      </c>
      <c r="O27" s="26" t="str">
        <f>IF(B27="", "", 'Lighting Inventory'!F35)</f>
        <v/>
      </c>
      <c r="P27" s="26" t="str">
        <f>IF(B27="", "", 'Lighting Inventory'!G35)</f>
        <v/>
      </c>
      <c r="Q27" s="26" t="str">
        <f>IF(B27="", "", 'Lighting Inventory'!H35)</f>
        <v/>
      </c>
      <c r="R27" s="26" t="str">
        <f>IF(B27="", "", 'Lighting Inventory'!I35)</f>
        <v/>
      </c>
      <c r="S27" s="26" t="str">
        <f>IF(B27="", "", 'Lighting Inventory'!J35)</f>
        <v/>
      </c>
      <c r="T27" s="26" t="str">
        <f>IFERROR(IF(B27="","",VLOOKUP(S27,'Fixture Identities'!$A$7:$G$1023,5,FALSE)), "New Construction")</f>
        <v/>
      </c>
      <c r="U27" s="26" t="str">
        <f>IFERROR(IF(B27="", "", IF(K27="New Construction", "NC", IF(VLOOKUP(S27, 'Fixture Identities'!$A$7:$I$1023,3, FALSE)="T12 Linear Fluorescent", VLOOKUP(S27, 'Fixture Identities'!$A$7:$K$1012, 11, FALSE), S27))), "")</f>
        <v/>
      </c>
      <c r="V27" s="26" t="str">
        <f>IFERROR(IF(OR(B27="", U27=0), "", VLOOKUP(U27, 'Fixture Identities'!$A$7:$G$1023, 5, FALSE)), "")</f>
        <v/>
      </c>
      <c r="W27" s="26" t="str">
        <f>IF(B27="", "",'Lighting Inventory'!K35)</f>
        <v/>
      </c>
      <c r="X27" s="65" t="str">
        <f>IF(B27="", "", 'Lighting Inventory'!L35)</f>
        <v/>
      </c>
      <c r="Y27" s="26" t="str">
        <f>IF(B27="", "", IF('Lighting Inventory'!M35="", "Light Switch",'Lighting Inventory'!M35))</f>
        <v/>
      </c>
      <c r="Z27" s="26" t="str">
        <f>IF(OR(K27="Retrofit", B27=""), "", 'Lighting Inventory'!N35)</f>
        <v/>
      </c>
      <c r="AA27" s="26" t="str">
        <f>IF(OR(Z27="",B27=""), "", 'Lighting Inventory'!O35)</f>
        <v/>
      </c>
      <c r="AB27" s="26" t="str">
        <f>IF(B27="", "", 'Lighting Inventory'!P35)</f>
        <v/>
      </c>
      <c r="AC27" s="96" t="str">
        <f>IF(B27="", "", 'Lighting Inventory'!R35)</f>
        <v/>
      </c>
      <c r="AD27" s="26" t="str">
        <f>IF(B27="", "", 'Lighting Inventory'!S35)</f>
        <v/>
      </c>
      <c r="AE27" s="26" t="str">
        <f>IF(B27="", "", 'Lighting Inventory'!V35)</f>
        <v/>
      </c>
      <c r="AF27" s="26" t="str">
        <f>IF(B27="", "", 'Lighting Inventory'!W35)</f>
        <v/>
      </c>
      <c r="AG27" s="26" t="str">
        <f>IF(OR(AF27="", B27=""), "", IF(AE27="Custom", "0", VLOOKUP(AF27, 'Lookup Tables'!$AI$6:$AP$102, 8, FALSE)))</f>
        <v/>
      </c>
      <c r="AH27" s="26" t="str">
        <f>IF(B27="", "", 'Lighting Inventory'!AD35)</f>
        <v/>
      </c>
      <c r="AI27" s="26" t="str">
        <f>IF(OR('Lighting Inventory'!AK35="", B27=""), "", 'Lighting Inventory'!AK35)</f>
        <v/>
      </c>
      <c r="AJ27" s="66" t="str">
        <f>IF(B27="", "", 'Lighting Inventory'!AL35)</f>
        <v/>
      </c>
      <c r="AK27" s="65" t="str">
        <f>IF(B27="", "", 'Lighting Inventory'!AM35)</f>
        <v/>
      </c>
      <c r="AL27" s="26" t="str">
        <f>IF(B27="", "", 'Lighting Inventory'!AN35)</f>
        <v/>
      </c>
      <c r="AM27" s="26" t="str">
        <f t="shared" si="1"/>
        <v/>
      </c>
      <c r="AN27" s="26" t="str">
        <f>IF(B27="","",IF('Lighting Inventory'!AV35="","Prescribed",'Lighting Inventory'!AV35))</f>
        <v/>
      </c>
      <c r="AO27" s="66" t="str">
        <f>IF(B27="", "", 'Lighting Inventory'!AX35)</f>
        <v/>
      </c>
      <c r="AP27" s="67" t="str">
        <f>IF(B27="", "", 'Lighting Inventory'!AZ35)</f>
        <v/>
      </c>
      <c r="AQ27" s="67" t="str">
        <f>IF(B27="", "", 'Lighting Inventory'!BA35)</f>
        <v/>
      </c>
      <c r="AR27" s="67" t="str">
        <f>IF(B27="", "", 'Lighting Inventory'!BB35)</f>
        <v/>
      </c>
      <c r="AS27" s="67" t="str">
        <f>IF(B27="", "", 'Lighting Inventory'!BC35)</f>
        <v/>
      </c>
      <c r="AT27" s="67" t="str">
        <f>IF(B27="", "", 'Lighting Inventory'!BD35)</f>
        <v/>
      </c>
      <c r="AU27" s="67" t="str">
        <f>IF(B27="", "", 'Lighting Inventory'!BE35)</f>
        <v/>
      </c>
      <c r="AV27" s="67" t="str">
        <f>IF(B27="", "", 'Lighting Inventory'!BE35)</f>
        <v/>
      </c>
      <c r="AW27" s="67" t="str">
        <f>IF(B27="", "", 'Lighting Inventory'!BF35)</f>
        <v/>
      </c>
      <c r="AX27" s="67" t="str">
        <f>IF(B27="", "", 'Lighting Inventory'!BF35)</f>
        <v/>
      </c>
      <c r="AY27" s="65" t="str">
        <f t="shared" si="4"/>
        <v/>
      </c>
      <c r="AZ27" s="65" t="str">
        <f>IF(B27="", "", 'Lighting Inventory'!BJ35)</f>
        <v/>
      </c>
      <c r="BA27" s="65" t="str">
        <f>IF(B27="", "", 'Lighting Inventory'!BM35)</f>
        <v/>
      </c>
      <c r="BB27" s="65" t="str">
        <f>IF(B27="","",SUM('Lighting Inventory'!BP35:BP35))</f>
        <v/>
      </c>
      <c r="BC27" s="67" t="str">
        <f>IF(OR(AE27="", B27=""),"", 'Lighting Inventory'!GR35)</f>
        <v/>
      </c>
      <c r="BD27" s="67" t="str">
        <f>IFERROR(IF(B27="", "", 'Lighting Inventory'!AF35)*AD27," ")</f>
        <v xml:space="preserve"> </v>
      </c>
      <c r="BE27" s="67"/>
      <c r="BF27" s="67"/>
    </row>
    <row r="28" spans="1:58" x14ac:dyDescent="0.25">
      <c r="A28" s="26" t="str">
        <f>IF(B28="", "", 'Lookup Tables'!AW29)</f>
        <v/>
      </c>
      <c r="B28" s="26" t="str">
        <f>IF(OR('Lighting Inventory'!Y36="", 'Lighting Inventory'!V36="No Change"),"", 'Lighting Inventory'!Y36)</f>
        <v/>
      </c>
      <c r="C28" s="26" t="str">
        <f>IF(B28="", "", IF('Lighting Inventory'!Y36='Lookup Tables'!$Y$32, 'Lighting Inventory'!AJ36, IF(AD28=0, R28, AD28)))</f>
        <v/>
      </c>
      <c r="D28" s="26" t="str">
        <f>IF(B28="", "", 'General Information'!$F$14)</f>
        <v/>
      </c>
      <c r="E28" s="26" t="str">
        <f t="shared" si="3"/>
        <v/>
      </c>
      <c r="F28" s="26" t="str">
        <f>IF(B28="", "", CONCATENATE('General Information'!$F$9, " - ", 'General Information'!$F$14))</f>
        <v/>
      </c>
      <c r="G28" s="26" t="str">
        <f>IF(B28="", "", 'General Information'!$F$15)</f>
        <v/>
      </c>
      <c r="H28" s="26" t="str">
        <f>IF(B28="", "", IF(VLOOKUP(B28, 'Lookup Tables'!$Y$18:$AA$34, 2, FALSE)="Traffic", VLOOKUP('Lighting Inventory'!W36, 'Lookup Tables'!#REF!, 11, FALSE), VLOOKUP(B28, 'Lookup Tables'!$Y$18:$AA$34, 2, FALSE)))</f>
        <v/>
      </c>
      <c r="I28" s="26" t="str">
        <f>IF(B28="", "", CONCATENATE(D28, 'Data Export'!A28))</f>
        <v/>
      </c>
      <c r="J28" s="26" t="str">
        <f>IF(B28="", "", 'Lookup Tables'!$B$1)</f>
        <v/>
      </c>
      <c r="K28" s="26" t="str">
        <f>IF(B28="", "", 'Lighting Inventory'!B36)</f>
        <v/>
      </c>
      <c r="L28" s="26" t="str">
        <f>IF(B28="", "", 'Lighting Inventory'!C36)</f>
        <v/>
      </c>
      <c r="M28" s="26" t="str">
        <f>IF(B28="", "",'Lighting Inventory'!D36)</f>
        <v/>
      </c>
      <c r="N28" s="26" t="str">
        <f>IF(B28="", "",'Lighting Inventory'!E36)</f>
        <v/>
      </c>
      <c r="O28" s="26" t="str">
        <f>IF(B28="", "", 'Lighting Inventory'!F36)</f>
        <v/>
      </c>
      <c r="P28" s="26" t="str">
        <f>IF(B28="", "", 'Lighting Inventory'!G36)</f>
        <v/>
      </c>
      <c r="Q28" s="26" t="str">
        <f>IF(B28="", "", 'Lighting Inventory'!H36)</f>
        <v/>
      </c>
      <c r="R28" s="26" t="str">
        <f>IF(B28="", "", 'Lighting Inventory'!I36)</f>
        <v/>
      </c>
      <c r="S28" s="26" t="str">
        <f>IF(B28="", "", 'Lighting Inventory'!J36)</f>
        <v/>
      </c>
      <c r="T28" s="26" t="str">
        <f>IFERROR(IF(B28="","",VLOOKUP(S28,'Fixture Identities'!$A$7:$G$1023,5,FALSE)), "New Construction")</f>
        <v/>
      </c>
      <c r="U28" s="26" t="str">
        <f>IFERROR(IF(B28="", "", IF(K28="New Construction", "NC", IF(VLOOKUP(S28, 'Fixture Identities'!$A$7:$I$1023,3, FALSE)="T12 Linear Fluorescent", VLOOKUP(S28, 'Fixture Identities'!$A$7:$K$1012, 11, FALSE), S28))), "")</f>
        <v/>
      </c>
      <c r="V28" s="26" t="str">
        <f>IFERROR(IF(OR(B28="", U28=0), "", VLOOKUP(U28, 'Fixture Identities'!$A$7:$G$1023, 5, FALSE)), "")</f>
        <v/>
      </c>
      <c r="W28" s="26" t="str">
        <f>IF(B28="", "",'Lighting Inventory'!K36)</f>
        <v/>
      </c>
      <c r="X28" s="65" t="str">
        <f>IF(B28="", "", 'Lighting Inventory'!L36)</f>
        <v/>
      </c>
      <c r="Y28" s="26" t="str">
        <f>IF(B28="", "", IF('Lighting Inventory'!M36="", "Light Switch",'Lighting Inventory'!M36))</f>
        <v/>
      </c>
      <c r="Z28" s="26" t="str">
        <f>IF(OR(K28="Retrofit", B28=""), "", 'Lighting Inventory'!N36)</f>
        <v/>
      </c>
      <c r="AA28" s="26" t="str">
        <f>IF(OR(Z28="",B28=""), "", 'Lighting Inventory'!O36)</f>
        <v/>
      </c>
      <c r="AB28" s="26" t="str">
        <f>IF(B28="", "", 'Lighting Inventory'!P36)</f>
        <v/>
      </c>
      <c r="AC28" s="96" t="str">
        <f>IF(B28="", "", 'Lighting Inventory'!R36)</f>
        <v/>
      </c>
      <c r="AD28" s="26" t="str">
        <f>IF(B28="", "", 'Lighting Inventory'!S36)</f>
        <v/>
      </c>
      <c r="AE28" s="26" t="str">
        <f>IF(B28="", "", 'Lighting Inventory'!V36)</f>
        <v/>
      </c>
      <c r="AF28" s="26" t="str">
        <f>IF(B28="", "", 'Lighting Inventory'!W36)</f>
        <v/>
      </c>
      <c r="AG28" s="26" t="str">
        <f>IF(OR(AF28="", B28=""), "", IF(AE28="Custom", "0", VLOOKUP(AF28, 'Lookup Tables'!$AI$6:$AP$102, 8, FALSE)))</f>
        <v/>
      </c>
      <c r="AH28" s="26" t="str">
        <f>IF(B28="", "", 'Lighting Inventory'!AD36)</f>
        <v/>
      </c>
      <c r="AI28" s="26" t="str">
        <f>IF(OR('Lighting Inventory'!AK36="", B28=""), "", 'Lighting Inventory'!AK36)</f>
        <v/>
      </c>
      <c r="AJ28" s="66" t="str">
        <f>IF(B28="", "", 'Lighting Inventory'!AL36)</f>
        <v/>
      </c>
      <c r="AK28" s="65" t="str">
        <f>IF(B28="", "", 'Lighting Inventory'!AM36)</f>
        <v/>
      </c>
      <c r="AL28" s="26" t="str">
        <f>IF(B28="", "", 'Lighting Inventory'!AN36)</f>
        <v/>
      </c>
      <c r="AM28" s="26" t="str">
        <f t="shared" si="1"/>
        <v/>
      </c>
      <c r="AN28" s="26" t="str">
        <f>IF(B28="","",IF('Lighting Inventory'!AV36="","Prescribed",'Lighting Inventory'!AV36))</f>
        <v/>
      </c>
      <c r="AO28" s="66" t="str">
        <f>IF(B28="", "", 'Lighting Inventory'!AX36)</f>
        <v/>
      </c>
      <c r="AP28" s="67" t="str">
        <f>IF(B28="", "", 'Lighting Inventory'!AZ36)</f>
        <v/>
      </c>
      <c r="AQ28" s="67" t="str">
        <f>IF(B28="", "", 'Lighting Inventory'!BA36)</f>
        <v/>
      </c>
      <c r="AR28" s="67" t="str">
        <f>IF(B28="", "", 'Lighting Inventory'!BB36)</f>
        <v/>
      </c>
      <c r="AS28" s="67" t="str">
        <f>IF(B28="", "", 'Lighting Inventory'!BC36)</f>
        <v/>
      </c>
      <c r="AT28" s="67" t="str">
        <f>IF(B28="", "", 'Lighting Inventory'!BD36)</f>
        <v/>
      </c>
      <c r="AU28" s="67" t="str">
        <f>IF(B28="", "", 'Lighting Inventory'!BE36)</f>
        <v/>
      </c>
      <c r="AV28" s="67" t="str">
        <f>IF(B28="", "", 'Lighting Inventory'!BE36)</f>
        <v/>
      </c>
      <c r="AW28" s="67" t="str">
        <f>IF(B28="", "", 'Lighting Inventory'!BF36)</f>
        <v/>
      </c>
      <c r="AX28" s="67" t="str">
        <f>IF(B28="", "", 'Lighting Inventory'!BF36)</f>
        <v/>
      </c>
      <c r="AY28" s="65" t="str">
        <f t="shared" si="4"/>
        <v/>
      </c>
      <c r="AZ28" s="65" t="str">
        <f>IF(B28="", "", 'Lighting Inventory'!BJ36)</f>
        <v/>
      </c>
      <c r="BA28" s="65" t="str">
        <f>IF(B28="", "", 'Lighting Inventory'!BM36)</f>
        <v/>
      </c>
      <c r="BB28" s="65" t="str">
        <f>IF(B28="","",SUM('Lighting Inventory'!BP36:BP36))</f>
        <v/>
      </c>
      <c r="BC28" s="67" t="str">
        <f>IF(OR(AE28="", B28=""),"", 'Lighting Inventory'!GR36)</f>
        <v/>
      </c>
      <c r="BD28" s="67" t="str">
        <f>IFERROR(IF(B28="", "", 'Lighting Inventory'!AF36)*AD28," ")</f>
        <v xml:space="preserve"> </v>
      </c>
      <c r="BE28" s="67"/>
      <c r="BF28" s="67"/>
    </row>
    <row r="29" spans="1:58" x14ac:dyDescent="0.25">
      <c r="A29" s="26" t="str">
        <f>IF(B29="", "", 'Lookup Tables'!AW30)</f>
        <v/>
      </c>
      <c r="B29" s="26" t="str">
        <f>IF(OR('Lighting Inventory'!Y37="", 'Lighting Inventory'!V37="No Change"),"", 'Lighting Inventory'!Y37)</f>
        <v/>
      </c>
      <c r="C29" s="26" t="str">
        <f>IF(B29="", "", IF('Lighting Inventory'!Y37='Lookup Tables'!$Y$32, 'Lighting Inventory'!AJ37, IF(AD29=0, R29, AD29)))</f>
        <v/>
      </c>
      <c r="D29" s="26" t="str">
        <f>IF(B29="", "", 'General Information'!$F$14)</f>
        <v/>
      </c>
      <c r="E29" s="26" t="str">
        <f t="shared" si="3"/>
        <v/>
      </c>
      <c r="F29" s="26" t="str">
        <f>IF(B29="", "", CONCATENATE('General Information'!$F$9, " - ", 'General Information'!$F$14))</f>
        <v/>
      </c>
      <c r="G29" s="26" t="str">
        <f>IF(B29="", "", 'General Information'!$F$15)</f>
        <v/>
      </c>
      <c r="H29" s="26" t="str">
        <f>IF(B29="", "", IF(VLOOKUP(B29, 'Lookup Tables'!$Y$18:$AA$34, 2, FALSE)="Traffic", VLOOKUP('Lighting Inventory'!W37, 'Lookup Tables'!#REF!, 11, FALSE), VLOOKUP(B29, 'Lookup Tables'!$Y$18:$AA$34, 2, FALSE)))</f>
        <v/>
      </c>
      <c r="I29" s="26" t="str">
        <f>IF(B29="", "", CONCATENATE(D29, 'Data Export'!A29))</f>
        <v/>
      </c>
      <c r="J29" s="26" t="str">
        <f>IF(B29="", "", 'Lookup Tables'!$B$1)</f>
        <v/>
      </c>
      <c r="K29" s="26" t="str">
        <f>IF(B29="", "", 'Lighting Inventory'!B37)</f>
        <v/>
      </c>
      <c r="L29" s="26" t="str">
        <f>IF(B29="", "", 'Lighting Inventory'!C37)</f>
        <v/>
      </c>
      <c r="M29" s="26" t="str">
        <f>IF(B29="", "",'Lighting Inventory'!D37)</f>
        <v/>
      </c>
      <c r="N29" s="26" t="str">
        <f>IF(B29="", "",'Lighting Inventory'!E37)</f>
        <v/>
      </c>
      <c r="O29" s="26" t="str">
        <f>IF(B29="", "", 'Lighting Inventory'!F37)</f>
        <v/>
      </c>
      <c r="P29" s="26" t="str">
        <f>IF(B29="", "", 'Lighting Inventory'!G37)</f>
        <v/>
      </c>
      <c r="Q29" s="26" t="str">
        <f>IF(B29="", "", 'Lighting Inventory'!H37)</f>
        <v/>
      </c>
      <c r="R29" s="26" t="str">
        <f>IF(B29="", "", 'Lighting Inventory'!I37)</f>
        <v/>
      </c>
      <c r="S29" s="26" t="str">
        <f>IF(B29="", "", 'Lighting Inventory'!J37)</f>
        <v/>
      </c>
      <c r="T29" s="26" t="str">
        <f>IFERROR(IF(B29="","",VLOOKUP(S29,'Fixture Identities'!$A$7:$G$1023,5,FALSE)), "New Construction")</f>
        <v/>
      </c>
      <c r="U29" s="26" t="str">
        <f>IFERROR(IF(B29="", "", IF(K29="New Construction", "NC", IF(VLOOKUP(S29, 'Fixture Identities'!$A$7:$I$1023,3, FALSE)="T12 Linear Fluorescent", VLOOKUP(S29, 'Fixture Identities'!$A$7:$K$1012, 11, FALSE), S29))), "")</f>
        <v/>
      </c>
      <c r="V29" s="26" t="str">
        <f>IFERROR(IF(OR(B29="", U29=0), "", VLOOKUP(U29, 'Fixture Identities'!$A$7:$G$1023, 5, FALSE)), "")</f>
        <v/>
      </c>
      <c r="W29" s="26" t="str">
        <f>IF(B29="", "",'Lighting Inventory'!K37)</f>
        <v/>
      </c>
      <c r="X29" s="65" t="str">
        <f>IF(B29="", "", 'Lighting Inventory'!L37)</f>
        <v/>
      </c>
      <c r="Y29" s="26" t="str">
        <f>IF(B29="", "", IF('Lighting Inventory'!M37="", "Light Switch",'Lighting Inventory'!M37))</f>
        <v/>
      </c>
      <c r="Z29" s="26" t="str">
        <f>IF(OR(K29="Retrofit", B29=""), "", 'Lighting Inventory'!N37)</f>
        <v/>
      </c>
      <c r="AA29" s="26" t="str">
        <f>IF(OR(Z29="",B29=""), "", 'Lighting Inventory'!O37)</f>
        <v/>
      </c>
      <c r="AB29" s="26" t="str">
        <f>IF(B29="", "", 'Lighting Inventory'!P37)</f>
        <v/>
      </c>
      <c r="AC29" s="96" t="str">
        <f>IF(B29="", "", 'Lighting Inventory'!R37)</f>
        <v/>
      </c>
      <c r="AD29" s="26" t="str">
        <f>IF(B29="", "", 'Lighting Inventory'!S37)</f>
        <v/>
      </c>
      <c r="AE29" s="26" t="str">
        <f>IF(B29="", "", 'Lighting Inventory'!V37)</f>
        <v/>
      </c>
      <c r="AF29" s="26" t="str">
        <f>IF(B29="", "", 'Lighting Inventory'!W37)</f>
        <v/>
      </c>
      <c r="AG29" s="26" t="str">
        <f>IF(OR(AF29="", B29=""), "", IF(AE29="Custom", "0", VLOOKUP(AF29, 'Lookup Tables'!$AI$6:$AP$102, 8, FALSE)))</f>
        <v/>
      </c>
      <c r="AH29" s="26" t="str">
        <f>IF(B29="", "", 'Lighting Inventory'!AD37)</f>
        <v/>
      </c>
      <c r="AI29" s="26" t="str">
        <f>IF(OR('Lighting Inventory'!AK37="", B29=""), "", 'Lighting Inventory'!AK37)</f>
        <v/>
      </c>
      <c r="AJ29" s="66" t="str">
        <f>IF(B29="", "", 'Lighting Inventory'!AL37)</f>
        <v/>
      </c>
      <c r="AK29" s="65" t="str">
        <f>IF(B29="", "", 'Lighting Inventory'!AM37)</f>
        <v/>
      </c>
      <c r="AL29" s="26" t="str">
        <f>IF(B29="", "", 'Lighting Inventory'!AN37)</f>
        <v/>
      </c>
      <c r="AM29" s="26" t="str">
        <f t="shared" si="1"/>
        <v/>
      </c>
      <c r="AN29" s="26" t="str">
        <f>IF(B29="","",IF('Lighting Inventory'!AV37="","Prescribed",'Lighting Inventory'!AV37))</f>
        <v/>
      </c>
      <c r="AO29" s="66" t="str">
        <f>IF(B29="", "", 'Lighting Inventory'!AX37)</f>
        <v/>
      </c>
      <c r="AP29" s="67" t="str">
        <f>IF(B29="", "", 'Lighting Inventory'!AZ37)</f>
        <v/>
      </c>
      <c r="AQ29" s="67" t="str">
        <f>IF(B29="", "", 'Lighting Inventory'!BA37)</f>
        <v/>
      </c>
      <c r="AR29" s="67" t="str">
        <f>IF(B29="", "", 'Lighting Inventory'!BB37)</f>
        <v/>
      </c>
      <c r="AS29" s="67" t="str">
        <f>IF(B29="", "", 'Lighting Inventory'!BC37)</f>
        <v/>
      </c>
      <c r="AT29" s="67" t="str">
        <f>IF(B29="", "", 'Lighting Inventory'!BD37)</f>
        <v/>
      </c>
      <c r="AU29" s="67" t="str">
        <f>IF(B29="", "", 'Lighting Inventory'!BE37)</f>
        <v/>
      </c>
      <c r="AV29" s="67" t="str">
        <f>IF(B29="", "", 'Lighting Inventory'!BE37)</f>
        <v/>
      </c>
      <c r="AW29" s="67" t="str">
        <f>IF(B29="", "", 'Lighting Inventory'!BF37)</f>
        <v/>
      </c>
      <c r="AX29" s="67" t="str">
        <f>IF(B29="", "", 'Lighting Inventory'!BF37)</f>
        <v/>
      </c>
      <c r="AY29" s="65" t="str">
        <f t="shared" si="4"/>
        <v/>
      </c>
      <c r="AZ29" s="65" t="str">
        <f>IF(B29="", "", 'Lighting Inventory'!BJ37)</f>
        <v/>
      </c>
      <c r="BA29" s="65" t="str">
        <f>IF(B29="", "", 'Lighting Inventory'!BM37)</f>
        <v/>
      </c>
      <c r="BB29" s="65" t="str">
        <f>IF(B29="","",SUM('Lighting Inventory'!BP37:BP37))</f>
        <v/>
      </c>
      <c r="BC29" s="67" t="str">
        <f>IF(OR(AE29="", B29=""),"", 'Lighting Inventory'!GR37)</f>
        <v/>
      </c>
      <c r="BD29" s="67" t="str">
        <f>IFERROR(IF(B29="", "", 'Lighting Inventory'!AF37)*AD29," ")</f>
        <v xml:space="preserve"> </v>
      </c>
      <c r="BE29" s="67"/>
      <c r="BF29" s="67"/>
    </row>
    <row r="30" spans="1:58" x14ac:dyDescent="0.25">
      <c r="A30" s="26" t="str">
        <f>IF(B30="", "", 'Lookup Tables'!AW31)</f>
        <v/>
      </c>
      <c r="B30" s="26" t="str">
        <f>IF(OR('Lighting Inventory'!Y38="", 'Lighting Inventory'!V38="No Change"),"", 'Lighting Inventory'!Y38)</f>
        <v/>
      </c>
      <c r="C30" s="26" t="str">
        <f>IF(B30="", "", IF('Lighting Inventory'!Y38='Lookup Tables'!$Y$32, 'Lighting Inventory'!AJ38, IF(AD30=0, R30, AD30)))</f>
        <v/>
      </c>
      <c r="D30" s="26" t="str">
        <f>IF(B30="", "", 'General Information'!$F$14)</f>
        <v/>
      </c>
      <c r="E30" s="26" t="str">
        <f t="shared" si="3"/>
        <v/>
      </c>
      <c r="F30" s="26" t="str">
        <f>IF(B30="", "", CONCATENATE('General Information'!$F$9, " - ", 'General Information'!$F$14))</f>
        <v/>
      </c>
      <c r="G30" s="26" t="str">
        <f>IF(B30="", "", 'General Information'!$F$15)</f>
        <v/>
      </c>
      <c r="H30" s="26" t="str">
        <f>IF(B30="", "", IF(VLOOKUP(B30, 'Lookup Tables'!$Y$18:$AA$34, 2, FALSE)="Traffic", VLOOKUP('Lighting Inventory'!W38, 'Lookup Tables'!#REF!, 11, FALSE), VLOOKUP(B30, 'Lookup Tables'!$Y$18:$AA$34, 2, FALSE)))</f>
        <v/>
      </c>
      <c r="I30" s="26" t="str">
        <f>IF(B30="", "", CONCATENATE(D30, 'Data Export'!A30))</f>
        <v/>
      </c>
      <c r="J30" s="26" t="str">
        <f>IF(B30="", "", 'Lookup Tables'!$B$1)</f>
        <v/>
      </c>
      <c r="K30" s="26" t="str">
        <f>IF(B30="", "", 'Lighting Inventory'!B38)</f>
        <v/>
      </c>
      <c r="L30" s="26" t="str">
        <f>IF(B30="", "", 'Lighting Inventory'!C38)</f>
        <v/>
      </c>
      <c r="M30" s="26" t="str">
        <f>IF(B30="", "",'Lighting Inventory'!D38)</f>
        <v/>
      </c>
      <c r="N30" s="26" t="str">
        <f>IF(B30="", "",'Lighting Inventory'!E38)</f>
        <v/>
      </c>
      <c r="O30" s="26" t="str">
        <f>IF(B30="", "", 'Lighting Inventory'!F38)</f>
        <v/>
      </c>
      <c r="P30" s="26" t="str">
        <f>IF(B30="", "", 'Lighting Inventory'!G38)</f>
        <v/>
      </c>
      <c r="Q30" s="26" t="str">
        <f>IF(B30="", "", 'Lighting Inventory'!H38)</f>
        <v/>
      </c>
      <c r="R30" s="26" t="str">
        <f>IF(B30="", "", 'Lighting Inventory'!I38)</f>
        <v/>
      </c>
      <c r="S30" s="26" t="str">
        <f>IF(B30="", "", 'Lighting Inventory'!J38)</f>
        <v/>
      </c>
      <c r="T30" s="26" t="str">
        <f>IFERROR(IF(B30="","",VLOOKUP(S30,'Fixture Identities'!$A$7:$G$1023,5,FALSE)), "New Construction")</f>
        <v/>
      </c>
      <c r="U30" s="26" t="str">
        <f>IFERROR(IF(B30="", "", IF(K30="New Construction", "NC", IF(VLOOKUP(S30, 'Fixture Identities'!$A$7:$I$1023,3, FALSE)="T12 Linear Fluorescent", VLOOKUP(S30, 'Fixture Identities'!$A$7:$K$1012, 11, FALSE), S30))), "")</f>
        <v/>
      </c>
      <c r="V30" s="26" t="str">
        <f>IFERROR(IF(OR(B30="", U30=0), "", VLOOKUP(U30, 'Fixture Identities'!$A$7:$G$1023, 5, FALSE)), "")</f>
        <v/>
      </c>
      <c r="W30" s="26" t="str">
        <f>IF(B30="", "",'Lighting Inventory'!K38)</f>
        <v/>
      </c>
      <c r="X30" s="65" t="str">
        <f>IF(B30="", "", 'Lighting Inventory'!L38)</f>
        <v/>
      </c>
      <c r="Y30" s="26" t="str">
        <f>IF(B30="", "", IF('Lighting Inventory'!M38="", "Light Switch",'Lighting Inventory'!M38))</f>
        <v/>
      </c>
      <c r="Z30" s="26" t="str">
        <f>IF(OR(K30="Retrofit", B30=""), "", 'Lighting Inventory'!N38)</f>
        <v/>
      </c>
      <c r="AA30" s="26" t="str">
        <f>IF(OR(Z30="",B30=""), "", 'Lighting Inventory'!O38)</f>
        <v/>
      </c>
      <c r="AB30" s="26" t="str">
        <f>IF(B30="", "", 'Lighting Inventory'!P38)</f>
        <v/>
      </c>
      <c r="AC30" s="96" t="str">
        <f>IF(B30="", "", 'Lighting Inventory'!R38)</f>
        <v/>
      </c>
      <c r="AD30" s="26" t="str">
        <f>IF(B30="", "", 'Lighting Inventory'!S38)</f>
        <v/>
      </c>
      <c r="AE30" s="26" t="str">
        <f>IF(B30="", "", 'Lighting Inventory'!V38)</f>
        <v/>
      </c>
      <c r="AF30" s="26" t="str">
        <f>IF(B30="", "", 'Lighting Inventory'!W38)</f>
        <v/>
      </c>
      <c r="AG30" s="26" t="str">
        <f>IF(OR(AF30="", B30=""), "", IF(AE30="Custom", "0", VLOOKUP(AF30, 'Lookup Tables'!$AI$6:$AP$102, 8, FALSE)))</f>
        <v/>
      </c>
      <c r="AH30" s="26" t="str">
        <f>IF(B30="", "", 'Lighting Inventory'!AD38)</f>
        <v/>
      </c>
      <c r="AI30" s="26" t="str">
        <f>IF(OR('Lighting Inventory'!AK38="", B30=""), "", 'Lighting Inventory'!AK38)</f>
        <v/>
      </c>
      <c r="AJ30" s="66" t="str">
        <f>IF(B30="", "", 'Lighting Inventory'!AL38)</f>
        <v/>
      </c>
      <c r="AK30" s="65" t="str">
        <f>IF(B30="", "", 'Lighting Inventory'!AM38)</f>
        <v/>
      </c>
      <c r="AL30" s="26" t="str">
        <f>IF(B30="", "", 'Lighting Inventory'!AN38)</f>
        <v/>
      </c>
      <c r="AM30" s="26" t="str">
        <f t="shared" si="1"/>
        <v/>
      </c>
      <c r="AN30" s="26" t="str">
        <f>IF(B30="","",IF('Lighting Inventory'!AV38="","Prescribed",'Lighting Inventory'!AV38))</f>
        <v/>
      </c>
      <c r="AO30" s="66" t="str">
        <f>IF(B30="", "", 'Lighting Inventory'!AX38)</f>
        <v/>
      </c>
      <c r="AP30" s="67" t="str">
        <f>IF(B30="", "", 'Lighting Inventory'!AZ38)</f>
        <v/>
      </c>
      <c r="AQ30" s="67" t="str">
        <f>IF(B30="", "", 'Lighting Inventory'!BA38)</f>
        <v/>
      </c>
      <c r="AR30" s="67" t="str">
        <f>IF(B30="", "", 'Lighting Inventory'!BB38)</f>
        <v/>
      </c>
      <c r="AS30" s="67" t="str">
        <f>IF(B30="", "", 'Lighting Inventory'!BC38)</f>
        <v/>
      </c>
      <c r="AT30" s="67" t="str">
        <f>IF(B30="", "", 'Lighting Inventory'!BD38)</f>
        <v/>
      </c>
      <c r="AU30" s="67" t="str">
        <f>IF(B30="", "", 'Lighting Inventory'!BE38)</f>
        <v/>
      </c>
      <c r="AV30" s="67" t="str">
        <f>IF(B30="", "", 'Lighting Inventory'!BE38)</f>
        <v/>
      </c>
      <c r="AW30" s="67" t="str">
        <f>IF(B30="", "", 'Lighting Inventory'!BF38)</f>
        <v/>
      </c>
      <c r="AX30" s="67" t="str">
        <f>IF(B30="", "", 'Lighting Inventory'!BF38)</f>
        <v/>
      </c>
      <c r="AY30" s="65" t="str">
        <f t="shared" si="4"/>
        <v/>
      </c>
      <c r="AZ30" s="65" t="str">
        <f>IF(B30="", "", 'Lighting Inventory'!BJ38)</f>
        <v/>
      </c>
      <c r="BA30" s="65" t="str">
        <f>IF(B30="", "", 'Lighting Inventory'!BM38)</f>
        <v/>
      </c>
      <c r="BB30" s="65" t="str">
        <f>IF(B30="","",SUM('Lighting Inventory'!BP38:BP38))</f>
        <v/>
      </c>
      <c r="BC30" s="67" t="str">
        <f>IF(OR(AE30="", B30=""),"", 'Lighting Inventory'!GR38)</f>
        <v/>
      </c>
      <c r="BD30" s="67" t="str">
        <f>IFERROR(IF(B30="", "", 'Lighting Inventory'!AF38)*AD30," ")</f>
        <v xml:space="preserve"> </v>
      </c>
      <c r="BE30" s="67"/>
      <c r="BF30" s="67"/>
    </row>
    <row r="31" spans="1:58" x14ac:dyDescent="0.25">
      <c r="A31" s="26" t="str">
        <f>IF(B31="", "", 'Lookup Tables'!AW32)</f>
        <v/>
      </c>
      <c r="B31" s="26" t="str">
        <f>IF(OR('Lighting Inventory'!Y39="", 'Lighting Inventory'!V39="No Change"),"", 'Lighting Inventory'!Y39)</f>
        <v/>
      </c>
      <c r="C31" s="26" t="str">
        <f>IF(B31="", "", IF('Lighting Inventory'!Y39='Lookup Tables'!$Y$32, 'Lighting Inventory'!AJ39, IF(AD31=0, R31, AD31)))</f>
        <v/>
      </c>
      <c r="D31" s="26" t="str">
        <f>IF(B31="", "", 'General Information'!$F$14)</f>
        <v/>
      </c>
      <c r="E31" s="26" t="str">
        <f t="shared" si="3"/>
        <v/>
      </c>
      <c r="F31" s="26" t="str">
        <f>IF(B31="", "", CONCATENATE('General Information'!$F$9, " - ", 'General Information'!$F$14))</f>
        <v/>
      </c>
      <c r="G31" s="26" t="str">
        <f>IF(B31="", "", 'General Information'!$F$15)</f>
        <v/>
      </c>
      <c r="H31" s="26" t="str">
        <f>IF(B31="", "", IF(VLOOKUP(B31, 'Lookup Tables'!$Y$18:$AA$34, 2, FALSE)="Traffic", VLOOKUP('Lighting Inventory'!W39, 'Lookup Tables'!#REF!, 11, FALSE), VLOOKUP(B31, 'Lookup Tables'!$Y$18:$AA$34, 2, FALSE)))</f>
        <v/>
      </c>
      <c r="I31" s="26" t="str">
        <f>IF(B31="", "", CONCATENATE(D31, 'Data Export'!A31))</f>
        <v/>
      </c>
      <c r="J31" s="26" t="str">
        <f>IF(B31="", "", 'Lookup Tables'!$B$1)</f>
        <v/>
      </c>
      <c r="K31" s="26" t="str">
        <f>IF(B31="", "", 'Lighting Inventory'!B39)</f>
        <v/>
      </c>
      <c r="L31" s="26" t="str">
        <f>IF(B31="", "", 'Lighting Inventory'!C39)</f>
        <v/>
      </c>
      <c r="M31" s="26" t="str">
        <f>IF(B31="", "",'Lighting Inventory'!D39)</f>
        <v/>
      </c>
      <c r="N31" s="26" t="str">
        <f>IF(B31="", "",'Lighting Inventory'!E39)</f>
        <v/>
      </c>
      <c r="O31" s="26" t="str">
        <f>IF(B31="", "", 'Lighting Inventory'!F39)</f>
        <v/>
      </c>
      <c r="P31" s="26" t="str">
        <f>IF(B31="", "", 'Lighting Inventory'!G39)</f>
        <v/>
      </c>
      <c r="Q31" s="26" t="str">
        <f>IF(B31="", "", 'Lighting Inventory'!H39)</f>
        <v/>
      </c>
      <c r="R31" s="26" t="str">
        <f>IF(B31="", "", 'Lighting Inventory'!I39)</f>
        <v/>
      </c>
      <c r="S31" s="26" t="str">
        <f>IF(B31="", "", 'Lighting Inventory'!J39)</f>
        <v/>
      </c>
      <c r="T31" s="26" t="str">
        <f>IFERROR(IF(B31="","",VLOOKUP(S31,'Fixture Identities'!$A$7:$G$1023,5,FALSE)), "New Construction")</f>
        <v/>
      </c>
      <c r="U31" s="26" t="str">
        <f>IFERROR(IF(B31="", "", IF(K31="New Construction", "NC", IF(VLOOKUP(S31, 'Fixture Identities'!$A$7:$I$1023,3, FALSE)="T12 Linear Fluorescent", VLOOKUP(S31, 'Fixture Identities'!$A$7:$K$1012, 11, FALSE), S31))), "")</f>
        <v/>
      </c>
      <c r="V31" s="26" t="str">
        <f>IFERROR(IF(OR(B31="", U31=0), "", VLOOKUP(U31, 'Fixture Identities'!$A$7:$G$1023, 5, FALSE)), "")</f>
        <v/>
      </c>
      <c r="W31" s="26" t="str">
        <f>IF(B31="", "",'Lighting Inventory'!K39)</f>
        <v/>
      </c>
      <c r="X31" s="65" t="str">
        <f>IF(B31="", "", 'Lighting Inventory'!L39)</f>
        <v/>
      </c>
      <c r="Y31" s="26" t="str">
        <f>IF(B31="", "", IF('Lighting Inventory'!M39="", "Light Switch",'Lighting Inventory'!M39))</f>
        <v/>
      </c>
      <c r="Z31" s="26" t="str">
        <f>IF(OR(K31="Retrofit", B31=""), "", 'Lighting Inventory'!N39)</f>
        <v/>
      </c>
      <c r="AA31" s="26" t="str">
        <f>IF(OR(Z31="",B31=""), "", 'Lighting Inventory'!O39)</f>
        <v/>
      </c>
      <c r="AB31" s="26" t="str">
        <f>IF(B31="", "", 'Lighting Inventory'!P39)</f>
        <v/>
      </c>
      <c r="AC31" s="96" t="str">
        <f>IF(B31="", "", 'Lighting Inventory'!R39)</f>
        <v/>
      </c>
      <c r="AD31" s="26" t="str">
        <f>IF(B31="", "", 'Lighting Inventory'!S39)</f>
        <v/>
      </c>
      <c r="AE31" s="26" t="str">
        <f>IF(B31="", "", 'Lighting Inventory'!V39)</f>
        <v/>
      </c>
      <c r="AF31" s="26" t="str">
        <f>IF(B31="", "", 'Lighting Inventory'!W39)</f>
        <v/>
      </c>
      <c r="AG31" s="26" t="str">
        <f>IF(OR(AF31="", B31=""), "", IF(AE31="Custom", "0", VLOOKUP(AF31, 'Lookup Tables'!$AI$6:$AP$102, 8, FALSE)))</f>
        <v/>
      </c>
      <c r="AH31" s="26" t="str">
        <f>IF(B31="", "", 'Lighting Inventory'!AD39)</f>
        <v/>
      </c>
      <c r="AI31" s="26" t="str">
        <f>IF(OR('Lighting Inventory'!AK39="", B31=""), "", 'Lighting Inventory'!AK39)</f>
        <v/>
      </c>
      <c r="AJ31" s="66" t="str">
        <f>IF(B31="", "", 'Lighting Inventory'!AL39)</f>
        <v/>
      </c>
      <c r="AK31" s="65" t="str">
        <f>IF(B31="", "", 'Lighting Inventory'!AM39)</f>
        <v/>
      </c>
      <c r="AL31" s="26" t="str">
        <f>IF(B31="", "", 'Lighting Inventory'!AN39)</f>
        <v/>
      </c>
      <c r="AM31" s="26" t="str">
        <f t="shared" si="1"/>
        <v/>
      </c>
      <c r="AN31" s="26" t="str">
        <f>IF(B31="","",IF('Lighting Inventory'!AV39="","Prescribed",'Lighting Inventory'!AV39))</f>
        <v/>
      </c>
      <c r="AO31" s="66" t="str">
        <f>IF(B31="", "", 'Lighting Inventory'!AX39)</f>
        <v/>
      </c>
      <c r="AP31" s="67" t="str">
        <f>IF(B31="", "", 'Lighting Inventory'!AZ39)</f>
        <v/>
      </c>
      <c r="AQ31" s="67" t="str">
        <f>IF(B31="", "", 'Lighting Inventory'!BA39)</f>
        <v/>
      </c>
      <c r="AR31" s="67" t="str">
        <f>IF(B31="", "", 'Lighting Inventory'!BB39)</f>
        <v/>
      </c>
      <c r="AS31" s="67" t="str">
        <f>IF(B31="", "", 'Lighting Inventory'!BC39)</f>
        <v/>
      </c>
      <c r="AT31" s="67" t="str">
        <f>IF(B31="", "", 'Lighting Inventory'!BD39)</f>
        <v/>
      </c>
      <c r="AU31" s="67" t="str">
        <f>IF(B31="", "", 'Lighting Inventory'!BE39)</f>
        <v/>
      </c>
      <c r="AV31" s="67" t="str">
        <f>IF(B31="", "", 'Lighting Inventory'!BE39)</f>
        <v/>
      </c>
      <c r="AW31" s="67" t="str">
        <f>IF(B31="", "", 'Lighting Inventory'!BF39)</f>
        <v/>
      </c>
      <c r="AX31" s="67" t="str">
        <f>IF(B31="", "", 'Lighting Inventory'!BF39)</f>
        <v/>
      </c>
      <c r="AY31" s="65" t="str">
        <f t="shared" si="4"/>
        <v/>
      </c>
      <c r="AZ31" s="65" t="str">
        <f>IF(B31="", "", 'Lighting Inventory'!BJ39)</f>
        <v/>
      </c>
      <c r="BA31" s="65" t="str">
        <f>IF(B31="", "", 'Lighting Inventory'!BM39)</f>
        <v/>
      </c>
      <c r="BB31" s="65" t="str">
        <f>IF(B31="","",SUM('Lighting Inventory'!BP39:BP39))</f>
        <v/>
      </c>
      <c r="BC31" s="67" t="str">
        <f>IF(OR(AE31="", B31=""),"", 'Lighting Inventory'!GR39)</f>
        <v/>
      </c>
      <c r="BD31" s="67" t="str">
        <f>IFERROR(IF(B31="", "", 'Lighting Inventory'!AF39)*AD31," ")</f>
        <v xml:space="preserve"> </v>
      </c>
      <c r="BE31" s="67"/>
      <c r="BF31" s="67"/>
    </row>
    <row r="32" spans="1:58" x14ac:dyDescent="0.25">
      <c r="A32" s="26" t="str">
        <f>IF(B32="", "", 'Lookup Tables'!AW33)</f>
        <v/>
      </c>
      <c r="B32" s="26" t="str">
        <f>IF(OR('Lighting Inventory'!Y40="", 'Lighting Inventory'!V40="No Change"),"", 'Lighting Inventory'!Y40)</f>
        <v/>
      </c>
      <c r="C32" s="26" t="str">
        <f>IF(B32="", "", IF('Lighting Inventory'!Y40='Lookup Tables'!$Y$32, 'Lighting Inventory'!AJ40, IF(AD32=0, R32, AD32)))</f>
        <v/>
      </c>
      <c r="D32" s="26" t="str">
        <f>IF(B32="", "", 'General Information'!$F$14)</f>
        <v/>
      </c>
      <c r="E32" s="26" t="str">
        <f t="shared" si="3"/>
        <v/>
      </c>
      <c r="F32" s="26" t="str">
        <f>IF(B32="", "", CONCATENATE('General Information'!$F$9, " - ", 'General Information'!$F$14))</f>
        <v/>
      </c>
      <c r="G32" s="26" t="str">
        <f>IF(B32="", "", 'General Information'!$F$15)</f>
        <v/>
      </c>
      <c r="H32" s="26" t="str">
        <f>IF(B32="", "", IF(VLOOKUP(B32, 'Lookup Tables'!$Y$18:$AA$34, 2, FALSE)="Traffic", VLOOKUP('Lighting Inventory'!W40, 'Lookup Tables'!#REF!, 11, FALSE), VLOOKUP(B32, 'Lookup Tables'!$Y$18:$AA$34, 2, FALSE)))</f>
        <v/>
      </c>
      <c r="I32" s="26" t="str">
        <f>IF(B32="", "", CONCATENATE(D32, 'Data Export'!A32))</f>
        <v/>
      </c>
      <c r="J32" s="26" t="str">
        <f>IF(B32="", "", 'Lookup Tables'!$B$1)</f>
        <v/>
      </c>
      <c r="K32" s="26" t="str">
        <f>IF(B32="", "", 'Lighting Inventory'!B40)</f>
        <v/>
      </c>
      <c r="L32" s="26" t="str">
        <f>IF(B32="", "", 'Lighting Inventory'!C40)</f>
        <v/>
      </c>
      <c r="M32" s="26" t="str">
        <f>IF(B32="", "",'Lighting Inventory'!D40)</f>
        <v/>
      </c>
      <c r="N32" s="26" t="str">
        <f>IF(B32="", "",'Lighting Inventory'!E40)</f>
        <v/>
      </c>
      <c r="O32" s="26" t="str">
        <f>IF(B32="", "", 'Lighting Inventory'!F40)</f>
        <v/>
      </c>
      <c r="P32" s="26" t="str">
        <f>IF(B32="", "", 'Lighting Inventory'!G40)</f>
        <v/>
      </c>
      <c r="Q32" s="26" t="str">
        <f>IF(B32="", "", 'Lighting Inventory'!H40)</f>
        <v/>
      </c>
      <c r="R32" s="26" t="str">
        <f>IF(B32="", "", 'Lighting Inventory'!I40)</f>
        <v/>
      </c>
      <c r="S32" s="26" t="str">
        <f>IF(B32="", "", 'Lighting Inventory'!J40)</f>
        <v/>
      </c>
      <c r="T32" s="26" t="str">
        <f>IFERROR(IF(B32="","",VLOOKUP(S32,'Fixture Identities'!$A$7:$G$1023,5,FALSE)), "New Construction")</f>
        <v/>
      </c>
      <c r="U32" s="26" t="str">
        <f>IFERROR(IF(B32="", "", IF(K32="New Construction", "NC", IF(VLOOKUP(S32, 'Fixture Identities'!$A$7:$I$1023,3, FALSE)="T12 Linear Fluorescent", VLOOKUP(S32, 'Fixture Identities'!$A$7:$K$1012, 11, FALSE), S32))), "")</f>
        <v/>
      </c>
      <c r="V32" s="26" t="str">
        <f>IFERROR(IF(OR(B32="", U32=0), "", VLOOKUP(U32, 'Fixture Identities'!$A$7:$G$1023, 5, FALSE)), "")</f>
        <v/>
      </c>
      <c r="W32" s="26" t="str">
        <f>IF(B32="", "",'Lighting Inventory'!K40)</f>
        <v/>
      </c>
      <c r="X32" s="65" t="str">
        <f>IF(B32="", "", 'Lighting Inventory'!L40)</f>
        <v/>
      </c>
      <c r="Y32" s="26" t="str">
        <f>IF(B32="", "", IF('Lighting Inventory'!M40="", "Light Switch",'Lighting Inventory'!M40))</f>
        <v/>
      </c>
      <c r="Z32" s="26" t="str">
        <f>IF(OR(K32="Retrofit", B32=""), "", 'Lighting Inventory'!N40)</f>
        <v/>
      </c>
      <c r="AA32" s="26" t="str">
        <f>IF(OR(Z32="",B32=""), "", 'Lighting Inventory'!O40)</f>
        <v/>
      </c>
      <c r="AB32" s="26" t="str">
        <f>IF(B32="", "", 'Lighting Inventory'!P40)</f>
        <v/>
      </c>
      <c r="AC32" s="96" t="str">
        <f>IF(B32="", "", 'Lighting Inventory'!R40)</f>
        <v/>
      </c>
      <c r="AD32" s="26" t="str">
        <f>IF(B32="", "", 'Lighting Inventory'!S40)</f>
        <v/>
      </c>
      <c r="AE32" s="26" t="str">
        <f>IF(B32="", "", 'Lighting Inventory'!V40)</f>
        <v/>
      </c>
      <c r="AF32" s="26" t="str">
        <f>IF(B32="", "", 'Lighting Inventory'!W40)</f>
        <v/>
      </c>
      <c r="AG32" s="26" t="str">
        <f>IF(OR(AF32="", B32=""), "", IF(AE32="Custom", "0", VLOOKUP(AF32, 'Lookup Tables'!$AI$6:$AP$102, 8, FALSE)))</f>
        <v/>
      </c>
      <c r="AH32" s="26" t="str">
        <f>IF(B32="", "", 'Lighting Inventory'!AD40)</f>
        <v/>
      </c>
      <c r="AI32" s="26" t="str">
        <f>IF(OR('Lighting Inventory'!AK40="", B32=""), "", 'Lighting Inventory'!AK40)</f>
        <v/>
      </c>
      <c r="AJ32" s="66" t="str">
        <f>IF(B32="", "", 'Lighting Inventory'!AL40)</f>
        <v/>
      </c>
      <c r="AK32" s="65" t="str">
        <f>IF(B32="", "", 'Lighting Inventory'!AM40)</f>
        <v/>
      </c>
      <c r="AL32" s="26" t="str">
        <f>IF(B32="", "", 'Lighting Inventory'!AN40)</f>
        <v/>
      </c>
      <c r="AM32" s="26" t="str">
        <f t="shared" si="1"/>
        <v/>
      </c>
      <c r="AN32" s="26" t="str">
        <f>IF(B32="","",IF('Lighting Inventory'!AV40="","Prescribed",'Lighting Inventory'!AV40))</f>
        <v/>
      </c>
      <c r="AO32" s="66" t="str">
        <f>IF(B32="", "", 'Lighting Inventory'!AX40)</f>
        <v/>
      </c>
      <c r="AP32" s="67" t="str">
        <f>IF(B32="", "", 'Lighting Inventory'!AZ40)</f>
        <v/>
      </c>
      <c r="AQ32" s="67" t="str">
        <f>IF(B32="", "", 'Lighting Inventory'!BA40)</f>
        <v/>
      </c>
      <c r="AR32" s="67" t="str">
        <f>IF(B32="", "", 'Lighting Inventory'!BB40)</f>
        <v/>
      </c>
      <c r="AS32" s="67" t="str">
        <f>IF(B32="", "", 'Lighting Inventory'!BC40)</f>
        <v/>
      </c>
      <c r="AT32" s="67" t="str">
        <f>IF(B32="", "", 'Lighting Inventory'!BD40)</f>
        <v/>
      </c>
      <c r="AU32" s="67" t="str">
        <f>IF(B32="", "", 'Lighting Inventory'!BE40)</f>
        <v/>
      </c>
      <c r="AV32" s="67" t="str">
        <f>IF(B32="", "", 'Lighting Inventory'!BE40)</f>
        <v/>
      </c>
      <c r="AW32" s="67" t="str">
        <f>IF(B32="", "", 'Lighting Inventory'!BF40)</f>
        <v/>
      </c>
      <c r="AX32" s="67" t="str">
        <f>IF(B32="", "", 'Lighting Inventory'!BF40)</f>
        <v/>
      </c>
      <c r="AY32" s="65" t="str">
        <f t="shared" si="4"/>
        <v/>
      </c>
      <c r="AZ32" s="65" t="str">
        <f>IF(B32="", "", 'Lighting Inventory'!BJ40)</f>
        <v/>
      </c>
      <c r="BA32" s="65" t="str">
        <f>IF(B32="", "", 'Lighting Inventory'!BM40)</f>
        <v/>
      </c>
      <c r="BB32" s="65" t="str">
        <f>IF(B32="","",SUM('Lighting Inventory'!BP40:BP40))</f>
        <v/>
      </c>
      <c r="BC32" s="67" t="str">
        <f>IF(OR(AE32="", B32=""),"", 'Lighting Inventory'!GR40)</f>
        <v/>
      </c>
      <c r="BD32" s="67" t="str">
        <f>IFERROR(IF(B32="", "", 'Lighting Inventory'!AF40)*AD32," ")</f>
        <v xml:space="preserve"> </v>
      </c>
      <c r="BE32" s="67"/>
      <c r="BF32" s="67"/>
    </row>
    <row r="33" spans="1:58" x14ac:dyDescent="0.25">
      <c r="A33" s="26" t="str">
        <f>IF(B33="", "", 'Lookup Tables'!AW34)</f>
        <v/>
      </c>
      <c r="B33" s="26" t="str">
        <f>IF(OR('Lighting Inventory'!Y41="", 'Lighting Inventory'!V41="No Change"),"", 'Lighting Inventory'!Y41)</f>
        <v/>
      </c>
      <c r="C33" s="26" t="str">
        <f>IF(B33="", "", IF('Lighting Inventory'!Y41='Lookup Tables'!$Y$32, 'Lighting Inventory'!AJ41, IF(AD33=0, R33, AD33)))</f>
        <v/>
      </c>
      <c r="D33" s="26" t="str">
        <f>IF(B33="", "", 'General Information'!$F$14)</f>
        <v/>
      </c>
      <c r="E33" s="26" t="str">
        <f t="shared" si="3"/>
        <v/>
      </c>
      <c r="F33" s="26" t="str">
        <f>IF(B33="", "", CONCATENATE('General Information'!$F$9, " - ", 'General Information'!$F$14))</f>
        <v/>
      </c>
      <c r="G33" s="26" t="str">
        <f>IF(B33="", "", 'General Information'!$F$15)</f>
        <v/>
      </c>
      <c r="H33" s="26" t="str">
        <f>IF(B33="", "", IF(VLOOKUP(B33, 'Lookup Tables'!$Y$18:$AA$34, 2, FALSE)="Traffic", VLOOKUP('Lighting Inventory'!W41, 'Lookup Tables'!#REF!, 11, FALSE), VLOOKUP(B33, 'Lookup Tables'!$Y$18:$AA$34, 2, FALSE)))</f>
        <v/>
      </c>
      <c r="I33" s="26" t="str">
        <f>IF(B33="", "", CONCATENATE(D33, 'Data Export'!A33))</f>
        <v/>
      </c>
      <c r="J33" s="26" t="str">
        <f>IF(B33="", "", 'Lookup Tables'!$B$1)</f>
        <v/>
      </c>
      <c r="K33" s="26" t="str">
        <f>IF(B33="", "", 'Lighting Inventory'!B41)</f>
        <v/>
      </c>
      <c r="L33" s="26" t="str">
        <f>IF(B33="", "", 'Lighting Inventory'!C41)</f>
        <v/>
      </c>
      <c r="M33" s="26" t="str">
        <f>IF(B33="", "",'Lighting Inventory'!D41)</f>
        <v/>
      </c>
      <c r="N33" s="26" t="str">
        <f>IF(B33="", "",'Lighting Inventory'!E41)</f>
        <v/>
      </c>
      <c r="O33" s="26" t="str">
        <f>IF(B33="", "", 'Lighting Inventory'!F41)</f>
        <v/>
      </c>
      <c r="P33" s="26" t="str">
        <f>IF(B33="", "", 'Lighting Inventory'!G41)</f>
        <v/>
      </c>
      <c r="Q33" s="26" t="str">
        <f>IF(B33="", "", 'Lighting Inventory'!H41)</f>
        <v/>
      </c>
      <c r="R33" s="26" t="str">
        <f>IF(B33="", "", 'Lighting Inventory'!I41)</f>
        <v/>
      </c>
      <c r="S33" s="26" t="str">
        <f>IF(B33="", "", 'Lighting Inventory'!J41)</f>
        <v/>
      </c>
      <c r="T33" s="26" t="str">
        <f>IFERROR(IF(B33="","",VLOOKUP(S33,'Fixture Identities'!$A$7:$G$1023,5,FALSE)), "New Construction")</f>
        <v/>
      </c>
      <c r="U33" s="26" t="str">
        <f>IFERROR(IF(B33="", "", IF(K33="New Construction", "NC", IF(VLOOKUP(S33, 'Fixture Identities'!$A$7:$I$1023,3, FALSE)="T12 Linear Fluorescent", VLOOKUP(S33, 'Fixture Identities'!$A$7:$K$1012, 11, FALSE), S33))), "")</f>
        <v/>
      </c>
      <c r="V33" s="26" t="str">
        <f>IFERROR(IF(OR(B33="", U33=0), "", VLOOKUP(U33, 'Fixture Identities'!$A$7:$G$1023, 5, FALSE)), "")</f>
        <v/>
      </c>
      <c r="W33" s="26" t="str">
        <f>IF(B33="", "",'Lighting Inventory'!K41)</f>
        <v/>
      </c>
      <c r="X33" s="65" t="str">
        <f>IF(B33="", "", 'Lighting Inventory'!L41)</f>
        <v/>
      </c>
      <c r="Y33" s="26" t="str">
        <f>IF(B33="", "", IF('Lighting Inventory'!M41="", "Light Switch",'Lighting Inventory'!M41))</f>
        <v/>
      </c>
      <c r="Z33" s="26" t="str">
        <f>IF(OR(K33="Retrofit", B33=""), "", 'Lighting Inventory'!N41)</f>
        <v/>
      </c>
      <c r="AA33" s="26" t="str">
        <f>IF(OR(Z33="",B33=""), "", 'Lighting Inventory'!O41)</f>
        <v/>
      </c>
      <c r="AB33" s="26" t="str">
        <f>IF(B33="", "", 'Lighting Inventory'!P41)</f>
        <v/>
      </c>
      <c r="AC33" s="96" t="str">
        <f>IF(B33="", "", 'Lighting Inventory'!R41)</f>
        <v/>
      </c>
      <c r="AD33" s="26" t="str">
        <f>IF(B33="", "", 'Lighting Inventory'!S41)</f>
        <v/>
      </c>
      <c r="AE33" s="26" t="str">
        <f>IF(B33="", "", 'Lighting Inventory'!V41)</f>
        <v/>
      </c>
      <c r="AF33" s="26" t="str">
        <f>IF(B33="", "", 'Lighting Inventory'!W41)</f>
        <v/>
      </c>
      <c r="AG33" s="26" t="str">
        <f>IF(OR(AF33="", B33=""), "", IF(AE33="Custom", "0", VLOOKUP(AF33, 'Lookup Tables'!$AI$6:$AP$102, 8, FALSE)))</f>
        <v/>
      </c>
      <c r="AH33" s="26" t="str">
        <f>IF(B33="", "", 'Lighting Inventory'!AD41)</f>
        <v/>
      </c>
      <c r="AI33" s="26" t="str">
        <f>IF(OR('Lighting Inventory'!AK41="", B33=""), "", 'Lighting Inventory'!AK41)</f>
        <v/>
      </c>
      <c r="AJ33" s="66" t="str">
        <f>IF(B33="", "", 'Lighting Inventory'!AL41)</f>
        <v/>
      </c>
      <c r="AK33" s="65" t="str">
        <f>IF(B33="", "", 'Lighting Inventory'!AM41)</f>
        <v/>
      </c>
      <c r="AL33" s="26" t="str">
        <f>IF(B33="", "", 'Lighting Inventory'!AN41)</f>
        <v/>
      </c>
      <c r="AM33" s="26" t="str">
        <f t="shared" si="1"/>
        <v/>
      </c>
      <c r="AN33" s="26" t="str">
        <f>IF(B33="","",IF('Lighting Inventory'!AV41="","Prescribed",'Lighting Inventory'!AV41))</f>
        <v/>
      </c>
      <c r="AO33" s="66" t="str">
        <f>IF(B33="", "", 'Lighting Inventory'!AX41)</f>
        <v/>
      </c>
      <c r="AP33" s="67" t="str">
        <f>IF(B33="", "", 'Lighting Inventory'!AZ41)</f>
        <v/>
      </c>
      <c r="AQ33" s="67" t="str">
        <f>IF(B33="", "", 'Lighting Inventory'!BA41)</f>
        <v/>
      </c>
      <c r="AR33" s="67" t="str">
        <f>IF(B33="", "", 'Lighting Inventory'!BB41)</f>
        <v/>
      </c>
      <c r="AS33" s="67" t="str">
        <f>IF(B33="", "", 'Lighting Inventory'!BC41)</f>
        <v/>
      </c>
      <c r="AT33" s="67" t="str">
        <f>IF(B33="", "", 'Lighting Inventory'!BD41)</f>
        <v/>
      </c>
      <c r="AU33" s="67" t="str">
        <f>IF(B33="", "", 'Lighting Inventory'!BE41)</f>
        <v/>
      </c>
      <c r="AV33" s="67" t="str">
        <f>IF(B33="", "", 'Lighting Inventory'!BE41)</f>
        <v/>
      </c>
      <c r="AW33" s="67" t="str">
        <f>IF(B33="", "", 'Lighting Inventory'!BF41)</f>
        <v/>
      </c>
      <c r="AX33" s="67" t="str">
        <f>IF(B33="", "", 'Lighting Inventory'!BF41)</f>
        <v/>
      </c>
      <c r="AY33" s="65" t="str">
        <f t="shared" si="4"/>
        <v/>
      </c>
      <c r="AZ33" s="65" t="str">
        <f>IF(B33="", "", 'Lighting Inventory'!BJ41)</f>
        <v/>
      </c>
      <c r="BA33" s="65" t="str">
        <f>IF(B33="", "", 'Lighting Inventory'!BM41)</f>
        <v/>
      </c>
      <c r="BB33" s="65" t="str">
        <f>IF(B33="","",SUM('Lighting Inventory'!BP41:BP41))</f>
        <v/>
      </c>
      <c r="BC33" s="67" t="str">
        <f>IF(OR(AE33="", B33=""),"", 'Lighting Inventory'!GR41)</f>
        <v/>
      </c>
      <c r="BD33" s="67" t="str">
        <f>IFERROR(IF(B33="", "", 'Lighting Inventory'!AF41)*AD33," ")</f>
        <v xml:space="preserve"> </v>
      </c>
      <c r="BE33" s="67"/>
      <c r="BF33" s="67"/>
    </row>
    <row r="34" spans="1:58" x14ac:dyDescent="0.25">
      <c r="A34" s="26" t="str">
        <f>IF(B34="", "", 'Lookup Tables'!AW35)</f>
        <v/>
      </c>
      <c r="B34" s="26" t="str">
        <f>IF(OR('Lighting Inventory'!Y42="", 'Lighting Inventory'!V42="No Change"),"", 'Lighting Inventory'!Y42)</f>
        <v/>
      </c>
      <c r="C34" s="26" t="str">
        <f>IF(B34="", "", IF('Lighting Inventory'!Y42='Lookup Tables'!$Y$32, 'Lighting Inventory'!AJ42, IF(AD34=0, R34, AD34)))</f>
        <v/>
      </c>
      <c r="D34" s="26" t="str">
        <f>IF(B34="", "", 'General Information'!$F$14)</f>
        <v/>
      </c>
      <c r="E34" s="26" t="str">
        <f t="shared" si="3"/>
        <v/>
      </c>
      <c r="F34" s="26" t="str">
        <f>IF(B34="", "", CONCATENATE('General Information'!$F$9, " - ", 'General Information'!$F$14))</f>
        <v/>
      </c>
      <c r="G34" s="26" t="str">
        <f>IF(B34="", "", 'General Information'!$F$15)</f>
        <v/>
      </c>
      <c r="H34" s="26" t="str">
        <f>IF(B34="", "", IF(VLOOKUP(B34, 'Lookup Tables'!$Y$18:$AA$34, 2, FALSE)="Traffic", VLOOKUP('Lighting Inventory'!W42, 'Lookup Tables'!#REF!, 11, FALSE), VLOOKUP(B34, 'Lookup Tables'!$Y$18:$AA$34, 2, FALSE)))</f>
        <v/>
      </c>
      <c r="I34" s="26" t="str">
        <f>IF(B34="", "", CONCATENATE(D34, 'Data Export'!A34))</f>
        <v/>
      </c>
      <c r="J34" s="26" t="str">
        <f>IF(B34="", "", 'Lookup Tables'!$B$1)</f>
        <v/>
      </c>
      <c r="K34" s="26" t="str">
        <f>IF(B34="", "", 'Lighting Inventory'!B42)</f>
        <v/>
      </c>
      <c r="L34" s="26" t="str">
        <f>IF(B34="", "", 'Lighting Inventory'!C42)</f>
        <v/>
      </c>
      <c r="M34" s="26" t="str">
        <f>IF(B34="", "",'Lighting Inventory'!D42)</f>
        <v/>
      </c>
      <c r="N34" s="26" t="str">
        <f>IF(B34="", "",'Lighting Inventory'!E42)</f>
        <v/>
      </c>
      <c r="O34" s="26" t="str">
        <f>IF(B34="", "", 'Lighting Inventory'!F42)</f>
        <v/>
      </c>
      <c r="P34" s="26" t="str">
        <f>IF(B34="", "", 'Lighting Inventory'!G42)</f>
        <v/>
      </c>
      <c r="Q34" s="26" t="str">
        <f>IF(B34="", "", 'Lighting Inventory'!H42)</f>
        <v/>
      </c>
      <c r="R34" s="26" t="str">
        <f>IF(B34="", "", 'Lighting Inventory'!I42)</f>
        <v/>
      </c>
      <c r="S34" s="26" t="str">
        <f>IF(B34="", "", 'Lighting Inventory'!J42)</f>
        <v/>
      </c>
      <c r="T34" s="26" t="str">
        <f>IFERROR(IF(B34="","",VLOOKUP(S34,'Fixture Identities'!$A$7:$G$1023,5,FALSE)), "New Construction")</f>
        <v/>
      </c>
      <c r="U34" s="26" t="str">
        <f>IFERROR(IF(B34="", "", IF(K34="New Construction", "NC", IF(VLOOKUP(S34, 'Fixture Identities'!$A$7:$I$1023,3, FALSE)="T12 Linear Fluorescent", VLOOKUP(S34, 'Fixture Identities'!$A$7:$K$1012, 11, FALSE), S34))), "")</f>
        <v/>
      </c>
      <c r="V34" s="26" t="str">
        <f>IFERROR(IF(OR(B34="", U34=0), "", VLOOKUP(U34, 'Fixture Identities'!$A$7:$G$1023, 5, FALSE)), "")</f>
        <v/>
      </c>
      <c r="W34" s="26" t="str">
        <f>IF(B34="", "",'Lighting Inventory'!K42)</f>
        <v/>
      </c>
      <c r="X34" s="65" t="str">
        <f>IF(B34="", "", 'Lighting Inventory'!L42)</f>
        <v/>
      </c>
      <c r="Y34" s="26" t="str">
        <f>IF(B34="", "", IF('Lighting Inventory'!M42="", "Light Switch",'Lighting Inventory'!M42))</f>
        <v/>
      </c>
      <c r="Z34" s="26" t="str">
        <f>IF(OR(K34="Retrofit", B34=""), "", 'Lighting Inventory'!N42)</f>
        <v/>
      </c>
      <c r="AA34" s="26" t="str">
        <f>IF(OR(Z34="",B34=""), "", 'Lighting Inventory'!O42)</f>
        <v/>
      </c>
      <c r="AB34" s="26" t="str">
        <f>IF(B34="", "", 'Lighting Inventory'!P42)</f>
        <v/>
      </c>
      <c r="AC34" s="96" t="str">
        <f>IF(B34="", "", 'Lighting Inventory'!R42)</f>
        <v/>
      </c>
      <c r="AD34" s="26" t="str">
        <f>IF(B34="", "", 'Lighting Inventory'!S42)</f>
        <v/>
      </c>
      <c r="AE34" s="26" t="str">
        <f>IF(B34="", "", 'Lighting Inventory'!V42)</f>
        <v/>
      </c>
      <c r="AF34" s="26" t="str">
        <f>IF(B34="", "", 'Lighting Inventory'!W42)</f>
        <v/>
      </c>
      <c r="AG34" s="26" t="str">
        <f>IF(OR(AF34="", B34=""), "", IF(AE34="Custom", "0", VLOOKUP(AF34, 'Lookup Tables'!$AI$6:$AP$102, 8, FALSE)))</f>
        <v/>
      </c>
      <c r="AH34" s="26" t="str">
        <f>IF(B34="", "", 'Lighting Inventory'!AD42)</f>
        <v/>
      </c>
      <c r="AI34" s="26" t="str">
        <f>IF(OR('Lighting Inventory'!AK42="", B34=""), "", 'Lighting Inventory'!AK42)</f>
        <v/>
      </c>
      <c r="AJ34" s="66" t="str">
        <f>IF(B34="", "", 'Lighting Inventory'!AL42)</f>
        <v/>
      </c>
      <c r="AK34" s="65" t="str">
        <f>IF(B34="", "", 'Lighting Inventory'!AM42)</f>
        <v/>
      </c>
      <c r="AL34" s="26" t="str">
        <f>IF(B34="", "", 'Lighting Inventory'!AN42)</f>
        <v/>
      </c>
      <c r="AM34" s="26" t="str">
        <f t="shared" si="1"/>
        <v/>
      </c>
      <c r="AN34" s="26" t="str">
        <f>IF(B34="","",IF('Lighting Inventory'!AV42="","Prescribed",'Lighting Inventory'!AV42))</f>
        <v/>
      </c>
      <c r="AO34" s="66" t="str">
        <f>IF(B34="", "", 'Lighting Inventory'!AX42)</f>
        <v/>
      </c>
      <c r="AP34" s="67" t="str">
        <f>IF(B34="", "", 'Lighting Inventory'!AZ42)</f>
        <v/>
      </c>
      <c r="AQ34" s="67" t="str">
        <f>IF(B34="", "", 'Lighting Inventory'!BA42)</f>
        <v/>
      </c>
      <c r="AR34" s="67" t="str">
        <f>IF(B34="", "", 'Lighting Inventory'!BB42)</f>
        <v/>
      </c>
      <c r="AS34" s="67" t="str">
        <f>IF(B34="", "", 'Lighting Inventory'!BC42)</f>
        <v/>
      </c>
      <c r="AT34" s="67" t="str">
        <f>IF(B34="", "", 'Lighting Inventory'!BD42)</f>
        <v/>
      </c>
      <c r="AU34" s="67" t="str">
        <f>IF(B34="", "", 'Lighting Inventory'!BE42)</f>
        <v/>
      </c>
      <c r="AV34" s="67" t="str">
        <f>IF(B34="", "", 'Lighting Inventory'!BE42)</f>
        <v/>
      </c>
      <c r="AW34" s="67" t="str">
        <f>IF(B34="", "", 'Lighting Inventory'!BF42)</f>
        <v/>
      </c>
      <c r="AX34" s="67" t="str">
        <f>IF(B34="", "", 'Lighting Inventory'!BF42)</f>
        <v/>
      </c>
      <c r="AY34" s="65" t="str">
        <f t="shared" si="4"/>
        <v/>
      </c>
      <c r="AZ34" s="65" t="str">
        <f>IF(B34="", "", 'Lighting Inventory'!BJ42)</f>
        <v/>
      </c>
      <c r="BA34" s="65" t="str">
        <f>IF(B34="", "", 'Lighting Inventory'!BM42)</f>
        <v/>
      </c>
      <c r="BB34" s="65" t="str">
        <f>IF(B34="","",SUM('Lighting Inventory'!BP42:BP42))</f>
        <v/>
      </c>
      <c r="BC34" s="67" t="str">
        <f>IF(OR(AE34="", B34=""),"", 'Lighting Inventory'!GR42)</f>
        <v/>
      </c>
      <c r="BD34" s="67" t="str">
        <f>IFERROR(IF(B34="", "", 'Lighting Inventory'!AF42)*AD34," ")</f>
        <v xml:space="preserve"> </v>
      </c>
      <c r="BE34" s="67"/>
      <c r="BF34" s="67"/>
    </row>
    <row r="35" spans="1:58" x14ac:dyDescent="0.25">
      <c r="A35" s="26" t="str">
        <f>IF(B35="", "", 'Lookup Tables'!AW36)</f>
        <v/>
      </c>
      <c r="B35" s="26" t="str">
        <f>IF(OR('Lighting Inventory'!Y43="", 'Lighting Inventory'!V43="No Change"),"", 'Lighting Inventory'!Y43)</f>
        <v/>
      </c>
      <c r="C35" s="26" t="str">
        <f>IF(B35="", "", IF('Lighting Inventory'!Y43='Lookup Tables'!$Y$32, 'Lighting Inventory'!AJ43, IF(AD35=0, R35, AD35)))</f>
        <v/>
      </c>
      <c r="D35" s="26" t="str">
        <f>IF(B35="", "", 'General Information'!$F$14)</f>
        <v/>
      </c>
      <c r="E35" s="26" t="str">
        <f t="shared" si="3"/>
        <v/>
      </c>
      <c r="F35" s="26" t="str">
        <f>IF(B35="", "", CONCATENATE('General Information'!$F$9, " - ", 'General Information'!$F$14))</f>
        <v/>
      </c>
      <c r="G35" s="26" t="str">
        <f>IF(B35="", "", 'General Information'!$F$15)</f>
        <v/>
      </c>
      <c r="H35" s="26" t="str">
        <f>IF(B35="", "", IF(VLOOKUP(B35, 'Lookup Tables'!$Y$18:$AA$34, 2, FALSE)="Traffic", VLOOKUP('Lighting Inventory'!W43, 'Lookup Tables'!#REF!, 11, FALSE), VLOOKUP(B35, 'Lookup Tables'!$Y$18:$AA$34, 2, FALSE)))</f>
        <v/>
      </c>
      <c r="I35" s="26" t="str">
        <f>IF(B35="", "", CONCATENATE(D35, 'Data Export'!A35))</f>
        <v/>
      </c>
      <c r="J35" s="26" t="str">
        <f>IF(B35="", "", 'Lookup Tables'!$B$1)</f>
        <v/>
      </c>
      <c r="K35" s="26" t="str">
        <f>IF(B35="", "", 'Lighting Inventory'!B43)</f>
        <v/>
      </c>
      <c r="L35" s="26" t="str">
        <f>IF(B35="", "", 'Lighting Inventory'!C43)</f>
        <v/>
      </c>
      <c r="M35" s="26" t="str">
        <f>IF(B35="", "",'Lighting Inventory'!D43)</f>
        <v/>
      </c>
      <c r="N35" s="26" t="str">
        <f>IF(B35="", "",'Lighting Inventory'!E43)</f>
        <v/>
      </c>
      <c r="O35" s="26" t="str">
        <f>IF(B35="", "", 'Lighting Inventory'!F43)</f>
        <v/>
      </c>
      <c r="P35" s="26" t="str">
        <f>IF(B35="", "", 'Lighting Inventory'!G43)</f>
        <v/>
      </c>
      <c r="Q35" s="26" t="str">
        <f>IF(B35="", "", 'Lighting Inventory'!H43)</f>
        <v/>
      </c>
      <c r="R35" s="26" t="str">
        <f>IF(B35="", "", 'Lighting Inventory'!I43)</f>
        <v/>
      </c>
      <c r="S35" s="26" t="str">
        <f>IF(B35="", "", 'Lighting Inventory'!J43)</f>
        <v/>
      </c>
      <c r="T35" s="26" t="str">
        <f>IFERROR(IF(B35="","",VLOOKUP(S35,'Fixture Identities'!$A$7:$G$1023,5,FALSE)), "New Construction")</f>
        <v/>
      </c>
      <c r="U35" s="26" t="str">
        <f>IFERROR(IF(B35="", "", IF(K35="New Construction", "NC", IF(VLOOKUP(S35, 'Fixture Identities'!$A$7:$I$1023,3, FALSE)="T12 Linear Fluorescent", VLOOKUP(S35, 'Fixture Identities'!$A$7:$K$1012, 11, FALSE), S35))), "")</f>
        <v/>
      </c>
      <c r="V35" s="26" t="str">
        <f>IFERROR(IF(OR(B35="", U35=0), "", VLOOKUP(U35, 'Fixture Identities'!$A$7:$G$1023, 5, FALSE)), "")</f>
        <v/>
      </c>
      <c r="W35" s="26" t="str">
        <f>IF(B35="", "",'Lighting Inventory'!K43)</f>
        <v/>
      </c>
      <c r="X35" s="65" t="str">
        <f>IF(B35="", "", 'Lighting Inventory'!L43)</f>
        <v/>
      </c>
      <c r="Y35" s="26" t="str">
        <f>IF(B35="", "", IF('Lighting Inventory'!M43="", "Light Switch",'Lighting Inventory'!M43))</f>
        <v/>
      </c>
      <c r="Z35" s="26" t="str">
        <f>IF(OR(K35="Retrofit", B35=""), "", 'Lighting Inventory'!N43)</f>
        <v/>
      </c>
      <c r="AA35" s="26" t="str">
        <f>IF(OR(Z35="",B35=""), "", 'Lighting Inventory'!O43)</f>
        <v/>
      </c>
      <c r="AB35" s="26" t="str">
        <f>IF(B35="", "", 'Lighting Inventory'!P43)</f>
        <v/>
      </c>
      <c r="AC35" s="96" t="str">
        <f>IF(B35="", "", 'Lighting Inventory'!R43)</f>
        <v/>
      </c>
      <c r="AD35" s="26" t="str">
        <f>IF(B35="", "", 'Lighting Inventory'!S43)</f>
        <v/>
      </c>
      <c r="AE35" s="26" t="str">
        <f>IF(B35="", "", 'Lighting Inventory'!V43)</f>
        <v/>
      </c>
      <c r="AF35" s="26" t="str">
        <f>IF(B35="", "", 'Lighting Inventory'!W43)</f>
        <v/>
      </c>
      <c r="AG35" s="26" t="str">
        <f>IF(OR(AF35="", B35=""), "", IF(AE35="Custom", "0", VLOOKUP(AF35, 'Lookup Tables'!$AI$6:$AP$102, 8, FALSE)))</f>
        <v/>
      </c>
      <c r="AH35" s="26" t="str">
        <f>IF(B35="", "", 'Lighting Inventory'!AD43)</f>
        <v/>
      </c>
      <c r="AI35" s="26" t="str">
        <f>IF(OR('Lighting Inventory'!AK43="", B35=""), "", 'Lighting Inventory'!AK43)</f>
        <v/>
      </c>
      <c r="AJ35" s="66" t="str">
        <f>IF(B35="", "", 'Lighting Inventory'!AL43)</f>
        <v/>
      </c>
      <c r="AK35" s="65" t="str">
        <f>IF(B35="", "", 'Lighting Inventory'!AM43)</f>
        <v/>
      </c>
      <c r="AL35" s="26" t="str">
        <f>IF(B35="", "", 'Lighting Inventory'!AN43)</f>
        <v/>
      </c>
      <c r="AM35" s="26" t="str">
        <f t="shared" si="1"/>
        <v/>
      </c>
      <c r="AN35" s="26" t="str">
        <f>IF(B35="","",IF('Lighting Inventory'!AV43="","Prescribed",'Lighting Inventory'!AV43))</f>
        <v/>
      </c>
      <c r="AO35" s="66" t="str">
        <f>IF(B35="", "", 'Lighting Inventory'!AX43)</f>
        <v/>
      </c>
      <c r="AP35" s="67" t="str">
        <f>IF(B35="", "", 'Lighting Inventory'!AZ43)</f>
        <v/>
      </c>
      <c r="AQ35" s="67" t="str">
        <f>IF(B35="", "", 'Lighting Inventory'!BA43)</f>
        <v/>
      </c>
      <c r="AR35" s="67" t="str">
        <f>IF(B35="", "", 'Lighting Inventory'!BB43)</f>
        <v/>
      </c>
      <c r="AS35" s="67" t="str">
        <f>IF(B35="", "", 'Lighting Inventory'!BC43)</f>
        <v/>
      </c>
      <c r="AT35" s="67" t="str">
        <f>IF(B35="", "", 'Lighting Inventory'!BD43)</f>
        <v/>
      </c>
      <c r="AU35" s="67" t="str">
        <f>IF(B35="", "", 'Lighting Inventory'!BE43)</f>
        <v/>
      </c>
      <c r="AV35" s="67" t="str">
        <f>IF(B35="", "", 'Lighting Inventory'!BE43)</f>
        <v/>
      </c>
      <c r="AW35" s="67" t="str">
        <f>IF(B35="", "", 'Lighting Inventory'!BF43)</f>
        <v/>
      </c>
      <c r="AX35" s="67" t="str">
        <f>IF(B35="", "", 'Lighting Inventory'!BF43)</f>
        <v/>
      </c>
      <c r="AY35" s="65" t="str">
        <f t="shared" si="4"/>
        <v/>
      </c>
      <c r="AZ35" s="65" t="str">
        <f>IF(B35="", "", 'Lighting Inventory'!BJ43)</f>
        <v/>
      </c>
      <c r="BA35" s="65" t="str">
        <f>IF(B35="", "", 'Lighting Inventory'!BM43)</f>
        <v/>
      </c>
      <c r="BB35" s="65" t="str">
        <f>IF(B35="","",SUM('Lighting Inventory'!BP43:BP43))</f>
        <v/>
      </c>
      <c r="BC35" s="67" t="str">
        <f>IF(OR(AE35="", B35=""),"", 'Lighting Inventory'!GR43)</f>
        <v/>
      </c>
      <c r="BD35" s="67" t="str">
        <f>IFERROR(IF(B35="", "", 'Lighting Inventory'!AF43)*AD35," ")</f>
        <v xml:space="preserve"> </v>
      </c>
      <c r="BE35" s="67"/>
      <c r="BF35" s="67"/>
    </row>
    <row r="36" spans="1:58" x14ac:dyDescent="0.25">
      <c r="A36" s="26" t="str">
        <f>IF(B36="", "", 'Lookup Tables'!AW37)</f>
        <v/>
      </c>
      <c r="B36" s="26" t="str">
        <f>IF(OR('Lighting Inventory'!Y44="", 'Lighting Inventory'!V44="No Change"),"", 'Lighting Inventory'!Y44)</f>
        <v/>
      </c>
      <c r="C36" s="26" t="str">
        <f>IF(B36="", "", IF('Lighting Inventory'!Y44='Lookup Tables'!$Y$32, 'Lighting Inventory'!AJ44, IF(AD36=0, R36, AD36)))</f>
        <v/>
      </c>
      <c r="D36" s="26" t="str">
        <f>IF(B36="", "", 'General Information'!$F$14)</f>
        <v/>
      </c>
      <c r="E36" s="26" t="str">
        <f t="shared" si="3"/>
        <v/>
      </c>
      <c r="F36" s="26" t="str">
        <f>IF(B36="", "", CONCATENATE('General Information'!$F$9, " - ", 'General Information'!$F$14))</f>
        <v/>
      </c>
      <c r="G36" s="26" t="str">
        <f>IF(B36="", "", 'General Information'!$F$15)</f>
        <v/>
      </c>
      <c r="H36" s="26" t="str">
        <f>IF(B36="", "", IF(VLOOKUP(B36, 'Lookup Tables'!$Y$18:$AA$34, 2, FALSE)="Traffic", VLOOKUP('Lighting Inventory'!W44, 'Lookup Tables'!#REF!, 11, FALSE), VLOOKUP(B36, 'Lookup Tables'!$Y$18:$AA$34, 2, FALSE)))</f>
        <v/>
      </c>
      <c r="I36" s="26" t="str">
        <f>IF(B36="", "", CONCATENATE(D36, 'Data Export'!A36))</f>
        <v/>
      </c>
      <c r="J36" s="26" t="str">
        <f>IF(B36="", "", 'Lookup Tables'!$B$1)</f>
        <v/>
      </c>
      <c r="K36" s="26" t="str">
        <f>IF(B36="", "", 'Lighting Inventory'!B44)</f>
        <v/>
      </c>
      <c r="L36" s="26" t="str">
        <f>IF(B36="", "", 'Lighting Inventory'!C44)</f>
        <v/>
      </c>
      <c r="M36" s="26" t="str">
        <f>IF(B36="", "",'Lighting Inventory'!D44)</f>
        <v/>
      </c>
      <c r="N36" s="26" t="str">
        <f>IF(B36="", "",'Lighting Inventory'!E44)</f>
        <v/>
      </c>
      <c r="O36" s="26" t="str">
        <f>IF(B36="", "", 'Lighting Inventory'!F44)</f>
        <v/>
      </c>
      <c r="P36" s="26" t="str">
        <f>IF(B36="", "", 'Lighting Inventory'!G44)</f>
        <v/>
      </c>
      <c r="Q36" s="26" t="str">
        <f>IF(B36="", "", 'Lighting Inventory'!H44)</f>
        <v/>
      </c>
      <c r="R36" s="26" t="str">
        <f>IF(B36="", "", 'Lighting Inventory'!I44)</f>
        <v/>
      </c>
      <c r="S36" s="26" t="str">
        <f>IF(B36="", "", 'Lighting Inventory'!J44)</f>
        <v/>
      </c>
      <c r="T36" s="26" t="str">
        <f>IFERROR(IF(B36="","",VLOOKUP(S36,'Fixture Identities'!$A$7:$G$1023,5,FALSE)), "New Construction")</f>
        <v/>
      </c>
      <c r="U36" s="26" t="str">
        <f>IFERROR(IF(B36="", "", IF(K36="New Construction", "NC", IF(VLOOKUP(S36, 'Fixture Identities'!$A$7:$I$1023,3, FALSE)="T12 Linear Fluorescent", VLOOKUP(S36, 'Fixture Identities'!$A$7:$K$1012, 11, FALSE), S36))), "")</f>
        <v/>
      </c>
      <c r="V36" s="26" t="str">
        <f>IFERROR(IF(OR(B36="", U36=0), "", VLOOKUP(U36, 'Fixture Identities'!$A$7:$G$1023, 5, FALSE)), "")</f>
        <v/>
      </c>
      <c r="W36" s="26" t="str">
        <f>IF(B36="", "",'Lighting Inventory'!K44)</f>
        <v/>
      </c>
      <c r="X36" s="65" t="str">
        <f>IF(B36="", "", 'Lighting Inventory'!L44)</f>
        <v/>
      </c>
      <c r="Y36" s="26" t="str">
        <f>IF(B36="", "", IF('Lighting Inventory'!M44="", "Light Switch",'Lighting Inventory'!M44))</f>
        <v/>
      </c>
      <c r="Z36" s="26" t="str">
        <f>IF(OR(K36="Retrofit", B36=""), "", 'Lighting Inventory'!N44)</f>
        <v/>
      </c>
      <c r="AA36" s="26" t="str">
        <f>IF(OR(Z36="",B36=""), "", 'Lighting Inventory'!O44)</f>
        <v/>
      </c>
      <c r="AB36" s="26" t="str">
        <f>IF(B36="", "", 'Lighting Inventory'!P44)</f>
        <v/>
      </c>
      <c r="AC36" s="96" t="str">
        <f>IF(B36="", "", 'Lighting Inventory'!R44)</f>
        <v/>
      </c>
      <c r="AD36" s="26" t="str">
        <f>IF(B36="", "", 'Lighting Inventory'!S44)</f>
        <v/>
      </c>
      <c r="AE36" s="26" t="str">
        <f>IF(B36="", "", 'Lighting Inventory'!V44)</f>
        <v/>
      </c>
      <c r="AF36" s="26" t="str">
        <f>IF(B36="", "", 'Lighting Inventory'!W44)</f>
        <v/>
      </c>
      <c r="AG36" s="26" t="str">
        <f>IF(OR(AF36="", B36=""), "", IF(AE36="Custom", "0", VLOOKUP(AF36, 'Lookup Tables'!$AI$6:$AP$102, 8, FALSE)))</f>
        <v/>
      </c>
      <c r="AH36" s="26" t="str">
        <f>IF(B36="", "", 'Lighting Inventory'!AD44)</f>
        <v/>
      </c>
      <c r="AI36" s="26" t="str">
        <f>IF(OR('Lighting Inventory'!AK44="", B36=""), "", 'Lighting Inventory'!AK44)</f>
        <v/>
      </c>
      <c r="AJ36" s="66" t="str">
        <f>IF(B36="", "", 'Lighting Inventory'!AL44)</f>
        <v/>
      </c>
      <c r="AK36" s="65" t="str">
        <f>IF(B36="", "", 'Lighting Inventory'!AM44)</f>
        <v/>
      </c>
      <c r="AL36" s="26" t="str">
        <f>IF(B36="", "", 'Lighting Inventory'!AN44)</f>
        <v/>
      </c>
      <c r="AM36" s="26" t="str">
        <f t="shared" si="1"/>
        <v/>
      </c>
      <c r="AN36" s="26" t="str">
        <f>IF(B36="","",IF('Lighting Inventory'!AV44="","Prescribed",'Lighting Inventory'!AV44))</f>
        <v/>
      </c>
      <c r="AO36" s="66" t="str">
        <f>IF(B36="", "", 'Lighting Inventory'!AX44)</f>
        <v/>
      </c>
      <c r="AP36" s="67" t="str">
        <f>IF(B36="", "", 'Lighting Inventory'!AZ44)</f>
        <v/>
      </c>
      <c r="AQ36" s="67" t="str">
        <f>IF(B36="", "", 'Lighting Inventory'!BA44)</f>
        <v/>
      </c>
      <c r="AR36" s="67" t="str">
        <f>IF(B36="", "", 'Lighting Inventory'!BB44)</f>
        <v/>
      </c>
      <c r="AS36" s="67" t="str">
        <f>IF(B36="", "", 'Lighting Inventory'!BC44)</f>
        <v/>
      </c>
      <c r="AT36" s="67" t="str">
        <f>IF(B36="", "", 'Lighting Inventory'!BD44)</f>
        <v/>
      </c>
      <c r="AU36" s="67" t="str">
        <f>IF(B36="", "", 'Lighting Inventory'!BE44)</f>
        <v/>
      </c>
      <c r="AV36" s="67" t="str">
        <f>IF(B36="", "", 'Lighting Inventory'!BE44)</f>
        <v/>
      </c>
      <c r="AW36" s="67" t="str">
        <f>IF(B36="", "", 'Lighting Inventory'!BF44)</f>
        <v/>
      </c>
      <c r="AX36" s="67" t="str">
        <f>IF(B36="", "", 'Lighting Inventory'!BF44)</f>
        <v/>
      </c>
      <c r="AY36" s="65" t="str">
        <f t="shared" si="4"/>
        <v/>
      </c>
      <c r="AZ36" s="65" t="str">
        <f>IF(B36="", "", 'Lighting Inventory'!BJ44)</f>
        <v/>
      </c>
      <c r="BA36" s="65" t="str">
        <f>IF(B36="", "", 'Lighting Inventory'!BM44)</f>
        <v/>
      </c>
      <c r="BB36" s="65" t="str">
        <f>IF(B36="","",SUM('Lighting Inventory'!BP44:BP44))</f>
        <v/>
      </c>
      <c r="BC36" s="67" t="str">
        <f>IF(OR(AE36="", B36=""),"", 'Lighting Inventory'!GR44)</f>
        <v/>
      </c>
      <c r="BD36" s="67" t="str">
        <f>IFERROR(IF(B36="", "", 'Lighting Inventory'!AF44)*AD36," ")</f>
        <v xml:space="preserve"> </v>
      </c>
      <c r="BE36" s="67"/>
      <c r="BF36" s="67"/>
    </row>
    <row r="37" spans="1:58" x14ac:dyDescent="0.25">
      <c r="A37" s="26" t="str">
        <f>IF(B37="", "", 'Lookup Tables'!AW38)</f>
        <v/>
      </c>
      <c r="B37" s="26" t="str">
        <f>IF(OR('Lighting Inventory'!Y45="", 'Lighting Inventory'!V45="No Change"),"", 'Lighting Inventory'!Y45)</f>
        <v/>
      </c>
      <c r="C37" s="26" t="str">
        <f>IF(B37="", "", IF('Lighting Inventory'!Y45='Lookup Tables'!$Y$32, 'Lighting Inventory'!AJ45, IF(AD37=0, R37, AD37)))</f>
        <v/>
      </c>
      <c r="D37" s="26" t="str">
        <f>IF(B37="", "", 'General Information'!$F$14)</f>
        <v/>
      </c>
      <c r="E37" s="26" t="str">
        <f t="shared" si="3"/>
        <v/>
      </c>
      <c r="F37" s="26" t="str">
        <f>IF(B37="", "", CONCATENATE('General Information'!$F$9, " - ", 'General Information'!$F$14))</f>
        <v/>
      </c>
      <c r="G37" s="26" t="str">
        <f>IF(B37="", "", 'General Information'!$F$15)</f>
        <v/>
      </c>
      <c r="H37" s="26" t="str">
        <f>IF(B37="", "", IF(VLOOKUP(B37, 'Lookup Tables'!$Y$18:$AA$34, 2, FALSE)="Traffic", VLOOKUP('Lighting Inventory'!W45, 'Lookup Tables'!#REF!, 11, FALSE), VLOOKUP(B37, 'Lookup Tables'!$Y$18:$AA$34, 2, FALSE)))</f>
        <v/>
      </c>
      <c r="I37" s="26" t="str">
        <f>IF(B37="", "", CONCATENATE(D37, 'Data Export'!A37))</f>
        <v/>
      </c>
      <c r="J37" s="26" t="str">
        <f>IF(B37="", "", 'Lookup Tables'!$B$1)</f>
        <v/>
      </c>
      <c r="K37" s="26" t="str">
        <f>IF(B37="", "", 'Lighting Inventory'!B45)</f>
        <v/>
      </c>
      <c r="L37" s="26" t="str">
        <f>IF(B37="", "", 'Lighting Inventory'!C45)</f>
        <v/>
      </c>
      <c r="M37" s="26" t="str">
        <f>IF(B37="", "",'Lighting Inventory'!D45)</f>
        <v/>
      </c>
      <c r="N37" s="26" t="str">
        <f>IF(B37="", "",'Lighting Inventory'!E45)</f>
        <v/>
      </c>
      <c r="O37" s="26" t="str">
        <f>IF(B37="", "", 'Lighting Inventory'!F45)</f>
        <v/>
      </c>
      <c r="P37" s="26" t="str">
        <f>IF(B37="", "", 'Lighting Inventory'!G45)</f>
        <v/>
      </c>
      <c r="Q37" s="26" t="str">
        <f>IF(B37="", "", 'Lighting Inventory'!H45)</f>
        <v/>
      </c>
      <c r="R37" s="26" t="str">
        <f>IF(B37="", "", 'Lighting Inventory'!I45)</f>
        <v/>
      </c>
      <c r="S37" s="26" t="str">
        <f>IF(B37="", "", 'Lighting Inventory'!J45)</f>
        <v/>
      </c>
      <c r="T37" s="26" t="str">
        <f>IFERROR(IF(B37="","",VLOOKUP(S37,'Fixture Identities'!$A$7:$G$1023,5,FALSE)), "New Construction")</f>
        <v/>
      </c>
      <c r="U37" s="26" t="str">
        <f>IFERROR(IF(B37="", "", IF(K37="New Construction", "NC", IF(VLOOKUP(S37, 'Fixture Identities'!$A$7:$I$1023,3, FALSE)="T12 Linear Fluorescent", VLOOKUP(S37, 'Fixture Identities'!$A$7:$K$1012, 11, FALSE), S37))), "")</f>
        <v/>
      </c>
      <c r="V37" s="26" t="str">
        <f>IFERROR(IF(OR(B37="", U37=0), "", VLOOKUP(U37, 'Fixture Identities'!$A$7:$G$1023, 5, FALSE)), "")</f>
        <v/>
      </c>
      <c r="W37" s="26" t="str">
        <f>IF(B37="", "",'Lighting Inventory'!K45)</f>
        <v/>
      </c>
      <c r="X37" s="65" t="str">
        <f>IF(B37="", "", 'Lighting Inventory'!L45)</f>
        <v/>
      </c>
      <c r="Y37" s="26" t="str">
        <f>IF(B37="", "", IF('Lighting Inventory'!M45="", "Light Switch",'Lighting Inventory'!M45))</f>
        <v/>
      </c>
      <c r="Z37" s="26" t="str">
        <f>IF(OR(K37="Retrofit", B37=""), "", 'Lighting Inventory'!N45)</f>
        <v/>
      </c>
      <c r="AA37" s="26" t="str">
        <f>IF(OR(Z37="",B37=""), "", 'Lighting Inventory'!O45)</f>
        <v/>
      </c>
      <c r="AB37" s="26" t="str">
        <f>IF(B37="", "", 'Lighting Inventory'!P45)</f>
        <v/>
      </c>
      <c r="AC37" s="96" t="str">
        <f>IF(B37="", "", 'Lighting Inventory'!R45)</f>
        <v/>
      </c>
      <c r="AD37" s="26" t="str">
        <f>IF(B37="", "", 'Lighting Inventory'!S45)</f>
        <v/>
      </c>
      <c r="AE37" s="26" t="str">
        <f>IF(B37="", "", 'Lighting Inventory'!V45)</f>
        <v/>
      </c>
      <c r="AF37" s="26" t="str">
        <f>IF(B37="", "", 'Lighting Inventory'!W45)</f>
        <v/>
      </c>
      <c r="AG37" s="26" t="str">
        <f>IF(OR(AF37="", B37=""), "", IF(AE37="Custom", "0", VLOOKUP(AF37, 'Lookup Tables'!$AI$6:$AP$102, 8, FALSE)))</f>
        <v/>
      </c>
      <c r="AH37" s="26" t="str">
        <f>IF(B37="", "", 'Lighting Inventory'!AD45)</f>
        <v/>
      </c>
      <c r="AI37" s="26" t="str">
        <f>IF(OR('Lighting Inventory'!AK45="", B37=""), "", 'Lighting Inventory'!AK45)</f>
        <v/>
      </c>
      <c r="AJ37" s="66" t="str">
        <f>IF(B37="", "", 'Lighting Inventory'!AL45)</f>
        <v/>
      </c>
      <c r="AK37" s="65" t="str">
        <f>IF(B37="", "", 'Lighting Inventory'!AM45)</f>
        <v/>
      </c>
      <c r="AL37" s="26" t="str">
        <f>IF(B37="", "", 'Lighting Inventory'!AN45)</f>
        <v/>
      </c>
      <c r="AM37" s="26" t="str">
        <f t="shared" si="1"/>
        <v/>
      </c>
      <c r="AN37" s="26" t="str">
        <f>IF(B37="","",IF('Lighting Inventory'!AV45="","Prescribed",'Lighting Inventory'!AV45))</f>
        <v/>
      </c>
      <c r="AO37" s="66" t="str">
        <f>IF(B37="", "", 'Lighting Inventory'!AX45)</f>
        <v/>
      </c>
      <c r="AP37" s="67" t="str">
        <f>IF(B37="", "", 'Lighting Inventory'!AZ45)</f>
        <v/>
      </c>
      <c r="AQ37" s="67" t="str">
        <f>IF(B37="", "", 'Lighting Inventory'!BA45)</f>
        <v/>
      </c>
      <c r="AR37" s="67" t="str">
        <f>IF(B37="", "", 'Lighting Inventory'!BB45)</f>
        <v/>
      </c>
      <c r="AS37" s="67" t="str">
        <f>IF(B37="", "", 'Lighting Inventory'!BC45)</f>
        <v/>
      </c>
      <c r="AT37" s="67" t="str">
        <f>IF(B37="", "", 'Lighting Inventory'!BD45)</f>
        <v/>
      </c>
      <c r="AU37" s="67" t="str">
        <f>IF(B37="", "", 'Lighting Inventory'!BE45)</f>
        <v/>
      </c>
      <c r="AV37" s="67" t="str">
        <f>IF(B37="", "", 'Lighting Inventory'!BE45)</f>
        <v/>
      </c>
      <c r="AW37" s="67" t="str">
        <f>IF(B37="", "", 'Lighting Inventory'!BF45)</f>
        <v/>
      </c>
      <c r="AX37" s="67" t="str">
        <f>IF(B37="", "", 'Lighting Inventory'!BF45)</f>
        <v/>
      </c>
      <c r="AY37" s="65" t="str">
        <f t="shared" si="4"/>
        <v/>
      </c>
      <c r="AZ37" s="65" t="str">
        <f>IF(B37="", "", 'Lighting Inventory'!BJ45)</f>
        <v/>
      </c>
      <c r="BA37" s="65" t="str">
        <f>IF(B37="", "", 'Lighting Inventory'!BM45)</f>
        <v/>
      </c>
      <c r="BB37" s="65" t="str">
        <f>IF(B37="","",SUM('Lighting Inventory'!BP45:BP45))</f>
        <v/>
      </c>
      <c r="BC37" s="67" t="str">
        <f>IF(OR(AE37="", B37=""),"", 'Lighting Inventory'!GR45)</f>
        <v/>
      </c>
      <c r="BD37" s="67" t="str">
        <f>IFERROR(IF(B37="", "", 'Lighting Inventory'!AF45)*AD37," ")</f>
        <v xml:space="preserve"> </v>
      </c>
      <c r="BE37" s="67"/>
      <c r="BF37" s="67"/>
    </row>
    <row r="38" spans="1:58" x14ac:dyDescent="0.25">
      <c r="A38" s="26" t="str">
        <f>IF(B38="", "", 'Lookup Tables'!AW39)</f>
        <v/>
      </c>
      <c r="B38" s="26" t="str">
        <f>IF(OR('Lighting Inventory'!Y46="", 'Lighting Inventory'!V46="No Change"),"", 'Lighting Inventory'!Y46)</f>
        <v/>
      </c>
      <c r="C38" s="26" t="str">
        <f>IF(B38="", "", IF('Lighting Inventory'!Y46='Lookup Tables'!$Y$32, 'Lighting Inventory'!AJ46, IF(AD38=0, R38, AD38)))</f>
        <v/>
      </c>
      <c r="D38" s="26" t="str">
        <f>IF(B38="", "", 'General Information'!$F$14)</f>
        <v/>
      </c>
      <c r="E38" s="26" t="str">
        <f t="shared" si="3"/>
        <v/>
      </c>
      <c r="F38" s="26" t="str">
        <f>IF(B38="", "", CONCATENATE('General Information'!$F$9, " - ", 'General Information'!$F$14))</f>
        <v/>
      </c>
      <c r="G38" s="26" t="str">
        <f>IF(B38="", "", 'General Information'!$F$15)</f>
        <v/>
      </c>
      <c r="H38" s="26" t="str">
        <f>IF(B38="", "", IF(VLOOKUP(B38, 'Lookup Tables'!$Y$18:$AA$34, 2, FALSE)="Traffic", VLOOKUP('Lighting Inventory'!W46, 'Lookup Tables'!#REF!, 11, FALSE), VLOOKUP(B38, 'Lookup Tables'!$Y$18:$AA$34, 2, FALSE)))</f>
        <v/>
      </c>
      <c r="I38" s="26" t="str">
        <f>IF(B38="", "", CONCATENATE(D38, 'Data Export'!A38))</f>
        <v/>
      </c>
      <c r="J38" s="26" t="str">
        <f>IF(B38="", "", 'Lookup Tables'!$B$1)</f>
        <v/>
      </c>
      <c r="K38" s="26" t="str">
        <f>IF(B38="", "", 'Lighting Inventory'!B46)</f>
        <v/>
      </c>
      <c r="L38" s="26" t="str">
        <f>IF(B38="", "", 'Lighting Inventory'!C46)</f>
        <v/>
      </c>
      <c r="M38" s="26" t="str">
        <f>IF(B38="", "",'Lighting Inventory'!D46)</f>
        <v/>
      </c>
      <c r="N38" s="26" t="str">
        <f>IF(B38="", "",'Lighting Inventory'!E46)</f>
        <v/>
      </c>
      <c r="O38" s="26" t="str">
        <f>IF(B38="", "", 'Lighting Inventory'!F46)</f>
        <v/>
      </c>
      <c r="P38" s="26" t="str">
        <f>IF(B38="", "", 'Lighting Inventory'!G46)</f>
        <v/>
      </c>
      <c r="Q38" s="26" t="str">
        <f>IF(B38="", "", 'Lighting Inventory'!H46)</f>
        <v/>
      </c>
      <c r="R38" s="26" t="str">
        <f>IF(B38="", "", 'Lighting Inventory'!I46)</f>
        <v/>
      </c>
      <c r="S38" s="26" t="str">
        <f>IF(B38="", "", 'Lighting Inventory'!J46)</f>
        <v/>
      </c>
      <c r="T38" s="26" t="str">
        <f>IFERROR(IF(B38="","",VLOOKUP(S38,'Fixture Identities'!$A$7:$G$1023,5,FALSE)), "New Construction")</f>
        <v/>
      </c>
      <c r="U38" s="26" t="str">
        <f>IFERROR(IF(B38="", "", IF(K38="New Construction", "NC", IF(VLOOKUP(S38, 'Fixture Identities'!$A$7:$I$1023,3, FALSE)="T12 Linear Fluorescent", VLOOKUP(S38, 'Fixture Identities'!$A$7:$K$1012, 11, FALSE), S38))), "")</f>
        <v/>
      </c>
      <c r="V38" s="26" t="str">
        <f>IFERROR(IF(OR(B38="", U38=0), "", VLOOKUP(U38, 'Fixture Identities'!$A$7:$G$1023, 5, FALSE)), "")</f>
        <v/>
      </c>
      <c r="W38" s="26" t="str">
        <f>IF(B38="", "",'Lighting Inventory'!K46)</f>
        <v/>
      </c>
      <c r="X38" s="65" t="str">
        <f>IF(B38="", "", 'Lighting Inventory'!L46)</f>
        <v/>
      </c>
      <c r="Y38" s="26" t="str">
        <f>IF(B38="", "", IF('Lighting Inventory'!M46="", "Light Switch",'Lighting Inventory'!M46))</f>
        <v/>
      </c>
      <c r="Z38" s="26" t="str">
        <f>IF(OR(K38="Retrofit", B38=""), "", 'Lighting Inventory'!N46)</f>
        <v/>
      </c>
      <c r="AA38" s="26" t="str">
        <f>IF(OR(Z38="",B38=""), "", 'Lighting Inventory'!O46)</f>
        <v/>
      </c>
      <c r="AB38" s="26" t="str">
        <f>IF(B38="", "", 'Lighting Inventory'!P46)</f>
        <v/>
      </c>
      <c r="AC38" s="96" t="str">
        <f>IF(B38="", "", 'Lighting Inventory'!R46)</f>
        <v/>
      </c>
      <c r="AD38" s="26" t="str">
        <f>IF(B38="", "", 'Lighting Inventory'!S46)</f>
        <v/>
      </c>
      <c r="AE38" s="26" t="str">
        <f>IF(B38="", "", 'Lighting Inventory'!V46)</f>
        <v/>
      </c>
      <c r="AF38" s="26" t="str">
        <f>IF(B38="", "", 'Lighting Inventory'!W46)</f>
        <v/>
      </c>
      <c r="AG38" s="26" t="str">
        <f>IF(OR(AF38="", B38=""), "", IF(AE38="Custom", "0", VLOOKUP(AF38, 'Lookup Tables'!$AI$6:$AP$102, 8, FALSE)))</f>
        <v/>
      </c>
      <c r="AH38" s="26" t="str">
        <f>IF(B38="", "", 'Lighting Inventory'!AD46)</f>
        <v/>
      </c>
      <c r="AI38" s="26" t="str">
        <f>IF(OR('Lighting Inventory'!AK46="", B38=""), "", 'Lighting Inventory'!AK46)</f>
        <v/>
      </c>
      <c r="AJ38" s="66" t="str">
        <f>IF(B38="", "", 'Lighting Inventory'!AL46)</f>
        <v/>
      </c>
      <c r="AK38" s="65" t="str">
        <f>IF(B38="", "", 'Lighting Inventory'!AM46)</f>
        <v/>
      </c>
      <c r="AL38" s="26" t="str">
        <f>IF(B38="", "", 'Lighting Inventory'!AN46)</f>
        <v/>
      </c>
      <c r="AM38" s="26" t="str">
        <f t="shared" si="1"/>
        <v/>
      </c>
      <c r="AN38" s="26" t="str">
        <f>IF(B38="","",IF('Lighting Inventory'!AV46="","Prescribed",'Lighting Inventory'!AV46))</f>
        <v/>
      </c>
      <c r="AO38" s="66" t="str">
        <f>IF(B38="", "", 'Lighting Inventory'!AX46)</f>
        <v/>
      </c>
      <c r="AP38" s="67" t="str">
        <f>IF(B38="", "", 'Lighting Inventory'!AZ46)</f>
        <v/>
      </c>
      <c r="AQ38" s="67" t="str">
        <f>IF(B38="", "", 'Lighting Inventory'!BA46)</f>
        <v/>
      </c>
      <c r="AR38" s="67" t="str">
        <f>IF(B38="", "", 'Lighting Inventory'!BB46)</f>
        <v/>
      </c>
      <c r="AS38" s="67" t="str">
        <f>IF(B38="", "", 'Lighting Inventory'!BC46)</f>
        <v/>
      </c>
      <c r="AT38" s="67" t="str">
        <f>IF(B38="", "", 'Lighting Inventory'!BD46)</f>
        <v/>
      </c>
      <c r="AU38" s="67" t="str">
        <f>IF(B38="", "", 'Lighting Inventory'!BE46)</f>
        <v/>
      </c>
      <c r="AV38" s="67" t="str">
        <f>IF(B38="", "", 'Lighting Inventory'!BE46)</f>
        <v/>
      </c>
      <c r="AW38" s="67" t="str">
        <f>IF(B38="", "", 'Lighting Inventory'!BF46)</f>
        <v/>
      </c>
      <c r="AX38" s="67" t="str">
        <f>IF(B38="", "", 'Lighting Inventory'!BF46)</f>
        <v/>
      </c>
      <c r="AY38" s="65" t="str">
        <f t="shared" si="4"/>
        <v/>
      </c>
      <c r="AZ38" s="65" t="str">
        <f>IF(B38="", "", 'Lighting Inventory'!BJ46)</f>
        <v/>
      </c>
      <c r="BA38" s="65" t="str">
        <f>IF(B38="", "", 'Lighting Inventory'!BM46)</f>
        <v/>
      </c>
      <c r="BB38" s="65" t="str">
        <f>IF(B38="","",SUM('Lighting Inventory'!BP46:BP46))</f>
        <v/>
      </c>
      <c r="BC38" s="67" t="str">
        <f>IF(OR(AE38="", B38=""),"", 'Lighting Inventory'!GR46)</f>
        <v/>
      </c>
      <c r="BD38" s="67" t="str">
        <f>IFERROR(IF(B38="", "", 'Lighting Inventory'!AF46)*AD38," ")</f>
        <v xml:space="preserve"> </v>
      </c>
      <c r="BE38" s="67"/>
      <c r="BF38" s="67"/>
    </row>
    <row r="39" spans="1:58" x14ac:dyDescent="0.25">
      <c r="A39" s="26" t="str">
        <f>IF(B39="", "", 'Lookup Tables'!AW40)</f>
        <v/>
      </c>
      <c r="B39" s="26" t="str">
        <f>IF(OR('Lighting Inventory'!Y47="", 'Lighting Inventory'!V47="No Change"),"", 'Lighting Inventory'!Y47)</f>
        <v/>
      </c>
      <c r="C39" s="26" t="str">
        <f>IF(B39="", "", IF('Lighting Inventory'!Y47='Lookup Tables'!$Y$32, 'Lighting Inventory'!AJ47, IF(AD39=0, R39, AD39)))</f>
        <v/>
      </c>
      <c r="D39" s="26" t="str">
        <f>IF(B39="", "", 'General Information'!$F$14)</f>
        <v/>
      </c>
      <c r="E39" s="26" t="str">
        <f t="shared" si="3"/>
        <v/>
      </c>
      <c r="F39" s="26" t="str">
        <f>IF(B39="", "", CONCATENATE('General Information'!$F$9, " - ", 'General Information'!$F$14))</f>
        <v/>
      </c>
      <c r="G39" s="26" t="str">
        <f>IF(B39="", "", 'General Information'!$F$15)</f>
        <v/>
      </c>
      <c r="H39" s="26" t="str">
        <f>IF(B39="", "", IF(VLOOKUP(B39, 'Lookup Tables'!$Y$18:$AA$34, 2, FALSE)="Traffic", VLOOKUP('Lighting Inventory'!W47, 'Lookup Tables'!#REF!, 11, FALSE), VLOOKUP(B39, 'Lookup Tables'!$Y$18:$AA$34, 2, FALSE)))</f>
        <v/>
      </c>
      <c r="I39" s="26" t="str">
        <f>IF(B39="", "", CONCATENATE(D39, 'Data Export'!A39))</f>
        <v/>
      </c>
      <c r="J39" s="26" t="str">
        <f>IF(B39="", "", 'Lookup Tables'!$B$1)</f>
        <v/>
      </c>
      <c r="K39" s="26" t="str">
        <f>IF(B39="", "", 'Lighting Inventory'!B47)</f>
        <v/>
      </c>
      <c r="L39" s="26" t="str">
        <f>IF(B39="", "", 'Lighting Inventory'!C47)</f>
        <v/>
      </c>
      <c r="M39" s="26" t="str">
        <f>IF(B39="", "",'Lighting Inventory'!D47)</f>
        <v/>
      </c>
      <c r="N39" s="26" t="str">
        <f>IF(B39="", "",'Lighting Inventory'!E47)</f>
        <v/>
      </c>
      <c r="O39" s="26" t="str">
        <f>IF(B39="", "", 'Lighting Inventory'!F47)</f>
        <v/>
      </c>
      <c r="P39" s="26" t="str">
        <f>IF(B39="", "", 'Lighting Inventory'!G47)</f>
        <v/>
      </c>
      <c r="Q39" s="26" t="str">
        <f>IF(B39="", "", 'Lighting Inventory'!H47)</f>
        <v/>
      </c>
      <c r="R39" s="26" t="str">
        <f>IF(B39="", "", 'Lighting Inventory'!I47)</f>
        <v/>
      </c>
      <c r="S39" s="26" t="str">
        <f>IF(B39="", "", 'Lighting Inventory'!J47)</f>
        <v/>
      </c>
      <c r="T39" s="26" t="str">
        <f>IFERROR(IF(B39="","",VLOOKUP(S39,'Fixture Identities'!$A$7:$G$1023,5,FALSE)), "New Construction")</f>
        <v/>
      </c>
      <c r="U39" s="26" t="str">
        <f>IFERROR(IF(B39="", "", IF(K39="New Construction", "NC", IF(VLOOKUP(S39, 'Fixture Identities'!$A$7:$I$1023,3, FALSE)="T12 Linear Fluorescent", VLOOKUP(S39, 'Fixture Identities'!$A$7:$K$1012, 11, FALSE), S39))), "")</f>
        <v/>
      </c>
      <c r="V39" s="26" t="str">
        <f>IFERROR(IF(OR(B39="", U39=0), "", VLOOKUP(U39, 'Fixture Identities'!$A$7:$G$1023, 5, FALSE)), "")</f>
        <v/>
      </c>
      <c r="W39" s="26" t="str">
        <f>IF(B39="", "",'Lighting Inventory'!K47)</f>
        <v/>
      </c>
      <c r="X39" s="65" t="str">
        <f>IF(B39="", "", 'Lighting Inventory'!L47)</f>
        <v/>
      </c>
      <c r="Y39" s="26" t="str">
        <f>IF(B39="", "", IF('Lighting Inventory'!M47="", "Light Switch",'Lighting Inventory'!M47))</f>
        <v/>
      </c>
      <c r="Z39" s="26" t="str">
        <f>IF(OR(K39="Retrofit", B39=""), "", 'Lighting Inventory'!N47)</f>
        <v/>
      </c>
      <c r="AA39" s="26" t="str">
        <f>IF(OR(Z39="",B39=""), "", 'Lighting Inventory'!O47)</f>
        <v/>
      </c>
      <c r="AB39" s="26" t="str">
        <f>IF(B39="", "", 'Lighting Inventory'!P47)</f>
        <v/>
      </c>
      <c r="AC39" s="96" t="str">
        <f>IF(B39="", "", 'Lighting Inventory'!R47)</f>
        <v/>
      </c>
      <c r="AD39" s="26" t="str">
        <f>IF(B39="", "", 'Lighting Inventory'!S47)</f>
        <v/>
      </c>
      <c r="AE39" s="26" t="str">
        <f>IF(B39="", "", 'Lighting Inventory'!V47)</f>
        <v/>
      </c>
      <c r="AF39" s="26" t="str">
        <f>IF(B39="", "", 'Lighting Inventory'!W47)</f>
        <v/>
      </c>
      <c r="AG39" s="26" t="str">
        <f>IF(OR(AF39="", B39=""), "", IF(AE39="Custom", "0", VLOOKUP(AF39, 'Lookup Tables'!$AI$6:$AP$102, 8, FALSE)))</f>
        <v/>
      </c>
      <c r="AH39" s="26" t="str">
        <f>IF(B39="", "", 'Lighting Inventory'!AD47)</f>
        <v/>
      </c>
      <c r="AI39" s="26" t="str">
        <f>IF(OR('Lighting Inventory'!AK47="", B39=""), "", 'Lighting Inventory'!AK47)</f>
        <v/>
      </c>
      <c r="AJ39" s="66" t="str">
        <f>IF(B39="", "", 'Lighting Inventory'!AL47)</f>
        <v/>
      </c>
      <c r="AK39" s="65" t="str">
        <f>IF(B39="", "", 'Lighting Inventory'!AM47)</f>
        <v/>
      </c>
      <c r="AL39" s="26" t="str">
        <f>IF(B39="", "", 'Lighting Inventory'!AN47)</f>
        <v/>
      </c>
      <c r="AM39" s="26" t="str">
        <f t="shared" si="1"/>
        <v/>
      </c>
      <c r="AN39" s="26" t="str">
        <f>IF(B39="","",IF('Lighting Inventory'!AV47="","Prescribed",'Lighting Inventory'!AV47))</f>
        <v/>
      </c>
      <c r="AO39" s="66" t="str">
        <f>IF(B39="", "", 'Lighting Inventory'!AX47)</f>
        <v/>
      </c>
      <c r="AP39" s="67" t="str">
        <f>IF(B39="", "", 'Lighting Inventory'!AZ47)</f>
        <v/>
      </c>
      <c r="AQ39" s="67" t="str">
        <f>IF(B39="", "", 'Lighting Inventory'!BA47)</f>
        <v/>
      </c>
      <c r="AR39" s="67" t="str">
        <f>IF(B39="", "", 'Lighting Inventory'!BB47)</f>
        <v/>
      </c>
      <c r="AS39" s="67" t="str">
        <f>IF(B39="", "", 'Lighting Inventory'!BC47)</f>
        <v/>
      </c>
      <c r="AT39" s="67" t="str">
        <f>IF(B39="", "", 'Lighting Inventory'!BD47)</f>
        <v/>
      </c>
      <c r="AU39" s="67" t="str">
        <f>IF(B39="", "", 'Lighting Inventory'!BE47)</f>
        <v/>
      </c>
      <c r="AV39" s="67" t="str">
        <f>IF(B39="", "", 'Lighting Inventory'!BE47)</f>
        <v/>
      </c>
      <c r="AW39" s="67" t="str">
        <f>IF(B39="", "", 'Lighting Inventory'!BF47)</f>
        <v/>
      </c>
      <c r="AX39" s="67" t="str">
        <f>IF(B39="", "", 'Lighting Inventory'!BF47)</f>
        <v/>
      </c>
      <c r="AY39" s="65" t="str">
        <f t="shared" si="4"/>
        <v/>
      </c>
      <c r="AZ39" s="65" t="str">
        <f>IF(B39="", "", 'Lighting Inventory'!BJ47)</f>
        <v/>
      </c>
      <c r="BA39" s="65" t="str">
        <f>IF(B39="", "", 'Lighting Inventory'!BM47)</f>
        <v/>
      </c>
      <c r="BB39" s="65" t="str">
        <f>IF(B39="","",SUM('Lighting Inventory'!BP47:BP47))</f>
        <v/>
      </c>
      <c r="BC39" s="67" t="str">
        <f>IF(OR(AE39="", B39=""),"", 'Lighting Inventory'!GR47)</f>
        <v/>
      </c>
      <c r="BD39" s="67" t="str">
        <f>IFERROR(IF(B39="", "", 'Lighting Inventory'!AF47)*AD39," ")</f>
        <v xml:space="preserve"> </v>
      </c>
      <c r="BE39" s="67"/>
      <c r="BF39" s="67"/>
    </row>
    <row r="40" spans="1:58" x14ac:dyDescent="0.25">
      <c r="A40" s="26" t="str">
        <f>IF(B40="", "", 'Lookup Tables'!AW41)</f>
        <v/>
      </c>
      <c r="B40" s="26" t="str">
        <f>IF(OR('Lighting Inventory'!Y48="", 'Lighting Inventory'!V48="No Change"),"", 'Lighting Inventory'!Y48)</f>
        <v/>
      </c>
      <c r="C40" s="26" t="str">
        <f>IF(B40="", "", IF('Lighting Inventory'!Y48='Lookup Tables'!$Y$32, 'Lighting Inventory'!AJ48, IF(AD40=0, R40, AD40)))</f>
        <v/>
      </c>
      <c r="D40" s="26" t="str">
        <f>IF(B40="", "", 'General Information'!$F$14)</f>
        <v/>
      </c>
      <c r="E40" s="26" t="str">
        <f t="shared" si="3"/>
        <v/>
      </c>
      <c r="F40" s="26" t="str">
        <f>IF(B40="", "", CONCATENATE('General Information'!$F$9, " - ", 'General Information'!$F$14))</f>
        <v/>
      </c>
      <c r="G40" s="26" t="str">
        <f>IF(B40="", "", 'General Information'!$F$15)</f>
        <v/>
      </c>
      <c r="H40" s="26" t="str">
        <f>IF(B40="", "", IF(VLOOKUP(B40, 'Lookup Tables'!$Y$18:$AA$34, 2, FALSE)="Traffic", VLOOKUP('Lighting Inventory'!W48, 'Lookup Tables'!#REF!, 11, FALSE), VLOOKUP(B40, 'Lookup Tables'!$Y$18:$AA$34, 2, FALSE)))</f>
        <v/>
      </c>
      <c r="I40" s="26" t="str">
        <f>IF(B40="", "", CONCATENATE(D40, 'Data Export'!A40))</f>
        <v/>
      </c>
      <c r="J40" s="26" t="str">
        <f>IF(B40="", "", 'Lookup Tables'!$B$1)</f>
        <v/>
      </c>
      <c r="K40" s="26" t="str">
        <f>IF(B40="", "", 'Lighting Inventory'!B48)</f>
        <v/>
      </c>
      <c r="L40" s="26" t="str">
        <f>IF(B40="", "", 'Lighting Inventory'!C48)</f>
        <v/>
      </c>
      <c r="M40" s="26" t="str">
        <f>IF(B40="", "",'Lighting Inventory'!D48)</f>
        <v/>
      </c>
      <c r="N40" s="26" t="str">
        <f>IF(B40="", "",'Lighting Inventory'!E48)</f>
        <v/>
      </c>
      <c r="O40" s="26" t="str">
        <f>IF(B40="", "", 'Lighting Inventory'!F48)</f>
        <v/>
      </c>
      <c r="P40" s="26" t="str">
        <f>IF(B40="", "", 'Lighting Inventory'!G48)</f>
        <v/>
      </c>
      <c r="Q40" s="26" t="str">
        <f>IF(B40="", "", 'Lighting Inventory'!H48)</f>
        <v/>
      </c>
      <c r="R40" s="26" t="str">
        <f>IF(B40="", "", 'Lighting Inventory'!I48)</f>
        <v/>
      </c>
      <c r="S40" s="26" t="str">
        <f>IF(B40="", "", 'Lighting Inventory'!J48)</f>
        <v/>
      </c>
      <c r="T40" s="26" t="str">
        <f>IFERROR(IF(B40="","",VLOOKUP(S40,'Fixture Identities'!$A$7:$G$1023,5,FALSE)), "New Construction")</f>
        <v/>
      </c>
      <c r="U40" s="26" t="str">
        <f>IFERROR(IF(B40="", "", IF(K40="New Construction", "NC", IF(VLOOKUP(S40, 'Fixture Identities'!$A$7:$I$1023,3, FALSE)="T12 Linear Fluorescent", VLOOKUP(S40, 'Fixture Identities'!$A$7:$K$1012, 11, FALSE), S40))), "")</f>
        <v/>
      </c>
      <c r="V40" s="26" t="str">
        <f>IFERROR(IF(OR(B40="", U40=0), "", VLOOKUP(U40, 'Fixture Identities'!$A$7:$G$1023, 5, FALSE)), "")</f>
        <v/>
      </c>
      <c r="W40" s="26" t="str">
        <f>IF(B40="", "",'Lighting Inventory'!K48)</f>
        <v/>
      </c>
      <c r="X40" s="65" t="str">
        <f>IF(B40="", "", 'Lighting Inventory'!L48)</f>
        <v/>
      </c>
      <c r="Y40" s="26" t="str">
        <f>IF(B40="", "", IF('Lighting Inventory'!M48="", "Light Switch",'Lighting Inventory'!M48))</f>
        <v/>
      </c>
      <c r="Z40" s="26" t="str">
        <f>IF(OR(K40="Retrofit", B40=""), "", 'Lighting Inventory'!N48)</f>
        <v/>
      </c>
      <c r="AA40" s="26" t="str">
        <f>IF(OR(Z40="",B40=""), "", 'Lighting Inventory'!O48)</f>
        <v/>
      </c>
      <c r="AB40" s="26" t="str">
        <f>IF(B40="", "", 'Lighting Inventory'!P48)</f>
        <v/>
      </c>
      <c r="AC40" s="96" t="str">
        <f>IF(B40="", "", 'Lighting Inventory'!R48)</f>
        <v/>
      </c>
      <c r="AD40" s="26" t="str">
        <f>IF(B40="", "", 'Lighting Inventory'!S48)</f>
        <v/>
      </c>
      <c r="AE40" s="26" t="str">
        <f>IF(B40="", "", 'Lighting Inventory'!V48)</f>
        <v/>
      </c>
      <c r="AF40" s="26" t="str">
        <f>IF(B40="", "", 'Lighting Inventory'!W48)</f>
        <v/>
      </c>
      <c r="AG40" s="26" t="str">
        <f>IF(OR(AF40="", B40=""), "", IF(AE40="Custom", "0", VLOOKUP(AF40, 'Lookup Tables'!$AI$6:$AP$102, 8, FALSE)))</f>
        <v/>
      </c>
      <c r="AH40" s="26" t="str">
        <f>IF(B40="", "", 'Lighting Inventory'!AD48)</f>
        <v/>
      </c>
      <c r="AI40" s="26" t="str">
        <f>IF(OR('Lighting Inventory'!AK48="", B40=""), "", 'Lighting Inventory'!AK48)</f>
        <v/>
      </c>
      <c r="AJ40" s="66" t="str">
        <f>IF(B40="", "", 'Lighting Inventory'!AL48)</f>
        <v/>
      </c>
      <c r="AK40" s="65" t="str">
        <f>IF(B40="", "", 'Lighting Inventory'!AM48)</f>
        <v/>
      </c>
      <c r="AL40" s="26" t="str">
        <f>IF(B40="", "", 'Lighting Inventory'!AN48)</f>
        <v/>
      </c>
      <c r="AM40" s="26" t="str">
        <f t="shared" si="1"/>
        <v/>
      </c>
      <c r="AN40" s="26" t="str">
        <f>IF(B40="","",IF('Lighting Inventory'!AV48="","Prescribed",'Lighting Inventory'!AV48))</f>
        <v/>
      </c>
      <c r="AO40" s="66" t="str">
        <f>IF(B40="", "", 'Lighting Inventory'!AX48)</f>
        <v/>
      </c>
      <c r="AP40" s="67" t="str">
        <f>IF(B40="", "", 'Lighting Inventory'!AZ48)</f>
        <v/>
      </c>
      <c r="AQ40" s="67" t="str">
        <f>IF(B40="", "", 'Lighting Inventory'!BA48)</f>
        <v/>
      </c>
      <c r="AR40" s="67" t="str">
        <f>IF(B40="", "", 'Lighting Inventory'!BB48)</f>
        <v/>
      </c>
      <c r="AS40" s="67" t="str">
        <f>IF(B40="", "", 'Lighting Inventory'!BC48)</f>
        <v/>
      </c>
      <c r="AT40" s="67" t="str">
        <f>IF(B40="", "", 'Lighting Inventory'!BD48)</f>
        <v/>
      </c>
      <c r="AU40" s="67" t="str">
        <f>IF(B40="", "", 'Lighting Inventory'!BE48)</f>
        <v/>
      </c>
      <c r="AV40" s="67" t="str">
        <f>IF(B40="", "", 'Lighting Inventory'!BE48)</f>
        <v/>
      </c>
      <c r="AW40" s="67" t="str">
        <f>IF(B40="", "", 'Lighting Inventory'!BF48)</f>
        <v/>
      </c>
      <c r="AX40" s="67" t="str">
        <f>IF(B40="", "", 'Lighting Inventory'!BF48)</f>
        <v/>
      </c>
      <c r="AY40" s="65" t="str">
        <f t="shared" si="4"/>
        <v/>
      </c>
      <c r="AZ40" s="65" t="str">
        <f>IF(B40="", "", 'Lighting Inventory'!BJ48)</f>
        <v/>
      </c>
      <c r="BA40" s="65" t="str">
        <f>IF(B40="", "", 'Lighting Inventory'!BM48)</f>
        <v/>
      </c>
      <c r="BB40" s="65" t="str">
        <f>IF(B40="","",SUM('Lighting Inventory'!BP48:BP48))</f>
        <v/>
      </c>
      <c r="BC40" s="67" t="str">
        <f>IF(OR(AE40="", B40=""),"", 'Lighting Inventory'!GR48)</f>
        <v/>
      </c>
      <c r="BD40" s="67" t="str">
        <f>IFERROR(IF(B40="", "", 'Lighting Inventory'!AF48)*AD40," ")</f>
        <v xml:space="preserve"> </v>
      </c>
      <c r="BE40" s="67"/>
      <c r="BF40" s="67"/>
    </row>
    <row r="41" spans="1:58" x14ac:dyDescent="0.25">
      <c r="A41" s="26" t="str">
        <f>IF(B41="", "", 'Lookup Tables'!AW42)</f>
        <v/>
      </c>
      <c r="B41" s="26" t="str">
        <f>IF(OR('Lighting Inventory'!Y49="", 'Lighting Inventory'!V49="No Change"),"", 'Lighting Inventory'!Y49)</f>
        <v/>
      </c>
      <c r="C41" s="26" t="str">
        <f>IF(B41="", "", IF('Lighting Inventory'!Y49='Lookup Tables'!$Y$32, 'Lighting Inventory'!AJ49, IF(AD41=0, R41, AD41)))</f>
        <v/>
      </c>
      <c r="D41" s="26" t="str">
        <f>IF(B41="", "", 'General Information'!$F$14)</f>
        <v/>
      </c>
      <c r="E41" s="26" t="str">
        <f t="shared" si="3"/>
        <v/>
      </c>
      <c r="F41" s="26" t="str">
        <f>IF(B41="", "", CONCATENATE('General Information'!$F$9, " - ", 'General Information'!$F$14))</f>
        <v/>
      </c>
      <c r="G41" s="26" t="str">
        <f>IF(B41="", "", 'General Information'!$F$15)</f>
        <v/>
      </c>
      <c r="H41" s="26" t="str">
        <f>IF(B41="", "", IF(VLOOKUP(B41, 'Lookup Tables'!$Y$18:$AA$34, 2, FALSE)="Traffic", VLOOKUP('Lighting Inventory'!W49, 'Lookup Tables'!#REF!, 11, FALSE), VLOOKUP(B41, 'Lookup Tables'!$Y$18:$AA$34, 2, FALSE)))</f>
        <v/>
      </c>
      <c r="I41" s="26" t="str">
        <f>IF(B41="", "", CONCATENATE(D41, 'Data Export'!A41))</f>
        <v/>
      </c>
      <c r="J41" s="26" t="str">
        <f>IF(B41="", "", 'Lookup Tables'!$B$1)</f>
        <v/>
      </c>
      <c r="K41" s="26" t="str">
        <f>IF(B41="", "", 'Lighting Inventory'!B49)</f>
        <v/>
      </c>
      <c r="L41" s="26" t="str">
        <f>IF(B41="", "", 'Lighting Inventory'!C49)</f>
        <v/>
      </c>
      <c r="M41" s="26" t="str">
        <f>IF(B41="", "",'Lighting Inventory'!D49)</f>
        <v/>
      </c>
      <c r="N41" s="26" t="str">
        <f>IF(B41="", "",'Lighting Inventory'!E49)</f>
        <v/>
      </c>
      <c r="O41" s="26" t="str">
        <f>IF(B41="", "", 'Lighting Inventory'!F49)</f>
        <v/>
      </c>
      <c r="P41" s="26" t="str">
        <f>IF(B41="", "", 'Lighting Inventory'!G49)</f>
        <v/>
      </c>
      <c r="Q41" s="26" t="str">
        <f>IF(B41="", "", 'Lighting Inventory'!H49)</f>
        <v/>
      </c>
      <c r="R41" s="26" t="str">
        <f>IF(B41="", "", 'Lighting Inventory'!I49)</f>
        <v/>
      </c>
      <c r="S41" s="26" t="str">
        <f>IF(B41="", "", 'Lighting Inventory'!J49)</f>
        <v/>
      </c>
      <c r="T41" s="26" t="str">
        <f>IFERROR(IF(B41="","",VLOOKUP(S41,'Fixture Identities'!$A$7:$G$1023,5,FALSE)), "New Construction")</f>
        <v/>
      </c>
      <c r="U41" s="26" t="str">
        <f>IFERROR(IF(B41="", "", IF(K41="New Construction", "NC", IF(VLOOKUP(S41, 'Fixture Identities'!$A$7:$I$1023,3, FALSE)="T12 Linear Fluorescent", VLOOKUP(S41, 'Fixture Identities'!$A$7:$K$1012, 11, FALSE), S41))), "")</f>
        <v/>
      </c>
      <c r="V41" s="26" t="str">
        <f>IFERROR(IF(OR(B41="", U41=0), "", VLOOKUP(U41, 'Fixture Identities'!$A$7:$G$1023, 5, FALSE)), "")</f>
        <v/>
      </c>
      <c r="W41" s="26" t="str">
        <f>IF(B41="", "",'Lighting Inventory'!K49)</f>
        <v/>
      </c>
      <c r="X41" s="65" t="str">
        <f>IF(B41="", "", 'Lighting Inventory'!L49)</f>
        <v/>
      </c>
      <c r="Y41" s="26" t="str">
        <f>IF(B41="", "", IF('Lighting Inventory'!M49="", "Light Switch",'Lighting Inventory'!M49))</f>
        <v/>
      </c>
      <c r="Z41" s="26" t="str">
        <f>IF(OR(K41="Retrofit", B41=""), "", 'Lighting Inventory'!N49)</f>
        <v/>
      </c>
      <c r="AA41" s="26" t="str">
        <f>IF(OR(Z41="",B41=""), "", 'Lighting Inventory'!O49)</f>
        <v/>
      </c>
      <c r="AB41" s="26" t="str">
        <f>IF(B41="", "", 'Lighting Inventory'!P49)</f>
        <v/>
      </c>
      <c r="AC41" s="96" t="str">
        <f>IF(B41="", "", 'Lighting Inventory'!R49)</f>
        <v/>
      </c>
      <c r="AD41" s="26" t="str">
        <f>IF(B41="", "", 'Lighting Inventory'!S49)</f>
        <v/>
      </c>
      <c r="AE41" s="26" t="str">
        <f>IF(B41="", "", 'Lighting Inventory'!V49)</f>
        <v/>
      </c>
      <c r="AF41" s="26" t="str">
        <f>IF(B41="", "", 'Lighting Inventory'!W49)</f>
        <v/>
      </c>
      <c r="AG41" s="26" t="str">
        <f>IF(OR(AF41="", B41=""), "", IF(AE41="Custom", "0", VLOOKUP(AF41, 'Lookup Tables'!$AI$6:$AP$102, 8, FALSE)))</f>
        <v/>
      </c>
      <c r="AH41" s="26" t="str">
        <f>IF(B41="", "", 'Lighting Inventory'!AD49)</f>
        <v/>
      </c>
      <c r="AI41" s="26" t="str">
        <f>IF(OR('Lighting Inventory'!AK49="", B41=""), "", 'Lighting Inventory'!AK49)</f>
        <v/>
      </c>
      <c r="AJ41" s="66" t="str">
        <f>IF(B41="", "", 'Lighting Inventory'!AL49)</f>
        <v/>
      </c>
      <c r="AK41" s="65" t="str">
        <f>IF(B41="", "", 'Lighting Inventory'!AM49)</f>
        <v/>
      </c>
      <c r="AL41" s="26" t="str">
        <f>IF(B41="", "", 'Lighting Inventory'!AN49)</f>
        <v/>
      </c>
      <c r="AM41" s="26" t="str">
        <f t="shared" si="1"/>
        <v/>
      </c>
      <c r="AN41" s="26" t="str">
        <f>IF(B41="","",IF('Lighting Inventory'!AV49="","Prescribed",'Lighting Inventory'!AV49))</f>
        <v/>
      </c>
      <c r="AO41" s="66" t="str">
        <f>IF(B41="", "", 'Lighting Inventory'!AX49)</f>
        <v/>
      </c>
      <c r="AP41" s="67" t="str">
        <f>IF(B41="", "", 'Lighting Inventory'!AZ49)</f>
        <v/>
      </c>
      <c r="AQ41" s="67" t="str">
        <f>IF(B41="", "", 'Lighting Inventory'!BA49)</f>
        <v/>
      </c>
      <c r="AR41" s="67" t="str">
        <f>IF(B41="", "", 'Lighting Inventory'!BB49)</f>
        <v/>
      </c>
      <c r="AS41" s="67" t="str">
        <f>IF(B41="", "", 'Lighting Inventory'!BC49)</f>
        <v/>
      </c>
      <c r="AT41" s="67" t="str">
        <f>IF(B41="", "", 'Lighting Inventory'!BD49)</f>
        <v/>
      </c>
      <c r="AU41" s="67" t="str">
        <f>IF(B41="", "", 'Lighting Inventory'!BE49)</f>
        <v/>
      </c>
      <c r="AV41" s="67" t="str">
        <f>IF(B41="", "", 'Lighting Inventory'!BE49)</f>
        <v/>
      </c>
      <c r="AW41" s="67" t="str">
        <f>IF(B41="", "", 'Lighting Inventory'!BF49)</f>
        <v/>
      </c>
      <c r="AX41" s="67" t="str">
        <f>IF(B41="", "", 'Lighting Inventory'!BF49)</f>
        <v/>
      </c>
      <c r="AY41" s="65" t="str">
        <f t="shared" si="4"/>
        <v/>
      </c>
      <c r="AZ41" s="65" t="str">
        <f>IF(B41="", "", 'Lighting Inventory'!BJ49)</f>
        <v/>
      </c>
      <c r="BA41" s="65" t="str">
        <f>IF(B41="", "", 'Lighting Inventory'!BM49)</f>
        <v/>
      </c>
      <c r="BB41" s="65" t="str">
        <f>IF(B41="","",SUM('Lighting Inventory'!BP49:BP49))</f>
        <v/>
      </c>
      <c r="BC41" s="67" t="str">
        <f>IF(OR(AE41="", B41=""),"", 'Lighting Inventory'!GR49)</f>
        <v/>
      </c>
      <c r="BD41" s="67" t="str">
        <f>IFERROR(IF(B41="", "", 'Lighting Inventory'!AF49)*AD41," ")</f>
        <v xml:space="preserve"> </v>
      </c>
      <c r="BE41" s="67"/>
      <c r="BF41" s="67"/>
    </row>
    <row r="42" spans="1:58" x14ac:dyDescent="0.25">
      <c r="A42" s="26" t="str">
        <f>IF(B42="", "", 'Lookup Tables'!AW43)</f>
        <v/>
      </c>
      <c r="B42" s="26" t="str">
        <f>IF(OR('Lighting Inventory'!Y50="", 'Lighting Inventory'!V50="No Change"),"", 'Lighting Inventory'!Y50)</f>
        <v/>
      </c>
      <c r="C42" s="26" t="str">
        <f>IF(B42="", "", IF('Lighting Inventory'!Y50='Lookup Tables'!$Y$32, 'Lighting Inventory'!AJ50, IF(AD42=0, R42, AD42)))</f>
        <v/>
      </c>
      <c r="D42" s="26" t="str">
        <f>IF(B42="", "", 'General Information'!$F$14)</f>
        <v/>
      </c>
      <c r="E42" s="26" t="str">
        <f t="shared" si="3"/>
        <v/>
      </c>
      <c r="F42" s="26" t="str">
        <f>IF(B42="", "", CONCATENATE('General Information'!$F$9, " - ", 'General Information'!$F$14))</f>
        <v/>
      </c>
      <c r="G42" s="26" t="str">
        <f>IF(B42="", "", 'General Information'!$F$15)</f>
        <v/>
      </c>
      <c r="H42" s="26" t="str">
        <f>IF(B42="", "", IF(VLOOKUP(B42, 'Lookup Tables'!$Y$18:$AA$34, 2, FALSE)="Traffic", VLOOKUP('Lighting Inventory'!W50, 'Lookup Tables'!#REF!, 11, FALSE), VLOOKUP(B42, 'Lookup Tables'!$Y$18:$AA$34, 2, FALSE)))</f>
        <v/>
      </c>
      <c r="I42" s="26" t="str">
        <f>IF(B42="", "", CONCATENATE(D42, 'Data Export'!A42))</f>
        <v/>
      </c>
      <c r="J42" s="26" t="str">
        <f>IF(B42="", "", 'Lookup Tables'!$B$1)</f>
        <v/>
      </c>
      <c r="K42" s="26" t="str">
        <f>IF(B42="", "", 'Lighting Inventory'!B50)</f>
        <v/>
      </c>
      <c r="L42" s="26" t="str">
        <f>IF(B42="", "", 'Lighting Inventory'!C50)</f>
        <v/>
      </c>
      <c r="M42" s="26" t="str">
        <f>IF(B42="", "",'Lighting Inventory'!D50)</f>
        <v/>
      </c>
      <c r="N42" s="26" t="str">
        <f>IF(B42="", "",'Lighting Inventory'!E50)</f>
        <v/>
      </c>
      <c r="O42" s="26" t="str">
        <f>IF(B42="", "", 'Lighting Inventory'!F50)</f>
        <v/>
      </c>
      <c r="P42" s="26" t="str">
        <f>IF(B42="", "", 'Lighting Inventory'!G50)</f>
        <v/>
      </c>
      <c r="Q42" s="26" t="str">
        <f>IF(B42="", "", 'Lighting Inventory'!H50)</f>
        <v/>
      </c>
      <c r="R42" s="26" t="str">
        <f>IF(B42="", "", 'Lighting Inventory'!I50)</f>
        <v/>
      </c>
      <c r="S42" s="26" t="str">
        <f>IF(B42="", "", 'Lighting Inventory'!J50)</f>
        <v/>
      </c>
      <c r="T42" s="26" t="str">
        <f>IFERROR(IF(B42="","",VLOOKUP(S42,'Fixture Identities'!$A$7:$G$1023,5,FALSE)), "New Construction")</f>
        <v/>
      </c>
      <c r="U42" s="26" t="str">
        <f>IFERROR(IF(B42="", "", IF(K42="New Construction", "NC", IF(VLOOKUP(S42, 'Fixture Identities'!$A$7:$I$1023,3, FALSE)="T12 Linear Fluorescent", VLOOKUP(S42, 'Fixture Identities'!$A$7:$K$1012, 11, FALSE), S42))), "")</f>
        <v/>
      </c>
      <c r="V42" s="26" t="str">
        <f>IFERROR(IF(OR(B42="", U42=0), "", VLOOKUP(U42, 'Fixture Identities'!$A$7:$G$1023, 5, FALSE)), "")</f>
        <v/>
      </c>
      <c r="W42" s="26" t="str">
        <f>IF(B42="", "",'Lighting Inventory'!K50)</f>
        <v/>
      </c>
      <c r="X42" s="65" t="str">
        <f>IF(B42="", "", 'Lighting Inventory'!L50)</f>
        <v/>
      </c>
      <c r="Y42" s="26" t="str">
        <f>IF(B42="", "", IF('Lighting Inventory'!M50="", "Light Switch",'Lighting Inventory'!M50))</f>
        <v/>
      </c>
      <c r="Z42" s="26" t="str">
        <f>IF(OR(K42="Retrofit", B42=""), "", 'Lighting Inventory'!N50)</f>
        <v/>
      </c>
      <c r="AA42" s="26" t="str">
        <f>IF(OR(Z42="",B42=""), "", 'Lighting Inventory'!O50)</f>
        <v/>
      </c>
      <c r="AB42" s="26" t="str">
        <f>IF(B42="", "", 'Lighting Inventory'!P50)</f>
        <v/>
      </c>
      <c r="AC42" s="96" t="str">
        <f>IF(B42="", "", 'Lighting Inventory'!R50)</f>
        <v/>
      </c>
      <c r="AD42" s="26" t="str">
        <f>IF(B42="", "", 'Lighting Inventory'!S50)</f>
        <v/>
      </c>
      <c r="AE42" s="26" t="str">
        <f>IF(B42="", "", 'Lighting Inventory'!V50)</f>
        <v/>
      </c>
      <c r="AF42" s="26" t="str">
        <f>IF(B42="", "", 'Lighting Inventory'!W50)</f>
        <v/>
      </c>
      <c r="AG42" s="26" t="str">
        <f>IF(OR(AF42="", B42=""), "", IF(AE42="Custom", "0", VLOOKUP(AF42, 'Lookup Tables'!$AI$6:$AP$102, 8, FALSE)))</f>
        <v/>
      </c>
      <c r="AH42" s="26" t="str">
        <f>IF(B42="", "", 'Lighting Inventory'!AD50)</f>
        <v/>
      </c>
      <c r="AI42" s="26" t="str">
        <f>IF(OR('Lighting Inventory'!AK50="", B42=""), "", 'Lighting Inventory'!AK50)</f>
        <v/>
      </c>
      <c r="AJ42" s="66" t="str">
        <f>IF(B42="", "", 'Lighting Inventory'!AL50)</f>
        <v/>
      </c>
      <c r="AK42" s="65" t="str">
        <f>IF(B42="", "", 'Lighting Inventory'!AM50)</f>
        <v/>
      </c>
      <c r="AL42" s="26" t="str">
        <f>IF(B42="", "", 'Lighting Inventory'!AN50)</f>
        <v/>
      </c>
      <c r="AM42" s="26" t="str">
        <f t="shared" si="1"/>
        <v/>
      </c>
      <c r="AN42" s="26" t="str">
        <f>IF(B42="","",IF('Lighting Inventory'!AV50="","Prescribed",'Lighting Inventory'!AV50))</f>
        <v/>
      </c>
      <c r="AO42" s="66" t="str">
        <f>IF(B42="", "", 'Lighting Inventory'!AX50)</f>
        <v/>
      </c>
      <c r="AP42" s="67" t="str">
        <f>IF(B42="", "", 'Lighting Inventory'!AZ50)</f>
        <v/>
      </c>
      <c r="AQ42" s="67" t="str">
        <f>IF(B42="", "", 'Lighting Inventory'!BA50)</f>
        <v/>
      </c>
      <c r="AR42" s="67" t="str">
        <f>IF(B42="", "", 'Lighting Inventory'!BB50)</f>
        <v/>
      </c>
      <c r="AS42" s="67" t="str">
        <f>IF(B42="", "", 'Lighting Inventory'!BC50)</f>
        <v/>
      </c>
      <c r="AT42" s="67" t="str">
        <f>IF(B42="", "", 'Lighting Inventory'!BD50)</f>
        <v/>
      </c>
      <c r="AU42" s="67" t="str">
        <f>IF(B42="", "", 'Lighting Inventory'!BE50)</f>
        <v/>
      </c>
      <c r="AV42" s="67" t="str">
        <f>IF(B42="", "", 'Lighting Inventory'!BE50)</f>
        <v/>
      </c>
      <c r="AW42" s="67" t="str">
        <f>IF(B42="", "", 'Lighting Inventory'!BF50)</f>
        <v/>
      </c>
      <c r="AX42" s="67" t="str">
        <f>IF(B42="", "", 'Lighting Inventory'!BF50)</f>
        <v/>
      </c>
      <c r="AY42" s="65" t="str">
        <f t="shared" si="4"/>
        <v/>
      </c>
      <c r="AZ42" s="65" t="str">
        <f>IF(B42="", "", 'Lighting Inventory'!BJ50)</f>
        <v/>
      </c>
      <c r="BA42" s="65" t="str">
        <f>IF(B42="", "", 'Lighting Inventory'!BM50)</f>
        <v/>
      </c>
      <c r="BB42" s="65" t="str">
        <f>IF(B42="","",SUM('Lighting Inventory'!BP50:BP50))</f>
        <v/>
      </c>
      <c r="BC42" s="67" t="str">
        <f>IF(OR(AE42="", B42=""),"", 'Lighting Inventory'!GR50)</f>
        <v/>
      </c>
      <c r="BD42" s="67" t="str">
        <f>IFERROR(IF(B42="", "", 'Lighting Inventory'!AF50)*AD42," ")</f>
        <v xml:space="preserve"> </v>
      </c>
      <c r="BE42" s="67"/>
      <c r="BF42" s="67"/>
    </row>
    <row r="43" spans="1:58" x14ac:dyDescent="0.25">
      <c r="A43" s="26" t="str">
        <f>IF(B43="", "", 'Lookup Tables'!AW44)</f>
        <v/>
      </c>
      <c r="B43" s="26" t="str">
        <f>IF(OR('Lighting Inventory'!Y51="", 'Lighting Inventory'!V51="No Change"),"", 'Lighting Inventory'!Y51)</f>
        <v/>
      </c>
      <c r="C43" s="26" t="str">
        <f>IF(B43="", "", IF('Lighting Inventory'!Y51='Lookup Tables'!$Y$32, 'Lighting Inventory'!AJ51, IF(AD43=0, R43, AD43)))</f>
        <v/>
      </c>
      <c r="D43" s="26" t="str">
        <f>IF(B43="", "", 'General Information'!$F$14)</f>
        <v/>
      </c>
      <c r="E43" s="26" t="str">
        <f t="shared" si="3"/>
        <v/>
      </c>
      <c r="F43" s="26" t="str">
        <f>IF(B43="", "", CONCATENATE('General Information'!$F$9, " - ", 'General Information'!$F$14))</f>
        <v/>
      </c>
      <c r="G43" s="26" t="str">
        <f>IF(B43="", "", 'General Information'!$F$15)</f>
        <v/>
      </c>
      <c r="H43" s="26" t="str">
        <f>IF(B43="", "", IF(VLOOKUP(B43, 'Lookup Tables'!$Y$18:$AA$34, 2, FALSE)="Traffic", VLOOKUP('Lighting Inventory'!W51, 'Lookup Tables'!#REF!, 11, FALSE), VLOOKUP(B43, 'Lookup Tables'!$Y$18:$AA$34, 2, FALSE)))</f>
        <v/>
      </c>
      <c r="I43" s="26" t="str">
        <f>IF(B43="", "", CONCATENATE(D43, 'Data Export'!A43))</f>
        <v/>
      </c>
      <c r="J43" s="26" t="str">
        <f>IF(B43="", "", 'Lookup Tables'!$B$1)</f>
        <v/>
      </c>
      <c r="K43" s="26" t="str">
        <f>IF(B43="", "", 'Lighting Inventory'!B51)</f>
        <v/>
      </c>
      <c r="L43" s="26" t="str">
        <f>IF(B43="", "", 'Lighting Inventory'!C51)</f>
        <v/>
      </c>
      <c r="M43" s="26" t="str">
        <f>IF(B43="", "",'Lighting Inventory'!D51)</f>
        <v/>
      </c>
      <c r="N43" s="26" t="str">
        <f>IF(B43="", "",'Lighting Inventory'!E51)</f>
        <v/>
      </c>
      <c r="O43" s="26" t="str">
        <f>IF(B43="", "", 'Lighting Inventory'!F51)</f>
        <v/>
      </c>
      <c r="P43" s="26" t="str">
        <f>IF(B43="", "", 'Lighting Inventory'!G51)</f>
        <v/>
      </c>
      <c r="Q43" s="26" t="str">
        <f>IF(B43="", "", 'Lighting Inventory'!H51)</f>
        <v/>
      </c>
      <c r="R43" s="26" t="str">
        <f>IF(B43="", "", 'Lighting Inventory'!I51)</f>
        <v/>
      </c>
      <c r="S43" s="26" t="str">
        <f>IF(B43="", "", 'Lighting Inventory'!J51)</f>
        <v/>
      </c>
      <c r="T43" s="26" t="str">
        <f>IFERROR(IF(B43="","",VLOOKUP(S43,'Fixture Identities'!$A$7:$G$1023,5,FALSE)), "New Construction")</f>
        <v/>
      </c>
      <c r="U43" s="26" t="str">
        <f>IFERROR(IF(B43="", "", IF(K43="New Construction", "NC", IF(VLOOKUP(S43, 'Fixture Identities'!$A$7:$I$1023,3, FALSE)="T12 Linear Fluorescent", VLOOKUP(S43, 'Fixture Identities'!$A$7:$K$1012, 11, FALSE), S43))), "")</f>
        <v/>
      </c>
      <c r="V43" s="26" t="str">
        <f>IFERROR(IF(OR(B43="", U43=0), "", VLOOKUP(U43, 'Fixture Identities'!$A$7:$G$1023, 5, FALSE)), "")</f>
        <v/>
      </c>
      <c r="W43" s="26" t="str">
        <f>IF(B43="", "",'Lighting Inventory'!K51)</f>
        <v/>
      </c>
      <c r="X43" s="65" t="str">
        <f>IF(B43="", "", 'Lighting Inventory'!L51)</f>
        <v/>
      </c>
      <c r="Y43" s="26" t="str">
        <f>IF(B43="", "", IF('Lighting Inventory'!M51="", "Light Switch",'Lighting Inventory'!M51))</f>
        <v/>
      </c>
      <c r="Z43" s="26" t="str">
        <f>IF(OR(K43="Retrofit", B43=""), "", 'Lighting Inventory'!N51)</f>
        <v/>
      </c>
      <c r="AA43" s="26" t="str">
        <f>IF(OR(Z43="",B43=""), "", 'Lighting Inventory'!O51)</f>
        <v/>
      </c>
      <c r="AB43" s="26" t="str">
        <f>IF(B43="", "", 'Lighting Inventory'!P51)</f>
        <v/>
      </c>
      <c r="AC43" s="96" t="str">
        <f>IF(B43="", "", 'Lighting Inventory'!R51)</f>
        <v/>
      </c>
      <c r="AD43" s="26" t="str">
        <f>IF(B43="", "", 'Lighting Inventory'!S51)</f>
        <v/>
      </c>
      <c r="AE43" s="26" t="str">
        <f>IF(B43="", "", 'Lighting Inventory'!V51)</f>
        <v/>
      </c>
      <c r="AF43" s="26" t="str">
        <f>IF(B43="", "", 'Lighting Inventory'!W51)</f>
        <v/>
      </c>
      <c r="AG43" s="26" t="str">
        <f>IF(OR(AF43="", B43=""), "", IF(AE43="Custom", "0", VLOOKUP(AF43, 'Lookup Tables'!$AI$6:$AP$102, 8, FALSE)))</f>
        <v/>
      </c>
      <c r="AH43" s="26" t="str">
        <f>IF(B43="", "", 'Lighting Inventory'!AD51)</f>
        <v/>
      </c>
      <c r="AI43" s="26" t="str">
        <f>IF(OR('Lighting Inventory'!AK51="", B43=""), "", 'Lighting Inventory'!AK51)</f>
        <v/>
      </c>
      <c r="AJ43" s="66" t="str">
        <f>IF(B43="", "", 'Lighting Inventory'!AL51)</f>
        <v/>
      </c>
      <c r="AK43" s="65" t="str">
        <f>IF(B43="", "", 'Lighting Inventory'!AM51)</f>
        <v/>
      </c>
      <c r="AL43" s="26" t="str">
        <f>IF(B43="", "", 'Lighting Inventory'!AN51)</f>
        <v/>
      </c>
      <c r="AM43" s="26" t="str">
        <f t="shared" si="1"/>
        <v/>
      </c>
      <c r="AN43" s="26" t="str">
        <f>IF(B43="","",IF('Lighting Inventory'!AV51="","Prescribed",'Lighting Inventory'!AV51))</f>
        <v/>
      </c>
      <c r="AO43" s="66" t="str">
        <f>IF(B43="", "", 'Lighting Inventory'!AX51)</f>
        <v/>
      </c>
      <c r="AP43" s="67" t="str">
        <f>IF(B43="", "", 'Lighting Inventory'!AZ51)</f>
        <v/>
      </c>
      <c r="AQ43" s="67" t="str">
        <f>IF(B43="", "", 'Lighting Inventory'!BA51)</f>
        <v/>
      </c>
      <c r="AR43" s="67" t="str">
        <f>IF(B43="", "", 'Lighting Inventory'!BB51)</f>
        <v/>
      </c>
      <c r="AS43" s="67" t="str">
        <f>IF(B43="", "", 'Lighting Inventory'!BC51)</f>
        <v/>
      </c>
      <c r="AT43" s="67" t="str">
        <f>IF(B43="", "", 'Lighting Inventory'!BD51)</f>
        <v/>
      </c>
      <c r="AU43" s="67" t="str">
        <f>IF(B43="", "", 'Lighting Inventory'!BE51)</f>
        <v/>
      </c>
      <c r="AV43" s="67" t="str">
        <f>IF(B43="", "", 'Lighting Inventory'!BE51)</f>
        <v/>
      </c>
      <c r="AW43" s="67" t="str">
        <f>IF(B43="", "", 'Lighting Inventory'!BF51)</f>
        <v/>
      </c>
      <c r="AX43" s="67" t="str">
        <f>IF(B43="", "", 'Lighting Inventory'!BF51)</f>
        <v/>
      </c>
      <c r="AY43" s="65" t="str">
        <f t="shared" si="4"/>
        <v/>
      </c>
      <c r="AZ43" s="65" t="str">
        <f>IF(B43="", "", 'Lighting Inventory'!BJ51)</f>
        <v/>
      </c>
      <c r="BA43" s="65" t="str">
        <f>IF(B43="", "", 'Lighting Inventory'!BM51)</f>
        <v/>
      </c>
      <c r="BB43" s="65" t="str">
        <f>IF(B43="","",SUM('Lighting Inventory'!BP51:BP51))</f>
        <v/>
      </c>
      <c r="BC43" s="67" t="str">
        <f>IF(OR(AE43="", B43=""),"", 'Lighting Inventory'!GR51)</f>
        <v/>
      </c>
      <c r="BD43" s="67" t="str">
        <f>IFERROR(IF(B43="", "", 'Lighting Inventory'!AF51)*AD43," ")</f>
        <v xml:space="preserve"> </v>
      </c>
      <c r="BE43" s="67"/>
      <c r="BF43" s="67"/>
    </row>
    <row r="44" spans="1:58" x14ac:dyDescent="0.25">
      <c r="A44" s="26" t="str">
        <f>IF(B44="", "", 'Lookup Tables'!AW45)</f>
        <v/>
      </c>
      <c r="B44" s="26" t="str">
        <f>IF(OR('Lighting Inventory'!Y52="", 'Lighting Inventory'!V52="No Change"),"", 'Lighting Inventory'!Y52)</f>
        <v/>
      </c>
      <c r="C44" s="26" t="str">
        <f>IF(B44="", "", IF('Lighting Inventory'!Y52='Lookup Tables'!$Y$32, 'Lighting Inventory'!AJ52, IF(AD44=0, R44, AD44)))</f>
        <v/>
      </c>
      <c r="D44" s="26" t="str">
        <f>IF(B44="", "", 'General Information'!$F$14)</f>
        <v/>
      </c>
      <c r="E44" s="26" t="str">
        <f t="shared" si="3"/>
        <v/>
      </c>
      <c r="F44" s="26" t="str">
        <f>IF(B44="", "", CONCATENATE('General Information'!$F$9, " - ", 'General Information'!$F$14))</f>
        <v/>
      </c>
      <c r="G44" s="26" t="str">
        <f>IF(B44="", "", 'General Information'!$F$15)</f>
        <v/>
      </c>
      <c r="H44" s="26" t="str">
        <f>IF(B44="", "", IF(VLOOKUP(B44, 'Lookup Tables'!$Y$18:$AA$34, 2, FALSE)="Traffic", VLOOKUP('Lighting Inventory'!W52, 'Lookup Tables'!#REF!, 11, FALSE), VLOOKUP(B44, 'Lookup Tables'!$Y$18:$AA$34, 2, FALSE)))</f>
        <v/>
      </c>
      <c r="I44" s="26" t="str">
        <f>IF(B44="", "", CONCATENATE(D44, 'Data Export'!A44))</f>
        <v/>
      </c>
      <c r="J44" s="26" t="str">
        <f>IF(B44="", "", 'Lookup Tables'!$B$1)</f>
        <v/>
      </c>
      <c r="K44" s="26" t="str">
        <f>IF(B44="", "", 'Lighting Inventory'!B52)</f>
        <v/>
      </c>
      <c r="L44" s="26" t="str">
        <f>IF(B44="", "", 'Lighting Inventory'!C52)</f>
        <v/>
      </c>
      <c r="M44" s="26" t="str">
        <f>IF(B44="", "",'Lighting Inventory'!D52)</f>
        <v/>
      </c>
      <c r="N44" s="26" t="str">
        <f>IF(B44="", "",'Lighting Inventory'!E52)</f>
        <v/>
      </c>
      <c r="O44" s="26" t="str">
        <f>IF(B44="", "", 'Lighting Inventory'!F52)</f>
        <v/>
      </c>
      <c r="P44" s="26" t="str">
        <f>IF(B44="", "", 'Lighting Inventory'!G52)</f>
        <v/>
      </c>
      <c r="Q44" s="26" t="str">
        <f>IF(B44="", "", 'Lighting Inventory'!H52)</f>
        <v/>
      </c>
      <c r="R44" s="26" t="str">
        <f>IF(B44="", "", 'Lighting Inventory'!I52)</f>
        <v/>
      </c>
      <c r="S44" s="26" t="str">
        <f>IF(B44="", "", 'Lighting Inventory'!J52)</f>
        <v/>
      </c>
      <c r="T44" s="26" t="str">
        <f>IFERROR(IF(B44="","",VLOOKUP(S44,'Fixture Identities'!$A$7:$G$1023,5,FALSE)), "New Construction")</f>
        <v/>
      </c>
      <c r="U44" s="26" t="str">
        <f>IFERROR(IF(B44="", "", IF(K44="New Construction", "NC", IF(VLOOKUP(S44, 'Fixture Identities'!$A$7:$I$1023,3, FALSE)="T12 Linear Fluorescent", VLOOKUP(S44, 'Fixture Identities'!$A$7:$K$1012, 11, FALSE), S44))), "")</f>
        <v/>
      </c>
      <c r="V44" s="26" t="str">
        <f>IFERROR(IF(OR(B44="", U44=0), "", VLOOKUP(U44, 'Fixture Identities'!$A$7:$G$1023, 5, FALSE)), "")</f>
        <v/>
      </c>
      <c r="W44" s="26" t="str">
        <f>IF(B44="", "",'Lighting Inventory'!K52)</f>
        <v/>
      </c>
      <c r="X44" s="65" t="str">
        <f>IF(B44="", "", 'Lighting Inventory'!L52)</f>
        <v/>
      </c>
      <c r="Y44" s="26" t="str">
        <f>IF(B44="", "", IF('Lighting Inventory'!M52="", "Light Switch",'Lighting Inventory'!M52))</f>
        <v/>
      </c>
      <c r="Z44" s="26" t="str">
        <f>IF(OR(K44="Retrofit", B44=""), "", 'Lighting Inventory'!N52)</f>
        <v/>
      </c>
      <c r="AA44" s="26" t="str">
        <f>IF(OR(Z44="",B44=""), "", 'Lighting Inventory'!O52)</f>
        <v/>
      </c>
      <c r="AB44" s="26" t="str">
        <f>IF(B44="", "", 'Lighting Inventory'!P52)</f>
        <v/>
      </c>
      <c r="AC44" s="96" t="str">
        <f>IF(B44="", "", 'Lighting Inventory'!R52)</f>
        <v/>
      </c>
      <c r="AD44" s="26" t="str">
        <f>IF(B44="", "", 'Lighting Inventory'!S52)</f>
        <v/>
      </c>
      <c r="AE44" s="26" t="str">
        <f>IF(B44="", "", 'Lighting Inventory'!V52)</f>
        <v/>
      </c>
      <c r="AF44" s="26" t="str">
        <f>IF(B44="", "", 'Lighting Inventory'!W52)</f>
        <v/>
      </c>
      <c r="AG44" s="26" t="str">
        <f>IF(OR(AF44="", B44=""), "", IF(AE44="Custom", "0", VLOOKUP(AF44, 'Lookup Tables'!$AI$6:$AP$102, 8, FALSE)))</f>
        <v/>
      </c>
      <c r="AH44" s="26" t="str">
        <f>IF(B44="", "", 'Lighting Inventory'!AD52)</f>
        <v/>
      </c>
      <c r="AI44" s="26" t="str">
        <f>IF(OR('Lighting Inventory'!AK52="", B44=""), "", 'Lighting Inventory'!AK52)</f>
        <v/>
      </c>
      <c r="AJ44" s="66" t="str">
        <f>IF(B44="", "", 'Lighting Inventory'!AL52)</f>
        <v/>
      </c>
      <c r="AK44" s="65" t="str">
        <f>IF(B44="", "", 'Lighting Inventory'!AM52)</f>
        <v/>
      </c>
      <c r="AL44" s="26" t="str">
        <f>IF(B44="", "", 'Lighting Inventory'!AN52)</f>
        <v/>
      </c>
      <c r="AM44" s="26" t="str">
        <f t="shared" si="1"/>
        <v/>
      </c>
      <c r="AN44" s="26" t="str">
        <f>IF(B44="","",IF('Lighting Inventory'!AV52="","Prescribed",'Lighting Inventory'!AV52))</f>
        <v/>
      </c>
      <c r="AO44" s="66" t="str">
        <f>IF(B44="", "", 'Lighting Inventory'!AX52)</f>
        <v/>
      </c>
      <c r="AP44" s="67" t="str">
        <f>IF(B44="", "", 'Lighting Inventory'!AZ52)</f>
        <v/>
      </c>
      <c r="AQ44" s="67" t="str">
        <f>IF(B44="", "", 'Lighting Inventory'!BA52)</f>
        <v/>
      </c>
      <c r="AR44" s="67" t="str">
        <f>IF(B44="", "", 'Lighting Inventory'!BB52)</f>
        <v/>
      </c>
      <c r="AS44" s="67" t="str">
        <f>IF(B44="", "", 'Lighting Inventory'!BC52)</f>
        <v/>
      </c>
      <c r="AT44" s="67" t="str">
        <f>IF(B44="", "", 'Lighting Inventory'!BD52)</f>
        <v/>
      </c>
      <c r="AU44" s="67" t="str">
        <f>IF(B44="", "", 'Lighting Inventory'!BE52)</f>
        <v/>
      </c>
      <c r="AV44" s="67" t="str">
        <f>IF(B44="", "", 'Lighting Inventory'!BE52)</f>
        <v/>
      </c>
      <c r="AW44" s="67" t="str">
        <f>IF(B44="", "", 'Lighting Inventory'!BF52)</f>
        <v/>
      </c>
      <c r="AX44" s="67" t="str">
        <f>IF(B44="", "", 'Lighting Inventory'!BF52)</f>
        <v/>
      </c>
      <c r="AY44" s="65" t="str">
        <f t="shared" si="4"/>
        <v/>
      </c>
      <c r="AZ44" s="65" t="str">
        <f>IF(B44="", "", 'Lighting Inventory'!BJ52)</f>
        <v/>
      </c>
      <c r="BA44" s="65" t="str">
        <f>IF(B44="", "", 'Lighting Inventory'!BM52)</f>
        <v/>
      </c>
      <c r="BB44" s="65" t="str">
        <f>IF(B44="","",SUM('Lighting Inventory'!BP52:BP52))</f>
        <v/>
      </c>
      <c r="BC44" s="67" t="str">
        <f>IF(OR(AE44="", B44=""),"", 'Lighting Inventory'!GR52)</f>
        <v/>
      </c>
      <c r="BD44" s="67" t="str">
        <f>IFERROR(IF(B44="", "", 'Lighting Inventory'!AF52)*AD44," ")</f>
        <v xml:space="preserve"> </v>
      </c>
      <c r="BE44" s="67"/>
      <c r="BF44" s="67"/>
    </row>
    <row r="45" spans="1:58" x14ac:dyDescent="0.25">
      <c r="A45" s="26" t="str">
        <f>IF(B45="", "", 'Lookup Tables'!AW46)</f>
        <v/>
      </c>
      <c r="B45" s="26" t="str">
        <f>IF(OR('Lighting Inventory'!Y53="", 'Lighting Inventory'!V53="No Change"),"", 'Lighting Inventory'!Y53)</f>
        <v/>
      </c>
      <c r="C45" s="26" t="str">
        <f>IF(B45="", "", IF('Lighting Inventory'!Y53='Lookup Tables'!$Y$32, 'Lighting Inventory'!AJ53, IF(AD45=0, R45, AD45)))</f>
        <v/>
      </c>
      <c r="D45" s="26" t="str">
        <f>IF(B45="", "", 'General Information'!$F$14)</f>
        <v/>
      </c>
      <c r="E45" s="26" t="str">
        <f t="shared" si="3"/>
        <v/>
      </c>
      <c r="F45" s="26" t="str">
        <f>IF(B45="", "", CONCATENATE('General Information'!$F$9, " - ", 'General Information'!$F$14))</f>
        <v/>
      </c>
      <c r="G45" s="26" t="str">
        <f>IF(B45="", "", 'General Information'!$F$15)</f>
        <v/>
      </c>
      <c r="H45" s="26" t="str">
        <f>IF(B45="", "", IF(VLOOKUP(B45, 'Lookup Tables'!$Y$18:$AA$34, 2, FALSE)="Traffic", VLOOKUP('Lighting Inventory'!W53, 'Lookup Tables'!#REF!, 11, FALSE), VLOOKUP(B45, 'Lookup Tables'!$Y$18:$AA$34, 2, FALSE)))</f>
        <v/>
      </c>
      <c r="I45" s="26" t="str">
        <f>IF(B45="", "", CONCATENATE(D45, 'Data Export'!A45))</f>
        <v/>
      </c>
      <c r="J45" s="26" t="str">
        <f>IF(B45="", "", 'Lookup Tables'!$B$1)</f>
        <v/>
      </c>
      <c r="K45" s="26" t="str">
        <f>IF(B45="", "", 'Lighting Inventory'!B53)</f>
        <v/>
      </c>
      <c r="L45" s="26" t="str">
        <f>IF(B45="", "", 'Lighting Inventory'!C53)</f>
        <v/>
      </c>
      <c r="M45" s="26" t="str">
        <f>IF(B45="", "",'Lighting Inventory'!D53)</f>
        <v/>
      </c>
      <c r="N45" s="26" t="str">
        <f>IF(B45="", "",'Lighting Inventory'!E53)</f>
        <v/>
      </c>
      <c r="O45" s="26" t="str">
        <f>IF(B45="", "", 'Lighting Inventory'!F53)</f>
        <v/>
      </c>
      <c r="P45" s="26" t="str">
        <f>IF(B45="", "", 'Lighting Inventory'!G53)</f>
        <v/>
      </c>
      <c r="Q45" s="26" t="str">
        <f>IF(B45="", "", 'Lighting Inventory'!H53)</f>
        <v/>
      </c>
      <c r="R45" s="26" t="str">
        <f>IF(B45="", "", 'Lighting Inventory'!I53)</f>
        <v/>
      </c>
      <c r="S45" s="26" t="str">
        <f>IF(B45="", "", 'Lighting Inventory'!J53)</f>
        <v/>
      </c>
      <c r="T45" s="26" t="str">
        <f>IFERROR(IF(B45="","",VLOOKUP(S45,'Fixture Identities'!$A$7:$G$1023,5,FALSE)), "New Construction")</f>
        <v/>
      </c>
      <c r="U45" s="26" t="str">
        <f>IFERROR(IF(B45="", "", IF(K45="New Construction", "NC", IF(VLOOKUP(S45, 'Fixture Identities'!$A$7:$I$1023,3, FALSE)="T12 Linear Fluorescent", VLOOKUP(S45, 'Fixture Identities'!$A$7:$K$1012, 11, FALSE), S45))), "")</f>
        <v/>
      </c>
      <c r="V45" s="26" t="str">
        <f>IFERROR(IF(OR(B45="", U45=0), "", VLOOKUP(U45, 'Fixture Identities'!$A$7:$G$1023, 5, FALSE)), "")</f>
        <v/>
      </c>
      <c r="W45" s="26" t="str">
        <f>IF(B45="", "",'Lighting Inventory'!K53)</f>
        <v/>
      </c>
      <c r="X45" s="65" t="str">
        <f>IF(B45="", "", 'Lighting Inventory'!L53)</f>
        <v/>
      </c>
      <c r="Y45" s="26" t="str">
        <f>IF(B45="", "", IF('Lighting Inventory'!M53="", "Light Switch",'Lighting Inventory'!M53))</f>
        <v/>
      </c>
      <c r="Z45" s="26" t="str">
        <f>IF(OR(K45="Retrofit", B45=""), "", 'Lighting Inventory'!N53)</f>
        <v/>
      </c>
      <c r="AA45" s="26" t="str">
        <f>IF(OR(Z45="",B45=""), "", 'Lighting Inventory'!O53)</f>
        <v/>
      </c>
      <c r="AB45" s="26" t="str">
        <f>IF(B45="", "", 'Lighting Inventory'!P53)</f>
        <v/>
      </c>
      <c r="AC45" s="96" t="str">
        <f>IF(B45="", "", 'Lighting Inventory'!R53)</f>
        <v/>
      </c>
      <c r="AD45" s="26" t="str">
        <f>IF(B45="", "", 'Lighting Inventory'!S53)</f>
        <v/>
      </c>
      <c r="AE45" s="26" t="str">
        <f>IF(B45="", "", 'Lighting Inventory'!V53)</f>
        <v/>
      </c>
      <c r="AF45" s="26" t="str">
        <f>IF(B45="", "", 'Lighting Inventory'!W53)</f>
        <v/>
      </c>
      <c r="AG45" s="26" t="str">
        <f>IF(OR(AF45="", B45=""), "", IF(AE45="Custom", "0", VLOOKUP(AF45, 'Lookup Tables'!$AI$6:$AP$102, 8, FALSE)))</f>
        <v/>
      </c>
      <c r="AH45" s="26" t="str">
        <f>IF(B45="", "", 'Lighting Inventory'!AD53)</f>
        <v/>
      </c>
      <c r="AI45" s="26" t="str">
        <f>IF(OR('Lighting Inventory'!AK53="", B45=""), "", 'Lighting Inventory'!AK53)</f>
        <v/>
      </c>
      <c r="AJ45" s="66" t="str">
        <f>IF(B45="", "", 'Lighting Inventory'!AL53)</f>
        <v/>
      </c>
      <c r="AK45" s="65" t="str">
        <f>IF(B45="", "", 'Lighting Inventory'!AM53)</f>
        <v/>
      </c>
      <c r="AL45" s="26" t="str">
        <f>IF(B45="", "", 'Lighting Inventory'!AN53)</f>
        <v/>
      </c>
      <c r="AM45" s="26" t="str">
        <f t="shared" si="1"/>
        <v/>
      </c>
      <c r="AN45" s="26" t="str">
        <f>IF(B45="","",IF('Lighting Inventory'!AV53="","Prescribed",'Lighting Inventory'!AV53))</f>
        <v/>
      </c>
      <c r="AO45" s="66" t="str">
        <f>IF(B45="", "", 'Lighting Inventory'!AX53)</f>
        <v/>
      </c>
      <c r="AP45" s="67" t="str">
        <f>IF(B45="", "", 'Lighting Inventory'!AZ53)</f>
        <v/>
      </c>
      <c r="AQ45" s="67" t="str">
        <f>IF(B45="", "", 'Lighting Inventory'!BA53)</f>
        <v/>
      </c>
      <c r="AR45" s="67" t="str">
        <f>IF(B45="", "", 'Lighting Inventory'!BB53)</f>
        <v/>
      </c>
      <c r="AS45" s="67" t="str">
        <f>IF(B45="", "", 'Lighting Inventory'!BC53)</f>
        <v/>
      </c>
      <c r="AT45" s="67" t="str">
        <f>IF(B45="", "", 'Lighting Inventory'!BD53)</f>
        <v/>
      </c>
      <c r="AU45" s="67" t="str">
        <f>IF(B45="", "", 'Lighting Inventory'!BE53)</f>
        <v/>
      </c>
      <c r="AV45" s="67" t="str">
        <f>IF(B45="", "", 'Lighting Inventory'!BE53)</f>
        <v/>
      </c>
      <c r="AW45" s="67" t="str">
        <f>IF(B45="", "", 'Lighting Inventory'!BF53)</f>
        <v/>
      </c>
      <c r="AX45" s="67" t="str">
        <f>IF(B45="", "", 'Lighting Inventory'!BF53)</f>
        <v/>
      </c>
      <c r="AY45" s="65" t="str">
        <f t="shared" si="4"/>
        <v/>
      </c>
      <c r="AZ45" s="65" t="str">
        <f>IF(B45="", "", 'Lighting Inventory'!BJ53)</f>
        <v/>
      </c>
      <c r="BA45" s="65" t="str">
        <f>IF(B45="", "", 'Lighting Inventory'!BM53)</f>
        <v/>
      </c>
      <c r="BB45" s="65" t="str">
        <f>IF(B45="","",SUM('Lighting Inventory'!BP53:BP53))</f>
        <v/>
      </c>
      <c r="BC45" s="67" t="str">
        <f>IF(OR(AE45="", B45=""),"", 'Lighting Inventory'!GR53)</f>
        <v/>
      </c>
      <c r="BD45" s="67" t="str">
        <f>IFERROR(IF(B45="", "", 'Lighting Inventory'!AF53)*AD45," ")</f>
        <v xml:space="preserve"> </v>
      </c>
      <c r="BE45" s="67"/>
      <c r="BF45" s="67"/>
    </row>
    <row r="46" spans="1:58" x14ac:dyDescent="0.25">
      <c r="A46" s="26" t="str">
        <f>IF(B46="", "", 'Lookup Tables'!AW47)</f>
        <v/>
      </c>
      <c r="B46" s="26" t="str">
        <f>IF(OR('Lighting Inventory'!Y54="", 'Lighting Inventory'!V54="No Change"),"", 'Lighting Inventory'!Y54)</f>
        <v/>
      </c>
      <c r="C46" s="26" t="str">
        <f>IF(B46="", "", IF('Lighting Inventory'!Y54='Lookup Tables'!$Y$32, 'Lighting Inventory'!AJ54, IF(AD46=0, R46, AD46)))</f>
        <v/>
      </c>
      <c r="D46" s="26" t="str">
        <f>IF(B46="", "", 'General Information'!$F$14)</f>
        <v/>
      </c>
      <c r="E46" s="26" t="str">
        <f t="shared" si="3"/>
        <v/>
      </c>
      <c r="F46" s="26" t="str">
        <f>IF(B46="", "", CONCATENATE('General Information'!$F$9, " - ", 'General Information'!$F$14))</f>
        <v/>
      </c>
      <c r="G46" s="26" t="str">
        <f>IF(B46="", "", 'General Information'!$F$15)</f>
        <v/>
      </c>
      <c r="H46" s="26" t="str">
        <f>IF(B46="", "", IF(VLOOKUP(B46, 'Lookup Tables'!$Y$18:$AA$34, 2, FALSE)="Traffic", VLOOKUP('Lighting Inventory'!W54, 'Lookup Tables'!#REF!, 11, FALSE), VLOOKUP(B46, 'Lookup Tables'!$Y$18:$AA$34, 2, FALSE)))</f>
        <v/>
      </c>
      <c r="I46" s="26" t="str">
        <f>IF(B46="", "", CONCATENATE(D46, 'Data Export'!A46))</f>
        <v/>
      </c>
      <c r="J46" s="26" t="str">
        <f>IF(B46="", "", 'Lookup Tables'!$B$1)</f>
        <v/>
      </c>
      <c r="K46" s="26" t="str">
        <f>IF(B46="", "", 'Lighting Inventory'!B54)</f>
        <v/>
      </c>
      <c r="L46" s="26" t="str">
        <f>IF(B46="", "", 'Lighting Inventory'!C54)</f>
        <v/>
      </c>
      <c r="M46" s="26" t="str">
        <f>IF(B46="", "",'Lighting Inventory'!D54)</f>
        <v/>
      </c>
      <c r="N46" s="26" t="str">
        <f>IF(B46="", "",'Lighting Inventory'!E54)</f>
        <v/>
      </c>
      <c r="O46" s="26" t="str">
        <f>IF(B46="", "", 'Lighting Inventory'!F54)</f>
        <v/>
      </c>
      <c r="P46" s="26" t="str">
        <f>IF(B46="", "", 'Lighting Inventory'!G54)</f>
        <v/>
      </c>
      <c r="Q46" s="26" t="str">
        <f>IF(B46="", "", 'Lighting Inventory'!H54)</f>
        <v/>
      </c>
      <c r="R46" s="26" t="str">
        <f>IF(B46="", "", 'Lighting Inventory'!I54)</f>
        <v/>
      </c>
      <c r="S46" s="26" t="str">
        <f>IF(B46="", "", 'Lighting Inventory'!J54)</f>
        <v/>
      </c>
      <c r="T46" s="26" t="str">
        <f>IFERROR(IF(B46="","",VLOOKUP(S46,'Fixture Identities'!$A$7:$G$1023,5,FALSE)), "New Construction")</f>
        <v/>
      </c>
      <c r="U46" s="26" t="str">
        <f>IFERROR(IF(B46="", "", IF(K46="New Construction", "NC", IF(VLOOKUP(S46, 'Fixture Identities'!$A$7:$I$1023,3, FALSE)="T12 Linear Fluorescent", VLOOKUP(S46, 'Fixture Identities'!$A$7:$K$1012, 11, FALSE), S46))), "")</f>
        <v/>
      </c>
      <c r="V46" s="26" t="str">
        <f>IFERROR(IF(OR(B46="", U46=0), "", VLOOKUP(U46, 'Fixture Identities'!$A$7:$G$1023, 5, FALSE)), "")</f>
        <v/>
      </c>
      <c r="W46" s="26" t="str">
        <f>IF(B46="", "",'Lighting Inventory'!K54)</f>
        <v/>
      </c>
      <c r="X46" s="65" t="str">
        <f>IF(B46="", "", 'Lighting Inventory'!L54)</f>
        <v/>
      </c>
      <c r="Y46" s="26" t="str">
        <f>IF(B46="", "", IF('Lighting Inventory'!M54="", "Light Switch",'Lighting Inventory'!M54))</f>
        <v/>
      </c>
      <c r="Z46" s="26" t="str">
        <f>IF(OR(K46="Retrofit", B46=""), "", 'Lighting Inventory'!N54)</f>
        <v/>
      </c>
      <c r="AA46" s="26" t="str">
        <f>IF(OR(Z46="",B46=""), "", 'Lighting Inventory'!O54)</f>
        <v/>
      </c>
      <c r="AB46" s="26" t="str">
        <f>IF(B46="", "", 'Lighting Inventory'!P54)</f>
        <v/>
      </c>
      <c r="AC46" s="96" t="str">
        <f>IF(B46="", "", 'Lighting Inventory'!R54)</f>
        <v/>
      </c>
      <c r="AD46" s="26" t="str">
        <f>IF(B46="", "", 'Lighting Inventory'!S54)</f>
        <v/>
      </c>
      <c r="AE46" s="26" t="str">
        <f>IF(B46="", "", 'Lighting Inventory'!V54)</f>
        <v/>
      </c>
      <c r="AF46" s="26" t="str">
        <f>IF(B46="", "", 'Lighting Inventory'!W54)</f>
        <v/>
      </c>
      <c r="AG46" s="26" t="str">
        <f>IF(OR(AF46="", B46=""), "", IF(AE46="Custom", "0", VLOOKUP(AF46, 'Lookup Tables'!$AI$6:$AP$102, 8, FALSE)))</f>
        <v/>
      </c>
      <c r="AH46" s="26" t="str">
        <f>IF(B46="", "", 'Lighting Inventory'!AD54)</f>
        <v/>
      </c>
      <c r="AI46" s="26" t="str">
        <f>IF(OR('Lighting Inventory'!AK54="", B46=""), "", 'Lighting Inventory'!AK54)</f>
        <v/>
      </c>
      <c r="AJ46" s="66" t="str">
        <f>IF(B46="", "", 'Lighting Inventory'!AL54)</f>
        <v/>
      </c>
      <c r="AK46" s="65" t="str">
        <f>IF(B46="", "", 'Lighting Inventory'!AM54)</f>
        <v/>
      </c>
      <c r="AL46" s="26" t="str">
        <f>IF(B46="", "", 'Lighting Inventory'!AN54)</f>
        <v/>
      </c>
      <c r="AM46" s="26" t="str">
        <f t="shared" si="1"/>
        <v/>
      </c>
      <c r="AN46" s="26" t="str">
        <f>IF(B46="","",IF('Lighting Inventory'!AV54="","Prescribed",'Lighting Inventory'!AV54))</f>
        <v/>
      </c>
      <c r="AO46" s="66" t="str">
        <f>IF(B46="", "", 'Lighting Inventory'!AX54)</f>
        <v/>
      </c>
      <c r="AP46" s="67" t="str">
        <f>IF(B46="", "", 'Lighting Inventory'!AZ54)</f>
        <v/>
      </c>
      <c r="AQ46" s="67" t="str">
        <f>IF(B46="", "", 'Lighting Inventory'!BA54)</f>
        <v/>
      </c>
      <c r="AR46" s="67" t="str">
        <f>IF(B46="", "", 'Lighting Inventory'!BB54)</f>
        <v/>
      </c>
      <c r="AS46" s="67" t="str">
        <f>IF(B46="", "", 'Lighting Inventory'!BC54)</f>
        <v/>
      </c>
      <c r="AT46" s="67" t="str">
        <f>IF(B46="", "", 'Lighting Inventory'!BD54)</f>
        <v/>
      </c>
      <c r="AU46" s="67" t="str">
        <f>IF(B46="", "", 'Lighting Inventory'!BE54)</f>
        <v/>
      </c>
      <c r="AV46" s="67" t="str">
        <f>IF(B46="", "", 'Lighting Inventory'!BE54)</f>
        <v/>
      </c>
      <c r="AW46" s="67" t="str">
        <f>IF(B46="", "", 'Lighting Inventory'!BF54)</f>
        <v/>
      </c>
      <c r="AX46" s="67" t="str">
        <f>IF(B46="", "", 'Lighting Inventory'!BF54)</f>
        <v/>
      </c>
      <c r="AY46" s="65" t="str">
        <f t="shared" si="4"/>
        <v/>
      </c>
      <c r="AZ46" s="65" t="str">
        <f>IF(B46="", "", 'Lighting Inventory'!BJ54)</f>
        <v/>
      </c>
      <c r="BA46" s="65" t="str">
        <f>IF(B46="", "", 'Lighting Inventory'!BM54)</f>
        <v/>
      </c>
      <c r="BB46" s="65" t="str">
        <f>IF(B46="","",SUM('Lighting Inventory'!BP54:BP54))</f>
        <v/>
      </c>
      <c r="BC46" s="67" t="str">
        <f>IF(OR(AE46="", B46=""),"", 'Lighting Inventory'!GR54)</f>
        <v/>
      </c>
      <c r="BD46" s="67" t="str">
        <f>IFERROR(IF(B46="", "", 'Lighting Inventory'!AF54)*AD46," ")</f>
        <v xml:space="preserve"> </v>
      </c>
      <c r="BE46" s="67"/>
      <c r="BF46" s="67"/>
    </row>
    <row r="47" spans="1:58" x14ac:dyDescent="0.25">
      <c r="A47" s="26" t="str">
        <f>IF(B47="", "", 'Lookup Tables'!AW48)</f>
        <v/>
      </c>
      <c r="B47" s="26" t="str">
        <f>IF(OR('Lighting Inventory'!Y55="", 'Lighting Inventory'!V55="No Change"),"", 'Lighting Inventory'!Y55)</f>
        <v/>
      </c>
      <c r="C47" s="26" t="str">
        <f>IF(B47="", "", IF('Lighting Inventory'!Y55='Lookup Tables'!$Y$32, 'Lighting Inventory'!AJ55, IF(AD47=0, R47, AD47)))</f>
        <v/>
      </c>
      <c r="D47" s="26" t="str">
        <f>IF(B47="", "", 'General Information'!$F$14)</f>
        <v/>
      </c>
      <c r="E47" s="26" t="str">
        <f t="shared" si="3"/>
        <v/>
      </c>
      <c r="F47" s="26" t="str">
        <f>IF(B47="", "", CONCATENATE('General Information'!$F$9, " - ", 'General Information'!$F$14))</f>
        <v/>
      </c>
      <c r="G47" s="26" t="str">
        <f>IF(B47="", "", 'General Information'!$F$15)</f>
        <v/>
      </c>
      <c r="H47" s="26" t="str">
        <f>IF(B47="", "", IF(VLOOKUP(B47, 'Lookup Tables'!$Y$18:$AA$34, 2, FALSE)="Traffic", VLOOKUP('Lighting Inventory'!W55, 'Lookup Tables'!#REF!, 11, FALSE), VLOOKUP(B47, 'Lookup Tables'!$Y$18:$AA$34, 2, FALSE)))</f>
        <v/>
      </c>
      <c r="I47" s="26" t="str">
        <f>IF(B47="", "", CONCATENATE(D47, 'Data Export'!A47))</f>
        <v/>
      </c>
      <c r="J47" s="26" t="str">
        <f>IF(B47="", "", 'Lookup Tables'!$B$1)</f>
        <v/>
      </c>
      <c r="K47" s="26" t="str">
        <f>IF(B47="", "", 'Lighting Inventory'!B55)</f>
        <v/>
      </c>
      <c r="L47" s="26" t="str">
        <f>IF(B47="", "", 'Lighting Inventory'!C55)</f>
        <v/>
      </c>
      <c r="M47" s="26" t="str">
        <f>IF(B47="", "",'Lighting Inventory'!D55)</f>
        <v/>
      </c>
      <c r="N47" s="26" t="str">
        <f>IF(B47="", "",'Lighting Inventory'!E55)</f>
        <v/>
      </c>
      <c r="O47" s="26" t="str">
        <f>IF(B47="", "", 'Lighting Inventory'!F55)</f>
        <v/>
      </c>
      <c r="P47" s="26" t="str">
        <f>IF(B47="", "", 'Lighting Inventory'!G55)</f>
        <v/>
      </c>
      <c r="Q47" s="26" t="str">
        <f>IF(B47="", "", 'Lighting Inventory'!H55)</f>
        <v/>
      </c>
      <c r="R47" s="26" t="str">
        <f>IF(B47="", "", 'Lighting Inventory'!I55)</f>
        <v/>
      </c>
      <c r="S47" s="26" t="str">
        <f>IF(B47="", "", 'Lighting Inventory'!J55)</f>
        <v/>
      </c>
      <c r="T47" s="26" t="str">
        <f>IFERROR(IF(B47="","",VLOOKUP(S47,'Fixture Identities'!$A$7:$G$1023,5,FALSE)), "New Construction")</f>
        <v/>
      </c>
      <c r="U47" s="26" t="str">
        <f>IFERROR(IF(B47="", "", IF(K47="New Construction", "NC", IF(VLOOKUP(S47, 'Fixture Identities'!$A$7:$I$1023,3, FALSE)="T12 Linear Fluorescent", VLOOKUP(S47, 'Fixture Identities'!$A$7:$K$1012, 11, FALSE), S47))), "")</f>
        <v/>
      </c>
      <c r="V47" s="26" t="str">
        <f>IFERROR(IF(OR(B47="", U47=0), "", VLOOKUP(U47, 'Fixture Identities'!$A$7:$G$1023, 5, FALSE)), "")</f>
        <v/>
      </c>
      <c r="W47" s="26" t="str">
        <f>IF(B47="", "",'Lighting Inventory'!K55)</f>
        <v/>
      </c>
      <c r="X47" s="65" t="str">
        <f>IF(B47="", "", 'Lighting Inventory'!L55)</f>
        <v/>
      </c>
      <c r="Y47" s="26" t="str">
        <f>IF(B47="", "", IF('Lighting Inventory'!M55="", "Light Switch",'Lighting Inventory'!M55))</f>
        <v/>
      </c>
      <c r="Z47" s="26" t="str">
        <f>IF(OR(K47="Retrofit", B47=""), "", 'Lighting Inventory'!N55)</f>
        <v/>
      </c>
      <c r="AA47" s="26" t="str">
        <f>IF(OR(Z47="",B47=""), "", 'Lighting Inventory'!O55)</f>
        <v/>
      </c>
      <c r="AB47" s="26" t="str">
        <f>IF(B47="", "", 'Lighting Inventory'!P55)</f>
        <v/>
      </c>
      <c r="AC47" s="96" t="str">
        <f>IF(B47="", "", 'Lighting Inventory'!R55)</f>
        <v/>
      </c>
      <c r="AD47" s="26" t="str">
        <f>IF(B47="", "", 'Lighting Inventory'!S55)</f>
        <v/>
      </c>
      <c r="AE47" s="26" t="str">
        <f>IF(B47="", "", 'Lighting Inventory'!V55)</f>
        <v/>
      </c>
      <c r="AF47" s="26" t="str">
        <f>IF(B47="", "", 'Lighting Inventory'!W55)</f>
        <v/>
      </c>
      <c r="AG47" s="26" t="str">
        <f>IF(OR(AF47="", B47=""), "", IF(AE47="Custom", "0", VLOOKUP(AF47, 'Lookup Tables'!$AI$6:$AP$102, 8, FALSE)))</f>
        <v/>
      </c>
      <c r="AH47" s="26" t="str">
        <f>IF(B47="", "", 'Lighting Inventory'!AD55)</f>
        <v/>
      </c>
      <c r="AI47" s="26" t="str">
        <f>IF(OR('Lighting Inventory'!AK55="", B47=""), "", 'Lighting Inventory'!AK55)</f>
        <v/>
      </c>
      <c r="AJ47" s="66" t="str">
        <f>IF(B47="", "", 'Lighting Inventory'!AL55)</f>
        <v/>
      </c>
      <c r="AK47" s="65" t="str">
        <f>IF(B47="", "", 'Lighting Inventory'!AM55)</f>
        <v/>
      </c>
      <c r="AL47" s="26" t="str">
        <f>IF(B47="", "", 'Lighting Inventory'!AN55)</f>
        <v/>
      </c>
      <c r="AM47" s="26" t="str">
        <f t="shared" si="1"/>
        <v/>
      </c>
      <c r="AN47" s="26" t="str">
        <f>IF(B47="","",IF('Lighting Inventory'!AV55="","Prescribed",'Lighting Inventory'!AV55))</f>
        <v/>
      </c>
      <c r="AO47" s="66" t="str">
        <f>IF(B47="", "", 'Lighting Inventory'!AX55)</f>
        <v/>
      </c>
      <c r="AP47" s="67" t="str">
        <f>IF(B47="", "", 'Lighting Inventory'!AZ55)</f>
        <v/>
      </c>
      <c r="AQ47" s="67" t="str">
        <f>IF(B47="", "", 'Lighting Inventory'!BA55)</f>
        <v/>
      </c>
      <c r="AR47" s="67" t="str">
        <f>IF(B47="", "", 'Lighting Inventory'!BB55)</f>
        <v/>
      </c>
      <c r="AS47" s="67" t="str">
        <f>IF(B47="", "", 'Lighting Inventory'!BC55)</f>
        <v/>
      </c>
      <c r="AT47" s="67" t="str">
        <f>IF(B47="", "", 'Lighting Inventory'!BD55)</f>
        <v/>
      </c>
      <c r="AU47" s="67" t="str">
        <f>IF(B47="", "", 'Lighting Inventory'!BE55)</f>
        <v/>
      </c>
      <c r="AV47" s="67" t="str">
        <f>IF(B47="", "", 'Lighting Inventory'!BE55)</f>
        <v/>
      </c>
      <c r="AW47" s="67" t="str">
        <f>IF(B47="", "", 'Lighting Inventory'!BF55)</f>
        <v/>
      </c>
      <c r="AX47" s="67" t="str">
        <f>IF(B47="", "", 'Lighting Inventory'!BF55)</f>
        <v/>
      </c>
      <c r="AY47" s="65" t="str">
        <f t="shared" si="4"/>
        <v/>
      </c>
      <c r="AZ47" s="65" t="str">
        <f>IF(B47="", "", 'Lighting Inventory'!BJ55)</f>
        <v/>
      </c>
      <c r="BA47" s="65" t="str">
        <f>IF(B47="", "", 'Lighting Inventory'!BM55)</f>
        <v/>
      </c>
      <c r="BB47" s="65" t="str">
        <f>IF(B47="","",SUM('Lighting Inventory'!BP55:BP55))</f>
        <v/>
      </c>
      <c r="BC47" s="67" t="str">
        <f>IF(OR(AE47="", B47=""),"", 'Lighting Inventory'!GR55)</f>
        <v/>
      </c>
      <c r="BD47" s="67" t="str">
        <f>IFERROR(IF(B47="", "", 'Lighting Inventory'!AF55)*AD47," ")</f>
        <v xml:space="preserve"> </v>
      </c>
      <c r="BE47" s="67"/>
      <c r="BF47" s="67"/>
    </row>
    <row r="48" spans="1:58" x14ac:dyDescent="0.25">
      <c r="A48" s="26" t="str">
        <f>IF(B48="", "", 'Lookup Tables'!AW49)</f>
        <v/>
      </c>
      <c r="B48" s="26" t="str">
        <f>IF(OR('Lighting Inventory'!Y56="", 'Lighting Inventory'!V56="No Change"),"", 'Lighting Inventory'!Y56)</f>
        <v/>
      </c>
      <c r="C48" s="26" t="str">
        <f>IF(B48="", "", IF('Lighting Inventory'!Y56='Lookup Tables'!$Y$32, 'Lighting Inventory'!AJ56, IF(AD48=0, R48, AD48)))</f>
        <v/>
      </c>
      <c r="D48" s="26" t="str">
        <f>IF(B48="", "", 'General Information'!$F$14)</f>
        <v/>
      </c>
      <c r="E48" s="26" t="str">
        <f t="shared" si="3"/>
        <v/>
      </c>
      <c r="F48" s="26" t="str">
        <f>IF(B48="", "", CONCATENATE('General Information'!$F$9, " - ", 'General Information'!$F$14))</f>
        <v/>
      </c>
      <c r="G48" s="26" t="str">
        <f>IF(B48="", "", 'General Information'!$F$15)</f>
        <v/>
      </c>
      <c r="H48" s="26" t="str">
        <f>IF(B48="", "", IF(VLOOKUP(B48, 'Lookup Tables'!$Y$18:$AA$34, 2, FALSE)="Traffic", VLOOKUP('Lighting Inventory'!W56, 'Lookup Tables'!#REF!, 11, FALSE), VLOOKUP(B48, 'Lookup Tables'!$Y$18:$AA$34, 2, FALSE)))</f>
        <v/>
      </c>
      <c r="I48" s="26" t="str">
        <f>IF(B48="", "", CONCATENATE(D48, 'Data Export'!A48))</f>
        <v/>
      </c>
      <c r="J48" s="26" t="str">
        <f>IF(B48="", "", 'Lookup Tables'!$B$1)</f>
        <v/>
      </c>
      <c r="K48" s="26" t="str">
        <f>IF(B48="", "", 'Lighting Inventory'!B56)</f>
        <v/>
      </c>
      <c r="L48" s="26" t="str">
        <f>IF(B48="", "", 'Lighting Inventory'!C56)</f>
        <v/>
      </c>
      <c r="M48" s="26" t="str">
        <f>IF(B48="", "",'Lighting Inventory'!D56)</f>
        <v/>
      </c>
      <c r="N48" s="26" t="str">
        <f>IF(B48="", "",'Lighting Inventory'!E56)</f>
        <v/>
      </c>
      <c r="O48" s="26" t="str">
        <f>IF(B48="", "", 'Lighting Inventory'!F56)</f>
        <v/>
      </c>
      <c r="P48" s="26" t="str">
        <f>IF(B48="", "", 'Lighting Inventory'!G56)</f>
        <v/>
      </c>
      <c r="Q48" s="26" t="str">
        <f>IF(B48="", "", 'Lighting Inventory'!H56)</f>
        <v/>
      </c>
      <c r="R48" s="26" t="str">
        <f>IF(B48="", "", 'Lighting Inventory'!I56)</f>
        <v/>
      </c>
      <c r="S48" s="26" t="str">
        <f>IF(B48="", "", 'Lighting Inventory'!J56)</f>
        <v/>
      </c>
      <c r="T48" s="26" t="str">
        <f>IFERROR(IF(B48="","",VLOOKUP(S48,'Fixture Identities'!$A$7:$G$1023,5,FALSE)), "New Construction")</f>
        <v/>
      </c>
      <c r="U48" s="26" t="str">
        <f>IFERROR(IF(B48="", "", IF(K48="New Construction", "NC", IF(VLOOKUP(S48, 'Fixture Identities'!$A$7:$I$1023,3, FALSE)="T12 Linear Fluorescent", VLOOKUP(S48, 'Fixture Identities'!$A$7:$K$1012, 11, FALSE), S48))), "")</f>
        <v/>
      </c>
      <c r="V48" s="26" t="str">
        <f>IFERROR(IF(OR(B48="", U48=0), "", VLOOKUP(U48, 'Fixture Identities'!$A$7:$G$1023, 5, FALSE)), "")</f>
        <v/>
      </c>
      <c r="W48" s="26" t="str">
        <f>IF(B48="", "",'Lighting Inventory'!K56)</f>
        <v/>
      </c>
      <c r="X48" s="65" t="str">
        <f>IF(B48="", "", 'Lighting Inventory'!L56)</f>
        <v/>
      </c>
      <c r="Y48" s="26" t="str">
        <f>IF(B48="", "", IF('Lighting Inventory'!M56="", "Light Switch",'Lighting Inventory'!M56))</f>
        <v/>
      </c>
      <c r="Z48" s="26" t="str">
        <f>IF(OR(K48="Retrofit", B48=""), "", 'Lighting Inventory'!N56)</f>
        <v/>
      </c>
      <c r="AA48" s="26" t="str">
        <f>IF(OR(Z48="",B48=""), "", 'Lighting Inventory'!O56)</f>
        <v/>
      </c>
      <c r="AB48" s="26" t="str">
        <f>IF(B48="", "", 'Lighting Inventory'!P56)</f>
        <v/>
      </c>
      <c r="AC48" s="96" t="str">
        <f>IF(B48="", "", 'Lighting Inventory'!R56)</f>
        <v/>
      </c>
      <c r="AD48" s="26" t="str">
        <f>IF(B48="", "", 'Lighting Inventory'!S56)</f>
        <v/>
      </c>
      <c r="AE48" s="26" t="str">
        <f>IF(B48="", "", 'Lighting Inventory'!V56)</f>
        <v/>
      </c>
      <c r="AF48" s="26" t="str">
        <f>IF(B48="", "", 'Lighting Inventory'!W56)</f>
        <v/>
      </c>
      <c r="AG48" s="26" t="str">
        <f>IF(OR(AF48="", B48=""), "", IF(AE48="Custom", "0", VLOOKUP(AF48, 'Lookup Tables'!$AI$6:$AP$102, 8, FALSE)))</f>
        <v/>
      </c>
      <c r="AH48" s="26" t="str">
        <f>IF(B48="", "", 'Lighting Inventory'!AD56)</f>
        <v/>
      </c>
      <c r="AI48" s="26" t="str">
        <f>IF(OR('Lighting Inventory'!AK56="", B48=""), "", 'Lighting Inventory'!AK56)</f>
        <v/>
      </c>
      <c r="AJ48" s="66" t="str">
        <f>IF(B48="", "", 'Lighting Inventory'!AL56)</f>
        <v/>
      </c>
      <c r="AK48" s="65" t="str">
        <f>IF(B48="", "", 'Lighting Inventory'!AM56)</f>
        <v/>
      </c>
      <c r="AL48" s="26" t="str">
        <f>IF(B48="", "", 'Lighting Inventory'!AN56)</f>
        <v/>
      </c>
      <c r="AM48" s="26" t="str">
        <f t="shared" si="1"/>
        <v/>
      </c>
      <c r="AN48" s="26" t="str">
        <f>IF(B48="","",IF('Lighting Inventory'!AV56="","Prescribed",'Lighting Inventory'!AV56))</f>
        <v/>
      </c>
      <c r="AO48" s="66" t="str">
        <f>IF(B48="", "", 'Lighting Inventory'!AX56)</f>
        <v/>
      </c>
      <c r="AP48" s="67" t="str">
        <f>IF(B48="", "", 'Lighting Inventory'!AZ56)</f>
        <v/>
      </c>
      <c r="AQ48" s="67" t="str">
        <f>IF(B48="", "", 'Lighting Inventory'!BA56)</f>
        <v/>
      </c>
      <c r="AR48" s="67" t="str">
        <f>IF(B48="", "", 'Lighting Inventory'!BB56)</f>
        <v/>
      </c>
      <c r="AS48" s="67" t="str">
        <f>IF(B48="", "", 'Lighting Inventory'!BC56)</f>
        <v/>
      </c>
      <c r="AT48" s="67" t="str">
        <f>IF(B48="", "", 'Lighting Inventory'!BD56)</f>
        <v/>
      </c>
      <c r="AU48" s="67" t="str">
        <f>IF(B48="", "", 'Lighting Inventory'!BE56)</f>
        <v/>
      </c>
      <c r="AV48" s="67" t="str">
        <f>IF(B48="", "", 'Lighting Inventory'!BE56)</f>
        <v/>
      </c>
      <c r="AW48" s="67" t="str">
        <f>IF(B48="", "", 'Lighting Inventory'!BF56)</f>
        <v/>
      </c>
      <c r="AX48" s="67" t="str">
        <f>IF(B48="", "", 'Lighting Inventory'!BF56)</f>
        <v/>
      </c>
      <c r="AY48" s="65" t="str">
        <f t="shared" si="4"/>
        <v/>
      </c>
      <c r="AZ48" s="65" t="str">
        <f>IF(B48="", "", 'Lighting Inventory'!BJ56)</f>
        <v/>
      </c>
      <c r="BA48" s="65" t="str">
        <f>IF(B48="", "", 'Lighting Inventory'!BM56)</f>
        <v/>
      </c>
      <c r="BB48" s="65" t="str">
        <f>IF(B48="","",SUM('Lighting Inventory'!BP56:BP56))</f>
        <v/>
      </c>
      <c r="BC48" s="67" t="str">
        <f>IF(OR(AE48="", B48=""),"", 'Lighting Inventory'!GR56)</f>
        <v/>
      </c>
      <c r="BD48" s="67" t="str">
        <f>IFERROR(IF(B48="", "", 'Lighting Inventory'!AF56)*AD48," ")</f>
        <v xml:space="preserve"> </v>
      </c>
      <c r="BE48" s="67"/>
      <c r="BF48" s="67"/>
    </row>
    <row r="49" spans="1:58" x14ac:dyDescent="0.25">
      <c r="A49" s="26" t="str">
        <f>IF(B49="", "", 'Lookup Tables'!AW50)</f>
        <v/>
      </c>
      <c r="B49" s="26" t="str">
        <f>IF(OR('Lighting Inventory'!Y57="", 'Lighting Inventory'!V57="No Change"),"", 'Lighting Inventory'!Y57)</f>
        <v/>
      </c>
      <c r="C49" s="26" t="str">
        <f>IF(B49="", "", IF('Lighting Inventory'!Y57='Lookup Tables'!$Y$32, 'Lighting Inventory'!AJ57, IF(AD49=0, R49, AD49)))</f>
        <v/>
      </c>
      <c r="D49" s="26" t="str">
        <f>IF(B49="", "", 'General Information'!$F$14)</f>
        <v/>
      </c>
      <c r="E49" s="26" t="str">
        <f t="shared" si="3"/>
        <v/>
      </c>
      <c r="F49" s="26" t="str">
        <f>IF(B49="", "", CONCATENATE('General Information'!$F$9, " - ", 'General Information'!$F$14))</f>
        <v/>
      </c>
      <c r="G49" s="26" t="str">
        <f>IF(B49="", "", 'General Information'!$F$15)</f>
        <v/>
      </c>
      <c r="H49" s="26" t="str">
        <f>IF(B49="", "", IF(VLOOKUP(B49, 'Lookup Tables'!$Y$18:$AA$34, 2, FALSE)="Traffic", VLOOKUP('Lighting Inventory'!W57, 'Lookup Tables'!#REF!, 11, FALSE), VLOOKUP(B49, 'Lookup Tables'!$Y$18:$AA$34, 2, FALSE)))</f>
        <v/>
      </c>
      <c r="I49" s="26" t="str">
        <f>IF(B49="", "", CONCATENATE(D49, 'Data Export'!A49))</f>
        <v/>
      </c>
      <c r="J49" s="26" t="str">
        <f>IF(B49="", "", 'Lookup Tables'!$B$1)</f>
        <v/>
      </c>
      <c r="K49" s="26" t="str">
        <f>IF(B49="", "", 'Lighting Inventory'!B57)</f>
        <v/>
      </c>
      <c r="L49" s="26" t="str">
        <f>IF(B49="", "", 'Lighting Inventory'!C57)</f>
        <v/>
      </c>
      <c r="M49" s="26" t="str">
        <f>IF(B49="", "",'Lighting Inventory'!D57)</f>
        <v/>
      </c>
      <c r="N49" s="26" t="str">
        <f>IF(B49="", "",'Lighting Inventory'!E57)</f>
        <v/>
      </c>
      <c r="O49" s="26" t="str">
        <f>IF(B49="", "", 'Lighting Inventory'!F57)</f>
        <v/>
      </c>
      <c r="P49" s="26" t="str">
        <f>IF(B49="", "", 'Lighting Inventory'!G57)</f>
        <v/>
      </c>
      <c r="Q49" s="26" t="str">
        <f>IF(B49="", "", 'Lighting Inventory'!H57)</f>
        <v/>
      </c>
      <c r="R49" s="26" t="str">
        <f>IF(B49="", "", 'Lighting Inventory'!I57)</f>
        <v/>
      </c>
      <c r="S49" s="26" t="str">
        <f>IF(B49="", "", 'Lighting Inventory'!J57)</f>
        <v/>
      </c>
      <c r="T49" s="26" t="str">
        <f>IFERROR(IF(B49="","",VLOOKUP(S49,'Fixture Identities'!$A$7:$G$1023,5,FALSE)), "New Construction")</f>
        <v/>
      </c>
      <c r="U49" s="26" t="str">
        <f>IFERROR(IF(B49="", "", IF(K49="New Construction", "NC", IF(VLOOKUP(S49, 'Fixture Identities'!$A$7:$I$1023,3, FALSE)="T12 Linear Fluorescent", VLOOKUP(S49, 'Fixture Identities'!$A$7:$K$1012, 11, FALSE), S49))), "")</f>
        <v/>
      </c>
      <c r="V49" s="26" t="str">
        <f>IFERROR(IF(OR(B49="", U49=0), "", VLOOKUP(U49, 'Fixture Identities'!$A$7:$G$1023, 5, FALSE)), "")</f>
        <v/>
      </c>
      <c r="W49" s="26" t="str">
        <f>IF(B49="", "",'Lighting Inventory'!K57)</f>
        <v/>
      </c>
      <c r="X49" s="65" t="str">
        <f>IF(B49="", "", 'Lighting Inventory'!L57)</f>
        <v/>
      </c>
      <c r="Y49" s="26" t="str">
        <f>IF(B49="", "", IF('Lighting Inventory'!M57="", "Light Switch",'Lighting Inventory'!M57))</f>
        <v/>
      </c>
      <c r="Z49" s="26" t="str">
        <f>IF(OR(K49="Retrofit", B49=""), "", 'Lighting Inventory'!N57)</f>
        <v/>
      </c>
      <c r="AA49" s="26" t="str">
        <f>IF(OR(Z49="",B49=""), "", 'Lighting Inventory'!O57)</f>
        <v/>
      </c>
      <c r="AB49" s="26" t="str">
        <f>IF(B49="", "", 'Lighting Inventory'!P57)</f>
        <v/>
      </c>
      <c r="AC49" s="96" t="str">
        <f>IF(B49="", "", 'Lighting Inventory'!R57)</f>
        <v/>
      </c>
      <c r="AD49" s="26" t="str">
        <f>IF(B49="", "", 'Lighting Inventory'!S57)</f>
        <v/>
      </c>
      <c r="AE49" s="26" t="str">
        <f>IF(B49="", "", 'Lighting Inventory'!V57)</f>
        <v/>
      </c>
      <c r="AF49" s="26" t="str">
        <f>IF(B49="", "", 'Lighting Inventory'!W57)</f>
        <v/>
      </c>
      <c r="AG49" s="26" t="str">
        <f>IF(OR(AF49="", B49=""), "", IF(AE49="Custom", "0", VLOOKUP(AF49, 'Lookup Tables'!$AI$6:$AP$102, 8, FALSE)))</f>
        <v/>
      </c>
      <c r="AH49" s="26" t="str">
        <f>IF(B49="", "", 'Lighting Inventory'!AD57)</f>
        <v/>
      </c>
      <c r="AI49" s="26" t="str">
        <f>IF(OR('Lighting Inventory'!AK57="", B49=""), "", 'Lighting Inventory'!AK57)</f>
        <v/>
      </c>
      <c r="AJ49" s="66" t="str">
        <f>IF(B49="", "", 'Lighting Inventory'!AL57)</f>
        <v/>
      </c>
      <c r="AK49" s="65" t="str">
        <f>IF(B49="", "", 'Lighting Inventory'!AM57)</f>
        <v/>
      </c>
      <c r="AL49" s="26" t="str">
        <f>IF(B49="", "", 'Lighting Inventory'!AN57)</f>
        <v/>
      </c>
      <c r="AM49" s="26" t="str">
        <f t="shared" si="1"/>
        <v/>
      </c>
      <c r="AN49" s="26" t="str">
        <f>IF(B49="","",IF('Lighting Inventory'!AV57="","Prescribed",'Lighting Inventory'!AV57))</f>
        <v/>
      </c>
      <c r="AO49" s="66" t="str">
        <f>IF(B49="", "", 'Lighting Inventory'!AX57)</f>
        <v/>
      </c>
      <c r="AP49" s="67" t="str">
        <f>IF(B49="", "", 'Lighting Inventory'!AZ57)</f>
        <v/>
      </c>
      <c r="AQ49" s="67" t="str">
        <f>IF(B49="", "", 'Lighting Inventory'!BA57)</f>
        <v/>
      </c>
      <c r="AR49" s="67" t="str">
        <f>IF(B49="", "", 'Lighting Inventory'!BB57)</f>
        <v/>
      </c>
      <c r="AS49" s="67" t="str">
        <f>IF(B49="", "", 'Lighting Inventory'!BC57)</f>
        <v/>
      </c>
      <c r="AT49" s="67" t="str">
        <f>IF(B49="", "", 'Lighting Inventory'!BD57)</f>
        <v/>
      </c>
      <c r="AU49" s="67" t="str">
        <f>IF(B49="", "", 'Lighting Inventory'!BE57)</f>
        <v/>
      </c>
      <c r="AV49" s="67" t="str">
        <f>IF(B49="", "", 'Lighting Inventory'!BE57)</f>
        <v/>
      </c>
      <c r="AW49" s="67" t="str">
        <f>IF(B49="", "", 'Lighting Inventory'!BF57)</f>
        <v/>
      </c>
      <c r="AX49" s="67" t="str">
        <f>IF(B49="", "", 'Lighting Inventory'!BF57)</f>
        <v/>
      </c>
      <c r="AY49" s="65" t="str">
        <f t="shared" si="4"/>
        <v/>
      </c>
      <c r="AZ49" s="65" t="str">
        <f>IF(B49="", "", 'Lighting Inventory'!BJ57)</f>
        <v/>
      </c>
      <c r="BA49" s="65" t="str">
        <f>IF(B49="", "", 'Lighting Inventory'!BM57)</f>
        <v/>
      </c>
      <c r="BB49" s="65" t="str">
        <f>IF(B49="","",SUM('Lighting Inventory'!BP57:BP57))</f>
        <v/>
      </c>
      <c r="BC49" s="67" t="str">
        <f>IF(OR(AE49="", B49=""),"", 'Lighting Inventory'!GR57)</f>
        <v/>
      </c>
      <c r="BD49" s="67" t="str">
        <f>IFERROR(IF(B49="", "", 'Lighting Inventory'!AF57)*AD49," ")</f>
        <v xml:space="preserve"> </v>
      </c>
      <c r="BE49" s="67"/>
      <c r="BF49" s="67"/>
    </row>
    <row r="50" spans="1:58" x14ac:dyDescent="0.25">
      <c r="A50" s="26" t="str">
        <f>IF(B50="", "", 'Lookup Tables'!AW51)</f>
        <v/>
      </c>
      <c r="B50" s="26" t="str">
        <f>IF(OR('Lighting Inventory'!Y58="", 'Lighting Inventory'!V58="No Change"),"", 'Lighting Inventory'!Y58)</f>
        <v/>
      </c>
      <c r="C50" s="26" t="str">
        <f>IF(B50="", "", IF('Lighting Inventory'!Y58='Lookup Tables'!$Y$32, 'Lighting Inventory'!AJ58, IF(AD50=0, R50, AD50)))</f>
        <v/>
      </c>
      <c r="D50" s="26" t="str">
        <f>IF(B50="", "", 'General Information'!$F$14)</f>
        <v/>
      </c>
      <c r="E50" s="26" t="str">
        <f t="shared" si="3"/>
        <v/>
      </c>
      <c r="F50" s="26" t="str">
        <f>IF(B50="", "", CONCATENATE('General Information'!$F$9, " - ", 'General Information'!$F$14))</f>
        <v/>
      </c>
      <c r="G50" s="26" t="str">
        <f>IF(B50="", "", 'General Information'!$F$15)</f>
        <v/>
      </c>
      <c r="H50" s="26" t="str">
        <f>IF(B50="", "", IF(VLOOKUP(B50, 'Lookup Tables'!$Y$18:$AA$34, 2, FALSE)="Traffic", VLOOKUP('Lighting Inventory'!W58, 'Lookup Tables'!#REF!, 11, FALSE), VLOOKUP(B50, 'Lookup Tables'!$Y$18:$AA$34, 2, FALSE)))</f>
        <v/>
      </c>
      <c r="I50" s="26" t="str">
        <f>IF(B50="", "", CONCATENATE(D50, 'Data Export'!A50))</f>
        <v/>
      </c>
      <c r="J50" s="26" t="str">
        <f>IF(B50="", "", 'Lookup Tables'!$B$1)</f>
        <v/>
      </c>
      <c r="K50" s="26" t="str">
        <f>IF(B50="", "", 'Lighting Inventory'!B58)</f>
        <v/>
      </c>
      <c r="L50" s="26" t="str">
        <f>IF(B50="", "", 'Lighting Inventory'!C58)</f>
        <v/>
      </c>
      <c r="M50" s="26" t="str">
        <f>IF(B50="", "",'Lighting Inventory'!D58)</f>
        <v/>
      </c>
      <c r="N50" s="26" t="str">
        <f>IF(B50="", "",'Lighting Inventory'!E58)</f>
        <v/>
      </c>
      <c r="O50" s="26" t="str">
        <f>IF(B50="", "", 'Lighting Inventory'!F58)</f>
        <v/>
      </c>
      <c r="P50" s="26" t="str">
        <f>IF(B50="", "", 'Lighting Inventory'!G58)</f>
        <v/>
      </c>
      <c r="Q50" s="26" t="str">
        <f>IF(B50="", "", 'Lighting Inventory'!H58)</f>
        <v/>
      </c>
      <c r="R50" s="26" t="str">
        <f>IF(B50="", "", 'Lighting Inventory'!I58)</f>
        <v/>
      </c>
      <c r="S50" s="26" t="str">
        <f>IF(B50="", "", 'Lighting Inventory'!J58)</f>
        <v/>
      </c>
      <c r="T50" s="26" t="str">
        <f>IFERROR(IF(B50="","",VLOOKUP(S50,'Fixture Identities'!$A$7:$G$1023,5,FALSE)), "New Construction")</f>
        <v/>
      </c>
      <c r="U50" s="26" t="str">
        <f>IFERROR(IF(B50="", "", IF(K50="New Construction", "NC", IF(VLOOKUP(S50, 'Fixture Identities'!$A$7:$I$1023,3, FALSE)="T12 Linear Fluorescent", VLOOKUP(S50, 'Fixture Identities'!$A$7:$K$1012, 11, FALSE), S50))), "")</f>
        <v/>
      </c>
      <c r="V50" s="26" t="str">
        <f>IFERROR(IF(OR(B50="", U50=0), "", VLOOKUP(U50, 'Fixture Identities'!$A$7:$G$1023, 5, FALSE)), "")</f>
        <v/>
      </c>
      <c r="W50" s="26" t="str">
        <f>IF(B50="", "",'Lighting Inventory'!K58)</f>
        <v/>
      </c>
      <c r="X50" s="65" t="str">
        <f>IF(B50="", "", 'Lighting Inventory'!L58)</f>
        <v/>
      </c>
      <c r="Y50" s="26" t="str">
        <f>IF(B50="", "", IF('Lighting Inventory'!M58="", "Light Switch",'Lighting Inventory'!M58))</f>
        <v/>
      </c>
      <c r="Z50" s="26" t="str">
        <f>IF(OR(K50="Retrofit", B50=""), "", 'Lighting Inventory'!N58)</f>
        <v/>
      </c>
      <c r="AA50" s="26" t="str">
        <f>IF(OR(Z50="",B50=""), "", 'Lighting Inventory'!O58)</f>
        <v/>
      </c>
      <c r="AB50" s="26" t="str">
        <f>IF(B50="", "", 'Lighting Inventory'!P58)</f>
        <v/>
      </c>
      <c r="AC50" s="96" t="str">
        <f>IF(B50="", "", 'Lighting Inventory'!R58)</f>
        <v/>
      </c>
      <c r="AD50" s="26" t="str">
        <f>IF(B50="", "", 'Lighting Inventory'!S58)</f>
        <v/>
      </c>
      <c r="AE50" s="26" t="str">
        <f>IF(B50="", "", 'Lighting Inventory'!V58)</f>
        <v/>
      </c>
      <c r="AF50" s="26" t="str">
        <f>IF(B50="", "", 'Lighting Inventory'!W58)</f>
        <v/>
      </c>
      <c r="AG50" s="26" t="str">
        <f>IF(OR(AF50="", B50=""), "", IF(AE50="Custom", "0", VLOOKUP(AF50, 'Lookup Tables'!$AI$6:$AP$102, 8, FALSE)))</f>
        <v/>
      </c>
      <c r="AH50" s="26" t="str">
        <f>IF(B50="", "", 'Lighting Inventory'!AD58)</f>
        <v/>
      </c>
      <c r="AI50" s="26" t="str">
        <f>IF(OR('Lighting Inventory'!AK58="", B50=""), "", 'Lighting Inventory'!AK58)</f>
        <v/>
      </c>
      <c r="AJ50" s="66" t="str">
        <f>IF(B50="", "", 'Lighting Inventory'!AL58)</f>
        <v/>
      </c>
      <c r="AK50" s="65" t="str">
        <f>IF(B50="", "", 'Lighting Inventory'!AM58)</f>
        <v/>
      </c>
      <c r="AL50" s="26" t="str">
        <f>IF(B50="", "", 'Lighting Inventory'!AN58)</f>
        <v/>
      </c>
      <c r="AM50" s="26" t="str">
        <f t="shared" si="1"/>
        <v/>
      </c>
      <c r="AN50" s="26" t="str">
        <f>IF(B50="","",IF('Lighting Inventory'!AV58="","Prescribed",'Lighting Inventory'!AV58))</f>
        <v/>
      </c>
      <c r="AO50" s="66" t="str">
        <f>IF(B50="", "", 'Lighting Inventory'!AX58)</f>
        <v/>
      </c>
      <c r="AP50" s="67" t="str">
        <f>IF(B50="", "", 'Lighting Inventory'!AZ58)</f>
        <v/>
      </c>
      <c r="AQ50" s="67" t="str">
        <f>IF(B50="", "", 'Lighting Inventory'!BA58)</f>
        <v/>
      </c>
      <c r="AR50" s="67" t="str">
        <f>IF(B50="", "", 'Lighting Inventory'!BB58)</f>
        <v/>
      </c>
      <c r="AS50" s="67" t="str">
        <f>IF(B50="", "", 'Lighting Inventory'!BC58)</f>
        <v/>
      </c>
      <c r="AT50" s="67" t="str">
        <f>IF(B50="", "", 'Lighting Inventory'!BD58)</f>
        <v/>
      </c>
      <c r="AU50" s="67" t="str">
        <f>IF(B50="", "", 'Lighting Inventory'!BE58)</f>
        <v/>
      </c>
      <c r="AV50" s="67" t="str">
        <f>IF(B50="", "", 'Lighting Inventory'!BE58)</f>
        <v/>
      </c>
      <c r="AW50" s="67" t="str">
        <f>IF(B50="", "", 'Lighting Inventory'!BF58)</f>
        <v/>
      </c>
      <c r="AX50" s="67" t="str">
        <f>IF(B50="", "", 'Lighting Inventory'!BF58)</f>
        <v/>
      </c>
      <c r="AY50" s="65" t="str">
        <f t="shared" si="4"/>
        <v/>
      </c>
      <c r="AZ50" s="65" t="str">
        <f>IF(B50="", "", 'Lighting Inventory'!BJ58)</f>
        <v/>
      </c>
      <c r="BA50" s="65" t="str">
        <f>IF(B50="", "", 'Lighting Inventory'!BM58)</f>
        <v/>
      </c>
      <c r="BB50" s="65" t="str">
        <f>IF(B50="","",SUM('Lighting Inventory'!BP58:BP58))</f>
        <v/>
      </c>
      <c r="BC50" s="67" t="str">
        <f>IF(OR(AE50="", B50=""),"", 'Lighting Inventory'!GR58)</f>
        <v/>
      </c>
      <c r="BD50" s="67" t="str">
        <f>IFERROR(IF(B50="", "", 'Lighting Inventory'!AF58)*AD50," ")</f>
        <v xml:space="preserve"> </v>
      </c>
      <c r="BE50" s="67"/>
      <c r="BF50" s="67"/>
    </row>
    <row r="51" spans="1:58" x14ac:dyDescent="0.25">
      <c r="A51" s="26" t="str">
        <f>IF(B51="", "", 'Lookup Tables'!AW52)</f>
        <v/>
      </c>
      <c r="B51" s="26" t="str">
        <f>IF(OR('Lighting Inventory'!Y59="", 'Lighting Inventory'!V59="No Change"),"", 'Lighting Inventory'!Y59)</f>
        <v/>
      </c>
      <c r="C51" s="26" t="str">
        <f>IF(B51="", "", IF('Lighting Inventory'!Y59='Lookup Tables'!$Y$32, 'Lighting Inventory'!AJ59, IF(AD51=0, R51, AD51)))</f>
        <v/>
      </c>
      <c r="D51" s="26" t="str">
        <f>IF(B51="", "", 'General Information'!$F$14)</f>
        <v/>
      </c>
      <c r="E51" s="26" t="str">
        <f t="shared" si="3"/>
        <v/>
      </c>
      <c r="F51" s="26" t="str">
        <f>IF(B51="", "", CONCATENATE('General Information'!$F$9, " - ", 'General Information'!$F$14))</f>
        <v/>
      </c>
      <c r="G51" s="26" t="str">
        <f>IF(B51="", "", 'General Information'!$F$15)</f>
        <v/>
      </c>
      <c r="H51" s="26" t="str">
        <f>IF(B51="", "", IF(VLOOKUP(B51, 'Lookup Tables'!$Y$18:$AA$34, 2, FALSE)="Traffic", VLOOKUP('Lighting Inventory'!W59, 'Lookup Tables'!#REF!, 11, FALSE), VLOOKUP(B51, 'Lookup Tables'!$Y$18:$AA$34, 2, FALSE)))</f>
        <v/>
      </c>
      <c r="I51" s="26" t="str">
        <f>IF(B51="", "", CONCATENATE(D51, 'Data Export'!A51))</f>
        <v/>
      </c>
      <c r="J51" s="26" t="str">
        <f>IF(B51="", "", 'Lookup Tables'!$B$1)</f>
        <v/>
      </c>
      <c r="K51" s="26" t="str">
        <f>IF(B51="", "", 'Lighting Inventory'!B59)</f>
        <v/>
      </c>
      <c r="L51" s="26" t="str">
        <f>IF(B51="", "", 'Lighting Inventory'!C59)</f>
        <v/>
      </c>
      <c r="M51" s="26" t="str">
        <f>IF(B51="", "",'Lighting Inventory'!D59)</f>
        <v/>
      </c>
      <c r="N51" s="26" t="str">
        <f>IF(B51="", "",'Lighting Inventory'!E59)</f>
        <v/>
      </c>
      <c r="O51" s="26" t="str">
        <f>IF(B51="", "", 'Lighting Inventory'!F59)</f>
        <v/>
      </c>
      <c r="P51" s="26" t="str">
        <f>IF(B51="", "", 'Lighting Inventory'!G59)</f>
        <v/>
      </c>
      <c r="Q51" s="26" t="str">
        <f>IF(B51="", "", 'Lighting Inventory'!H59)</f>
        <v/>
      </c>
      <c r="R51" s="26" t="str">
        <f>IF(B51="", "", 'Lighting Inventory'!I59)</f>
        <v/>
      </c>
      <c r="S51" s="26" t="str">
        <f>IF(B51="", "", 'Lighting Inventory'!J59)</f>
        <v/>
      </c>
      <c r="T51" s="26" t="str">
        <f>IFERROR(IF(B51="","",VLOOKUP(S51,'Fixture Identities'!$A$7:$G$1023,5,FALSE)), "New Construction")</f>
        <v/>
      </c>
      <c r="U51" s="26" t="str">
        <f>IFERROR(IF(B51="", "", IF(K51="New Construction", "NC", IF(VLOOKUP(S51, 'Fixture Identities'!$A$7:$I$1023,3, FALSE)="T12 Linear Fluorescent", VLOOKUP(S51, 'Fixture Identities'!$A$7:$K$1012, 11, FALSE), S51))), "")</f>
        <v/>
      </c>
      <c r="V51" s="26" t="str">
        <f>IFERROR(IF(OR(B51="", U51=0), "", VLOOKUP(U51, 'Fixture Identities'!$A$7:$G$1023, 5, FALSE)), "")</f>
        <v/>
      </c>
      <c r="W51" s="26" t="str">
        <f>IF(B51="", "",'Lighting Inventory'!K59)</f>
        <v/>
      </c>
      <c r="X51" s="65" t="str">
        <f>IF(B51="", "", 'Lighting Inventory'!L59)</f>
        <v/>
      </c>
      <c r="Y51" s="26" t="str">
        <f>IF(B51="", "", IF('Lighting Inventory'!M59="", "Light Switch",'Lighting Inventory'!M59))</f>
        <v/>
      </c>
      <c r="Z51" s="26" t="str">
        <f>IF(OR(K51="Retrofit", B51=""), "", 'Lighting Inventory'!N59)</f>
        <v/>
      </c>
      <c r="AA51" s="26" t="str">
        <f>IF(OR(Z51="",B51=""), "", 'Lighting Inventory'!O59)</f>
        <v/>
      </c>
      <c r="AB51" s="26" t="str">
        <f>IF(B51="", "", 'Lighting Inventory'!P59)</f>
        <v/>
      </c>
      <c r="AC51" s="96" t="str">
        <f>IF(B51="", "", 'Lighting Inventory'!R59)</f>
        <v/>
      </c>
      <c r="AD51" s="26" t="str">
        <f>IF(B51="", "", 'Lighting Inventory'!S59)</f>
        <v/>
      </c>
      <c r="AE51" s="26" t="str">
        <f>IF(B51="", "", 'Lighting Inventory'!V59)</f>
        <v/>
      </c>
      <c r="AF51" s="26" t="str">
        <f>IF(B51="", "", 'Lighting Inventory'!W59)</f>
        <v/>
      </c>
      <c r="AG51" s="26" t="str">
        <f>IF(OR(AF51="", B51=""), "", IF(AE51="Custom", "0", VLOOKUP(AF51, 'Lookup Tables'!$AI$6:$AP$102, 8, FALSE)))</f>
        <v/>
      </c>
      <c r="AH51" s="26" t="str">
        <f>IF(B51="", "", 'Lighting Inventory'!AD59)</f>
        <v/>
      </c>
      <c r="AI51" s="26" t="str">
        <f>IF(OR('Lighting Inventory'!AK59="", B51=""), "", 'Lighting Inventory'!AK59)</f>
        <v/>
      </c>
      <c r="AJ51" s="66" t="str">
        <f>IF(B51="", "", 'Lighting Inventory'!AL59)</f>
        <v/>
      </c>
      <c r="AK51" s="65" t="str">
        <f>IF(B51="", "", 'Lighting Inventory'!AM59)</f>
        <v/>
      </c>
      <c r="AL51" s="26" t="str">
        <f>IF(B51="", "", 'Lighting Inventory'!AN59)</f>
        <v/>
      </c>
      <c r="AM51" s="26" t="str">
        <f t="shared" si="1"/>
        <v/>
      </c>
      <c r="AN51" s="26" t="str">
        <f>IF(B51="","",IF('Lighting Inventory'!AV59="","Prescribed",'Lighting Inventory'!AV59))</f>
        <v/>
      </c>
      <c r="AO51" s="66" t="str">
        <f>IF(B51="", "", 'Lighting Inventory'!AX59)</f>
        <v/>
      </c>
      <c r="AP51" s="67" t="str">
        <f>IF(B51="", "", 'Lighting Inventory'!AZ59)</f>
        <v/>
      </c>
      <c r="AQ51" s="67" t="str">
        <f>IF(B51="", "", 'Lighting Inventory'!BA59)</f>
        <v/>
      </c>
      <c r="AR51" s="67" t="str">
        <f>IF(B51="", "", 'Lighting Inventory'!BB59)</f>
        <v/>
      </c>
      <c r="AS51" s="67" t="str">
        <f>IF(B51="", "", 'Lighting Inventory'!BC59)</f>
        <v/>
      </c>
      <c r="AT51" s="67" t="str">
        <f>IF(B51="", "", 'Lighting Inventory'!BD59)</f>
        <v/>
      </c>
      <c r="AU51" s="67" t="str">
        <f>IF(B51="", "", 'Lighting Inventory'!BE59)</f>
        <v/>
      </c>
      <c r="AV51" s="67" t="str">
        <f>IF(B51="", "", 'Lighting Inventory'!BE59)</f>
        <v/>
      </c>
      <c r="AW51" s="67" t="str">
        <f>IF(B51="", "", 'Lighting Inventory'!BF59)</f>
        <v/>
      </c>
      <c r="AX51" s="67" t="str">
        <f>IF(B51="", "", 'Lighting Inventory'!BF59)</f>
        <v/>
      </c>
      <c r="AY51" s="65" t="str">
        <f t="shared" si="4"/>
        <v/>
      </c>
      <c r="AZ51" s="65" t="str">
        <f>IF(B51="", "", 'Lighting Inventory'!BJ59)</f>
        <v/>
      </c>
      <c r="BA51" s="65" t="str">
        <f>IF(B51="", "", 'Lighting Inventory'!BM59)</f>
        <v/>
      </c>
      <c r="BB51" s="65" t="str">
        <f>IF(B51="","",SUM('Lighting Inventory'!BP59:BP59))</f>
        <v/>
      </c>
      <c r="BC51" s="67" t="str">
        <f>IF(OR(AE51="", B51=""),"", 'Lighting Inventory'!GR59)</f>
        <v/>
      </c>
      <c r="BD51" s="67" t="str">
        <f>IFERROR(IF(B51="", "", 'Lighting Inventory'!AF59)*AD51," ")</f>
        <v xml:space="preserve"> </v>
      </c>
      <c r="BE51" s="67"/>
      <c r="BF51" s="67"/>
    </row>
    <row r="52" spans="1:58" x14ac:dyDescent="0.25">
      <c r="A52" s="26" t="str">
        <f>IF(B52="", "", 'Lookup Tables'!AW53)</f>
        <v/>
      </c>
      <c r="B52" s="26" t="str">
        <f>IF(OR('Lighting Inventory'!Y60="", 'Lighting Inventory'!V60="No Change"),"", 'Lighting Inventory'!Y60)</f>
        <v/>
      </c>
      <c r="C52" s="26" t="str">
        <f>IF(B52="", "", IF('Lighting Inventory'!Y60='Lookup Tables'!$Y$32, 'Lighting Inventory'!AJ60, IF(AD52=0, R52, AD52)))</f>
        <v/>
      </c>
      <c r="D52" s="26" t="str">
        <f>IF(B52="", "", 'General Information'!$F$14)</f>
        <v/>
      </c>
      <c r="E52" s="26" t="str">
        <f t="shared" si="3"/>
        <v/>
      </c>
      <c r="F52" s="26" t="str">
        <f>IF(B52="", "", CONCATENATE('General Information'!$F$9, " - ", 'General Information'!$F$14))</f>
        <v/>
      </c>
      <c r="G52" s="26" t="str">
        <f>IF(B52="", "", 'General Information'!$F$15)</f>
        <v/>
      </c>
      <c r="H52" s="26" t="str">
        <f>IF(B52="", "", IF(VLOOKUP(B52, 'Lookup Tables'!$Y$18:$AA$34, 2, FALSE)="Traffic", VLOOKUP('Lighting Inventory'!W60, 'Lookup Tables'!#REF!, 11, FALSE), VLOOKUP(B52, 'Lookup Tables'!$Y$18:$AA$34, 2, FALSE)))</f>
        <v/>
      </c>
      <c r="I52" s="26" t="str">
        <f>IF(B52="", "", CONCATENATE(D52, 'Data Export'!A52))</f>
        <v/>
      </c>
      <c r="J52" s="26" t="str">
        <f>IF(B52="", "", 'Lookup Tables'!$B$1)</f>
        <v/>
      </c>
      <c r="K52" s="26" t="str">
        <f>IF(B52="", "", 'Lighting Inventory'!B60)</f>
        <v/>
      </c>
      <c r="L52" s="26" t="str">
        <f>IF(B52="", "", 'Lighting Inventory'!C60)</f>
        <v/>
      </c>
      <c r="M52" s="26" t="str">
        <f>IF(B52="", "",'Lighting Inventory'!D60)</f>
        <v/>
      </c>
      <c r="N52" s="26" t="str">
        <f>IF(B52="", "",'Lighting Inventory'!E60)</f>
        <v/>
      </c>
      <c r="O52" s="26" t="str">
        <f>IF(B52="", "", 'Lighting Inventory'!F60)</f>
        <v/>
      </c>
      <c r="P52" s="26" t="str">
        <f>IF(B52="", "", 'Lighting Inventory'!G60)</f>
        <v/>
      </c>
      <c r="Q52" s="26" t="str">
        <f>IF(B52="", "", 'Lighting Inventory'!H60)</f>
        <v/>
      </c>
      <c r="R52" s="26" t="str">
        <f>IF(B52="", "", 'Lighting Inventory'!I60)</f>
        <v/>
      </c>
      <c r="S52" s="26" t="str">
        <f>IF(B52="", "", 'Lighting Inventory'!J60)</f>
        <v/>
      </c>
      <c r="T52" s="26" t="str">
        <f>IFERROR(IF(B52="","",VLOOKUP(S52,'Fixture Identities'!$A$7:$G$1023,5,FALSE)), "New Construction")</f>
        <v/>
      </c>
      <c r="U52" s="26" t="str">
        <f>IFERROR(IF(B52="", "", IF(K52="New Construction", "NC", IF(VLOOKUP(S52, 'Fixture Identities'!$A$7:$I$1023,3, FALSE)="T12 Linear Fluorescent", VLOOKUP(S52, 'Fixture Identities'!$A$7:$K$1012, 11, FALSE), S52))), "")</f>
        <v/>
      </c>
      <c r="V52" s="26" t="str">
        <f>IFERROR(IF(OR(B52="", U52=0), "", VLOOKUP(U52, 'Fixture Identities'!$A$7:$G$1023, 5, FALSE)), "")</f>
        <v/>
      </c>
      <c r="W52" s="26" t="str">
        <f>IF(B52="", "",'Lighting Inventory'!K60)</f>
        <v/>
      </c>
      <c r="X52" s="65" t="str">
        <f>IF(B52="", "", 'Lighting Inventory'!L60)</f>
        <v/>
      </c>
      <c r="Y52" s="26" t="str">
        <f>IF(B52="", "", IF('Lighting Inventory'!M60="", "Light Switch",'Lighting Inventory'!M60))</f>
        <v/>
      </c>
      <c r="Z52" s="26" t="str">
        <f>IF(OR(K52="Retrofit", B52=""), "", 'Lighting Inventory'!N60)</f>
        <v/>
      </c>
      <c r="AA52" s="26" t="str">
        <f>IF(OR(Z52="",B52=""), "", 'Lighting Inventory'!O60)</f>
        <v/>
      </c>
      <c r="AB52" s="26" t="str">
        <f>IF(B52="", "", 'Lighting Inventory'!P60)</f>
        <v/>
      </c>
      <c r="AC52" s="96" t="str">
        <f>IF(B52="", "", 'Lighting Inventory'!R60)</f>
        <v/>
      </c>
      <c r="AD52" s="26" t="str">
        <f>IF(B52="", "", 'Lighting Inventory'!S60)</f>
        <v/>
      </c>
      <c r="AE52" s="26" t="str">
        <f>IF(B52="", "", 'Lighting Inventory'!V60)</f>
        <v/>
      </c>
      <c r="AF52" s="26" t="str">
        <f>IF(B52="", "", 'Lighting Inventory'!W60)</f>
        <v/>
      </c>
      <c r="AG52" s="26" t="str">
        <f>IF(OR(AF52="", B52=""), "", IF(AE52="Custom", "0", VLOOKUP(AF52, 'Lookup Tables'!$AI$6:$AP$102, 8, FALSE)))</f>
        <v/>
      </c>
      <c r="AH52" s="26" t="str">
        <f>IF(B52="", "", 'Lighting Inventory'!AD60)</f>
        <v/>
      </c>
      <c r="AI52" s="26" t="str">
        <f>IF(OR('Lighting Inventory'!AK60="", B52=""), "", 'Lighting Inventory'!AK60)</f>
        <v/>
      </c>
      <c r="AJ52" s="66" t="str">
        <f>IF(B52="", "", 'Lighting Inventory'!AL60)</f>
        <v/>
      </c>
      <c r="AK52" s="65" t="str">
        <f>IF(B52="", "", 'Lighting Inventory'!AM60)</f>
        <v/>
      </c>
      <c r="AL52" s="26" t="str">
        <f>IF(B52="", "", 'Lighting Inventory'!AN60)</f>
        <v/>
      </c>
      <c r="AM52" s="26" t="str">
        <f t="shared" si="1"/>
        <v/>
      </c>
      <c r="AN52" s="26" t="str">
        <f>IF(B52="","",IF('Lighting Inventory'!AV60="","Prescribed",'Lighting Inventory'!AV60))</f>
        <v/>
      </c>
      <c r="AO52" s="66" t="str">
        <f>IF(B52="", "", 'Lighting Inventory'!AX60)</f>
        <v/>
      </c>
      <c r="AP52" s="67" t="str">
        <f>IF(B52="", "", 'Lighting Inventory'!AZ60)</f>
        <v/>
      </c>
      <c r="AQ52" s="67" t="str">
        <f>IF(B52="", "", 'Lighting Inventory'!BA60)</f>
        <v/>
      </c>
      <c r="AR52" s="67" t="str">
        <f>IF(B52="", "", 'Lighting Inventory'!BB60)</f>
        <v/>
      </c>
      <c r="AS52" s="67" t="str">
        <f>IF(B52="", "", 'Lighting Inventory'!BC60)</f>
        <v/>
      </c>
      <c r="AT52" s="67" t="str">
        <f>IF(B52="", "", 'Lighting Inventory'!BD60)</f>
        <v/>
      </c>
      <c r="AU52" s="67" t="str">
        <f>IF(B52="", "", 'Lighting Inventory'!BE60)</f>
        <v/>
      </c>
      <c r="AV52" s="67" t="str">
        <f>IF(B52="", "", 'Lighting Inventory'!BE60)</f>
        <v/>
      </c>
      <c r="AW52" s="67" t="str">
        <f>IF(B52="", "", 'Lighting Inventory'!BF60)</f>
        <v/>
      </c>
      <c r="AX52" s="67" t="str">
        <f>IF(B52="", "", 'Lighting Inventory'!BF60)</f>
        <v/>
      </c>
      <c r="AY52" s="65" t="str">
        <f t="shared" si="4"/>
        <v/>
      </c>
      <c r="AZ52" s="65" t="str">
        <f>IF(B52="", "", 'Lighting Inventory'!BJ60)</f>
        <v/>
      </c>
      <c r="BA52" s="65" t="str">
        <f>IF(B52="", "", 'Lighting Inventory'!BM60)</f>
        <v/>
      </c>
      <c r="BB52" s="65" t="str">
        <f>IF(B52="","",SUM('Lighting Inventory'!BP60:BP60))</f>
        <v/>
      </c>
      <c r="BC52" s="67" t="str">
        <f>IF(OR(AE52="", B52=""),"", 'Lighting Inventory'!GR60)</f>
        <v/>
      </c>
      <c r="BD52" s="67" t="str">
        <f>IFERROR(IF(B52="", "", 'Lighting Inventory'!AF60)*AD52," ")</f>
        <v xml:space="preserve"> </v>
      </c>
      <c r="BE52" s="67"/>
      <c r="BF52" s="67"/>
    </row>
    <row r="53" spans="1:58" x14ac:dyDescent="0.25">
      <c r="A53" s="26" t="str">
        <f>IF(B53="", "", 'Lookup Tables'!AW54)</f>
        <v/>
      </c>
      <c r="B53" s="26" t="str">
        <f>IF(OR('Lighting Inventory'!Y61="", 'Lighting Inventory'!V61="No Change"),"", 'Lighting Inventory'!Y61)</f>
        <v/>
      </c>
      <c r="C53" s="26" t="str">
        <f>IF(B53="", "", IF('Lighting Inventory'!Y61='Lookup Tables'!$Y$32, 'Lighting Inventory'!AJ61, IF(AD53=0, R53, AD53)))</f>
        <v/>
      </c>
      <c r="D53" s="26" t="str">
        <f>IF(B53="", "", 'General Information'!$F$14)</f>
        <v/>
      </c>
      <c r="E53" s="26" t="str">
        <f t="shared" si="3"/>
        <v/>
      </c>
      <c r="F53" s="26" t="str">
        <f>IF(B53="", "", CONCATENATE('General Information'!$F$9, " - ", 'General Information'!$F$14))</f>
        <v/>
      </c>
      <c r="G53" s="26" t="str">
        <f>IF(B53="", "", 'General Information'!$F$15)</f>
        <v/>
      </c>
      <c r="H53" s="26" t="str">
        <f>IF(B53="", "", IF(VLOOKUP(B53, 'Lookup Tables'!$Y$18:$AA$34, 2, FALSE)="Traffic", VLOOKUP('Lighting Inventory'!W61, 'Lookup Tables'!#REF!, 11, FALSE), VLOOKUP(B53, 'Lookup Tables'!$Y$18:$AA$34, 2, FALSE)))</f>
        <v/>
      </c>
      <c r="I53" s="26" t="str">
        <f>IF(B53="", "", CONCATENATE(D53, 'Data Export'!A53))</f>
        <v/>
      </c>
      <c r="J53" s="26" t="str">
        <f>IF(B53="", "", 'Lookup Tables'!$B$1)</f>
        <v/>
      </c>
      <c r="K53" s="26" t="str">
        <f>IF(B53="", "", 'Lighting Inventory'!B61)</f>
        <v/>
      </c>
      <c r="L53" s="26" t="str">
        <f>IF(B53="", "", 'Lighting Inventory'!C61)</f>
        <v/>
      </c>
      <c r="M53" s="26" t="str">
        <f>IF(B53="", "",'Lighting Inventory'!D61)</f>
        <v/>
      </c>
      <c r="N53" s="26" t="str">
        <f>IF(B53="", "",'Lighting Inventory'!E61)</f>
        <v/>
      </c>
      <c r="O53" s="26" t="str">
        <f>IF(B53="", "", 'Lighting Inventory'!F61)</f>
        <v/>
      </c>
      <c r="P53" s="26" t="str">
        <f>IF(B53="", "", 'Lighting Inventory'!G61)</f>
        <v/>
      </c>
      <c r="Q53" s="26" t="str">
        <f>IF(B53="", "", 'Lighting Inventory'!H61)</f>
        <v/>
      </c>
      <c r="R53" s="26" t="str">
        <f>IF(B53="", "", 'Lighting Inventory'!I61)</f>
        <v/>
      </c>
      <c r="S53" s="26" t="str">
        <f>IF(B53="", "", 'Lighting Inventory'!J61)</f>
        <v/>
      </c>
      <c r="T53" s="26" t="str">
        <f>IFERROR(IF(B53="","",VLOOKUP(S53,'Fixture Identities'!$A$7:$G$1023,5,FALSE)), "New Construction")</f>
        <v/>
      </c>
      <c r="U53" s="26" t="str">
        <f>IFERROR(IF(B53="", "", IF(K53="New Construction", "NC", IF(VLOOKUP(S53, 'Fixture Identities'!$A$7:$I$1023,3, FALSE)="T12 Linear Fluorescent", VLOOKUP(S53, 'Fixture Identities'!$A$7:$K$1012, 11, FALSE), S53))), "")</f>
        <v/>
      </c>
      <c r="V53" s="26" t="str">
        <f>IFERROR(IF(OR(B53="", U53=0), "", VLOOKUP(U53, 'Fixture Identities'!$A$7:$G$1023, 5, FALSE)), "")</f>
        <v/>
      </c>
      <c r="W53" s="26" t="str">
        <f>IF(B53="", "",'Lighting Inventory'!K61)</f>
        <v/>
      </c>
      <c r="X53" s="65" t="str">
        <f>IF(B53="", "", 'Lighting Inventory'!L61)</f>
        <v/>
      </c>
      <c r="Y53" s="26" t="str">
        <f>IF(B53="", "", IF('Lighting Inventory'!M61="", "Light Switch",'Lighting Inventory'!M61))</f>
        <v/>
      </c>
      <c r="Z53" s="26" t="str">
        <f>IF(OR(K53="Retrofit", B53=""), "", 'Lighting Inventory'!N61)</f>
        <v/>
      </c>
      <c r="AA53" s="26" t="str">
        <f>IF(OR(Z53="",B53=""), "", 'Lighting Inventory'!O61)</f>
        <v/>
      </c>
      <c r="AB53" s="26" t="str">
        <f>IF(B53="", "", 'Lighting Inventory'!P61)</f>
        <v/>
      </c>
      <c r="AC53" s="96" t="str">
        <f>IF(B53="", "", 'Lighting Inventory'!R61)</f>
        <v/>
      </c>
      <c r="AD53" s="26" t="str">
        <f>IF(B53="", "", 'Lighting Inventory'!S61)</f>
        <v/>
      </c>
      <c r="AE53" s="26" t="str">
        <f>IF(B53="", "", 'Lighting Inventory'!V61)</f>
        <v/>
      </c>
      <c r="AF53" s="26" t="str">
        <f>IF(B53="", "", 'Lighting Inventory'!W61)</f>
        <v/>
      </c>
      <c r="AG53" s="26" t="str">
        <f>IF(OR(AF53="", B53=""), "", IF(AE53="Custom", "0", VLOOKUP(AF53, 'Lookup Tables'!$AI$6:$AP$102, 8, FALSE)))</f>
        <v/>
      </c>
      <c r="AH53" s="26" t="str">
        <f>IF(B53="", "", 'Lighting Inventory'!AD61)</f>
        <v/>
      </c>
      <c r="AI53" s="26" t="str">
        <f>IF(OR('Lighting Inventory'!AK61="", B53=""), "", 'Lighting Inventory'!AK61)</f>
        <v/>
      </c>
      <c r="AJ53" s="66" t="str">
        <f>IF(B53="", "", 'Lighting Inventory'!AL61)</f>
        <v/>
      </c>
      <c r="AK53" s="65" t="str">
        <f>IF(B53="", "", 'Lighting Inventory'!AM61)</f>
        <v/>
      </c>
      <c r="AL53" s="26" t="str">
        <f>IF(B53="", "", 'Lighting Inventory'!AN61)</f>
        <v/>
      </c>
      <c r="AM53" s="26" t="str">
        <f t="shared" si="1"/>
        <v/>
      </c>
      <c r="AN53" s="26" t="str">
        <f>IF(B53="","",IF('Lighting Inventory'!AV61="","Prescribed",'Lighting Inventory'!AV61))</f>
        <v/>
      </c>
      <c r="AO53" s="66" t="str">
        <f>IF(B53="", "", 'Lighting Inventory'!AX61)</f>
        <v/>
      </c>
      <c r="AP53" s="67" t="str">
        <f>IF(B53="", "", 'Lighting Inventory'!AZ61)</f>
        <v/>
      </c>
      <c r="AQ53" s="67" t="str">
        <f>IF(B53="", "", 'Lighting Inventory'!BA61)</f>
        <v/>
      </c>
      <c r="AR53" s="67" t="str">
        <f>IF(B53="", "", 'Lighting Inventory'!BB61)</f>
        <v/>
      </c>
      <c r="AS53" s="67" t="str">
        <f>IF(B53="", "", 'Lighting Inventory'!BC61)</f>
        <v/>
      </c>
      <c r="AT53" s="67" t="str">
        <f>IF(B53="", "", 'Lighting Inventory'!BD61)</f>
        <v/>
      </c>
      <c r="AU53" s="67" t="str">
        <f>IF(B53="", "", 'Lighting Inventory'!BE61)</f>
        <v/>
      </c>
      <c r="AV53" s="67" t="str">
        <f>IF(B53="", "", 'Lighting Inventory'!BE61)</f>
        <v/>
      </c>
      <c r="AW53" s="67" t="str">
        <f>IF(B53="", "", 'Lighting Inventory'!BF61)</f>
        <v/>
      </c>
      <c r="AX53" s="67" t="str">
        <f>IF(B53="", "", 'Lighting Inventory'!BF61)</f>
        <v/>
      </c>
      <c r="AY53" s="65" t="str">
        <f t="shared" si="4"/>
        <v/>
      </c>
      <c r="AZ53" s="65" t="str">
        <f>IF(B53="", "", 'Lighting Inventory'!BJ61)</f>
        <v/>
      </c>
      <c r="BA53" s="65" t="str">
        <f>IF(B53="", "", 'Lighting Inventory'!BM61)</f>
        <v/>
      </c>
      <c r="BB53" s="65" t="str">
        <f>IF(B53="","",SUM('Lighting Inventory'!BP61:BP61))</f>
        <v/>
      </c>
      <c r="BC53" s="67" t="str">
        <f>IF(OR(AE53="", B53=""),"", 'Lighting Inventory'!GR61)</f>
        <v/>
      </c>
      <c r="BD53" s="67" t="str">
        <f>IFERROR(IF(B53="", "", 'Lighting Inventory'!AF61)*AD53," ")</f>
        <v xml:space="preserve"> </v>
      </c>
      <c r="BE53" s="67"/>
      <c r="BF53" s="67"/>
    </row>
    <row r="54" spans="1:58" x14ac:dyDescent="0.25">
      <c r="A54" s="26" t="str">
        <f>IF(B54="", "", 'Lookup Tables'!AW55)</f>
        <v/>
      </c>
      <c r="B54" s="26" t="str">
        <f>IF(OR('Lighting Inventory'!Y62="", 'Lighting Inventory'!V62="No Change"),"", 'Lighting Inventory'!Y62)</f>
        <v/>
      </c>
      <c r="C54" s="26" t="str">
        <f>IF(B54="", "", IF('Lighting Inventory'!Y62='Lookup Tables'!$Y$32, 'Lighting Inventory'!AJ62, IF(AD54=0, R54, AD54)))</f>
        <v/>
      </c>
      <c r="D54" s="26" t="str">
        <f>IF(B54="", "", 'General Information'!$F$14)</f>
        <v/>
      </c>
      <c r="E54" s="26" t="str">
        <f t="shared" si="3"/>
        <v/>
      </c>
      <c r="F54" s="26" t="str">
        <f>IF(B54="", "", CONCATENATE('General Information'!$F$9, " - ", 'General Information'!$F$14))</f>
        <v/>
      </c>
      <c r="G54" s="26" t="str">
        <f>IF(B54="", "", 'General Information'!$F$15)</f>
        <v/>
      </c>
      <c r="H54" s="26" t="str">
        <f>IF(B54="", "", IF(VLOOKUP(B54, 'Lookup Tables'!$Y$18:$AA$34, 2, FALSE)="Traffic", VLOOKUP('Lighting Inventory'!W62, 'Lookup Tables'!#REF!, 11, FALSE), VLOOKUP(B54, 'Lookup Tables'!$Y$18:$AA$34, 2, FALSE)))</f>
        <v/>
      </c>
      <c r="I54" s="26" t="str">
        <f>IF(B54="", "", CONCATENATE(D54, 'Data Export'!A54))</f>
        <v/>
      </c>
      <c r="J54" s="26" t="str">
        <f>IF(B54="", "", 'Lookup Tables'!$B$1)</f>
        <v/>
      </c>
      <c r="K54" s="26" t="str">
        <f>IF(B54="", "", 'Lighting Inventory'!B62)</f>
        <v/>
      </c>
      <c r="L54" s="26" t="str">
        <f>IF(B54="", "", 'Lighting Inventory'!C62)</f>
        <v/>
      </c>
      <c r="M54" s="26" t="str">
        <f>IF(B54="", "",'Lighting Inventory'!D62)</f>
        <v/>
      </c>
      <c r="N54" s="26" t="str">
        <f>IF(B54="", "",'Lighting Inventory'!E62)</f>
        <v/>
      </c>
      <c r="O54" s="26" t="str">
        <f>IF(B54="", "", 'Lighting Inventory'!F62)</f>
        <v/>
      </c>
      <c r="P54" s="26" t="str">
        <f>IF(B54="", "", 'Lighting Inventory'!G62)</f>
        <v/>
      </c>
      <c r="Q54" s="26" t="str">
        <f>IF(B54="", "", 'Lighting Inventory'!H62)</f>
        <v/>
      </c>
      <c r="R54" s="26" t="str">
        <f>IF(B54="", "", 'Lighting Inventory'!I62)</f>
        <v/>
      </c>
      <c r="S54" s="26" t="str">
        <f>IF(B54="", "", 'Lighting Inventory'!J62)</f>
        <v/>
      </c>
      <c r="T54" s="26" t="str">
        <f>IFERROR(IF(B54="","",VLOOKUP(S54,'Fixture Identities'!$A$7:$G$1023,5,FALSE)), "New Construction")</f>
        <v/>
      </c>
      <c r="U54" s="26" t="str">
        <f>IFERROR(IF(B54="", "", IF(K54="New Construction", "NC", IF(VLOOKUP(S54, 'Fixture Identities'!$A$7:$I$1023,3, FALSE)="T12 Linear Fluorescent", VLOOKUP(S54, 'Fixture Identities'!$A$7:$K$1012, 11, FALSE), S54))), "")</f>
        <v/>
      </c>
      <c r="V54" s="26" t="str">
        <f>IFERROR(IF(OR(B54="", U54=0), "", VLOOKUP(U54, 'Fixture Identities'!$A$7:$G$1023, 5, FALSE)), "")</f>
        <v/>
      </c>
      <c r="W54" s="26" t="str">
        <f>IF(B54="", "",'Lighting Inventory'!K62)</f>
        <v/>
      </c>
      <c r="X54" s="65" t="str">
        <f>IF(B54="", "", 'Lighting Inventory'!L62)</f>
        <v/>
      </c>
      <c r="Y54" s="26" t="str">
        <f>IF(B54="", "", IF('Lighting Inventory'!M62="", "Light Switch",'Lighting Inventory'!M62))</f>
        <v/>
      </c>
      <c r="Z54" s="26" t="str">
        <f>IF(OR(K54="Retrofit", B54=""), "", 'Lighting Inventory'!N62)</f>
        <v/>
      </c>
      <c r="AA54" s="26" t="str">
        <f>IF(OR(Z54="",B54=""), "", 'Lighting Inventory'!O62)</f>
        <v/>
      </c>
      <c r="AB54" s="26" t="str">
        <f>IF(B54="", "", 'Lighting Inventory'!P62)</f>
        <v/>
      </c>
      <c r="AC54" s="96" t="str">
        <f>IF(B54="", "", 'Lighting Inventory'!R62)</f>
        <v/>
      </c>
      <c r="AD54" s="26" t="str">
        <f>IF(B54="", "", 'Lighting Inventory'!S62)</f>
        <v/>
      </c>
      <c r="AE54" s="26" t="str">
        <f>IF(B54="", "", 'Lighting Inventory'!V62)</f>
        <v/>
      </c>
      <c r="AF54" s="26" t="str">
        <f>IF(B54="", "", 'Lighting Inventory'!W62)</f>
        <v/>
      </c>
      <c r="AG54" s="26" t="str">
        <f>IF(OR(AF54="", B54=""), "", IF(AE54="Custom", "0", VLOOKUP(AF54, 'Lookup Tables'!$AI$6:$AP$102, 8, FALSE)))</f>
        <v/>
      </c>
      <c r="AH54" s="26" t="str">
        <f>IF(B54="", "", 'Lighting Inventory'!AD62)</f>
        <v/>
      </c>
      <c r="AI54" s="26" t="str">
        <f>IF(OR('Lighting Inventory'!AK62="", B54=""), "", 'Lighting Inventory'!AK62)</f>
        <v/>
      </c>
      <c r="AJ54" s="66" t="str">
        <f>IF(B54="", "", 'Lighting Inventory'!AL62)</f>
        <v/>
      </c>
      <c r="AK54" s="65" t="str">
        <f>IF(B54="", "", 'Lighting Inventory'!AM62)</f>
        <v/>
      </c>
      <c r="AL54" s="26" t="str">
        <f>IF(B54="", "", 'Lighting Inventory'!AN62)</f>
        <v/>
      </c>
      <c r="AM54" s="26" t="str">
        <f t="shared" si="1"/>
        <v/>
      </c>
      <c r="AN54" s="26" t="str">
        <f>IF(B54="","",IF('Lighting Inventory'!AV62="","Prescribed",'Lighting Inventory'!AV62))</f>
        <v/>
      </c>
      <c r="AO54" s="66" t="str">
        <f>IF(B54="", "", 'Lighting Inventory'!AX62)</f>
        <v/>
      </c>
      <c r="AP54" s="67" t="str">
        <f>IF(B54="", "", 'Lighting Inventory'!AZ62)</f>
        <v/>
      </c>
      <c r="AQ54" s="67" t="str">
        <f>IF(B54="", "", 'Lighting Inventory'!BA62)</f>
        <v/>
      </c>
      <c r="AR54" s="67" t="str">
        <f>IF(B54="", "", 'Lighting Inventory'!BB62)</f>
        <v/>
      </c>
      <c r="AS54" s="67" t="str">
        <f>IF(B54="", "", 'Lighting Inventory'!BC62)</f>
        <v/>
      </c>
      <c r="AT54" s="67" t="str">
        <f>IF(B54="", "", 'Lighting Inventory'!BD62)</f>
        <v/>
      </c>
      <c r="AU54" s="67" t="str">
        <f>IF(B54="", "", 'Lighting Inventory'!BE62)</f>
        <v/>
      </c>
      <c r="AV54" s="67" t="str">
        <f>IF(B54="", "", 'Lighting Inventory'!BE62)</f>
        <v/>
      </c>
      <c r="AW54" s="67" t="str">
        <f>IF(B54="", "", 'Lighting Inventory'!BF62)</f>
        <v/>
      </c>
      <c r="AX54" s="67" t="str">
        <f>IF(B54="", "", 'Lighting Inventory'!BF62)</f>
        <v/>
      </c>
      <c r="AY54" s="65" t="str">
        <f t="shared" si="4"/>
        <v/>
      </c>
      <c r="AZ54" s="65" t="str">
        <f>IF(B54="", "", 'Lighting Inventory'!BJ62)</f>
        <v/>
      </c>
      <c r="BA54" s="65" t="str">
        <f>IF(B54="", "", 'Lighting Inventory'!BM62)</f>
        <v/>
      </c>
      <c r="BB54" s="65" t="str">
        <f>IF(B54="","",SUM('Lighting Inventory'!BP62:BP62))</f>
        <v/>
      </c>
      <c r="BC54" s="67" t="str">
        <f>IF(OR(AE54="", B54=""),"", 'Lighting Inventory'!GR62)</f>
        <v/>
      </c>
      <c r="BD54" s="67" t="str">
        <f>IFERROR(IF(B54="", "", 'Lighting Inventory'!AF62)*AD54," ")</f>
        <v xml:space="preserve"> </v>
      </c>
      <c r="BE54" s="67"/>
      <c r="BF54" s="67"/>
    </row>
    <row r="55" spans="1:58" x14ac:dyDescent="0.25">
      <c r="A55" s="26" t="str">
        <f>IF(B55="", "", 'Lookup Tables'!AW56)</f>
        <v/>
      </c>
      <c r="B55" s="26" t="str">
        <f>IF(OR('Lighting Inventory'!Y63="", 'Lighting Inventory'!V63="No Change"),"", 'Lighting Inventory'!Y63)</f>
        <v/>
      </c>
      <c r="C55" s="26" t="str">
        <f>IF(B55="", "", IF('Lighting Inventory'!Y63='Lookup Tables'!$Y$32, 'Lighting Inventory'!AJ63, IF(AD55=0, R55, AD55)))</f>
        <v/>
      </c>
      <c r="D55" s="26" t="str">
        <f>IF(B55="", "", 'General Information'!$F$14)</f>
        <v/>
      </c>
      <c r="E55" s="26" t="str">
        <f t="shared" si="3"/>
        <v/>
      </c>
      <c r="F55" s="26" t="str">
        <f>IF(B55="", "", CONCATENATE('General Information'!$F$9, " - ", 'General Information'!$F$14))</f>
        <v/>
      </c>
      <c r="G55" s="26" t="str">
        <f>IF(B55="", "", 'General Information'!$F$15)</f>
        <v/>
      </c>
      <c r="H55" s="26" t="str">
        <f>IF(B55="", "", IF(VLOOKUP(B55, 'Lookup Tables'!$Y$18:$AA$34, 2, FALSE)="Traffic", VLOOKUP('Lighting Inventory'!W63, 'Lookup Tables'!#REF!, 11, FALSE), VLOOKUP(B55, 'Lookup Tables'!$Y$18:$AA$34, 2, FALSE)))</f>
        <v/>
      </c>
      <c r="I55" s="26" t="str">
        <f>IF(B55="", "", CONCATENATE(D55, 'Data Export'!A55))</f>
        <v/>
      </c>
      <c r="J55" s="26" t="str">
        <f>IF(B55="", "", 'Lookup Tables'!$B$1)</f>
        <v/>
      </c>
      <c r="K55" s="26" t="str">
        <f>IF(B55="", "", 'Lighting Inventory'!B63)</f>
        <v/>
      </c>
      <c r="L55" s="26" t="str">
        <f>IF(B55="", "", 'Lighting Inventory'!C63)</f>
        <v/>
      </c>
      <c r="M55" s="26" t="str">
        <f>IF(B55="", "",'Lighting Inventory'!D63)</f>
        <v/>
      </c>
      <c r="N55" s="26" t="str">
        <f>IF(B55="", "",'Lighting Inventory'!E63)</f>
        <v/>
      </c>
      <c r="O55" s="26" t="str">
        <f>IF(B55="", "", 'Lighting Inventory'!F63)</f>
        <v/>
      </c>
      <c r="P55" s="26" t="str">
        <f>IF(B55="", "", 'Lighting Inventory'!G63)</f>
        <v/>
      </c>
      <c r="Q55" s="26" t="str">
        <f>IF(B55="", "", 'Lighting Inventory'!H63)</f>
        <v/>
      </c>
      <c r="R55" s="26" t="str">
        <f>IF(B55="", "", 'Lighting Inventory'!I63)</f>
        <v/>
      </c>
      <c r="S55" s="26" t="str">
        <f>IF(B55="", "", 'Lighting Inventory'!J63)</f>
        <v/>
      </c>
      <c r="T55" s="26" t="str">
        <f>IFERROR(IF(B55="","",VLOOKUP(S55,'Fixture Identities'!$A$7:$G$1023,5,FALSE)), "New Construction")</f>
        <v/>
      </c>
      <c r="U55" s="26" t="str">
        <f>IFERROR(IF(B55="", "", IF(K55="New Construction", "NC", IF(VLOOKUP(S55, 'Fixture Identities'!$A$7:$I$1023,3, FALSE)="T12 Linear Fluorescent", VLOOKUP(S55, 'Fixture Identities'!$A$7:$K$1012, 11, FALSE), S55))), "")</f>
        <v/>
      </c>
      <c r="V55" s="26" t="str">
        <f>IFERROR(IF(OR(B55="", U55=0), "", VLOOKUP(U55, 'Fixture Identities'!$A$7:$G$1023, 5, FALSE)), "")</f>
        <v/>
      </c>
      <c r="W55" s="26" t="str">
        <f>IF(B55="", "",'Lighting Inventory'!K63)</f>
        <v/>
      </c>
      <c r="X55" s="65" t="str">
        <f>IF(B55="", "", 'Lighting Inventory'!L63)</f>
        <v/>
      </c>
      <c r="Y55" s="26" t="str">
        <f>IF(B55="", "", IF('Lighting Inventory'!M63="", "Light Switch",'Lighting Inventory'!M63))</f>
        <v/>
      </c>
      <c r="Z55" s="26" t="str">
        <f>IF(OR(K55="Retrofit", B55=""), "", 'Lighting Inventory'!N63)</f>
        <v/>
      </c>
      <c r="AA55" s="26" t="str">
        <f>IF(OR(Z55="",B55=""), "", 'Lighting Inventory'!O63)</f>
        <v/>
      </c>
      <c r="AB55" s="26" t="str">
        <f>IF(B55="", "", 'Lighting Inventory'!P63)</f>
        <v/>
      </c>
      <c r="AC55" s="96" t="str">
        <f>IF(B55="", "", 'Lighting Inventory'!R63)</f>
        <v/>
      </c>
      <c r="AD55" s="26" t="str">
        <f>IF(B55="", "", 'Lighting Inventory'!S63)</f>
        <v/>
      </c>
      <c r="AE55" s="26" t="str">
        <f>IF(B55="", "", 'Lighting Inventory'!V63)</f>
        <v/>
      </c>
      <c r="AF55" s="26" t="str">
        <f>IF(B55="", "", 'Lighting Inventory'!W63)</f>
        <v/>
      </c>
      <c r="AG55" s="26" t="str">
        <f>IF(OR(AF55="", B55=""), "", IF(AE55="Custom", "0", VLOOKUP(AF55, 'Lookup Tables'!$AI$6:$AP$102, 8, FALSE)))</f>
        <v/>
      </c>
      <c r="AH55" s="26" t="str">
        <f>IF(B55="", "", 'Lighting Inventory'!AD63)</f>
        <v/>
      </c>
      <c r="AI55" s="26" t="str">
        <f>IF(OR('Lighting Inventory'!AK63="", B55=""), "", 'Lighting Inventory'!AK63)</f>
        <v/>
      </c>
      <c r="AJ55" s="66" t="str">
        <f>IF(B55="", "", 'Lighting Inventory'!AL63)</f>
        <v/>
      </c>
      <c r="AK55" s="65" t="str">
        <f>IF(B55="", "", 'Lighting Inventory'!AM63)</f>
        <v/>
      </c>
      <c r="AL55" s="26" t="str">
        <f>IF(B55="", "", 'Lighting Inventory'!AN63)</f>
        <v/>
      </c>
      <c r="AM55" s="26" t="str">
        <f t="shared" si="1"/>
        <v/>
      </c>
      <c r="AN55" s="26" t="str">
        <f>IF(B55="","",IF('Lighting Inventory'!AV63="","Prescribed",'Lighting Inventory'!AV63))</f>
        <v/>
      </c>
      <c r="AO55" s="66" t="str">
        <f>IF(B55="", "", 'Lighting Inventory'!AX63)</f>
        <v/>
      </c>
      <c r="AP55" s="67" t="str">
        <f>IF(B55="", "", 'Lighting Inventory'!AZ63)</f>
        <v/>
      </c>
      <c r="AQ55" s="67" t="str">
        <f>IF(B55="", "", 'Lighting Inventory'!BA63)</f>
        <v/>
      </c>
      <c r="AR55" s="67" t="str">
        <f>IF(B55="", "", 'Lighting Inventory'!BB63)</f>
        <v/>
      </c>
      <c r="AS55" s="67" t="str">
        <f>IF(B55="", "", 'Lighting Inventory'!BC63)</f>
        <v/>
      </c>
      <c r="AT55" s="67" t="str">
        <f>IF(B55="", "", 'Lighting Inventory'!BD63)</f>
        <v/>
      </c>
      <c r="AU55" s="67" t="str">
        <f>IF(B55="", "", 'Lighting Inventory'!BE63)</f>
        <v/>
      </c>
      <c r="AV55" s="67" t="str">
        <f>IF(B55="", "", 'Lighting Inventory'!BE63)</f>
        <v/>
      </c>
      <c r="AW55" s="67" t="str">
        <f>IF(B55="", "", 'Lighting Inventory'!BF63)</f>
        <v/>
      </c>
      <c r="AX55" s="67" t="str">
        <f>IF(B55="", "", 'Lighting Inventory'!BF63)</f>
        <v/>
      </c>
      <c r="AY55" s="65" t="str">
        <f t="shared" si="4"/>
        <v/>
      </c>
      <c r="AZ55" s="65" t="str">
        <f>IF(B55="", "", 'Lighting Inventory'!BJ63)</f>
        <v/>
      </c>
      <c r="BA55" s="65" t="str">
        <f>IF(B55="", "", 'Lighting Inventory'!BM63)</f>
        <v/>
      </c>
      <c r="BB55" s="65" t="str">
        <f>IF(B55="","",SUM('Lighting Inventory'!BP63:BP63))</f>
        <v/>
      </c>
      <c r="BC55" s="67" t="str">
        <f>IF(OR(AE55="", B55=""),"", 'Lighting Inventory'!GR63)</f>
        <v/>
      </c>
      <c r="BD55" s="67" t="str">
        <f>IFERROR(IF(B55="", "", 'Lighting Inventory'!AF63)*AD55," ")</f>
        <v xml:space="preserve"> </v>
      </c>
      <c r="BE55" s="67"/>
      <c r="BF55" s="67"/>
    </row>
    <row r="56" spans="1:58" x14ac:dyDescent="0.25">
      <c r="A56" s="26" t="str">
        <f>IF(B56="", "", 'Lookup Tables'!AW57)</f>
        <v/>
      </c>
      <c r="B56" s="26" t="str">
        <f>IF(OR('Lighting Inventory'!Y64="", 'Lighting Inventory'!V64="No Change"),"", 'Lighting Inventory'!Y64)</f>
        <v/>
      </c>
      <c r="C56" s="26" t="str">
        <f>IF(B56="", "", IF('Lighting Inventory'!Y64='Lookup Tables'!$Y$32, 'Lighting Inventory'!AJ64, IF(AD56=0, R56, AD56)))</f>
        <v/>
      </c>
      <c r="D56" s="26" t="str">
        <f>IF(B56="", "", 'General Information'!$F$14)</f>
        <v/>
      </c>
      <c r="E56" s="26" t="str">
        <f t="shared" si="3"/>
        <v/>
      </c>
      <c r="F56" s="26" t="str">
        <f>IF(B56="", "", CONCATENATE('General Information'!$F$9, " - ", 'General Information'!$F$14))</f>
        <v/>
      </c>
      <c r="G56" s="26" t="str">
        <f>IF(B56="", "", 'General Information'!$F$15)</f>
        <v/>
      </c>
      <c r="H56" s="26" t="str">
        <f>IF(B56="", "", IF(VLOOKUP(B56, 'Lookup Tables'!$Y$18:$AA$34, 2, FALSE)="Traffic", VLOOKUP('Lighting Inventory'!W64, 'Lookup Tables'!#REF!, 11, FALSE), VLOOKUP(B56, 'Lookup Tables'!$Y$18:$AA$34, 2, FALSE)))</f>
        <v/>
      </c>
      <c r="I56" s="26" t="str">
        <f>IF(B56="", "", CONCATENATE(D56, 'Data Export'!A56))</f>
        <v/>
      </c>
      <c r="J56" s="26" t="str">
        <f>IF(B56="", "", 'Lookup Tables'!$B$1)</f>
        <v/>
      </c>
      <c r="K56" s="26" t="str">
        <f>IF(B56="", "", 'Lighting Inventory'!B64)</f>
        <v/>
      </c>
      <c r="L56" s="26" t="str">
        <f>IF(B56="", "", 'Lighting Inventory'!C64)</f>
        <v/>
      </c>
      <c r="M56" s="26" t="str">
        <f>IF(B56="", "",'Lighting Inventory'!D64)</f>
        <v/>
      </c>
      <c r="N56" s="26" t="str">
        <f>IF(B56="", "",'Lighting Inventory'!E64)</f>
        <v/>
      </c>
      <c r="O56" s="26" t="str">
        <f>IF(B56="", "", 'Lighting Inventory'!F64)</f>
        <v/>
      </c>
      <c r="P56" s="26" t="str">
        <f>IF(B56="", "", 'Lighting Inventory'!G64)</f>
        <v/>
      </c>
      <c r="Q56" s="26" t="str">
        <f>IF(B56="", "", 'Lighting Inventory'!H64)</f>
        <v/>
      </c>
      <c r="R56" s="26" t="str">
        <f>IF(B56="", "", 'Lighting Inventory'!I64)</f>
        <v/>
      </c>
      <c r="S56" s="26" t="str">
        <f>IF(B56="", "", 'Lighting Inventory'!J64)</f>
        <v/>
      </c>
      <c r="T56" s="26" t="str">
        <f>IFERROR(IF(B56="","",VLOOKUP(S56,'Fixture Identities'!$A$7:$G$1023,5,FALSE)), "New Construction")</f>
        <v/>
      </c>
      <c r="U56" s="26" t="str">
        <f>IFERROR(IF(B56="", "", IF(K56="New Construction", "NC", IF(VLOOKUP(S56, 'Fixture Identities'!$A$7:$I$1023,3, FALSE)="T12 Linear Fluorescent", VLOOKUP(S56, 'Fixture Identities'!$A$7:$K$1012, 11, FALSE), S56))), "")</f>
        <v/>
      </c>
      <c r="V56" s="26" t="str">
        <f>IFERROR(IF(OR(B56="", U56=0), "", VLOOKUP(U56, 'Fixture Identities'!$A$7:$G$1023, 5, FALSE)), "")</f>
        <v/>
      </c>
      <c r="W56" s="26" t="str">
        <f>IF(B56="", "",'Lighting Inventory'!K64)</f>
        <v/>
      </c>
      <c r="X56" s="65" t="str">
        <f>IF(B56="", "", 'Lighting Inventory'!L64)</f>
        <v/>
      </c>
      <c r="Y56" s="26" t="str">
        <f>IF(B56="", "", IF('Lighting Inventory'!M64="", "Light Switch",'Lighting Inventory'!M64))</f>
        <v/>
      </c>
      <c r="Z56" s="26" t="str">
        <f>IF(OR(K56="Retrofit", B56=""), "", 'Lighting Inventory'!N64)</f>
        <v/>
      </c>
      <c r="AA56" s="26" t="str">
        <f>IF(OR(Z56="",B56=""), "", 'Lighting Inventory'!O64)</f>
        <v/>
      </c>
      <c r="AB56" s="26" t="str">
        <f>IF(B56="", "", 'Lighting Inventory'!P64)</f>
        <v/>
      </c>
      <c r="AC56" s="96" t="str">
        <f>IF(B56="", "", 'Lighting Inventory'!R64)</f>
        <v/>
      </c>
      <c r="AD56" s="26" t="str">
        <f>IF(B56="", "", 'Lighting Inventory'!S64)</f>
        <v/>
      </c>
      <c r="AE56" s="26" t="str">
        <f>IF(B56="", "", 'Lighting Inventory'!V64)</f>
        <v/>
      </c>
      <c r="AF56" s="26" t="str">
        <f>IF(B56="", "", 'Lighting Inventory'!W64)</f>
        <v/>
      </c>
      <c r="AG56" s="26" t="str">
        <f>IF(OR(AF56="", B56=""), "", IF(AE56="Custom", "0", VLOOKUP(AF56, 'Lookup Tables'!$AI$6:$AP$102, 8, FALSE)))</f>
        <v/>
      </c>
      <c r="AH56" s="26" t="str">
        <f>IF(B56="", "", 'Lighting Inventory'!AD64)</f>
        <v/>
      </c>
      <c r="AI56" s="26" t="str">
        <f>IF(OR('Lighting Inventory'!AK64="", B56=""), "", 'Lighting Inventory'!AK64)</f>
        <v/>
      </c>
      <c r="AJ56" s="66" t="str">
        <f>IF(B56="", "", 'Lighting Inventory'!AL64)</f>
        <v/>
      </c>
      <c r="AK56" s="65" t="str">
        <f>IF(B56="", "", 'Lighting Inventory'!AM64)</f>
        <v/>
      </c>
      <c r="AL56" s="26" t="str">
        <f>IF(B56="", "", 'Lighting Inventory'!AN64)</f>
        <v/>
      </c>
      <c r="AM56" s="26" t="str">
        <f t="shared" si="1"/>
        <v/>
      </c>
      <c r="AN56" s="26" t="str">
        <f>IF(B56="","",IF('Lighting Inventory'!AV64="","Prescribed",'Lighting Inventory'!AV64))</f>
        <v/>
      </c>
      <c r="AO56" s="66" t="str">
        <f>IF(B56="", "", 'Lighting Inventory'!AX64)</f>
        <v/>
      </c>
      <c r="AP56" s="67" t="str">
        <f>IF(B56="", "", 'Lighting Inventory'!AZ64)</f>
        <v/>
      </c>
      <c r="AQ56" s="67" t="str">
        <f>IF(B56="", "", 'Lighting Inventory'!BA64)</f>
        <v/>
      </c>
      <c r="AR56" s="67" t="str">
        <f>IF(B56="", "", 'Lighting Inventory'!BB64)</f>
        <v/>
      </c>
      <c r="AS56" s="67" t="str">
        <f>IF(B56="", "", 'Lighting Inventory'!BC64)</f>
        <v/>
      </c>
      <c r="AT56" s="67" t="str">
        <f>IF(B56="", "", 'Lighting Inventory'!BD64)</f>
        <v/>
      </c>
      <c r="AU56" s="67" t="str">
        <f>IF(B56="", "", 'Lighting Inventory'!BE64)</f>
        <v/>
      </c>
      <c r="AV56" s="67" t="str">
        <f>IF(B56="", "", 'Lighting Inventory'!BE64)</f>
        <v/>
      </c>
      <c r="AW56" s="67" t="str">
        <f>IF(B56="", "", 'Lighting Inventory'!BF64)</f>
        <v/>
      </c>
      <c r="AX56" s="67" t="str">
        <f>IF(B56="", "", 'Lighting Inventory'!BF64)</f>
        <v/>
      </c>
      <c r="AY56" s="65" t="str">
        <f t="shared" si="4"/>
        <v/>
      </c>
      <c r="AZ56" s="65" t="str">
        <f>IF(B56="", "", 'Lighting Inventory'!BJ64)</f>
        <v/>
      </c>
      <c r="BA56" s="65" t="str">
        <f>IF(B56="", "", 'Lighting Inventory'!BM64)</f>
        <v/>
      </c>
      <c r="BB56" s="65" t="str">
        <f>IF(B56="","",SUM('Lighting Inventory'!BP64:BP64))</f>
        <v/>
      </c>
      <c r="BC56" s="67" t="str">
        <f>IF(OR(AE56="", B56=""),"", 'Lighting Inventory'!GR64)</f>
        <v/>
      </c>
      <c r="BD56" s="67" t="str">
        <f>IFERROR(IF(B56="", "", 'Lighting Inventory'!AF64)*AD56," ")</f>
        <v xml:space="preserve"> </v>
      </c>
      <c r="BE56" s="67"/>
      <c r="BF56" s="67"/>
    </row>
    <row r="57" spans="1:58" x14ac:dyDescent="0.25">
      <c r="A57" s="26" t="str">
        <f>IF(B57="", "", 'Lookup Tables'!AW58)</f>
        <v/>
      </c>
      <c r="B57" s="26" t="str">
        <f>IF(OR('Lighting Inventory'!Y65="", 'Lighting Inventory'!V65="No Change"),"", 'Lighting Inventory'!Y65)</f>
        <v/>
      </c>
      <c r="C57" s="26" t="str">
        <f>IF(B57="", "", IF('Lighting Inventory'!Y65='Lookup Tables'!$Y$32, 'Lighting Inventory'!AJ65, IF(AD57=0, R57, AD57)))</f>
        <v/>
      </c>
      <c r="D57" s="26" t="str">
        <f>IF(B57="", "", 'General Information'!$F$14)</f>
        <v/>
      </c>
      <c r="E57" s="26" t="str">
        <f t="shared" si="3"/>
        <v/>
      </c>
      <c r="F57" s="26" t="str">
        <f>IF(B57="", "", CONCATENATE('General Information'!$F$9, " - ", 'General Information'!$F$14))</f>
        <v/>
      </c>
      <c r="G57" s="26" t="str">
        <f>IF(B57="", "", 'General Information'!$F$15)</f>
        <v/>
      </c>
      <c r="H57" s="26" t="str">
        <f>IF(B57="", "", IF(VLOOKUP(B57, 'Lookup Tables'!$Y$18:$AA$34, 2, FALSE)="Traffic", VLOOKUP('Lighting Inventory'!W65, 'Lookup Tables'!#REF!, 11, FALSE), VLOOKUP(B57, 'Lookup Tables'!$Y$18:$AA$34, 2, FALSE)))</f>
        <v/>
      </c>
      <c r="I57" s="26" t="str">
        <f>IF(B57="", "", CONCATENATE(D57, 'Data Export'!A57))</f>
        <v/>
      </c>
      <c r="J57" s="26" t="str">
        <f>IF(B57="", "", 'Lookup Tables'!$B$1)</f>
        <v/>
      </c>
      <c r="K57" s="26" t="str">
        <f>IF(B57="", "", 'Lighting Inventory'!B65)</f>
        <v/>
      </c>
      <c r="L57" s="26" t="str">
        <f>IF(B57="", "", 'Lighting Inventory'!C65)</f>
        <v/>
      </c>
      <c r="M57" s="26" t="str">
        <f>IF(B57="", "",'Lighting Inventory'!D65)</f>
        <v/>
      </c>
      <c r="N57" s="26" t="str">
        <f>IF(B57="", "",'Lighting Inventory'!E65)</f>
        <v/>
      </c>
      <c r="O57" s="26" t="str">
        <f>IF(B57="", "", 'Lighting Inventory'!F65)</f>
        <v/>
      </c>
      <c r="P57" s="26" t="str">
        <f>IF(B57="", "", 'Lighting Inventory'!G65)</f>
        <v/>
      </c>
      <c r="Q57" s="26" t="str">
        <f>IF(B57="", "", 'Lighting Inventory'!H65)</f>
        <v/>
      </c>
      <c r="R57" s="26" t="str">
        <f>IF(B57="", "", 'Lighting Inventory'!I65)</f>
        <v/>
      </c>
      <c r="S57" s="26" t="str">
        <f>IF(B57="", "", 'Lighting Inventory'!J65)</f>
        <v/>
      </c>
      <c r="T57" s="26" t="str">
        <f>IFERROR(IF(B57="","",VLOOKUP(S57,'Fixture Identities'!$A$7:$G$1023,5,FALSE)), "New Construction")</f>
        <v/>
      </c>
      <c r="U57" s="26" t="str">
        <f>IFERROR(IF(B57="", "", IF(K57="New Construction", "NC", IF(VLOOKUP(S57, 'Fixture Identities'!$A$7:$I$1023,3, FALSE)="T12 Linear Fluorescent", VLOOKUP(S57, 'Fixture Identities'!$A$7:$K$1012, 11, FALSE), S57))), "")</f>
        <v/>
      </c>
      <c r="V57" s="26" t="str">
        <f>IFERROR(IF(OR(B57="", U57=0), "", VLOOKUP(U57, 'Fixture Identities'!$A$7:$G$1023, 5, FALSE)), "")</f>
        <v/>
      </c>
      <c r="W57" s="26" t="str">
        <f>IF(B57="", "",'Lighting Inventory'!K65)</f>
        <v/>
      </c>
      <c r="X57" s="65" t="str">
        <f>IF(B57="", "", 'Lighting Inventory'!L65)</f>
        <v/>
      </c>
      <c r="Y57" s="26" t="str">
        <f>IF(B57="", "", IF('Lighting Inventory'!M65="", "Light Switch",'Lighting Inventory'!M65))</f>
        <v/>
      </c>
      <c r="Z57" s="26" t="str">
        <f>IF(OR(K57="Retrofit", B57=""), "", 'Lighting Inventory'!N65)</f>
        <v/>
      </c>
      <c r="AA57" s="26" t="str">
        <f>IF(OR(Z57="",B57=""), "", 'Lighting Inventory'!O65)</f>
        <v/>
      </c>
      <c r="AB57" s="26" t="str">
        <f>IF(B57="", "", 'Lighting Inventory'!P65)</f>
        <v/>
      </c>
      <c r="AC57" s="96" t="str">
        <f>IF(B57="", "", 'Lighting Inventory'!R65)</f>
        <v/>
      </c>
      <c r="AD57" s="26" t="str">
        <f>IF(B57="", "", 'Lighting Inventory'!S65)</f>
        <v/>
      </c>
      <c r="AE57" s="26" t="str">
        <f>IF(B57="", "", 'Lighting Inventory'!V65)</f>
        <v/>
      </c>
      <c r="AF57" s="26" t="str">
        <f>IF(B57="", "", 'Lighting Inventory'!W65)</f>
        <v/>
      </c>
      <c r="AG57" s="26" t="str">
        <f>IF(OR(AF57="", B57=""), "", IF(AE57="Custom", "0", VLOOKUP(AF57, 'Lookup Tables'!$AI$6:$AP$102, 8, FALSE)))</f>
        <v/>
      </c>
      <c r="AH57" s="26" t="str">
        <f>IF(B57="", "", 'Lighting Inventory'!AD65)</f>
        <v/>
      </c>
      <c r="AI57" s="26" t="str">
        <f>IF(OR('Lighting Inventory'!AK65="", B57=""), "", 'Lighting Inventory'!AK65)</f>
        <v/>
      </c>
      <c r="AJ57" s="66" t="str">
        <f>IF(B57="", "", 'Lighting Inventory'!AL65)</f>
        <v/>
      </c>
      <c r="AK57" s="65" t="str">
        <f>IF(B57="", "", 'Lighting Inventory'!AM65)</f>
        <v/>
      </c>
      <c r="AL57" s="26" t="str">
        <f>IF(B57="", "", 'Lighting Inventory'!AN65)</f>
        <v/>
      </c>
      <c r="AM57" s="26" t="str">
        <f t="shared" si="1"/>
        <v/>
      </c>
      <c r="AN57" s="26" t="str">
        <f>IF(B57="","",IF('Lighting Inventory'!AV65="","Prescribed",'Lighting Inventory'!AV65))</f>
        <v/>
      </c>
      <c r="AO57" s="66" t="str">
        <f>IF(B57="", "", 'Lighting Inventory'!AX65)</f>
        <v/>
      </c>
      <c r="AP57" s="67" t="str">
        <f>IF(B57="", "", 'Lighting Inventory'!AZ65)</f>
        <v/>
      </c>
      <c r="AQ57" s="67" t="str">
        <f>IF(B57="", "", 'Lighting Inventory'!BA65)</f>
        <v/>
      </c>
      <c r="AR57" s="67" t="str">
        <f>IF(B57="", "", 'Lighting Inventory'!BB65)</f>
        <v/>
      </c>
      <c r="AS57" s="67" t="str">
        <f>IF(B57="", "", 'Lighting Inventory'!BC65)</f>
        <v/>
      </c>
      <c r="AT57" s="67" t="str">
        <f>IF(B57="", "", 'Lighting Inventory'!BD65)</f>
        <v/>
      </c>
      <c r="AU57" s="67" t="str">
        <f>IF(B57="", "", 'Lighting Inventory'!BE65)</f>
        <v/>
      </c>
      <c r="AV57" s="67" t="str">
        <f>IF(B57="", "", 'Lighting Inventory'!BE65)</f>
        <v/>
      </c>
      <c r="AW57" s="67" t="str">
        <f>IF(B57="", "", 'Lighting Inventory'!BF65)</f>
        <v/>
      </c>
      <c r="AX57" s="67" t="str">
        <f>IF(B57="", "", 'Lighting Inventory'!BF65)</f>
        <v/>
      </c>
      <c r="AY57" s="65" t="str">
        <f t="shared" si="4"/>
        <v/>
      </c>
      <c r="AZ57" s="65" t="str">
        <f>IF(B57="", "", 'Lighting Inventory'!BJ65)</f>
        <v/>
      </c>
      <c r="BA57" s="65" t="str">
        <f>IF(B57="", "", 'Lighting Inventory'!BM65)</f>
        <v/>
      </c>
      <c r="BB57" s="65" t="str">
        <f>IF(B57="","",SUM('Lighting Inventory'!BP65:BP65))</f>
        <v/>
      </c>
      <c r="BC57" s="67" t="str">
        <f>IF(OR(AE57="", B57=""),"", 'Lighting Inventory'!GR65)</f>
        <v/>
      </c>
      <c r="BD57" s="67" t="str">
        <f>IFERROR(IF(B57="", "", 'Lighting Inventory'!AF65)*AD57," ")</f>
        <v xml:space="preserve"> </v>
      </c>
      <c r="BE57" s="67"/>
      <c r="BF57" s="67"/>
    </row>
    <row r="58" spans="1:58" x14ac:dyDescent="0.25">
      <c r="A58" s="26" t="str">
        <f>IF(B58="", "", 'Lookup Tables'!AW59)</f>
        <v/>
      </c>
      <c r="B58" s="26" t="str">
        <f>IF(OR('Lighting Inventory'!Y66="", 'Lighting Inventory'!V66="No Change"),"", 'Lighting Inventory'!Y66)</f>
        <v/>
      </c>
      <c r="C58" s="26" t="str">
        <f>IF(B58="", "", IF('Lighting Inventory'!Y66='Lookup Tables'!$Y$32, 'Lighting Inventory'!AJ66, IF(AD58=0, R58, AD58)))</f>
        <v/>
      </c>
      <c r="D58" s="26" t="str">
        <f>IF(B58="", "", 'General Information'!$F$14)</f>
        <v/>
      </c>
      <c r="E58" s="26" t="str">
        <f t="shared" si="3"/>
        <v/>
      </c>
      <c r="F58" s="26" t="str">
        <f>IF(B58="", "", CONCATENATE('General Information'!$F$9, " - ", 'General Information'!$F$14))</f>
        <v/>
      </c>
      <c r="G58" s="26" t="str">
        <f>IF(B58="", "", 'General Information'!$F$15)</f>
        <v/>
      </c>
      <c r="H58" s="26" t="str">
        <f>IF(B58="", "", IF(VLOOKUP(B58, 'Lookup Tables'!$Y$18:$AA$34, 2, FALSE)="Traffic", VLOOKUP('Lighting Inventory'!W66, 'Lookup Tables'!#REF!, 11, FALSE), VLOOKUP(B58, 'Lookup Tables'!$Y$18:$AA$34, 2, FALSE)))</f>
        <v/>
      </c>
      <c r="I58" s="26" t="str">
        <f>IF(B58="", "", CONCATENATE(D58, 'Data Export'!A58))</f>
        <v/>
      </c>
      <c r="J58" s="26" t="str">
        <f>IF(B58="", "", 'Lookup Tables'!$B$1)</f>
        <v/>
      </c>
      <c r="K58" s="26" t="str">
        <f>IF(B58="", "", 'Lighting Inventory'!B66)</f>
        <v/>
      </c>
      <c r="L58" s="26" t="str">
        <f>IF(B58="", "", 'Lighting Inventory'!C66)</f>
        <v/>
      </c>
      <c r="M58" s="26" t="str">
        <f>IF(B58="", "",'Lighting Inventory'!D66)</f>
        <v/>
      </c>
      <c r="N58" s="26" t="str">
        <f>IF(B58="", "",'Lighting Inventory'!E66)</f>
        <v/>
      </c>
      <c r="O58" s="26" t="str">
        <f>IF(B58="", "", 'Lighting Inventory'!F66)</f>
        <v/>
      </c>
      <c r="P58" s="26" t="str">
        <f>IF(B58="", "", 'Lighting Inventory'!G66)</f>
        <v/>
      </c>
      <c r="Q58" s="26" t="str">
        <f>IF(B58="", "", 'Lighting Inventory'!H66)</f>
        <v/>
      </c>
      <c r="R58" s="26" t="str">
        <f>IF(B58="", "", 'Lighting Inventory'!I66)</f>
        <v/>
      </c>
      <c r="S58" s="26" t="str">
        <f>IF(B58="", "", 'Lighting Inventory'!J66)</f>
        <v/>
      </c>
      <c r="T58" s="26" t="str">
        <f>IFERROR(IF(B58="","",VLOOKUP(S58,'Fixture Identities'!$A$7:$G$1023,5,FALSE)), "New Construction")</f>
        <v/>
      </c>
      <c r="U58" s="26" t="str">
        <f>IFERROR(IF(B58="", "", IF(K58="New Construction", "NC", IF(VLOOKUP(S58, 'Fixture Identities'!$A$7:$I$1023,3, FALSE)="T12 Linear Fluorescent", VLOOKUP(S58, 'Fixture Identities'!$A$7:$K$1012, 11, FALSE), S58))), "")</f>
        <v/>
      </c>
      <c r="V58" s="26" t="str">
        <f>IFERROR(IF(OR(B58="", U58=0), "", VLOOKUP(U58, 'Fixture Identities'!$A$7:$G$1023, 5, FALSE)), "")</f>
        <v/>
      </c>
      <c r="W58" s="26" t="str">
        <f>IF(B58="", "",'Lighting Inventory'!K66)</f>
        <v/>
      </c>
      <c r="X58" s="65" t="str">
        <f>IF(B58="", "", 'Lighting Inventory'!L66)</f>
        <v/>
      </c>
      <c r="Y58" s="26" t="str">
        <f>IF(B58="", "", IF('Lighting Inventory'!M66="", "Light Switch",'Lighting Inventory'!M66))</f>
        <v/>
      </c>
      <c r="Z58" s="26" t="str">
        <f>IF(OR(K58="Retrofit", B58=""), "", 'Lighting Inventory'!N66)</f>
        <v/>
      </c>
      <c r="AA58" s="26" t="str">
        <f>IF(OR(Z58="",B58=""), "", 'Lighting Inventory'!O66)</f>
        <v/>
      </c>
      <c r="AB58" s="26" t="str">
        <f>IF(B58="", "", 'Lighting Inventory'!P66)</f>
        <v/>
      </c>
      <c r="AC58" s="96" t="str">
        <f>IF(B58="", "", 'Lighting Inventory'!R66)</f>
        <v/>
      </c>
      <c r="AD58" s="26" t="str">
        <f>IF(B58="", "", 'Lighting Inventory'!S66)</f>
        <v/>
      </c>
      <c r="AE58" s="26" t="str">
        <f>IF(B58="", "", 'Lighting Inventory'!V66)</f>
        <v/>
      </c>
      <c r="AF58" s="26" t="str">
        <f>IF(B58="", "", 'Lighting Inventory'!W66)</f>
        <v/>
      </c>
      <c r="AG58" s="26" t="str">
        <f>IF(OR(AF58="", B58=""), "", IF(AE58="Custom", "0", VLOOKUP(AF58, 'Lookup Tables'!$AI$6:$AP$102, 8, FALSE)))</f>
        <v/>
      </c>
      <c r="AH58" s="26" t="str">
        <f>IF(B58="", "", 'Lighting Inventory'!AD66)</f>
        <v/>
      </c>
      <c r="AI58" s="26" t="str">
        <f>IF(OR('Lighting Inventory'!AK66="", B58=""), "", 'Lighting Inventory'!AK66)</f>
        <v/>
      </c>
      <c r="AJ58" s="66" t="str">
        <f>IF(B58="", "", 'Lighting Inventory'!AL66)</f>
        <v/>
      </c>
      <c r="AK58" s="65" t="str">
        <f>IF(B58="", "", 'Lighting Inventory'!AM66)</f>
        <v/>
      </c>
      <c r="AL58" s="26" t="str">
        <f>IF(B58="", "", 'Lighting Inventory'!AN66)</f>
        <v/>
      </c>
      <c r="AM58" s="26" t="str">
        <f t="shared" si="1"/>
        <v/>
      </c>
      <c r="AN58" s="26" t="str">
        <f>IF(B58="","",IF('Lighting Inventory'!AV66="","Prescribed",'Lighting Inventory'!AV66))</f>
        <v/>
      </c>
      <c r="AO58" s="66" t="str">
        <f>IF(B58="", "", 'Lighting Inventory'!AX66)</f>
        <v/>
      </c>
      <c r="AP58" s="67" t="str">
        <f>IF(B58="", "", 'Lighting Inventory'!AZ66)</f>
        <v/>
      </c>
      <c r="AQ58" s="67" t="str">
        <f>IF(B58="", "", 'Lighting Inventory'!BA66)</f>
        <v/>
      </c>
      <c r="AR58" s="67" t="str">
        <f>IF(B58="", "", 'Lighting Inventory'!BB66)</f>
        <v/>
      </c>
      <c r="AS58" s="67" t="str">
        <f>IF(B58="", "", 'Lighting Inventory'!BC66)</f>
        <v/>
      </c>
      <c r="AT58" s="67" t="str">
        <f>IF(B58="", "", 'Lighting Inventory'!BD66)</f>
        <v/>
      </c>
      <c r="AU58" s="67" t="str">
        <f>IF(B58="", "", 'Lighting Inventory'!BE66)</f>
        <v/>
      </c>
      <c r="AV58" s="67" t="str">
        <f>IF(B58="", "", 'Lighting Inventory'!BE66)</f>
        <v/>
      </c>
      <c r="AW58" s="67" t="str">
        <f>IF(B58="", "", 'Lighting Inventory'!BF66)</f>
        <v/>
      </c>
      <c r="AX58" s="67" t="str">
        <f>IF(B58="", "", 'Lighting Inventory'!BF66)</f>
        <v/>
      </c>
      <c r="AY58" s="65" t="str">
        <f t="shared" si="4"/>
        <v/>
      </c>
      <c r="AZ58" s="65" t="str">
        <f>IF(B58="", "", 'Lighting Inventory'!BJ66)</f>
        <v/>
      </c>
      <c r="BA58" s="65" t="str">
        <f>IF(B58="", "", 'Lighting Inventory'!BM66)</f>
        <v/>
      </c>
      <c r="BB58" s="65" t="str">
        <f>IF(B58="","",SUM('Lighting Inventory'!BP66:BP66))</f>
        <v/>
      </c>
      <c r="BC58" s="67" t="str">
        <f>IF(OR(AE58="", B58=""),"", 'Lighting Inventory'!GR66)</f>
        <v/>
      </c>
      <c r="BD58" s="67" t="str">
        <f>IFERROR(IF(B58="", "", 'Lighting Inventory'!AF66)*AD58," ")</f>
        <v xml:space="preserve"> </v>
      </c>
      <c r="BE58" s="67"/>
      <c r="BF58" s="67"/>
    </row>
    <row r="59" spans="1:58" x14ac:dyDescent="0.25">
      <c r="A59" s="26" t="str">
        <f>IF(B59="", "", 'Lookup Tables'!AW60)</f>
        <v/>
      </c>
      <c r="B59" s="26" t="str">
        <f>IF(OR('Lighting Inventory'!Y67="", 'Lighting Inventory'!V67="No Change"),"", 'Lighting Inventory'!Y67)</f>
        <v/>
      </c>
      <c r="C59" s="26" t="str">
        <f>IF(B59="", "", IF('Lighting Inventory'!Y67='Lookup Tables'!$Y$32, 'Lighting Inventory'!AJ67, IF(AD59=0, R59, AD59)))</f>
        <v/>
      </c>
      <c r="D59" s="26" t="str">
        <f>IF(B59="", "", 'General Information'!$F$14)</f>
        <v/>
      </c>
      <c r="E59" s="26" t="str">
        <f t="shared" si="3"/>
        <v/>
      </c>
      <c r="F59" s="26" t="str">
        <f>IF(B59="", "", CONCATENATE('General Information'!$F$9, " - ", 'General Information'!$F$14))</f>
        <v/>
      </c>
      <c r="G59" s="26" t="str">
        <f>IF(B59="", "", 'General Information'!$F$15)</f>
        <v/>
      </c>
      <c r="H59" s="26" t="str">
        <f>IF(B59="", "", IF(VLOOKUP(B59, 'Lookup Tables'!$Y$18:$AA$34, 2, FALSE)="Traffic", VLOOKUP('Lighting Inventory'!W67, 'Lookup Tables'!#REF!, 11, FALSE), VLOOKUP(B59, 'Lookup Tables'!$Y$18:$AA$34, 2, FALSE)))</f>
        <v/>
      </c>
      <c r="I59" s="26" t="str">
        <f>IF(B59="", "", CONCATENATE(D59, 'Data Export'!A59))</f>
        <v/>
      </c>
      <c r="J59" s="26" t="str">
        <f>IF(B59="", "", 'Lookup Tables'!$B$1)</f>
        <v/>
      </c>
      <c r="K59" s="26" t="str">
        <f>IF(B59="", "", 'Lighting Inventory'!B67)</f>
        <v/>
      </c>
      <c r="L59" s="26" t="str">
        <f>IF(B59="", "", 'Lighting Inventory'!C67)</f>
        <v/>
      </c>
      <c r="M59" s="26" t="str">
        <f>IF(B59="", "",'Lighting Inventory'!D67)</f>
        <v/>
      </c>
      <c r="N59" s="26" t="str">
        <f>IF(B59="", "",'Lighting Inventory'!E67)</f>
        <v/>
      </c>
      <c r="O59" s="26" t="str">
        <f>IF(B59="", "", 'Lighting Inventory'!F67)</f>
        <v/>
      </c>
      <c r="P59" s="26" t="str">
        <f>IF(B59="", "", 'Lighting Inventory'!G67)</f>
        <v/>
      </c>
      <c r="Q59" s="26" t="str">
        <f>IF(B59="", "", 'Lighting Inventory'!H67)</f>
        <v/>
      </c>
      <c r="R59" s="26" t="str">
        <f>IF(B59="", "", 'Lighting Inventory'!I67)</f>
        <v/>
      </c>
      <c r="S59" s="26" t="str">
        <f>IF(B59="", "", 'Lighting Inventory'!J67)</f>
        <v/>
      </c>
      <c r="T59" s="26" t="str">
        <f>IFERROR(IF(B59="","",VLOOKUP(S59,'Fixture Identities'!$A$7:$G$1023,5,FALSE)), "New Construction")</f>
        <v/>
      </c>
      <c r="U59" s="26" t="str">
        <f>IFERROR(IF(B59="", "", IF(K59="New Construction", "NC", IF(VLOOKUP(S59, 'Fixture Identities'!$A$7:$I$1023,3, FALSE)="T12 Linear Fluorescent", VLOOKUP(S59, 'Fixture Identities'!$A$7:$K$1012, 11, FALSE), S59))), "")</f>
        <v/>
      </c>
      <c r="V59" s="26" t="str">
        <f>IFERROR(IF(OR(B59="", U59=0), "", VLOOKUP(U59, 'Fixture Identities'!$A$7:$G$1023, 5, FALSE)), "")</f>
        <v/>
      </c>
      <c r="W59" s="26" t="str">
        <f>IF(B59="", "",'Lighting Inventory'!K67)</f>
        <v/>
      </c>
      <c r="X59" s="65" t="str">
        <f>IF(B59="", "", 'Lighting Inventory'!L67)</f>
        <v/>
      </c>
      <c r="Y59" s="26" t="str">
        <f>IF(B59="", "", IF('Lighting Inventory'!M67="", "Light Switch",'Lighting Inventory'!M67))</f>
        <v/>
      </c>
      <c r="Z59" s="26" t="str">
        <f>IF(OR(K59="Retrofit", B59=""), "", 'Lighting Inventory'!N67)</f>
        <v/>
      </c>
      <c r="AA59" s="26" t="str">
        <f>IF(OR(Z59="",B59=""), "", 'Lighting Inventory'!O67)</f>
        <v/>
      </c>
      <c r="AB59" s="26" t="str">
        <f>IF(B59="", "", 'Lighting Inventory'!P67)</f>
        <v/>
      </c>
      <c r="AC59" s="96" t="str">
        <f>IF(B59="", "", 'Lighting Inventory'!R67)</f>
        <v/>
      </c>
      <c r="AD59" s="26" t="str">
        <f>IF(B59="", "", 'Lighting Inventory'!S67)</f>
        <v/>
      </c>
      <c r="AE59" s="26" t="str">
        <f>IF(B59="", "", 'Lighting Inventory'!V67)</f>
        <v/>
      </c>
      <c r="AF59" s="26" t="str">
        <f>IF(B59="", "", 'Lighting Inventory'!W67)</f>
        <v/>
      </c>
      <c r="AG59" s="26" t="str">
        <f>IF(OR(AF59="", B59=""), "", IF(AE59="Custom", "0", VLOOKUP(AF59, 'Lookup Tables'!$AI$6:$AP$102, 8, FALSE)))</f>
        <v/>
      </c>
      <c r="AH59" s="26" t="str">
        <f>IF(B59="", "", 'Lighting Inventory'!AD67)</f>
        <v/>
      </c>
      <c r="AI59" s="26" t="str">
        <f>IF(OR('Lighting Inventory'!AK67="", B59=""), "", 'Lighting Inventory'!AK67)</f>
        <v/>
      </c>
      <c r="AJ59" s="66" t="str">
        <f>IF(B59="", "", 'Lighting Inventory'!AL67)</f>
        <v/>
      </c>
      <c r="AK59" s="65" t="str">
        <f>IF(B59="", "", 'Lighting Inventory'!AM67)</f>
        <v/>
      </c>
      <c r="AL59" s="26" t="str">
        <f>IF(B59="", "", 'Lighting Inventory'!AN67)</f>
        <v/>
      </c>
      <c r="AM59" s="26" t="str">
        <f t="shared" si="1"/>
        <v/>
      </c>
      <c r="AN59" s="26" t="str">
        <f>IF(B59="","",IF('Lighting Inventory'!AV67="","Prescribed",'Lighting Inventory'!AV67))</f>
        <v/>
      </c>
      <c r="AO59" s="66" t="str">
        <f>IF(B59="", "", 'Lighting Inventory'!AX67)</f>
        <v/>
      </c>
      <c r="AP59" s="67" t="str">
        <f>IF(B59="", "", 'Lighting Inventory'!AZ67)</f>
        <v/>
      </c>
      <c r="AQ59" s="67" t="str">
        <f>IF(B59="", "", 'Lighting Inventory'!BA67)</f>
        <v/>
      </c>
      <c r="AR59" s="67" t="str">
        <f>IF(B59="", "", 'Lighting Inventory'!BB67)</f>
        <v/>
      </c>
      <c r="AS59" s="67" t="str">
        <f>IF(B59="", "", 'Lighting Inventory'!BC67)</f>
        <v/>
      </c>
      <c r="AT59" s="67" t="str">
        <f>IF(B59="", "", 'Lighting Inventory'!BD67)</f>
        <v/>
      </c>
      <c r="AU59" s="67" t="str">
        <f>IF(B59="", "", 'Lighting Inventory'!BE67)</f>
        <v/>
      </c>
      <c r="AV59" s="67" t="str">
        <f>IF(B59="", "", 'Lighting Inventory'!BE67)</f>
        <v/>
      </c>
      <c r="AW59" s="67" t="str">
        <f>IF(B59="", "", 'Lighting Inventory'!BF67)</f>
        <v/>
      </c>
      <c r="AX59" s="67" t="str">
        <f>IF(B59="", "", 'Lighting Inventory'!BF67)</f>
        <v/>
      </c>
      <c r="AY59" s="65" t="str">
        <f t="shared" si="4"/>
        <v/>
      </c>
      <c r="AZ59" s="65" t="str">
        <f>IF(B59="", "", 'Lighting Inventory'!BJ67)</f>
        <v/>
      </c>
      <c r="BA59" s="65" t="str">
        <f>IF(B59="", "", 'Lighting Inventory'!BM67)</f>
        <v/>
      </c>
      <c r="BB59" s="65" t="str">
        <f>IF(B59="","",SUM('Lighting Inventory'!BP67:BP67))</f>
        <v/>
      </c>
      <c r="BC59" s="67" t="str">
        <f>IF(OR(AE59="", B59=""),"", 'Lighting Inventory'!GR67)</f>
        <v/>
      </c>
      <c r="BD59" s="67" t="str">
        <f>IFERROR(IF(B59="", "", 'Lighting Inventory'!AF67)*AD59," ")</f>
        <v xml:space="preserve"> </v>
      </c>
      <c r="BE59" s="67"/>
      <c r="BF59" s="67"/>
    </row>
    <row r="60" spans="1:58" x14ac:dyDescent="0.25">
      <c r="A60" s="26" t="str">
        <f>IF(B60="", "", 'Lookup Tables'!AW61)</f>
        <v/>
      </c>
      <c r="B60" s="26" t="str">
        <f>IF(OR('Lighting Inventory'!Y68="", 'Lighting Inventory'!V68="No Change"),"", 'Lighting Inventory'!Y68)</f>
        <v/>
      </c>
      <c r="C60" s="26" t="str">
        <f>IF(B60="", "", IF('Lighting Inventory'!Y68='Lookup Tables'!$Y$32, 'Lighting Inventory'!AJ68, IF(AD60=0, R60, AD60)))</f>
        <v/>
      </c>
      <c r="D60" s="26" t="str">
        <f>IF(B60="", "", 'General Information'!$F$14)</f>
        <v/>
      </c>
      <c r="E60" s="26" t="str">
        <f t="shared" si="3"/>
        <v/>
      </c>
      <c r="F60" s="26" t="str">
        <f>IF(B60="", "", CONCATENATE('General Information'!$F$9, " - ", 'General Information'!$F$14))</f>
        <v/>
      </c>
      <c r="G60" s="26" t="str">
        <f>IF(B60="", "", 'General Information'!$F$15)</f>
        <v/>
      </c>
      <c r="H60" s="26" t="str">
        <f>IF(B60="", "", IF(VLOOKUP(B60, 'Lookup Tables'!$Y$18:$AA$34, 2, FALSE)="Traffic", VLOOKUP('Lighting Inventory'!W68, 'Lookup Tables'!#REF!, 11, FALSE), VLOOKUP(B60, 'Lookup Tables'!$Y$18:$AA$34, 2, FALSE)))</f>
        <v/>
      </c>
      <c r="I60" s="26" t="str">
        <f>IF(B60="", "", CONCATENATE(D60, 'Data Export'!A60))</f>
        <v/>
      </c>
      <c r="J60" s="26" t="str">
        <f>IF(B60="", "", 'Lookup Tables'!$B$1)</f>
        <v/>
      </c>
      <c r="K60" s="26" t="str">
        <f>IF(B60="", "", 'Lighting Inventory'!B68)</f>
        <v/>
      </c>
      <c r="L60" s="26" t="str">
        <f>IF(B60="", "", 'Lighting Inventory'!C68)</f>
        <v/>
      </c>
      <c r="M60" s="26" t="str">
        <f>IF(B60="", "",'Lighting Inventory'!D68)</f>
        <v/>
      </c>
      <c r="N60" s="26" t="str">
        <f>IF(B60="", "",'Lighting Inventory'!E68)</f>
        <v/>
      </c>
      <c r="O60" s="26" t="str">
        <f>IF(B60="", "", 'Lighting Inventory'!F68)</f>
        <v/>
      </c>
      <c r="P60" s="26" t="str">
        <f>IF(B60="", "", 'Lighting Inventory'!G68)</f>
        <v/>
      </c>
      <c r="Q60" s="26" t="str">
        <f>IF(B60="", "", 'Lighting Inventory'!H68)</f>
        <v/>
      </c>
      <c r="R60" s="26" t="str">
        <f>IF(B60="", "", 'Lighting Inventory'!I68)</f>
        <v/>
      </c>
      <c r="S60" s="26" t="str">
        <f>IF(B60="", "", 'Lighting Inventory'!J68)</f>
        <v/>
      </c>
      <c r="T60" s="26" t="str">
        <f>IFERROR(IF(B60="","",VLOOKUP(S60,'Fixture Identities'!$A$7:$G$1023,5,FALSE)), "New Construction")</f>
        <v/>
      </c>
      <c r="U60" s="26" t="str">
        <f>IFERROR(IF(B60="", "", IF(K60="New Construction", "NC", IF(VLOOKUP(S60, 'Fixture Identities'!$A$7:$I$1023,3, FALSE)="T12 Linear Fluorescent", VLOOKUP(S60, 'Fixture Identities'!$A$7:$K$1012, 11, FALSE), S60))), "")</f>
        <v/>
      </c>
      <c r="V60" s="26" t="str">
        <f>IFERROR(IF(OR(B60="", U60=0), "", VLOOKUP(U60, 'Fixture Identities'!$A$7:$G$1023, 5, FALSE)), "")</f>
        <v/>
      </c>
      <c r="W60" s="26" t="str">
        <f>IF(B60="", "",'Lighting Inventory'!K68)</f>
        <v/>
      </c>
      <c r="X60" s="65" t="str">
        <f>IF(B60="", "", 'Lighting Inventory'!L68)</f>
        <v/>
      </c>
      <c r="Y60" s="26" t="str">
        <f>IF(B60="", "", IF('Lighting Inventory'!M68="", "Light Switch",'Lighting Inventory'!M68))</f>
        <v/>
      </c>
      <c r="Z60" s="26" t="str">
        <f>IF(OR(K60="Retrofit", B60=""), "", 'Lighting Inventory'!N68)</f>
        <v/>
      </c>
      <c r="AA60" s="26" t="str">
        <f>IF(OR(Z60="",B60=""), "", 'Lighting Inventory'!O68)</f>
        <v/>
      </c>
      <c r="AB60" s="26" t="str">
        <f>IF(B60="", "", 'Lighting Inventory'!P68)</f>
        <v/>
      </c>
      <c r="AC60" s="96" t="str">
        <f>IF(B60="", "", 'Lighting Inventory'!R68)</f>
        <v/>
      </c>
      <c r="AD60" s="26" t="str">
        <f>IF(B60="", "", 'Lighting Inventory'!S68)</f>
        <v/>
      </c>
      <c r="AE60" s="26" t="str">
        <f>IF(B60="", "", 'Lighting Inventory'!V68)</f>
        <v/>
      </c>
      <c r="AF60" s="26" t="str">
        <f>IF(B60="", "", 'Lighting Inventory'!W68)</f>
        <v/>
      </c>
      <c r="AG60" s="26" t="str">
        <f>IF(OR(AF60="", B60=""), "", IF(AE60="Custom", "0", VLOOKUP(AF60, 'Lookup Tables'!$AI$6:$AP$102, 8, FALSE)))</f>
        <v/>
      </c>
      <c r="AH60" s="26" t="str">
        <f>IF(B60="", "", 'Lighting Inventory'!AD68)</f>
        <v/>
      </c>
      <c r="AI60" s="26" t="str">
        <f>IF(OR('Lighting Inventory'!AK68="", B60=""), "", 'Lighting Inventory'!AK68)</f>
        <v/>
      </c>
      <c r="AJ60" s="66" t="str">
        <f>IF(B60="", "", 'Lighting Inventory'!AL68)</f>
        <v/>
      </c>
      <c r="AK60" s="65" t="str">
        <f>IF(B60="", "", 'Lighting Inventory'!AM68)</f>
        <v/>
      </c>
      <c r="AL60" s="26" t="str">
        <f>IF(B60="", "", 'Lighting Inventory'!AN68)</f>
        <v/>
      </c>
      <c r="AM60" s="26" t="str">
        <f t="shared" si="1"/>
        <v/>
      </c>
      <c r="AN60" s="26" t="str">
        <f>IF(B60="","",IF('Lighting Inventory'!AV68="","Prescribed",'Lighting Inventory'!AV68))</f>
        <v/>
      </c>
      <c r="AO60" s="66" t="str">
        <f>IF(B60="", "", 'Lighting Inventory'!AX68)</f>
        <v/>
      </c>
      <c r="AP60" s="67" t="str">
        <f>IF(B60="", "", 'Lighting Inventory'!AZ68)</f>
        <v/>
      </c>
      <c r="AQ60" s="67" t="str">
        <f>IF(B60="", "", 'Lighting Inventory'!BA68)</f>
        <v/>
      </c>
      <c r="AR60" s="67" t="str">
        <f>IF(B60="", "", 'Lighting Inventory'!BB68)</f>
        <v/>
      </c>
      <c r="AS60" s="67" t="str">
        <f>IF(B60="", "", 'Lighting Inventory'!BC68)</f>
        <v/>
      </c>
      <c r="AT60" s="67" t="str">
        <f>IF(B60="", "", 'Lighting Inventory'!BD68)</f>
        <v/>
      </c>
      <c r="AU60" s="67" t="str">
        <f>IF(B60="", "", 'Lighting Inventory'!BE68)</f>
        <v/>
      </c>
      <c r="AV60" s="67" t="str">
        <f>IF(B60="", "", 'Lighting Inventory'!BE68)</f>
        <v/>
      </c>
      <c r="AW60" s="67" t="str">
        <f>IF(B60="", "", 'Lighting Inventory'!BF68)</f>
        <v/>
      </c>
      <c r="AX60" s="67" t="str">
        <f>IF(B60="", "", 'Lighting Inventory'!BF68)</f>
        <v/>
      </c>
      <c r="AY60" s="65" t="str">
        <f t="shared" si="4"/>
        <v/>
      </c>
      <c r="AZ60" s="65" t="str">
        <f>IF(B60="", "", 'Lighting Inventory'!BJ68)</f>
        <v/>
      </c>
      <c r="BA60" s="65" t="str">
        <f>IF(B60="", "", 'Lighting Inventory'!BM68)</f>
        <v/>
      </c>
      <c r="BB60" s="65" t="str">
        <f>IF(B60="","",SUM('Lighting Inventory'!BP68:BP68))</f>
        <v/>
      </c>
      <c r="BC60" s="67" t="str">
        <f>IF(OR(AE60="", B60=""),"", 'Lighting Inventory'!GR68)</f>
        <v/>
      </c>
      <c r="BD60" s="67" t="str">
        <f>IFERROR(IF(B60="", "", 'Lighting Inventory'!AF68)*AD60," ")</f>
        <v xml:space="preserve"> </v>
      </c>
      <c r="BE60" s="67"/>
      <c r="BF60" s="67"/>
    </row>
    <row r="61" spans="1:58" x14ac:dyDescent="0.25">
      <c r="A61" s="26" t="str">
        <f>IF(B61="", "", 'Lookup Tables'!AW62)</f>
        <v/>
      </c>
      <c r="B61" s="26" t="str">
        <f>IF(OR('Lighting Inventory'!Y69="", 'Lighting Inventory'!V69="No Change"),"", 'Lighting Inventory'!Y69)</f>
        <v/>
      </c>
      <c r="C61" s="26" t="str">
        <f>IF(B61="", "", IF('Lighting Inventory'!Y69='Lookup Tables'!$Y$32, 'Lighting Inventory'!AJ69, IF(AD61=0, R61, AD61)))</f>
        <v/>
      </c>
      <c r="D61" s="26" t="str">
        <f>IF(B61="", "", 'General Information'!$F$14)</f>
        <v/>
      </c>
      <c r="E61" s="26" t="str">
        <f t="shared" si="3"/>
        <v/>
      </c>
      <c r="F61" s="26" t="str">
        <f>IF(B61="", "", CONCATENATE('General Information'!$F$9, " - ", 'General Information'!$F$14))</f>
        <v/>
      </c>
      <c r="G61" s="26" t="str">
        <f>IF(B61="", "", 'General Information'!$F$15)</f>
        <v/>
      </c>
      <c r="H61" s="26" t="str">
        <f>IF(B61="", "", IF(VLOOKUP(B61, 'Lookup Tables'!$Y$18:$AA$34, 2, FALSE)="Traffic", VLOOKUP('Lighting Inventory'!W69, 'Lookup Tables'!#REF!, 11, FALSE), VLOOKUP(B61, 'Lookup Tables'!$Y$18:$AA$34, 2, FALSE)))</f>
        <v/>
      </c>
      <c r="I61" s="26" t="str">
        <f>IF(B61="", "", CONCATENATE(D61, 'Data Export'!A61))</f>
        <v/>
      </c>
      <c r="J61" s="26" t="str">
        <f>IF(B61="", "", 'Lookup Tables'!$B$1)</f>
        <v/>
      </c>
      <c r="K61" s="26" t="str">
        <f>IF(B61="", "", 'Lighting Inventory'!B69)</f>
        <v/>
      </c>
      <c r="L61" s="26" t="str">
        <f>IF(B61="", "", 'Lighting Inventory'!C69)</f>
        <v/>
      </c>
      <c r="M61" s="26" t="str">
        <f>IF(B61="", "",'Lighting Inventory'!D69)</f>
        <v/>
      </c>
      <c r="N61" s="26" t="str">
        <f>IF(B61="", "",'Lighting Inventory'!E69)</f>
        <v/>
      </c>
      <c r="O61" s="26" t="str">
        <f>IF(B61="", "", 'Lighting Inventory'!F69)</f>
        <v/>
      </c>
      <c r="P61" s="26" t="str">
        <f>IF(B61="", "", 'Lighting Inventory'!G69)</f>
        <v/>
      </c>
      <c r="Q61" s="26" t="str">
        <f>IF(B61="", "", 'Lighting Inventory'!H69)</f>
        <v/>
      </c>
      <c r="R61" s="26" t="str">
        <f>IF(B61="", "", 'Lighting Inventory'!I69)</f>
        <v/>
      </c>
      <c r="S61" s="26" t="str">
        <f>IF(B61="", "", 'Lighting Inventory'!J69)</f>
        <v/>
      </c>
      <c r="T61" s="26" t="str">
        <f>IFERROR(IF(B61="","",VLOOKUP(S61,'Fixture Identities'!$A$7:$G$1023,5,FALSE)), "New Construction")</f>
        <v/>
      </c>
      <c r="U61" s="26" t="str">
        <f>IFERROR(IF(B61="", "", IF(K61="New Construction", "NC", IF(VLOOKUP(S61, 'Fixture Identities'!$A$7:$I$1023,3, FALSE)="T12 Linear Fluorescent", VLOOKUP(S61, 'Fixture Identities'!$A$7:$K$1012, 11, FALSE), S61))), "")</f>
        <v/>
      </c>
      <c r="V61" s="26" t="str">
        <f>IFERROR(IF(OR(B61="", U61=0), "", VLOOKUP(U61, 'Fixture Identities'!$A$7:$G$1023, 5, FALSE)), "")</f>
        <v/>
      </c>
      <c r="W61" s="26" t="str">
        <f>IF(B61="", "",'Lighting Inventory'!K69)</f>
        <v/>
      </c>
      <c r="X61" s="65" t="str">
        <f>IF(B61="", "", 'Lighting Inventory'!L69)</f>
        <v/>
      </c>
      <c r="Y61" s="26" t="str">
        <f>IF(B61="", "", IF('Lighting Inventory'!M69="", "Light Switch",'Lighting Inventory'!M69))</f>
        <v/>
      </c>
      <c r="Z61" s="26" t="str">
        <f>IF(OR(K61="Retrofit", B61=""), "", 'Lighting Inventory'!N69)</f>
        <v/>
      </c>
      <c r="AA61" s="26" t="str">
        <f>IF(OR(Z61="",B61=""), "", 'Lighting Inventory'!O69)</f>
        <v/>
      </c>
      <c r="AB61" s="26" t="str">
        <f>IF(B61="", "", 'Lighting Inventory'!P69)</f>
        <v/>
      </c>
      <c r="AC61" s="96" t="str">
        <f>IF(B61="", "", 'Lighting Inventory'!R69)</f>
        <v/>
      </c>
      <c r="AD61" s="26" t="str">
        <f>IF(B61="", "", 'Lighting Inventory'!S69)</f>
        <v/>
      </c>
      <c r="AE61" s="26" t="str">
        <f>IF(B61="", "", 'Lighting Inventory'!V69)</f>
        <v/>
      </c>
      <c r="AF61" s="26" t="str">
        <f>IF(B61="", "", 'Lighting Inventory'!W69)</f>
        <v/>
      </c>
      <c r="AG61" s="26" t="str">
        <f>IF(OR(AF61="", B61=""), "", IF(AE61="Custom", "0", VLOOKUP(AF61, 'Lookup Tables'!$AI$6:$AP$102, 8, FALSE)))</f>
        <v/>
      </c>
      <c r="AH61" s="26" t="str">
        <f>IF(B61="", "", 'Lighting Inventory'!AD69)</f>
        <v/>
      </c>
      <c r="AI61" s="26" t="str">
        <f>IF(OR('Lighting Inventory'!AK69="", B61=""), "", 'Lighting Inventory'!AK69)</f>
        <v/>
      </c>
      <c r="AJ61" s="66" t="str">
        <f>IF(B61="", "", 'Lighting Inventory'!AL69)</f>
        <v/>
      </c>
      <c r="AK61" s="65" t="str">
        <f>IF(B61="", "", 'Lighting Inventory'!AM69)</f>
        <v/>
      </c>
      <c r="AL61" s="26" t="str">
        <f>IF(B61="", "", 'Lighting Inventory'!AN69)</f>
        <v/>
      </c>
      <c r="AM61" s="26" t="str">
        <f t="shared" si="1"/>
        <v/>
      </c>
      <c r="AN61" s="26" t="str">
        <f>IF(B61="","",IF('Lighting Inventory'!AV69="","Prescribed",'Lighting Inventory'!AV69))</f>
        <v/>
      </c>
      <c r="AO61" s="66" t="str">
        <f>IF(B61="", "", 'Lighting Inventory'!AX69)</f>
        <v/>
      </c>
      <c r="AP61" s="67" t="str">
        <f>IF(B61="", "", 'Lighting Inventory'!AZ69)</f>
        <v/>
      </c>
      <c r="AQ61" s="67" t="str">
        <f>IF(B61="", "", 'Lighting Inventory'!BA69)</f>
        <v/>
      </c>
      <c r="AR61" s="67" t="str">
        <f>IF(B61="", "", 'Lighting Inventory'!BB69)</f>
        <v/>
      </c>
      <c r="AS61" s="67" t="str">
        <f>IF(B61="", "", 'Lighting Inventory'!BC69)</f>
        <v/>
      </c>
      <c r="AT61" s="67" t="str">
        <f>IF(B61="", "", 'Lighting Inventory'!BD69)</f>
        <v/>
      </c>
      <c r="AU61" s="67" t="str">
        <f>IF(B61="", "", 'Lighting Inventory'!BE69)</f>
        <v/>
      </c>
      <c r="AV61" s="67" t="str">
        <f>IF(B61="", "", 'Lighting Inventory'!BE69)</f>
        <v/>
      </c>
      <c r="AW61" s="67" t="str">
        <f>IF(B61="", "", 'Lighting Inventory'!BF69)</f>
        <v/>
      </c>
      <c r="AX61" s="67" t="str">
        <f>IF(B61="", "", 'Lighting Inventory'!BF69)</f>
        <v/>
      </c>
      <c r="AY61" s="65" t="str">
        <f t="shared" si="4"/>
        <v/>
      </c>
      <c r="AZ61" s="65" t="str">
        <f>IF(B61="", "", 'Lighting Inventory'!BJ69)</f>
        <v/>
      </c>
      <c r="BA61" s="65" t="str">
        <f>IF(B61="", "", 'Lighting Inventory'!BM69)</f>
        <v/>
      </c>
      <c r="BB61" s="65" t="str">
        <f>IF(B61="","",SUM('Lighting Inventory'!BP69:BP69))</f>
        <v/>
      </c>
      <c r="BC61" s="67" t="str">
        <f>IF(OR(AE61="", B61=""),"", 'Lighting Inventory'!GR69)</f>
        <v/>
      </c>
      <c r="BD61" s="67" t="str">
        <f>IFERROR(IF(B61="", "", 'Lighting Inventory'!AF69)*AD61," ")</f>
        <v xml:space="preserve"> </v>
      </c>
      <c r="BE61" s="67"/>
      <c r="BF61" s="67"/>
    </row>
    <row r="62" spans="1:58" x14ac:dyDescent="0.25">
      <c r="A62" s="26" t="str">
        <f>IF(B62="", "", 'Lookup Tables'!AW63)</f>
        <v/>
      </c>
      <c r="B62" s="26" t="str">
        <f>IF(OR('Lighting Inventory'!Y70="", 'Lighting Inventory'!V70="No Change"),"", 'Lighting Inventory'!Y70)</f>
        <v/>
      </c>
      <c r="C62" s="26" t="str">
        <f>IF(B62="", "", IF('Lighting Inventory'!Y70='Lookup Tables'!$Y$32, 'Lighting Inventory'!AJ70, IF(AD62=0, R62, AD62)))</f>
        <v/>
      </c>
      <c r="D62" s="26" t="str">
        <f>IF(B62="", "", 'General Information'!$F$14)</f>
        <v/>
      </c>
      <c r="E62" s="26" t="str">
        <f t="shared" si="3"/>
        <v/>
      </c>
      <c r="F62" s="26" t="str">
        <f>IF(B62="", "", CONCATENATE('General Information'!$F$9, " - ", 'General Information'!$F$14))</f>
        <v/>
      </c>
      <c r="G62" s="26" t="str">
        <f>IF(B62="", "", 'General Information'!$F$15)</f>
        <v/>
      </c>
      <c r="H62" s="26" t="str">
        <f>IF(B62="", "", IF(VLOOKUP(B62, 'Lookup Tables'!$Y$18:$AA$34, 2, FALSE)="Traffic", VLOOKUP('Lighting Inventory'!W70, 'Lookup Tables'!#REF!, 11, FALSE), VLOOKUP(B62, 'Lookup Tables'!$Y$18:$AA$34, 2, FALSE)))</f>
        <v/>
      </c>
      <c r="I62" s="26" t="str">
        <f>IF(B62="", "", CONCATENATE(D62, 'Data Export'!A62))</f>
        <v/>
      </c>
      <c r="J62" s="26" t="str">
        <f>IF(B62="", "", 'Lookup Tables'!$B$1)</f>
        <v/>
      </c>
      <c r="K62" s="26" t="str">
        <f>IF(B62="", "", 'Lighting Inventory'!B70)</f>
        <v/>
      </c>
      <c r="L62" s="26" t="str">
        <f>IF(B62="", "", 'Lighting Inventory'!C70)</f>
        <v/>
      </c>
      <c r="M62" s="26" t="str">
        <f>IF(B62="", "",'Lighting Inventory'!D70)</f>
        <v/>
      </c>
      <c r="N62" s="26" t="str">
        <f>IF(B62="", "",'Lighting Inventory'!E70)</f>
        <v/>
      </c>
      <c r="O62" s="26" t="str">
        <f>IF(B62="", "", 'Lighting Inventory'!F70)</f>
        <v/>
      </c>
      <c r="P62" s="26" t="str">
        <f>IF(B62="", "", 'Lighting Inventory'!G70)</f>
        <v/>
      </c>
      <c r="Q62" s="26" t="str">
        <f>IF(B62="", "", 'Lighting Inventory'!H70)</f>
        <v/>
      </c>
      <c r="R62" s="26" t="str">
        <f>IF(B62="", "", 'Lighting Inventory'!I70)</f>
        <v/>
      </c>
      <c r="S62" s="26" t="str">
        <f>IF(B62="", "", 'Lighting Inventory'!J70)</f>
        <v/>
      </c>
      <c r="T62" s="26" t="str">
        <f>IFERROR(IF(B62="","",VLOOKUP(S62,'Fixture Identities'!$A$7:$G$1023,5,FALSE)), "New Construction")</f>
        <v/>
      </c>
      <c r="U62" s="26" t="str">
        <f>IFERROR(IF(B62="", "", IF(K62="New Construction", "NC", IF(VLOOKUP(S62, 'Fixture Identities'!$A$7:$I$1023,3, FALSE)="T12 Linear Fluorescent", VLOOKUP(S62, 'Fixture Identities'!$A$7:$K$1012, 11, FALSE), S62))), "")</f>
        <v/>
      </c>
      <c r="V62" s="26" t="str">
        <f>IFERROR(IF(OR(B62="", U62=0), "", VLOOKUP(U62, 'Fixture Identities'!$A$7:$G$1023, 5, FALSE)), "")</f>
        <v/>
      </c>
      <c r="W62" s="26" t="str">
        <f>IF(B62="", "",'Lighting Inventory'!K70)</f>
        <v/>
      </c>
      <c r="X62" s="65" t="str">
        <f>IF(B62="", "", 'Lighting Inventory'!L70)</f>
        <v/>
      </c>
      <c r="Y62" s="26" t="str">
        <f>IF(B62="", "", IF('Lighting Inventory'!M70="", "Light Switch",'Lighting Inventory'!M70))</f>
        <v/>
      </c>
      <c r="Z62" s="26" t="str">
        <f>IF(OR(K62="Retrofit", B62=""), "", 'Lighting Inventory'!N70)</f>
        <v/>
      </c>
      <c r="AA62" s="26" t="str">
        <f>IF(OR(Z62="",B62=""), "", 'Lighting Inventory'!O70)</f>
        <v/>
      </c>
      <c r="AB62" s="26" t="str">
        <f>IF(B62="", "", 'Lighting Inventory'!P70)</f>
        <v/>
      </c>
      <c r="AC62" s="96" t="str">
        <f>IF(B62="", "", 'Lighting Inventory'!R70)</f>
        <v/>
      </c>
      <c r="AD62" s="26" t="str">
        <f>IF(B62="", "", 'Lighting Inventory'!S70)</f>
        <v/>
      </c>
      <c r="AE62" s="26" t="str">
        <f>IF(B62="", "", 'Lighting Inventory'!V70)</f>
        <v/>
      </c>
      <c r="AF62" s="26" t="str">
        <f>IF(B62="", "", 'Lighting Inventory'!W70)</f>
        <v/>
      </c>
      <c r="AG62" s="26" t="str">
        <f>IF(OR(AF62="", B62=""), "", IF(AE62="Custom", "0", VLOOKUP(AF62, 'Lookup Tables'!$AI$6:$AP$102, 8, FALSE)))</f>
        <v/>
      </c>
      <c r="AH62" s="26" t="str">
        <f>IF(B62="", "", 'Lighting Inventory'!AD70)</f>
        <v/>
      </c>
      <c r="AI62" s="26" t="str">
        <f>IF(OR('Lighting Inventory'!AK70="", B62=""), "", 'Lighting Inventory'!AK70)</f>
        <v/>
      </c>
      <c r="AJ62" s="66" t="str">
        <f>IF(B62="", "", 'Lighting Inventory'!AL70)</f>
        <v/>
      </c>
      <c r="AK62" s="65" t="str">
        <f>IF(B62="", "", 'Lighting Inventory'!AM70)</f>
        <v/>
      </c>
      <c r="AL62" s="26" t="str">
        <f>IF(B62="", "", 'Lighting Inventory'!AN70)</f>
        <v/>
      </c>
      <c r="AM62" s="26" t="str">
        <f t="shared" si="1"/>
        <v/>
      </c>
      <c r="AN62" s="26" t="str">
        <f>IF(B62="","",IF('Lighting Inventory'!AV70="","Prescribed",'Lighting Inventory'!AV70))</f>
        <v/>
      </c>
      <c r="AO62" s="66" t="str">
        <f>IF(B62="", "", 'Lighting Inventory'!AX70)</f>
        <v/>
      </c>
      <c r="AP62" s="67" t="str">
        <f>IF(B62="", "", 'Lighting Inventory'!AZ70)</f>
        <v/>
      </c>
      <c r="AQ62" s="67" t="str">
        <f>IF(B62="", "", 'Lighting Inventory'!BA70)</f>
        <v/>
      </c>
      <c r="AR62" s="67" t="str">
        <f>IF(B62="", "", 'Lighting Inventory'!BB70)</f>
        <v/>
      </c>
      <c r="AS62" s="67" t="str">
        <f>IF(B62="", "", 'Lighting Inventory'!BC70)</f>
        <v/>
      </c>
      <c r="AT62" s="67" t="str">
        <f>IF(B62="", "", 'Lighting Inventory'!BD70)</f>
        <v/>
      </c>
      <c r="AU62" s="67" t="str">
        <f>IF(B62="", "", 'Lighting Inventory'!BE70)</f>
        <v/>
      </c>
      <c r="AV62" s="67" t="str">
        <f>IF(B62="", "", 'Lighting Inventory'!BE70)</f>
        <v/>
      </c>
      <c r="AW62" s="67" t="str">
        <f>IF(B62="", "", 'Lighting Inventory'!BF70)</f>
        <v/>
      </c>
      <c r="AX62" s="67" t="str">
        <f>IF(B62="", "", 'Lighting Inventory'!BF70)</f>
        <v/>
      </c>
      <c r="AY62" s="65" t="str">
        <f t="shared" si="4"/>
        <v/>
      </c>
      <c r="AZ62" s="65" t="str">
        <f>IF(B62="", "", 'Lighting Inventory'!BJ70)</f>
        <v/>
      </c>
      <c r="BA62" s="65" t="str">
        <f>IF(B62="", "", 'Lighting Inventory'!BM70)</f>
        <v/>
      </c>
      <c r="BB62" s="65" t="str">
        <f>IF(B62="","",SUM('Lighting Inventory'!BP70:BP70))</f>
        <v/>
      </c>
      <c r="BC62" s="67" t="str">
        <f>IF(OR(AE62="", B62=""),"", 'Lighting Inventory'!GR70)</f>
        <v/>
      </c>
      <c r="BD62" s="67" t="str">
        <f>IFERROR(IF(B62="", "", 'Lighting Inventory'!AF70)*AD62," ")</f>
        <v xml:space="preserve"> </v>
      </c>
      <c r="BE62" s="67"/>
      <c r="BF62" s="67"/>
    </row>
    <row r="63" spans="1:58" x14ac:dyDescent="0.25">
      <c r="A63" s="26" t="str">
        <f>IF(B63="", "", 'Lookup Tables'!AW64)</f>
        <v/>
      </c>
      <c r="B63" s="26" t="str">
        <f>IF(OR('Lighting Inventory'!Y71="", 'Lighting Inventory'!V71="No Change"),"", 'Lighting Inventory'!Y71)</f>
        <v/>
      </c>
      <c r="C63" s="26" t="str">
        <f>IF(B63="", "", IF('Lighting Inventory'!Y71='Lookup Tables'!$Y$32, 'Lighting Inventory'!AJ71, IF(AD63=0, R63, AD63)))</f>
        <v/>
      </c>
      <c r="D63" s="26" t="str">
        <f>IF(B63="", "", 'General Information'!$F$14)</f>
        <v/>
      </c>
      <c r="E63" s="26" t="str">
        <f t="shared" si="3"/>
        <v/>
      </c>
      <c r="F63" s="26" t="str">
        <f>IF(B63="", "", CONCATENATE('General Information'!$F$9, " - ", 'General Information'!$F$14))</f>
        <v/>
      </c>
      <c r="G63" s="26" t="str">
        <f>IF(B63="", "", 'General Information'!$F$15)</f>
        <v/>
      </c>
      <c r="H63" s="26" t="str">
        <f>IF(B63="", "", IF(VLOOKUP(B63, 'Lookup Tables'!$Y$18:$AA$34, 2, FALSE)="Traffic", VLOOKUP('Lighting Inventory'!W71, 'Lookup Tables'!#REF!, 11, FALSE), VLOOKUP(B63, 'Lookup Tables'!$Y$18:$AA$34, 2, FALSE)))</f>
        <v/>
      </c>
      <c r="I63" s="26" t="str">
        <f>IF(B63="", "", CONCATENATE(D63, 'Data Export'!A63))</f>
        <v/>
      </c>
      <c r="J63" s="26" t="str">
        <f>IF(B63="", "", 'Lookup Tables'!$B$1)</f>
        <v/>
      </c>
      <c r="K63" s="26" t="str">
        <f>IF(B63="", "", 'Lighting Inventory'!B71)</f>
        <v/>
      </c>
      <c r="L63" s="26" t="str">
        <f>IF(B63="", "", 'Lighting Inventory'!C71)</f>
        <v/>
      </c>
      <c r="M63" s="26" t="str">
        <f>IF(B63="", "",'Lighting Inventory'!D71)</f>
        <v/>
      </c>
      <c r="N63" s="26" t="str">
        <f>IF(B63="", "",'Lighting Inventory'!E71)</f>
        <v/>
      </c>
      <c r="O63" s="26" t="str">
        <f>IF(B63="", "", 'Lighting Inventory'!F71)</f>
        <v/>
      </c>
      <c r="P63" s="26" t="str">
        <f>IF(B63="", "", 'Lighting Inventory'!G71)</f>
        <v/>
      </c>
      <c r="Q63" s="26" t="str">
        <f>IF(B63="", "", 'Lighting Inventory'!H71)</f>
        <v/>
      </c>
      <c r="R63" s="26" t="str">
        <f>IF(B63="", "", 'Lighting Inventory'!I71)</f>
        <v/>
      </c>
      <c r="S63" s="26" t="str">
        <f>IF(B63="", "", 'Lighting Inventory'!J71)</f>
        <v/>
      </c>
      <c r="T63" s="26" t="str">
        <f>IFERROR(IF(B63="","",VLOOKUP(S63,'Fixture Identities'!$A$7:$G$1023,5,FALSE)), "New Construction")</f>
        <v/>
      </c>
      <c r="U63" s="26" t="str">
        <f>IFERROR(IF(B63="", "", IF(K63="New Construction", "NC", IF(VLOOKUP(S63, 'Fixture Identities'!$A$7:$I$1023,3, FALSE)="T12 Linear Fluorescent", VLOOKUP(S63, 'Fixture Identities'!$A$7:$K$1012, 11, FALSE), S63))), "")</f>
        <v/>
      </c>
      <c r="V63" s="26" t="str">
        <f>IFERROR(IF(OR(B63="", U63=0), "", VLOOKUP(U63, 'Fixture Identities'!$A$7:$G$1023, 5, FALSE)), "")</f>
        <v/>
      </c>
      <c r="W63" s="26" t="str">
        <f>IF(B63="", "",'Lighting Inventory'!K71)</f>
        <v/>
      </c>
      <c r="X63" s="65" t="str">
        <f>IF(B63="", "", 'Lighting Inventory'!L71)</f>
        <v/>
      </c>
      <c r="Y63" s="26" t="str">
        <f>IF(B63="", "", IF('Lighting Inventory'!M71="", "Light Switch",'Lighting Inventory'!M71))</f>
        <v/>
      </c>
      <c r="Z63" s="26" t="str">
        <f>IF(OR(K63="Retrofit", B63=""), "", 'Lighting Inventory'!N71)</f>
        <v/>
      </c>
      <c r="AA63" s="26" t="str">
        <f>IF(OR(Z63="",B63=""), "", 'Lighting Inventory'!O71)</f>
        <v/>
      </c>
      <c r="AB63" s="26" t="str">
        <f>IF(B63="", "", 'Lighting Inventory'!P71)</f>
        <v/>
      </c>
      <c r="AC63" s="96" t="str">
        <f>IF(B63="", "", 'Lighting Inventory'!R71)</f>
        <v/>
      </c>
      <c r="AD63" s="26" t="str">
        <f>IF(B63="", "", 'Lighting Inventory'!S71)</f>
        <v/>
      </c>
      <c r="AE63" s="26" t="str">
        <f>IF(B63="", "", 'Lighting Inventory'!V71)</f>
        <v/>
      </c>
      <c r="AF63" s="26" t="str">
        <f>IF(B63="", "", 'Lighting Inventory'!W71)</f>
        <v/>
      </c>
      <c r="AG63" s="26" t="str">
        <f>IF(OR(AF63="", B63=""), "", IF(AE63="Custom", "0", VLOOKUP(AF63, 'Lookup Tables'!$AI$6:$AP$102, 8, FALSE)))</f>
        <v/>
      </c>
      <c r="AH63" s="26" t="str">
        <f>IF(B63="", "", 'Lighting Inventory'!AD71)</f>
        <v/>
      </c>
      <c r="AI63" s="26" t="str">
        <f>IF(OR('Lighting Inventory'!AK71="", B63=""), "", 'Lighting Inventory'!AK71)</f>
        <v/>
      </c>
      <c r="AJ63" s="66" t="str">
        <f>IF(B63="", "", 'Lighting Inventory'!AL71)</f>
        <v/>
      </c>
      <c r="AK63" s="65" t="str">
        <f>IF(B63="", "", 'Lighting Inventory'!AM71)</f>
        <v/>
      </c>
      <c r="AL63" s="26" t="str">
        <f>IF(B63="", "", 'Lighting Inventory'!AN71)</f>
        <v/>
      </c>
      <c r="AM63" s="26" t="str">
        <f t="shared" si="1"/>
        <v/>
      </c>
      <c r="AN63" s="26" t="str">
        <f>IF(B63="","",IF('Lighting Inventory'!AV71="","Prescribed",'Lighting Inventory'!AV71))</f>
        <v/>
      </c>
      <c r="AO63" s="66" t="str">
        <f>IF(B63="", "", 'Lighting Inventory'!AX71)</f>
        <v/>
      </c>
      <c r="AP63" s="67" t="str">
        <f>IF(B63="", "", 'Lighting Inventory'!AZ71)</f>
        <v/>
      </c>
      <c r="AQ63" s="67" t="str">
        <f>IF(B63="", "", 'Lighting Inventory'!BA71)</f>
        <v/>
      </c>
      <c r="AR63" s="67" t="str">
        <f>IF(B63="", "", 'Lighting Inventory'!BB71)</f>
        <v/>
      </c>
      <c r="AS63" s="67" t="str">
        <f>IF(B63="", "", 'Lighting Inventory'!BC71)</f>
        <v/>
      </c>
      <c r="AT63" s="67" t="str">
        <f>IF(B63="", "", 'Lighting Inventory'!BD71)</f>
        <v/>
      </c>
      <c r="AU63" s="67" t="str">
        <f>IF(B63="", "", 'Lighting Inventory'!BE71)</f>
        <v/>
      </c>
      <c r="AV63" s="67" t="str">
        <f>IF(B63="", "", 'Lighting Inventory'!BE71)</f>
        <v/>
      </c>
      <c r="AW63" s="67" t="str">
        <f>IF(B63="", "", 'Lighting Inventory'!BF71)</f>
        <v/>
      </c>
      <c r="AX63" s="67" t="str">
        <f>IF(B63="", "", 'Lighting Inventory'!BF71)</f>
        <v/>
      </c>
      <c r="AY63" s="65" t="str">
        <f t="shared" si="4"/>
        <v/>
      </c>
      <c r="AZ63" s="65" t="str">
        <f>IF(B63="", "", 'Lighting Inventory'!BJ71)</f>
        <v/>
      </c>
      <c r="BA63" s="65" t="str">
        <f>IF(B63="", "", 'Lighting Inventory'!BM71)</f>
        <v/>
      </c>
      <c r="BB63" s="65" t="str">
        <f>IF(B63="","",SUM('Lighting Inventory'!BP71:BP71))</f>
        <v/>
      </c>
      <c r="BC63" s="67" t="str">
        <f>IF(OR(AE63="", B63=""),"", 'Lighting Inventory'!GR71)</f>
        <v/>
      </c>
      <c r="BD63" s="67" t="str">
        <f>IFERROR(IF(B63="", "", 'Lighting Inventory'!AF71)*AD63," ")</f>
        <v xml:space="preserve"> </v>
      </c>
      <c r="BE63" s="67"/>
      <c r="BF63" s="67"/>
    </row>
    <row r="64" spans="1:58" x14ac:dyDescent="0.25">
      <c r="A64" s="26" t="str">
        <f>IF(B64="", "", 'Lookup Tables'!AW65)</f>
        <v/>
      </c>
      <c r="B64" s="26" t="str">
        <f>IF(OR('Lighting Inventory'!Y72="", 'Lighting Inventory'!V72="No Change"),"", 'Lighting Inventory'!Y72)</f>
        <v/>
      </c>
      <c r="C64" s="26" t="str">
        <f>IF(B64="", "", IF('Lighting Inventory'!Y72='Lookup Tables'!$Y$32, 'Lighting Inventory'!AJ72, IF(AD64=0, R64, AD64)))</f>
        <v/>
      </c>
      <c r="D64" s="26" t="str">
        <f>IF(B64="", "", 'General Information'!$F$14)</f>
        <v/>
      </c>
      <c r="E64" s="26" t="str">
        <f t="shared" si="3"/>
        <v/>
      </c>
      <c r="F64" s="26" t="str">
        <f>IF(B64="", "", CONCATENATE('General Information'!$F$9, " - ", 'General Information'!$F$14))</f>
        <v/>
      </c>
      <c r="G64" s="26" t="str">
        <f>IF(B64="", "", 'General Information'!$F$15)</f>
        <v/>
      </c>
      <c r="H64" s="26" t="str">
        <f>IF(B64="", "", IF(VLOOKUP(B64, 'Lookup Tables'!$Y$18:$AA$34, 2, FALSE)="Traffic", VLOOKUP('Lighting Inventory'!W72, 'Lookup Tables'!#REF!, 11, FALSE), VLOOKUP(B64, 'Lookup Tables'!$Y$18:$AA$34, 2, FALSE)))</f>
        <v/>
      </c>
      <c r="I64" s="26" t="str">
        <f>IF(B64="", "", CONCATENATE(D64, 'Data Export'!A64))</f>
        <v/>
      </c>
      <c r="J64" s="26" t="str">
        <f>IF(B64="", "", 'Lookup Tables'!$B$1)</f>
        <v/>
      </c>
      <c r="K64" s="26" t="str">
        <f>IF(B64="", "", 'Lighting Inventory'!B72)</f>
        <v/>
      </c>
      <c r="L64" s="26" t="str">
        <f>IF(B64="", "", 'Lighting Inventory'!C72)</f>
        <v/>
      </c>
      <c r="M64" s="26" t="str">
        <f>IF(B64="", "",'Lighting Inventory'!D72)</f>
        <v/>
      </c>
      <c r="N64" s="26" t="str">
        <f>IF(B64="", "",'Lighting Inventory'!E72)</f>
        <v/>
      </c>
      <c r="O64" s="26" t="str">
        <f>IF(B64="", "", 'Lighting Inventory'!F72)</f>
        <v/>
      </c>
      <c r="P64" s="26" t="str">
        <f>IF(B64="", "", 'Lighting Inventory'!G72)</f>
        <v/>
      </c>
      <c r="Q64" s="26" t="str">
        <f>IF(B64="", "", 'Lighting Inventory'!H72)</f>
        <v/>
      </c>
      <c r="R64" s="26" t="str">
        <f>IF(B64="", "", 'Lighting Inventory'!I72)</f>
        <v/>
      </c>
      <c r="S64" s="26" t="str">
        <f>IF(B64="", "", 'Lighting Inventory'!J72)</f>
        <v/>
      </c>
      <c r="T64" s="26" t="str">
        <f>IFERROR(IF(B64="","",VLOOKUP(S64,'Fixture Identities'!$A$7:$G$1023,5,FALSE)), "New Construction")</f>
        <v/>
      </c>
      <c r="U64" s="26" t="str">
        <f>IFERROR(IF(B64="", "", IF(K64="New Construction", "NC", IF(VLOOKUP(S64, 'Fixture Identities'!$A$7:$I$1023,3, FALSE)="T12 Linear Fluorescent", VLOOKUP(S64, 'Fixture Identities'!$A$7:$K$1012, 11, FALSE), S64))), "")</f>
        <v/>
      </c>
      <c r="V64" s="26" t="str">
        <f>IFERROR(IF(OR(B64="", U64=0), "", VLOOKUP(U64, 'Fixture Identities'!$A$7:$G$1023, 5, FALSE)), "")</f>
        <v/>
      </c>
      <c r="W64" s="26" t="str">
        <f>IF(B64="", "",'Lighting Inventory'!K72)</f>
        <v/>
      </c>
      <c r="X64" s="65" t="str">
        <f>IF(B64="", "", 'Lighting Inventory'!L72)</f>
        <v/>
      </c>
      <c r="Y64" s="26" t="str">
        <f>IF(B64="", "", IF('Lighting Inventory'!M72="", "Light Switch",'Lighting Inventory'!M72))</f>
        <v/>
      </c>
      <c r="Z64" s="26" t="str">
        <f>IF(OR(K64="Retrofit", B64=""), "", 'Lighting Inventory'!N72)</f>
        <v/>
      </c>
      <c r="AA64" s="26" t="str">
        <f>IF(OR(Z64="",B64=""), "", 'Lighting Inventory'!O72)</f>
        <v/>
      </c>
      <c r="AB64" s="26" t="str">
        <f>IF(B64="", "", 'Lighting Inventory'!P72)</f>
        <v/>
      </c>
      <c r="AC64" s="96" t="str">
        <f>IF(B64="", "", 'Lighting Inventory'!R72)</f>
        <v/>
      </c>
      <c r="AD64" s="26" t="str">
        <f>IF(B64="", "", 'Lighting Inventory'!S72)</f>
        <v/>
      </c>
      <c r="AE64" s="26" t="str">
        <f>IF(B64="", "", 'Lighting Inventory'!V72)</f>
        <v/>
      </c>
      <c r="AF64" s="26" t="str">
        <f>IF(B64="", "", 'Lighting Inventory'!W72)</f>
        <v/>
      </c>
      <c r="AG64" s="26" t="str">
        <f>IF(OR(AF64="", B64=""), "", IF(AE64="Custom", "0", VLOOKUP(AF64, 'Lookup Tables'!$AI$6:$AP$102, 8, FALSE)))</f>
        <v/>
      </c>
      <c r="AH64" s="26" t="str">
        <f>IF(B64="", "", 'Lighting Inventory'!AD72)</f>
        <v/>
      </c>
      <c r="AI64" s="26" t="str">
        <f>IF(OR('Lighting Inventory'!AK72="", B64=""), "", 'Lighting Inventory'!AK72)</f>
        <v/>
      </c>
      <c r="AJ64" s="66" t="str">
        <f>IF(B64="", "", 'Lighting Inventory'!AL72)</f>
        <v/>
      </c>
      <c r="AK64" s="65" t="str">
        <f>IF(B64="", "", 'Lighting Inventory'!AM72)</f>
        <v/>
      </c>
      <c r="AL64" s="26" t="str">
        <f>IF(B64="", "", 'Lighting Inventory'!AN72)</f>
        <v/>
      </c>
      <c r="AM64" s="26" t="str">
        <f t="shared" si="1"/>
        <v/>
      </c>
      <c r="AN64" s="26" t="str">
        <f>IF(B64="","",IF('Lighting Inventory'!AV72="","Prescribed",'Lighting Inventory'!AV72))</f>
        <v/>
      </c>
      <c r="AO64" s="66" t="str">
        <f>IF(B64="", "", 'Lighting Inventory'!AX72)</f>
        <v/>
      </c>
      <c r="AP64" s="67" t="str">
        <f>IF(B64="", "", 'Lighting Inventory'!AZ72)</f>
        <v/>
      </c>
      <c r="AQ64" s="67" t="str">
        <f>IF(B64="", "", 'Lighting Inventory'!BA72)</f>
        <v/>
      </c>
      <c r="AR64" s="67" t="str">
        <f>IF(B64="", "", 'Lighting Inventory'!BB72)</f>
        <v/>
      </c>
      <c r="AS64" s="67" t="str">
        <f>IF(B64="", "", 'Lighting Inventory'!BC72)</f>
        <v/>
      </c>
      <c r="AT64" s="67" t="str">
        <f>IF(B64="", "", 'Lighting Inventory'!BD72)</f>
        <v/>
      </c>
      <c r="AU64" s="67" t="str">
        <f>IF(B64="", "", 'Lighting Inventory'!BE72)</f>
        <v/>
      </c>
      <c r="AV64" s="67" t="str">
        <f>IF(B64="", "", 'Lighting Inventory'!BE72)</f>
        <v/>
      </c>
      <c r="AW64" s="67" t="str">
        <f>IF(B64="", "", 'Lighting Inventory'!BF72)</f>
        <v/>
      </c>
      <c r="AX64" s="67" t="str">
        <f>IF(B64="", "", 'Lighting Inventory'!BF72)</f>
        <v/>
      </c>
      <c r="AY64" s="65" t="str">
        <f t="shared" si="4"/>
        <v/>
      </c>
      <c r="AZ64" s="65" t="str">
        <f>IF(B64="", "", 'Lighting Inventory'!BJ72)</f>
        <v/>
      </c>
      <c r="BA64" s="65" t="str">
        <f>IF(B64="", "", 'Lighting Inventory'!BM72)</f>
        <v/>
      </c>
      <c r="BB64" s="65" t="str">
        <f>IF(B64="","",SUM('Lighting Inventory'!BP72:BP72))</f>
        <v/>
      </c>
      <c r="BC64" s="67" t="str">
        <f>IF(OR(AE64="", B64=""),"", 'Lighting Inventory'!GR72)</f>
        <v/>
      </c>
      <c r="BD64" s="67" t="str">
        <f>IFERROR(IF(B64="", "", 'Lighting Inventory'!AF72)*AD64," ")</f>
        <v xml:space="preserve"> </v>
      </c>
      <c r="BE64" s="67"/>
      <c r="BF64" s="67"/>
    </row>
    <row r="65" spans="1:58" x14ac:dyDescent="0.25">
      <c r="A65" s="26" t="str">
        <f>IF(B65="", "", 'Lookup Tables'!AW66)</f>
        <v/>
      </c>
      <c r="B65" s="26" t="str">
        <f>IF(OR('Lighting Inventory'!Y73="", 'Lighting Inventory'!V73="No Change"),"", 'Lighting Inventory'!Y73)</f>
        <v/>
      </c>
      <c r="C65" s="26" t="str">
        <f>IF(B65="", "", IF('Lighting Inventory'!Y73='Lookup Tables'!$Y$32, 'Lighting Inventory'!AJ73, IF(AD65=0, R65, AD65)))</f>
        <v/>
      </c>
      <c r="D65" s="26" t="str">
        <f>IF(B65="", "", 'General Information'!$F$14)</f>
        <v/>
      </c>
      <c r="E65" s="26" t="str">
        <f t="shared" si="3"/>
        <v/>
      </c>
      <c r="F65" s="26" t="str">
        <f>IF(B65="", "", CONCATENATE('General Information'!$F$9, " - ", 'General Information'!$F$14))</f>
        <v/>
      </c>
      <c r="G65" s="26" t="str">
        <f>IF(B65="", "", 'General Information'!$F$15)</f>
        <v/>
      </c>
      <c r="H65" s="26" t="str">
        <f>IF(B65="", "", IF(VLOOKUP(B65, 'Lookup Tables'!$Y$18:$AA$34, 2, FALSE)="Traffic", VLOOKUP('Lighting Inventory'!W73, 'Lookup Tables'!#REF!, 11, FALSE), VLOOKUP(B65, 'Lookup Tables'!$Y$18:$AA$34, 2, FALSE)))</f>
        <v/>
      </c>
      <c r="I65" s="26" t="str">
        <f>IF(B65="", "", CONCATENATE(D65, 'Data Export'!A65))</f>
        <v/>
      </c>
      <c r="J65" s="26" t="str">
        <f>IF(B65="", "", 'Lookup Tables'!$B$1)</f>
        <v/>
      </c>
      <c r="K65" s="26" t="str">
        <f>IF(B65="", "", 'Lighting Inventory'!B73)</f>
        <v/>
      </c>
      <c r="L65" s="26" t="str">
        <f>IF(B65="", "", 'Lighting Inventory'!C73)</f>
        <v/>
      </c>
      <c r="M65" s="26" t="str">
        <f>IF(B65="", "",'Lighting Inventory'!D73)</f>
        <v/>
      </c>
      <c r="N65" s="26" t="str">
        <f>IF(B65="", "",'Lighting Inventory'!E73)</f>
        <v/>
      </c>
      <c r="O65" s="26" t="str">
        <f>IF(B65="", "", 'Lighting Inventory'!F73)</f>
        <v/>
      </c>
      <c r="P65" s="26" t="str">
        <f>IF(B65="", "", 'Lighting Inventory'!G73)</f>
        <v/>
      </c>
      <c r="Q65" s="26" t="str">
        <f>IF(B65="", "", 'Lighting Inventory'!H73)</f>
        <v/>
      </c>
      <c r="R65" s="26" t="str">
        <f>IF(B65="", "", 'Lighting Inventory'!I73)</f>
        <v/>
      </c>
      <c r="S65" s="26" t="str">
        <f>IF(B65="", "", 'Lighting Inventory'!J73)</f>
        <v/>
      </c>
      <c r="T65" s="26" t="str">
        <f>IFERROR(IF(B65="","",VLOOKUP(S65,'Fixture Identities'!$A$7:$G$1023,5,FALSE)), "New Construction")</f>
        <v/>
      </c>
      <c r="U65" s="26" t="str">
        <f>IFERROR(IF(B65="", "", IF(K65="New Construction", "NC", IF(VLOOKUP(S65, 'Fixture Identities'!$A$7:$I$1023,3, FALSE)="T12 Linear Fluorescent", VLOOKUP(S65, 'Fixture Identities'!$A$7:$K$1012, 11, FALSE), S65))), "")</f>
        <v/>
      </c>
      <c r="V65" s="26" t="str">
        <f>IFERROR(IF(OR(B65="", U65=0), "", VLOOKUP(U65, 'Fixture Identities'!$A$7:$G$1023, 5, FALSE)), "")</f>
        <v/>
      </c>
      <c r="W65" s="26" t="str">
        <f>IF(B65="", "",'Lighting Inventory'!K73)</f>
        <v/>
      </c>
      <c r="X65" s="65" t="str">
        <f>IF(B65="", "", 'Lighting Inventory'!L73)</f>
        <v/>
      </c>
      <c r="Y65" s="26" t="str">
        <f>IF(B65="", "", IF('Lighting Inventory'!M73="", "Light Switch",'Lighting Inventory'!M73))</f>
        <v/>
      </c>
      <c r="Z65" s="26" t="str">
        <f>IF(OR(K65="Retrofit", B65=""), "", 'Lighting Inventory'!N73)</f>
        <v/>
      </c>
      <c r="AA65" s="26" t="str">
        <f>IF(OR(Z65="",B65=""), "", 'Lighting Inventory'!O73)</f>
        <v/>
      </c>
      <c r="AB65" s="26" t="str">
        <f>IF(B65="", "", 'Lighting Inventory'!P73)</f>
        <v/>
      </c>
      <c r="AC65" s="96" t="str">
        <f>IF(B65="", "", 'Lighting Inventory'!R73)</f>
        <v/>
      </c>
      <c r="AD65" s="26" t="str">
        <f>IF(B65="", "", 'Lighting Inventory'!S73)</f>
        <v/>
      </c>
      <c r="AE65" s="26" t="str">
        <f>IF(B65="", "", 'Lighting Inventory'!V73)</f>
        <v/>
      </c>
      <c r="AF65" s="26" t="str">
        <f>IF(B65="", "", 'Lighting Inventory'!W73)</f>
        <v/>
      </c>
      <c r="AG65" s="26" t="str">
        <f>IF(OR(AF65="", B65=""), "", IF(AE65="Custom", "0", VLOOKUP(AF65, 'Lookup Tables'!$AI$6:$AP$102, 8, FALSE)))</f>
        <v/>
      </c>
      <c r="AH65" s="26" t="str">
        <f>IF(B65="", "", 'Lighting Inventory'!AD73)</f>
        <v/>
      </c>
      <c r="AI65" s="26" t="str">
        <f>IF(OR('Lighting Inventory'!AK73="", B65=""), "", 'Lighting Inventory'!AK73)</f>
        <v/>
      </c>
      <c r="AJ65" s="66" t="str">
        <f>IF(B65="", "", 'Lighting Inventory'!AL73)</f>
        <v/>
      </c>
      <c r="AK65" s="65" t="str">
        <f>IF(B65="", "", 'Lighting Inventory'!AM73)</f>
        <v/>
      </c>
      <c r="AL65" s="26" t="str">
        <f>IF(B65="", "", 'Lighting Inventory'!AN73)</f>
        <v/>
      </c>
      <c r="AM65" s="26" t="str">
        <f t="shared" si="1"/>
        <v/>
      </c>
      <c r="AN65" s="26" t="str">
        <f>IF(B65="","",IF('Lighting Inventory'!AV73="","Prescribed",'Lighting Inventory'!AV73))</f>
        <v/>
      </c>
      <c r="AO65" s="66" t="str">
        <f>IF(B65="", "", 'Lighting Inventory'!AX73)</f>
        <v/>
      </c>
      <c r="AP65" s="67" t="str">
        <f>IF(B65="", "", 'Lighting Inventory'!AZ73)</f>
        <v/>
      </c>
      <c r="AQ65" s="67" t="str">
        <f>IF(B65="", "", 'Lighting Inventory'!BA73)</f>
        <v/>
      </c>
      <c r="AR65" s="67" t="str">
        <f>IF(B65="", "", 'Lighting Inventory'!BB73)</f>
        <v/>
      </c>
      <c r="AS65" s="67" t="str">
        <f>IF(B65="", "", 'Lighting Inventory'!BC73)</f>
        <v/>
      </c>
      <c r="AT65" s="67" t="str">
        <f>IF(B65="", "", 'Lighting Inventory'!BD73)</f>
        <v/>
      </c>
      <c r="AU65" s="67" t="str">
        <f>IF(B65="", "", 'Lighting Inventory'!BE73)</f>
        <v/>
      </c>
      <c r="AV65" s="67" t="str">
        <f>IF(B65="", "", 'Lighting Inventory'!BE73)</f>
        <v/>
      </c>
      <c r="AW65" s="67" t="str">
        <f>IF(B65="", "", 'Lighting Inventory'!BF73)</f>
        <v/>
      </c>
      <c r="AX65" s="67" t="str">
        <f>IF(B65="", "", 'Lighting Inventory'!BF73)</f>
        <v/>
      </c>
      <c r="AY65" s="65" t="str">
        <f t="shared" si="4"/>
        <v/>
      </c>
      <c r="AZ65" s="65" t="str">
        <f>IF(B65="", "", 'Lighting Inventory'!BJ73)</f>
        <v/>
      </c>
      <c r="BA65" s="65" t="str">
        <f>IF(B65="", "", 'Lighting Inventory'!BM73)</f>
        <v/>
      </c>
      <c r="BB65" s="65" t="str">
        <f>IF(B65="","",SUM('Lighting Inventory'!BP73:BP73))</f>
        <v/>
      </c>
      <c r="BC65" s="67" t="str">
        <f>IF(OR(AE65="", B65=""),"", 'Lighting Inventory'!GR73)</f>
        <v/>
      </c>
      <c r="BD65" s="67" t="str">
        <f>IFERROR(IF(B65="", "", 'Lighting Inventory'!AF73)*AD65," ")</f>
        <v xml:space="preserve"> </v>
      </c>
      <c r="BE65" s="67"/>
      <c r="BF65" s="67"/>
    </row>
    <row r="66" spans="1:58" x14ac:dyDescent="0.25">
      <c r="A66" s="26" t="str">
        <f>IF(B66="", "", 'Lookup Tables'!AW67)</f>
        <v/>
      </c>
      <c r="B66" s="26" t="str">
        <f>IF(OR('Lighting Inventory'!Y74="", 'Lighting Inventory'!V74="No Change"),"", 'Lighting Inventory'!Y74)</f>
        <v/>
      </c>
      <c r="C66" s="26" t="str">
        <f>IF(B66="", "", IF('Lighting Inventory'!Y74='Lookup Tables'!$Y$32, 'Lighting Inventory'!AJ74, IF(AD66=0, R66, AD66)))</f>
        <v/>
      </c>
      <c r="D66" s="26" t="str">
        <f>IF(B66="", "", 'General Information'!$F$14)</f>
        <v/>
      </c>
      <c r="E66" s="26" t="str">
        <f t="shared" si="3"/>
        <v/>
      </c>
      <c r="F66" s="26" t="str">
        <f>IF(B66="", "", CONCATENATE('General Information'!$F$9, " - ", 'General Information'!$F$14))</f>
        <v/>
      </c>
      <c r="G66" s="26" t="str">
        <f>IF(B66="", "", 'General Information'!$F$15)</f>
        <v/>
      </c>
      <c r="H66" s="26" t="str">
        <f>IF(B66="", "", IF(VLOOKUP(B66, 'Lookup Tables'!$Y$18:$AA$34, 2, FALSE)="Traffic", VLOOKUP('Lighting Inventory'!W74, 'Lookup Tables'!#REF!, 11, FALSE), VLOOKUP(B66, 'Lookup Tables'!$Y$18:$AA$34, 2, FALSE)))</f>
        <v/>
      </c>
      <c r="I66" s="26" t="str">
        <f>IF(B66="", "", CONCATENATE(D66, 'Data Export'!A66))</f>
        <v/>
      </c>
      <c r="J66" s="26" t="str">
        <f>IF(B66="", "", 'Lookup Tables'!$B$1)</f>
        <v/>
      </c>
      <c r="K66" s="26" t="str">
        <f>IF(B66="", "", 'Lighting Inventory'!B74)</f>
        <v/>
      </c>
      <c r="L66" s="26" t="str">
        <f>IF(B66="", "", 'Lighting Inventory'!C74)</f>
        <v/>
      </c>
      <c r="M66" s="26" t="str">
        <f>IF(B66="", "",'Lighting Inventory'!D74)</f>
        <v/>
      </c>
      <c r="N66" s="26" t="str">
        <f>IF(B66="", "",'Lighting Inventory'!E74)</f>
        <v/>
      </c>
      <c r="O66" s="26" t="str">
        <f>IF(B66="", "", 'Lighting Inventory'!F74)</f>
        <v/>
      </c>
      <c r="P66" s="26" t="str">
        <f>IF(B66="", "", 'Lighting Inventory'!G74)</f>
        <v/>
      </c>
      <c r="Q66" s="26" t="str">
        <f>IF(B66="", "", 'Lighting Inventory'!H74)</f>
        <v/>
      </c>
      <c r="R66" s="26" t="str">
        <f>IF(B66="", "", 'Lighting Inventory'!I74)</f>
        <v/>
      </c>
      <c r="S66" s="26" t="str">
        <f>IF(B66="", "", 'Lighting Inventory'!J74)</f>
        <v/>
      </c>
      <c r="T66" s="26" t="str">
        <f>IFERROR(IF(B66="","",VLOOKUP(S66,'Fixture Identities'!$A$7:$G$1023,5,FALSE)), "New Construction")</f>
        <v/>
      </c>
      <c r="U66" s="26" t="str">
        <f>IFERROR(IF(B66="", "", IF(K66="New Construction", "NC", IF(VLOOKUP(S66, 'Fixture Identities'!$A$7:$I$1023,3, FALSE)="T12 Linear Fluorescent", VLOOKUP(S66, 'Fixture Identities'!$A$7:$K$1012, 11, FALSE), S66))), "")</f>
        <v/>
      </c>
      <c r="V66" s="26" t="str">
        <f>IFERROR(IF(OR(B66="", U66=0), "", VLOOKUP(U66, 'Fixture Identities'!$A$7:$G$1023, 5, FALSE)), "")</f>
        <v/>
      </c>
      <c r="W66" s="26" t="str">
        <f>IF(B66="", "",'Lighting Inventory'!K74)</f>
        <v/>
      </c>
      <c r="X66" s="65" t="str">
        <f>IF(B66="", "", 'Lighting Inventory'!L74)</f>
        <v/>
      </c>
      <c r="Y66" s="26" t="str">
        <f>IF(B66="", "", IF('Lighting Inventory'!M74="", "Light Switch",'Lighting Inventory'!M74))</f>
        <v/>
      </c>
      <c r="Z66" s="26" t="str">
        <f>IF(OR(K66="Retrofit", B66=""), "", 'Lighting Inventory'!N74)</f>
        <v/>
      </c>
      <c r="AA66" s="26" t="str">
        <f>IF(OR(Z66="",B66=""), "", 'Lighting Inventory'!O74)</f>
        <v/>
      </c>
      <c r="AB66" s="26" t="str">
        <f>IF(B66="", "", 'Lighting Inventory'!P74)</f>
        <v/>
      </c>
      <c r="AC66" s="96" t="str">
        <f>IF(B66="", "", 'Lighting Inventory'!R74)</f>
        <v/>
      </c>
      <c r="AD66" s="26" t="str">
        <f>IF(B66="", "", 'Lighting Inventory'!S74)</f>
        <v/>
      </c>
      <c r="AE66" s="26" t="str">
        <f>IF(B66="", "", 'Lighting Inventory'!V74)</f>
        <v/>
      </c>
      <c r="AF66" s="26" t="str">
        <f>IF(B66="", "", 'Lighting Inventory'!W74)</f>
        <v/>
      </c>
      <c r="AG66" s="26" t="str">
        <f>IF(OR(AF66="", B66=""), "", IF(AE66="Custom", "0", VLOOKUP(AF66, 'Lookup Tables'!$AI$6:$AP$102, 8, FALSE)))</f>
        <v/>
      </c>
      <c r="AH66" s="26" t="str">
        <f>IF(B66="", "", 'Lighting Inventory'!AD74)</f>
        <v/>
      </c>
      <c r="AI66" s="26" t="str">
        <f>IF(OR('Lighting Inventory'!AK74="", B66=""), "", 'Lighting Inventory'!AK74)</f>
        <v/>
      </c>
      <c r="AJ66" s="66" t="str">
        <f>IF(B66="", "", 'Lighting Inventory'!AL74)</f>
        <v/>
      </c>
      <c r="AK66" s="65" t="str">
        <f>IF(B66="", "", 'Lighting Inventory'!AM74)</f>
        <v/>
      </c>
      <c r="AL66" s="26" t="str">
        <f>IF(B66="", "", 'Lighting Inventory'!AN74)</f>
        <v/>
      </c>
      <c r="AM66" s="26" t="str">
        <f t="shared" si="1"/>
        <v/>
      </c>
      <c r="AN66" s="26" t="str">
        <f>IF(B66="","",IF('Lighting Inventory'!AV74="","Prescribed",'Lighting Inventory'!AV74))</f>
        <v/>
      </c>
      <c r="AO66" s="66" t="str">
        <f>IF(B66="", "", 'Lighting Inventory'!AX74)</f>
        <v/>
      </c>
      <c r="AP66" s="67" t="str">
        <f>IF(B66="", "", 'Lighting Inventory'!AZ74)</f>
        <v/>
      </c>
      <c r="AQ66" s="67" t="str">
        <f>IF(B66="", "", 'Lighting Inventory'!BA74)</f>
        <v/>
      </c>
      <c r="AR66" s="67" t="str">
        <f>IF(B66="", "", 'Lighting Inventory'!BB74)</f>
        <v/>
      </c>
      <c r="AS66" s="67" t="str">
        <f>IF(B66="", "", 'Lighting Inventory'!BC74)</f>
        <v/>
      </c>
      <c r="AT66" s="67" t="str">
        <f>IF(B66="", "", 'Lighting Inventory'!BD74)</f>
        <v/>
      </c>
      <c r="AU66" s="67" t="str">
        <f>IF(B66="", "", 'Lighting Inventory'!BE74)</f>
        <v/>
      </c>
      <c r="AV66" s="67" t="str">
        <f>IF(B66="", "", 'Lighting Inventory'!BE74)</f>
        <v/>
      </c>
      <c r="AW66" s="67" t="str">
        <f>IF(B66="", "", 'Lighting Inventory'!BF74)</f>
        <v/>
      </c>
      <c r="AX66" s="67" t="str">
        <f>IF(B66="", "", 'Lighting Inventory'!BF74)</f>
        <v/>
      </c>
      <c r="AY66" s="65" t="str">
        <f t="shared" si="4"/>
        <v/>
      </c>
      <c r="AZ66" s="65" t="str">
        <f>IF(B66="", "", 'Lighting Inventory'!BJ74)</f>
        <v/>
      </c>
      <c r="BA66" s="65" t="str">
        <f>IF(B66="", "", 'Lighting Inventory'!BM74)</f>
        <v/>
      </c>
      <c r="BB66" s="65" t="str">
        <f>IF(B66="","",SUM('Lighting Inventory'!BP74:BP74))</f>
        <v/>
      </c>
      <c r="BC66" s="67" t="str">
        <f>IF(OR(AE66="", B66=""),"", 'Lighting Inventory'!GR74)</f>
        <v/>
      </c>
      <c r="BD66" s="67" t="str">
        <f>IFERROR(IF(B66="", "", 'Lighting Inventory'!AF74)*AD66," ")</f>
        <v xml:space="preserve"> </v>
      </c>
      <c r="BE66" s="67"/>
      <c r="BF66" s="67"/>
    </row>
    <row r="67" spans="1:58" x14ac:dyDescent="0.25">
      <c r="A67" s="26" t="str">
        <f>IF(B67="", "", 'Lookup Tables'!AW68)</f>
        <v/>
      </c>
      <c r="B67" s="26" t="str">
        <f>IF(OR('Lighting Inventory'!Y75="", 'Lighting Inventory'!V75="No Change"),"", 'Lighting Inventory'!Y75)</f>
        <v/>
      </c>
      <c r="C67" s="26" t="str">
        <f>IF(B67="", "", IF('Lighting Inventory'!Y75='Lookup Tables'!$Y$32, 'Lighting Inventory'!AJ75, IF(AD67=0, R67, AD67)))</f>
        <v/>
      </c>
      <c r="D67" s="26" t="str">
        <f>IF(B67="", "", 'General Information'!$F$14)</f>
        <v/>
      </c>
      <c r="E67" s="26" t="str">
        <f t="shared" si="3"/>
        <v/>
      </c>
      <c r="F67" s="26" t="str">
        <f>IF(B67="", "", CONCATENATE('General Information'!$F$9, " - ", 'General Information'!$F$14))</f>
        <v/>
      </c>
      <c r="G67" s="26" t="str">
        <f>IF(B67="", "", 'General Information'!$F$15)</f>
        <v/>
      </c>
      <c r="H67" s="26" t="str">
        <f>IF(B67="", "", IF(VLOOKUP(B67, 'Lookup Tables'!$Y$18:$AA$34, 2, FALSE)="Traffic", VLOOKUP('Lighting Inventory'!W75, 'Lookup Tables'!#REF!, 11, FALSE), VLOOKUP(B67, 'Lookup Tables'!$Y$18:$AA$34, 2, FALSE)))</f>
        <v/>
      </c>
      <c r="I67" s="26" t="str">
        <f>IF(B67="", "", CONCATENATE(D67, 'Data Export'!A67))</f>
        <v/>
      </c>
      <c r="J67" s="26" t="str">
        <f>IF(B67="", "", 'Lookup Tables'!$B$1)</f>
        <v/>
      </c>
      <c r="K67" s="26" t="str">
        <f>IF(B67="", "", 'Lighting Inventory'!B75)</f>
        <v/>
      </c>
      <c r="L67" s="26" t="str">
        <f>IF(B67="", "", 'Lighting Inventory'!C75)</f>
        <v/>
      </c>
      <c r="M67" s="26" t="str">
        <f>IF(B67="", "",'Lighting Inventory'!D75)</f>
        <v/>
      </c>
      <c r="N67" s="26" t="str">
        <f>IF(B67="", "",'Lighting Inventory'!E75)</f>
        <v/>
      </c>
      <c r="O67" s="26" t="str">
        <f>IF(B67="", "", 'Lighting Inventory'!F75)</f>
        <v/>
      </c>
      <c r="P67" s="26" t="str">
        <f>IF(B67="", "", 'Lighting Inventory'!G75)</f>
        <v/>
      </c>
      <c r="Q67" s="26" t="str">
        <f>IF(B67="", "", 'Lighting Inventory'!H75)</f>
        <v/>
      </c>
      <c r="R67" s="26" t="str">
        <f>IF(B67="", "", 'Lighting Inventory'!I75)</f>
        <v/>
      </c>
      <c r="S67" s="26" t="str">
        <f>IF(B67="", "", 'Lighting Inventory'!J75)</f>
        <v/>
      </c>
      <c r="T67" s="26" t="str">
        <f>IFERROR(IF(B67="","",VLOOKUP(S67,'Fixture Identities'!$A$7:$G$1023,5,FALSE)), "New Construction")</f>
        <v/>
      </c>
      <c r="U67" s="26" t="str">
        <f>IFERROR(IF(B67="", "", IF(K67="New Construction", "NC", IF(VLOOKUP(S67, 'Fixture Identities'!$A$7:$I$1023,3, FALSE)="T12 Linear Fluorescent", VLOOKUP(S67, 'Fixture Identities'!$A$7:$K$1012, 11, FALSE), S67))), "")</f>
        <v/>
      </c>
      <c r="V67" s="26" t="str">
        <f>IFERROR(IF(OR(B67="", U67=0), "", VLOOKUP(U67, 'Fixture Identities'!$A$7:$G$1023, 5, FALSE)), "")</f>
        <v/>
      </c>
      <c r="W67" s="26" t="str">
        <f>IF(B67="", "",'Lighting Inventory'!K75)</f>
        <v/>
      </c>
      <c r="X67" s="65" t="str">
        <f>IF(B67="", "", 'Lighting Inventory'!L75)</f>
        <v/>
      </c>
      <c r="Y67" s="26" t="str">
        <f>IF(B67="", "", IF('Lighting Inventory'!M75="", "Light Switch",'Lighting Inventory'!M75))</f>
        <v/>
      </c>
      <c r="Z67" s="26" t="str">
        <f>IF(OR(K67="Retrofit", B67=""), "", 'Lighting Inventory'!N75)</f>
        <v/>
      </c>
      <c r="AA67" s="26" t="str">
        <f>IF(OR(Z67="",B67=""), "", 'Lighting Inventory'!O75)</f>
        <v/>
      </c>
      <c r="AB67" s="26" t="str">
        <f>IF(B67="", "", 'Lighting Inventory'!P75)</f>
        <v/>
      </c>
      <c r="AC67" s="96" t="str">
        <f>IF(B67="", "", 'Lighting Inventory'!R75)</f>
        <v/>
      </c>
      <c r="AD67" s="26" t="str">
        <f>IF(B67="", "", 'Lighting Inventory'!S75)</f>
        <v/>
      </c>
      <c r="AE67" s="26" t="str">
        <f>IF(B67="", "", 'Lighting Inventory'!V75)</f>
        <v/>
      </c>
      <c r="AF67" s="26" t="str">
        <f>IF(B67="", "", 'Lighting Inventory'!W75)</f>
        <v/>
      </c>
      <c r="AG67" s="26" t="str">
        <f>IF(OR(AF67="", B67=""), "", IF(AE67="Custom", "0", VLOOKUP(AF67, 'Lookup Tables'!$AI$6:$AP$102, 8, FALSE)))</f>
        <v/>
      </c>
      <c r="AH67" s="26" t="str">
        <f>IF(B67="", "", 'Lighting Inventory'!AD75)</f>
        <v/>
      </c>
      <c r="AI67" s="26" t="str">
        <f>IF(OR('Lighting Inventory'!AK75="", B67=""), "", 'Lighting Inventory'!AK75)</f>
        <v/>
      </c>
      <c r="AJ67" s="66" t="str">
        <f>IF(B67="", "", 'Lighting Inventory'!AL75)</f>
        <v/>
      </c>
      <c r="AK67" s="65" t="str">
        <f>IF(B67="", "", 'Lighting Inventory'!AM75)</f>
        <v/>
      </c>
      <c r="AL67" s="26" t="str">
        <f>IF(B67="", "", 'Lighting Inventory'!AN75)</f>
        <v/>
      </c>
      <c r="AM67" s="26" t="str">
        <f t="shared" si="1"/>
        <v/>
      </c>
      <c r="AN67" s="26" t="str">
        <f>IF(B67="","",IF('Lighting Inventory'!AV75="","Prescribed",'Lighting Inventory'!AV75))</f>
        <v/>
      </c>
      <c r="AO67" s="66" t="str">
        <f>IF(B67="", "", 'Lighting Inventory'!AX75)</f>
        <v/>
      </c>
      <c r="AP67" s="67" t="str">
        <f>IF(B67="", "", 'Lighting Inventory'!AZ75)</f>
        <v/>
      </c>
      <c r="AQ67" s="67" t="str">
        <f>IF(B67="", "", 'Lighting Inventory'!BA75)</f>
        <v/>
      </c>
      <c r="AR67" s="67" t="str">
        <f>IF(B67="", "", 'Lighting Inventory'!BB75)</f>
        <v/>
      </c>
      <c r="AS67" s="67" t="str">
        <f>IF(B67="", "", 'Lighting Inventory'!BC75)</f>
        <v/>
      </c>
      <c r="AT67" s="67" t="str">
        <f>IF(B67="", "", 'Lighting Inventory'!BD75)</f>
        <v/>
      </c>
      <c r="AU67" s="67" t="str">
        <f>IF(B67="", "", 'Lighting Inventory'!BE75)</f>
        <v/>
      </c>
      <c r="AV67" s="67" t="str">
        <f>IF(B67="", "", 'Lighting Inventory'!BE75)</f>
        <v/>
      </c>
      <c r="AW67" s="67" t="str">
        <f>IF(B67="", "", 'Lighting Inventory'!BF75)</f>
        <v/>
      </c>
      <c r="AX67" s="67" t="str">
        <f>IF(B67="", "", 'Lighting Inventory'!BF75)</f>
        <v/>
      </c>
      <c r="AY67" s="65" t="str">
        <f t="shared" si="4"/>
        <v/>
      </c>
      <c r="AZ67" s="65" t="str">
        <f>IF(B67="", "", 'Lighting Inventory'!BJ75)</f>
        <v/>
      </c>
      <c r="BA67" s="65" t="str">
        <f>IF(B67="", "", 'Lighting Inventory'!BM75)</f>
        <v/>
      </c>
      <c r="BB67" s="65" t="str">
        <f>IF(B67="","",SUM('Lighting Inventory'!BP75:BP75))</f>
        <v/>
      </c>
      <c r="BC67" s="67" t="str">
        <f>IF(OR(AE67="", B67=""),"", 'Lighting Inventory'!GR75)</f>
        <v/>
      </c>
      <c r="BD67" s="67" t="str">
        <f>IFERROR(IF(B67="", "", 'Lighting Inventory'!AF75)*AD67," ")</f>
        <v xml:space="preserve"> </v>
      </c>
      <c r="BE67" s="67"/>
      <c r="BF67" s="67"/>
    </row>
    <row r="68" spans="1:58" x14ac:dyDescent="0.25">
      <c r="A68" s="26" t="str">
        <f>IF(B68="", "", 'Lookup Tables'!AW69)</f>
        <v/>
      </c>
      <c r="B68" s="26" t="str">
        <f>IF(OR('Lighting Inventory'!Y76="", 'Lighting Inventory'!V76="No Change"),"", 'Lighting Inventory'!Y76)</f>
        <v/>
      </c>
      <c r="C68" s="26" t="str">
        <f>IF(B68="", "", IF('Lighting Inventory'!Y76='Lookup Tables'!$Y$32, 'Lighting Inventory'!AJ76, IF(AD68=0, R68, AD68)))</f>
        <v/>
      </c>
      <c r="D68" s="26" t="str">
        <f>IF(B68="", "", 'General Information'!$F$14)</f>
        <v/>
      </c>
      <c r="E68" s="26" t="str">
        <f t="shared" si="3"/>
        <v/>
      </c>
      <c r="F68" s="26" t="str">
        <f>IF(B68="", "", CONCATENATE('General Information'!$F$9, " - ", 'General Information'!$F$14))</f>
        <v/>
      </c>
      <c r="G68" s="26" t="str">
        <f>IF(B68="", "", 'General Information'!$F$15)</f>
        <v/>
      </c>
      <c r="H68" s="26" t="str">
        <f>IF(B68="", "", IF(VLOOKUP(B68, 'Lookup Tables'!$Y$18:$AA$34, 2, FALSE)="Traffic", VLOOKUP('Lighting Inventory'!W76, 'Lookup Tables'!#REF!, 11, FALSE), VLOOKUP(B68, 'Lookup Tables'!$Y$18:$AA$34, 2, FALSE)))</f>
        <v/>
      </c>
      <c r="I68" s="26" t="str">
        <f>IF(B68="", "", CONCATENATE(D68, 'Data Export'!A68))</f>
        <v/>
      </c>
      <c r="J68" s="26" t="str">
        <f>IF(B68="", "", 'Lookup Tables'!$B$1)</f>
        <v/>
      </c>
      <c r="K68" s="26" t="str">
        <f>IF(B68="", "", 'Lighting Inventory'!B76)</f>
        <v/>
      </c>
      <c r="L68" s="26" t="str">
        <f>IF(B68="", "", 'Lighting Inventory'!C76)</f>
        <v/>
      </c>
      <c r="M68" s="26" t="str">
        <f>IF(B68="", "",'Lighting Inventory'!D76)</f>
        <v/>
      </c>
      <c r="N68" s="26" t="str">
        <f>IF(B68="", "",'Lighting Inventory'!E76)</f>
        <v/>
      </c>
      <c r="O68" s="26" t="str">
        <f>IF(B68="", "", 'Lighting Inventory'!F76)</f>
        <v/>
      </c>
      <c r="P68" s="26" t="str">
        <f>IF(B68="", "", 'Lighting Inventory'!G76)</f>
        <v/>
      </c>
      <c r="Q68" s="26" t="str">
        <f>IF(B68="", "", 'Lighting Inventory'!H76)</f>
        <v/>
      </c>
      <c r="R68" s="26" t="str">
        <f>IF(B68="", "", 'Lighting Inventory'!I76)</f>
        <v/>
      </c>
      <c r="S68" s="26" t="str">
        <f>IF(B68="", "", 'Lighting Inventory'!J76)</f>
        <v/>
      </c>
      <c r="T68" s="26" t="str">
        <f>IFERROR(IF(B68="","",VLOOKUP(S68,'Fixture Identities'!$A$7:$G$1023,5,FALSE)), "New Construction")</f>
        <v/>
      </c>
      <c r="U68" s="26" t="str">
        <f>IFERROR(IF(B68="", "", IF(K68="New Construction", "NC", IF(VLOOKUP(S68, 'Fixture Identities'!$A$7:$I$1023,3, FALSE)="T12 Linear Fluorescent", VLOOKUP(S68, 'Fixture Identities'!$A$7:$K$1012, 11, FALSE), S68))), "")</f>
        <v/>
      </c>
      <c r="V68" s="26" t="str">
        <f>IFERROR(IF(OR(B68="", U68=0), "", VLOOKUP(U68, 'Fixture Identities'!$A$7:$G$1023, 5, FALSE)), "")</f>
        <v/>
      </c>
      <c r="W68" s="26" t="str">
        <f>IF(B68="", "",'Lighting Inventory'!K76)</f>
        <v/>
      </c>
      <c r="X68" s="65" t="str">
        <f>IF(B68="", "", 'Lighting Inventory'!L76)</f>
        <v/>
      </c>
      <c r="Y68" s="26" t="str">
        <f>IF(B68="", "", IF('Lighting Inventory'!M76="", "Light Switch",'Lighting Inventory'!M76))</f>
        <v/>
      </c>
      <c r="Z68" s="26" t="str">
        <f>IF(OR(K68="Retrofit", B68=""), "", 'Lighting Inventory'!N76)</f>
        <v/>
      </c>
      <c r="AA68" s="26" t="str">
        <f>IF(OR(Z68="",B68=""), "", 'Lighting Inventory'!O76)</f>
        <v/>
      </c>
      <c r="AB68" s="26" t="str">
        <f>IF(B68="", "", 'Lighting Inventory'!P76)</f>
        <v/>
      </c>
      <c r="AC68" s="96" t="str">
        <f>IF(B68="", "", 'Lighting Inventory'!R76)</f>
        <v/>
      </c>
      <c r="AD68" s="26" t="str">
        <f>IF(B68="", "", 'Lighting Inventory'!S76)</f>
        <v/>
      </c>
      <c r="AE68" s="26" t="str">
        <f>IF(B68="", "", 'Lighting Inventory'!V76)</f>
        <v/>
      </c>
      <c r="AF68" s="26" t="str">
        <f>IF(B68="", "", 'Lighting Inventory'!W76)</f>
        <v/>
      </c>
      <c r="AG68" s="26" t="str">
        <f>IF(OR(AF68="", B68=""), "", IF(AE68="Custom", "0", VLOOKUP(AF68, 'Lookup Tables'!$AI$6:$AP$102, 8, FALSE)))</f>
        <v/>
      </c>
      <c r="AH68" s="26" t="str">
        <f>IF(B68="", "", 'Lighting Inventory'!AD76)</f>
        <v/>
      </c>
      <c r="AI68" s="26" t="str">
        <f>IF(OR('Lighting Inventory'!AK76="", B68=""), "", 'Lighting Inventory'!AK76)</f>
        <v/>
      </c>
      <c r="AJ68" s="66" t="str">
        <f>IF(B68="", "", 'Lighting Inventory'!AL76)</f>
        <v/>
      </c>
      <c r="AK68" s="65" t="str">
        <f>IF(B68="", "", 'Lighting Inventory'!AM76)</f>
        <v/>
      </c>
      <c r="AL68" s="26" t="str">
        <f>IF(B68="", "", 'Lighting Inventory'!AN76)</f>
        <v/>
      </c>
      <c r="AM68" s="26" t="str">
        <f t="shared" ref="AM68:AM131" si="5">IF(B68="", "", 8)</f>
        <v/>
      </c>
      <c r="AN68" s="26" t="str">
        <f>IF(B68="","",IF('Lighting Inventory'!AV76="","Prescribed",'Lighting Inventory'!AV76))</f>
        <v/>
      </c>
      <c r="AO68" s="66" t="str">
        <f>IF(B68="", "", 'Lighting Inventory'!AX76)</f>
        <v/>
      </c>
      <c r="AP68" s="67" t="str">
        <f>IF(B68="", "", 'Lighting Inventory'!AZ76)</f>
        <v/>
      </c>
      <c r="AQ68" s="67" t="str">
        <f>IF(B68="", "", 'Lighting Inventory'!BA76)</f>
        <v/>
      </c>
      <c r="AR68" s="67" t="str">
        <f>IF(B68="", "", 'Lighting Inventory'!BB76)</f>
        <v/>
      </c>
      <c r="AS68" s="67" t="str">
        <f>IF(B68="", "", 'Lighting Inventory'!BC76)</f>
        <v/>
      </c>
      <c r="AT68" s="67" t="str">
        <f>IF(B68="", "", 'Lighting Inventory'!BD76)</f>
        <v/>
      </c>
      <c r="AU68" s="67" t="str">
        <f>IF(B68="", "", 'Lighting Inventory'!BE76)</f>
        <v/>
      </c>
      <c r="AV68" s="67" t="str">
        <f>IF(B68="", "", 'Lighting Inventory'!BE76)</f>
        <v/>
      </c>
      <c r="AW68" s="67" t="str">
        <f>IF(B68="", "", 'Lighting Inventory'!BF76)</f>
        <v/>
      </c>
      <c r="AX68" s="67" t="str">
        <f>IF(B68="", "", 'Lighting Inventory'!BF76)</f>
        <v/>
      </c>
      <c r="AY68" s="65" t="str">
        <f t="shared" si="4"/>
        <v/>
      </c>
      <c r="AZ68" s="65" t="str">
        <f>IF(B68="", "", 'Lighting Inventory'!BJ76)</f>
        <v/>
      </c>
      <c r="BA68" s="65" t="str">
        <f>IF(B68="", "", 'Lighting Inventory'!BM76)</f>
        <v/>
      </c>
      <c r="BB68" s="65" t="str">
        <f>IF(B68="","",SUM('Lighting Inventory'!BP76:BP76))</f>
        <v/>
      </c>
      <c r="BC68" s="67" t="str">
        <f>IF(OR(AE68="", B68=""),"", 'Lighting Inventory'!GR76)</f>
        <v/>
      </c>
      <c r="BD68" s="67" t="str">
        <f>IFERROR(IF(B68="", "", 'Lighting Inventory'!AF76)*AD68," ")</f>
        <v xml:space="preserve"> </v>
      </c>
      <c r="BE68" s="67"/>
      <c r="BF68" s="67"/>
    </row>
    <row r="69" spans="1:58" x14ac:dyDescent="0.25">
      <c r="A69" s="26" t="str">
        <f>IF(B69="", "", 'Lookup Tables'!AW70)</f>
        <v/>
      </c>
      <c r="B69" s="26" t="str">
        <f>IF(OR('Lighting Inventory'!Y77="", 'Lighting Inventory'!V77="No Change"),"", 'Lighting Inventory'!Y77)</f>
        <v/>
      </c>
      <c r="C69" s="26" t="str">
        <f>IF(B69="", "", IF('Lighting Inventory'!Y77='Lookup Tables'!$Y$32, 'Lighting Inventory'!AJ77, IF(AD69=0, R69, AD69)))</f>
        <v/>
      </c>
      <c r="D69" s="26" t="str">
        <f>IF(B69="", "", 'General Information'!$F$14)</f>
        <v/>
      </c>
      <c r="E69" s="26" t="str">
        <f t="shared" si="3"/>
        <v/>
      </c>
      <c r="F69" s="26" t="str">
        <f>IF(B69="", "", CONCATENATE('General Information'!$F$9, " - ", 'General Information'!$F$14))</f>
        <v/>
      </c>
      <c r="G69" s="26" t="str">
        <f>IF(B69="", "", 'General Information'!$F$15)</f>
        <v/>
      </c>
      <c r="H69" s="26" t="str">
        <f>IF(B69="", "", IF(VLOOKUP(B69, 'Lookup Tables'!$Y$18:$AA$34, 2, FALSE)="Traffic", VLOOKUP('Lighting Inventory'!W77, 'Lookup Tables'!#REF!, 11, FALSE), VLOOKUP(B69, 'Lookup Tables'!$Y$18:$AA$34, 2, FALSE)))</f>
        <v/>
      </c>
      <c r="I69" s="26" t="str">
        <f>IF(B69="", "", CONCATENATE(D69, 'Data Export'!A69))</f>
        <v/>
      </c>
      <c r="J69" s="26" t="str">
        <f>IF(B69="", "", 'Lookup Tables'!$B$1)</f>
        <v/>
      </c>
      <c r="K69" s="26" t="str">
        <f>IF(B69="", "", 'Lighting Inventory'!B77)</f>
        <v/>
      </c>
      <c r="L69" s="26" t="str">
        <f>IF(B69="", "", 'Lighting Inventory'!C77)</f>
        <v/>
      </c>
      <c r="M69" s="26" t="str">
        <f>IF(B69="", "",'Lighting Inventory'!D77)</f>
        <v/>
      </c>
      <c r="N69" s="26" t="str">
        <f>IF(B69="", "",'Lighting Inventory'!E77)</f>
        <v/>
      </c>
      <c r="O69" s="26" t="str">
        <f>IF(B69="", "", 'Lighting Inventory'!F77)</f>
        <v/>
      </c>
      <c r="P69" s="26" t="str">
        <f>IF(B69="", "", 'Lighting Inventory'!G77)</f>
        <v/>
      </c>
      <c r="Q69" s="26" t="str">
        <f>IF(B69="", "", 'Lighting Inventory'!H77)</f>
        <v/>
      </c>
      <c r="R69" s="26" t="str">
        <f>IF(B69="", "", 'Lighting Inventory'!I77)</f>
        <v/>
      </c>
      <c r="S69" s="26" t="str">
        <f>IF(B69="", "", 'Lighting Inventory'!J77)</f>
        <v/>
      </c>
      <c r="T69" s="26" t="str">
        <f>IFERROR(IF(B69="","",VLOOKUP(S69,'Fixture Identities'!$A$7:$G$1023,5,FALSE)), "New Construction")</f>
        <v/>
      </c>
      <c r="U69" s="26" t="str">
        <f>IFERROR(IF(B69="", "", IF(K69="New Construction", "NC", IF(VLOOKUP(S69, 'Fixture Identities'!$A$7:$I$1023,3, FALSE)="T12 Linear Fluorescent", VLOOKUP(S69, 'Fixture Identities'!$A$7:$K$1012, 11, FALSE), S69))), "")</f>
        <v/>
      </c>
      <c r="V69" s="26" t="str">
        <f>IFERROR(IF(OR(B69="", U69=0), "", VLOOKUP(U69, 'Fixture Identities'!$A$7:$G$1023, 5, FALSE)), "")</f>
        <v/>
      </c>
      <c r="W69" s="26" t="str">
        <f>IF(B69="", "",'Lighting Inventory'!K77)</f>
        <v/>
      </c>
      <c r="X69" s="65" t="str">
        <f>IF(B69="", "", 'Lighting Inventory'!L77)</f>
        <v/>
      </c>
      <c r="Y69" s="26" t="str">
        <f>IF(B69="", "", IF('Lighting Inventory'!M77="", "Light Switch",'Lighting Inventory'!M77))</f>
        <v/>
      </c>
      <c r="Z69" s="26" t="str">
        <f>IF(OR(K69="Retrofit", B69=""), "", 'Lighting Inventory'!N77)</f>
        <v/>
      </c>
      <c r="AA69" s="26" t="str">
        <f>IF(OR(Z69="",B69=""), "", 'Lighting Inventory'!O77)</f>
        <v/>
      </c>
      <c r="AB69" s="26" t="str">
        <f>IF(B69="", "", 'Lighting Inventory'!P77)</f>
        <v/>
      </c>
      <c r="AC69" s="96" t="str">
        <f>IF(B69="", "", 'Lighting Inventory'!R77)</f>
        <v/>
      </c>
      <c r="AD69" s="26" t="str">
        <f>IF(B69="", "", 'Lighting Inventory'!S77)</f>
        <v/>
      </c>
      <c r="AE69" s="26" t="str">
        <f>IF(B69="", "", 'Lighting Inventory'!V77)</f>
        <v/>
      </c>
      <c r="AF69" s="26" t="str">
        <f>IF(B69="", "", 'Lighting Inventory'!W77)</f>
        <v/>
      </c>
      <c r="AG69" s="26" t="str">
        <f>IF(OR(AF69="", B69=""), "", IF(AE69="Custom", "0", VLOOKUP(AF69, 'Lookup Tables'!$AI$6:$AP$102, 8, FALSE)))</f>
        <v/>
      </c>
      <c r="AH69" s="26" t="str">
        <f>IF(B69="", "", 'Lighting Inventory'!AD77)</f>
        <v/>
      </c>
      <c r="AI69" s="26" t="str">
        <f>IF(OR('Lighting Inventory'!AK77="", B69=""), "", 'Lighting Inventory'!AK77)</f>
        <v/>
      </c>
      <c r="AJ69" s="66" t="str">
        <f>IF(B69="", "", 'Lighting Inventory'!AL77)</f>
        <v/>
      </c>
      <c r="AK69" s="65" t="str">
        <f>IF(B69="", "", 'Lighting Inventory'!AM77)</f>
        <v/>
      </c>
      <c r="AL69" s="26" t="str">
        <f>IF(B69="", "", 'Lighting Inventory'!AN77)</f>
        <v/>
      </c>
      <c r="AM69" s="26" t="str">
        <f t="shared" si="5"/>
        <v/>
      </c>
      <c r="AN69" s="26" t="str">
        <f>IF(B69="","",IF('Lighting Inventory'!AV77="","Prescribed",'Lighting Inventory'!AV77))</f>
        <v/>
      </c>
      <c r="AO69" s="66" t="str">
        <f>IF(B69="", "", 'Lighting Inventory'!AX77)</f>
        <v/>
      </c>
      <c r="AP69" s="67" t="str">
        <f>IF(B69="", "", 'Lighting Inventory'!AZ77)</f>
        <v/>
      </c>
      <c r="AQ69" s="67" t="str">
        <f>IF(B69="", "", 'Lighting Inventory'!BA77)</f>
        <v/>
      </c>
      <c r="AR69" s="67" t="str">
        <f>IF(B69="", "", 'Lighting Inventory'!BB77)</f>
        <v/>
      </c>
      <c r="AS69" s="67" t="str">
        <f>IF(B69="", "", 'Lighting Inventory'!BC77)</f>
        <v/>
      </c>
      <c r="AT69" s="67" t="str">
        <f>IF(B69="", "", 'Lighting Inventory'!BD77)</f>
        <v/>
      </c>
      <c r="AU69" s="67" t="str">
        <f>IF(B69="", "", 'Lighting Inventory'!BE77)</f>
        <v/>
      </c>
      <c r="AV69" s="67" t="str">
        <f>IF(B69="", "", 'Lighting Inventory'!BE77)</f>
        <v/>
      </c>
      <c r="AW69" s="67" t="str">
        <f>IF(B69="", "", 'Lighting Inventory'!BF77)</f>
        <v/>
      </c>
      <c r="AX69" s="67" t="str">
        <f>IF(B69="", "", 'Lighting Inventory'!BF77)</f>
        <v/>
      </c>
      <c r="AY69" s="65" t="str">
        <f t="shared" si="4"/>
        <v/>
      </c>
      <c r="AZ69" s="65" t="str">
        <f>IF(B69="", "", 'Lighting Inventory'!BJ77)</f>
        <v/>
      </c>
      <c r="BA69" s="65" t="str">
        <f>IF(B69="", "", 'Lighting Inventory'!BM77)</f>
        <v/>
      </c>
      <c r="BB69" s="65" t="str">
        <f>IF(B69="","",SUM('Lighting Inventory'!BP77:BP77))</f>
        <v/>
      </c>
      <c r="BC69" s="67" t="str">
        <f>IF(OR(AE69="", B69=""),"", 'Lighting Inventory'!GR77)</f>
        <v/>
      </c>
      <c r="BD69" s="67" t="str">
        <f>IFERROR(IF(B69="", "", 'Lighting Inventory'!AF77)*AD69," ")</f>
        <v xml:space="preserve"> </v>
      </c>
      <c r="BE69" s="67"/>
      <c r="BF69" s="67"/>
    </row>
    <row r="70" spans="1:58" x14ac:dyDescent="0.25">
      <c r="A70" s="26" t="str">
        <f>IF(B70="", "", 'Lookup Tables'!AW71)</f>
        <v/>
      </c>
      <c r="B70" s="26" t="str">
        <f>IF(OR('Lighting Inventory'!Y78="", 'Lighting Inventory'!V78="No Change"),"", 'Lighting Inventory'!Y78)</f>
        <v/>
      </c>
      <c r="C70" s="26" t="str">
        <f>IF(B70="", "", IF('Lighting Inventory'!Y78='Lookup Tables'!$Y$32, 'Lighting Inventory'!AJ78, IF(AD70=0, R70, AD70)))</f>
        <v/>
      </c>
      <c r="D70" s="26" t="str">
        <f>IF(B70="", "", 'General Information'!$F$14)</f>
        <v/>
      </c>
      <c r="E70" s="26" t="str">
        <f t="shared" si="3"/>
        <v/>
      </c>
      <c r="F70" s="26" t="str">
        <f>IF(B70="", "", CONCATENATE('General Information'!$F$9, " - ", 'General Information'!$F$14))</f>
        <v/>
      </c>
      <c r="G70" s="26" t="str">
        <f>IF(B70="", "", 'General Information'!$F$15)</f>
        <v/>
      </c>
      <c r="H70" s="26" t="str">
        <f>IF(B70="", "", IF(VLOOKUP(B70, 'Lookup Tables'!$Y$18:$AA$34, 2, FALSE)="Traffic", VLOOKUP('Lighting Inventory'!W78, 'Lookup Tables'!#REF!, 11, FALSE), VLOOKUP(B70, 'Lookup Tables'!$Y$18:$AA$34, 2, FALSE)))</f>
        <v/>
      </c>
      <c r="I70" s="26" t="str">
        <f>IF(B70="", "", CONCATENATE(D70, 'Data Export'!A70))</f>
        <v/>
      </c>
      <c r="J70" s="26" t="str">
        <f>IF(B70="", "", 'Lookup Tables'!$B$1)</f>
        <v/>
      </c>
      <c r="K70" s="26" t="str">
        <f>IF(B70="", "", 'Lighting Inventory'!B78)</f>
        <v/>
      </c>
      <c r="L70" s="26" t="str">
        <f>IF(B70="", "", 'Lighting Inventory'!C78)</f>
        <v/>
      </c>
      <c r="M70" s="26" t="str">
        <f>IF(B70="", "",'Lighting Inventory'!D78)</f>
        <v/>
      </c>
      <c r="N70" s="26" t="str">
        <f>IF(B70="", "",'Lighting Inventory'!E78)</f>
        <v/>
      </c>
      <c r="O70" s="26" t="str">
        <f>IF(B70="", "", 'Lighting Inventory'!F78)</f>
        <v/>
      </c>
      <c r="P70" s="26" t="str">
        <f>IF(B70="", "", 'Lighting Inventory'!G78)</f>
        <v/>
      </c>
      <c r="Q70" s="26" t="str">
        <f>IF(B70="", "", 'Lighting Inventory'!H78)</f>
        <v/>
      </c>
      <c r="R70" s="26" t="str">
        <f>IF(B70="", "", 'Lighting Inventory'!I78)</f>
        <v/>
      </c>
      <c r="S70" s="26" t="str">
        <f>IF(B70="", "", 'Lighting Inventory'!J78)</f>
        <v/>
      </c>
      <c r="T70" s="26" t="str">
        <f>IFERROR(IF(B70="","",VLOOKUP(S70,'Fixture Identities'!$A$7:$G$1023,5,FALSE)), "New Construction")</f>
        <v/>
      </c>
      <c r="U70" s="26" t="str">
        <f>IFERROR(IF(B70="", "", IF(K70="New Construction", "NC", IF(VLOOKUP(S70, 'Fixture Identities'!$A$7:$I$1023,3, FALSE)="T12 Linear Fluorescent", VLOOKUP(S70, 'Fixture Identities'!$A$7:$K$1012, 11, FALSE), S70))), "")</f>
        <v/>
      </c>
      <c r="V70" s="26" t="str">
        <f>IFERROR(IF(OR(B70="", U70=0), "", VLOOKUP(U70, 'Fixture Identities'!$A$7:$G$1023, 5, FALSE)), "")</f>
        <v/>
      </c>
      <c r="W70" s="26" t="str">
        <f>IF(B70="", "",'Lighting Inventory'!K78)</f>
        <v/>
      </c>
      <c r="X70" s="65" t="str">
        <f>IF(B70="", "", 'Lighting Inventory'!L78)</f>
        <v/>
      </c>
      <c r="Y70" s="26" t="str">
        <f>IF(B70="", "", IF('Lighting Inventory'!M78="", "Light Switch",'Lighting Inventory'!M78))</f>
        <v/>
      </c>
      <c r="Z70" s="26" t="str">
        <f>IF(OR(K70="Retrofit", B70=""), "", 'Lighting Inventory'!N78)</f>
        <v/>
      </c>
      <c r="AA70" s="26" t="str">
        <f>IF(OR(Z70="",B70=""), "", 'Lighting Inventory'!O78)</f>
        <v/>
      </c>
      <c r="AB70" s="26" t="str">
        <f>IF(B70="", "", 'Lighting Inventory'!P78)</f>
        <v/>
      </c>
      <c r="AC70" s="96" t="str">
        <f>IF(B70="", "", 'Lighting Inventory'!R78)</f>
        <v/>
      </c>
      <c r="AD70" s="26" t="str">
        <f>IF(B70="", "", 'Lighting Inventory'!S78)</f>
        <v/>
      </c>
      <c r="AE70" s="26" t="str">
        <f>IF(B70="", "", 'Lighting Inventory'!V78)</f>
        <v/>
      </c>
      <c r="AF70" s="26" t="str">
        <f>IF(B70="", "", 'Lighting Inventory'!W78)</f>
        <v/>
      </c>
      <c r="AG70" s="26" t="str">
        <f>IF(OR(AF70="", B70=""), "", IF(AE70="Custom", "0", VLOOKUP(AF70, 'Lookup Tables'!$AI$6:$AP$102, 8, FALSE)))</f>
        <v/>
      </c>
      <c r="AH70" s="26" t="str">
        <f>IF(B70="", "", 'Lighting Inventory'!AD78)</f>
        <v/>
      </c>
      <c r="AI70" s="26" t="str">
        <f>IF(OR('Lighting Inventory'!AK78="", B70=""), "", 'Lighting Inventory'!AK78)</f>
        <v/>
      </c>
      <c r="AJ70" s="66" t="str">
        <f>IF(B70="", "", 'Lighting Inventory'!AL78)</f>
        <v/>
      </c>
      <c r="AK70" s="65" t="str">
        <f>IF(B70="", "", 'Lighting Inventory'!AM78)</f>
        <v/>
      </c>
      <c r="AL70" s="26" t="str">
        <f>IF(B70="", "", 'Lighting Inventory'!AN78)</f>
        <v/>
      </c>
      <c r="AM70" s="26" t="str">
        <f t="shared" si="5"/>
        <v/>
      </c>
      <c r="AN70" s="26" t="str">
        <f>IF(B70="","",IF('Lighting Inventory'!AV78="","Prescribed",'Lighting Inventory'!AV78))</f>
        <v/>
      </c>
      <c r="AO70" s="66" t="str">
        <f>IF(B70="", "", 'Lighting Inventory'!AX78)</f>
        <v/>
      </c>
      <c r="AP70" s="67" t="str">
        <f>IF(B70="", "", 'Lighting Inventory'!AZ78)</f>
        <v/>
      </c>
      <c r="AQ70" s="67" t="str">
        <f>IF(B70="", "", 'Lighting Inventory'!BA78)</f>
        <v/>
      </c>
      <c r="AR70" s="67" t="str">
        <f>IF(B70="", "", 'Lighting Inventory'!BB78)</f>
        <v/>
      </c>
      <c r="AS70" s="67" t="str">
        <f>IF(B70="", "", 'Lighting Inventory'!BC78)</f>
        <v/>
      </c>
      <c r="AT70" s="67" t="str">
        <f>IF(B70="", "", 'Lighting Inventory'!BD78)</f>
        <v/>
      </c>
      <c r="AU70" s="67" t="str">
        <f>IF(B70="", "", 'Lighting Inventory'!BE78)</f>
        <v/>
      </c>
      <c r="AV70" s="67" t="str">
        <f>IF(B70="", "", 'Lighting Inventory'!BE78)</f>
        <v/>
      </c>
      <c r="AW70" s="67" t="str">
        <f>IF(B70="", "", 'Lighting Inventory'!BF78)</f>
        <v/>
      </c>
      <c r="AX70" s="67" t="str">
        <f>IF(B70="", "", 'Lighting Inventory'!BF78)</f>
        <v/>
      </c>
      <c r="AY70" s="65" t="str">
        <f t="shared" si="4"/>
        <v/>
      </c>
      <c r="AZ70" s="65" t="str">
        <f>IF(B70="", "", 'Lighting Inventory'!BJ78)</f>
        <v/>
      </c>
      <c r="BA70" s="65" t="str">
        <f>IF(B70="", "", 'Lighting Inventory'!BM78)</f>
        <v/>
      </c>
      <c r="BB70" s="65" t="str">
        <f>IF(B70="","",SUM('Lighting Inventory'!BP78:BP78))</f>
        <v/>
      </c>
      <c r="BC70" s="67" t="str">
        <f>IF(OR(AE70="", B70=""),"", 'Lighting Inventory'!GR78)</f>
        <v/>
      </c>
      <c r="BD70" s="67" t="str">
        <f>IFERROR(IF(B70="", "", 'Lighting Inventory'!AF78)*AD70," ")</f>
        <v xml:space="preserve"> </v>
      </c>
      <c r="BE70" s="67"/>
      <c r="BF70" s="67"/>
    </row>
    <row r="71" spans="1:58" x14ac:dyDescent="0.25">
      <c r="A71" s="26" t="str">
        <f>IF(B71="", "", 'Lookup Tables'!AW72)</f>
        <v/>
      </c>
      <c r="B71" s="26" t="str">
        <f>IF(OR('Lighting Inventory'!Y79="", 'Lighting Inventory'!V79="No Change"),"", 'Lighting Inventory'!Y79)</f>
        <v/>
      </c>
      <c r="C71" s="26" t="str">
        <f>IF(B71="", "", IF('Lighting Inventory'!Y79='Lookup Tables'!$Y$32, 'Lighting Inventory'!AJ79, IF(AD71=0, R71, AD71)))</f>
        <v/>
      </c>
      <c r="D71" s="26" t="str">
        <f>IF(B71="", "", 'General Information'!$F$14)</f>
        <v/>
      </c>
      <c r="E71" s="26" t="str">
        <f t="shared" si="3"/>
        <v/>
      </c>
      <c r="F71" s="26" t="str">
        <f>IF(B71="", "", CONCATENATE('General Information'!$F$9, " - ", 'General Information'!$F$14))</f>
        <v/>
      </c>
      <c r="G71" s="26" t="str">
        <f>IF(B71="", "", 'General Information'!$F$15)</f>
        <v/>
      </c>
      <c r="H71" s="26" t="str">
        <f>IF(B71="", "", IF(VLOOKUP(B71, 'Lookup Tables'!$Y$18:$AA$34, 2, FALSE)="Traffic", VLOOKUP('Lighting Inventory'!W79, 'Lookup Tables'!#REF!, 11, FALSE), VLOOKUP(B71, 'Lookup Tables'!$Y$18:$AA$34, 2, FALSE)))</f>
        <v/>
      </c>
      <c r="I71" s="26" t="str">
        <f>IF(B71="", "", CONCATENATE(D71, 'Data Export'!A71))</f>
        <v/>
      </c>
      <c r="J71" s="26" t="str">
        <f>IF(B71="", "", 'Lookup Tables'!$B$1)</f>
        <v/>
      </c>
      <c r="K71" s="26" t="str">
        <f>IF(B71="", "", 'Lighting Inventory'!B79)</f>
        <v/>
      </c>
      <c r="L71" s="26" t="str">
        <f>IF(B71="", "", 'Lighting Inventory'!C79)</f>
        <v/>
      </c>
      <c r="M71" s="26" t="str">
        <f>IF(B71="", "",'Lighting Inventory'!D79)</f>
        <v/>
      </c>
      <c r="N71" s="26" t="str">
        <f>IF(B71="", "",'Lighting Inventory'!E79)</f>
        <v/>
      </c>
      <c r="O71" s="26" t="str">
        <f>IF(B71="", "", 'Lighting Inventory'!F79)</f>
        <v/>
      </c>
      <c r="P71" s="26" t="str">
        <f>IF(B71="", "", 'Lighting Inventory'!G79)</f>
        <v/>
      </c>
      <c r="Q71" s="26" t="str">
        <f>IF(B71="", "", 'Lighting Inventory'!H79)</f>
        <v/>
      </c>
      <c r="R71" s="26" t="str">
        <f>IF(B71="", "", 'Lighting Inventory'!I79)</f>
        <v/>
      </c>
      <c r="S71" s="26" t="str">
        <f>IF(B71="", "", 'Lighting Inventory'!J79)</f>
        <v/>
      </c>
      <c r="T71" s="26" t="str">
        <f>IFERROR(IF(B71="","",VLOOKUP(S71,'Fixture Identities'!$A$7:$G$1023,5,FALSE)), "New Construction")</f>
        <v/>
      </c>
      <c r="U71" s="26" t="str">
        <f>IFERROR(IF(B71="", "", IF(K71="New Construction", "NC", IF(VLOOKUP(S71, 'Fixture Identities'!$A$7:$I$1023,3, FALSE)="T12 Linear Fluorescent", VLOOKUP(S71, 'Fixture Identities'!$A$7:$K$1012, 11, FALSE), S71))), "")</f>
        <v/>
      </c>
      <c r="V71" s="26" t="str">
        <f>IFERROR(IF(OR(B71="", U71=0), "", VLOOKUP(U71, 'Fixture Identities'!$A$7:$G$1023, 5, FALSE)), "")</f>
        <v/>
      </c>
      <c r="W71" s="26" t="str">
        <f>IF(B71="", "",'Lighting Inventory'!K79)</f>
        <v/>
      </c>
      <c r="X71" s="65" t="str">
        <f>IF(B71="", "", 'Lighting Inventory'!L79)</f>
        <v/>
      </c>
      <c r="Y71" s="26" t="str">
        <f>IF(B71="", "", IF('Lighting Inventory'!M79="", "Light Switch",'Lighting Inventory'!M79))</f>
        <v/>
      </c>
      <c r="Z71" s="26" t="str">
        <f>IF(OR(K71="Retrofit", B71=""), "", 'Lighting Inventory'!N79)</f>
        <v/>
      </c>
      <c r="AA71" s="26" t="str">
        <f>IF(OR(Z71="",B71=""), "", 'Lighting Inventory'!O79)</f>
        <v/>
      </c>
      <c r="AB71" s="26" t="str">
        <f>IF(B71="", "", 'Lighting Inventory'!P79)</f>
        <v/>
      </c>
      <c r="AC71" s="96" t="str">
        <f>IF(B71="", "", 'Lighting Inventory'!R79)</f>
        <v/>
      </c>
      <c r="AD71" s="26" t="str">
        <f>IF(B71="", "", 'Lighting Inventory'!S79)</f>
        <v/>
      </c>
      <c r="AE71" s="26" t="str">
        <f>IF(B71="", "", 'Lighting Inventory'!V79)</f>
        <v/>
      </c>
      <c r="AF71" s="26" t="str">
        <f>IF(B71="", "", 'Lighting Inventory'!W79)</f>
        <v/>
      </c>
      <c r="AG71" s="26" t="str">
        <f>IF(OR(AF71="", B71=""), "", IF(AE71="Custom", "0", VLOOKUP(AF71, 'Lookup Tables'!$AI$6:$AP$102, 8, FALSE)))</f>
        <v/>
      </c>
      <c r="AH71" s="26" t="str">
        <f>IF(B71="", "", 'Lighting Inventory'!AD79)</f>
        <v/>
      </c>
      <c r="AI71" s="26" t="str">
        <f>IF(OR('Lighting Inventory'!AK79="", B71=""), "", 'Lighting Inventory'!AK79)</f>
        <v/>
      </c>
      <c r="AJ71" s="66" t="str">
        <f>IF(B71="", "", 'Lighting Inventory'!AL79)</f>
        <v/>
      </c>
      <c r="AK71" s="65" t="str">
        <f>IF(B71="", "", 'Lighting Inventory'!AM79)</f>
        <v/>
      </c>
      <c r="AL71" s="26" t="str">
        <f>IF(B71="", "", 'Lighting Inventory'!AN79)</f>
        <v/>
      </c>
      <c r="AM71" s="26" t="str">
        <f t="shared" si="5"/>
        <v/>
      </c>
      <c r="AN71" s="26" t="str">
        <f>IF(B71="","",IF('Lighting Inventory'!AV79="","Prescribed",'Lighting Inventory'!AV79))</f>
        <v/>
      </c>
      <c r="AO71" s="66" t="str">
        <f>IF(B71="", "", 'Lighting Inventory'!AX79)</f>
        <v/>
      </c>
      <c r="AP71" s="67" t="str">
        <f>IF(B71="", "", 'Lighting Inventory'!AZ79)</f>
        <v/>
      </c>
      <c r="AQ71" s="67" t="str">
        <f>IF(B71="", "", 'Lighting Inventory'!BA79)</f>
        <v/>
      </c>
      <c r="AR71" s="67" t="str">
        <f>IF(B71="", "", 'Lighting Inventory'!BB79)</f>
        <v/>
      </c>
      <c r="AS71" s="67" t="str">
        <f>IF(B71="", "", 'Lighting Inventory'!BC79)</f>
        <v/>
      </c>
      <c r="AT71" s="67" t="str">
        <f>IF(B71="", "", 'Lighting Inventory'!BD79)</f>
        <v/>
      </c>
      <c r="AU71" s="67" t="str">
        <f>IF(B71="", "", 'Lighting Inventory'!BE79)</f>
        <v/>
      </c>
      <c r="AV71" s="67" t="str">
        <f>IF(B71="", "", 'Lighting Inventory'!BE79)</f>
        <v/>
      </c>
      <c r="AW71" s="67" t="str">
        <f>IF(B71="", "", 'Lighting Inventory'!BF79)</f>
        <v/>
      </c>
      <c r="AX71" s="67" t="str">
        <f>IF(B71="", "", 'Lighting Inventory'!BF79)</f>
        <v/>
      </c>
      <c r="AY71" s="65" t="str">
        <f t="shared" si="4"/>
        <v/>
      </c>
      <c r="AZ71" s="65" t="str">
        <f>IF(B71="", "", 'Lighting Inventory'!BJ79)</f>
        <v/>
      </c>
      <c r="BA71" s="65" t="str">
        <f>IF(B71="", "", 'Lighting Inventory'!BM79)</f>
        <v/>
      </c>
      <c r="BB71" s="65" t="str">
        <f>IF(B71="","",SUM('Lighting Inventory'!BP79:BP79))</f>
        <v/>
      </c>
      <c r="BC71" s="67" t="str">
        <f>IF(OR(AE71="", B71=""),"", 'Lighting Inventory'!GR79)</f>
        <v/>
      </c>
      <c r="BD71" s="67" t="str">
        <f>IFERROR(IF(B71="", "", 'Lighting Inventory'!AF79)*AD71," ")</f>
        <v xml:space="preserve"> </v>
      </c>
      <c r="BE71" s="67"/>
      <c r="BF71" s="67"/>
    </row>
    <row r="72" spans="1:58" x14ac:dyDescent="0.25">
      <c r="A72" s="26" t="str">
        <f>IF(B72="", "", 'Lookup Tables'!AW73)</f>
        <v/>
      </c>
      <c r="B72" s="26" t="str">
        <f>IF(OR('Lighting Inventory'!Y80="", 'Lighting Inventory'!V80="No Change"),"", 'Lighting Inventory'!Y80)</f>
        <v/>
      </c>
      <c r="C72" s="26" t="str">
        <f>IF(B72="", "", IF('Lighting Inventory'!Y80='Lookup Tables'!$Y$32, 'Lighting Inventory'!AJ80, IF(AD72=0, R72, AD72)))</f>
        <v/>
      </c>
      <c r="D72" s="26" t="str">
        <f>IF(B72="", "", 'General Information'!$F$14)</f>
        <v/>
      </c>
      <c r="E72" s="26" t="str">
        <f t="shared" si="3"/>
        <v/>
      </c>
      <c r="F72" s="26" t="str">
        <f>IF(B72="", "", CONCATENATE('General Information'!$F$9, " - ", 'General Information'!$F$14))</f>
        <v/>
      </c>
      <c r="G72" s="26" t="str">
        <f>IF(B72="", "", 'General Information'!$F$15)</f>
        <v/>
      </c>
      <c r="H72" s="26" t="str">
        <f>IF(B72="", "", IF(VLOOKUP(B72, 'Lookup Tables'!$Y$18:$AA$34, 2, FALSE)="Traffic", VLOOKUP('Lighting Inventory'!W80, 'Lookup Tables'!#REF!, 11, FALSE), VLOOKUP(B72, 'Lookup Tables'!$Y$18:$AA$34, 2, FALSE)))</f>
        <v/>
      </c>
      <c r="I72" s="26" t="str">
        <f>IF(B72="", "", CONCATENATE(D72, 'Data Export'!A72))</f>
        <v/>
      </c>
      <c r="J72" s="26" t="str">
        <f>IF(B72="", "", 'Lookup Tables'!$B$1)</f>
        <v/>
      </c>
      <c r="K72" s="26" t="str">
        <f>IF(B72="", "", 'Lighting Inventory'!B80)</f>
        <v/>
      </c>
      <c r="L72" s="26" t="str">
        <f>IF(B72="", "", 'Lighting Inventory'!C80)</f>
        <v/>
      </c>
      <c r="M72" s="26" t="str">
        <f>IF(B72="", "",'Lighting Inventory'!D80)</f>
        <v/>
      </c>
      <c r="N72" s="26" t="str">
        <f>IF(B72="", "",'Lighting Inventory'!E80)</f>
        <v/>
      </c>
      <c r="O72" s="26" t="str">
        <f>IF(B72="", "", 'Lighting Inventory'!F80)</f>
        <v/>
      </c>
      <c r="P72" s="26" t="str">
        <f>IF(B72="", "", 'Lighting Inventory'!G80)</f>
        <v/>
      </c>
      <c r="Q72" s="26" t="str">
        <f>IF(B72="", "", 'Lighting Inventory'!H80)</f>
        <v/>
      </c>
      <c r="R72" s="26" t="str">
        <f>IF(B72="", "", 'Lighting Inventory'!I80)</f>
        <v/>
      </c>
      <c r="S72" s="26" t="str">
        <f>IF(B72="", "", 'Lighting Inventory'!J80)</f>
        <v/>
      </c>
      <c r="T72" s="26" t="str">
        <f>IFERROR(IF(B72="","",VLOOKUP(S72,'Fixture Identities'!$A$7:$G$1023,5,FALSE)), "New Construction")</f>
        <v/>
      </c>
      <c r="U72" s="26" t="str">
        <f>IFERROR(IF(B72="", "", IF(K72="New Construction", "NC", IF(VLOOKUP(S72, 'Fixture Identities'!$A$7:$I$1023,3, FALSE)="T12 Linear Fluorescent", VLOOKUP(S72, 'Fixture Identities'!$A$7:$K$1012, 11, FALSE), S72))), "")</f>
        <v/>
      </c>
      <c r="V72" s="26" t="str">
        <f>IFERROR(IF(OR(B72="", U72=0), "", VLOOKUP(U72, 'Fixture Identities'!$A$7:$G$1023, 5, FALSE)), "")</f>
        <v/>
      </c>
      <c r="W72" s="26" t="str">
        <f>IF(B72="", "",'Lighting Inventory'!K80)</f>
        <v/>
      </c>
      <c r="X72" s="65" t="str">
        <f>IF(B72="", "", 'Lighting Inventory'!L80)</f>
        <v/>
      </c>
      <c r="Y72" s="26" t="str">
        <f>IF(B72="", "", IF('Lighting Inventory'!M80="", "Light Switch",'Lighting Inventory'!M80))</f>
        <v/>
      </c>
      <c r="Z72" s="26" t="str">
        <f>IF(OR(K72="Retrofit", B72=""), "", 'Lighting Inventory'!N80)</f>
        <v/>
      </c>
      <c r="AA72" s="26" t="str">
        <f>IF(OR(Z72="",B72=""), "", 'Lighting Inventory'!O80)</f>
        <v/>
      </c>
      <c r="AB72" s="26" t="str">
        <f>IF(B72="", "", 'Lighting Inventory'!P80)</f>
        <v/>
      </c>
      <c r="AC72" s="96" t="str">
        <f>IF(B72="", "", 'Lighting Inventory'!R80)</f>
        <v/>
      </c>
      <c r="AD72" s="26" t="str">
        <f>IF(B72="", "", 'Lighting Inventory'!S80)</f>
        <v/>
      </c>
      <c r="AE72" s="26" t="str">
        <f>IF(B72="", "", 'Lighting Inventory'!V80)</f>
        <v/>
      </c>
      <c r="AF72" s="26" t="str">
        <f>IF(B72="", "", 'Lighting Inventory'!W80)</f>
        <v/>
      </c>
      <c r="AG72" s="26" t="str">
        <f>IF(OR(AF72="", B72=""), "", IF(AE72="Custom", "0", VLOOKUP(AF72, 'Lookup Tables'!$AI$6:$AP$102, 8, FALSE)))</f>
        <v/>
      </c>
      <c r="AH72" s="26" t="str">
        <f>IF(B72="", "", 'Lighting Inventory'!AD80)</f>
        <v/>
      </c>
      <c r="AI72" s="26" t="str">
        <f>IF(OR('Lighting Inventory'!AK80="", B72=""), "", 'Lighting Inventory'!AK80)</f>
        <v/>
      </c>
      <c r="AJ72" s="66" t="str">
        <f>IF(B72="", "", 'Lighting Inventory'!AL80)</f>
        <v/>
      </c>
      <c r="AK72" s="65" t="str">
        <f>IF(B72="", "", 'Lighting Inventory'!AM80)</f>
        <v/>
      </c>
      <c r="AL72" s="26" t="str">
        <f>IF(B72="", "", 'Lighting Inventory'!AN80)</f>
        <v/>
      </c>
      <c r="AM72" s="26" t="str">
        <f t="shared" si="5"/>
        <v/>
      </c>
      <c r="AN72" s="26" t="str">
        <f>IF(B72="","",IF('Lighting Inventory'!AV80="","Prescribed",'Lighting Inventory'!AV80))</f>
        <v/>
      </c>
      <c r="AO72" s="66" t="str">
        <f>IF(B72="", "", 'Lighting Inventory'!AX80)</f>
        <v/>
      </c>
      <c r="AP72" s="67" t="str">
        <f>IF(B72="", "", 'Lighting Inventory'!AZ80)</f>
        <v/>
      </c>
      <c r="AQ72" s="67" t="str">
        <f>IF(B72="", "", 'Lighting Inventory'!BA80)</f>
        <v/>
      </c>
      <c r="AR72" s="67" t="str">
        <f>IF(B72="", "", 'Lighting Inventory'!BB80)</f>
        <v/>
      </c>
      <c r="AS72" s="67" t="str">
        <f>IF(B72="", "", 'Lighting Inventory'!BC80)</f>
        <v/>
      </c>
      <c r="AT72" s="67" t="str">
        <f>IF(B72="", "", 'Lighting Inventory'!BD80)</f>
        <v/>
      </c>
      <c r="AU72" s="67" t="str">
        <f>IF(B72="", "", 'Lighting Inventory'!BE80)</f>
        <v/>
      </c>
      <c r="AV72" s="67" t="str">
        <f>IF(B72="", "", 'Lighting Inventory'!BE80)</f>
        <v/>
      </c>
      <c r="AW72" s="67" t="str">
        <f>IF(B72="", "", 'Lighting Inventory'!BF80)</f>
        <v/>
      </c>
      <c r="AX72" s="67" t="str">
        <f>IF(B72="", "", 'Lighting Inventory'!BF80)</f>
        <v/>
      </c>
      <c r="AY72" s="65" t="str">
        <f t="shared" si="4"/>
        <v/>
      </c>
      <c r="AZ72" s="65" t="str">
        <f>IF(B72="", "", 'Lighting Inventory'!BJ80)</f>
        <v/>
      </c>
      <c r="BA72" s="65" t="str">
        <f>IF(B72="", "", 'Lighting Inventory'!BM80)</f>
        <v/>
      </c>
      <c r="BB72" s="65" t="str">
        <f>IF(B72="","",SUM('Lighting Inventory'!BP80:BP80))</f>
        <v/>
      </c>
      <c r="BC72" s="67" t="str">
        <f>IF(OR(AE72="", B72=""),"", 'Lighting Inventory'!GR80)</f>
        <v/>
      </c>
      <c r="BD72" s="67" t="str">
        <f>IFERROR(IF(B72="", "", 'Lighting Inventory'!AF80)*AD72," ")</f>
        <v xml:space="preserve"> </v>
      </c>
      <c r="BE72" s="67"/>
      <c r="BF72" s="67"/>
    </row>
    <row r="73" spans="1:58" x14ac:dyDescent="0.25">
      <c r="A73" s="26" t="str">
        <f>IF(B73="", "", 'Lookup Tables'!AW74)</f>
        <v/>
      </c>
      <c r="B73" s="26" t="str">
        <f>IF(OR('Lighting Inventory'!Y81="", 'Lighting Inventory'!V81="No Change"),"", 'Lighting Inventory'!Y81)</f>
        <v/>
      </c>
      <c r="C73" s="26" t="str">
        <f>IF(B73="", "", IF('Lighting Inventory'!Y81='Lookup Tables'!$Y$32, 'Lighting Inventory'!AJ81, IF(AD73=0, R73, AD73)))</f>
        <v/>
      </c>
      <c r="D73" s="26" t="str">
        <f>IF(B73="", "", 'General Information'!$F$14)</f>
        <v/>
      </c>
      <c r="E73" s="26" t="str">
        <f t="shared" ref="E73:E136" si="6">IF(B73="", "", "FPPLPR")</f>
        <v/>
      </c>
      <c r="F73" s="26" t="str">
        <f>IF(B73="", "", CONCATENATE('General Information'!$F$9, " - ", 'General Information'!$F$14))</f>
        <v/>
      </c>
      <c r="G73" s="26" t="str">
        <f>IF(B73="", "", 'General Information'!$F$15)</f>
        <v/>
      </c>
      <c r="H73" s="26" t="str">
        <f>IF(B73="", "", IF(VLOOKUP(B73, 'Lookup Tables'!$Y$18:$AA$34, 2, FALSE)="Traffic", VLOOKUP('Lighting Inventory'!W81, 'Lookup Tables'!#REF!, 11, FALSE), VLOOKUP(B73, 'Lookup Tables'!$Y$18:$AA$34, 2, FALSE)))</f>
        <v/>
      </c>
      <c r="I73" s="26" t="str">
        <f>IF(B73="", "", CONCATENATE(D73, 'Data Export'!A73))</f>
        <v/>
      </c>
      <c r="J73" s="26" t="str">
        <f>IF(B73="", "", 'Lookup Tables'!$B$1)</f>
        <v/>
      </c>
      <c r="K73" s="26" t="str">
        <f>IF(B73="", "", 'Lighting Inventory'!B81)</f>
        <v/>
      </c>
      <c r="L73" s="26" t="str">
        <f>IF(B73="", "", 'Lighting Inventory'!C81)</f>
        <v/>
      </c>
      <c r="M73" s="26" t="str">
        <f>IF(B73="", "",'Lighting Inventory'!D81)</f>
        <v/>
      </c>
      <c r="N73" s="26" t="str">
        <f>IF(B73="", "",'Lighting Inventory'!E81)</f>
        <v/>
      </c>
      <c r="O73" s="26" t="str">
        <f>IF(B73="", "", 'Lighting Inventory'!F81)</f>
        <v/>
      </c>
      <c r="P73" s="26" t="str">
        <f>IF(B73="", "", 'Lighting Inventory'!G81)</f>
        <v/>
      </c>
      <c r="Q73" s="26" t="str">
        <f>IF(B73="", "", 'Lighting Inventory'!H81)</f>
        <v/>
      </c>
      <c r="R73" s="26" t="str">
        <f>IF(B73="", "", 'Lighting Inventory'!I81)</f>
        <v/>
      </c>
      <c r="S73" s="26" t="str">
        <f>IF(B73="", "", 'Lighting Inventory'!J81)</f>
        <v/>
      </c>
      <c r="T73" s="26" t="str">
        <f>IFERROR(IF(B73="","",VLOOKUP(S73,'Fixture Identities'!$A$7:$G$1023,5,FALSE)), "New Construction")</f>
        <v/>
      </c>
      <c r="U73" s="26" t="str">
        <f>IFERROR(IF(B73="", "", IF(K73="New Construction", "NC", IF(VLOOKUP(S73, 'Fixture Identities'!$A$7:$I$1023,3, FALSE)="T12 Linear Fluorescent", VLOOKUP(S73, 'Fixture Identities'!$A$7:$K$1012, 11, FALSE), S73))), "")</f>
        <v/>
      </c>
      <c r="V73" s="26" t="str">
        <f>IFERROR(IF(OR(B73="", U73=0), "", VLOOKUP(U73, 'Fixture Identities'!$A$7:$G$1023, 5, FALSE)), "")</f>
        <v/>
      </c>
      <c r="W73" s="26" t="str">
        <f>IF(B73="", "",'Lighting Inventory'!K81)</f>
        <v/>
      </c>
      <c r="X73" s="65" t="str">
        <f>IF(B73="", "", 'Lighting Inventory'!L81)</f>
        <v/>
      </c>
      <c r="Y73" s="26" t="str">
        <f>IF(B73="", "", IF('Lighting Inventory'!M81="", "Light Switch",'Lighting Inventory'!M81))</f>
        <v/>
      </c>
      <c r="Z73" s="26" t="str">
        <f>IF(OR(K73="Retrofit", B73=""), "", 'Lighting Inventory'!N81)</f>
        <v/>
      </c>
      <c r="AA73" s="26" t="str">
        <f>IF(OR(Z73="",B73=""), "", 'Lighting Inventory'!O81)</f>
        <v/>
      </c>
      <c r="AB73" s="26" t="str">
        <f>IF(B73="", "", 'Lighting Inventory'!P81)</f>
        <v/>
      </c>
      <c r="AC73" s="96" t="str">
        <f>IF(B73="", "", 'Lighting Inventory'!R81)</f>
        <v/>
      </c>
      <c r="AD73" s="26" t="str">
        <f>IF(B73="", "", 'Lighting Inventory'!S81)</f>
        <v/>
      </c>
      <c r="AE73" s="26" t="str">
        <f>IF(B73="", "", 'Lighting Inventory'!V81)</f>
        <v/>
      </c>
      <c r="AF73" s="26" t="str">
        <f>IF(B73="", "", 'Lighting Inventory'!W81)</f>
        <v/>
      </c>
      <c r="AG73" s="26" t="str">
        <f>IF(OR(AF73="", B73=""), "", IF(AE73="Custom", "0", VLOOKUP(AF73, 'Lookup Tables'!$AI$6:$AP$102, 8, FALSE)))</f>
        <v/>
      </c>
      <c r="AH73" s="26" t="str">
        <f>IF(B73="", "", 'Lighting Inventory'!AD81)</f>
        <v/>
      </c>
      <c r="AI73" s="26" t="str">
        <f>IF(OR('Lighting Inventory'!AK81="", B73=""), "", 'Lighting Inventory'!AK81)</f>
        <v/>
      </c>
      <c r="AJ73" s="66" t="str">
        <f>IF(B73="", "", 'Lighting Inventory'!AL81)</f>
        <v/>
      </c>
      <c r="AK73" s="65" t="str">
        <f>IF(B73="", "", 'Lighting Inventory'!AM81)</f>
        <v/>
      </c>
      <c r="AL73" s="26" t="str">
        <f>IF(B73="", "", 'Lighting Inventory'!AN81)</f>
        <v/>
      </c>
      <c r="AM73" s="26" t="str">
        <f t="shared" si="5"/>
        <v/>
      </c>
      <c r="AN73" s="26" t="str">
        <f>IF(B73="","",IF('Lighting Inventory'!AV81="","Prescribed",'Lighting Inventory'!AV81))</f>
        <v/>
      </c>
      <c r="AO73" s="66" t="str">
        <f>IF(B73="", "", 'Lighting Inventory'!AX81)</f>
        <v/>
      </c>
      <c r="AP73" s="67" t="str">
        <f>IF(B73="", "", 'Lighting Inventory'!AZ81)</f>
        <v/>
      </c>
      <c r="AQ73" s="67" t="str">
        <f>IF(B73="", "", 'Lighting Inventory'!BA81)</f>
        <v/>
      </c>
      <c r="AR73" s="67" t="str">
        <f>IF(B73="", "", 'Lighting Inventory'!BB81)</f>
        <v/>
      </c>
      <c r="AS73" s="67" t="str">
        <f>IF(B73="", "", 'Lighting Inventory'!BC81)</f>
        <v/>
      </c>
      <c r="AT73" s="67" t="str">
        <f>IF(B73="", "", 'Lighting Inventory'!BD81)</f>
        <v/>
      </c>
      <c r="AU73" s="67" t="str">
        <f>IF(B73="", "", 'Lighting Inventory'!BE81)</f>
        <v/>
      </c>
      <c r="AV73" s="67" t="str">
        <f>IF(B73="", "", 'Lighting Inventory'!BE81)</f>
        <v/>
      </c>
      <c r="AW73" s="67" t="str">
        <f>IF(B73="", "", 'Lighting Inventory'!BF81)</f>
        <v/>
      </c>
      <c r="AX73" s="67" t="str">
        <f>IF(B73="", "", 'Lighting Inventory'!BF81)</f>
        <v/>
      </c>
      <c r="AY73" s="65" t="str">
        <f t="shared" ref="AY73:AY136" si="7">AZ73</f>
        <v/>
      </c>
      <c r="AZ73" s="65" t="str">
        <f>IF(B73="", "", 'Lighting Inventory'!BJ81)</f>
        <v/>
      </c>
      <c r="BA73" s="65" t="str">
        <f>IF(B73="", "", 'Lighting Inventory'!BM81)</f>
        <v/>
      </c>
      <c r="BB73" s="65" t="str">
        <f>IF(B73="","",SUM('Lighting Inventory'!BP81:BP81))</f>
        <v/>
      </c>
      <c r="BC73" s="67" t="str">
        <f>IF(OR(AE73="", B73=""),"", 'Lighting Inventory'!GR81)</f>
        <v/>
      </c>
      <c r="BD73" s="67" t="str">
        <f>IFERROR(IF(B73="", "", 'Lighting Inventory'!AF81)*AD73," ")</f>
        <v xml:space="preserve"> </v>
      </c>
      <c r="BE73" s="67"/>
      <c r="BF73" s="67"/>
    </row>
    <row r="74" spans="1:58" x14ac:dyDescent="0.25">
      <c r="A74" s="26" t="str">
        <f>IF(B74="", "", 'Lookup Tables'!AW75)</f>
        <v/>
      </c>
      <c r="B74" s="26" t="str">
        <f>IF(OR('Lighting Inventory'!Y82="", 'Lighting Inventory'!V82="No Change"),"", 'Lighting Inventory'!Y82)</f>
        <v/>
      </c>
      <c r="C74" s="26" t="str">
        <f>IF(B74="", "", IF('Lighting Inventory'!Y82='Lookup Tables'!$Y$32, 'Lighting Inventory'!AJ82, IF(AD74=0, R74, AD74)))</f>
        <v/>
      </c>
      <c r="D74" s="26" t="str">
        <f>IF(B74="", "", 'General Information'!$F$14)</f>
        <v/>
      </c>
      <c r="E74" s="26" t="str">
        <f t="shared" si="6"/>
        <v/>
      </c>
      <c r="F74" s="26" t="str">
        <f>IF(B74="", "", CONCATENATE('General Information'!$F$9, " - ", 'General Information'!$F$14))</f>
        <v/>
      </c>
      <c r="G74" s="26" t="str">
        <f>IF(B74="", "", 'General Information'!$F$15)</f>
        <v/>
      </c>
      <c r="H74" s="26" t="str">
        <f>IF(B74="", "", IF(VLOOKUP(B74, 'Lookup Tables'!$Y$18:$AA$34, 2, FALSE)="Traffic", VLOOKUP('Lighting Inventory'!W82, 'Lookup Tables'!#REF!, 11, FALSE), VLOOKUP(B74, 'Lookup Tables'!$Y$18:$AA$34, 2, FALSE)))</f>
        <v/>
      </c>
      <c r="I74" s="26" t="str">
        <f>IF(B74="", "", CONCATENATE(D74, 'Data Export'!A74))</f>
        <v/>
      </c>
      <c r="J74" s="26" t="str">
        <f>IF(B74="", "", 'Lookup Tables'!$B$1)</f>
        <v/>
      </c>
      <c r="K74" s="26" t="str">
        <f>IF(B74="", "", 'Lighting Inventory'!B82)</f>
        <v/>
      </c>
      <c r="L74" s="26" t="str">
        <f>IF(B74="", "", 'Lighting Inventory'!C82)</f>
        <v/>
      </c>
      <c r="M74" s="26" t="str">
        <f>IF(B74="", "",'Lighting Inventory'!D82)</f>
        <v/>
      </c>
      <c r="N74" s="26" t="str">
        <f>IF(B74="", "",'Lighting Inventory'!E82)</f>
        <v/>
      </c>
      <c r="O74" s="26" t="str">
        <f>IF(B74="", "", 'Lighting Inventory'!F82)</f>
        <v/>
      </c>
      <c r="P74" s="26" t="str">
        <f>IF(B74="", "", 'Lighting Inventory'!G82)</f>
        <v/>
      </c>
      <c r="Q74" s="26" t="str">
        <f>IF(B74="", "", 'Lighting Inventory'!H82)</f>
        <v/>
      </c>
      <c r="R74" s="26" t="str">
        <f>IF(B74="", "", 'Lighting Inventory'!I82)</f>
        <v/>
      </c>
      <c r="S74" s="26" t="str">
        <f>IF(B74="", "", 'Lighting Inventory'!J82)</f>
        <v/>
      </c>
      <c r="T74" s="26" t="str">
        <f>IFERROR(IF(B74="","",VLOOKUP(S74,'Fixture Identities'!$A$7:$G$1023,5,FALSE)), "New Construction")</f>
        <v/>
      </c>
      <c r="U74" s="26" t="str">
        <f>IFERROR(IF(B74="", "", IF(K74="New Construction", "NC", IF(VLOOKUP(S74, 'Fixture Identities'!$A$7:$I$1023,3, FALSE)="T12 Linear Fluorescent", VLOOKUP(S74, 'Fixture Identities'!$A$7:$K$1012, 11, FALSE), S74))), "")</f>
        <v/>
      </c>
      <c r="V74" s="26" t="str">
        <f>IFERROR(IF(OR(B74="", U74=0), "", VLOOKUP(U74, 'Fixture Identities'!$A$7:$G$1023, 5, FALSE)), "")</f>
        <v/>
      </c>
      <c r="W74" s="26" t="str">
        <f>IF(B74="", "",'Lighting Inventory'!K82)</f>
        <v/>
      </c>
      <c r="X74" s="65" t="str">
        <f>IF(B74="", "", 'Lighting Inventory'!L82)</f>
        <v/>
      </c>
      <c r="Y74" s="26" t="str">
        <f>IF(B74="", "", IF('Lighting Inventory'!M82="", "Light Switch",'Lighting Inventory'!M82))</f>
        <v/>
      </c>
      <c r="Z74" s="26" t="str">
        <f>IF(OR(K74="Retrofit", B74=""), "", 'Lighting Inventory'!N82)</f>
        <v/>
      </c>
      <c r="AA74" s="26" t="str">
        <f>IF(OR(Z74="",B74=""), "", 'Lighting Inventory'!O82)</f>
        <v/>
      </c>
      <c r="AB74" s="26" t="str">
        <f>IF(B74="", "", 'Lighting Inventory'!P82)</f>
        <v/>
      </c>
      <c r="AC74" s="96" t="str">
        <f>IF(B74="", "", 'Lighting Inventory'!R82)</f>
        <v/>
      </c>
      <c r="AD74" s="26" t="str">
        <f>IF(B74="", "", 'Lighting Inventory'!S82)</f>
        <v/>
      </c>
      <c r="AE74" s="26" t="str">
        <f>IF(B74="", "", 'Lighting Inventory'!V82)</f>
        <v/>
      </c>
      <c r="AF74" s="26" t="str">
        <f>IF(B74="", "", 'Lighting Inventory'!W82)</f>
        <v/>
      </c>
      <c r="AG74" s="26" t="str">
        <f>IF(OR(AF74="", B74=""), "", IF(AE74="Custom", "0", VLOOKUP(AF74, 'Lookup Tables'!$AI$6:$AP$102, 8, FALSE)))</f>
        <v/>
      </c>
      <c r="AH74" s="26" t="str">
        <f>IF(B74="", "", 'Lighting Inventory'!AD82)</f>
        <v/>
      </c>
      <c r="AI74" s="26" t="str">
        <f>IF(OR('Lighting Inventory'!AK82="", B74=""), "", 'Lighting Inventory'!AK82)</f>
        <v/>
      </c>
      <c r="AJ74" s="66" t="str">
        <f>IF(B74="", "", 'Lighting Inventory'!AL82)</f>
        <v/>
      </c>
      <c r="AK74" s="65" t="str">
        <f>IF(B74="", "", 'Lighting Inventory'!AM82)</f>
        <v/>
      </c>
      <c r="AL74" s="26" t="str">
        <f>IF(B74="", "", 'Lighting Inventory'!AN82)</f>
        <v/>
      </c>
      <c r="AM74" s="26" t="str">
        <f t="shared" si="5"/>
        <v/>
      </c>
      <c r="AN74" s="26" t="str">
        <f>IF(B74="","",IF('Lighting Inventory'!AV82="","Prescribed",'Lighting Inventory'!AV82))</f>
        <v/>
      </c>
      <c r="AO74" s="66" t="str">
        <f>IF(B74="", "", 'Lighting Inventory'!AX82)</f>
        <v/>
      </c>
      <c r="AP74" s="67" t="str">
        <f>IF(B74="", "", 'Lighting Inventory'!AZ82)</f>
        <v/>
      </c>
      <c r="AQ74" s="67" t="str">
        <f>IF(B74="", "", 'Lighting Inventory'!BA82)</f>
        <v/>
      </c>
      <c r="AR74" s="67" t="str">
        <f>IF(B74="", "", 'Lighting Inventory'!BB82)</f>
        <v/>
      </c>
      <c r="AS74" s="67" t="str">
        <f>IF(B74="", "", 'Lighting Inventory'!BC82)</f>
        <v/>
      </c>
      <c r="AT74" s="67" t="str">
        <f>IF(B74="", "", 'Lighting Inventory'!BD82)</f>
        <v/>
      </c>
      <c r="AU74" s="67" t="str">
        <f>IF(B74="", "", 'Lighting Inventory'!BE82)</f>
        <v/>
      </c>
      <c r="AV74" s="67" t="str">
        <f>IF(B74="", "", 'Lighting Inventory'!BE82)</f>
        <v/>
      </c>
      <c r="AW74" s="67" t="str">
        <f>IF(B74="", "", 'Lighting Inventory'!BF82)</f>
        <v/>
      </c>
      <c r="AX74" s="67" t="str">
        <f>IF(B74="", "", 'Lighting Inventory'!BF82)</f>
        <v/>
      </c>
      <c r="AY74" s="65" t="str">
        <f t="shared" si="7"/>
        <v/>
      </c>
      <c r="AZ74" s="65" t="str">
        <f>IF(B74="", "", 'Lighting Inventory'!BJ82)</f>
        <v/>
      </c>
      <c r="BA74" s="65" t="str">
        <f>IF(B74="", "", 'Lighting Inventory'!BM82)</f>
        <v/>
      </c>
      <c r="BB74" s="65" t="str">
        <f>IF(B74="","",SUM('Lighting Inventory'!BP82:BP82))</f>
        <v/>
      </c>
      <c r="BC74" s="67" t="str">
        <f>IF(OR(AE74="", B74=""),"", 'Lighting Inventory'!GR82)</f>
        <v/>
      </c>
      <c r="BD74" s="67" t="str">
        <f>IFERROR(IF(B74="", "", 'Lighting Inventory'!AF82)*AD74," ")</f>
        <v xml:space="preserve"> </v>
      </c>
      <c r="BE74" s="67"/>
      <c r="BF74" s="67"/>
    </row>
    <row r="75" spans="1:58" x14ac:dyDescent="0.25">
      <c r="A75" s="26" t="str">
        <f>IF(B75="", "", 'Lookup Tables'!AW76)</f>
        <v/>
      </c>
      <c r="B75" s="26" t="str">
        <f>IF(OR('Lighting Inventory'!Y83="", 'Lighting Inventory'!V83="No Change"),"", 'Lighting Inventory'!Y83)</f>
        <v/>
      </c>
      <c r="C75" s="26" t="str">
        <f>IF(B75="", "", IF('Lighting Inventory'!Y83='Lookup Tables'!$Y$32, 'Lighting Inventory'!AJ83, IF(AD75=0, R75, AD75)))</f>
        <v/>
      </c>
      <c r="D75" s="26" t="str">
        <f>IF(B75="", "", 'General Information'!$F$14)</f>
        <v/>
      </c>
      <c r="E75" s="26" t="str">
        <f t="shared" si="6"/>
        <v/>
      </c>
      <c r="F75" s="26" t="str">
        <f>IF(B75="", "", CONCATENATE('General Information'!$F$9, " - ", 'General Information'!$F$14))</f>
        <v/>
      </c>
      <c r="G75" s="26" t="str">
        <f>IF(B75="", "", 'General Information'!$F$15)</f>
        <v/>
      </c>
      <c r="H75" s="26" t="str">
        <f>IF(B75="", "", IF(VLOOKUP(B75, 'Lookup Tables'!$Y$18:$AA$34, 2, FALSE)="Traffic", VLOOKUP('Lighting Inventory'!W83, 'Lookup Tables'!#REF!, 11, FALSE), VLOOKUP(B75, 'Lookup Tables'!$Y$18:$AA$34, 2, FALSE)))</f>
        <v/>
      </c>
      <c r="I75" s="26" t="str">
        <f>IF(B75="", "", CONCATENATE(D75, 'Data Export'!A75))</f>
        <v/>
      </c>
      <c r="J75" s="26" t="str">
        <f>IF(B75="", "", 'Lookup Tables'!$B$1)</f>
        <v/>
      </c>
      <c r="K75" s="26" t="str">
        <f>IF(B75="", "", 'Lighting Inventory'!B83)</f>
        <v/>
      </c>
      <c r="L75" s="26" t="str">
        <f>IF(B75="", "", 'Lighting Inventory'!C83)</f>
        <v/>
      </c>
      <c r="M75" s="26" t="str">
        <f>IF(B75="", "",'Lighting Inventory'!D83)</f>
        <v/>
      </c>
      <c r="N75" s="26" t="str">
        <f>IF(B75="", "",'Lighting Inventory'!E83)</f>
        <v/>
      </c>
      <c r="O75" s="26" t="str">
        <f>IF(B75="", "", 'Lighting Inventory'!F83)</f>
        <v/>
      </c>
      <c r="P75" s="26" t="str">
        <f>IF(B75="", "", 'Lighting Inventory'!G83)</f>
        <v/>
      </c>
      <c r="Q75" s="26" t="str">
        <f>IF(B75="", "", 'Lighting Inventory'!H83)</f>
        <v/>
      </c>
      <c r="R75" s="26" t="str">
        <f>IF(B75="", "", 'Lighting Inventory'!I83)</f>
        <v/>
      </c>
      <c r="S75" s="26" t="str">
        <f>IF(B75="", "", 'Lighting Inventory'!J83)</f>
        <v/>
      </c>
      <c r="T75" s="26" t="str">
        <f>IFERROR(IF(B75="","",VLOOKUP(S75,'Fixture Identities'!$A$7:$G$1023,5,FALSE)), "New Construction")</f>
        <v/>
      </c>
      <c r="U75" s="26" t="str">
        <f>IFERROR(IF(B75="", "", IF(K75="New Construction", "NC", IF(VLOOKUP(S75, 'Fixture Identities'!$A$7:$I$1023,3, FALSE)="T12 Linear Fluorescent", VLOOKUP(S75, 'Fixture Identities'!$A$7:$K$1012, 11, FALSE), S75))), "")</f>
        <v/>
      </c>
      <c r="V75" s="26" t="str">
        <f>IFERROR(IF(OR(B75="", U75=0), "", VLOOKUP(U75, 'Fixture Identities'!$A$7:$G$1023, 5, FALSE)), "")</f>
        <v/>
      </c>
      <c r="W75" s="26" t="str">
        <f>IF(B75="", "",'Lighting Inventory'!K83)</f>
        <v/>
      </c>
      <c r="X75" s="65" t="str">
        <f>IF(B75="", "", 'Lighting Inventory'!L83)</f>
        <v/>
      </c>
      <c r="Y75" s="26" t="str">
        <f>IF(B75="", "", IF('Lighting Inventory'!M83="", "Light Switch",'Lighting Inventory'!M83))</f>
        <v/>
      </c>
      <c r="Z75" s="26" t="str">
        <f>IF(OR(K75="Retrofit", B75=""), "", 'Lighting Inventory'!N83)</f>
        <v/>
      </c>
      <c r="AA75" s="26" t="str">
        <f>IF(OR(Z75="",B75=""), "", 'Lighting Inventory'!O83)</f>
        <v/>
      </c>
      <c r="AB75" s="26" t="str">
        <f>IF(B75="", "", 'Lighting Inventory'!P83)</f>
        <v/>
      </c>
      <c r="AC75" s="96" t="str">
        <f>IF(B75="", "", 'Lighting Inventory'!R83)</f>
        <v/>
      </c>
      <c r="AD75" s="26" t="str">
        <f>IF(B75="", "", 'Lighting Inventory'!S83)</f>
        <v/>
      </c>
      <c r="AE75" s="26" t="str">
        <f>IF(B75="", "", 'Lighting Inventory'!V83)</f>
        <v/>
      </c>
      <c r="AF75" s="26" t="str">
        <f>IF(B75="", "", 'Lighting Inventory'!W83)</f>
        <v/>
      </c>
      <c r="AG75" s="26" t="str">
        <f>IF(OR(AF75="", B75=""), "", IF(AE75="Custom", "0", VLOOKUP(AF75, 'Lookup Tables'!$AI$6:$AP$102, 8, FALSE)))</f>
        <v/>
      </c>
      <c r="AH75" s="26" t="str">
        <f>IF(B75="", "", 'Lighting Inventory'!AD83)</f>
        <v/>
      </c>
      <c r="AI75" s="26" t="str">
        <f>IF(OR('Lighting Inventory'!AK83="", B75=""), "", 'Lighting Inventory'!AK83)</f>
        <v/>
      </c>
      <c r="AJ75" s="66" t="str">
        <f>IF(B75="", "", 'Lighting Inventory'!AL83)</f>
        <v/>
      </c>
      <c r="AK75" s="65" t="str">
        <f>IF(B75="", "", 'Lighting Inventory'!AM83)</f>
        <v/>
      </c>
      <c r="AL75" s="26" t="str">
        <f>IF(B75="", "", 'Lighting Inventory'!AN83)</f>
        <v/>
      </c>
      <c r="AM75" s="26" t="str">
        <f t="shared" si="5"/>
        <v/>
      </c>
      <c r="AN75" s="26" t="str">
        <f>IF(B75="","",IF('Lighting Inventory'!AV83="","Prescribed",'Lighting Inventory'!AV83))</f>
        <v/>
      </c>
      <c r="AO75" s="66" t="str">
        <f>IF(B75="", "", 'Lighting Inventory'!AX83)</f>
        <v/>
      </c>
      <c r="AP75" s="67" t="str">
        <f>IF(B75="", "", 'Lighting Inventory'!AZ83)</f>
        <v/>
      </c>
      <c r="AQ75" s="67" t="str">
        <f>IF(B75="", "", 'Lighting Inventory'!BA83)</f>
        <v/>
      </c>
      <c r="AR75" s="67" t="str">
        <f>IF(B75="", "", 'Lighting Inventory'!BB83)</f>
        <v/>
      </c>
      <c r="AS75" s="67" t="str">
        <f>IF(B75="", "", 'Lighting Inventory'!BC83)</f>
        <v/>
      </c>
      <c r="AT75" s="67" t="str">
        <f>IF(B75="", "", 'Lighting Inventory'!BD83)</f>
        <v/>
      </c>
      <c r="AU75" s="67" t="str">
        <f>IF(B75="", "", 'Lighting Inventory'!BE83)</f>
        <v/>
      </c>
      <c r="AV75" s="67" t="str">
        <f>IF(B75="", "", 'Lighting Inventory'!BE83)</f>
        <v/>
      </c>
      <c r="AW75" s="67" t="str">
        <f>IF(B75="", "", 'Lighting Inventory'!BF83)</f>
        <v/>
      </c>
      <c r="AX75" s="67" t="str">
        <f>IF(B75="", "", 'Lighting Inventory'!BF83)</f>
        <v/>
      </c>
      <c r="AY75" s="65" t="str">
        <f t="shared" si="7"/>
        <v/>
      </c>
      <c r="AZ75" s="65" t="str">
        <f>IF(B75="", "", 'Lighting Inventory'!BJ83)</f>
        <v/>
      </c>
      <c r="BA75" s="65" t="str">
        <f>IF(B75="", "", 'Lighting Inventory'!BM83)</f>
        <v/>
      </c>
      <c r="BB75" s="65" t="str">
        <f>IF(B75="","",SUM('Lighting Inventory'!BP83:BP83))</f>
        <v/>
      </c>
      <c r="BC75" s="67" t="str">
        <f>IF(OR(AE75="", B75=""),"", 'Lighting Inventory'!GR83)</f>
        <v/>
      </c>
      <c r="BD75" s="67" t="str">
        <f>IFERROR(IF(B75="", "", 'Lighting Inventory'!AF83)*AD75," ")</f>
        <v xml:space="preserve"> </v>
      </c>
      <c r="BE75" s="67"/>
      <c r="BF75" s="67"/>
    </row>
    <row r="76" spans="1:58" x14ac:dyDescent="0.25">
      <c r="A76" s="26" t="str">
        <f>IF(B76="", "", 'Lookup Tables'!AW77)</f>
        <v/>
      </c>
      <c r="B76" s="26" t="str">
        <f>IF(OR('Lighting Inventory'!Y84="", 'Lighting Inventory'!V84="No Change"),"", 'Lighting Inventory'!Y84)</f>
        <v/>
      </c>
      <c r="C76" s="26" t="str">
        <f>IF(B76="", "", IF('Lighting Inventory'!Y84='Lookup Tables'!$Y$32, 'Lighting Inventory'!AJ84, IF(AD76=0, R76, AD76)))</f>
        <v/>
      </c>
      <c r="D76" s="26" t="str">
        <f>IF(B76="", "", 'General Information'!$F$14)</f>
        <v/>
      </c>
      <c r="E76" s="26" t="str">
        <f t="shared" si="6"/>
        <v/>
      </c>
      <c r="F76" s="26" t="str">
        <f>IF(B76="", "", CONCATENATE('General Information'!$F$9, " - ", 'General Information'!$F$14))</f>
        <v/>
      </c>
      <c r="G76" s="26" t="str">
        <f>IF(B76="", "", 'General Information'!$F$15)</f>
        <v/>
      </c>
      <c r="H76" s="26" t="str">
        <f>IF(B76="", "", IF(VLOOKUP(B76, 'Lookup Tables'!$Y$18:$AA$34, 2, FALSE)="Traffic", VLOOKUP('Lighting Inventory'!W84, 'Lookup Tables'!#REF!, 11, FALSE), VLOOKUP(B76, 'Lookup Tables'!$Y$18:$AA$34, 2, FALSE)))</f>
        <v/>
      </c>
      <c r="I76" s="26" t="str">
        <f>IF(B76="", "", CONCATENATE(D76, 'Data Export'!A76))</f>
        <v/>
      </c>
      <c r="J76" s="26" t="str">
        <f>IF(B76="", "", 'Lookup Tables'!$B$1)</f>
        <v/>
      </c>
      <c r="K76" s="26" t="str">
        <f>IF(B76="", "", 'Lighting Inventory'!B84)</f>
        <v/>
      </c>
      <c r="L76" s="26" t="str">
        <f>IF(B76="", "", 'Lighting Inventory'!C84)</f>
        <v/>
      </c>
      <c r="M76" s="26" t="str">
        <f>IF(B76="", "",'Lighting Inventory'!D84)</f>
        <v/>
      </c>
      <c r="N76" s="26" t="str">
        <f>IF(B76="", "",'Lighting Inventory'!E84)</f>
        <v/>
      </c>
      <c r="O76" s="26" t="str">
        <f>IF(B76="", "", 'Lighting Inventory'!F84)</f>
        <v/>
      </c>
      <c r="P76" s="26" t="str">
        <f>IF(B76="", "", 'Lighting Inventory'!G84)</f>
        <v/>
      </c>
      <c r="Q76" s="26" t="str">
        <f>IF(B76="", "", 'Lighting Inventory'!H84)</f>
        <v/>
      </c>
      <c r="R76" s="26" t="str">
        <f>IF(B76="", "", 'Lighting Inventory'!I84)</f>
        <v/>
      </c>
      <c r="S76" s="26" t="str">
        <f>IF(B76="", "", 'Lighting Inventory'!J84)</f>
        <v/>
      </c>
      <c r="T76" s="26" t="str">
        <f>IFERROR(IF(B76="","",VLOOKUP(S76,'Fixture Identities'!$A$7:$G$1023,5,FALSE)), "New Construction")</f>
        <v/>
      </c>
      <c r="U76" s="26" t="str">
        <f>IFERROR(IF(B76="", "", IF(K76="New Construction", "NC", IF(VLOOKUP(S76, 'Fixture Identities'!$A$7:$I$1023,3, FALSE)="T12 Linear Fluorescent", VLOOKUP(S76, 'Fixture Identities'!$A$7:$K$1012, 11, FALSE), S76))), "")</f>
        <v/>
      </c>
      <c r="V76" s="26" t="str">
        <f>IFERROR(IF(OR(B76="", U76=0), "", VLOOKUP(U76, 'Fixture Identities'!$A$7:$G$1023, 5, FALSE)), "")</f>
        <v/>
      </c>
      <c r="W76" s="26" t="str">
        <f>IF(B76="", "",'Lighting Inventory'!K84)</f>
        <v/>
      </c>
      <c r="X76" s="65" t="str">
        <f>IF(B76="", "", 'Lighting Inventory'!L84)</f>
        <v/>
      </c>
      <c r="Y76" s="26" t="str">
        <f>IF(B76="", "", IF('Lighting Inventory'!M84="", "Light Switch",'Lighting Inventory'!M84))</f>
        <v/>
      </c>
      <c r="Z76" s="26" t="str">
        <f>IF(OR(K76="Retrofit", B76=""), "", 'Lighting Inventory'!N84)</f>
        <v/>
      </c>
      <c r="AA76" s="26" t="str">
        <f>IF(OR(Z76="",B76=""), "", 'Lighting Inventory'!O84)</f>
        <v/>
      </c>
      <c r="AB76" s="26" t="str">
        <f>IF(B76="", "", 'Lighting Inventory'!P84)</f>
        <v/>
      </c>
      <c r="AC76" s="96" t="str">
        <f>IF(B76="", "", 'Lighting Inventory'!R84)</f>
        <v/>
      </c>
      <c r="AD76" s="26" t="str">
        <f>IF(B76="", "", 'Lighting Inventory'!S84)</f>
        <v/>
      </c>
      <c r="AE76" s="26" t="str">
        <f>IF(B76="", "", 'Lighting Inventory'!V84)</f>
        <v/>
      </c>
      <c r="AF76" s="26" t="str">
        <f>IF(B76="", "", 'Lighting Inventory'!W84)</f>
        <v/>
      </c>
      <c r="AG76" s="26" t="str">
        <f>IF(OR(AF76="", B76=""), "", IF(AE76="Custom", "0", VLOOKUP(AF76, 'Lookup Tables'!$AI$6:$AP$102, 8, FALSE)))</f>
        <v/>
      </c>
      <c r="AH76" s="26" t="str">
        <f>IF(B76="", "", 'Lighting Inventory'!AD84)</f>
        <v/>
      </c>
      <c r="AI76" s="26" t="str">
        <f>IF(OR('Lighting Inventory'!AK84="", B76=""), "", 'Lighting Inventory'!AK84)</f>
        <v/>
      </c>
      <c r="AJ76" s="66" t="str">
        <f>IF(B76="", "", 'Lighting Inventory'!AL84)</f>
        <v/>
      </c>
      <c r="AK76" s="65" t="str">
        <f>IF(B76="", "", 'Lighting Inventory'!AM84)</f>
        <v/>
      </c>
      <c r="AL76" s="26" t="str">
        <f>IF(B76="", "", 'Lighting Inventory'!AN84)</f>
        <v/>
      </c>
      <c r="AM76" s="26" t="str">
        <f t="shared" si="5"/>
        <v/>
      </c>
      <c r="AN76" s="26" t="str">
        <f>IF(B76="","",IF('Lighting Inventory'!AV84="","Prescribed",'Lighting Inventory'!AV84))</f>
        <v/>
      </c>
      <c r="AO76" s="66" t="str">
        <f>IF(B76="", "", 'Lighting Inventory'!AX84)</f>
        <v/>
      </c>
      <c r="AP76" s="67" t="str">
        <f>IF(B76="", "", 'Lighting Inventory'!AZ84)</f>
        <v/>
      </c>
      <c r="AQ76" s="67" t="str">
        <f>IF(B76="", "", 'Lighting Inventory'!BA84)</f>
        <v/>
      </c>
      <c r="AR76" s="67" t="str">
        <f>IF(B76="", "", 'Lighting Inventory'!BB84)</f>
        <v/>
      </c>
      <c r="AS76" s="67" t="str">
        <f>IF(B76="", "", 'Lighting Inventory'!BC84)</f>
        <v/>
      </c>
      <c r="AT76" s="67" t="str">
        <f>IF(B76="", "", 'Lighting Inventory'!BD84)</f>
        <v/>
      </c>
      <c r="AU76" s="67" t="str">
        <f>IF(B76="", "", 'Lighting Inventory'!BE84)</f>
        <v/>
      </c>
      <c r="AV76" s="67" t="str">
        <f>IF(B76="", "", 'Lighting Inventory'!BE84)</f>
        <v/>
      </c>
      <c r="AW76" s="67" t="str">
        <f>IF(B76="", "", 'Lighting Inventory'!BF84)</f>
        <v/>
      </c>
      <c r="AX76" s="67" t="str">
        <f>IF(B76="", "", 'Lighting Inventory'!BF84)</f>
        <v/>
      </c>
      <c r="AY76" s="65" t="str">
        <f t="shared" si="7"/>
        <v/>
      </c>
      <c r="AZ76" s="65" t="str">
        <f>IF(B76="", "", 'Lighting Inventory'!BJ84)</f>
        <v/>
      </c>
      <c r="BA76" s="65" t="str">
        <f>IF(B76="", "", 'Lighting Inventory'!BM84)</f>
        <v/>
      </c>
      <c r="BB76" s="65" t="str">
        <f>IF(B76="","",SUM('Lighting Inventory'!BP84:BP84))</f>
        <v/>
      </c>
      <c r="BC76" s="67" t="str">
        <f>IF(OR(AE76="", B76=""),"", 'Lighting Inventory'!GR84)</f>
        <v/>
      </c>
      <c r="BD76" s="67" t="str">
        <f>IFERROR(IF(B76="", "", 'Lighting Inventory'!AF84)*AD76," ")</f>
        <v xml:space="preserve"> </v>
      </c>
      <c r="BE76" s="67"/>
      <c r="BF76" s="67"/>
    </row>
    <row r="77" spans="1:58" x14ac:dyDescent="0.25">
      <c r="A77" s="26" t="str">
        <f>IF(B77="", "", 'Lookup Tables'!AW78)</f>
        <v/>
      </c>
      <c r="B77" s="26" t="str">
        <f>IF(OR('Lighting Inventory'!Y85="", 'Lighting Inventory'!V85="No Change"),"", 'Lighting Inventory'!Y85)</f>
        <v/>
      </c>
      <c r="C77" s="26" t="str">
        <f>IF(B77="", "", IF('Lighting Inventory'!Y85='Lookup Tables'!$Y$32, 'Lighting Inventory'!AJ85, IF(AD77=0, R77, AD77)))</f>
        <v/>
      </c>
      <c r="D77" s="26" t="str">
        <f>IF(B77="", "", 'General Information'!$F$14)</f>
        <v/>
      </c>
      <c r="E77" s="26" t="str">
        <f t="shared" si="6"/>
        <v/>
      </c>
      <c r="F77" s="26" t="str">
        <f>IF(B77="", "", CONCATENATE('General Information'!$F$9, " - ", 'General Information'!$F$14))</f>
        <v/>
      </c>
      <c r="G77" s="26" t="str">
        <f>IF(B77="", "", 'General Information'!$F$15)</f>
        <v/>
      </c>
      <c r="H77" s="26" t="str">
        <f>IF(B77="", "", IF(VLOOKUP(B77, 'Lookup Tables'!$Y$18:$AA$34, 2, FALSE)="Traffic", VLOOKUP('Lighting Inventory'!W85, 'Lookup Tables'!#REF!, 11, FALSE), VLOOKUP(B77, 'Lookup Tables'!$Y$18:$AA$34, 2, FALSE)))</f>
        <v/>
      </c>
      <c r="I77" s="26" t="str">
        <f>IF(B77="", "", CONCATENATE(D77, 'Data Export'!A77))</f>
        <v/>
      </c>
      <c r="J77" s="26" t="str">
        <f>IF(B77="", "", 'Lookup Tables'!$B$1)</f>
        <v/>
      </c>
      <c r="K77" s="26" t="str">
        <f>IF(B77="", "", 'Lighting Inventory'!B85)</f>
        <v/>
      </c>
      <c r="L77" s="26" t="str">
        <f>IF(B77="", "", 'Lighting Inventory'!C85)</f>
        <v/>
      </c>
      <c r="M77" s="26" t="str">
        <f>IF(B77="", "",'Lighting Inventory'!D85)</f>
        <v/>
      </c>
      <c r="N77" s="26" t="str">
        <f>IF(B77="", "",'Lighting Inventory'!E85)</f>
        <v/>
      </c>
      <c r="O77" s="26" t="str">
        <f>IF(B77="", "", 'Lighting Inventory'!F85)</f>
        <v/>
      </c>
      <c r="P77" s="26" t="str">
        <f>IF(B77="", "", 'Lighting Inventory'!G85)</f>
        <v/>
      </c>
      <c r="Q77" s="26" t="str">
        <f>IF(B77="", "", 'Lighting Inventory'!H85)</f>
        <v/>
      </c>
      <c r="R77" s="26" t="str">
        <f>IF(B77="", "", 'Lighting Inventory'!I85)</f>
        <v/>
      </c>
      <c r="S77" s="26" t="str">
        <f>IF(B77="", "", 'Lighting Inventory'!J85)</f>
        <v/>
      </c>
      <c r="T77" s="26" t="str">
        <f>IFERROR(IF(B77="","",VLOOKUP(S77,'Fixture Identities'!$A$7:$G$1023,5,FALSE)), "New Construction")</f>
        <v/>
      </c>
      <c r="U77" s="26" t="str">
        <f>IFERROR(IF(B77="", "", IF(K77="New Construction", "NC", IF(VLOOKUP(S77, 'Fixture Identities'!$A$7:$I$1023,3, FALSE)="T12 Linear Fluorescent", VLOOKUP(S77, 'Fixture Identities'!$A$7:$K$1012, 11, FALSE), S77))), "")</f>
        <v/>
      </c>
      <c r="V77" s="26" t="str">
        <f>IFERROR(IF(OR(B77="", U77=0), "", VLOOKUP(U77, 'Fixture Identities'!$A$7:$G$1023, 5, FALSE)), "")</f>
        <v/>
      </c>
      <c r="W77" s="26" t="str">
        <f>IF(B77="", "",'Lighting Inventory'!K85)</f>
        <v/>
      </c>
      <c r="X77" s="65" t="str">
        <f>IF(B77="", "", 'Lighting Inventory'!L85)</f>
        <v/>
      </c>
      <c r="Y77" s="26" t="str">
        <f>IF(B77="", "", IF('Lighting Inventory'!M85="", "Light Switch",'Lighting Inventory'!M85))</f>
        <v/>
      </c>
      <c r="Z77" s="26" t="str">
        <f>IF(OR(K77="Retrofit", B77=""), "", 'Lighting Inventory'!N85)</f>
        <v/>
      </c>
      <c r="AA77" s="26" t="str">
        <f>IF(OR(Z77="",B77=""), "", 'Lighting Inventory'!O85)</f>
        <v/>
      </c>
      <c r="AB77" s="26" t="str">
        <f>IF(B77="", "", 'Lighting Inventory'!P85)</f>
        <v/>
      </c>
      <c r="AC77" s="96" t="str">
        <f>IF(B77="", "", 'Lighting Inventory'!R85)</f>
        <v/>
      </c>
      <c r="AD77" s="26" t="str">
        <f>IF(B77="", "", 'Lighting Inventory'!S85)</f>
        <v/>
      </c>
      <c r="AE77" s="26" t="str">
        <f>IF(B77="", "", 'Lighting Inventory'!V85)</f>
        <v/>
      </c>
      <c r="AF77" s="26" t="str">
        <f>IF(B77="", "", 'Lighting Inventory'!W85)</f>
        <v/>
      </c>
      <c r="AG77" s="26" t="str">
        <f>IF(OR(AF77="", B77=""), "", IF(AE77="Custom", "0", VLOOKUP(AF77, 'Lookup Tables'!$AI$6:$AP$102, 8, FALSE)))</f>
        <v/>
      </c>
      <c r="AH77" s="26" t="str">
        <f>IF(B77="", "", 'Lighting Inventory'!AD85)</f>
        <v/>
      </c>
      <c r="AI77" s="26" t="str">
        <f>IF(OR('Lighting Inventory'!AK85="", B77=""), "", 'Lighting Inventory'!AK85)</f>
        <v/>
      </c>
      <c r="AJ77" s="66" t="str">
        <f>IF(B77="", "", 'Lighting Inventory'!AL85)</f>
        <v/>
      </c>
      <c r="AK77" s="65" t="str">
        <f>IF(B77="", "", 'Lighting Inventory'!AM85)</f>
        <v/>
      </c>
      <c r="AL77" s="26" t="str">
        <f>IF(B77="", "", 'Lighting Inventory'!AN85)</f>
        <v/>
      </c>
      <c r="AM77" s="26" t="str">
        <f t="shared" si="5"/>
        <v/>
      </c>
      <c r="AN77" s="26" t="str">
        <f>IF(B77="","",IF('Lighting Inventory'!AV85="","Prescribed",'Lighting Inventory'!AV85))</f>
        <v/>
      </c>
      <c r="AO77" s="66" t="str">
        <f>IF(B77="", "", 'Lighting Inventory'!AX85)</f>
        <v/>
      </c>
      <c r="AP77" s="67" t="str">
        <f>IF(B77="", "", 'Lighting Inventory'!AZ85)</f>
        <v/>
      </c>
      <c r="AQ77" s="67" t="str">
        <f>IF(B77="", "", 'Lighting Inventory'!BA85)</f>
        <v/>
      </c>
      <c r="AR77" s="67" t="str">
        <f>IF(B77="", "", 'Lighting Inventory'!BB85)</f>
        <v/>
      </c>
      <c r="AS77" s="67" t="str">
        <f>IF(B77="", "", 'Lighting Inventory'!BC85)</f>
        <v/>
      </c>
      <c r="AT77" s="67" t="str">
        <f>IF(B77="", "", 'Lighting Inventory'!BD85)</f>
        <v/>
      </c>
      <c r="AU77" s="67" t="str">
        <f>IF(B77="", "", 'Lighting Inventory'!BE85)</f>
        <v/>
      </c>
      <c r="AV77" s="67" t="str">
        <f>IF(B77="", "", 'Lighting Inventory'!BE85)</f>
        <v/>
      </c>
      <c r="AW77" s="67" t="str">
        <f>IF(B77="", "", 'Lighting Inventory'!BF85)</f>
        <v/>
      </c>
      <c r="AX77" s="67" t="str">
        <f>IF(B77="", "", 'Lighting Inventory'!BF85)</f>
        <v/>
      </c>
      <c r="AY77" s="65" t="str">
        <f t="shared" si="7"/>
        <v/>
      </c>
      <c r="AZ77" s="65" t="str">
        <f>IF(B77="", "", 'Lighting Inventory'!BJ85)</f>
        <v/>
      </c>
      <c r="BA77" s="65" t="str">
        <f>IF(B77="", "", 'Lighting Inventory'!BM85)</f>
        <v/>
      </c>
      <c r="BB77" s="65" t="str">
        <f>IF(B77="","",SUM('Lighting Inventory'!BP85:BP85))</f>
        <v/>
      </c>
      <c r="BC77" s="67" t="str">
        <f>IF(OR(AE77="", B77=""),"", 'Lighting Inventory'!GR85)</f>
        <v/>
      </c>
      <c r="BD77" s="67" t="str">
        <f>IFERROR(IF(B77="", "", 'Lighting Inventory'!AF85)*AD77," ")</f>
        <v xml:space="preserve"> </v>
      </c>
      <c r="BE77" s="67"/>
      <c r="BF77" s="67"/>
    </row>
    <row r="78" spans="1:58" x14ac:dyDescent="0.25">
      <c r="A78" s="26" t="str">
        <f>IF(B78="", "", 'Lookup Tables'!AW79)</f>
        <v/>
      </c>
      <c r="B78" s="26" t="str">
        <f>IF(OR('Lighting Inventory'!Y86="", 'Lighting Inventory'!V86="No Change"),"", 'Lighting Inventory'!Y86)</f>
        <v/>
      </c>
      <c r="C78" s="26" t="str">
        <f>IF(B78="", "", IF('Lighting Inventory'!Y86='Lookup Tables'!$Y$32, 'Lighting Inventory'!AJ86, IF(AD78=0, R78, AD78)))</f>
        <v/>
      </c>
      <c r="D78" s="26" t="str">
        <f>IF(B78="", "", 'General Information'!$F$14)</f>
        <v/>
      </c>
      <c r="E78" s="26" t="str">
        <f t="shared" si="6"/>
        <v/>
      </c>
      <c r="F78" s="26" t="str">
        <f>IF(B78="", "", CONCATENATE('General Information'!$F$9, " - ", 'General Information'!$F$14))</f>
        <v/>
      </c>
      <c r="G78" s="26" t="str">
        <f>IF(B78="", "", 'General Information'!$F$15)</f>
        <v/>
      </c>
      <c r="H78" s="26" t="str">
        <f>IF(B78="", "", IF(VLOOKUP(B78, 'Lookup Tables'!$Y$18:$AA$34, 2, FALSE)="Traffic", VLOOKUP('Lighting Inventory'!W86, 'Lookup Tables'!#REF!, 11, FALSE), VLOOKUP(B78, 'Lookup Tables'!$Y$18:$AA$34, 2, FALSE)))</f>
        <v/>
      </c>
      <c r="I78" s="26" t="str">
        <f>IF(B78="", "", CONCATENATE(D78, 'Data Export'!A78))</f>
        <v/>
      </c>
      <c r="J78" s="26" t="str">
        <f>IF(B78="", "", 'Lookup Tables'!$B$1)</f>
        <v/>
      </c>
      <c r="K78" s="26" t="str">
        <f>IF(B78="", "", 'Lighting Inventory'!B86)</f>
        <v/>
      </c>
      <c r="L78" s="26" t="str">
        <f>IF(B78="", "", 'Lighting Inventory'!C86)</f>
        <v/>
      </c>
      <c r="M78" s="26" t="str">
        <f>IF(B78="", "",'Lighting Inventory'!D86)</f>
        <v/>
      </c>
      <c r="N78" s="26" t="str">
        <f>IF(B78="", "",'Lighting Inventory'!E86)</f>
        <v/>
      </c>
      <c r="O78" s="26" t="str">
        <f>IF(B78="", "", 'Lighting Inventory'!F86)</f>
        <v/>
      </c>
      <c r="P78" s="26" t="str">
        <f>IF(B78="", "", 'Lighting Inventory'!G86)</f>
        <v/>
      </c>
      <c r="Q78" s="26" t="str">
        <f>IF(B78="", "", 'Lighting Inventory'!H86)</f>
        <v/>
      </c>
      <c r="R78" s="26" t="str">
        <f>IF(B78="", "", 'Lighting Inventory'!I86)</f>
        <v/>
      </c>
      <c r="S78" s="26" t="str">
        <f>IF(B78="", "", 'Lighting Inventory'!J86)</f>
        <v/>
      </c>
      <c r="T78" s="26" t="str">
        <f>IFERROR(IF(B78="","",VLOOKUP(S78,'Fixture Identities'!$A$7:$G$1023,5,FALSE)), "New Construction")</f>
        <v/>
      </c>
      <c r="U78" s="26" t="str">
        <f>IFERROR(IF(B78="", "", IF(K78="New Construction", "NC", IF(VLOOKUP(S78, 'Fixture Identities'!$A$7:$I$1023,3, FALSE)="T12 Linear Fluorescent", VLOOKUP(S78, 'Fixture Identities'!$A$7:$K$1012, 11, FALSE), S78))), "")</f>
        <v/>
      </c>
      <c r="V78" s="26" t="str">
        <f>IFERROR(IF(OR(B78="", U78=0), "", VLOOKUP(U78, 'Fixture Identities'!$A$7:$G$1023, 5, FALSE)), "")</f>
        <v/>
      </c>
      <c r="W78" s="26" t="str">
        <f>IF(B78="", "",'Lighting Inventory'!K86)</f>
        <v/>
      </c>
      <c r="X78" s="65" t="str">
        <f>IF(B78="", "", 'Lighting Inventory'!L86)</f>
        <v/>
      </c>
      <c r="Y78" s="26" t="str">
        <f>IF(B78="", "", IF('Lighting Inventory'!M86="", "Light Switch",'Lighting Inventory'!M86))</f>
        <v/>
      </c>
      <c r="Z78" s="26" t="str">
        <f>IF(OR(K78="Retrofit", B78=""), "", 'Lighting Inventory'!N86)</f>
        <v/>
      </c>
      <c r="AA78" s="26" t="str">
        <f>IF(OR(Z78="",B78=""), "", 'Lighting Inventory'!O86)</f>
        <v/>
      </c>
      <c r="AB78" s="26" t="str">
        <f>IF(B78="", "", 'Lighting Inventory'!P86)</f>
        <v/>
      </c>
      <c r="AC78" s="96" t="str">
        <f>IF(B78="", "", 'Lighting Inventory'!R86)</f>
        <v/>
      </c>
      <c r="AD78" s="26" t="str">
        <f>IF(B78="", "", 'Lighting Inventory'!S86)</f>
        <v/>
      </c>
      <c r="AE78" s="26" t="str">
        <f>IF(B78="", "", 'Lighting Inventory'!V86)</f>
        <v/>
      </c>
      <c r="AF78" s="26" t="str">
        <f>IF(B78="", "", 'Lighting Inventory'!W86)</f>
        <v/>
      </c>
      <c r="AG78" s="26" t="str">
        <f>IF(OR(AF78="", B78=""), "", IF(AE78="Custom", "0", VLOOKUP(AF78, 'Lookup Tables'!$AI$6:$AP$102, 8, FALSE)))</f>
        <v/>
      </c>
      <c r="AH78" s="26" t="str">
        <f>IF(B78="", "", 'Lighting Inventory'!AD86)</f>
        <v/>
      </c>
      <c r="AI78" s="26" t="str">
        <f>IF(OR('Lighting Inventory'!AK86="", B78=""), "", 'Lighting Inventory'!AK86)</f>
        <v/>
      </c>
      <c r="AJ78" s="66" t="str">
        <f>IF(B78="", "", 'Lighting Inventory'!AL86)</f>
        <v/>
      </c>
      <c r="AK78" s="65" t="str">
        <f>IF(B78="", "", 'Lighting Inventory'!AM86)</f>
        <v/>
      </c>
      <c r="AL78" s="26" t="str">
        <f>IF(B78="", "", 'Lighting Inventory'!AN86)</f>
        <v/>
      </c>
      <c r="AM78" s="26" t="str">
        <f t="shared" si="5"/>
        <v/>
      </c>
      <c r="AN78" s="26" t="str">
        <f>IF(B78="","",IF('Lighting Inventory'!AV86="","Prescribed",'Lighting Inventory'!AV86))</f>
        <v/>
      </c>
      <c r="AO78" s="66" t="str">
        <f>IF(B78="", "", 'Lighting Inventory'!AX86)</f>
        <v/>
      </c>
      <c r="AP78" s="67" t="str">
        <f>IF(B78="", "", 'Lighting Inventory'!AZ86)</f>
        <v/>
      </c>
      <c r="AQ78" s="67" t="str">
        <f>IF(B78="", "", 'Lighting Inventory'!BA86)</f>
        <v/>
      </c>
      <c r="AR78" s="67" t="str">
        <f>IF(B78="", "", 'Lighting Inventory'!BB86)</f>
        <v/>
      </c>
      <c r="AS78" s="67" t="str">
        <f>IF(B78="", "", 'Lighting Inventory'!BC86)</f>
        <v/>
      </c>
      <c r="AT78" s="67" t="str">
        <f>IF(B78="", "", 'Lighting Inventory'!BD86)</f>
        <v/>
      </c>
      <c r="AU78" s="67" t="str">
        <f>IF(B78="", "", 'Lighting Inventory'!BE86)</f>
        <v/>
      </c>
      <c r="AV78" s="67" t="str">
        <f>IF(B78="", "", 'Lighting Inventory'!BE86)</f>
        <v/>
      </c>
      <c r="AW78" s="67" t="str">
        <f>IF(B78="", "", 'Lighting Inventory'!BF86)</f>
        <v/>
      </c>
      <c r="AX78" s="67" t="str">
        <f>IF(B78="", "", 'Lighting Inventory'!BF86)</f>
        <v/>
      </c>
      <c r="AY78" s="65" t="str">
        <f t="shared" si="7"/>
        <v/>
      </c>
      <c r="AZ78" s="65" t="str">
        <f>IF(B78="", "", 'Lighting Inventory'!BJ86)</f>
        <v/>
      </c>
      <c r="BA78" s="65" t="str">
        <f>IF(B78="", "", 'Lighting Inventory'!BM86)</f>
        <v/>
      </c>
      <c r="BB78" s="65" t="str">
        <f>IF(B78="","",SUM('Lighting Inventory'!BP86:BP86))</f>
        <v/>
      </c>
      <c r="BC78" s="67" t="str">
        <f>IF(OR(AE78="", B78=""),"", 'Lighting Inventory'!GR86)</f>
        <v/>
      </c>
      <c r="BD78" s="67" t="str">
        <f>IFERROR(IF(B78="", "", 'Lighting Inventory'!AF86)*AD78," ")</f>
        <v xml:space="preserve"> </v>
      </c>
      <c r="BE78" s="67"/>
      <c r="BF78" s="67"/>
    </row>
    <row r="79" spans="1:58" x14ac:dyDescent="0.25">
      <c r="A79" s="26" t="str">
        <f>IF(B79="", "", 'Lookup Tables'!AW80)</f>
        <v/>
      </c>
      <c r="B79" s="26" t="str">
        <f>IF(OR('Lighting Inventory'!Y87="", 'Lighting Inventory'!V87="No Change"),"", 'Lighting Inventory'!Y87)</f>
        <v/>
      </c>
      <c r="C79" s="26" t="str">
        <f>IF(B79="", "", IF('Lighting Inventory'!Y87='Lookup Tables'!$Y$32, 'Lighting Inventory'!AJ87, IF(AD79=0, R79, AD79)))</f>
        <v/>
      </c>
      <c r="D79" s="26" t="str">
        <f>IF(B79="", "", 'General Information'!$F$14)</f>
        <v/>
      </c>
      <c r="E79" s="26" t="str">
        <f t="shared" si="6"/>
        <v/>
      </c>
      <c r="F79" s="26" t="str">
        <f>IF(B79="", "", CONCATENATE('General Information'!$F$9, " - ", 'General Information'!$F$14))</f>
        <v/>
      </c>
      <c r="G79" s="26" t="str">
        <f>IF(B79="", "", 'General Information'!$F$15)</f>
        <v/>
      </c>
      <c r="H79" s="26" t="str">
        <f>IF(B79="", "", IF(VLOOKUP(B79, 'Lookup Tables'!$Y$18:$AA$34, 2, FALSE)="Traffic", VLOOKUP('Lighting Inventory'!W87, 'Lookup Tables'!#REF!, 11, FALSE), VLOOKUP(B79, 'Lookup Tables'!$Y$18:$AA$34, 2, FALSE)))</f>
        <v/>
      </c>
      <c r="I79" s="26" t="str">
        <f>IF(B79="", "", CONCATENATE(D79, 'Data Export'!A79))</f>
        <v/>
      </c>
      <c r="J79" s="26" t="str">
        <f>IF(B79="", "", 'Lookup Tables'!$B$1)</f>
        <v/>
      </c>
      <c r="K79" s="26" t="str">
        <f>IF(B79="", "", 'Lighting Inventory'!B87)</f>
        <v/>
      </c>
      <c r="L79" s="26" t="str">
        <f>IF(B79="", "", 'Lighting Inventory'!C87)</f>
        <v/>
      </c>
      <c r="M79" s="26" t="str">
        <f>IF(B79="", "",'Lighting Inventory'!D87)</f>
        <v/>
      </c>
      <c r="N79" s="26" t="str">
        <f>IF(B79="", "",'Lighting Inventory'!E87)</f>
        <v/>
      </c>
      <c r="O79" s="26" t="str">
        <f>IF(B79="", "", 'Lighting Inventory'!F87)</f>
        <v/>
      </c>
      <c r="P79" s="26" t="str">
        <f>IF(B79="", "", 'Lighting Inventory'!G87)</f>
        <v/>
      </c>
      <c r="Q79" s="26" t="str">
        <f>IF(B79="", "", 'Lighting Inventory'!H87)</f>
        <v/>
      </c>
      <c r="R79" s="26" t="str">
        <f>IF(B79="", "", 'Lighting Inventory'!I87)</f>
        <v/>
      </c>
      <c r="S79" s="26" t="str">
        <f>IF(B79="", "", 'Lighting Inventory'!J87)</f>
        <v/>
      </c>
      <c r="T79" s="26" t="str">
        <f>IFERROR(IF(B79="","",VLOOKUP(S79,'Fixture Identities'!$A$7:$G$1023,5,FALSE)), "New Construction")</f>
        <v/>
      </c>
      <c r="U79" s="26" t="str">
        <f>IFERROR(IF(B79="", "", IF(K79="New Construction", "NC", IF(VLOOKUP(S79, 'Fixture Identities'!$A$7:$I$1023,3, FALSE)="T12 Linear Fluorescent", VLOOKUP(S79, 'Fixture Identities'!$A$7:$K$1012, 11, FALSE), S79))), "")</f>
        <v/>
      </c>
      <c r="V79" s="26" t="str">
        <f>IFERROR(IF(OR(B79="", U79=0), "", VLOOKUP(U79, 'Fixture Identities'!$A$7:$G$1023, 5, FALSE)), "")</f>
        <v/>
      </c>
      <c r="W79" s="26" t="str">
        <f>IF(B79="", "",'Lighting Inventory'!K87)</f>
        <v/>
      </c>
      <c r="X79" s="65" t="str">
        <f>IF(B79="", "", 'Lighting Inventory'!L87)</f>
        <v/>
      </c>
      <c r="Y79" s="26" t="str">
        <f>IF(B79="", "", IF('Lighting Inventory'!M87="", "Light Switch",'Lighting Inventory'!M87))</f>
        <v/>
      </c>
      <c r="Z79" s="26" t="str">
        <f>IF(OR(K79="Retrofit", B79=""), "", 'Lighting Inventory'!N87)</f>
        <v/>
      </c>
      <c r="AA79" s="26" t="str">
        <f>IF(OR(Z79="",B79=""), "", 'Lighting Inventory'!O87)</f>
        <v/>
      </c>
      <c r="AB79" s="26" t="str">
        <f>IF(B79="", "", 'Lighting Inventory'!P87)</f>
        <v/>
      </c>
      <c r="AC79" s="96" t="str">
        <f>IF(B79="", "", 'Lighting Inventory'!R87)</f>
        <v/>
      </c>
      <c r="AD79" s="26" t="str">
        <f>IF(B79="", "", 'Lighting Inventory'!S87)</f>
        <v/>
      </c>
      <c r="AE79" s="26" t="str">
        <f>IF(B79="", "", 'Lighting Inventory'!V87)</f>
        <v/>
      </c>
      <c r="AF79" s="26" t="str">
        <f>IF(B79="", "", 'Lighting Inventory'!W87)</f>
        <v/>
      </c>
      <c r="AG79" s="26" t="str">
        <f>IF(OR(AF79="", B79=""), "", IF(AE79="Custom", "0", VLOOKUP(AF79, 'Lookup Tables'!$AI$6:$AP$102, 8, FALSE)))</f>
        <v/>
      </c>
      <c r="AH79" s="26" t="str">
        <f>IF(B79="", "", 'Lighting Inventory'!AD87)</f>
        <v/>
      </c>
      <c r="AI79" s="26" t="str">
        <f>IF(OR('Lighting Inventory'!AK87="", B79=""), "", 'Lighting Inventory'!AK87)</f>
        <v/>
      </c>
      <c r="AJ79" s="66" t="str">
        <f>IF(B79="", "", 'Lighting Inventory'!AL87)</f>
        <v/>
      </c>
      <c r="AK79" s="65" t="str">
        <f>IF(B79="", "", 'Lighting Inventory'!AM87)</f>
        <v/>
      </c>
      <c r="AL79" s="26" t="str">
        <f>IF(B79="", "", 'Lighting Inventory'!AN87)</f>
        <v/>
      </c>
      <c r="AM79" s="26" t="str">
        <f t="shared" si="5"/>
        <v/>
      </c>
      <c r="AN79" s="26" t="str">
        <f>IF(B79="","",IF('Lighting Inventory'!AV87="","Prescribed",'Lighting Inventory'!AV87))</f>
        <v/>
      </c>
      <c r="AO79" s="66" t="str">
        <f>IF(B79="", "", 'Lighting Inventory'!AX87)</f>
        <v/>
      </c>
      <c r="AP79" s="67" t="str">
        <f>IF(B79="", "", 'Lighting Inventory'!AZ87)</f>
        <v/>
      </c>
      <c r="AQ79" s="67" t="str">
        <f>IF(B79="", "", 'Lighting Inventory'!BA87)</f>
        <v/>
      </c>
      <c r="AR79" s="67" t="str">
        <f>IF(B79="", "", 'Lighting Inventory'!BB87)</f>
        <v/>
      </c>
      <c r="AS79" s="67" t="str">
        <f>IF(B79="", "", 'Lighting Inventory'!BC87)</f>
        <v/>
      </c>
      <c r="AT79" s="67" t="str">
        <f>IF(B79="", "", 'Lighting Inventory'!BD87)</f>
        <v/>
      </c>
      <c r="AU79" s="67" t="str">
        <f>IF(B79="", "", 'Lighting Inventory'!BE87)</f>
        <v/>
      </c>
      <c r="AV79" s="67" t="str">
        <f>IF(B79="", "", 'Lighting Inventory'!BE87)</f>
        <v/>
      </c>
      <c r="AW79" s="67" t="str">
        <f>IF(B79="", "", 'Lighting Inventory'!BF87)</f>
        <v/>
      </c>
      <c r="AX79" s="67" t="str">
        <f>IF(B79="", "", 'Lighting Inventory'!BF87)</f>
        <v/>
      </c>
      <c r="AY79" s="65" t="str">
        <f t="shared" si="7"/>
        <v/>
      </c>
      <c r="AZ79" s="65" t="str">
        <f>IF(B79="", "", 'Lighting Inventory'!BJ87)</f>
        <v/>
      </c>
      <c r="BA79" s="65" t="str">
        <f>IF(B79="", "", 'Lighting Inventory'!BM87)</f>
        <v/>
      </c>
      <c r="BB79" s="65" t="str">
        <f>IF(B79="","",SUM('Lighting Inventory'!BP87:BP87))</f>
        <v/>
      </c>
      <c r="BC79" s="67" t="str">
        <f>IF(OR(AE79="", B79=""),"", 'Lighting Inventory'!GR87)</f>
        <v/>
      </c>
      <c r="BD79" s="67" t="str">
        <f>IFERROR(IF(B79="", "", 'Lighting Inventory'!AF87)*AD79," ")</f>
        <v xml:space="preserve"> </v>
      </c>
      <c r="BE79" s="67"/>
      <c r="BF79" s="67"/>
    </row>
    <row r="80" spans="1:58" x14ac:dyDescent="0.25">
      <c r="A80" s="26" t="str">
        <f>IF(B80="", "", 'Lookup Tables'!AW81)</f>
        <v/>
      </c>
      <c r="B80" s="26" t="str">
        <f>IF(OR('Lighting Inventory'!Y88="", 'Lighting Inventory'!V88="No Change"),"", 'Lighting Inventory'!Y88)</f>
        <v/>
      </c>
      <c r="C80" s="26" t="str">
        <f>IF(B80="", "", IF('Lighting Inventory'!Y88='Lookup Tables'!$Y$32, 'Lighting Inventory'!AJ88, IF(AD80=0, R80, AD80)))</f>
        <v/>
      </c>
      <c r="D80" s="26" t="str">
        <f>IF(B80="", "", 'General Information'!$F$14)</f>
        <v/>
      </c>
      <c r="E80" s="26" t="str">
        <f t="shared" si="6"/>
        <v/>
      </c>
      <c r="F80" s="26" t="str">
        <f>IF(B80="", "", CONCATENATE('General Information'!$F$9, " - ", 'General Information'!$F$14))</f>
        <v/>
      </c>
      <c r="G80" s="26" t="str">
        <f>IF(B80="", "", 'General Information'!$F$15)</f>
        <v/>
      </c>
      <c r="H80" s="26" t="str">
        <f>IF(B80="", "", IF(VLOOKUP(B80, 'Lookup Tables'!$Y$18:$AA$34, 2, FALSE)="Traffic", VLOOKUP('Lighting Inventory'!W88, 'Lookup Tables'!#REF!, 11, FALSE), VLOOKUP(B80, 'Lookup Tables'!$Y$18:$AA$34, 2, FALSE)))</f>
        <v/>
      </c>
      <c r="I80" s="26" t="str">
        <f>IF(B80="", "", CONCATENATE(D80, 'Data Export'!A80))</f>
        <v/>
      </c>
      <c r="J80" s="26" t="str">
        <f>IF(B80="", "", 'Lookup Tables'!$B$1)</f>
        <v/>
      </c>
      <c r="K80" s="26" t="str">
        <f>IF(B80="", "", 'Lighting Inventory'!B88)</f>
        <v/>
      </c>
      <c r="L80" s="26" t="str">
        <f>IF(B80="", "", 'Lighting Inventory'!C88)</f>
        <v/>
      </c>
      <c r="M80" s="26" t="str">
        <f>IF(B80="", "",'Lighting Inventory'!D88)</f>
        <v/>
      </c>
      <c r="N80" s="26" t="str">
        <f>IF(B80="", "",'Lighting Inventory'!E88)</f>
        <v/>
      </c>
      <c r="O80" s="26" t="str">
        <f>IF(B80="", "", 'Lighting Inventory'!F88)</f>
        <v/>
      </c>
      <c r="P80" s="26" t="str">
        <f>IF(B80="", "", 'Lighting Inventory'!G88)</f>
        <v/>
      </c>
      <c r="Q80" s="26" t="str">
        <f>IF(B80="", "", 'Lighting Inventory'!H88)</f>
        <v/>
      </c>
      <c r="R80" s="26" t="str">
        <f>IF(B80="", "", 'Lighting Inventory'!I88)</f>
        <v/>
      </c>
      <c r="S80" s="26" t="str">
        <f>IF(B80="", "", 'Lighting Inventory'!J88)</f>
        <v/>
      </c>
      <c r="T80" s="26" t="str">
        <f>IFERROR(IF(B80="","",VLOOKUP(S80,'Fixture Identities'!$A$7:$G$1023,5,FALSE)), "New Construction")</f>
        <v/>
      </c>
      <c r="U80" s="26" t="str">
        <f>IFERROR(IF(B80="", "", IF(K80="New Construction", "NC", IF(VLOOKUP(S80, 'Fixture Identities'!$A$7:$I$1023,3, FALSE)="T12 Linear Fluorescent", VLOOKUP(S80, 'Fixture Identities'!$A$7:$K$1012, 11, FALSE), S80))), "")</f>
        <v/>
      </c>
      <c r="V80" s="26" t="str">
        <f>IFERROR(IF(OR(B80="", U80=0), "", VLOOKUP(U80, 'Fixture Identities'!$A$7:$G$1023, 5, FALSE)), "")</f>
        <v/>
      </c>
      <c r="W80" s="26" t="str">
        <f>IF(B80="", "",'Lighting Inventory'!K88)</f>
        <v/>
      </c>
      <c r="X80" s="65" t="str">
        <f>IF(B80="", "", 'Lighting Inventory'!L88)</f>
        <v/>
      </c>
      <c r="Y80" s="26" t="str">
        <f>IF(B80="", "", IF('Lighting Inventory'!M88="", "Light Switch",'Lighting Inventory'!M88))</f>
        <v/>
      </c>
      <c r="Z80" s="26" t="str">
        <f>IF(OR(K80="Retrofit", B80=""), "", 'Lighting Inventory'!N88)</f>
        <v/>
      </c>
      <c r="AA80" s="26" t="str">
        <f>IF(OR(Z80="",B80=""), "", 'Lighting Inventory'!O88)</f>
        <v/>
      </c>
      <c r="AB80" s="26" t="str">
        <f>IF(B80="", "", 'Lighting Inventory'!P88)</f>
        <v/>
      </c>
      <c r="AC80" s="96" t="str">
        <f>IF(B80="", "", 'Lighting Inventory'!R88)</f>
        <v/>
      </c>
      <c r="AD80" s="26" t="str">
        <f>IF(B80="", "", 'Lighting Inventory'!S88)</f>
        <v/>
      </c>
      <c r="AE80" s="26" t="str">
        <f>IF(B80="", "", 'Lighting Inventory'!V88)</f>
        <v/>
      </c>
      <c r="AF80" s="26" t="str">
        <f>IF(B80="", "", 'Lighting Inventory'!W88)</f>
        <v/>
      </c>
      <c r="AG80" s="26" t="str">
        <f>IF(OR(AF80="", B80=""), "", IF(AE80="Custom", "0", VLOOKUP(AF80, 'Lookup Tables'!$AI$6:$AP$102, 8, FALSE)))</f>
        <v/>
      </c>
      <c r="AH80" s="26" t="str">
        <f>IF(B80="", "", 'Lighting Inventory'!AD88)</f>
        <v/>
      </c>
      <c r="AI80" s="26" t="str">
        <f>IF(OR('Lighting Inventory'!AK88="", B80=""), "", 'Lighting Inventory'!AK88)</f>
        <v/>
      </c>
      <c r="AJ80" s="66" t="str">
        <f>IF(B80="", "", 'Lighting Inventory'!AL88)</f>
        <v/>
      </c>
      <c r="AK80" s="65" t="str">
        <f>IF(B80="", "", 'Lighting Inventory'!AM88)</f>
        <v/>
      </c>
      <c r="AL80" s="26" t="str">
        <f>IF(B80="", "", 'Lighting Inventory'!AN88)</f>
        <v/>
      </c>
      <c r="AM80" s="26" t="str">
        <f t="shared" si="5"/>
        <v/>
      </c>
      <c r="AN80" s="26" t="str">
        <f>IF(B80="","",IF('Lighting Inventory'!AV88="","Prescribed",'Lighting Inventory'!AV88))</f>
        <v/>
      </c>
      <c r="AO80" s="66" t="str">
        <f>IF(B80="", "", 'Lighting Inventory'!AX88)</f>
        <v/>
      </c>
      <c r="AP80" s="67" t="str">
        <f>IF(B80="", "", 'Lighting Inventory'!AZ88)</f>
        <v/>
      </c>
      <c r="AQ80" s="67" t="str">
        <f>IF(B80="", "", 'Lighting Inventory'!BA88)</f>
        <v/>
      </c>
      <c r="AR80" s="67" t="str">
        <f>IF(B80="", "", 'Lighting Inventory'!BB88)</f>
        <v/>
      </c>
      <c r="AS80" s="67" t="str">
        <f>IF(B80="", "", 'Lighting Inventory'!BC88)</f>
        <v/>
      </c>
      <c r="AT80" s="67" t="str">
        <f>IF(B80="", "", 'Lighting Inventory'!BD88)</f>
        <v/>
      </c>
      <c r="AU80" s="67" t="str">
        <f>IF(B80="", "", 'Lighting Inventory'!BE88)</f>
        <v/>
      </c>
      <c r="AV80" s="67" t="str">
        <f>IF(B80="", "", 'Lighting Inventory'!BE88)</f>
        <v/>
      </c>
      <c r="AW80" s="67" t="str">
        <f>IF(B80="", "", 'Lighting Inventory'!BF88)</f>
        <v/>
      </c>
      <c r="AX80" s="67" t="str">
        <f>IF(B80="", "", 'Lighting Inventory'!BF88)</f>
        <v/>
      </c>
      <c r="AY80" s="65" t="str">
        <f t="shared" si="7"/>
        <v/>
      </c>
      <c r="AZ80" s="65" t="str">
        <f>IF(B80="", "", 'Lighting Inventory'!BJ88)</f>
        <v/>
      </c>
      <c r="BA80" s="65" t="str">
        <f>IF(B80="", "", 'Lighting Inventory'!BM88)</f>
        <v/>
      </c>
      <c r="BB80" s="65" t="str">
        <f>IF(B80="","",SUM('Lighting Inventory'!BP88:BP88))</f>
        <v/>
      </c>
      <c r="BC80" s="67" t="str">
        <f>IF(OR(AE80="", B80=""),"", 'Lighting Inventory'!GR88)</f>
        <v/>
      </c>
      <c r="BD80" s="67" t="str">
        <f>IFERROR(IF(B80="", "", 'Lighting Inventory'!AF88)*AD80," ")</f>
        <v xml:space="preserve"> </v>
      </c>
      <c r="BE80" s="67"/>
      <c r="BF80" s="67"/>
    </row>
    <row r="81" spans="1:58" x14ac:dyDescent="0.25">
      <c r="A81" s="26" t="str">
        <f>IF(B81="", "", 'Lookup Tables'!AW82)</f>
        <v/>
      </c>
      <c r="B81" s="26" t="str">
        <f>IF(OR('Lighting Inventory'!Y89="", 'Lighting Inventory'!V89="No Change"),"", 'Lighting Inventory'!Y89)</f>
        <v/>
      </c>
      <c r="C81" s="26" t="str">
        <f>IF(B81="", "", IF('Lighting Inventory'!Y89='Lookup Tables'!$Y$32, 'Lighting Inventory'!AJ89, IF(AD81=0, R81, AD81)))</f>
        <v/>
      </c>
      <c r="D81" s="26" t="str">
        <f>IF(B81="", "", 'General Information'!$F$14)</f>
        <v/>
      </c>
      <c r="E81" s="26" t="str">
        <f t="shared" si="6"/>
        <v/>
      </c>
      <c r="F81" s="26" t="str">
        <f>IF(B81="", "", CONCATENATE('General Information'!$F$9, " - ", 'General Information'!$F$14))</f>
        <v/>
      </c>
      <c r="G81" s="26" t="str">
        <f>IF(B81="", "", 'General Information'!$F$15)</f>
        <v/>
      </c>
      <c r="H81" s="26" t="str">
        <f>IF(B81="", "", IF(VLOOKUP(B81, 'Lookup Tables'!$Y$18:$AA$34, 2, FALSE)="Traffic", VLOOKUP('Lighting Inventory'!W89, 'Lookup Tables'!#REF!, 11, FALSE), VLOOKUP(B81, 'Lookup Tables'!$Y$18:$AA$34, 2, FALSE)))</f>
        <v/>
      </c>
      <c r="I81" s="26" t="str">
        <f>IF(B81="", "", CONCATENATE(D81, 'Data Export'!A81))</f>
        <v/>
      </c>
      <c r="J81" s="26" t="str">
        <f>IF(B81="", "", 'Lookup Tables'!$B$1)</f>
        <v/>
      </c>
      <c r="K81" s="26" t="str">
        <f>IF(B81="", "", 'Lighting Inventory'!B89)</f>
        <v/>
      </c>
      <c r="L81" s="26" t="str">
        <f>IF(B81="", "", 'Lighting Inventory'!C89)</f>
        <v/>
      </c>
      <c r="M81" s="26" t="str">
        <f>IF(B81="", "",'Lighting Inventory'!D89)</f>
        <v/>
      </c>
      <c r="N81" s="26" t="str">
        <f>IF(B81="", "",'Lighting Inventory'!E89)</f>
        <v/>
      </c>
      <c r="O81" s="26" t="str">
        <f>IF(B81="", "", 'Lighting Inventory'!F89)</f>
        <v/>
      </c>
      <c r="P81" s="26" t="str">
        <f>IF(B81="", "", 'Lighting Inventory'!G89)</f>
        <v/>
      </c>
      <c r="Q81" s="26" t="str">
        <f>IF(B81="", "", 'Lighting Inventory'!H89)</f>
        <v/>
      </c>
      <c r="R81" s="26" t="str">
        <f>IF(B81="", "", 'Lighting Inventory'!I89)</f>
        <v/>
      </c>
      <c r="S81" s="26" t="str">
        <f>IF(B81="", "", 'Lighting Inventory'!J89)</f>
        <v/>
      </c>
      <c r="T81" s="26" t="str">
        <f>IFERROR(IF(B81="","",VLOOKUP(S81,'Fixture Identities'!$A$7:$G$1023,5,FALSE)), "New Construction")</f>
        <v/>
      </c>
      <c r="U81" s="26" t="str">
        <f>IFERROR(IF(B81="", "", IF(K81="New Construction", "NC", IF(VLOOKUP(S81, 'Fixture Identities'!$A$7:$I$1023,3, FALSE)="T12 Linear Fluorescent", VLOOKUP(S81, 'Fixture Identities'!$A$7:$K$1012, 11, FALSE), S81))), "")</f>
        <v/>
      </c>
      <c r="V81" s="26" t="str">
        <f>IFERROR(IF(OR(B81="", U81=0), "", VLOOKUP(U81, 'Fixture Identities'!$A$7:$G$1023, 5, FALSE)), "")</f>
        <v/>
      </c>
      <c r="W81" s="26" t="str">
        <f>IF(B81="", "",'Lighting Inventory'!K89)</f>
        <v/>
      </c>
      <c r="X81" s="65" t="str">
        <f>IF(B81="", "", 'Lighting Inventory'!L89)</f>
        <v/>
      </c>
      <c r="Y81" s="26" t="str">
        <f>IF(B81="", "", IF('Lighting Inventory'!M89="", "Light Switch",'Lighting Inventory'!M89))</f>
        <v/>
      </c>
      <c r="Z81" s="26" t="str">
        <f>IF(OR(K81="Retrofit", B81=""), "", 'Lighting Inventory'!N89)</f>
        <v/>
      </c>
      <c r="AA81" s="26" t="str">
        <f>IF(OR(Z81="",B81=""), "", 'Lighting Inventory'!O89)</f>
        <v/>
      </c>
      <c r="AB81" s="26" t="str">
        <f>IF(B81="", "", 'Lighting Inventory'!P89)</f>
        <v/>
      </c>
      <c r="AC81" s="96" t="str">
        <f>IF(B81="", "", 'Lighting Inventory'!R89)</f>
        <v/>
      </c>
      <c r="AD81" s="26" t="str">
        <f>IF(B81="", "", 'Lighting Inventory'!S89)</f>
        <v/>
      </c>
      <c r="AE81" s="26" t="str">
        <f>IF(B81="", "", 'Lighting Inventory'!V89)</f>
        <v/>
      </c>
      <c r="AF81" s="26" t="str">
        <f>IF(B81="", "", 'Lighting Inventory'!W89)</f>
        <v/>
      </c>
      <c r="AG81" s="26" t="str">
        <f>IF(OR(AF81="", B81=""), "", IF(AE81="Custom", "0", VLOOKUP(AF81, 'Lookup Tables'!$AI$6:$AP$102, 8, FALSE)))</f>
        <v/>
      </c>
      <c r="AH81" s="26" t="str">
        <f>IF(B81="", "", 'Lighting Inventory'!AD89)</f>
        <v/>
      </c>
      <c r="AI81" s="26" t="str">
        <f>IF(OR('Lighting Inventory'!AK89="", B81=""), "", 'Lighting Inventory'!AK89)</f>
        <v/>
      </c>
      <c r="AJ81" s="66" t="str">
        <f>IF(B81="", "", 'Lighting Inventory'!AL89)</f>
        <v/>
      </c>
      <c r="AK81" s="65" t="str">
        <f>IF(B81="", "", 'Lighting Inventory'!AM89)</f>
        <v/>
      </c>
      <c r="AL81" s="26" t="str">
        <f>IF(B81="", "", 'Lighting Inventory'!AN89)</f>
        <v/>
      </c>
      <c r="AM81" s="26" t="str">
        <f t="shared" si="5"/>
        <v/>
      </c>
      <c r="AN81" s="26" t="str">
        <f>IF(B81="","",IF('Lighting Inventory'!AV89="","Prescribed",'Lighting Inventory'!AV89))</f>
        <v/>
      </c>
      <c r="AO81" s="66" t="str">
        <f>IF(B81="", "", 'Lighting Inventory'!AX89)</f>
        <v/>
      </c>
      <c r="AP81" s="67" t="str">
        <f>IF(B81="", "", 'Lighting Inventory'!AZ89)</f>
        <v/>
      </c>
      <c r="AQ81" s="67" t="str">
        <f>IF(B81="", "", 'Lighting Inventory'!BA89)</f>
        <v/>
      </c>
      <c r="AR81" s="67" t="str">
        <f>IF(B81="", "", 'Lighting Inventory'!BB89)</f>
        <v/>
      </c>
      <c r="AS81" s="67" t="str">
        <f>IF(B81="", "", 'Lighting Inventory'!BC89)</f>
        <v/>
      </c>
      <c r="AT81" s="67" t="str">
        <f>IF(B81="", "", 'Lighting Inventory'!BD89)</f>
        <v/>
      </c>
      <c r="AU81" s="67" t="str">
        <f>IF(B81="", "", 'Lighting Inventory'!BE89)</f>
        <v/>
      </c>
      <c r="AV81" s="67" t="str">
        <f>IF(B81="", "", 'Lighting Inventory'!BE89)</f>
        <v/>
      </c>
      <c r="AW81" s="67" t="str">
        <f>IF(B81="", "", 'Lighting Inventory'!BF89)</f>
        <v/>
      </c>
      <c r="AX81" s="67" t="str">
        <f>IF(B81="", "", 'Lighting Inventory'!BF89)</f>
        <v/>
      </c>
      <c r="AY81" s="65" t="str">
        <f t="shared" si="7"/>
        <v/>
      </c>
      <c r="AZ81" s="65" t="str">
        <f>IF(B81="", "", 'Lighting Inventory'!BJ89)</f>
        <v/>
      </c>
      <c r="BA81" s="65" t="str">
        <f>IF(B81="", "", 'Lighting Inventory'!BM89)</f>
        <v/>
      </c>
      <c r="BB81" s="65" t="str">
        <f>IF(B81="","",SUM('Lighting Inventory'!BP89:BP89))</f>
        <v/>
      </c>
      <c r="BC81" s="67" t="str">
        <f>IF(OR(AE81="", B81=""),"", 'Lighting Inventory'!GR89)</f>
        <v/>
      </c>
      <c r="BD81" s="67" t="str">
        <f>IFERROR(IF(B81="", "", 'Lighting Inventory'!AF89)*AD81," ")</f>
        <v xml:space="preserve"> </v>
      </c>
      <c r="BE81" s="67"/>
      <c r="BF81" s="67"/>
    </row>
    <row r="82" spans="1:58" x14ac:dyDescent="0.25">
      <c r="A82" s="26" t="str">
        <f>IF(B82="", "", 'Lookup Tables'!AW83)</f>
        <v/>
      </c>
      <c r="B82" s="26" t="str">
        <f>IF(OR('Lighting Inventory'!Y90="", 'Lighting Inventory'!V90="No Change"),"", 'Lighting Inventory'!Y90)</f>
        <v/>
      </c>
      <c r="C82" s="26" t="str">
        <f>IF(B82="", "", IF('Lighting Inventory'!Y90='Lookup Tables'!$Y$32, 'Lighting Inventory'!AJ90, IF(AD82=0, R82, AD82)))</f>
        <v/>
      </c>
      <c r="D82" s="26" t="str">
        <f>IF(B82="", "", 'General Information'!$F$14)</f>
        <v/>
      </c>
      <c r="E82" s="26" t="str">
        <f t="shared" si="6"/>
        <v/>
      </c>
      <c r="F82" s="26" t="str">
        <f>IF(B82="", "", CONCATENATE('General Information'!$F$9, " - ", 'General Information'!$F$14))</f>
        <v/>
      </c>
      <c r="G82" s="26" t="str">
        <f>IF(B82="", "", 'General Information'!$F$15)</f>
        <v/>
      </c>
      <c r="H82" s="26" t="str">
        <f>IF(B82="", "", IF(VLOOKUP(B82, 'Lookup Tables'!$Y$18:$AA$34, 2, FALSE)="Traffic", VLOOKUP('Lighting Inventory'!W90, 'Lookup Tables'!#REF!, 11, FALSE), VLOOKUP(B82, 'Lookup Tables'!$Y$18:$AA$34, 2, FALSE)))</f>
        <v/>
      </c>
      <c r="I82" s="26" t="str">
        <f>IF(B82="", "", CONCATENATE(D82, 'Data Export'!A82))</f>
        <v/>
      </c>
      <c r="J82" s="26" t="str">
        <f>IF(B82="", "", 'Lookup Tables'!$B$1)</f>
        <v/>
      </c>
      <c r="K82" s="26" t="str">
        <f>IF(B82="", "", 'Lighting Inventory'!B90)</f>
        <v/>
      </c>
      <c r="L82" s="26" t="str">
        <f>IF(B82="", "", 'Lighting Inventory'!C90)</f>
        <v/>
      </c>
      <c r="M82" s="26" t="str">
        <f>IF(B82="", "",'Lighting Inventory'!D90)</f>
        <v/>
      </c>
      <c r="N82" s="26" t="str">
        <f>IF(B82="", "",'Lighting Inventory'!E90)</f>
        <v/>
      </c>
      <c r="O82" s="26" t="str">
        <f>IF(B82="", "", 'Lighting Inventory'!F90)</f>
        <v/>
      </c>
      <c r="P82" s="26" t="str">
        <f>IF(B82="", "", 'Lighting Inventory'!G90)</f>
        <v/>
      </c>
      <c r="Q82" s="26" t="str">
        <f>IF(B82="", "", 'Lighting Inventory'!H90)</f>
        <v/>
      </c>
      <c r="R82" s="26" t="str">
        <f>IF(B82="", "", 'Lighting Inventory'!I90)</f>
        <v/>
      </c>
      <c r="S82" s="26" t="str">
        <f>IF(B82="", "", 'Lighting Inventory'!J90)</f>
        <v/>
      </c>
      <c r="T82" s="26" t="str">
        <f>IFERROR(IF(B82="","",VLOOKUP(S82,'Fixture Identities'!$A$7:$G$1023,5,FALSE)), "New Construction")</f>
        <v/>
      </c>
      <c r="U82" s="26" t="str">
        <f>IFERROR(IF(B82="", "", IF(K82="New Construction", "NC", IF(VLOOKUP(S82, 'Fixture Identities'!$A$7:$I$1023,3, FALSE)="T12 Linear Fluorescent", VLOOKUP(S82, 'Fixture Identities'!$A$7:$K$1012, 11, FALSE), S82))), "")</f>
        <v/>
      </c>
      <c r="V82" s="26" t="str">
        <f>IFERROR(IF(OR(B82="", U82=0), "", VLOOKUP(U82, 'Fixture Identities'!$A$7:$G$1023, 5, FALSE)), "")</f>
        <v/>
      </c>
      <c r="W82" s="26" t="str">
        <f>IF(B82="", "",'Lighting Inventory'!K90)</f>
        <v/>
      </c>
      <c r="X82" s="65" t="str">
        <f>IF(B82="", "", 'Lighting Inventory'!L90)</f>
        <v/>
      </c>
      <c r="Y82" s="26" t="str">
        <f>IF(B82="", "", IF('Lighting Inventory'!M90="", "Light Switch",'Lighting Inventory'!M90))</f>
        <v/>
      </c>
      <c r="Z82" s="26" t="str">
        <f>IF(OR(K82="Retrofit", B82=""), "", 'Lighting Inventory'!N90)</f>
        <v/>
      </c>
      <c r="AA82" s="26" t="str">
        <f>IF(OR(Z82="",B82=""), "", 'Lighting Inventory'!O90)</f>
        <v/>
      </c>
      <c r="AB82" s="26" t="str">
        <f>IF(B82="", "", 'Lighting Inventory'!P90)</f>
        <v/>
      </c>
      <c r="AC82" s="96" t="str">
        <f>IF(B82="", "", 'Lighting Inventory'!R90)</f>
        <v/>
      </c>
      <c r="AD82" s="26" t="str">
        <f>IF(B82="", "", 'Lighting Inventory'!S90)</f>
        <v/>
      </c>
      <c r="AE82" s="26" t="str">
        <f>IF(B82="", "", 'Lighting Inventory'!V90)</f>
        <v/>
      </c>
      <c r="AF82" s="26" t="str">
        <f>IF(B82="", "", 'Lighting Inventory'!W90)</f>
        <v/>
      </c>
      <c r="AG82" s="26" t="str">
        <f>IF(OR(AF82="", B82=""), "", IF(AE82="Custom", "0", VLOOKUP(AF82, 'Lookup Tables'!$AI$6:$AP$102, 8, FALSE)))</f>
        <v/>
      </c>
      <c r="AH82" s="26" t="str">
        <f>IF(B82="", "", 'Lighting Inventory'!AD90)</f>
        <v/>
      </c>
      <c r="AI82" s="26" t="str">
        <f>IF(OR('Lighting Inventory'!AK90="", B82=""), "", 'Lighting Inventory'!AK90)</f>
        <v/>
      </c>
      <c r="AJ82" s="66" t="str">
        <f>IF(B82="", "", 'Lighting Inventory'!AL90)</f>
        <v/>
      </c>
      <c r="AK82" s="65" t="str">
        <f>IF(B82="", "", 'Lighting Inventory'!AM90)</f>
        <v/>
      </c>
      <c r="AL82" s="26" t="str">
        <f>IF(B82="", "", 'Lighting Inventory'!AN90)</f>
        <v/>
      </c>
      <c r="AM82" s="26" t="str">
        <f t="shared" si="5"/>
        <v/>
      </c>
      <c r="AN82" s="26" t="str">
        <f>IF(B82="","",IF('Lighting Inventory'!AV90="","Prescribed",'Lighting Inventory'!AV90))</f>
        <v/>
      </c>
      <c r="AO82" s="66" t="str">
        <f>IF(B82="", "", 'Lighting Inventory'!AX90)</f>
        <v/>
      </c>
      <c r="AP82" s="67" t="str">
        <f>IF(B82="", "", 'Lighting Inventory'!AZ90)</f>
        <v/>
      </c>
      <c r="AQ82" s="67" t="str">
        <f>IF(B82="", "", 'Lighting Inventory'!BA90)</f>
        <v/>
      </c>
      <c r="AR82" s="67" t="str">
        <f>IF(B82="", "", 'Lighting Inventory'!BB90)</f>
        <v/>
      </c>
      <c r="AS82" s="67" t="str">
        <f>IF(B82="", "", 'Lighting Inventory'!BC90)</f>
        <v/>
      </c>
      <c r="AT82" s="67" t="str">
        <f>IF(B82="", "", 'Lighting Inventory'!BD90)</f>
        <v/>
      </c>
      <c r="AU82" s="67" t="str">
        <f>IF(B82="", "", 'Lighting Inventory'!BE90)</f>
        <v/>
      </c>
      <c r="AV82" s="67" t="str">
        <f>IF(B82="", "", 'Lighting Inventory'!BE90)</f>
        <v/>
      </c>
      <c r="AW82" s="67" t="str">
        <f>IF(B82="", "", 'Lighting Inventory'!BF90)</f>
        <v/>
      </c>
      <c r="AX82" s="67" t="str">
        <f>IF(B82="", "", 'Lighting Inventory'!BF90)</f>
        <v/>
      </c>
      <c r="AY82" s="65" t="str">
        <f t="shared" si="7"/>
        <v/>
      </c>
      <c r="AZ82" s="65" t="str">
        <f>IF(B82="", "", 'Lighting Inventory'!BJ90)</f>
        <v/>
      </c>
      <c r="BA82" s="65" t="str">
        <f>IF(B82="", "", 'Lighting Inventory'!BM90)</f>
        <v/>
      </c>
      <c r="BB82" s="65" t="str">
        <f>IF(B82="","",SUM('Lighting Inventory'!BP90:BP90))</f>
        <v/>
      </c>
      <c r="BC82" s="67" t="str">
        <f>IF(OR(AE82="", B82=""),"", 'Lighting Inventory'!GR90)</f>
        <v/>
      </c>
      <c r="BD82" s="67" t="str">
        <f>IFERROR(IF(B82="", "", 'Lighting Inventory'!AF90)*AD82," ")</f>
        <v xml:space="preserve"> </v>
      </c>
      <c r="BE82" s="67"/>
      <c r="BF82" s="67"/>
    </row>
    <row r="83" spans="1:58" x14ac:dyDescent="0.25">
      <c r="A83" s="26" t="str">
        <f>IF(B83="", "", 'Lookup Tables'!AW84)</f>
        <v/>
      </c>
      <c r="B83" s="26" t="str">
        <f>IF(OR('Lighting Inventory'!Y91="", 'Lighting Inventory'!V91="No Change"),"", 'Lighting Inventory'!Y91)</f>
        <v/>
      </c>
      <c r="C83" s="26" t="str">
        <f>IF(B83="", "", IF('Lighting Inventory'!Y91='Lookup Tables'!$Y$32, 'Lighting Inventory'!AJ91, IF(AD83=0, R83, AD83)))</f>
        <v/>
      </c>
      <c r="D83" s="26" t="str">
        <f>IF(B83="", "", 'General Information'!$F$14)</f>
        <v/>
      </c>
      <c r="E83" s="26" t="str">
        <f t="shared" si="6"/>
        <v/>
      </c>
      <c r="F83" s="26" t="str">
        <f>IF(B83="", "", CONCATENATE('General Information'!$F$9, " - ", 'General Information'!$F$14))</f>
        <v/>
      </c>
      <c r="G83" s="26" t="str">
        <f>IF(B83="", "", 'General Information'!$F$15)</f>
        <v/>
      </c>
      <c r="H83" s="26" t="str">
        <f>IF(B83="", "", IF(VLOOKUP(B83, 'Lookup Tables'!$Y$18:$AA$34, 2, FALSE)="Traffic", VLOOKUP('Lighting Inventory'!W91, 'Lookup Tables'!#REF!, 11, FALSE), VLOOKUP(B83, 'Lookup Tables'!$Y$18:$AA$34, 2, FALSE)))</f>
        <v/>
      </c>
      <c r="I83" s="26" t="str">
        <f>IF(B83="", "", CONCATENATE(D83, 'Data Export'!A83))</f>
        <v/>
      </c>
      <c r="J83" s="26" t="str">
        <f>IF(B83="", "", 'Lookup Tables'!$B$1)</f>
        <v/>
      </c>
      <c r="K83" s="26" t="str">
        <f>IF(B83="", "", 'Lighting Inventory'!B91)</f>
        <v/>
      </c>
      <c r="L83" s="26" t="str">
        <f>IF(B83="", "", 'Lighting Inventory'!C91)</f>
        <v/>
      </c>
      <c r="M83" s="26" t="str">
        <f>IF(B83="", "",'Lighting Inventory'!D91)</f>
        <v/>
      </c>
      <c r="N83" s="26" t="str">
        <f>IF(B83="", "",'Lighting Inventory'!E91)</f>
        <v/>
      </c>
      <c r="O83" s="26" t="str">
        <f>IF(B83="", "", 'Lighting Inventory'!F91)</f>
        <v/>
      </c>
      <c r="P83" s="26" t="str">
        <f>IF(B83="", "", 'Lighting Inventory'!G91)</f>
        <v/>
      </c>
      <c r="Q83" s="26" t="str">
        <f>IF(B83="", "", 'Lighting Inventory'!H91)</f>
        <v/>
      </c>
      <c r="R83" s="26" t="str">
        <f>IF(B83="", "", 'Lighting Inventory'!I91)</f>
        <v/>
      </c>
      <c r="S83" s="26" t="str">
        <f>IF(B83="", "", 'Lighting Inventory'!J91)</f>
        <v/>
      </c>
      <c r="T83" s="26" t="str">
        <f>IFERROR(IF(B83="","",VLOOKUP(S83,'Fixture Identities'!$A$7:$G$1023,5,FALSE)), "New Construction")</f>
        <v/>
      </c>
      <c r="U83" s="26" t="str">
        <f>IFERROR(IF(B83="", "", IF(K83="New Construction", "NC", IF(VLOOKUP(S83, 'Fixture Identities'!$A$7:$I$1023,3, FALSE)="T12 Linear Fluorescent", VLOOKUP(S83, 'Fixture Identities'!$A$7:$K$1012, 11, FALSE), S83))), "")</f>
        <v/>
      </c>
      <c r="V83" s="26" t="str">
        <f>IFERROR(IF(OR(B83="", U83=0), "", VLOOKUP(U83, 'Fixture Identities'!$A$7:$G$1023, 5, FALSE)), "")</f>
        <v/>
      </c>
      <c r="W83" s="26" t="str">
        <f>IF(B83="", "",'Lighting Inventory'!K91)</f>
        <v/>
      </c>
      <c r="X83" s="65" t="str">
        <f>IF(B83="", "", 'Lighting Inventory'!L91)</f>
        <v/>
      </c>
      <c r="Y83" s="26" t="str">
        <f>IF(B83="", "", IF('Lighting Inventory'!M91="", "Light Switch",'Lighting Inventory'!M91))</f>
        <v/>
      </c>
      <c r="Z83" s="26" t="str">
        <f>IF(OR(K83="Retrofit", B83=""), "", 'Lighting Inventory'!N91)</f>
        <v/>
      </c>
      <c r="AA83" s="26" t="str">
        <f>IF(OR(Z83="",B83=""), "", 'Lighting Inventory'!O91)</f>
        <v/>
      </c>
      <c r="AB83" s="26" t="str">
        <f>IF(B83="", "", 'Lighting Inventory'!P91)</f>
        <v/>
      </c>
      <c r="AC83" s="96" t="str">
        <f>IF(B83="", "", 'Lighting Inventory'!R91)</f>
        <v/>
      </c>
      <c r="AD83" s="26" t="str">
        <f>IF(B83="", "", 'Lighting Inventory'!S91)</f>
        <v/>
      </c>
      <c r="AE83" s="26" t="str">
        <f>IF(B83="", "", 'Lighting Inventory'!V91)</f>
        <v/>
      </c>
      <c r="AF83" s="26" t="str">
        <f>IF(B83="", "", 'Lighting Inventory'!W91)</f>
        <v/>
      </c>
      <c r="AG83" s="26" t="str">
        <f>IF(OR(AF83="", B83=""), "", IF(AE83="Custom", "0", VLOOKUP(AF83, 'Lookup Tables'!$AI$6:$AP$102, 8, FALSE)))</f>
        <v/>
      </c>
      <c r="AH83" s="26" t="str">
        <f>IF(B83="", "", 'Lighting Inventory'!AD91)</f>
        <v/>
      </c>
      <c r="AI83" s="26" t="str">
        <f>IF(OR('Lighting Inventory'!AK91="", B83=""), "", 'Lighting Inventory'!AK91)</f>
        <v/>
      </c>
      <c r="AJ83" s="66" t="str">
        <f>IF(B83="", "", 'Lighting Inventory'!AL91)</f>
        <v/>
      </c>
      <c r="AK83" s="65" t="str">
        <f>IF(B83="", "", 'Lighting Inventory'!AM91)</f>
        <v/>
      </c>
      <c r="AL83" s="26" t="str">
        <f>IF(B83="", "", 'Lighting Inventory'!AN91)</f>
        <v/>
      </c>
      <c r="AM83" s="26" t="str">
        <f t="shared" si="5"/>
        <v/>
      </c>
      <c r="AN83" s="26" t="str">
        <f>IF(B83="","",IF('Lighting Inventory'!AV91="","Prescribed",'Lighting Inventory'!AV91))</f>
        <v/>
      </c>
      <c r="AO83" s="66" t="str">
        <f>IF(B83="", "", 'Lighting Inventory'!AX91)</f>
        <v/>
      </c>
      <c r="AP83" s="67" t="str">
        <f>IF(B83="", "", 'Lighting Inventory'!AZ91)</f>
        <v/>
      </c>
      <c r="AQ83" s="67" t="str">
        <f>IF(B83="", "", 'Lighting Inventory'!BA91)</f>
        <v/>
      </c>
      <c r="AR83" s="67" t="str">
        <f>IF(B83="", "", 'Lighting Inventory'!BB91)</f>
        <v/>
      </c>
      <c r="AS83" s="67" t="str">
        <f>IF(B83="", "", 'Lighting Inventory'!BC91)</f>
        <v/>
      </c>
      <c r="AT83" s="67" t="str">
        <f>IF(B83="", "", 'Lighting Inventory'!BD91)</f>
        <v/>
      </c>
      <c r="AU83" s="67" t="str">
        <f>IF(B83="", "", 'Lighting Inventory'!BE91)</f>
        <v/>
      </c>
      <c r="AV83" s="67" t="str">
        <f>IF(B83="", "", 'Lighting Inventory'!BE91)</f>
        <v/>
      </c>
      <c r="AW83" s="67" t="str">
        <f>IF(B83="", "", 'Lighting Inventory'!BF91)</f>
        <v/>
      </c>
      <c r="AX83" s="67" t="str">
        <f>IF(B83="", "", 'Lighting Inventory'!BF91)</f>
        <v/>
      </c>
      <c r="AY83" s="65" t="str">
        <f t="shared" si="7"/>
        <v/>
      </c>
      <c r="AZ83" s="65" t="str">
        <f>IF(B83="", "", 'Lighting Inventory'!BJ91)</f>
        <v/>
      </c>
      <c r="BA83" s="65" t="str">
        <f>IF(B83="", "", 'Lighting Inventory'!BM91)</f>
        <v/>
      </c>
      <c r="BB83" s="65" t="str">
        <f>IF(B83="","",SUM('Lighting Inventory'!BP91:BP91))</f>
        <v/>
      </c>
      <c r="BC83" s="67" t="str">
        <f>IF(OR(AE83="", B83=""),"", 'Lighting Inventory'!GR91)</f>
        <v/>
      </c>
      <c r="BD83" s="67" t="str">
        <f>IFERROR(IF(B83="", "", 'Lighting Inventory'!AF91)*AD83," ")</f>
        <v xml:space="preserve"> </v>
      </c>
      <c r="BE83" s="67"/>
      <c r="BF83" s="67"/>
    </row>
    <row r="84" spans="1:58" x14ac:dyDescent="0.25">
      <c r="A84" s="26" t="str">
        <f>IF(B84="", "", 'Lookup Tables'!AW85)</f>
        <v/>
      </c>
      <c r="B84" s="26" t="str">
        <f>IF(OR('Lighting Inventory'!Y92="", 'Lighting Inventory'!V92="No Change"),"", 'Lighting Inventory'!Y92)</f>
        <v/>
      </c>
      <c r="C84" s="26" t="str">
        <f>IF(B84="", "", IF('Lighting Inventory'!Y92='Lookup Tables'!$Y$32, 'Lighting Inventory'!AJ92, IF(AD84=0, R84, AD84)))</f>
        <v/>
      </c>
      <c r="D84" s="26" t="str">
        <f>IF(B84="", "", 'General Information'!$F$14)</f>
        <v/>
      </c>
      <c r="E84" s="26" t="str">
        <f t="shared" si="6"/>
        <v/>
      </c>
      <c r="F84" s="26" t="str">
        <f>IF(B84="", "", CONCATENATE('General Information'!$F$9, " - ", 'General Information'!$F$14))</f>
        <v/>
      </c>
      <c r="G84" s="26" t="str">
        <f>IF(B84="", "", 'General Information'!$F$15)</f>
        <v/>
      </c>
      <c r="H84" s="26" t="str">
        <f>IF(B84="", "", IF(VLOOKUP(B84, 'Lookup Tables'!$Y$18:$AA$34, 2, FALSE)="Traffic", VLOOKUP('Lighting Inventory'!W92, 'Lookup Tables'!#REF!, 11, FALSE), VLOOKUP(B84, 'Lookup Tables'!$Y$18:$AA$34, 2, FALSE)))</f>
        <v/>
      </c>
      <c r="I84" s="26" t="str">
        <f>IF(B84="", "", CONCATENATE(D84, 'Data Export'!A84))</f>
        <v/>
      </c>
      <c r="J84" s="26" t="str">
        <f>IF(B84="", "", 'Lookup Tables'!$B$1)</f>
        <v/>
      </c>
      <c r="K84" s="26" t="str">
        <f>IF(B84="", "", 'Lighting Inventory'!B92)</f>
        <v/>
      </c>
      <c r="L84" s="26" t="str">
        <f>IF(B84="", "", 'Lighting Inventory'!C92)</f>
        <v/>
      </c>
      <c r="M84" s="26" t="str">
        <f>IF(B84="", "",'Lighting Inventory'!D92)</f>
        <v/>
      </c>
      <c r="N84" s="26" t="str">
        <f>IF(B84="", "",'Lighting Inventory'!E92)</f>
        <v/>
      </c>
      <c r="O84" s="26" t="str">
        <f>IF(B84="", "", 'Lighting Inventory'!F92)</f>
        <v/>
      </c>
      <c r="P84" s="26" t="str">
        <f>IF(B84="", "", 'Lighting Inventory'!G92)</f>
        <v/>
      </c>
      <c r="Q84" s="26" t="str">
        <f>IF(B84="", "", 'Lighting Inventory'!H92)</f>
        <v/>
      </c>
      <c r="R84" s="26" t="str">
        <f>IF(B84="", "", 'Lighting Inventory'!I92)</f>
        <v/>
      </c>
      <c r="S84" s="26" t="str">
        <f>IF(B84="", "", 'Lighting Inventory'!J92)</f>
        <v/>
      </c>
      <c r="T84" s="26" t="str">
        <f>IFERROR(IF(B84="","",VLOOKUP(S84,'Fixture Identities'!$A$7:$G$1023,5,FALSE)), "New Construction")</f>
        <v/>
      </c>
      <c r="U84" s="26" t="str">
        <f>IFERROR(IF(B84="", "", IF(K84="New Construction", "NC", IF(VLOOKUP(S84, 'Fixture Identities'!$A$7:$I$1023,3, FALSE)="T12 Linear Fluorescent", VLOOKUP(S84, 'Fixture Identities'!$A$7:$K$1012, 11, FALSE), S84))), "")</f>
        <v/>
      </c>
      <c r="V84" s="26" t="str">
        <f>IFERROR(IF(OR(B84="", U84=0), "", VLOOKUP(U84, 'Fixture Identities'!$A$7:$G$1023, 5, FALSE)), "")</f>
        <v/>
      </c>
      <c r="W84" s="26" t="str">
        <f>IF(B84="", "",'Lighting Inventory'!K92)</f>
        <v/>
      </c>
      <c r="X84" s="65" t="str">
        <f>IF(B84="", "", 'Lighting Inventory'!L92)</f>
        <v/>
      </c>
      <c r="Y84" s="26" t="str">
        <f>IF(B84="", "", IF('Lighting Inventory'!M92="", "Light Switch",'Lighting Inventory'!M92))</f>
        <v/>
      </c>
      <c r="Z84" s="26" t="str">
        <f>IF(OR(K84="Retrofit", B84=""), "", 'Lighting Inventory'!N92)</f>
        <v/>
      </c>
      <c r="AA84" s="26" t="str">
        <f>IF(OR(Z84="",B84=""), "", 'Lighting Inventory'!O92)</f>
        <v/>
      </c>
      <c r="AB84" s="26" t="str">
        <f>IF(B84="", "", 'Lighting Inventory'!P92)</f>
        <v/>
      </c>
      <c r="AC84" s="96" t="str">
        <f>IF(B84="", "", 'Lighting Inventory'!R92)</f>
        <v/>
      </c>
      <c r="AD84" s="26" t="str">
        <f>IF(B84="", "", 'Lighting Inventory'!S92)</f>
        <v/>
      </c>
      <c r="AE84" s="26" t="str">
        <f>IF(B84="", "", 'Lighting Inventory'!V92)</f>
        <v/>
      </c>
      <c r="AF84" s="26" t="str">
        <f>IF(B84="", "", 'Lighting Inventory'!W92)</f>
        <v/>
      </c>
      <c r="AG84" s="26" t="str">
        <f>IF(OR(AF84="", B84=""), "", IF(AE84="Custom", "0", VLOOKUP(AF84, 'Lookup Tables'!$AI$6:$AP$102, 8, FALSE)))</f>
        <v/>
      </c>
      <c r="AH84" s="26" t="str">
        <f>IF(B84="", "", 'Lighting Inventory'!AD92)</f>
        <v/>
      </c>
      <c r="AI84" s="26" t="str">
        <f>IF(OR('Lighting Inventory'!AK92="", B84=""), "", 'Lighting Inventory'!AK92)</f>
        <v/>
      </c>
      <c r="AJ84" s="66" t="str">
        <f>IF(B84="", "", 'Lighting Inventory'!AL92)</f>
        <v/>
      </c>
      <c r="AK84" s="65" t="str">
        <f>IF(B84="", "", 'Lighting Inventory'!AM92)</f>
        <v/>
      </c>
      <c r="AL84" s="26" t="str">
        <f>IF(B84="", "", 'Lighting Inventory'!AN92)</f>
        <v/>
      </c>
      <c r="AM84" s="26" t="str">
        <f t="shared" si="5"/>
        <v/>
      </c>
      <c r="AN84" s="26" t="str">
        <f>IF(B84="","",IF('Lighting Inventory'!AV92="","Prescribed",'Lighting Inventory'!AV92))</f>
        <v/>
      </c>
      <c r="AO84" s="66" t="str">
        <f>IF(B84="", "", 'Lighting Inventory'!AX92)</f>
        <v/>
      </c>
      <c r="AP84" s="67" t="str">
        <f>IF(B84="", "", 'Lighting Inventory'!AZ92)</f>
        <v/>
      </c>
      <c r="AQ84" s="67" t="str">
        <f>IF(B84="", "", 'Lighting Inventory'!BA92)</f>
        <v/>
      </c>
      <c r="AR84" s="67" t="str">
        <f>IF(B84="", "", 'Lighting Inventory'!BB92)</f>
        <v/>
      </c>
      <c r="AS84" s="67" t="str">
        <f>IF(B84="", "", 'Lighting Inventory'!BC92)</f>
        <v/>
      </c>
      <c r="AT84" s="67" t="str">
        <f>IF(B84="", "", 'Lighting Inventory'!BD92)</f>
        <v/>
      </c>
      <c r="AU84" s="67" t="str">
        <f>IF(B84="", "", 'Lighting Inventory'!BE92)</f>
        <v/>
      </c>
      <c r="AV84" s="67" t="str">
        <f>IF(B84="", "", 'Lighting Inventory'!BE92)</f>
        <v/>
      </c>
      <c r="AW84" s="67" t="str">
        <f>IF(B84="", "", 'Lighting Inventory'!BF92)</f>
        <v/>
      </c>
      <c r="AX84" s="67" t="str">
        <f>IF(B84="", "", 'Lighting Inventory'!BF92)</f>
        <v/>
      </c>
      <c r="AY84" s="65" t="str">
        <f t="shared" si="7"/>
        <v/>
      </c>
      <c r="AZ84" s="65" t="str">
        <f>IF(B84="", "", 'Lighting Inventory'!BJ92)</f>
        <v/>
      </c>
      <c r="BA84" s="65" t="str">
        <f>IF(B84="", "", 'Lighting Inventory'!BM92)</f>
        <v/>
      </c>
      <c r="BB84" s="65" t="str">
        <f>IF(B84="","",SUM('Lighting Inventory'!BP92:BP92))</f>
        <v/>
      </c>
      <c r="BC84" s="67" t="str">
        <f>IF(OR(AE84="", B84=""),"", 'Lighting Inventory'!GR92)</f>
        <v/>
      </c>
      <c r="BD84" s="67" t="str">
        <f>IFERROR(IF(B84="", "", 'Lighting Inventory'!AF92)*AD84," ")</f>
        <v xml:space="preserve"> </v>
      </c>
      <c r="BE84" s="67"/>
      <c r="BF84" s="67"/>
    </row>
    <row r="85" spans="1:58" x14ac:dyDescent="0.25">
      <c r="A85" s="26" t="str">
        <f>IF(B85="", "", 'Lookup Tables'!AW86)</f>
        <v/>
      </c>
      <c r="B85" s="26" t="str">
        <f>IF(OR('Lighting Inventory'!Y93="", 'Lighting Inventory'!V93="No Change"),"", 'Lighting Inventory'!Y93)</f>
        <v/>
      </c>
      <c r="C85" s="26" t="str">
        <f>IF(B85="", "", IF('Lighting Inventory'!Y93='Lookup Tables'!$Y$32, 'Lighting Inventory'!AJ93, IF(AD85=0, R85, AD85)))</f>
        <v/>
      </c>
      <c r="D85" s="26" t="str">
        <f>IF(B85="", "", 'General Information'!$F$14)</f>
        <v/>
      </c>
      <c r="E85" s="26" t="str">
        <f t="shared" si="6"/>
        <v/>
      </c>
      <c r="F85" s="26" t="str">
        <f>IF(B85="", "", CONCATENATE('General Information'!$F$9, " - ", 'General Information'!$F$14))</f>
        <v/>
      </c>
      <c r="G85" s="26" t="str">
        <f>IF(B85="", "", 'General Information'!$F$15)</f>
        <v/>
      </c>
      <c r="H85" s="26" t="str">
        <f>IF(B85="", "", IF(VLOOKUP(B85, 'Lookup Tables'!$Y$18:$AA$34, 2, FALSE)="Traffic", VLOOKUP('Lighting Inventory'!W93, 'Lookup Tables'!#REF!, 11, FALSE), VLOOKUP(B85, 'Lookup Tables'!$Y$18:$AA$34, 2, FALSE)))</f>
        <v/>
      </c>
      <c r="I85" s="26" t="str">
        <f>IF(B85="", "", CONCATENATE(D85, 'Data Export'!A85))</f>
        <v/>
      </c>
      <c r="J85" s="26" t="str">
        <f>IF(B85="", "", 'Lookup Tables'!$B$1)</f>
        <v/>
      </c>
      <c r="K85" s="26" t="str">
        <f>IF(B85="", "", 'Lighting Inventory'!B93)</f>
        <v/>
      </c>
      <c r="L85" s="26" t="str">
        <f>IF(B85="", "", 'Lighting Inventory'!C93)</f>
        <v/>
      </c>
      <c r="M85" s="26" t="str">
        <f>IF(B85="", "",'Lighting Inventory'!D93)</f>
        <v/>
      </c>
      <c r="N85" s="26" t="str">
        <f>IF(B85="", "",'Lighting Inventory'!E93)</f>
        <v/>
      </c>
      <c r="O85" s="26" t="str">
        <f>IF(B85="", "", 'Lighting Inventory'!F93)</f>
        <v/>
      </c>
      <c r="P85" s="26" t="str">
        <f>IF(B85="", "", 'Lighting Inventory'!G93)</f>
        <v/>
      </c>
      <c r="Q85" s="26" t="str">
        <f>IF(B85="", "", 'Lighting Inventory'!H93)</f>
        <v/>
      </c>
      <c r="R85" s="26" t="str">
        <f>IF(B85="", "", 'Lighting Inventory'!I93)</f>
        <v/>
      </c>
      <c r="S85" s="26" t="str">
        <f>IF(B85="", "", 'Lighting Inventory'!J93)</f>
        <v/>
      </c>
      <c r="T85" s="26" t="str">
        <f>IFERROR(IF(B85="","",VLOOKUP(S85,'Fixture Identities'!$A$7:$G$1023,5,FALSE)), "New Construction")</f>
        <v/>
      </c>
      <c r="U85" s="26" t="str">
        <f>IFERROR(IF(B85="", "", IF(K85="New Construction", "NC", IF(VLOOKUP(S85, 'Fixture Identities'!$A$7:$I$1023,3, FALSE)="T12 Linear Fluorescent", VLOOKUP(S85, 'Fixture Identities'!$A$7:$K$1012, 11, FALSE), S85))), "")</f>
        <v/>
      </c>
      <c r="V85" s="26" t="str">
        <f>IFERROR(IF(OR(B85="", U85=0), "", VLOOKUP(U85, 'Fixture Identities'!$A$7:$G$1023, 5, FALSE)), "")</f>
        <v/>
      </c>
      <c r="W85" s="26" t="str">
        <f>IF(B85="", "",'Lighting Inventory'!K93)</f>
        <v/>
      </c>
      <c r="X85" s="65" t="str">
        <f>IF(B85="", "", 'Lighting Inventory'!L93)</f>
        <v/>
      </c>
      <c r="Y85" s="26" t="str">
        <f>IF(B85="", "", IF('Lighting Inventory'!M93="", "Light Switch",'Lighting Inventory'!M93))</f>
        <v/>
      </c>
      <c r="Z85" s="26" t="str">
        <f>IF(OR(K85="Retrofit", B85=""), "", 'Lighting Inventory'!N93)</f>
        <v/>
      </c>
      <c r="AA85" s="26" t="str">
        <f>IF(OR(Z85="",B85=""), "", 'Lighting Inventory'!O93)</f>
        <v/>
      </c>
      <c r="AB85" s="26" t="str">
        <f>IF(B85="", "", 'Lighting Inventory'!P93)</f>
        <v/>
      </c>
      <c r="AC85" s="96" t="str">
        <f>IF(B85="", "", 'Lighting Inventory'!R93)</f>
        <v/>
      </c>
      <c r="AD85" s="26" t="str">
        <f>IF(B85="", "", 'Lighting Inventory'!S93)</f>
        <v/>
      </c>
      <c r="AE85" s="26" t="str">
        <f>IF(B85="", "", 'Lighting Inventory'!V93)</f>
        <v/>
      </c>
      <c r="AF85" s="26" t="str">
        <f>IF(B85="", "", 'Lighting Inventory'!W93)</f>
        <v/>
      </c>
      <c r="AG85" s="26" t="str">
        <f>IF(OR(AF85="", B85=""), "", IF(AE85="Custom", "0", VLOOKUP(AF85, 'Lookup Tables'!$AI$6:$AP$102, 8, FALSE)))</f>
        <v/>
      </c>
      <c r="AH85" s="26" t="str">
        <f>IF(B85="", "", 'Lighting Inventory'!AD93)</f>
        <v/>
      </c>
      <c r="AI85" s="26" t="str">
        <f>IF(OR('Lighting Inventory'!AK93="", B85=""), "", 'Lighting Inventory'!AK93)</f>
        <v/>
      </c>
      <c r="AJ85" s="66" t="str">
        <f>IF(B85="", "", 'Lighting Inventory'!AL93)</f>
        <v/>
      </c>
      <c r="AK85" s="65" t="str">
        <f>IF(B85="", "", 'Lighting Inventory'!AM93)</f>
        <v/>
      </c>
      <c r="AL85" s="26" t="str">
        <f>IF(B85="", "", 'Lighting Inventory'!AN93)</f>
        <v/>
      </c>
      <c r="AM85" s="26" t="str">
        <f t="shared" si="5"/>
        <v/>
      </c>
      <c r="AN85" s="26" t="str">
        <f>IF(B85="","",IF('Lighting Inventory'!AV93="","Prescribed",'Lighting Inventory'!AV93))</f>
        <v/>
      </c>
      <c r="AO85" s="66" t="str">
        <f>IF(B85="", "", 'Lighting Inventory'!AX93)</f>
        <v/>
      </c>
      <c r="AP85" s="67" t="str">
        <f>IF(B85="", "", 'Lighting Inventory'!AZ93)</f>
        <v/>
      </c>
      <c r="AQ85" s="67" t="str">
        <f>IF(B85="", "", 'Lighting Inventory'!BA93)</f>
        <v/>
      </c>
      <c r="AR85" s="67" t="str">
        <f>IF(B85="", "", 'Lighting Inventory'!BB93)</f>
        <v/>
      </c>
      <c r="AS85" s="67" t="str">
        <f>IF(B85="", "", 'Lighting Inventory'!BC93)</f>
        <v/>
      </c>
      <c r="AT85" s="67" t="str">
        <f>IF(B85="", "", 'Lighting Inventory'!BD93)</f>
        <v/>
      </c>
      <c r="AU85" s="67" t="str">
        <f>IF(B85="", "", 'Lighting Inventory'!BE93)</f>
        <v/>
      </c>
      <c r="AV85" s="67" t="str">
        <f>IF(B85="", "", 'Lighting Inventory'!BE93)</f>
        <v/>
      </c>
      <c r="AW85" s="67" t="str">
        <f>IF(B85="", "", 'Lighting Inventory'!BF93)</f>
        <v/>
      </c>
      <c r="AX85" s="67" t="str">
        <f>IF(B85="", "", 'Lighting Inventory'!BF93)</f>
        <v/>
      </c>
      <c r="AY85" s="65" t="str">
        <f t="shared" si="7"/>
        <v/>
      </c>
      <c r="AZ85" s="65" t="str">
        <f>IF(B85="", "", 'Lighting Inventory'!BJ93)</f>
        <v/>
      </c>
      <c r="BA85" s="65" t="str">
        <f>IF(B85="", "", 'Lighting Inventory'!BM93)</f>
        <v/>
      </c>
      <c r="BB85" s="65" t="str">
        <f>IF(B85="","",SUM('Lighting Inventory'!BP93:BP93))</f>
        <v/>
      </c>
      <c r="BC85" s="67" t="str">
        <f>IF(OR(AE85="", B85=""),"", 'Lighting Inventory'!GR93)</f>
        <v/>
      </c>
      <c r="BD85" s="67" t="str">
        <f>IFERROR(IF(B85="", "", 'Lighting Inventory'!AF93)*AD85," ")</f>
        <v xml:space="preserve"> </v>
      </c>
      <c r="BE85" s="67"/>
      <c r="BF85" s="67"/>
    </row>
    <row r="86" spans="1:58" x14ac:dyDescent="0.25">
      <c r="A86" s="26" t="str">
        <f>IF(B86="", "", 'Lookup Tables'!AW87)</f>
        <v/>
      </c>
      <c r="B86" s="26" t="str">
        <f>IF(OR('Lighting Inventory'!Y94="", 'Lighting Inventory'!V94="No Change"),"", 'Lighting Inventory'!Y94)</f>
        <v/>
      </c>
      <c r="C86" s="26" t="str">
        <f>IF(B86="", "", IF('Lighting Inventory'!Y94='Lookup Tables'!$Y$32, 'Lighting Inventory'!AJ94, IF(AD86=0, R86, AD86)))</f>
        <v/>
      </c>
      <c r="D86" s="26" t="str">
        <f>IF(B86="", "", 'General Information'!$F$14)</f>
        <v/>
      </c>
      <c r="E86" s="26" t="str">
        <f t="shared" si="6"/>
        <v/>
      </c>
      <c r="F86" s="26" t="str">
        <f>IF(B86="", "", CONCATENATE('General Information'!$F$9, " - ", 'General Information'!$F$14))</f>
        <v/>
      </c>
      <c r="G86" s="26" t="str">
        <f>IF(B86="", "", 'General Information'!$F$15)</f>
        <v/>
      </c>
      <c r="H86" s="26" t="str">
        <f>IF(B86="", "", IF(VLOOKUP(B86, 'Lookup Tables'!$Y$18:$AA$34, 2, FALSE)="Traffic", VLOOKUP('Lighting Inventory'!W94, 'Lookup Tables'!#REF!, 11, FALSE), VLOOKUP(B86, 'Lookup Tables'!$Y$18:$AA$34, 2, FALSE)))</f>
        <v/>
      </c>
      <c r="I86" s="26" t="str">
        <f>IF(B86="", "", CONCATENATE(D86, 'Data Export'!A86))</f>
        <v/>
      </c>
      <c r="J86" s="26" t="str">
        <f>IF(B86="", "", 'Lookup Tables'!$B$1)</f>
        <v/>
      </c>
      <c r="K86" s="26" t="str">
        <f>IF(B86="", "", 'Lighting Inventory'!B94)</f>
        <v/>
      </c>
      <c r="L86" s="26" t="str">
        <f>IF(B86="", "", 'Lighting Inventory'!C94)</f>
        <v/>
      </c>
      <c r="M86" s="26" t="str">
        <f>IF(B86="", "",'Lighting Inventory'!D94)</f>
        <v/>
      </c>
      <c r="N86" s="26" t="str">
        <f>IF(B86="", "",'Lighting Inventory'!E94)</f>
        <v/>
      </c>
      <c r="O86" s="26" t="str">
        <f>IF(B86="", "", 'Lighting Inventory'!F94)</f>
        <v/>
      </c>
      <c r="P86" s="26" t="str">
        <f>IF(B86="", "", 'Lighting Inventory'!G94)</f>
        <v/>
      </c>
      <c r="Q86" s="26" t="str">
        <f>IF(B86="", "", 'Lighting Inventory'!H94)</f>
        <v/>
      </c>
      <c r="R86" s="26" t="str">
        <f>IF(B86="", "", 'Lighting Inventory'!I94)</f>
        <v/>
      </c>
      <c r="S86" s="26" t="str">
        <f>IF(B86="", "", 'Lighting Inventory'!J94)</f>
        <v/>
      </c>
      <c r="T86" s="26" t="str">
        <f>IFERROR(IF(B86="","",VLOOKUP(S86,'Fixture Identities'!$A$7:$G$1023,5,FALSE)), "New Construction")</f>
        <v/>
      </c>
      <c r="U86" s="26" t="str">
        <f>IFERROR(IF(B86="", "", IF(K86="New Construction", "NC", IF(VLOOKUP(S86, 'Fixture Identities'!$A$7:$I$1023,3, FALSE)="T12 Linear Fluorescent", VLOOKUP(S86, 'Fixture Identities'!$A$7:$K$1012, 11, FALSE), S86))), "")</f>
        <v/>
      </c>
      <c r="V86" s="26" t="str">
        <f>IFERROR(IF(OR(B86="", U86=0), "", VLOOKUP(U86, 'Fixture Identities'!$A$7:$G$1023, 5, FALSE)), "")</f>
        <v/>
      </c>
      <c r="W86" s="26" t="str">
        <f>IF(B86="", "",'Lighting Inventory'!K94)</f>
        <v/>
      </c>
      <c r="X86" s="65" t="str">
        <f>IF(B86="", "", 'Lighting Inventory'!L94)</f>
        <v/>
      </c>
      <c r="Y86" s="26" t="str">
        <f>IF(B86="", "", IF('Lighting Inventory'!M94="", "Light Switch",'Lighting Inventory'!M94))</f>
        <v/>
      </c>
      <c r="Z86" s="26" t="str">
        <f>IF(OR(K86="Retrofit", B86=""), "", 'Lighting Inventory'!N94)</f>
        <v/>
      </c>
      <c r="AA86" s="26" t="str">
        <f>IF(OR(Z86="",B86=""), "", 'Lighting Inventory'!O94)</f>
        <v/>
      </c>
      <c r="AB86" s="26" t="str">
        <f>IF(B86="", "", 'Lighting Inventory'!P94)</f>
        <v/>
      </c>
      <c r="AC86" s="96" t="str">
        <f>IF(B86="", "", 'Lighting Inventory'!R94)</f>
        <v/>
      </c>
      <c r="AD86" s="26" t="str">
        <f>IF(B86="", "", 'Lighting Inventory'!S94)</f>
        <v/>
      </c>
      <c r="AE86" s="26" t="str">
        <f>IF(B86="", "", 'Lighting Inventory'!V94)</f>
        <v/>
      </c>
      <c r="AF86" s="26" t="str">
        <f>IF(B86="", "", 'Lighting Inventory'!W94)</f>
        <v/>
      </c>
      <c r="AG86" s="26" t="str">
        <f>IF(OR(AF86="", B86=""), "", IF(AE86="Custom", "0", VLOOKUP(AF86, 'Lookup Tables'!$AI$6:$AP$102, 8, FALSE)))</f>
        <v/>
      </c>
      <c r="AH86" s="26" t="str">
        <f>IF(B86="", "", 'Lighting Inventory'!AD94)</f>
        <v/>
      </c>
      <c r="AI86" s="26" t="str">
        <f>IF(OR('Lighting Inventory'!AK94="", B86=""), "", 'Lighting Inventory'!AK94)</f>
        <v/>
      </c>
      <c r="AJ86" s="66" t="str">
        <f>IF(B86="", "", 'Lighting Inventory'!AL94)</f>
        <v/>
      </c>
      <c r="AK86" s="65" t="str">
        <f>IF(B86="", "", 'Lighting Inventory'!AM94)</f>
        <v/>
      </c>
      <c r="AL86" s="26" t="str">
        <f>IF(B86="", "", 'Lighting Inventory'!AN94)</f>
        <v/>
      </c>
      <c r="AM86" s="26" t="str">
        <f t="shared" si="5"/>
        <v/>
      </c>
      <c r="AN86" s="26" t="str">
        <f>IF(B86="","",IF('Lighting Inventory'!AV94="","Prescribed",'Lighting Inventory'!AV94))</f>
        <v/>
      </c>
      <c r="AO86" s="66" t="str">
        <f>IF(B86="", "", 'Lighting Inventory'!AX94)</f>
        <v/>
      </c>
      <c r="AP86" s="67" t="str">
        <f>IF(B86="", "", 'Lighting Inventory'!AZ94)</f>
        <v/>
      </c>
      <c r="AQ86" s="67" t="str">
        <f>IF(B86="", "", 'Lighting Inventory'!BA94)</f>
        <v/>
      </c>
      <c r="AR86" s="67" t="str">
        <f>IF(B86="", "", 'Lighting Inventory'!BB94)</f>
        <v/>
      </c>
      <c r="AS86" s="67" t="str">
        <f>IF(B86="", "", 'Lighting Inventory'!BC94)</f>
        <v/>
      </c>
      <c r="AT86" s="67" t="str">
        <f>IF(B86="", "", 'Lighting Inventory'!BD94)</f>
        <v/>
      </c>
      <c r="AU86" s="67" t="str">
        <f>IF(B86="", "", 'Lighting Inventory'!BE94)</f>
        <v/>
      </c>
      <c r="AV86" s="67" t="str">
        <f>IF(B86="", "", 'Lighting Inventory'!BE94)</f>
        <v/>
      </c>
      <c r="AW86" s="67" t="str">
        <f>IF(B86="", "", 'Lighting Inventory'!BF94)</f>
        <v/>
      </c>
      <c r="AX86" s="67" t="str">
        <f>IF(B86="", "", 'Lighting Inventory'!BF94)</f>
        <v/>
      </c>
      <c r="AY86" s="65" t="str">
        <f t="shared" si="7"/>
        <v/>
      </c>
      <c r="AZ86" s="65" t="str">
        <f>IF(B86="", "", 'Lighting Inventory'!BJ94)</f>
        <v/>
      </c>
      <c r="BA86" s="65" t="str">
        <f>IF(B86="", "", 'Lighting Inventory'!BM94)</f>
        <v/>
      </c>
      <c r="BB86" s="65" t="str">
        <f>IF(B86="","",SUM('Lighting Inventory'!BP94:BP94))</f>
        <v/>
      </c>
      <c r="BC86" s="67" t="str">
        <f>IF(OR(AE86="", B86=""),"", 'Lighting Inventory'!GR94)</f>
        <v/>
      </c>
      <c r="BD86" s="67" t="str">
        <f>IFERROR(IF(B86="", "", 'Lighting Inventory'!AF94)*AD86," ")</f>
        <v xml:space="preserve"> </v>
      </c>
      <c r="BE86" s="67"/>
      <c r="BF86" s="67"/>
    </row>
    <row r="87" spans="1:58" x14ac:dyDescent="0.25">
      <c r="A87" s="26" t="str">
        <f>IF(B87="", "", 'Lookup Tables'!AW88)</f>
        <v/>
      </c>
      <c r="B87" s="26" t="str">
        <f>IF(OR('Lighting Inventory'!Y95="", 'Lighting Inventory'!V95="No Change"),"", 'Lighting Inventory'!Y95)</f>
        <v/>
      </c>
      <c r="C87" s="26" t="str">
        <f>IF(B87="", "", IF('Lighting Inventory'!Y95='Lookup Tables'!$Y$32, 'Lighting Inventory'!AJ95, IF(AD87=0, R87, AD87)))</f>
        <v/>
      </c>
      <c r="D87" s="26" t="str">
        <f>IF(B87="", "", 'General Information'!$F$14)</f>
        <v/>
      </c>
      <c r="E87" s="26" t="str">
        <f t="shared" si="6"/>
        <v/>
      </c>
      <c r="F87" s="26" t="str">
        <f>IF(B87="", "", CONCATENATE('General Information'!$F$9, " - ", 'General Information'!$F$14))</f>
        <v/>
      </c>
      <c r="G87" s="26" t="str">
        <f>IF(B87="", "", 'General Information'!$F$15)</f>
        <v/>
      </c>
      <c r="H87" s="26" t="str">
        <f>IF(B87="", "", IF(VLOOKUP(B87, 'Lookup Tables'!$Y$18:$AA$34, 2, FALSE)="Traffic", VLOOKUP('Lighting Inventory'!W95, 'Lookup Tables'!#REF!, 11, FALSE), VLOOKUP(B87, 'Lookup Tables'!$Y$18:$AA$34, 2, FALSE)))</f>
        <v/>
      </c>
      <c r="I87" s="26" t="str">
        <f>IF(B87="", "", CONCATENATE(D87, 'Data Export'!A87))</f>
        <v/>
      </c>
      <c r="J87" s="26" t="str">
        <f>IF(B87="", "", 'Lookup Tables'!$B$1)</f>
        <v/>
      </c>
      <c r="K87" s="26" t="str">
        <f>IF(B87="", "", 'Lighting Inventory'!B95)</f>
        <v/>
      </c>
      <c r="L87" s="26" t="str">
        <f>IF(B87="", "", 'Lighting Inventory'!C95)</f>
        <v/>
      </c>
      <c r="M87" s="26" t="str">
        <f>IF(B87="", "",'Lighting Inventory'!D95)</f>
        <v/>
      </c>
      <c r="N87" s="26" t="str">
        <f>IF(B87="", "",'Lighting Inventory'!E95)</f>
        <v/>
      </c>
      <c r="O87" s="26" t="str">
        <f>IF(B87="", "", 'Lighting Inventory'!F95)</f>
        <v/>
      </c>
      <c r="P87" s="26" t="str">
        <f>IF(B87="", "", 'Lighting Inventory'!G95)</f>
        <v/>
      </c>
      <c r="Q87" s="26" t="str">
        <f>IF(B87="", "", 'Lighting Inventory'!H95)</f>
        <v/>
      </c>
      <c r="R87" s="26" t="str">
        <f>IF(B87="", "", 'Lighting Inventory'!I95)</f>
        <v/>
      </c>
      <c r="S87" s="26" t="str">
        <f>IF(B87="", "", 'Lighting Inventory'!J95)</f>
        <v/>
      </c>
      <c r="T87" s="26" t="str">
        <f>IFERROR(IF(B87="","",VLOOKUP(S87,'Fixture Identities'!$A$7:$G$1023,5,FALSE)), "New Construction")</f>
        <v/>
      </c>
      <c r="U87" s="26" t="str">
        <f>IFERROR(IF(B87="", "", IF(K87="New Construction", "NC", IF(VLOOKUP(S87, 'Fixture Identities'!$A$7:$I$1023,3, FALSE)="T12 Linear Fluorescent", VLOOKUP(S87, 'Fixture Identities'!$A$7:$K$1012, 11, FALSE), S87))), "")</f>
        <v/>
      </c>
      <c r="V87" s="26" t="str">
        <f>IFERROR(IF(OR(B87="", U87=0), "", VLOOKUP(U87, 'Fixture Identities'!$A$7:$G$1023, 5, FALSE)), "")</f>
        <v/>
      </c>
      <c r="W87" s="26" t="str">
        <f>IF(B87="", "",'Lighting Inventory'!K95)</f>
        <v/>
      </c>
      <c r="X87" s="65" t="str">
        <f>IF(B87="", "", 'Lighting Inventory'!L95)</f>
        <v/>
      </c>
      <c r="Y87" s="26" t="str">
        <f>IF(B87="", "", IF('Lighting Inventory'!M95="", "Light Switch",'Lighting Inventory'!M95))</f>
        <v/>
      </c>
      <c r="Z87" s="26" t="str">
        <f>IF(OR(K87="Retrofit", B87=""), "", 'Lighting Inventory'!N95)</f>
        <v/>
      </c>
      <c r="AA87" s="26" t="str">
        <f>IF(OR(Z87="",B87=""), "", 'Lighting Inventory'!O95)</f>
        <v/>
      </c>
      <c r="AB87" s="26" t="str">
        <f>IF(B87="", "", 'Lighting Inventory'!P95)</f>
        <v/>
      </c>
      <c r="AC87" s="96" t="str">
        <f>IF(B87="", "", 'Lighting Inventory'!R95)</f>
        <v/>
      </c>
      <c r="AD87" s="26" t="str">
        <f>IF(B87="", "", 'Lighting Inventory'!S95)</f>
        <v/>
      </c>
      <c r="AE87" s="26" t="str">
        <f>IF(B87="", "", 'Lighting Inventory'!V95)</f>
        <v/>
      </c>
      <c r="AF87" s="26" t="str">
        <f>IF(B87="", "", 'Lighting Inventory'!W95)</f>
        <v/>
      </c>
      <c r="AG87" s="26" t="str">
        <f>IF(OR(AF87="", B87=""), "", IF(AE87="Custom", "0", VLOOKUP(AF87, 'Lookup Tables'!$AI$6:$AP$102, 8, FALSE)))</f>
        <v/>
      </c>
      <c r="AH87" s="26" t="str">
        <f>IF(B87="", "", 'Lighting Inventory'!AD95)</f>
        <v/>
      </c>
      <c r="AI87" s="26" t="str">
        <f>IF(OR('Lighting Inventory'!AK95="", B87=""), "", 'Lighting Inventory'!AK95)</f>
        <v/>
      </c>
      <c r="AJ87" s="66" t="str">
        <f>IF(B87="", "", 'Lighting Inventory'!AL95)</f>
        <v/>
      </c>
      <c r="AK87" s="65" t="str">
        <f>IF(B87="", "", 'Lighting Inventory'!AM95)</f>
        <v/>
      </c>
      <c r="AL87" s="26" t="str">
        <f>IF(B87="", "", 'Lighting Inventory'!AN95)</f>
        <v/>
      </c>
      <c r="AM87" s="26" t="str">
        <f t="shared" si="5"/>
        <v/>
      </c>
      <c r="AN87" s="26" t="str">
        <f>IF(B87="","",IF('Lighting Inventory'!AV95="","Prescribed",'Lighting Inventory'!AV95))</f>
        <v/>
      </c>
      <c r="AO87" s="66" t="str">
        <f>IF(B87="", "", 'Lighting Inventory'!AX95)</f>
        <v/>
      </c>
      <c r="AP87" s="67" t="str">
        <f>IF(B87="", "", 'Lighting Inventory'!AZ95)</f>
        <v/>
      </c>
      <c r="AQ87" s="67" t="str">
        <f>IF(B87="", "", 'Lighting Inventory'!BA95)</f>
        <v/>
      </c>
      <c r="AR87" s="67" t="str">
        <f>IF(B87="", "", 'Lighting Inventory'!BB95)</f>
        <v/>
      </c>
      <c r="AS87" s="67" t="str">
        <f>IF(B87="", "", 'Lighting Inventory'!BC95)</f>
        <v/>
      </c>
      <c r="AT87" s="67" t="str">
        <f>IF(B87="", "", 'Lighting Inventory'!BD95)</f>
        <v/>
      </c>
      <c r="AU87" s="67" t="str">
        <f>IF(B87="", "", 'Lighting Inventory'!BE95)</f>
        <v/>
      </c>
      <c r="AV87" s="67" t="str">
        <f>IF(B87="", "", 'Lighting Inventory'!BE95)</f>
        <v/>
      </c>
      <c r="AW87" s="67" t="str">
        <f>IF(B87="", "", 'Lighting Inventory'!BF95)</f>
        <v/>
      </c>
      <c r="AX87" s="67" t="str">
        <f>IF(B87="", "", 'Lighting Inventory'!BF95)</f>
        <v/>
      </c>
      <c r="AY87" s="65" t="str">
        <f t="shared" si="7"/>
        <v/>
      </c>
      <c r="AZ87" s="65" t="str">
        <f>IF(B87="", "", 'Lighting Inventory'!BJ95)</f>
        <v/>
      </c>
      <c r="BA87" s="65" t="str">
        <f>IF(B87="", "", 'Lighting Inventory'!BM95)</f>
        <v/>
      </c>
      <c r="BB87" s="65" t="str">
        <f>IF(B87="","",SUM('Lighting Inventory'!BP95:BP95))</f>
        <v/>
      </c>
      <c r="BC87" s="67" t="str">
        <f>IF(OR(AE87="", B87=""),"", 'Lighting Inventory'!GR95)</f>
        <v/>
      </c>
      <c r="BD87" s="67" t="str">
        <f>IFERROR(IF(B87="", "", 'Lighting Inventory'!AF95)*AD87," ")</f>
        <v xml:space="preserve"> </v>
      </c>
      <c r="BE87" s="67"/>
      <c r="BF87" s="67"/>
    </row>
    <row r="88" spans="1:58" x14ac:dyDescent="0.25">
      <c r="A88" s="26" t="str">
        <f>IF(B88="", "", 'Lookup Tables'!AW89)</f>
        <v/>
      </c>
      <c r="B88" s="26" t="str">
        <f>IF(OR('Lighting Inventory'!Y96="", 'Lighting Inventory'!V96="No Change"),"", 'Lighting Inventory'!Y96)</f>
        <v/>
      </c>
      <c r="C88" s="26" t="str">
        <f>IF(B88="", "", IF('Lighting Inventory'!Y96='Lookup Tables'!$Y$32, 'Lighting Inventory'!AJ96, IF(AD88=0, R88, AD88)))</f>
        <v/>
      </c>
      <c r="D88" s="26" t="str">
        <f>IF(B88="", "", 'General Information'!$F$14)</f>
        <v/>
      </c>
      <c r="E88" s="26" t="str">
        <f t="shared" si="6"/>
        <v/>
      </c>
      <c r="F88" s="26" t="str">
        <f>IF(B88="", "", CONCATENATE('General Information'!$F$9, " - ", 'General Information'!$F$14))</f>
        <v/>
      </c>
      <c r="G88" s="26" t="str">
        <f>IF(B88="", "", 'General Information'!$F$15)</f>
        <v/>
      </c>
      <c r="H88" s="26" t="str">
        <f>IF(B88="", "", IF(VLOOKUP(B88, 'Lookup Tables'!$Y$18:$AA$34, 2, FALSE)="Traffic", VLOOKUP('Lighting Inventory'!W96, 'Lookup Tables'!#REF!, 11, FALSE), VLOOKUP(B88, 'Lookup Tables'!$Y$18:$AA$34, 2, FALSE)))</f>
        <v/>
      </c>
      <c r="I88" s="26" t="str">
        <f>IF(B88="", "", CONCATENATE(D88, 'Data Export'!A88))</f>
        <v/>
      </c>
      <c r="J88" s="26" t="str">
        <f>IF(B88="", "", 'Lookup Tables'!$B$1)</f>
        <v/>
      </c>
      <c r="K88" s="26" t="str">
        <f>IF(B88="", "", 'Lighting Inventory'!B96)</f>
        <v/>
      </c>
      <c r="L88" s="26" t="str">
        <f>IF(B88="", "", 'Lighting Inventory'!C96)</f>
        <v/>
      </c>
      <c r="M88" s="26" t="str">
        <f>IF(B88="", "",'Lighting Inventory'!D96)</f>
        <v/>
      </c>
      <c r="N88" s="26" t="str">
        <f>IF(B88="", "",'Lighting Inventory'!E96)</f>
        <v/>
      </c>
      <c r="O88" s="26" t="str">
        <f>IF(B88="", "", 'Lighting Inventory'!F96)</f>
        <v/>
      </c>
      <c r="P88" s="26" t="str">
        <f>IF(B88="", "", 'Lighting Inventory'!G96)</f>
        <v/>
      </c>
      <c r="Q88" s="26" t="str">
        <f>IF(B88="", "", 'Lighting Inventory'!H96)</f>
        <v/>
      </c>
      <c r="R88" s="26" t="str">
        <f>IF(B88="", "", 'Lighting Inventory'!I96)</f>
        <v/>
      </c>
      <c r="S88" s="26" t="str">
        <f>IF(B88="", "", 'Lighting Inventory'!J96)</f>
        <v/>
      </c>
      <c r="T88" s="26" t="str">
        <f>IFERROR(IF(B88="","",VLOOKUP(S88,'Fixture Identities'!$A$7:$G$1023,5,FALSE)), "New Construction")</f>
        <v/>
      </c>
      <c r="U88" s="26" t="str">
        <f>IFERROR(IF(B88="", "", IF(K88="New Construction", "NC", IF(VLOOKUP(S88, 'Fixture Identities'!$A$7:$I$1023,3, FALSE)="T12 Linear Fluorescent", VLOOKUP(S88, 'Fixture Identities'!$A$7:$K$1012, 11, FALSE), S88))), "")</f>
        <v/>
      </c>
      <c r="V88" s="26" t="str">
        <f>IFERROR(IF(OR(B88="", U88=0), "", VLOOKUP(U88, 'Fixture Identities'!$A$7:$G$1023, 5, FALSE)), "")</f>
        <v/>
      </c>
      <c r="W88" s="26" t="str">
        <f>IF(B88="", "",'Lighting Inventory'!K96)</f>
        <v/>
      </c>
      <c r="X88" s="65" t="str">
        <f>IF(B88="", "", 'Lighting Inventory'!L96)</f>
        <v/>
      </c>
      <c r="Y88" s="26" t="str">
        <f>IF(B88="", "", IF('Lighting Inventory'!M96="", "Light Switch",'Lighting Inventory'!M96))</f>
        <v/>
      </c>
      <c r="Z88" s="26" t="str">
        <f>IF(OR(K88="Retrofit", B88=""), "", 'Lighting Inventory'!N96)</f>
        <v/>
      </c>
      <c r="AA88" s="26" t="str">
        <f>IF(OR(Z88="",B88=""), "", 'Lighting Inventory'!O96)</f>
        <v/>
      </c>
      <c r="AB88" s="26" t="str">
        <f>IF(B88="", "", 'Lighting Inventory'!P96)</f>
        <v/>
      </c>
      <c r="AC88" s="96" t="str">
        <f>IF(B88="", "", 'Lighting Inventory'!R96)</f>
        <v/>
      </c>
      <c r="AD88" s="26" t="str">
        <f>IF(B88="", "", 'Lighting Inventory'!S96)</f>
        <v/>
      </c>
      <c r="AE88" s="26" t="str">
        <f>IF(B88="", "", 'Lighting Inventory'!V96)</f>
        <v/>
      </c>
      <c r="AF88" s="26" t="str">
        <f>IF(B88="", "", 'Lighting Inventory'!W96)</f>
        <v/>
      </c>
      <c r="AG88" s="26" t="str">
        <f>IF(OR(AF88="", B88=""), "", IF(AE88="Custom", "0", VLOOKUP(AF88, 'Lookup Tables'!$AI$6:$AP$102, 8, FALSE)))</f>
        <v/>
      </c>
      <c r="AH88" s="26" t="str">
        <f>IF(B88="", "", 'Lighting Inventory'!AD96)</f>
        <v/>
      </c>
      <c r="AI88" s="26" t="str">
        <f>IF(OR('Lighting Inventory'!AK96="", B88=""), "", 'Lighting Inventory'!AK96)</f>
        <v/>
      </c>
      <c r="AJ88" s="66" t="str">
        <f>IF(B88="", "", 'Lighting Inventory'!AL96)</f>
        <v/>
      </c>
      <c r="AK88" s="65" t="str">
        <f>IF(B88="", "", 'Lighting Inventory'!AM96)</f>
        <v/>
      </c>
      <c r="AL88" s="26" t="str">
        <f>IF(B88="", "", 'Lighting Inventory'!AN96)</f>
        <v/>
      </c>
      <c r="AM88" s="26" t="str">
        <f t="shared" si="5"/>
        <v/>
      </c>
      <c r="AN88" s="26" t="str">
        <f>IF(B88="","",IF('Lighting Inventory'!AV96="","Prescribed",'Lighting Inventory'!AV96))</f>
        <v/>
      </c>
      <c r="AO88" s="66" t="str">
        <f>IF(B88="", "", 'Lighting Inventory'!AX96)</f>
        <v/>
      </c>
      <c r="AP88" s="67" t="str">
        <f>IF(B88="", "", 'Lighting Inventory'!AZ96)</f>
        <v/>
      </c>
      <c r="AQ88" s="67" t="str">
        <f>IF(B88="", "", 'Lighting Inventory'!BA96)</f>
        <v/>
      </c>
      <c r="AR88" s="67" t="str">
        <f>IF(B88="", "", 'Lighting Inventory'!BB96)</f>
        <v/>
      </c>
      <c r="AS88" s="67" t="str">
        <f>IF(B88="", "", 'Lighting Inventory'!BC96)</f>
        <v/>
      </c>
      <c r="AT88" s="67" t="str">
        <f>IF(B88="", "", 'Lighting Inventory'!BD96)</f>
        <v/>
      </c>
      <c r="AU88" s="67" t="str">
        <f>IF(B88="", "", 'Lighting Inventory'!BE96)</f>
        <v/>
      </c>
      <c r="AV88" s="67" t="str">
        <f>IF(B88="", "", 'Lighting Inventory'!BE96)</f>
        <v/>
      </c>
      <c r="AW88" s="67" t="str">
        <f>IF(B88="", "", 'Lighting Inventory'!BF96)</f>
        <v/>
      </c>
      <c r="AX88" s="67" t="str">
        <f>IF(B88="", "", 'Lighting Inventory'!BF96)</f>
        <v/>
      </c>
      <c r="AY88" s="65" t="str">
        <f t="shared" si="7"/>
        <v/>
      </c>
      <c r="AZ88" s="65" t="str">
        <f>IF(B88="", "", 'Lighting Inventory'!BJ96)</f>
        <v/>
      </c>
      <c r="BA88" s="65" t="str">
        <f>IF(B88="", "", 'Lighting Inventory'!BM96)</f>
        <v/>
      </c>
      <c r="BB88" s="65" t="str">
        <f>IF(B88="","",SUM('Lighting Inventory'!BP96:BP96))</f>
        <v/>
      </c>
      <c r="BC88" s="67" t="str">
        <f>IF(OR(AE88="", B88=""),"", 'Lighting Inventory'!GR96)</f>
        <v/>
      </c>
      <c r="BD88" s="67" t="str">
        <f>IFERROR(IF(B88="", "", 'Lighting Inventory'!AF96)*AD88," ")</f>
        <v xml:space="preserve"> </v>
      </c>
      <c r="BE88" s="67"/>
      <c r="BF88" s="67"/>
    </row>
    <row r="89" spans="1:58" x14ac:dyDescent="0.25">
      <c r="A89" s="26" t="str">
        <f>IF(B89="", "", 'Lookup Tables'!AW90)</f>
        <v/>
      </c>
      <c r="B89" s="26" t="str">
        <f>IF(OR('Lighting Inventory'!Y97="", 'Lighting Inventory'!V97="No Change"),"", 'Lighting Inventory'!Y97)</f>
        <v/>
      </c>
      <c r="C89" s="26" t="str">
        <f>IF(B89="", "", IF('Lighting Inventory'!Y97='Lookup Tables'!$Y$32, 'Lighting Inventory'!AJ97, IF(AD89=0, R89, AD89)))</f>
        <v/>
      </c>
      <c r="D89" s="26" t="str">
        <f>IF(B89="", "", 'General Information'!$F$14)</f>
        <v/>
      </c>
      <c r="E89" s="26" t="str">
        <f t="shared" si="6"/>
        <v/>
      </c>
      <c r="F89" s="26" t="str">
        <f>IF(B89="", "", CONCATENATE('General Information'!$F$9, " - ", 'General Information'!$F$14))</f>
        <v/>
      </c>
      <c r="G89" s="26" t="str">
        <f>IF(B89="", "", 'General Information'!$F$15)</f>
        <v/>
      </c>
      <c r="H89" s="26" t="str">
        <f>IF(B89="", "", IF(VLOOKUP(B89, 'Lookup Tables'!$Y$18:$AA$34, 2, FALSE)="Traffic", VLOOKUP('Lighting Inventory'!W97, 'Lookup Tables'!#REF!, 11, FALSE), VLOOKUP(B89, 'Lookup Tables'!$Y$18:$AA$34, 2, FALSE)))</f>
        <v/>
      </c>
      <c r="I89" s="26" t="str">
        <f>IF(B89="", "", CONCATENATE(D89, 'Data Export'!A89))</f>
        <v/>
      </c>
      <c r="J89" s="26" t="str">
        <f>IF(B89="", "", 'Lookup Tables'!$B$1)</f>
        <v/>
      </c>
      <c r="K89" s="26" t="str">
        <f>IF(B89="", "", 'Lighting Inventory'!B97)</f>
        <v/>
      </c>
      <c r="L89" s="26" t="str">
        <f>IF(B89="", "", 'Lighting Inventory'!C97)</f>
        <v/>
      </c>
      <c r="M89" s="26" t="str">
        <f>IF(B89="", "",'Lighting Inventory'!D97)</f>
        <v/>
      </c>
      <c r="N89" s="26" t="str">
        <f>IF(B89="", "",'Lighting Inventory'!E97)</f>
        <v/>
      </c>
      <c r="O89" s="26" t="str">
        <f>IF(B89="", "", 'Lighting Inventory'!F97)</f>
        <v/>
      </c>
      <c r="P89" s="26" t="str">
        <f>IF(B89="", "", 'Lighting Inventory'!G97)</f>
        <v/>
      </c>
      <c r="Q89" s="26" t="str">
        <f>IF(B89="", "", 'Lighting Inventory'!H97)</f>
        <v/>
      </c>
      <c r="R89" s="26" t="str">
        <f>IF(B89="", "", 'Lighting Inventory'!I97)</f>
        <v/>
      </c>
      <c r="S89" s="26" t="str">
        <f>IF(B89="", "", 'Lighting Inventory'!J97)</f>
        <v/>
      </c>
      <c r="T89" s="26" t="str">
        <f>IFERROR(IF(B89="","",VLOOKUP(S89,'Fixture Identities'!$A$7:$G$1023,5,FALSE)), "New Construction")</f>
        <v/>
      </c>
      <c r="U89" s="26" t="str">
        <f>IFERROR(IF(B89="", "", IF(K89="New Construction", "NC", IF(VLOOKUP(S89, 'Fixture Identities'!$A$7:$I$1023,3, FALSE)="T12 Linear Fluorescent", VLOOKUP(S89, 'Fixture Identities'!$A$7:$K$1012, 11, FALSE), S89))), "")</f>
        <v/>
      </c>
      <c r="V89" s="26" t="str">
        <f>IFERROR(IF(OR(B89="", U89=0), "", VLOOKUP(U89, 'Fixture Identities'!$A$7:$G$1023, 5, FALSE)), "")</f>
        <v/>
      </c>
      <c r="W89" s="26" t="str">
        <f>IF(B89="", "",'Lighting Inventory'!K97)</f>
        <v/>
      </c>
      <c r="X89" s="65" t="str">
        <f>IF(B89="", "", 'Lighting Inventory'!L97)</f>
        <v/>
      </c>
      <c r="Y89" s="26" t="str">
        <f>IF(B89="", "", IF('Lighting Inventory'!M97="", "Light Switch",'Lighting Inventory'!M97))</f>
        <v/>
      </c>
      <c r="Z89" s="26" t="str">
        <f>IF(OR(K89="Retrofit", B89=""), "", 'Lighting Inventory'!N97)</f>
        <v/>
      </c>
      <c r="AA89" s="26" t="str">
        <f>IF(OR(Z89="",B89=""), "", 'Lighting Inventory'!O97)</f>
        <v/>
      </c>
      <c r="AB89" s="26" t="str">
        <f>IF(B89="", "", 'Lighting Inventory'!P97)</f>
        <v/>
      </c>
      <c r="AC89" s="96" t="str">
        <f>IF(B89="", "", 'Lighting Inventory'!R97)</f>
        <v/>
      </c>
      <c r="AD89" s="26" t="str">
        <f>IF(B89="", "", 'Lighting Inventory'!S97)</f>
        <v/>
      </c>
      <c r="AE89" s="26" t="str">
        <f>IF(B89="", "", 'Lighting Inventory'!V97)</f>
        <v/>
      </c>
      <c r="AF89" s="26" t="str">
        <f>IF(B89="", "", 'Lighting Inventory'!W97)</f>
        <v/>
      </c>
      <c r="AG89" s="26" t="str">
        <f>IF(OR(AF89="", B89=""), "", IF(AE89="Custom", "0", VLOOKUP(AF89, 'Lookup Tables'!$AI$6:$AP$102, 8, FALSE)))</f>
        <v/>
      </c>
      <c r="AH89" s="26" t="str">
        <f>IF(B89="", "", 'Lighting Inventory'!AD97)</f>
        <v/>
      </c>
      <c r="AI89" s="26" t="str">
        <f>IF(OR('Lighting Inventory'!AK97="", B89=""), "", 'Lighting Inventory'!AK97)</f>
        <v/>
      </c>
      <c r="AJ89" s="66" t="str">
        <f>IF(B89="", "", 'Lighting Inventory'!AL97)</f>
        <v/>
      </c>
      <c r="AK89" s="65" t="str">
        <f>IF(B89="", "", 'Lighting Inventory'!AM97)</f>
        <v/>
      </c>
      <c r="AL89" s="26" t="str">
        <f>IF(B89="", "", 'Lighting Inventory'!AN97)</f>
        <v/>
      </c>
      <c r="AM89" s="26" t="str">
        <f t="shared" si="5"/>
        <v/>
      </c>
      <c r="AN89" s="26" t="str">
        <f>IF(B89="","",IF('Lighting Inventory'!AV97="","Prescribed",'Lighting Inventory'!AV97))</f>
        <v/>
      </c>
      <c r="AO89" s="66" t="str">
        <f>IF(B89="", "", 'Lighting Inventory'!AX97)</f>
        <v/>
      </c>
      <c r="AP89" s="67" t="str">
        <f>IF(B89="", "", 'Lighting Inventory'!AZ97)</f>
        <v/>
      </c>
      <c r="AQ89" s="67" t="str">
        <f>IF(B89="", "", 'Lighting Inventory'!BA97)</f>
        <v/>
      </c>
      <c r="AR89" s="67" t="str">
        <f>IF(B89="", "", 'Lighting Inventory'!BB97)</f>
        <v/>
      </c>
      <c r="AS89" s="67" t="str">
        <f>IF(B89="", "", 'Lighting Inventory'!BC97)</f>
        <v/>
      </c>
      <c r="AT89" s="67" t="str">
        <f>IF(B89="", "", 'Lighting Inventory'!BD97)</f>
        <v/>
      </c>
      <c r="AU89" s="67" t="str">
        <f>IF(B89="", "", 'Lighting Inventory'!BE97)</f>
        <v/>
      </c>
      <c r="AV89" s="67" t="str">
        <f>IF(B89="", "", 'Lighting Inventory'!BE97)</f>
        <v/>
      </c>
      <c r="AW89" s="67" t="str">
        <f>IF(B89="", "", 'Lighting Inventory'!BF97)</f>
        <v/>
      </c>
      <c r="AX89" s="67" t="str">
        <f>IF(B89="", "", 'Lighting Inventory'!BF97)</f>
        <v/>
      </c>
      <c r="AY89" s="65" t="str">
        <f t="shared" si="7"/>
        <v/>
      </c>
      <c r="AZ89" s="65" t="str">
        <f>IF(B89="", "", 'Lighting Inventory'!BJ97)</f>
        <v/>
      </c>
      <c r="BA89" s="65" t="str">
        <f>IF(B89="", "", 'Lighting Inventory'!BM97)</f>
        <v/>
      </c>
      <c r="BB89" s="65" t="str">
        <f>IF(B89="","",SUM('Lighting Inventory'!BP97:BP97))</f>
        <v/>
      </c>
      <c r="BC89" s="67" t="str">
        <f>IF(OR(AE89="", B89=""),"", 'Lighting Inventory'!GR97)</f>
        <v/>
      </c>
      <c r="BD89" s="67" t="str">
        <f>IFERROR(IF(B89="", "", 'Lighting Inventory'!AF97)*AD89," ")</f>
        <v xml:space="preserve"> </v>
      </c>
      <c r="BE89" s="67"/>
      <c r="BF89" s="67"/>
    </row>
    <row r="90" spans="1:58" x14ac:dyDescent="0.25">
      <c r="A90" s="26" t="str">
        <f>IF(B90="", "", 'Lookup Tables'!AW91)</f>
        <v/>
      </c>
      <c r="B90" s="26" t="str">
        <f>IF(OR('Lighting Inventory'!Y98="", 'Lighting Inventory'!V98="No Change"),"", 'Lighting Inventory'!Y98)</f>
        <v/>
      </c>
      <c r="C90" s="26" t="str">
        <f>IF(B90="", "", IF('Lighting Inventory'!Y98='Lookup Tables'!$Y$32, 'Lighting Inventory'!AJ98, IF(AD90=0, R90, AD90)))</f>
        <v/>
      </c>
      <c r="D90" s="26" t="str">
        <f>IF(B90="", "", 'General Information'!$F$14)</f>
        <v/>
      </c>
      <c r="E90" s="26" t="str">
        <f t="shared" si="6"/>
        <v/>
      </c>
      <c r="F90" s="26" t="str">
        <f>IF(B90="", "", CONCATENATE('General Information'!$F$9, " - ", 'General Information'!$F$14))</f>
        <v/>
      </c>
      <c r="G90" s="26" t="str">
        <f>IF(B90="", "", 'General Information'!$F$15)</f>
        <v/>
      </c>
      <c r="H90" s="26" t="str">
        <f>IF(B90="", "", IF(VLOOKUP(B90, 'Lookup Tables'!$Y$18:$AA$34, 2, FALSE)="Traffic", VLOOKUP('Lighting Inventory'!W98, 'Lookup Tables'!#REF!, 11, FALSE), VLOOKUP(B90, 'Lookup Tables'!$Y$18:$AA$34, 2, FALSE)))</f>
        <v/>
      </c>
      <c r="I90" s="26" t="str">
        <f>IF(B90="", "", CONCATENATE(D90, 'Data Export'!A90))</f>
        <v/>
      </c>
      <c r="J90" s="26" t="str">
        <f>IF(B90="", "", 'Lookup Tables'!$B$1)</f>
        <v/>
      </c>
      <c r="K90" s="26" t="str">
        <f>IF(B90="", "", 'Lighting Inventory'!B98)</f>
        <v/>
      </c>
      <c r="L90" s="26" t="str">
        <f>IF(B90="", "", 'Lighting Inventory'!C98)</f>
        <v/>
      </c>
      <c r="M90" s="26" t="str">
        <f>IF(B90="", "",'Lighting Inventory'!D98)</f>
        <v/>
      </c>
      <c r="N90" s="26" t="str">
        <f>IF(B90="", "",'Lighting Inventory'!E98)</f>
        <v/>
      </c>
      <c r="O90" s="26" t="str">
        <f>IF(B90="", "", 'Lighting Inventory'!F98)</f>
        <v/>
      </c>
      <c r="P90" s="26" t="str">
        <f>IF(B90="", "", 'Lighting Inventory'!G98)</f>
        <v/>
      </c>
      <c r="Q90" s="26" t="str">
        <f>IF(B90="", "", 'Lighting Inventory'!H98)</f>
        <v/>
      </c>
      <c r="R90" s="26" t="str">
        <f>IF(B90="", "", 'Lighting Inventory'!I98)</f>
        <v/>
      </c>
      <c r="S90" s="26" t="str">
        <f>IF(B90="", "", 'Lighting Inventory'!J98)</f>
        <v/>
      </c>
      <c r="T90" s="26" t="str">
        <f>IFERROR(IF(B90="","",VLOOKUP(S90,'Fixture Identities'!$A$7:$G$1023,5,FALSE)), "New Construction")</f>
        <v/>
      </c>
      <c r="U90" s="26" t="str">
        <f>IFERROR(IF(B90="", "", IF(K90="New Construction", "NC", IF(VLOOKUP(S90, 'Fixture Identities'!$A$7:$I$1023,3, FALSE)="T12 Linear Fluorescent", VLOOKUP(S90, 'Fixture Identities'!$A$7:$K$1012, 11, FALSE), S90))), "")</f>
        <v/>
      </c>
      <c r="V90" s="26" t="str">
        <f>IFERROR(IF(OR(B90="", U90=0), "", VLOOKUP(U90, 'Fixture Identities'!$A$7:$G$1023, 5, FALSE)), "")</f>
        <v/>
      </c>
      <c r="W90" s="26" t="str">
        <f>IF(B90="", "",'Lighting Inventory'!K98)</f>
        <v/>
      </c>
      <c r="X90" s="65" t="str">
        <f>IF(B90="", "", 'Lighting Inventory'!L98)</f>
        <v/>
      </c>
      <c r="Y90" s="26" t="str">
        <f>IF(B90="", "", IF('Lighting Inventory'!M98="", "Light Switch",'Lighting Inventory'!M98))</f>
        <v/>
      </c>
      <c r="Z90" s="26" t="str">
        <f>IF(OR(K90="Retrofit", B90=""), "", 'Lighting Inventory'!N98)</f>
        <v/>
      </c>
      <c r="AA90" s="26" t="str">
        <f>IF(OR(Z90="",B90=""), "", 'Lighting Inventory'!O98)</f>
        <v/>
      </c>
      <c r="AB90" s="26" t="str">
        <f>IF(B90="", "", 'Lighting Inventory'!P98)</f>
        <v/>
      </c>
      <c r="AC90" s="96" t="str">
        <f>IF(B90="", "", 'Lighting Inventory'!R98)</f>
        <v/>
      </c>
      <c r="AD90" s="26" t="str">
        <f>IF(B90="", "", 'Lighting Inventory'!S98)</f>
        <v/>
      </c>
      <c r="AE90" s="26" t="str">
        <f>IF(B90="", "", 'Lighting Inventory'!V98)</f>
        <v/>
      </c>
      <c r="AF90" s="26" t="str">
        <f>IF(B90="", "", 'Lighting Inventory'!W98)</f>
        <v/>
      </c>
      <c r="AG90" s="26" t="str">
        <f>IF(OR(AF90="", B90=""), "", IF(AE90="Custom", "0", VLOOKUP(AF90, 'Lookup Tables'!$AI$6:$AP$102, 8, FALSE)))</f>
        <v/>
      </c>
      <c r="AH90" s="26" t="str">
        <f>IF(B90="", "", 'Lighting Inventory'!AD98)</f>
        <v/>
      </c>
      <c r="AI90" s="26" t="str">
        <f>IF(OR('Lighting Inventory'!AK98="", B90=""), "", 'Lighting Inventory'!AK98)</f>
        <v/>
      </c>
      <c r="AJ90" s="66" t="str">
        <f>IF(B90="", "", 'Lighting Inventory'!AL98)</f>
        <v/>
      </c>
      <c r="AK90" s="65" t="str">
        <f>IF(B90="", "", 'Lighting Inventory'!AM98)</f>
        <v/>
      </c>
      <c r="AL90" s="26" t="str">
        <f>IF(B90="", "", 'Lighting Inventory'!AN98)</f>
        <v/>
      </c>
      <c r="AM90" s="26" t="str">
        <f t="shared" si="5"/>
        <v/>
      </c>
      <c r="AN90" s="26" t="str">
        <f>IF(B90="","",IF('Lighting Inventory'!AV98="","Prescribed",'Lighting Inventory'!AV98))</f>
        <v/>
      </c>
      <c r="AO90" s="66" t="str">
        <f>IF(B90="", "", 'Lighting Inventory'!AX98)</f>
        <v/>
      </c>
      <c r="AP90" s="67" t="str">
        <f>IF(B90="", "", 'Lighting Inventory'!AZ98)</f>
        <v/>
      </c>
      <c r="AQ90" s="67" t="str">
        <f>IF(B90="", "", 'Lighting Inventory'!BA98)</f>
        <v/>
      </c>
      <c r="AR90" s="67" t="str">
        <f>IF(B90="", "", 'Lighting Inventory'!BB98)</f>
        <v/>
      </c>
      <c r="AS90" s="67" t="str">
        <f>IF(B90="", "", 'Lighting Inventory'!BC98)</f>
        <v/>
      </c>
      <c r="AT90" s="67" t="str">
        <f>IF(B90="", "", 'Lighting Inventory'!BD98)</f>
        <v/>
      </c>
      <c r="AU90" s="67" t="str">
        <f>IF(B90="", "", 'Lighting Inventory'!BE98)</f>
        <v/>
      </c>
      <c r="AV90" s="67" t="str">
        <f>IF(B90="", "", 'Lighting Inventory'!BE98)</f>
        <v/>
      </c>
      <c r="AW90" s="67" t="str">
        <f>IF(B90="", "", 'Lighting Inventory'!BF98)</f>
        <v/>
      </c>
      <c r="AX90" s="67" t="str">
        <f>IF(B90="", "", 'Lighting Inventory'!BF98)</f>
        <v/>
      </c>
      <c r="AY90" s="65" t="str">
        <f t="shared" si="7"/>
        <v/>
      </c>
      <c r="AZ90" s="65" t="str">
        <f>IF(B90="", "", 'Lighting Inventory'!BJ98)</f>
        <v/>
      </c>
      <c r="BA90" s="65" t="str">
        <f>IF(B90="", "", 'Lighting Inventory'!BM98)</f>
        <v/>
      </c>
      <c r="BB90" s="65" t="str">
        <f>IF(B90="","",SUM('Lighting Inventory'!BP98:BP98))</f>
        <v/>
      </c>
      <c r="BC90" s="67" t="str">
        <f>IF(OR(AE90="", B90=""),"", 'Lighting Inventory'!GR98)</f>
        <v/>
      </c>
      <c r="BD90" s="67" t="str">
        <f>IFERROR(IF(B90="", "", 'Lighting Inventory'!AF98)*AD90," ")</f>
        <v xml:space="preserve"> </v>
      </c>
      <c r="BE90" s="67"/>
      <c r="BF90" s="67"/>
    </row>
    <row r="91" spans="1:58" x14ac:dyDescent="0.25">
      <c r="A91" s="26" t="str">
        <f>IF(B91="", "", 'Lookup Tables'!AW92)</f>
        <v/>
      </c>
      <c r="B91" s="26" t="str">
        <f>IF(OR('Lighting Inventory'!Y99="", 'Lighting Inventory'!V99="No Change"),"", 'Lighting Inventory'!Y99)</f>
        <v/>
      </c>
      <c r="C91" s="26" t="str">
        <f>IF(B91="", "", IF('Lighting Inventory'!Y99='Lookup Tables'!$Y$32, 'Lighting Inventory'!AJ99, IF(AD91=0, R91, AD91)))</f>
        <v/>
      </c>
      <c r="D91" s="26" t="str">
        <f>IF(B91="", "", 'General Information'!$F$14)</f>
        <v/>
      </c>
      <c r="E91" s="26" t="str">
        <f t="shared" si="6"/>
        <v/>
      </c>
      <c r="F91" s="26" t="str">
        <f>IF(B91="", "", CONCATENATE('General Information'!$F$9, " - ", 'General Information'!$F$14))</f>
        <v/>
      </c>
      <c r="G91" s="26" t="str">
        <f>IF(B91="", "", 'General Information'!$F$15)</f>
        <v/>
      </c>
      <c r="H91" s="26" t="str">
        <f>IF(B91="", "", IF(VLOOKUP(B91, 'Lookup Tables'!$Y$18:$AA$34, 2, FALSE)="Traffic", VLOOKUP('Lighting Inventory'!W99, 'Lookup Tables'!#REF!, 11, FALSE), VLOOKUP(B91, 'Lookup Tables'!$Y$18:$AA$34, 2, FALSE)))</f>
        <v/>
      </c>
      <c r="I91" s="26" t="str">
        <f>IF(B91="", "", CONCATENATE(D91, 'Data Export'!A91))</f>
        <v/>
      </c>
      <c r="J91" s="26" t="str">
        <f>IF(B91="", "", 'Lookup Tables'!$B$1)</f>
        <v/>
      </c>
      <c r="K91" s="26" t="str">
        <f>IF(B91="", "", 'Lighting Inventory'!B99)</f>
        <v/>
      </c>
      <c r="L91" s="26" t="str">
        <f>IF(B91="", "", 'Lighting Inventory'!C99)</f>
        <v/>
      </c>
      <c r="M91" s="26" t="str">
        <f>IF(B91="", "",'Lighting Inventory'!D99)</f>
        <v/>
      </c>
      <c r="N91" s="26" t="str">
        <f>IF(B91="", "",'Lighting Inventory'!E99)</f>
        <v/>
      </c>
      <c r="O91" s="26" t="str">
        <f>IF(B91="", "", 'Lighting Inventory'!F99)</f>
        <v/>
      </c>
      <c r="P91" s="26" t="str">
        <f>IF(B91="", "", 'Lighting Inventory'!G99)</f>
        <v/>
      </c>
      <c r="Q91" s="26" t="str">
        <f>IF(B91="", "", 'Lighting Inventory'!H99)</f>
        <v/>
      </c>
      <c r="R91" s="26" t="str">
        <f>IF(B91="", "", 'Lighting Inventory'!I99)</f>
        <v/>
      </c>
      <c r="S91" s="26" t="str">
        <f>IF(B91="", "", 'Lighting Inventory'!J99)</f>
        <v/>
      </c>
      <c r="T91" s="26" t="str">
        <f>IFERROR(IF(B91="","",VLOOKUP(S91,'Fixture Identities'!$A$7:$G$1023,5,FALSE)), "New Construction")</f>
        <v/>
      </c>
      <c r="U91" s="26" t="str">
        <f>IFERROR(IF(B91="", "", IF(K91="New Construction", "NC", IF(VLOOKUP(S91, 'Fixture Identities'!$A$7:$I$1023,3, FALSE)="T12 Linear Fluorescent", VLOOKUP(S91, 'Fixture Identities'!$A$7:$K$1012, 11, FALSE), S91))), "")</f>
        <v/>
      </c>
      <c r="V91" s="26" t="str">
        <f>IFERROR(IF(OR(B91="", U91=0), "", VLOOKUP(U91, 'Fixture Identities'!$A$7:$G$1023, 5, FALSE)), "")</f>
        <v/>
      </c>
      <c r="W91" s="26" t="str">
        <f>IF(B91="", "",'Lighting Inventory'!K99)</f>
        <v/>
      </c>
      <c r="X91" s="65" t="str">
        <f>IF(B91="", "", 'Lighting Inventory'!L99)</f>
        <v/>
      </c>
      <c r="Y91" s="26" t="str">
        <f>IF(B91="", "", IF('Lighting Inventory'!M99="", "Light Switch",'Lighting Inventory'!M99))</f>
        <v/>
      </c>
      <c r="Z91" s="26" t="str">
        <f>IF(OR(K91="Retrofit", B91=""), "", 'Lighting Inventory'!N99)</f>
        <v/>
      </c>
      <c r="AA91" s="26" t="str">
        <f>IF(OR(Z91="",B91=""), "", 'Lighting Inventory'!O99)</f>
        <v/>
      </c>
      <c r="AB91" s="26" t="str">
        <f>IF(B91="", "", 'Lighting Inventory'!P99)</f>
        <v/>
      </c>
      <c r="AC91" s="96" t="str">
        <f>IF(B91="", "", 'Lighting Inventory'!R99)</f>
        <v/>
      </c>
      <c r="AD91" s="26" t="str">
        <f>IF(B91="", "", 'Lighting Inventory'!S99)</f>
        <v/>
      </c>
      <c r="AE91" s="26" t="str">
        <f>IF(B91="", "", 'Lighting Inventory'!V99)</f>
        <v/>
      </c>
      <c r="AF91" s="26" t="str">
        <f>IF(B91="", "", 'Lighting Inventory'!W99)</f>
        <v/>
      </c>
      <c r="AG91" s="26" t="str">
        <f>IF(OR(AF91="", B91=""), "", IF(AE91="Custom", "0", VLOOKUP(AF91, 'Lookup Tables'!$AI$6:$AP$102, 8, FALSE)))</f>
        <v/>
      </c>
      <c r="AH91" s="26" t="str">
        <f>IF(B91="", "", 'Lighting Inventory'!AD99)</f>
        <v/>
      </c>
      <c r="AI91" s="26" t="str">
        <f>IF(OR('Lighting Inventory'!AK99="", B91=""), "", 'Lighting Inventory'!AK99)</f>
        <v/>
      </c>
      <c r="AJ91" s="66" t="str">
        <f>IF(B91="", "", 'Lighting Inventory'!AL99)</f>
        <v/>
      </c>
      <c r="AK91" s="65" t="str">
        <f>IF(B91="", "", 'Lighting Inventory'!AM99)</f>
        <v/>
      </c>
      <c r="AL91" s="26" t="str">
        <f>IF(B91="", "", 'Lighting Inventory'!AN99)</f>
        <v/>
      </c>
      <c r="AM91" s="26" t="str">
        <f t="shared" si="5"/>
        <v/>
      </c>
      <c r="AN91" s="26" t="str">
        <f>IF(B91="","",IF('Lighting Inventory'!AV99="","Prescribed",'Lighting Inventory'!AV99))</f>
        <v/>
      </c>
      <c r="AO91" s="66" t="str">
        <f>IF(B91="", "", 'Lighting Inventory'!AX99)</f>
        <v/>
      </c>
      <c r="AP91" s="67" t="str">
        <f>IF(B91="", "", 'Lighting Inventory'!AZ99)</f>
        <v/>
      </c>
      <c r="AQ91" s="67" t="str">
        <f>IF(B91="", "", 'Lighting Inventory'!BA99)</f>
        <v/>
      </c>
      <c r="AR91" s="67" t="str">
        <f>IF(B91="", "", 'Lighting Inventory'!BB99)</f>
        <v/>
      </c>
      <c r="AS91" s="67" t="str">
        <f>IF(B91="", "", 'Lighting Inventory'!BC99)</f>
        <v/>
      </c>
      <c r="AT91" s="67" t="str">
        <f>IF(B91="", "", 'Lighting Inventory'!BD99)</f>
        <v/>
      </c>
      <c r="AU91" s="67" t="str">
        <f>IF(B91="", "", 'Lighting Inventory'!BE99)</f>
        <v/>
      </c>
      <c r="AV91" s="67" t="str">
        <f>IF(B91="", "", 'Lighting Inventory'!BE99)</f>
        <v/>
      </c>
      <c r="AW91" s="67" t="str">
        <f>IF(B91="", "", 'Lighting Inventory'!BF99)</f>
        <v/>
      </c>
      <c r="AX91" s="67" t="str">
        <f>IF(B91="", "", 'Lighting Inventory'!BF99)</f>
        <v/>
      </c>
      <c r="AY91" s="65" t="str">
        <f t="shared" si="7"/>
        <v/>
      </c>
      <c r="AZ91" s="65" t="str">
        <f>IF(B91="", "", 'Lighting Inventory'!BJ99)</f>
        <v/>
      </c>
      <c r="BA91" s="65" t="str">
        <f>IF(B91="", "", 'Lighting Inventory'!BM99)</f>
        <v/>
      </c>
      <c r="BB91" s="65" t="str">
        <f>IF(B91="","",SUM('Lighting Inventory'!BP99:BP99))</f>
        <v/>
      </c>
      <c r="BC91" s="67" t="str">
        <f>IF(OR(AE91="", B91=""),"", 'Lighting Inventory'!GR99)</f>
        <v/>
      </c>
      <c r="BD91" s="67" t="str">
        <f>IFERROR(IF(B91="", "", 'Lighting Inventory'!AF99)*AD91," ")</f>
        <v xml:space="preserve"> </v>
      </c>
      <c r="BE91" s="67"/>
      <c r="BF91" s="67"/>
    </row>
    <row r="92" spans="1:58" x14ac:dyDescent="0.25">
      <c r="A92" s="26" t="str">
        <f>IF(B92="", "", 'Lookup Tables'!AW93)</f>
        <v/>
      </c>
      <c r="B92" s="26" t="str">
        <f>IF(OR('Lighting Inventory'!Y100="", 'Lighting Inventory'!V100="No Change"),"", 'Lighting Inventory'!Y100)</f>
        <v/>
      </c>
      <c r="C92" s="26" t="str">
        <f>IF(B92="", "", IF('Lighting Inventory'!Y100='Lookup Tables'!$Y$32, 'Lighting Inventory'!AJ100, IF(AD92=0, R92, AD92)))</f>
        <v/>
      </c>
      <c r="D92" s="26" t="str">
        <f>IF(B92="", "", 'General Information'!$F$14)</f>
        <v/>
      </c>
      <c r="E92" s="26" t="str">
        <f t="shared" si="6"/>
        <v/>
      </c>
      <c r="F92" s="26" t="str">
        <f>IF(B92="", "", CONCATENATE('General Information'!$F$9, " - ", 'General Information'!$F$14))</f>
        <v/>
      </c>
      <c r="G92" s="26" t="str">
        <f>IF(B92="", "", 'General Information'!$F$15)</f>
        <v/>
      </c>
      <c r="H92" s="26" t="str">
        <f>IF(B92="", "", IF(VLOOKUP(B92, 'Lookup Tables'!$Y$18:$AA$34, 2, FALSE)="Traffic", VLOOKUP('Lighting Inventory'!W100, 'Lookup Tables'!#REF!, 11, FALSE), VLOOKUP(B92, 'Lookup Tables'!$Y$18:$AA$34, 2, FALSE)))</f>
        <v/>
      </c>
      <c r="I92" s="26" t="str">
        <f>IF(B92="", "", CONCATENATE(D92, 'Data Export'!A92))</f>
        <v/>
      </c>
      <c r="J92" s="26" t="str">
        <f>IF(B92="", "", 'Lookup Tables'!$B$1)</f>
        <v/>
      </c>
      <c r="K92" s="26" t="str">
        <f>IF(B92="", "", 'Lighting Inventory'!B100)</f>
        <v/>
      </c>
      <c r="L92" s="26" t="str">
        <f>IF(B92="", "", 'Lighting Inventory'!C100)</f>
        <v/>
      </c>
      <c r="M92" s="26" t="str">
        <f>IF(B92="", "",'Lighting Inventory'!D100)</f>
        <v/>
      </c>
      <c r="N92" s="26" t="str">
        <f>IF(B92="", "",'Lighting Inventory'!E100)</f>
        <v/>
      </c>
      <c r="O92" s="26" t="str">
        <f>IF(B92="", "", 'Lighting Inventory'!F100)</f>
        <v/>
      </c>
      <c r="P92" s="26" t="str">
        <f>IF(B92="", "", 'Lighting Inventory'!G100)</f>
        <v/>
      </c>
      <c r="Q92" s="26" t="str">
        <f>IF(B92="", "", 'Lighting Inventory'!H100)</f>
        <v/>
      </c>
      <c r="R92" s="26" t="str">
        <f>IF(B92="", "", 'Lighting Inventory'!I100)</f>
        <v/>
      </c>
      <c r="S92" s="26" t="str">
        <f>IF(B92="", "", 'Lighting Inventory'!J100)</f>
        <v/>
      </c>
      <c r="T92" s="26" t="str">
        <f>IFERROR(IF(B92="","",VLOOKUP(S92,'Fixture Identities'!$A$7:$G$1023,5,FALSE)), "New Construction")</f>
        <v/>
      </c>
      <c r="U92" s="26" t="str">
        <f>IFERROR(IF(B92="", "", IF(K92="New Construction", "NC", IF(VLOOKUP(S92, 'Fixture Identities'!$A$7:$I$1023,3, FALSE)="T12 Linear Fluorescent", VLOOKUP(S92, 'Fixture Identities'!$A$7:$K$1012, 11, FALSE), S92))), "")</f>
        <v/>
      </c>
      <c r="V92" s="26" t="str">
        <f>IFERROR(IF(OR(B92="", U92=0), "", VLOOKUP(U92, 'Fixture Identities'!$A$7:$G$1023, 5, FALSE)), "")</f>
        <v/>
      </c>
      <c r="W92" s="26" t="str">
        <f>IF(B92="", "",'Lighting Inventory'!K100)</f>
        <v/>
      </c>
      <c r="X92" s="65" t="str">
        <f>IF(B92="", "", 'Lighting Inventory'!L100)</f>
        <v/>
      </c>
      <c r="Y92" s="26" t="str">
        <f>IF(B92="", "", IF('Lighting Inventory'!M100="", "Light Switch",'Lighting Inventory'!M100))</f>
        <v/>
      </c>
      <c r="Z92" s="26" t="str">
        <f>IF(OR(K92="Retrofit", B92=""), "", 'Lighting Inventory'!N100)</f>
        <v/>
      </c>
      <c r="AA92" s="26" t="str">
        <f>IF(OR(Z92="",B92=""), "", 'Lighting Inventory'!O100)</f>
        <v/>
      </c>
      <c r="AB92" s="26" t="str">
        <f>IF(B92="", "", 'Lighting Inventory'!P100)</f>
        <v/>
      </c>
      <c r="AC92" s="96" t="str">
        <f>IF(B92="", "", 'Lighting Inventory'!R100)</f>
        <v/>
      </c>
      <c r="AD92" s="26" t="str">
        <f>IF(B92="", "", 'Lighting Inventory'!S100)</f>
        <v/>
      </c>
      <c r="AE92" s="26" t="str">
        <f>IF(B92="", "", 'Lighting Inventory'!V100)</f>
        <v/>
      </c>
      <c r="AF92" s="26" t="str">
        <f>IF(B92="", "", 'Lighting Inventory'!W100)</f>
        <v/>
      </c>
      <c r="AG92" s="26" t="str">
        <f>IF(OR(AF92="", B92=""), "", IF(AE92="Custom", "0", VLOOKUP(AF92, 'Lookup Tables'!$AI$6:$AP$102, 8, FALSE)))</f>
        <v/>
      </c>
      <c r="AH92" s="26" t="str">
        <f>IF(B92="", "", 'Lighting Inventory'!AD100)</f>
        <v/>
      </c>
      <c r="AI92" s="26" t="str">
        <f>IF(OR('Lighting Inventory'!AK100="", B92=""), "", 'Lighting Inventory'!AK100)</f>
        <v/>
      </c>
      <c r="AJ92" s="66" t="str">
        <f>IF(B92="", "", 'Lighting Inventory'!AL100)</f>
        <v/>
      </c>
      <c r="AK92" s="65" t="str">
        <f>IF(B92="", "", 'Lighting Inventory'!AM100)</f>
        <v/>
      </c>
      <c r="AL92" s="26" t="str">
        <f>IF(B92="", "", 'Lighting Inventory'!AN100)</f>
        <v/>
      </c>
      <c r="AM92" s="26" t="str">
        <f t="shared" si="5"/>
        <v/>
      </c>
      <c r="AN92" s="26" t="str">
        <f>IF(B92="","",IF('Lighting Inventory'!AV100="","Prescribed",'Lighting Inventory'!AV100))</f>
        <v/>
      </c>
      <c r="AO92" s="66" t="str">
        <f>IF(B92="", "", 'Lighting Inventory'!AX100)</f>
        <v/>
      </c>
      <c r="AP92" s="67" t="str">
        <f>IF(B92="", "", 'Lighting Inventory'!AZ100)</f>
        <v/>
      </c>
      <c r="AQ92" s="67" t="str">
        <f>IF(B92="", "", 'Lighting Inventory'!BA100)</f>
        <v/>
      </c>
      <c r="AR92" s="67" t="str">
        <f>IF(B92="", "", 'Lighting Inventory'!BB100)</f>
        <v/>
      </c>
      <c r="AS92" s="67" t="str">
        <f>IF(B92="", "", 'Lighting Inventory'!BC100)</f>
        <v/>
      </c>
      <c r="AT92" s="67" t="str">
        <f>IF(B92="", "", 'Lighting Inventory'!BD100)</f>
        <v/>
      </c>
      <c r="AU92" s="67" t="str">
        <f>IF(B92="", "", 'Lighting Inventory'!BE100)</f>
        <v/>
      </c>
      <c r="AV92" s="67" t="str">
        <f>IF(B92="", "", 'Lighting Inventory'!BE100)</f>
        <v/>
      </c>
      <c r="AW92" s="67" t="str">
        <f>IF(B92="", "", 'Lighting Inventory'!BF100)</f>
        <v/>
      </c>
      <c r="AX92" s="67" t="str">
        <f>IF(B92="", "", 'Lighting Inventory'!BF100)</f>
        <v/>
      </c>
      <c r="AY92" s="65" t="str">
        <f t="shared" si="7"/>
        <v/>
      </c>
      <c r="AZ92" s="65" t="str">
        <f>IF(B92="", "", 'Lighting Inventory'!BJ100)</f>
        <v/>
      </c>
      <c r="BA92" s="65" t="str">
        <f>IF(B92="", "", 'Lighting Inventory'!BM100)</f>
        <v/>
      </c>
      <c r="BB92" s="65" t="str">
        <f>IF(B92="","",SUM('Lighting Inventory'!BP100:BP100))</f>
        <v/>
      </c>
      <c r="BC92" s="67" t="str">
        <f>IF(OR(AE92="", B92=""),"", 'Lighting Inventory'!GR100)</f>
        <v/>
      </c>
      <c r="BD92" s="67" t="str">
        <f>IFERROR(IF(B92="", "", 'Lighting Inventory'!AF100)*AD92," ")</f>
        <v xml:space="preserve"> </v>
      </c>
      <c r="BE92" s="67"/>
      <c r="BF92" s="67"/>
    </row>
    <row r="93" spans="1:58" x14ac:dyDescent="0.25">
      <c r="A93" s="26" t="str">
        <f>IF(B93="", "", 'Lookup Tables'!AW94)</f>
        <v/>
      </c>
      <c r="B93" s="26" t="str">
        <f>IF(OR('Lighting Inventory'!Y101="", 'Lighting Inventory'!V101="No Change"),"", 'Lighting Inventory'!Y101)</f>
        <v/>
      </c>
      <c r="C93" s="26" t="str">
        <f>IF(B93="", "", IF('Lighting Inventory'!Y101='Lookup Tables'!$Y$32, 'Lighting Inventory'!AJ101, IF(AD93=0, R93, AD93)))</f>
        <v/>
      </c>
      <c r="D93" s="26" t="str">
        <f>IF(B93="", "", 'General Information'!$F$14)</f>
        <v/>
      </c>
      <c r="E93" s="26" t="str">
        <f t="shared" si="6"/>
        <v/>
      </c>
      <c r="F93" s="26" t="str">
        <f>IF(B93="", "", CONCATENATE('General Information'!$F$9, " - ", 'General Information'!$F$14))</f>
        <v/>
      </c>
      <c r="G93" s="26" t="str">
        <f>IF(B93="", "", 'General Information'!$F$15)</f>
        <v/>
      </c>
      <c r="H93" s="26" t="str">
        <f>IF(B93="", "", IF(VLOOKUP(B93, 'Lookup Tables'!$Y$18:$AA$34, 2, FALSE)="Traffic", VLOOKUP('Lighting Inventory'!W101, 'Lookup Tables'!#REF!, 11, FALSE), VLOOKUP(B93, 'Lookup Tables'!$Y$18:$AA$34, 2, FALSE)))</f>
        <v/>
      </c>
      <c r="I93" s="26" t="str">
        <f>IF(B93="", "", CONCATENATE(D93, 'Data Export'!A93))</f>
        <v/>
      </c>
      <c r="J93" s="26" t="str">
        <f>IF(B93="", "", 'Lookup Tables'!$B$1)</f>
        <v/>
      </c>
      <c r="K93" s="26" t="str">
        <f>IF(B93="", "", 'Lighting Inventory'!B101)</f>
        <v/>
      </c>
      <c r="L93" s="26" t="str">
        <f>IF(B93="", "", 'Lighting Inventory'!C101)</f>
        <v/>
      </c>
      <c r="M93" s="26" t="str">
        <f>IF(B93="", "",'Lighting Inventory'!D101)</f>
        <v/>
      </c>
      <c r="N93" s="26" t="str">
        <f>IF(B93="", "",'Lighting Inventory'!E101)</f>
        <v/>
      </c>
      <c r="O93" s="26" t="str">
        <f>IF(B93="", "", 'Lighting Inventory'!F101)</f>
        <v/>
      </c>
      <c r="P93" s="26" t="str">
        <f>IF(B93="", "", 'Lighting Inventory'!G101)</f>
        <v/>
      </c>
      <c r="Q93" s="26" t="str">
        <f>IF(B93="", "", 'Lighting Inventory'!H101)</f>
        <v/>
      </c>
      <c r="R93" s="26" t="str">
        <f>IF(B93="", "", 'Lighting Inventory'!I101)</f>
        <v/>
      </c>
      <c r="S93" s="26" t="str">
        <f>IF(B93="", "", 'Lighting Inventory'!J101)</f>
        <v/>
      </c>
      <c r="T93" s="26" t="str">
        <f>IFERROR(IF(B93="","",VLOOKUP(S93,'Fixture Identities'!$A$7:$G$1023,5,FALSE)), "New Construction")</f>
        <v/>
      </c>
      <c r="U93" s="26" t="str">
        <f>IFERROR(IF(B93="", "", IF(K93="New Construction", "NC", IF(VLOOKUP(S93, 'Fixture Identities'!$A$7:$I$1023,3, FALSE)="T12 Linear Fluorescent", VLOOKUP(S93, 'Fixture Identities'!$A$7:$K$1012, 11, FALSE), S93))), "")</f>
        <v/>
      </c>
      <c r="V93" s="26" t="str">
        <f>IFERROR(IF(OR(B93="", U93=0), "", VLOOKUP(U93, 'Fixture Identities'!$A$7:$G$1023, 5, FALSE)), "")</f>
        <v/>
      </c>
      <c r="W93" s="26" t="str">
        <f>IF(B93="", "",'Lighting Inventory'!K101)</f>
        <v/>
      </c>
      <c r="X93" s="65" t="str">
        <f>IF(B93="", "", 'Lighting Inventory'!L101)</f>
        <v/>
      </c>
      <c r="Y93" s="26" t="str">
        <f>IF(B93="", "", IF('Lighting Inventory'!M101="", "Light Switch",'Lighting Inventory'!M101))</f>
        <v/>
      </c>
      <c r="Z93" s="26" t="str">
        <f>IF(OR(K93="Retrofit", B93=""), "", 'Lighting Inventory'!N101)</f>
        <v/>
      </c>
      <c r="AA93" s="26" t="str">
        <f>IF(OR(Z93="",B93=""), "", 'Lighting Inventory'!O101)</f>
        <v/>
      </c>
      <c r="AB93" s="26" t="str">
        <f>IF(B93="", "", 'Lighting Inventory'!P101)</f>
        <v/>
      </c>
      <c r="AC93" s="96" t="str">
        <f>IF(B93="", "", 'Lighting Inventory'!R101)</f>
        <v/>
      </c>
      <c r="AD93" s="26" t="str">
        <f>IF(B93="", "", 'Lighting Inventory'!S101)</f>
        <v/>
      </c>
      <c r="AE93" s="26" t="str">
        <f>IF(B93="", "", 'Lighting Inventory'!V101)</f>
        <v/>
      </c>
      <c r="AF93" s="26" t="str">
        <f>IF(B93="", "", 'Lighting Inventory'!W101)</f>
        <v/>
      </c>
      <c r="AG93" s="26" t="str">
        <f>IF(OR(AF93="", B93=""), "", IF(AE93="Custom", "0", VLOOKUP(AF93, 'Lookup Tables'!$AI$6:$AP$102, 8, FALSE)))</f>
        <v/>
      </c>
      <c r="AH93" s="26" t="str">
        <f>IF(B93="", "", 'Lighting Inventory'!AD101)</f>
        <v/>
      </c>
      <c r="AI93" s="26" t="str">
        <f>IF(OR('Lighting Inventory'!AK101="", B93=""), "", 'Lighting Inventory'!AK101)</f>
        <v/>
      </c>
      <c r="AJ93" s="66" t="str">
        <f>IF(B93="", "", 'Lighting Inventory'!AL101)</f>
        <v/>
      </c>
      <c r="AK93" s="65" t="str">
        <f>IF(B93="", "", 'Lighting Inventory'!AM101)</f>
        <v/>
      </c>
      <c r="AL93" s="26" t="str">
        <f>IF(B93="", "", 'Lighting Inventory'!AN101)</f>
        <v/>
      </c>
      <c r="AM93" s="26" t="str">
        <f t="shared" si="5"/>
        <v/>
      </c>
      <c r="AN93" s="26" t="str">
        <f>IF(B93="","",IF('Lighting Inventory'!AV101="","Prescribed",'Lighting Inventory'!AV101))</f>
        <v/>
      </c>
      <c r="AO93" s="66" t="str">
        <f>IF(B93="", "", 'Lighting Inventory'!AX101)</f>
        <v/>
      </c>
      <c r="AP93" s="67" t="str">
        <f>IF(B93="", "", 'Lighting Inventory'!AZ101)</f>
        <v/>
      </c>
      <c r="AQ93" s="67" t="str">
        <f>IF(B93="", "", 'Lighting Inventory'!BA101)</f>
        <v/>
      </c>
      <c r="AR93" s="67" t="str">
        <f>IF(B93="", "", 'Lighting Inventory'!BB101)</f>
        <v/>
      </c>
      <c r="AS93" s="67" t="str">
        <f>IF(B93="", "", 'Lighting Inventory'!BC101)</f>
        <v/>
      </c>
      <c r="AT93" s="67" t="str">
        <f>IF(B93="", "", 'Lighting Inventory'!BD101)</f>
        <v/>
      </c>
      <c r="AU93" s="67" t="str">
        <f>IF(B93="", "", 'Lighting Inventory'!BE101)</f>
        <v/>
      </c>
      <c r="AV93" s="67" t="str">
        <f>IF(B93="", "", 'Lighting Inventory'!BE101)</f>
        <v/>
      </c>
      <c r="AW93" s="67" t="str">
        <f>IF(B93="", "", 'Lighting Inventory'!BF101)</f>
        <v/>
      </c>
      <c r="AX93" s="67" t="str">
        <f>IF(B93="", "", 'Lighting Inventory'!BF101)</f>
        <v/>
      </c>
      <c r="AY93" s="65" t="str">
        <f t="shared" si="7"/>
        <v/>
      </c>
      <c r="AZ93" s="65" t="str">
        <f>IF(B93="", "", 'Lighting Inventory'!BJ101)</f>
        <v/>
      </c>
      <c r="BA93" s="65" t="str">
        <f>IF(B93="", "", 'Lighting Inventory'!BM101)</f>
        <v/>
      </c>
      <c r="BB93" s="65" t="str">
        <f>IF(B93="","",SUM('Lighting Inventory'!BP101:BP101))</f>
        <v/>
      </c>
      <c r="BC93" s="67" t="str">
        <f>IF(OR(AE93="", B93=""),"", 'Lighting Inventory'!GR101)</f>
        <v/>
      </c>
      <c r="BD93" s="67" t="str">
        <f>IFERROR(IF(B93="", "", 'Lighting Inventory'!AF101)*AD93," ")</f>
        <v xml:space="preserve"> </v>
      </c>
      <c r="BE93" s="67"/>
      <c r="BF93" s="67"/>
    </row>
    <row r="94" spans="1:58" x14ac:dyDescent="0.25">
      <c r="A94" s="26" t="str">
        <f>IF(B94="", "", 'Lookup Tables'!AW95)</f>
        <v/>
      </c>
      <c r="B94" s="26" t="str">
        <f>IF(OR('Lighting Inventory'!Y102="", 'Lighting Inventory'!V102="No Change"),"", 'Lighting Inventory'!Y102)</f>
        <v/>
      </c>
      <c r="C94" s="26" t="str">
        <f>IF(B94="", "", IF('Lighting Inventory'!Y102='Lookup Tables'!$Y$32, 'Lighting Inventory'!AJ102, IF(AD94=0, R94, AD94)))</f>
        <v/>
      </c>
      <c r="D94" s="26" t="str">
        <f>IF(B94="", "", 'General Information'!$F$14)</f>
        <v/>
      </c>
      <c r="E94" s="26" t="str">
        <f t="shared" si="6"/>
        <v/>
      </c>
      <c r="F94" s="26" t="str">
        <f>IF(B94="", "", CONCATENATE('General Information'!$F$9, " - ", 'General Information'!$F$14))</f>
        <v/>
      </c>
      <c r="G94" s="26" t="str">
        <f>IF(B94="", "", 'General Information'!$F$15)</f>
        <v/>
      </c>
      <c r="H94" s="26" t="str">
        <f>IF(B94="", "", IF(VLOOKUP(B94, 'Lookup Tables'!$Y$18:$AA$34, 2, FALSE)="Traffic", VLOOKUP('Lighting Inventory'!W102, 'Lookup Tables'!#REF!, 11, FALSE), VLOOKUP(B94, 'Lookup Tables'!$Y$18:$AA$34, 2, FALSE)))</f>
        <v/>
      </c>
      <c r="I94" s="26" t="str">
        <f>IF(B94="", "", CONCATENATE(D94, 'Data Export'!A94))</f>
        <v/>
      </c>
      <c r="J94" s="26" t="str">
        <f>IF(B94="", "", 'Lookup Tables'!$B$1)</f>
        <v/>
      </c>
      <c r="K94" s="26" t="str">
        <f>IF(B94="", "", 'Lighting Inventory'!B102)</f>
        <v/>
      </c>
      <c r="L94" s="26" t="str">
        <f>IF(B94="", "", 'Lighting Inventory'!C102)</f>
        <v/>
      </c>
      <c r="M94" s="26" t="str">
        <f>IF(B94="", "",'Lighting Inventory'!D102)</f>
        <v/>
      </c>
      <c r="N94" s="26" t="str">
        <f>IF(B94="", "",'Lighting Inventory'!E102)</f>
        <v/>
      </c>
      <c r="O94" s="26" t="str">
        <f>IF(B94="", "", 'Lighting Inventory'!F102)</f>
        <v/>
      </c>
      <c r="P94" s="26" t="str">
        <f>IF(B94="", "", 'Lighting Inventory'!G102)</f>
        <v/>
      </c>
      <c r="Q94" s="26" t="str">
        <f>IF(B94="", "", 'Lighting Inventory'!H102)</f>
        <v/>
      </c>
      <c r="R94" s="26" t="str">
        <f>IF(B94="", "", 'Lighting Inventory'!I102)</f>
        <v/>
      </c>
      <c r="S94" s="26" t="str">
        <f>IF(B94="", "", 'Lighting Inventory'!J102)</f>
        <v/>
      </c>
      <c r="T94" s="26" t="str">
        <f>IFERROR(IF(B94="","",VLOOKUP(S94,'Fixture Identities'!$A$7:$G$1023,5,FALSE)), "New Construction")</f>
        <v/>
      </c>
      <c r="U94" s="26" t="str">
        <f>IFERROR(IF(B94="", "", IF(K94="New Construction", "NC", IF(VLOOKUP(S94, 'Fixture Identities'!$A$7:$I$1023,3, FALSE)="T12 Linear Fluorescent", VLOOKUP(S94, 'Fixture Identities'!$A$7:$K$1012, 11, FALSE), S94))), "")</f>
        <v/>
      </c>
      <c r="V94" s="26" t="str">
        <f>IFERROR(IF(OR(B94="", U94=0), "", VLOOKUP(U94, 'Fixture Identities'!$A$7:$G$1023, 5, FALSE)), "")</f>
        <v/>
      </c>
      <c r="W94" s="26" t="str">
        <f>IF(B94="", "",'Lighting Inventory'!K102)</f>
        <v/>
      </c>
      <c r="X94" s="65" t="str">
        <f>IF(B94="", "", 'Lighting Inventory'!L102)</f>
        <v/>
      </c>
      <c r="Y94" s="26" t="str">
        <f>IF(B94="", "", IF('Lighting Inventory'!M102="", "Light Switch",'Lighting Inventory'!M102))</f>
        <v/>
      </c>
      <c r="Z94" s="26" t="str">
        <f>IF(OR(K94="Retrofit", B94=""), "", 'Lighting Inventory'!N102)</f>
        <v/>
      </c>
      <c r="AA94" s="26" t="str">
        <f>IF(OR(Z94="",B94=""), "", 'Lighting Inventory'!O102)</f>
        <v/>
      </c>
      <c r="AB94" s="26" t="str">
        <f>IF(B94="", "", 'Lighting Inventory'!P102)</f>
        <v/>
      </c>
      <c r="AC94" s="96" t="str">
        <f>IF(B94="", "", 'Lighting Inventory'!R102)</f>
        <v/>
      </c>
      <c r="AD94" s="26" t="str">
        <f>IF(B94="", "", 'Lighting Inventory'!S102)</f>
        <v/>
      </c>
      <c r="AE94" s="26" t="str">
        <f>IF(B94="", "", 'Lighting Inventory'!V102)</f>
        <v/>
      </c>
      <c r="AF94" s="26" t="str">
        <f>IF(B94="", "", 'Lighting Inventory'!W102)</f>
        <v/>
      </c>
      <c r="AG94" s="26" t="str">
        <f>IF(OR(AF94="", B94=""), "", IF(AE94="Custom", "0", VLOOKUP(AF94, 'Lookup Tables'!$AI$6:$AP$102, 8, FALSE)))</f>
        <v/>
      </c>
      <c r="AH94" s="26" t="str">
        <f>IF(B94="", "", 'Lighting Inventory'!AD102)</f>
        <v/>
      </c>
      <c r="AI94" s="26" t="str">
        <f>IF(OR('Lighting Inventory'!AK102="", B94=""), "", 'Lighting Inventory'!AK102)</f>
        <v/>
      </c>
      <c r="AJ94" s="66" t="str">
        <f>IF(B94="", "", 'Lighting Inventory'!AL102)</f>
        <v/>
      </c>
      <c r="AK94" s="65" t="str">
        <f>IF(B94="", "", 'Lighting Inventory'!AM102)</f>
        <v/>
      </c>
      <c r="AL94" s="26" t="str">
        <f>IF(B94="", "", 'Lighting Inventory'!AN102)</f>
        <v/>
      </c>
      <c r="AM94" s="26" t="str">
        <f t="shared" si="5"/>
        <v/>
      </c>
      <c r="AN94" s="26" t="str">
        <f>IF(B94="","",IF('Lighting Inventory'!AV102="","Prescribed",'Lighting Inventory'!AV102))</f>
        <v/>
      </c>
      <c r="AO94" s="66" t="str">
        <f>IF(B94="", "", 'Lighting Inventory'!AX102)</f>
        <v/>
      </c>
      <c r="AP94" s="67" t="str">
        <f>IF(B94="", "", 'Lighting Inventory'!AZ102)</f>
        <v/>
      </c>
      <c r="AQ94" s="67" t="str">
        <f>IF(B94="", "", 'Lighting Inventory'!BA102)</f>
        <v/>
      </c>
      <c r="AR94" s="67" t="str">
        <f>IF(B94="", "", 'Lighting Inventory'!BB102)</f>
        <v/>
      </c>
      <c r="AS94" s="67" t="str">
        <f>IF(B94="", "", 'Lighting Inventory'!BC102)</f>
        <v/>
      </c>
      <c r="AT94" s="67" t="str">
        <f>IF(B94="", "", 'Lighting Inventory'!BD102)</f>
        <v/>
      </c>
      <c r="AU94" s="67" t="str">
        <f>IF(B94="", "", 'Lighting Inventory'!BE102)</f>
        <v/>
      </c>
      <c r="AV94" s="67" t="str">
        <f>IF(B94="", "", 'Lighting Inventory'!BE102)</f>
        <v/>
      </c>
      <c r="AW94" s="67" t="str">
        <f>IF(B94="", "", 'Lighting Inventory'!BF102)</f>
        <v/>
      </c>
      <c r="AX94" s="67" t="str">
        <f>IF(B94="", "", 'Lighting Inventory'!BF102)</f>
        <v/>
      </c>
      <c r="AY94" s="65" t="str">
        <f t="shared" si="7"/>
        <v/>
      </c>
      <c r="AZ94" s="65" t="str">
        <f>IF(B94="", "", 'Lighting Inventory'!BJ102)</f>
        <v/>
      </c>
      <c r="BA94" s="65" t="str">
        <f>IF(B94="", "", 'Lighting Inventory'!BM102)</f>
        <v/>
      </c>
      <c r="BB94" s="65" t="str">
        <f>IF(B94="","",SUM('Lighting Inventory'!BP102:BP102))</f>
        <v/>
      </c>
      <c r="BC94" s="67" t="str">
        <f>IF(OR(AE94="", B94=""),"", 'Lighting Inventory'!GR102)</f>
        <v/>
      </c>
      <c r="BD94" s="67" t="str">
        <f>IFERROR(IF(B94="", "", 'Lighting Inventory'!AF102)*AD94," ")</f>
        <v xml:space="preserve"> </v>
      </c>
      <c r="BE94" s="67"/>
      <c r="BF94" s="67"/>
    </row>
    <row r="95" spans="1:58" x14ac:dyDescent="0.25">
      <c r="A95" s="26" t="str">
        <f>IF(B95="", "", 'Lookup Tables'!AW96)</f>
        <v/>
      </c>
      <c r="B95" s="26" t="str">
        <f>IF(OR('Lighting Inventory'!Y103="", 'Lighting Inventory'!V103="No Change"),"", 'Lighting Inventory'!Y103)</f>
        <v/>
      </c>
      <c r="C95" s="26" t="str">
        <f>IF(B95="", "", IF('Lighting Inventory'!Y103='Lookup Tables'!$Y$32, 'Lighting Inventory'!AJ103, IF(AD95=0, R95, AD95)))</f>
        <v/>
      </c>
      <c r="D95" s="26" t="str">
        <f>IF(B95="", "", 'General Information'!$F$14)</f>
        <v/>
      </c>
      <c r="E95" s="26" t="str">
        <f t="shared" si="6"/>
        <v/>
      </c>
      <c r="F95" s="26" t="str">
        <f>IF(B95="", "", CONCATENATE('General Information'!$F$9, " - ", 'General Information'!$F$14))</f>
        <v/>
      </c>
      <c r="G95" s="26" t="str">
        <f>IF(B95="", "", 'General Information'!$F$15)</f>
        <v/>
      </c>
      <c r="H95" s="26" t="str">
        <f>IF(B95="", "", IF(VLOOKUP(B95, 'Lookup Tables'!$Y$18:$AA$34, 2, FALSE)="Traffic", VLOOKUP('Lighting Inventory'!W103, 'Lookup Tables'!#REF!, 11, FALSE), VLOOKUP(B95, 'Lookup Tables'!$Y$18:$AA$34, 2, FALSE)))</f>
        <v/>
      </c>
      <c r="I95" s="26" t="str">
        <f>IF(B95="", "", CONCATENATE(D95, 'Data Export'!A95))</f>
        <v/>
      </c>
      <c r="J95" s="26" t="str">
        <f>IF(B95="", "", 'Lookup Tables'!$B$1)</f>
        <v/>
      </c>
      <c r="K95" s="26" t="str">
        <f>IF(B95="", "", 'Lighting Inventory'!B103)</f>
        <v/>
      </c>
      <c r="L95" s="26" t="str">
        <f>IF(B95="", "", 'Lighting Inventory'!C103)</f>
        <v/>
      </c>
      <c r="M95" s="26" t="str">
        <f>IF(B95="", "",'Lighting Inventory'!D103)</f>
        <v/>
      </c>
      <c r="N95" s="26" t="str">
        <f>IF(B95="", "",'Lighting Inventory'!E103)</f>
        <v/>
      </c>
      <c r="O95" s="26" t="str">
        <f>IF(B95="", "", 'Lighting Inventory'!F103)</f>
        <v/>
      </c>
      <c r="P95" s="26" t="str">
        <f>IF(B95="", "", 'Lighting Inventory'!G103)</f>
        <v/>
      </c>
      <c r="Q95" s="26" t="str">
        <f>IF(B95="", "", 'Lighting Inventory'!H103)</f>
        <v/>
      </c>
      <c r="R95" s="26" t="str">
        <f>IF(B95="", "", 'Lighting Inventory'!I103)</f>
        <v/>
      </c>
      <c r="S95" s="26" t="str">
        <f>IF(B95="", "", 'Lighting Inventory'!J103)</f>
        <v/>
      </c>
      <c r="T95" s="26" t="str">
        <f>IFERROR(IF(B95="","",VLOOKUP(S95,'Fixture Identities'!$A$7:$G$1023,5,FALSE)), "New Construction")</f>
        <v/>
      </c>
      <c r="U95" s="26" t="str">
        <f>IFERROR(IF(B95="", "", IF(K95="New Construction", "NC", IF(VLOOKUP(S95, 'Fixture Identities'!$A$7:$I$1023,3, FALSE)="T12 Linear Fluorescent", VLOOKUP(S95, 'Fixture Identities'!$A$7:$K$1012, 11, FALSE), S95))), "")</f>
        <v/>
      </c>
      <c r="V95" s="26" t="str">
        <f>IFERROR(IF(OR(B95="", U95=0), "", VLOOKUP(U95, 'Fixture Identities'!$A$7:$G$1023, 5, FALSE)), "")</f>
        <v/>
      </c>
      <c r="W95" s="26" t="str">
        <f>IF(B95="", "",'Lighting Inventory'!K103)</f>
        <v/>
      </c>
      <c r="X95" s="65" t="str">
        <f>IF(B95="", "", 'Lighting Inventory'!L103)</f>
        <v/>
      </c>
      <c r="Y95" s="26" t="str">
        <f>IF(B95="", "", IF('Lighting Inventory'!M103="", "Light Switch",'Lighting Inventory'!M103))</f>
        <v/>
      </c>
      <c r="Z95" s="26" t="str">
        <f>IF(OR(K95="Retrofit", B95=""), "", 'Lighting Inventory'!N103)</f>
        <v/>
      </c>
      <c r="AA95" s="26" t="str">
        <f>IF(OR(Z95="",B95=""), "", 'Lighting Inventory'!O103)</f>
        <v/>
      </c>
      <c r="AB95" s="26" t="str">
        <f>IF(B95="", "", 'Lighting Inventory'!P103)</f>
        <v/>
      </c>
      <c r="AC95" s="96" t="str">
        <f>IF(B95="", "", 'Lighting Inventory'!R103)</f>
        <v/>
      </c>
      <c r="AD95" s="26" t="str">
        <f>IF(B95="", "", 'Lighting Inventory'!S103)</f>
        <v/>
      </c>
      <c r="AE95" s="26" t="str">
        <f>IF(B95="", "", 'Lighting Inventory'!V103)</f>
        <v/>
      </c>
      <c r="AF95" s="26" t="str">
        <f>IF(B95="", "", 'Lighting Inventory'!W103)</f>
        <v/>
      </c>
      <c r="AG95" s="26" t="str">
        <f>IF(OR(AF95="", B95=""), "", IF(AE95="Custom", "0", VLOOKUP(AF95, 'Lookup Tables'!$AI$6:$AP$102, 8, FALSE)))</f>
        <v/>
      </c>
      <c r="AH95" s="26" t="str">
        <f>IF(B95="", "", 'Lighting Inventory'!AD103)</f>
        <v/>
      </c>
      <c r="AI95" s="26" t="str">
        <f>IF(OR('Lighting Inventory'!AK103="", B95=""), "", 'Lighting Inventory'!AK103)</f>
        <v/>
      </c>
      <c r="AJ95" s="66" t="str">
        <f>IF(B95="", "", 'Lighting Inventory'!AL103)</f>
        <v/>
      </c>
      <c r="AK95" s="65" t="str">
        <f>IF(B95="", "", 'Lighting Inventory'!AM103)</f>
        <v/>
      </c>
      <c r="AL95" s="26" t="str">
        <f>IF(B95="", "", 'Lighting Inventory'!AN103)</f>
        <v/>
      </c>
      <c r="AM95" s="26" t="str">
        <f t="shared" si="5"/>
        <v/>
      </c>
      <c r="AN95" s="26" t="str">
        <f>IF(B95="","",IF('Lighting Inventory'!AV103="","Prescribed",'Lighting Inventory'!AV103))</f>
        <v/>
      </c>
      <c r="AO95" s="66" t="str">
        <f>IF(B95="", "", 'Lighting Inventory'!AX103)</f>
        <v/>
      </c>
      <c r="AP95" s="67" t="str">
        <f>IF(B95="", "", 'Lighting Inventory'!AZ103)</f>
        <v/>
      </c>
      <c r="AQ95" s="67" t="str">
        <f>IF(B95="", "", 'Lighting Inventory'!BA103)</f>
        <v/>
      </c>
      <c r="AR95" s="67" t="str">
        <f>IF(B95="", "", 'Lighting Inventory'!BB103)</f>
        <v/>
      </c>
      <c r="AS95" s="67" t="str">
        <f>IF(B95="", "", 'Lighting Inventory'!BC103)</f>
        <v/>
      </c>
      <c r="AT95" s="67" t="str">
        <f>IF(B95="", "", 'Lighting Inventory'!BD103)</f>
        <v/>
      </c>
      <c r="AU95" s="67" t="str">
        <f>IF(B95="", "", 'Lighting Inventory'!BE103)</f>
        <v/>
      </c>
      <c r="AV95" s="67" t="str">
        <f>IF(B95="", "", 'Lighting Inventory'!BE103)</f>
        <v/>
      </c>
      <c r="AW95" s="67" t="str">
        <f>IF(B95="", "", 'Lighting Inventory'!BF103)</f>
        <v/>
      </c>
      <c r="AX95" s="67" t="str">
        <f>IF(B95="", "", 'Lighting Inventory'!BF103)</f>
        <v/>
      </c>
      <c r="AY95" s="65" t="str">
        <f t="shared" si="7"/>
        <v/>
      </c>
      <c r="AZ95" s="65" t="str">
        <f>IF(B95="", "", 'Lighting Inventory'!BJ103)</f>
        <v/>
      </c>
      <c r="BA95" s="65" t="str">
        <f>IF(B95="", "", 'Lighting Inventory'!BM103)</f>
        <v/>
      </c>
      <c r="BB95" s="65" t="str">
        <f>IF(B95="","",SUM('Lighting Inventory'!BP103:BP103))</f>
        <v/>
      </c>
      <c r="BC95" s="67" t="str">
        <f>IF(OR(AE95="", B95=""),"", 'Lighting Inventory'!GR103)</f>
        <v/>
      </c>
      <c r="BD95" s="67" t="str">
        <f>IFERROR(IF(B95="", "", 'Lighting Inventory'!AF103)*AD95," ")</f>
        <v xml:space="preserve"> </v>
      </c>
      <c r="BE95" s="67"/>
      <c r="BF95" s="67"/>
    </row>
    <row r="96" spans="1:58" x14ac:dyDescent="0.25">
      <c r="A96" s="26" t="str">
        <f>IF(B96="", "", 'Lookup Tables'!AW97)</f>
        <v/>
      </c>
      <c r="B96" s="26" t="str">
        <f>IF(OR('Lighting Inventory'!Y104="", 'Lighting Inventory'!V104="No Change"),"", 'Lighting Inventory'!Y104)</f>
        <v/>
      </c>
      <c r="C96" s="26" t="str">
        <f>IF(B96="", "", IF('Lighting Inventory'!Y104='Lookup Tables'!$Y$32, 'Lighting Inventory'!AJ104, IF(AD96=0, R96, AD96)))</f>
        <v/>
      </c>
      <c r="D96" s="26" t="str">
        <f>IF(B96="", "", 'General Information'!$F$14)</f>
        <v/>
      </c>
      <c r="E96" s="26" t="str">
        <f t="shared" si="6"/>
        <v/>
      </c>
      <c r="F96" s="26" t="str">
        <f>IF(B96="", "", CONCATENATE('General Information'!$F$9, " - ", 'General Information'!$F$14))</f>
        <v/>
      </c>
      <c r="G96" s="26" t="str">
        <f>IF(B96="", "", 'General Information'!$F$15)</f>
        <v/>
      </c>
      <c r="H96" s="26" t="str">
        <f>IF(B96="", "", IF(VLOOKUP(B96, 'Lookup Tables'!$Y$18:$AA$34, 2, FALSE)="Traffic", VLOOKUP('Lighting Inventory'!W104, 'Lookup Tables'!#REF!, 11, FALSE), VLOOKUP(B96, 'Lookup Tables'!$Y$18:$AA$34, 2, FALSE)))</f>
        <v/>
      </c>
      <c r="I96" s="26" t="str">
        <f>IF(B96="", "", CONCATENATE(D96, 'Data Export'!A96))</f>
        <v/>
      </c>
      <c r="J96" s="26" t="str">
        <f>IF(B96="", "", 'Lookup Tables'!$B$1)</f>
        <v/>
      </c>
      <c r="K96" s="26" t="str">
        <f>IF(B96="", "", 'Lighting Inventory'!B104)</f>
        <v/>
      </c>
      <c r="L96" s="26" t="str">
        <f>IF(B96="", "", 'Lighting Inventory'!C104)</f>
        <v/>
      </c>
      <c r="M96" s="26" t="str">
        <f>IF(B96="", "",'Lighting Inventory'!D104)</f>
        <v/>
      </c>
      <c r="N96" s="26" t="str">
        <f>IF(B96="", "",'Lighting Inventory'!E104)</f>
        <v/>
      </c>
      <c r="O96" s="26" t="str">
        <f>IF(B96="", "", 'Lighting Inventory'!F104)</f>
        <v/>
      </c>
      <c r="P96" s="26" t="str">
        <f>IF(B96="", "", 'Lighting Inventory'!G104)</f>
        <v/>
      </c>
      <c r="Q96" s="26" t="str">
        <f>IF(B96="", "", 'Lighting Inventory'!H104)</f>
        <v/>
      </c>
      <c r="R96" s="26" t="str">
        <f>IF(B96="", "", 'Lighting Inventory'!I104)</f>
        <v/>
      </c>
      <c r="S96" s="26" t="str">
        <f>IF(B96="", "", 'Lighting Inventory'!J104)</f>
        <v/>
      </c>
      <c r="T96" s="26" t="str">
        <f>IFERROR(IF(B96="","",VLOOKUP(S96,'Fixture Identities'!$A$7:$G$1023,5,FALSE)), "New Construction")</f>
        <v/>
      </c>
      <c r="U96" s="26" t="str">
        <f>IFERROR(IF(B96="", "", IF(K96="New Construction", "NC", IF(VLOOKUP(S96, 'Fixture Identities'!$A$7:$I$1023,3, FALSE)="T12 Linear Fluorescent", VLOOKUP(S96, 'Fixture Identities'!$A$7:$K$1012, 11, FALSE), S96))), "")</f>
        <v/>
      </c>
      <c r="V96" s="26" t="str">
        <f>IFERROR(IF(OR(B96="", U96=0), "", VLOOKUP(U96, 'Fixture Identities'!$A$7:$G$1023, 5, FALSE)), "")</f>
        <v/>
      </c>
      <c r="W96" s="26" t="str">
        <f>IF(B96="", "",'Lighting Inventory'!K104)</f>
        <v/>
      </c>
      <c r="X96" s="65" t="str">
        <f>IF(B96="", "", 'Lighting Inventory'!L104)</f>
        <v/>
      </c>
      <c r="Y96" s="26" t="str">
        <f>IF(B96="", "", IF('Lighting Inventory'!M104="", "Light Switch",'Lighting Inventory'!M104))</f>
        <v/>
      </c>
      <c r="Z96" s="26" t="str">
        <f>IF(OR(K96="Retrofit", B96=""), "", 'Lighting Inventory'!N104)</f>
        <v/>
      </c>
      <c r="AA96" s="26" t="str">
        <f>IF(OR(Z96="",B96=""), "", 'Lighting Inventory'!O104)</f>
        <v/>
      </c>
      <c r="AB96" s="26" t="str">
        <f>IF(B96="", "", 'Lighting Inventory'!P104)</f>
        <v/>
      </c>
      <c r="AC96" s="96" t="str">
        <f>IF(B96="", "", 'Lighting Inventory'!R104)</f>
        <v/>
      </c>
      <c r="AD96" s="26" t="str">
        <f>IF(B96="", "", 'Lighting Inventory'!S104)</f>
        <v/>
      </c>
      <c r="AE96" s="26" t="str">
        <f>IF(B96="", "", 'Lighting Inventory'!V104)</f>
        <v/>
      </c>
      <c r="AF96" s="26" t="str">
        <f>IF(B96="", "", 'Lighting Inventory'!W104)</f>
        <v/>
      </c>
      <c r="AG96" s="26" t="str">
        <f>IF(OR(AF96="", B96=""), "", IF(AE96="Custom", "0", VLOOKUP(AF96, 'Lookup Tables'!$AI$6:$AP$102, 8, FALSE)))</f>
        <v/>
      </c>
      <c r="AH96" s="26" t="str">
        <f>IF(B96="", "", 'Lighting Inventory'!AD104)</f>
        <v/>
      </c>
      <c r="AI96" s="26" t="str">
        <f>IF(OR('Lighting Inventory'!AK104="", B96=""), "", 'Lighting Inventory'!AK104)</f>
        <v/>
      </c>
      <c r="AJ96" s="66" t="str">
        <f>IF(B96="", "", 'Lighting Inventory'!AL104)</f>
        <v/>
      </c>
      <c r="AK96" s="65" t="str">
        <f>IF(B96="", "", 'Lighting Inventory'!AM104)</f>
        <v/>
      </c>
      <c r="AL96" s="26" t="str">
        <f>IF(B96="", "", 'Lighting Inventory'!AN104)</f>
        <v/>
      </c>
      <c r="AM96" s="26" t="str">
        <f t="shared" si="5"/>
        <v/>
      </c>
      <c r="AN96" s="26" t="str">
        <f>IF(B96="","",IF('Lighting Inventory'!AV104="","Prescribed",'Lighting Inventory'!AV104))</f>
        <v/>
      </c>
      <c r="AO96" s="66" t="str">
        <f>IF(B96="", "", 'Lighting Inventory'!AX104)</f>
        <v/>
      </c>
      <c r="AP96" s="67" t="str">
        <f>IF(B96="", "", 'Lighting Inventory'!AZ104)</f>
        <v/>
      </c>
      <c r="AQ96" s="67" t="str">
        <f>IF(B96="", "", 'Lighting Inventory'!BA104)</f>
        <v/>
      </c>
      <c r="AR96" s="67" t="str">
        <f>IF(B96="", "", 'Lighting Inventory'!BB104)</f>
        <v/>
      </c>
      <c r="AS96" s="67" t="str">
        <f>IF(B96="", "", 'Lighting Inventory'!BC104)</f>
        <v/>
      </c>
      <c r="AT96" s="67" t="str">
        <f>IF(B96="", "", 'Lighting Inventory'!BD104)</f>
        <v/>
      </c>
      <c r="AU96" s="67" t="str">
        <f>IF(B96="", "", 'Lighting Inventory'!BE104)</f>
        <v/>
      </c>
      <c r="AV96" s="67" t="str">
        <f>IF(B96="", "", 'Lighting Inventory'!BE104)</f>
        <v/>
      </c>
      <c r="AW96" s="67" t="str">
        <f>IF(B96="", "", 'Lighting Inventory'!BF104)</f>
        <v/>
      </c>
      <c r="AX96" s="67" t="str">
        <f>IF(B96="", "", 'Lighting Inventory'!BF104)</f>
        <v/>
      </c>
      <c r="AY96" s="65" t="str">
        <f t="shared" si="7"/>
        <v/>
      </c>
      <c r="AZ96" s="65" t="str">
        <f>IF(B96="", "", 'Lighting Inventory'!BJ104)</f>
        <v/>
      </c>
      <c r="BA96" s="65" t="str">
        <f>IF(B96="", "", 'Lighting Inventory'!BM104)</f>
        <v/>
      </c>
      <c r="BB96" s="65" t="str">
        <f>IF(B96="","",SUM('Lighting Inventory'!BP104:BP104))</f>
        <v/>
      </c>
      <c r="BC96" s="67" t="str">
        <f>IF(OR(AE96="", B96=""),"", 'Lighting Inventory'!GR104)</f>
        <v/>
      </c>
      <c r="BD96" s="67" t="str">
        <f>IFERROR(IF(B96="", "", 'Lighting Inventory'!AF104)*AD96," ")</f>
        <v xml:space="preserve"> </v>
      </c>
      <c r="BE96" s="67"/>
      <c r="BF96" s="67"/>
    </row>
    <row r="97" spans="1:58" x14ac:dyDescent="0.25">
      <c r="A97" s="26" t="str">
        <f>IF(B97="", "", 'Lookup Tables'!AW98)</f>
        <v/>
      </c>
      <c r="B97" s="26" t="str">
        <f>IF(OR('Lighting Inventory'!Y105="", 'Lighting Inventory'!V105="No Change"),"", 'Lighting Inventory'!Y105)</f>
        <v/>
      </c>
      <c r="C97" s="26" t="str">
        <f>IF(B97="", "", IF('Lighting Inventory'!Y105='Lookup Tables'!$Y$32, 'Lighting Inventory'!AJ105, IF(AD97=0, R97, AD97)))</f>
        <v/>
      </c>
      <c r="D97" s="26" t="str">
        <f>IF(B97="", "", 'General Information'!$F$14)</f>
        <v/>
      </c>
      <c r="E97" s="26" t="str">
        <f t="shared" si="6"/>
        <v/>
      </c>
      <c r="F97" s="26" t="str">
        <f>IF(B97="", "", CONCATENATE('General Information'!$F$9, " - ", 'General Information'!$F$14))</f>
        <v/>
      </c>
      <c r="G97" s="26" t="str">
        <f>IF(B97="", "", 'General Information'!$F$15)</f>
        <v/>
      </c>
      <c r="H97" s="26" t="str">
        <f>IF(B97="", "", IF(VLOOKUP(B97, 'Lookup Tables'!$Y$18:$AA$34, 2, FALSE)="Traffic", VLOOKUP('Lighting Inventory'!W105, 'Lookup Tables'!#REF!, 11, FALSE), VLOOKUP(B97, 'Lookup Tables'!$Y$18:$AA$34, 2, FALSE)))</f>
        <v/>
      </c>
      <c r="I97" s="26" t="str">
        <f>IF(B97="", "", CONCATENATE(D97, 'Data Export'!A97))</f>
        <v/>
      </c>
      <c r="J97" s="26" t="str">
        <f>IF(B97="", "", 'Lookup Tables'!$B$1)</f>
        <v/>
      </c>
      <c r="K97" s="26" t="str">
        <f>IF(B97="", "", 'Lighting Inventory'!B105)</f>
        <v/>
      </c>
      <c r="L97" s="26" t="str">
        <f>IF(B97="", "", 'Lighting Inventory'!C105)</f>
        <v/>
      </c>
      <c r="M97" s="26" t="str">
        <f>IF(B97="", "",'Lighting Inventory'!D105)</f>
        <v/>
      </c>
      <c r="N97" s="26" t="str">
        <f>IF(B97="", "",'Lighting Inventory'!E105)</f>
        <v/>
      </c>
      <c r="O97" s="26" t="str">
        <f>IF(B97="", "", 'Lighting Inventory'!F105)</f>
        <v/>
      </c>
      <c r="P97" s="26" t="str">
        <f>IF(B97="", "", 'Lighting Inventory'!G105)</f>
        <v/>
      </c>
      <c r="Q97" s="26" t="str">
        <f>IF(B97="", "", 'Lighting Inventory'!H105)</f>
        <v/>
      </c>
      <c r="R97" s="26" t="str">
        <f>IF(B97="", "", 'Lighting Inventory'!I105)</f>
        <v/>
      </c>
      <c r="S97" s="26" t="str">
        <f>IF(B97="", "", 'Lighting Inventory'!J105)</f>
        <v/>
      </c>
      <c r="T97" s="26" t="str">
        <f>IFERROR(IF(B97="","",VLOOKUP(S97,'Fixture Identities'!$A$7:$G$1023,5,FALSE)), "New Construction")</f>
        <v/>
      </c>
      <c r="U97" s="26" t="str">
        <f>IFERROR(IF(B97="", "", IF(K97="New Construction", "NC", IF(VLOOKUP(S97, 'Fixture Identities'!$A$7:$I$1023,3, FALSE)="T12 Linear Fluorescent", VLOOKUP(S97, 'Fixture Identities'!$A$7:$K$1012, 11, FALSE), S97))), "")</f>
        <v/>
      </c>
      <c r="V97" s="26" t="str">
        <f>IFERROR(IF(OR(B97="", U97=0), "", VLOOKUP(U97, 'Fixture Identities'!$A$7:$G$1023, 5, FALSE)), "")</f>
        <v/>
      </c>
      <c r="W97" s="26" t="str">
        <f>IF(B97="", "",'Lighting Inventory'!K105)</f>
        <v/>
      </c>
      <c r="X97" s="65" t="str">
        <f>IF(B97="", "", 'Lighting Inventory'!L105)</f>
        <v/>
      </c>
      <c r="Y97" s="26" t="str">
        <f>IF(B97="", "", IF('Lighting Inventory'!M105="", "Light Switch",'Lighting Inventory'!M105))</f>
        <v/>
      </c>
      <c r="Z97" s="26" t="str">
        <f>IF(OR(K97="Retrofit", B97=""), "", 'Lighting Inventory'!N105)</f>
        <v/>
      </c>
      <c r="AA97" s="26" t="str">
        <f>IF(OR(Z97="",B97=""), "", 'Lighting Inventory'!O105)</f>
        <v/>
      </c>
      <c r="AB97" s="26" t="str">
        <f>IF(B97="", "", 'Lighting Inventory'!P105)</f>
        <v/>
      </c>
      <c r="AC97" s="96" t="str">
        <f>IF(B97="", "", 'Lighting Inventory'!R105)</f>
        <v/>
      </c>
      <c r="AD97" s="26" t="str">
        <f>IF(B97="", "", 'Lighting Inventory'!S105)</f>
        <v/>
      </c>
      <c r="AE97" s="26" t="str">
        <f>IF(B97="", "", 'Lighting Inventory'!V105)</f>
        <v/>
      </c>
      <c r="AF97" s="26" t="str">
        <f>IF(B97="", "", 'Lighting Inventory'!W105)</f>
        <v/>
      </c>
      <c r="AG97" s="26" t="str">
        <f>IF(OR(AF97="", B97=""), "", IF(AE97="Custom", "0", VLOOKUP(AF97, 'Lookup Tables'!$AI$6:$AP$102, 8, FALSE)))</f>
        <v/>
      </c>
      <c r="AH97" s="26" t="str">
        <f>IF(B97="", "", 'Lighting Inventory'!AD105)</f>
        <v/>
      </c>
      <c r="AI97" s="26" t="str">
        <f>IF(OR('Lighting Inventory'!AK105="", B97=""), "", 'Lighting Inventory'!AK105)</f>
        <v/>
      </c>
      <c r="AJ97" s="66" t="str">
        <f>IF(B97="", "", 'Lighting Inventory'!AL105)</f>
        <v/>
      </c>
      <c r="AK97" s="65" t="str">
        <f>IF(B97="", "", 'Lighting Inventory'!AM105)</f>
        <v/>
      </c>
      <c r="AL97" s="26" t="str">
        <f>IF(B97="", "", 'Lighting Inventory'!AN105)</f>
        <v/>
      </c>
      <c r="AM97" s="26" t="str">
        <f t="shared" si="5"/>
        <v/>
      </c>
      <c r="AN97" s="26" t="str">
        <f>IF(B97="","",IF('Lighting Inventory'!AV105="","Prescribed",'Lighting Inventory'!AV105))</f>
        <v/>
      </c>
      <c r="AO97" s="66" t="str">
        <f>IF(B97="", "", 'Lighting Inventory'!AX105)</f>
        <v/>
      </c>
      <c r="AP97" s="67" t="str">
        <f>IF(B97="", "", 'Lighting Inventory'!AZ105)</f>
        <v/>
      </c>
      <c r="AQ97" s="67" t="str">
        <f>IF(B97="", "", 'Lighting Inventory'!BA105)</f>
        <v/>
      </c>
      <c r="AR97" s="67" t="str">
        <f>IF(B97="", "", 'Lighting Inventory'!BB105)</f>
        <v/>
      </c>
      <c r="AS97" s="67" t="str">
        <f>IF(B97="", "", 'Lighting Inventory'!BC105)</f>
        <v/>
      </c>
      <c r="AT97" s="67" t="str">
        <f>IF(B97="", "", 'Lighting Inventory'!BD105)</f>
        <v/>
      </c>
      <c r="AU97" s="67" t="str">
        <f>IF(B97="", "", 'Lighting Inventory'!BE105)</f>
        <v/>
      </c>
      <c r="AV97" s="67" t="str">
        <f>IF(B97="", "", 'Lighting Inventory'!BE105)</f>
        <v/>
      </c>
      <c r="AW97" s="67" t="str">
        <f>IF(B97="", "", 'Lighting Inventory'!BF105)</f>
        <v/>
      </c>
      <c r="AX97" s="67" t="str">
        <f>IF(B97="", "", 'Lighting Inventory'!BF105)</f>
        <v/>
      </c>
      <c r="AY97" s="65" t="str">
        <f t="shared" si="7"/>
        <v/>
      </c>
      <c r="AZ97" s="65" t="str">
        <f>IF(B97="", "", 'Lighting Inventory'!BJ105)</f>
        <v/>
      </c>
      <c r="BA97" s="65" t="str">
        <f>IF(B97="", "", 'Lighting Inventory'!BM105)</f>
        <v/>
      </c>
      <c r="BB97" s="65" t="str">
        <f>IF(B97="","",SUM('Lighting Inventory'!BP105:BP105))</f>
        <v/>
      </c>
      <c r="BC97" s="67" t="str">
        <f>IF(OR(AE97="", B97=""),"", 'Lighting Inventory'!GR105)</f>
        <v/>
      </c>
      <c r="BD97" s="67" t="str">
        <f>IFERROR(IF(B97="", "", 'Lighting Inventory'!AF105)*AD97," ")</f>
        <v xml:space="preserve"> </v>
      </c>
      <c r="BE97" s="67"/>
      <c r="BF97" s="67"/>
    </row>
    <row r="98" spans="1:58" x14ac:dyDescent="0.25">
      <c r="A98" s="26" t="str">
        <f>IF(B98="", "", 'Lookup Tables'!AW99)</f>
        <v/>
      </c>
      <c r="B98" s="26" t="str">
        <f>IF(OR('Lighting Inventory'!Y106="", 'Lighting Inventory'!V106="No Change"),"", 'Lighting Inventory'!Y106)</f>
        <v/>
      </c>
      <c r="C98" s="26" t="str">
        <f>IF(B98="", "", IF('Lighting Inventory'!Y106='Lookup Tables'!$Y$32, 'Lighting Inventory'!AJ106, IF(AD98=0, R98, AD98)))</f>
        <v/>
      </c>
      <c r="D98" s="26" t="str">
        <f>IF(B98="", "", 'General Information'!$F$14)</f>
        <v/>
      </c>
      <c r="E98" s="26" t="str">
        <f t="shared" si="6"/>
        <v/>
      </c>
      <c r="F98" s="26" t="str">
        <f>IF(B98="", "", CONCATENATE('General Information'!$F$9, " - ", 'General Information'!$F$14))</f>
        <v/>
      </c>
      <c r="G98" s="26" t="str">
        <f>IF(B98="", "", 'General Information'!$F$15)</f>
        <v/>
      </c>
      <c r="H98" s="26" t="str">
        <f>IF(B98="", "", IF(VLOOKUP(B98, 'Lookup Tables'!$Y$18:$AA$34, 2, FALSE)="Traffic", VLOOKUP('Lighting Inventory'!W106, 'Lookup Tables'!#REF!, 11, FALSE), VLOOKUP(B98, 'Lookup Tables'!$Y$18:$AA$34, 2, FALSE)))</f>
        <v/>
      </c>
      <c r="I98" s="26" t="str">
        <f>IF(B98="", "", CONCATENATE(D98, 'Data Export'!A98))</f>
        <v/>
      </c>
      <c r="J98" s="26" t="str">
        <f>IF(B98="", "", 'Lookup Tables'!$B$1)</f>
        <v/>
      </c>
      <c r="K98" s="26" t="str">
        <f>IF(B98="", "", 'Lighting Inventory'!B106)</f>
        <v/>
      </c>
      <c r="L98" s="26" t="str">
        <f>IF(B98="", "", 'Lighting Inventory'!C106)</f>
        <v/>
      </c>
      <c r="M98" s="26" t="str">
        <f>IF(B98="", "",'Lighting Inventory'!D106)</f>
        <v/>
      </c>
      <c r="N98" s="26" t="str">
        <f>IF(B98="", "",'Lighting Inventory'!E106)</f>
        <v/>
      </c>
      <c r="O98" s="26" t="str">
        <f>IF(B98="", "", 'Lighting Inventory'!F106)</f>
        <v/>
      </c>
      <c r="P98" s="26" t="str">
        <f>IF(B98="", "", 'Lighting Inventory'!G106)</f>
        <v/>
      </c>
      <c r="Q98" s="26" t="str">
        <f>IF(B98="", "", 'Lighting Inventory'!H106)</f>
        <v/>
      </c>
      <c r="R98" s="26" t="str">
        <f>IF(B98="", "", 'Lighting Inventory'!I106)</f>
        <v/>
      </c>
      <c r="S98" s="26" t="str">
        <f>IF(B98="", "", 'Lighting Inventory'!J106)</f>
        <v/>
      </c>
      <c r="T98" s="26" t="str">
        <f>IFERROR(IF(B98="","",VLOOKUP(S98,'Fixture Identities'!$A$7:$G$1023,5,FALSE)), "New Construction")</f>
        <v/>
      </c>
      <c r="U98" s="26" t="str">
        <f>IFERROR(IF(B98="", "", IF(K98="New Construction", "NC", IF(VLOOKUP(S98, 'Fixture Identities'!$A$7:$I$1023,3, FALSE)="T12 Linear Fluorescent", VLOOKUP(S98, 'Fixture Identities'!$A$7:$K$1012, 11, FALSE), S98))), "")</f>
        <v/>
      </c>
      <c r="V98" s="26" t="str">
        <f>IFERROR(IF(OR(B98="", U98=0), "", VLOOKUP(U98, 'Fixture Identities'!$A$7:$G$1023, 5, FALSE)), "")</f>
        <v/>
      </c>
      <c r="W98" s="26" t="str">
        <f>IF(B98="", "",'Lighting Inventory'!K106)</f>
        <v/>
      </c>
      <c r="X98" s="65" t="str">
        <f>IF(B98="", "", 'Lighting Inventory'!L106)</f>
        <v/>
      </c>
      <c r="Y98" s="26" t="str">
        <f>IF(B98="", "", IF('Lighting Inventory'!M106="", "Light Switch",'Lighting Inventory'!M106))</f>
        <v/>
      </c>
      <c r="Z98" s="26" t="str">
        <f>IF(OR(K98="Retrofit", B98=""), "", 'Lighting Inventory'!N106)</f>
        <v/>
      </c>
      <c r="AA98" s="26" t="str">
        <f>IF(OR(Z98="",B98=""), "", 'Lighting Inventory'!O106)</f>
        <v/>
      </c>
      <c r="AB98" s="26" t="str">
        <f>IF(B98="", "", 'Lighting Inventory'!P106)</f>
        <v/>
      </c>
      <c r="AC98" s="96" t="str">
        <f>IF(B98="", "", 'Lighting Inventory'!R106)</f>
        <v/>
      </c>
      <c r="AD98" s="26" t="str">
        <f>IF(B98="", "", 'Lighting Inventory'!S106)</f>
        <v/>
      </c>
      <c r="AE98" s="26" t="str">
        <f>IF(B98="", "", 'Lighting Inventory'!V106)</f>
        <v/>
      </c>
      <c r="AF98" s="26" t="str">
        <f>IF(B98="", "", 'Lighting Inventory'!W106)</f>
        <v/>
      </c>
      <c r="AG98" s="26" t="str">
        <f>IF(OR(AF98="", B98=""), "", IF(AE98="Custom", "0", VLOOKUP(AF98, 'Lookup Tables'!$AI$6:$AP$102, 8, FALSE)))</f>
        <v/>
      </c>
      <c r="AH98" s="26" t="str">
        <f>IF(B98="", "", 'Lighting Inventory'!AD106)</f>
        <v/>
      </c>
      <c r="AI98" s="26" t="str">
        <f>IF(OR('Lighting Inventory'!AK106="", B98=""), "", 'Lighting Inventory'!AK106)</f>
        <v/>
      </c>
      <c r="AJ98" s="66" t="str">
        <f>IF(B98="", "", 'Lighting Inventory'!AL106)</f>
        <v/>
      </c>
      <c r="AK98" s="65" t="str">
        <f>IF(B98="", "", 'Lighting Inventory'!AM106)</f>
        <v/>
      </c>
      <c r="AL98" s="26" t="str">
        <f>IF(B98="", "", 'Lighting Inventory'!AN106)</f>
        <v/>
      </c>
      <c r="AM98" s="26" t="str">
        <f t="shared" si="5"/>
        <v/>
      </c>
      <c r="AN98" s="26" t="str">
        <f>IF(B98="","",IF('Lighting Inventory'!AV106="","Prescribed",'Lighting Inventory'!AV106))</f>
        <v/>
      </c>
      <c r="AO98" s="66" t="str">
        <f>IF(B98="", "", 'Lighting Inventory'!AX106)</f>
        <v/>
      </c>
      <c r="AP98" s="67" t="str">
        <f>IF(B98="", "", 'Lighting Inventory'!AZ106)</f>
        <v/>
      </c>
      <c r="AQ98" s="67" t="str">
        <f>IF(B98="", "", 'Lighting Inventory'!BA106)</f>
        <v/>
      </c>
      <c r="AR98" s="67" t="str">
        <f>IF(B98="", "", 'Lighting Inventory'!BB106)</f>
        <v/>
      </c>
      <c r="AS98" s="67" t="str">
        <f>IF(B98="", "", 'Lighting Inventory'!BC106)</f>
        <v/>
      </c>
      <c r="AT98" s="67" t="str">
        <f>IF(B98="", "", 'Lighting Inventory'!BD106)</f>
        <v/>
      </c>
      <c r="AU98" s="67" t="str">
        <f>IF(B98="", "", 'Lighting Inventory'!BE106)</f>
        <v/>
      </c>
      <c r="AV98" s="67" t="str">
        <f>IF(B98="", "", 'Lighting Inventory'!BE106)</f>
        <v/>
      </c>
      <c r="AW98" s="67" t="str">
        <f>IF(B98="", "", 'Lighting Inventory'!BF106)</f>
        <v/>
      </c>
      <c r="AX98" s="67" t="str">
        <f>IF(B98="", "", 'Lighting Inventory'!BF106)</f>
        <v/>
      </c>
      <c r="AY98" s="65" t="str">
        <f t="shared" si="7"/>
        <v/>
      </c>
      <c r="AZ98" s="65" t="str">
        <f>IF(B98="", "", 'Lighting Inventory'!BJ106)</f>
        <v/>
      </c>
      <c r="BA98" s="65" t="str">
        <f>IF(B98="", "", 'Lighting Inventory'!BM106)</f>
        <v/>
      </c>
      <c r="BB98" s="65" t="str">
        <f>IF(B98="","",SUM('Lighting Inventory'!BP106:BP106))</f>
        <v/>
      </c>
      <c r="BC98" s="67" t="str">
        <f>IF(OR(AE98="", B98=""),"", 'Lighting Inventory'!GR106)</f>
        <v/>
      </c>
      <c r="BD98" s="67" t="str">
        <f>IFERROR(IF(B98="", "", 'Lighting Inventory'!AF106)*AD98," ")</f>
        <v xml:space="preserve"> </v>
      </c>
      <c r="BE98" s="67"/>
      <c r="BF98" s="67"/>
    </row>
    <row r="99" spans="1:58" x14ac:dyDescent="0.25">
      <c r="A99" s="26" t="str">
        <f>IF(B99="", "", 'Lookup Tables'!AW100)</f>
        <v/>
      </c>
      <c r="B99" s="26" t="str">
        <f>IF(OR('Lighting Inventory'!Y107="", 'Lighting Inventory'!V107="No Change"),"", 'Lighting Inventory'!Y107)</f>
        <v/>
      </c>
      <c r="C99" s="26" t="str">
        <f>IF(B99="", "", IF('Lighting Inventory'!Y107='Lookup Tables'!$Y$32, 'Lighting Inventory'!AJ107, IF(AD99=0, R99, AD99)))</f>
        <v/>
      </c>
      <c r="D99" s="26" t="str">
        <f>IF(B99="", "", 'General Information'!$F$14)</f>
        <v/>
      </c>
      <c r="E99" s="26" t="str">
        <f t="shared" si="6"/>
        <v/>
      </c>
      <c r="F99" s="26" t="str">
        <f>IF(B99="", "", CONCATENATE('General Information'!$F$9, " - ", 'General Information'!$F$14))</f>
        <v/>
      </c>
      <c r="G99" s="26" t="str">
        <f>IF(B99="", "", 'General Information'!$F$15)</f>
        <v/>
      </c>
      <c r="H99" s="26" t="str">
        <f>IF(B99="", "", IF(VLOOKUP(B99, 'Lookup Tables'!$Y$18:$AA$34, 2, FALSE)="Traffic", VLOOKUP('Lighting Inventory'!W107, 'Lookup Tables'!#REF!, 11, FALSE), VLOOKUP(B99, 'Lookup Tables'!$Y$18:$AA$34, 2, FALSE)))</f>
        <v/>
      </c>
      <c r="I99" s="26" t="str">
        <f>IF(B99="", "", CONCATENATE(D99, 'Data Export'!A99))</f>
        <v/>
      </c>
      <c r="J99" s="26" t="str">
        <f>IF(B99="", "", 'Lookup Tables'!$B$1)</f>
        <v/>
      </c>
      <c r="K99" s="26" t="str">
        <f>IF(B99="", "", 'Lighting Inventory'!B107)</f>
        <v/>
      </c>
      <c r="L99" s="26" t="str">
        <f>IF(B99="", "", 'Lighting Inventory'!C107)</f>
        <v/>
      </c>
      <c r="M99" s="26" t="str">
        <f>IF(B99="", "",'Lighting Inventory'!D107)</f>
        <v/>
      </c>
      <c r="N99" s="26" t="str">
        <f>IF(B99="", "",'Lighting Inventory'!E107)</f>
        <v/>
      </c>
      <c r="O99" s="26" t="str">
        <f>IF(B99="", "", 'Lighting Inventory'!F107)</f>
        <v/>
      </c>
      <c r="P99" s="26" t="str">
        <f>IF(B99="", "", 'Lighting Inventory'!G107)</f>
        <v/>
      </c>
      <c r="Q99" s="26" t="str">
        <f>IF(B99="", "", 'Lighting Inventory'!H107)</f>
        <v/>
      </c>
      <c r="R99" s="26" t="str">
        <f>IF(B99="", "", 'Lighting Inventory'!I107)</f>
        <v/>
      </c>
      <c r="S99" s="26" t="str">
        <f>IF(B99="", "", 'Lighting Inventory'!J107)</f>
        <v/>
      </c>
      <c r="T99" s="26" t="str">
        <f>IFERROR(IF(B99="","",VLOOKUP(S99,'Fixture Identities'!$A$7:$G$1023,5,FALSE)), "New Construction")</f>
        <v/>
      </c>
      <c r="U99" s="26" t="str">
        <f>IFERROR(IF(B99="", "", IF(K99="New Construction", "NC", IF(VLOOKUP(S99, 'Fixture Identities'!$A$7:$I$1023,3, FALSE)="T12 Linear Fluorescent", VLOOKUP(S99, 'Fixture Identities'!$A$7:$K$1012, 11, FALSE), S99))), "")</f>
        <v/>
      </c>
      <c r="V99" s="26" t="str">
        <f>IFERROR(IF(OR(B99="", U99=0), "", VLOOKUP(U99, 'Fixture Identities'!$A$7:$G$1023, 5, FALSE)), "")</f>
        <v/>
      </c>
      <c r="W99" s="26" t="str">
        <f>IF(B99="", "",'Lighting Inventory'!K107)</f>
        <v/>
      </c>
      <c r="X99" s="65" t="str">
        <f>IF(B99="", "", 'Lighting Inventory'!L107)</f>
        <v/>
      </c>
      <c r="Y99" s="26" t="str">
        <f>IF(B99="", "", IF('Lighting Inventory'!M107="", "Light Switch",'Lighting Inventory'!M107))</f>
        <v/>
      </c>
      <c r="Z99" s="26" t="str">
        <f>IF(OR(K99="Retrofit", B99=""), "", 'Lighting Inventory'!N107)</f>
        <v/>
      </c>
      <c r="AA99" s="26" t="str">
        <f>IF(OR(Z99="",B99=""), "", 'Lighting Inventory'!O107)</f>
        <v/>
      </c>
      <c r="AB99" s="26" t="str">
        <f>IF(B99="", "", 'Lighting Inventory'!P107)</f>
        <v/>
      </c>
      <c r="AC99" s="96" t="str">
        <f>IF(B99="", "", 'Lighting Inventory'!R107)</f>
        <v/>
      </c>
      <c r="AD99" s="26" t="str">
        <f>IF(B99="", "", 'Lighting Inventory'!S107)</f>
        <v/>
      </c>
      <c r="AE99" s="26" t="str">
        <f>IF(B99="", "", 'Lighting Inventory'!V107)</f>
        <v/>
      </c>
      <c r="AF99" s="26" t="str">
        <f>IF(B99="", "", 'Lighting Inventory'!W107)</f>
        <v/>
      </c>
      <c r="AG99" s="26" t="str">
        <f>IF(OR(AF99="", B99=""), "", IF(AE99="Custom", "0", VLOOKUP(AF99, 'Lookup Tables'!$AI$6:$AP$102, 8, FALSE)))</f>
        <v/>
      </c>
      <c r="AH99" s="26" t="str">
        <f>IF(B99="", "", 'Lighting Inventory'!AD107)</f>
        <v/>
      </c>
      <c r="AI99" s="26" t="str">
        <f>IF(OR('Lighting Inventory'!AK107="", B99=""), "", 'Lighting Inventory'!AK107)</f>
        <v/>
      </c>
      <c r="AJ99" s="66" t="str">
        <f>IF(B99="", "", 'Lighting Inventory'!AL107)</f>
        <v/>
      </c>
      <c r="AK99" s="65" t="str">
        <f>IF(B99="", "", 'Lighting Inventory'!AM107)</f>
        <v/>
      </c>
      <c r="AL99" s="26" t="str">
        <f>IF(B99="", "", 'Lighting Inventory'!AN107)</f>
        <v/>
      </c>
      <c r="AM99" s="26" t="str">
        <f t="shared" si="5"/>
        <v/>
      </c>
      <c r="AN99" s="26" t="str">
        <f>IF(B99="","",IF('Lighting Inventory'!AV107="","Prescribed",'Lighting Inventory'!AV107))</f>
        <v/>
      </c>
      <c r="AO99" s="66" t="str">
        <f>IF(B99="", "", 'Lighting Inventory'!AX107)</f>
        <v/>
      </c>
      <c r="AP99" s="67" t="str">
        <f>IF(B99="", "", 'Lighting Inventory'!AZ107)</f>
        <v/>
      </c>
      <c r="AQ99" s="67" t="str">
        <f>IF(B99="", "", 'Lighting Inventory'!BA107)</f>
        <v/>
      </c>
      <c r="AR99" s="67" t="str">
        <f>IF(B99="", "", 'Lighting Inventory'!BB107)</f>
        <v/>
      </c>
      <c r="AS99" s="67" t="str">
        <f>IF(B99="", "", 'Lighting Inventory'!BC107)</f>
        <v/>
      </c>
      <c r="AT99" s="67" t="str">
        <f>IF(B99="", "", 'Lighting Inventory'!BD107)</f>
        <v/>
      </c>
      <c r="AU99" s="67" t="str">
        <f>IF(B99="", "", 'Lighting Inventory'!BE107)</f>
        <v/>
      </c>
      <c r="AV99" s="67" t="str">
        <f>IF(B99="", "", 'Lighting Inventory'!BE107)</f>
        <v/>
      </c>
      <c r="AW99" s="67" t="str">
        <f>IF(B99="", "", 'Lighting Inventory'!BF107)</f>
        <v/>
      </c>
      <c r="AX99" s="67" t="str">
        <f>IF(B99="", "", 'Lighting Inventory'!BF107)</f>
        <v/>
      </c>
      <c r="AY99" s="65" t="str">
        <f t="shared" si="7"/>
        <v/>
      </c>
      <c r="AZ99" s="65" t="str">
        <f>IF(B99="", "", 'Lighting Inventory'!BJ107)</f>
        <v/>
      </c>
      <c r="BA99" s="65" t="str">
        <f>IF(B99="", "", 'Lighting Inventory'!BM107)</f>
        <v/>
      </c>
      <c r="BB99" s="65" t="str">
        <f>IF(B99="","",SUM('Lighting Inventory'!BP107:BP107))</f>
        <v/>
      </c>
      <c r="BC99" s="67" t="str">
        <f>IF(OR(AE99="", B99=""),"", 'Lighting Inventory'!GR107)</f>
        <v/>
      </c>
      <c r="BD99" s="67" t="str">
        <f>IFERROR(IF(B99="", "", 'Lighting Inventory'!AF107)*AD99," ")</f>
        <v xml:space="preserve"> </v>
      </c>
      <c r="BE99" s="67"/>
      <c r="BF99" s="67"/>
    </row>
    <row r="100" spans="1:58" x14ac:dyDescent="0.25">
      <c r="A100" s="26" t="str">
        <f>IF(B100="", "", 'Lookup Tables'!AW101)</f>
        <v/>
      </c>
      <c r="B100" s="26" t="str">
        <f>IF(OR('Lighting Inventory'!Y108="", 'Lighting Inventory'!V108="No Change"),"", 'Lighting Inventory'!Y108)</f>
        <v/>
      </c>
      <c r="C100" s="26" t="str">
        <f>IF(B100="", "", IF('Lighting Inventory'!Y108='Lookup Tables'!$Y$32, 'Lighting Inventory'!AJ108, IF(AD100=0, R100, AD100)))</f>
        <v/>
      </c>
      <c r="D100" s="26" t="str">
        <f>IF(B100="", "", 'General Information'!$F$14)</f>
        <v/>
      </c>
      <c r="E100" s="26" t="str">
        <f t="shared" si="6"/>
        <v/>
      </c>
      <c r="F100" s="26" t="str">
        <f>IF(B100="", "", CONCATENATE('General Information'!$F$9, " - ", 'General Information'!$F$14))</f>
        <v/>
      </c>
      <c r="G100" s="26" t="str">
        <f>IF(B100="", "", 'General Information'!$F$15)</f>
        <v/>
      </c>
      <c r="H100" s="26" t="str">
        <f>IF(B100="", "", IF(VLOOKUP(B100, 'Lookup Tables'!$Y$18:$AA$34, 2, FALSE)="Traffic", VLOOKUP('Lighting Inventory'!W108, 'Lookup Tables'!#REF!, 11, FALSE), VLOOKUP(B100, 'Lookup Tables'!$Y$18:$AA$34, 2, FALSE)))</f>
        <v/>
      </c>
      <c r="I100" s="26" t="str">
        <f>IF(B100="", "", CONCATENATE(D100, 'Data Export'!A100))</f>
        <v/>
      </c>
      <c r="J100" s="26" t="str">
        <f>IF(B100="", "", 'Lookup Tables'!$B$1)</f>
        <v/>
      </c>
      <c r="K100" s="26" t="str">
        <f>IF(B100="", "", 'Lighting Inventory'!B108)</f>
        <v/>
      </c>
      <c r="L100" s="26" t="str">
        <f>IF(B100="", "", 'Lighting Inventory'!C108)</f>
        <v/>
      </c>
      <c r="M100" s="26" t="str">
        <f>IF(B100="", "",'Lighting Inventory'!D108)</f>
        <v/>
      </c>
      <c r="N100" s="26" t="str">
        <f>IF(B100="", "",'Lighting Inventory'!E108)</f>
        <v/>
      </c>
      <c r="O100" s="26" t="str">
        <f>IF(B100="", "", 'Lighting Inventory'!F108)</f>
        <v/>
      </c>
      <c r="P100" s="26" t="str">
        <f>IF(B100="", "", 'Lighting Inventory'!G108)</f>
        <v/>
      </c>
      <c r="Q100" s="26" t="str">
        <f>IF(B100="", "", 'Lighting Inventory'!H108)</f>
        <v/>
      </c>
      <c r="R100" s="26" t="str">
        <f>IF(B100="", "", 'Lighting Inventory'!I108)</f>
        <v/>
      </c>
      <c r="S100" s="26" t="str">
        <f>IF(B100="", "", 'Lighting Inventory'!J108)</f>
        <v/>
      </c>
      <c r="T100" s="26" t="str">
        <f>IFERROR(IF(B100="","",VLOOKUP(S100,'Fixture Identities'!$A$7:$G$1023,5,FALSE)), "New Construction")</f>
        <v/>
      </c>
      <c r="U100" s="26" t="str">
        <f>IFERROR(IF(B100="", "", IF(K100="New Construction", "NC", IF(VLOOKUP(S100, 'Fixture Identities'!$A$7:$I$1023,3, FALSE)="T12 Linear Fluorescent", VLOOKUP(S100, 'Fixture Identities'!$A$7:$K$1012, 11, FALSE), S100))), "")</f>
        <v/>
      </c>
      <c r="V100" s="26" t="str">
        <f>IFERROR(IF(OR(B100="", U100=0), "", VLOOKUP(U100, 'Fixture Identities'!$A$7:$G$1023, 5, FALSE)), "")</f>
        <v/>
      </c>
      <c r="W100" s="26" t="str">
        <f>IF(B100="", "",'Lighting Inventory'!K108)</f>
        <v/>
      </c>
      <c r="X100" s="65" t="str">
        <f>IF(B100="", "", 'Lighting Inventory'!L108)</f>
        <v/>
      </c>
      <c r="Y100" s="26" t="str">
        <f>IF(B100="", "", IF('Lighting Inventory'!M108="", "Light Switch",'Lighting Inventory'!M108))</f>
        <v/>
      </c>
      <c r="Z100" s="26" t="str">
        <f>IF(OR(K100="Retrofit", B100=""), "", 'Lighting Inventory'!N108)</f>
        <v/>
      </c>
      <c r="AA100" s="26" t="str">
        <f>IF(OR(Z100="",B100=""), "", 'Lighting Inventory'!O108)</f>
        <v/>
      </c>
      <c r="AB100" s="26" t="str">
        <f>IF(B100="", "", 'Lighting Inventory'!P108)</f>
        <v/>
      </c>
      <c r="AC100" s="96" t="str">
        <f>IF(B100="", "", 'Lighting Inventory'!R108)</f>
        <v/>
      </c>
      <c r="AD100" s="26" t="str">
        <f>IF(B100="", "", 'Lighting Inventory'!S108)</f>
        <v/>
      </c>
      <c r="AE100" s="26" t="str">
        <f>IF(B100="", "", 'Lighting Inventory'!V108)</f>
        <v/>
      </c>
      <c r="AF100" s="26" t="str">
        <f>IF(B100="", "", 'Lighting Inventory'!W108)</f>
        <v/>
      </c>
      <c r="AG100" s="26" t="str">
        <f>IF(OR(AF100="", B100=""), "", IF(AE100="Custom", "0", VLOOKUP(AF100, 'Lookup Tables'!$AI$6:$AP$102, 8, FALSE)))</f>
        <v/>
      </c>
      <c r="AH100" s="26" t="str">
        <f>IF(B100="", "", 'Lighting Inventory'!AD108)</f>
        <v/>
      </c>
      <c r="AI100" s="26" t="str">
        <f>IF(OR('Lighting Inventory'!AK108="", B100=""), "", 'Lighting Inventory'!AK108)</f>
        <v/>
      </c>
      <c r="AJ100" s="66" t="str">
        <f>IF(B100="", "", 'Lighting Inventory'!AL108)</f>
        <v/>
      </c>
      <c r="AK100" s="65" t="str">
        <f>IF(B100="", "", 'Lighting Inventory'!AM108)</f>
        <v/>
      </c>
      <c r="AL100" s="26" t="str">
        <f>IF(B100="", "", 'Lighting Inventory'!AN108)</f>
        <v/>
      </c>
      <c r="AM100" s="26" t="str">
        <f t="shared" si="5"/>
        <v/>
      </c>
      <c r="AN100" s="26" t="str">
        <f>IF(B100="","",IF('Lighting Inventory'!AV108="","Prescribed",'Lighting Inventory'!AV108))</f>
        <v/>
      </c>
      <c r="AO100" s="66" t="str">
        <f>IF(B100="", "", 'Lighting Inventory'!AX108)</f>
        <v/>
      </c>
      <c r="AP100" s="67" t="str">
        <f>IF(B100="", "", 'Lighting Inventory'!AZ108)</f>
        <v/>
      </c>
      <c r="AQ100" s="67" t="str">
        <f>IF(B100="", "", 'Lighting Inventory'!BA108)</f>
        <v/>
      </c>
      <c r="AR100" s="67" t="str">
        <f>IF(B100="", "", 'Lighting Inventory'!BB108)</f>
        <v/>
      </c>
      <c r="AS100" s="67" t="str">
        <f>IF(B100="", "", 'Lighting Inventory'!BC108)</f>
        <v/>
      </c>
      <c r="AT100" s="67" t="str">
        <f>IF(B100="", "", 'Lighting Inventory'!BD108)</f>
        <v/>
      </c>
      <c r="AU100" s="67" t="str">
        <f>IF(B100="", "", 'Lighting Inventory'!BE108)</f>
        <v/>
      </c>
      <c r="AV100" s="67" t="str">
        <f>IF(B100="", "", 'Lighting Inventory'!BE108)</f>
        <v/>
      </c>
      <c r="AW100" s="67" t="str">
        <f>IF(B100="", "", 'Lighting Inventory'!BF108)</f>
        <v/>
      </c>
      <c r="AX100" s="67" t="str">
        <f>IF(B100="", "", 'Lighting Inventory'!BF108)</f>
        <v/>
      </c>
      <c r="AY100" s="65" t="str">
        <f t="shared" si="7"/>
        <v/>
      </c>
      <c r="AZ100" s="65" t="str">
        <f>IF(B100="", "", 'Lighting Inventory'!BJ108)</f>
        <v/>
      </c>
      <c r="BA100" s="65" t="str">
        <f>IF(B100="", "", 'Lighting Inventory'!BM108)</f>
        <v/>
      </c>
      <c r="BB100" s="65" t="str">
        <f>IF(B100="","",SUM('Lighting Inventory'!BP108:BP108))</f>
        <v/>
      </c>
      <c r="BC100" s="67" t="str">
        <f>IF(OR(AE100="", B100=""),"", 'Lighting Inventory'!GR108)</f>
        <v/>
      </c>
      <c r="BD100" s="67" t="str">
        <f>IFERROR(IF(B100="", "", 'Lighting Inventory'!AF108)*AD100," ")</f>
        <v xml:space="preserve"> </v>
      </c>
      <c r="BE100" s="67"/>
      <c r="BF100" s="67"/>
    </row>
    <row r="101" spans="1:58" x14ac:dyDescent="0.25">
      <c r="A101" s="26" t="str">
        <f>IF(B101="", "", 'Lookup Tables'!AW102)</f>
        <v/>
      </c>
      <c r="B101" s="26" t="str">
        <f>IF(OR('Lighting Inventory'!Y109="", 'Lighting Inventory'!V109="No Change"),"", 'Lighting Inventory'!Y109)</f>
        <v/>
      </c>
      <c r="C101" s="26" t="str">
        <f>IF(B101="", "", IF('Lighting Inventory'!Y109='Lookup Tables'!$Y$32, 'Lighting Inventory'!AJ109, IF(AD101=0, R101, AD101)))</f>
        <v/>
      </c>
      <c r="D101" s="26" t="str">
        <f>IF(B101="", "", 'General Information'!$F$14)</f>
        <v/>
      </c>
      <c r="E101" s="26" t="str">
        <f t="shared" si="6"/>
        <v/>
      </c>
      <c r="F101" s="26" t="str">
        <f>IF(B101="", "", CONCATENATE('General Information'!$F$9, " - ", 'General Information'!$F$14))</f>
        <v/>
      </c>
      <c r="G101" s="26" t="str">
        <f>IF(B101="", "", 'General Information'!$F$15)</f>
        <v/>
      </c>
      <c r="H101" s="26" t="str">
        <f>IF(B101="", "", IF(VLOOKUP(B101, 'Lookup Tables'!$Y$18:$AA$34, 2, FALSE)="Traffic", VLOOKUP('Lighting Inventory'!W109, 'Lookup Tables'!#REF!, 11, FALSE), VLOOKUP(B101, 'Lookup Tables'!$Y$18:$AA$34, 2, FALSE)))</f>
        <v/>
      </c>
      <c r="I101" s="26" t="str">
        <f>IF(B101="", "", CONCATENATE(D101, 'Data Export'!A101))</f>
        <v/>
      </c>
      <c r="J101" s="26" t="str">
        <f>IF(B101="", "", 'Lookup Tables'!$B$1)</f>
        <v/>
      </c>
      <c r="K101" s="26" t="str">
        <f>IF(B101="", "", 'Lighting Inventory'!B109)</f>
        <v/>
      </c>
      <c r="L101" s="26" t="str">
        <f>IF(B101="", "", 'Lighting Inventory'!C109)</f>
        <v/>
      </c>
      <c r="M101" s="26" t="str">
        <f>IF(B101="", "",'Lighting Inventory'!D109)</f>
        <v/>
      </c>
      <c r="N101" s="26" t="str">
        <f>IF(B101="", "",'Lighting Inventory'!E109)</f>
        <v/>
      </c>
      <c r="O101" s="26" t="str">
        <f>IF(B101="", "", 'Lighting Inventory'!F109)</f>
        <v/>
      </c>
      <c r="P101" s="26" t="str">
        <f>IF(B101="", "", 'Lighting Inventory'!G109)</f>
        <v/>
      </c>
      <c r="Q101" s="26" t="str">
        <f>IF(B101="", "", 'Lighting Inventory'!H109)</f>
        <v/>
      </c>
      <c r="R101" s="26" t="str">
        <f>IF(B101="", "", 'Lighting Inventory'!I109)</f>
        <v/>
      </c>
      <c r="S101" s="26" t="str">
        <f>IF(B101="", "", 'Lighting Inventory'!J109)</f>
        <v/>
      </c>
      <c r="T101" s="26" t="str">
        <f>IFERROR(IF(B101="","",VLOOKUP(S101,'Fixture Identities'!$A$7:$G$1023,5,FALSE)), "New Construction")</f>
        <v/>
      </c>
      <c r="U101" s="26" t="str">
        <f>IFERROR(IF(B101="", "", IF(K101="New Construction", "NC", IF(VLOOKUP(S101, 'Fixture Identities'!$A$7:$I$1023,3, FALSE)="T12 Linear Fluorescent", VLOOKUP(S101, 'Fixture Identities'!$A$7:$K$1012, 11, FALSE), S101))), "")</f>
        <v/>
      </c>
      <c r="V101" s="26" t="str">
        <f>IFERROR(IF(OR(B101="", U101=0), "", VLOOKUP(U101, 'Fixture Identities'!$A$7:$G$1023, 5, FALSE)), "")</f>
        <v/>
      </c>
      <c r="W101" s="26" t="str">
        <f>IF(B101="", "",'Lighting Inventory'!K109)</f>
        <v/>
      </c>
      <c r="X101" s="65" t="str">
        <f>IF(B101="", "", 'Lighting Inventory'!L109)</f>
        <v/>
      </c>
      <c r="Y101" s="26" t="str">
        <f>IF(B101="", "", IF('Lighting Inventory'!M109="", "Light Switch",'Lighting Inventory'!M109))</f>
        <v/>
      </c>
      <c r="Z101" s="26" t="str">
        <f>IF(OR(K101="Retrofit", B101=""), "", 'Lighting Inventory'!N109)</f>
        <v/>
      </c>
      <c r="AA101" s="26" t="str">
        <f>IF(OR(Z101="",B101=""), "", 'Lighting Inventory'!O109)</f>
        <v/>
      </c>
      <c r="AB101" s="26" t="str">
        <f>IF(B101="", "", 'Lighting Inventory'!P109)</f>
        <v/>
      </c>
      <c r="AC101" s="96" t="str">
        <f>IF(B101="", "", 'Lighting Inventory'!R109)</f>
        <v/>
      </c>
      <c r="AD101" s="26" t="str">
        <f>IF(B101="", "", 'Lighting Inventory'!S109)</f>
        <v/>
      </c>
      <c r="AE101" s="26" t="str">
        <f>IF(B101="", "", 'Lighting Inventory'!V109)</f>
        <v/>
      </c>
      <c r="AF101" s="26" t="str">
        <f>IF(B101="", "", 'Lighting Inventory'!W109)</f>
        <v/>
      </c>
      <c r="AG101" s="26" t="str">
        <f>IF(OR(AF101="", B101=""), "", IF(AE101="Custom", "0", VLOOKUP(AF101, 'Lookup Tables'!$AI$6:$AP$102, 8, FALSE)))</f>
        <v/>
      </c>
      <c r="AH101" s="26" t="str">
        <f>IF(B101="", "", 'Lighting Inventory'!AD109)</f>
        <v/>
      </c>
      <c r="AI101" s="26" t="str">
        <f>IF(OR('Lighting Inventory'!AK109="", B101=""), "", 'Lighting Inventory'!AK109)</f>
        <v/>
      </c>
      <c r="AJ101" s="66" t="str">
        <f>IF(B101="", "", 'Lighting Inventory'!AL109)</f>
        <v/>
      </c>
      <c r="AK101" s="65" t="str">
        <f>IF(B101="", "", 'Lighting Inventory'!AM109)</f>
        <v/>
      </c>
      <c r="AL101" s="26" t="str">
        <f>IF(B101="", "", 'Lighting Inventory'!AN109)</f>
        <v/>
      </c>
      <c r="AM101" s="26" t="str">
        <f t="shared" si="5"/>
        <v/>
      </c>
      <c r="AN101" s="26" t="str">
        <f>IF(B101="","",IF('Lighting Inventory'!AV109="","Prescribed",'Lighting Inventory'!AV109))</f>
        <v/>
      </c>
      <c r="AO101" s="66" t="str">
        <f>IF(B101="", "", 'Lighting Inventory'!AX109)</f>
        <v/>
      </c>
      <c r="AP101" s="67" t="str">
        <f>IF(B101="", "", 'Lighting Inventory'!AZ109)</f>
        <v/>
      </c>
      <c r="AQ101" s="67" t="str">
        <f>IF(B101="", "", 'Lighting Inventory'!BA109)</f>
        <v/>
      </c>
      <c r="AR101" s="67" t="str">
        <f>IF(B101="", "", 'Lighting Inventory'!BB109)</f>
        <v/>
      </c>
      <c r="AS101" s="67" t="str">
        <f>IF(B101="", "", 'Lighting Inventory'!BC109)</f>
        <v/>
      </c>
      <c r="AT101" s="67" t="str">
        <f>IF(B101="", "", 'Lighting Inventory'!BD109)</f>
        <v/>
      </c>
      <c r="AU101" s="67" t="str">
        <f>IF(B101="", "", 'Lighting Inventory'!BE109)</f>
        <v/>
      </c>
      <c r="AV101" s="67" t="str">
        <f>IF(B101="", "", 'Lighting Inventory'!BE109)</f>
        <v/>
      </c>
      <c r="AW101" s="67" t="str">
        <f>IF(B101="", "", 'Lighting Inventory'!BF109)</f>
        <v/>
      </c>
      <c r="AX101" s="67" t="str">
        <f>IF(B101="", "", 'Lighting Inventory'!BF109)</f>
        <v/>
      </c>
      <c r="AY101" s="65" t="str">
        <f t="shared" si="7"/>
        <v/>
      </c>
      <c r="AZ101" s="65" t="str">
        <f>IF(B101="", "", 'Lighting Inventory'!BJ109)</f>
        <v/>
      </c>
      <c r="BA101" s="65" t="str">
        <f>IF(B101="", "", 'Lighting Inventory'!BM109)</f>
        <v/>
      </c>
      <c r="BB101" s="65" t="str">
        <f>IF(B101="","",SUM('Lighting Inventory'!BP109:BP109))</f>
        <v/>
      </c>
      <c r="BC101" s="67" t="str">
        <f>IF(OR(AE101="", B101=""),"", 'Lighting Inventory'!GR109)</f>
        <v/>
      </c>
      <c r="BD101" s="67" t="str">
        <f>IFERROR(IF(B101="", "", 'Lighting Inventory'!AF109)*AD101," ")</f>
        <v xml:space="preserve"> </v>
      </c>
      <c r="BE101" s="67"/>
      <c r="BF101" s="67"/>
    </row>
    <row r="102" spans="1:58" x14ac:dyDescent="0.25">
      <c r="A102" s="26" t="str">
        <f>IF(B102="", "", 'Lookup Tables'!AW103)</f>
        <v/>
      </c>
      <c r="B102" s="26" t="str">
        <f>IF(OR('Lighting Inventory'!Y110="", 'Lighting Inventory'!V110="No Change"),"", 'Lighting Inventory'!Y110)</f>
        <v/>
      </c>
      <c r="C102" s="26" t="str">
        <f>IF(B102="", "", IF('Lighting Inventory'!Y110='Lookup Tables'!$Y$32, 'Lighting Inventory'!AJ110, IF(AD102=0, R102, AD102)))</f>
        <v/>
      </c>
      <c r="D102" s="26" t="str">
        <f>IF(B102="", "", 'General Information'!$F$14)</f>
        <v/>
      </c>
      <c r="E102" s="26" t="str">
        <f t="shared" si="6"/>
        <v/>
      </c>
      <c r="F102" s="26" t="str">
        <f>IF(B102="", "", CONCATENATE('General Information'!$F$9, " - ", 'General Information'!$F$14))</f>
        <v/>
      </c>
      <c r="G102" s="26" t="str">
        <f>IF(B102="", "", 'General Information'!$F$15)</f>
        <v/>
      </c>
      <c r="H102" s="26" t="str">
        <f>IF(B102="", "", IF(VLOOKUP(B102, 'Lookup Tables'!$Y$18:$AA$34, 2, FALSE)="Traffic", VLOOKUP('Lighting Inventory'!W110, 'Lookup Tables'!#REF!, 11, FALSE), VLOOKUP(B102, 'Lookup Tables'!$Y$18:$AA$34, 2, FALSE)))</f>
        <v/>
      </c>
      <c r="I102" s="26" t="str">
        <f>IF(B102="", "", CONCATENATE(D102, 'Data Export'!A102))</f>
        <v/>
      </c>
      <c r="J102" s="26" t="str">
        <f>IF(B102="", "", 'Lookup Tables'!$B$1)</f>
        <v/>
      </c>
      <c r="K102" s="26" t="str">
        <f>IF(B102="", "", 'Lighting Inventory'!B110)</f>
        <v/>
      </c>
      <c r="L102" s="26" t="str">
        <f>IF(B102="", "", 'Lighting Inventory'!C110)</f>
        <v/>
      </c>
      <c r="M102" s="26" t="str">
        <f>IF(B102="", "",'Lighting Inventory'!D110)</f>
        <v/>
      </c>
      <c r="N102" s="26" t="str">
        <f>IF(B102="", "",'Lighting Inventory'!E110)</f>
        <v/>
      </c>
      <c r="O102" s="26" t="str">
        <f>IF(B102="", "", 'Lighting Inventory'!F110)</f>
        <v/>
      </c>
      <c r="P102" s="26" t="str">
        <f>IF(B102="", "", 'Lighting Inventory'!G110)</f>
        <v/>
      </c>
      <c r="Q102" s="26" t="str">
        <f>IF(B102="", "", 'Lighting Inventory'!H110)</f>
        <v/>
      </c>
      <c r="R102" s="26" t="str">
        <f>IF(B102="", "", 'Lighting Inventory'!I110)</f>
        <v/>
      </c>
      <c r="S102" s="26" t="str">
        <f>IF(B102="", "", 'Lighting Inventory'!J110)</f>
        <v/>
      </c>
      <c r="T102" s="26" t="str">
        <f>IFERROR(IF(B102="","",VLOOKUP(S102,'Fixture Identities'!$A$7:$G$1023,5,FALSE)), "New Construction")</f>
        <v/>
      </c>
      <c r="U102" s="26" t="str">
        <f>IFERROR(IF(B102="", "", IF(K102="New Construction", "NC", IF(VLOOKUP(S102, 'Fixture Identities'!$A$7:$I$1023,3, FALSE)="T12 Linear Fluorescent", VLOOKUP(S102, 'Fixture Identities'!$A$7:$K$1012, 11, FALSE), S102))), "")</f>
        <v/>
      </c>
      <c r="V102" s="26" t="str">
        <f>IFERROR(IF(OR(B102="", U102=0), "", VLOOKUP(U102, 'Fixture Identities'!$A$7:$G$1023, 5, FALSE)), "")</f>
        <v/>
      </c>
      <c r="W102" s="26" t="str">
        <f>IF(B102="", "",'Lighting Inventory'!K110)</f>
        <v/>
      </c>
      <c r="X102" s="65" t="str">
        <f>IF(B102="", "", 'Lighting Inventory'!L110)</f>
        <v/>
      </c>
      <c r="Y102" s="26" t="str">
        <f>IF(B102="", "", IF('Lighting Inventory'!M110="", "Light Switch",'Lighting Inventory'!M110))</f>
        <v/>
      </c>
      <c r="Z102" s="26" t="str">
        <f>IF(OR(K102="Retrofit", B102=""), "", 'Lighting Inventory'!N110)</f>
        <v/>
      </c>
      <c r="AA102" s="26" t="str">
        <f>IF(OR(Z102="",B102=""), "", 'Lighting Inventory'!O110)</f>
        <v/>
      </c>
      <c r="AB102" s="26" t="str">
        <f>IF(B102="", "", 'Lighting Inventory'!P110)</f>
        <v/>
      </c>
      <c r="AC102" s="96" t="str">
        <f>IF(B102="", "", 'Lighting Inventory'!R110)</f>
        <v/>
      </c>
      <c r="AD102" s="26" t="str">
        <f>IF(B102="", "", 'Lighting Inventory'!S110)</f>
        <v/>
      </c>
      <c r="AE102" s="26" t="str">
        <f>IF(B102="", "", 'Lighting Inventory'!V110)</f>
        <v/>
      </c>
      <c r="AF102" s="26" t="str">
        <f>IF(B102="", "", 'Lighting Inventory'!W110)</f>
        <v/>
      </c>
      <c r="AG102" s="26" t="str">
        <f>IF(OR(AF102="", B102=""), "", IF(AE102="Custom", "0", VLOOKUP(AF102, 'Lookup Tables'!$AI$6:$AP$102, 8, FALSE)))</f>
        <v/>
      </c>
      <c r="AH102" s="26" t="str">
        <f>IF(B102="", "", 'Lighting Inventory'!AD110)</f>
        <v/>
      </c>
      <c r="AI102" s="26" t="str">
        <f>IF(OR('Lighting Inventory'!AK110="", B102=""), "", 'Lighting Inventory'!AK110)</f>
        <v/>
      </c>
      <c r="AJ102" s="66" t="str">
        <f>IF(B102="", "", 'Lighting Inventory'!AL110)</f>
        <v/>
      </c>
      <c r="AK102" s="65" t="str">
        <f>IF(B102="", "", 'Lighting Inventory'!AM110)</f>
        <v/>
      </c>
      <c r="AL102" s="26" t="str">
        <f>IF(B102="", "", 'Lighting Inventory'!AN110)</f>
        <v/>
      </c>
      <c r="AM102" s="26" t="str">
        <f t="shared" si="5"/>
        <v/>
      </c>
      <c r="AN102" s="26" t="str">
        <f>IF(B102="","",IF('Lighting Inventory'!AV110="","Prescribed",'Lighting Inventory'!AV110))</f>
        <v/>
      </c>
      <c r="AO102" s="66" t="str">
        <f>IF(B102="", "", 'Lighting Inventory'!AX110)</f>
        <v/>
      </c>
      <c r="AP102" s="67" t="str">
        <f>IF(B102="", "", 'Lighting Inventory'!AZ110)</f>
        <v/>
      </c>
      <c r="AQ102" s="67" t="str">
        <f>IF(B102="", "", 'Lighting Inventory'!BA110)</f>
        <v/>
      </c>
      <c r="AR102" s="67" t="str">
        <f>IF(B102="", "", 'Lighting Inventory'!BB110)</f>
        <v/>
      </c>
      <c r="AS102" s="67" t="str">
        <f>IF(B102="", "", 'Lighting Inventory'!BC110)</f>
        <v/>
      </c>
      <c r="AT102" s="67" t="str">
        <f>IF(B102="", "", 'Lighting Inventory'!BD110)</f>
        <v/>
      </c>
      <c r="AU102" s="67" t="str">
        <f>IF(B102="", "", 'Lighting Inventory'!BE110)</f>
        <v/>
      </c>
      <c r="AV102" s="67" t="str">
        <f>IF(B102="", "", 'Lighting Inventory'!BE110)</f>
        <v/>
      </c>
      <c r="AW102" s="67" t="str">
        <f>IF(B102="", "", 'Lighting Inventory'!BF110)</f>
        <v/>
      </c>
      <c r="AX102" s="67" t="str">
        <f>IF(B102="", "", 'Lighting Inventory'!BF110)</f>
        <v/>
      </c>
      <c r="AY102" s="65" t="str">
        <f t="shared" si="7"/>
        <v/>
      </c>
      <c r="AZ102" s="65" t="str">
        <f>IF(B102="", "", 'Lighting Inventory'!BJ110)</f>
        <v/>
      </c>
      <c r="BA102" s="65" t="str">
        <f>IF(B102="", "", 'Lighting Inventory'!BM110)</f>
        <v/>
      </c>
      <c r="BB102" s="65" t="str">
        <f>IF(B102="","",SUM('Lighting Inventory'!BP110:BP110))</f>
        <v/>
      </c>
      <c r="BC102" s="67" t="str">
        <f>IF(OR(AE102="", B102=""),"", 'Lighting Inventory'!GR110)</f>
        <v/>
      </c>
      <c r="BD102" s="67" t="str">
        <f>IFERROR(IF(B102="", "", 'Lighting Inventory'!AF110)*AD102," ")</f>
        <v xml:space="preserve"> </v>
      </c>
      <c r="BE102" s="67"/>
      <c r="BF102" s="67"/>
    </row>
    <row r="103" spans="1:58" x14ac:dyDescent="0.25">
      <c r="A103" s="26" t="str">
        <f>IF(B103="", "", 'Lookup Tables'!AW104)</f>
        <v/>
      </c>
      <c r="B103" s="26" t="str">
        <f>IF(OR('Lighting Inventory'!Y111="", 'Lighting Inventory'!V111="No Change"),"", 'Lighting Inventory'!Y111)</f>
        <v/>
      </c>
      <c r="C103" s="26" t="str">
        <f>IF(B103="", "", IF('Lighting Inventory'!Y111='Lookup Tables'!$Y$32, 'Lighting Inventory'!AJ111, IF(AD103=0, R103, AD103)))</f>
        <v/>
      </c>
      <c r="D103" s="26" t="str">
        <f>IF(B103="", "", 'General Information'!$F$14)</f>
        <v/>
      </c>
      <c r="E103" s="26" t="str">
        <f t="shared" si="6"/>
        <v/>
      </c>
      <c r="F103" s="26" t="str">
        <f>IF(B103="", "", CONCATENATE('General Information'!$F$9, " - ", 'General Information'!$F$14))</f>
        <v/>
      </c>
      <c r="G103" s="26" t="str">
        <f>IF(B103="", "", 'General Information'!$F$15)</f>
        <v/>
      </c>
      <c r="H103" s="26" t="str">
        <f>IF(B103="", "", IF(VLOOKUP(B103, 'Lookup Tables'!$Y$18:$AA$34, 2, FALSE)="Traffic", VLOOKUP('Lighting Inventory'!W111, 'Lookup Tables'!#REF!, 11, FALSE), VLOOKUP(B103, 'Lookup Tables'!$Y$18:$AA$34, 2, FALSE)))</f>
        <v/>
      </c>
      <c r="I103" s="26" t="str">
        <f>IF(B103="", "", CONCATENATE(D103, 'Data Export'!A103))</f>
        <v/>
      </c>
      <c r="J103" s="26" t="str">
        <f>IF(B103="", "", 'Lookup Tables'!$B$1)</f>
        <v/>
      </c>
      <c r="K103" s="26" t="str">
        <f>IF(B103="", "", 'Lighting Inventory'!B111)</f>
        <v/>
      </c>
      <c r="L103" s="26" t="str">
        <f>IF(B103="", "", 'Lighting Inventory'!C111)</f>
        <v/>
      </c>
      <c r="M103" s="26" t="str">
        <f>IF(B103="", "",'Lighting Inventory'!D111)</f>
        <v/>
      </c>
      <c r="N103" s="26" t="str">
        <f>IF(B103="", "",'Lighting Inventory'!E111)</f>
        <v/>
      </c>
      <c r="O103" s="26" t="str">
        <f>IF(B103="", "", 'Lighting Inventory'!F111)</f>
        <v/>
      </c>
      <c r="P103" s="26" t="str">
        <f>IF(B103="", "", 'Lighting Inventory'!G111)</f>
        <v/>
      </c>
      <c r="Q103" s="26" t="str">
        <f>IF(B103="", "", 'Lighting Inventory'!H111)</f>
        <v/>
      </c>
      <c r="R103" s="26" t="str">
        <f>IF(B103="", "", 'Lighting Inventory'!I111)</f>
        <v/>
      </c>
      <c r="S103" s="26" t="str">
        <f>IF(B103="", "", 'Lighting Inventory'!J111)</f>
        <v/>
      </c>
      <c r="T103" s="26" t="str">
        <f>IFERROR(IF(B103="","",VLOOKUP(S103,'Fixture Identities'!$A$7:$G$1023,5,FALSE)), "New Construction")</f>
        <v/>
      </c>
      <c r="U103" s="26" t="str">
        <f>IFERROR(IF(B103="", "", IF(K103="New Construction", "NC", IF(VLOOKUP(S103, 'Fixture Identities'!$A$7:$I$1023,3, FALSE)="T12 Linear Fluorescent", VLOOKUP(S103, 'Fixture Identities'!$A$7:$K$1012, 11, FALSE), S103))), "")</f>
        <v/>
      </c>
      <c r="V103" s="26" t="str">
        <f>IFERROR(IF(OR(B103="", U103=0), "", VLOOKUP(U103, 'Fixture Identities'!$A$7:$G$1023, 5, FALSE)), "")</f>
        <v/>
      </c>
      <c r="W103" s="26" t="str">
        <f>IF(B103="", "",'Lighting Inventory'!K111)</f>
        <v/>
      </c>
      <c r="X103" s="65" t="str">
        <f>IF(B103="", "", 'Lighting Inventory'!L111)</f>
        <v/>
      </c>
      <c r="Y103" s="26" t="str">
        <f>IF(B103="", "", IF('Lighting Inventory'!M111="", "Light Switch",'Lighting Inventory'!M111))</f>
        <v/>
      </c>
      <c r="Z103" s="26" t="str">
        <f>IF(OR(K103="Retrofit", B103=""), "", 'Lighting Inventory'!N111)</f>
        <v/>
      </c>
      <c r="AA103" s="26" t="str">
        <f>IF(OR(Z103="",B103=""), "", 'Lighting Inventory'!O111)</f>
        <v/>
      </c>
      <c r="AB103" s="26" t="str">
        <f>IF(B103="", "", 'Lighting Inventory'!P111)</f>
        <v/>
      </c>
      <c r="AC103" s="96" t="str">
        <f>IF(B103="", "", 'Lighting Inventory'!R111)</f>
        <v/>
      </c>
      <c r="AD103" s="26" t="str">
        <f>IF(B103="", "", 'Lighting Inventory'!S111)</f>
        <v/>
      </c>
      <c r="AE103" s="26" t="str">
        <f>IF(B103="", "", 'Lighting Inventory'!V111)</f>
        <v/>
      </c>
      <c r="AF103" s="26" t="str">
        <f>IF(B103="", "", 'Lighting Inventory'!W111)</f>
        <v/>
      </c>
      <c r="AG103" s="26" t="str">
        <f>IF(OR(AF103="", B103=""), "", IF(AE103="Custom", "0", VLOOKUP(AF103, 'Lookup Tables'!$AI$6:$AP$102, 8, FALSE)))</f>
        <v/>
      </c>
      <c r="AH103" s="26" t="str">
        <f>IF(B103="", "", 'Lighting Inventory'!AD111)</f>
        <v/>
      </c>
      <c r="AI103" s="26" t="str">
        <f>IF(OR('Lighting Inventory'!AK111="", B103=""), "", 'Lighting Inventory'!AK111)</f>
        <v/>
      </c>
      <c r="AJ103" s="66" t="str">
        <f>IF(B103="", "", 'Lighting Inventory'!AL111)</f>
        <v/>
      </c>
      <c r="AK103" s="65" t="str">
        <f>IF(B103="", "", 'Lighting Inventory'!AM111)</f>
        <v/>
      </c>
      <c r="AL103" s="26" t="str">
        <f>IF(B103="", "", 'Lighting Inventory'!AN111)</f>
        <v/>
      </c>
      <c r="AM103" s="26" t="str">
        <f t="shared" si="5"/>
        <v/>
      </c>
      <c r="AN103" s="26" t="str">
        <f>IF(B103="","",IF('Lighting Inventory'!AV111="","Prescribed",'Lighting Inventory'!AV111))</f>
        <v/>
      </c>
      <c r="AO103" s="66" t="str">
        <f>IF(B103="", "", 'Lighting Inventory'!AX111)</f>
        <v/>
      </c>
      <c r="AP103" s="67" t="str">
        <f>IF(B103="", "", 'Lighting Inventory'!AZ111)</f>
        <v/>
      </c>
      <c r="AQ103" s="67" t="str">
        <f>IF(B103="", "", 'Lighting Inventory'!BA111)</f>
        <v/>
      </c>
      <c r="AR103" s="67" t="str">
        <f>IF(B103="", "", 'Lighting Inventory'!BB111)</f>
        <v/>
      </c>
      <c r="AS103" s="67" t="str">
        <f>IF(B103="", "", 'Lighting Inventory'!BC111)</f>
        <v/>
      </c>
      <c r="AT103" s="67" t="str">
        <f>IF(B103="", "", 'Lighting Inventory'!BD111)</f>
        <v/>
      </c>
      <c r="AU103" s="67" t="str">
        <f>IF(B103="", "", 'Lighting Inventory'!BE111)</f>
        <v/>
      </c>
      <c r="AV103" s="67" t="str">
        <f>IF(B103="", "", 'Lighting Inventory'!BE111)</f>
        <v/>
      </c>
      <c r="AW103" s="67" t="str">
        <f>IF(B103="", "", 'Lighting Inventory'!BF111)</f>
        <v/>
      </c>
      <c r="AX103" s="67" t="str">
        <f>IF(B103="", "", 'Lighting Inventory'!BF111)</f>
        <v/>
      </c>
      <c r="AY103" s="65" t="str">
        <f t="shared" si="7"/>
        <v/>
      </c>
      <c r="AZ103" s="65" t="str">
        <f>IF(B103="", "", 'Lighting Inventory'!BJ111)</f>
        <v/>
      </c>
      <c r="BA103" s="65" t="str">
        <f>IF(B103="", "", 'Lighting Inventory'!BM111)</f>
        <v/>
      </c>
      <c r="BB103" s="65" t="str">
        <f>IF(B103="","",SUM('Lighting Inventory'!BP111:BP111))</f>
        <v/>
      </c>
      <c r="BC103" s="67" t="str">
        <f>IF(OR(AE103="", B103=""),"", 'Lighting Inventory'!GR111)</f>
        <v/>
      </c>
      <c r="BD103" s="67" t="str">
        <f>IFERROR(IF(B103="", "", 'Lighting Inventory'!AF111)*AD103," ")</f>
        <v xml:space="preserve"> </v>
      </c>
      <c r="BE103" s="67"/>
      <c r="BF103" s="67"/>
    </row>
    <row r="104" spans="1:58" x14ac:dyDescent="0.25">
      <c r="A104" s="26" t="str">
        <f>IF(B104="", "", 'Lookup Tables'!AW105)</f>
        <v/>
      </c>
      <c r="B104" s="26" t="str">
        <f>IF(OR('Lighting Inventory'!Y112="", 'Lighting Inventory'!V112="No Change"),"", 'Lighting Inventory'!Y112)</f>
        <v/>
      </c>
      <c r="C104" s="26" t="str">
        <f>IF(B104="", "", IF('Lighting Inventory'!Y112='Lookup Tables'!$Y$32, 'Lighting Inventory'!AJ112, IF(AD104=0, R104, AD104)))</f>
        <v/>
      </c>
      <c r="D104" s="26" t="str">
        <f>IF(B104="", "", 'General Information'!$F$14)</f>
        <v/>
      </c>
      <c r="E104" s="26" t="str">
        <f t="shared" si="6"/>
        <v/>
      </c>
      <c r="F104" s="26" t="str">
        <f>IF(B104="", "", CONCATENATE('General Information'!$F$9, " - ", 'General Information'!$F$14))</f>
        <v/>
      </c>
      <c r="G104" s="26" t="str">
        <f>IF(B104="", "", 'General Information'!$F$15)</f>
        <v/>
      </c>
      <c r="H104" s="26" t="str">
        <f>IF(B104="", "", IF(VLOOKUP(B104, 'Lookup Tables'!$Y$18:$AA$34, 2, FALSE)="Traffic", VLOOKUP('Lighting Inventory'!W112, 'Lookup Tables'!#REF!, 11, FALSE), VLOOKUP(B104, 'Lookup Tables'!$Y$18:$AA$34, 2, FALSE)))</f>
        <v/>
      </c>
      <c r="I104" s="26" t="str">
        <f>IF(B104="", "", CONCATENATE(D104, 'Data Export'!A104))</f>
        <v/>
      </c>
      <c r="J104" s="26" t="str">
        <f>IF(B104="", "", 'Lookup Tables'!$B$1)</f>
        <v/>
      </c>
      <c r="K104" s="26" t="str">
        <f>IF(B104="", "", 'Lighting Inventory'!B112)</f>
        <v/>
      </c>
      <c r="L104" s="26" t="str">
        <f>IF(B104="", "", 'Lighting Inventory'!C112)</f>
        <v/>
      </c>
      <c r="M104" s="26" t="str">
        <f>IF(B104="", "",'Lighting Inventory'!D112)</f>
        <v/>
      </c>
      <c r="N104" s="26" t="str">
        <f>IF(B104="", "",'Lighting Inventory'!E112)</f>
        <v/>
      </c>
      <c r="O104" s="26" t="str">
        <f>IF(B104="", "", 'Lighting Inventory'!F112)</f>
        <v/>
      </c>
      <c r="P104" s="26" t="str">
        <f>IF(B104="", "", 'Lighting Inventory'!G112)</f>
        <v/>
      </c>
      <c r="Q104" s="26" t="str">
        <f>IF(B104="", "", 'Lighting Inventory'!H112)</f>
        <v/>
      </c>
      <c r="R104" s="26" t="str">
        <f>IF(B104="", "", 'Lighting Inventory'!I112)</f>
        <v/>
      </c>
      <c r="S104" s="26" t="str">
        <f>IF(B104="", "", 'Lighting Inventory'!J112)</f>
        <v/>
      </c>
      <c r="T104" s="26" t="str">
        <f>IFERROR(IF(B104="","",VLOOKUP(S104,'Fixture Identities'!$A$7:$G$1023,5,FALSE)), "New Construction")</f>
        <v/>
      </c>
      <c r="U104" s="26" t="str">
        <f>IFERROR(IF(B104="", "", IF(K104="New Construction", "NC", IF(VLOOKUP(S104, 'Fixture Identities'!$A$7:$I$1023,3, FALSE)="T12 Linear Fluorescent", VLOOKUP(S104, 'Fixture Identities'!$A$7:$K$1012, 11, FALSE), S104))), "")</f>
        <v/>
      </c>
      <c r="V104" s="26" t="str">
        <f>IFERROR(IF(OR(B104="", U104=0), "", VLOOKUP(U104, 'Fixture Identities'!$A$7:$G$1023, 5, FALSE)), "")</f>
        <v/>
      </c>
      <c r="W104" s="26" t="str">
        <f>IF(B104="", "",'Lighting Inventory'!K112)</f>
        <v/>
      </c>
      <c r="X104" s="65" t="str">
        <f>IF(B104="", "", 'Lighting Inventory'!L112)</f>
        <v/>
      </c>
      <c r="Y104" s="26" t="str">
        <f>IF(B104="", "", IF('Lighting Inventory'!M112="", "Light Switch",'Lighting Inventory'!M112))</f>
        <v/>
      </c>
      <c r="Z104" s="26" t="str">
        <f>IF(OR(K104="Retrofit", B104=""), "", 'Lighting Inventory'!N112)</f>
        <v/>
      </c>
      <c r="AA104" s="26" t="str">
        <f>IF(OR(Z104="",B104=""), "", 'Lighting Inventory'!O112)</f>
        <v/>
      </c>
      <c r="AB104" s="26" t="str">
        <f>IF(B104="", "", 'Lighting Inventory'!P112)</f>
        <v/>
      </c>
      <c r="AC104" s="96" t="str">
        <f>IF(B104="", "", 'Lighting Inventory'!R112)</f>
        <v/>
      </c>
      <c r="AD104" s="26" t="str">
        <f>IF(B104="", "", 'Lighting Inventory'!S112)</f>
        <v/>
      </c>
      <c r="AE104" s="26" t="str">
        <f>IF(B104="", "", 'Lighting Inventory'!V112)</f>
        <v/>
      </c>
      <c r="AF104" s="26" t="str">
        <f>IF(B104="", "", 'Lighting Inventory'!W112)</f>
        <v/>
      </c>
      <c r="AG104" s="26" t="str">
        <f>IF(OR(AF104="", B104=""), "", IF(AE104="Custom", "0", VLOOKUP(AF104, 'Lookup Tables'!$AI$6:$AP$102, 8, FALSE)))</f>
        <v/>
      </c>
      <c r="AH104" s="26" t="str">
        <f>IF(B104="", "", 'Lighting Inventory'!AD112)</f>
        <v/>
      </c>
      <c r="AI104" s="26" t="str">
        <f>IF(OR('Lighting Inventory'!AK112="", B104=""), "", 'Lighting Inventory'!AK112)</f>
        <v/>
      </c>
      <c r="AJ104" s="66" t="str">
        <f>IF(B104="", "", 'Lighting Inventory'!AL112)</f>
        <v/>
      </c>
      <c r="AK104" s="65" t="str">
        <f>IF(B104="", "", 'Lighting Inventory'!AM112)</f>
        <v/>
      </c>
      <c r="AL104" s="26" t="str">
        <f>IF(B104="", "", 'Lighting Inventory'!AN112)</f>
        <v/>
      </c>
      <c r="AM104" s="26" t="str">
        <f t="shared" si="5"/>
        <v/>
      </c>
      <c r="AN104" s="26" t="str">
        <f>IF(B104="","",IF('Lighting Inventory'!AV112="","Prescribed",'Lighting Inventory'!AV112))</f>
        <v/>
      </c>
      <c r="AO104" s="66" t="str">
        <f>IF(B104="", "", 'Lighting Inventory'!AX112)</f>
        <v/>
      </c>
      <c r="AP104" s="67" t="str">
        <f>IF(B104="", "", 'Lighting Inventory'!AZ112)</f>
        <v/>
      </c>
      <c r="AQ104" s="67" t="str">
        <f>IF(B104="", "", 'Lighting Inventory'!BA112)</f>
        <v/>
      </c>
      <c r="AR104" s="67" t="str">
        <f>IF(B104="", "", 'Lighting Inventory'!BB112)</f>
        <v/>
      </c>
      <c r="AS104" s="67" t="str">
        <f>IF(B104="", "", 'Lighting Inventory'!BC112)</f>
        <v/>
      </c>
      <c r="AT104" s="67" t="str">
        <f>IF(B104="", "", 'Lighting Inventory'!BD112)</f>
        <v/>
      </c>
      <c r="AU104" s="67" t="str">
        <f>IF(B104="", "", 'Lighting Inventory'!BE112)</f>
        <v/>
      </c>
      <c r="AV104" s="67" t="str">
        <f>IF(B104="", "", 'Lighting Inventory'!BE112)</f>
        <v/>
      </c>
      <c r="AW104" s="67" t="str">
        <f>IF(B104="", "", 'Lighting Inventory'!BF112)</f>
        <v/>
      </c>
      <c r="AX104" s="67" t="str">
        <f>IF(B104="", "", 'Lighting Inventory'!BF112)</f>
        <v/>
      </c>
      <c r="AY104" s="65" t="str">
        <f t="shared" si="7"/>
        <v/>
      </c>
      <c r="AZ104" s="65" t="str">
        <f>IF(B104="", "", 'Lighting Inventory'!BJ112)</f>
        <v/>
      </c>
      <c r="BA104" s="65" t="str">
        <f>IF(B104="", "", 'Lighting Inventory'!BM112)</f>
        <v/>
      </c>
      <c r="BB104" s="65" t="str">
        <f>IF(B104="","",SUM('Lighting Inventory'!BP112:BP112))</f>
        <v/>
      </c>
      <c r="BC104" s="67" t="str">
        <f>IF(OR(AE104="", B104=""),"", 'Lighting Inventory'!GR112)</f>
        <v/>
      </c>
      <c r="BD104" s="67" t="str">
        <f>IFERROR(IF(B104="", "", 'Lighting Inventory'!AF112)*AD104," ")</f>
        <v xml:space="preserve"> </v>
      </c>
      <c r="BE104" s="67"/>
      <c r="BF104" s="67"/>
    </row>
    <row r="105" spans="1:58" x14ac:dyDescent="0.25">
      <c r="A105" s="26" t="str">
        <f>IF(B105="", "", 'Lookup Tables'!AW106)</f>
        <v/>
      </c>
      <c r="B105" s="26" t="str">
        <f>IF(OR('Lighting Inventory'!Y113="", 'Lighting Inventory'!V113="No Change"),"", 'Lighting Inventory'!Y113)</f>
        <v/>
      </c>
      <c r="C105" s="26" t="str">
        <f>IF(B105="", "", IF('Lighting Inventory'!Y113='Lookup Tables'!$Y$32, 'Lighting Inventory'!AJ113, IF(AD105=0, R105, AD105)))</f>
        <v/>
      </c>
      <c r="D105" s="26" t="str">
        <f>IF(B105="", "", 'General Information'!$F$14)</f>
        <v/>
      </c>
      <c r="E105" s="26" t="str">
        <f t="shared" si="6"/>
        <v/>
      </c>
      <c r="F105" s="26" t="str">
        <f>IF(B105="", "", CONCATENATE('General Information'!$F$9, " - ", 'General Information'!$F$14))</f>
        <v/>
      </c>
      <c r="G105" s="26" t="str">
        <f>IF(B105="", "", 'General Information'!$F$15)</f>
        <v/>
      </c>
      <c r="H105" s="26" t="str">
        <f>IF(B105="", "", IF(VLOOKUP(B105, 'Lookup Tables'!$Y$18:$AA$34, 2, FALSE)="Traffic", VLOOKUP('Lighting Inventory'!W113, 'Lookup Tables'!#REF!, 11, FALSE), VLOOKUP(B105, 'Lookup Tables'!$Y$18:$AA$34, 2, FALSE)))</f>
        <v/>
      </c>
      <c r="I105" s="26" t="str">
        <f>IF(B105="", "", CONCATENATE(D105, 'Data Export'!A105))</f>
        <v/>
      </c>
      <c r="J105" s="26" t="str">
        <f>IF(B105="", "", 'Lookup Tables'!$B$1)</f>
        <v/>
      </c>
      <c r="K105" s="26" t="str">
        <f>IF(B105="", "", 'Lighting Inventory'!B113)</f>
        <v/>
      </c>
      <c r="L105" s="26" t="str">
        <f>IF(B105="", "", 'Lighting Inventory'!C113)</f>
        <v/>
      </c>
      <c r="M105" s="26" t="str">
        <f>IF(B105="", "",'Lighting Inventory'!D113)</f>
        <v/>
      </c>
      <c r="N105" s="26" t="str">
        <f>IF(B105="", "",'Lighting Inventory'!E113)</f>
        <v/>
      </c>
      <c r="O105" s="26" t="str">
        <f>IF(B105="", "", 'Lighting Inventory'!F113)</f>
        <v/>
      </c>
      <c r="P105" s="26" t="str">
        <f>IF(B105="", "", 'Lighting Inventory'!G113)</f>
        <v/>
      </c>
      <c r="Q105" s="26" t="str">
        <f>IF(B105="", "", 'Lighting Inventory'!H113)</f>
        <v/>
      </c>
      <c r="R105" s="26" t="str">
        <f>IF(B105="", "", 'Lighting Inventory'!I113)</f>
        <v/>
      </c>
      <c r="S105" s="26" t="str">
        <f>IF(B105="", "", 'Lighting Inventory'!J113)</f>
        <v/>
      </c>
      <c r="T105" s="26" t="str">
        <f>IFERROR(IF(B105="","",VLOOKUP(S105,'Fixture Identities'!$A$7:$G$1023,5,FALSE)), "New Construction")</f>
        <v/>
      </c>
      <c r="U105" s="26" t="str">
        <f>IFERROR(IF(B105="", "", IF(K105="New Construction", "NC", IF(VLOOKUP(S105, 'Fixture Identities'!$A$7:$I$1023,3, FALSE)="T12 Linear Fluorescent", VLOOKUP(S105, 'Fixture Identities'!$A$7:$K$1012, 11, FALSE), S105))), "")</f>
        <v/>
      </c>
      <c r="V105" s="26" t="str">
        <f>IFERROR(IF(OR(B105="", U105=0), "", VLOOKUP(U105, 'Fixture Identities'!$A$7:$G$1023, 5, FALSE)), "")</f>
        <v/>
      </c>
      <c r="W105" s="26" t="str">
        <f>IF(B105="", "",'Lighting Inventory'!K113)</f>
        <v/>
      </c>
      <c r="X105" s="65" t="str">
        <f>IF(B105="", "", 'Lighting Inventory'!L113)</f>
        <v/>
      </c>
      <c r="Y105" s="26" t="str">
        <f>IF(B105="", "", IF('Lighting Inventory'!M113="", "Light Switch",'Lighting Inventory'!M113))</f>
        <v/>
      </c>
      <c r="Z105" s="26" t="str">
        <f>IF(OR(K105="Retrofit", B105=""), "", 'Lighting Inventory'!N113)</f>
        <v/>
      </c>
      <c r="AA105" s="26" t="str">
        <f>IF(OR(Z105="",B105=""), "", 'Lighting Inventory'!O113)</f>
        <v/>
      </c>
      <c r="AB105" s="26" t="str">
        <f>IF(B105="", "", 'Lighting Inventory'!P113)</f>
        <v/>
      </c>
      <c r="AC105" s="96" t="str">
        <f>IF(B105="", "", 'Lighting Inventory'!R113)</f>
        <v/>
      </c>
      <c r="AD105" s="26" t="str">
        <f>IF(B105="", "", 'Lighting Inventory'!S113)</f>
        <v/>
      </c>
      <c r="AE105" s="26" t="str">
        <f>IF(B105="", "", 'Lighting Inventory'!V113)</f>
        <v/>
      </c>
      <c r="AF105" s="26" t="str">
        <f>IF(B105="", "", 'Lighting Inventory'!W113)</f>
        <v/>
      </c>
      <c r="AG105" s="26" t="str">
        <f>IF(OR(AF105="", B105=""), "", IF(AE105="Custom", "0", VLOOKUP(AF105, 'Lookup Tables'!$AI$6:$AP$102, 8, FALSE)))</f>
        <v/>
      </c>
      <c r="AH105" s="26" t="str">
        <f>IF(B105="", "", 'Lighting Inventory'!AD113)</f>
        <v/>
      </c>
      <c r="AI105" s="26" t="str">
        <f>IF(OR('Lighting Inventory'!AK113="", B105=""), "", 'Lighting Inventory'!AK113)</f>
        <v/>
      </c>
      <c r="AJ105" s="66" t="str">
        <f>IF(B105="", "", 'Lighting Inventory'!AL113)</f>
        <v/>
      </c>
      <c r="AK105" s="65" t="str">
        <f>IF(B105="", "", 'Lighting Inventory'!AM113)</f>
        <v/>
      </c>
      <c r="AL105" s="26" t="str">
        <f>IF(B105="", "", 'Lighting Inventory'!AN113)</f>
        <v/>
      </c>
      <c r="AM105" s="26" t="str">
        <f t="shared" si="5"/>
        <v/>
      </c>
      <c r="AN105" s="26" t="str">
        <f>IF(B105="","",IF('Lighting Inventory'!AV113="","Prescribed",'Lighting Inventory'!AV113))</f>
        <v/>
      </c>
      <c r="AO105" s="66" t="str">
        <f>IF(B105="", "", 'Lighting Inventory'!AX113)</f>
        <v/>
      </c>
      <c r="AP105" s="67" t="str">
        <f>IF(B105="", "", 'Lighting Inventory'!AZ113)</f>
        <v/>
      </c>
      <c r="AQ105" s="67" t="str">
        <f>IF(B105="", "", 'Lighting Inventory'!BA113)</f>
        <v/>
      </c>
      <c r="AR105" s="67" t="str">
        <f>IF(B105="", "", 'Lighting Inventory'!BB113)</f>
        <v/>
      </c>
      <c r="AS105" s="67" t="str">
        <f>IF(B105="", "", 'Lighting Inventory'!BC113)</f>
        <v/>
      </c>
      <c r="AT105" s="67" t="str">
        <f>IF(B105="", "", 'Lighting Inventory'!BD113)</f>
        <v/>
      </c>
      <c r="AU105" s="67" t="str">
        <f>IF(B105="", "", 'Lighting Inventory'!BE113)</f>
        <v/>
      </c>
      <c r="AV105" s="67" t="str">
        <f>IF(B105="", "", 'Lighting Inventory'!BE113)</f>
        <v/>
      </c>
      <c r="AW105" s="67" t="str">
        <f>IF(B105="", "", 'Lighting Inventory'!BF113)</f>
        <v/>
      </c>
      <c r="AX105" s="67" t="str">
        <f>IF(B105="", "", 'Lighting Inventory'!BF113)</f>
        <v/>
      </c>
      <c r="AY105" s="65" t="str">
        <f t="shared" si="7"/>
        <v/>
      </c>
      <c r="AZ105" s="65" t="str">
        <f>IF(B105="", "", 'Lighting Inventory'!BJ113)</f>
        <v/>
      </c>
      <c r="BA105" s="65" t="str">
        <f>IF(B105="", "", 'Lighting Inventory'!BM113)</f>
        <v/>
      </c>
      <c r="BB105" s="65" t="str">
        <f>IF(B105="","",SUM('Lighting Inventory'!BP113:BP113))</f>
        <v/>
      </c>
      <c r="BC105" s="67" t="str">
        <f>IF(OR(AE105="", B105=""),"", 'Lighting Inventory'!GR113)</f>
        <v/>
      </c>
      <c r="BD105" s="67" t="str">
        <f>IFERROR(IF(B105="", "", 'Lighting Inventory'!AF113)*AD105," ")</f>
        <v xml:space="preserve"> </v>
      </c>
      <c r="BE105" s="67"/>
      <c r="BF105" s="67"/>
    </row>
    <row r="106" spans="1:58" x14ac:dyDescent="0.25">
      <c r="A106" s="26" t="str">
        <f>IF(B106="", "", 'Lookup Tables'!AW107)</f>
        <v/>
      </c>
      <c r="B106" s="26" t="str">
        <f>IF(OR('Lighting Inventory'!Y114="", 'Lighting Inventory'!V114="No Change"),"", 'Lighting Inventory'!Y114)</f>
        <v/>
      </c>
      <c r="C106" s="26" t="str">
        <f>IF(B106="", "", IF('Lighting Inventory'!Y114='Lookup Tables'!$Y$32, 'Lighting Inventory'!AJ114, IF(AD106=0, R106, AD106)))</f>
        <v/>
      </c>
      <c r="D106" s="26" t="str">
        <f>IF(B106="", "", 'General Information'!$F$14)</f>
        <v/>
      </c>
      <c r="E106" s="26" t="str">
        <f t="shared" si="6"/>
        <v/>
      </c>
      <c r="F106" s="26" t="str">
        <f>IF(B106="", "", CONCATENATE('General Information'!$F$9, " - ", 'General Information'!$F$14))</f>
        <v/>
      </c>
      <c r="G106" s="26" t="str">
        <f>IF(B106="", "", 'General Information'!$F$15)</f>
        <v/>
      </c>
      <c r="H106" s="26" t="str">
        <f>IF(B106="", "", IF(VLOOKUP(B106, 'Lookup Tables'!$Y$18:$AA$34, 2, FALSE)="Traffic", VLOOKUP('Lighting Inventory'!W114, 'Lookup Tables'!#REF!, 11, FALSE), VLOOKUP(B106, 'Lookup Tables'!$Y$18:$AA$34, 2, FALSE)))</f>
        <v/>
      </c>
      <c r="I106" s="26" t="str">
        <f>IF(B106="", "", CONCATENATE(D106, 'Data Export'!A106))</f>
        <v/>
      </c>
      <c r="J106" s="26" t="str">
        <f>IF(B106="", "", 'Lookup Tables'!$B$1)</f>
        <v/>
      </c>
      <c r="K106" s="26" t="str">
        <f>IF(B106="", "", 'Lighting Inventory'!B114)</f>
        <v/>
      </c>
      <c r="L106" s="26" t="str">
        <f>IF(B106="", "", 'Lighting Inventory'!C114)</f>
        <v/>
      </c>
      <c r="M106" s="26" t="str">
        <f>IF(B106="", "",'Lighting Inventory'!D114)</f>
        <v/>
      </c>
      <c r="N106" s="26" t="str">
        <f>IF(B106="", "",'Lighting Inventory'!E114)</f>
        <v/>
      </c>
      <c r="O106" s="26" t="str">
        <f>IF(B106="", "", 'Lighting Inventory'!F114)</f>
        <v/>
      </c>
      <c r="P106" s="26" t="str">
        <f>IF(B106="", "", 'Lighting Inventory'!G114)</f>
        <v/>
      </c>
      <c r="Q106" s="26" t="str">
        <f>IF(B106="", "", 'Lighting Inventory'!H114)</f>
        <v/>
      </c>
      <c r="R106" s="26" t="str">
        <f>IF(B106="", "", 'Lighting Inventory'!I114)</f>
        <v/>
      </c>
      <c r="S106" s="26" t="str">
        <f>IF(B106="", "", 'Lighting Inventory'!J114)</f>
        <v/>
      </c>
      <c r="T106" s="26" t="str">
        <f>IFERROR(IF(B106="","",VLOOKUP(S106,'Fixture Identities'!$A$7:$G$1023,5,FALSE)), "New Construction")</f>
        <v/>
      </c>
      <c r="U106" s="26" t="str">
        <f>IFERROR(IF(B106="", "", IF(K106="New Construction", "NC", IF(VLOOKUP(S106, 'Fixture Identities'!$A$7:$I$1023,3, FALSE)="T12 Linear Fluorescent", VLOOKUP(S106, 'Fixture Identities'!$A$7:$K$1012, 11, FALSE), S106))), "")</f>
        <v/>
      </c>
      <c r="V106" s="26" t="str">
        <f>IFERROR(IF(OR(B106="", U106=0), "", VLOOKUP(U106, 'Fixture Identities'!$A$7:$G$1023, 5, FALSE)), "")</f>
        <v/>
      </c>
      <c r="W106" s="26" t="str">
        <f>IF(B106="", "",'Lighting Inventory'!K114)</f>
        <v/>
      </c>
      <c r="X106" s="65" t="str">
        <f>IF(B106="", "", 'Lighting Inventory'!L114)</f>
        <v/>
      </c>
      <c r="Y106" s="26" t="str">
        <f>IF(B106="", "", IF('Lighting Inventory'!M114="", "Light Switch",'Lighting Inventory'!M114))</f>
        <v/>
      </c>
      <c r="Z106" s="26" t="str">
        <f>IF(OR(K106="Retrofit", B106=""), "", 'Lighting Inventory'!N114)</f>
        <v/>
      </c>
      <c r="AA106" s="26" t="str">
        <f>IF(OR(Z106="",B106=""), "", 'Lighting Inventory'!O114)</f>
        <v/>
      </c>
      <c r="AB106" s="26" t="str">
        <f>IF(B106="", "", 'Lighting Inventory'!P114)</f>
        <v/>
      </c>
      <c r="AC106" s="96" t="str">
        <f>IF(B106="", "", 'Lighting Inventory'!R114)</f>
        <v/>
      </c>
      <c r="AD106" s="26" t="str">
        <f>IF(B106="", "", 'Lighting Inventory'!S114)</f>
        <v/>
      </c>
      <c r="AE106" s="26" t="str">
        <f>IF(B106="", "", 'Lighting Inventory'!V114)</f>
        <v/>
      </c>
      <c r="AF106" s="26" t="str">
        <f>IF(B106="", "", 'Lighting Inventory'!W114)</f>
        <v/>
      </c>
      <c r="AG106" s="26" t="str">
        <f>IF(OR(AF106="", B106=""), "", IF(AE106="Custom", "0", VLOOKUP(AF106, 'Lookup Tables'!$AI$6:$AP$102, 8, FALSE)))</f>
        <v/>
      </c>
      <c r="AH106" s="26" t="str">
        <f>IF(B106="", "", 'Lighting Inventory'!AD114)</f>
        <v/>
      </c>
      <c r="AI106" s="26" t="str">
        <f>IF(OR('Lighting Inventory'!AK114="", B106=""), "", 'Lighting Inventory'!AK114)</f>
        <v/>
      </c>
      <c r="AJ106" s="66" t="str">
        <f>IF(B106="", "", 'Lighting Inventory'!AL114)</f>
        <v/>
      </c>
      <c r="AK106" s="65" t="str">
        <f>IF(B106="", "", 'Lighting Inventory'!AM114)</f>
        <v/>
      </c>
      <c r="AL106" s="26" t="str">
        <f>IF(B106="", "", 'Lighting Inventory'!AN114)</f>
        <v/>
      </c>
      <c r="AM106" s="26" t="str">
        <f t="shared" si="5"/>
        <v/>
      </c>
      <c r="AN106" s="26" t="str">
        <f>IF(B106="","",IF('Lighting Inventory'!AV114="","Prescribed",'Lighting Inventory'!AV114))</f>
        <v/>
      </c>
      <c r="AO106" s="66" t="str">
        <f>IF(B106="", "", 'Lighting Inventory'!AX114)</f>
        <v/>
      </c>
      <c r="AP106" s="67" t="str">
        <f>IF(B106="", "", 'Lighting Inventory'!AZ114)</f>
        <v/>
      </c>
      <c r="AQ106" s="67" t="str">
        <f>IF(B106="", "", 'Lighting Inventory'!BA114)</f>
        <v/>
      </c>
      <c r="AR106" s="67" t="str">
        <f>IF(B106="", "", 'Lighting Inventory'!BB114)</f>
        <v/>
      </c>
      <c r="AS106" s="67" t="str">
        <f>IF(B106="", "", 'Lighting Inventory'!BC114)</f>
        <v/>
      </c>
      <c r="AT106" s="67" t="str">
        <f>IF(B106="", "", 'Lighting Inventory'!BD114)</f>
        <v/>
      </c>
      <c r="AU106" s="67" t="str">
        <f>IF(B106="", "", 'Lighting Inventory'!BE114)</f>
        <v/>
      </c>
      <c r="AV106" s="67" t="str">
        <f>IF(B106="", "", 'Lighting Inventory'!BE114)</f>
        <v/>
      </c>
      <c r="AW106" s="67" t="str">
        <f>IF(B106="", "", 'Lighting Inventory'!BF114)</f>
        <v/>
      </c>
      <c r="AX106" s="67" t="str">
        <f>IF(B106="", "", 'Lighting Inventory'!BF114)</f>
        <v/>
      </c>
      <c r="AY106" s="65" t="str">
        <f t="shared" si="7"/>
        <v/>
      </c>
      <c r="AZ106" s="65" t="str">
        <f>IF(B106="", "", 'Lighting Inventory'!BJ114)</f>
        <v/>
      </c>
      <c r="BA106" s="65" t="str">
        <f>IF(B106="", "", 'Lighting Inventory'!BM114)</f>
        <v/>
      </c>
      <c r="BB106" s="65" t="str">
        <f>IF(B106="","",SUM('Lighting Inventory'!BP114:BP114))</f>
        <v/>
      </c>
      <c r="BC106" s="67" t="str">
        <f>IF(OR(AE106="", B106=""),"", 'Lighting Inventory'!GR114)</f>
        <v/>
      </c>
      <c r="BD106" s="67" t="str">
        <f>IFERROR(IF(B106="", "", 'Lighting Inventory'!AF114)*AD106," ")</f>
        <v xml:space="preserve"> </v>
      </c>
      <c r="BE106" s="67"/>
      <c r="BF106" s="67"/>
    </row>
    <row r="107" spans="1:58" x14ac:dyDescent="0.25">
      <c r="A107" s="26" t="str">
        <f>IF(B107="", "", 'Lookup Tables'!AW108)</f>
        <v/>
      </c>
      <c r="B107" s="26" t="str">
        <f>IF(OR('Lighting Inventory'!Y115="", 'Lighting Inventory'!V115="No Change"),"", 'Lighting Inventory'!Y115)</f>
        <v/>
      </c>
      <c r="C107" s="26" t="str">
        <f>IF(B107="", "", IF('Lighting Inventory'!Y115='Lookup Tables'!$Y$32, 'Lighting Inventory'!AJ115, IF(AD107=0, R107, AD107)))</f>
        <v/>
      </c>
      <c r="D107" s="26" t="str">
        <f>IF(B107="", "", 'General Information'!$F$14)</f>
        <v/>
      </c>
      <c r="E107" s="26" t="str">
        <f t="shared" si="6"/>
        <v/>
      </c>
      <c r="F107" s="26" t="str">
        <f>IF(B107="", "", CONCATENATE('General Information'!$F$9, " - ", 'General Information'!$F$14))</f>
        <v/>
      </c>
      <c r="G107" s="26" t="str">
        <f>IF(B107="", "", 'General Information'!$F$15)</f>
        <v/>
      </c>
      <c r="H107" s="26" t="str">
        <f>IF(B107="", "", IF(VLOOKUP(B107, 'Lookup Tables'!$Y$18:$AA$34, 2, FALSE)="Traffic", VLOOKUP('Lighting Inventory'!W115, 'Lookup Tables'!#REF!, 11, FALSE), VLOOKUP(B107, 'Lookup Tables'!$Y$18:$AA$34, 2, FALSE)))</f>
        <v/>
      </c>
      <c r="I107" s="26" t="str">
        <f>IF(B107="", "", CONCATENATE(D107, 'Data Export'!A107))</f>
        <v/>
      </c>
      <c r="J107" s="26" t="str">
        <f>IF(B107="", "", 'Lookup Tables'!$B$1)</f>
        <v/>
      </c>
      <c r="K107" s="26" t="str">
        <f>IF(B107="", "", 'Lighting Inventory'!B115)</f>
        <v/>
      </c>
      <c r="L107" s="26" t="str">
        <f>IF(B107="", "", 'Lighting Inventory'!C115)</f>
        <v/>
      </c>
      <c r="M107" s="26" t="str">
        <f>IF(B107="", "",'Lighting Inventory'!D115)</f>
        <v/>
      </c>
      <c r="N107" s="26" t="str">
        <f>IF(B107="", "",'Lighting Inventory'!E115)</f>
        <v/>
      </c>
      <c r="O107" s="26" t="str">
        <f>IF(B107="", "", 'Lighting Inventory'!F115)</f>
        <v/>
      </c>
      <c r="P107" s="26" t="str">
        <f>IF(B107="", "", 'Lighting Inventory'!G115)</f>
        <v/>
      </c>
      <c r="Q107" s="26" t="str">
        <f>IF(B107="", "", 'Lighting Inventory'!H115)</f>
        <v/>
      </c>
      <c r="R107" s="26" t="str">
        <f>IF(B107="", "", 'Lighting Inventory'!I115)</f>
        <v/>
      </c>
      <c r="S107" s="26" t="str">
        <f>IF(B107="", "", 'Lighting Inventory'!J115)</f>
        <v/>
      </c>
      <c r="T107" s="26" t="str">
        <f>IFERROR(IF(B107="","",VLOOKUP(S107,'Fixture Identities'!$A$7:$G$1023,5,FALSE)), "New Construction")</f>
        <v/>
      </c>
      <c r="U107" s="26" t="str">
        <f>IFERROR(IF(B107="", "", IF(K107="New Construction", "NC", IF(VLOOKUP(S107, 'Fixture Identities'!$A$7:$I$1023,3, FALSE)="T12 Linear Fluorescent", VLOOKUP(S107, 'Fixture Identities'!$A$7:$K$1012, 11, FALSE), S107))), "")</f>
        <v/>
      </c>
      <c r="V107" s="26" t="str">
        <f>IFERROR(IF(OR(B107="", U107=0), "", VLOOKUP(U107, 'Fixture Identities'!$A$7:$G$1023, 5, FALSE)), "")</f>
        <v/>
      </c>
      <c r="W107" s="26" t="str">
        <f>IF(B107="", "",'Lighting Inventory'!K115)</f>
        <v/>
      </c>
      <c r="X107" s="65" t="str">
        <f>IF(B107="", "", 'Lighting Inventory'!L115)</f>
        <v/>
      </c>
      <c r="Y107" s="26" t="str">
        <f>IF(B107="", "", IF('Lighting Inventory'!M115="", "Light Switch",'Lighting Inventory'!M115))</f>
        <v/>
      </c>
      <c r="Z107" s="26" t="str">
        <f>IF(OR(K107="Retrofit", B107=""), "", 'Lighting Inventory'!N115)</f>
        <v/>
      </c>
      <c r="AA107" s="26" t="str">
        <f>IF(OR(Z107="",B107=""), "", 'Lighting Inventory'!O115)</f>
        <v/>
      </c>
      <c r="AB107" s="26" t="str">
        <f>IF(B107="", "", 'Lighting Inventory'!P115)</f>
        <v/>
      </c>
      <c r="AC107" s="96" t="str">
        <f>IF(B107="", "", 'Lighting Inventory'!R115)</f>
        <v/>
      </c>
      <c r="AD107" s="26" t="str">
        <f>IF(B107="", "", 'Lighting Inventory'!S115)</f>
        <v/>
      </c>
      <c r="AE107" s="26" t="str">
        <f>IF(B107="", "", 'Lighting Inventory'!V115)</f>
        <v/>
      </c>
      <c r="AF107" s="26" t="str">
        <f>IF(B107="", "", 'Lighting Inventory'!W115)</f>
        <v/>
      </c>
      <c r="AG107" s="26" t="str">
        <f>IF(OR(AF107="", B107=""), "", IF(AE107="Custom", "0", VLOOKUP(AF107, 'Lookup Tables'!$AI$6:$AP$102, 8, FALSE)))</f>
        <v/>
      </c>
      <c r="AH107" s="26" t="str">
        <f>IF(B107="", "", 'Lighting Inventory'!AD115)</f>
        <v/>
      </c>
      <c r="AI107" s="26" t="str">
        <f>IF(OR('Lighting Inventory'!AK115="", B107=""), "", 'Lighting Inventory'!AK115)</f>
        <v/>
      </c>
      <c r="AJ107" s="66" t="str">
        <f>IF(B107="", "", 'Lighting Inventory'!AL115)</f>
        <v/>
      </c>
      <c r="AK107" s="65" t="str">
        <f>IF(B107="", "", 'Lighting Inventory'!AM115)</f>
        <v/>
      </c>
      <c r="AL107" s="26" t="str">
        <f>IF(B107="", "", 'Lighting Inventory'!AN115)</f>
        <v/>
      </c>
      <c r="AM107" s="26" t="str">
        <f t="shared" si="5"/>
        <v/>
      </c>
      <c r="AN107" s="26" t="str">
        <f>IF(B107="","",IF('Lighting Inventory'!AV115="","Prescribed",'Lighting Inventory'!AV115))</f>
        <v/>
      </c>
      <c r="AO107" s="66" t="str">
        <f>IF(B107="", "", 'Lighting Inventory'!AX115)</f>
        <v/>
      </c>
      <c r="AP107" s="67" t="str">
        <f>IF(B107="", "", 'Lighting Inventory'!AZ115)</f>
        <v/>
      </c>
      <c r="AQ107" s="67" t="str">
        <f>IF(B107="", "", 'Lighting Inventory'!BA115)</f>
        <v/>
      </c>
      <c r="AR107" s="67" t="str">
        <f>IF(B107="", "", 'Lighting Inventory'!BB115)</f>
        <v/>
      </c>
      <c r="AS107" s="67" t="str">
        <f>IF(B107="", "", 'Lighting Inventory'!BC115)</f>
        <v/>
      </c>
      <c r="AT107" s="67" t="str">
        <f>IF(B107="", "", 'Lighting Inventory'!BD115)</f>
        <v/>
      </c>
      <c r="AU107" s="67" t="str">
        <f>IF(B107="", "", 'Lighting Inventory'!BE115)</f>
        <v/>
      </c>
      <c r="AV107" s="67" t="str">
        <f>IF(B107="", "", 'Lighting Inventory'!BE115)</f>
        <v/>
      </c>
      <c r="AW107" s="67" t="str">
        <f>IF(B107="", "", 'Lighting Inventory'!BF115)</f>
        <v/>
      </c>
      <c r="AX107" s="67" t="str">
        <f>IF(B107="", "", 'Lighting Inventory'!BF115)</f>
        <v/>
      </c>
      <c r="AY107" s="65" t="str">
        <f t="shared" si="7"/>
        <v/>
      </c>
      <c r="AZ107" s="65" t="str">
        <f>IF(B107="", "", 'Lighting Inventory'!BJ115)</f>
        <v/>
      </c>
      <c r="BA107" s="65" t="str">
        <f>IF(B107="", "", 'Lighting Inventory'!BM115)</f>
        <v/>
      </c>
      <c r="BB107" s="65" t="str">
        <f>IF(B107="","",SUM('Lighting Inventory'!BP115:BP115))</f>
        <v/>
      </c>
      <c r="BC107" s="67" t="str">
        <f>IF(OR(AE107="", B107=""),"", 'Lighting Inventory'!GR115)</f>
        <v/>
      </c>
      <c r="BD107" s="67" t="str">
        <f>IFERROR(IF(B107="", "", 'Lighting Inventory'!AF115)*AD107," ")</f>
        <v xml:space="preserve"> </v>
      </c>
      <c r="BE107" s="67"/>
      <c r="BF107" s="67"/>
    </row>
    <row r="108" spans="1:58" x14ac:dyDescent="0.25">
      <c r="A108" s="26" t="str">
        <f>IF(B108="", "", 'Lookup Tables'!AW109)</f>
        <v/>
      </c>
      <c r="B108" s="26" t="str">
        <f>IF(OR('Lighting Inventory'!Y116="", 'Lighting Inventory'!V116="No Change"),"", 'Lighting Inventory'!Y116)</f>
        <v/>
      </c>
      <c r="C108" s="26" t="str">
        <f>IF(B108="", "", IF('Lighting Inventory'!Y116='Lookup Tables'!$Y$32, 'Lighting Inventory'!AJ116, IF(AD108=0, R108, AD108)))</f>
        <v/>
      </c>
      <c r="D108" s="26" t="str">
        <f>IF(B108="", "", 'General Information'!$F$14)</f>
        <v/>
      </c>
      <c r="E108" s="26" t="str">
        <f t="shared" si="6"/>
        <v/>
      </c>
      <c r="F108" s="26" t="str">
        <f>IF(B108="", "", CONCATENATE('General Information'!$F$9, " - ", 'General Information'!$F$14))</f>
        <v/>
      </c>
      <c r="G108" s="26" t="str">
        <f>IF(B108="", "", 'General Information'!$F$15)</f>
        <v/>
      </c>
      <c r="H108" s="26" t="str">
        <f>IF(B108="", "", IF(VLOOKUP(B108, 'Lookup Tables'!$Y$18:$AA$34, 2, FALSE)="Traffic", VLOOKUP('Lighting Inventory'!W116, 'Lookup Tables'!#REF!, 11, FALSE), VLOOKUP(B108, 'Lookup Tables'!$Y$18:$AA$34, 2, FALSE)))</f>
        <v/>
      </c>
      <c r="I108" s="26" t="str">
        <f>IF(B108="", "", CONCATENATE(D108, 'Data Export'!A108))</f>
        <v/>
      </c>
      <c r="J108" s="26" t="str">
        <f>IF(B108="", "", 'Lookup Tables'!$B$1)</f>
        <v/>
      </c>
      <c r="K108" s="26" t="str">
        <f>IF(B108="", "", 'Lighting Inventory'!B116)</f>
        <v/>
      </c>
      <c r="L108" s="26" t="str">
        <f>IF(B108="", "", 'Lighting Inventory'!C116)</f>
        <v/>
      </c>
      <c r="M108" s="26" t="str">
        <f>IF(B108="", "",'Lighting Inventory'!D116)</f>
        <v/>
      </c>
      <c r="N108" s="26" t="str">
        <f>IF(B108="", "",'Lighting Inventory'!E116)</f>
        <v/>
      </c>
      <c r="O108" s="26" t="str">
        <f>IF(B108="", "", 'Lighting Inventory'!F116)</f>
        <v/>
      </c>
      <c r="P108" s="26" t="str">
        <f>IF(B108="", "", 'Lighting Inventory'!G116)</f>
        <v/>
      </c>
      <c r="Q108" s="26" t="str">
        <f>IF(B108="", "", 'Lighting Inventory'!H116)</f>
        <v/>
      </c>
      <c r="R108" s="26" t="str">
        <f>IF(B108="", "", 'Lighting Inventory'!I116)</f>
        <v/>
      </c>
      <c r="S108" s="26" t="str">
        <f>IF(B108="", "", 'Lighting Inventory'!J116)</f>
        <v/>
      </c>
      <c r="T108" s="26" t="str">
        <f>IFERROR(IF(B108="","",VLOOKUP(S108,'Fixture Identities'!$A$7:$G$1023,5,FALSE)), "New Construction")</f>
        <v/>
      </c>
      <c r="U108" s="26" t="str">
        <f>IFERROR(IF(B108="", "", IF(K108="New Construction", "NC", IF(VLOOKUP(S108, 'Fixture Identities'!$A$7:$I$1023,3, FALSE)="T12 Linear Fluorescent", VLOOKUP(S108, 'Fixture Identities'!$A$7:$K$1012, 11, FALSE), S108))), "")</f>
        <v/>
      </c>
      <c r="V108" s="26" t="str">
        <f>IFERROR(IF(OR(B108="", U108=0), "", VLOOKUP(U108, 'Fixture Identities'!$A$7:$G$1023, 5, FALSE)), "")</f>
        <v/>
      </c>
      <c r="W108" s="26" t="str">
        <f>IF(B108="", "",'Lighting Inventory'!K116)</f>
        <v/>
      </c>
      <c r="X108" s="65" t="str">
        <f>IF(B108="", "", 'Lighting Inventory'!L116)</f>
        <v/>
      </c>
      <c r="Y108" s="26" t="str">
        <f>IF(B108="", "", IF('Lighting Inventory'!M116="", "Light Switch",'Lighting Inventory'!M116))</f>
        <v/>
      </c>
      <c r="Z108" s="26" t="str">
        <f>IF(OR(K108="Retrofit", B108=""), "", 'Lighting Inventory'!N116)</f>
        <v/>
      </c>
      <c r="AA108" s="26" t="str">
        <f>IF(OR(Z108="",B108=""), "", 'Lighting Inventory'!O116)</f>
        <v/>
      </c>
      <c r="AB108" s="26" t="str">
        <f>IF(B108="", "", 'Lighting Inventory'!P116)</f>
        <v/>
      </c>
      <c r="AC108" s="96" t="str">
        <f>IF(B108="", "", 'Lighting Inventory'!R116)</f>
        <v/>
      </c>
      <c r="AD108" s="26" t="str">
        <f>IF(B108="", "", 'Lighting Inventory'!S116)</f>
        <v/>
      </c>
      <c r="AE108" s="26" t="str">
        <f>IF(B108="", "", 'Lighting Inventory'!V116)</f>
        <v/>
      </c>
      <c r="AF108" s="26" t="str">
        <f>IF(B108="", "", 'Lighting Inventory'!W116)</f>
        <v/>
      </c>
      <c r="AG108" s="26" t="str">
        <f>IF(OR(AF108="", B108=""), "", IF(AE108="Custom", "0", VLOOKUP(AF108, 'Lookup Tables'!$AI$6:$AP$102, 8, FALSE)))</f>
        <v/>
      </c>
      <c r="AH108" s="26" t="str">
        <f>IF(B108="", "", 'Lighting Inventory'!AD116)</f>
        <v/>
      </c>
      <c r="AI108" s="26" t="str">
        <f>IF(OR('Lighting Inventory'!AK116="", B108=""), "", 'Lighting Inventory'!AK116)</f>
        <v/>
      </c>
      <c r="AJ108" s="66" t="str">
        <f>IF(B108="", "", 'Lighting Inventory'!AL116)</f>
        <v/>
      </c>
      <c r="AK108" s="65" t="str">
        <f>IF(B108="", "", 'Lighting Inventory'!AM116)</f>
        <v/>
      </c>
      <c r="AL108" s="26" t="str">
        <f>IF(B108="", "", 'Lighting Inventory'!AN116)</f>
        <v/>
      </c>
      <c r="AM108" s="26" t="str">
        <f t="shared" si="5"/>
        <v/>
      </c>
      <c r="AN108" s="26" t="str">
        <f>IF(B108="","",IF('Lighting Inventory'!AV116="","Prescribed",'Lighting Inventory'!AV116))</f>
        <v/>
      </c>
      <c r="AO108" s="66" t="str">
        <f>IF(B108="", "", 'Lighting Inventory'!AX116)</f>
        <v/>
      </c>
      <c r="AP108" s="67" t="str">
        <f>IF(B108="", "", 'Lighting Inventory'!AZ116)</f>
        <v/>
      </c>
      <c r="AQ108" s="67" t="str">
        <f>IF(B108="", "", 'Lighting Inventory'!BA116)</f>
        <v/>
      </c>
      <c r="AR108" s="67" t="str">
        <f>IF(B108="", "", 'Lighting Inventory'!BB116)</f>
        <v/>
      </c>
      <c r="AS108" s="67" t="str">
        <f>IF(B108="", "", 'Lighting Inventory'!BC116)</f>
        <v/>
      </c>
      <c r="AT108" s="67" t="str">
        <f>IF(B108="", "", 'Lighting Inventory'!BD116)</f>
        <v/>
      </c>
      <c r="AU108" s="67" t="str">
        <f>IF(B108="", "", 'Lighting Inventory'!BE116)</f>
        <v/>
      </c>
      <c r="AV108" s="67" t="str">
        <f>IF(B108="", "", 'Lighting Inventory'!BE116)</f>
        <v/>
      </c>
      <c r="AW108" s="67" t="str">
        <f>IF(B108="", "", 'Lighting Inventory'!BF116)</f>
        <v/>
      </c>
      <c r="AX108" s="67" t="str">
        <f>IF(B108="", "", 'Lighting Inventory'!BF116)</f>
        <v/>
      </c>
      <c r="AY108" s="65" t="str">
        <f t="shared" si="7"/>
        <v/>
      </c>
      <c r="AZ108" s="65" t="str">
        <f>IF(B108="", "", 'Lighting Inventory'!BJ116)</f>
        <v/>
      </c>
      <c r="BA108" s="65" t="str">
        <f>IF(B108="", "", 'Lighting Inventory'!BM116)</f>
        <v/>
      </c>
      <c r="BB108" s="65" t="str">
        <f>IF(B108="","",SUM('Lighting Inventory'!BP116:BP116))</f>
        <v/>
      </c>
      <c r="BC108" s="67" t="str">
        <f>IF(OR(AE108="", B108=""),"", 'Lighting Inventory'!GR116)</f>
        <v/>
      </c>
      <c r="BD108" s="67" t="str">
        <f>IFERROR(IF(B108="", "", 'Lighting Inventory'!AF116)*AD108," ")</f>
        <v xml:space="preserve"> </v>
      </c>
      <c r="BE108" s="67"/>
      <c r="BF108" s="67"/>
    </row>
    <row r="109" spans="1:58" x14ac:dyDescent="0.25">
      <c r="A109" s="26" t="str">
        <f>IF(B109="", "", 'Lookup Tables'!AW110)</f>
        <v/>
      </c>
      <c r="B109" s="26" t="str">
        <f>IF(OR('Lighting Inventory'!Y117="", 'Lighting Inventory'!V117="No Change"),"", 'Lighting Inventory'!Y117)</f>
        <v/>
      </c>
      <c r="C109" s="26" t="str">
        <f>IF(B109="", "", IF('Lighting Inventory'!Y117='Lookup Tables'!$Y$32, 'Lighting Inventory'!AJ117, IF(AD109=0, R109, AD109)))</f>
        <v/>
      </c>
      <c r="D109" s="26" t="str">
        <f>IF(B109="", "", 'General Information'!$F$14)</f>
        <v/>
      </c>
      <c r="E109" s="26" t="str">
        <f t="shared" si="6"/>
        <v/>
      </c>
      <c r="F109" s="26" t="str">
        <f>IF(B109="", "", CONCATENATE('General Information'!$F$9, " - ", 'General Information'!$F$14))</f>
        <v/>
      </c>
      <c r="G109" s="26" t="str">
        <f>IF(B109="", "", 'General Information'!$F$15)</f>
        <v/>
      </c>
      <c r="H109" s="26" t="str">
        <f>IF(B109="", "", IF(VLOOKUP(B109, 'Lookup Tables'!$Y$18:$AA$34, 2, FALSE)="Traffic", VLOOKUP('Lighting Inventory'!W117, 'Lookup Tables'!#REF!, 11, FALSE), VLOOKUP(B109, 'Lookup Tables'!$Y$18:$AA$34, 2, FALSE)))</f>
        <v/>
      </c>
      <c r="I109" s="26" t="str">
        <f>IF(B109="", "", CONCATENATE(D109, 'Data Export'!A109))</f>
        <v/>
      </c>
      <c r="J109" s="26" t="str">
        <f>IF(B109="", "", 'Lookup Tables'!$B$1)</f>
        <v/>
      </c>
      <c r="K109" s="26" t="str">
        <f>IF(B109="", "", 'Lighting Inventory'!B117)</f>
        <v/>
      </c>
      <c r="L109" s="26" t="str">
        <f>IF(B109="", "", 'Lighting Inventory'!C117)</f>
        <v/>
      </c>
      <c r="M109" s="26" t="str">
        <f>IF(B109="", "",'Lighting Inventory'!D117)</f>
        <v/>
      </c>
      <c r="N109" s="26" t="str">
        <f>IF(B109="", "",'Lighting Inventory'!E117)</f>
        <v/>
      </c>
      <c r="O109" s="26" t="str">
        <f>IF(B109="", "", 'Lighting Inventory'!F117)</f>
        <v/>
      </c>
      <c r="P109" s="26" t="str">
        <f>IF(B109="", "", 'Lighting Inventory'!G117)</f>
        <v/>
      </c>
      <c r="Q109" s="26" t="str">
        <f>IF(B109="", "", 'Lighting Inventory'!H117)</f>
        <v/>
      </c>
      <c r="R109" s="26" t="str">
        <f>IF(B109="", "", 'Lighting Inventory'!I117)</f>
        <v/>
      </c>
      <c r="S109" s="26" t="str">
        <f>IF(B109="", "", 'Lighting Inventory'!J117)</f>
        <v/>
      </c>
      <c r="T109" s="26" t="str">
        <f>IFERROR(IF(B109="","",VLOOKUP(S109,'Fixture Identities'!$A$7:$G$1023,5,FALSE)), "New Construction")</f>
        <v/>
      </c>
      <c r="U109" s="26" t="str">
        <f>IFERROR(IF(B109="", "", IF(K109="New Construction", "NC", IF(VLOOKUP(S109, 'Fixture Identities'!$A$7:$I$1023,3, FALSE)="T12 Linear Fluorescent", VLOOKUP(S109, 'Fixture Identities'!$A$7:$K$1012, 11, FALSE), S109))), "")</f>
        <v/>
      </c>
      <c r="V109" s="26" t="str">
        <f>IFERROR(IF(OR(B109="", U109=0), "", VLOOKUP(U109, 'Fixture Identities'!$A$7:$G$1023, 5, FALSE)), "")</f>
        <v/>
      </c>
      <c r="W109" s="26" t="str">
        <f>IF(B109="", "",'Lighting Inventory'!K117)</f>
        <v/>
      </c>
      <c r="X109" s="65" t="str">
        <f>IF(B109="", "", 'Lighting Inventory'!L117)</f>
        <v/>
      </c>
      <c r="Y109" s="26" t="str">
        <f>IF(B109="", "", IF('Lighting Inventory'!M117="", "Light Switch",'Lighting Inventory'!M117))</f>
        <v/>
      </c>
      <c r="Z109" s="26" t="str">
        <f>IF(OR(K109="Retrofit", B109=""), "", 'Lighting Inventory'!N117)</f>
        <v/>
      </c>
      <c r="AA109" s="26" t="str">
        <f>IF(OR(Z109="",B109=""), "", 'Lighting Inventory'!O117)</f>
        <v/>
      </c>
      <c r="AB109" s="26" t="str">
        <f>IF(B109="", "", 'Lighting Inventory'!P117)</f>
        <v/>
      </c>
      <c r="AC109" s="96" t="str">
        <f>IF(B109="", "", 'Lighting Inventory'!R117)</f>
        <v/>
      </c>
      <c r="AD109" s="26" t="str">
        <f>IF(B109="", "", 'Lighting Inventory'!S117)</f>
        <v/>
      </c>
      <c r="AE109" s="26" t="str">
        <f>IF(B109="", "", 'Lighting Inventory'!V117)</f>
        <v/>
      </c>
      <c r="AF109" s="26" t="str">
        <f>IF(B109="", "", 'Lighting Inventory'!W117)</f>
        <v/>
      </c>
      <c r="AG109" s="26" t="str">
        <f>IF(OR(AF109="", B109=""), "", IF(AE109="Custom", "0", VLOOKUP(AF109, 'Lookup Tables'!$AI$6:$AP$102, 8, FALSE)))</f>
        <v/>
      </c>
      <c r="AH109" s="26" t="str">
        <f>IF(B109="", "", 'Lighting Inventory'!AD117)</f>
        <v/>
      </c>
      <c r="AI109" s="26" t="str">
        <f>IF(OR('Lighting Inventory'!AK117="", B109=""), "", 'Lighting Inventory'!AK117)</f>
        <v/>
      </c>
      <c r="AJ109" s="66" t="str">
        <f>IF(B109="", "", 'Lighting Inventory'!AL117)</f>
        <v/>
      </c>
      <c r="AK109" s="65" t="str">
        <f>IF(B109="", "", 'Lighting Inventory'!AM117)</f>
        <v/>
      </c>
      <c r="AL109" s="26" t="str">
        <f>IF(B109="", "", 'Lighting Inventory'!AN117)</f>
        <v/>
      </c>
      <c r="AM109" s="26" t="str">
        <f t="shared" si="5"/>
        <v/>
      </c>
      <c r="AN109" s="26" t="str">
        <f>IF(B109="","",IF('Lighting Inventory'!AV117="","Prescribed",'Lighting Inventory'!AV117))</f>
        <v/>
      </c>
      <c r="AO109" s="66" t="str">
        <f>IF(B109="", "", 'Lighting Inventory'!AX117)</f>
        <v/>
      </c>
      <c r="AP109" s="67" t="str">
        <f>IF(B109="", "", 'Lighting Inventory'!AZ117)</f>
        <v/>
      </c>
      <c r="AQ109" s="67" t="str">
        <f>IF(B109="", "", 'Lighting Inventory'!BA117)</f>
        <v/>
      </c>
      <c r="AR109" s="67" t="str">
        <f>IF(B109="", "", 'Lighting Inventory'!BB117)</f>
        <v/>
      </c>
      <c r="AS109" s="67" t="str">
        <f>IF(B109="", "", 'Lighting Inventory'!BC117)</f>
        <v/>
      </c>
      <c r="AT109" s="67" t="str">
        <f>IF(B109="", "", 'Lighting Inventory'!BD117)</f>
        <v/>
      </c>
      <c r="AU109" s="67" t="str">
        <f>IF(B109="", "", 'Lighting Inventory'!BE117)</f>
        <v/>
      </c>
      <c r="AV109" s="67" t="str">
        <f>IF(B109="", "", 'Lighting Inventory'!BE117)</f>
        <v/>
      </c>
      <c r="AW109" s="67" t="str">
        <f>IF(B109="", "", 'Lighting Inventory'!BF117)</f>
        <v/>
      </c>
      <c r="AX109" s="67" t="str">
        <f>IF(B109="", "", 'Lighting Inventory'!BF117)</f>
        <v/>
      </c>
      <c r="AY109" s="65" t="str">
        <f t="shared" si="7"/>
        <v/>
      </c>
      <c r="AZ109" s="65" t="str">
        <f>IF(B109="", "", 'Lighting Inventory'!BJ117)</f>
        <v/>
      </c>
      <c r="BA109" s="65" t="str">
        <f>IF(B109="", "", 'Lighting Inventory'!BM117)</f>
        <v/>
      </c>
      <c r="BB109" s="65" t="str">
        <f>IF(B109="","",SUM('Lighting Inventory'!BP117:BP117))</f>
        <v/>
      </c>
      <c r="BC109" s="67" t="str">
        <f>IF(OR(AE109="", B109=""),"", 'Lighting Inventory'!GR117)</f>
        <v/>
      </c>
      <c r="BD109" s="67" t="str">
        <f>IFERROR(IF(B109="", "", 'Lighting Inventory'!AF117)*AD109," ")</f>
        <v xml:space="preserve"> </v>
      </c>
      <c r="BE109" s="67"/>
      <c r="BF109" s="67"/>
    </row>
    <row r="110" spans="1:58" x14ac:dyDescent="0.25">
      <c r="A110" s="26" t="str">
        <f>IF(B110="", "", 'Lookup Tables'!AW111)</f>
        <v/>
      </c>
      <c r="B110" s="26" t="str">
        <f>IF(OR('Lighting Inventory'!Y118="", 'Lighting Inventory'!V118="No Change"),"", 'Lighting Inventory'!Y118)</f>
        <v/>
      </c>
      <c r="C110" s="26" t="str">
        <f>IF(B110="", "", IF('Lighting Inventory'!Y118='Lookup Tables'!$Y$32, 'Lighting Inventory'!AJ118, IF(AD110=0, R110, AD110)))</f>
        <v/>
      </c>
      <c r="D110" s="26" t="str">
        <f>IF(B110="", "", 'General Information'!$F$14)</f>
        <v/>
      </c>
      <c r="E110" s="26" t="str">
        <f t="shared" si="6"/>
        <v/>
      </c>
      <c r="F110" s="26" t="str">
        <f>IF(B110="", "", CONCATENATE('General Information'!$F$9, " - ", 'General Information'!$F$14))</f>
        <v/>
      </c>
      <c r="G110" s="26" t="str">
        <f>IF(B110="", "", 'General Information'!$F$15)</f>
        <v/>
      </c>
      <c r="H110" s="26" t="str">
        <f>IF(B110="", "", IF(VLOOKUP(B110, 'Lookup Tables'!$Y$18:$AA$34, 2, FALSE)="Traffic", VLOOKUP('Lighting Inventory'!W118, 'Lookup Tables'!#REF!, 11, FALSE), VLOOKUP(B110, 'Lookup Tables'!$Y$18:$AA$34, 2, FALSE)))</f>
        <v/>
      </c>
      <c r="I110" s="26" t="str">
        <f>IF(B110="", "", CONCATENATE(D110, 'Data Export'!A110))</f>
        <v/>
      </c>
      <c r="J110" s="26" t="str">
        <f>IF(B110="", "", 'Lookup Tables'!$B$1)</f>
        <v/>
      </c>
      <c r="K110" s="26" t="str">
        <f>IF(B110="", "", 'Lighting Inventory'!B118)</f>
        <v/>
      </c>
      <c r="L110" s="26" t="str">
        <f>IF(B110="", "", 'Lighting Inventory'!C118)</f>
        <v/>
      </c>
      <c r="M110" s="26" t="str">
        <f>IF(B110="", "",'Lighting Inventory'!D118)</f>
        <v/>
      </c>
      <c r="N110" s="26" t="str">
        <f>IF(B110="", "",'Lighting Inventory'!E118)</f>
        <v/>
      </c>
      <c r="O110" s="26" t="str">
        <f>IF(B110="", "", 'Lighting Inventory'!F118)</f>
        <v/>
      </c>
      <c r="P110" s="26" t="str">
        <f>IF(B110="", "", 'Lighting Inventory'!G118)</f>
        <v/>
      </c>
      <c r="Q110" s="26" t="str">
        <f>IF(B110="", "", 'Lighting Inventory'!H118)</f>
        <v/>
      </c>
      <c r="R110" s="26" t="str">
        <f>IF(B110="", "", 'Lighting Inventory'!I118)</f>
        <v/>
      </c>
      <c r="S110" s="26" t="str">
        <f>IF(B110="", "", 'Lighting Inventory'!J118)</f>
        <v/>
      </c>
      <c r="T110" s="26" t="str">
        <f>IFERROR(IF(B110="","",VLOOKUP(S110,'Fixture Identities'!$A$7:$G$1023,5,FALSE)), "New Construction")</f>
        <v/>
      </c>
      <c r="U110" s="26" t="str">
        <f>IFERROR(IF(B110="", "", IF(K110="New Construction", "NC", IF(VLOOKUP(S110, 'Fixture Identities'!$A$7:$I$1023,3, FALSE)="T12 Linear Fluorescent", VLOOKUP(S110, 'Fixture Identities'!$A$7:$K$1012, 11, FALSE), S110))), "")</f>
        <v/>
      </c>
      <c r="V110" s="26" t="str">
        <f>IFERROR(IF(OR(B110="", U110=0), "", VLOOKUP(U110, 'Fixture Identities'!$A$7:$G$1023, 5, FALSE)), "")</f>
        <v/>
      </c>
      <c r="W110" s="26" t="str">
        <f>IF(B110="", "",'Lighting Inventory'!K118)</f>
        <v/>
      </c>
      <c r="X110" s="65" t="str">
        <f>IF(B110="", "", 'Lighting Inventory'!L118)</f>
        <v/>
      </c>
      <c r="Y110" s="26" t="str">
        <f>IF(B110="", "", IF('Lighting Inventory'!M118="", "Light Switch",'Lighting Inventory'!M118))</f>
        <v/>
      </c>
      <c r="Z110" s="26" t="str">
        <f>IF(OR(K110="Retrofit", B110=""), "", 'Lighting Inventory'!N118)</f>
        <v/>
      </c>
      <c r="AA110" s="26" t="str">
        <f>IF(OR(Z110="",B110=""), "", 'Lighting Inventory'!O118)</f>
        <v/>
      </c>
      <c r="AB110" s="26" t="str">
        <f>IF(B110="", "", 'Lighting Inventory'!P118)</f>
        <v/>
      </c>
      <c r="AC110" s="96" t="str">
        <f>IF(B110="", "", 'Lighting Inventory'!R118)</f>
        <v/>
      </c>
      <c r="AD110" s="26" t="str">
        <f>IF(B110="", "", 'Lighting Inventory'!S118)</f>
        <v/>
      </c>
      <c r="AE110" s="26" t="str">
        <f>IF(B110="", "", 'Lighting Inventory'!V118)</f>
        <v/>
      </c>
      <c r="AF110" s="26" t="str">
        <f>IF(B110="", "", 'Lighting Inventory'!W118)</f>
        <v/>
      </c>
      <c r="AG110" s="26" t="str">
        <f>IF(OR(AF110="", B110=""), "", IF(AE110="Custom", "0", VLOOKUP(AF110, 'Lookup Tables'!$AI$6:$AP$102, 8, FALSE)))</f>
        <v/>
      </c>
      <c r="AH110" s="26" t="str">
        <f>IF(B110="", "", 'Lighting Inventory'!AD118)</f>
        <v/>
      </c>
      <c r="AI110" s="26" t="str">
        <f>IF(OR('Lighting Inventory'!AK118="", B110=""), "", 'Lighting Inventory'!AK118)</f>
        <v/>
      </c>
      <c r="AJ110" s="66" t="str">
        <f>IF(B110="", "", 'Lighting Inventory'!AL118)</f>
        <v/>
      </c>
      <c r="AK110" s="65" t="str">
        <f>IF(B110="", "", 'Lighting Inventory'!AM118)</f>
        <v/>
      </c>
      <c r="AL110" s="26" t="str">
        <f>IF(B110="", "", 'Lighting Inventory'!AN118)</f>
        <v/>
      </c>
      <c r="AM110" s="26" t="str">
        <f t="shared" si="5"/>
        <v/>
      </c>
      <c r="AN110" s="26" t="str">
        <f>IF(B110="","",IF('Lighting Inventory'!AV118="","Prescribed",'Lighting Inventory'!AV118))</f>
        <v/>
      </c>
      <c r="AO110" s="66" t="str">
        <f>IF(B110="", "", 'Lighting Inventory'!AX118)</f>
        <v/>
      </c>
      <c r="AP110" s="67" t="str">
        <f>IF(B110="", "", 'Lighting Inventory'!AZ118)</f>
        <v/>
      </c>
      <c r="AQ110" s="67" t="str">
        <f>IF(B110="", "", 'Lighting Inventory'!BA118)</f>
        <v/>
      </c>
      <c r="AR110" s="67" t="str">
        <f>IF(B110="", "", 'Lighting Inventory'!BB118)</f>
        <v/>
      </c>
      <c r="AS110" s="67" t="str">
        <f>IF(B110="", "", 'Lighting Inventory'!BC118)</f>
        <v/>
      </c>
      <c r="AT110" s="67" t="str">
        <f>IF(B110="", "", 'Lighting Inventory'!BD118)</f>
        <v/>
      </c>
      <c r="AU110" s="67" t="str">
        <f>IF(B110="", "", 'Lighting Inventory'!BE118)</f>
        <v/>
      </c>
      <c r="AV110" s="67" t="str">
        <f>IF(B110="", "", 'Lighting Inventory'!BE118)</f>
        <v/>
      </c>
      <c r="AW110" s="67" t="str">
        <f>IF(B110="", "", 'Lighting Inventory'!BF118)</f>
        <v/>
      </c>
      <c r="AX110" s="67" t="str">
        <f>IF(B110="", "", 'Lighting Inventory'!BF118)</f>
        <v/>
      </c>
      <c r="AY110" s="65" t="str">
        <f t="shared" si="7"/>
        <v/>
      </c>
      <c r="AZ110" s="65" t="str">
        <f>IF(B110="", "", 'Lighting Inventory'!BJ118)</f>
        <v/>
      </c>
      <c r="BA110" s="65" t="str">
        <f>IF(B110="", "", 'Lighting Inventory'!BM118)</f>
        <v/>
      </c>
      <c r="BB110" s="65" t="str">
        <f>IF(B110="","",SUM('Lighting Inventory'!BP118:BP118))</f>
        <v/>
      </c>
      <c r="BC110" s="67" t="str">
        <f>IF(OR(AE110="", B110=""),"", 'Lighting Inventory'!GR118)</f>
        <v/>
      </c>
      <c r="BD110" s="67" t="str">
        <f>IFERROR(IF(B110="", "", 'Lighting Inventory'!AF118)*AD110," ")</f>
        <v xml:space="preserve"> </v>
      </c>
      <c r="BE110" s="67"/>
      <c r="BF110" s="67"/>
    </row>
    <row r="111" spans="1:58" x14ac:dyDescent="0.25">
      <c r="A111" s="26" t="str">
        <f>IF(B111="", "", 'Lookup Tables'!AW112)</f>
        <v/>
      </c>
      <c r="B111" s="26" t="str">
        <f>IF(OR('Lighting Inventory'!Y119="", 'Lighting Inventory'!V119="No Change"),"", 'Lighting Inventory'!Y119)</f>
        <v/>
      </c>
      <c r="C111" s="26" t="str">
        <f>IF(B111="", "", IF('Lighting Inventory'!Y119='Lookup Tables'!$Y$32, 'Lighting Inventory'!AJ119, IF(AD111=0, R111, AD111)))</f>
        <v/>
      </c>
      <c r="D111" s="26" t="str">
        <f>IF(B111="", "", 'General Information'!$F$14)</f>
        <v/>
      </c>
      <c r="E111" s="26" t="str">
        <f t="shared" si="6"/>
        <v/>
      </c>
      <c r="F111" s="26" t="str">
        <f>IF(B111="", "", CONCATENATE('General Information'!$F$9, " - ", 'General Information'!$F$14))</f>
        <v/>
      </c>
      <c r="G111" s="26" t="str">
        <f>IF(B111="", "", 'General Information'!$F$15)</f>
        <v/>
      </c>
      <c r="H111" s="26" t="str">
        <f>IF(B111="", "", IF(VLOOKUP(B111, 'Lookup Tables'!$Y$18:$AA$34, 2, FALSE)="Traffic", VLOOKUP('Lighting Inventory'!W119, 'Lookup Tables'!#REF!, 11, FALSE), VLOOKUP(B111, 'Lookup Tables'!$Y$18:$AA$34, 2, FALSE)))</f>
        <v/>
      </c>
      <c r="I111" s="26" t="str">
        <f>IF(B111="", "", CONCATENATE(D111, 'Data Export'!A111))</f>
        <v/>
      </c>
      <c r="J111" s="26" t="str">
        <f>IF(B111="", "", 'Lookup Tables'!$B$1)</f>
        <v/>
      </c>
      <c r="K111" s="26" t="str">
        <f>IF(B111="", "", 'Lighting Inventory'!B119)</f>
        <v/>
      </c>
      <c r="L111" s="26" t="str">
        <f>IF(B111="", "", 'Lighting Inventory'!C119)</f>
        <v/>
      </c>
      <c r="M111" s="26" t="str">
        <f>IF(B111="", "",'Lighting Inventory'!D119)</f>
        <v/>
      </c>
      <c r="N111" s="26" t="str">
        <f>IF(B111="", "",'Lighting Inventory'!E119)</f>
        <v/>
      </c>
      <c r="O111" s="26" t="str">
        <f>IF(B111="", "", 'Lighting Inventory'!F119)</f>
        <v/>
      </c>
      <c r="P111" s="26" t="str">
        <f>IF(B111="", "", 'Lighting Inventory'!G119)</f>
        <v/>
      </c>
      <c r="Q111" s="26" t="str">
        <f>IF(B111="", "", 'Lighting Inventory'!H119)</f>
        <v/>
      </c>
      <c r="R111" s="26" t="str">
        <f>IF(B111="", "", 'Lighting Inventory'!I119)</f>
        <v/>
      </c>
      <c r="S111" s="26" t="str">
        <f>IF(B111="", "", 'Lighting Inventory'!J119)</f>
        <v/>
      </c>
      <c r="T111" s="26" t="str">
        <f>IFERROR(IF(B111="","",VLOOKUP(S111,'Fixture Identities'!$A$7:$G$1023,5,FALSE)), "New Construction")</f>
        <v/>
      </c>
      <c r="U111" s="26" t="str">
        <f>IFERROR(IF(B111="", "", IF(K111="New Construction", "NC", IF(VLOOKUP(S111, 'Fixture Identities'!$A$7:$I$1023,3, FALSE)="T12 Linear Fluorescent", VLOOKUP(S111, 'Fixture Identities'!$A$7:$K$1012, 11, FALSE), S111))), "")</f>
        <v/>
      </c>
      <c r="V111" s="26" t="str">
        <f>IFERROR(IF(OR(B111="", U111=0), "", VLOOKUP(U111, 'Fixture Identities'!$A$7:$G$1023, 5, FALSE)), "")</f>
        <v/>
      </c>
      <c r="W111" s="26" t="str">
        <f>IF(B111="", "",'Lighting Inventory'!K119)</f>
        <v/>
      </c>
      <c r="X111" s="65" t="str">
        <f>IF(B111="", "", 'Lighting Inventory'!L119)</f>
        <v/>
      </c>
      <c r="Y111" s="26" t="str">
        <f>IF(B111="", "", IF('Lighting Inventory'!M119="", "Light Switch",'Lighting Inventory'!M119))</f>
        <v/>
      </c>
      <c r="Z111" s="26" t="str">
        <f>IF(OR(K111="Retrofit", B111=""), "", 'Lighting Inventory'!N119)</f>
        <v/>
      </c>
      <c r="AA111" s="26" t="str">
        <f>IF(OR(Z111="",B111=""), "", 'Lighting Inventory'!O119)</f>
        <v/>
      </c>
      <c r="AB111" s="26" t="str">
        <f>IF(B111="", "", 'Lighting Inventory'!P119)</f>
        <v/>
      </c>
      <c r="AC111" s="96" t="str">
        <f>IF(B111="", "", 'Lighting Inventory'!R119)</f>
        <v/>
      </c>
      <c r="AD111" s="26" t="str">
        <f>IF(B111="", "", 'Lighting Inventory'!S119)</f>
        <v/>
      </c>
      <c r="AE111" s="26" t="str">
        <f>IF(B111="", "", 'Lighting Inventory'!V119)</f>
        <v/>
      </c>
      <c r="AF111" s="26" t="str">
        <f>IF(B111="", "", 'Lighting Inventory'!W119)</f>
        <v/>
      </c>
      <c r="AG111" s="26" t="str">
        <f>IF(OR(AF111="", B111=""), "", IF(AE111="Custom", "0", VLOOKUP(AF111, 'Lookup Tables'!$AI$6:$AP$102, 8, FALSE)))</f>
        <v/>
      </c>
      <c r="AH111" s="26" t="str">
        <f>IF(B111="", "", 'Lighting Inventory'!AD119)</f>
        <v/>
      </c>
      <c r="AI111" s="26" t="str">
        <f>IF(OR('Lighting Inventory'!AK119="", B111=""), "", 'Lighting Inventory'!AK119)</f>
        <v/>
      </c>
      <c r="AJ111" s="66" t="str">
        <f>IF(B111="", "", 'Lighting Inventory'!AL119)</f>
        <v/>
      </c>
      <c r="AK111" s="65" t="str">
        <f>IF(B111="", "", 'Lighting Inventory'!AM119)</f>
        <v/>
      </c>
      <c r="AL111" s="26" t="str">
        <f>IF(B111="", "", 'Lighting Inventory'!AN119)</f>
        <v/>
      </c>
      <c r="AM111" s="26" t="str">
        <f t="shared" si="5"/>
        <v/>
      </c>
      <c r="AN111" s="26" t="str">
        <f>IF(B111="","",IF('Lighting Inventory'!AV119="","Prescribed",'Lighting Inventory'!AV119))</f>
        <v/>
      </c>
      <c r="AO111" s="66" t="str">
        <f>IF(B111="", "", 'Lighting Inventory'!AX119)</f>
        <v/>
      </c>
      <c r="AP111" s="67" t="str">
        <f>IF(B111="", "", 'Lighting Inventory'!AZ119)</f>
        <v/>
      </c>
      <c r="AQ111" s="67" t="str">
        <f>IF(B111="", "", 'Lighting Inventory'!BA119)</f>
        <v/>
      </c>
      <c r="AR111" s="67" t="str">
        <f>IF(B111="", "", 'Lighting Inventory'!BB119)</f>
        <v/>
      </c>
      <c r="AS111" s="67" t="str">
        <f>IF(B111="", "", 'Lighting Inventory'!BC119)</f>
        <v/>
      </c>
      <c r="AT111" s="67" t="str">
        <f>IF(B111="", "", 'Lighting Inventory'!BD119)</f>
        <v/>
      </c>
      <c r="AU111" s="67" t="str">
        <f>IF(B111="", "", 'Lighting Inventory'!BE119)</f>
        <v/>
      </c>
      <c r="AV111" s="67" t="str">
        <f>IF(B111="", "", 'Lighting Inventory'!BE119)</f>
        <v/>
      </c>
      <c r="AW111" s="67" t="str">
        <f>IF(B111="", "", 'Lighting Inventory'!BF119)</f>
        <v/>
      </c>
      <c r="AX111" s="67" t="str">
        <f>IF(B111="", "", 'Lighting Inventory'!BF119)</f>
        <v/>
      </c>
      <c r="AY111" s="65" t="str">
        <f t="shared" si="7"/>
        <v/>
      </c>
      <c r="AZ111" s="65" t="str">
        <f>IF(B111="", "", 'Lighting Inventory'!BJ119)</f>
        <v/>
      </c>
      <c r="BA111" s="65" t="str">
        <f>IF(B111="", "", 'Lighting Inventory'!BM119)</f>
        <v/>
      </c>
      <c r="BB111" s="65" t="str">
        <f>IF(B111="","",SUM('Lighting Inventory'!BP119:BP119))</f>
        <v/>
      </c>
      <c r="BC111" s="67" t="str">
        <f>IF(OR(AE111="", B111=""),"", 'Lighting Inventory'!GR119)</f>
        <v/>
      </c>
      <c r="BD111" s="67" t="str">
        <f>IFERROR(IF(B111="", "", 'Lighting Inventory'!AF119)*AD111," ")</f>
        <v xml:space="preserve"> </v>
      </c>
      <c r="BE111" s="67"/>
      <c r="BF111" s="67"/>
    </row>
    <row r="112" spans="1:58" x14ac:dyDescent="0.25">
      <c r="A112" s="26" t="str">
        <f>IF(B112="", "", 'Lookup Tables'!AW113)</f>
        <v/>
      </c>
      <c r="B112" s="26" t="str">
        <f>IF(OR('Lighting Inventory'!Y120="", 'Lighting Inventory'!V120="No Change"),"", 'Lighting Inventory'!Y120)</f>
        <v/>
      </c>
      <c r="C112" s="26" t="str">
        <f>IF(B112="", "", IF('Lighting Inventory'!Y120='Lookup Tables'!$Y$32, 'Lighting Inventory'!AJ120, IF(AD112=0, R112, AD112)))</f>
        <v/>
      </c>
      <c r="D112" s="26" t="str">
        <f>IF(B112="", "", 'General Information'!$F$14)</f>
        <v/>
      </c>
      <c r="E112" s="26" t="str">
        <f t="shared" si="6"/>
        <v/>
      </c>
      <c r="F112" s="26" t="str">
        <f>IF(B112="", "", CONCATENATE('General Information'!$F$9, " - ", 'General Information'!$F$14))</f>
        <v/>
      </c>
      <c r="G112" s="26" t="str">
        <f>IF(B112="", "", 'General Information'!$F$15)</f>
        <v/>
      </c>
      <c r="H112" s="26" t="str">
        <f>IF(B112="", "", IF(VLOOKUP(B112, 'Lookup Tables'!$Y$18:$AA$34, 2, FALSE)="Traffic", VLOOKUP('Lighting Inventory'!W120, 'Lookup Tables'!#REF!, 11, FALSE), VLOOKUP(B112, 'Lookup Tables'!$Y$18:$AA$34, 2, FALSE)))</f>
        <v/>
      </c>
      <c r="I112" s="26" t="str">
        <f>IF(B112="", "", CONCATENATE(D112, 'Data Export'!A112))</f>
        <v/>
      </c>
      <c r="J112" s="26" t="str">
        <f>IF(B112="", "", 'Lookup Tables'!$B$1)</f>
        <v/>
      </c>
      <c r="K112" s="26" t="str">
        <f>IF(B112="", "", 'Lighting Inventory'!B120)</f>
        <v/>
      </c>
      <c r="L112" s="26" t="str">
        <f>IF(B112="", "", 'Lighting Inventory'!C120)</f>
        <v/>
      </c>
      <c r="M112" s="26" t="str">
        <f>IF(B112="", "",'Lighting Inventory'!D120)</f>
        <v/>
      </c>
      <c r="N112" s="26" t="str">
        <f>IF(B112="", "",'Lighting Inventory'!E120)</f>
        <v/>
      </c>
      <c r="O112" s="26" t="str">
        <f>IF(B112="", "", 'Lighting Inventory'!F120)</f>
        <v/>
      </c>
      <c r="P112" s="26" t="str">
        <f>IF(B112="", "", 'Lighting Inventory'!G120)</f>
        <v/>
      </c>
      <c r="Q112" s="26" t="str">
        <f>IF(B112="", "", 'Lighting Inventory'!H120)</f>
        <v/>
      </c>
      <c r="R112" s="26" t="str">
        <f>IF(B112="", "", 'Lighting Inventory'!I120)</f>
        <v/>
      </c>
      <c r="S112" s="26" t="str">
        <f>IF(B112="", "", 'Lighting Inventory'!J120)</f>
        <v/>
      </c>
      <c r="T112" s="26" t="str">
        <f>IFERROR(IF(B112="","",VLOOKUP(S112,'Fixture Identities'!$A$7:$G$1023,5,FALSE)), "New Construction")</f>
        <v/>
      </c>
      <c r="U112" s="26" t="str">
        <f>IFERROR(IF(B112="", "", IF(K112="New Construction", "NC", IF(VLOOKUP(S112, 'Fixture Identities'!$A$7:$I$1023,3, FALSE)="T12 Linear Fluorescent", VLOOKUP(S112, 'Fixture Identities'!$A$7:$K$1012, 11, FALSE), S112))), "")</f>
        <v/>
      </c>
      <c r="V112" s="26" t="str">
        <f>IFERROR(IF(OR(B112="", U112=0), "", VLOOKUP(U112, 'Fixture Identities'!$A$7:$G$1023, 5, FALSE)), "")</f>
        <v/>
      </c>
      <c r="W112" s="26" t="str">
        <f>IF(B112="", "",'Lighting Inventory'!K120)</f>
        <v/>
      </c>
      <c r="X112" s="65" t="str">
        <f>IF(B112="", "", 'Lighting Inventory'!L120)</f>
        <v/>
      </c>
      <c r="Y112" s="26" t="str">
        <f>IF(B112="", "", IF('Lighting Inventory'!M120="", "Light Switch",'Lighting Inventory'!M120))</f>
        <v/>
      </c>
      <c r="Z112" s="26" t="str">
        <f>IF(OR(K112="Retrofit", B112=""), "", 'Lighting Inventory'!N120)</f>
        <v/>
      </c>
      <c r="AA112" s="26" t="str">
        <f>IF(OR(Z112="",B112=""), "", 'Lighting Inventory'!O120)</f>
        <v/>
      </c>
      <c r="AB112" s="26" t="str">
        <f>IF(B112="", "", 'Lighting Inventory'!P120)</f>
        <v/>
      </c>
      <c r="AC112" s="96" t="str">
        <f>IF(B112="", "", 'Lighting Inventory'!R120)</f>
        <v/>
      </c>
      <c r="AD112" s="26" t="str">
        <f>IF(B112="", "", 'Lighting Inventory'!S120)</f>
        <v/>
      </c>
      <c r="AE112" s="26" t="str">
        <f>IF(B112="", "", 'Lighting Inventory'!V120)</f>
        <v/>
      </c>
      <c r="AF112" s="26" t="str">
        <f>IF(B112="", "", 'Lighting Inventory'!W120)</f>
        <v/>
      </c>
      <c r="AG112" s="26" t="str">
        <f>IF(OR(AF112="", B112=""), "", IF(AE112="Custom", "0", VLOOKUP(AF112, 'Lookup Tables'!$AI$6:$AP$102, 8, FALSE)))</f>
        <v/>
      </c>
      <c r="AH112" s="26" t="str">
        <f>IF(B112="", "", 'Lighting Inventory'!AD120)</f>
        <v/>
      </c>
      <c r="AI112" s="26" t="str">
        <f>IF(OR('Lighting Inventory'!AK120="", B112=""), "", 'Lighting Inventory'!AK120)</f>
        <v/>
      </c>
      <c r="AJ112" s="66" t="str">
        <f>IF(B112="", "", 'Lighting Inventory'!AL120)</f>
        <v/>
      </c>
      <c r="AK112" s="65" t="str">
        <f>IF(B112="", "", 'Lighting Inventory'!AM120)</f>
        <v/>
      </c>
      <c r="AL112" s="26" t="str">
        <f>IF(B112="", "", 'Lighting Inventory'!AN120)</f>
        <v/>
      </c>
      <c r="AM112" s="26" t="str">
        <f t="shared" si="5"/>
        <v/>
      </c>
      <c r="AN112" s="26" t="str">
        <f>IF(B112="","",IF('Lighting Inventory'!AV120="","Prescribed",'Lighting Inventory'!AV120))</f>
        <v/>
      </c>
      <c r="AO112" s="66" t="str">
        <f>IF(B112="", "", 'Lighting Inventory'!AX120)</f>
        <v/>
      </c>
      <c r="AP112" s="67" t="str">
        <f>IF(B112="", "", 'Lighting Inventory'!AZ120)</f>
        <v/>
      </c>
      <c r="AQ112" s="67" t="str">
        <f>IF(B112="", "", 'Lighting Inventory'!BA120)</f>
        <v/>
      </c>
      <c r="AR112" s="67" t="str">
        <f>IF(B112="", "", 'Lighting Inventory'!BB120)</f>
        <v/>
      </c>
      <c r="AS112" s="67" t="str">
        <f>IF(B112="", "", 'Lighting Inventory'!BC120)</f>
        <v/>
      </c>
      <c r="AT112" s="67" t="str">
        <f>IF(B112="", "", 'Lighting Inventory'!BD120)</f>
        <v/>
      </c>
      <c r="AU112" s="67" t="str">
        <f>IF(B112="", "", 'Lighting Inventory'!BE120)</f>
        <v/>
      </c>
      <c r="AV112" s="67" t="str">
        <f>IF(B112="", "", 'Lighting Inventory'!BE120)</f>
        <v/>
      </c>
      <c r="AW112" s="67" t="str">
        <f>IF(B112="", "", 'Lighting Inventory'!BF120)</f>
        <v/>
      </c>
      <c r="AX112" s="67" t="str">
        <f>IF(B112="", "", 'Lighting Inventory'!BF120)</f>
        <v/>
      </c>
      <c r="AY112" s="65" t="str">
        <f t="shared" si="7"/>
        <v/>
      </c>
      <c r="AZ112" s="65" t="str">
        <f>IF(B112="", "", 'Lighting Inventory'!BJ120)</f>
        <v/>
      </c>
      <c r="BA112" s="65" t="str">
        <f>IF(B112="", "", 'Lighting Inventory'!BM120)</f>
        <v/>
      </c>
      <c r="BB112" s="65" t="str">
        <f>IF(B112="","",SUM('Lighting Inventory'!BP120:BP120))</f>
        <v/>
      </c>
      <c r="BC112" s="67" t="str">
        <f>IF(OR(AE112="", B112=""),"", 'Lighting Inventory'!GR120)</f>
        <v/>
      </c>
      <c r="BD112" s="67" t="str">
        <f>IFERROR(IF(B112="", "", 'Lighting Inventory'!AF120)*AD112," ")</f>
        <v xml:space="preserve"> </v>
      </c>
      <c r="BE112" s="67"/>
      <c r="BF112" s="67"/>
    </row>
    <row r="113" spans="1:58" x14ac:dyDescent="0.25">
      <c r="A113" s="26" t="str">
        <f>IF(B113="", "", 'Lookup Tables'!AW114)</f>
        <v/>
      </c>
      <c r="B113" s="26" t="str">
        <f>IF(OR('Lighting Inventory'!Y121="", 'Lighting Inventory'!V121="No Change"),"", 'Lighting Inventory'!Y121)</f>
        <v/>
      </c>
      <c r="C113" s="26" t="str">
        <f>IF(B113="", "", IF('Lighting Inventory'!Y121='Lookup Tables'!$Y$32, 'Lighting Inventory'!AJ121, IF(AD113=0, R113, AD113)))</f>
        <v/>
      </c>
      <c r="D113" s="26" t="str">
        <f>IF(B113="", "", 'General Information'!$F$14)</f>
        <v/>
      </c>
      <c r="E113" s="26" t="str">
        <f t="shared" si="6"/>
        <v/>
      </c>
      <c r="F113" s="26" t="str">
        <f>IF(B113="", "", CONCATENATE('General Information'!$F$9, " - ", 'General Information'!$F$14))</f>
        <v/>
      </c>
      <c r="G113" s="26" t="str">
        <f>IF(B113="", "", 'General Information'!$F$15)</f>
        <v/>
      </c>
      <c r="H113" s="26" t="str">
        <f>IF(B113="", "", IF(VLOOKUP(B113, 'Lookup Tables'!$Y$18:$AA$34, 2, FALSE)="Traffic", VLOOKUP('Lighting Inventory'!W121, 'Lookup Tables'!#REF!, 11, FALSE), VLOOKUP(B113, 'Lookup Tables'!$Y$18:$AA$34, 2, FALSE)))</f>
        <v/>
      </c>
      <c r="I113" s="26" t="str">
        <f>IF(B113="", "", CONCATENATE(D113, 'Data Export'!A113))</f>
        <v/>
      </c>
      <c r="J113" s="26" t="str">
        <f>IF(B113="", "", 'Lookup Tables'!$B$1)</f>
        <v/>
      </c>
      <c r="K113" s="26" t="str">
        <f>IF(B113="", "", 'Lighting Inventory'!B121)</f>
        <v/>
      </c>
      <c r="L113" s="26" t="str">
        <f>IF(B113="", "", 'Lighting Inventory'!C121)</f>
        <v/>
      </c>
      <c r="M113" s="26" t="str">
        <f>IF(B113="", "",'Lighting Inventory'!D121)</f>
        <v/>
      </c>
      <c r="N113" s="26" t="str">
        <f>IF(B113="", "",'Lighting Inventory'!E121)</f>
        <v/>
      </c>
      <c r="O113" s="26" t="str">
        <f>IF(B113="", "", 'Lighting Inventory'!F121)</f>
        <v/>
      </c>
      <c r="P113" s="26" t="str">
        <f>IF(B113="", "", 'Lighting Inventory'!G121)</f>
        <v/>
      </c>
      <c r="Q113" s="26" t="str">
        <f>IF(B113="", "", 'Lighting Inventory'!H121)</f>
        <v/>
      </c>
      <c r="R113" s="26" t="str">
        <f>IF(B113="", "", 'Lighting Inventory'!I121)</f>
        <v/>
      </c>
      <c r="S113" s="26" t="str">
        <f>IF(B113="", "", 'Lighting Inventory'!J121)</f>
        <v/>
      </c>
      <c r="T113" s="26" t="str">
        <f>IFERROR(IF(B113="","",VLOOKUP(S113,'Fixture Identities'!$A$7:$G$1023,5,FALSE)), "New Construction")</f>
        <v/>
      </c>
      <c r="U113" s="26" t="str">
        <f>IFERROR(IF(B113="", "", IF(K113="New Construction", "NC", IF(VLOOKUP(S113, 'Fixture Identities'!$A$7:$I$1023,3, FALSE)="T12 Linear Fluorescent", VLOOKUP(S113, 'Fixture Identities'!$A$7:$K$1012, 11, FALSE), S113))), "")</f>
        <v/>
      </c>
      <c r="V113" s="26" t="str">
        <f>IFERROR(IF(OR(B113="", U113=0), "", VLOOKUP(U113, 'Fixture Identities'!$A$7:$G$1023, 5, FALSE)), "")</f>
        <v/>
      </c>
      <c r="W113" s="26" t="str">
        <f>IF(B113="", "",'Lighting Inventory'!K121)</f>
        <v/>
      </c>
      <c r="X113" s="65" t="str">
        <f>IF(B113="", "", 'Lighting Inventory'!L121)</f>
        <v/>
      </c>
      <c r="Y113" s="26" t="str">
        <f>IF(B113="", "", IF('Lighting Inventory'!M121="", "Light Switch",'Lighting Inventory'!M121))</f>
        <v/>
      </c>
      <c r="Z113" s="26" t="str">
        <f>IF(OR(K113="Retrofit", B113=""), "", 'Lighting Inventory'!N121)</f>
        <v/>
      </c>
      <c r="AA113" s="26" t="str">
        <f>IF(OR(Z113="",B113=""), "", 'Lighting Inventory'!O121)</f>
        <v/>
      </c>
      <c r="AB113" s="26" t="str">
        <f>IF(B113="", "", 'Lighting Inventory'!P121)</f>
        <v/>
      </c>
      <c r="AC113" s="96" t="str">
        <f>IF(B113="", "", 'Lighting Inventory'!R121)</f>
        <v/>
      </c>
      <c r="AD113" s="26" t="str">
        <f>IF(B113="", "", 'Lighting Inventory'!S121)</f>
        <v/>
      </c>
      <c r="AE113" s="26" t="str">
        <f>IF(B113="", "", 'Lighting Inventory'!V121)</f>
        <v/>
      </c>
      <c r="AF113" s="26" t="str">
        <f>IF(B113="", "", 'Lighting Inventory'!W121)</f>
        <v/>
      </c>
      <c r="AG113" s="26" t="str">
        <f>IF(OR(AF113="", B113=""), "", IF(AE113="Custom", "0", VLOOKUP(AF113, 'Lookup Tables'!$AI$6:$AP$102, 8, FALSE)))</f>
        <v/>
      </c>
      <c r="AH113" s="26" t="str">
        <f>IF(B113="", "", 'Lighting Inventory'!AD121)</f>
        <v/>
      </c>
      <c r="AI113" s="26" t="str">
        <f>IF(OR('Lighting Inventory'!AK121="", B113=""), "", 'Lighting Inventory'!AK121)</f>
        <v/>
      </c>
      <c r="AJ113" s="66" t="str">
        <f>IF(B113="", "", 'Lighting Inventory'!AL121)</f>
        <v/>
      </c>
      <c r="AK113" s="65" t="str">
        <f>IF(B113="", "", 'Lighting Inventory'!AM121)</f>
        <v/>
      </c>
      <c r="AL113" s="26" t="str">
        <f>IF(B113="", "", 'Lighting Inventory'!AN121)</f>
        <v/>
      </c>
      <c r="AM113" s="26" t="str">
        <f t="shared" si="5"/>
        <v/>
      </c>
      <c r="AN113" s="26" t="str">
        <f>IF(B113="","",IF('Lighting Inventory'!AV121="","Prescribed",'Lighting Inventory'!AV121))</f>
        <v/>
      </c>
      <c r="AO113" s="66" t="str">
        <f>IF(B113="", "", 'Lighting Inventory'!AX121)</f>
        <v/>
      </c>
      <c r="AP113" s="67" t="str">
        <f>IF(B113="", "", 'Lighting Inventory'!AZ121)</f>
        <v/>
      </c>
      <c r="AQ113" s="67" t="str">
        <f>IF(B113="", "", 'Lighting Inventory'!BA121)</f>
        <v/>
      </c>
      <c r="AR113" s="67" t="str">
        <f>IF(B113="", "", 'Lighting Inventory'!BB121)</f>
        <v/>
      </c>
      <c r="AS113" s="67" t="str">
        <f>IF(B113="", "", 'Lighting Inventory'!BC121)</f>
        <v/>
      </c>
      <c r="AT113" s="67" t="str">
        <f>IF(B113="", "", 'Lighting Inventory'!BD121)</f>
        <v/>
      </c>
      <c r="AU113" s="67" t="str">
        <f>IF(B113="", "", 'Lighting Inventory'!BE121)</f>
        <v/>
      </c>
      <c r="AV113" s="67" t="str">
        <f>IF(B113="", "", 'Lighting Inventory'!BE121)</f>
        <v/>
      </c>
      <c r="AW113" s="67" t="str">
        <f>IF(B113="", "", 'Lighting Inventory'!BF121)</f>
        <v/>
      </c>
      <c r="AX113" s="67" t="str">
        <f>IF(B113="", "", 'Lighting Inventory'!BF121)</f>
        <v/>
      </c>
      <c r="AY113" s="65" t="str">
        <f t="shared" si="7"/>
        <v/>
      </c>
      <c r="AZ113" s="65" t="str">
        <f>IF(B113="", "", 'Lighting Inventory'!BJ121)</f>
        <v/>
      </c>
      <c r="BA113" s="65" t="str">
        <f>IF(B113="", "", 'Lighting Inventory'!BM121)</f>
        <v/>
      </c>
      <c r="BB113" s="65" t="str">
        <f>IF(B113="","",SUM('Lighting Inventory'!BP121:BP121))</f>
        <v/>
      </c>
      <c r="BC113" s="67" t="str">
        <f>IF(OR(AE113="", B113=""),"", 'Lighting Inventory'!GR121)</f>
        <v/>
      </c>
      <c r="BD113" s="67" t="str">
        <f>IFERROR(IF(B113="", "", 'Lighting Inventory'!AF121)*AD113," ")</f>
        <v xml:space="preserve"> </v>
      </c>
      <c r="BE113" s="67"/>
      <c r="BF113" s="67"/>
    </row>
    <row r="114" spans="1:58" x14ac:dyDescent="0.25">
      <c r="A114" s="26" t="str">
        <f>IF(B114="", "", 'Lookup Tables'!AW115)</f>
        <v/>
      </c>
      <c r="B114" s="26" t="str">
        <f>IF(OR('Lighting Inventory'!Y122="", 'Lighting Inventory'!V122="No Change"),"", 'Lighting Inventory'!Y122)</f>
        <v/>
      </c>
      <c r="C114" s="26" t="str">
        <f>IF(B114="", "", IF('Lighting Inventory'!Y122='Lookup Tables'!$Y$32, 'Lighting Inventory'!AJ122, IF(AD114=0, R114, AD114)))</f>
        <v/>
      </c>
      <c r="D114" s="26" t="str">
        <f>IF(B114="", "", 'General Information'!$F$14)</f>
        <v/>
      </c>
      <c r="E114" s="26" t="str">
        <f t="shared" si="6"/>
        <v/>
      </c>
      <c r="F114" s="26" t="str">
        <f>IF(B114="", "", CONCATENATE('General Information'!$F$9, " - ", 'General Information'!$F$14))</f>
        <v/>
      </c>
      <c r="G114" s="26" t="str">
        <f>IF(B114="", "", 'General Information'!$F$15)</f>
        <v/>
      </c>
      <c r="H114" s="26" t="str">
        <f>IF(B114="", "", IF(VLOOKUP(B114, 'Lookup Tables'!$Y$18:$AA$34, 2, FALSE)="Traffic", VLOOKUP('Lighting Inventory'!W122, 'Lookup Tables'!#REF!, 11, FALSE), VLOOKUP(B114, 'Lookup Tables'!$Y$18:$AA$34, 2, FALSE)))</f>
        <v/>
      </c>
      <c r="I114" s="26" t="str">
        <f>IF(B114="", "", CONCATENATE(D114, 'Data Export'!A114))</f>
        <v/>
      </c>
      <c r="J114" s="26" t="str">
        <f>IF(B114="", "", 'Lookup Tables'!$B$1)</f>
        <v/>
      </c>
      <c r="K114" s="26" t="str">
        <f>IF(B114="", "", 'Lighting Inventory'!B122)</f>
        <v/>
      </c>
      <c r="L114" s="26" t="str">
        <f>IF(B114="", "", 'Lighting Inventory'!C122)</f>
        <v/>
      </c>
      <c r="M114" s="26" t="str">
        <f>IF(B114="", "",'Lighting Inventory'!D122)</f>
        <v/>
      </c>
      <c r="N114" s="26" t="str">
        <f>IF(B114="", "",'Lighting Inventory'!E122)</f>
        <v/>
      </c>
      <c r="O114" s="26" t="str">
        <f>IF(B114="", "", 'Lighting Inventory'!F122)</f>
        <v/>
      </c>
      <c r="P114" s="26" t="str">
        <f>IF(B114="", "", 'Lighting Inventory'!G122)</f>
        <v/>
      </c>
      <c r="Q114" s="26" t="str">
        <f>IF(B114="", "", 'Lighting Inventory'!H122)</f>
        <v/>
      </c>
      <c r="R114" s="26" t="str">
        <f>IF(B114="", "", 'Lighting Inventory'!I122)</f>
        <v/>
      </c>
      <c r="S114" s="26" t="str">
        <f>IF(B114="", "", 'Lighting Inventory'!J122)</f>
        <v/>
      </c>
      <c r="T114" s="26" t="str">
        <f>IFERROR(IF(B114="","",VLOOKUP(S114,'Fixture Identities'!$A$7:$G$1023,5,FALSE)), "New Construction")</f>
        <v/>
      </c>
      <c r="U114" s="26" t="str">
        <f>IFERROR(IF(B114="", "", IF(K114="New Construction", "NC", IF(VLOOKUP(S114, 'Fixture Identities'!$A$7:$I$1023,3, FALSE)="T12 Linear Fluorescent", VLOOKUP(S114, 'Fixture Identities'!$A$7:$K$1012, 11, FALSE), S114))), "")</f>
        <v/>
      </c>
      <c r="V114" s="26" t="str">
        <f>IFERROR(IF(OR(B114="", U114=0), "", VLOOKUP(U114, 'Fixture Identities'!$A$7:$G$1023, 5, FALSE)), "")</f>
        <v/>
      </c>
      <c r="W114" s="26" t="str">
        <f>IF(B114="", "",'Lighting Inventory'!K122)</f>
        <v/>
      </c>
      <c r="X114" s="65" t="str">
        <f>IF(B114="", "", 'Lighting Inventory'!L122)</f>
        <v/>
      </c>
      <c r="Y114" s="26" t="str">
        <f>IF(B114="", "", IF('Lighting Inventory'!M122="", "Light Switch",'Lighting Inventory'!M122))</f>
        <v/>
      </c>
      <c r="Z114" s="26" t="str">
        <f>IF(OR(K114="Retrofit", B114=""), "", 'Lighting Inventory'!N122)</f>
        <v/>
      </c>
      <c r="AA114" s="26" t="str">
        <f>IF(OR(Z114="",B114=""), "", 'Lighting Inventory'!O122)</f>
        <v/>
      </c>
      <c r="AB114" s="26" t="str">
        <f>IF(B114="", "", 'Lighting Inventory'!P122)</f>
        <v/>
      </c>
      <c r="AC114" s="96" t="str">
        <f>IF(B114="", "", 'Lighting Inventory'!R122)</f>
        <v/>
      </c>
      <c r="AD114" s="26" t="str">
        <f>IF(B114="", "", 'Lighting Inventory'!S122)</f>
        <v/>
      </c>
      <c r="AE114" s="26" t="str">
        <f>IF(B114="", "", 'Lighting Inventory'!V122)</f>
        <v/>
      </c>
      <c r="AF114" s="26" t="str">
        <f>IF(B114="", "", 'Lighting Inventory'!W122)</f>
        <v/>
      </c>
      <c r="AG114" s="26" t="str">
        <f>IF(OR(AF114="", B114=""), "", IF(AE114="Custom", "0", VLOOKUP(AF114, 'Lookup Tables'!$AI$6:$AP$102, 8, FALSE)))</f>
        <v/>
      </c>
      <c r="AH114" s="26" t="str">
        <f>IF(B114="", "", 'Lighting Inventory'!AD122)</f>
        <v/>
      </c>
      <c r="AI114" s="26" t="str">
        <f>IF(OR('Lighting Inventory'!AK122="", B114=""), "", 'Lighting Inventory'!AK122)</f>
        <v/>
      </c>
      <c r="AJ114" s="66" t="str">
        <f>IF(B114="", "", 'Lighting Inventory'!AL122)</f>
        <v/>
      </c>
      <c r="AK114" s="65" t="str">
        <f>IF(B114="", "", 'Lighting Inventory'!AM122)</f>
        <v/>
      </c>
      <c r="AL114" s="26" t="str">
        <f>IF(B114="", "", 'Lighting Inventory'!AN122)</f>
        <v/>
      </c>
      <c r="AM114" s="26" t="str">
        <f t="shared" si="5"/>
        <v/>
      </c>
      <c r="AN114" s="26" t="str">
        <f>IF(B114="","",IF('Lighting Inventory'!AV122="","Prescribed",'Lighting Inventory'!AV122))</f>
        <v/>
      </c>
      <c r="AO114" s="66" t="str">
        <f>IF(B114="", "", 'Lighting Inventory'!AX122)</f>
        <v/>
      </c>
      <c r="AP114" s="67" t="str">
        <f>IF(B114="", "", 'Lighting Inventory'!AZ122)</f>
        <v/>
      </c>
      <c r="AQ114" s="67" t="str">
        <f>IF(B114="", "", 'Lighting Inventory'!BA122)</f>
        <v/>
      </c>
      <c r="AR114" s="67" t="str">
        <f>IF(B114="", "", 'Lighting Inventory'!BB122)</f>
        <v/>
      </c>
      <c r="AS114" s="67" t="str">
        <f>IF(B114="", "", 'Lighting Inventory'!BC122)</f>
        <v/>
      </c>
      <c r="AT114" s="67" t="str">
        <f>IF(B114="", "", 'Lighting Inventory'!BD122)</f>
        <v/>
      </c>
      <c r="AU114" s="67" t="str">
        <f>IF(B114="", "", 'Lighting Inventory'!BE122)</f>
        <v/>
      </c>
      <c r="AV114" s="67" t="str">
        <f>IF(B114="", "", 'Lighting Inventory'!BE122)</f>
        <v/>
      </c>
      <c r="AW114" s="67" t="str">
        <f>IF(B114="", "", 'Lighting Inventory'!BF122)</f>
        <v/>
      </c>
      <c r="AX114" s="67" t="str">
        <f>IF(B114="", "", 'Lighting Inventory'!BF122)</f>
        <v/>
      </c>
      <c r="AY114" s="65" t="str">
        <f t="shared" si="7"/>
        <v/>
      </c>
      <c r="AZ114" s="65" t="str">
        <f>IF(B114="", "", 'Lighting Inventory'!BJ122)</f>
        <v/>
      </c>
      <c r="BA114" s="65" t="str">
        <f>IF(B114="", "", 'Lighting Inventory'!BM122)</f>
        <v/>
      </c>
      <c r="BB114" s="65" t="str">
        <f>IF(B114="","",SUM('Lighting Inventory'!BP122:BP122))</f>
        <v/>
      </c>
      <c r="BC114" s="67" t="str">
        <f>IF(OR(AE114="", B114=""),"", 'Lighting Inventory'!GR122)</f>
        <v/>
      </c>
      <c r="BD114" s="67" t="str">
        <f>IFERROR(IF(B114="", "", 'Lighting Inventory'!AF122)*AD114," ")</f>
        <v xml:space="preserve"> </v>
      </c>
      <c r="BE114" s="67"/>
      <c r="BF114" s="67"/>
    </row>
    <row r="115" spans="1:58" x14ac:dyDescent="0.25">
      <c r="A115" s="26" t="str">
        <f>IF(B115="", "", 'Lookup Tables'!AW116)</f>
        <v/>
      </c>
      <c r="B115" s="26" t="str">
        <f>IF(OR('Lighting Inventory'!Y123="", 'Lighting Inventory'!V123="No Change"),"", 'Lighting Inventory'!Y123)</f>
        <v/>
      </c>
      <c r="C115" s="26" t="str">
        <f>IF(B115="", "", IF('Lighting Inventory'!Y123='Lookup Tables'!$Y$32, 'Lighting Inventory'!AJ123, IF(AD115=0, R115, AD115)))</f>
        <v/>
      </c>
      <c r="D115" s="26" t="str">
        <f>IF(B115="", "", 'General Information'!$F$14)</f>
        <v/>
      </c>
      <c r="E115" s="26" t="str">
        <f t="shared" si="6"/>
        <v/>
      </c>
      <c r="F115" s="26" t="str">
        <f>IF(B115="", "", CONCATENATE('General Information'!$F$9, " - ", 'General Information'!$F$14))</f>
        <v/>
      </c>
      <c r="G115" s="26" t="str">
        <f>IF(B115="", "", 'General Information'!$F$15)</f>
        <v/>
      </c>
      <c r="H115" s="26" t="str">
        <f>IF(B115="", "", IF(VLOOKUP(B115, 'Lookup Tables'!$Y$18:$AA$34, 2, FALSE)="Traffic", VLOOKUP('Lighting Inventory'!W123, 'Lookup Tables'!#REF!, 11, FALSE), VLOOKUP(B115, 'Lookup Tables'!$Y$18:$AA$34, 2, FALSE)))</f>
        <v/>
      </c>
      <c r="I115" s="26" t="str">
        <f>IF(B115="", "", CONCATENATE(D115, 'Data Export'!A115))</f>
        <v/>
      </c>
      <c r="J115" s="26" t="str">
        <f>IF(B115="", "", 'Lookup Tables'!$B$1)</f>
        <v/>
      </c>
      <c r="K115" s="26" t="str">
        <f>IF(B115="", "", 'Lighting Inventory'!B123)</f>
        <v/>
      </c>
      <c r="L115" s="26" t="str">
        <f>IF(B115="", "", 'Lighting Inventory'!C123)</f>
        <v/>
      </c>
      <c r="M115" s="26" t="str">
        <f>IF(B115="", "",'Lighting Inventory'!D123)</f>
        <v/>
      </c>
      <c r="N115" s="26" t="str">
        <f>IF(B115="", "",'Lighting Inventory'!E123)</f>
        <v/>
      </c>
      <c r="O115" s="26" t="str">
        <f>IF(B115="", "", 'Lighting Inventory'!F123)</f>
        <v/>
      </c>
      <c r="P115" s="26" t="str">
        <f>IF(B115="", "", 'Lighting Inventory'!G123)</f>
        <v/>
      </c>
      <c r="Q115" s="26" t="str">
        <f>IF(B115="", "", 'Lighting Inventory'!H123)</f>
        <v/>
      </c>
      <c r="R115" s="26" t="str">
        <f>IF(B115="", "", 'Lighting Inventory'!I123)</f>
        <v/>
      </c>
      <c r="S115" s="26" t="str">
        <f>IF(B115="", "", 'Lighting Inventory'!J123)</f>
        <v/>
      </c>
      <c r="T115" s="26" t="str">
        <f>IFERROR(IF(B115="","",VLOOKUP(S115,'Fixture Identities'!$A$7:$G$1023,5,FALSE)), "New Construction")</f>
        <v/>
      </c>
      <c r="U115" s="26" t="str">
        <f>IFERROR(IF(B115="", "", IF(K115="New Construction", "NC", IF(VLOOKUP(S115, 'Fixture Identities'!$A$7:$I$1023,3, FALSE)="T12 Linear Fluorescent", VLOOKUP(S115, 'Fixture Identities'!$A$7:$K$1012, 11, FALSE), S115))), "")</f>
        <v/>
      </c>
      <c r="V115" s="26" t="str">
        <f>IFERROR(IF(OR(B115="", U115=0), "", VLOOKUP(U115, 'Fixture Identities'!$A$7:$G$1023, 5, FALSE)), "")</f>
        <v/>
      </c>
      <c r="W115" s="26" t="str">
        <f>IF(B115="", "",'Lighting Inventory'!K123)</f>
        <v/>
      </c>
      <c r="X115" s="65" t="str">
        <f>IF(B115="", "", 'Lighting Inventory'!L123)</f>
        <v/>
      </c>
      <c r="Y115" s="26" t="str">
        <f>IF(B115="", "", IF('Lighting Inventory'!M123="", "Light Switch",'Lighting Inventory'!M123))</f>
        <v/>
      </c>
      <c r="Z115" s="26" t="str">
        <f>IF(OR(K115="Retrofit", B115=""), "", 'Lighting Inventory'!N123)</f>
        <v/>
      </c>
      <c r="AA115" s="26" t="str">
        <f>IF(OR(Z115="",B115=""), "", 'Lighting Inventory'!O123)</f>
        <v/>
      </c>
      <c r="AB115" s="26" t="str">
        <f>IF(B115="", "", 'Lighting Inventory'!P123)</f>
        <v/>
      </c>
      <c r="AC115" s="96" t="str">
        <f>IF(B115="", "", 'Lighting Inventory'!R123)</f>
        <v/>
      </c>
      <c r="AD115" s="26" t="str">
        <f>IF(B115="", "", 'Lighting Inventory'!S123)</f>
        <v/>
      </c>
      <c r="AE115" s="26" t="str">
        <f>IF(B115="", "", 'Lighting Inventory'!V123)</f>
        <v/>
      </c>
      <c r="AF115" s="26" t="str">
        <f>IF(B115="", "", 'Lighting Inventory'!W123)</f>
        <v/>
      </c>
      <c r="AG115" s="26" t="str">
        <f>IF(OR(AF115="", B115=""), "", IF(AE115="Custom", "0", VLOOKUP(AF115, 'Lookup Tables'!$AI$6:$AP$102, 8, FALSE)))</f>
        <v/>
      </c>
      <c r="AH115" s="26" t="str">
        <f>IF(B115="", "", 'Lighting Inventory'!AD123)</f>
        <v/>
      </c>
      <c r="AI115" s="26" t="str">
        <f>IF(OR('Lighting Inventory'!AK123="", B115=""), "", 'Lighting Inventory'!AK123)</f>
        <v/>
      </c>
      <c r="AJ115" s="66" t="str">
        <f>IF(B115="", "", 'Lighting Inventory'!AL123)</f>
        <v/>
      </c>
      <c r="AK115" s="65" t="str">
        <f>IF(B115="", "", 'Lighting Inventory'!AM123)</f>
        <v/>
      </c>
      <c r="AL115" s="26" t="str">
        <f>IF(B115="", "", 'Lighting Inventory'!AN123)</f>
        <v/>
      </c>
      <c r="AM115" s="26" t="str">
        <f t="shared" si="5"/>
        <v/>
      </c>
      <c r="AN115" s="26" t="str">
        <f>IF(B115="","",IF('Lighting Inventory'!AV123="","Prescribed",'Lighting Inventory'!AV123))</f>
        <v/>
      </c>
      <c r="AO115" s="66" t="str">
        <f>IF(B115="", "", 'Lighting Inventory'!AX123)</f>
        <v/>
      </c>
      <c r="AP115" s="67" t="str">
        <f>IF(B115="", "", 'Lighting Inventory'!AZ123)</f>
        <v/>
      </c>
      <c r="AQ115" s="67" t="str">
        <f>IF(B115="", "", 'Lighting Inventory'!BA123)</f>
        <v/>
      </c>
      <c r="AR115" s="67" t="str">
        <f>IF(B115="", "", 'Lighting Inventory'!BB123)</f>
        <v/>
      </c>
      <c r="AS115" s="67" t="str">
        <f>IF(B115="", "", 'Lighting Inventory'!BC123)</f>
        <v/>
      </c>
      <c r="AT115" s="67" t="str">
        <f>IF(B115="", "", 'Lighting Inventory'!BD123)</f>
        <v/>
      </c>
      <c r="AU115" s="67" t="str">
        <f>IF(B115="", "", 'Lighting Inventory'!BE123)</f>
        <v/>
      </c>
      <c r="AV115" s="67" t="str">
        <f>IF(B115="", "", 'Lighting Inventory'!BE123)</f>
        <v/>
      </c>
      <c r="AW115" s="67" t="str">
        <f>IF(B115="", "", 'Lighting Inventory'!BF123)</f>
        <v/>
      </c>
      <c r="AX115" s="67" t="str">
        <f>IF(B115="", "", 'Lighting Inventory'!BF123)</f>
        <v/>
      </c>
      <c r="AY115" s="65" t="str">
        <f t="shared" si="7"/>
        <v/>
      </c>
      <c r="AZ115" s="65" t="str">
        <f>IF(B115="", "", 'Lighting Inventory'!BJ123)</f>
        <v/>
      </c>
      <c r="BA115" s="65" t="str">
        <f>IF(B115="", "", 'Lighting Inventory'!BM123)</f>
        <v/>
      </c>
      <c r="BB115" s="65" t="str">
        <f>IF(B115="","",SUM('Lighting Inventory'!BP123:BP123))</f>
        <v/>
      </c>
      <c r="BC115" s="67" t="str">
        <f>IF(OR(AE115="", B115=""),"", 'Lighting Inventory'!GR123)</f>
        <v/>
      </c>
      <c r="BD115" s="67" t="str">
        <f>IFERROR(IF(B115="", "", 'Lighting Inventory'!AF123)*AD115," ")</f>
        <v xml:space="preserve"> </v>
      </c>
      <c r="BE115" s="67"/>
      <c r="BF115" s="67"/>
    </row>
    <row r="116" spans="1:58" x14ac:dyDescent="0.25">
      <c r="A116" s="26" t="str">
        <f>IF(B116="", "", 'Lookup Tables'!AW117)</f>
        <v/>
      </c>
      <c r="B116" s="26" t="str">
        <f>IF(OR('Lighting Inventory'!Y124="", 'Lighting Inventory'!V124="No Change"),"", 'Lighting Inventory'!Y124)</f>
        <v/>
      </c>
      <c r="C116" s="26" t="str">
        <f>IF(B116="", "", IF('Lighting Inventory'!Y124='Lookup Tables'!$Y$32, 'Lighting Inventory'!AJ124, IF(AD116=0, R116, AD116)))</f>
        <v/>
      </c>
      <c r="D116" s="26" t="str">
        <f>IF(B116="", "", 'General Information'!$F$14)</f>
        <v/>
      </c>
      <c r="E116" s="26" t="str">
        <f t="shared" si="6"/>
        <v/>
      </c>
      <c r="F116" s="26" t="str">
        <f>IF(B116="", "", CONCATENATE('General Information'!$F$9, " - ", 'General Information'!$F$14))</f>
        <v/>
      </c>
      <c r="G116" s="26" t="str">
        <f>IF(B116="", "", 'General Information'!$F$15)</f>
        <v/>
      </c>
      <c r="H116" s="26" t="str">
        <f>IF(B116="", "", IF(VLOOKUP(B116, 'Lookup Tables'!$Y$18:$AA$34, 2, FALSE)="Traffic", VLOOKUP('Lighting Inventory'!W124, 'Lookup Tables'!#REF!, 11, FALSE), VLOOKUP(B116, 'Lookup Tables'!$Y$18:$AA$34, 2, FALSE)))</f>
        <v/>
      </c>
      <c r="I116" s="26" t="str">
        <f>IF(B116="", "", CONCATENATE(D116, 'Data Export'!A116))</f>
        <v/>
      </c>
      <c r="J116" s="26" t="str">
        <f>IF(B116="", "", 'Lookup Tables'!$B$1)</f>
        <v/>
      </c>
      <c r="K116" s="26" t="str">
        <f>IF(B116="", "", 'Lighting Inventory'!B124)</f>
        <v/>
      </c>
      <c r="L116" s="26" t="str">
        <f>IF(B116="", "", 'Lighting Inventory'!C124)</f>
        <v/>
      </c>
      <c r="M116" s="26" t="str">
        <f>IF(B116="", "",'Lighting Inventory'!D124)</f>
        <v/>
      </c>
      <c r="N116" s="26" t="str">
        <f>IF(B116="", "",'Lighting Inventory'!E124)</f>
        <v/>
      </c>
      <c r="O116" s="26" t="str">
        <f>IF(B116="", "", 'Lighting Inventory'!F124)</f>
        <v/>
      </c>
      <c r="P116" s="26" t="str">
        <f>IF(B116="", "", 'Lighting Inventory'!G124)</f>
        <v/>
      </c>
      <c r="Q116" s="26" t="str">
        <f>IF(B116="", "", 'Lighting Inventory'!H124)</f>
        <v/>
      </c>
      <c r="R116" s="26" t="str">
        <f>IF(B116="", "", 'Lighting Inventory'!I124)</f>
        <v/>
      </c>
      <c r="S116" s="26" t="str">
        <f>IF(B116="", "", 'Lighting Inventory'!J124)</f>
        <v/>
      </c>
      <c r="T116" s="26" t="str">
        <f>IFERROR(IF(B116="","",VLOOKUP(S116,'Fixture Identities'!$A$7:$G$1023,5,FALSE)), "New Construction")</f>
        <v/>
      </c>
      <c r="U116" s="26" t="str">
        <f>IFERROR(IF(B116="", "", IF(K116="New Construction", "NC", IF(VLOOKUP(S116, 'Fixture Identities'!$A$7:$I$1023,3, FALSE)="T12 Linear Fluorescent", VLOOKUP(S116, 'Fixture Identities'!$A$7:$K$1012, 11, FALSE), S116))), "")</f>
        <v/>
      </c>
      <c r="V116" s="26" t="str">
        <f>IFERROR(IF(OR(B116="", U116=0), "", VLOOKUP(U116, 'Fixture Identities'!$A$7:$G$1023, 5, FALSE)), "")</f>
        <v/>
      </c>
      <c r="W116" s="26" t="str">
        <f>IF(B116="", "",'Lighting Inventory'!K124)</f>
        <v/>
      </c>
      <c r="X116" s="65" t="str">
        <f>IF(B116="", "", 'Lighting Inventory'!L124)</f>
        <v/>
      </c>
      <c r="Y116" s="26" t="str">
        <f>IF(B116="", "", IF('Lighting Inventory'!M124="", "Light Switch",'Lighting Inventory'!M124))</f>
        <v/>
      </c>
      <c r="Z116" s="26" t="str">
        <f>IF(OR(K116="Retrofit", B116=""), "", 'Lighting Inventory'!N124)</f>
        <v/>
      </c>
      <c r="AA116" s="26" t="str">
        <f>IF(OR(Z116="",B116=""), "", 'Lighting Inventory'!O124)</f>
        <v/>
      </c>
      <c r="AB116" s="26" t="str">
        <f>IF(B116="", "", 'Lighting Inventory'!P124)</f>
        <v/>
      </c>
      <c r="AC116" s="96" t="str">
        <f>IF(B116="", "", 'Lighting Inventory'!R124)</f>
        <v/>
      </c>
      <c r="AD116" s="26" t="str">
        <f>IF(B116="", "", 'Lighting Inventory'!S124)</f>
        <v/>
      </c>
      <c r="AE116" s="26" t="str">
        <f>IF(B116="", "", 'Lighting Inventory'!V124)</f>
        <v/>
      </c>
      <c r="AF116" s="26" t="str">
        <f>IF(B116="", "", 'Lighting Inventory'!W124)</f>
        <v/>
      </c>
      <c r="AG116" s="26" t="str">
        <f>IF(OR(AF116="", B116=""), "", IF(AE116="Custom", "0", VLOOKUP(AF116, 'Lookup Tables'!$AI$6:$AP$102, 8, FALSE)))</f>
        <v/>
      </c>
      <c r="AH116" s="26" t="str">
        <f>IF(B116="", "", 'Lighting Inventory'!AD124)</f>
        <v/>
      </c>
      <c r="AI116" s="26" t="str">
        <f>IF(OR('Lighting Inventory'!AK124="", B116=""), "", 'Lighting Inventory'!AK124)</f>
        <v/>
      </c>
      <c r="AJ116" s="66" t="str">
        <f>IF(B116="", "", 'Lighting Inventory'!AL124)</f>
        <v/>
      </c>
      <c r="AK116" s="65" t="str">
        <f>IF(B116="", "", 'Lighting Inventory'!AM124)</f>
        <v/>
      </c>
      <c r="AL116" s="26" t="str">
        <f>IF(B116="", "", 'Lighting Inventory'!AN124)</f>
        <v/>
      </c>
      <c r="AM116" s="26" t="str">
        <f t="shared" si="5"/>
        <v/>
      </c>
      <c r="AN116" s="26" t="str">
        <f>IF(B116="","",IF('Lighting Inventory'!AV124="","Prescribed",'Lighting Inventory'!AV124))</f>
        <v/>
      </c>
      <c r="AO116" s="66" t="str">
        <f>IF(B116="", "", 'Lighting Inventory'!AX124)</f>
        <v/>
      </c>
      <c r="AP116" s="67" t="str">
        <f>IF(B116="", "", 'Lighting Inventory'!AZ124)</f>
        <v/>
      </c>
      <c r="AQ116" s="67" t="str">
        <f>IF(B116="", "", 'Lighting Inventory'!BA124)</f>
        <v/>
      </c>
      <c r="AR116" s="67" t="str">
        <f>IF(B116="", "", 'Lighting Inventory'!BB124)</f>
        <v/>
      </c>
      <c r="AS116" s="67" t="str">
        <f>IF(B116="", "", 'Lighting Inventory'!BC124)</f>
        <v/>
      </c>
      <c r="AT116" s="67" t="str">
        <f>IF(B116="", "", 'Lighting Inventory'!BD124)</f>
        <v/>
      </c>
      <c r="AU116" s="67" t="str">
        <f>IF(B116="", "", 'Lighting Inventory'!BE124)</f>
        <v/>
      </c>
      <c r="AV116" s="67" t="str">
        <f>IF(B116="", "", 'Lighting Inventory'!BE124)</f>
        <v/>
      </c>
      <c r="AW116" s="67" t="str">
        <f>IF(B116="", "", 'Lighting Inventory'!BF124)</f>
        <v/>
      </c>
      <c r="AX116" s="67" t="str">
        <f>IF(B116="", "", 'Lighting Inventory'!BF124)</f>
        <v/>
      </c>
      <c r="AY116" s="65" t="str">
        <f t="shared" si="7"/>
        <v/>
      </c>
      <c r="AZ116" s="65" t="str">
        <f>IF(B116="", "", 'Lighting Inventory'!BJ124)</f>
        <v/>
      </c>
      <c r="BA116" s="65" t="str">
        <f>IF(B116="", "", 'Lighting Inventory'!BM124)</f>
        <v/>
      </c>
      <c r="BB116" s="65" t="str">
        <f>IF(B116="","",SUM('Lighting Inventory'!BP124:BP124))</f>
        <v/>
      </c>
      <c r="BC116" s="67" t="str">
        <f>IF(OR(AE116="", B116=""),"", 'Lighting Inventory'!GR124)</f>
        <v/>
      </c>
      <c r="BD116" s="67" t="str">
        <f>IFERROR(IF(B116="", "", 'Lighting Inventory'!AF124)*AD116," ")</f>
        <v xml:space="preserve"> </v>
      </c>
      <c r="BE116" s="67"/>
      <c r="BF116" s="67"/>
    </row>
    <row r="117" spans="1:58" x14ac:dyDescent="0.25">
      <c r="A117" s="26" t="str">
        <f>IF(B117="", "", 'Lookup Tables'!AW118)</f>
        <v/>
      </c>
      <c r="B117" s="26" t="str">
        <f>IF(OR('Lighting Inventory'!Y125="", 'Lighting Inventory'!V125="No Change"),"", 'Lighting Inventory'!Y125)</f>
        <v/>
      </c>
      <c r="C117" s="26" t="str">
        <f>IF(B117="", "", IF('Lighting Inventory'!Y125='Lookup Tables'!$Y$32, 'Lighting Inventory'!AJ125, IF(AD117=0, R117, AD117)))</f>
        <v/>
      </c>
      <c r="D117" s="26" t="str">
        <f>IF(B117="", "", 'General Information'!$F$14)</f>
        <v/>
      </c>
      <c r="E117" s="26" t="str">
        <f t="shared" si="6"/>
        <v/>
      </c>
      <c r="F117" s="26" t="str">
        <f>IF(B117="", "", CONCATENATE('General Information'!$F$9, " - ", 'General Information'!$F$14))</f>
        <v/>
      </c>
      <c r="G117" s="26" t="str">
        <f>IF(B117="", "", 'General Information'!$F$15)</f>
        <v/>
      </c>
      <c r="H117" s="26" t="str">
        <f>IF(B117="", "", IF(VLOOKUP(B117, 'Lookup Tables'!$Y$18:$AA$34, 2, FALSE)="Traffic", VLOOKUP('Lighting Inventory'!W125, 'Lookup Tables'!#REF!, 11, FALSE), VLOOKUP(B117, 'Lookup Tables'!$Y$18:$AA$34, 2, FALSE)))</f>
        <v/>
      </c>
      <c r="I117" s="26" t="str">
        <f>IF(B117="", "", CONCATENATE(D117, 'Data Export'!A117))</f>
        <v/>
      </c>
      <c r="J117" s="26" t="str">
        <f>IF(B117="", "", 'Lookup Tables'!$B$1)</f>
        <v/>
      </c>
      <c r="K117" s="26" t="str">
        <f>IF(B117="", "", 'Lighting Inventory'!B125)</f>
        <v/>
      </c>
      <c r="L117" s="26" t="str">
        <f>IF(B117="", "", 'Lighting Inventory'!C125)</f>
        <v/>
      </c>
      <c r="M117" s="26" t="str">
        <f>IF(B117="", "",'Lighting Inventory'!D125)</f>
        <v/>
      </c>
      <c r="N117" s="26" t="str">
        <f>IF(B117="", "",'Lighting Inventory'!E125)</f>
        <v/>
      </c>
      <c r="O117" s="26" t="str">
        <f>IF(B117="", "", 'Lighting Inventory'!F125)</f>
        <v/>
      </c>
      <c r="P117" s="26" t="str">
        <f>IF(B117="", "", 'Lighting Inventory'!G125)</f>
        <v/>
      </c>
      <c r="Q117" s="26" t="str">
        <f>IF(B117="", "", 'Lighting Inventory'!H125)</f>
        <v/>
      </c>
      <c r="R117" s="26" t="str">
        <f>IF(B117="", "", 'Lighting Inventory'!I125)</f>
        <v/>
      </c>
      <c r="S117" s="26" t="str">
        <f>IF(B117="", "", 'Lighting Inventory'!J125)</f>
        <v/>
      </c>
      <c r="T117" s="26" t="str">
        <f>IFERROR(IF(B117="","",VLOOKUP(S117,'Fixture Identities'!$A$7:$G$1023,5,FALSE)), "New Construction")</f>
        <v/>
      </c>
      <c r="U117" s="26" t="str">
        <f>IFERROR(IF(B117="", "", IF(K117="New Construction", "NC", IF(VLOOKUP(S117, 'Fixture Identities'!$A$7:$I$1023,3, FALSE)="T12 Linear Fluorescent", VLOOKUP(S117, 'Fixture Identities'!$A$7:$K$1012, 11, FALSE), S117))), "")</f>
        <v/>
      </c>
      <c r="V117" s="26" t="str">
        <f>IFERROR(IF(OR(B117="", U117=0), "", VLOOKUP(U117, 'Fixture Identities'!$A$7:$G$1023, 5, FALSE)), "")</f>
        <v/>
      </c>
      <c r="W117" s="26" t="str">
        <f>IF(B117="", "",'Lighting Inventory'!K125)</f>
        <v/>
      </c>
      <c r="X117" s="65" t="str">
        <f>IF(B117="", "", 'Lighting Inventory'!L125)</f>
        <v/>
      </c>
      <c r="Y117" s="26" t="str">
        <f>IF(B117="", "", IF('Lighting Inventory'!M125="", "Light Switch",'Lighting Inventory'!M125))</f>
        <v/>
      </c>
      <c r="Z117" s="26" t="str">
        <f>IF(OR(K117="Retrofit", B117=""), "", 'Lighting Inventory'!N125)</f>
        <v/>
      </c>
      <c r="AA117" s="26" t="str">
        <f>IF(OR(Z117="",B117=""), "", 'Lighting Inventory'!O125)</f>
        <v/>
      </c>
      <c r="AB117" s="26" t="str">
        <f>IF(B117="", "", 'Lighting Inventory'!P125)</f>
        <v/>
      </c>
      <c r="AC117" s="96" t="str">
        <f>IF(B117="", "", 'Lighting Inventory'!R125)</f>
        <v/>
      </c>
      <c r="AD117" s="26" t="str">
        <f>IF(B117="", "", 'Lighting Inventory'!S125)</f>
        <v/>
      </c>
      <c r="AE117" s="26" t="str">
        <f>IF(B117="", "", 'Lighting Inventory'!V125)</f>
        <v/>
      </c>
      <c r="AF117" s="26" t="str">
        <f>IF(B117="", "", 'Lighting Inventory'!W125)</f>
        <v/>
      </c>
      <c r="AG117" s="26" t="str">
        <f>IF(OR(AF117="", B117=""), "", IF(AE117="Custom", "0", VLOOKUP(AF117, 'Lookup Tables'!$AI$6:$AP$102, 8, FALSE)))</f>
        <v/>
      </c>
      <c r="AH117" s="26" t="str">
        <f>IF(B117="", "", 'Lighting Inventory'!AD125)</f>
        <v/>
      </c>
      <c r="AI117" s="26" t="str">
        <f>IF(OR('Lighting Inventory'!AK125="", B117=""), "", 'Lighting Inventory'!AK125)</f>
        <v/>
      </c>
      <c r="AJ117" s="66" t="str">
        <f>IF(B117="", "", 'Lighting Inventory'!AL125)</f>
        <v/>
      </c>
      <c r="AK117" s="65" t="str">
        <f>IF(B117="", "", 'Lighting Inventory'!AM125)</f>
        <v/>
      </c>
      <c r="AL117" s="26" t="str">
        <f>IF(B117="", "", 'Lighting Inventory'!AN125)</f>
        <v/>
      </c>
      <c r="AM117" s="26" t="str">
        <f t="shared" si="5"/>
        <v/>
      </c>
      <c r="AN117" s="26" t="str">
        <f>IF(B117="","",IF('Lighting Inventory'!AV125="","Prescribed",'Lighting Inventory'!AV125))</f>
        <v/>
      </c>
      <c r="AO117" s="66" t="str">
        <f>IF(B117="", "", 'Lighting Inventory'!AX125)</f>
        <v/>
      </c>
      <c r="AP117" s="67" t="str">
        <f>IF(B117="", "", 'Lighting Inventory'!AZ125)</f>
        <v/>
      </c>
      <c r="AQ117" s="67" t="str">
        <f>IF(B117="", "", 'Lighting Inventory'!BA125)</f>
        <v/>
      </c>
      <c r="AR117" s="67" t="str">
        <f>IF(B117="", "", 'Lighting Inventory'!BB125)</f>
        <v/>
      </c>
      <c r="AS117" s="67" t="str">
        <f>IF(B117="", "", 'Lighting Inventory'!BC125)</f>
        <v/>
      </c>
      <c r="AT117" s="67" t="str">
        <f>IF(B117="", "", 'Lighting Inventory'!BD125)</f>
        <v/>
      </c>
      <c r="AU117" s="67" t="str">
        <f>IF(B117="", "", 'Lighting Inventory'!BE125)</f>
        <v/>
      </c>
      <c r="AV117" s="67" t="str">
        <f>IF(B117="", "", 'Lighting Inventory'!BE125)</f>
        <v/>
      </c>
      <c r="AW117" s="67" t="str">
        <f>IF(B117="", "", 'Lighting Inventory'!BF125)</f>
        <v/>
      </c>
      <c r="AX117" s="67" t="str">
        <f>IF(B117="", "", 'Lighting Inventory'!BF125)</f>
        <v/>
      </c>
      <c r="AY117" s="65" t="str">
        <f t="shared" si="7"/>
        <v/>
      </c>
      <c r="AZ117" s="65" t="str">
        <f>IF(B117="", "", 'Lighting Inventory'!BJ125)</f>
        <v/>
      </c>
      <c r="BA117" s="65" t="str">
        <f>IF(B117="", "", 'Lighting Inventory'!BM125)</f>
        <v/>
      </c>
      <c r="BB117" s="65" t="str">
        <f>IF(B117="","",SUM('Lighting Inventory'!BP125:BP125))</f>
        <v/>
      </c>
      <c r="BC117" s="67" t="str">
        <f>IF(OR(AE117="", B117=""),"", 'Lighting Inventory'!GR125)</f>
        <v/>
      </c>
      <c r="BD117" s="67" t="str">
        <f>IFERROR(IF(B117="", "", 'Lighting Inventory'!AF125)*AD117," ")</f>
        <v xml:space="preserve"> </v>
      </c>
      <c r="BE117" s="67"/>
      <c r="BF117" s="67"/>
    </row>
    <row r="118" spans="1:58" x14ac:dyDescent="0.25">
      <c r="A118" s="26" t="str">
        <f>IF(B118="", "", 'Lookup Tables'!AW119)</f>
        <v/>
      </c>
      <c r="B118" s="26" t="str">
        <f>IF(OR('Lighting Inventory'!Y126="", 'Lighting Inventory'!V126="No Change"),"", 'Lighting Inventory'!Y126)</f>
        <v/>
      </c>
      <c r="C118" s="26" t="str">
        <f>IF(B118="", "", IF('Lighting Inventory'!Y126='Lookup Tables'!$Y$32, 'Lighting Inventory'!AJ126, IF(AD118=0, R118, AD118)))</f>
        <v/>
      </c>
      <c r="D118" s="26" t="str">
        <f>IF(B118="", "", 'General Information'!$F$14)</f>
        <v/>
      </c>
      <c r="E118" s="26" t="str">
        <f t="shared" si="6"/>
        <v/>
      </c>
      <c r="F118" s="26" t="str">
        <f>IF(B118="", "", CONCATENATE('General Information'!$F$9, " - ", 'General Information'!$F$14))</f>
        <v/>
      </c>
      <c r="G118" s="26" t="str">
        <f>IF(B118="", "", 'General Information'!$F$15)</f>
        <v/>
      </c>
      <c r="H118" s="26" t="str">
        <f>IF(B118="", "", IF(VLOOKUP(B118, 'Lookup Tables'!$Y$18:$AA$34, 2, FALSE)="Traffic", VLOOKUP('Lighting Inventory'!W126, 'Lookup Tables'!#REF!, 11, FALSE), VLOOKUP(B118, 'Lookup Tables'!$Y$18:$AA$34, 2, FALSE)))</f>
        <v/>
      </c>
      <c r="I118" s="26" t="str">
        <f>IF(B118="", "", CONCATENATE(D118, 'Data Export'!A118))</f>
        <v/>
      </c>
      <c r="J118" s="26" t="str">
        <f>IF(B118="", "", 'Lookup Tables'!$B$1)</f>
        <v/>
      </c>
      <c r="K118" s="26" t="str">
        <f>IF(B118="", "", 'Lighting Inventory'!B126)</f>
        <v/>
      </c>
      <c r="L118" s="26" t="str">
        <f>IF(B118="", "", 'Lighting Inventory'!C126)</f>
        <v/>
      </c>
      <c r="M118" s="26" t="str">
        <f>IF(B118="", "",'Lighting Inventory'!D126)</f>
        <v/>
      </c>
      <c r="N118" s="26" t="str">
        <f>IF(B118="", "",'Lighting Inventory'!E126)</f>
        <v/>
      </c>
      <c r="O118" s="26" t="str">
        <f>IF(B118="", "", 'Lighting Inventory'!F126)</f>
        <v/>
      </c>
      <c r="P118" s="26" t="str">
        <f>IF(B118="", "", 'Lighting Inventory'!G126)</f>
        <v/>
      </c>
      <c r="Q118" s="26" t="str">
        <f>IF(B118="", "", 'Lighting Inventory'!H126)</f>
        <v/>
      </c>
      <c r="R118" s="26" t="str">
        <f>IF(B118="", "", 'Lighting Inventory'!I126)</f>
        <v/>
      </c>
      <c r="S118" s="26" t="str">
        <f>IF(B118="", "", 'Lighting Inventory'!J126)</f>
        <v/>
      </c>
      <c r="T118" s="26" t="str">
        <f>IFERROR(IF(B118="","",VLOOKUP(S118,'Fixture Identities'!$A$7:$G$1023,5,FALSE)), "New Construction")</f>
        <v/>
      </c>
      <c r="U118" s="26" t="str">
        <f>IFERROR(IF(B118="", "", IF(K118="New Construction", "NC", IF(VLOOKUP(S118, 'Fixture Identities'!$A$7:$I$1023,3, FALSE)="T12 Linear Fluorescent", VLOOKUP(S118, 'Fixture Identities'!$A$7:$K$1012, 11, FALSE), S118))), "")</f>
        <v/>
      </c>
      <c r="V118" s="26" t="str">
        <f>IFERROR(IF(OR(B118="", U118=0), "", VLOOKUP(U118, 'Fixture Identities'!$A$7:$G$1023, 5, FALSE)), "")</f>
        <v/>
      </c>
      <c r="W118" s="26" t="str">
        <f>IF(B118="", "",'Lighting Inventory'!K126)</f>
        <v/>
      </c>
      <c r="X118" s="65" t="str">
        <f>IF(B118="", "", 'Lighting Inventory'!L126)</f>
        <v/>
      </c>
      <c r="Y118" s="26" t="str">
        <f>IF(B118="", "", IF('Lighting Inventory'!M126="", "Light Switch",'Lighting Inventory'!M126))</f>
        <v/>
      </c>
      <c r="Z118" s="26" t="str">
        <f>IF(OR(K118="Retrofit", B118=""), "", 'Lighting Inventory'!N126)</f>
        <v/>
      </c>
      <c r="AA118" s="26" t="str">
        <f>IF(OR(Z118="",B118=""), "", 'Lighting Inventory'!O126)</f>
        <v/>
      </c>
      <c r="AB118" s="26" t="str">
        <f>IF(B118="", "", 'Lighting Inventory'!P126)</f>
        <v/>
      </c>
      <c r="AC118" s="96" t="str">
        <f>IF(B118="", "", 'Lighting Inventory'!R126)</f>
        <v/>
      </c>
      <c r="AD118" s="26" t="str">
        <f>IF(B118="", "", 'Lighting Inventory'!S126)</f>
        <v/>
      </c>
      <c r="AE118" s="26" t="str">
        <f>IF(B118="", "", 'Lighting Inventory'!V126)</f>
        <v/>
      </c>
      <c r="AF118" s="26" t="str">
        <f>IF(B118="", "", 'Lighting Inventory'!W126)</f>
        <v/>
      </c>
      <c r="AG118" s="26" t="str">
        <f>IF(OR(AF118="", B118=""), "", IF(AE118="Custom", "0", VLOOKUP(AF118, 'Lookup Tables'!$AI$6:$AP$102, 8, FALSE)))</f>
        <v/>
      </c>
      <c r="AH118" s="26" t="str">
        <f>IF(B118="", "", 'Lighting Inventory'!AD126)</f>
        <v/>
      </c>
      <c r="AI118" s="26" t="str">
        <f>IF(OR('Lighting Inventory'!AK126="", B118=""), "", 'Lighting Inventory'!AK126)</f>
        <v/>
      </c>
      <c r="AJ118" s="66" t="str">
        <f>IF(B118="", "", 'Lighting Inventory'!AL126)</f>
        <v/>
      </c>
      <c r="AK118" s="65" t="str">
        <f>IF(B118="", "", 'Lighting Inventory'!AM126)</f>
        <v/>
      </c>
      <c r="AL118" s="26" t="str">
        <f>IF(B118="", "", 'Lighting Inventory'!AN126)</f>
        <v/>
      </c>
      <c r="AM118" s="26" t="str">
        <f t="shared" si="5"/>
        <v/>
      </c>
      <c r="AN118" s="26" t="str">
        <f>IF(B118="","",IF('Lighting Inventory'!AV126="","Prescribed",'Lighting Inventory'!AV126))</f>
        <v/>
      </c>
      <c r="AO118" s="66" t="str">
        <f>IF(B118="", "", 'Lighting Inventory'!AX126)</f>
        <v/>
      </c>
      <c r="AP118" s="67" t="str">
        <f>IF(B118="", "", 'Lighting Inventory'!AZ126)</f>
        <v/>
      </c>
      <c r="AQ118" s="67" t="str">
        <f>IF(B118="", "", 'Lighting Inventory'!BA126)</f>
        <v/>
      </c>
      <c r="AR118" s="67" t="str">
        <f>IF(B118="", "", 'Lighting Inventory'!BB126)</f>
        <v/>
      </c>
      <c r="AS118" s="67" t="str">
        <f>IF(B118="", "", 'Lighting Inventory'!BC126)</f>
        <v/>
      </c>
      <c r="AT118" s="67" t="str">
        <f>IF(B118="", "", 'Lighting Inventory'!BD126)</f>
        <v/>
      </c>
      <c r="AU118" s="67" t="str">
        <f>IF(B118="", "", 'Lighting Inventory'!BE126)</f>
        <v/>
      </c>
      <c r="AV118" s="67" t="str">
        <f>IF(B118="", "", 'Lighting Inventory'!BE126)</f>
        <v/>
      </c>
      <c r="AW118" s="67" t="str">
        <f>IF(B118="", "", 'Lighting Inventory'!BF126)</f>
        <v/>
      </c>
      <c r="AX118" s="67" t="str">
        <f>IF(B118="", "", 'Lighting Inventory'!BF126)</f>
        <v/>
      </c>
      <c r="AY118" s="65" t="str">
        <f t="shared" si="7"/>
        <v/>
      </c>
      <c r="AZ118" s="65" t="str">
        <f>IF(B118="", "", 'Lighting Inventory'!BJ126)</f>
        <v/>
      </c>
      <c r="BA118" s="65" t="str">
        <f>IF(B118="", "", 'Lighting Inventory'!BM126)</f>
        <v/>
      </c>
      <c r="BB118" s="65" t="str">
        <f>IF(B118="","",SUM('Lighting Inventory'!BP126:BP126))</f>
        <v/>
      </c>
      <c r="BC118" s="67" t="str">
        <f>IF(OR(AE118="", B118=""),"", 'Lighting Inventory'!GR126)</f>
        <v/>
      </c>
      <c r="BD118" s="67" t="str">
        <f>IFERROR(IF(B118="", "", 'Lighting Inventory'!AF126)*AD118," ")</f>
        <v xml:space="preserve"> </v>
      </c>
      <c r="BE118" s="67"/>
      <c r="BF118" s="67"/>
    </row>
    <row r="119" spans="1:58" x14ac:dyDescent="0.25">
      <c r="A119" s="26" t="str">
        <f>IF(B119="", "", 'Lookup Tables'!AW120)</f>
        <v/>
      </c>
      <c r="B119" s="26" t="str">
        <f>IF(OR('Lighting Inventory'!Y127="", 'Lighting Inventory'!V127="No Change"),"", 'Lighting Inventory'!Y127)</f>
        <v/>
      </c>
      <c r="C119" s="26" t="str">
        <f>IF(B119="", "", IF('Lighting Inventory'!Y127='Lookup Tables'!$Y$32, 'Lighting Inventory'!AJ127, IF(AD119=0, R119, AD119)))</f>
        <v/>
      </c>
      <c r="D119" s="26" t="str">
        <f>IF(B119="", "", 'General Information'!$F$14)</f>
        <v/>
      </c>
      <c r="E119" s="26" t="str">
        <f t="shared" si="6"/>
        <v/>
      </c>
      <c r="F119" s="26" t="str">
        <f>IF(B119="", "", CONCATENATE('General Information'!$F$9, " - ", 'General Information'!$F$14))</f>
        <v/>
      </c>
      <c r="G119" s="26" t="str">
        <f>IF(B119="", "", 'General Information'!$F$15)</f>
        <v/>
      </c>
      <c r="H119" s="26" t="str">
        <f>IF(B119="", "", IF(VLOOKUP(B119, 'Lookup Tables'!$Y$18:$AA$34, 2, FALSE)="Traffic", VLOOKUP('Lighting Inventory'!W127, 'Lookup Tables'!#REF!, 11, FALSE), VLOOKUP(B119, 'Lookup Tables'!$Y$18:$AA$34, 2, FALSE)))</f>
        <v/>
      </c>
      <c r="I119" s="26" t="str">
        <f>IF(B119="", "", CONCATENATE(D119, 'Data Export'!A119))</f>
        <v/>
      </c>
      <c r="J119" s="26" t="str">
        <f>IF(B119="", "", 'Lookup Tables'!$B$1)</f>
        <v/>
      </c>
      <c r="K119" s="26" t="str">
        <f>IF(B119="", "", 'Lighting Inventory'!B127)</f>
        <v/>
      </c>
      <c r="L119" s="26" t="str">
        <f>IF(B119="", "", 'Lighting Inventory'!C127)</f>
        <v/>
      </c>
      <c r="M119" s="26" t="str">
        <f>IF(B119="", "",'Lighting Inventory'!D127)</f>
        <v/>
      </c>
      <c r="N119" s="26" t="str">
        <f>IF(B119="", "",'Lighting Inventory'!E127)</f>
        <v/>
      </c>
      <c r="O119" s="26" t="str">
        <f>IF(B119="", "", 'Lighting Inventory'!F127)</f>
        <v/>
      </c>
      <c r="P119" s="26" t="str">
        <f>IF(B119="", "", 'Lighting Inventory'!G127)</f>
        <v/>
      </c>
      <c r="Q119" s="26" t="str">
        <f>IF(B119="", "", 'Lighting Inventory'!H127)</f>
        <v/>
      </c>
      <c r="R119" s="26" t="str">
        <f>IF(B119="", "", 'Lighting Inventory'!I127)</f>
        <v/>
      </c>
      <c r="S119" s="26" t="str">
        <f>IF(B119="", "", 'Lighting Inventory'!J127)</f>
        <v/>
      </c>
      <c r="T119" s="26" t="str">
        <f>IFERROR(IF(B119="","",VLOOKUP(S119,'Fixture Identities'!$A$7:$G$1023,5,FALSE)), "New Construction")</f>
        <v/>
      </c>
      <c r="U119" s="26" t="str">
        <f>IFERROR(IF(B119="", "", IF(K119="New Construction", "NC", IF(VLOOKUP(S119, 'Fixture Identities'!$A$7:$I$1023,3, FALSE)="T12 Linear Fluorescent", VLOOKUP(S119, 'Fixture Identities'!$A$7:$K$1012, 11, FALSE), S119))), "")</f>
        <v/>
      </c>
      <c r="V119" s="26" t="str">
        <f>IFERROR(IF(OR(B119="", U119=0), "", VLOOKUP(U119, 'Fixture Identities'!$A$7:$G$1023, 5, FALSE)), "")</f>
        <v/>
      </c>
      <c r="W119" s="26" t="str">
        <f>IF(B119="", "",'Lighting Inventory'!K127)</f>
        <v/>
      </c>
      <c r="X119" s="65" t="str">
        <f>IF(B119="", "", 'Lighting Inventory'!L127)</f>
        <v/>
      </c>
      <c r="Y119" s="26" t="str">
        <f>IF(B119="", "", IF('Lighting Inventory'!M127="", "Light Switch",'Lighting Inventory'!M127))</f>
        <v/>
      </c>
      <c r="Z119" s="26" t="str">
        <f>IF(OR(K119="Retrofit", B119=""), "", 'Lighting Inventory'!N127)</f>
        <v/>
      </c>
      <c r="AA119" s="26" t="str">
        <f>IF(OR(Z119="",B119=""), "", 'Lighting Inventory'!O127)</f>
        <v/>
      </c>
      <c r="AB119" s="26" t="str">
        <f>IF(B119="", "", 'Lighting Inventory'!P127)</f>
        <v/>
      </c>
      <c r="AC119" s="96" t="str">
        <f>IF(B119="", "", 'Lighting Inventory'!R127)</f>
        <v/>
      </c>
      <c r="AD119" s="26" t="str">
        <f>IF(B119="", "", 'Lighting Inventory'!S127)</f>
        <v/>
      </c>
      <c r="AE119" s="26" t="str">
        <f>IF(B119="", "", 'Lighting Inventory'!V127)</f>
        <v/>
      </c>
      <c r="AF119" s="26" t="str">
        <f>IF(B119="", "", 'Lighting Inventory'!W127)</f>
        <v/>
      </c>
      <c r="AG119" s="26" t="str">
        <f>IF(OR(AF119="", B119=""), "", IF(AE119="Custom", "0", VLOOKUP(AF119, 'Lookup Tables'!$AI$6:$AP$102, 8, FALSE)))</f>
        <v/>
      </c>
      <c r="AH119" s="26" t="str">
        <f>IF(B119="", "", 'Lighting Inventory'!AD127)</f>
        <v/>
      </c>
      <c r="AI119" s="26" t="str">
        <f>IF(OR('Lighting Inventory'!AK127="", B119=""), "", 'Lighting Inventory'!AK127)</f>
        <v/>
      </c>
      <c r="AJ119" s="66" t="str">
        <f>IF(B119="", "", 'Lighting Inventory'!AL127)</f>
        <v/>
      </c>
      <c r="AK119" s="65" t="str">
        <f>IF(B119="", "", 'Lighting Inventory'!AM127)</f>
        <v/>
      </c>
      <c r="AL119" s="26" t="str">
        <f>IF(B119="", "", 'Lighting Inventory'!AN127)</f>
        <v/>
      </c>
      <c r="AM119" s="26" t="str">
        <f t="shared" si="5"/>
        <v/>
      </c>
      <c r="AN119" s="26" t="str">
        <f>IF(B119="","",IF('Lighting Inventory'!AV127="","Prescribed",'Lighting Inventory'!AV127))</f>
        <v/>
      </c>
      <c r="AO119" s="66" t="str">
        <f>IF(B119="", "", 'Lighting Inventory'!AX127)</f>
        <v/>
      </c>
      <c r="AP119" s="67" t="str">
        <f>IF(B119="", "", 'Lighting Inventory'!AZ127)</f>
        <v/>
      </c>
      <c r="AQ119" s="67" t="str">
        <f>IF(B119="", "", 'Lighting Inventory'!BA127)</f>
        <v/>
      </c>
      <c r="AR119" s="67" t="str">
        <f>IF(B119="", "", 'Lighting Inventory'!BB127)</f>
        <v/>
      </c>
      <c r="AS119" s="67" t="str">
        <f>IF(B119="", "", 'Lighting Inventory'!BC127)</f>
        <v/>
      </c>
      <c r="AT119" s="67" t="str">
        <f>IF(B119="", "", 'Lighting Inventory'!BD127)</f>
        <v/>
      </c>
      <c r="AU119" s="67" t="str">
        <f>IF(B119="", "", 'Lighting Inventory'!BE127)</f>
        <v/>
      </c>
      <c r="AV119" s="67" t="str">
        <f>IF(B119="", "", 'Lighting Inventory'!BE127)</f>
        <v/>
      </c>
      <c r="AW119" s="67" t="str">
        <f>IF(B119="", "", 'Lighting Inventory'!BF127)</f>
        <v/>
      </c>
      <c r="AX119" s="67" t="str">
        <f>IF(B119="", "", 'Lighting Inventory'!BF127)</f>
        <v/>
      </c>
      <c r="AY119" s="65" t="str">
        <f t="shared" si="7"/>
        <v/>
      </c>
      <c r="AZ119" s="65" t="str">
        <f>IF(B119="", "", 'Lighting Inventory'!BJ127)</f>
        <v/>
      </c>
      <c r="BA119" s="65" t="str">
        <f>IF(B119="", "", 'Lighting Inventory'!BM127)</f>
        <v/>
      </c>
      <c r="BB119" s="65" t="str">
        <f>IF(B119="","",SUM('Lighting Inventory'!BP127:BP127))</f>
        <v/>
      </c>
      <c r="BC119" s="67" t="str">
        <f>IF(OR(AE119="", B119=""),"", 'Lighting Inventory'!GR127)</f>
        <v/>
      </c>
      <c r="BD119" s="67" t="str">
        <f>IFERROR(IF(B119="", "", 'Lighting Inventory'!AF127)*AD119," ")</f>
        <v xml:space="preserve"> </v>
      </c>
      <c r="BE119" s="67"/>
      <c r="BF119" s="67"/>
    </row>
    <row r="120" spans="1:58" x14ac:dyDescent="0.25">
      <c r="A120" s="26" t="str">
        <f>IF(B120="", "", 'Lookup Tables'!AW121)</f>
        <v/>
      </c>
      <c r="B120" s="26" t="str">
        <f>IF(OR('Lighting Inventory'!Y128="", 'Lighting Inventory'!V128="No Change"),"", 'Lighting Inventory'!Y128)</f>
        <v/>
      </c>
      <c r="C120" s="26" t="str">
        <f>IF(B120="", "", IF('Lighting Inventory'!Y128='Lookup Tables'!$Y$32, 'Lighting Inventory'!AJ128, IF(AD120=0, R120, AD120)))</f>
        <v/>
      </c>
      <c r="D120" s="26" t="str">
        <f>IF(B120="", "", 'General Information'!$F$14)</f>
        <v/>
      </c>
      <c r="E120" s="26" t="str">
        <f t="shared" si="6"/>
        <v/>
      </c>
      <c r="F120" s="26" t="str">
        <f>IF(B120="", "", CONCATENATE('General Information'!$F$9, " - ", 'General Information'!$F$14))</f>
        <v/>
      </c>
      <c r="G120" s="26" t="str">
        <f>IF(B120="", "", 'General Information'!$F$15)</f>
        <v/>
      </c>
      <c r="H120" s="26" t="str">
        <f>IF(B120="", "", IF(VLOOKUP(B120, 'Lookup Tables'!$Y$18:$AA$34, 2, FALSE)="Traffic", VLOOKUP('Lighting Inventory'!W128, 'Lookup Tables'!#REF!, 11, FALSE), VLOOKUP(B120, 'Lookup Tables'!$Y$18:$AA$34, 2, FALSE)))</f>
        <v/>
      </c>
      <c r="I120" s="26" t="str">
        <f>IF(B120="", "", CONCATENATE(D120, 'Data Export'!A120))</f>
        <v/>
      </c>
      <c r="J120" s="26" t="str">
        <f>IF(B120="", "", 'Lookup Tables'!$B$1)</f>
        <v/>
      </c>
      <c r="K120" s="26" t="str">
        <f>IF(B120="", "", 'Lighting Inventory'!B128)</f>
        <v/>
      </c>
      <c r="L120" s="26" t="str">
        <f>IF(B120="", "", 'Lighting Inventory'!C128)</f>
        <v/>
      </c>
      <c r="M120" s="26" t="str">
        <f>IF(B120="", "",'Lighting Inventory'!D128)</f>
        <v/>
      </c>
      <c r="N120" s="26" t="str">
        <f>IF(B120="", "",'Lighting Inventory'!E128)</f>
        <v/>
      </c>
      <c r="O120" s="26" t="str">
        <f>IF(B120="", "", 'Lighting Inventory'!F128)</f>
        <v/>
      </c>
      <c r="P120" s="26" t="str">
        <f>IF(B120="", "", 'Lighting Inventory'!G128)</f>
        <v/>
      </c>
      <c r="Q120" s="26" t="str">
        <f>IF(B120="", "", 'Lighting Inventory'!H128)</f>
        <v/>
      </c>
      <c r="R120" s="26" t="str">
        <f>IF(B120="", "", 'Lighting Inventory'!I128)</f>
        <v/>
      </c>
      <c r="S120" s="26" t="str">
        <f>IF(B120="", "", 'Lighting Inventory'!J128)</f>
        <v/>
      </c>
      <c r="T120" s="26" t="str">
        <f>IFERROR(IF(B120="","",VLOOKUP(S120,'Fixture Identities'!$A$7:$G$1023,5,FALSE)), "New Construction")</f>
        <v/>
      </c>
      <c r="U120" s="26" t="str">
        <f>IFERROR(IF(B120="", "", IF(K120="New Construction", "NC", IF(VLOOKUP(S120, 'Fixture Identities'!$A$7:$I$1023,3, FALSE)="T12 Linear Fluorescent", VLOOKUP(S120, 'Fixture Identities'!$A$7:$K$1012, 11, FALSE), S120))), "")</f>
        <v/>
      </c>
      <c r="V120" s="26" t="str">
        <f>IFERROR(IF(OR(B120="", U120=0), "", VLOOKUP(U120, 'Fixture Identities'!$A$7:$G$1023, 5, FALSE)), "")</f>
        <v/>
      </c>
      <c r="W120" s="26" t="str">
        <f>IF(B120="", "",'Lighting Inventory'!K128)</f>
        <v/>
      </c>
      <c r="X120" s="65" t="str">
        <f>IF(B120="", "", 'Lighting Inventory'!L128)</f>
        <v/>
      </c>
      <c r="Y120" s="26" t="str">
        <f>IF(B120="", "", IF('Lighting Inventory'!M128="", "Light Switch",'Lighting Inventory'!M128))</f>
        <v/>
      </c>
      <c r="Z120" s="26" t="str">
        <f>IF(OR(K120="Retrofit", B120=""), "", 'Lighting Inventory'!N128)</f>
        <v/>
      </c>
      <c r="AA120" s="26" t="str">
        <f>IF(OR(Z120="",B120=""), "", 'Lighting Inventory'!O128)</f>
        <v/>
      </c>
      <c r="AB120" s="26" t="str">
        <f>IF(B120="", "", 'Lighting Inventory'!P128)</f>
        <v/>
      </c>
      <c r="AC120" s="96" t="str">
        <f>IF(B120="", "", 'Lighting Inventory'!R128)</f>
        <v/>
      </c>
      <c r="AD120" s="26" t="str">
        <f>IF(B120="", "", 'Lighting Inventory'!S128)</f>
        <v/>
      </c>
      <c r="AE120" s="26" t="str">
        <f>IF(B120="", "", 'Lighting Inventory'!V128)</f>
        <v/>
      </c>
      <c r="AF120" s="26" t="str">
        <f>IF(B120="", "", 'Lighting Inventory'!W128)</f>
        <v/>
      </c>
      <c r="AG120" s="26" t="str">
        <f>IF(OR(AF120="", B120=""), "", IF(AE120="Custom", "0", VLOOKUP(AF120, 'Lookup Tables'!$AI$6:$AP$102, 8, FALSE)))</f>
        <v/>
      </c>
      <c r="AH120" s="26" t="str">
        <f>IF(B120="", "", 'Lighting Inventory'!AD128)</f>
        <v/>
      </c>
      <c r="AI120" s="26" t="str">
        <f>IF(OR('Lighting Inventory'!AK128="", B120=""), "", 'Lighting Inventory'!AK128)</f>
        <v/>
      </c>
      <c r="AJ120" s="66" t="str">
        <f>IF(B120="", "", 'Lighting Inventory'!AL128)</f>
        <v/>
      </c>
      <c r="AK120" s="65" t="str">
        <f>IF(B120="", "", 'Lighting Inventory'!AM128)</f>
        <v/>
      </c>
      <c r="AL120" s="26" t="str">
        <f>IF(B120="", "", 'Lighting Inventory'!AN128)</f>
        <v/>
      </c>
      <c r="AM120" s="26" t="str">
        <f t="shared" si="5"/>
        <v/>
      </c>
      <c r="AN120" s="26" t="str">
        <f>IF(B120="","",IF('Lighting Inventory'!AV128="","Prescribed",'Lighting Inventory'!AV128))</f>
        <v/>
      </c>
      <c r="AO120" s="66" t="str">
        <f>IF(B120="", "", 'Lighting Inventory'!AX128)</f>
        <v/>
      </c>
      <c r="AP120" s="67" t="str">
        <f>IF(B120="", "", 'Lighting Inventory'!AZ128)</f>
        <v/>
      </c>
      <c r="AQ120" s="67" t="str">
        <f>IF(B120="", "", 'Lighting Inventory'!BA128)</f>
        <v/>
      </c>
      <c r="AR120" s="67" t="str">
        <f>IF(B120="", "", 'Lighting Inventory'!BB128)</f>
        <v/>
      </c>
      <c r="AS120" s="67" t="str">
        <f>IF(B120="", "", 'Lighting Inventory'!BC128)</f>
        <v/>
      </c>
      <c r="AT120" s="67" t="str">
        <f>IF(B120="", "", 'Lighting Inventory'!BD128)</f>
        <v/>
      </c>
      <c r="AU120" s="67" t="str">
        <f>IF(B120="", "", 'Lighting Inventory'!BE128)</f>
        <v/>
      </c>
      <c r="AV120" s="67" t="str">
        <f>IF(B120="", "", 'Lighting Inventory'!BE128)</f>
        <v/>
      </c>
      <c r="AW120" s="67" t="str">
        <f>IF(B120="", "", 'Lighting Inventory'!BF128)</f>
        <v/>
      </c>
      <c r="AX120" s="67" t="str">
        <f>IF(B120="", "", 'Lighting Inventory'!BF128)</f>
        <v/>
      </c>
      <c r="AY120" s="65" t="str">
        <f t="shared" si="7"/>
        <v/>
      </c>
      <c r="AZ120" s="65" t="str">
        <f>IF(B120="", "", 'Lighting Inventory'!BJ128)</f>
        <v/>
      </c>
      <c r="BA120" s="65" t="str">
        <f>IF(B120="", "", 'Lighting Inventory'!BM128)</f>
        <v/>
      </c>
      <c r="BB120" s="65" t="str">
        <f>IF(B120="","",SUM('Lighting Inventory'!BP128:BP128))</f>
        <v/>
      </c>
      <c r="BC120" s="67" t="str">
        <f>IF(OR(AE120="", B120=""),"", 'Lighting Inventory'!GR128)</f>
        <v/>
      </c>
      <c r="BD120" s="67" t="str">
        <f>IFERROR(IF(B120="", "", 'Lighting Inventory'!AF128)*AD120," ")</f>
        <v xml:space="preserve"> </v>
      </c>
      <c r="BE120" s="67"/>
      <c r="BF120" s="67"/>
    </row>
    <row r="121" spans="1:58" x14ac:dyDescent="0.25">
      <c r="A121" s="26" t="str">
        <f>IF(B121="", "", 'Lookup Tables'!AW122)</f>
        <v/>
      </c>
      <c r="B121" s="26" t="str">
        <f>IF(OR('Lighting Inventory'!Y129="", 'Lighting Inventory'!V129="No Change"),"", 'Lighting Inventory'!Y129)</f>
        <v/>
      </c>
      <c r="C121" s="26" t="str">
        <f>IF(B121="", "", IF('Lighting Inventory'!Y129='Lookup Tables'!$Y$32, 'Lighting Inventory'!AJ129, IF(AD121=0, R121, AD121)))</f>
        <v/>
      </c>
      <c r="D121" s="26" t="str">
        <f>IF(B121="", "", 'General Information'!$F$14)</f>
        <v/>
      </c>
      <c r="E121" s="26" t="str">
        <f t="shared" si="6"/>
        <v/>
      </c>
      <c r="F121" s="26" t="str">
        <f>IF(B121="", "", CONCATENATE('General Information'!$F$9, " - ", 'General Information'!$F$14))</f>
        <v/>
      </c>
      <c r="G121" s="26" t="str">
        <f>IF(B121="", "", 'General Information'!$F$15)</f>
        <v/>
      </c>
      <c r="H121" s="26" t="str">
        <f>IF(B121="", "", IF(VLOOKUP(B121, 'Lookup Tables'!$Y$18:$AA$34, 2, FALSE)="Traffic", VLOOKUP('Lighting Inventory'!W129, 'Lookup Tables'!#REF!, 11, FALSE), VLOOKUP(B121, 'Lookup Tables'!$Y$18:$AA$34, 2, FALSE)))</f>
        <v/>
      </c>
      <c r="I121" s="26" t="str">
        <f>IF(B121="", "", CONCATENATE(D121, 'Data Export'!A121))</f>
        <v/>
      </c>
      <c r="J121" s="26" t="str">
        <f>IF(B121="", "", 'Lookup Tables'!$B$1)</f>
        <v/>
      </c>
      <c r="K121" s="26" t="str">
        <f>IF(B121="", "", 'Lighting Inventory'!B129)</f>
        <v/>
      </c>
      <c r="L121" s="26" t="str">
        <f>IF(B121="", "", 'Lighting Inventory'!C129)</f>
        <v/>
      </c>
      <c r="M121" s="26" t="str">
        <f>IF(B121="", "",'Lighting Inventory'!D129)</f>
        <v/>
      </c>
      <c r="N121" s="26" t="str">
        <f>IF(B121="", "",'Lighting Inventory'!E129)</f>
        <v/>
      </c>
      <c r="O121" s="26" t="str">
        <f>IF(B121="", "", 'Lighting Inventory'!F129)</f>
        <v/>
      </c>
      <c r="P121" s="26" t="str">
        <f>IF(B121="", "", 'Lighting Inventory'!G129)</f>
        <v/>
      </c>
      <c r="Q121" s="26" t="str">
        <f>IF(B121="", "", 'Lighting Inventory'!H129)</f>
        <v/>
      </c>
      <c r="R121" s="26" t="str">
        <f>IF(B121="", "", 'Lighting Inventory'!I129)</f>
        <v/>
      </c>
      <c r="S121" s="26" t="str">
        <f>IF(B121="", "", 'Lighting Inventory'!J129)</f>
        <v/>
      </c>
      <c r="T121" s="26" t="str">
        <f>IFERROR(IF(B121="","",VLOOKUP(S121,'Fixture Identities'!$A$7:$G$1023,5,FALSE)), "New Construction")</f>
        <v/>
      </c>
      <c r="U121" s="26" t="str">
        <f>IFERROR(IF(B121="", "", IF(K121="New Construction", "NC", IF(VLOOKUP(S121, 'Fixture Identities'!$A$7:$I$1023,3, FALSE)="T12 Linear Fluorescent", VLOOKUP(S121, 'Fixture Identities'!$A$7:$K$1012, 11, FALSE), S121))), "")</f>
        <v/>
      </c>
      <c r="V121" s="26" t="str">
        <f>IFERROR(IF(OR(B121="", U121=0), "", VLOOKUP(U121, 'Fixture Identities'!$A$7:$G$1023, 5, FALSE)), "")</f>
        <v/>
      </c>
      <c r="W121" s="26" t="str">
        <f>IF(B121="", "",'Lighting Inventory'!K129)</f>
        <v/>
      </c>
      <c r="X121" s="65" t="str">
        <f>IF(B121="", "", 'Lighting Inventory'!L129)</f>
        <v/>
      </c>
      <c r="Y121" s="26" t="str">
        <f>IF(B121="", "", IF('Lighting Inventory'!M129="", "Light Switch",'Lighting Inventory'!M129))</f>
        <v/>
      </c>
      <c r="Z121" s="26" t="str">
        <f>IF(OR(K121="Retrofit", B121=""), "", 'Lighting Inventory'!N129)</f>
        <v/>
      </c>
      <c r="AA121" s="26" t="str">
        <f>IF(OR(Z121="",B121=""), "", 'Lighting Inventory'!O129)</f>
        <v/>
      </c>
      <c r="AB121" s="26" t="str">
        <f>IF(B121="", "", 'Lighting Inventory'!P129)</f>
        <v/>
      </c>
      <c r="AC121" s="96" t="str">
        <f>IF(B121="", "", 'Lighting Inventory'!R129)</f>
        <v/>
      </c>
      <c r="AD121" s="26" t="str">
        <f>IF(B121="", "", 'Lighting Inventory'!S129)</f>
        <v/>
      </c>
      <c r="AE121" s="26" t="str">
        <f>IF(B121="", "", 'Lighting Inventory'!V129)</f>
        <v/>
      </c>
      <c r="AF121" s="26" t="str">
        <f>IF(B121="", "", 'Lighting Inventory'!W129)</f>
        <v/>
      </c>
      <c r="AG121" s="26" t="str">
        <f>IF(OR(AF121="", B121=""), "", IF(AE121="Custom", "0", VLOOKUP(AF121, 'Lookup Tables'!$AI$6:$AP$102, 8, FALSE)))</f>
        <v/>
      </c>
      <c r="AH121" s="26" t="str">
        <f>IF(B121="", "", 'Lighting Inventory'!AD129)</f>
        <v/>
      </c>
      <c r="AI121" s="26" t="str">
        <f>IF(OR('Lighting Inventory'!AK129="", B121=""), "", 'Lighting Inventory'!AK129)</f>
        <v/>
      </c>
      <c r="AJ121" s="66" t="str">
        <f>IF(B121="", "", 'Lighting Inventory'!AL129)</f>
        <v/>
      </c>
      <c r="AK121" s="65" t="str">
        <f>IF(B121="", "", 'Lighting Inventory'!AM129)</f>
        <v/>
      </c>
      <c r="AL121" s="26" t="str">
        <f>IF(B121="", "", 'Lighting Inventory'!AN129)</f>
        <v/>
      </c>
      <c r="AM121" s="26" t="str">
        <f t="shared" si="5"/>
        <v/>
      </c>
      <c r="AN121" s="26" t="str">
        <f>IF(B121="","",IF('Lighting Inventory'!AV129="","Prescribed",'Lighting Inventory'!AV129))</f>
        <v/>
      </c>
      <c r="AO121" s="66" t="str">
        <f>IF(B121="", "", 'Lighting Inventory'!AX129)</f>
        <v/>
      </c>
      <c r="AP121" s="67" t="str">
        <f>IF(B121="", "", 'Lighting Inventory'!AZ129)</f>
        <v/>
      </c>
      <c r="AQ121" s="67" t="str">
        <f>IF(B121="", "", 'Lighting Inventory'!BA129)</f>
        <v/>
      </c>
      <c r="AR121" s="67" t="str">
        <f>IF(B121="", "", 'Lighting Inventory'!BB129)</f>
        <v/>
      </c>
      <c r="AS121" s="67" t="str">
        <f>IF(B121="", "", 'Lighting Inventory'!BC129)</f>
        <v/>
      </c>
      <c r="AT121" s="67" t="str">
        <f>IF(B121="", "", 'Lighting Inventory'!BD129)</f>
        <v/>
      </c>
      <c r="AU121" s="67" t="str">
        <f>IF(B121="", "", 'Lighting Inventory'!BE129)</f>
        <v/>
      </c>
      <c r="AV121" s="67" t="str">
        <f>IF(B121="", "", 'Lighting Inventory'!BE129)</f>
        <v/>
      </c>
      <c r="AW121" s="67" t="str">
        <f>IF(B121="", "", 'Lighting Inventory'!BF129)</f>
        <v/>
      </c>
      <c r="AX121" s="67" t="str">
        <f>IF(B121="", "", 'Lighting Inventory'!BF129)</f>
        <v/>
      </c>
      <c r="AY121" s="65" t="str">
        <f t="shared" si="7"/>
        <v/>
      </c>
      <c r="AZ121" s="65" t="str">
        <f>IF(B121="", "", 'Lighting Inventory'!BJ129)</f>
        <v/>
      </c>
      <c r="BA121" s="65" t="str">
        <f>IF(B121="", "", 'Lighting Inventory'!BM129)</f>
        <v/>
      </c>
      <c r="BB121" s="65" t="str">
        <f>IF(B121="","",SUM('Lighting Inventory'!BP129:BP129))</f>
        <v/>
      </c>
      <c r="BC121" s="67" t="str">
        <f>IF(OR(AE121="", B121=""),"", 'Lighting Inventory'!GR129)</f>
        <v/>
      </c>
      <c r="BD121" s="67" t="str">
        <f>IFERROR(IF(B121="", "", 'Lighting Inventory'!AF129)*AD121," ")</f>
        <v xml:space="preserve"> </v>
      </c>
      <c r="BE121" s="67"/>
      <c r="BF121" s="67"/>
    </row>
    <row r="122" spans="1:58" x14ac:dyDescent="0.25">
      <c r="A122" s="26" t="str">
        <f>IF(B122="", "", 'Lookup Tables'!AW123)</f>
        <v/>
      </c>
      <c r="B122" s="26" t="str">
        <f>IF(OR('Lighting Inventory'!Y130="", 'Lighting Inventory'!V130="No Change"),"", 'Lighting Inventory'!Y130)</f>
        <v/>
      </c>
      <c r="C122" s="26" t="str">
        <f>IF(B122="", "", IF('Lighting Inventory'!Y130='Lookup Tables'!$Y$32, 'Lighting Inventory'!AJ130, IF(AD122=0, R122, AD122)))</f>
        <v/>
      </c>
      <c r="D122" s="26" t="str">
        <f>IF(B122="", "", 'General Information'!$F$14)</f>
        <v/>
      </c>
      <c r="E122" s="26" t="str">
        <f t="shared" si="6"/>
        <v/>
      </c>
      <c r="F122" s="26" t="str">
        <f>IF(B122="", "", CONCATENATE('General Information'!$F$9, " - ", 'General Information'!$F$14))</f>
        <v/>
      </c>
      <c r="G122" s="26" t="str">
        <f>IF(B122="", "", 'General Information'!$F$15)</f>
        <v/>
      </c>
      <c r="H122" s="26" t="str">
        <f>IF(B122="", "", IF(VLOOKUP(B122, 'Lookup Tables'!$Y$18:$AA$34, 2, FALSE)="Traffic", VLOOKUP('Lighting Inventory'!W130, 'Lookup Tables'!#REF!, 11, FALSE), VLOOKUP(B122, 'Lookup Tables'!$Y$18:$AA$34, 2, FALSE)))</f>
        <v/>
      </c>
      <c r="I122" s="26" t="str">
        <f>IF(B122="", "", CONCATENATE(D122, 'Data Export'!A122))</f>
        <v/>
      </c>
      <c r="J122" s="26" t="str">
        <f>IF(B122="", "", 'Lookup Tables'!$B$1)</f>
        <v/>
      </c>
      <c r="K122" s="26" t="str">
        <f>IF(B122="", "", 'Lighting Inventory'!B130)</f>
        <v/>
      </c>
      <c r="L122" s="26" t="str">
        <f>IF(B122="", "", 'Lighting Inventory'!C130)</f>
        <v/>
      </c>
      <c r="M122" s="26" t="str">
        <f>IF(B122="", "",'Lighting Inventory'!D130)</f>
        <v/>
      </c>
      <c r="N122" s="26" t="str">
        <f>IF(B122="", "",'Lighting Inventory'!E130)</f>
        <v/>
      </c>
      <c r="O122" s="26" t="str">
        <f>IF(B122="", "", 'Lighting Inventory'!F130)</f>
        <v/>
      </c>
      <c r="P122" s="26" t="str">
        <f>IF(B122="", "", 'Lighting Inventory'!G130)</f>
        <v/>
      </c>
      <c r="Q122" s="26" t="str">
        <f>IF(B122="", "", 'Lighting Inventory'!H130)</f>
        <v/>
      </c>
      <c r="R122" s="26" t="str">
        <f>IF(B122="", "", 'Lighting Inventory'!I130)</f>
        <v/>
      </c>
      <c r="S122" s="26" t="str">
        <f>IF(B122="", "", 'Lighting Inventory'!J130)</f>
        <v/>
      </c>
      <c r="T122" s="26" t="str">
        <f>IFERROR(IF(B122="","",VLOOKUP(S122,'Fixture Identities'!$A$7:$G$1023,5,FALSE)), "New Construction")</f>
        <v/>
      </c>
      <c r="U122" s="26" t="str">
        <f>IFERROR(IF(B122="", "", IF(K122="New Construction", "NC", IF(VLOOKUP(S122, 'Fixture Identities'!$A$7:$I$1023,3, FALSE)="T12 Linear Fluorescent", VLOOKUP(S122, 'Fixture Identities'!$A$7:$K$1012, 11, FALSE), S122))), "")</f>
        <v/>
      </c>
      <c r="V122" s="26" t="str">
        <f>IFERROR(IF(OR(B122="", U122=0), "", VLOOKUP(U122, 'Fixture Identities'!$A$7:$G$1023, 5, FALSE)), "")</f>
        <v/>
      </c>
      <c r="W122" s="26" t="str">
        <f>IF(B122="", "",'Lighting Inventory'!K130)</f>
        <v/>
      </c>
      <c r="X122" s="65" t="str">
        <f>IF(B122="", "", 'Lighting Inventory'!L130)</f>
        <v/>
      </c>
      <c r="Y122" s="26" t="str">
        <f>IF(B122="", "", IF('Lighting Inventory'!M130="", "Light Switch",'Lighting Inventory'!M130))</f>
        <v/>
      </c>
      <c r="Z122" s="26" t="str">
        <f>IF(OR(K122="Retrofit", B122=""), "", 'Lighting Inventory'!N130)</f>
        <v/>
      </c>
      <c r="AA122" s="26" t="str">
        <f>IF(OR(Z122="",B122=""), "", 'Lighting Inventory'!O130)</f>
        <v/>
      </c>
      <c r="AB122" s="26" t="str">
        <f>IF(B122="", "", 'Lighting Inventory'!P130)</f>
        <v/>
      </c>
      <c r="AC122" s="96" t="str">
        <f>IF(B122="", "", 'Lighting Inventory'!R130)</f>
        <v/>
      </c>
      <c r="AD122" s="26" t="str">
        <f>IF(B122="", "", 'Lighting Inventory'!S130)</f>
        <v/>
      </c>
      <c r="AE122" s="26" t="str">
        <f>IF(B122="", "", 'Lighting Inventory'!V130)</f>
        <v/>
      </c>
      <c r="AF122" s="26" t="str">
        <f>IF(B122="", "", 'Lighting Inventory'!W130)</f>
        <v/>
      </c>
      <c r="AG122" s="26" t="str">
        <f>IF(OR(AF122="", B122=""), "", IF(AE122="Custom", "0", VLOOKUP(AF122, 'Lookup Tables'!$AI$6:$AP$102, 8, FALSE)))</f>
        <v/>
      </c>
      <c r="AH122" s="26" t="str">
        <f>IF(B122="", "", 'Lighting Inventory'!AD130)</f>
        <v/>
      </c>
      <c r="AI122" s="26" t="str">
        <f>IF(OR('Lighting Inventory'!AK130="", B122=""), "", 'Lighting Inventory'!AK130)</f>
        <v/>
      </c>
      <c r="AJ122" s="66" t="str">
        <f>IF(B122="", "", 'Lighting Inventory'!AL130)</f>
        <v/>
      </c>
      <c r="AK122" s="65" t="str">
        <f>IF(B122="", "", 'Lighting Inventory'!AM130)</f>
        <v/>
      </c>
      <c r="AL122" s="26" t="str">
        <f>IF(B122="", "", 'Lighting Inventory'!AN130)</f>
        <v/>
      </c>
      <c r="AM122" s="26" t="str">
        <f t="shared" si="5"/>
        <v/>
      </c>
      <c r="AN122" s="26" t="str">
        <f>IF(B122="","",IF('Lighting Inventory'!AV130="","Prescribed",'Lighting Inventory'!AV130))</f>
        <v/>
      </c>
      <c r="AO122" s="66" t="str">
        <f>IF(B122="", "", 'Lighting Inventory'!AX130)</f>
        <v/>
      </c>
      <c r="AP122" s="67" t="str">
        <f>IF(B122="", "", 'Lighting Inventory'!AZ130)</f>
        <v/>
      </c>
      <c r="AQ122" s="67" t="str">
        <f>IF(B122="", "", 'Lighting Inventory'!BA130)</f>
        <v/>
      </c>
      <c r="AR122" s="67" t="str">
        <f>IF(B122="", "", 'Lighting Inventory'!BB130)</f>
        <v/>
      </c>
      <c r="AS122" s="67" t="str">
        <f>IF(B122="", "", 'Lighting Inventory'!BC130)</f>
        <v/>
      </c>
      <c r="AT122" s="67" t="str">
        <f>IF(B122="", "", 'Lighting Inventory'!BD130)</f>
        <v/>
      </c>
      <c r="AU122" s="67" t="str">
        <f>IF(B122="", "", 'Lighting Inventory'!BE130)</f>
        <v/>
      </c>
      <c r="AV122" s="67" t="str">
        <f>IF(B122="", "", 'Lighting Inventory'!BE130)</f>
        <v/>
      </c>
      <c r="AW122" s="67" t="str">
        <f>IF(B122="", "", 'Lighting Inventory'!BF130)</f>
        <v/>
      </c>
      <c r="AX122" s="67" t="str">
        <f>IF(B122="", "", 'Lighting Inventory'!BF130)</f>
        <v/>
      </c>
      <c r="AY122" s="65" t="str">
        <f t="shared" si="7"/>
        <v/>
      </c>
      <c r="AZ122" s="65" t="str">
        <f>IF(B122="", "", 'Lighting Inventory'!BJ130)</f>
        <v/>
      </c>
      <c r="BA122" s="65" t="str">
        <f>IF(B122="", "", 'Lighting Inventory'!BM130)</f>
        <v/>
      </c>
      <c r="BB122" s="65" t="str">
        <f>IF(B122="","",SUM('Lighting Inventory'!BP130:BP130))</f>
        <v/>
      </c>
      <c r="BC122" s="67" t="str">
        <f>IF(OR(AE122="", B122=""),"", 'Lighting Inventory'!GR130)</f>
        <v/>
      </c>
      <c r="BD122" s="67" t="str">
        <f>IFERROR(IF(B122="", "", 'Lighting Inventory'!AF130)*AD122," ")</f>
        <v xml:space="preserve"> </v>
      </c>
      <c r="BE122" s="67"/>
      <c r="BF122" s="67"/>
    </row>
    <row r="123" spans="1:58" x14ac:dyDescent="0.25">
      <c r="A123" s="26" t="str">
        <f>IF(B123="", "", 'Lookup Tables'!AW124)</f>
        <v/>
      </c>
      <c r="B123" s="26" t="str">
        <f>IF(OR('Lighting Inventory'!Y131="", 'Lighting Inventory'!V131="No Change"),"", 'Lighting Inventory'!Y131)</f>
        <v/>
      </c>
      <c r="C123" s="26" t="str">
        <f>IF(B123="", "", IF('Lighting Inventory'!Y131='Lookup Tables'!$Y$32, 'Lighting Inventory'!AJ131, IF(AD123=0, R123, AD123)))</f>
        <v/>
      </c>
      <c r="D123" s="26" t="str">
        <f>IF(B123="", "", 'General Information'!$F$14)</f>
        <v/>
      </c>
      <c r="E123" s="26" t="str">
        <f t="shared" si="6"/>
        <v/>
      </c>
      <c r="F123" s="26" t="str">
        <f>IF(B123="", "", CONCATENATE('General Information'!$F$9, " - ", 'General Information'!$F$14))</f>
        <v/>
      </c>
      <c r="G123" s="26" t="str">
        <f>IF(B123="", "", 'General Information'!$F$15)</f>
        <v/>
      </c>
      <c r="H123" s="26" t="str">
        <f>IF(B123="", "", IF(VLOOKUP(B123, 'Lookup Tables'!$Y$18:$AA$34, 2, FALSE)="Traffic", VLOOKUP('Lighting Inventory'!W131, 'Lookup Tables'!#REF!, 11, FALSE), VLOOKUP(B123, 'Lookup Tables'!$Y$18:$AA$34, 2, FALSE)))</f>
        <v/>
      </c>
      <c r="I123" s="26" t="str">
        <f>IF(B123="", "", CONCATENATE(D123, 'Data Export'!A123))</f>
        <v/>
      </c>
      <c r="J123" s="26" t="str">
        <f>IF(B123="", "", 'Lookup Tables'!$B$1)</f>
        <v/>
      </c>
      <c r="K123" s="26" t="str">
        <f>IF(B123="", "", 'Lighting Inventory'!B131)</f>
        <v/>
      </c>
      <c r="L123" s="26" t="str">
        <f>IF(B123="", "", 'Lighting Inventory'!C131)</f>
        <v/>
      </c>
      <c r="M123" s="26" t="str">
        <f>IF(B123="", "",'Lighting Inventory'!D131)</f>
        <v/>
      </c>
      <c r="N123" s="26" t="str">
        <f>IF(B123="", "",'Lighting Inventory'!E131)</f>
        <v/>
      </c>
      <c r="O123" s="26" t="str">
        <f>IF(B123="", "", 'Lighting Inventory'!F131)</f>
        <v/>
      </c>
      <c r="P123" s="26" t="str">
        <f>IF(B123="", "", 'Lighting Inventory'!G131)</f>
        <v/>
      </c>
      <c r="Q123" s="26" t="str">
        <f>IF(B123="", "", 'Lighting Inventory'!H131)</f>
        <v/>
      </c>
      <c r="R123" s="26" t="str">
        <f>IF(B123="", "", 'Lighting Inventory'!I131)</f>
        <v/>
      </c>
      <c r="S123" s="26" t="str">
        <f>IF(B123="", "", 'Lighting Inventory'!J131)</f>
        <v/>
      </c>
      <c r="T123" s="26" t="str">
        <f>IFERROR(IF(B123="","",VLOOKUP(S123,'Fixture Identities'!$A$7:$G$1023,5,FALSE)), "New Construction")</f>
        <v/>
      </c>
      <c r="U123" s="26" t="str">
        <f>IFERROR(IF(B123="", "", IF(K123="New Construction", "NC", IF(VLOOKUP(S123, 'Fixture Identities'!$A$7:$I$1023,3, FALSE)="T12 Linear Fluorescent", VLOOKUP(S123, 'Fixture Identities'!$A$7:$K$1012, 11, FALSE), S123))), "")</f>
        <v/>
      </c>
      <c r="V123" s="26" t="str">
        <f>IFERROR(IF(OR(B123="", U123=0), "", VLOOKUP(U123, 'Fixture Identities'!$A$7:$G$1023, 5, FALSE)), "")</f>
        <v/>
      </c>
      <c r="W123" s="26" t="str">
        <f>IF(B123="", "",'Lighting Inventory'!K131)</f>
        <v/>
      </c>
      <c r="X123" s="65" t="str">
        <f>IF(B123="", "", 'Lighting Inventory'!L131)</f>
        <v/>
      </c>
      <c r="Y123" s="26" t="str">
        <f>IF(B123="", "", IF('Lighting Inventory'!M131="", "Light Switch",'Lighting Inventory'!M131))</f>
        <v/>
      </c>
      <c r="Z123" s="26" t="str">
        <f>IF(OR(K123="Retrofit", B123=""), "", 'Lighting Inventory'!N131)</f>
        <v/>
      </c>
      <c r="AA123" s="26" t="str">
        <f>IF(OR(Z123="",B123=""), "", 'Lighting Inventory'!O131)</f>
        <v/>
      </c>
      <c r="AB123" s="26" t="str">
        <f>IF(B123="", "", 'Lighting Inventory'!P131)</f>
        <v/>
      </c>
      <c r="AC123" s="96" t="str">
        <f>IF(B123="", "", 'Lighting Inventory'!R131)</f>
        <v/>
      </c>
      <c r="AD123" s="26" t="str">
        <f>IF(B123="", "", 'Lighting Inventory'!S131)</f>
        <v/>
      </c>
      <c r="AE123" s="26" t="str">
        <f>IF(B123="", "", 'Lighting Inventory'!V131)</f>
        <v/>
      </c>
      <c r="AF123" s="26" t="str">
        <f>IF(B123="", "", 'Lighting Inventory'!W131)</f>
        <v/>
      </c>
      <c r="AG123" s="26" t="str">
        <f>IF(OR(AF123="", B123=""), "", IF(AE123="Custom", "0", VLOOKUP(AF123, 'Lookup Tables'!$AI$6:$AP$102, 8, FALSE)))</f>
        <v/>
      </c>
      <c r="AH123" s="26" t="str">
        <f>IF(B123="", "", 'Lighting Inventory'!AD131)</f>
        <v/>
      </c>
      <c r="AI123" s="26" t="str">
        <f>IF(OR('Lighting Inventory'!AK131="", B123=""), "", 'Lighting Inventory'!AK131)</f>
        <v/>
      </c>
      <c r="AJ123" s="66" t="str">
        <f>IF(B123="", "", 'Lighting Inventory'!AL131)</f>
        <v/>
      </c>
      <c r="AK123" s="65" t="str">
        <f>IF(B123="", "", 'Lighting Inventory'!AM131)</f>
        <v/>
      </c>
      <c r="AL123" s="26" t="str">
        <f>IF(B123="", "", 'Lighting Inventory'!AN131)</f>
        <v/>
      </c>
      <c r="AM123" s="26" t="str">
        <f t="shared" si="5"/>
        <v/>
      </c>
      <c r="AN123" s="26" t="str">
        <f>IF(B123="","",IF('Lighting Inventory'!AV131="","Prescribed",'Lighting Inventory'!AV131))</f>
        <v/>
      </c>
      <c r="AO123" s="66" t="str">
        <f>IF(B123="", "", 'Lighting Inventory'!AX131)</f>
        <v/>
      </c>
      <c r="AP123" s="67" t="str">
        <f>IF(B123="", "", 'Lighting Inventory'!AZ131)</f>
        <v/>
      </c>
      <c r="AQ123" s="67" t="str">
        <f>IF(B123="", "", 'Lighting Inventory'!BA131)</f>
        <v/>
      </c>
      <c r="AR123" s="67" t="str">
        <f>IF(B123="", "", 'Lighting Inventory'!BB131)</f>
        <v/>
      </c>
      <c r="AS123" s="67" t="str">
        <f>IF(B123="", "", 'Lighting Inventory'!BC131)</f>
        <v/>
      </c>
      <c r="AT123" s="67" t="str">
        <f>IF(B123="", "", 'Lighting Inventory'!BD131)</f>
        <v/>
      </c>
      <c r="AU123" s="67" t="str">
        <f>IF(B123="", "", 'Lighting Inventory'!BE131)</f>
        <v/>
      </c>
      <c r="AV123" s="67" t="str">
        <f>IF(B123="", "", 'Lighting Inventory'!BE131)</f>
        <v/>
      </c>
      <c r="AW123" s="67" t="str">
        <f>IF(B123="", "", 'Lighting Inventory'!BF131)</f>
        <v/>
      </c>
      <c r="AX123" s="67" t="str">
        <f>IF(B123="", "", 'Lighting Inventory'!BF131)</f>
        <v/>
      </c>
      <c r="AY123" s="65" t="str">
        <f t="shared" si="7"/>
        <v/>
      </c>
      <c r="AZ123" s="65" t="str">
        <f>IF(B123="", "", 'Lighting Inventory'!BJ131)</f>
        <v/>
      </c>
      <c r="BA123" s="65" t="str">
        <f>IF(B123="", "", 'Lighting Inventory'!BM131)</f>
        <v/>
      </c>
      <c r="BB123" s="65" t="str">
        <f>IF(B123="","",SUM('Lighting Inventory'!BP131:BP131))</f>
        <v/>
      </c>
      <c r="BC123" s="67" t="str">
        <f>IF(OR(AE123="", B123=""),"", 'Lighting Inventory'!GR131)</f>
        <v/>
      </c>
      <c r="BD123" s="67" t="str">
        <f>IFERROR(IF(B123="", "", 'Lighting Inventory'!AF131)*AD123," ")</f>
        <v xml:space="preserve"> </v>
      </c>
      <c r="BE123" s="67"/>
      <c r="BF123" s="67"/>
    </row>
    <row r="124" spans="1:58" x14ac:dyDescent="0.25">
      <c r="A124" s="26" t="str">
        <f>IF(B124="", "", 'Lookup Tables'!AW125)</f>
        <v/>
      </c>
      <c r="B124" s="26" t="str">
        <f>IF(OR('Lighting Inventory'!Y132="", 'Lighting Inventory'!V132="No Change"),"", 'Lighting Inventory'!Y132)</f>
        <v/>
      </c>
      <c r="C124" s="26" t="str">
        <f>IF(B124="", "", IF('Lighting Inventory'!Y132='Lookup Tables'!$Y$32, 'Lighting Inventory'!AJ132, IF(AD124=0, R124, AD124)))</f>
        <v/>
      </c>
      <c r="D124" s="26" t="str">
        <f>IF(B124="", "", 'General Information'!$F$14)</f>
        <v/>
      </c>
      <c r="E124" s="26" t="str">
        <f t="shared" si="6"/>
        <v/>
      </c>
      <c r="F124" s="26" t="str">
        <f>IF(B124="", "", CONCATENATE('General Information'!$F$9, " - ", 'General Information'!$F$14))</f>
        <v/>
      </c>
      <c r="G124" s="26" t="str">
        <f>IF(B124="", "", 'General Information'!$F$15)</f>
        <v/>
      </c>
      <c r="H124" s="26" t="str">
        <f>IF(B124="", "", IF(VLOOKUP(B124, 'Lookup Tables'!$Y$18:$AA$34, 2, FALSE)="Traffic", VLOOKUP('Lighting Inventory'!W132, 'Lookup Tables'!#REF!, 11, FALSE), VLOOKUP(B124, 'Lookup Tables'!$Y$18:$AA$34, 2, FALSE)))</f>
        <v/>
      </c>
      <c r="I124" s="26" t="str">
        <f>IF(B124="", "", CONCATENATE(D124, 'Data Export'!A124))</f>
        <v/>
      </c>
      <c r="J124" s="26" t="str">
        <f>IF(B124="", "", 'Lookup Tables'!$B$1)</f>
        <v/>
      </c>
      <c r="K124" s="26" t="str">
        <f>IF(B124="", "", 'Lighting Inventory'!B132)</f>
        <v/>
      </c>
      <c r="L124" s="26" t="str">
        <f>IF(B124="", "", 'Lighting Inventory'!C132)</f>
        <v/>
      </c>
      <c r="M124" s="26" t="str">
        <f>IF(B124="", "",'Lighting Inventory'!D132)</f>
        <v/>
      </c>
      <c r="N124" s="26" t="str">
        <f>IF(B124="", "",'Lighting Inventory'!E132)</f>
        <v/>
      </c>
      <c r="O124" s="26" t="str">
        <f>IF(B124="", "", 'Lighting Inventory'!F132)</f>
        <v/>
      </c>
      <c r="P124" s="26" t="str">
        <f>IF(B124="", "", 'Lighting Inventory'!G132)</f>
        <v/>
      </c>
      <c r="Q124" s="26" t="str">
        <f>IF(B124="", "", 'Lighting Inventory'!H132)</f>
        <v/>
      </c>
      <c r="R124" s="26" t="str">
        <f>IF(B124="", "", 'Lighting Inventory'!I132)</f>
        <v/>
      </c>
      <c r="S124" s="26" t="str">
        <f>IF(B124="", "", 'Lighting Inventory'!J132)</f>
        <v/>
      </c>
      <c r="T124" s="26" t="str">
        <f>IFERROR(IF(B124="","",VLOOKUP(S124,'Fixture Identities'!$A$7:$G$1023,5,FALSE)), "New Construction")</f>
        <v/>
      </c>
      <c r="U124" s="26" t="str">
        <f>IFERROR(IF(B124="", "", IF(K124="New Construction", "NC", IF(VLOOKUP(S124, 'Fixture Identities'!$A$7:$I$1023,3, FALSE)="T12 Linear Fluorescent", VLOOKUP(S124, 'Fixture Identities'!$A$7:$K$1012, 11, FALSE), S124))), "")</f>
        <v/>
      </c>
      <c r="V124" s="26" t="str">
        <f>IFERROR(IF(OR(B124="", U124=0), "", VLOOKUP(U124, 'Fixture Identities'!$A$7:$G$1023, 5, FALSE)), "")</f>
        <v/>
      </c>
      <c r="W124" s="26" t="str">
        <f>IF(B124="", "",'Lighting Inventory'!K132)</f>
        <v/>
      </c>
      <c r="X124" s="65" t="str">
        <f>IF(B124="", "", 'Lighting Inventory'!L132)</f>
        <v/>
      </c>
      <c r="Y124" s="26" t="str">
        <f>IF(B124="", "", IF('Lighting Inventory'!M132="", "Light Switch",'Lighting Inventory'!M132))</f>
        <v/>
      </c>
      <c r="Z124" s="26" t="str">
        <f>IF(OR(K124="Retrofit", B124=""), "", 'Lighting Inventory'!N132)</f>
        <v/>
      </c>
      <c r="AA124" s="26" t="str">
        <f>IF(OR(Z124="",B124=""), "", 'Lighting Inventory'!O132)</f>
        <v/>
      </c>
      <c r="AB124" s="26" t="str">
        <f>IF(B124="", "", 'Lighting Inventory'!P132)</f>
        <v/>
      </c>
      <c r="AC124" s="96" t="str">
        <f>IF(B124="", "", 'Lighting Inventory'!R132)</f>
        <v/>
      </c>
      <c r="AD124" s="26" t="str">
        <f>IF(B124="", "", 'Lighting Inventory'!S132)</f>
        <v/>
      </c>
      <c r="AE124" s="26" t="str">
        <f>IF(B124="", "", 'Lighting Inventory'!V132)</f>
        <v/>
      </c>
      <c r="AF124" s="26" t="str">
        <f>IF(B124="", "", 'Lighting Inventory'!W132)</f>
        <v/>
      </c>
      <c r="AG124" s="26" t="str">
        <f>IF(OR(AF124="", B124=""), "", IF(AE124="Custom", "0", VLOOKUP(AF124, 'Lookup Tables'!$AI$6:$AP$102, 8, FALSE)))</f>
        <v/>
      </c>
      <c r="AH124" s="26" t="str">
        <f>IF(B124="", "", 'Lighting Inventory'!AD132)</f>
        <v/>
      </c>
      <c r="AI124" s="26" t="str">
        <f>IF(OR('Lighting Inventory'!AK132="", B124=""), "", 'Lighting Inventory'!AK132)</f>
        <v/>
      </c>
      <c r="AJ124" s="66" t="str">
        <f>IF(B124="", "", 'Lighting Inventory'!AL132)</f>
        <v/>
      </c>
      <c r="AK124" s="65" t="str">
        <f>IF(B124="", "", 'Lighting Inventory'!AM132)</f>
        <v/>
      </c>
      <c r="AL124" s="26" t="str">
        <f>IF(B124="", "", 'Lighting Inventory'!AN132)</f>
        <v/>
      </c>
      <c r="AM124" s="26" t="str">
        <f t="shared" si="5"/>
        <v/>
      </c>
      <c r="AN124" s="26" t="str">
        <f>IF(B124="","",IF('Lighting Inventory'!AV132="","Prescribed",'Lighting Inventory'!AV132))</f>
        <v/>
      </c>
      <c r="AO124" s="66" t="str">
        <f>IF(B124="", "", 'Lighting Inventory'!AX132)</f>
        <v/>
      </c>
      <c r="AP124" s="67" t="str">
        <f>IF(B124="", "", 'Lighting Inventory'!AZ132)</f>
        <v/>
      </c>
      <c r="AQ124" s="67" t="str">
        <f>IF(B124="", "", 'Lighting Inventory'!BA132)</f>
        <v/>
      </c>
      <c r="AR124" s="67" t="str">
        <f>IF(B124="", "", 'Lighting Inventory'!BB132)</f>
        <v/>
      </c>
      <c r="AS124" s="67" t="str">
        <f>IF(B124="", "", 'Lighting Inventory'!BC132)</f>
        <v/>
      </c>
      <c r="AT124" s="67" t="str">
        <f>IF(B124="", "", 'Lighting Inventory'!BD132)</f>
        <v/>
      </c>
      <c r="AU124" s="67" t="str">
        <f>IF(B124="", "", 'Lighting Inventory'!BE132)</f>
        <v/>
      </c>
      <c r="AV124" s="67" t="str">
        <f>IF(B124="", "", 'Lighting Inventory'!BE132)</f>
        <v/>
      </c>
      <c r="AW124" s="67" t="str">
        <f>IF(B124="", "", 'Lighting Inventory'!BF132)</f>
        <v/>
      </c>
      <c r="AX124" s="67" t="str">
        <f>IF(B124="", "", 'Lighting Inventory'!BF132)</f>
        <v/>
      </c>
      <c r="AY124" s="65" t="str">
        <f t="shared" si="7"/>
        <v/>
      </c>
      <c r="AZ124" s="65" t="str">
        <f>IF(B124="", "", 'Lighting Inventory'!BJ132)</f>
        <v/>
      </c>
      <c r="BA124" s="65" t="str">
        <f>IF(B124="", "", 'Lighting Inventory'!BM132)</f>
        <v/>
      </c>
      <c r="BB124" s="65" t="str">
        <f>IF(B124="","",SUM('Lighting Inventory'!BP132:BP132))</f>
        <v/>
      </c>
      <c r="BC124" s="67" t="str">
        <f>IF(OR(AE124="", B124=""),"", 'Lighting Inventory'!GR132)</f>
        <v/>
      </c>
      <c r="BD124" s="67" t="str">
        <f>IFERROR(IF(B124="", "", 'Lighting Inventory'!AF132)*AD124," ")</f>
        <v xml:space="preserve"> </v>
      </c>
      <c r="BE124" s="67"/>
      <c r="BF124" s="67"/>
    </row>
    <row r="125" spans="1:58" x14ac:dyDescent="0.25">
      <c r="A125" s="26" t="str">
        <f>IF(B125="", "", 'Lookup Tables'!AW126)</f>
        <v/>
      </c>
      <c r="B125" s="26" t="str">
        <f>IF(OR('Lighting Inventory'!Y133="", 'Lighting Inventory'!V133="No Change"),"", 'Lighting Inventory'!Y133)</f>
        <v/>
      </c>
      <c r="C125" s="26" t="str">
        <f>IF(B125="", "", IF('Lighting Inventory'!Y133='Lookup Tables'!$Y$32, 'Lighting Inventory'!AJ133, IF(AD125=0, R125, AD125)))</f>
        <v/>
      </c>
      <c r="D125" s="26" t="str">
        <f>IF(B125="", "", 'General Information'!$F$14)</f>
        <v/>
      </c>
      <c r="E125" s="26" t="str">
        <f t="shared" si="6"/>
        <v/>
      </c>
      <c r="F125" s="26" t="str">
        <f>IF(B125="", "", CONCATENATE('General Information'!$F$9, " - ", 'General Information'!$F$14))</f>
        <v/>
      </c>
      <c r="G125" s="26" t="str">
        <f>IF(B125="", "", 'General Information'!$F$15)</f>
        <v/>
      </c>
      <c r="H125" s="26" t="str">
        <f>IF(B125="", "", IF(VLOOKUP(B125, 'Lookup Tables'!$Y$18:$AA$34, 2, FALSE)="Traffic", VLOOKUP('Lighting Inventory'!W133, 'Lookup Tables'!#REF!, 11, FALSE), VLOOKUP(B125, 'Lookup Tables'!$Y$18:$AA$34, 2, FALSE)))</f>
        <v/>
      </c>
      <c r="I125" s="26" t="str">
        <f>IF(B125="", "", CONCATENATE(D125, 'Data Export'!A125))</f>
        <v/>
      </c>
      <c r="J125" s="26" t="str">
        <f>IF(B125="", "", 'Lookup Tables'!$B$1)</f>
        <v/>
      </c>
      <c r="K125" s="26" t="str">
        <f>IF(B125="", "", 'Lighting Inventory'!B133)</f>
        <v/>
      </c>
      <c r="L125" s="26" t="str">
        <f>IF(B125="", "", 'Lighting Inventory'!C133)</f>
        <v/>
      </c>
      <c r="M125" s="26" t="str">
        <f>IF(B125="", "",'Lighting Inventory'!D133)</f>
        <v/>
      </c>
      <c r="N125" s="26" t="str">
        <f>IF(B125="", "",'Lighting Inventory'!E133)</f>
        <v/>
      </c>
      <c r="O125" s="26" t="str">
        <f>IF(B125="", "", 'Lighting Inventory'!F133)</f>
        <v/>
      </c>
      <c r="P125" s="26" t="str">
        <f>IF(B125="", "", 'Lighting Inventory'!G133)</f>
        <v/>
      </c>
      <c r="Q125" s="26" t="str">
        <f>IF(B125="", "", 'Lighting Inventory'!H133)</f>
        <v/>
      </c>
      <c r="R125" s="26" t="str">
        <f>IF(B125="", "", 'Lighting Inventory'!I133)</f>
        <v/>
      </c>
      <c r="S125" s="26" t="str">
        <f>IF(B125="", "", 'Lighting Inventory'!J133)</f>
        <v/>
      </c>
      <c r="T125" s="26" t="str">
        <f>IFERROR(IF(B125="","",VLOOKUP(S125,'Fixture Identities'!$A$7:$G$1023,5,FALSE)), "New Construction")</f>
        <v/>
      </c>
      <c r="U125" s="26" t="str">
        <f>IFERROR(IF(B125="", "", IF(K125="New Construction", "NC", IF(VLOOKUP(S125, 'Fixture Identities'!$A$7:$I$1023,3, FALSE)="T12 Linear Fluorescent", VLOOKUP(S125, 'Fixture Identities'!$A$7:$K$1012, 11, FALSE), S125))), "")</f>
        <v/>
      </c>
      <c r="V125" s="26" t="str">
        <f>IFERROR(IF(OR(B125="", U125=0), "", VLOOKUP(U125, 'Fixture Identities'!$A$7:$G$1023, 5, FALSE)), "")</f>
        <v/>
      </c>
      <c r="W125" s="26" t="str">
        <f>IF(B125="", "",'Lighting Inventory'!K133)</f>
        <v/>
      </c>
      <c r="X125" s="65" t="str">
        <f>IF(B125="", "", 'Lighting Inventory'!L133)</f>
        <v/>
      </c>
      <c r="Y125" s="26" t="str">
        <f>IF(B125="", "", IF('Lighting Inventory'!M133="", "Light Switch",'Lighting Inventory'!M133))</f>
        <v/>
      </c>
      <c r="Z125" s="26" t="str">
        <f>IF(OR(K125="Retrofit", B125=""), "", 'Lighting Inventory'!N133)</f>
        <v/>
      </c>
      <c r="AA125" s="26" t="str">
        <f>IF(OR(Z125="",B125=""), "", 'Lighting Inventory'!O133)</f>
        <v/>
      </c>
      <c r="AB125" s="26" t="str">
        <f>IF(B125="", "", 'Lighting Inventory'!P133)</f>
        <v/>
      </c>
      <c r="AC125" s="96" t="str">
        <f>IF(B125="", "", 'Lighting Inventory'!R133)</f>
        <v/>
      </c>
      <c r="AD125" s="26" t="str">
        <f>IF(B125="", "", 'Lighting Inventory'!S133)</f>
        <v/>
      </c>
      <c r="AE125" s="26" t="str">
        <f>IF(B125="", "", 'Lighting Inventory'!V133)</f>
        <v/>
      </c>
      <c r="AF125" s="26" t="str">
        <f>IF(B125="", "", 'Lighting Inventory'!W133)</f>
        <v/>
      </c>
      <c r="AG125" s="26" t="str">
        <f>IF(OR(AF125="", B125=""), "", IF(AE125="Custom", "0", VLOOKUP(AF125, 'Lookup Tables'!$AI$6:$AP$102, 8, FALSE)))</f>
        <v/>
      </c>
      <c r="AH125" s="26" t="str">
        <f>IF(B125="", "", 'Lighting Inventory'!AD133)</f>
        <v/>
      </c>
      <c r="AI125" s="26" t="str">
        <f>IF(OR('Lighting Inventory'!AK133="", B125=""), "", 'Lighting Inventory'!AK133)</f>
        <v/>
      </c>
      <c r="AJ125" s="66" t="str">
        <f>IF(B125="", "", 'Lighting Inventory'!AL133)</f>
        <v/>
      </c>
      <c r="AK125" s="65" t="str">
        <f>IF(B125="", "", 'Lighting Inventory'!AM133)</f>
        <v/>
      </c>
      <c r="AL125" s="26" t="str">
        <f>IF(B125="", "", 'Lighting Inventory'!AN133)</f>
        <v/>
      </c>
      <c r="AM125" s="26" t="str">
        <f t="shared" si="5"/>
        <v/>
      </c>
      <c r="AN125" s="26" t="str">
        <f>IF(B125="","",IF('Lighting Inventory'!AV133="","Prescribed",'Lighting Inventory'!AV133))</f>
        <v/>
      </c>
      <c r="AO125" s="66" t="str">
        <f>IF(B125="", "", 'Lighting Inventory'!AX133)</f>
        <v/>
      </c>
      <c r="AP125" s="67" t="str">
        <f>IF(B125="", "", 'Lighting Inventory'!AZ133)</f>
        <v/>
      </c>
      <c r="AQ125" s="67" t="str">
        <f>IF(B125="", "", 'Lighting Inventory'!BA133)</f>
        <v/>
      </c>
      <c r="AR125" s="67" t="str">
        <f>IF(B125="", "", 'Lighting Inventory'!BB133)</f>
        <v/>
      </c>
      <c r="AS125" s="67" t="str">
        <f>IF(B125="", "", 'Lighting Inventory'!BC133)</f>
        <v/>
      </c>
      <c r="AT125" s="67" t="str">
        <f>IF(B125="", "", 'Lighting Inventory'!BD133)</f>
        <v/>
      </c>
      <c r="AU125" s="67" t="str">
        <f>IF(B125="", "", 'Lighting Inventory'!BE133)</f>
        <v/>
      </c>
      <c r="AV125" s="67" t="str">
        <f>IF(B125="", "", 'Lighting Inventory'!BE133)</f>
        <v/>
      </c>
      <c r="AW125" s="67" t="str">
        <f>IF(B125="", "", 'Lighting Inventory'!BF133)</f>
        <v/>
      </c>
      <c r="AX125" s="67" t="str">
        <f>IF(B125="", "", 'Lighting Inventory'!BF133)</f>
        <v/>
      </c>
      <c r="AY125" s="65" t="str">
        <f t="shared" si="7"/>
        <v/>
      </c>
      <c r="AZ125" s="65" t="str">
        <f>IF(B125="", "", 'Lighting Inventory'!BJ133)</f>
        <v/>
      </c>
      <c r="BA125" s="65" t="str">
        <f>IF(B125="", "", 'Lighting Inventory'!BM133)</f>
        <v/>
      </c>
      <c r="BB125" s="65" t="str">
        <f>IF(B125="","",SUM('Lighting Inventory'!BP133:BP133))</f>
        <v/>
      </c>
      <c r="BC125" s="67" t="str">
        <f>IF(OR(AE125="", B125=""),"", 'Lighting Inventory'!GR133)</f>
        <v/>
      </c>
      <c r="BD125" s="67" t="str">
        <f>IFERROR(IF(B125="", "", 'Lighting Inventory'!AF133)*AD125," ")</f>
        <v xml:space="preserve"> </v>
      </c>
      <c r="BE125" s="67"/>
      <c r="BF125" s="67"/>
    </row>
    <row r="126" spans="1:58" x14ac:dyDescent="0.25">
      <c r="A126" s="26" t="str">
        <f>IF(B126="", "", 'Lookup Tables'!AW127)</f>
        <v/>
      </c>
      <c r="B126" s="26" t="str">
        <f>IF(OR('Lighting Inventory'!Y134="", 'Lighting Inventory'!V134="No Change"),"", 'Lighting Inventory'!Y134)</f>
        <v/>
      </c>
      <c r="C126" s="26" t="str">
        <f>IF(B126="", "", IF('Lighting Inventory'!Y134='Lookup Tables'!$Y$32, 'Lighting Inventory'!AJ134, IF(AD126=0, R126, AD126)))</f>
        <v/>
      </c>
      <c r="D126" s="26" t="str">
        <f>IF(B126="", "", 'General Information'!$F$14)</f>
        <v/>
      </c>
      <c r="E126" s="26" t="str">
        <f t="shared" si="6"/>
        <v/>
      </c>
      <c r="F126" s="26" t="str">
        <f>IF(B126="", "", CONCATENATE('General Information'!$F$9, " - ", 'General Information'!$F$14))</f>
        <v/>
      </c>
      <c r="G126" s="26" t="str">
        <f>IF(B126="", "", 'General Information'!$F$15)</f>
        <v/>
      </c>
      <c r="H126" s="26" t="str">
        <f>IF(B126="", "", IF(VLOOKUP(B126, 'Lookup Tables'!$Y$18:$AA$34, 2, FALSE)="Traffic", VLOOKUP('Lighting Inventory'!W134, 'Lookup Tables'!#REF!, 11, FALSE), VLOOKUP(B126, 'Lookup Tables'!$Y$18:$AA$34, 2, FALSE)))</f>
        <v/>
      </c>
      <c r="I126" s="26" t="str">
        <f>IF(B126="", "", CONCATENATE(D126, 'Data Export'!A126))</f>
        <v/>
      </c>
      <c r="J126" s="26" t="str">
        <f>IF(B126="", "", 'Lookup Tables'!$B$1)</f>
        <v/>
      </c>
      <c r="K126" s="26" t="str">
        <f>IF(B126="", "", 'Lighting Inventory'!B134)</f>
        <v/>
      </c>
      <c r="L126" s="26" t="str">
        <f>IF(B126="", "", 'Lighting Inventory'!C134)</f>
        <v/>
      </c>
      <c r="M126" s="26" t="str">
        <f>IF(B126="", "",'Lighting Inventory'!D134)</f>
        <v/>
      </c>
      <c r="N126" s="26" t="str">
        <f>IF(B126="", "",'Lighting Inventory'!E134)</f>
        <v/>
      </c>
      <c r="O126" s="26" t="str">
        <f>IF(B126="", "", 'Lighting Inventory'!F134)</f>
        <v/>
      </c>
      <c r="P126" s="26" t="str">
        <f>IF(B126="", "", 'Lighting Inventory'!G134)</f>
        <v/>
      </c>
      <c r="Q126" s="26" t="str">
        <f>IF(B126="", "", 'Lighting Inventory'!H134)</f>
        <v/>
      </c>
      <c r="R126" s="26" t="str">
        <f>IF(B126="", "", 'Lighting Inventory'!I134)</f>
        <v/>
      </c>
      <c r="S126" s="26" t="str">
        <f>IF(B126="", "", 'Lighting Inventory'!J134)</f>
        <v/>
      </c>
      <c r="T126" s="26" t="str">
        <f>IFERROR(IF(B126="","",VLOOKUP(S126,'Fixture Identities'!$A$7:$G$1023,5,FALSE)), "New Construction")</f>
        <v/>
      </c>
      <c r="U126" s="26" t="str">
        <f>IFERROR(IF(B126="", "", IF(K126="New Construction", "NC", IF(VLOOKUP(S126, 'Fixture Identities'!$A$7:$I$1023,3, FALSE)="T12 Linear Fluorescent", VLOOKUP(S126, 'Fixture Identities'!$A$7:$K$1012, 11, FALSE), S126))), "")</f>
        <v/>
      </c>
      <c r="V126" s="26" t="str">
        <f>IFERROR(IF(OR(B126="", U126=0), "", VLOOKUP(U126, 'Fixture Identities'!$A$7:$G$1023, 5, FALSE)), "")</f>
        <v/>
      </c>
      <c r="W126" s="26" t="str">
        <f>IF(B126="", "",'Lighting Inventory'!K134)</f>
        <v/>
      </c>
      <c r="X126" s="65" t="str">
        <f>IF(B126="", "", 'Lighting Inventory'!L134)</f>
        <v/>
      </c>
      <c r="Y126" s="26" t="str">
        <f>IF(B126="", "", IF('Lighting Inventory'!M134="", "Light Switch",'Lighting Inventory'!M134))</f>
        <v/>
      </c>
      <c r="Z126" s="26" t="str">
        <f>IF(OR(K126="Retrofit", B126=""), "", 'Lighting Inventory'!N134)</f>
        <v/>
      </c>
      <c r="AA126" s="26" t="str">
        <f>IF(OR(Z126="",B126=""), "", 'Lighting Inventory'!O134)</f>
        <v/>
      </c>
      <c r="AB126" s="26" t="str">
        <f>IF(B126="", "", 'Lighting Inventory'!P134)</f>
        <v/>
      </c>
      <c r="AC126" s="96" t="str">
        <f>IF(B126="", "", 'Lighting Inventory'!R134)</f>
        <v/>
      </c>
      <c r="AD126" s="26" t="str">
        <f>IF(B126="", "", 'Lighting Inventory'!S134)</f>
        <v/>
      </c>
      <c r="AE126" s="26" t="str">
        <f>IF(B126="", "", 'Lighting Inventory'!V134)</f>
        <v/>
      </c>
      <c r="AF126" s="26" t="str">
        <f>IF(B126="", "", 'Lighting Inventory'!W134)</f>
        <v/>
      </c>
      <c r="AG126" s="26" t="str">
        <f>IF(OR(AF126="", B126=""), "", IF(AE126="Custom", "0", VLOOKUP(AF126, 'Lookup Tables'!$AI$6:$AP$102, 8, FALSE)))</f>
        <v/>
      </c>
      <c r="AH126" s="26" t="str">
        <f>IF(B126="", "", 'Lighting Inventory'!AD134)</f>
        <v/>
      </c>
      <c r="AI126" s="26" t="str">
        <f>IF(OR('Lighting Inventory'!AK134="", B126=""), "", 'Lighting Inventory'!AK134)</f>
        <v/>
      </c>
      <c r="AJ126" s="66" t="str">
        <f>IF(B126="", "", 'Lighting Inventory'!AL134)</f>
        <v/>
      </c>
      <c r="AK126" s="65" t="str">
        <f>IF(B126="", "", 'Lighting Inventory'!AM134)</f>
        <v/>
      </c>
      <c r="AL126" s="26" t="str">
        <f>IF(B126="", "", 'Lighting Inventory'!AN134)</f>
        <v/>
      </c>
      <c r="AM126" s="26" t="str">
        <f t="shared" si="5"/>
        <v/>
      </c>
      <c r="AN126" s="26" t="str">
        <f>IF(B126="","",IF('Lighting Inventory'!AV134="","Prescribed",'Lighting Inventory'!AV134))</f>
        <v/>
      </c>
      <c r="AO126" s="66" t="str">
        <f>IF(B126="", "", 'Lighting Inventory'!AX134)</f>
        <v/>
      </c>
      <c r="AP126" s="67" t="str">
        <f>IF(B126="", "", 'Lighting Inventory'!AZ134)</f>
        <v/>
      </c>
      <c r="AQ126" s="67" t="str">
        <f>IF(B126="", "", 'Lighting Inventory'!BA134)</f>
        <v/>
      </c>
      <c r="AR126" s="67" t="str">
        <f>IF(B126="", "", 'Lighting Inventory'!BB134)</f>
        <v/>
      </c>
      <c r="AS126" s="67" t="str">
        <f>IF(B126="", "", 'Lighting Inventory'!BC134)</f>
        <v/>
      </c>
      <c r="AT126" s="67" t="str">
        <f>IF(B126="", "", 'Lighting Inventory'!BD134)</f>
        <v/>
      </c>
      <c r="AU126" s="67" t="str">
        <f>IF(B126="", "", 'Lighting Inventory'!BE134)</f>
        <v/>
      </c>
      <c r="AV126" s="67" t="str">
        <f>IF(B126="", "", 'Lighting Inventory'!BE134)</f>
        <v/>
      </c>
      <c r="AW126" s="67" t="str">
        <f>IF(B126="", "", 'Lighting Inventory'!BF134)</f>
        <v/>
      </c>
      <c r="AX126" s="67" t="str">
        <f>IF(B126="", "", 'Lighting Inventory'!BF134)</f>
        <v/>
      </c>
      <c r="AY126" s="65" t="str">
        <f t="shared" si="7"/>
        <v/>
      </c>
      <c r="AZ126" s="65" t="str">
        <f>IF(B126="", "", 'Lighting Inventory'!BJ134)</f>
        <v/>
      </c>
      <c r="BA126" s="65" t="str">
        <f>IF(B126="", "", 'Lighting Inventory'!BM134)</f>
        <v/>
      </c>
      <c r="BB126" s="65" t="str">
        <f>IF(B126="","",SUM('Lighting Inventory'!BP134:BP134))</f>
        <v/>
      </c>
      <c r="BC126" s="67" t="str">
        <f>IF(OR(AE126="", B126=""),"", 'Lighting Inventory'!GR134)</f>
        <v/>
      </c>
      <c r="BD126" s="67" t="str">
        <f>IFERROR(IF(B126="", "", 'Lighting Inventory'!AF134)*AD126," ")</f>
        <v xml:space="preserve"> </v>
      </c>
      <c r="BE126" s="67"/>
      <c r="BF126" s="67"/>
    </row>
    <row r="127" spans="1:58" x14ac:dyDescent="0.25">
      <c r="A127" s="26" t="str">
        <f>IF(B127="", "", 'Lookup Tables'!AW128)</f>
        <v/>
      </c>
      <c r="B127" s="26" t="str">
        <f>IF(OR('Lighting Inventory'!Y135="", 'Lighting Inventory'!V135="No Change"),"", 'Lighting Inventory'!Y135)</f>
        <v/>
      </c>
      <c r="C127" s="26" t="str">
        <f>IF(B127="", "", IF('Lighting Inventory'!Y135='Lookup Tables'!$Y$32, 'Lighting Inventory'!AJ135, IF(AD127=0, R127, AD127)))</f>
        <v/>
      </c>
      <c r="D127" s="26" t="str">
        <f>IF(B127="", "", 'General Information'!$F$14)</f>
        <v/>
      </c>
      <c r="E127" s="26" t="str">
        <f t="shared" si="6"/>
        <v/>
      </c>
      <c r="F127" s="26" t="str">
        <f>IF(B127="", "", CONCATENATE('General Information'!$F$9, " - ", 'General Information'!$F$14))</f>
        <v/>
      </c>
      <c r="G127" s="26" t="str">
        <f>IF(B127="", "", 'General Information'!$F$15)</f>
        <v/>
      </c>
      <c r="H127" s="26" t="str">
        <f>IF(B127="", "", IF(VLOOKUP(B127, 'Lookup Tables'!$Y$18:$AA$34, 2, FALSE)="Traffic", VLOOKUP('Lighting Inventory'!W135, 'Lookup Tables'!#REF!, 11, FALSE), VLOOKUP(B127, 'Lookup Tables'!$Y$18:$AA$34, 2, FALSE)))</f>
        <v/>
      </c>
      <c r="I127" s="26" t="str">
        <f>IF(B127="", "", CONCATENATE(D127, 'Data Export'!A127))</f>
        <v/>
      </c>
      <c r="J127" s="26" t="str">
        <f>IF(B127="", "", 'Lookup Tables'!$B$1)</f>
        <v/>
      </c>
      <c r="K127" s="26" t="str">
        <f>IF(B127="", "", 'Lighting Inventory'!B135)</f>
        <v/>
      </c>
      <c r="L127" s="26" t="str">
        <f>IF(B127="", "", 'Lighting Inventory'!C135)</f>
        <v/>
      </c>
      <c r="M127" s="26" t="str">
        <f>IF(B127="", "",'Lighting Inventory'!D135)</f>
        <v/>
      </c>
      <c r="N127" s="26" t="str">
        <f>IF(B127="", "",'Lighting Inventory'!E135)</f>
        <v/>
      </c>
      <c r="O127" s="26" t="str">
        <f>IF(B127="", "", 'Lighting Inventory'!F135)</f>
        <v/>
      </c>
      <c r="P127" s="26" t="str">
        <f>IF(B127="", "", 'Lighting Inventory'!G135)</f>
        <v/>
      </c>
      <c r="Q127" s="26" t="str">
        <f>IF(B127="", "", 'Lighting Inventory'!H135)</f>
        <v/>
      </c>
      <c r="R127" s="26" t="str">
        <f>IF(B127="", "", 'Lighting Inventory'!I135)</f>
        <v/>
      </c>
      <c r="S127" s="26" t="str">
        <f>IF(B127="", "", 'Lighting Inventory'!J135)</f>
        <v/>
      </c>
      <c r="T127" s="26" t="str">
        <f>IFERROR(IF(B127="","",VLOOKUP(S127,'Fixture Identities'!$A$7:$G$1023,5,FALSE)), "New Construction")</f>
        <v/>
      </c>
      <c r="U127" s="26" t="str">
        <f>IFERROR(IF(B127="", "", IF(K127="New Construction", "NC", IF(VLOOKUP(S127, 'Fixture Identities'!$A$7:$I$1023,3, FALSE)="T12 Linear Fluorescent", VLOOKUP(S127, 'Fixture Identities'!$A$7:$K$1012, 11, FALSE), S127))), "")</f>
        <v/>
      </c>
      <c r="V127" s="26" t="str">
        <f>IFERROR(IF(OR(B127="", U127=0), "", VLOOKUP(U127, 'Fixture Identities'!$A$7:$G$1023, 5, FALSE)), "")</f>
        <v/>
      </c>
      <c r="W127" s="26" t="str">
        <f>IF(B127="", "",'Lighting Inventory'!K135)</f>
        <v/>
      </c>
      <c r="X127" s="65" t="str">
        <f>IF(B127="", "", 'Lighting Inventory'!L135)</f>
        <v/>
      </c>
      <c r="Y127" s="26" t="str">
        <f>IF(B127="", "", IF('Lighting Inventory'!M135="", "Light Switch",'Lighting Inventory'!M135))</f>
        <v/>
      </c>
      <c r="Z127" s="26" t="str">
        <f>IF(OR(K127="Retrofit", B127=""), "", 'Lighting Inventory'!N135)</f>
        <v/>
      </c>
      <c r="AA127" s="26" t="str">
        <f>IF(OR(Z127="",B127=""), "", 'Lighting Inventory'!O135)</f>
        <v/>
      </c>
      <c r="AB127" s="26" t="str">
        <f>IF(B127="", "", 'Lighting Inventory'!P135)</f>
        <v/>
      </c>
      <c r="AC127" s="96" t="str">
        <f>IF(B127="", "", 'Lighting Inventory'!R135)</f>
        <v/>
      </c>
      <c r="AD127" s="26" t="str">
        <f>IF(B127="", "", 'Lighting Inventory'!S135)</f>
        <v/>
      </c>
      <c r="AE127" s="26" t="str">
        <f>IF(B127="", "", 'Lighting Inventory'!V135)</f>
        <v/>
      </c>
      <c r="AF127" s="26" t="str">
        <f>IF(B127="", "", 'Lighting Inventory'!W135)</f>
        <v/>
      </c>
      <c r="AG127" s="26" t="str">
        <f>IF(OR(AF127="", B127=""), "", IF(AE127="Custom", "0", VLOOKUP(AF127, 'Lookup Tables'!$AI$6:$AP$102, 8, FALSE)))</f>
        <v/>
      </c>
      <c r="AH127" s="26" t="str">
        <f>IF(B127="", "", 'Lighting Inventory'!AD135)</f>
        <v/>
      </c>
      <c r="AI127" s="26" t="str">
        <f>IF(OR('Lighting Inventory'!AK135="", B127=""), "", 'Lighting Inventory'!AK135)</f>
        <v/>
      </c>
      <c r="AJ127" s="66" t="str">
        <f>IF(B127="", "", 'Lighting Inventory'!AL135)</f>
        <v/>
      </c>
      <c r="AK127" s="65" t="str">
        <f>IF(B127="", "", 'Lighting Inventory'!AM135)</f>
        <v/>
      </c>
      <c r="AL127" s="26" t="str">
        <f>IF(B127="", "", 'Lighting Inventory'!AN135)</f>
        <v/>
      </c>
      <c r="AM127" s="26" t="str">
        <f t="shared" si="5"/>
        <v/>
      </c>
      <c r="AN127" s="26" t="str">
        <f>IF(B127="","",IF('Lighting Inventory'!AV135="","Prescribed",'Lighting Inventory'!AV135))</f>
        <v/>
      </c>
      <c r="AO127" s="66" t="str">
        <f>IF(B127="", "", 'Lighting Inventory'!AX135)</f>
        <v/>
      </c>
      <c r="AP127" s="67" t="str">
        <f>IF(B127="", "", 'Lighting Inventory'!AZ135)</f>
        <v/>
      </c>
      <c r="AQ127" s="67" t="str">
        <f>IF(B127="", "", 'Lighting Inventory'!BA135)</f>
        <v/>
      </c>
      <c r="AR127" s="67" t="str">
        <f>IF(B127="", "", 'Lighting Inventory'!BB135)</f>
        <v/>
      </c>
      <c r="AS127" s="67" t="str">
        <f>IF(B127="", "", 'Lighting Inventory'!BC135)</f>
        <v/>
      </c>
      <c r="AT127" s="67" t="str">
        <f>IF(B127="", "", 'Lighting Inventory'!BD135)</f>
        <v/>
      </c>
      <c r="AU127" s="67" t="str">
        <f>IF(B127="", "", 'Lighting Inventory'!BE135)</f>
        <v/>
      </c>
      <c r="AV127" s="67" t="str">
        <f>IF(B127="", "", 'Lighting Inventory'!BE135)</f>
        <v/>
      </c>
      <c r="AW127" s="67" t="str">
        <f>IF(B127="", "", 'Lighting Inventory'!BF135)</f>
        <v/>
      </c>
      <c r="AX127" s="67" t="str">
        <f>IF(B127="", "", 'Lighting Inventory'!BF135)</f>
        <v/>
      </c>
      <c r="AY127" s="65" t="str">
        <f t="shared" si="7"/>
        <v/>
      </c>
      <c r="AZ127" s="65" t="str">
        <f>IF(B127="", "", 'Lighting Inventory'!BJ135)</f>
        <v/>
      </c>
      <c r="BA127" s="65" t="str">
        <f>IF(B127="", "", 'Lighting Inventory'!BM135)</f>
        <v/>
      </c>
      <c r="BB127" s="65" t="str">
        <f>IF(B127="","",SUM('Lighting Inventory'!BP135:BP135))</f>
        <v/>
      </c>
      <c r="BC127" s="67" t="str">
        <f>IF(OR(AE127="", B127=""),"", 'Lighting Inventory'!GR135)</f>
        <v/>
      </c>
      <c r="BD127" s="67" t="str">
        <f>IFERROR(IF(B127="", "", 'Lighting Inventory'!AF135)*AD127," ")</f>
        <v xml:space="preserve"> </v>
      </c>
      <c r="BE127" s="67"/>
      <c r="BF127" s="67"/>
    </row>
    <row r="128" spans="1:58" x14ac:dyDescent="0.25">
      <c r="A128" s="26" t="str">
        <f>IF(B128="", "", 'Lookup Tables'!AW129)</f>
        <v/>
      </c>
      <c r="B128" s="26" t="str">
        <f>IF(OR('Lighting Inventory'!Y136="", 'Lighting Inventory'!V136="No Change"),"", 'Lighting Inventory'!Y136)</f>
        <v/>
      </c>
      <c r="C128" s="26" t="str">
        <f>IF(B128="", "", IF('Lighting Inventory'!Y136='Lookup Tables'!$Y$32, 'Lighting Inventory'!AJ136, IF(AD128=0, R128, AD128)))</f>
        <v/>
      </c>
      <c r="D128" s="26" t="str">
        <f>IF(B128="", "", 'General Information'!$F$14)</f>
        <v/>
      </c>
      <c r="E128" s="26" t="str">
        <f t="shared" si="6"/>
        <v/>
      </c>
      <c r="F128" s="26" t="str">
        <f>IF(B128="", "", CONCATENATE('General Information'!$F$9, " - ", 'General Information'!$F$14))</f>
        <v/>
      </c>
      <c r="G128" s="26" t="str">
        <f>IF(B128="", "", 'General Information'!$F$15)</f>
        <v/>
      </c>
      <c r="H128" s="26" t="str">
        <f>IF(B128="", "", IF(VLOOKUP(B128, 'Lookup Tables'!$Y$18:$AA$34, 2, FALSE)="Traffic", VLOOKUP('Lighting Inventory'!W136, 'Lookup Tables'!#REF!, 11, FALSE), VLOOKUP(B128, 'Lookup Tables'!$Y$18:$AA$34, 2, FALSE)))</f>
        <v/>
      </c>
      <c r="I128" s="26" t="str">
        <f>IF(B128="", "", CONCATENATE(D128, 'Data Export'!A128))</f>
        <v/>
      </c>
      <c r="J128" s="26" t="str">
        <f>IF(B128="", "", 'Lookup Tables'!$B$1)</f>
        <v/>
      </c>
      <c r="K128" s="26" t="str">
        <f>IF(B128="", "", 'Lighting Inventory'!B136)</f>
        <v/>
      </c>
      <c r="L128" s="26" t="str">
        <f>IF(B128="", "", 'Lighting Inventory'!C136)</f>
        <v/>
      </c>
      <c r="M128" s="26" t="str">
        <f>IF(B128="", "",'Lighting Inventory'!D136)</f>
        <v/>
      </c>
      <c r="N128" s="26" t="str">
        <f>IF(B128="", "",'Lighting Inventory'!E136)</f>
        <v/>
      </c>
      <c r="O128" s="26" t="str">
        <f>IF(B128="", "", 'Lighting Inventory'!F136)</f>
        <v/>
      </c>
      <c r="P128" s="26" t="str">
        <f>IF(B128="", "", 'Lighting Inventory'!G136)</f>
        <v/>
      </c>
      <c r="Q128" s="26" t="str">
        <f>IF(B128="", "", 'Lighting Inventory'!H136)</f>
        <v/>
      </c>
      <c r="R128" s="26" t="str">
        <f>IF(B128="", "", 'Lighting Inventory'!I136)</f>
        <v/>
      </c>
      <c r="S128" s="26" t="str">
        <f>IF(B128="", "", 'Lighting Inventory'!J136)</f>
        <v/>
      </c>
      <c r="T128" s="26" t="str">
        <f>IFERROR(IF(B128="","",VLOOKUP(S128,'Fixture Identities'!$A$7:$G$1023,5,FALSE)), "New Construction")</f>
        <v/>
      </c>
      <c r="U128" s="26" t="str">
        <f>IFERROR(IF(B128="", "", IF(K128="New Construction", "NC", IF(VLOOKUP(S128, 'Fixture Identities'!$A$7:$I$1023,3, FALSE)="T12 Linear Fluorescent", VLOOKUP(S128, 'Fixture Identities'!$A$7:$K$1012, 11, FALSE), S128))), "")</f>
        <v/>
      </c>
      <c r="V128" s="26" t="str">
        <f>IFERROR(IF(OR(B128="", U128=0), "", VLOOKUP(U128, 'Fixture Identities'!$A$7:$G$1023, 5, FALSE)), "")</f>
        <v/>
      </c>
      <c r="W128" s="26" t="str">
        <f>IF(B128="", "",'Lighting Inventory'!K136)</f>
        <v/>
      </c>
      <c r="X128" s="65" t="str">
        <f>IF(B128="", "", 'Lighting Inventory'!L136)</f>
        <v/>
      </c>
      <c r="Y128" s="26" t="str">
        <f>IF(B128="", "", IF('Lighting Inventory'!M136="", "Light Switch",'Lighting Inventory'!M136))</f>
        <v/>
      </c>
      <c r="Z128" s="26" t="str">
        <f>IF(OR(K128="Retrofit", B128=""), "", 'Lighting Inventory'!N136)</f>
        <v/>
      </c>
      <c r="AA128" s="26" t="str">
        <f>IF(OR(Z128="",B128=""), "", 'Lighting Inventory'!O136)</f>
        <v/>
      </c>
      <c r="AB128" s="26" t="str">
        <f>IF(B128="", "", 'Lighting Inventory'!P136)</f>
        <v/>
      </c>
      <c r="AC128" s="96" t="str">
        <f>IF(B128="", "", 'Lighting Inventory'!R136)</f>
        <v/>
      </c>
      <c r="AD128" s="26" t="str">
        <f>IF(B128="", "", 'Lighting Inventory'!S136)</f>
        <v/>
      </c>
      <c r="AE128" s="26" t="str">
        <f>IF(B128="", "", 'Lighting Inventory'!V136)</f>
        <v/>
      </c>
      <c r="AF128" s="26" t="str">
        <f>IF(B128="", "", 'Lighting Inventory'!W136)</f>
        <v/>
      </c>
      <c r="AG128" s="26" t="str">
        <f>IF(OR(AF128="", B128=""), "", IF(AE128="Custom", "0", VLOOKUP(AF128, 'Lookup Tables'!$AI$6:$AP$102, 8, FALSE)))</f>
        <v/>
      </c>
      <c r="AH128" s="26" t="str">
        <f>IF(B128="", "", 'Lighting Inventory'!AD136)</f>
        <v/>
      </c>
      <c r="AI128" s="26" t="str">
        <f>IF(OR('Lighting Inventory'!AK136="", B128=""), "", 'Lighting Inventory'!AK136)</f>
        <v/>
      </c>
      <c r="AJ128" s="66" t="str">
        <f>IF(B128="", "", 'Lighting Inventory'!AL136)</f>
        <v/>
      </c>
      <c r="AK128" s="65" t="str">
        <f>IF(B128="", "", 'Lighting Inventory'!AM136)</f>
        <v/>
      </c>
      <c r="AL128" s="26" t="str">
        <f>IF(B128="", "", 'Lighting Inventory'!AN136)</f>
        <v/>
      </c>
      <c r="AM128" s="26" t="str">
        <f t="shared" si="5"/>
        <v/>
      </c>
      <c r="AN128" s="26" t="str">
        <f>IF(B128="","",IF('Lighting Inventory'!AV136="","Prescribed",'Lighting Inventory'!AV136))</f>
        <v/>
      </c>
      <c r="AO128" s="66" t="str">
        <f>IF(B128="", "", 'Lighting Inventory'!AX136)</f>
        <v/>
      </c>
      <c r="AP128" s="67" t="str">
        <f>IF(B128="", "", 'Lighting Inventory'!AZ136)</f>
        <v/>
      </c>
      <c r="AQ128" s="67" t="str">
        <f>IF(B128="", "", 'Lighting Inventory'!BA136)</f>
        <v/>
      </c>
      <c r="AR128" s="67" t="str">
        <f>IF(B128="", "", 'Lighting Inventory'!BB136)</f>
        <v/>
      </c>
      <c r="AS128" s="67" t="str">
        <f>IF(B128="", "", 'Lighting Inventory'!BC136)</f>
        <v/>
      </c>
      <c r="AT128" s="67" t="str">
        <f>IF(B128="", "", 'Lighting Inventory'!BD136)</f>
        <v/>
      </c>
      <c r="AU128" s="67" t="str">
        <f>IF(B128="", "", 'Lighting Inventory'!BE136)</f>
        <v/>
      </c>
      <c r="AV128" s="67" t="str">
        <f>IF(B128="", "", 'Lighting Inventory'!BE136)</f>
        <v/>
      </c>
      <c r="AW128" s="67" t="str">
        <f>IF(B128="", "", 'Lighting Inventory'!BF136)</f>
        <v/>
      </c>
      <c r="AX128" s="67" t="str">
        <f>IF(B128="", "", 'Lighting Inventory'!BF136)</f>
        <v/>
      </c>
      <c r="AY128" s="65" t="str">
        <f t="shared" si="7"/>
        <v/>
      </c>
      <c r="AZ128" s="65" t="str">
        <f>IF(B128="", "", 'Lighting Inventory'!BJ136)</f>
        <v/>
      </c>
      <c r="BA128" s="65" t="str">
        <f>IF(B128="", "", 'Lighting Inventory'!BM136)</f>
        <v/>
      </c>
      <c r="BB128" s="65" t="str">
        <f>IF(B128="","",SUM('Lighting Inventory'!BP136:BP136))</f>
        <v/>
      </c>
      <c r="BC128" s="67" t="str">
        <f>IF(OR(AE128="", B128=""),"", 'Lighting Inventory'!GR136)</f>
        <v/>
      </c>
      <c r="BD128" s="67" t="str">
        <f>IFERROR(IF(B128="", "", 'Lighting Inventory'!AF136)*AD128," ")</f>
        <v xml:space="preserve"> </v>
      </c>
      <c r="BE128" s="67"/>
      <c r="BF128" s="67"/>
    </row>
    <row r="129" spans="1:58" x14ac:dyDescent="0.25">
      <c r="A129" s="26" t="str">
        <f>IF(B129="", "", 'Lookup Tables'!AW130)</f>
        <v/>
      </c>
      <c r="B129" s="26" t="str">
        <f>IF(OR('Lighting Inventory'!Y137="", 'Lighting Inventory'!V137="No Change"),"", 'Lighting Inventory'!Y137)</f>
        <v/>
      </c>
      <c r="C129" s="26" t="str">
        <f>IF(B129="", "", IF('Lighting Inventory'!Y137='Lookup Tables'!$Y$32, 'Lighting Inventory'!AJ137, IF(AD129=0, R129, AD129)))</f>
        <v/>
      </c>
      <c r="D129" s="26" t="str">
        <f>IF(B129="", "", 'General Information'!$F$14)</f>
        <v/>
      </c>
      <c r="E129" s="26" t="str">
        <f t="shared" si="6"/>
        <v/>
      </c>
      <c r="F129" s="26" t="str">
        <f>IF(B129="", "", CONCATENATE('General Information'!$F$9, " - ", 'General Information'!$F$14))</f>
        <v/>
      </c>
      <c r="G129" s="26" t="str">
        <f>IF(B129="", "", 'General Information'!$F$15)</f>
        <v/>
      </c>
      <c r="H129" s="26" t="str">
        <f>IF(B129="", "", IF(VLOOKUP(B129, 'Lookup Tables'!$Y$18:$AA$34, 2, FALSE)="Traffic", VLOOKUP('Lighting Inventory'!W137, 'Lookup Tables'!#REF!, 11, FALSE), VLOOKUP(B129, 'Lookup Tables'!$Y$18:$AA$34, 2, FALSE)))</f>
        <v/>
      </c>
      <c r="I129" s="26" t="str">
        <f>IF(B129="", "", CONCATENATE(D129, 'Data Export'!A129))</f>
        <v/>
      </c>
      <c r="J129" s="26" t="str">
        <f>IF(B129="", "", 'Lookup Tables'!$B$1)</f>
        <v/>
      </c>
      <c r="K129" s="26" t="str">
        <f>IF(B129="", "", 'Lighting Inventory'!B137)</f>
        <v/>
      </c>
      <c r="L129" s="26" t="str">
        <f>IF(B129="", "", 'Lighting Inventory'!C137)</f>
        <v/>
      </c>
      <c r="M129" s="26" t="str">
        <f>IF(B129="", "",'Lighting Inventory'!D137)</f>
        <v/>
      </c>
      <c r="N129" s="26" t="str">
        <f>IF(B129="", "",'Lighting Inventory'!E137)</f>
        <v/>
      </c>
      <c r="O129" s="26" t="str">
        <f>IF(B129="", "", 'Lighting Inventory'!F137)</f>
        <v/>
      </c>
      <c r="P129" s="26" t="str">
        <f>IF(B129="", "", 'Lighting Inventory'!G137)</f>
        <v/>
      </c>
      <c r="Q129" s="26" t="str">
        <f>IF(B129="", "", 'Lighting Inventory'!H137)</f>
        <v/>
      </c>
      <c r="R129" s="26" t="str">
        <f>IF(B129="", "", 'Lighting Inventory'!I137)</f>
        <v/>
      </c>
      <c r="S129" s="26" t="str">
        <f>IF(B129="", "", 'Lighting Inventory'!J137)</f>
        <v/>
      </c>
      <c r="T129" s="26" t="str">
        <f>IFERROR(IF(B129="","",VLOOKUP(S129,'Fixture Identities'!$A$7:$G$1023,5,FALSE)), "New Construction")</f>
        <v/>
      </c>
      <c r="U129" s="26" t="str">
        <f>IFERROR(IF(B129="", "", IF(K129="New Construction", "NC", IF(VLOOKUP(S129, 'Fixture Identities'!$A$7:$I$1023,3, FALSE)="T12 Linear Fluorescent", VLOOKUP(S129, 'Fixture Identities'!$A$7:$K$1012, 11, FALSE), S129))), "")</f>
        <v/>
      </c>
      <c r="V129" s="26" t="str">
        <f>IFERROR(IF(OR(B129="", U129=0), "", VLOOKUP(U129, 'Fixture Identities'!$A$7:$G$1023, 5, FALSE)), "")</f>
        <v/>
      </c>
      <c r="W129" s="26" t="str">
        <f>IF(B129="", "",'Lighting Inventory'!K137)</f>
        <v/>
      </c>
      <c r="X129" s="65" t="str">
        <f>IF(B129="", "", 'Lighting Inventory'!L137)</f>
        <v/>
      </c>
      <c r="Y129" s="26" t="str">
        <f>IF(B129="", "", IF('Lighting Inventory'!M137="", "Light Switch",'Lighting Inventory'!M137))</f>
        <v/>
      </c>
      <c r="Z129" s="26" t="str">
        <f>IF(OR(K129="Retrofit", B129=""), "", 'Lighting Inventory'!N137)</f>
        <v/>
      </c>
      <c r="AA129" s="26" t="str">
        <f>IF(OR(Z129="",B129=""), "", 'Lighting Inventory'!O137)</f>
        <v/>
      </c>
      <c r="AB129" s="26" t="str">
        <f>IF(B129="", "", 'Lighting Inventory'!P137)</f>
        <v/>
      </c>
      <c r="AC129" s="96" t="str">
        <f>IF(B129="", "", 'Lighting Inventory'!R137)</f>
        <v/>
      </c>
      <c r="AD129" s="26" t="str">
        <f>IF(B129="", "", 'Lighting Inventory'!S137)</f>
        <v/>
      </c>
      <c r="AE129" s="26" t="str">
        <f>IF(B129="", "", 'Lighting Inventory'!V137)</f>
        <v/>
      </c>
      <c r="AF129" s="26" t="str">
        <f>IF(B129="", "", 'Lighting Inventory'!W137)</f>
        <v/>
      </c>
      <c r="AG129" s="26" t="str">
        <f>IF(OR(AF129="", B129=""), "", IF(AE129="Custom", "0", VLOOKUP(AF129, 'Lookup Tables'!$AI$6:$AP$102, 8, FALSE)))</f>
        <v/>
      </c>
      <c r="AH129" s="26" t="str">
        <f>IF(B129="", "", 'Lighting Inventory'!AD137)</f>
        <v/>
      </c>
      <c r="AI129" s="26" t="str">
        <f>IF(OR('Lighting Inventory'!AK137="", B129=""), "", 'Lighting Inventory'!AK137)</f>
        <v/>
      </c>
      <c r="AJ129" s="66" t="str">
        <f>IF(B129="", "", 'Lighting Inventory'!AL137)</f>
        <v/>
      </c>
      <c r="AK129" s="65" t="str">
        <f>IF(B129="", "", 'Lighting Inventory'!AM137)</f>
        <v/>
      </c>
      <c r="AL129" s="26" t="str">
        <f>IF(B129="", "", 'Lighting Inventory'!AN137)</f>
        <v/>
      </c>
      <c r="AM129" s="26" t="str">
        <f t="shared" si="5"/>
        <v/>
      </c>
      <c r="AN129" s="26" t="str">
        <f>IF(B129="","",IF('Lighting Inventory'!AV137="","Prescribed",'Lighting Inventory'!AV137))</f>
        <v/>
      </c>
      <c r="AO129" s="66" t="str">
        <f>IF(B129="", "", 'Lighting Inventory'!AX137)</f>
        <v/>
      </c>
      <c r="AP129" s="67" t="str">
        <f>IF(B129="", "", 'Lighting Inventory'!AZ137)</f>
        <v/>
      </c>
      <c r="AQ129" s="67" t="str">
        <f>IF(B129="", "", 'Lighting Inventory'!BA137)</f>
        <v/>
      </c>
      <c r="AR129" s="67" t="str">
        <f>IF(B129="", "", 'Lighting Inventory'!BB137)</f>
        <v/>
      </c>
      <c r="AS129" s="67" t="str">
        <f>IF(B129="", "", 'Lighting Inventory'!BC137)</f>
        <v/>
      </c>
      <c r="AT129" s="67" t="str">
        <f>IF(B129="", "", 'Lighting Inventory'!BD137)</f>
        <v/>
      </c>
      <c r="AU129" s="67" t="str">
        <f>IF(B129="", "", 'Lighting Inventory'!BE137)</f>
        <v/>
      </c>
      <c r="AV129" s="67" t="str">
        <f>IF(B129="", "", 'Lighting Inventory'!BE137)</f>
        <v/>
      </c>
      <c r="AW129" s="67" t="str">
        <f>IF(B129="", "", 'Lighting Inventory'!BF137)</f>
        <v/>
      </c>
      <c r="AX129" s="67" t="str">
        <f>IF(B129="", "", 'Lighting Inventory'!BF137)</f>
        <v/>
      </c>
      <c r="AY129" s="65" t="str">
        <f t="shared" si="7"/>
        <v/>
      </c>
      <c r="AZ129" s="65" t="str">
        <f>IF(B129="", "", 'Lighting Inventory'!BJ137)</f>
        <v/>
      </c>
      <c r="BA129" s="65" t="str">
        <f>IF(B129="", "", 'Lighting Inventory'!BM137)</f>
        <v/>
      </c>
      <c r="BB129" s="65" t="str">
        <f>IF(B129="","",SUM('Lighting Inventory'!BP137:BP137))</f>
        <v/>
      </c>
      <c r="BC129" s="67" t="str">
        <f>IF(OR(AE129="", B129=""),"", 'Lighting Inventory'!GR137)</f>
        <v/>
      </c>
      <c r="BD129" s="67" t="str">
        <f>IFERROR(IF(B129="", "", 'Lighting Inventory'!AF137)*AD129," ")</f>
        <v xml:space="preserve"> </v>
      </c>
      <c r="BE129" s="67"/>
      <c r="BF129" s="67"/>
    </row>
    <row r="130" spans="1:58" x14ac:dyDescent="0.25">
      <c r="A130" s="26" t="str">
        <f>IF(B130="", "", 'Lookup Tables'!AW131)</f>
        <v/>
      </c>
      <c r="B130" s="26" t="str">
        <f>IF(OR('Lighting Inventory'!Y138="", 'Lighting Inventory'!V138="No Change"),"", 'Lighting Inventory'!Y138)</f>
        <v/>
      </c>
      <c r="C130" s="26" t="str">
        <f>IF(B130="", "", IF('Lighting Inventory'!Y138='Lookup Tables'!$Y$32, 'Lighting Inventory'!AJ138, IF(AD130=0, R130, AD130)))</f>
        <v/>
      </c>
      <c r="D130" s="26" t="str">
        <f>IF(B130="", "", 'General Information'!$F$14)</f>
        <v/>
      </c>
      <c r="E130" s="26" t="str">
        <f t="shared" si="6"/>
        <v/>
      </c>
      <c r="F130" s="26" t="str">
        <f>IF(B130="", "", CONCATENATE('General Information'!$F$9, " - ", 'General Information'!$F$14))</f>
        <v/>
      </c>
      <c r="G130" s="26" t="str">
        <f>IF(B130="", "", 'General Information'!$F$15)</f>
        <v/>
      </c>
      <c r="H130" s="26" t="str">
        <f>IF(B130="", "", IF(VLOOKUP(B130, 'Lookup Tables'!$Y$18:$AA$34, 2, FALSE)="Traffic", VLOOKUP('Lighting Inventory'!W138, 'Lookup Tables'!#REF!, 11, FALSE), VLOOKUP(B130, 'Lookup Tables'!$Y$18:$AA$34, 2, FALSE)))</f>
        <v/>
      </c>
      <c r="I130" s="26" t="str">
        <f>IF(B130="", "", CONCATENATE(D130, 'Data Export'!A130))</f>
        <v/>
      </c>
      <c r="J130" s="26" t="str">
        <f>IF(B130="", "", 'Lookup Tables'!$B$1)</f>
        <v/>
      </c>
      <c r="K130" s="26" t="str">
        <f>IF(B130="", "", 'Lighting Inventory'!B138)</f>
        <v/>
      </c>
      <c r="L130" s="26" t="str">
        <f>IF(B130="", "", 'Lighting Inventory'!C138)</f>
        <v/>
      </c>
      <c r="M130" s="26" t="str">
        <f>IF(B130="", "",'Lighting Inventory'!D138)</f>
        <v/>
      </c>
      <c r="N130" s="26" t="str">
        <f>IF(B130="", "",'Lighting Inventory'!E138)</f>
        <v/>
      </c>
      <c r="O130" s="26" t="str">
        <f>IF(B130="", "", 'Lighting Inventory'!F138)</f>
        <v/>
      </c>
      <c r="P130" s="26" t="str">
        <f>IF(B130="", "", 'Lighting Inventory'!G138)</f>
        <v/>
      </c>
      <c r="Q130" s="26" t="str">
        <f>IF(B130="", "", 'Lighting Inventory'!H138)</f>
        <v/>
      </c>
      <c r="R130" s="26" t="str">
        <f>IF(B130="", "", 'Lighting Inventory'!I138)</f>
        <v/>
      </c>
      <c r="S130" s="26" t="str">
        <f>IF(B130="", "", 'Lighting Inventory'!J138)</f>
        <v/>
      </c>
      <c r="T130" s="26" t="str">
        <f>IFERROR(IF(B130="","",VLOOKUP(S130,'Fixture Identities'!$A$7:$G$1023,5,FALSE)), "New Construction")</f>
        <v/>
      </c>
      <c r="U130" s="26" t="str">
        <f>IFERROR(IF(B130="", "", IF(K130="New Construction", "NC", IF(VLOOKUP(S130, 'Fixture Identities'!$A$7:$I$1023,3, FALSE)="T12 Linear Fluorescent", VLOOKUP(S130, 'Fixture Identities'!$A$7:$K$1012, 11, FALSE), S130))), "")</f>
        <v/>
      </c>
      <c r="V130" s="26" t="str">
        <f>IFERROR(IF(OR(B130="", U130=0), "", VLOOKUP(U130, 'Fixture Identities'!$A$7:$G$1023, 5, FALSE)), "")</f>
        <v/>
      </c>
      <c r="W130" s="26" t="str">
        <f>IF(B130="", "",'Lighting Inventory'!K138)</f>
        <v/>
      </c>
      <c r="X130" s="65" t="str">
        <f>IF(B130="", "", 'Lighting Inventory'!L138)</f>
        <v/>
      </c>
      <c r="Y130" s="26" t="str">
        <f>IF(B130="", "", IF('Lighting Inventory'!M138="", "Light Switch",'Lighting Inventory'!M138))</f>
        <v/>
      </c>
      <c r="Z130" s="26" t="str">
        <f>IF(OR(K130="Retrofit", B130=""), "", 'Lighting Inventory'!N138)</f>
        <v/>
      </c>
      <c r="AA130" s="26" t="str">
        <f>IF(OR(Z130="",B130=""), "", 'Lighting Inventory'!O138)</f>
        <v/>
      </c>
      <c r="AB130" s="26" t="str">
        <f>IF(B130="", "", 'Lighting Inventory'!P138)</f>
        <v/>
      </c>
      <c r="AC130" s="96" t="str">
        <f>IF(B130="", "", 'Lighting Inventory'!R138)</f>
        <v/>
      </c>
      <c r="AD130" s="26" t="str">
        <f>IF(B130="", "", 'Lighting Inventory'!S138)</f>
        <v/>
      </c>
      <c r="AE130" s="26" t="str">
        <f>IF(B130="", "", 'Lighting Inventory'!V138)</f>
        <v/>
      </c>
      <c r="AF130" s="26" t="str">
        <f>IF(B130="", "", 'Lighting Inventory'!W138)</f>
        <v/>
      </c>
      <c r="AG130" s="26" t="str">
        <f>IF(OR(AF130="", B130=""), "", IF(AE130="Custom", "0", VLOOKUP(AF130, 'Lookup Tables'!$AI$6:$AP$102, 8, FALSE)))</f>
        <v/>
      </c>
      <c r="AH130" s="26" t="str">
        <f>IF(B130="", "", 'Lighting Inventory'!AD138)</f>
        <v/>
      </c>
      <c r="AI130" s="26" t="str">
        <f>IF(OR('Lighting Inventory'!AK138="", B130=""), "", 'Lighting Inventory'!AK138)</f>
        <v/>
      </c>
      <c r="AJ130" s="66" t="str">
        <f>IF(B130="", "", 'Lighting Inventory'!AL138)</f>
        <v/>
      </c>
      <c r="AK130" s="65" t="str">
        <f>IF(B130="", "", 'Lighting Inventory'!AM138)</f>
        <v/>
      </c>
      <c r="AL130" s="26" t="str">
        <f>IF(B130="", "", 'Lighting Inventory'!AN138)</f>
        <v/>
      </c>
      <c r="AM130" s="26" t="str">
        <f t="shared" si="5"/>
        <v/>
      </c>
      <c r="AN130" s="26" t="str">
        <f>IF(B130="","",IF('Lighting Inventory'!AV138="","Prescribed",'Lighting Inventory'!AV138))</f>
        <v/>
      </c>
      <c r="AO130" s="66" t="str">
        <f>IF(B130="", "", 'Lighting Inventory'!AX138)</f>
        <v/>
      </c>
      <c r="AP130" s="67" t="str">
        <f>IF(B130="", "", 'Lighting Inventory'!AZ138)</f>
        <v/>
      </c>
      <c r="AQ130" s="67" t="str">
        <f>IF(B130="", "", 'Lighting Inventory'!BA138)</f>
        <v/>
      </c>
      <c r="AR130" s="67" t="str">
        <f>IF(B130="", "", 'Lighting Inventory'!BB138)</f>
        <v/>
      </c>
      <c r="AS130" s="67" t="str">
        <f>IF(B130="", "", 'Lighting Inventory'!BC138)</f>
        <v/>
      </c>
      <c r="AT130" s="67" t="str">
        <f>IF(B130="", "", 'Lighting Inventory'!BD138)</f>
        <v/>
      </c>
      <c r="AU130" s="67" t="str">
        <f>IF(B130="", "", 'Lighting Inventory'!BE138)</f>
        <v/>
      </c>
      <c r="AV130" s="67" t="str">
        <f>IF(B130="", "", 'Lighting Inventory'!BE138)</f>
        <v/>
      </c>
      <c r="AW130" s="67" t="str">
        <f>IF(B130="", "", 'Lighting Inventory'!BF138)</f>
        <v/>
      </c>
      <c r="AX130" s="67" t="str">
        <f>IF(B130="", "", 'Lighting Inventory'!BF138)</f>
        <v/>
      </c>
      <c r="AY130" s="65" t="str">
        <f t="shared" si="7"/>
        <v/>
      </c>
      <c r="AZ130" s="65" t="str">
        <f>IF(B130="", "", 'Lighting Inventory'!BJ138)</f>
        <v/>
      </c>
      <c r="BA130" s="65" t="str">
        <f>IF(B130="", "", 'Lighting Inventory'!BM138)</f>
        <v/>
      </c>
      <c r="BB130" s="65" t="str">
        <f>IF(B130="","",SUM('Lighting Inventory'!BP138:BP138))</f>
        <v/>
      </c>
      <c r="BC130" s="67" t="str">
        <f>IF(OR(AE130="", B130=""),"", 'Lighting Inventory'!GR138)</f>
        <v/>
      </c>
      <c r="BD130" s="67" t="str">
        <f>IFERROR(IF(B130="", "", 'Lighting Inventory'!AF138)*AD130," ")</f>
        <v xml:space="preserve"> </v>
      </c>
      <c r="BE130" s="67"/>
      <c r="BF130" s="67"/>
    </row>
    <row r="131" spans="1:58" x14ac:dyDescent="0.25">
      <c r="A131" s="26" t="str">
        <f>IF(B131="", "", 'Lookup Tables'!AW132)</f>
        <v/>
      </c>
      <c r="B131" s="26" t="str">
        <f>IF(OR('Lighting Inventory'!Y139="", 'Lighting Inventory'!V139="No Change"),"", 'Lighting Inventory'!Y139)</f>
        <v/>
      </c>
      <c r="C131" s="26" t="str">
        <f>IF(B131="", "", IF('Lighting Inventory'!Y139='Lookup Tables'!$Y$32, 'Lighting Inventory'!AJ139, IF(AD131=0, R131, AD131)))</f>
        <v/>
      </c>
      <c r="D131" s="26" t="str">
        <f>IF(B131="", "", 'General Information'!$F$14)</f>
        <v/>
      </c>
      <c r="E131" s="26" t="str">
        <f t="shared" si="6"/>
        <v/>
      </c>
      <c r="F131" s="26" t="str">
        <f>IF(B131="", "", CONCATENATE('General Information'!$F$9, " - ", 'General Information'!$F$14))</f>
        <v/>
      </c>
      <c r="G131" s="26" t="str">
        <f>IF(B131="", "", 'General Information'!$F$15)</f>
        <v/>
      </c>
      <c r="H131" s="26" t="str">
        <f>IF(B131="", "", IF(VLOOKUP(B131, 'Lookup Tables'!$Y$18:$AA$34, 2, FALSE)="Traffic", VLOOKUP('Lighting Inventory'!W139, 'Lookup Tables'!#REF!, 11, FALSE), VLOOKUP(B131, 'Lookup Tables'!$Y$18:$AA$34, 2, FALSE)))</f>
        <v/>
      </c>
      <c r="I131" s="26" t="str">
        <f>IF(B131="", "", CONCATENATE(D131, 'Data Export'!A131))</f>
        <v/>
      </c>
      <c r="J131" s="26" t="str">
        <f>IF(B131="", "", 'Lookup Tables'!$B$1)</f>
        <v/>
      </c>
      <c r="K131" s="26" t="str">
        <f>IF(B131="", "", 'Lighting Inventory'!B139)</f>
        <v/>
      </c>
      <c r="L131" s="26" t="str">
        <f>IF(B131="", "", 'Lighting Inventory'!C139)</f>
        <v/>
      </c>
      <c r="M131" s="26" t="str">
        <f>IF(B131="", "",'Lighting Inventory'!D139)</f>
        <v/>
      </c>
      <c r="N131" s="26" t="str">
        <f>IF(B131="", "",'Lighting Inventory'!E139)</f>
        <v/>
      </c>
      <c r="O131" s="26" t="str">
        <f>IF(B131="", "", 'Lighting Inventory'!F139)</f>
        <v/>
      </c>
      <c r="P131" s="26" t="str">
        <f>IF(B131="", "", 'Lighting Inventory'!G139)</f>
        <v/>
      </c>
      <c r="Q131" s="26" t="str">
        <f>IF(B131="", "", 'Lighting Inventory'!H139)</f>
        <v/>
      </c>
      <c r="R131" s="26" t="str">
        <f>IF(B131="", "", 'Lighting Inventory'!I139)</f>
        <v/>
      </c>
      <c r="S131" s="26" t="str">
        <f>IF(B131="", "", 'Lighting Inventory'!J139)</f>
        <v/>
      </c>
      <c r="T131" s="26" t="str">
        <f>IFERROR(IF(B131="","",VLOOKUP(S131,'Fixture Identities'!$A$7:$G$1023,5,FALSE)), "New Construction")</f>
        <v/>
      </c>
      <c r="U131" s="26" t="str">
        <f>IFERROR(IF(B131="", "", IF(K131="New Construction", "NC", IF(VLOOKUP(S131, 'Fixture Identities'!$A$7:$I$1023,3, FALSE)="T12 Linear Fluorescent", VLOOKUP(S131, 'Fixture Identities'!$A$7:$K$1012, 11, FALSE), S131))), "")</f>
        <v/>
      </c>
      <c r="V131" s="26" t="str">
        <f>IFERROR(IF(OR(B131="", U131=0), "", VLOOKUP(U131, 'Fixture Identities'!$A$7:$G$1023, 5, FALSE)), "")</f>
        <v/>
      </c>
      <c r="W131" s="26" t="str">
        <f>IF(B131="", "",'Lighting Inventory'!K139)</f>
        <v/>
      </c>
      <c r="X131" s="65" t="str">
        <f>IF(B131="", "", 'Lighting Inventory'!L139)</f>
        <v/>
      </c>
      <c r="Y131" s="26" t="str">
        <f>IF(B131="", "", IF('Lighting Inventory'!M139="", "Light Switch",'Lighting Inventory'!M139))</f>
        <v/>
      </c>
      <c r="Z131" s="26" t="str">
        <f>IF(OR(K131="Retrofit", B131=""), "", 'Lighting Inventory'!N139)</f>
        <v/>
      </c>
      <c r="AA131" s="26" t="str">
        <f>IF(OR(Z131="",B131=""), "", 'Lighting Inventory'!O139)</f>
        <v/>
      </c>
      <c r="AB131" s="26" t="str">
        <f>IF(B131="", "", 'Lighting Inventory'!P139)</f>
        <v/>
      </c>
      <c r="AC131" s="96" t="str">
        <f>IF(B131="", "", 'Lighting Inventory'!R139)</f>
        <v/>
      </c>
      <c r="AD131" s="26" t="str">
        <f>IF(B131="", "", 'Lighting Inventory'!S139)</f>
        <v/>
      </c>
      <c r="AE131" s="26" t="str">
        <f>IF(B131="", "", 'Lighting Inventory'!V139)</f>
        <v/>
      </c>
      <c r="AF131" s="26" t="str">
        <f>IF(B131="", "", 'Lighting Inventory'!W139)</f>
        <v/>
      </c>
      <c r="AG131" s="26" t="str">
        <f>IF(OR(AF131="", B131=""), "", IF(AE131="Custom", "0", VLOOKUP(AF131, 'Lookup Tables'!$AI$6:$AP$102, 8, FALSE)))</f>
        <v/>
      </c>
      <c r="AH131" s="26" t="str">
        <f>IF(B131="", "", 'Lighting Inventory'!AD139)</f>
        <v/>
      </c>
      <c r="AI131" s="26" t="str">
        <f>IF(OR('Lighting Inventory'!AK139="", B131=""), "", 'Lighting Inventory'!AK139)</f>
        <v/>
      </c>
      <c r="AJ131" s="66" t="str">
        <f>IF(B131="", "", 'Lighting Inventory'!AL139)</f>
        <v/>
      </c>
      <c r="AK131" s="65" t="str">
        <f>IF(B131="", "", 'Lighting Inventory'!AM139)</f>
        <v/>
      </c>
      <c r="AL131" s="26" t="str">
        <f>IF(B131="", "", 'Lighting Inventory'!AN139)</f>
        <v/>
      </c>
      <c r="AM131" s="26" t="str">
        <f t="shared" si="5"/>
        <v/>
      </c>
      <c r="AN131" s="26" t="str">
        <f>IF(B131="","",IF('Lighting Inventory'!AV139="","Prescribed",'Lighting Inventory'!AV139))</f>
        <v/>
      </c>
      <c r="AO131" s="66" t="str">
        <f>IF(B131="", "", 'Lighting Inventory'!AX139)</f>
        <v/>
      </c>
      <c r="AP131" s="67" t="str">
        <f>IF(B131="", "", 'Lighting Inventory'!AZ139)</f>
        <v/>
      </c>
      <c r="AQ131" s="67" t="str">
        <f>IF(B131="", "", 'Lighting Inventory'!BA139)</f>
        <v/>
      </c>
      <c r="AR131" s="67" t="str">
        <f>IF(B131="", "", 'Lighting Inventory'!BB139)</f>
        <v/>
      </c>
      <c r="AS131" s="67" t="str">
        <f>IF(B131="", "", 'Lighting Inventory'!BC139)</f>
        <v/>
      </c>
      <c r="AT131" s="67" t="str">
        <f>IF(B131="", "", 'Lighting Inventory'!BD139)</f>
        <v/>
      </c>
      <c r="AU131" s="67" t="str">
        <f>IF(B131="", "", 'Lighting Inventory'!BE139)</f>
        <v/>
      </c>
      <c r="AV131" s="67" t="str">
        <f>IF(B131="", "", 'Lighting Inventory'!BE139)</f>
        <v/>
      </c>
      <c r="AW131" s="67" t="str">
        <f>IF(B131="", "", 'Lighting Inventory'!BF139)</f>
        <v/>
      </c>
      <c r="AX131" s="67" t="str">
        <f>IF(B131="", "", 'Lighting Inventory'!BF139)</f>
        <v/>
      </c>
      <c r="AY131" s="65" t="str">
        <f t="shared" si="7"/>
        <v/>
      </c>
      <c r="AZ131" s="65" t="str">
        <f>IF(B131="", "", 'Lighting Inventory'!BJ139)</f>
        <v/>
      </c>
      <c r="BA131" s="65" t="str">
        <f>IF(B131="", "", 'Lighting Inventory'!BM139)</f>
        <v/>
      </c>
      <c r="BB131" s="65" t="str">
        <f>IF(B131="","",SUM('Lighting Inventory'!BP139:BP139))</f>
        <v/>
      </c>
      <c r="BC131" s="67" t="str">
        <f>IF(OR(AE131="", B131=""),"", 'Lighting Inventory'!GR139)</f>
        <v/>
      </c>
      <c r="BD131" s="67" t="str">
        <f>IFERROR(IF(B131="", "", 'Lighting Inventory'!AF139)*AD131," ")</f>
        <v xml:space="preserve"> </v>
      </c>
      <c r="BE131" s="67"/>
      <c r="BF131" s="67"/>
    </row>
    <row r="132" spans="1:58" x14ac:dyDescent="0.25">
      <c r="A132" s="26" t="str">
        <f>IF(B132="", "", 'Lookup Tables'!AW133)</f>
        <v/>
      </c>
      <c r="B132" s="26" t="str">
        <f>IF(OR('Lighting Inventory'!Y140="", 'Lighting Inventory'!V140="No Change"),"", 'Lighting Inventory'!Y140)</f>
        <v/>
      </c>
      <c r="C132" s="26" t="str">
        <f>IF(B132="", "", IF('Lighting Inventory'!Y140='Lookup Tables'!$Y$32, 'Lighting Inventory'!AJ140, IF(AD132=0, R132, AD132)))</f>
        <v/>
      </c>
      <c r="D132" s="26" t="str">
        <f>IF(B132="", "", 'General Information'!$F$14)</f>
        <v/>
      </c>
      <c r="E132" s="26" t="str">
        <f t="shared" si="6"/>
        <v/>
      </c>
      <c r="F132" s="26" t="str">
        <f>IF(B132="", "", CONCATENATE('General Information'!$F$9, " - ", 'General Information'!$F$14))</f>
        <v/>
      </c>
      <c r="G132" s="26" t="str">
        <f>IF(B132="", "", 'General Information'!$F$15)</f>
        <v/>
      </c>
      <c r="H132" s="26" t="str">
        <f>IF(B132="", "", IF(VLOOKUP(B132, 'Lookup Tables'!$Y$18:$AA$34, 2, FALSE)="Traffic", VLOOKUP('Lighting Inventory'!W140, 'Lookup Tables'!#REF!, 11, FALSE), VLOOKUP(B132, 'Lookup Tables'!$Y$18:$AA$34, 2, FALSE)))</f>
        <v/>
      </c>
      <c r="I132" s="26" t="str">
        <f>IF(B132="", "", CONCATENATE(D132, 'Data Export'!A132))</f>
        <v/>
      </c>
      <c r="J132" s="26" t="str">
        <f>IF(B132="", "", 'Lookup Tables'!$B$1)</f>
        <v/>
      </c>
      <c r="K132" s="26" t="str">
        <f>IF(B132="", "", 'Lighting Inventory'!B140)</f>
        <v/>
      </c>
      <c r="L132" s="26" t="str">
        <f>IF(B132="", "", 'Lighting Inventory'!C140)</f>
        <v/>
      </c>
      <c r="M132" s="26" t="str">
        <f>IF(B132="", "",'Lighting Inventory'!D140)</f>
        <v/>
      </c>
      <c r="N132" s="26" t="str">
        <f>IF(B132="", "",'Lighting Inventory'!E140)</f>
        <v/>
      </c>
      <c r="O132" s="26" t="str">
        <f>IF(B132="", "", 'Lighting Inventory'!F140)</f>
        <v/>
      </c>
      <c r="P132" s="26" t="str">
        <f>IF(B132="", "", 'Lighting Inventory'!G140)</f>
        <v/>
      </c>
      <c r="Q132" s="26" t="str">
        <f>IF(B132="", "", 'Lighting Inventory'!H140)</f>
        <v/>
      </c>
      <c r="R132" s="26" t="str">
        <f>IF(B132="", "", 'Lighting Inventory'!I140)</f>
        <v/>
      </c>
      <c r="S132" s="26" t="str">
        <f>IF(B132="", "", 'Lighting Inventory'!J140)</f>
        <v/>
      </c>
      <c r="T132" s="26" t="str">
        <f>IFERROR(IF(B132="","",VLOOKUP(S132,'Fixture Identities'!$A$7:$G$1023,5,FALSE)), "New Construction")</f>
        <v/>
      </c>
      <c r="U132" s="26" t="str">
        <f>IFERROR(IF(B132="", "", IF(K132="New Construction", "NC", IF(VLOOKUP(S132, 'Fixture Identities'!$A$7:$I$1023,3, FALSE)="T12 Linear Fluorescent", VLOOKUP(S132, 'Fixture Identities'!$A$7:$K$1012, 11, FALSE), S132))), "")</f>
        <v/>
      </c>
      <c r="V132" s="26" t="str">
        <f>IFERROR(IF(OR(B132="", U132=0), "", VLOOKUP(U132, 'Fixture Identities'!$A$7:$G$1023, 5, FALSE)), "")</f>
        <v/>
      </c>
      <c r="W132" s="26" t="str">
        <f>IF(B132="", "",'Lighting Inventory'!K140)</f>
        <v/>
      </c>
      <c r="X132" s="65" t="str">
        <f>IF(B132="", "", 'Lighting Inventory'!L140)</f>
        <v/>
      </c>
      <c r="Y132" s="26" t="str">
        <f>IF(B132="", "", IF('Lighting Inventory'!M140="", "Light Switch",'Lighting Inventory'!M140))</f>
        <v/>
      </c>
      <c r="Z132" s="26" t="str">
        <f>IF(OR(K132="Retrofit", B132=""), "", 'Lighting Inventory'!N140)</f>
        <v/>
      </c>
      <c r="AA132" s="26" t="str">
        <f>IF(OR(Z132="",B132=""), "", 'Lighting Inventory'!O140)</f>
        <v/>
      </c>
      <c r="AB132" s="26" t="str">
        <f>IF(B132="", "", 'Lighting Inventory'!P140)</f>
        <v/>
      </c>
      <c r="AC132" s="96" t="str">
        <f>IF(B132="", "", 'Lighting Inventory'!R140)</f>
        <v/>
      </c>
      <c r="AD132" s="26" t="str">
        <f>IF(B132="", "", 'Lighting Inventory'!S140)</f>
        <v/>
      </c>
      <c r="AE132" s="26" t="str">
        <f>IF(B132="", "", 'Lighting Inventory'!V140)</f>
        <v/>
      </c>
      <c r="AF132" s="26" t="str">
        <f>IF(B132="", "", 'Lighting Inventory'!W140)</f>
        <v/>
      </c>
      <c r="AG132" s="26" t="str">
        <f>IF(OR(AF132="", B132=""), "", IF(AE132="Custom", "0", VLOOKUP(AF132, 'Lookup Tables'!$AI$6:$AP$102, 8, FALSE)))</f>
        <v/>
      </c>
      <c r="AH132" s="26" t="str">
        <f>IF(B132="", "", 'Lighting Inventory'!AD140)</f>
        <v/>
      </c>
      <c r="AI132" s="26" t="str">
        <f>IF(OR('Lighting Inventory'!AK140="", B132=""), "", 'Lighting Inventory'!AK140)</f>
        <v/>
      </c>
      <c r="AJ132" s="66" t="str">
        <f>IF(B132="", "", 'Lighting Inventory'!AL140)</f>
        <v/>
      </c>
      <c r="AK132" s="65" t="str">
        <f>IF(B132="", "", 'Lighting Inventory'!AM140)</f>
        <v/>
      </c>
      <c r="AL132" s="26" t="str">
        <f>IF(B132="", "", 'Lighting Inventory'!AN140)</f>
        <v/>
      </c>
      <c r="AM132" s="26" t="str">
        <f t="shared" ref="AM132:AM195" si="8">IF(B132="", "", 8)</f>
        <v/>
      </c>
      <c r="AN132" s="26" t="str">
        <f>IF(B132="","",IF('Lighting Inventory'!AV140="","Prescribed",'Lighting Inventory'!AV140))</f>
        <v/>
      </c>
      <c r="AO132" s="66" t="str">
        <f>IF(B132="", "", 'Lighting Inventory'!AX140)</f>
        <v/>
      </c>
      <c r="AP132" s="67" t="str">
        <f>IF(B132="", "", 'Lighting Inventory'!AZ140)</f>
        <v/>
      </c>
      <c r="AQ132" s="67" t="str">
        <f>IF(B132="", "", 'Lighting Inventory'!BA140)</f>
        <v/>
      </c>
      <c r="AR132" s="67" t="str">
        <f>IF(B132="", "", 'Lighting Inventory'!BB140)</f>
        <v/>
      </c>
      <c r="AS132" s="67" t="str">
        <f>IF(B132="", "", 'Lighting Inventory'!BC140)</f>
        <v/>
      </c>
      <c r="AT132" s="67" t="str">
        <f>IF(B132="", "", 'Lighting Inventory'!BD140)</f>
        <v/>
      </c>
      <c r="AU132" s="67" t="str">
        <f>IF(B132="", "", 'Lighting Inventory'!BE140)</f>
        <v/>
      </c>
      <c r="AV132" s="67" t="str">
        <f>IF(B132="", "", 'Lighting Inventory'!BE140)</f>
        <v/>
      </c>
      <c r="AW132" s="67" t="str">
        <f>IF(B132="", "", 'Lighting Inventory'!BF140)</f>
        <v/>
      </c>
      <c r="AX132" s="67" t="str">
        <f>IF(B132="", "", 'Lighting Inventory'!BF140)</f>
        <v/>
      </c>
      <c r="AY132" s="65" t="str">
        <f t="shared" si="7"/>
        <v/>
      </c>
      <c r="AZ132" s="65" t="str">
        <f>IF(B132="", "", 'Lighting Inventory'!BJ140)</f>
        <v/>
      </c>
      <c r="BA132" s="65" t="str">
        <f>IF(B132="", "", 'Lighting Inventory'!BM140)</f>
        <v/>
      </c>
      <c r="BB132" s="65" t="str">
        <f>IF(B132="","",SUM('Lighting Inventory'!BP140:BP140))</f>
        <v/>
      </c>
      <c r="BC132" s="67" t="str">
        <f>IF(OR(AE132="", B132=""),"", 'Lighting Inventory'!GR140)</f>
        <v/>
      </c>
      <c r="BD132" s="67" t="str">
        <f>IFERROR(IF(B132="", "", 'Lighting Inventory'!AF140)*AD132," ")</f>
        <v xml:space="preserve"> </v>
      </c>
      <c r="BE132" s="67"/>
      <c r="BF132" s="67"/>
    </row>
    <row r="133" spans="1:58" x14ac:dyDescent="0.25">
      <c r="A133" s="26" t="str">
        <f>IF(B133="", "", 'Lookup Tables'!AW134)</f>
        <v/>
      </c>
      <c r="B133" s="26" t="str">
        <f>IF(OR('Lighting Inventory'!Y141="", 'Lighting Inventory'!V141="No Change"),"", 'Lighting Inventory'!Y141)</f>
        <v/>
      </c>
      <c r="C133" s="26" t="str">
        <f>IF(B133="", "", IF('Lighting Inventory'!Y141='Lookup Tables'!$Y$32, 'Lighting Inventory'!AJ141, IF(AD133=0, R133, AD133)))</f>
        <v/>
      </c>
      <c r="D133" s="26" t="str">
        <f>IF(B133="", "", 'General Information'!$F$14)</f>
        <v/>
      </c>
      <c r="E133" s="26" t="str">
        <f t="shared" si="6"/>
        <v/>
      </c>
      <c r="F133" s="26" t="str">
        <f>IF(B133="", "", CONCATENATE('General Information'!$F$9, " - ", 'General Information'!$F$14))</f>
        <v/>
      </c>
      <c r="G133" s="26" t="str">
        <f>IF(B133="", "", 'General Information'!$F$15)</f>
        <v/>
      </c>
      <c r="H133" s="26" t="str">
        <f>IF(B133="", "", IF(VLOOKUP(B133, 'Lookup Tables'!$Y$18:$AA$34, 2, FALSE)="Traffic", VLOOKUP('Lighting Inventory'!W141, 'Lookup Tables'!#REF!, 11, FALSE), VLOOKUP(B133, 'Lookup Tables'!$Y$18:$AA$34, 2, FALSE)))</f>
        <v/>
      </c>
      <c r="I133" s="26" t="str">
        <f>IF(B133="", "", CONCATENATE(D133, 'Data Export'!A133))</f>
        <v/>
      </c>
      <c r="J133" s="26" t="str">
        <f>IF(B133="", "", 'Lookup Tables'!$B$1)</f>
        <v/>
      </c>
      <c r="K133" s="26" t="str">
        <f>IF(B133="", "", 'Lighting Inventory'!B141)</f>
        <v/>
      </c>
      <c r="L133" s="26" t="str">
        <f>IF(B133="", "", 'Lighting Inventory'!C141)</f>
        <v/>
      </c>
      <c r="M133" s="26" t="str">
        <f>IF(B133="", "",'Lighting Inventory'!D141)</f>
        <v/>
      </c>
      <c r="N133" s="26" t="str">
        <f>IF(B133="", "",'Lighting Inventory'!E141)</f>
        <v/>
      </c>
      <c r="O133" s="26" t="str">
        <f>IF(B133="", "", 'Lighting Inventory'!F141)</f>
        <v/>
      </c>
      <c r="P133" s="26" t="str">
        <f>IF(B133="", "", 'Lighting Inventory'!G141)</f>
        <v/>
      </c>
      <c r="Q133" s="26" t="str">
        <f>IF(B133="", "", 'Lighting Inventory'!H141)</f>
        <v/>
      </c>
      <c r="R133" s="26" t="str">
        <f>IF(B133="", "", 'Lighting Inventory'!I141)</f>
        <v/>
      </c>
      <c r="S133" s="26" t="str">
        <f>IF(B133="", "", 'Lighting Inventory'!J141)</f>
        <v/>
      </c>
      <c r="T133" s="26" t="str">
        <f>IFERROR(IF(B133="","",VLOOKUP(S133,'Fixture Identities'!$A$7:$G$1023,5,FALSE)), "New Construction")</f>
        <v/>
      </c>
      <c r="U133" s="26" t="str">
        <f>IFERROR(IF(B133="", "", IF(K133="New Construction", "NC", IF(VLOOKUP(S133, 'Fixture Identities'!$A$7:$I$1023,3, FALSE)="T12 Linear Fluorescent", VLOOKUP(S133, 'Fixture Identities'!$A$7:$K$1012, 11, FALSE), S133))), "")</f>
        <v/>
      </c>
      <c r="V133" s="26" t="str">
        <f>IFERROR(IF(OR(B133="", U133=0), "", VLOOKUP(U133, 'Fixture Identities'!$A$7:$G$1023, 5, FALSE)), "")</f>
        <v/>
      </c>
      <c r="W133" s="26" t="str">
        <f>IF(B133="", "",'Lighting Inventory'!K141)</f>
        <v/>
      </c>
      <c r="X133" s="65" t="str">
        <f>IF(B133="", "", 'Lighting Inventory'!L141)</f>
        <v/>
      </c>
      <c r="Y133" s="26" t="str">
        <f>IF(B133="", "", IF('Lighting Inventory'!M141="", "Light Switch",'Lighting Inventory'!M141))</f>
        <v/>
      </c>
      <c r="Z133" s="26" t="str">
        <f>IF(OR(K133="Retrofit", B133=""), "", 'Lighting Inventory'!N141)</f>
        <v/>
      </c>
      <c r="AA133" s="26" t="str">
        <f>IF(OR(Z133="",B133=""), "", 'Lighting Inventory'!O141)</f>
        <v/>
      </c>
      <c r="AB133" s="26" t="str">
        <f>IF(B133="", "", 'Lighting Inventory'!P141)</f>
        <v/>
      </c>
      <c r="AC133" s="96" t="str">
        <f>IF(B133="", "", 'Lighting Inventory'!R141)</f>
        <v/>
      </c>
      <c r="AD133" s="26" t="str">
        <f>IF(B133="", "", 'Lighting Inventory'!S141)</f>
        <v/>
      </c>
      <c r="AE133" s="26" t="str">
        <f>IF(B133="", "", 'Lighting Inventory'!V141)</f>
        <v/>
      </c>
      <c r="AF133" s="26" t="str">
        <f>IF(B133="", "", 'Lighting Inventory'!W141)</f>
        <v/>
      </c>
      <c r="AG133" s="26" t="str">
        <f>IF(OR(AF133="", B133=""), "", IF(AE133="Custom", "0", VLOOKUP(AF133, 'Lookup Tables'!$AI$6:$AP$102, 8, FALSE)))</f>
        <v/>
      </c>
      <c r="AH133" s="26" t="str">
        <f>IF(B133="", "", 'Lighting Inventory'!AD141)</f>
        <v/>
      </c>
      <c r="AI133" s="26" t="str">
        <f>IF(OR('Lighting Inventory'!AK141="", B133=""), "", 'Lighting Inventory'!AK141)</f>
        <v/>
      </c>
      <c r="AJ133" s="66" t="str">
        <f>IF(B133="", "", 'Lighting Inventory'!AL141)</f>
        <v/>
      </c>
      <c r="AK133" s="65" t="str">
        <f>IF(B133="", "", 'Lighting Inventory'!AM141)</f>
        <v/>
      </c>
      <c r="AL133" s="26" t="str">
        <f>IF(B133="", "", 'Lighting Inventory'!AN141)</f>
        <v/>
      </c>
      <c r="AM133" s="26" t="str">
        <f t="shared" si="8"/>
        <v/>
      </c>
      <c r="AN133" s="26" t="str">
        <f>IF(B133="","",IF('Lighting Inventory'!AV141="","Prescribed",'Lighting Inventory'!AV141))</f>
        <v/>
      </c>
      <c r="AO133" s="66" t="str">
        <f>IF(B133="", "", 'Lighting Inventory'!AX141)</f>
        <v/>
      </c>
      <c r="AP133" s="67" t="str">
        <f>IF(B133="", "", 'Lighting Inventory'!AZ141)</f>
        <v/>
      </c>
      <c r="AQ133" s="67" t="str">
        <f>IF(B133="", "", 'Lighting Inventory'!BA141)</f>
        <v/>
      </c>
      <c r="AR133" s="67" t="str">
        <f>IF(B133="", "", 'Lighting Inventory'!BB141)</f>
        <v/>
      </c>
      <c r="AS133" s="67" t="str">
        <f>IF(B133="", "", 'Lighting Inventory'!BC141)</f>
        <v/>
      </c>
      <c r="AT133" s="67" t="str">
        <f>IF(B133="", "", 'Lighting Inventory'!BD141)</f>
        <v/>
      </c>
      <c r="AU133" s="67" t="str">
        <f>IF(B133="", "", 'Lighting Inventory'!BE141)</f>
        <v/>
      </c>
      <c r="AV133" s="67" t="str">
        <f>IF(B133="", "", 'Lighting Inventory'!BE141)</f>
        <v/>
      </c>
      <c r="AW133" s="67" t="str">
        <f>IF(B133="", "", 'Lighting Inventory'!BF141)</f>
        <v/>
      </c>
      <c r="AX133" s="67" t="str">
        <f>IF(B133="", "", 'Lighting Inventory'!BF141)</f>
        <v/>
      </c>
      <c r="AY133" s="65" t="str">
        <f t="shared" si="7"/>
        <v/>
      </c>
      <c r="AZ133" s="65" t="str">
        <f>IF(B133="", "", 'Lighting Inventory'!BJ141)</f>
        <v/>
      </c>
      <c r="BA133" s="65" t="str">
        <f>IF(B133="", "", 'Lighting Inventory'!BM141)</f>
        <v/>
      </c>
      <c r="BB133" s="65" t="str">
        <f>IF(B133="","",SUM('Lighting Inventory'!BP141:BP141))</f>
        <v/>
      </c>
      <c r="BC133" s="67" t="str">
        <f>IF(OR(AE133="", B133=""),"", 'Lighting Inventory'!GR141)</f>
        <v/>
      </c>
      <c r="BD133" s="67" t="str">
        <f>IFERROR(IF(B133="", "", 'Lighting Inventory'!AF141)*AD133," ")</f>
        <v xml:space="preserve"> </v>
      </c>
      <c r="BE133" s="67"/>
      <c r="BF133" s="67"/>
    </row>
    <row r="134" spans="1:58" x14ac:dyDescent="0.25">
      <c r="A134" s="26" t="str">
        <f>IF(B134="", "", 'Lookup Tables'!AW135)</f>
        <v/>
      </c>
      <c r="B134" s="26" t="str">
        <f>IF(OR('Lighting Inventory'!Y142="", 'Lighting Inventory'!V142="No Change"),"", 'Lighting Inventory'!Y142)</f>
        <v/>
      </c>
      <c r="C134" s="26" t="str">
        <f>IF(B134="", "", IF('Lighting Inventory'!Y142='Lookup Tables'!$Y$32, 'Lighting Inventory'!AJ142, IF(AD134=0, R134, AD134)))</f>
        <v/>
      </c>
      <c r="D134" s="26" t="str">
        <f>IF(B134="", "", 'General Information'!$F$14)</f>
        <v/>
      </c>
      <c r="E134" s="26" t="str">
        <f t="shared" si="6"/>
        <v/>
      </c>
      <c r="F134" s="26" t="str">
        <f>IF(B134="", "", CONCATENATE('General Information'!$F$9, " - ", 'General Information'!$F$14))</f>
        <v/>
      </c>
      <c r="G134" s="26" t="str">
        <f>IF(B134="", "", 'General Information'!$F$15)</f>
        <v/>
      </c>
      <c r="H134" s="26" t="str">
        <f>IF(B134="", "", IF(VLOOKUP(B134, 'Lookup Tables'!$Y$18:$AA$34, 2, FALSE)="Traffic", VLOOKUP('Lighting Inventory'!W142, 'Lookup Tables'!#REF!, 11, FALSE), VLOOKUP(B134, 'Lookup Tables'!$Y$18:$AA$34, 2, FALSE)))</f>
        <v/>
      </c>
      <c r="I134" s="26" t="str">
        <f>IF(B134="", "", CONCATENATE(D134, 'Data Export'!A134))</f>
        <v/>
      </c>
      <c r="J134" s="26" t="str">
        <f>IF(B134="", "", 'Lookup Tables'!$B$1)</f>
        <v/>
      </c>
      <c r="K134" s="26" t="str">
        <f>IF(B134="", "", 'Lighting Inventory'!B142)</f>
        <v/>
      </c>
      <c r="L134" s="26" t="str">
        <f>IF(B134="", "", 'Lighting Inventory'!C142)</f>
        <v/>
      </c>
      <c r="M134" s="26" t="str">
        <f>IF(B134="", "",'Lighting Inventory'!D142)</f>
        <v/>
      </c>
      <c r="N134" s="26" t="str">
        <f>IF(B134="", "",'Lighting Inventory'!E142)</f>
        <v/>
      </c>
      <c r="O134" s="26" t="str">
        <f>IF(B134="", "", 'Lighting Inventory'!F142)</f>
        <v/>
      </c>
      <c r="P134" s="26" t="str">
        <f>IF(B134="", "", 'Lighting Inventory'!G142)</f>
        <v/>
      </c>
      <c r="Q134" s="26" t="str">
        <f>IF(B134="", "", 'Lighting Inventory'!H142)</f>
        <v/>
      </c>
      <c r="R134" s="26" t="str">
        <f>IF(B134="", "", 'Lighting Inventory'!I142)</f>
        <v/>
      </c>
      <c r="S134" s="26" t="str">
        <f>IF(B134="", "", 'Lighting Inventory'!J142)</f>
        <v/>
      </c>
      <c r="T134" s="26" t="str">
        <f>IFERROR(IF(B134="","",VLOOKUP(S134,'Fixture Identities'!$A$7:$G$1023,5,FALSE)), "New Construction")</f>
        <v/>
      </c>
      <c r="U134" s="26" t="str">
        <f>IFERROR(IF(B134="", "", IF(K134="New Construction", "NC", IF(VLOOKUP(S134, 'Fixture Identities'!$A$7:$I$1023,3, FALSE)="T12 Linear Fluorescent", VLOOKUP(S134, 'Fixture Identities'!$A$7:$K$1012, 11, FALSE), S134))), "")</f>
        <v/>
      </c>
      <c r="V134" s="26" t="str">
        <f>IFERROR(IF(OR(B134="", U134=0), "", VLOOKUP(U134, 'Fixture Identities'!$A$7:$G$1023, 5, FALSE)), "")</f>
        <v/>
      </c>
      <c r="W134" s="26" t="str">
        <f>IF(B134="", "",'Lighting Inventory'!K142)</f>
        <v/>
      </c>
      <c r="X134" s="65" t="str">
        <f>IF(B134="", "", 'Lighting Inventory'!L142)</f>
        <v/>
      </c>
      <c r="Y134" s="26" t="str">
        <f>IF(B134="", "", IF('Lighting Inventory'!M142="", "Light Switch",'Lighting Inventory'!M142))</f>
        <v/>
      </c>
      <c r="Z134" s="26" t="str">
        <f>IF(OR(K134="Retrofit", B134=""), "", 'Lighting Inventory'!N142)</f>
        <v/>
      </c>
      <c r="AA134" s="26" t="str">
        <f>IF(OR(Z134="",B134=""), "", 'Lighting Inventory'!O142)</f>
        <v/>
      </c>
      <c r="AB134" s="26" t="str">
        <f>IF(B134="", "", 'Lighting Inventory'!P142)</f>
        <v/>
      </c>
      <c r="AC134" s="96" t="str">
        <f>IF(B134="", "", 'Lighting Inventory'!R142)</f>
        <v/>
      </c>
      <c r="AD134" s="26" t="str">
        <f>IF(B134="", "", 'Lighting Inventory'!S142)</f>
        <v/>
      </c>
      <c r="AE134" s="26" t="str">
        <f>IF(B134="", "", 'Lighting Inventory'!V142)</f>
        <v/>
      </c>
      <c r="AF134" s="26" t="str">
        <f>IF(B134="", "", 'Lighting Inventory'!W142)</f>
        <v/>
      </c>
      <c r="AG134" s="26" t="str">
        <f>IF(OR(AF134="", B134=""), "", IF(AE134="Custom", "0", VLOOKUP(AF134, 'Lookup Tables'!$AI$6:$AP$102, 8, FALSE)))</f>
        <v/>
      </c>
      <c r="AH134" s="26" t="str">
        <f>IF(B134="", "", 'Lighting Inventory'!AD142)</f>
        <v/>
      </c>
      <c r="AI134" s="26" t="str">
        <f>IF(OR('Lighting Inventory'!AK142="", B134=""), "", 'Lighting Inventory'!AK142)</f>
        <v/>
      </c>
      <c r="AJ134" s="66" t="str">
        <f>IF(B134="", "", 'Lighting Inventory'!AL142)</f>
        <v/>
      </c>
      <c r="AK134" s="65" t="str">
        <f>IF(B134="", "", 'Lighting Inventory'!AM142)</f>
        <v/>
      </c>
      <c r="AL134" s="26" t="str">
        <f>IF(B134="", "", 'Lighting Inventory'!AN142)</f>
        <v/>
      </c>
      <c r="AM134" s="26" t="str">
        <f t="shared" si="8"/>
        <v/>
      </c>
      <c r="AN134" s="26" t="str">
        <f>IF(B134="","",IF('Lighting Inventory'!AV142="","Prescribed",'Lighting Inventory'!AV142))</f>
        <v/>
      </c>
      <c r="AO134" s="66" t="str">
        <f>IF(B134="", "", 'Lighting Inventory'!AX142)</f>
        <v/>
      </c>
      <c r="AP134" s="67" t="str">
        <f>IF(B134="", "", 'Lighting Inventory'!AZ142)</f>
        <v/>
      </c>
      <c r="AQ134" s="67" t="str">
        <f>IF(B134="", "", 'Lighting Inventory'!BA142)</f>
        <v/>
      </c>
      <c r="AR134" s="67" t="str">
        <f>IF(B134="", "", 'Lighting Inventory'!BB142)</f>
        <v/>
      </c>
      <c r="AS134" s="67" t="str">
        <f>IF(B134="", "", 'Lighting Inventory'!BC142)</f>
        <v/>
      </c>
      <c r="AT134" s="67" t="str">
        <f>IF(B134="", "", 'Lighting Inventory'!BD142)</f>
        <v/>
      </c>
      <c r="AU134" s="67" t="str">
        <f>IF(B134="", "", 'Lighting Inventory'!BE142)</f>
        <v/>
      </c>
      <c r="AV134" s="67" t="str">
        <f>IF(B134="", "", 'Lighting Inventory'!BE142)</f>
        <v/>
      </c>
      <c r="AW134" s="67" t="str">
        <f>IF(B134="", "", 'Lighting Inventory'!BF142)</f>
        <v/>
      </c>
      <c r="AX134" s="67" t="str">
        <f>IF(B134="", "", 'Lighting Inventory'!BF142)</f>
        <v/>
      </c>
      <c r="AY134" s="65" t="str">
        <f t="shared" si="7"/>
        <v/>
      </c>
      <c r="AZ134" s="65" t="str">
        <f>IF(B134="", "", 'Lighting Inventory'!BJ142)</f>
        <v/>
      </c>
      <c r="BA134" s="65" t="str">
        <f>IF(B134="", "", 'Lighting Inventory'!BM142)</f>
        <v/>
      </c>
      <c r="BB134" s="65" t="str">
        <f>IF(B134="","",SUM('Lighting Inventory'!BP142:BP142))</f>
        <v/>
      </c>
      <c r="BC134" s="67" t="str">
        <f>IF(OR(AE134="", B134=""),"", 'Lighting Inventory'!GR142)</f>
        <v/>
      </c>
      <c r="BD134" s="67" t="str">
        <f>IFERROR(IF(B134="", "", 'Lighting Inventory'!AF142)*AD134," ")</f>
        <v xml:space="preserve"> </v>
      </c>
      <c r="BE134" s="67"/>
      <c r="BF134" s="67"/>
    </row>
    <row r="135" spans="1:58" x14ac:dyDescent="0.25">
      <c r="A135" s="26" t="str">
        <f>IF(B135="", "", 'Lookup Tables'!AW136)</f>
        <v/>
      </c>
      <c r="B135" s="26" t="str">
        <f>IF(OR('Lighting Inventory'!Y143="", 'Lighting Inventory'!V143="No Change"),"", 'Lighting Inventory'!Y143)</f>
        <v/>
      </c>
      <c r="C135" s="26" t="str">
        <f>IF(B135="", "", IF('Lighting Inventory'!Y143='Lookup Tables'!$Y$32, 'Lighting Inventory'!AJ143, IF(AD135=0, R135, AD135)))</f>
        <v/>
      </c>
      <c r="D135" s="26" t="str">
        <f>IF(B135="", "", 'General Information'!$F$14)</f>
        <v/>
      </c>
      <c r="E135" s="26" t="str">
        <f t="shared" si="6"/>
        <v/>
      </c>
      <c r="F135" s="26" t="str">
        <f>IF(B135="", "", CONCATENATE('General Information'!$F$9, " - ", 'General Information'!$F$14))</f>
        <v/>
      </c>
      <c r="G135" s="26" t="str">
        <f>IF(B135="", "", 'General Information'!$F$15)</f>
        <v/>
      </c>
      <c r="H135" s="26" t="str">
        <f>IF(B135="", "", IF(VLOOKUP(B135, 'Lookup Tables'!$Y$18:$AA$34, 2, FALSE)="Traffic", VLOOKUP('Lighting Inventory'!W143, 'Lookup Tables'!#REF!, 11, FALSE), VLOOKUP(B135, 'Lookup Tables'!$Y$18:$AA$34, 2, FALSE)))</f>
        <v/>
      </c>
      <c r="I135" s="26" t="str">
        <f>IF(B135="", "", CONCATENATE(D135, 'Data Export'!A135))</f>
        <v/>
      </c>
      <c r="J135" s="26" t="str">
        <f>IF(B135="", "", 'Lookup Tables'!$B$1)</f>
        <v/>
      </c>
      <c r="K135" s="26" t="str">
        <f>IF(B135="", "", 'Lighting Inventory'!B143)</f>
        <v/>
      </c>
      <c r="L135" s="26" t="str">
        <f>IF(B135="", "", 'Lighting Inventory'!C143)</f>
        <v/>
      </c>
      <c r="M135" s="26" t="str">
        <f>IF(B135="", "",'Lighting Inventory'!D143)</f>
        <v/>
      </c>
      <c r="N135" s="26" t="str">
        <f>IF(B135="", "",'Lighting Inventory'!E143)</f>
        <v/>
      </c>
      <c r="O135" s="26" t="str">
        <f>IF(B135="", "", 'Lighting Inventory'!F143)</f>
        <v/>
      </c>
      <c r="P135" s="26" t="str">
        <f>IF(B135="", "", 'Lighting Inventory'!G143)</f>
        <v/>
      </c>
      <c r="Q135" s="26" t="str">
        <f>IF(B135="", "", 'Lighting Inventory'!H143)</f>
        <v/>
      </c>
      <c r="R135" s="26" t="str">
        <f>IF(B135="", "", 'Lighting Inventory'!I143)</f>
        <v/>
      </c>
      <c r="S135" s="26" t="str">
        <f>IF(B135="", "", 'Lighting Inventory'!J143)</f>
        <v/>
      </c>
      <c r="T135" s="26" t="str">
        <f>IFERROR(IF(B135="","",VLOOKUP(S135,'Fixture Identities'!$A$7:$G$1023,5,FALSE)), "New Construction")</f>
        <v/>
      </c>
      <c r="U135" s="26" t="str">
        <f>IFERROR(IF(B135="", "", IF(K135="New Construction", "NC", IF(VLOOKUP(S135, 'Fixture Identities'!$A$7:$I$1023,3, FALSE)="T12 Linear Fluorescent", VLOOKUP(S135, 'Fixture Identities'!$A$7:$K$1012, 11, FALSE), S135))), "")</f>
        <v/>
      </c>
      <c r="V135" s="26" t="str">
        <f>IFERROR(IF(OR(B135="", U135=0), "", VLOOKUP(U135, 'Fixture Identities'!$A$7:$G$1023, 5, FALSE)), "")</f>
        <v/>
      </c>
      <c r="W135" s="26" t="str">
        <f>IF(B135="", "",'Lighting Inventory'!K143)</f>
        <v/>
      </c>
      <c r="X135" s="65" t="str">
        <f>IF(B135="", "", 'Lighting Inventory'!L143)</f>
        <v/>
      </c>
      <c r="Y135" s="26" t="str">
        <f>IF(B135="", "", IF('Lighting Inventory'!M143="", "Light Switch",'Lighting Inventory'!M143))</f>
        <v/>
      </c>
      <c r="Z135" s="26" t="str">
        <f>IF(OR(K135="Retrofit", B135=""), "", 'Lighting Inventory'!N143)</f>
        <v/>
      </c>
      <c r="AA135" s="26" t="str">
        <f>IF(OR(Z135="",B135=""), "", 'Lighting Inventory'!O143)</f>
        <v/>
      </c>
      <c r="AB135" s="26" t="str">
        <f>IF(B135="", "", 'Lighting Inventory'!P143)</f>
        <v/>
      </c>
      <c r="AC135" s="96" t="str">
        <f>IF(B135="", "", 'Lighting Inventory'!R143)</f>
        <v/>
      </c>
      <c r="AD135" s="26" t="str">
        <f>IF(B135="", "", 'Lighting Inventory'!S143)</f>
        <v/>
      </c>
      <c r="AE135" s="26" t="str">
        <f>IF(B135="", "", 'Lighting Inventory'!V143)</f>
        <v/>
      </c>
      <c r="AF135" s="26" t="str">
        <f>IF(B135="", "", 'Lighting Inventory'!W143)</f>
        <v/>
      </c>
      <c r="AG135" s="26" t="str">
        <f>IF(OR(AF135="", B135=""), "", IF(AE135="Custom", "0", VLOOKUP(AF135, 'Lookup Tables'!$AI$6:$AP$102, 8, FALSE)))</f>
        <v/>
      </c>
      <c r="AH135" s="26" t="str">
        <f>IF(B135="", "", 'Lighting Inventory'!AD143)</f>
        <v/>
      </c>
      <c r="AI135" s="26" t="str">
        <f>IF(OR('Lighting Inventory'!AK143="", B135=""), "", 'Lighting Inventory'!AK143)</f>
        <v/>
      </c>
      <c r="AJ135" s="66" t="str">
        <f>IF(B135="", "", 'Lighting Inventory'!AL143)</f>
        <v/>
      </c>
      <c r="AK135" s="65" t="str">
        <f>IF(B135="", "", 'Lighting Inventory'!AM143)</f>
        <v/>
      </c>
      <c r="AL135" s="26" t="str">
        <f>IF(B135="", "", 'Lighting Inventory'!AN143)</f>
        <v/>
      </c>
      <c r="AM135" s="26" t="str">
        <f t="shared" si="8"/>
        <v/>
      </c>
      <c r="AN135" s="26" t="str">
        <f>IF(B135="","",IF('Lighting Inventory'!AV143="","Prescribed",'Lighting Inventory'!AV143))</f>
        <v/>
      </c>
      <c r="AO135" s="66" t="str">
        <f>IF(B135="", "", 'Lighting Inventory'!AX143)</f>
        <v/>
      </c>
      <c r="AP135" s="67" t="str">
        <f>IF(B135="", "", 'Lighting Inventory'!AZ143)</f>
        <v/>
      </c>
      <c r="AQ135" s="67" t="str">
        <f>IF(B135="", "", 'Lighting Inventory'!BA143)</f>
        <v/>
      </c>
      <c r="AR135" s="67" t="str">
        <f>IF(B135="", "", 'Lighting Inventory'!BB143)</f>
        <v/>
      </c>
      <c r="AS135" s="67" t="str">
        <f>IF(B135="", "", 'Lighting Inventory'!BC143)</f>
        <v/>
      </c>
      <c r="AT135" s="67" t="str">
        <f>IF(B135="", "", 'Lighting Inventory'!BD143)</f>
        <v/>
      </c>
      <c r="AU135" s="67" t="str">
        <f>IF(B135="", "", 'Lighting Inventory'!BE143)</f>
        <v/>
      </c>
      <c r="AV135" s="67" t="str">
        <f>IF(B135="", "", 'Lighting Inventory'!BE143)</f>
        <v/>
      </c>
      <c r="AW135" s="67" t="str">
        <f>IF(B135="", "", 'Lighting Inventory'!BF143)</f>
        <v/>
      </c>
      <c r="AX135" s="67" t="str">
        <f>IF(B135="", "", 'Lighting Inventory'!BF143)</f>
        <v/>
      </c>
      <c r="AY135" s="65" t="str">
        <f t="shared" si="7"/>
        <v/>
      </c>
      <c r="AZ135" s="65" t="str">
        <f>IF(B135="", "", 'Lighting Inventory'!BJ143)</f>
        <v/>
      </c>
      <c r="BA135" s="65" t="str">
        <f>IF(B135="", "", 'Lighting Inventory'!BM143)</f>
        <v/>
      </c>
      <c r="BB135" s="65" t="str">
        <f>IF(B135="","",SUM('Lighting Inventory'!BP143:BP143))</f>
        <v/>
      </c>
      <c r="BC135" s="67" t="str">
        <f>IF(OR(AE135="", B135=""),"", 'Lighting Inventory'!GR143)</f>
        <v/>
      </c>
      <c r="BD135" s="67" t="str">
        <f>IFERROR(IF(B135="", "", 'Lighting Inventory'!AF143)*AD135," ")</f>
        <v xml:space="preserve"> </v>
      </c>
      <c r="BE135" s="67"/>
      <c r="BF135" s="67"/>
    </row>
    <row r="136" spans="1:58" x14ac:dyDescent="0.25">
      <c r="A136" s="26" t="str">
        <f>IF(B136="", "", 'Lookup Tables'!AW137)</f>
        <v/>
      </c>
      <c r="B136" s="26" t="str">
        <f>IF(OR('Lighting Inventory'!Y144="", 'Lighting Inventory'!V144="No Change"),"", 'Lighting Inventory'!Y144)</f>
        <v/>
      </c>
      <c r="C136" s="26" t="str">
        <f>IF(B136="", "", IF('Lighting Inventory'!Y144='Lookup Tables'!$Y$32, 'Lighting Inventory'!AJ144, IF(AD136=0, R136, AD136)))</f>
        <v/>
      </c>
      <c r="D136" s="26" t="str">
        <f>IF(B136="", "", 'General Information'!$F$14)</f>
        <v/>
      </c>
      <c r="E136" s="26" t="str">
        <f t="shared" si="6"/>
        <v/>
      </c>
      <c r="F136" s="26" t="str">
        <f>IF(B136="", "", CONCATENATE('General Information'!$F$9, " - ", 'General Information'!$F$14))</f>
        <v/>
      </c>
      <c r="G136" s="26" t="str">
        <f>IF(B136="", "", 'General Information'!$F$15)</f>
        <v/>
      </c>
      <c r="H136" s="26" t="str">
        <f>IF(B136="", "", IF(VLOOKUP(B136, 'Lookup Tables'!$Y$18:$AA$34, 2, FALSE)="Traffic", VLOOKUP('Lighting Inventory'!W144, 'Lookup Tables'!#REF!, 11, FALSE), VLOOKUP(B136, 'Lookup Tables'!$Y$18:$AA$34, 2, FALSE)))</f>
        <v/>
      </c>
      <c r="I136" s="26" t="str">
        <f>IF(B136="", "", CONCATENATE(D136, 'Data Export'!A136))</f>
        <v/>
      </c>
      <c r="J136" s="26" t="str">
        <f>IF(B136="", "", 'Lookup Tables'!$B$1)</f>
        <v/>
      </c>
      <c r="K136" s="26" t="str">
        <f>IF(B136="", "", 'Lighting Inventory'!B144)</f>
        <v/>
      </c>
      <c r="L136" s="26" t="str">
        <f>IF(B136="", "", 'Lighting Inventory'!C144)</f>
        <v/>
      </c>
      <c r="M136" s="26" t="str">
        <f>IF(B136="", "",'Lighting Inventory'!D144)</f>
        <v/>
      </c>
      <c r="N136" s="26" t="str">
        <f>IF(B136="", "",'Lighting Inventory'!E144)</f>
        <v/>
      </c>
      <c r="O136" s="26" t="str">
        <f>IF(B136="", "", 'Lighting Inventory'!F144)</f>
        <v/>
      </c>
      <c r="P136" s="26" t="str">
        <f>IF(B136="", "", 'Lighting Inventory'!G144)</f>
        <v/>
      </c>
      <c r="Q136" s="26" t="str">
        <f>IF(B136="", "", 'Lighting Inventory'!H144)</f>
        <v/>
      </c>
      <c r="R136" s="26" t="str">
        <f>IF(B136="", "", 'Lighting Inventory'!I144)</f>
        <v/>
      </c>
      <c r="S136" s="26" t="str">
        <f>IF(B136="", "", 'Lighting Inventory'!J144)</f>
        <v/>
      </c>
      <c r="T136" s="26" t="str">
        <f>IFERROR(IF(B136="","",VLOOKUP(S136,'Fixture Identities'!$A$7:$G$1023,5,FALSE)), "New Construction")</f>
        <v/>
      </c>
      <c r="U136" s="26" t="str">
        <f>IFERROR(IF(B136="", "", IF(K136="New Construction", "NC", IF(VLOOKUP(S136, 'Fixture Identities'!$A$7:$I$1023,3, FALSE)="T12 Linear Fluorescent", VLOOKUP(S136, 'Fixture Identities'!$A$7:$K$1012, 11, FALSE), S136))), "")</f>
        <v/>
      </c>
      <c r="V136" s="26" t="str">
        <f>IFERROR(IF(OR(B136="", U136=0), "", VLOOKUP(U136, 'Fixture Identities'!$A$7:$G$1023, 5, FALSE)), "")</f>
        <v/>
      </c>
      <c r="W136" s="26" t="str">
        <f>IF(B136="", "",'Lighting Inventory'!K144)</f>
        <v/>
      </c>
      <c r="X136" s="65" t="str">
        <f>IF(B136="", "", 'Lighting Inventory'!L144)</f>
        <v/>
      </c>
      <c r="Y136" s="26" t="str">
        <f>IF(B136="", "", IF('Lighting Inventory'!M144="", "Light Switch",'Lighting Inventory'!M144))</f>
        <v/>
      </c>
      <c r="Z136" s="26" t="str">
        <f>IF(OR(K136="Retrofit", B136=""), "", 'Lighting Inventory'!N144)</f>
        <v/>
      </c>
      <c r="AA136" s="26" t="str">
        <f>IF(OR(Z136="",B136=""), "", 'Lighting Inventory'!O144)</f>
        <v/>
      </c>
      <c r="AB136" s="26" t="str">
        <f>IF(B136="", "", 'Lighting Inventory'!P144)</f>
        <v/>
      </c>
      <c r="AC136" s="96" t="str">
        <f>IF(B136="", "", 'Lighting Inventory'!R144)</f>
        <v/>
      </c>
      <c r="AD136" s="26" t="str">
        <f>IF(B136="", "", 'Lighting Inventory'!S144)</f>
        <v/>
      </c>
      <c r="AE136" s="26" t="str">
        <f>IF(B136="", "", 'Lighting Inventory'!V144)</f>
        <v/>
      </c>
      <c r="AF136" s="26" t="str">
        <f>IF(B136="", "", 'Lighting Inventory'!W144)</f>
        <v/>
      </c>
      <c r="AG136" s="26" t="str">
        <f>IF(OR(AF136="", B136=""), "", IF(AE136="Custom", "0", VLOOKUP(AF136, 'Lookup Tables'!$AI$6:$AP$102, 8, FALSE)))</f>
        <v/>
      </c>
      <c r="AH136" s="26" t="str">
        <f>IF(B136="", "", 'Lighting Inventory'!AD144)</f>
        <v/>
      </c>
      <c r="AI136" s="26" t="str">
        <f>IF(OR('Lighting Inventory'!AK144="", B136=""), "", 'Lighting Inventory'!AK144)</f>
        <v/>
      </c>
      <c r="AJ136" s="66" t="str">
        <f>IF(B136="", "", 'Lighting Inventory'!AL144)</f>
        <v/>
      </c>
      <c r="AK136" s="65" t="str">
        <f>IF(B136="", "", 'Lighting Inventory'!AM144)</f>
        <v/>
      </c>
      <c r="AL136" s="26" t="str">
        <f>IF(B136="", "", 'Lighting Inventory'!AN144)</f>
        <v/>
      </c>
      <c r="AM136" s="26" t="str">
        <f t="shared" si="8"/>
        <v/>
      </c>
      <c r="AN136" s="26" t="str">
        <f>IF(B136="","",IF('Lighting Inventory'!AV144="","Prescribed",'Lighting Inventory'!AV144))</f>
        <v/>
      </c>
      <c r="AO136" s="66" t="str">
        <f>IF(B136="", "", 'Lighting Inventory'!AX144)</f>
        <v/>
      </c>
      <c r="AP136" s="67" t="str">
        <f>IF(B136="", "", 'Lighting Inventory'!AZ144)</f>
        <v/>
      </c>
      <c r="AQ136" s="67" t="str">
        <f>IF(B136="", "", 'Lighting Inventory'!BA144)</f>
        <v/>
      </c>
      <c r="AR136" s="67" t="str">
        <f>IF(B136="", "", 'Lighting Inventory'!BB144)</f>
        <v/>
      </c>
      <c r="AS136" s="67" t="str">
        <f>IF(B136="", "", 'Lighting Inventory'!BC144)</f>
        <v/>
      </c>
      <c r="AT136" s="67" t="str">
        <f>IF(B136="", "", 'Lighting Inventory'!BD144)</f>
        <v/>
      </c>
      <c r="AU136" s="67" t="str">
        <f>IF(B136="", "", 'Lighting Inventory'!BE144)</f>
        <v/>
      </c>
      <c r="AV136" s="67" t="str">
        <f>IF(B136="", "", 'Lighting Inventory'!BE144)</f>
        <v/>
      </c>
      <c r="AW136" s="67" t="str">
        <f>IF(B136="", "", 'Lighting Inventory'!BF144)</f>
        <v/>
      </c>
      <c r="AX136" s="67" t="str">
        <f>IF(B136="", "", 'Lighting Inventory'!BF144)</f>
        <v/>
      </c>
      <c r="AY136" s="65" t="str">
        <f t="shared" si="7"/>
        <v/>
      </c>
      <c r="AZ136" s="65" t="str">
        <f>IF(B136="", "", 'Lighting Inventory'!BJ144)</f>
        <v/>
      </c>
      <c r="BA136" s="65" t="str">
        <f>IF(B136="", "", 'Lighting Inventory'!BM144)</f>
        <v/>
      </c>
      <c r="BB136" s="65" t="str">
        <f>IF(B136="","",SUM('Lighting Inventory'!BP144:BP144))</f>
        <v/>
      </c>
      <c r="BC136" s="67" t="str">
        <f>IF(OR(AE136="", B136=""),"", 'Lighting Inventory'!GR144)</f>
        <v/>
      </c>
      <c r="BD136" s="67" t="str">
        <f>IFERROR(IF(B136="", "", 'Lighting Inventory'!AF144)*AD136," ")</f>
        <v xml:space="preserve"> </v>
      </c>
      <c r="BE136" s="67"/>
      <c r="BF136" s="67"/>
    </row>
    <row r="137" spans="1:58" x14ac:dyDescent="0.25">
      <c r="A137" s="26" t="str">
        <f>IF(B137="", "", 'Lookup Tables'!AW138)</f>
        <v/>
      </c>
      <c r="B137" s="26" t="str">
        <f>IF(OR('Lighting Inventory'!Y145="", 'Lighting Inventory'!V145="No Change"),"", 'Lighting Inventory'!Y145)</f>
        <v/>
      </c>
      <c r="C137" s="26" t="str">
        <f>IF(B137="", "", IF('Lighting Inventory'!Y145='Lookup Tables'!$Y$32, 'Lighting Inventory'!AJ145, IF(AD137=0, R137, AD137)))</f>
        <v/>
      </c>
      <c r="D137" s="26" t="str">
        <f>IF(B137="", "", 'General Information'!$F$14)</f>
        <v/>
      </c>
      <c r="E137" s="26" t="str">
        <f t="shared" ref="E137:E200" si="9">IF(B137="", "", "FPPLPR")</f>
        <v/>
      </c>
      <c r="F137" s="26" t="str">
        <f>IF(B137="", "", CONCATENATE('General Information'!$F$9, " - ", 'General Information'!$F$14))</f>
        <v/>
      </c>
      <c r="G137" s="26" t="str">
        <f>IF(B137="", "", 'General Information'!$F$15)</f>
        <v/>
      </c>
      <c r="H137" s="26" t="str">
        <f>IF(B137="", "", IF(VLOOKUP(B137, 'Lookup Tables'!$Y$18:$AA$34, 2, FALSE)="Traffic", VLOOKUP('Lighting Inventory'!W145, 'Lookup Tables'!#REF!, 11, FALSE), VLOOKUP(B137, 'Lookup Tables'!$Y$18:$AA$34, 2, FALSE)))</f>
        <v/>
      </c>
      <c r="I137" s="26" t="str">
        <f>IF(B137="", "", CONCATENATE(D137, 'Data Export'!A137))</f>
        <v/>
      </c>
      <c r="J137" s="26" t="str">
        <f>IF(B137="", "", 'Lookup Tables'!$B$1)</f>
        <v/>
      </c>
      <c r="K137" s="26" t="str">
        <f>IF(B137="", "", 'Lighting Inventory'!B145)</f>
        <v/>
      </c>
      <c r="L137" s="26" t="str">
        <f>IF(B137="", "", 'Lighting Inventory'!C145)</f>
        <v/>
      </c>
      <c r="M137" s="26" t="str">
        <f>IF(B137="", "",'Lighting Inventory'!D145)</f>
        <v/>
      </c>
      <c r="N137" s="26" t="str">
        <f>IF(B137="", "",'Lighting Inventory'!E145)</f>
        <v/>
      </c>
      <c r="O137" s="26" t="str">
        <f>IF(B137="", "", 'Lighting Inventory'!F145)</f>
        <v/>
      </c>
      <c r="P137" s="26" t="str">
        <f>IF(B137="", "", 'Lighting Inventory'!G145)</f>
        <v/>
      </c>
      <c r="Q137" s="26" t="str">
        <f>IF(B137="", "", 'Lighting Inventory'!H145)</f>
        <v/>
      </c>
      <c r="R137" s="26" t="str">
        <f>IF(B137="", "", 'Lighting Inventory'!I145)</f>
        <v/>
      </c>
      <c r="S137" s="26" t="str">
        <f>IF(B137="", "", 'Lighting Inventory'!J145)</f>
        <v/>
      </c>
      <c r="T137" s="26" t="str">
        <f>IFERROR(IF(B137="","",VLOOKUP(S137,'Fixture Identities'!$A$7:$G$1023,5,FALSE)), "New Construction")</f>
        <v/>
      </c>
      <c r="U137" s="26" t="str">
        <f>IFERROR(IF(B137="", "", IF(K137="New Construction", "NC", IF(VLOOKUP(S137, 'Fixture Identities'!$A$7:$I$1023,3, FALSE)="T12 Linear Fluorescent", VLOOKUP(S137, 'Fixture Identities'!$A$7:$K$1012, 11, FALSE), S137))), "")</f>
        <v/>
      </c>
      <c r="V137" s="26" t="str">
        <f>IFERROR(IF(OR(B137="", U137=0), "", VLOOKUP(U137, 'Fixture Identities'!$A$7:$G$1023, 5, FALSE)), "")</f>
        <v/>
      </c>
      <c r="W137" s="26" t="str">
        <f>IF(B137="", "",'Lighting Inventory'!K145)</f>
        <v/>
      </c>
      <c r="X137" s="65" t="str">
        <f>IF(B137="", "", 'Lighting Inventory'!L145)</f>
        <v/>
      </c>
      <c r="Y137" s="26" t="str">
        <f>IF(B137="", "", IF('Lighting Inventory'!M145="", "Light Switch",'Lighting Inventory'!M145))</f>
        <v/>
      </c>
      <c r="Z137" s="26" t="str">
        <f>IF(OR(K137="Retrofit", B137=""), "", 'Lighting Inventory'!N145)</f>
        <v/>
      </c>
      <c r="AA137" s="26" t="str">
        <f>IF(OR(Z137="",B137=""), "", 'Lighting Inventory'!O145)</f>
        <v/>
      </c>
      <c r="AB137" s="26" t="str">
        <f>IF(B137="", "", 'Lighting Inventory'!P145)</f>
        <v/>
      </c>
      <c r="AC137" s="96" t="str">
        <f>IF(B137="", "", 'Lighting Inventory'!R145)</f>
        <v/>
      </c>
      <c r="AD137" s="26" t="str">
        <f>IF(B137="", "", 'Lighting Inventory'!S145)</f>
        <v/>
      </c>
      <c r="AE137" s="26" t="str">
        <f>IF(B137="", "", 'Lighting Inventory'!V145)</f>
        <v/>
      </c>
      <c r="AF137" s="26" t="str">
        <f>IF(B137="", "", 'Lighting Inventory'!W145)</f>
        <v/>
      </c>
      <c r="AG137" s="26" t="str">
        <f>IF(OR(AF137="", B137=""), "", IF(AE137="Custom", "0", VLOOKUP(AF137, 'Lookup Tables'!$AI$6:$AP$102, 8, FALSE)))</f>
        <v/>
      </c>
      <c r="AH137" s="26" t="str">
        <f>IF(B137="", "", 'Lighting Inventory'!AD145)</f>
        <v/>
      </c>
      <c r="AI137" s="26" t="str">
        <f>IF(OR('Lighting Inventory'!AK145="", B137=""), "", 'Lighting Inventory'!AK145)</f>
        <v/>
      </c>
      <c r="AJ137" s="66" t="str">
        <f>IF(B137="", "", 'Lighting Inventory'!AL145)</f>
        <v/>
      </c>
      <c r="AK137" s="65" t="str">
        <f>IF(B137="", "", 'Lighting Inventory'!AM145)</f>
        <v/>
      </c>
      <c r="AL137" s="26" t="str">
        <f>IF(B137="", "", 'Lighting Inventory'!AN145)</f>
        <v/>
      </c>
      <c r="AM137" s="26" t="str">
        <f t="shared" si="8"/>
        <v/>
      </c>
      <c r="AN137" s="26" t="str">
        <f>IF(B137="","",IF('Lighting Inventory'!AV145="","Prescribed",'Lighting Inventory'!AV145))</f>
        <v/>
      </c>
      <c r="AO137" s="66" t="str">
        <f>IF(B137="", "", 'Lighting Inventory'!AX145)</f>
        <v/>
      </c>
      <c r="AP137" s="67" t="str">
        <f>IF(B137="", "", 'Lighting Inventory'!AZ145)</f>
        <v/>
      </c>
      <c r="AQ137" s="67" t="str">
        <f>IF(B137="", "", 'Lighting Inventory'!BA145)</f>
        <v/>
      </c>
      <c r="AR137" s="67" t="str">
        <f>IF(B137="", "", 'Lighting Inventory'!BB145)</f>
        <v/>
      </c>
      <c r="AS137" s="67" t="str">
        <f>IF(B137="", "", 'Lighting Inventory'!BC145)</f>
        <v/>
      </c>
      <c r="AT137" s="67" t="str">
        <f>IF(B137="", "", 'Lighting Inventory'!BD145)</f>
        <v/>
      </c>
      <c r="AU137" s="67" t="str">
        <f>IF(B137="", "", 'Lighting Inventory'!BE145)</f>
        <v/>
      </c>
      <c r="AV137" s="67" t="str">
        <f>IF(B137="", "", 'Lighting Inventory'!BE145)</f>
        <v/>
      </c>
      <c r="AW137" s="67" t="str">
        <f>IF(B137="", "", 'Lighting Inventory'!BF145)</f>
        <v/>
      </c>
      <c r="AX137" s="67" t="str">
        <f>IF(B137="", "", 'Lighting Inventory'!BF145)</f>
        <v/>
      </c>
      <c r="AY137" s="65" t="str">
        <f t="shared" ref="AY137:AY200" si="10">AZ137</f>
        <v/>
      </c>
      <c r="AZ137" s="65" t="str">
        <f>IF(B137="", "", 'Lighting Inventory'!BJ145)</f>
        <v/>
      </c>
      <c r="BA137" s="65" t="str">
        <f>IF(B137="", "", 'Lighting Inventory'!BM145)</f>
        <v/>
      </c>
      <c r="BB137" s="65" t="str">
        <f>IF(B137="","",SUM('Lighting Inventory'!BP145:BP145))</f>
        <v/>
      </c>
      <c r="BC137" s="67" t="str">
        <f>IF(OR(AE137="", B137=""),"", 'Lighting Inventory'!GR145)</f>
        <v/>
      </c>
      <c r="BD137" s="67" t="str">
        <f>IFERROR(IF(B137="", "", 'Lighting Inventory'!AF145)*AD137," ")</f>
        <v xml:space="preserve"> </v>
      </c>
      <c r="BE137" s="67"/>
      <c r="BF137" s="67"/>
    </row>
    <row r="138" spans="1:58" x14ac:dyDescent="0.25">
      <c r="A138" s="26" t="str">
        <f>IF(B138="", "", 'Lookup Tables'!AW139)</f>
        <v/>
      </c>
      <c r="B138" s="26" t="str">
        <f>IF(OR('Lighting Inventory'!Y146="", 'Lighting Inventory'!V146="No Change"),"", 'Lighting Inventory'!Y146)</f>
        <v/>
      </c>
      <c r="C138" s="26" t="str">
        <f>IF(B138="", "", IF('Lighting Inventory'!Y146='Lookup Tables'!$Y$32, 'Lighting Inventory'!AJ146, IF(AD138=0, R138, AD138)))</f>
        <v/>
      </c>
      <c r="D138" s="26" t="str">
        <f>IF(B138="", "", 'General Information'!$F$14)</f>
        <v/>
      </c>
      <c r="E138" s="26" t="str">
        <f t="shared" si="9"/>
        <v/>
      </c>
      <c r="F138" s="26" t="str">
        <f>IF(B138="", "", CONCATENATE('General Information'!$F$9, " - ", 'General Information'!$F$14))</f>
        <v/>
      </c>
      <c r="G138" s="26" t="str">
        <f>IF(B138="", "", 'General Information'!$F$15)</f>
        <v/>
      </c>
      <c r="H138" s="26" t="str">
        <f>IF(B138="", "", IF(VLOOKUP(B138, 'Lookup Tables'!$Y$18:$AA$34, 2, FALSE)="Traffic", VLOOKUP('Lighting Inventory'!W146, 'Lookup Tables'!#REF!, 11, FALSE), VLOOKUP(B138, 'Lookup Tables'!$Y$18:$AA$34, 2, FALSE)))</f>
        <v/>
      </c>
      <c r="I138" s="26" t="str">
        <f>IF(B138="", "", CONCATENATE(D138, 'Data Export'!A138))</f>
        <v/>
      </c>
      <c r="J138" s="26" t="str">
        <f>IF(B138="", "", 'Lookup Tables'!$B$1)</f>
        <v/>
      </c>
      <c r="K138" s="26" t="str">
        <f>IF(B138="", "", 'Lighting Inventory'!B146)</f>
        <v/>
      </c>
      <c r="L138" s="26" t="str">
        <f>IF(B138="", "", 'Lighting Inventory'!C146)</f>
        <v/>
      </c>
      <c r="M138" s="26" t="str">
        <f>IF(B138="", "",'Lighting Inventory'!D146)</f>
        <v/>
      </c>
      <c r="N138" s="26" t="str">
        <f>IF(B138="", "",'Lighting Inventory'!E146)</f>
        <v/>
      </c>
      <c r="O138" s="26" t="str">
        <f>IF(B138="", "", 'Lighting Inventory'!F146)</f>
        <v/>
      </c>
      <c r="P138" s="26" t="str">
        <f>IF(B138="", "", 'Lighting Inventory'!G146)</f>
        <v/>
      </c>
      <c r="Q138" s="26" t="str">
        <f>IF(B138="", "", 'Lighting Inventory'!H146)</f>
        <v/>
      </c>
      <c r="R138" s="26" t="str">
        <f>IF(B138="", "", 'Lighting Inventory'!I146)</f>
        <v/>
      </c>
      <c r="S138" s="26" t="str">
        <f>IF(B138="", "", 'Lighting Inventory'!J146)</f>
        <v/>
      </c>
      <c r="T138" s="26" t="str">
        <f>IFERROR(IF(B138="","",VLOOKUP(S138,'Fixture Identities'!$A$7:$G$1023,5,FALSE)), "New Construction")</f>
        <v/>
      </c>
      <c r="U138" s="26" t="str">
        <f>IFERROR(IF(B138="", "", IF(K138="New Construction", "NC", IF(VLOOKUP(S138, 'Fixture Identities'!$A$7:$I$1023,3, FALSE)="T12 Linear Fluorescent", VLOOKUP(S138, 'Fixture Identities'!$A$7:$K$1012, 11, FALSE), S138))), "")</f>
        <v/>
      </c>
      <c r="V138" s="26" t="str">
        <f>IFERROR(IF(OR(B138="", U138=0), "", VLOOKUP(U138, 'Fixture Identities'!$A$7:$G$1023, 5, FALSE)), "")</f>
        <v/>
      </c>
      <c r="W138" s="26" t="str">
        <f>IF(B138="", "",'Lighting Inventory'!K146)</f>
        <v/>
      </c>
      <c r="X138" s="65" t="str">
        <f>IF(B138="", "", 'Lighting Inventory'!L146)</f>
        <v/>
      </c>
      <c r="Y138" s="26" t="str">
        <f>IF(B138="", "", IF('Lighting Inventory'!M146="", "Light Switch",'Lighting Inventory'!M146))</f>
        <v/>
      </c>
      <c r="Z138" s="26" t="str">
        <f>IF(OR(K138="Retrofit", B138=""), "", 'Lighting Inventory'!N146)</f>
        <v/>
      </c>
      <c r="AA138" s="26" t="str">
        <f>IF(OR(Z138="",B138=""), "", 'Lighting Inventory'!O146)</f>
        <v/>
      </c>
      <c r="AB138" s="26" t="str">
        <f>IF(B138="", "", 'Lighting Inventory'!P146)</f>
        <v/>
      </c>
      <c r="AC138" s="96" t="str">
        <f>IF(B138="", "", 'Lighting Inventory'!R146)</f>
        <v/>
      </c>
      <c r="AD138" s="26" t="str">
        <f>IF(B138="", "", 'Lighting Inventory'!S146)</f>
        <v/>
      </c>
      <c r="AE138" s="26" t="str">
        <f>IF(B138="", "", 'Lighting Inventory'!V146)</f>
        <v/>
      </c>
      <c r="AF138" s="26" t="str">
        <f>IF(B138="", "", 'Lighting Inventory'!W146)</f>
        <v/>
      </c>
      <c r="AG138" s="26" t="str">
        <f>IF(OR(AF138="", B138=""), "", IF(AE138="Custom", "0", VLOOKUP(AF138, 'Lookup Tables'!$AI$6:$AP$102, 8, FALSE)))</f>
        <v/>
      </c>
      <c r="AH138" s="26" t="str">
        <f>IF(B138="", "", 'Lighting Inventory'!AD146)</f>
        <v/>
      </c>
      <c r="AI138" s="26" t="str">
        <f>IF(OR('Lighting Inventory'!AK146="", B138=""), "", 'Lighting Inventory'!AK146)</f>
        <v/>
      </c>
      <c r="AJ138" s="66" t="str">
        <f>IF(B138="", "", 'Lighting Inventory'!AL146)</f>
        <v/>
      </c>
      <c r="AK138" s="65" t="str">
        <f>IF(B138="", "", 'Lighting Inventory'!AM146)</f>
        <v/>
      </c>
      <c r="AL138" s="26" t="str">
        <f>IF(B138="", "", 'Lighting Inventory'!AN146)</f>
        <v/>
      </c>
      <c r="AM138" s="26" t="str">
        <f t="shared" si="8"/>
        <v/>
      </c>
      <c r="AN138" s="26" t="str">
        <f>IF(B138="","",IF('Lighting Inventory'!AV146="","Prescribed",'Lighting Inventory'!AV146))</f>
        <v/>
      </c>
      <c r="AO138" s="66" t="str">
        <f>IF(B138="", "", 'Lighting Inventory'!AX146)</f>
        <v/>
      </c>
      <c r="AP138" s="67" t="str">
        <f>IF(B138="", "", 'Lighting Inventory'!AZ146)</f>
        <v/>
      </c>
      <c r="AQ138" s="67" t="str">
        <f>IF(B138="", "", 'Lighting Inventory'!BA146)</f>
        <v/>
      </c>
      <c r="AR138" s="67" t="str">
        <f>IF(B138="", "", 'Lighting Inventory'!BB146)</f>
        <v/>
      </c>
      <c r="AS138" s="67" t="str">
        <f>IF(B138="", "", 'Lighting Inventory'!BC146)</f>
        <v/>
      </c>
      <c r="AT138" s="67" t="str">
        <f>IF(B138="", "", 'Lighting Inventory'!BD146)</f>
        <v/>
      </c>
      <c r="AU138" s="67" t="str">
        <f>IF(B138="", "", 'Lighting Inventory'!BE146)</f>
        <v/>
      </c>
      <c r="AV138" s="67" t="str">
        <f>IF(B138="", "", 'Lighting Inventory'!BE146)</f>
        <v/>
      </c>
      <c r="AW138" s="67" t="str">
        <f>IF(B138="", "", 'Lighting Inventory'!BF146)</f>
        <v/>
      </c>
      <c r="AX138" s="67" t="str">
        <f>IF(B138="", "", 'Lighting Inventory'!BF146)</f>
        <v/>
      </c>
      <c r="AY138" s="65" t="str">
        <f t="shared" si="10"/>
        <v/>
      </c>
      <c r="AZ138" s="65" t="str">
        <f>IF(B138="", "", 'Lighting Inventory'!BJ146)</f>
        <v/>
      </c>
      <c r="BA138" s="65" t="str">
        <f>IF(B138="", "", 'Lighting Inventory'!BM146)</f>
        <v/>
      </c>
      <c r="BB138" s="65" t="str">
        <f>IF(B138="","",SUM('Lighting Inventory'!BP146:BP146))</f>
        <v/>
      </c>
      <c r="BC138" s="67" t="str">
        <f>IF(OR(AE138="", B138=""),"", 'Lighting Inventory'!GR146)</f>
        <v/>
      </c>
      <c r="BD138" s="67" t="str">
        <f>IFERROR(IF(B138="", "", 'Lighting Inventory'!AF146)*AD138," ")</f>
        <v xml:space="preserve"> </v>
      </c>
      <c r="BE138" s="67"/>
      <c r="BF138" s="67"/>
    </row>
    <row r="139" spans="1:58" x14ac:dyDescent="0.25">
      <c r="A139" s="26" t="str">
        <f>IF(B139="", "", 'Lookup Tables'!AW140)</f>
        <v/>
      </c>
      <c r="B139" s="26" t="str">
        <f>IF(OR('Lighting Inventory'!Y147="", 'Lighting Inventory'!V147="No Change"),"", 'Lighting Inventory'!Y147)</f>
        <v/>
      </c>
      <c r="C139" s="26" t="str">
        <f>IF(B139="", "", IF('Lighting Inventory'!Y147='Lookup Tables'!$Y$32, 'Lighting Inventory'!AJ147, IF(AD139=0, R139, AD139)))</f>
        <v/>
      </c>
      <c r="D139" s="26" t="str">
        <f>IF(B139="", "", 'General Information'!$F$14)</f>
        <v/>
      </c>
      <c r="E139" s="26" t="str">
        <f t="shared" si="9"/>
        <v/>
      </c>
      <c r="F139" s="26" t="str">
        <f>IF(B139="", "", CONCATENATE('General Information'!$F$9, " - ", 'General Information'!$F$14))</f>
        <v/>
      </c>
      <c r="G139" s="26" t="str">
        <f>IF(B139="", "", 'General Information'!$F$15)</f>
        <v/>
      </c>
      <c r="H139" s="26" t="str">
        <f>IF(B139="", "", IF(VLOOKUP(B139, 'Lookup Tables'!$Y$18:$AA$34, 2, FALSE)="Traffic", VLOOKUP('Lighting Inventory'!W147, 'Lookup Tables'!#REF!, 11, FALSE), VLOOKUP(B139, 'Lookup Tables'!$Y$18:$AA$34, 2, FALSE)))</f>
        <v/>
      </c>
      <c r="I139" s="26" t="str">
        <f>IF(B139="", "", CONCATENATE(D139, 'Data Export'!A139))</f>
        <v/>
      </c>
      <c r="J139" s="26" t="str">
        <f>IF(B139="", "", 'Lookup Tables'!$B$1)</f>
        <v/>
      </c>
      <c r="K139" s="26" t="str">
        <f>IF(B139="", "", 'Lighting Inventory'!B147)</f>
        <v/>
      </c>
      <c r="L139" s="26" t="str">
        <f>IF(B139="", "", 'Lighting Inventory'!C147)</f>
        <v/>
      </c>
      <c r="M139" s="26" t="str">
        <f>IF(B139="", "",'Lighting Inventory'!D147)</f>
        <v/>
      </c>
      <c r="N139" s="26" t="str">
        <f>IF(B139="", "",'Lighting Inventory'!E147)</f>
        <v/>
      </c>
      <c r="O139" s="26" t="str">
        <f>IF(B139="", "", 'Lighting Inventory'!F147)</f>
        <v/>
      </c>
      <c r="P139" s="26" t="str">
        <f>IF(B139="", "", 'Lighting Inventory'!G147)</f>
        <v/>
      </c>
      <c r="Q139" s="26" t="str">
        <f>IF(B139="", "", 'Lighting Inventory'!H147)</f>
        <v/>
      </c>
      <c r="R139" s="26" t="str">
        <f>IF(B139="", "", 'Lighting Inventory'!I147)</f>
        <v/>
      </c>
      <c r="S139" s="26" t="str">
        <f>IF(B139="", "", 'Lighting Inventory'!J147)</f>
        <v/>
      </c>
      <c r="T139" s="26" t="str">
        <f>IFERROR(IF(B139="","",VLOOKUP(S139,'Fixture Identities'!$A$7:$G$1023,5,FALSE)), "New Construction")</f>
        <v/>
      </c>
      <c r="U139" s="26" t="str">
        <f>IFERROR(IF(B139="", "", IF(K139="New Construction", "NC", IF(VLOOKUP(S139, 'Fixture Identities'!$A$7:$I$1023,3, FALSE)="T12 Linear Fluorescent", VLOOKUP(S139, 'Fixture Identities'!$A$7:$K$1012, 11, FALSE), S139))), "")</f>
        <v/>
      </c>
      <c r="V139" s="26" t="str">
        <f>IFERROR(IF(OR(B139="", U139=0), "", VLOOKUP(U139, 'Fixture Identities'!$A$7:$G$1023, 5, FALSE)), "")</f>
        <v/>
      </c>
      <c r="W139" s="26" t="str">
        <f>IF(B139="", "",'Lighting Inventory'!K147)</f>
        <v/>
      </c>
      <c r="X139" s="65" t="str">
        <f>IF(B139="", "", 'Lighting Inventory'!L147)</f>
        <v/>
      </c>
      <c r="Y139" s="26" t="str">
        <f>IF(B139="", "", IF('Lighting Inventory'!M147="", "Light Switch",'Lighting Inventory'!M147))</f>
        <v/>
      </c>
      <c r="Z139" s="26" t="str">
        <f>IF(OR(K139="Retrofit", B139=""), "", 'Lighting Inventory'!N147)</f>
        <v/>
      </c>
      <c r="AA139" s="26" t="str">
        <f>IF(OR(Z139="",B139=""), "", 'Lighting Inventory'!O147)</f>
        <v/>
      </c>
      <c r="AB139" s="26" t="str">
        <f>IF(B139="", "", 'Lighting Inventory'!P147)</f>
        <v/>
      </c>
      <c r="AC139" s="96" t="str">
        <f>IF(B139="", "", 'Lighting Inventory'!R147)</f>
        <v/>
      </c>
      <c r="AD139" s="26" t="str">
        <f>IF(B139="", "", 'Lighting Inventory'!S147)</f>
        <v/>
      </c>
      <c r="AE139" s="26" t="str">
        <f>IF(B139="", "", 'Lighting Inventory'!V147)</f>
        <v/>
      </c>
      <c r="AF139" s="26" t="str">
        <f>IF(B139="", "", 'Lighting Inventory'!W147)</f>
        <v/>
      </c>
      <c r="AG139" s="26" t="str">
        <f>IF(OR(AF139="", B139=""), "", IF(AE139="Custom", "0", VLOOKUP(AF139, 'Lookup Tables'!$AI$6:$AP$102, 8, FALSE)))</f>
        <v/>
      </c>
      <c r="AH139" s="26" t="str">
        <f>IF(B139="", "", 'Lighting Inventory'!AD147)</f>
        <v/>
      </c>
      <c r="AI139" s="26" t="str">
        <f>IF(OR('Lighting Inventory'!AK147="", B139=""), "", 'Lighting Inventory'!AK147)</f>
        <v/>
      </c>
      <c r="AJ139" s="66" t="str">
        <f>IF(B139="", "", 'Lighting Inventory'!AL147)</f>
        <v/>
      </c>
      <c r="AK139" s="65" t="str">
        <f>IF(B139="", "", 'Lighting Inventory'!AM147)</f>
        <v/>
      </c>
      <c r="AL139" s="26" t="str">
        <f>IF(B139="", "", 'Lighting Inventory'!AN147)</f>
        <v/>
      </c>
      <c r="AM139" s="26" t="str">
        <f t="shared" si="8"/>
        <v/>
      </c>
      <c r="AN139" s="26" t="str">
        <f>IF(B139="","",IF('Lighting Inventory'!AV147="","Prescribed",'Lighting Inventory'!AV147))</f>
        <v/>
      </c>
      <c r="AO139" s="66" t="str">
        <f>IF(B139="", "", 'Lighting Inventory'!AX147)</f>
        <v/>
      </c>
      <c r="AP139" s="67" t="str">
        <f>IF(B139="", "", 'Lighting Inventory'!AZ147)</f>
        <v/>
      </c>
      <c r="AQ139" s="67" t="str">
        <f>IF(B139="", "", 'Lighting Inventory'!BA147)</f>
        <v/>
      </c>
      <c r="AR139" s="67" t="str">
        <f>IF(B139="", "", 'Lighting Inventory'!BB147)</f>
        <v/>
      </c>
      <c r="AS139" s="67" t="str">
        <f>IF(B139="", "", 'Lighting Inventory'!BC147)</f>
        <v/>
      </c>
      <c r="AT139" s="67" t="str">
        <f>IF(B139="", "", 'Lighting Inventory'!BD147)</f>
        <v/>
      </c>
      <c r="AU139" s="67" t="str">
        <f>IF(B139="", "", 'Lighting Inventory'!BE147)</f>
        <v/>
      </c>
      <c r="AV139" s="67" t="str">
        <f>IF(B139="", "", 'Lighting Inventory'!BE147)</f>
        <v/>
      </c>
      <c r="AW139" s="67" t="str">
        <f>IF(B139="", "", 'Lighting Inventory'!BF147)</f>
        <v/>
      </c>
      <c r="AX139" s="67" t="str">
        <f>IF(B139="", "", 'Lighting Inventory'!BF147)</f>
        <v/>
      </c>
      <c r="AY139" s="65" t="str">
        <f t="shared" si="10"/>
        <v/>
      </c>
      <c r="AZ139" s="65" t="str">
        <f>IF(B139="", "", 'Lighting Inventory'!BJ147)</f>
        <v/>
      </c>
      <c r="BA139" s="65" t="str">
        <f>IF(B139="", "", 'Lighting Inventory'!BM147)</f>
        <v/>
      </c>
      <c r="BB139" s="65" t="str">
        <f>IF(B139="","",SUM('Lighting Inventory'!BP147:BP147))</f>
        <v/>
      </c>
      <c r="BC139" s="67" t="str">
        <f>IF(OR(AE139="", B139=""),"", 'Lighting Inventory'!GR147)</f>
        <v/>
      </c>
      <c r="BD139" s="67" t="str">
        <f>IFERROR(IF(B139="", "", 'Lighting Inventory'!AF147)*AD139," ")</f>
        <v xml:space="preserve"> </v>
      </c>
      <c r="BE139" s="67"/>
      <c r="BF139" s="67"/>
    </row>
    <row r="140" spans="1:58" x14ac:dyDescent="0.25">
      <c r="A140" s="26" t="str">
        <f>IF(B140="", "", 'Lookup Tables'!AW141)</f>
        <v/>
      </c>
      <c r="B140" s="26" t="str">
        <f>IF(OR('Lighting Inventory'!Y148="", 'Lighting Inventory'!V148="No Change"),"", 'Lighting Inventory'!Y148)</f>
        <v/>
      </c>
      <c r="C140" s="26" t="str">
        <f>IF(B140="", "", IF('Lighting Inventory'!Y148='Lookup Tables'!$Y$32, 'Lighting Inventory'!AJ148, IF(AD140=0, R140, AD140)))</f>
        <v/>
      </c>
      <c r="D140" s="26" t="str">
        <f>IF(B140="", "", 'General Information'!$F$14)</f>
        <v/>
      </c>
      <c r="E140" s="26" t="str">
        <f t="shared" si="9"/>
        <v/>
      </c>
      <c r="F140" s="26" t="str">
        <f>IF(B140="", "", CONCATENATE('General Information'!$F$9, " - ", 'General Information'!$F$14))</f>
        <v/>
      </c>
      <c r="G140" s="26" t="str">
        <f>IF(B140="", "", 'General Information'!$F$15)</f>
        <v/>
      </c>
      <c r="H140" s="26" t="str">
        <f>IF(B140="", "", IF(VLOOKUP(B140, 'Lookup Tables'!$Y$18:$AA$34, 2, FALSE)="Traffic", VLOOKUP('Lighting Inventory'!W148, 'Lookup Tables'!#REF!, 11, FALSE), VLOOKUP(B140, 'Lookup Tables'!$Y$18:$AA$34, 2, FALSE)))</f>
        <v/>
      </c>
      <c r="I140" s="26" t="str">
        <f>IF(B140="", "", CONCATENATE(D140, 'Data Export'!A140))</f>
        <v/>
      </c>
      <c r="J140" s="26" t="str">
        <f>IF(B140="", "", 'Lookup Tables'!$B$1)</f>
        <v/>
      </c>
      <c r="K140" s="26" t="str">
        <f>IF(B140="", "", 'Lighting Inventory'!B148)</f>
        <v/>
      </c>
      <c r="L140" s="26" t="str">
        <f>IF(B140="", "", 'Lighting Inventory'!C148)</f>
        <v/>
      </c>
      <c r="M140" s="26" t="str">
        <f>IF(B140="", "",'Lighting Inventory'!D148)</f>
        <v/>
      </c>
      <c r="N140" s="26" t="str">
        <f>IF(B140="", "",'Lighting Inventory'!E148)</f>
        <v/>
      </c>
      <c r="O140" s="26" t="str">
        <f>IF(B140="", "", 'Lighting Inventory'!F148)</f>
        <v/>
      </c>
      <c r="P140" s="26" t="str">
        <f>IF(B140="", "", 'Lighting Inventory'!G148)</f>
        <v/>
      </c>
      <c r="Q140" s="26" t="str">
        <f>IF(B140="", "", 'Lighting Inventory'!H148)</f>
        <v/>
      </c>
      <c r="R140" s="26" t="str">
        <f>IF(B140="", "", 'Lighting Inventory'!I148)</f>
        <v/>
      </c>
      <c r="S140" s="26" t="str">
        <f>IF(B140="", "", 'Lighting Inventory'!J148)</f>
        <v/>
      </c>
      <c r="T140" s="26" t="str">
        <f>IFERROR(IF(B140="","",VLOOKUP(S140,'Fixture Identities'!$A$7:$G$1023,5,FALSE)), "New Construction")</f>
        <v/>
      </c>
      <c r="U140" s="26" t="str">
        <f>IFERROR(IF(B140="", "", IF(K140="New Construction", "NC", IF(VLOOKUP(S140, 'Fixture Identities'!$A$7:$I$1023,3, FALSE)="T12 Linear Fluorescent", VLOOKUP(S140, 'Fixture Identities'!$A$7:$K$1012, 11, FALSE), S140))), "")</f>
        <v/>
      </c>
      <c r="V140" s="26" t="str">
        <f>IFERROR(IF(OR(B140="", U140=0), "", VLOOKUP(U140, 'Fixture Identities'!$A$7:$G$1023, 5, FALSE)), "")</f>
        <v/>
      </c>
      <c r="W140" s="26" t="str">
        <f>IF(B140="", "",'Lighting Inventory'!K148)</f>
        <v/>
      </c>
      <c r="X140" s="65" t="str">
        <f>IF(B140="", "", 'Lighting Inventory'!L148)</f>
        <v/>
      </c>
      <c r="Y140" s="26" t="str">
        <f>IF(B140="", "", IF('Lighting Inventory'!M148="", "Light Switch",'Lighting Inventory'!M148))</f>
        <v/>
      </c>
      <c r="Z140" s="26" t="str">
        <f>IF(OR(K140="Retrofit", B140=""), "", 'Lighting Inventory'!N148)</f>
        <v/>
      </c>
      <c r="AA140" s="26" t="str">
        <f>IF(OR(Z140="",B140=""), "", 'Lighting Inventory'!O148)</f>
        <v/>
      </c>
      <c r="AB140" s="26" t="str">
        <f>IF(B140="", "", 'Lighting Inventory'!P148)</f>
        <v/>
      </c>
      <c r="AC140" s="96" t="str">
        <f>IF(B140="", "", 'Lighting Inventory'!R148)</f>
        <v/>
      </c>
      <c r="AD140" s="26" t="str">
        <f>IF(B140="", "", 'Lighting Inventory'!S148)</f>
        <v/>
      </c>
      <c r="AE140" s="26" t="str">
        <f>IF(B140="", "", 'Lighting Inventory'!V148)</f>
        <v/>
      </c>
      <c r="AF140" s="26" t="str">
        <f>IF(B140="", "", 'Lighting Inventory'!W148)</f>
        <v/>
      </c>
      <c r="AG140" s="26" t="str">
        <f>IF(OR(AF140="", B140=""), "", IF(AE140="Custom", "0", VLOOKUP(AF140, 'Lookup Tables'!$AI$6:$AP$102, 8, FALSE)))</f>
        <v/>
      </c>
      <c r="AH140" s="26" t="str">
        <f>IF(B140="", "", 'Lighting Inventory'!AD148)</f>
        <v/>
      </c>
      <c r="AI140" s="26" t="str">
        <f>IF(OR('Lighting Inventory'!AK148="", B140=""), "", 'Lighting Inventory'!AK148)</f>
        <v/>
      </c>
      <c r="AJ140" s="66" t="str">
        <f>IF(B140="", "", 'Lighting Inventory'!AL148)</f>
        <v/>
      </c>
      <c r="AK140" s="65" t="str">
        <f>IF(B140="", "", 'Lighting Inventory'!AM148)</f>
        <v/>
      </c>
      <c r="AL140" s="26" t="str">
        <f>IF(B140="", "", 'Lighting Inventory'!AN148)</f>
        <v/>
      </c>
      <c r="AM140" s="26" t="str">
        <f t="shared" si="8"/>
        <v/>
      </c>
      <c r="AN140" s="26" t="str">
        <f>IF(B140="","",IF('Lighting Inventory'!AV148="","Prescribed",'Lighting Inventory'!AV148))</f>
        <v/>
      </c>
      <c r="AO140" s="66" t="str">
        <f>IF(B140="", "", 'Lighting Inventory'!AX148)</f>
        <v/>
      </c>
      <c r="AP140" s="67" t="str">
        <f>IF(B140="", "", 'Lighting Inventory'!AZ148)</f>
        <v/>
      </c>
      <c r="AQ140" s="67" t="str">
        <f>IF(B140="", "", 'Lighting Inventory'!BA148)</f>
        <v/>
      </c>
      <c r="AR140" s="67" t="str">
        <f>IF(B140="", "", 'Lighting Inventory'!BB148)</f>
        <v/>
      </c>
      <c r="AS140" s="67" t="str">
        <f>IF(B140="", "", 'Lighting Inventory'!BC148)</f>
        <v/>
      </c>
      <c r="AT140" s="67" t="str">
        <f>IF(B140="", "", 'Lighting Inventory'!BD148)</f>
        <v/>
      </c>
      <c r="AU140" s="67" t="str">
        <f>IF(B140="", "", 'Lighting Inventory'!BE148)</f>
        <v/>
      </c>
      <c r="AV140" s="67" t="str">
        <f>IF(B140="", "", 'Lighting Inventory'!BE148)</f>
        <v/>
      </c>
      <c r="AW140" s="67" t="str">
        <f>IF(B140="", "", 'Lighting Inventory'!BF148)</f>
        <v/>
      </c>
      <c r="AX140" s="67" t="str">
        <f>IF(B140="", "", 'Lighting Inventory'!BF148)</f>
        <v/>
      </c>
      <c r="AY140" s="65" t="str">
        <f t="shared" si="10"/>
        <v/>
      </c>
      <c r="AZ140" s="65" t="str">
        <f>IF(B140="", "", 'Lighting Inventory'!BJ148)</f>
        <v/>
      </c>
      <c r="BA140" s="65" t="str">
        <f>IF(B140="", "", 'Lighting Inventory'!BM148)</f>
        <v/>
      </c>
      <c r="BB140" s="65" t="str">
        <f>IF(B140="","",SUM('Lighting Inventory'!BP148:BP148))</f>
        <v/>
      </c>
      <c r="BC140" s="67" t="str">
        <f>IF(OR(AE140="", B140=""),"", 'Lighting Inventory'!GR148)</f>
        <v/>
      </c>
      <c r="BD140" s="67" t="str">
        <f>IFERROR(IF(B140="", "", 'Lighting Inventory'!AF148)*AD140," ")</f>
        <v xml:space="preserve"> </v>
      </c>
      <c r="BE140" s="67"/>
      <c r="BF140" s="67"/>
    </row>
    <row r="141" spans="1:58" x14ac:dyDescent="0.25">
      <c r="A141" s="26" t="str">
        <f>IF(B141="", "", 'Lookup Tables'!AW142)</f>
        <v/>
      </c>
      <c r="B141" s="26" t="str">
        <f>IF(OR('Lighting Inventory'!Y149="", 'Lighting Inventory'!V149="No Change"),"", 'Lighting Inventory'!Y149)</f>
        <v/>
      </c>
      <c r="C141" s="26" t="str">
        <f>IF(B141="", "", IF('Lighting Inventory'!Y149='Lookup Tables'!$Y$32, 'Lighting Inventory'!AJ149, IF(AD141=0, R141, AD141)))</f>
        <v/>
      </c>
      <c r="D141" s="26" t="str">
        <f>IF(B141="", "", 'General Information'!$F$14)</f>
        <v/>
      </c>
      <c r="E141" s="26" t="str">
        <f t="shared" si="9"/>
        <v/>
      </c>
      <c r="F141" s="26" t="str">
        <f>IF(B141="", "", CONCATENATE('General Information'!$F$9, " - ", 'General Information'!$F$14))</f>
        <v/>
      </c>
      <c r="G141" s="26" t="str">
        <f>IF(B141="", "", 'General Information'!$F$15)</f>
        <v/>
      </c>
      <c r="H141" s="26" t="str">
        <f>IF(B141="", "", IF(VLOOKUP(B141, 'Lookup Tables'!$Y$18:$AA$34, 2, FALSE)="Traffic", VLOOKUP('Lighting Inventory'!W149, 'Lookup Tables'!#REF!, 11, FALSE), VLOOKUP(B141, 'Lookup Tables'!$Y$18:$AA$34, 2, FALSE)))</f>
        <v/>
      </c>
      <c r="I141" s="26" t="str">
        <f>IF(B141="", "", CONCATENATE(D141, 'Data Export'!A141))</f>
        <v/>
      </c>
      <c r="J141" s="26" t="str">
        <f>IF(B141="", "", 'Lookup Tables'!$B$1)</f>
        <v/>
      </c>
      <c r="K141" s="26" t="str">
        <f>IF(B141="", "", 'Lighting Inventory'!B149)</f>
        <v/>
      </c>
      <c r="L141" s="26" t="str">
        <f>IF(B141="", "", 'Lighting Inventory'!C149)</f>
        <v/>
      </c>
      <c r="M141" s="26" t="str">
        <f>IF(B141="", "",'Lighting Inventory'!D149)</f>
        <v/>
      </c>
      <c r="N141" s="26" t="str">
        <f>IF(B141="", "",'Lighting Inventory'!E149)</f>
        <v/>
      </c>
      <c r="O141" s="26" t="str">
        <f>IF(B141="", "", 'Lighting Inventory'!F149)</f>
        <v/>
      </c>
      <c r="P141" s="26" t="str">
        <f>IF(B141="", "", 'Lighting Inventory'!G149)</f>
        <v/>
      </c>
      <c r="Q141" s="26" t="str">
        <f>IF(B141="", "", 'Lighting Inventory'!H149)</f>
        <v/>
      </c>
      <c r="R141" s="26" t="str">
        <f>IF(B141="", "", 'Lighting Inventory'!I149)</f>
        <v/>
      </c>
      <c r="S141" s="26" t="str">
        <f>IF(B141="", "", 'Lighting Inventory'!J149)</f>
        <v/>
      </c>
      <c r="T141" s="26" t="str">
        <f>IFERROR(IF(B141="","",VLOOKUP(S141,'Fixture Identities'!$A$7:$G$1023,5,FALSE)), "New Construction")</f>
        <v/>
      </c>
      <c r="U141" s="26" t="str">
        <f>IFERROR(IF(B141="", "", IF(K141="New Construction", "NC", IF(VLOOKUP(S141, 'Fixture Identities'!$A$7:$I$1023,3, FALSE)="T12 Linear Fluorescent", VLOOKUP(S141, 'Fixture Identities'!$A$7:$K$1012, 11, FALSE), S141))), "")</f>
        <v/>
      </c>
      <c r="V141" s="26" t="str">
        <f>IFERROR(IF(OR(B141="", U141=0), "", VLOOKUP(U141, 'Fixture Identities'!$A$7:$G$1023, 5, FALSE)), "")</f>
        <v/>
      </c>
      <c r="W141" s="26" t="str">
        <f>IF(B141="", "",'Lighting Inventory'!K149)</f>
        <v/>
      </c>
      <c r="X141" s="65" t="str">
        <f>IF(B141="", "", 'Lighting Inventory'!L149)</f>
        <v/>
      </c>
      <c r="Y141" s="26" t="str">
        <f>IF(B141="", "", IF('Lighting Inventory'!M149="", "Light Switch",'Lighting Inventory'!M149))</f>
        <v/>
      </c>
      <c r="Z141" s="26" t="str">
        <f>IF(OR(K141="Retrofit", B141=""), "", 'Lighting Inventory'!N149)</f>
        <v/>
      </c>
      <c r="AA141" s="26" t="str">
        <f>IF(OR(Z141="",B141=""), "", 'Lighting Inventory'!O149)</f>
        <v/>
      </c>
      <c r="AB141" s="26" t="str">
        <f>IF(B141="", "", 'Lighting Inventory'!P149)</f>
        <v/>
      </c>
      <c r="AC141" s="96" t="str">
        <f>IF(B141="", "", 'Lighting Inventory'!R149)</f>
        <v/>
      </c>
      <c r="AD141" s="26" t="str">
        <f>IF(B141="", "", 'Lighting Inventory'!S149)</f>
        <v/>
      </c>
      <c r="AE141" s="26" t="str">
        <f>IF(B141="", "", 'Lighting Inventory'!V149)</f>
        <v/>
      </c>
      <c r="AF141" s="26" t="str">
        <f>IF(B141="", "", 'Lighting Inventory'!W149)</f>
        <v/>
      </c>
      <c r="AG141" s="26" t="str">
        <f>IF(OR(AF141="", B141=""), "", IF(AE141="Custom", "0", VLOOKUP(AF141, 'Lookup Tables'!$AI$6:$AP$102, 8, FALSE)))</f>
        <v/>
      </c>
      <c r="AH141" s="26" t="str">
        <f>IF(B141="", "", 'Lighting Inventory'!AD149)</f>
        <v/>
      </c>
      <c r="AI141" s="26" t="str">
        <f>IF(OR('Lighting Inventory'!AK149="", B141=""), "", 'Lighting Inventory'!AK149)</f>
        <v/>
      </c>
      <c r="AJ141" s="66" t="str">
        <f>IF(B141="", "", 'Lighting Inventory'!AL149)</f>
        <v/>
      </c>
      <c r="AK141" s="65" t="str">
        <f>IF(B141="", "", 'Lighting Inventory'!AM149)</f>
        <v/>
      </c>
      <c r="AL141" s="26" t="str">
        <f>IF(B141="", "", 'Lighting Inventory'!AN149)</f>
        <v/>
      </c>
      <c r="AM141" s="26" t="str">
        <f t="shared" si="8"/>
        <v/>
      </c>
      <c r="AN141" s="26" t="str">
        <f>IF(B141="","",IF('Lighting Inventory'!AV149="","Prescribed",'Lighting Inventory'!AV149))</f>
        <v/>
      </c>
      <c r="AO141" s="66" t="str">
        <f>IF(B141="", "", 'Lighting Inventory'!AX149)</f>
        <v/>
      </c>
      <c r="AP141" s="67" t="str">
        <f>IF(B141="", "", 'Lighting Inventory'!AZ149)</f>
        <v/>
      </c>
      <c r="AQ141" s="67" t="str">
        <f>IF(B141="", "", 'Lighting Inventory'!BA149)</f>
        <v/>
      </c>
      <c r="AR141" s="67" t="str">
        <f>IF(B141="", "", 'Lighting Inventory'!BB149)</f>
        <v/>
      </c>
      <c r="AS141" s="67" t="str">
        <f>IF(B141="", "", 'Lighting Inventory'!BC149)</f>
        <v/>
      </c>
      <c r="AT141" s="67" t="str">
        <f>IF(B141="", "", 'Lighting Inventory'!BD149)</f>
        <v/>
      </c>
      <c r="AU141" s="67" t="str">
        <f>IF(B141="", "", 'Lighting Inventory'!BE149)</f>
        <v/>
      </c>
      <c r="AV141" s="67" t="str">
        <f>IF(B141="", "", 'Lighting Inventory'!BE149)</f>
        <v/>
      </c>
      <c r="AW141" s="67" t="str">
        <f>IF(B141="", "", 'Lighting Inventory'!BF149)</f>
        <v/>
      </c>
      <c r="AX141" s="67" t="str">
        <f>IF(B141="", "", 'Lighting Inventory'!BF149)</f>
        <v/>
      </c>
      <c r="AY141" s="65" t="str">
        <f t="shared" si="10"/>
        <v/>
      </c>
      <c r="AZ141" s="65" t="str">
        <f>IF(B141="", "", 'Lighting Inventory'!BJ149)</f>
        <v/>
      </c>
      <c r="BA141" s="65" t="str">
        <f>IF(B141="", "", 'Lighting Inventory'!BM149)</f>
        <v/>
      </c>
      <c r="BB141" s="65" t="str">
        <f>IF(B141="","",SUM('Lighting Inventory'!BP149:BP149))</f>
        <v/>
      </c>
      <c r="BC141" s="67" t="str">
        <f>IF(OR(AE141="", B141=""),"", 'Lighting Inventory'!GR149)</f>
        <v/>
      </c>
      <c r="BD141" s="67" t="str">
        <f>IFERROR(IF(B141="", "", 'Lighting Inventory'!AF149)*AD141," ")</f>
        <v xml:space="preserve"> </v>
      </c>
      <c r="BE141" s="67"/>
      <c r="BF141" s="67"/>
    </row>
    <row r="142" spans="1:58" x14ac:dyDescent="0.25">
      <c r="A142" s="26" t="str">
        <f>IF(B142="", "", 'Lookup Tables'!AW143)</f>
        <v/>
      </c>
      <c r="B142" s="26" t="str">
        <f>IF(OR('Lighting Inventory'!Y150="", 'Lighting Inventory'!V150="No Change"),"", 'Lighting Inventory'!Y150)</f>
        <v/>
      </c>
      <c r="C142" s="26" t="str">
        <f>IF(B142="", "", IF('Lighting Inventory'!Y150='Lookup Tables'!$Y$32, 'Lighting Inventory'!AJ150, IF(AD142=0, R142, AD142)))</f>
        <v/>
      </c>
      <c r="D142" s="26" t="str">
        <f>IF(B142="", "", 'General Information'!$F$14)</f>
        <v/>
      </c>
      <c r="E142" s="26" t="str">
        <f t="shared" si="9"/>
        <v/>
      </c>
      <c r="F142" s="26" t="str">
        <f>IF(B142="", "", CONCATENATE('General Information'!$F$9, " - ", 'General Information'!$F$14))</f>
        <v/>
      </c>
      <c r="G142" s="26" t="str">
        <f>IF(B142="", "", 'General Information'!$F$15)</f>
        <v/>
      </c>
      <c r="H142" s="26" t="str">
        <f>IF(B142="", "", IF(VLOOKUP(B142, 'Lookup Tables'!$Y$18:$AA$34, 2, FALSE)="Traffic", VLOOKUP('Lighting Inventory'!W150, 'Lookup Tables'!#REF!, 11, FALSE), VLOOKUP(B142, 'Lookup Tables'!$Y$18:$AA$34, 2, FALSE)))</f>
        <v/>
      </c>
      <c r="I142" s="26" t="str">
        <f>IF(B142="", "", CONCATENATE(D142, 'Data Export'!A142))</f>
        <v/>
      </c>
      <c r="J142" s="26" t="str">
        <f>IF(B142="", "", 'Lookup Tables'!$B$1)</f>
        <v/>
      </c>
      <c r="K142" s="26" t="str">
        <f>IF(B142="", "", 'Lighting Inventory'!B150)</f>
        <v/>
      </c>
      <c r="L142" s="26" t="str">
        <f>IF(B142="", "", 'Lighting Inventory'!C150)</f>
        <v/>
      </c>
      <c r="M142" s="26" t="str">
        <f>IF(B142="", "",'Lighting Inventory'!D150)</f>
        <v/>
      </c>
      <c r="N142" s="26" t="str">
        <f>IF(B142="", "",'Lighting Inventory'!E150)</f>
        <v/>
      </c>
      <c r="O142" s="26" t="str">
        <f>IF(B142="", "", 'Lighting Inventory'!F150)</f>
        <v/>
      </c>
      <c r="P142" s="26" t="str">
        <f>IF(B142="", "", 'Lighting Inventory'!G150)</f>
        <v/>
      </c>
      <c r="Q142" s="26" t="str">
        <f>IF(B142="", "", 'Lighting Inventory'!H150)</f>
        <v/>
      </c>
      <c r="R142" s="26" t="str">
        <f>IF(B142="", "", 'Lighting Inventory'!I150)</f>
        <v/>
      </c>
      <c r="S142" s="26" t="str">
        <f>IF(B142="", "", 'Lighting Inventory'!J150)</f>
        <v/>
      </c>
      <c r="T142" s="26" t="str">
        <f>IFERROR(IF(B142="","",VLOOKUP(S142,'Fixture Identities'!$A$7:$G$1023,5,FALSE)), "New Construction")</f>
        <v/>
      </c>
      <c r="U142" s="26" t="str">
        <f>IFERROR(IF(B142="", "", IF(K142="New Construction", "NC", IF(VLOOKUP(S142, 'Fixture Identities'!$A$7:$I$1023,3, FALSE)="T12 Linear Fluorescent", VLOOKUP(S142, 'Fixture Identities'!$A$7:$K$1012, 11, FALSE), S142))), "")</f>
        <v/>
      </c>
      <c r="V142" s="26" t="str">
        <f>IFERROR(IF(OR(B142="", U142=0), "", VLOOKUP(U142, 'Fixture Identities'!$A$7:$G$1023, 5, FALSE)), "")</f>
        <v/>
      </c>
      <c r="W142" s="26" t="str">
        <f>IF(B142="", "",'Lighting Inventory'!K150)</f>
        <v/>
      </c>
      <c r="X142" s="65" t="str">
        <f>IF(B142="", "", 'Lighting Inventory'!L150)</f>
        <v/>
      </c>
      <c r="Y142" s="26" t="str">
        <f>IF(B142="", "", IF('Lighting Inventory'!M150="", "Light Switch",'Lighting Inventory'!M150))</f>
        <v/>
      </c>
      <c r="Z142" s="26" t="str">
        <f>IF(OR(K142="Retrofit", B142=""), "", 'Lighting Inventory'!N150)</f>
        <v/>
      </c>
      <c r="AA142" s="26" t="str">
        <f>IF(OR(Z142="",B142=""), "", 'Lighting Inventory'!O150)</f>
        <v/>
      </c>
      <c r="AB142" s="26" t="str">
        <f>IF(B142="", "", 'Lighting Inventory'!P150)</f>
        <v/>
      </c>
      <c r="AC142" s="96" t="str">
        <f>IF(B142="", "", 'Lighting Inventory'!R150)</f>
        <v/>
      </c>
      <c r="AD142" s="26" t="str">
        <f>IF(B142="", "", 'Lighting Inventory'!S150)</f>
        <v/>
      </c>
      <c r="AE142" s="26" t="str">
        <f>IF(B142="", "", 'Lighting Inventory'!V150)</f>
        <v/>
      </c>
      <c r="AF142" s="26" t="str">
        <f>IF(B142="", "", 'Lighting Inventory'!W150)</f>
        <v/>
      </c>
      <c r="AG142" s="26" t="str">
        <f>IF(OR(AF142="", B142=""), "", IF(AE142="Custom", "0", VLOOKUP(AF142, 'Lookup Tables'!$AI$6:$AP$102, 8, FALSE)))</f>
        <v/>
      </c>
      <c r="AH142" s="26" t="str">
        <f>IF(B142="", "", 'Lighting Inventory'!AD150)</f>
        <v/>
      </c>
      <c r="AI142" s="26" t="str">
        <f>IF(OR('Lighting Inventory'!AK150="", B142=""), "", 'Lighting Inventory'!AK150)</f>
        <v/>
      </c>
      <c r="AJ142" s="66" t="str">
        <f>IF(B142="", "", 'Lighting Inventory'!AL150)</f>
        <v/>
      </c>
      <c r="AK142" s="65" t="str">
        <f>IF(B142="", "", 'Lighting Inventory'!AM150)</f>
        <v/>
      </c>
      <c r="AL142" s="26" t="str">
        <f>IF(B142="", "", 'Lighting Inventory'!AN150)</f>
        <v/>
      </c>
      <c r="AM142" s="26" t="str">
        <f t="shared" si="8"/>
        <v/>
      </c>
      <c r="AN142" s="26" t="str">
        <f>IF(B142="","",IF('Lighting Inventory'!AV150="","Prescribed",'Lighting Inventory'!AV150))</f>
        <v/>
      </c>
      <c r="AO142" s="66" t="str">
        <f>IF(B142="", "", 'Lighting Inventory'!AX150)</f>
        <v/>
      </c>
      <c r="AP142" s="67" t="str">
        <f>IF(B142="", "", 'Lighting Inventory'!AZ150)</f>
        <v/>
      </c>
      <c r="AQ142" s="67" t="str">
        <f>IF(B142="", "", 'Lighting Inventory'!BA150)</f>
        <v/>
      </c>
      <c r="AR142" s="67" t="str">
        <f>IF(B142="", "", 'Lighting Inventory'!BB150)</f>
        <v/>
      </c>
      <c r="AS142" s="67" t="str">
        <f>IF(B142="", "", 'Lighting Inventory'!BC150)</f>
        <v/>
      </c>
      <c r="AT142" s="67" t="str">
        <f>IF(B142="", "", 'Lighting Inventory'!BD150)</f>
        <v/>
      </c>
      <c r="AU142" s="67" t="str">
        <f>IF(B142="", "", 'Lighting Inventory'!BE150)</f>
        <v/>
      </c>
      <c r="AV142" s="67" t="str">
        <f>IF(B142="", "", 'Lighting Inventory'!BE150)</f>
        <v/>
      </c>
      <c r="AW142" s="67" t="str">
        <f>IF(B142="", "", 'Lighting Inventory'!BF150)</f>
        <v/>
      </c>
      <c r="AX142" s="67" t="str">
        <f>IF(B142="", "", 'Lighting Inventory'!BF150)</f>
        <v/>
      </c>
      <c r="AY142" s="65" t="str">
        <f t="shared" si="10"/>
        <v/>
      </c>
      <c r="AZ142" s="65" t="str">
        <f>IF(B142="", "", 'Lighting Inventory'!BJ150)</f>
        <v/>
      </c>
      <c r="BA142" s="65" t="str">
        <f>IF(B142="", "", 'Lighting Inventory'!BM150)</f>
        <v/>
      </c>
      <c r="BB142" s="65" t="str">
        <f>IF(B142="","",SUM('Lighting Inventory'!BP150:BP150))</f>
        <v/>
      </c>
      <c r="BC142" s="67" t="str">
        <f>IF(OR(AE142="", B142=""),"", 'Lighting Inventory'!GR150)</f>
        <v/>
      </c>
      <c r="BD142" s="67" t="str">
        <f>IFERROR(IF(B142="", "", 'Lighting Inventory'!AF150)*AD142," ")</f>
        <v xml:space="preserve"> </v>
      </c>
      <c r="BE142" s="67"/>
      <c r="BF142" s="67"/>
    </row>
    <row r="143" spans="1:58" x14ac:dyDescent="0.25">
      <c r="A143" s="26" t="str">
        <f>IF(B143="", "", 'Lookup Tables'!AW144)</f>
        <v/>
      </c>
      <c r="B143" s="26" t="str">
        <f>IF(OR('Lighting Inventory'!Y151="", 'Lighting Inventory'!V151="No Change"),"", 'Lighting Inventory'!Y151)</f>
        <v/>
      </c>
      <c r="C143" s="26" t="str">
        <f>IF(B143="", "", IF('Lighting Inventory'!Y151='Lookup Tables'!$Y$32, 'Lighting Inventory'!AJ151, IF(AD143=0, R143, AD143)))</f>
        <v/>
      </c>
      <c r="D143" s="26" t="str">
        <f>IF(B143="", "", 'General Information'!$F$14)</f>
        <v/>
      </c>
      <c r="E143" s="26" t="str">
        <f t="shared" si="9"/>
        <v/>
      </c>
      <c r="F143" s="26" t="str">
        <f>IF(B143="", "", CONCATENATE('General Information'!$F$9, " - ", 'General Information'!$F$14))</f>
        <v/>
      </c>
      <c r="G143" s="26" t="str">
        <f>IF(B143="", "", 'General Information'!$F$15)</f>
        <v/>
      </c>
      <c r="H143" s="26" t="str">
        <f>IF(B143="", "", IF(VLOOKUP(B143, 'Lookup Tables'!$Y$18:$AA$34, 2, FALSE)="Traffic", VLOOKUP('Lighting Inventory'!W151, 'Lookup Tables'!#REF!, 11, FALSE), VLOOKUP(B143, 'Lookup Tables'!$Y$18:$AA$34, 2, FALSE)))</f>
        <v/>
      </c>
      <c r="I143" s="26" t="str">
        <f>IF(B143="", "", CONCATENATE(D143, 'Data Export'!A143))</f>
        <v/>
      </c>
      <c r="J143" s="26" t="str">
        <f>IF(B143="", "", 'Lookup Tables'!$B$1)</f>
        <v/>
      </c>
      <c r="K143" s="26" t="str">
        <f>IF(B143="", "", 'Lighting Inventory'!B151)</f>
        <v/>
      </c>
      <c r="L143" s="26" t="str">
        <f>IF(B143="", "", 'Lighting Inventory'!C151)</f>
        <v/>
      </c>
      <c r="M143" s="26" t="str">
        <f>IF(B143="", "",'Lighting Inventory'!D151)</f>
        <v/>
      </c>
      <c r="N143" s="26" t="str">
        <f>IF(B143="", "",'Lighting Inventory'!E151)</f>
        <v/>
      </c>
      <c r="O143" s="26" t="str">
        <f>IF(B143="", "", 'Lighting Inventory'!F151)</f>
        <v/>
      </c>
      <c r="P143" s="26" t="str">
        <f>IF(B143="", "", 'Lighting Inventory'!G151)</f>
        <v/>
      </c>
      <c r="Q143" s="26" t="str">
        <f>IF(B143="", "", 'Lighting Inventory'!H151)</f>
        <v/>
      </c>
      <c r="R143" s="26" t="str">
        <f>IF(B143="", "", 'Lighting Inventory'!I151)</f>
        <v/>
      </c>
      <c r="S143" s="26" t="str">
        <f>IF(B143="", "", 'Lighting Inventory'!J151)</f>
        <v/>
      </c>
      <c r="T143" s="26" t="str">
        <f>IFERROR(IF(B143="","",VLOOKUP(S143,'Fixture Identities'!$A$7:$G$1023,5,FALSE)), "New Construction")</f>
        <v/>
      </c>
      <c r="U143" s="26" t="str">
        <f>IFERROR(IF(B143="", "", IF(K143="New Construction", "NC", IF(VLOOKUP(S143, 'Fixture Identities'!$A$7:$I$1023,3, FALSE)="T12 Linear Fluorescent", VLOOKUP(S143, 'Fixture Identities'!$A$7:$K$1012, 11, FALSE), S143))), "")</f>
        <v/>
      </c>
      <c r="V143" s="26" t="str">
        <f>IFERROR(IF(OR(B143="", U143=0), "", VLOOKUP(U143, 'Fixture Identities'!$A$7:$G$1023, 5, FALSE)), "")</f>
        <v/>
      </c>
      <c r="W143" s="26" t="str">
        <f>IF(B143="", "",'Lighting Inventory'!K151)</f>
        <v/>
      </c>
      <c r="X143" s="65" t="str">
        <f>IF(B143="", "", 'Lighting Inventory'!L151)</f>
        <v/>
      </c>
      <c r="Y143" s="26" t="str">
        <f>IF(B143="", "", IF('Lighting Inventory'!M151="", "Light Switch",'Lighting Inventory'!M151))</f>
        <v/>
      </c>
      <c r="Z143" s="26" t="str">
        <f>IF(OR(K143="Retrofit", B143=""), "", 'Lighting Inventory'!N151)</f>
        <v/>
      </c>
      <c r="AA143" s="26" t="str">
        <f>IF(OR(Z143="",B143=""), "", 'Lighting Inventory'!O151)</f>
        <v/>
      </c>
      <c r="AB143" s="26" t="str">
        <f>IF(B143="", "", 'Lighting Inventory'!P151)</f>
        <v/>
      </c>
      <c r="AC143" s="96" t="str">
        <f>IF(B143="", "", 'Lighting Inventory'!R151)</f>
        <v/>
      </c>
      <c r="AD143" s="26" t="str">
        <f>IF(B143="", "", 'Lighting Inventory'!S151)</f>
        <v/>
      </c>
      <c r="AE143" s="26" t="str">
        <f>IF(B143="", "", 'Lighting Inventory'!V151)</f>
        <v/>
      </c>
      <c r="AF143" s="26" t="str">
        <f>IF(B143="", "", 'Lighting Inventory'!W151)</f>
        <v/>
      </c>
      <c r="AG143" s="26" t="str">
        <f>IF(OR(AF143="", B143=""), "", IF(AE143="Custom", "0", VLOOKUP(AF143, 'Lookup Tables'!$AI$6:$AP$102, 8, FALSE)))</f>
        <v/>
      </c>
      <c r="AH143" s="26" t="str">
        <f>IF(B143="", "", 'Lighting Inventory'!AD151)</f>
        <v/>
      </c>
      <c r="AI143" s="26" t="str">
        <f>IF(OR('Lighting Inventory'!AK151="", B143=""), "", 'Lighting Inventory'!AK151)</f>
        <v/>
      </c>
      <c r="AJ143" s="66" t="str">
        <f>IF(B143="", "", 'Lighting Inventory'!AL151)</f>
        <v/>
      </c>
      <c r="AK143" s="65" t="str">
        <f>IF(B143="", "", 'Lighting Inventory'!AM151)</f>
        <v/>
      </c>
      <c r="AL143" s="26" t="str">
        <f>IF(B143="", "", 'Lighting Inventory'!AN151)</f>
        <v/>
      </c>
      <c r="AM143" s="26" t="str">
        <f t="shared" si="8"/>
        <v/>
      </c>
      <c r="AN143" s="26" t="str">
        <f>IF(B143="","",IF('Lighting Inventory'!AV151="","Prescribed",'Lighting Inventory'!AV151))</f>
        <v/>
      </c>
      <c r="AO143" s="66" t="str">
        <f>IF(B143="", "", 'Lighting Inventory'!AX151)</f>
        <v/>
      </c>
      <c r="AP143" s="67" t="str">
        <f>IF(B143="", "", 'Lighting Inventory'!AZ151)</f>
        <v/>
      </c>
      <c r="AQ143" s="67" t="str">
        <f>IF(B143="", "", 'Lighting Inventory'!BA151)</f>
        <v/>
      </c>
      <c r="AR143" s="67" t="str">
        <f>IF(B143="", "", 'Lighting Inventory'!BB151)</f>
        <v/>
      </c>
      <c r="AS143" s="67" t="str">
        <f>IF(B143="", "", 'Lighting Inventory'!BC151)</f>
        <v/>
      </c>
      <c r="AT143" s="67" t="str">
        <f>IF(B143="", "", 'Lighting Inventory'!BD151)</f>
        <v/>
      </c>
      <c r="AU143" s="67" t="str">
        <f>IF(B143="", "", 'Lighting Inventory'!BE151)</f>
        <v/>
      </c>
      <c r="AV143" s="67" t="str">
        <f>IF(B143="", "", 'Lighting Inventory'!BE151)</f>
        <v/>
      </c>
      <c r="AW143" s="67" t="str">
        <f>IF(B143="", "", 'Lighting Inventory'!BF151)</f>
        <v/>
      </c>
      <c r="AX143" s="67" t="str">
        <f>IF(B143="", "", 'Lighting Inventory'!BF151)</f>
        <v/>
      </c>
      <c r="AY143" s="65" t="str">
        <f t="shared" si="10"/>
        <v/>
      </c>
      <c r="AZ143" s="65" t="str">
        <f>IF(B143="", "", 'Lighting Inventory'!BJ151)</f>
        <v/>
      </c>
      <c r="BA143" s="65" t="str">
        <f>IF(B143="", "", 'Lighting Inventory'!BM151)</f>
        <v/>
      </c>
      <c r="BB143" s="65" t="str">
        <f>IF(B143="","",SUM('Lighting Inventory'!BP151:BP151))</f>
        <v/>
      </c>
      <c r="BC143" s="67" t="str">
        <f>IF(OR(AE143="", B143=""),"", 'Lighting Inventory'!GR151)</f>
        <v/>
      </c>
      <c r="BD143" s="67" t="str">
        <f>IFERROR(IF(B143="", "", 'Lighting Inventory'!AF151)*AD143," ")</f>
        <v xml:space="preserve"> </v>
      </c>
      <c r="BE143" s="67"/>
      <c r="BF143" s="67"/>
    </row>
    <row r="144" spans="1:58" x14ac:dyDescent="0.25">
      <c r="A144" s="26" t="str">
        <f>IF(B144="", "", 'Lookup Tables'!AW145)</f>
        <v/>
      </c>
      <c r="B144" s="26" t="str">
        <f>IF(OR('Lighting Inventory'!Y152="", 'Lighting Inventory'!V152="No Change"),"", 'Lighting Inventory'!Y152)</f>
        <v/>
      </c>
      <c r="C144" s="26" t="str">
        <f>IF(B144="", "", IF('Lighting Inventory'!Y152='Lookup Tables'!$Y$32, 'Lighting Inventory'!AJ152, IF(AD144=0, R144, AD144)))</f>
        <v/>
      </c>
      <c r="D144" s="26" t="str">
        <f>IF(B144="", "", 'General Information'!$F$14)</f>
        <v/>
      </c>
      <c r="E144" s="26" t="str">
        <f t="shared" si="9"/>
        <v/>
      </c>
      <c r="F144" s="26" t="str">
        <f>IF(B144="", "", CONCATENATE('General Information'!$F$9, " - ", 'General Information'!$F$14))</f>
        <v/>
      </c>
      <c r="G144" s="26" t="str">
        <f>IF(B144="", "", 'General Information'!$F$15)</f>
        <v/>
      </c>
      <c r="H144" s="26" t="str">
        <f>IF(B144="", "", IF(VLOOKUP(B144, 'Lookup Tables'!$Y$18:$AA$34, 2, FALSE)="Traffic", VLOOKUP('Lighting Inventory'!W152, 'Lookup Tables'!#REF!, 11, FALSE), VLOOKUP(B144, 'Lookup Tables'!$Y$18:$AA$34, 2, FALSE)))</f>
        <v/>
      </c>
      <c r="I144" s="26" t="str">
        <f>IF(B144="", "", CONCATENATE(D144, 'Data Export'!A144))</f>
        <v/>
      </c>
      <c r="J144" s="26" t="str">
        <f>IF(B144="", "", 'Lookup Tables'!$B$1)</f>
        <v/>
      </c>
      <c r="K144" s="26" t="str">
        <f>IF(B144="", "", 'Lighting Inventory'!B152)</f>
        <v/>
      </c>
      <c r="L144" s="26" t="str">
        <f>IF(B144="", "", 'Lighting Inventory'!C152)</f>
        <v/>
      </c>
      <c r="M144" s="26" t="str">
        <f>IF(B144="", "",'Lighting Inventory'!D152)</f>
        <v/>
      </c>
      <c r="N144" s="26" t="str">
        <f>IF(B144="", "",'Lighting Inventory'!E152)</f>
        <v/>
      </c>
      <c r="O144" s="26" t="str">
        <f>IF(B144="", "", 'Lighting Inventory'!F152)</f>
        <v/>
      </c>
      <c r="P144" s="26" t="str">
        <f>IF(B144="", "", 'Lighting Inventory'!G152)</f>
        <v/>
      </c>
      <c r="Q144" s="26" t="str">
        <f>IF(B144="", "", 'Lighting Inventory'!H152)</f>
        <v/>
      </c>
      <c r="R144" s="26" t="str">
        <f>IF(B144="", "", 'Lighting Inventory'!I152)</f>
        <v/>
      </c>
      <c r="S144" s="26" t="str">
        <f>IF(B144="", "", 'Lighting Inventory'!J152)</f>
        <v/>
      </c>
      <c r="T144" s="26" t="str">
        <f>IFERROR(IF(B144="","",VLOOKUP(S144,'Fixture Identities'!$A$7:$G$1023,5,FALSE)), "New Construction")</f>
        <v/>
      </c>
      <c r="U144" s="26" t="str">
        <f>IFERROR(IF(B144="", "", IF(K144="New Construction", "NC", IF(VLOOKUP(S144, 'Fixture Identities'!$A$7:$I$1023,3, FALSE)="T12 Linear Fluorescent", VLOOKUP(S144, 'Fixture Identities'!$A$7:$K$1012, 11, FALSE), S144))), "")</f>
        <v/>
      </c>
      <c r="V144" s="26" t="str">
        <f>IFERROR(IF(OR(B144="", U144=0), "", VLOOKUP(U144, 'Fixture Identities'!$A$7:$G$1023, 5, FALSE)), "")</f>
        <v/>
      </c>
      <c r="W144" s="26" t="str">
        <f>IF(B144="", "",'Lighting Inventory'!K152)</f>
        <v/>
      </c>
      <c r="X144" s="65" t="str">
        <f>IF(B144="", "", 'Lighting Inventory'!L152)</f>
        <v/>
      </c>
      <c r="Y144" s="26" t="str">
        <f>IF(B144="", "", IF('Lighting Inventory'!M152="", "Light Switch",'Lighting Inventory'!M152))</f>
        <v/>
      </c>
      <c r="Z144" s="26" t="str">
        <f>IF(OR(K144="Retrofit", B144=""), "", 'Lighting Inventory'!N152)</f>
        <v/>
      </c>
      <c r="AA144" s="26" t="str">
        <f>IF(OR(Z144="",B144=""), "", 'Lighting Inventory'!O152)</f>
        <v/>
      </c>
      <c r="AB144" s="26" t="str">
        <f>IF(B144="", "", 'Lighting Inventory'!P152)</f>
        <v/>
      </c>
      <c r="AC144" s="96" t="str">
        <f>IF(B144="", "", 'Lighting Inventory'!R152)</f>
        <v/>
      </c>
      <c r="AD144" s="26" t="str">
        <f>IF(B144="", "", 'Lighting Inventory'!S152)</f>
        <v/>
      </c>
      <c r="AE144" s="26" t="str">
        <f>IF(B144="", "", 'Lighting Inventory'!V152)</f>
        <v/>
      </c>
      <c r="AF144" s="26" t="str">
        <f>IF(B144="", "", 'Lighting Inventory'!W152)</f>
        <v/>
      </c>
      <c r="AG144" s="26" t="str">
        <f>IF(OR(AF144="", B144=""), "", IF(AE144="Custom", "0", VLOOKUP(AF144, 'Lookup Tables'!$AI$6:$AP$102, 8, FALSE)))</f>
        <v/>
      </c>
      <c r="AH144" s="26" t="str">
        <f>IF(B144="", "", 'Lighting Inventory'!AD152)</f>
        <v/>
      </c>
      <c r="AI144" s="26" t="str">
        <f>IF(OR('Lighting Inventory'!AK152="", B144=""), "", 'Lighting Inventory'!AK152)</f>
        <v/>
      </c>
      <c r="AJ144" s="66" t="str">
        <f>IF(B144="", "", 'Lighting Inventory'!AL152)</f>
        <v/>
      </c>
      <c r="AK144" s="65" t="str">
        <f>IF(B144="", "", 'Lighting Inventory'!AM152)</f>
        <v/>
      </c>
      <c r="AL144" s="26" t="str">
        <f>IF(B144="", "", 'Lighting Inventory'!AN152)</f>
        <v/>
      </c>
      <c r="AM144" s="26" t="str">
        <f t="shared" si="8"/>
        <v/>
      </c>
      <c r="AN144" s="26" t="str">
        <f>IF(B144="","",IF('Lighting Inventory'!AV152="","Prescribed",'Lighting Inventory'!AV152))</f>
        <v/>
      </c>
      <c r="AO144" s="66" t="str">
        <f>IF(B144="", "", 'Lighting Inventory'!AX152)</f>
        <v/>
      </c>
      <c r="AP144" s="67" t="str">
        <f>IF(B144="", "", 'Lighting Inventory'!AZ152)</f>
        <v/>
      </c>
      <c r="AQ144" s="67" t="str">
        <f>IF(B144="", "", 'Lighting Inventory'!BA152)</f>
        <v/>
      </c>
      <c r="AR144" s="67" t="str">
        <f>IF(B144="", "", 'Lighting Inventory'!BB152)</f>
        <v/>
      </c>
      <c r="AS144" s="67" t="str">
        <f>IF(B144="", "", 'Lighting Inventory'!BC152)</f>
        <v/>
      </c>
      <c r="AT144" s="67" t="str">
        <f>IF(B144="", "", 'Lighting Inventory'!BD152)</f>
        <v/>
      </c>
      <c r="AU144" s="67" t="str">
        <f>IF(B144="", "", 'Lighting Inventory'!BE152)</f>
        <v/>
      </c>
      <c r="AV144" s="67" t="str">
        <f>IF(B144="", "", 'Lighting Inventory'!BE152)</f>
        <v/>
      </c>
      <c r="AW144" s="67" t="str">
        <f>IF(B144="", "", 'Lighting Inventory'!BF152)</f>
        <v/>
      </c>
      <c r="AX144" s="67" t="str">
        <f>IF(B144="", "", 'Lighting Inventory'!BF152)</f>
        <v/>
      </c>
      <c r="AY144" s="65" t="str">
        <f t="shared" si="10"/>
        <v/>
      </c>
      <c r="AZ144" s="65" t="str">
        <f>IF(B144="", "", 'Lighting Inventory'!BJ152)</f>
        <v/>
      </c>
      <c r="BA144" s="65" t="str">
        <f>IF(B144="", "", 'Lighting Inventory'!BM152)</f>
        <v/>
      </c>
      <c r="BB144" s="65" t="str">
        <f>IF(B144="","",SUM('Lighting Inventory'!BP152:BP152))</f>
        <v/>
      </c>
      <c r="BC144" s="67" t="str">
        <f>IF(OR(AE144="", B144=""),"", 'Lighting Inventory'!GR152)</f>
        <v/>
      </c>
      <c r="BD144" s="67" t="str">
        <f>IFERROR(IF(B144="", "", 'Lighting Inventory'!AF152)*AD144," ")</f>
        <v xml:space="preserve"> </v>
      </c>
      <c r="BE144" s="67"/>
      <c r="BF144" s="67"/>
    </row>
    <row r="145" spans="1:58" x14ac:dyDescent="0.25">
      <c r="A145" s="26" t="str">
        <f>IF(B145="", "", 'Lookup Tables'!AW146)</f>
        <v/>
      </c>
      <c r="B145" s="26" t="str">
        <f>IF(OR('Lighting Inventory'!Y153="", 'Lighting Inventory'!V153="No Change"),"", 'Lighting Inventory'!Y153)</f>
        <v/>
      </c>
      <c r="C145" s="26" t="str">
        <f>IF(B145="", "", IF('Lighting Inventory'!Y153='Lookup Tables'!$Y$32, 'Lighting Inventory'!AJ153, IF(AD145=0, R145, AD145)))</f>
        <v/>
      </c>
      <c r="D145" s="26" t="str">
        <f>IF(B145="", "", 'General Information'!$F$14)</f>
        <v/>
      </c>
      <c r="E145" s="26" t="str">
        <f t="shared" si="9"/>
        <v/>
      </c>
      <c r="F145" s="26" t="str">
        <f>IF(B145="", "", CONCATENATE('General Information'!$F$9, " - ", 'General Information'!$F$14))</f>
        <v/>
      </c>
      <c r="G145" s="26" t="str">
        <f>IF(B145="", "", 'General Information'!$F$15)</f>
        <v/>
      </c>
      <c r="H145" s="26" t="str">
        <f>IF(B145="", "", IF(VLOOKUP(B145, 'Lookup Tables'!$Y$18:$AA$34, 2, FALSE)="Traffic", VLOOKUP('Lighting Inventory'!W153, 'Lookup Tables'!#REF!, 11, FALSE), VLOOKUP(B145, 'Lookup Tables'!$Y$18:$AA$34, 2, FALSE)))</f>
        <v/>
      </c>
      <c r="I145" s="26" t="str">
        <f>IF(B145="", "", CONCATENATE(D145, 'Data Export'!A145))</f>
        <v/>
      </c>
      <c r="J145" s="26" t="str">
        <f>IF(B145="", "", 'Lookup Tables'!$B$1)</f>
        <v/>
      </c>
      <c r="K145" s="26" t="str">
        <f>IF(B145="", "", 'Lighting Inventory'!B153)</f>
        <v/>
      </c>
      <c r="L145" s="26" t="str">
        <f>IF(B145="", "", 'Lighting Inventory'!C153)</f>
        <v/>
      </c>
      <c r="M145" s="26" t="str">
        <f>IF(B145="", "",'Lighting Inventory'!D153)</f>
        <v/>
      </c>
      <c r="N145" s="26" t="str">
        <f>IF(B145="", "",'Lighting Inventory'!E153)</f>
        <v/>
      </c>
      <c r="O145" s="26" t="str">
        <f>IF(B145="", "", 'Lighting Inventory'!F153)</f>
        <v/>
      </c>
      <c r="P145" s="26" t="str">
        <f>IF(B145="", "", 'Lighting Inventory'!G153)</f>
        <v/>
      </c>
      <c r="Q145" s="26" t="str">
        <f>IF(B145="", "", 'Lighting Inventory'!H153)</f>
        <v/>
      </c>
      <c r="R145" s="26" t="str">
        <f>IF(B145="", "", 'Lighting Inventory'!I153)</f>
        <v/>
      </c>
      <c r="S145" s="26" t="str">
        <f>IF(B145="", "", 'Lighting Inventory'!J153)</f>
        <v/>
      </c>
      <c r="T145" s="26" t="str">
        <f>IFERROR(IF(B145="","",VLOOKUP(S145,'Fixture Identities'!$A$7:$G$1023,5,FALSE)), "New Construction")</f>
        <v/>
      </c>
      <c r="U145" s="26" t="str">
        <f>IFERROR(IF(B145="", "", IF(K145="New Construction", "NC", IF(VLOOKUP(S145, 'Fixture Identities'!$A$7:$I$1023,3, FALSE)="T12 Linear Fluorescent", VLOOKUP(S145, 'Fixture Identities'!$A$7:$K$1012, 11, FALSE), S145))), "")</f>
        <v/>
      </c>
      <c r="V145" s="26" t="str">
        <f>IFERROR(IF(OR(B145="", U145=0), "", VLOOKUP(U145, 'Fixture Identities'!$A$7:$G$1023, 5, FALSE)), "")</f>
        <v/>
      </c>
      <c r="W145" s="26" t="str">
        <f>IF(B145="", "",'Lighting Inventory'!K153)</f>
        <v/>
      </c>
      <c r="X145" s="65" t="str">
        <f>IF(B145="", "", 'Lighting Inventory'!L153)</f>
        <v/>
      </c>
      <c r="Y145" s="26" t="str">
        <f>IF(B145="", "", IF('Lighting Inventory'!M153="", "Light Switch",'Lighting Inventory'!M153))</f>
        <v/>
      </c>
      <c r="Z145" s="26" t="str">
        <f>IF(OR(K145="Retrofit", B145=""), "", 'Lighting Inventory'!N153)</f>
        <v/>
      </c>
      <c r="AA145" s="26" t="str">
        <f>IF(OR(Z145="",B145=""), "", 'Lighting Inventory'!O153)</f>
        <v/>
      </c>
      <c r="AB145" s="26" t="str">
        <f>IF(B145="", "", 'Lighting Inventory'!P153)</f>
        <v/>
      </c>
      <c r="AC145" s="96" t="str">
        <f>IF(B145="", "", 'Lighting Inventory'!R153)</f>
        <v/>
      </c>
      <c r="AD145" s="26" t="str">
        <f>IF(B145="", "", 'Lighting Inventory'!S153)</f>
        <v/>
      </c>
      <c r="AE145" s="26" t="str">
        <f>IF(B145="", "", 'Lighting Inventory'!V153)</f>
        <v/>
      </c>
      <c r="AF145" s="26" t="str">
        <f>IF(B145="", "", 'Lighting Inventory'!W153)</f>
        <v/>
      </c>
      <c r="AG145" s="26" t="str">
        <f>IF(OR(AF145="", B145=""), "", IF(AE145="Custom", "0", VLOOKUP(AF145, 'Lookup Tables'!$AI$6:$AP$102, 8, FALSE)))</f>
        <v/>
      </c>
      <c r="AH145" s="26" t="str">
        <f>IF(B145="", "", 'Lighting Inventory'!AD153)</f>
        <v/>
      </c>
      <c r="AI145" s="26" t="str">
        <f>IF(OR('Lighting Inventory'!AK153="", B145=""), "", 'Lighting Inventory'!AK153)</f>
        <v/>
      </c>
      <c r="AJ145" s="66" t="str">
        <f>IF(B145="", "", 'Lighting Inventory'!AL153)</f>
        <v/>
      </c>
      <c r="AK145" s="65" t="str">
        <f>IF(B145="", "", 'Lighting Inventory'!AM153)</f>
        <v/>
      </c>
      <c r="AL145" s="26" t="str">
        <f>IF(B145="", "", 'Lighting Inventory'!AN153)</f>
        <v/>
      </c>
      <c r="AM145" s="26" t="str">
        <f t="shared" si="8"/>
        <v/>
      </c>
      <c r="AN145" s="26" t="str">
        <f>IF(B145="","",IF('Lighting Inventory'!AV153="","Prescribed",'Lighting Inventory'!AV153))</f>
        <v/>
      </c>
      <c r="AO145" s="66" t="str">
        <f>IF(B145="", "", 'Lighting Inventory'!AX153)</f>
        <v/>
      </c>
      <c r="AP145" s="67" t="str">
        <f>IF(B145="", "", 'Lighting Inventory'!AZ153)</f>
        <v/>
      </c>
      <c r="AQ145" s="67" t="str">
        <f>IF(B145="", "", 'Lighting Inventory'!BA153)</f>
        <v/>
      </c>
      <c r="AR145" s="67" t="str">
        <f>IF(B145="", "", 'Lighting Inventory'!BB153)</f>
        <v/>
      </c>
      <c r="AS145" s="67" t="str">
        <f>IF(B145="", "", 'Lighting Inventory'!BC153)</f>
        <v/>
      </c>
      <c r="AT145" s="67" t="str">
        <f>IF(B145="", "", 'Lighting Inventory'!BD153)</f>
        <v/>
      </c>
      <c r="AU145" s="67" t="str">
        <f>IF(B145="", "", 'Lighting Inventory'!BE153)</f>
        <v/>
      </c>
      <c r="AV145" s="67" t="str">
        <f>IF(B145="", "", 'Lighting Inventory'!BE153)</f>
        <v/>
      </c>
      <c r="AW145" s="67" t="str">
        <f>IF(B145="", "", 'Lighting Inventory'!BF153)</f>
        <v/>
      </c>
      <c r="AX145" s="67" t="str">
        <f>IF(B145="", "", 'Lighting Inventory'!BF153)</f>
        <v/>
      </c>
      <c r="AY145" s="65" t="str">
        <f t="shared" si="10"/>
        <v/>
      </c>
      <c r="AZ145" s="65" t="str">
        <f>IF(B145="", "", 'Lighting Inventory'!BJ153)</f>
        <v/>
      </c>
      <c r="BA145" s="65" t="str">
        <f>IF(B145="", "", 'Lighting Inventory'!BM153)</f>
        <v/>
      </c>
      <c r="BB145" s="65" t="str">
        <f>IF(B145="","",SUM('Lighting Inventory'!BP153:BP153))</f>
        <v/>
      </c>
      <c r="BC145" s="67" t="str">
        <f>IF(OR(AE145="", B145=""),"", 'Lighting Inventory'!GR153)</f>
        <v/>
      </c>
      <c r="BD145" s="67" t="str">
        <f>IFERROR(IF(B145="", "", 'Lighting Inventory'!AF153)*AD145," ")</f>
        <v xml:space="preserve"> </v>
      </c>
      <c r="BE145" s="67"/>
      <c r="BF145" s="67"/>
    </row>
    <row r="146" spans="1:58" x14ac:dyDescent="0.25">
      <c r="A146" s="26" t="str">
        <f>IF(B146="", "", 'Lookup Tables'!AW147)</f>
        <v/>
      </c>
      <c r="B146" s="26" t="str">
        <f>IF(OR('Lighting Inventory'!Y154="", 'Lighting Inventory'!V154="No Change"),"", 'Lighting Inventory'!Y154)</f>
        <v/>
      </c>
      <c r="C146" s="26" t="str">
        <f>IF(B146="", "", IF('Lighting Inventory'!Y154='Lookup Tables'!$Y$32, 'Lighting Inventory'!AJ154, IF(AD146=0, R146, AD146)))</f>
        <v/>
      </c>
      <c r="D146" s="26" t="str">
        <f>IF(B146="", "", 'General Information'!$F$14)</f>
        <v/>
      </c>
      <c r="E146" s="26" t="str">
        <f t="shared" si="9"/>
        <v/>
      </c>
      <c r="F146" s="26" t="str">
        <f>IF(B146="", "", CONCATENATE('General Information'!$F$9, " - ", 'General Information'!$F$14))</f>
        <v/>
      </c>
      <c r="G146" s="26" t="str">
        <f>IF(B146="", "", 'General Information'!$F$15)</f>
        <v/>
      </c>
      <c r="H146" s="26" t="str">
        <f>IF(B146="", "", IF(VLOOKUP(B146, 'Lookup Tables'!$Y$18:$AA$34, 2, FALSE)="Traffic", VLOOKUP('Lighting Inventory'!W154, 'Lookup Tables'!#REF!, 11, FALSE), VLOOKUP(B146, 'Lookup Tables'!$Y$18:$AA$34, 2, FALSE)))</f>
        <v/>
      </c>
      <c r="I146" s="26" t="str">
        <f>IF(B146="", "", CONCATENATE(D146, 'Data Export'!A146))</f>
        <v/>
      </c>
      <c r="J146" s="26" t="str">
        <f>IF(B146="", "", 'Lookup Tables'!$B$1)</f>
        <v/>
      </c>
      <c r="K146" s="26" t="str">
        <f>IF(B146="", "", 'Lighting Inventory'!B154)</f>
        <v/>
      </c>
      <c r="L146" s="26" t="str">
        <f>IF(B146="", "", 'Lighting Inventory'!C154)</f>
        <v/>
      </c>
      <c r="M146" s="26" t="str">
        <f>IF(B146="", "",'Lighting Inventory'!D154)</f>
        <v/>
      </c>
      <c r="N146" s="26" t="str">
        <f>IF(B146="", "",'Lighting Inventory'!E154)</f>
        <v/>
      </c>
      <c r="O146" s="26" t="str">
        <f>IF(B146="", "", 'Lighting Inventory'!F154)</f>
        <v/>
      </c>
      <c r="P146" s="26" t="str">
        <f>IF(B146="", "", 'Lighting Inventory'!G154)</f>
        <v/>
      </c>
      <c r="Q146" s="26" t="str">
        <f>IF(B146="", "", 'Lighting Inventory'!H154)</f>
        <v/>
      </c>
      <c r="R146" s="26" t="str">
        <f>IF(B146="", "", 'Lighting Inventory'!I154)</f>
        <v/>
      </c>
      <c r="S146" s="26" t="str">
        <f>IF(B146="", "", 'Lighting Inventory'!J154)</f>
        <v/>
      </c>
      <c r="T146" s="26" t="str">
        <f>IFERROR(IF(B146="","",VLOOKUP(S146,'Fixture Identities'!$A$7:$G$1023,5,FALSE)), "New Construction")</f>
        <v/>
      </c>
      <c r="U146" s="26" t="str">
        <f>IFERROR(IF(B146="", "", IF(K146="New Construction", "NC", IF(VLOOKUP(S146, 'Fixture Identities'!$A$7:$I$1023,3, FALSE)="T12 Linear Fluorescent", VLOOKUP(S146, 'Fixture Identities'!$A$7:$K$1012, 11, FALSE), S146))), "")</f>
        <v/>
      </c>
      <c r="V146" s="26" t="str">
        <f>IFERROR(IF(OR(B146="", U146=0), "", VLOOKUP(U146, 'Fixture Identities'!$A$7:$G$1023, 5, FALSE)), "")</f>
        <v/>
      </c>
      <c r="W146" s="26" t="str">
        <f>IF(B146="", "",'Lighting Inventory'!K154)</f>
        <v/>
      </c>
      <c r="X146" s="65" t="str">
        <f>IF(B146="", "", 'Lighting Inventory'!L154)</f>
        <v/>
      </c>
      <c r="Y146" s="26" t="str">
        <f>IF(B146="", "", IF('Lighting Inventory'!M154="", "Light Switch",'Lighting Inventory'!M154))</f>
        <v/>
      </c>
      <c r="Z146" s="26" t="str">
        <f>IF(OR(K146="Retrofit", B146=""), "", 'Lighting Inventory'!N154)</f>
        <v/>
      </c>
      <c r="AA146" s="26" t="str">
        <f>IF(OR(Z146="",B146=""), "", 'Lighting Inventory'!O154)</f>
        <v/>
      </c>
      <c r="AB146" s="26" t="str">
        <f>IF(B146="", "", 'Lighting Inventory'!P154)</f>
        <v/>
      </c>
      <c r="AC146" s="96" t="str">
        <f>IF(B146="", "", 'Lighting Inventory'!R154)</f>
        <v/>
      </c>
      <c r="AD146" s="26" t="str">
        <f>IF(B146="", "", 'Lighting Inventory'!S154)</f>
        <v/>
      </c>
      <c r="AE146" s="26" t="str">
        <f>IF(B146="", "", 'Lighting Inventory'!V154)</f>
        <v/>
      </c>
      <c r="AF146" s="26" t="str">
        <f>IF(B146="", "", 'Lighting Inventory'!W154)</f>
        <v/>
      </c>
      <c r="AG146" s="26" t="str">
        <f>IF(OR(AF146="", B146=""), "", IF(AE146="Custom", "0", VLOOKUP(AF146, 'Lookup Tables'!$AI$6:$AP$102, 8, FALSE)))</f>
        <v/>
      </c>
      <c r="AH146" s="26" t="str">
        <f>IF(B146="", "", 'Lighting Inventory'!AD154)</f>
        <v/>
      </c>
      <c r="AI146" s="26" t="str">
        <f>IF(OR('Lighting Inventory'!AK154="", B146=""), "", 'Lighting Inventory'!AK154)</f>
        <v/>
      </c>
      <c r="AJ146" s="66" t="str">
        <f>IF(B146="", "", 'Lighting Inventory'!AL154)</f>
        <v/>
      </c>
      <c r="AK146" s="65" t="str">
        <f>IF(B146="", "", 'Lighting Inventory'!AM154)</f>
        <v/>
      </c>
      <c r="AL146" s="26" t="str">
        <f>IF(B146="", "", 'Lighting Inventory'!AN154)</f>
        <v/>
      </c>
      <c r="AM146" s="26" t="str">
        <f t="shared" si="8"/>
        <v/>
      </c>
      <c r="AN146" s="26" t="str">
        <f>IF(B146="","",IF('Lighting Inventory'!AV154="","Prescribed",'Lighting Inventory'!AV154))</f>
        <v/>
      </c>
      <c r="AO146" s="66" t="str">
        <f>IF(B146="", "", 'Lighting Inventory'!AX154)</f>
        <v/>
      </c>
      <c r="AP146" s="67" t="str">
        <f>IF(B146="", "", 'Lighting Inventory'!AZ154)</f>
        <v/>
      </c>
      <c r="AQ146" s="67" t="str">
        <f>IF(B146="", "", 'Lighting Inventory'!BA154)</f>
        <v/>
      </c>
      <c r="AR146" s="67" t="str">
        <f>IF(B146="", "", 'Lighting Inventory'!BB154)</f>
        <v/>
      </c>
      <c r="AS146" s="67" t="str">
        <f>IF(B146="", "", 'Lighting Inventory'!BC154)</f>
        <v/>
      </c>
      <c r="AT146" s="67" t="str">
        <f>IF(B146="", "", 'Lighting Inventory'!BD154)</f>
        <v/>
      </c>
      <c r="AU146" s="67" t="str">
        <f>IF(B146="", "", 'Lighting Inventory'!BE154)</f>
        <v/>
      </c>
      <c r="AV146" s="67" t="str">
        <f>IF(B146="", "", 'Lighting Inventory'!BE154)</f>
        <v/>
      </c>
      <c r="AW146" s="67" t="str">
        <f>IF(B146="", "", 'Lighting Inventory'!BF154)</f>
        <v/>
      </c>
      <c r="AX146" s="67" t="str">
        <f>IF(B146="", "", 'Lighting Inventory'!BF154)</f>
        <v/>
      </c>
      <c r="AY146" s="65" t="str">
        <f t="shared" si="10"/>
        <v/>
      </c>
      <c r="AZ146" s="65" t="str">
        <f>IF(B146="", "", 'Lighting Inventory'!BJ154)</f>
        <v/>
      </c>
      <c r="BA146" s="65" t="str">
        <f>IF(B146="", "", 'Lighting Inventory'!BM154)</f>
        <v/>
      </c>
      <c r="BB146" s="65" t="str">
        <f>IF(B146="","",SUM('Lighting Inventory'!BP154:BP154))</f>
        <v/>
      </c>
      <c r="BC146" s="67" t="str">
        <f>IF(OR(AE146="", B146=""),"", 'Lighting Inventory'!GR154)</f>
        <v/>
      </c>
      <c r="BD146" s="67" t="str">
        <f>IFERROR(IF(B146="", "", 'Lighting Inventory'!AF154)*AD146," ")</f>
        <v xml:space="preserve"> </v>
      </c>
      <c r="BE146" s="67"/>
      <c r="BF146" s="67"/>
    </row>
    <row r="147" spans="1:58" x14ac:dyDescent="0.25">
      <c r="A147" s="26" t="str">
        <f>IF(B147="", "", 'Lookup Tables'!AW148)</f>
        <v/>
      </c>
      <c r="B147" s="26" t="str">
        <f>IF(OR('Lighting Inventory'!Y155="", 'Lighting Inventory'!V155="No Change"),"", 'Lighting Inventory'!Y155)</f>
        <v/>
      </c>
      <c r="C147" s="26" t="str">
        <f>IF(B147="", "", IF('Lighting Inventory'!Y155='Lookup Tables'!$Y$32, 'Lighting Inventory'!AJ155, IF(AD147=0, R147, AD147)))</f>
        <v/>
      </c>
      <c r="D147" s="26" t="str">
        <f>IF(B147="", "", 'General Information'!$F$14)</f>
        <v/>
      </c>
      <c r="E147" s="26" t="str">
        <f t="shared" si="9"/>
        <v/>
      </c>
      <c r="F147" s="26" t="str">
        <f>IF(B147="", "", CONCATENATE('General Information'!$F$9, " - ", 'General Information'!$F$14))</f>
        <v/>
      </c>
      <c r="G147" s="26" t="str">
        <f>IF(B147="", "", 'General Information'!$F$15)</f>
        <v/>
      </c>
      <c r="H147" s="26" t="str">
        <f>IF(B147="", "", IF(VLOOKUP(B147, 'Lookup Tables'!$Y$18:$AA$34, 2, FALSE)="Traffic", VLOOKUP('Lighting Inventory'!W155, 'Lookup Tables'!#REF!, 11, FALSE), VLOOKUP(B147, 'Lookup Tables'!$Y$18:$AA$34, 2, FALSE)))</f>
        <v/>
      </c>
      <c r="I147" s="26" t="str">
        <f>IF(B147="", "", CONCATENATE(D147, 'Data Export'!A147))</f>
        <v/>
      </c>
      <c r="J147" s="26" t="str">
        <f>IF(B147="", "", 'Lookup Tables'!$B$1)</f>
        <v/>
      </c>
      <c r="K147" s="26" t="str">
        <f>IF(B147="", "", 'Lighting Inventory'!B155)</f>
        <v/>
      </c>
      <c r="L147" s="26" t="str">
        <f>IF(B147="", "", 'Lighting Inventory'!C155)</f>
        <v/>
      </c>
      <c r="M147" s="26" t="str">
        <f>IF(B147="", "",'Lighting Inventory'!D155)</f>
        <v/>
      </c>
      <c r="N147" s="26" t="str">
        <f>IF(B147="", "",'Lighting Inventory'!E155)</f>
        <v/>
      </c>
      <c r="O147" s="26" t="str">
        <f>IF(B147="", "", 'Lighting Inventory'!F155)</f>
        <v/>
      </c>
      <c r="P147" s="26" t="str">
        <f>IF(B147="", "", 'Lighting Inventory'!G155)</f>
        <v/>
      </c>
      <c r="Q147" s="26" t="str">
        <f>IF(B147="", "", 'Lighting Inventory'!H155)</f>
        <v/>
      </c>
      <c r="R147" s="26" t="str">
        <f>IF(B147="", "", 'Lighting Inventory'!I155)</f>
        <v/>
      </c>
      <c r="S147" s="26" t="str">
        <f>IF(B147="", "", 'Lighting Inventory'!J155)</f>
        <v/>
      </c>
      <c r="T147" s="26" t="str">
        <f>IFERROR(IF(B147="","",VLOOKUP(S147,'Fixture Identities'!$A$7:$G$1023,5,FALSE)), "New Construction")</f>
        <v/>
      </c>
      <c r="U147" s="26" t="str">
        <f>IFERROR(IF(B147="", "", IF(K147="New Construction", "NC", IF(VLOOKUP(S147, 'Fixture Identities'!$A$7:$I$1023,3, FALSE)="T12 Linear Fluorescent", VLOOKUP(S147, 'Fixture Identities'!$A$7:$K$1012, 11, FALSE), S147))), "")</f>
        <v/>
      </c>
      <c r="V147" s="26" t="str">
        <f>IFERROR(IF(OR(B147="", U147=0), "", VLOOKUP(U147, 'Fixture Identities'!$A$7:$G$1023, 5, FALSE)), "")</f>
        <v/>
      </c>
      <c r="W147" s="26" t="str">
        <f>IF(B147="", "",'Lighting Inventory'!K155)</f>
        <v/>
      </c>
      <c r="X147" s="65" t="str">
        <f>IF(B147="", "", 'Lighting Inventory'!L155)</f>
        <v/>
      </c>
      <c r="Y147" s="26" t="str">
        <f>IF(B147="", "", IF('Lighting Inventory'!M155="", "Light Switch",'Lighting Inventory'!M155))</f>
        <v/>
      </c>
      <c r="Z147" s="26" t="str">
        <f>IF(OR(K147="Retrofit", B147=""), "", 'Lighting Inventory'!N155)</f>
        <v/>
      </c>
      <c r="AA147" s="26" t="str">
        <f>IF(OR(Z147="",B147=""), "", 'Lighting Inventory'!O155)</f>
        <v/>
      </c>
      <c r="AB147" s="26" t="str">
        <f>IF(B147="", "", 'Lighting Inventory'!P155)</f>
        <v/>
      </c>
      <c r="AC147" s="96" t="str">
        <f>IF(B147="", "", 'Lighting Inventory'!R155)</f>
        <v/>
      </c>
      <c r="AD147" s="26" t="str">
        <f>IF(B147="", "", 'Lighting Inventory'!S155)</f>
        <v/>
      </c>
      <c r="AE147" s="26" t="str">
        <f>IF(B147="", "", 'Lighting Inventory'!V155)</f>
        <v/>
      </c>
      <c r="AF147" s="26" t="str">
        <f>IF(B147="", "", 'Lighting Inventory'!W155)</f>
        <v/>
      </c>
      <c r="AG147" s="26" t="str">
        <f>IF(OR(AF147="", B147=""), "", IF(AE147="Custom", "0", VLOOKUP(AF147, 'Lookup Tables'!$AI$6:$AP$102, 8, FALSE)))</f>
        <v/>
      </c>
      <c r="AH147" s="26" t="str">
        <f>IF(B147="", "", 'Lighting Inventory'!AD155)</f>
        <v/>
      </c>
      <c r="AI147" s="26" t="str">
        <f>IF(OR('Lighting Inventory'!AK155="", B147=""), "", 'Lighting Inventory'!AK155)</f>
        <v/>
      </c>
      <c r="AJ147" s="66" t="str">
        <f>IF(B147="", "", 'Lighting Inventory'!AL155)</f>
        <v/>
      </c>
      <c r="AK147" s="65" t="str">
        <f>IF(B147="", "", 'Lighting Inventory'!AM155)</f>
        <v/>
      </c>
      <c r="AL147" s="26" t="str">
        <f>IF(B147="", "", 'Lighting Inventory'!AN155)</f>
        <v/>
      </c>
      <c r="AM147" s="26" t="str">
        <f t="shared" si="8"/>
        <v/>
      </c>
      <c r="AN147" s="26" t="str">
        <f>IF(B147="","",IF('Lighting Inventory'!AV155="","Prescribed",'Lighting Inventory'!AV155))</f>
        <v/>
      </c>
      <c r="AO147" s="66" t="str">
        <f>IF(B147="", "", 'Lighting Inventory'!AX155)</f>
        <v/>
      </c>
      <c r="AP147" s="67" t="str">
        <f>IF(B147="", "", 'Lighting Inventory'!AZ155)</f>
        <v/>
      </c>
      <c r="AQ147" s="67" t="str">
        <f>IF(B147="", "", 'Lighting Inventory'!BA155)</f>
        <v/>
      </c>
      <c r="AR147" s="67" t="str">
        <f>IF(B147="", "", 'Lighting Inventory'!BB155)</f>
        <v/>
      </c>
      <c r="AS147" s="67" t="str">
        <f>IF(B147="", "", 'Lighting Inventory'!BC155)</f>
        <v/>
      </c>
      <c r="AT147" s="67" t="str">
        <f>IF(B147="", "", 'Lighting Inventory'!BD155)</f>
        <v/>
      </c>
      <c r="AU147" s="67" t="str">
        <f>IF(B147="", "", 'Lighting Inventory'!BE155)</f>
        <v/>
      </c>
      <c r="AV147" s="67" t="str">
        <f>IF(B147="", "", 'Lighting Inventory'!BE155)</f>
        <v/>
      </c>
      <c r="AW147" s="67" t="str">
        <f>IF(B147="", "", 'Lighting Inventory'!BF155)</f>
        <v/>
      </c>
      <c r="AX147" s="67" t="str">
        <f>IF(B147="", "", 'Lighting Inventory'!BF155)</f>
        <v/>
      </c>
      <c r="AY147" s="65" t="str">
        <f t="shared" si="10"/>
        <v/>
      </c>
      <c r="AZ147" s="65" t="str">
        <f>IF(B147="", "", 'Lighting Inventory'!BJ155)</f>
        <v/>
      </c>
      <c r="BA147" s="65" t="str">
        <f>IF(B147="", "", 'Lighting Inventory'!BM155)</f>
        <v/>
      </c>
      <c r="BB147" s="65" t="str">
        <f>IF(B147="","",SUM('Lighting Inventory'!BP155:BP155))</f>
        <v/>
      </c>
      <c r="BC147" s="67" t="str">
        <f>IF(OR(AE147="", B147=""),"", 'Lighting Inventory'!GR155)</f>
        <v/>
      </c>
      <c r="BD147" s="67" t="str">
        <f>IFERROR(IF(B147="", "", 'Lighting Inventory'!AF155)*AD147," ")</f>
        <v xml:space="preserve"> </v>
      </c>
      <c r="BE147" s="67"/>
      <c r="BF147" s="67"/>
    </row>
    <row r="148" spans="1:58" x14ac:dyDescent="0.25">
      <c r="A148" s="26" t="str">
        <f>IF(B148="", "", 'Lookup Tables'!AW149)</f>
        <v/>
      </c>
      <c r="B148" s="26" t="str">
        <f>IF(OR('Lighting Inventory'!Y156="", 'Lighting Inventory'!V156="No Change"),"", 'Lighting Inventory'!Y156)</f>
        <v/>
      </c>
      <c r="C148" s="26" t="str">
        <f>IF(B148="", "", IF('Lighting Inventory'!Y156='Lookup Tables'!$Y$32, 'Lighting Inventory'!AJ156, IF(AD148=0, R148, AD148)))</f>
        <v/>
      </c>
      <c r="D148" s="26" t="str">
        <f>IF(B148="", "", 'General Information'!$F$14)</f>
        <v/>
      </c>
      <c r="E148" s="26" t="str">
        <f t="shared" si="9"/>
        <v/>
      </c>
      <c r="F148" s="26" t="str">
        <f>IF(B148="", "", CONCATENATE('General Information'!$F$9, " - ", 'General Information'!$F$14))</f>
        <v/>
      </c>
      <c r="G148" s="26" t="str">
        <f>IF(B148="", "", 'General Information'!$F$15)</f>
        <v/>
      </c>
      <c r="H148" s="26" t="str">
        <f>IF(B148="", "", IF(VLOOKUP(B148, 'Lookup Tables'!$Y$18:$AA$34, 2, FALSE)="Traffic", VLOOKUP('Lighting Inventory'!W156, 'Lookup Tables'!#REF!, 11, FALSE), VLOOKUP(B148, 'Lookup Tables'!$Y$18:$AA$34, 2, FALSE)))</f>
        <v/>
      </c>
      <c r="I148" s="26" t="str">
        <f>IF(B148="", "", CONCATENATE(D148, 'Data Export'!A148))</f>
        <v/>
      </c>
      <c r="J148" s="26" t="str">
        <f>IF(B148="", "", 'Lookup Tables'!$B$1)</f>
        <v/>
      </c>
      <c r="K148" s="26" t="str">
        <f>IF(B148="", "", 'Lighting Inventory'!B156)</f>
        <v/>
      </c>
      <c r="L148" s="26" t="str">
        <f>IF(B148="", "", 'Lighting Inventory'!C156)</f>
        <v/>
      </c>
      <c r="M148" s="26" t="str">
        <f>IF(B148="", "",'Lighting Inventory'!D156)</f>
        <v/>
      </c>
      <c r="N148" s="26" t="str">
        <f>IF(B148="", "",'Lighting Inventory'!E156)</f>
        <v/>
      </c>
      <c r="O148" s="26" t="str">
        <f>IF(B148="", "", 'Lighting Inventory'!F156)</f>
        <v/>
      </c>
      <c r="P148" s="26" t="str">
        <f>IF(B148="", "", 'Lighting Inventory'!G156)</f>
        <v/>
      </c>
      <c r="Q148" s="26" t="str">
        <f>IF(B148="", "", 'Lighting Inventory'!H156)</f>
        <v/>
      </c>
      <c r="R148" s="26" t="str">
        <f>IF(B148="", "", 'Lighting Inventory'!I156)</f>
        <v/>
      </c>
      <c r="S148" s="26" t="str">
        <f>IF(B148="", "", 'Lighting Inventory'!J156)</f>
        <v/>
      </c>
      <c r="T148" s="26" t="str">
        <f>IFERROR(IF(B148="","",VLOOKUP(S148,'Fixture Identities'!$A$7:$G$1023,5,FALSE)), "New Construction")</f>
        <v/>
      </c>
      <c r="U148" s="26" t="str">
        <f>IFERROR(IF(B148="", "", IF(K148="New Construction", "NC", IF(VLOOKUP(S148, 'Fixture Identities'!$A$7:$I$1023,3, FALSE)="T12 Linear Fluorescent", VLOOKUP(S148, 'Fixture Identities'!$A$7:$K$1012, 11, FALSE), S148))), "")</f>
        <v/>
      </c>
      <c r="V148" s="26" t="str">
        <f>IFERROR(IF(OR(B148="", U148=0), "", VLOOKUP(U148, 'Fixture Identities'!$A$7:$G$1023, 5, FALSE)), "")</f>
        <v/>
      </c>
      <c r="W148" s="26" t="str">
        <f>IF(B148="", "",'Lighting Inventory'!K156)</f>
        <v/>
      </c>
      <c r="X148" s="65" t="str">
        <f>IF(B148="", "", 'Lighting Inventory'!L156)</f>
        <v/>
      </c>
      <c r="Y148" s="26" t="str">
        <f>IF(B148="", "", IF('Lighting Inventory'!M156="", "Light Switch",'Lighting Inventory'!M156))</f>
        <v/>
      </c>
      <c r="Z148" s="26" t="str">
        <f>IF(OR(K148="Retrofit", B148=""), "", 'Lighting Inventory'!N156)</f>
        <v/>
      </c>
      <c r="AA148" s="26" t="str">
        <f>IF(OR(Z148="",B148=""), "", 'Lighting Inventory'!O156)</f>
        <v/>
      </c>
      <c r="AB148" s="26" t="str">
        <f>IF(B148="", "", 'Lighting Inventory'!P156)</f>
        <v/>
      </c>
      <c r="AC148" s="96" t="str">
        <f>IF(B148="", "", 'Lighting Inventory'!R156)</f>
        <v/>
      </c>
      <c r="AD148" s="26" t="str">
        <f>IF(B148="", "", 'Lighting Inventory'!S156)</f>
        <v/>
      </c>
      <c r="AE148" s="26" t="str">
        <f>IF(B148="", "", 'Lighting Inventory'!V156)</f>
        <v/>
      </c>
      <c r="AF148" s="26" t="str">
        <f>IF(B148="", "", 'Lighting Inventory'!W156)</f>
        <v/>
      </c>
      <c r="AG148" s="26" t="str">
        <f>IF(OR(AF148="", B148=""), "", IF(AE148="Custom", "0", VLOOKUP(AF148, 'Lookup Tables'!$AI$6:$AP$102, 8, FALSE)))</f>
        <v/>
      </c>
      <c r="AH148" s="26" t="str">
        <f>IF(B148="", "", 'Lighting Inventory'!AD156)</f>
        <v/>
      </c>
      <c r="AI148" s="26" t="str">
        <f>IF(OR('Lighting Inventory'!AK156="", B148=""), "", 'Lighting Inventory'!AK156)</f>
        <v/>
      </c>
      <c r="AJ148" s="66" t="str">
        <f>IF(B148="", "", 'Lighting Inventory'!AL156)</f>
        <v/>
      </c>
      <c r="AK148" s="65" t="str">
        <f>IF(B148="", "", 'Lighting Inventory'!AM156)</f>
        <v/>
      </c>
      <c r="AL148" s="26" t="str">
        <f>IF(B148="", "", 'Lighting Inventory'!AN156)</f>
        <v/>
      </c>
      <c r="AM148" s="26" t="str">
        <f t="shared" si="8"/>
        <v/>
      </c>
      <c r="AN148" s="26" t="str">
        <f>IF(B148="","",IF('Lighting Inventory'!AV156="","Prescribed",'Lighting Inventory'!AV156))</f>
        <v/>
      </c>
      <c r="AO148" s="66" t="str">
        <f>IF(B148="", "", 'Lighting Inventory'!AX156)</f>
        <v/>
      </c>
      <c r="AP148" s="67" t="str">
        <f>IF(B148="", "", 'Lighting Inventory'!AZ156)</f>
        <v/>
      </c>
      <c r="AQ148" s="67" t="str">
        <f>IF(B148="", "", 'Lighting Inventory'!BA156)</f>
        <v/>
      </c>
      <c r="AR148" s="67" t="str">
        <f>IF(B148="", "", 'Lighting Inventory'!BB156)</f>
        <v/>
      </c>
      <c r="AS148" s="67" t="str">
        <f>IF(B148="", "", 'Lighting Inventory'!BC156)</f>
        <v/>
      </c>
      <c r="AT148" s="67" t="str">
        <f>IF(B148="", "", 'Lighting Inventory'!BD156)</f>
        <v/>
      </c>
      <c r="AU148" s="67" t="str">
        <f>IF(B148="", "", 'Lighting Inventory'!BE156)</f>
        <v/>
      </c>
      <c r="AV148" s="67" t="str">
        <f>IF(B148="", "", 'Lighting Inventory'!BE156)</f>
        <v/>
      </c>
      <c r="AW148" s="67" t="str">
        <f>IF(B148="", "", 'Lighting Inventory'!BF156)</f>
        <v/>
      </c>
      <c r="AX148" s="67" t="str">
        <f>IF(B148="", "", 'Lighting Inventory'!BF156)</f>
        <v/>
      </c>
      <c r="AY148" s="65" t="str">
        <f t="shared" si="10"/>
        <v/>
      </c>
      <c r="AZ148" s="65" t="str">
        <f>IF(B148="", "", 'Lighting Inventory'!BJ156)</f>
        <v/>
      </c>
      <c r="BA148" s="65" t="str">
        <f>IF(B148="", "", 'Lighting Inventory'!BM156)</f>
        <v/>
      </c>
      <c r="BB148" s="65" t="str">
        <f>IF(B148="","",SUM('Lighting Inventory'!BP156:BP156))</f>
        <v/>
      </c>
      <c r="BC148" s="67" t="str">
        <f>IF(OR(AE148="", B148=""),"", 'Lighting Inventory'!GR156)</f>
        <v/>
      </c>
      <c r="BD148" s="67" t="str">
        <f>IFERROR(IF(B148="", "", 'Lighting Inventory'!AF156)*AD148," ")</f>
        <v xml:space="preserve"> </v>
      </c>
      <c r="BE148" s="67"/>
      <c r="BF148" s="67"/>
    </row>
    <row r="149" spans="1:58" x14ac:dyDescent="0.25">
      <c r="A149" s="26" t="str">
        <f>IF(B149="", "", 'Lookup Tables'!AW150)</f>
        <v/>
      </c>
      <c r="B149" s="26" t="str">
        <f>IF(OR('Lighting Inventory'!Y157="", 'Lighting Inventory'!V157="No Change"),"", 'Lighting Inventory'!Y157)</f>
        <v/>
      </c>
      <c r="C149" s="26" t="str">
        <f>IF(B149="", "", IF('Lighting Inventory'!Y157='Lookup Tables'!$Y$32, 'Lighting Inventory'!AJ157, IF(AD149=0, R149, AD149)))</f>
        <v/>
      </c>
      <c r="D149" s="26" t="str">
        <f>IF(B149="", "", 'General Information'!$F$14)</f>
        <v/>
      </c>
      <c r="E149" s="26" t="str">
        <f t="shared" si="9"/>
        <v/>
      </c>
      <c r="F149" s="26" t="str">
        <f>IF(B149="", "", CONCATENATE('General Information'!$F$9, " - ", 'General Information'!$F$14))</f>
        <v/>
      </c>
      <c r="G149" s="26" t="str">
        <f>IF(B149="", "", 'General Information'!$F$15)</f>
        <v/>
      </c>
      <c r="H149" s="26" t="str">
        <f>IF(B149="", "", IF(VLOOKUP(B149, 'Lookup Tables'!$Y$18:$AA$34, 2, FALSE)="Traffic", VLOOKUP('Lighting Inventory'!W157, 'Lookup Tables'!#REF!, 11, FALSE), VLOOKUP(B149, 'Lookup Tables'!$Y$18:$AA$34, 2, FALSE)))</f>
        <v/>
      </c>
      <c r="I149" s="26" t="str">
        <f>IF(B149="", "", CONCATENATE(D149, 'Data Export'!A149))</f>
        <v/>
      </c>
      <c r="J149" s="26" t="str">
        <f>IF(B149="", "", 'Lookup Tables'!$B$1)</f>
        <v/>
      </c>
      <c r="K149" s="26" t="str">
        <f>IF(B149="", "", 'Lighting Inventory'!B157)</f>
        <v/>
      </c>
      <c r="L149" s="26" t="str">
        <f>IF(B149="", "", 'Lighting Inventory'!C157)</f>
        <v/>
      </c>
      <c r="M149" s="26" t="str">
        <f>IF(B149="", "",'Lighting Inventory'!D157)</f>
        <v/>
      </c>
      <c r="N149" s="26" t="str">
        <f>IF(B149="", "",'Lighting Inventory'!E157)</f>
        <v/>
      </c>
      <c r="O149" s="26" t="str">
        <f>IF(B149="", "", 'Lighting Inventory'!F157)</f>
        <v/>
      </c>
      <c r="P149" s="26" t="str">
        <f>IF(B149="", "", 'Lighting Inventory'!G157)</f>
        <v/>
      </c>
      <c r="Q149" s="26" t="str">
        <f>IF(B149="", "", 'Lighting Inventory'!H157)</f>
        <v/>
      </c>
      <c r="R149" s="26" t="str">
        <f>IF(B149="", "", 'Lighting Inventory'!I157)</f>
        <v/>
      </c>
      <c r="S149" s="26" t="str">
        <f>IF(B149="", "", 'Lighting Inventory'!J157)</f>
        <v/>
      </c>
      <c r="T149" s="26" t="str">
        <f>IFERROR(IF(B149="","",VLOOKUP(S149,'Fixture Identities'!$A$7:$G$1023,5,FALSE)), "New Construction")</f>
        <v/>
      </c>
      <c r="U149" s="26" t="str">
        <f>IFERROR(IF(B149="", "", IF(K149="New Construction", "NC", IF(VLOOKUP(S149, 'Fixture Identities'!$A$7:$I$1023,3, FALSE)="T12 Linear Fluorescent", VLOOKUP(S149, 'Fixture Identities'!$A$7:$K$1012, 11, FALSE), S149))), "")</f>
        <v/>
      </c>
      <c r="V149" s="26" t="str">
        <f>IFERROR(IF(OR(B149="", U149=0), "", VLOOKUP(U149, 'Fixture Identities'!$A$7:$G$1023, 5, FALSE)), "")</f>
        <v/>
      </c>
      <c r="W149" s="26" t="str">
        <f>IF(B149="", "",'Lighting Inventory'!K157)</f>
        <v/>
      </c>
      <c r="X149" s="65" t="str">
        <f>IF(B149="", "", 'Lighting Inventory'!L157)</f>
        <v/>
      </c>
      <c r="Y149" s="26" t="str">
        <f>IF(B149="", "", IF('Lighting Inventory'!M157="", "Light Switch",'Lighting Inventory'!M157))</f>
        <v/>
      </c>
      <c r="Z149" s="26" t="str">
        <f>IF(OR(K149="Retrofit", B149=""), "", 'Lighting Inventory'!N157)</f>
        <v/>
      </c>
      <c r="AA149" s="26" t="str">
        <f>IF(OR(Z149="",B149=""), "", 'Lighting Inventory'!O157)</f>
        <v/>
      </c>
      <c r="AB149" s="26" t="str">
        <f>IF(B149="", "", 'Lighting Inventory'!P157)</f>
        <v/>
      </c>
      <c r="AC149" s="96" t="str">
        <f>IF(B149="", "", 'Lighting Inventory'!R157)</f>
        <v/>
      </c>
      <c r="AD149" s="26" t="str">
        <f>IF(B149="", "", 'Lighting Inventory'!S157)</f>
        <v/>
      </c>
      <c r="AE149" s="26" t="str">
        <f>IF(B149="", "", 'Lighting Inventory'!V157)</f>
        <v/>
      </c>
      <c r="AF149" s="26" t="str">
        <f>IF(B149="", "", 'Lighting Inventory'!W157)</f>
        <v/>
      </c>
      <c r="AG149" s="26" t="str">
        <f>IF(OR(AF149="", B149=""), "", IF(AE149="Custom", "0", VLOOKUP(AF149, 'Lookup Tables'!$AI$6:$AP$102, 8, FALSE)))</f>
        <v/>
      </c>
      <c r="AH149" s="26" t="str">
        <f>IF(B149="", "", 'Lighting Inventory'!AD157)</f>
        <v/>
      </c>
      <c r="AI149" s="26" t="str">
        <f>IF(OR('Lighting Inventory'!AK157="", B149=""), "", 'Lighting Inventory'!AK157)</f>
        <v/>
      </c>
      <c r="AJ149" s="66" t="str">
        <f>IF(B149="", "", 'Lighting Inventory'!AL157)</f>
        <v/>
      </c>
      <c r="AK149" s="65" t="str">
        <f>IF(B149="", "", 'Lighting Inventory'!AM157)</f>
        <v/>
      </c>
      <c r="AL149" s="26" t="str">
        <f>IF(B149="", "", 'Lighting Inventory'!AN157)</f>
        <v/>
      </c>
      <c r="AM149" s="26" t="str">
        <f t="shared" si="8"/>
        <v/>
      </c>
      <c r="AN149" s="26" t="str">
        <f>IF(B149="","",IF('Lighting Inventory'!AV157="","Prescribed",'Lighting Inventory'!AV157))</f>
        <v/>
      </c>
      <c r="AO149" s="66" t="str">
        <f>IF(B149="", "", 'Lighting Inventory'!AX157)</f>
        <v/>
      </c>
      <c r="AP149" s="67" t="str">
        <f>IF(B149="", "", 'Lighting Inventory'!AZ157)</f>
        <v/>
      </c>
      <c r="AQ149" s="67" t="str">
        <f>IF(B149="", "", 'Lighting Inventory'!BA157)</f>
        <v/>
      </c>
      <c r="AR149" s="67" t="str">
        <f>IF(B149="", "", 'Lighting Inventory'!BB157)</f>
        <v/>
      </c>
      <c r="AS149" s="67" t="str">
        <f>IF(B149="", "", 'Lighting Inventory'!BC157)</f>
        <v/>
      </c>
      <c r="AT149" s="67" t="str">
        <f>IF(B149="", "", 'Lighting Inventory'!BD157)</f>
        <v/>
      </c>
      <c r="AU149" s="67" t="str">
        <f>IF(B149="", "", 'Lighting Inventory'!BE157)</f>
        <v/>
      </c>
      <c r="AV149" s="67" t="str">
        <f>IF(B149="", "", 'Lighting Inventory'!BE157)</f>
        <v/>
      </c>
      <c r="AW149" s="67" t="str">
        <f>IF(B149="", "", 'Lighting Inventory'!BF157)</f>
        <v/>
      </c>
      <c r="AX149" s="67" t="str">
        <f>IF(B149="", "", 'Lighting Inventory'!BF157)</f>
        <v/>
      </c>
      <c r="AY149" s="65" t="str">
        <f t="shared" si="10"/>
        <v/>
      </c>
      <c r="AZ149" s="65" t="str">
        <f>IF(B149="", "", 'Lighting Inventory'!BJ157)</f>
        <v/>
      </c>
      <c r="BA149" s="65" t="str">
        <f>IF(B149="", "", 'Lighting Inventory'!BM157)</f>
        <v/>
      </c>
      <c r="BB149" s="65" t="str">
        <f>IF(B149="","",SUM('Lighting Inventory'!BP157:BP157))</f>
        <v/>
      </c>
      <c r="BC149" s="67" t="str">
        <f>IF(OR(AE149="", B149=""),"", 'Lighting Inventory'!GR157)</f>
        <v/>
      </c>
      <c r="BD149" s="67" t="str">
        <f>IFERROR(IF(B149="", "", 'Lighting Inventory'!AF157)*AD149," ")</f>
        <v xml:space="preserve"> </v>
      </c>
      <c r="BE149" s="67"/>
      <c r="BF149" s="67"/>
    </row>
    <row r="150" spans="1:58" x14ac:dyDescent="0.25">
      <c r="A150" s="26" t="str">
        <f>IF(B150="", "", 'Lookup Tables'!AW151)</f>
        <v/>
      </c>
      <c r="B150" s="26" t="str">
        <f>IF(OR('Lighting Inventory'!Y158="", 'Lighting Inventory'!V158="No Change"),"", 'Lighting Inventory'!Y158)</f>
        <v/>
      </c>
      <c r="C150" s="26" t="str">
        <f>IF(B150="", "", IF('Lighting Inventory'!Y158='Lookup Tables'!$Y$32, 'Lighting Inventory'!AJ158, IF(AD150=0, R150, AD150)))</f>
        <v/>
      </c>
      <c r="D150" s="26" t="str">
        <f>IF(B150="", "", 'General Information'!$F$14)</f>
        <v/>
      </c>
      <c r="E150" s="26" t="str">
        <f t="shared" si="9"/>
        <v/>
      </c>
      <c r="F150" s="26" t="str">
        <f>IF(B150="", "", CONCATENATE('General Information'!$F$9, " - ", 'General Information'!$F$14))</f>
        <v/>
      </c>
      <c r="G150" s="26" t="str">
        <f>IF(B150="", "", 'General Information'!$F$15)</f>
        <v/>
      </c>
      <c r="H150" s="26" t="str">
        <f>IF(B150="", "", IF(VLOOKUP(B150, 'Lookup Tables'!$Y$18:$AA$34, 2, FALSE)="Traffic", VLOOKUP('Lighting Inventory'!W158, 'Lookup Tables'!#REF!, 11, FALSE), VLOOKUP(B150, 'Lookup Tables'!$Y$18:$AA$34, 2, FALSE)))</f>
        <v/>
      </c>
      <c r="I150" s="26" t="str">
        <f>IF(B150="", "", CONCATENATE(D150, 'Data Export'!A150))</f>
        <v/>
      </c>
      <c r="J150" s="26" t="str">
        <f>IF(B150="", "", 'Lookup Tables'!$B$1)</f>
        <v/>
      </c>
      <c r="K150" s="26" t="str">
        <f>IF(B150="", "", 'Lighting Inventory'!B158)</f>
        <v/>
      </c>
      <c r="L150" s="26" t="str">
        <f>IF(B150="", "", 'Lighting Inventory'!C158)</f>
        <v/>
      </c>
      <c r="M150" s="26" t="str">
        <f>IF(B150="", "",'Lighting Inventory'!D158)</f>
        <v/>
      </c>
      <c r="N150" s="26" t="str">
        <f>IF(B150="", "",'Lighting Inventory'!E158)</f>
        <v/>
      </c>
      <c r="O150" s="26" t="str">
        <f>IF(B150="", "", 'Lighting Inventory'!F158)</f>
        <v/>
      </c>
      <c r="P150" s="26" t="str">
        <f>IF(B150="", "", 'Lighting Inventory'!G158)</f>
        <v/>
      </c>
      <c r="Q150" s="26" t="str">
        <f>IF(B150="", "", 'Lighting Inventory'!H158)</f>
        <v/>
      </c>
      <c r="R150" s="26" t="str">
        <f>IF(B150="", "", 'Lighting Inventory'!I158)</f>
        <v/>
      </c>
      <c r="S150" s="26" t="str">
        <f>IF(B150="", "", 'Lighting Inventory'!J158)</f>
        <v/>
      </c>
      <c r="T150" s="26" t="str">
        <f>IFERROR(IF(B150="","",VLOOKUP(S150,'Fixture Identities'!$A$7:$G$1023,5,FALSE)), "New Construction")</f>
        <v/>
      </c>
      <c r="U150" s="26" t="str">
        <f>IFERROR(IF(B150="", "", IF(K150="New Construction", "NC", IF(VLOOKUP(S150, 'Fixture Identities'!$A$7:$I$1023,3, FALSE)="T12 Linear Fluorescent", VLOOKUP(S150, 'Fixture Identities'!$A$7:$K$1012, 11, FALSE), S150))), "")</f>
        <v/>
      </c>
      <c r="V150" s="26" t="str">
        <f>IFERROR(IF(OR(B150="", U150=0), "", VLOOKUP(U150, 'Fixture Identities'!$A$7:$G$1023, 5, FALSE)), "")</f>
        <v/>
      </c>
      <c r="W150" s="26" t="str">
        <f>IF(B150="", "",'Lighting Inventory'!K158)</f>
        <v/>
      </c>
      <c r="X150" s="65" t="str">
        <f>IF(B150="", "", 'Lighting Inventory'!L158)</f>
        <v/>
      </c>
      <c r="Y150" s="26" t="str">
        <f>IF(B150="", "", IF('Lighting Inventory'!M158="", "Light Switch",'Lighting Inventory'!M158))</f>
        <v/>
      </c>
      <c r="Z150" s="26" t="str">
        <f>IF(OR(K150="Retrofit", B150=""), "", 'Lighting Inventory'!N158)</f>
        <v/>
      </c>
      <c r="AA150" s="26" t="str">
        <f>IF(OR(Z150="",B150=""), "", 'Lighting Inventory'!O158)</f>
        <v/>
      </c>
      <c r="AB150" s="26" t="str">
        <f>IF(B150="", "", 'Lighting Inventory'!P158)</f>
        <v/>
      </c>
      <c r="AC150" s="96" t="str">
        <f>IF(B150="", "", 'Lighting Inventory'!R158)</f>
        <v/>
      </c>
      <c r="AD150" s="26" t="str">
        <f>IF(B150="", "", 'Lighting Inventory'!S158)</f>
        <v/>
      </c>
      <c r="AE150" s="26" t="str">
        <f>IF(B150="", "", 'Lighting Inventory'!V158)</f>
        <v/>
      </c>
      <c r="AF150" s="26" t="str">
        <f>IF(B150="", "", 'Lighting Inventory'!W158)</f>
        <v/>
      </c>
      <c r="AG150" s="26" t="str">
        <f>IF(OR(AF150="", B150=""), "", IF(AE150="Custom", "0", VLOOKUP(AF150, 'Lookup Tables'!$AI$6:$AP$102, 8, FALSE)))</f>
        <v/>
      </c>
      <c r="AH150" s="26" t="str">
        <f>IF(B150="", "", 'Lighting Inventory'!AD158)</f>
        <v/>
      </c>
      <c r="AI150" s="26" t="str">
        <f>IF(OR('Lighting Inventory'!AK158="", B150=""), "", 'Lighting Inventory'!AK158)</f>
        <v/>
      </c>
      <c r="AJ150" s="66" t="str">
        <f>IF(B150="", "", 'Lighting Inventory'!AL158)</f>
        <v/>
      </c>
      <c r="AK150" s="65" t="str">
        <f>IF(B150="", "", 'Lighting Inventory'!AM158)</f>
        <v/>
      </c>
      <c r="AL150" s="26" t="str">
        <f>IF(B150="", "", 'Lighting Inventory'!AN158)</f>
        <v/>
      </c>
      <c r="AM150" s="26" t="str">
        <f t="shared" si="8"/>
        <v/>
      </c>
      <c r="AN150" s="26" t="str">
        <f>IF(B150="","",IF('Lighting Inventory'!AV158="","Prescribed",'Lighting Inventory'!AV158))</f>
        <v/>
      </c>
      <c r="AO150" s="66" t="str">
        <f>IF(B150="", "", 'Lighting Inventory'!AX158)</f>
        <v/>
      </c>
      <c r="AP150" s="67" t="str">
        <f>IF(B150="", "", 'Lighting Inventory'!AZ158)</f>
        <v/>
      </c>
      <c r="AQ150" s="67" t="str">
        <f>IF(B150="", "", 'Lighting Inventory'!BA158)</f>
        <v/>
      </c>
      <c r="AR150" s="67" t="str">
        <f>IF(B150="", "", 'Lighting Inventory'!BB158)</f>
        <v/>
      </c>
      <c r="AS150" s="67" t="str">
        <f>IF(B150="", "", 'Lighting Inventory'!BC158)</f>
        <v/>
      </c>
      <c r="AT150" s="67" t="str">
        <f>IF(B150="", "", 'Lighting Inventory'!BD158)</f>
        <v/>
      </c>
      <c r="AU150" s="67" t="str">
        <f>IF(B150="", "", 'Lighting Inventory'!BE158)</f>
        <v/>
      </c>
      <c r="AV150" s="67" t="str">
        <f>IF(B150="", "", 'Lighting Inventory'!BE158)</f>
        <v/>
      </c>
      <c r="AW150" s="67" t="str">
        <f>IF(B150="", "", 'Lighting Inventory'!BF158)</f>
        <v/>
      </c>
      <c r="AX150" s="67" t="str">
        <f>IF(B150="", "", 'Lighting Inventory'!BF158)</f>
        <v/>
      </c>
      <c r="AY150" s="65" t="str">
        <f t="shared" si="10"/>
        <v/>
      </c>
      <c r="AZ150" s="65" t="str">
        <f>IF(B150="", "", 'Lighting Inventory'!BJ158)</f>
        <v/>
      </c>
      <c r="BA150" s="65" t="str">
        <f>IF(B150="", "", 'Lighting Inventory'!BM158)</f>
        <v/>
      </c>
      <c r="BB150" s="65" t="str">
        <f>IF(B150="","",SUM('Lighting Inventory'!BP158:BP158))</f>
        <v/>
      </c>
      <c r="BC150" s="67" t="str">
        <f>IF(OR(AE150="", B150=""),"", 'Lighting Inventory'!GR158)</f>
        <v/>
      </c>
      <c r="BD150" s="67" t="str">
        <f>IFERROR(IF(B150="", "", 'Lighting Inventory'!AF158)*AD150," ")</f>
        <v xml:space="preserve"> </v>
      </c>
      <c r="BE150" s="67"/>
      <c r="BF150" s="67"/>
    </row>
    <row r="151" spans="1:58" x14ac:dyDescent="0.25">
      <c r="A151" s="26" t="str">
        <f>IF(B151="", "", 'Lookup Tables'!AW152)</f>
        <v/>
      </c>
      <c r="B151" s="26" t="str">
        <f>IF(OR('Lighting Inventory'!Y159="", 'Lighting Inventory'!V159="No Change"),"", 'Lighting Inventory'!Y159)</f>
        <v/>
      </c>
      <c r="C151" s="26" t="str">
        <f>IF(B151="", "", IF('Lighting Inventory'!Y159='Lookup Tables'!$Y$32, 'Lighting Inventory'!AJ159, IF(AD151=0, R151, AD151)))</f>
        <v/>
      </c>
      <c r="D151" s="26" t="str">
        <f>IF(B151="", "", 'General Information'!$F$14)</f>
        <v/>
      </c>
      <c r="E151" s="26" t="str">
        <f t="shared" si="9"/>
        <v/>
      </c>
      <c r="F151" s="26" t="str">
        <f>IF(B151="", "", CONCATENATE('General Information'!$F$9, " - ", 'General Information'!$F$14))</f>
        <v/>
      </c>
      <c r="G151" s="26" t="str">
        <f>IF(B151="", "", 'General Information'!$F$15)</f>
        <v/>
      </c>
      <c r="H151" s="26" t="str">
        <f>IF(B151="", "", IF(VLOOKUP(B151, 'Lookup Tables'!$Y$18:$AA$34, 2, FALSE)="Traffic", VLOOKUP('Lighting Inventory'!W159, 'Lookup Tables'!#REF!, 11, FALSE), VLOOKUP(B151, 'Lookup Tables'!$Y$18:$AA$34, 2, FALSE)))</f>
        <v/>
      </c>
      <c r="I151" s="26" t="str">
        <f>IF(B151="", "", CONCATENATE(D151, 'Data Export'!A151))</f>
        <v/>
      </c>
      <c r="J151" s="26" t="str">
        <f>IF(B151="", "", 'Lookup Tables'!$B$1)</f>
        <v/>
      </c>
      <c r="K151" s="26" t="str">
        <f>IF(B151="", "", 'Lighting Inventory'!B159)</f>
        <v/>
      </c>
      <c r="L151" s="26" t="str">
        <f>IF(B151="", "", 'Lighting Inventory'!C159)</f>
        <v/>
      </c>
      <c r="M151" s="26" t="str">
        <f>IF(B151="", "",'Lighting Inventory'!D159)</f>
        <v/>
      </c>
      <c r="N151" s="26" t="str">
        <f>IF(B151="", "",'Lighting Inventory'!E159)</f>
        <v/>
      </c>
      <c r="O151" s="26" t="str">
        <f>IF(B151="", "", 'Lighting Inventory'!F159)</f>
        <v/>
      </c>
      <c r="P151" s="26" t="str">
        <f>IF(B151="", "", 'Lighting Inventory'!G159)</f>
        <v/>
      </c>
      <c r="Q151" s="26" t="str">
        <f>IF(B151="", "", 'Lighting Inventory'!H159)</f>
        <v/>
      </c>
      <c r="R151" s="26" t="str">
        <f>IF(B151="", "", 'Lighting Inventory'!I159)</f>
        <v/>
      </c>
      <c r="S151" s="26" t="str">
        <f>IF(B151="", "", 'Lighting Inventory'!J159)</f>
        <v/>
      </c>
      <c r="T151" s="26" t="str">
        <f>IFERROR(IF(B151="","",VLOOKUP(S151,'Fixture Identities'!$A$7:$G$1023,5,FALSE)), "New Construction")</f>
        <v/>
      </c>
      <c r="U151" s="26" t="str">
        <f>IFERROR(IF(B151="", "", IF(K151="New Construction", "NC", IF(VLOOKUP(S151, 'Fixture Identities'!$A$7:$I$1023,3, FALSE)="T12 Linear Fluorescent", VLOOKUP(S151, 'Fixture Identities'!$A$7:$K$1012, 11, FALSE), S151))), "")</f>
        <v/>
      </c>
      <c r="V151" s="26" t="str">
        <f>IFERROR(IF(OR(B151="", U151=0), "", VLOOKUP(U151, 'Fixture Identities'!$A$7:$G$1023, 5, FALSE)), "")</f>
        <v/>
      </c>
      <c r="W151" s="26" t="str">
        <f>IF(B151="", "",'Lighting Inventory'!K159)</f>
        <v/>
      </c>
      <c r="X151" s="65" t="str">
        <f>IF(B151="", "", 'Lighting Inventory'!L159)</f>
        <v/>
      </c>
      <c r="Y151" s="26" t="str">
        <f>IF(B151="", "", IF('Lighting Inventory'!M159="", "Light Switch",'Lighting Inventory'!M159))</f>
        <v/>
      </c>
      <c r="Z151" s="26" t="str">
        <f>IF(OR(K151="Retrofit", B151=""), "", 'Lighting Inventory'!N159)</f>
        <v/>
      </c>
      <c r="AA151" s="26" t="str">
        <f>IF(OR(Z151="",B151=""), "", 'Lighting Inventory'!O159)</f>
        <v/>
      </c>
      <c r="AB151" s="26" t="str">
        <f>IF(B151="", "", 'Lighting Inventory'!P159)</f>
        <v/>
      </c>
      <c r="AC151" s="96" t="str">
        <f>IF(B151="", "", 'Lighting Inventory'!R159)</f>
        <v/>
      </c>
      <c r="AD151" s="26" t="str">
        <f>IF(B151="", "", 'Lighting Inventory'!S159)</f>
        <v/>
      </c>
      <c r="AE151" s="26" t="str">
        <f>IF(B151="", "", 'Lighting Inventory'!V159)</f>
        <v/>
      </c>
      <c r="AF151" s="26" t="str">
        <f>IF(B151="", "", 'Lighting Inventory'!W159)</f>
        <v/>
      </c>
      <c r="AG151" s="26" t="str">
        <f>IF(OR(AF151="", B151=""), "", IF(AE151="Custom", "0", VLOOKUP(AF151, 'Lookup Tables'!$AI$6:$AP$102, 8, FALSE)))</f>
        <v/>
      </c>
      <c r="AH151" s="26" t="str">
        <f>IF(B151="", "", 'Lighting Inventory'!AD159)</f>
        <v/>
      </c>
      <c r="AI151" s="26" t="str">
        <f>IF(OR('Lighting Inventory'!AK159="", B151=""), "", 'Lighting Inventory'!AK159)</f>
        <v/>
      </c>
      <c r="AJ151" s="66" t="str">
        <f>IF(B151="", "", 'Lighting Inventory'!AL159)</f>
        <v/>
      </c>
      <c r="AK151" s="65" t="str">
        <f>IF(B151="", "", 'Lighting Inventory'!AM159)</f>
        <v/>
      </c>
      <c r="AL151" s="26" t="str">
        <f>IF(B151="", "", 'Lighting Inventory'!AN159)</f>
        <v/>
      </c>
      <c r="AM151" s="26" t="str">
        <f t="shared" si="8"/>
        <v/>
      </c>
      <c r="AN151" s="26" t="str">
        <f>IF(B151="","",IF('Lighting Inventory'!AV159="","Prescribed",'Lighting Inventory'!AV159))</f>
        <v/>
      </c>
      <c r="AO151" s="66" t="str">
        <f>IF(B151="", "", 'Lighting Inventory'!AX159)</f>
        <v/>
      </c>
      <c r="AP151" s="67" t="str">
        <f>IF(B151="", "", 'Lighting Inventory'!AZ159)</f>
        <v/>
      </c>
      <c r="AQ151" s="67" t="str">
        <f>IF(B151="", "", 'Lighting Inventory'!BA159)</f>
        <v/>
      </c>
      <c r="AR151" s="67" t="str">
        <f>IF(B151="", "", 'Lighting Inventory'!BB159)</f>
        <v/>
      </c>
      <c r="AS151" s="67" t="str">
        <f>IF(B151="", "", 'Lighting Inventory'!BC159)</f>
        <v/>
      </c>
      <c r="AT151" s="67" t="str">
        <f>IF(B151="", "", 'Lighting Inventory'!BD159)</f>
        <v/>
      </c>
      <c r="AU151" s="67" t="str">
        <f>IF(B151="", "", 'Lighting Inventory'!BE159)</f>
        <v/>
      </c>
      <c r="AV151" s="67" t="str">
        <f>IF(B151="", "", 'Lighting Inventory'!BE159)</f>
        <v/>
      </c>
      <c r="AW151" s="67" t="str">
        <f>IF(B151="", "", 'Lighting Inventory'!BF159)</f>
        <v/>
      </c>
      <c r="AX151" s="67" t="str">
        <f>IF(B151="", "", 'Lighting Inventory'!BF159)</f>
        <v/>
      </c>
      <c r="AY151" s="65" t="str">
        <f t="shared" si="10"/>
        <v/>
      </c>
      <c r="AZ151" s="65" t="str">
        <f>IF(B151="", "", 'Lighting Inventory'!BJ159)</f>
        <v/>
      </c>
      <c r="BA151" s="65" t="str">
        <f>IF(B151="", "", 'Lighting Inventory'!BM159)</f>
        <v/>
      </c>
      <c r="BB151" s="65" t="str">
        <f>IF(B151="","",SUM('Lighting Inventory'!BP159:BP159))</f>
        <v/>
      </c>
      <c r="BC151" s="67" t="str">
        <f>IF(OR(AE151="", B151=""),"", 'Lighting Inventory'!GR159)</f>
        <v/>
      </c>
      <c r="BD151" s="67" t="str">
        <f>IFERROR(IF(B151="", "", 'Lighting Inventory'!AF159)*AD151," ")</f>
        <v xml:space="preserve"> </v>
      </c>
      <c r="BE151" s="67"/>
      <c r="BF151" s="67"/>
    </row>
    <row r="152" spans="1:58" x14ac:dyDescent="0.25">
      <c r="A152" s="26" t="str">
        <f>IF(B152="", "", 'Lookup Tables'!AW153)</f>
        <v/>
      </c>
      <c r="B152" s="26" t="str">
        <f>IF(OR('Lighting Inventory'!Y160="", 'Lighting Inventory'!V160="No Change"),"", 'Lighting Inventory'!Y160)</f>
        <v/>
      </c>
      <c r="C152" s="26" t="str">
        <f>IF(B152="", "", IF('Lighting Inventory'!Y160='Lookup Tables'!$Y$32, 'Lighting Inventory'!AJ160, IF(AD152=0, R152, AD152)))</f>
        <v/>
      </c>
      <c r="D152" s="26" t="str">
        <f>IF(B152="", "", 'General Information'!$F$14)</f>
        <v/>
      </c>
      <c r="E152" s="26" t="str">
        <f t="shared" si="9"/>
        <v/>
      </c>
      <c r="F152" s="26" t="str">
        <f>IF(B152="", "", CONCATENATE('General Information'!$F$9, " - ", 'General Information'!$F$14))</f>
        <v/>
      </c>
      <c r="G152" s="26" t="str">
        <f>IF(B152="", "", 'General Information'!$F$15)</f>
        <v/>
      </c>
      <c r="H152" s="26" t="str">
        <f>IF(B152="", "", IF(VLOOKUP(B152, 'Lookup Tables'!$Y$18:$AA$34, 2, FALSE)="Traffic", VLOOKUP('Lighting Inventory'!W160, 'Lookup Tables'!#REF!, 11, FALSE), VLOOKUP(B152, 'Lookup Tables'!$Y$18:$AA$34, 2, FALSE)))</f>
        <v/>
      </c>
      <c r="I152" s="26" t="str">
        <f>IF(B152="", "", CONCATENATE(D152, 'Data Export'!A152))</f>
        <v/>
      </c>
      <c r="J152" s="26" t="str">
        <f>IF(B152="", "", 'Lookup Tables'!$B$1)</f>
        <v/>
      </c>
      <c r="K152" s="26" t="str">
        <f>IF(B152="", "", 'Lighting Inventory'!B160)</f>
        <v/>
      </c>
      <c r="L152" s="26" t="str">
        <f>IF(B152="", "", 'Lighting Inventory'!C160)</f>
        <v/>
      </c>
      <c r="M152" s="26" t="str">
        <f>IF(B152="", "",'Lighting Inventory'!D160)</f>
        <v/>
      </c>
      <c r="N152" s="26" t="str">
        <f>IF(B152="", "",'Lighting Inventory'!E160)</f>
        <v/>
      </c>
      <c r="O152" s="26" t="str">
        <f>IF(B152="", "", 'Lighting Inventory'!F160)</f>
        <v/>
      </c>
      <c r="P152" s="26" t="str">
        <f>IF(B152="", "", 'Lighting Inventory'!G160)</f>
        <v/>
      </c>
      <c r="Q152" s="26" t="str">
        <f>IF(B152="", "", 'Lighting Inventory'!H160)</f>
        <v/>
      </c>
      <c r="R152" s="26" t="str">
        <f>IF(B152="", "", 'Lighting Inventory'!I160)</f>
        <v/>
      </c>
      <c r="S152" s="26" t="str">
        <f>IF(B152="", "", 'Lighting Inventory'!J160)</f>
        <v/>
      </c>
      <c r="T152" s="26" t="str">
        <f>IFERROR(IF(B152="","",VLOOKUP(S152,'Fixture Identities'!$A$7:$G$1023,5,FALSE)), "New Construction")</f>
        <v/>
      </c>
      <c r="U152" s="26" t="str">
        <f>IFERROR(IF(B152="", "", IF(K152="New Construction", "NC", IF(VLOOKUP(S152, 'Fixture Identities'!$A$7:$I$1023,3, FALSE)="T12 Linear Fluorescent", VLOOKUP(S152, 'Fixture Identities'!$A$7:$K$1012, 11, FALSE), S152))), "")</f>
        <v/>
      </c>
      <c r="V152" s="26" t="str">
        <f>IFERROR(IF(OR(B152="", U152=0), "", VLOOKUP(U152, 'Fixture Identities'!$A$7:$G$1023, 5, FALSE)), "")</f>
        <v/>
      </c>
      <c r="W152" s="26" t="str">
        <f>IF(B152="", "",'Lighting Inventory'!K160)</f>
        <v/>
      </c>
      <c r="X152" s="65" t="str">
        <f>IF(B152="", "", 'Lighting Inventory'!L160)</f>
        <v/>
      </c>
      <c r="Y152" s="26" t="str">
        <f>IF(B152="", "", IF('Lighting Inventory'!M160="", "Light Switch",'Lighting Inventory'!M160))</f>
        <v/>
      </c>
      <c r="Z152" s="26" t="str">
        <f>IF(OR(K152="Retrofit", B152=""), "", 'Lighting Inventory'!N160)</f>
        <v/>
      </c>
      <c r="AA152" s="26" t="str">
        <f>IF(OR(Z152="",B152=""), "", 'Lighting Inventory'!O160)</f>
        <v/>
      </c>
      <c r="AB152" s="26" t="str">
        <f>IF(B152="", "", 'Lighting Inventory'!P160)</f>
        <v/>
      </c>
      <c r="AC152" s="96" t="str">
        <f>IF(B152="", "", 'Lighting Inventory'!R160)</f>
        <v/>
      </c>
      <c r="AD152" s="26" t="str">
        <f>IF(B152="", "", 'Lighting Inventory'!S160)</f>
        <v/>
      </c>
      <c r="AE152" s="26" t="str">
        <f>IF(B152="", "", 'Lighting Inventory'!V160)</f>
        <v/>
      </c>
      <c r="AF152" s="26" t="str">
        <f>IF(B152="", "", 'Lighting Inventory'!W160)</f>
        <v/>
      </c>
      <c r="AG152" s="26" t="str">
        <f>IF(OR(AF152="", B152=""), "", IF(AE152="Custom", "0", VLOOKUP(AF152, 'Lookup Tables'!$AI$6:$AP$102, 8, FALSE)))</f>
        <v/>
      </c>
      <c r="AH152" s="26" t="str">
        <f>IF(B152="", "", 'Lighting Inventory'!AD160)</f>
        <v/>
      </c>
      <c r="AI152" s="26" t="str">
        <f>IF(OR('Lighting Inventory'!AK160="", B152=""), "", 'Lighting Inventory'!AK160)</f>
        <v/>
      </c>
      <c r="AJ152" s="66" t="str">
        <f>IF(B152="", "", 'Lighting Inventory'!AL160)</f>
        <v/>
      </c>
      <c r="AK152" s="65" t="str">
        <f>IF(B152="", "", 'Lighting Inventory'!AM160)</f>
        <v/>
      </c>
      <c r="AL152" s="26" t="str">
        <f>IF(B152="", "", 'Lighting Inventory'!AN160)</f>
        <v/>
      </c>
      <c r="AM152" s="26" t="str">
        <f t="shared" si="8"/>
        <v/>
      </c>
      <c r="AN152" s="26" t="str">
        <f>IF(B152="","",IF('Lighting Inventory'!AV160="","Prescribed",'Lighting Inventory'!AV160))</f>
        <v/>
      </c>
      <c r="AO152" s="66" t="str">
        <f>IF(B152="", "", 'Lighting Inventory'!AX160)</f>
        <v/>
      </c>
      <c r="AP152" s="67" t="str">
        <f>IF(B152="", "", 'Lighting Inventory'!AZ160)</f>
        <v/>
      </c>
      <c r="AQ152" s="67" t="str">
        <f>IF(B152="", "", 'Lighting Inventory'!BA160)</f>
        <v/>
      </c>
      <c r="AR152" s="67" t="str">
        <f>IF(B152="", "", 'Lighting Inventory'!BB160)</f>
        <v/>
      </c>
      <c r="AS152" s="67" t="str">
        <f>IF(B152="", "", 'Lighting Inventory'!BC160)</f>
        <v/>
      </c>
      <c r="AT152" s="67" t="str">
        <f>IF(B152="", "", 'Lighting Inventory'!BD160)</f>
        <v/>
      </c>
      <c r="AU152" s="67" t="str">
        <f>IF(B152="", "", 'Lighting Inventory'!BE160)</f>
        <v/>
      </c>
      <c r="AV152" s="67" t="str">
        <f>IF(B152="", "", 'Lighting Inventory'!BE160)</f>
        <v/>
      </c>
      <c r="AW152" s="67" t="str">
        <f>IF(B152="", "", 'Lighting Inventory'!BF160)</f>
        <v/>
      </c>
      <c r="AX152" s="67" t="str">
        <f>IF(B152="", "", 'Lighting Inventory'!BF160)</f>
        <v/>
      </c>
      <c r="AY152" s="65" t="str">
        <f t="shared" si="10"/>
        <v/>
      </c>
      <c r="AZ152" s="65" t="str">
        <f>IF(B152="", "", 'Lighting Inventory'!BJ160)</f>
        <v/>
      </c>
      <c r="BA152" s="65" t="str">
        <f>IF(B152="", "", 'Lighting Inventory'!BM160)</f>
        <v/>
      </c>
      <c r="BB152" s="65" t="str">
        <f>IF(B152="","",SUM('Lighting Inventory'!BP160:BP160))</f>
        <v/>
      </c>
      <c r="BC152" s="67" t="str">
        <f>IF(OR(AE152="", B152=""),"", 'Lighting Inventory'!GR160)</f>
        <v/>
      </c>
      <c r="BD152" s="67" t="str">
        <f>IFERROR(IF(B152="", "", 'Lighting Inventory'!AF160)*AD152," ")</f>
        <v xml:space="preserve"> </v>
      </c>
      <c r="BE152" s="67"/>
      <c r="BF152" s="67"/>
    </row>
    <row r="153" spans="1:58" x14ac:dyDescent="0.25">
      <c r="A153" s="26" t="str">
        <f>IF(B153="", "", 'Lookup Tables'!AW154)</f>
        <v/>
      </c>
      <c r="B153" s="26" t="str">
        <f>IF(OR('Lighting Inventory'!Y161="", 'Lighting Inventory'!V161="No Change"),"", 'Lighting Inventory'!Y161)</f>
        <v/>
      </c>
      <c r="C153" s="26" t="str">
        <f>IF(B153="", "", IF('Lighting Inventory'!Y161='Lookup Tables'!$Y$32, 'Lighting Inventory'!AJ161, IF(AD153=0, R153, AD153)))</f>
        <v/>
      </c>
      <c r="D153" s="26" t="str">
        <f>IF(B153="", "", 'General Information'!$F$14)</f>
        <v/>
      </c>
      <c r="E153" s="26" t="str">
        <f t="shared" si="9"/>
        <v/>
      </c>
      <c r="F153" s="26" t="str">
        <f>IF(B153="", "", CONCATENATE('General Information'!$F$9, " - ", 'General Information'!$F$14))</f>
        <v/>
      </c>
      <c r="G153" s="26" t="str">
        <f>IF(B153="", "", 'General Information'!$F$15)</f>
        <v/>
      </c>
      <c r="H153" s="26" t="str">
        <f>IF(B153="", "", IF(VLOOKUP(B153, 'Lookup Tables'!$Y$18:$AA$34, 2, FALSE)="Traffic", VLOOKUP('Lighting Inventory'!W161, 'Lookup Tables'!#REF!, 11, FALSE), VLOOKUP(B153, 'Lookup Tables'!$Y$18:$AA$34, 2, FALSE)))</f>
        <v/>
      </c>
      <c r="I153" s="26" t="str">
        <f>IF(B153="", "", CONCATENATE(D153, 'Data Export'!A153))</f>
        <v/>
      </c>
      <c r="J153" s="26" t="str">
        <f>IF(B153="", "", 'Lookup Tables'!$B$1)</f>
        <v/>
      </c>
      <c r="K153" s="26" t="str">
        <f>IF(B153="", "", 'Lighting Inventory'!B161)</f>
        <v/>
      </c>
      <c r="L153" s="26" t="str">
        <f>IF(B153="", "", 'Lighting Inventory'!C161)</f>
        <v/>
      </c>
      <c r="M153" s="26" t="str">
        <f>IF(B153="", "",'Lighting Inventory'!D161)</f>
        <v/>
      </c>
      <c r="N153" s="26" t="str">
        <f>IF(B153="", "",'Lighting Inventory'!E161)</f>
        <v/>
      </c>
      <c r="O153" s="26" t="str">
        <f>IF(B153="", "", 'Lighting Inventory'!F161)</f>
        <v/>
      </c>
      <c r="P153" s="26" t="str">
        <f>IF(B153="", "", 'Lighting Inventory'!G161)</f>
        <v/>
      </c>
      <c r="Q153" s="26" t="str">
        <f>IF(B153="", "", 'Lighting Inventory'!H161)</f>
        <v/>
      </c>
      <c r="R153" s="26" t="str">
        <f>IF(B153="", "", 'Lighting Inventory'!I161)</f>
        <v/>
      </c>
      <c r="S153" s="26" t="str">
        <f>IF(B153="", "", 'Lighting Inventory'!J161)</f>
        <v/>
      </c>
      <c r="T153" s="26" t="str">
        <f>IFERROR(IF(B153="","",VLOOKUP(S153,'Fixture Identities'!$A$7:$G$1023,5,FALSE)), "New Construction")</f>
        <v/>
      </c>
      <c r="U153" s="26" t="str">
        <f>IFERROR(IF(B153="", "", IF(K153="New Construction", "NC", IF(VLOOKUP(S153, 'Fixture Identities'!$A$7:$I$1023,3, FALSE)="T12 Linear Fluorescent", VLOOKUP(S153, 'Fixture Identities'!$A$7:$K$1012, 11, FALSE), S153))), "")</f>
        <v/>
      </c>
      <c r="V153" s="26" t="str">
        <f>IFERROR(IF(OR(B153="", U153=0), "", VLOOKUP(U153, 'Fixture Identities'!$A$7:$G$1023, 5, FALSE)), "")</f>
        <v/>
      </c>
      <c r="W153" s="26" t="str">
        <f>IF(B153="", "",'Lighting Inventory'!K161)</f>
        <v/>
      </c>
      <c r="X153" s="65" t="str">
        <f>IF(B153="", "", 'Lighting Inventory'!L161)</f>
        <v/>
      </c>
      <c r="Y153" s="26" t="str">
        <f>IF(B153="", "", IF('Lighting Inventory'!M161="", "Light Switch",'Lighting Inventory'!M161))</f>
        <v/>
      </c>
      <c r="Z153" s="26" t="str">
        <f>IF(OR(K153="Retrofit", B153=""), "", 'Lighting Inventory'!N161)</f>
        <v/>
      </c>
      <c r="AA153" s="26" t="str">
        <f>IF(OR(Z153="",B153=""), "", 'Lighting Inventory'!O161)</f>
        <v/>
      </c>
      <c r="AB153" s="26" t="str">
        <f>IF(B153="", "", 'Lighting Inventory'!P161)</f>
        <v/>
      </c>
      <c r="AC153" s="96" t="str">
        <f>IF(B153="", "", 'Lighting Inventory'!R161)</f>
        <v/>
      </c>
      <c r="AD153" s="26" t="str">
        <f>IF(B153="", "", 'Lighting Inventory'!S161)</f>
        <v/>
      </c>
      <c r="AE153" s="26" t="str">
        <f>IF(B153="", "", 'Lighting Inventory'!V161)</f>
        <v/>
      </c>
      <c r="AF153" s="26" t="str">
        <f>IF(B153="", "", 'Lighting Inventory'!W161)</f>
        <v/>
      </c>
      <c r="AG153" s="26" t="str">
        <f>IF(OR(AF153="", B153=""), "", IF(AE153="Custom", "0", VLOOKUP(AF153, 'Lookup Tables'!$AI$6:$AP$102, 8, FALSE)))</f>
        <v/>
      </c>
      <c r="AH153" s="26" t="str">
        <f>IF(B153="", "", 'Lighting Inventory'!AD161)</f>
        <v/>
      </c>
      <c r="AI153" s="26" t="str">
        <f>IF(OR('Lighting Inventory'!AK161="", B153=""), "", 'Lighting Inventory'!AK161)</f>
        <v/>
      </c>
      <c r="AJ153" s="66" t="str">
        <f>IF(B153="", "", 'Lighting Inventory'!AL161)</f>
        <v/>
      </c>
      <c r="AK153" s="65" t="str">
        <f>IF(B153="", "", 'Lighting Inventory'!AM161)</f>
        <v/>
      </c>
      <c r="AL153" s="26" t="str">
        <f>IF(B153="", "", 'Lighting Inventory'!AN161)</f>
        <v/>
      </c>
      <c r="AM153" s="26" t="str">
        <f t="shared" si="8"/>
        <v/>
      </c>
      <c r="AN153" s="26" t="str">
        <f>IF(B153="","",IF('Lighting Inventory'!AV161="","Prescribed",'Lighting Inventory'!AV161))</f>
        <v/>
      </c>
      <c r="AO153" s="66" t="str">
        <f>IF(B153="", "", 'Lighting Inventory'!AX161)</f>
        <v/>
      </c>
      <c r="AP153" s="67" t="str">
        <f>IF(B153="", "", 'Lighting Inventory'!AZ161)</f>
        <v/>
      </c>
      <c r="AQ153" s="67" t="str">
        <f>IF(B153="", "", 'Lighting Inventory'!BA161)</f>
        <v/>
      </c>
      <c r="AR153" s="67" t="str">
        <f>IF(B153="", "", 'Lighting Inventory'!BB161)</f>
        <v/>
      </c>
      <c r="AS153" s="67" t="str">
        <f>IF(B153="", "", 'Lighting Inventory'!BC161)</f>
        <v/>
      </c>
      <c r="AT153" s="67" t="str">
        <f>IF(B153="", "", 'Lighting Inventory'!BD161)</f>
        <v/>
      </c>
      <c r="AU153" s="67" t="str">
        <f>IF(B153="", "", 'Lighting Inventory'!BE161)</f>
        <v/>
      </c>
      <c r="AV153" s="67" t="str">
        <f>IF(B153="", "", 'Lighting Inventory'!BE161)</f>
        <v/>
      </c>
      <c r="AW153" s="67" t="str">
        <f>IF(B153="", "", 'Lighting Inventory'!BF161)</f>
        <v/>
      </c>
      <c r="AX153" s="67" t="str">
        <f>IF(B153="", "", 'Lighting Inventory'!BF161)</f>
        <v/>
      </c>
      <c r="AY153" s="65" t="str">
        <f t="shared" si="10"/>
        <v/>
      </c>
      <c r="AZ153" s="65" t="str">
        <f>IF(B153="", "", 'Lighting Inventory'!BJ161)</f>
        <v/>
      </c>
      <c r="BA153" s="65" t="str">
        <f>IF(B153="", "", 'Lighting Inventory'!BM161)</f>
        <v/>
      </c>
      <c r="BB153" s="65" t="str">
        <f>IF(B153="","",SUM('Lighting Inventory'!BP161:BP161))</f>
        <v/>
      </c>
      <c r="BC153" s="67" t="str">
        <f>IF(OR(AE153="", B153=""),"", 'Lighting Inventory'!GR161)</f>
        <v/>
      </c>
      <c r="BD153" s="67" t="str">
        <f>IFERROR(IF(B153="", "", 'Lighting Inventory'!AF161)*AD153," ")</f>
        <v xml:space="preserve"> </v>
      </c>
      <c r="BE153" s="67"/>
      <c r="BF153" s="67"/>
    </row>
    <row r="154" spans="1:58" x14ac:dyDescent="0.25">
      <c r="A154" s="26" t="str">
        <f>IF(B154="", "", 'Lookup Tables'!AW155)</f>
        <v/>
      </c>
      <c r="B154" s="26" t="str">
        <f>IF(OR('Lighting Inventory'!Y162="", 'Lighting Inventory'!V162="No Change"),"", 'Lighting Inventory'!Y162)</f>
        <v/>
      </c>
      <c r="C154" s="26" t="str">
        <f>IF(B154="", "", IF('Lighting Inventory'!Y162='Lookup Tables'!$Y$32, 'Lighting Inventory'!AJ162, IF(AD154=0, R154, AD154)))</f>
        <v/>
      </c>
      <c r="D154" s="26" t="str">
        <f>IF(B154="", "", 'General Information'!$F$14)</f>
        <v/>
      </c>
      <c r="E154" s="26" t="str">
        <f t="shared" si="9"/>
        <v/>
      </c>
      <c r="F154" s="26" t="str">
        <f>IF(B154="", "", CONCATENATE('General Information'!$F$9, " - ", 'General Information'!$F$14))</f>
        <v/>
      </c>
      <c r="G154" s="26" t="str">
        <f>IF(B154="", "", 'General Information'!$F$15)</f>
        <v/>
      </c>
      <c r="H154" s="26" t="str">
        <f>IF(B154="", "", IF(VLOOKUP(B154, 'Lookup Tables'!$Y$18:$AA$34, 2, FALSE)="Traffic", VLOOKUP('Lighting Inventory'!W162, 'Lookup Tables'!#REF!, 11, FALSE), VLOOKUP(B154, 'Lookup Tables'!$Y$18:$AA$34, 2, FALSE)))</f>
        <v/>
      </c>
      <c r="I154" s="26" t="str">
        <f>IF(B154="", "", CONCATENATE(D154, 'Data Export'!A154))</f>
        <v/>
      </c>
      <c r="J154" s="26" t="str">
        <f>IF(B154="", "", 'Lookup Tables'!$B$1)</f>
        <v/>
      </c>
      <c r="K154" s="26" t="str">
        <f>IF(B154="", "", 'Lighting Inventory'!B162)</f>
        <v/>
      </c>
      <c r="L154" s="26" t="str">
        <f>IF(B154="", "", 'Lighting Inventory'!C162)</f>
        <v/>
      </c>
      <c r="M154" s="26" t="str">
        <f>IF(B154="", "",'Lighting Inventory'!D162)</f>
        <v/>
      </c>
      <c r="N154" s="26" t="str">
        <f>IF(B154="", "",'Lighting Inventory'!E162)</f>
        <v/>
      </c>
      <c r="O154" s="26" t="str">
        <f>IF(B154="", "", 'Lighting Inventory'!F162)</f>
        <v/>
      </c>
      <c r="P154" s="26" t="str">
        <f>IF(B154="", "", 'Lighting Inventory'!G162)</f>
        <v/>
      </c>
      <c r="Q154" s="26" t="str">
        <f>IF(B154="", "", 'Lighting Inventory'!H162)</f>
        <v/>
      </c>
      <c r="R154" s="26" t="str">
        <f>IF(B154="", "", 'Lighting Inventory'!I162)</f>
        <v/>
      </c>
      <c r="S154" s="26" t="str">
        <f>IF(B154="", "", 'Lighting Inventory'!J162)</f>
        <v/>
      </c>
      <c r="T154" s="26" t="str">
        <f>IFERROR(IF(B154="","",VLOOKUP(S154,'Fixture Identities'!$A$7:$G$1023,5,FALSE)), "New Construction")</f>
        <v/>
      </c>
      <c r="U154" s="26" t="str">
        <f>IFERROR(IF(B154="", "", IF(K154="New Construction", "NC", IF(VLOOKUP(S154, 'Fixture Identities'!$A$7:$I$1023,3, FALSE)="T12 Linear Fluorescent", VLOOKUP(S154, 'Fixture Identities'!$A$7:$K$1012, 11, FALSE), S154))), "")</f>
        <v/>
      </c>
      <c r="V154" s="26" t="str">
        <f>IFERROR(IF(OR(B154="", U154=0), "", VLOOKUP(U154, 'Fixture Identities'!$A$7:$G$1023, 5, FALSE)), "")</f>
        <v/>
      </c>
      <c r="W154" s="26" t="str">
        <f>IF(B154="", "",'Lighting Inventory'!K162)</f>
        <v/>
      </c>
      <c r="X154" s="65" t="str">
        <f>IF(B154="", "", 'Lighting Inventory'!L162)</f>
        <v/>
      </c>
      <c r="Y154" s="26" t="str">
        <f>IF(B154="", "", IF('Lighting Inventory'!M162="", "Light Switch",'Lighting Inventory'!M162))</f>
        <v/>
      </c>
      <c r="Z154" s="26" t="str">
        <f>IF(OR(K154="Retrofit", B154=""), "", 'Lighting Inventory'!N162)</f>
        <v/>
      </c>
      <c r="AA154" s="26" t="str">
        <f>IF(OR(Z154="",B154=""), "", 'Lighting Inventory'!O162)</f>
        <v/>
      </c>
      <c r="AB154" s="26" t="str">
        <f>IF(B154="", "", 'Lighting Inventory'!P162)</f>
        <v/>
      </c>
      <c r="AC154" s="96" t="str">
        <f>IF(B154="", "", 'Lighting Inventory'!R162)</f>
        <v/>
      </c>
      <c r="AD154" s="26" t="str">
        <f>IF(B154="", "", 'Lighting Inventory'!S162)</f>
        <v/>
      </c>
      <c r="AE154" s="26" t="str">
        <f>IF(B154="", "", 'Lighting Inventory'!V162)</f>
        <v/>
      </c>
      <c r="AF154" s="26" t="str">
        <f>IF(B154="", "", 'Lighting Inventory'!W162)</f>
        <v/>
      </c>
      <c r="AG154" s="26" t="str">
        <f>IF(OR(AF154="", B154=""), "", IF(AE154="Custom", "0", VLOOKUP(AF154, 'Lookup Tables'!$AI$6:$AP$102, 8, FALSE)))</f>
        <v/>
      </c>
      <c r="AH154" s="26" t="str">
        <f>IF(B154="", "", 'Lighting Inventory'!AD162)</f>
        <v/>
      </c>
      <c r="AI154" s="26" t="str">
        <f>IF(OR('Lighting Inventory'!AK162="", B154=""), "", 'Lighting Inventory'!AK162)</f>
        <v/>
      </c>
      <c r="AJ154" s="66" t="str">
        <f>IF(B154="", "", 'Lighting Inventory'!AL162)</f>
        <v/>
      </c>
      <c r="AK154" s="65" t="str">
        <f>IF(B154="", "", 'Lighting Inventory'!AM162)</f>
        <v/>
      </c>
      <c r="AL154" s="26" t="str">
        <f>IF(B154="", "", 'Lighting Inventory'!AN162)</f>
        <v/>
      </c>
      <c r="AM154" s="26" t="str">
        <f t="shared" si="8"/>
        <v/>
      </c>
      <c r="AN154" s="26" t="str">
        <f>IF(B154="","",IF('Lighting Inventory'!AV162="","Prescribed",'Lighting Inventory'!AV162))</f>
        <v/>
      </c>
      <c r="AO154" s="66" t="str">
        <f>IF(B154="", "", 'Lighting Inventory'!AX162)</f>
        <v/>
      </c>
      <c r="AP154" s="67" t="str">
        <f>IF(B154="", "", 'Lighting Inventory'!AZ162)</f>
        <v/>
      </c>
      <c r="AQ154" s="67" t="str">
        <f>IF(B154="", "", 'Lighting Inventory'!BA162)</f>
        <v/>
      </c>
      <c r="AR154" s="67" t="str">
        <f>IF(B154="", "", 'Lighting Inventory'!BB162)</f>
        <v/>
      </c>
      <c r="AS154" s="67" t="str">
        <f>IF(B154="", "", 'Lighting Inventory'!BC162)</f>
        <v/>
      </c>
      <c r="AT154" s="67" t="str">
        <f>IF(B154="", "", 'Lighting Inventory'!BD162)</f>
        <v/>
      </c>
      <c r="AU154" s="67" t="str">
        <f>IF(B154="", "", 'Lighting Inventory'!BE162)</f>
        <v/>
      </c>
      <c r="AV154" s="67" t="str">
        <f>IF(B154="", "", 'Lighting Inventory'!BE162)</f>
        <v/>
      </c>
      <c r="AW154" s="67" t="str">
        <f>IF(B154="", "", 'Lighting Inventory'!BF162)</f>
        <v/>
      </c>
      <c r="AX154" s="67" t="str">
        <f>IF(B154="", "", 'Lighting Inventory'!BF162)</f>
        <v/>
      </c>
      <c r="AY154" s="65" t="str">
        <f t="shared" si="10"/>
        <v/>
      </c>
      <c r="AZ154" s="65" t="str">
        <f>IF(B154="", "", 'Lighting Inventory'!BJ162)</f>
        <v/>
      </c>
      <c r="BA154" s="65" t="str">
        <f>IF(B154="", "", 'Lighting Inventory'!BM162)</f>
        <v/>
      </c>
      <c r="BB154" s="65" t="str">
        <f>IF(B154="","",SUM('Lighting Inventory'!BP162:BP162))</f>
        <v/>
      </c>
      <c r="BC154" s="67" t="str">
        <f>IF(OR(AE154="", B154=""),"", 'Lighting Inventory'!GR162)</f>
        <v/>
      </c>
      <c r="BD154" s="67" t="str">
        <f>IFERROR(IF(B154="", "", 'Lighting Inventory'!AF162)*AD154," ")</f>
        <v xml:space="preserve"> </v>
      </c>
      <c r="BE154" s="67"/>
      <c r="BF154" s="67"/>
    </row>
    <row r="155" spans="1:58" x14ac:dyDescent="0.25">
      <c r="A155" s="26" t="str">
        <f>IF(B155="", "", 'Lookup Tables'!AW156)</f>
        <v/>
      </c>
      <c r="B155" s="26" t="str">
        <f>IF(OR('Lighting Inventory'!Y163="", 'Lighting Inventory'!V163="No Change"),"", 'Lighting Inventory'!Y163)</f>
        <v/>
      </c>
      <c r="C155" s="26" t="str">
        <f>IF(B155="", "", IF('Lighting Inventory'!Y163='Lookup Tables'!$Y$32, 'Lighting Inventory'!AJ163, IF(AD155=0, R155, AD155)))</f>
        <v/>
      </c>
      <c r="D155" s="26" t="str">
        <f>IF(B155="", "", 'General Information'!$F$14)</f>
        <v/>
      </c>
      <c r="E155" s="26" t="str">
        <f t="shared" si="9"/>
        <v/>
      </c>
      <c r="F155" s="26" t="str">
        <f>IF(B155="", "", CONCATENATE('General Information'!$F$9, " - ", 'General Information'!$F$14))</f>
        <v/>
      </c>
      <c r="G155" s="26" t="str">
        <f>IF(B155="", "", 'General Information'!$F$15)</f>
        <v/>
      </c>
      <c r="H155" s="26" t="str">
        <f>IF(B155="", "", IF(VLOOKUP(B155, 'Lookup Tables'!$Y$18:$AA$34, 2, FALSE)="Traffic", VLOOKUP('Lighting Inventory'!W163, 'Lookup Tables'!#REF!, 11, FALSE), VLOOKUP(B155, 'Lookup Tables'!$Y$18:$AA$34, 2, FALSE)))</f>
        <v/>
      </c>
      <c r="I155" s="26" t="str">
        <f>IF(B155="", "", CONCATENATE(D155, 'Data Export'!A155))</f>
        <v/>
      </c>
      <c r="J155" s="26" t="str">
        <f>IF(B155="", "", 'Lookup Tables'!$B$1)</f>
        <v/>
      </c>
      <c r="K155" s="26" t="str">
        <f>IF(B155="", "", 'Lighting Inventory'!B163)</f>
        <v/>
      </c>
      <c r="L155" s="26" t="str">
        <f>IF(B155="", "", 'Lighting Inventory'!C163)</f>
        <v/>
      </c>
      <c r="M155" s="26" t="str">
        <f>IF(B155="", "",'Lighting Inventory'!D163)</f>
        <v/>
      </c>
      <c r="N155" s="26" t="str">
        <f>IF(B155="", "",'Lighting Inventory'!E163)</f>
        <v/>
      </c>
      <c r="O155" s="26" t="str">
        <f>IF(B155="", "", 'Lighting Inventory'!F163)</f>
        <v/>
      </c>
      <c r="P155" s="26" t="str">
        <f>IF(B155="", "", 'Lighting Inventory'!G163)</f>
        <v/>
      </c>
      <c r="Q155" s="26" t="str">
        <f>IF(B155="", "", 'Lighting Inventory'!H163)</f>
        <v/>
      </c>
      <c r="R155" s="26" t="str">
        <f>IF(B155="", "", 'Lighting Inventory'!I163)</f>
        <v/>
      </c>
      <c r="S155" s="26" t="str">
        <f>IF(B155="", "", 'Lighting Inventory'!J163)</f>
        <v/>
      </c>
      <c r="T155" s="26" t="str">
        <f>IFERROR(IF(B155="","",VLOOKUP(S155,'Fixture Identities'!$A$7:$G$1023,5,FALSE)), "New Construction")</f>
        <v/>
      </c>
      <c r="U155" s="26" t="str">
        <f>IFERROR(IF(B155="", "", IF(K155="New Construction", "NC", IF(VLOOKUP(S155, 'Fixture Identities'!$A$7:$I$1023,3, FALSE)="T12 Linear Fluorescent", VLOOKUP(S155, 'Fixture Identities'!$A$7:$K$1012, 11, FALSE), S155))), "")</f>
        <v/>
      </c>
      <c r="V155" s="26" t="str">
        <f>IFERROR(IF(OR(B155="", U155=0), "", VLOOKUP(U155, 'Fixture Identities'!$A$7:$G$1023, 5, FALSE)), "")</f>
        <v/>
      </c>
      <c r="W155" s="26" t="str">
        <f>IF(B155="", "",'Lighting Inventory'!K163)</f>
        <v/>
      </c>
      <c r="X155" s="65" t="str">
        <f>IF(B155="", "", 'Lighting Inventory'!L163)</f>
        <v/>
      </c>
      <c r="Y155" s="26" t="str">
        <f>IF(B155="", "", IF('Lighting Inventory'!M163="", "Light Switch",'Lighting Inventory'!M163))</f>
        <v/>
      </c>
      <c r="Z155" s="26" t="str">
        <f>IF(OR(K155="Retrofit", B155=""), "", 'Lighting Inventory'!N163)</f>
        <v/>
      </c>
      <c r="AA155" s="26" t="str">
        <f>IF(OR(Z155="",B155=""), "", 'Lighting Inventory'!O163)</f>
        <v/>
      </c>
      <c r="AB155" s="26" t="str">
        <f>IF(B155="", "", 'Lighting Inventory'!P163)</f>
        <v/>
      </c>
      <c r="AC155" s="96" t="str">
        <f>IF(B155="", "", 'Lighting Inventory'!R163)</f>
        <v/>
      </c>
      <c r="AD155" s="26" t="str">
        <f>IF(B155="", "", 'Lighting Inventory'!S163)</f>
        <v/>
      </c>
      <c r="AE155" s="26" t="str">
        <f>IF(B155="", "", 'Lighting Inventory'!V163)</f>
        <v/>
      </c>
      <c r="AF155" s="26" t="str">
        <f>IF(B155="", "", 'Lighting Inventory'!W163)</f>
        <v/>
      </c>
      <c r="AG155" s="26" t="str">
        <f>IF(OR(AF155="", B155=""), "", IF(AE155="Custom", "0", VLOOKUP(AF155, 'Lookup Tables'!$AI$6:$AP$102, 8, FALSE)))</f>
        <v/>
      </c>
      <c r="AH155" s="26" t="str">
        <f>IF(B155="", "", 'Lighting Inventory'!AD163)</f>
        <v/>
      </c>
      <c r="AI155" s="26" t="str">
        <f>IF(OR('Lighting Inventory'!AK163="", B155=""), "", 'Lighting Inventory'!AK163)</f>
        <v/>
      </c>
      <c r="AJ155" s="66" t="str">
        <f>IF(B155="", "", 'Lighting Inventory'!AL163)</f>
        <v/>
      </c>
      <c r="AK155" s="65" t="str">
        <f>IF(B155="", "", 'Lighting Inventory'!AM163)</f>
        <v/>
      </c>
      <c r="AL155" s="26" t="str">
        <f>IF(B155="", "", 'Lighting Inventory'!AN163)</f>
        <v/>
      </c>
      <c r="AM155" s="26" t="str">
        <f t="shared" si="8"/>
        <v/>
      </c>
      <c r="AN155" s="26" t="str">
        <f>IF(B155="","",IF('Lighting Inventory'!AV163="","Prescribed",'Lighting Inventory'!AV163))</f>
        <v/>
      </c>
      <c r="AO155" s="66" t="str">
        <f>IF(B155="", "", 'Lighting Inventory'!AX163)</f>
        <v/>
      </c>
      <c r="AP155" s="67" t="str">
        <f>IF(B155="", "", 'Lighting Inventory'!AZ163)</f>
        <v/>
      </c>
      <c r="AQ155" s="67" t="str">
        <f>IF(B155="", "", 'Lighting Inventory'!BA163)</f>
        <v/>
      </c>
      <c r="AR155" s="67" t="str">
        <f>IF(B155="", "", 'Lighting Inventory'!BB163)</f>
        <v/>
      </c>
      <c r="AS155" s="67" t="str">
        <f>IF(B155="", "", 'Lighting Inventory'!BC163)</f>
        <v/>
      </c>
      <c r="AT155" s="67" t="str">
        <f>IF(B155="", "", 'Lighting Inventory'!BD163)</f>
        <v/>
      </c>
      <c r="AU155" s="67" t="str">
        <f>IF(B155="", "", 'Lighting Inventory'!BE163)</f>
        <v/>
      </c>
      <c r="AV155" s="67" t="str">
        <f>IF(B155="", "", 'Lighting Inventory'!BE163)</f>
        <v/>
      </c>
      <c r="AW155" s="67" t="str">
        <f>IF(B155="", "", 'Lighting Inventory'!BF163)</f>
        <v/>
      </c>
      <c r="AX155" s="67" t="str">
        <f>IF(B155="", "", 'Lighting Inventory'!BF163)</f>
        <v/>
      </c>
      <c r="AY155" s="65" t="str">
        <f t="shared" si="10"/>
        <v/>
      </c>
      <c r="AZ155" s="65" t="str">
        <f>IF(B155="", "", 'Lighting Inventory'!BJ163)</f>
        <v/>
      </c>
      <c r="BA155" s="65" t="str">
        <f>IF(B155="", "", 'Lighting Inventory'!BM163)</f>
        <v/>
      </c>
      <c r="BB155" s="65" t="str">
        <f>IF(B155="","",SUM('Lighting Inventory'!BP163:BP163))</f>
        <v/>
      </c>
      <c r="BC155" s="67" t="str">
        <f>IF(OR(AE155="", B155=""),"", 'Lighting Inventory'!GR163)</f>
        <v/>
      </c>
      <c r="BD155" s="67" t="str">
        <f>IFERROR(IF(B155="", "", 'Lighting Inventory'!AF163)*AD155," ")</f>
        <v xml:space="preserve"> </v>
      </c>
      <c r="BE155" s="67"/>
      <c r="BF155" s="67"/>
    </row>
    <row r="156" spans="1:58" x14ac:dyDescent="0.25">
      <c r="A156" s="26" t="str">
        <f>IF(B156="", "", 'Lookup Tables'!AW157)</f>
        <v/>
      </c>
      <c r="B156" s="26" t="str">
        <f>IF(OR('Lighting Inventory'!Y164="", 'Lighting Inventory'!V164="No Change"),"", 'Lighting Inventory'!Y164)</f>
        <v/>
      </c>
      <c r="C156" s="26" t="str">
        <f>IF(B156="", "", IF('Lighting Inventory'!Y164='Lookup Tables'!$Y$32, 'Lighting Inventory'!AJ164, IF(AD156=0, R156, AD156)))</f>
        <v/>
      </c>
      <c r="D156" s="26" t="str">
        <f>IF(B156="", "", 'General Information'!$F$14)</f>
        <v/>
      </c>
      <c r="E156" s="26" t="str">
        <f t="shared" si="9"/>
        <v/>
      </c>
      <c r="F156" s="26" t="str">
        <f>IF(B156="", "", CONCATENATE('General Information'!$F$9, " - ", 'General Information'!$F$14))</f>
        <v/>
      </c>
      <c r="G156" s="26" t="str">
        <f>IF(B156="", "", 'General Information'!$F$15)</f>
        <v/>
      </c>
      <c r="H156" s="26" t="str">
        <f>IF(B156="", "", IF(VLOOKUP(B156, 'Lookup Tables'!$Y$18:$AA$34, 2, FALSE)="Traffic", VLOOKUP('Lighting Inventory'!W164, 'Lookup Tables'!#REF!, 11, FALSE), VLOOKUP(B156, 'Lookup Tables'!$Y$18:$AA$34, 2, FALSE)))</f>
        <v/>
      </c>
      <c r="I156" s="26" t="str">
        <f>IF(B156="", "", CONCATENATE(D156, 'Data Export'!A156))</f>
        <v/>
      </c>
      <c r="J156" s="26" t="str">
        <f>IF(B156="", "", 'Lookup Tables'!$B$1)</f>
        <v/>
      </c>
      <c r="K156" s="26" t="str">
        <f>IF(B156="", "", 'Lighting Inventory'!B164)</f>
        <v/>
      </c>
      <c r="L156" s="26" t="str">
        <f>IF(B156="", "", 'Lighting Inventory'!C164)</f>
        <v/>
      </c>
      <c r="M156" s="26" t="str">
        <f>IF(B156="", "",'Lighting Inventory'!D164)</f>
        <v/>
      </c>
      <c r="N156" s="26" t="str">
        <f>IF(B156="", "",'Lighting Inventory'!E164)</f>
        <v/>
      </c>
      <c r="O156" s="26" t="str">
        <f>IF(B156="", "", 'Lighting Inventory'!F164)</f>
        <v/>
      </c>
      <c r="P156" s="26" t="str">
        <f>IF(B156="", "", 'Lighting Inventory'!G164)</f>
        <v/>
      </c>
      <c r="Q156" s="26" t="str">
        <f>IF(B156="", "", 'Lighting Inventory'!H164)</f>
        <v/>
      </c>
      <c r="R156" s="26" t="str">
        <f>IF(B156="", "", 'Lighting Inventory'!I164)</f>
        <v/>
      </c>
      <c r="S156" s="26" t="str">
        <f>IF(B156="", "", 'Lighting Inventory'!J164)</f>
        <v/>
      </c>
      <c r="T156" s="26" t="str">
        <f>IFERROR(IF(B156="","",VLOOKUP(S156,'Fixture Identities'!$A$7:$G$1023,5,FALSE)), "New Construction")</f>
        <v/>
      </c>
      <c r="U156" s="26" t="str">
        <f>IFERROR(IF(B156="", "", IF(K156="New Construction", "NC", IF(VLOOKUP(S156, 'Fixture Identities'!$A$7:$I$1023,3, FALSE)="T12 Linear Fluorescent", VLOOKUP(S156, 'Fixture Identities'!$A$7:$K$1012, 11, FALSE), S156))), "")</f>
        <v/>
      </c>
      <c r="V156" s="26" t="str">
        <f>IFERROR(IF(OR(B156="", U156=0), "", VLOOKUP(U156, 'Fixture Identities'!$A$7:$G$1023, 5, FALSE)), "")</f>
        <v/>
      </c>
      <c r="W156" s="26" t="str">
        <f>IF(B156="", "",'Lighting Inventory'!K164)</f>
        <v/>
      </c>
      <c r="X156" s="65" t="str">
        <f>IF(B156="", "", 'Lighting Inventory'!L164)</f>
        <v/>
      </c>
      <c r="Y156" s="26" t="str">
        <f>IF(B156="", "", IF('Lighting Inventory'!M164="", "Light Switch",'Lighting Inventory'!M164))</f>
        <v/>
      </c>
      <c r="Z156" s="26" t="str">
        <f>IF(OR(K156="Retrofit", B156=""), "", 'Lighting Inventory'!N164)</f>
        <v/>
      </c>
      <c r="AA156" s="26" t="str">
        <f>IF(OR(Z156="",B156=""), "", 'Lighting Inventory'!O164)</f>
        <v/>
      </c>
      <c r="AB156" s="26" t="str">
        <f>IF(B156="", "", 'Lighting Inventory'!P164)</f>
        <v/>
      </c>
      <c r="AC156" s="96" t="str">
        <f>IF(B156="", "", 'Lighting Inventory'!R164)</f>
        <v/>
      </c>
      <c r="AD156" s="26" t="str">
        <f>IF(B156="", "", 'Lighting Inventory'!S164)</f>
        <v/>
      </c>
      <c r="AE156" s="26" t="str">
        <f>IF(B156="", "", 'Lighting Inventory'!V164)</f>
        <v/>
      </c>
      <c r="AF156" s="26" t="str">
        <f>IF(B156="", "", 'Lighting Inventory'!W164)</f>
        <v/>
      </c>
      <c r="AG156" s="26" t="str">
        <f>IF(OR(AF156="", B156=""), "", IF(AE156="Custom", "0", VLOOKUP(AF156, 'Lookup Tables'!$AI$6:$AP$102, 8, FALSE)))</f>
        <v/>
      </c>
      <c r="AH156" s="26" t="str">
        <f>IF(B156="", "", 'Lighting Inventory'!AD164)</f>
        <v/>
      </c>
      <c r="AI156" s="26" t="str">
        <f>IF(OR('Lighting Inventory'!AK164="", B156=""), "", 'Lighting Inventory'!AK164)</f>
        <v/>
      </c>
      <c r="AJ156" s="66" t="str">
        <f>IF(B156="", "", 'Lighting Inventory'!AL164)</f>
        <v/>
      </c>
      <c r="AK156" s="65" t="str">
        <f>IF(B156="", "", 'Lighting Inventory'!AM164)</f>
        <v/>
      </c>
      <c r="AL156" s="26" t="str">
        <f>IF(B156="", "", 'Lighting Inventory'!AN164)</f>
        <v/>
      </c>
      <c r="AM156" s="26" t="str">
        <f t="shared" si="8"/>
        <v/>
      </c>
      <c r="AN156" s="26" t="str">
        <f>IF(B156="","",IF('Lighting Inventory'!AV164="","Prescribed",'Lighting Inventory'!AV164))</f>
        <v/>
      </c>
      <c r="AO156" s="66" t="str">
        <f>IF(B156="", "", 'Lighting Inventory'!AX164)</f>
        <v/>
      </c>
      <c r="AP156" s="67" t="str">
        <f>IF(B156="", "", 'Lighting Inventory'!AZ164)</f>
        <v/>
      </c>
      <c r="AQ156" s="67" t="str">
        <f>IF(B156="", "", 'Lighting Inventory'!BA164)</f>
        <v/>
      </c>
      <c r="AR156" s="67" t="str">
        <f>IF(B156="", "", 'Lighting Inventory'!BB164)</f>
        <v/>
      </c>
      <c r="AS156" s="67" t="str">
        <f>IF(B156="", "", 'Lighting Inventory'!BC164)</f>
        <v/>
      </c>
      <c r="AT156" s="67" t="str">
        <f>IF(B156="", "", 'Lighting Inventory'!BD164)</f>
        <v/>
      </c>
      <c r="AU156" s="67" t="str">
        <f>IF(B156="", "", 'Lighting Inventory'!BE164)</f>
        <v/>
      </c>
      <c r="AV156" s="67" t="str">
        <f>IF(B156="", "", 'Lighting Inventory'!BE164)</f>
        <v/>
      </c>
      <c r="AW156" s="67" t="str">
        <f>IF(B156="", "", 'Lighting Inventory'!BF164)</f>
        <v/>
      </c>
      <c r="AX156" s="67" t="str">
        <f>IF(B156="", "", 'Lighting Inventory'!BF164)</f>
        <v/>
      </c>
      <c r="AY156" s="65" t="str">
        <f t="shared" si="10"/>
        <v/>
      </c>
      <c r="AZ156" s="65" t="str">
        <f>IF(B156="", "", 'Lighting Inventory'!BJ164)</f>
        <v/>
      </c>
      <c r="BA156" s="65" t="str">
        <f>IF(B156="", "", 'Lighting Inventory'!BM164)</f>
        <v/>
      </c>
      <c r="BB156" s="65" t="str">
        <f>IF(B156="","",SUM('Lighting Inventory'!BP164:BP164))</f>
        <v/>
      </c>
      <c r="BC156" s="67" t="str">
        <f>IF(OR(AE156="", B156=""),"", 'Lighting Inventory'!GR164)</f>
        <v/>
      </c>
      <c r="BD156" s="67" t="str">
        <f>IFERROR(IF(B156="", "", 'Lighting Inventory'!AF164)*AD156," ")</f>
        <v xml:space="preserve"> </v>
      </c>
      <c r="BE156" s="67"/>
      <c r="BF156" s="67"/>
    </row>
    <row r="157" spans="1:58" x14ac:dyDescent="0.25">
      <c r="A157" s="26" t="str">
        <f>IF(B157="", "", 'Lookup Tables'!AW158)</f>
        <v/>
      </c>
      <c r="B157" s="26" t="str">
        <f>IF(OR('Lighting Inventory'!Y165="", 'Lighting Inventory'!V165="No Change"),"", 'Lighting Inventory'!Y165)</f>
        <v/>
      </c>
      <c r="C157" s="26" t="str">
        <f>IF(B157="", "", IF('Lighting Inventory'!Y165='Lookup Tables'!$Y$32, 'Lighting Inventory'!AJ165, IF(AD157=0, R157, AD157)))</f>
        <v/>
      </c>
      <c r="D157" s="26" t="str">
        <f>IF(B157="", "", 'General Information'!$F$14)</f>
        <v/>
      </c>
      <c r="E157" s="26" t="str">
        <f t="shared" si="9"/>
        <v/>
      </c>
      <c r="F157" s="26" t="str">
        <f>IF(B157="", "", CONCATENATE('General Information'!$F$9, " - ", 'General Information'!$F$14))</f>
        <v/>
      </c>
      <c r="G157" s="26" t="str">
        <f>IF(B157="", "", 'General Information'!$F$15)</f>
        <v/>
      </c>
      <c r="H157" s="26" t="str">
        <f>IF(B157="", "", IF(VLOOKUP(B157, 'Lookup Tables'!$Y$18:$AA$34, 2, FALSE)="Traffic", VLOOKUP('Lighting Inventory'!W165, 'Lookup Tables'!#REF!, 11, FALSE), VLOOKUP(B157, 'Lookup Tables'!$Y$18:$AA$34, 2, FALSE)))</f>
        <v/>
      </c>
      <c r="I157" s="26" t="str">
        <f>IF(B157="", "", CONCATENATE(D157, 'Data Export'!A157))</f>
        <v/>
      </c>
      <c r="J157" s="26" t="str">
        <f>IF(B157="", "", 'Lookup Tables'!$B$1)</f>
        <v/>
      </c>
      <c r="K157" s="26" t="str">
        <f>IF(B157="", "", 'Lighting Inventory'!B165)</f>
        <v/>
      </c>
      <c r="L157" s="26" t="str">
        <f>IF(B157="", "", 'Lighting Inventory'!C165)</f>
        <v/>
      </c>
      <c r="M157" s="26" t="str">
        <f>IF(B157="", "",'Lighting Inventory'!D165)</f>
        <v/>
      </c>
      <c r="N157" s="26" t="str">
        <f>IF(B157="", "",'Lighting Inventory'!E165)</f>
        <v/>
      </c>
      <c r="O157" s="26" t="str">
        <f>IF(B157="", "", 'Lighting Inventory'!F165)</f>
        <v/>
      </c>
      <c r="P157" s="26" t="str">
        <f>IF(B157="", "", 'Lighting Inventory'!G165)</f>
        <v/>
      </c>
      <c r="Q157" s="26" t="str">
        <f>IF(B157="", "", 'Lighting Inventory'!H165)</f>
        <v/>
      </c>
      <c r="R157" s="26" t="str">
        <f>IF(B157="", "", 'Lighting Inventory'!I165)</f>
        <v/>
      </c>
      <c r="S157" s="26" t="str">
        <f>IF(B157="", "", 'Lighting Inventory'!J165)</f>
        <v/>
      </c>
      <c r="T157" s="26" t="str">
        <f>IFERROR(IF(B157="","",VLOOKUP(S157,'Fixture Identities'!$A$7:$G$1023,5,FALSE)), "New Construction")</f>
        <v/>
      </c>
      <c r="U157" s="26" t="str">
        <f>IFERROR(IF(B157="", "", IF(K157="New Construction", "NC", IF(VLOOKUP(S157, 'Fixture Identities'!$A$7:$I$1023,3, FALSE)="T12 Linear Fluorescent", VLOOKUP(S157, 'Fixture Identities'!$A$7:$K$1012, 11, FALSE), S157))), "")</f>
        <v/>
      </c>
      <c r="V157" s="26" t="str">
        <f>IFERROR(IF(OR(B157="", U157=0), "", VLOOKUP(U157, 'Fixture Identities'!$A$7:$G$1023, 5, FALSE)), "")</f>
        <v/>
      </c>
      <c r="W157" s="26" t="str">
        <f>IF(B157="", "",'Lighting Inventory'!K165)</f>
        <v/>
      </c>
      <c r="X157" s="65" t="str">
        <f>IF(B157="", "", 'Lighting Inventory'!L165)</f>
        <v/>
      </c>
      <c r="Y157" s="26" t="str">
        <f>IF(B157="", "", IF('Lighting Inventory'!M165="", "Light Switch",'Lighting Inventory'!M165))</f>
        <v/>
      </c>
      <c r="Z157" s="26" t="str">
        <f>IF(OR(K157="Retrofit", B157=""), "", 'Lighting Inventory'!N165)</f>
        <v/>
      </c>
      <c r="AA157" s="26" t="str">
        <f>IF(OR(Z157="",B157=""), "", 'Lighting Inventory'!O165)</f>
        <v/>
      </c>
      <c r="AB157" s="26" t="str">
        <f>IF(B157="", "", 'Lighting Inventory'!P165)</f>
        <v/>
      </c>
      <c r="AC157" s="96" t="str">
        <f>IF(B157="", "", 'Lighting Inventory'!R165)</f>
        <v/>
      </c>
      <c r="AD157" s="26" t="str">
        <f>IF(B157="", "", 'Lighting Inventory'!S165)</f>
        <v/>
      </c>
      <c r="AE157" s="26" t="str">
        <f>IF(B157="", "", 'Lighting Inventory'!V165)</f>
        <v/>
      </c>
      <c r="AF157" s="26" t="str">
        <f>IF(B157="", "", 'Lighting Inventory'!W165)</f>
        <v/>
      </c>
      <c r="AG157" s="26" t="str">
        <f>IF(OR(AF157="", B157=""), "", IF(AE157="Custom", "0", VLOOKUP(AF157, 'Lookup Tables'!$AI$6:$AP$102, 8, FALSE)))</f>
        <v/>
      </c>
      <c r="AH157" s="26" t="str">
        <f>IF(B157="", "", 'Lighting Inventory'!AD165)</f>
        <v/>
      </c>
      <c r="AI157" s="26" t="str">
        <f>IF(OR('Lighting Inventory'!AK165="", B157=""), "", 'Lighting Inventory'!AK165)</f>
        <v/>
      </c>
      <c r="AJ157" s="66" t="str">
        <f>IF(B157="", "", 'Lighting Inventory'!AL165)</f>
        <v/>
      </c>
      <c r="AK157" s="65" t="str">
        <f>IF(B157="", "", 'Lighting Inventory'!AM165)</f>
        <v/>
      </c>
      <c r="AL157" s="26" t="str">
        <f>IF(B157="", "", 'Lighting Inventory'!AN165)</f>
        <v/>
      </c>
      <c r="AM157" s="26" t="str">
        <f t="shared" si="8"/>
        <v/>
      </c>
      <c r="AN157" s="26" t="str">
        <f>IF(B157="","",IF('Lighting Inventory'!AV165="","Prescribed",'Lighting Inventory'!AV165))</f>
        <v/>
      </c>
      <c r="AO157" s="66" t="str">
        <f>IF(B157="", "", 'Lighting Inventory'!AX165)</f>
        <v/>
      </c>
      <c r="AP157" s="67" t="str">
        <f>IF(B157="", "", 'Lighting Inventory'!AZ165)</f>
        <v/>
      </c>
      <c r="AQ157" s="67" t="str">
        <f>IF(B157="", "", 'Lighting Inventory'!BA165)</f>
        <v/>
      </c>
      <c r="AR157" s="67" t="str">
        <f>IF(B157="", "", 'Lighting Inventory'!BB165)</f>
        <v/>
      </c>
      <c r="AS157" s="67" t="str">
        <f>IF(B157="", "", 'Lighting Inventory'!BC165)</f>
        <v/>
      </c>
      <c r="AT157" s="67" t="str">
        <f>IF(B157="", "", 'Lighting Inventory'!BD165)</f>
        <v/>
      </c>
      <c r="AU157" s="67" t="str">
        <f>IF(B157="", "", 'Lighting Inventory'!BE165)</f>
        <v/>
      </c>
      <c r="AV157" s="67" t="str">
        <f>IF(B157="", "", 'Lighting Inventory'!BE165)</f>
        <v/>
      </c>
      <c r="AW157" s="67" t="str">
        <f>IF(B157="", "", 'Lighting Inventory'!BF165)</f>
        <v/>
      </c>
      <c r="AX157" s="67" t="str">
        <f>IF(B157="", "", 'Lighting Inventory'!BF165)</f>
        <v/>
      </c>
      <c r="AY157" s="65" t="str">
        <f t="shared" si="10"/>
        <v/>
      </c>
      <c r="AZ157" s="65" t="str">
        <f>IF(B157="", "", 'Lighting Inventory'!BJ165)</f>
        <v/>
      </c>
      <c r="BA157" s="65" t="str">
        <f>IF(B157="", "", 'Lighting Inventory'!BM165)</f>
        <v/>
      </c>
      <c r="BB157" s="65" t="str">
        <f>IF(B157="","",SUM('Lighting Inventory'!BP165:BP165))</f>
        <v/>
      </c>
      <c r="BC157" s="67" t="str">
        <f>IF(OR(AE157="", B157=""),"", 'Lighting Inventory'!GR165)</f>
        <v/>
      </c>
      <c r="BD157" s="67" t="str">
        <f>IFERROR(IF(B157="", "", 'Lighting Inventory'!AF165)*AD157," ")</f>
        <v xml:space="preserve"> </v>
      </c>
      <c r="BE157" s="67"/>
      <c r="BF157" s="67"/>
    </row>
    <row r="158" spans="1:58" x14ac:dyDescent="0.25">
      <c r="A158" s="26" t="str">
        <f>IF(B158="", "", 'Lookup Tables'!AW159)</f>
        <v/>
      </c>
      <c r="B158" s="26" t="str">
        <f>IF(OR('Lighting Inventory'!Y166="", 'Lighting Inventory'!V166="No Change"),"", 'Lighting Inventory'!Y166)</f>
        <v/>
      </c>
      <c r="C158" s="26" t="str">
        <f>IF(B158="", "", IF('Lighting Inventory'!Y166='Lookup Tables'!$Y$32, 'Lighting Inventory'!AJ166, IF(AD158=0, R158, AD158)))</f>
        <v/>
      </c>
      <c r="D158" s="26" t="str">
        <f>IF(B158="", "", 'General Information'!$F$14)</f>
        <v/>
      </c>
      <c r="E158" s="26" t="str">
        <f t="shared" si="9"/>
        <v/>
      </c>
      <c r="F158" s="26" t="str">
        <f>IF(B158="", "", CONCATENATE('General Information'!$F$9, " - ", 'General Information'!$F$14))</f>
        <v/>
      </c>
      <c r="G158" s="26" t="str">
        <f>IF(B158="", "", 'General Information'!$F$15)</f>
        <v/>
      </c>
      <c r="H158" s="26" t="str">
        <f>IF(B158="", "", IF(VLOOKUP(B158, 'Lookup Tables'!$Y$18:$AA$34, 2, FALSE)="Traffic", VLOOKUP('Lighting Inventory'!W166, 'Lookup Tables'!#REF!, 11, FALSE), VLOOKUP(B158, 'Lookup Tables'!$Y$18:$AA$34, 2, FALSE)))</f>
        <v/>
      </c>
      <c r="I158" s="26" t="str">
        <f>IF(B158="", "", CONCATENATE(D158, 'Data Export'!A158))</f>
        <v/>
      </c>
      <c r="J158" s="26" t="str">
        <f>IF(B158="", "", 'Lookup Tables'!$B$1)</f>
        <v/>
      </c>
      <c r="K158" s="26" t="str">
        <f>IF(B158="", "", 'Lighting Inventory'!B166)</f>
        <v/>
      </c>
      <c r="L158" s="26" t="str">
        <f>IF(B158="", "", 'Lighting Inventory'!C166)</f>
        <v/>
      </c>
      <c r="M158" s="26" t="str">
        <f>IF(B158="", "",'Lighting Inventory'!D166)</f>
        <v/>
      </c>
      <c r="N158" s="26" t="str">
        <f>IF(B158="", "",'Lighting Inventory'!E166)</f>
        <v/>
      </c>
      <c r="O158" s="26" t="str">
        <f>IF(B158="", "", 'Lighting Inventory'!F166)</f>
        <v/>
      </c>
      <c r="P158" s="26" t="str">
        <f>IF(B158="", "", 'Lighting Inventory'!G166)</f>
        <v/>
      </c>
      <c r="Q158" s="26" t="str">
        <f>IF(B158="", "", 'Lighting Inventory'!H166)</f>
        <v/>
      </c>
      <c r="R158" s="26" t="str">
        <f>IF(B158="", "", 'Lighting Inventory'!I166)</f>
        <v/>
      </c>
      <c r="S158" s="26" t="str">
        <f>IF(B158="", "", 'Lighting Inventory'!J166)</f>
        <v/>
      </c>
      <c r="T158" s="26" t="str">
        <f>IFERROR(IF(B158="","",VLOOKUP(S158,'Fixture Identities'!$A$7:$G$1023,5,FALSE)), "New Construction")</f>
        <v/>
      </c>
      <c r="U158" s="26" t="str">
        <f>IFERROR(IF(B158="", "", IF(K158="New Construction", "NC", IF(VLOOKUP(S158, 'Fixture Identities'!$A$7:$I$1023,3, FALSE)="T12 Linear Fluorescent", VLOOKUP(S158, 'Fixture Identities'!$A$7:$K$1012, 11, FALSE), S158))), "")</f>
        <v/>
      </c>
      <c r="V158" s="26" t="str">
        <f>IFERROR(IF(OR(B158="", U158=0), "", VLOOKUP(U158, 'Fixture Identities'!$A$7:$G$1023, 5, FALSE)), "")</f>
        <v/>
      </c>
      <c r="W158" s="26" t="str">
        <f>IF(B158="", "",'Lighting Inventory'!K166)</f>
        <v/>
      </c>
      <c r="X158" s="65" t="str">
        <f>IF(B158="", "", 'Lighting Inventory'!L166)</f>
        <v/>
      </c>
      <c r="Y158" s="26" t="str">
        <f>IF(B158="", "", IF('Lighting Inventory'!M166="", "Light Switch",'Lighting Inventory'!M166))</f>
        <v/>
      </c>
      <c r="Z158" s="26" t="str">
        <f>IF(OR(K158="Retrofit", B158=""), "", 'Lighting Inventory'!N166)</f>
        <v/>
      </c>
      <c r="AA158" s="26" t="str">
        <f>IF(OR(Z158="",B158=""), "", 'Lighting Inventory'!O166)</f>
        <v/>
      </c>
      <c r="AB158" s="26" t="str">
        <f>IF(B158="", "", 'Lighting Inventory'!P166)</f>
        <v/>
      </c>
      <c r="AC158" s="96" t="str">
        <f>IF(B158="", "", 'Lighting Inventory'!R166)</f>
        <v/>
      </c>
      <c r="AD158" s="26" t="str">
        <f>IF(B158="", "", 'Lighting Inventory'!S166)</f>
        <v/>
      </c>
      <c r="AE158" s="26" t="str">
        <f>IF(B158="", "", 'Lighting Inventory'!V166)</f>
        <v/>
      </c>
      <c r="AF158" s="26" t="str">
        <f>IF(B158="", "", 'Lighting Inventory'!W166)</f>
        <v/>
      </c>
      <c r="AG158" s="26" t="str">
        <f>IF(OR(AF158="", B158=""), "", IF(AE158="Custom", "0", VLOOKUP(AF158, 'Lookup Tables'!$AI$6:$AP$102, 8, FALSE)))</f>
        <v/>
      </c>
      <c r="AH158" s="26" t="str">
        <f>IF(B158="", "", 'Lighting Inventory'!AD166)</f>
        <v/>
      </c>
      <c r="AI158" s="26" t="str">
        <f>IF(OR('Lighting Inventory'!AK166="", B158=""), "", 'Lighting Inventory'!AK166)</f>
        <v/>
      </c>
      <c r="AJ158" s="66" t="str">
        <f>IF(B158="", "", 'Lighting Inventory'!AL166)</f>
        <v/>
      </c>
      <c r="AK158" s="65" t="str">
        <f>IF(B158="", "", 'Lighting Inventory'!AM166)</f>
        <v/>
      </c>
      <c r="AL158" s="26" t="str">
        <f>IF(B158="", "", 'Lighting Inventory'!AN166)</f>
        <v/>
      </c>
      <c r="AM158" s="26" t="str">
        <f t="shared" si="8"/>
        <v/>
      </c>
      <c r="AN158" s="26" t="str">
        <f>IF(B158="","",IF('Lighting Inventory'!AV166="","Prescribed",'Lighting Inventory'!AV166))</f>
        <v/>
      </c>
      <c r="AO158" s="66" t="str">
        <f>IF(B158="", "", 'Lighting Inventory'!AX166)</f>
        <v/>
      </c>
      <c r="AP158" s="67" t="str">
        <f>IF(B158="", "", 'Lighting Inventory'!AZ166)</f>
        <v/>
      </c>
      <c r="AQ158" s="67" t="str">
        <f>IF(B158="", "", 'Lighting Inventory'!BA166)</f>
        <v/>
      </c>
      <c r="AR158" s="67" t="str">
        <f>IF(B158="", "", 'Lighting Inventory'!BB166)</f>
        <v/>
      </c>
      <c r="AS158" s="67" t="str">
        <f>IF(B158="", "", 'Lighting Inventory'!BC166)</f>
        <v/>
      </c>
      <c r="AT158" s="67" t="str">
        <f>IF(B158="", "", 'Lighting Inventory'!BD166)</f>
        <v/>
      </c>
      <c r="AU158" s="67" t="str">
        <f>IF(B158="", "", 'Lighting Inventory'!BE166)</f>
        <v/>
      </c>
      <c r="AV158" s="67" t="str">
        <f>IF(B158="", "", 'Lighting Inventory'!BE166)</f>
        <v/>
      </c>
      <c r="AW158" s="67" t="str">
        <f>IF(B158="", "", 'Lighting Inventory'!BF166)</f>
        <v/>
      </c>
      <c r="AX158" s="67" t="str">
        <f>IF(B158="", "", 'Lighting Inventory'!BF166)</f>
        <v/>
      </c>
      <c r="AY158" s="65" t="str">
        <f t="shared" si="10"/>
        <v/>
      </c>
      <c r="AZ158" s="65" t="str">
        <f>IF(B158="", "", 'Lighting Inventory'!BJ166)</f>
        <v/>
      </c>
      <c r="BA158" s="65" t="str">
        <f>IF(B158="", "", 'Lighting Inventory'!BM166)</f>
        <v/>
      </c>
      <c r="BB158" s="65" t="str">
        <f>IF(B158="","",SUM('Lighting Inventory'!BP166:BP166))</f>
        <v/>
      </c>
      <c r="BC158" s="67" t="str">
        <f>IF(OR(AE158="", B158=""),"", 'Lighting Inventory'!GR166)</f>
        <v/>
      </c>
      <c r="BD158" s="67" t="str">
        <f>IFERROR(IF(B158="", "", 'Lighting Inventory'!AF166)*AD158," ")</f>
        <v xml:space="preserve"> </v>
      </c>
      <c r="BE158" s="67"/>
      <c r="BF158" s="67"/>
    </row>
    <row r="159" spans="1:58" x14ac:dyDescent="0.25">
      <c r="A159" s="26" t="str">
        <f>IF(B159="", "", 'Lookup Tables'!AW160)</f>
        <v/>
      </c>
      <c r="B159" s="26" t="str">
        <f>IF(OR('Lighting Inventory'!Y167="", 'Lighting Inventory'!V167="No Change"),"", 'Lighting Inventory'!Y167)</f>
        <v/>
      </c>
      <c r="C159" s="26" t="str">
        <f>IF(B159="", "", IF('Lighting Inventory'!Y167='Lookup Tables'!$Y$32, 'Lighting Inventory'!AJ167, IF(AD159=0, R159, AD159)))</f>
        <v/>
      </c>
      <c r="D159" s="26" t="str">
        <f>IF(B159="", "", 'General Information'!$F$14)</f>
        <v/>
      </c>
      <c r="E159" s="26" t="str">
        <f t="shared" si="9"/>
        <v/>
      </c>
      <c r="F159" s="26" t="str">
        <f>IF(B159="", "", CONCATENATE('General Information'!$F$9, " - ", 'General Information'!$F$14))</f>
        <v/>
      </c>
      <c r="G159" s="26" t="str">
        <f>IF(B159="", "", 'General Information'!$F$15)</f>
        <v/>
      </c>
      <c r="H159" s="26" t="str">
        <f>IF(B159="", "", IF(VLOOKUP(B159, 'Lookup Tables'!$Y$18:$AA$34, 2, FALSE)="Traffic", VLOOKUP('Lighting Inventory'!W167, 'Lookup Tables'!#REF!, 11, FALSE), VLOOKUP(B159, 'Lookup Tables'!$Y$18:$AA$34, 2, FALSE)))</f>
        <v/>
      </c>
      <c r="I159" s="26" t="str">
        <f>IF(B159="", "", CONCATENATE(D159, 'Data Export'!A159))</f>
        <v/>
      </c>
      <c r="J159" s="26" t="str">
        <f>IF(B159="", "", 'Lookup Tables'!$B$1)</f>
        <v/>
      </c>
      <c r="K159" s="26" t="str">
        <f>IF(B159="", "", 'Lighting Inventory'!B167)</f>
        <v/>
      </c>
      <c r="L159" s="26" t="str">
        <f>IF(B159="", "", 'Lighting Inventory'!C167)</f>
        <v/>
      </c>
      <c r="M159" s="26" t="str">
        <f>IF(B159="", "",'Lighting Inventory'!D167)</f>
        <v/>
      </c>
      <c r="N159" s="26" t="str">
        <f>IF(B159="", "",'Lighting Inventory'!E167)</f>
        <v/>
      </c>
      <c r="O159" s="26" t="str">
        <f>IF(B159="", "", 'Lighting Inventory'!F167)</f>
        <v/>
      </c>
      <c r="P159" s="26" t="str">
        <f>IF(B159="", "", 'Lighting Inventory'!G167)</f>
        <v/>
      </c>
      <c r="Q159" s="26" t="str">
        <f>IF(B159="", "", 'Lighting Inventory'!H167)</f>
        <v/>
      </c>
      <c r="R159" s="26" t="str">
        <f>IF(B159="", "", 'Lighting Inventory'!I167)</f>
        <v/>
      </c>
      <c r="S159" s="26" t="str">
        <f>IF(B159="", "", 'Lighting Inventory'!J167)</f>
        <v/>
      </c>
      <c r="T159" s="26" t="str">
        <f>IFERROR(IF(B159="","",VLOOKUP(S159,'Fixture Identities'!$A$7:$G$1023,5,FALSE)), "New Construction")</f>
        <v/>
      </c>
      <c r="U159" s="26" t="str">
        <f>IFERROR(IF(B159="", "", IF(K159="New Construction", "NC", IF(VLOOKUP(S159, 'Fixture Identities'!$A$7:$I$1023,3, FALSE)="T12 Linear Fluorescent", VLOOKUP(S159, 'Fixture Identities'!$A$7:$K$1012, 11, FALSE), S159))), "")</f>
        <v/>
      </c>
      <c r="V159" s="26" t="str">
        <f>IFERROR(IF(OR(B159="", U159=0), "", VLOOKUP(U159, 'Fixture Identities'!$A$7:$G$1023, 5, FALSE)), "")</f>
        <v/>
      </c>
      <c r="W159" s="26" t="str">
        <f>IF(B159="", "",'Lighting Inventory'!K167)</f>
        <v/>
      </c>
      <c r="X159" s="65" t="str">
        <f>IF(B159="", "", 'Lighting Inventory'!L167)</f>
        <v/>
      </c>
      <c r="Y159" s="26" t="str">
        <f>IF(B159="", "", IF('Lighting Inventory'!M167="", "Light Switch",'Lighting Inventory'!M167))</f>
        <v/>
      </c>
      <c r="Z159" s="26" t="str">
        <f>IF(OR(K159="Retrofit", B159=""), "", 'Lighting Inventory'!N167)</f>
        <v/>
      </c>
      <c r="AA159" s="26" t="str">
        <f>IF(OR(Z159="",B159=""), "", 'Lighting Inventory'!O167)</f>
        <v/>
      </c>
      <c r="AB159" s="26" t="str">
        <f>IF(B159="", "", 'Lighting Inventory'!P167)</f>
        <v/>
      </c>
      <c r="AC159" s="96" t="str">
        <f>IF(B159="", "", 'Lighting Inventory'!R167)</f>
        <v/>
      </c>
      <c r="AD159" s="26" t="str">
        <f>IF(B159="", "", 'Lighting Inventory'!S167)</f>
        <v/>
      </c>
      <c r="AE159" s="26" t="str">
        <f>IF(B159="", "", 'Lighting Inventory'!V167)</f>
        <v/>
      </c>
      <c r="AF159" s="26" t="str">
        <f>IF(B159="", "", 'Lighting Inventory'!W167)</f>
        <v/>
      </c>
      <c r="AG159" s="26" t="str">
        <f>IF(OR(AF159="", B159=""), "", IF(AE159="Custom", "0", VLOOKUP(AF159, 'Lookup Tables'!$AI$6:$AP$102, 8, FALSE)))</f>
        <v/>
      </c>
      <c r="AH159" s="26" t="str">
        <f>IF(B159="", "", 'Lighting Inventory'!AD167)</f>
        <v/>
      </c>
      <c r="AI159" s="26" t="str">
        <f>IF(OR('Lighting Inventory'!AK167="", B159=""), "", 'Lighting Inventory'!AK167)</f>
        <v/>
      </c>
      <c r="AJ159" s="66" t="str">
        <f>IF(B159="", "", 'Lighting Inventory'!AL167)</f>
        <v/>
      </c>
      <c r="AK159" s="65" t="str">
        <f>IF(B159="", "", 'Lighting Inventory'!AM167)</f>
        <v/>
      </c>
      <c r="AL159" s="26" t="str">
        <f>IF(B159="", "", 'Lighting Inventory'!AN167)</f>
        <v/>
      </c>
      <c r="AM159" s="26" t="str">
        <f t="shared" si="8"/>
        <v/>
      </c>
      <c r="AN159" s="26" t="str">
        <f>IF(B159="","",IF('Lighting Inventory'!AV167="","Prescribed",'Lighting Inventory'!AV167))</f>
        <v/>
      </c>
      <c r="AO159" s="66" t="str">
        <f>IF(B159="", "", 'Lighting Inventory'!AX167)</f>
        <v/>
      </c>
      <c r="AP159" s="67" t="str">
        <f>IF(B159="", "", 'Lighting Inventory'!AZ167)</f>
        <v/>
      </c>
      <c r="AQ159" s="67" t="str">
        <f>IF(B159="", "", 'Lighting Inventory'!BA167)</f>
        <v/>
      </c>
      <c r="AR159" s="67" t="str">
        <f>IF(B159="", "", 'Lighting Inventory'!BB167)</f>
        <v/>
      </c>
      <c r="AS159" s="67" t="str">
        <f>IF(B159="", "", 'Lighting Inventory'!BC167)</f>
        <v/>
      </c>
      <c r="AT159" s="67" t="str">
        <f>IF(B159="", "", 'Lighting Inventory'!BD167)</f>
        <v/>
      </c>
      <c r="AU159" s="67" t="str">
        <f>IF(B159="", "", 'Lighting Inventory'!BE167)</f>
        <v/>
      </c>
      <c r="AV159" s="67" t="str">
        <f>IF(B159="", "", 'Lighting Inventory'!BE167)</f>
        <v/>
      </c>
      <c r="AW159" s="67" t="str">
        <f>IF(B159="", "", 'Lighting Inventory'!BF167)</f>
        <v/>
      </c>
      <c r="AX159" s="67" t="str">
        <f>IF(B159="", "", 'Lighting Inventory'!BF167)</f>
        <v/>
      </c>
      <c r="AY159" s="65" t="str">
        <f t="shared" si="10"/>
        <v/>
      </c>
      <c r="AZ159" s="65" t="str">
        <f>IF(B159="", "", 'Lighting Inventory'!BJ167)</f>
        <v/>
      </c>
      <c r="BA159" s="65" t="str">
        <f>IF(B159="", "", 'Lighting Inventory'!BM167)</f>
        <v/>
      </c>
      <c r="BB159" s="65" t="str">
        <f>IF(B159="","",SUM('Lighting Inventory'!BP167:BP167))</f>
        <v/>
      </c>
      <c r="BC159" s="67" t="str">
        <f>IF(OR(AE159="", B159=""),"", 'Lighting Inventory'!GR167)</f>
        <v/>
      </c>
      <c r="BD159" s="67" t="str">
        <f>IFERROR(IF(B159="", "", 'Lighting Inventory'!AF167)*AD159," ")</f>
        <v xml:space="preserve"> </v>
      </c>
      <c r="BE159" s="67"/>
      <c r="BF159" s="67"/>
    </row>
    <row r="160" spans="1:58" x14ac:dyDescent="0.25">
      <c r="A160" s="26" t="str">
        <f>IF(B160="", "", 'Lookup Tables'!AW161)</f>
        <v/>
      </c>
      <c r="B160" s="26" t="str">
        <f>IF(OR('Lighting Inventory'!Y168="", 'Lighting Inventory'!V168="No Change"),"", 'Lighting Inventory'!Y168)</f>
        <v/>
      </c>
      <c r="C160" s="26" t="str">
        <f>IF(B160="", "", IF('Lighting Inventory'!Y168='Lookup Tables'!$Y$32, 'Lighting Inventory'!AJ168, IF(AD160=0, R160, AD160)))</f>
        <v/>
      </c>
      <c r="D160" s="26" t="str">
        <f>IF(B160="", "", 'General Information'!$F$14)</f>
        <v/>
      </c>
      <c r="E160" s="26" t="str">
        <f t="shared" si="9"/>
        <v/>
      </c>
      <c r="F160" s="26" t="str">
        <f>IF(B160="", "", CONCATENATE('General Information'!$F$9, " - ", 'General Information'!$F$14))</f>
        <v/>
      </c>
      <c r="G160" s="26" t="str">
        <f>IF(B160="", "", 'General Information'!$F$15)</f>
        <v/>
      </c>
      <c r="H160" s="26" t="str">
        <f>IF(B160="", "", IF(VLOOKUP(B160, 'Lookup Tables'!$Y$18:$AA$34, 2, FALSE)="Traffic", VLOOKUP('Lighting Inventory'!W168, 'Lookup Tables'!#REF!, 11, FALSE), VLOOKUP(B160, 'Lookup Tables'!$Y$18:$AA$34, 2, FALSE)))</f>
        <v/>
      </c>
      <c r="I160" s="26" t="str">
        <f>IF(B160="", "", CONCATENATE(D160, 'Data Export'!A160))</f>
        <v/>
      </c>
      <c r="J160" s="26" t="str">
        <f>IF(B160="", "", 'Lookup Tables'!$B$1)</f>
        <v/>
      </c>
      <c r="K160" s="26" t="str">
        <f>IF(B160="", "", 'Lighting Inventory'!B168)</f>
        <v/>
      </c>
      <c r="L160" s="26" t="str">
        <f>IF(B160="", "", 'Lighting Inventory'!C168)</f>
        <v/>
      </c>
      <c r="M160" s="26" t="str">
        <f>IF(B160="", "",'Lighting Inventory'!D168)</f>
        <v/>
      </c>
      <c r="N160" s="26" t="str">
        <f>IF(B160="", "",'Lighting Inventory'!E168)</f>
        <v/>
      </c>
      <c r="O160" s="26" t="str">
        <f>IF(B160="", "", 'Lighting Inventory'!F168)</f>
        <v/>
      </c>
      <c r="P160" s="26" t="str">
        <f>IF(B160="", "", 'Lighting Inventory'!G168)</f>
        <v/>
      </c>
      <c r="Q160" s="26" t="str">
        <f>IF(B160="", "", 'Lighting Inventory'!H168)</f>
        <v/>
      </c>
      <c r="R160" s="26" t="str">
        <f>IF(B160="", "", 'Lighting Inventory'!I168)</f>
        <v/>
      </c>
      <c r="S160" s="26" t="str">
        <f>IF(B160="", "", 'Lighting Inventory'!J168)</f>
        <v/>
      </c>
      <c r="T160" s="26" t="str">
        <f>IFERROR(IF(B160="","",VLOOKUP(S160,'Fixture Identities'!$A$7:$G$1023,5,FALSE)), "New Construction")</f>
        <v/>
      </c>
      <c r="U160" s="26" t="str">
        <f>IFERROR(IF(B160="", "", IF(K160="New Construction", "NC", IF(VLOOKUP(S160, 'Fixture Identities'!$A$7:$I$1023,3, FALSE)="T12 Linear Fluorescent", VLOOKUP(S160, 'Fixture Identities'!$A$7:$K$1012, 11, FALSE), S160))), "")</f>
        <v/>
      </c>
      <c r="V160" s="26" t="str">
        <f>IFERROR(IF(OR(B160="", U160=0), "", VLOOKUP(U160, 'Fixture Identities'!$A$7:$G$1023, 5, FALSE)), "")</f>
        <v/>
      </c>
      <c r="W160" s="26" t="str">
        <f>IF(B160="", "",'Lighting Inventory'!K168)</f>
        <v/>
      </c>
      <c r="X160" s="65" t="str">
        <f>IF(B160="", "", 'Lighting Inventory'!L168)</f>
        <v/>
      </c>
      <c r="Y160" s="26" t="str">
        <f>IF(B160="", "", IF('Lighting Inventory'!M168="", "Light Switch",'Lighting Inventory'!M168))</f>
        <v/>
      </c>
      <c r="Z160" s="26" t="str">
        <f>IF(OR(K160="Retrofit", B160=""), "", 'Lighting Inventory'!N168)</f>
        <v/>
      </c>
      <c r="AA160" s="26" t="str">
        <f>IF(OR(Z160="",B160=""), "", 'Lighting Inventory'!O168)</f>
        <v/>
      </c>
      <c r="AB160" s="26" t="str">
        <f>IF(B160="", "", 'Lighting Inventory'!P168)</f>
        <v/>
      </c>
      <c r="AC160" s="96" t="str">
        <f>IF(B160="", "", 'Lighting Inventory'!R168)</f>
        <v/>
      </c>
      <c r="AD160" s="26" t="str">
        <f>IF(B160="", "", 'Lighting Inventory'!S168)</f>
        <v/>
      </c>
      <c r="AE160" s="26" t="str">
        <f>IF(B160="", "", 'Lighting Inventory'!V168)</f>
        <v/>
      </c>
      <c r="AF160" s="26" t="str">
        <f>IF(B160="", "", 'Lighting Inventory'!W168)</f>
        <v/>
      </c>
      <c r="AG160" s="26" t="str">
        <f>IF(OR(AF160="", B160=""), "", IF(AE160="Custom", "0", VLOOKUP(AF160, 'Lookup Tables'!$AI$6:$AP$102, 8, FALSE)))</f>
        <v/>
      </c>
      <c r="AH160" s="26" t="str">
        <f>IF(B160="", "", 'Lighting Inventory'!AD168)</f>
        <v/>
      </c>
      <c r="AI160" s="26" t="str">
        <f>IF(OR('Lighting Inventory'!AK168="", B160=""), "", 'Lighting Inventory'!AK168)</f>
        <v/>
      </c>
      <c r="AJ160" s="66" t="str">
        <f>IF(B160="", "", 'Lighting Inventory'!AL168)</f>
        <v/>
      </c>
      <c r="AK160" s="65" t="str">
        <f>IF(B160="", "", 'Lighting Inventory'!AM168)</f>
        <v/>
      </c>
      <c r="AL160" s="26" t="str">
        <f>IF(B160="", "", 'Lighting Inventory'!AN168)</f>
        <v/>
      </c>
      <c r="AM160" s="26" t="str">
        <f t="shared" si="8"/>
        <v/>
      </c>
      <c r="AN160" s="26" t="str">
        <f>IF(B160="","",IF('Lighting Inventory'!AV168="","Prescribed",'Lighting Inventory'!AV168))</f>
        <v/>
      </c>
      <c r="AO160" s="66" t="str">
        <f>IF(B160="", "", 'Lighting Inventory'!AX168)</f>
        <v/>
      </c>
      <c r="AP160" s="67" t="str">
        <f>IF(B160="", "", 'Lighting Inventory'!AZ168)</f>
        <v/>
      </c>
      <c r="AQ160" s="67" t="str">
        <f>IF(B160="", "", 'Lighting Inventory'!BA168)</f>
        <v/>
      </c>
      <c r="AR160" s="67" t="str">
        <f>IF(B160="", "", 'Lighting Inventory'!BB168)</f>
        <v/>
      </c>
      <c r="AS160" s="67" t="str">
        <f>IF(B160="", "", 'Lighting Inventory'!BC168)</f>
        <v/>
      </c>
      <c r="AT160" s="67" t="str">
        <f>IF(B160="", "", 'Lighting Inventory'!BD168)</f>
        <v/>
      </c>
      <c r="AU160" s="67" t="str">
        <f>IF(B160="", "", 'Lighting Inventory'!BE168)</f>
        <v/>
      </c>
      <c r="AV160" s="67" t="str">
        <f>IF(B160="", "", 'Lighting Inventory'!BE168)</f>
        <v/>
      </c>
      <c r="AW160" s="67" t="str">
        <f>IF(B160="", "", 'Lighting Inventory'!BF168)</f>
        <v/>
      </c>
      <c r="AX160" s="67" t="str">
        <f>IF(B160="", "", 'Lighting Inventory'!BF168)</f>
        <v/>
      </c>
      <c r="AY160" s="65" t="str">
        <f t="shared" si="10"/>
        <v/>
      </c>
      <c r="AZ160" s="65" t="str">
        <f>IF(B160="", "", 'Lighting Inventory'!BJ168)</f>
        <v/>
      </c>
      <c r="BA160" s="65" t="str">
        <f>IF(B160="", "", 'Lighting Inventory'!BM168)</f>
        <v/>
      </c>
      <c r="BB160" s="65" t="str">
        <f>IF(B160="","",SUM('Lighting Inventory'!BP168:BP168))</f>
        <v/>
      </c>
      <c r="BC160" s="67" t="str">
        <f>IF(OR(AE160="", B160=""),"", 'Lighting Inventory'!GR168)</f>
        <v/>
      </c>
      <c r="BD160" s="67" t="str">
        <f>IFERROR(IF(B160="", "", 'Lighting Inventory'!AF168)*AD160," ")</f>
        <v xml:space="preserve"> </v>
      </c>
      <c r="BE160" s="67"/>
      <c r="BF160" s="67"/>
    </row>
    <row r="161" spans="1:58" x14ac:dyDescent="0.25">
      <c r="A161" s="26" t="str">
        <f>IF(B161="", "", 'Lookup Tables'!AW162)</f>
        <v/>
      </c>
      <c r="B161" s="26" t="str">
        <f>IF(OR('Lighting Inventory'!Y169="", 'Lighting Inventory'!V169="No Change"),"", 'Lighting Inventory'!Y169)</f>
        <v/>
      </c>
      <c r="C161" s="26" t="str">
        <f>IF(B161="", "", IF('Lighting Inventory'!Y169='Lookup Tables'!$Y$32, 'Lighting Inventory'!AJ169, IF(AD161=0, R161, AD161)))</f>
        <v/>
      </c>
      <c r="D161" s="26" t="str">
        <f>IF(B161="", "", 'General Information'!$F$14)</f>
        <v/>
      </c>
      <c r="E161" s="26" t="str">
        <f t="shared" si="9"/>
        <v/>
      </c>
      <c r="F161" s="26" t="str">
        <f>IF(B161="", "", CONCATENATE('General Information'!$F$9, " - ", 'General Information'!$F$14))</f>
        <v/>
      </c>
      <c r="G161" s="26" t="str">
        <f>IF(B161="", "", 'General Information'!$F$15)</f>
        <v/>
      </c>
      <c r="H161" s="26" t="str">
        <f>IF(B161="", "", IF(VLOOKUP(B161, 'Lookup Tables'!$Y$18:$AA$34, 2, FALSE)="Traffic", VLOOKUP('Lighting Inventory'!W169, 'Lookup Tables'!#REF!, 11, FALSE), VLOOKUP(B161, 'Lookup Tables'!$Y$18:$AA$34, 2, FALSE)))</f>
        <v/>
      </c>
      <c r="I161" s="26" t="str">
        <f>IF(B161="", "", CONCATENATE(D161, 'Data Export'!A161))</f>
        <v/>
      </c>
      <c r="J161" s="26" t="str">
        <f>IF(B161="", "", 'Lookup Tables'!$B$1)</f>
        <v/>
      </c>
      <c r="K161" s="26" t="str">
        <f>IF(B161="", "", 'Lighting Inventory'!B169)</f>
        <v/>
      </c>
      <c r="L161" s="26" t="str">
        <f>IF(B161="", "", 'Lighting Inventory'!C169)</f>
        <v/>
      </c>
      <c r="M161" s="26" t="str">
        <f>IF(B161="", "",'Lighting Inventory'!D169)</f>
        <v/>
      </c>
      <c r="N161" s="26" t="str">
        <f>IF(B161="", "",'Lighting Inventory'!E169)</f>
        <v/>
      </c>
      <c r="O161" s="26" t="str">
        <f>IF(B161="", "", 'Lighting Inventory'!F169)</f>
        <v/>
      </c>
      <c r="P161" s="26" t="str">
        <f>IF(B161="", "", 'Lighting Inventory'!G169)</f>
        <v/>
      </c>
      <c r="Q161" s="26" t="str">
        <f>IF(B161="", "", 'Lighting Inventory'!H169)</f>
        <v/>
      </c>
      <c r="R161" s="26" t="str">
        <f>IF(B161="", "", 'Lighting Inventory'!I169)</f>
        <v/>
      </c>
      <c r="S161" s="26" t="str">
        <f>IF(B161="", "", 'Lighting Inventory'!J169)</f>
        <v/>
      </c>
      <c r="T161" s="26" t="str">
        <f>IFERROR(IF(B161="","",VLOOKUP(S161,'Fixture Identities'!$A$7:$G$1023,5,FALSE)), "New Construction")</f>
        <v/>
      </c>
      <c r="U161" s="26" t="str">
        <f>IFERROR(IF(B161="", "", IF(K161="New Construction", "NC", IF(VLOOKUP(S161, 'Fixture Identities'!$A$7:$I$1023,3, FALSE)="T12 Linear Fluorescent", VLOOKUP(S161, 'Fixture Identities'!$A$7:$K$1012, 11, FALSE), S161))), "")</f>
        <v/>
      </c>
      <c r="V161" s="26" t="str">
        <f>IFERROR(IF(OR(B161="", U161=0), "", VLOOKUP(U161, 'Fixture Identities'!$A$7:$G$1023, 5, FALSE)), "")</f>
        <v/>
      </c>
      <c r="W161" s="26" t="str">
        <f>IF(B161="", "",'Lighting Inventory'!K169)</f>
        <v/>
      </c>
      <c r="X161" s="65" t="str">
        <f>IF(B161="", "", 'Lighting Inventory'!L169)</f>
        <v/>
      </c>
      <c r="Y161" s="26" t="str">
        <f>IF(B161="", "", IF('Lighting Inventory'!M169="", "Light Switch",'Lighting Inventory'!M169))</f>
        <v/>
      </c>
      <c r="Z161" s="26" t="str">
        <f>IF(OR(K161="Retrofit", B161=""), "", 'Lighting Inventory'!N169)</f>
        <v/>
      </c>
      <c r="AA161" s="26" t="str">
        <f>IF(OR(Z161="",B161=""), "", 'Lighting Inventory'!O169)</f>
        <v/>
      </c>
      <c r="AB161" s="26" t="str">
        <f>IF(B161="", "", 'Lighting Inventory'!P169)</f>
        <v/>
      </c>
      <c r="AC161" s="96" t="str">
        <f>IF(B161="", "", 'Lighting Inventory'!R169)</f>
        <v/>
      </c>
      <c r="AD161" s="26" t="str">
        <f>IF(B161="", "", 'Lighting Inventory'!S169)</f>
        <v/>
      </c>
      <c r="AE161" s="26" t="str">
        <f>IF(B161="", "", 'Lighting Inventory'!V169)</f>
        <v/>
      </c>
      <c r="AF161" s="26" t="str">
        <f>IF(B161="", "", 'Lighting Inventory'!W169)</f>
        <v/>
      </c>
      <c r="AG161" s="26" t="str">
        <f>IF(OR(AF161="", B161=""), "", IF(AE161="Custom", "0", VLOOKUP(AF161, 'Lookup Tables'!$AI$6:$AP$102, 8, FALSE)))</f>
        <v/>
      </c>
      <c r="AH161" s="26" t="str">
        <f>IF(B161="", "", 'Lighting Inventory'!AD169)</f>
        <v/>
      </c>
      <c r="AI161" s="26" t="str">
        <f>IF(OR('Lighting Inventory'!AK169="", B161=""), "", 'Lighting Inventory'!AK169)</f>
        <v/>
      </c>
      <c r="AJ161" s="66" t="str">
        <f>IF(B161="", "", 'Lighting Inventory'!AL169)</f>
        <v/>
      </c>
      <c r="AK161" s="65" t="str">
        <f>IF(B161="", "", 'Lighting Inventory'!AM169)</f>
        <v/>
      </c>
      <c r="AL161" s="26" t="str">
        <f>IF(B161="", "", 'Lighting Inventory'!AN169)</f>
        <v/>
      </c>
      <c r="AM161" s="26" t="str">
        <f t="shared" si="8"/>
        <v/>
      </c>
      <c r="AN161" s="26" t="str">
        <f>IF(B161="","",IF('Lighting Inventory'!AV169="","Prescribed",'Lighting Inventory'!AV169))</f>
        <v/>
      </c>
      <c r="AO161" s="66" t="str">
        <f>IF(B161="", "", 'Lighting Inventory'!AX169)</f>
        <v/>
      </c>
      <c r="AP161" s="67" t="str">
        <f>IF(B161="", "", 'Lighting Inventory'!AZ169)</f>
        <v/>
      </c>
      <c r="AQ161" s="67" t="str">
        <f>IF(B161="", "", 'Lighting Inventory'!BA169)</f>
        <v/>
      </c>
      <c r="AR161" s="67" t="str">
        <f>IF(B161="", "", 'Lighting Inventory'!BB169)</f>
        <v/>
      </c>
      <c r="AS161" s="67" t="str">
        <f>IF(B161="", "", 'Lighting Inventory'!BC169)</f>
        <v/>
      </c>
      <c r="AT161" s="67" t="str">
        <f>IF(B161="", "", 'Lighting Inventory'!BD169)</f>
        <v/>
      </c>
      <c r="AU161" s="67" t="str">
        <f>IF(B161="", "", 'Lighting Inventory'!BE169)</f>
        <v/>
      </c>
      <c r="AV161" s="67" t="str">
        <f>IF(B161="", "", 'Lighting Inventory'!BE169)</f>
        <v/>
      </c>
      <c r="AW161" s="67" t="str">
        <f>IF(B161="", "", 'Lighting Inventory'!BF169)</f>
        <v/>
      </c>
      <c r="AX161" s="67" t="str">
        <f>IF(B161="", "", 'Lighting Inventory'!BF169)</f>
        <v/>
      </c>
      <c r="AY161" s="65" t="str">
        <f t="shared" si="10"/>
        <v/>
      </c>
      <c r="AZ161" s="65" t="str">
        <f>IF(B161="", "", 'Lighting Inventory'!BJ169)</f>
        <v/>
      </c>
      <c r="BA161" s="65" t="str">
        <f>IF(B161="", "", 'Lighting Inventory'!BM169)</f>
        <v/>
      </c>
      <c r="BB161" s="65" t="str">
        <f>IF(B161="","",SUM('Lighting Inventory'!BP169:BP169))</f>
        <v/>
      </c>
      <c r="BC161" s="67" t="str">
        <f>IF(OR(AE161="", B161=""),"", 'Lighting Inventory'!GR169)</f>
        <v/>
      </c>
      <c r="BD161" s="67" t="str">
        <f>IFERROR(IF(B161="", "", 'Lighting Inventory'!AF169)*AD161," ")</f>
        <v xml:space="preserve"> </v>
      </c>
      <c r="BE161" s="67"/>
      <c r="BF161" s="67"/>
    </row>
    <row r="162" spans="1:58" x14ac:dyDescent="0.25">
      <c r="A162" s="26" t="str">
        <f>IF(B162="", "", 'Lookup Tables'!AW163)</f>
        <v/>
      </c>
      <c r="B162" s="26" t="str">
        <f>IF(OR('Lighting Inventory'!Y170="", 'Lighting Inventory'!V170="No Change"),"", 'Lighting Inventory'!Y170)</f>
        <v/>
      </c>
      <c r="C162" s="26" t="str">
        <f>IF(B162="", "", IF('Lighting Inventory'!Y170='Lookup Tables'!$Y$32, 'Lighting Inventory'!AJ170, IF(AD162=0, R162, AD162)))</f>
        <v/>
      </c>
      <c r="D162" s="26" t="str">
        <f>IF(B162="", "", 'General Information'!$F$14)</f>
        <v/>
      </c>
      <c r="E162" s="26" t="str">
        <f t="shared" si="9"/>
        <v/>
      </c>
      <c r="F162" s="26" t="str">
        <f>IF(B162="", "", CONCATENATE('General Information'!$F$9, " - ", 'General Information'!$F$14))</f>
        <v/>
      </c>
      <c r="G162" s="26" t="str">
        <f>IF(B162="", "", 'General Information'!$F$15)</f>
        <v/>
      </c>
      <c r="H162" s="26" t="str">
        <f>IF(B162="", "", IF(VLOOKUP(B162, 'Lookup Tables'!$Y$18:$AA$34, 2, FALSE)="Traffic", VLOOKUP('Lighting Inventory'!W170, 'Lookup Tables'!#REF!, 11, FALSE), VLOOKUP(B162, 'Lookup Tables'!$Y$18:$AA$34, 2, FALSE)))</f>
        <v/>
      </c>
      <c r="I162" s="26" t="str">
        <f>IF(B162="", "", CONCATENATE(D162, 'Data Export'!A162))</f>
        <v/>
      </c>
      <c r="J162" s="26" t="str">
        <f>IF(B162="", "", 'Lookup Tables'!$B$1)</f>
        <v/>
      </c>
      <c r="K162" s="26" t="str">
        <f>IF(B162="", "", 'Lighting Inventory'!B170)</f>
        <v/>
      </c>
      <c r="L162" s="26" t="str">
        <f>IF(B162="", "", 'Lighting Inventory'!C170)</f>
        <v/>
      </c>
      <c r="M162" s="26" t="str">
        <f>IF(B162="", "",'Lighting Inventory'!D170)</f>
        <v/>
      </c>
      <c r="N162" s="26" t="str">
        <f>IF(B162="", "",'Lighting Inventory'!E170)</f>
        <v/>
      </c>
      <c r="O162" s="26" t="str">
        <f>IF(B162="", "", 'Lighting Inventory'!F170)</f>
        <v/>
      </c>
      <c r="P162" s="26" t="str">
        <f>IF(B162="", "", 'Lighting Inventory'!G170)</f>
        <v/>
      </c>
      <c r="Q162" s="26" t="str">
        <f>IF(B162="", "", 'Lighting Inventory'!H170)</f>
        <v/>
      </c>
      <c r="R162" s="26" t="str">
        <f>IF(B162="", "", 'Lighting Inventory'!I170)</f>
        <v/>
      </c>
      <c r="S162" s="26" t="str">
        <f>IF(B162="", "", 'Lighting Inventory'!J170)</f>
        <v/>
      </c>
      <c r="T162" s="26" t="str">
        <f>IFERROR(IF(B162="","",VLOOKUP(S162,'Fixture Identities'!$A$7:$G$1023,5,FALSE)), "New Construction")</f>
        <v/>
      </c>
      <c r="U162" s="26" t="str">
        <f>IFERROR(IF(B162="", "", IF(K162="New Construction", "NC", IF(VLOOKUP(S162, 'Fixture Identities'!$A$7:$I$1023,3, FALSE)="T12 Linear Fluorescent", VLOOKUP(S162, 'Fixture Identities'!$A$7:$K$1012, 11, FALSE), S162))), "")</f>
        <v/>
      </c>
      <c r="V162" s="26" t="str">
        <f>IFERROR(IF(OR(B162="", U162=0), "", VLOOKUP(U162, 'Fixture Identities'!$A$7:$G$1023, 5, FALSE)), "")</f>
        <v/>
      </c>
      <c r="W162" s="26" t="str">
        <f>IF(B162="", "",'Lighting Inventory'!K170)</f>
        <v/>
      </c>
      <c r="X162" s="65" t="str">
        <f>IF(B162="", "", 'Lighting Inventory'!L170)</f>
        <v/>
      </c>
      <c r="Y162" s="26" t="str">
        <f>IF(B162="", "", IF('Lighting Inventory'!M170="", "Light Switch",'Lighting Inventory'!M170))</f>
        <v/>
      </c>
      <c r="Z162" s="26" t="str">
        <f>IF(OR(K162="Retrofit", B162=""), "", 'Lighting Inventory'!N170)</f>
        <v/>
      </c>
      <c r="AA162" s="26" t="str">
        <f>IF(OR(Z162="",B162=""), "", 'Lighting Inventory'!O170)</f>
        <v/>
      </c>
      <c r="AB162" s="26" t="str">
        <f>IF(B162="", "", 'Lighting Inventory'!P170)</f>
        <v/>
      </c>
      <c r="AC162" s="96" t="str">
        <f>IF(B162="", "", 'Lighting Inventory'!R170)</f>
        <v/>
      </c>
      <c r="AD162" s="26" t="str">
        <f>IF(B162="", "", 'Lighting Inventory'!S170)</f>
        <v/>
      </c>
      <c r="AE162" s="26" t="str">
        <f>IF(B162="", "", 'Lighting Inventory'!V170)</f>
        <v/>
      </c>
      <c r="AF162" s="26" t="str">
        <f>IF(B162="", "", 'Lighting Inventory'!W170)</f>
        <v/>
      </c>
      <c r="AG162" s="26" t="str">
        <f>IF(OR(AF162="", B162=""), "", IF(AE162="Custom", "0", VLOOKUP(AF162, 'Lookup Tables'!$AI$6:$AP$102, 8, FALSE)))</f>
        <v/>
      </c>
      <c r="AH162" s="26" t="str">
        <f>IF(B162="", "", 'Lighting Inventory'!AD170)</f>
        <v/>
      </c>
      <c r="AI162" s="26" t="str">
        <f>IF(OR('Lighting Inventory'!AK170="", B162=""), "", 'Lighting Inventory'!AK170)</f>
        <v/>
      </c>
      <c r="AJ162" s="66" t="str">
        <f>IF(B162="", "", 'Lighting Inventory'!AL170)</f>
        <v/>
      </c>
      <c r="AK162" s="65" t="str">
        <f>IF(B162="", "", 'Lighting Inventory'!AM170)</f>
        <v/>
      </c>
      <c r="AL162" s="26" t="str">
        <f>IF(B162="", "", 'Lighting Inventory'!AN170)</f>
        <v/>
      </c>
      <c r="AM162" s="26" t="str">
        <f t="shared" si="8"/>
        <v/>
      </c>
      <c r="AN162" s="26" t="str">
        <f>IF(B162="","",IF('Lighting Inventory'!AV170="","Prescribed",'Lighting Inventory'!AV170))</f>
        <v/>
      </c>
      <c r="AO162" s="66" t="str">
        <f>IF(B162="", "", 'Lighting Inventory'!AX170)</f>
        <v/>
      </c>
      <c r="AP162" s="67" t="str">
        <f>IF(B162="", "", 'Lighting Inventory'!AZ170)</f>
        <v/>
      </c>
      <c r="AQ162" s="67" t="str">
        <f>IF(B162="", "", 'Lighting Inventory'!BA170)</f>
        <v/>
      </c>
      <c r="AR162" s="67" t="str">
        <f>IF(B162="", "", 'Lighting Inventory'!BB170)</f>
        <v/>
      </c>
      <c r="AS162" s="67" t="str">
        <f>IF(B162="", "", 'Lighting Inventory'!BC170)</f>
        <v/>
      </c>
      <c r="AT162" s="67" t="str">
        <f>IF(B162="", "", 'Lighting Inventory'!BD170)</f>
        <v/>
      </c>
      <c r="AU162" s="67" t="str">
        <f>IF(B162="", "", 'Lighting Inventory'!BE170)</f>
        <v/>
      </c>
      <c r="AV162" s="67" t="str">
        <f>IF(B162="", "", 'Lighting Inventory'!BE170)</f>
        <v/>
      </c>
      <c r="AW162" s="67" t="str">
        <f>IF(B162="", "", 'Lighting Inventory'!BF170)</f>
        <v/>
      </c>
      <c r="AX162" s="67" t="str">
        <f>IF(B162="", "", 'Lighting Inventory'!BF170)</f>
        <v/>
      </c>
      <c r="AY162" s="65" t="str">
        <f t="shared" si="10"/>
        <v/>
      </c>
      <c r="AZ162" s="65" t="str">
        <f>IF(B162="", "", 'Lighting Inventory'!BJ170)</f>
        <v/>
      </c>
      <c r="BA162" s="65" t="str">
        <f>IF(B162="", "", 'Lighting Inventory'!BM170)</f>
        <v/>
      </c>
      <c r="BB162" s="65" t="str">
        <f>IF(B162="","",SUM('Lighting Inventory'!BP170:BP170))</f>
        <v/>
      </c>
      <c r="BC162" s="67" t="str">
        <f>IF(OR(AE162="", B162=""),"", 'Lighting Inventory'!GR170)</f>
        <v/>
      </c>
      <c r="BD162" s="67" t="str">
        <f>IFERROR(IF(B162="", "", 'Lighting Inventory'!AF170)*AD162," ")</f>
        <v xml:space="preserve"> </v>
      </c>
      <c r="BE162" s="67"/>
      <c r="BF162" s="67"/>
    </row>
    <row r="163" spans="1:58" x14ac:dyDescent="0.25">
      <c r="A163" s="26" t="str">
        <f>IF(B163="", "", 'Lookup Tables'!AW164)</f>
        <v/>
      </c>
      <c r="B163" s="26" t="str">
        <f>IF(OR('Lighting Inventory'!Y171="", 'Lighting Inventory'!V171="No Change"),"", 'Lighting Inventory'!Y171)</f>
        <v/>
      </c>
      <c r="C163" s="26" t="str">
        <f>IF(B163="", "", IF('Lighting Inventory'!Y171='Lookup Tables'!$Y$32, 'Lighting Inventory'!AJ171, IF(AD163=0, R163, AD163)))</f>
        <v/>
      </c>
      <c r="D163" s="26" t="str">
        <f>IF(B163="", "", 'General Information'!$F$14)</f>
        <v/>
      </c>
      <c r="E163" s="26" t="str">
        <f t="shared" si="9"/>
        <v/>
      </c>
      <c r="F163" s="26" t="str">
        <f>IF(B163="", "", CONCATENATE('General Information'!$F$9, " - ", 'General Information'!$F$14))</f>
        <v/>
      </c>
      <c r="G163" s="26" t="str">
        <f>IF(B163="", "", 'General Information'!$F$15)</f>
        <v/>
      </c>
      <c r="H163" s="26" t="str">
        <f>IF(B163="", "", IF(VLOOKUP(B163, 'Lookup Tables'!$Y$18:$AA$34, 2, FALSE)="Traffic", VLOOKUP('Lighting Inventory'!W171, 'Lookup Tables'!#REF!, 11, FALSE), VLOOKUP(B163, 'Lookup Tables'!$Y$18:$AA$34, 2, FALSE)))</f>
        <v/>
      </c>
      <c r="I163" s="26" t="str">
        <f>IF(B163="", "", CONCATENATE(D163, 'Data Export'!A163))</f>
        <v/>
      </c>
      <c r="J163" s="26" t="str">
        <f>IF(B163="", "", 'Lookup Tables'!$B$1)</f>
        <v/>
      </c>
      <c r="K163" s="26" t="str">
        <f>IF(B163="", "", 'Lighting Inventory'!B171)</f>
        <v/>
      </c>
      <c r="L163" s="26" t="str">
        <f>IF(B163="", "", 'Lighting Inventory'!C171)</f>
        <v/>
      </c>
      <c r="M163" s="26" t="str">
        <f>IF(B163="", "",'Lighting Inventory'!D171)</f>
        <v/>
      </c>
      <c r="N163" s="26" t="str">
        <f>IF(B163="", "",'Lighting Inventory'!E171)</f>
        <v/>
      </c>
      <c r="O163" s="26" t="str">
        <f>IF(B163="", "", 'Lighting Inventory'!F171)</f>
        <v/>
      </c>
      <c r="P163" s="26" t="str">
        <f>IF(B163="", "", 'Lighting Inventory'!G171)</f>
        <v/>
      </c>
      <c r="Q163" s="26" t="str">
        <f>IF(B163="", "", 'Lighting Inventory'!H171)</f>
        <v/>
      </c>
      <c r="R163" s="26" t="str">
        <f>IF(B163="", "", 'Lighting Inventory'!I171)</f>
        <v/>
      </c>
      <c r="S163" s="26" t="str">
        <f>IF(B163="", "", 'Lighting Inventory'!J171)</f>
        <v/>
      </c>
      <c r="T163" s="26" t="str">
        <f>IFERROR(IF(B163="","",VLOOKUP(S163,'Fixture Identities'!$A$7:$G$1023,5,FALSE)), "New Construction")</f>
        <v/>
      </c>
      <c r="U163" s="26" t="str">
        <f>IFERROR(IF(B163="", "", IF(K163="New Construction", "NC", IF(VLOOKUP(S163, 'Fixture Identities'!$A$7:$I$1023,3, FALSE)="T12 Linear Fluorescent", VLOOKUP(S163, 'Fixture Identities'!$A$7:$K$1012, 11, FALSE), S163))), "")</f>
        <v/>
      </c>
      <c r="V163" s="26" t="str">
        <f>IFERROR(IF(OR(B163="", U163=0), "", VLOOKUP(U163, 'Fixture Identities'!$A$7:$G$1023, 5, FALSE)), "")</f>
        <v/>
      </c>
      <c r="W163" s="26" t="str">
        <f>IF(B163="", "",'Lighting Inventory'!K171)</f>
        <v/>
      </c>
      <c r="X163" s="65" t="str">
        <f>IF(B163="", "", 'Lighting Inventory'!L171)</f>
        <v/>
      </c>
      <c r="Y163" s="26" t="str">
        <f>IF(B163="", "", IF('Lighting Inventory'!M171="", "Light Switch",'Lighting Inventory'!M171))</f>
        <v/>
      </c>
      <c r="Z163" s="26" t="str">
        <f>IF(OR(K163="Retrofit", B163=""), "", 'Lighting Inventory'!N171)</f>
        <v/>
      </c>
      <c r="AA163" s="26" t="str">
        <f>IF(OR(Z163="",B163=""), "", 'Lighting Inventory'!O171)</f>
        <v/>
      </c>
      <c r="AB163" s="26" t="str">
        <f>IF(B163="", "", 'Lighting Inventory'!P171)</f>
        <v/>
      </c>
      <c r="AC163" s="96" t="str">
        <f>IF(B163="", "", 'Lighting Inventory'!R171)</f>
        <v/>
      </c>
      <c r="AD163" s="26" t="str">
        <f>IF(B163="", "", 'Lighting Inventory'!S171)</f>
        <v/>
      </c>
      <c r="AE163" s="26" t="str">
        <f>IF(B163="", "", 'Lighting Inventory'!V171)</f>
        <v/>
      </c>
      <c r="AF163" s="26" t="str">
        <f>IF(B163="", "", 'Lighting Inventory'!W171)</f>
        <v/>
      </c>
      <c r="AG163" s="26" t="str">
        <f>IF(OR(AF163="", B163=""), "", IF(AE163="Custom", "0", VLOOKUP(AF163, 'Lookup Tables'!$AI$6:$AP$102, 8, FALSE)))</f>
        <v/>
      </c>
      <c r="AH163" s="26" t="str">
        <f>IF(B163="", "", 'Lighting Inventory'!AD171)</f>
        <v/>
      </c>
      <c r="AI163" s="26" t="str">
        <f>IF(OR('Lighting Inventory'!AK171="", B163=""), "", 'Lighting Inventory'!AK171)</f>
        <v/>
      </c>
      <c r="AJ163" s="66" t="str">
        <f>IF(B163="", "", 'Lighting Inventory'!AL171)</f>
        <v/>
      </c>
      <c r="AK163" s="65" t="str">
        <f>IF(B163="", "", 'Lighting Inventory'!AM171)</f>
        <v/>
      </c>
      <c r="AL163" s="26" t="str">
        <f>IF(B163="", "", 'Lighting Inventory'!AN171)</f>
        <v/>
      </c>
      <c r="AM163" s="26" t="str">
        <f t="shared" si="8"/>
        <v/>
      </c>
      <c r="AN163" s="26" t="str">
        <f>IF(B163="","",IF('Lighting Inventory'!AV171="","Prescribed",'Lighting Inventory'!AV171))</f>
        <v/>
      </c>
      <c r="AO163" s="66" t="str">
        <f>IF(B163="", "", 'Lighting Inventory'!AX171)</f>
        <v/>
      </c>
      <c r="AP163" s="67" t="str">
        <f>IF(B163="", "", 'Lighting Inventory'!AZ171)</f>
        <v/>
      </c>
      <c r="AQ163" s="67" t="str">
        <f>IF(B163="", "", 'Lighting Inventory'!BA171)</f>
        <v/>
      </c>
      <c r="AR163" s="67" t="str">
        <f>IF(B163="", "", 'Lighting Inventory'!BB171)</f>
        <v/>
      </c>
      <c r="AS163" s="67" t="str">
        <f>IF(B163="", "", 'Lighting Inventory'!BC171)</f>
        <v/>
      </c>
      <c r="AT163" s="67" t="str">
        <f>IF(B163="", "", 'Lighting Inventory'!BD171)</f>
        <v/>
      </c>
      <c r="AU163" s="67" t="str">
        <f>IF(B163="", "", 'Lighting Inventory'!BE171)</f>
        <v/>
      </c>
      <c r="AV163" s="67" t="str">
        <f>IF(B163="", "", 'Lighting Inventory'!BE171)</f>
        <v/>
      </c>
      <c r="AW163" s="67" t="str">
        <f>IF(B163="", "", 'Lighting Inventory'!BF171)</f>
        <v/>
      </c>
      <c r="AX163" s="67" t="str">
        <f>IF(B163="", "", 'Lighting Inventory'!BF171)</f>
        <v/>
      </c>
      <c r="AY163" s="65" t="str">
        <f t="shared" si="10"/>
        <v/>
      </c>
      <c r="AZ163" s="65" t="str">
        <f>IF(B163="", "", 'Lighting Inventory'!BJ171)</f>
        <v/>
      </c>
      <c r="BA163" s="65" t="str">
        <f>IF(B163="", "", 'Lighting Inventory'!BM171)</f>
        <v/>
      </c>
      <c r="BB163" s="65" t="str">
        <f>IF(B163="","",SUM('Lighting Inventory'!BP171:BP171))</f>
        <v/>
      </c>
      <c r="BC163" s="67" t="str">
        <f>IF(OR(AE163="", B163=""),"", 'Lighting Inventory'!GR171)</f>
        <v/>
      </c>
      <c r="BD163" s="67" t="str">
        <f>IFERROR(IF(B163="", "", 'Lighting Inventory'!AF171)*AD163," ")</f>
        <v xml:space="preserve"> </v>
      </c>
      <c r="BE163" s="67"/>
      <c r="BF163" s="67"/>
    </row>
    <row r="164" spans="1:58" x14ac:dyDescent="0.25">
      <c r="A164" s="26" t="str">
        <f>IF(B164="", "", 'Lookup Tables'!AW165)</f>
        <v/>
      </c>
      <c r="B164" s="26" t="str">
        <f>IF(OR('Lighting Inventory'!Y172="", 'Lighting Inventory'!V172="No Change"),"", 'Lighting Inventory'!Y172)</f>
        <v/>
      </c>
      <c r="C164" s="26" t="str">
        <f>IF(B164="", "", IF('Lighting Inventory'!Y172='Lookup Tables'!$Y$32, 'Lighting Inventory'!AJ172, IF(AD164=0, R164, AD164)))</f>
        <v/>
      </c>
      <c r="D164" s="26" t="str">
        <f>IF(B164="", "", 'General Information'!$F$14)</f>
        <v/>
      </c>
      <c r="E164" s="26" t="str">
        <f t="shared" si="9"/>
        <v/>
      </c>
      <c r="F164" s="26" t="str">
        <f>IF(B164="", "", CONCATENATE('General Information'!$F$9, " - ", 'General Information'!$F$14))</f>
        <v/>
      </c>
      <c r="G164" s="26" t="str">
        <f>IF(B164="", "", 'General Information'!$F$15)</f>
        <v/>
      </c>
      <c r="H164" s="26" t="str">
        <f>IF(B164="", "", IF(VLOOKUP(B164, 'Lookup Tables'!$Y$18:$AA$34, 2, FALSE)="Traffic", VLOOKUP('Lighting Inventory'!W172, 'Lookup Tables'!#REF!, 11, FALSE), VLOOKUP(B164, 'Lookup Tables'!$Y$18:$AA$34, 2, FALSE)))</f>
        <v/>
      </c>
      <c r="I164" s="26" t="str">
        <f>IF(B164="", "", CONCATENATE(D164, 'Data Export'!A164))</f>
        <v/>
      </c>
      <c r="J164" s="26" t="str">
        <f>IF(B164="", "", 'Lookup Tables'!$B$1)</f>
        <v/>
      </c>
      <c r="K164" s="26" t="str">
        <f>IF(B164="", "", 'Lighting Inventory'!B172)</f>
        <v/>
      </c>
      <c r="L164" s="26" t="str">
        <f>IF(B164="", "", 'Lighting Inventory'!C172)</f>
        <v/>
      </c>
      <c r="M164" s="26" t="str">
        <f>IF(B164="", "",'Lighting Inventory'!D172)</f>
        <v/>
      </c>
      <c r="N164" s="26" t="str">
        <f>IF(B164="", "",'Lighting Inventory'!E172)</f>
        <v/>
      </c>
      <c r="O164" s="26" t="str">
        <f>IF(B164="", "", 'Lighting Inventory'!F172)</f>
        <v/>
      </c>
      <c r="P164" s="26" t="str">
        <f>IF(B164="", "", 'Lighting Inventory'!G172)</f>
        <v/>
      </c>
      <c r="Q164" s="26" t="str">
        <f>IF(B164="", "", 'Lighting Inventory'!H172)</f>
        <v/>
      </c>
      <c r="R164" s="26" t="str">
        <f>IF(B164="", "", 'Lighting Inventory'!I172)</f>
        <v/>
      </c>
      <c r="S164" s="26" t="str">
        <f>IF(B164="", "", 'Lighting Inventory'!J172)</f>
        <v/>
      </c>
      <c r="T164" s="26" t="str">
        <f>IFERROR(IF(B164="","",VLOOKUP(S164,'Fixture Identities'!$A$7:$G$1023,5,FALSE)), "New Construction")</f>
        <v/>
      </c>
      <c r="U164" s="26" t="str">
        <f>IFERROR(IF(B164="", "", IF(K164="New Construction", "NC", IF(VLOOKUP(S164, 'Fixture Identities'!$A$7:$I$1023,3, FALSE)="T12 Linear Fluorescent", VLOOKUP(S164, 'Fixture Identities'!$A$7:$K$1012, 11, FALSE), S164))), "")</f>
        <v/>
      </c>
      <c r="V164" s="26" t="str">
        <f>IFERROR(IF(OR(B164="", U164=0), "", VLOOKUP(U164, 'Fixture Identities'!$A$7:$G$1023, 5, FALSE)), "")</f>
        <v/>
      </c>
      <c r="W164" s="26" t="str">
        <f>IF(B164="", "",'Lighting Inventory'!K172)</f>
        <v/>
      </c>
      <c r="X164" s="65" t="str">
        <f>IF(B164="", "", 'Lighting Inventory'!L172)</f>
        <v/>
      </c>
      <c r="Y164" s="26" t="str">
        <f>IF(B164="", "", IF('Lighting Inventory'!M172="", "Light Switch",'Lighting Inventory'!M172))</f>
        <v/>
      </c>
      <c r="Z164" s="26" t="str">
        <f>IF(OR(K164="Retrofit", B164=""), "", 'Lighting Inventory'!N172)</f>
        <v/>
      </c>
      <c r="AA164" s="26" t="str">
        <f>IF(OR(Z164="",B164=""), "", 'Lighting Inventory'!O172)</f>
        <v/>
      </c>
      <c r="AB164" s="26" t="str">
        <f>IF(B164="", "", 'Lighting Inventory'!P172)</f>
        <v/>
      </c>
      <c r="AC164" s="96" t="str">
        <f>IF(B164="", "", 'Lighting Inventory'!R172)</f>
        <v/>
      </c>
      <c r="AD164" s="26" t="str">
        <f>IF(B164="", "", 'Lighting Inventory'!S172)</f>
        <v/>
      </c>
      <c r="AE164" s="26" t="str">
        <f>IF(B164="", "", 'Lighting Inventory'!V172)</f>
        <v/>
      </c>
      <c r="AF164" s="26" t="str">
        <f>IF(B164="", "", 'Lighting Inventory'!W172)</f>
        <v/>
      </c>
      <c r="AG164" s="26" t="str">
        <f>IF(OR(AF164="", B164=""), "", IF(AE164="Custom", "0", VLOOKUP(AF164, 'Lookup Tables'!$AI$6:$AP$102, 8, FALSE)))</f>
        <v/>
      </c>
      <c r="AH164" s="26" t="str">
        <f>IF(B164="", "", 'Lighting Inventory'!AD172)</f>
        <v/>
      </c>
      <c r="AI164" s="26" t="str">
        <f>IF(OR('Lighting Inventory'!AK172="", B164=""), "", 'Lighting Inventory'!AK172)</f>
        <v/>
      </c>
      <c r="AJ164" s="66" t="str">
        <f>IF(B164="", "", 'Lighting Inventory'!AL172)</f>
        <v/>
      </c>
      <c r="AK164" s="65" t="str">
        <f>IF(B164="", "", 'Lighting Inventory'!AM172)</f>
        <v/>
      </c>
      <c r="AL164" s="26" t="str">
        <f>IF(B164="", "", 'Lighting Inventory'!AN172)</f>
        <v/>
      </c>
      <c r="AM164" s="26" t="str">
        <f t="shared" si="8"/>
        <v/>
      </c>
      <c r="AN164" s="26" t="str">
        <f>IF(B164="","",IF('Lighting Inventory'!AV172="","Prescribed",'Lighting Inventory'!AV172))</f>
        <v/>
      </c>
      <c r="AO164" s="66" t="str">
        <f>IF(B164="", "", 'Lighting Inventory'!AX172)</f>
        <v/>
      </c>
      <c r="AP164" s="67" t="str">
        <f>IF(B164="", "", 'Lighting Inventory'!AZ172)</f>
        <v/>
      </c>
      <c r="AQ164" s="67" t="str">
        <f>IF(B164="", "", 'Lighting Inventory'!BA172)</f>
        <v/>
      </c>
      <c r="AR164" s="67" t="str">
        <f>IF(B164="", "", 'Lighting Inventory'!BB172)</f>
        <v/>
      </c>
      <c r="AS164" s="67" t="str">
        <f>IF(B164="", "", 'Lighting Inventory'!BC172)</f>
        <v/>
      </c>
      <c r="AT164" s="67" t="str">
        <f>IF(B164="", "", 'Lighting Inventory'!BD172)</f>
        <v/>
      </c>
      <c r="AU164" s="67" t="str">
        <f>IF(B164="", "", 'Lighting Inventory'!BE172)</f>
        <v/>
      </c>
      <c r="AV164" s="67" t="str">
        <f>IF(B164="", "", 'Lighting Inventory'!BE172)</f>
        <v/>
      </c>
      <c r="AW164" s="67" t="str">
        <f>IF(B164="", "", 'Lighting Inventory'!BF172)</f>
        <v/>
      </c>
      <c r="AX164" s="67" t="str">
        <f>IF(B164="", "", 'Lighting Inventory'!BF172)</f>
        <v/>
      </c>
      <c r="AY164" s="65" t="str">
        <f t="shared" si="10"/>
        <v/>
      </c>
      <c r="AZ164" s="65" t="str">
        <f>IF(B164="", "", 'Lighting Inventory'!BJ172)</f>
        <v/>
      </c>
      <c r="BA164" s="65" t="str">
        <f>IF(B164="", "", 'Lighting Inventory'!BM172)</f>
        <v/>
      </c>
      <c r="BB164" s="65" t="str">
        <f>IF(B164="","",SUM('Lighting Inventory'!BP172:BP172))</f>
        <v/>
      </c>
      <c r="BC164" s="67" t="str">
        <f>IF(OR(AE164="", B164=""),"", 'Lighting Inventory'!GR172)</f>
        <v/>
      </c>
      <c r="BD164" s="67" t="str">
        <f>IFERROR(IF(B164="", "", 'Lighting Inventory'!AF172)*AD164," ")</f>
        <v xml:space="preserve"> </v>
      </c>
      <c r="BE164" s="67"/>
      <c r="BF164" s="67"/>
    </row>
    <row r="165" spans="1:58" x14ac:dyDescent="0.25">
      <c r="A165" s="26" t="str">
        <f>IF(B165="", "", 'Lookup Tables'!AW166)</f>
        <v/>
      </c>
      <c r="B165" s="26" t="str">
        <f>IF(OR('Lighting Inventory'!Y173="", 'Lighting Inventory'!V173="No Change"),"", 'Lighting Inventory'!Y173)</f>
        <v/>
      </c>
      <c r="C165" s="26" t="str">
        <f>IF(B165="", "", IF('Lighting Inventory'!Y173='Lookup Tables'!$Y$32, 'Lighting Inventory'!AJ173, IF(AD165=0, R165, AD165)))</f>
        <v/>
      </c>
      <c r="D165" s="26" t="str">
        <f>IF(B165="", "", 'General Information'!$F$14)</f>
        <v/>
      </c>
      <c r="E165" s="26" t="str">
        <f t="shared" si="9"/>
        <v/>
      </c>
      <c r="F165" s="26" t="str">
        <f>IF(B165="", "", CONCATENATE('General Information'!$F$9, " - ", 'General Information'!$F$14))</f>
        <v/>
      </c>
      <c r="G165" s="26" t="str">
        <f>IF(B165="", "", 'General Information'!$F$15)</f>
        <v/>
      </c>
      <c r="H165" s="26" t="str">
        <f>IF(B165="", "", IF(VLOOKUP(B165, 'Lookup Tables'!$Y$18:$AA$34, 2, FALSE)="Traffic", VLOOKUP('Lighting Inventory'!W173, 'Lookup Tables'!#REF!, 11, FALSE), VLOOKUP(B165, 'Lookup Tables'!$Y$18:$AA$34, 2, FALSE)))</f>
        <v/>
      </c>
      <c r="I165" s="26" t="str">
        <f>IF(B165="", "", CONCATENATE(D165, 'Data Export'!A165))</f>
        <v/>
      </c>
      <c r="J165" s="26" t="str">
        <f>IF(B165="", "", 'Lookup Tables'!$B$1)</f>
        <v/>
      </c>
      <c r="K165" s="26" t="str">
        <f>IF(B165="", "", 'Lighting Inventory'!B173)</f>
        <v/>
      </c>
      <c r="L165" s="26" t="str">
        <f>IF(B165="", "", 'Lighting Inventory'!C173)</f>
        <v/>
      </c>
      <c r="M165" s="26" t="str">
        <f>IF(B165="", "",'Lighting Inventory'!D173)</f>
        <v/>
      </c>
      <c r="N165" s="26" t="str">
        <f>IF(B165="", "",'Lighting Inventory'!E173)</f>
        <v/>
      </c>
      <c r="O165" s="26" t="str">
        <f>IF(B165="", "", 'Lighting Inventory'!F173)</f>
        <v/>
      </c>
      <c r="P165" s="26" t="str">
        <f>IF(B165="", "", 'Lighting Inventory'!G173)</f>
        <v/>
      </c>
      <c r="Q165" s="26" t="str">
        <f>IF(B165="", "", 'Lighting Inventory'!H173)</f>
        <v/>
      </c>
      <c r="R165" s="26" t="str">
        <f>IF(B165="", "", 'Lighting Inventory'!I173)</f>
        <v/>
      </c>
      <c r="S165" s="26" t="str">
        <f>IF(B165="", "", 'Lighting Inventory'!J173)</f>
        <v/>
      </c>
      <c r="T165" s="26" t="str">
        <f>IFERROR(IF(B165="","",VLOOKUP(S165,'Fixture Identities'!$A$7:$G$1023,5,FALSE)), "New Construction")</f>
        <v/>
      </c>
      <c r="U165" s="26" t="str">
        <f>IFERROR(IF(B165="", "", IF(K165="New Construction", "NC", IF(VLOOKUP(S165, 'Fixture Identities'!$A$7:$I$1023,3, FALSE)="T12 Linear Fluorescent", VLOOKUP(S165, 'Fixture Identities'!$A$7:$K$1012, 11, FALSE), S165))), "")</f>
        <v/>
      </c>
      <c r="V165" s="26" t="str">
        <f>IFERROR(IF(OR(B165="", U165=0), "", VLOOKUP(U165, 'Fixture Identities'!$A$7:$G$1023, 5, FALSE)), "")</f>
        <v/>
      </c>
      <c r="W165" s="26" t="str">
        <f>IF(B165="", "",'Lighting Inventory'!K173)</f>
        <v/>
      </c>
      <c r="X165" s="65" t="str">
        <f>IF(B165="", "", 'Lighting Inventory'!L173)</f>
        <v/>
      </c>
      <c r="Y165" s="26" t="str">
        <f>IF(B165="", "", IF('Lighting Inventory'!M173="", "Light Switch",'Lighting Inventory'!M173))</f>
        <v/>
      </c>
      <c r="Z165" s="26" t="str">
        <f>IF(OR(K165="Retrofit", B165=""), "", 'Lighting Inventory'!N173)</f>
        <v/>
      </c>
      <c r="AA165" s="26" t="str">
        <f>IF(OR(Z165="",B165=""), "", 'Lighting Inventory'!O173)</f>
        <v/>
      </c>
      <c r="AB165" s="26" t="str">
        <f>IF(B165="", "", 'Lighting Inventory'!P173)</f>
        <v/>
      </c>
      <c r="AC165" s="96" t="str">
        <f>IF(B165="", "", 'Lighting Inventory'!R173)</f>
        <v/>
      </c>
      <c r="AD165" s="26" t="str">
        <f>IF(B165="", "", 'Lighting Inventory'!S173)</f>
        <v/>
      </c>
      <c r="AE165" s="26" t="str">
        <f>IF(B165="", "", 'Lighting Inventory'!V173)</f>
        <v/>
      </c>
      <c r="AF165" s="26" t="str">
        <f>IF(B165="", "", 'Lighting Inventory'!W173)</f>
        <v/>
      </c>
      <c r="AG165" s="26" t="str">
        <f>IF(OR(AF165="", B165=""), "", IF(AE165="Custom", "0", VLOOKUP(AF165, 'Lookup Tables'!$AI$6:$AP$102, 8, FALSE)))</f>
        <v/>
      </c>
      <c r="AH165" s="26" t="str">
        <f>IF(B165="", "", 'Lighting Inventory'!AD173)</f>
        <v/>
      </c>
      <c r="AI165" s="26" t="str">
        <f>IF(OR('Lighting Inventory'!AK173="", B165=""), "", 'Lighting Inventory'!AK173)</f>
        <v/>
      </c>
      <c r="AJ165" s="66" t="str">
        <f>IF(B165="", "", 'Lighting Inventory'!AL173)</f>
        <v/>
      </c>
      <c r="AK165" s="65" t="str">
        <f>IF(B165="", "", 'Lighting Inventory'!AM173)</f>
        <v/>
      </c>
      <c r="AL165" s="26" t="str">
        <f>IF(B165="", "", 'Lighting Inventory'!AN173)</f>
        <v/>
      </c>
      <c r="AM165" s="26" t="str">
        <f t="shared" si="8"/>
        <v/>
      </c>
      <c r="AN165" s="26" t="str">
        <f>IF(B165="","",IF('Lighting Inventory'!AV173="","Prescribed",'Lighting Inventory'!AV173))</f>
        <v/>
      </c>
      <c r="AO165" s="66" t="str">
        <f>IF(B165="", "", 'Lighting Inventory'!AX173)</f>
        <v/>
      </c>
      <c r="AP165" s="67" t="str">
        <f>IF(B165="", "", 'Lighting Inventory'!AZ173)</f>
        <v/>
      </c>
      <c r="AQ165" s="67" t="str">
        <f>IF(B165="", "", 'Lighting Inventory'!BA173)</f>
        <v/>
      </c>
      <c r="AR165" s="67" t="str">
        <f>IF(B165="", "", 'Lighting Inventory'!BB173)</f>
        <v/>
      </c>
      <c r="AS165" s="67" t="str">
        <f>IF(B165="", "", 'Lighting Inventory'!BC173)</f>
        <v/>
      </c>
      <c r="AT165" s="67" t="str">
        <f>IF(B165="", "", 'Lighting Inventory'!BD173)</f>
        <v/>
      </c>
      <c r="AU165" s="67" t="str">
        <f>IF(B165="", "", 'Lighting Inventory'!BE173)</f>
        <v/>
      </c>
      <c r="AV165" s="67" t="str">
        <f>IF(B165="", "", 'Lighting Inventory'!BE173)</f>
        <v/>
      </c>
      <c r="AW165" s="67" t="str">
        <f>IF(B165="", "", 'Lighting Inventory'!BF173)</f>
        <v/>
      </c>
      <c r="AX165" s="67" t="str">
        <f>IF(B165="", "", 'Lighting Inventory'!BF173)</f>
        <v/>
      </c>
      <c r="AY165" s="65" t="str">
        <f t="shared" si="10"/>
        <v/>
      </c>
      <c r="AZ165" s="65" t="str">
        <f>IF(B165="", "", 'Lighting Inventory'!BJ173)</f>
        <v/>
      </c>
      <c r="BA165" s="65" t="str">
        <f>IF(B165="", "", 'Lighting Inventory'!BM173)</f>
        <v/>
      </c>
      <c r="BB165" s="65" t="str">
        <f>IF(B165="","",SUM('Lighting Inventory'!BP173:BP173))</f>
        <v/>
      </c>
      <c r="BC165" s="67" t="str">
        <f>IF(OR(AE165="", B165=""),"", 'Lighting Inventory'!GR173)</f>
        <v/>
      </c>
      <c r="BD165" s="67" t="str">
        <f>IFERROR(IF(B165="", "", 'Lighting Inventory'!AF173)*AD165," ")</f>
        <v xml:space="preserve"> </v>
      </c>
      <c r="BE165" s="67"/>
      <c r="BF165" s="67"/>
    </row>
    <row r="166" spans="1:58" x14ac:dyDescent="0.25">
      <c r="A166" s="26" t="str">
        <f>IF(B166="", "", 'Lookup Tables'!AW167)</f>
        <v/>
      </c>
      <c r="B166" s="26" t="str">
        <f>IF(OR('Lighting Inventory'!Y174="", 'Lighting Inventory'!V174="No Change"),"", 'Lighting Inventory'!Y174)</f>
        <v/>
      </c>
      <c r="C166" s="26" t="str">
        <f>IF(B166="", "", IF('Lighting Inventory'!Y174='Lookup Tables'!$Y$32, 'Lighting Inventory'!AJ174, IF(AD166=0, R166, AD166)))</f>
        <v/>
      </c>
      <c r="D166" s="26" t="str">
        <f>IF(B166="", "", 'General Information'!$F$14)</f>
        <v/>
      </c>
      <c r="E166" s="26" t="str">
        <f t="shared" si="9"/>
        <v/>
      </c>
      <c r="F166" s="26" t="str">
        <f>IF(B166="", "", CONCATENATE('General Information'!$F$9, " - ", 'General Information'!$F$14))</f>
        <v/>
      </c>
      <c r="G166" s="26" t="str">
        <f>IF(B166="", "", 'General Information'!$F$15)</f>
        <v/>
      </c>
      <c r="H166" s="26" t="str">
        <f>IF(B166="", "", IF(VLOOKUP(B166, 'Lookup Tables'!$Y$18:$AA$34, 2, FALSE)="Traffic", VLOOKUP('Lighting Inventory'!W174, 'Lookup Tables'!#REF!, 11, FALSE), VLOOKUP(B166, 'Lookup Tables'!$Y$18:$AA$34, 2, FALSE)))</f>
        <v/>
      </c>
      <c r="I166" s="26" t="str">
        <f>IF(B166="", "", CONCATENATE(D166, 'Data Export'!A166))</f>
        <v/>
      </c>
      <c r="J166" s="26" t="str">
        <f>IF(B166="", "", 'Lookup Tables'!$B$1)</f>
        <v/>
      </c>
      <c r="K166" s="26" t="str">
        <f>IF(B166="", "", 'Lighting Inventory'!B174)</f>
        <v/>
      </c>
      <c r="L166" s="26" t="str">
        <f>IF(B166="", "", 'Lighting Inventory'!C174)</f>
        <v/>
      </c>
      <c r="M166" s="26" t="str">
        <f>IF(B166="", "",'Lighting Inventory'!D174)</f>
        <v/>
      </c>
      <c r="N166" s="26" t="str">
        <f>IF(B166="", "",'Lighting Inventory'!E174)</f>
        <v/>
      </c>
      <c r="O166" s="26" t="str">
        <f>IF(B166="", "", 'Lighting Inventory'!F174)</f>
        <v/>
      </c>
      <c r="P166" s="26" t="str">
        <f>IF(B166="", "", 'Lighting Inventory'!G174)</f>
        <v/>
      </c>
      <c r="Q166" s="26" t="str">
        <f>IF(B166="", "", 'Lighting Inventory'!H174)</f>
        <v/>
      </c>
      <c r="R166" s="26" t="str">
        <f>IF(B166="", "", 'Lighting Inventory'!I174)</f>
        <v/>
      </c>
      <c r="S166" s="26" t="str">
        <f>IF(B166="", "", 'Lighting Inventory'!J174)</f>
        <v/>
      </c>
      <c r="T166" s="26" t="str">
        <f>IFERROR(IF(B166="","",VLOOKUP(S166,'Fixture Identities'!$A$7:$G$1023,5,FALSE)), "New Construction")</f>
        <v/>
      </c>
      <c r="U166" s="26" t="str">
        <f>IFERROR(IF(B166="", "", IF(K166="New Construction", "NC", IF(VLOOKUP(S166, 'Fixture Identities'!$A$7:$I$1023,3, FALSE)="T12 Linear Fluorescent", VLOOKUP(S166, 'Fixture Identities'!$A$7:$K$1012, 11, FALSE), S166))), "")</f>
        <v/>
      </c>
      <c r="V166" s="26" t="str">
        <f>IFERROR(IF(OR(B166="", U166=0), "", VLOOKUP(U166, 'Fixture Identities'!$A$7:$G$1023, 5, FALSE)), "")</f>
        <v/>
      </c>
      <c r="W166" s="26" t="str">
        <f>IF(B166="", "",'Lighting Inventory'!K174)</f>
        <v/>
      </c>
      <c r="X166" s="65" t="str">
        <f>IF(B166="", "", 'Lighting Inventory'!L174)</f>
        <v/>
      </c>
      <c r="Y166" s="26" t="str">
        <f>IF(B166="", "", IF('Lighting Inventory'!M174="", "Light Switch",'Lighting Inventory'!M174))</f>
        <v/>
      </c>
      <c r="Z166" s="26" t="str">
        <f>IF(OR(K166="Retrofit", B166=""), "", 'Lighting Inventory'!N174)</f>
        <v/>
      </c>
      <c r="AA166" s="26" t="str">
        <f>IF(OR(Z166="",B166=""), "", 'Lighting Inventory'!O174)</f>
        <v/>
      </c>
      <c r="AB166" s="26" t="str">
        <f>IF(B166="", "", 'Lighting Inventory'!P174)</f>
        <v/>
      </c>
      <c r="AC166" s="96" t="str">
        <f>IF(B166="", "", 'Lighting Inventory'!R174)</f>
        <v/>
      </c>
      <c r="AD166" s="26" t="str">
        <f>IF(B166="", "", 'Lighting Inventory'!S174)</f>
        <v/>
      </c>
      <c r="AE166" s="26" t="str">
        <f>IF(B166="", "", 'Lighting Inventory'!V174)</f>
        <v/>
      </c>
      <c r="AF166" s="26" t="str">
        <f>IF(B166="", "", 'Lighting Inventory'!W174)</f>
        <v/>
      </c>
      <c r="AG166" s="26" t="str">
        <f>IF(OR(AF166="", B166=""), "", IF(AE166="Custom", "0", VLOOKUP(AF166, 'Lookup Tables'!$AI$6:$AP$102, 8, FALSE)))</f>
        <v/>
      </c>
      <c r="AH166" s="26" t="str">
        <f>IF(B166="", "", 'Lighting Inventory'!AD174)</f>
        <v/>
      </c>
      <c r="AI166" s="26" t="str">
        <f>IF(OR('Lighting Inventory'!AK174="", B166=""), "", 'Lighting Inventory'!AK174)</f>
        <v/>
      </c>
      <c r="AJ166" s="66" t="str">
        <f>IF(B166="", "", 'Lighting Inventory'!AL174)</f>
        <v/>
      </c>
      <c r="AK166" s="65" t="str">
        <f>IF(B166="", "", 'Lighting Inventory'!AM174)</f>
        <v/>
      </c>
      <c r="AL166" s="26" t="str">
        <f>IF(B166="", "", 'Lighting Inventory'!AN174)</f>
        <v/>
      </c>
      <c r="AM166" s="26" t="str">
        <f t="shared" si="8"/>
        <v/>
      </c>
      <c r="AN166" s="26" t="str">
        <f>IF(B166="","",IF('Lighting Inventory'!AV174="","Prescribed",'Lighting Inventory'!AV174))</f>
        <v/>
      </c>
      <c r="AO166" s="66" t="str">
        <f>IF(B166="", "", 'Lighting Inventory'!AX174)</f>
        <v/>
      </c>
      <c r="AP166" s="67" t="str">
        <f>IF(B166="", "", 'Lighting Inventory'!AZ174)</f>
        <v/>
      </c>
      <c r="AQ166" s="67" t="str">
        <f>IF(B166="", "", 'Lighting Inventory'!BA174)</f>
        <v/>
      </c>
      <c r="AR166" s="67" t="str">
        <f>IF(B166="", "", 'Lighting Inventory'!BB174)</f>
        <v/>
      </c>
      <c r="AS166" s="67" t="str">
        <f>IF(B166="", "", 'Lighting Inventory'!BC174)</f>
        <v/>
      </c>
      <c r="AT166" s="67" t="str">
        <f>IF(B166="", "", 'Lighting Inventory'!BD174)</f>
        <v/>
      </c>
      <c r="AU166" s="67" t="str">
        <f>IF(B166="", "", 'Lighting Inventory'!BE174)</f>
        <v/>
      </c>
      <c r="AV166" s="67" t="str">
        <f>IF(B166="", "", 'Lighting Inventory'!BE174)</f>
        <v/>
      </c>
      <c r="AW166" s="67" t="str">
        <f>IF(B166="", "", 'Lighting Inventory'!BF174)</f>
        <v/>
      </c>
      <c r="AX166" s="67" t="str">
        <f>IF(B166="", "", 'Lighting Inventory'!BF174)</f>
        <v/>
      </c>
      <c r="AY166" s="65" t="str">
        <f t="shared" si="10"/>
        <v/>
      </c>
      <c r="AZ166" s="65" t="str">
        <f>IF(B166="", "", 'Lighting Inventory'!BJ174)</f>
        <v/>
      </c>
      <c r="BA166" s="65" t="str">
        <f>IF(B166="", "", 'Lighting Inventory'!BM174)</f>
        <v/>
      </c>
      <c r="BB166" s="65" t="str">
        <f>IF(B166="","",SUM('Lighting Inventory'!BP174:BP174))</f>
        <v/>
      </c>
      <c r="BC166" s="67" t="str">
        <f>IF(OR(AE166="", B166=""),"", 'Lighting Inventory'!GR174)</f>
        <v/>
      </c>
      <c r="BD166" s="67" t="str">
        <f>IFERROR(IF(B166="", "", 'Lighting Inventory'!AF174)*AD166," ")</f>
        <v xml:space="preserve"> </v>
      </c>
      <c r="BE166" s="67"/>
      <c r="BF166" s="67"/>
    </row>
    <row r="167" spans="1:58" x14ac:dyDescent="0.25">
      <c r="A167" s="26" t="str">
        <f>IF(B167="", "", 'Lookup Tables'!AW168)</f>
        <v/>
      </c>
      <c r="B167" s="26" t="str">
        <f>IF(OR('Lighting Inventory'!Y175="", 'Lighting Inventory'!V175="No Change"),"", 'Lighting Inventory'!Y175)</f>
        <v/>
      </c>
      <c r="C167" s="26" t="str">
        <f>IF(B167="", "", IF('Lighting Inventory'!Y175='Lookup Tables'!$Y$32, 'Lighting Inventory'!AJ175, IF(AD167=0, R167, AD167)))</f>
        <v/>
      </c>
      <c r="D167" s="26" t="str">
        <f>IF(B167="", "", 'General Information'!$F$14)</f>
        <v/>
      </c>
      <c r="E167" s="26" t="str">
        <f t="shared" si="9"/>
        <v/>
      </c>
      <c r="F167" s="26" t="str">
        <f>IF(B167="", "", CONCATENATE('General Information'!$F$9, " - ", 'General Information'!$F$14))</f>
        <v/>
      </c>
      <c r="G167" s="26" t="str">
        <f>IF(B167="", "", 'General Information'!$F$15)</f>
        <v/>
      </c>
      <c r="H167" s="26" t="str">
        <f>IF(B167="", "", IF(VLOOKUP(B167, 'Lookup Tables'!$Y$18:$AA$34, 2, FALSE)="Traffic", VLOOKUP('Lighting Inventory'!W175, 'Lookup Tables'!#REF!, 11, FALSE), VLOOKUP(B167, 'Lookup Tables'!$Y$18:$AA$34, 2, FALSE)))</f>
        <v/>
      </c>
      <c r="I167" s="26" t="str">
        <f>IF(B167="", "", CONCATENATE(D167, 'Data Export'!A167))</f>
        <v/>
      </c>
      <c r="J167" s="26" t="str">
        <f>IF(B167="", "", 'Lookup Tables'!$B$1)</f>
        <v/>
      </c>
      <c r="K167" s="26" t="str">
        <f>IF(B167="", "", 'Lighting Inventory'!B175)</f>
        <v/>
      </c>
      <c r="L167" s="26" t="str">
        <f>IF(B167="", "", 'Lighting Inventory'!C175)</f>
        <v/>
      </c>
      <c r="M167" s="26" t="str">
        <f>IF(B167="", "",'Lighting Inventory'!D175)</f>
        <v/>
      </c>
      <c r="N167" s="26" t="str">
        <f>IF(B167="", "",'Lighting Inventory'!E175)</f>
        <v/>
      </c>
      <c r="O167" s="26" t="str">
        <f>IF(B167="", "", 'Lighting Inventory'!F175)</f>
        <v/>
      </c>
      <c r="P167" s="26" t="str">
        <f>IF(B167="", "", 'Lighting Inventory'!G175)</f>
        <v/>
      </c>
      <c r="Q167" s="26" t="str">
        <f>IF(B167="", "", 'Lighting Inventory'!H175)</f>
        <v/>
      </c>
      <c r="R167" s="26" t="str">
        <f>IF(B167="", "", 'Lighting Inventory'!I175)</f>
        <v/>
      </c>
      <c r="S167" s="26" t="str">
        <f>IF(B167="", "", 'Lighting Inventory'!J175)</f>
        <v/>
      </c>
      <c r="T167" s="26" t="str">
        <f>IFERROR(IF(B167="","",VLOOKUP(S167,'Fixture Identities'!$A$7:$G$1023,5,FALSE)), "New Construction")</f>
        <v/>
      </c>
      <c r="U167" s="26" t="str">
        <f>IFERROR(IF(B167="", "", IF(K167="New Construction", "NC", IF(VLOOKUP(S167, 'Fixture Identities'!$A$7:$I$1023,3, FALSE)="T12 Linear Fluorescent", VLOOKUP(S167, 'Fixture Identities'!$A$7:$K$1012, 11, FALSE), S167))), "")</f>
        <v/>
      </c>
      <c r="V167" s="26" t="str">
        <f>IFERROR(IF(OR(B167="", U167=0), "", VLOOKUP(U167, 'Fixture Identities'!$A$7:$G$1023, 5, FALSE)), "")</f>
        <v/>
      </c>
      <c r="W167" s="26" t="str">
        <f>IF(B167="", "",'Lighting Inventory'!K175)</f>
        <v/>
      </c>
      <c r="X167" s="65" t="str">
        <f>IF(B167="", "", 'Lighting Inventory'!L175)</f>
        <v/>
      </c>
      <c r="Y167" s="26" t="str">
        <f>IF(B167="", "", IF('Lighting Inventory'!M175="", "Light Switch",'Lighting Inventory'!M175))</f>
        <v/>
      </c>
      <c r="Z167" s="26" t="str">
        <f>IF(OR(K167="Retrofit", B167=""), "", 'Lighting Inventory'!N175)</f>
        <v/>
      </c>
      <c r="AA167" s="26" t="str">
        <f>IF(OR(Z167="",B167=""), "", 'Lighting Inventory'!O175)</f>
        <v/>
      </c>
      <c r="AB167" s="26" t="str">
        <f>IF(B167="", "", 'Lighting Inventory'!P175)</f>
        <v/>
      </c>
      <c r="AC167" s="96" t="str">
        <f>IF(B167="", "", 'Lighting Inventory'!R175)</f>
        <v/>
      </c>
      <c r="AD167" s="26" t="str">
        <f>IF(B167="", "", 'Lighting Inventory'!S175)</f>
        <v/>
      </c>
      <c r="AE167" s="26" t="str">
        <f>IF(B167="", "", 'Lighting Inventory'!V175)</f>
        <v/>
      </c>
      <c r="AF167" s="26" t="str">
        <f>IF(B167="", "", 'Lighting Inventory'!W175)</f>
        <v/>
      </c>
      <c r="AG167" s="26" t="str">
        <f>IF(OR(AF167="", B167=""), "", IF(AE167="Custom", "0", VLOOKUP(AF167, 'Lookup Tables'!$AI$6:$AP$102, 8, FALSE)))</f>
        <v/>
      </c>
      <c r="AH167" s="26" t="str">
        <f>IF(B167="", "", 'Lighting Inventory'!AD175)</f>
        <v/>
      </c>
      <c r="AI167" s="26" t="str">
        <f>IF(OR('Lighting Inventory'!AK175="", B167=""), "", 'Lighting Inventory'!AK175)</f>
        <v/>
      </c>
      <c r="AJ167" s="66" t="str">
        <f>IF(B167="", "", 'Lighting Inventory'!AL175)</f>
        <v/>
      </c>
      <c r="AK167" s="65" t="str">
        <f>IF(B167="", "", 'Lighting Inventory'!AM175)</f>
        <v/>
      </c>
      <c r="AL167" s="26" t="str">
        <f>IF(B167="", "", 'Lighting Inventory'!AN175)</f>
        <v/>
      </c>
      <c r="AM167" s="26" t="str">
        <f t="shared" si="8"/>
        <v/>
      </c>
      <c r="AN167" s="26" t="str">
        <f>IF(B167="","",IF('Lighting Inventory'!AV175="","Prescribed",'Lighting Inventory'!AV175))</f>
        <v/>
      </c>
      <c r="AO167" s="66" t="str">
        <f>IF(B167="", "", 'Lighting Inventory'!AX175)</f>
        <v/>
      </c>
      <c r="AP167" s="67" t="str">
        <f>IF(B167="", "", 'Lighting Inventory'!AZ175)</f>
        <v/>
      </c>
      <c r="AQ167" s="67" t="str">
        <f>IF(B167="", "", 'Lighting Inventory'!BA175)</f>
        <v/>
      </c>
      <c r="AR167" s="67" t="str">
        <f>IF(B167="", "", 'Lighting Inventory'!BB175)</f>
        <v/>
      </c>
      <c r="AS167" s="67" t="str">
        <f>IF(B167="", "", 'Lighting Inventory'!BC175)</f>
        <v/>
      </c>
      <c r="AT167" s="67" t="str">
        <f>IF(B167="", "", 'Lighting Inventory'!BD175)</f>
        <v/>
      </c>
      <c r="AU167" s="67" t="str">
        <f>IF(B167="", "", 'Lighting Inventory'!BE175)</f>
        <v/>
      </c>
      <c r="AV167" s="67" t="str">
        <f>IF(B167="", "", 'Lighting Inventory'!BE175)</f>
        <v/>
      </c>
      <c r="AW167" s="67" t="str">
        <f>IF(B167="", "", 'Lighting Inventory'!BF175)</f>
        <v/>
      </c>
      <c r="AX167" s="67" t="str">
        <f>IF(B167="", "", 'Lighting Inventory'!BF175)</f>
        <v/>
      </c>
      <c r="AY167" s="65" t="str">
        <f t="shared" si="10"/>
        <v/>
      </c>
      <c r="AZ167" s="65" t="str">
        <f>IF(B167="", "", 'Lighting Inventory'!BJ175)</f>
        <v/>
      </c>
      <c r="BA167" s="65" t="str">
        <f>IF(B167="", "", 'Lighting Inventory'!BM175)</f>
        <v/>
      </c>
      <c r="BB167" s="65" t="str">
        <f>IF(B167="","",SUM('Lighting Inventory'!BP175:BP175))</f>
        <v/>
      </c>
      <c r="BC167" s="67" t="str">
        <f>IF(OR(AE167="", B167=""),"", 'Lighting Inventory'!GR175)</f>
        <v/>
      </c>
      <c r="BD167" s="67" t="str">
        <f>IFERROR(IF(B167="", "", 'Lighting Inventory'!AF175)*AD167," ")</f>
        <v xml:space="preserve"> </v>
      </c>
      <c r="BE167" s="67"/>
      <c r="BF167" s="67"/>
    </row>
    <row r="168" spans="1:58" x14ac:dyDescent="0.25">
      <c r="A168" s="26" t="str">
        <f>IF(B168="", "", 'Lookup Tables'!AW169)</f>
        <v/>
      </c>
      <c r="B168" s="26" t="str">
        <f>IF(OR('Lighting Inventory'!Y176="", 'Lighting Inventory'!V176="No Change"),"", 'Lighting Inventory'!Y176)</f>
        <v/>
      </c>
      <c r="C168" s="26" t="str">
        <f>IF(B168="", "", IF('Lighting Inventory'!Y176='Lookup Tables'!$Y$32, 'Lighting Inventory'!AJ176, IF(AD168=0, R168, AD168)))</f>
        <v/>
      </c>
      <c r="D168" s="26" t="str">
        <f>IF(B168="", "", 'General Information'!$F$14)</f>
        <v/>
      </c>
      <c r="E168" s="26" t="str">
        <f t="shared" si="9"/>
        <v/>
      </c>
      <c r="F168" s="26" t="str">
        <f>IF(B168="", "", CONCATENATE('General Information'!$F$9, " - ", 'General Information'!$F$14))</f>
        <v/>
      </c>
      <c r="G168" s="26" t="str">
        <f>IF(B168="", "", 'General Information'!$F$15)</f>
        <v/>
      </c>
      <c r="H168" s="26" t="str">
        <f>IF(B168="", "", IF(VLOOKUP(B168, 'Lookup Tables'!$Y$18:$AA$34, 2, FALSE)="Traffic", VLOOKUP('Lighting Inventory'!W176, 'Lookup Tables'!#REF!, 11, FALSE), VLOOKUP(B168, 'Lookup Tables'!$Y$18:$AA$34, 2, FALSE)))</f>
        <v/>
      </c>
      <c r="I168" s="26" t="str">
        <f>IF(B168="", "", CONCATENATE(D168, 'Data Export'!A168))</f>
        <v/>
      </c>
      <c r="J168" s="26" t="str">
        <f>IF(B168="", "", 'Lookup Tables'!$B$1)</f>
        <v/>
      </c>
      <c r="K168" s="26" t="str">
        <f>IF(B168="", "", 'Lighting Inventory'!B176)</f>
        <v/>
      </c>
      <c r="L168" s="26" t="str">
        <f>IF(B168="", "", 'Lighting Inventory'!C176)</f>
        <v/>
      </c>
      <c r="M168" s="26" t="str">
        <f>IF(B168="", "",'Lighting Inventory'!D176)</f>
        <v/>
      </c>
      <c r="N168" s="26" t="str">
        <f>IF(B168="", "",'Lighting Inventory'!E176)</f>
        <v/>
      </c>
      <c r="O168" s="26" t="str">
        <f>IF(B168="", "", 'Lighting Inventory'!F176)</f>
        <v/>
      </c>
      <c r="P168" s="26" t="str">
        <f>IF(B168="", "", 'Lighting Inventory'!G176)</f>
        <v/>
      </c>
      <c r="Q168" s="26" t="str">
        <f>IF(B168="", "", 'Lighting Inventory'!H176)</f>
        <v/>
      </c>
      <c r="R168" s="26" t="str">
        <f>IF(B168="", "", 'Lighting Inventory'!I176)</f>
        <v/>
      </c>
      <c r="S168" s="26" t="str">
        <f>IF(B168="", "", 'Lighting Inventory'!J176)</f>
        <v/>
      </c>
      <c r="T168" s="26" t="str">
        <f>IFERROR(IF(B168="","",VLOOKUP(S168,'Fixture Identities'!$A$7:$G$1023,5,FALSE)), "New Construction")</f>
        <v/>
      </c>
      <c r="U168" s="26" t="str">
        <f>IFERROR(IF(B168="", "", IF(K168="New Construction", "NC", IF(VLOOKUP(S168, 'Fixture Identities'!$A$7:$I$1023,3, FALSE)="T12 Linear Fluorescent", VLOOKUP(S168, 'Fixture Identities'!$A$7:$K$1012, 11, FALSE), S168))), "")</f>
        <v/>
      </c>
      <c r="V168" s="26" t="str">
        <f>IFERROR(IF(OR(B168="", U168=0), "", VLOOKUP(U168, 'Fixture Identities'!$A$7:$G$1023, 5, FALSE)), "")</f>
        <v/>
      </c>
      <c r="W168" s="26" t="str">
        <f>IF(B168="", "",'Lighting Inventory'!K176)</f>
        <v/>
      </c>
      <c r="X168" s="65" t="str">
        <f>IF(B168="", "", 'Lighting Inventory'!L176)</f>
        <v/>
      </c>
      <c r="Y168" s="26" t="str">
        <f>IF(B168="", "", IF('Lighting Inventory'!M176="", "Light Switch",'Lighting Inventory'!M176))</f>
        <v/>
      </c>
      <c r="Z168" s="26" t="str">
        <f>IF(OR(K168="Retrofit", B168=""), "", 'Lighting Inventory'!N176)</f>
        <v/>
      </c>
      <c r="AA168" s="26" t="str">
        <f>IF(OR(Z168="",B168=""), "", 'Lighting Inventory'!O176)</f>
        <v/>
      </c>
      <c r="AB168" s="26" t="str">
        <f>IF(B168="", "", 'Lighting Inventory'!P176)</f>
        <v/>
      </c>
      <c r="AC168" s="96" t="str">
        <f>IF(B168="", "", 'Lighting Inventory'!R176)</f>
        <v/>
      </c>
      <c r="AD168" s="26" t="str">
        <f>IF(B168="", "", 'Lighting Inventory'!S176)</f>
        <v/>
      </c>
      <c r="AE168" s="26" t="str">
        <f>IF(B168="", "", 'Lighting Inventory'!V176)</f>
        <v/>
      </c>
      <c r="AF168" s="26" t="str">
        <f>IF(B168="", "", 'Lighting Inventory'!W176)</f>
        <v/>
      </c>
      <c r="AG168" s="26" t="str">
        <f>IF(OR(AF168="", B168=""), "", IF(AE168="Custom", "0", VLOOKUP(AF168, 'Lookup Tables'!$AI$6:$AP$102, 8, FALSE)))</f>
        <v/>
      </c>
      <c r="AH168" s="26" t="str">
        <f>IF(B168="", "", 'Lighting Inventory'!AD176)</f>
        <v/>
      </c>
      <c r="AI168" s="26" t="str">
        <f>IF(OR('Lighting Inventory'!AK176="", B168=""), "", 'Lighting Inventory'!AK176)</f>
        <v/>
      </c>
      <c r="AJ168" s="66" t="str">
        <f>IF(B168="", "", 'Lighting Inventory'!AL176)</f>
        <v/>
      </c>
      <c r="AK168" s="65" t="str">
        <f>IF(B168="", "", 'Lighting Inventory'!AM176)</f>
        <v/>
      </c>
      <c r="AL168" s="26" t="str">
        <f>IF(B168="", "", 'Lighting Inventory'!AN176)</f>
        <v/>
      </c>
      <c r="AM168" s="26" t="str">
        <f t="shared" si="8"/>
        <v/>
      </c>
      <c r="AN168" s="26" t="str">
        <f>IF(B168="","",IF('Lighting Inventory'!AV176="","Prescribed",'Lighting Inventory'!AV176))</f>
        <v/>
      </c>
      <c r="AO168" s="66" t="str">
        <f>IF(B168="", "", 'Lighting Inventory'!AX176)</f>
        <v/>
      </c>
      <c r="AP168" s="67" t="str">
        <f>IF(B168="", "", 'Lighting Inventory'!AZ176)</f>
        <v/>
      </c>
      <c r="AQ168" s="67" t="str">
        <f>IF(B168="", "", 'Lighting Inventory'!BA176)</f>
        <v/>
      </c>
      <c r="AR168" s="67" t="str">
        <f>IF(B168="", "", 'Lighting Inventory'!BB176)</f>
        <v/>
      </c>
      <c r="AS168" s="67" t="str">
        <f>IF(B168="", "", 'Lighting Inventory'!BC176)</f>
        <v/>
      </c>
      <c r="AT168" s="67" t="str">
        <f>IF(B168="", "", 'Lighting Inventory'!BD176)</f>
        <v/>
      </c>
      <c r="AU168" s="67" t="str">
        <f>IF(B168="", "", 'Lighting Inventory'!BE176)</f>
        <v/>
      </c>
      <c r="AV168" s="67" t="str">
        <f>IF(B168="", "", 'Lighting Inventory'!BE176)</f>
        <v/>
      </c>
      <c r="AW168" s="67" t="str">
        <f>IF(B168="", "", 'Lighting Inventory'!BF176)</f>
        <v/>
      </c>
      <c r="AX168" s="67" t="str">
        <f>IF(B168="", "", 'Lighting Inventory'!BF176)</f>
        <v/>
      </c>
      <c r="AY168" s="65" t="str">
        <f t="shared" si="10"/>
        <v/>
      </c>
      <c r="AZ168" s="65" t="str">
        <f>IF(B168="", "", 'Lighting Inventory'!BJ176)</f>
        <v/>
      </c>
      <c r="BA168" s="65" t="str">
        <f>IF(B168="", "", 'Lighting Inventory'!BM176)</f>
        <v/>
      </c>
      <c r="BB168" s="65" t="str">
        <f>IF(B168="","",SUM('Lighting Inventory'!BP176:BP176))</f>
        <v/>
      </c>
      <c r="BC168" s="67" t="str">
        <f>IF(OR(AE168="", B168=""),"", 'Lighting Inventory'!GR176)</f>
        <v/>
      </c>
      <c r="BD168" s="67" t="str">
        <f>IFERROR(IF(B168="", "", 'Lighting Inventory'!AF176)*AD168," ")</f>
        <v xml:space="preserve"> </v>
      </c>
      <c r="BE168" s="67"/>
      <c r="BF168" s="67"/>
    </row>
    <row r="169" spans="1:58" x14ac:dyDescent="0.25">
      <c r="A169" s="26" t="str">
        <f>IF(B169="", "", 'Lookup Tables'!AW170)</f>
        <v/>
      </c>
      <c r="B169" s="26" t="str">
        <f>IF(OR('Lighting Inventory'!Y177="", 'Lighting Inventory'!V177="No Change"),"", 'Lighting Inventory'!Y177)</f>
        <v/>
      </c>
      <c r="C169" s="26" t="str">
        <f>IF(B169="", "", IF('Lighting Inventory'!Y177='Lookup Tables'!$Y$32, 'Lighting Inventory'!AJ177, IF(AD169=0, R169, AD169)))</f>
        <v/>
      </c>
      <c r="D169" s="26" t="str">
        <f>IF(B169="", "", 'General Information'!$F$14)</f>
        <v/>
      </c>
      <c r="E169" s="26" t="str">
        <f t="shared" si="9"/>
        <v/>
      </c>
      <c r="F169" s="26" t="str">
        <f>IF(B169="", "", CONCATENATE('General Information'!$F$9, " - ", 'General Information'!$F$14))</f>
        <v/>
      </c>
      <c r="G169" s="26" t="str">
        <f>IF(B169="", "", 'General Information'!$F$15)</f>
        <v/>
      </c>
      <c r="H169" s="26" t="str">
        <f>IF(B169="", "", IF(VLOOKUP(B169, 'Lookup Tables'!$Y$18:$AA$34, 2, FALSE)="Traffic", VLOOKUP('Lighting Inventory'!W177, 'Lookup Tables'!#REF!, 11, FALSE), VLOOKUP(B169, 'Lookup Tables'!$Y$18:$AA$34, 2, FALSE)))</f>
        <v/>
      </c>
      <c r="I169" s="26" t="str">
        <f>IF(B169="", "", CONCATENATE(D169, 'Data Export'!A169))</f>
        <v/>
      </c>
      <c r="J169" s="26" t="str">
        <f>IF(B169="", "", 'Lookup Tables'!$B$1)</f>
        <v/>
      </c>
      <c r="K169" s="26" t="str">
        <f>IF(B169="", "", 'Lighting Inventory'!B177)</f>
        <v/>
      </c>
      <c r="L169" s="26" t="str">
        <f>IF(B169="", "", 'Lighting Inventory'!C177)</f>
        <v/>
      </c>
      <c r="M169" s="26" t="str">
        <f>IF(B169="", "",'Lighting Inventory'!D177)</f>
        <v/>
      </c>
      <c r="N169" s="26" t="str">
        <f>IF(B169="", "",'Lighting Inventory'!E177)</f>
        <v/>
      </c>
      <c r="O169" s="26" t="str">
        <f>IF(B169="", "", 'Lighting Inventory'!F177)</f>
        <v/>
      </c>
      <c r="P169" s="26" t="str">
        <f>IF(B169="", "", 'Lighting Inventory'!G177)</f>
        <v/>
      </c>
      <c r="Q169" s="26" t="str">
        <f>IF(B169="", "", 'Lighting Inventory'!H177)</f>
        <v/>
      </c>
      <c r="R169" s="26" t="str">
        <f>IF(B169="", "", 'Lighting Inventory'!I177)</f>
        <v/>
      </c>
      <c r="S169" s="26" t="str">
        <f>IF(B169="", "", 'Lighting Inventory'!J177)</f>
        <v/>
      </c>
      <c r="T169" s="26" t="str">
        <f>IFERROR(IF(B169="","",VLOOKUP(S169,'Fixture Identities'!$A$7:$G$1023,5,FALSE)), "New Construction")</f>
        <v/>
      </c>
      <c r="U169" s="26" t="str">
        <f>IFERROR(IF(B169="", "", IF(K169="New Construction", "NC", IF(VLOOKUP(S169, 'Fixture Identities'!$A$7:$I$1023,3, FALSE)="T12 Linear Fluorescent", VLOOKUP(S169, 'Fixture Identities'!$A$7:$K$1012, 11, FALSE), S169))), "")</f>
        <v/>
      </c>
      <c r="V169" s="26" t="str">
        <f>IFERROR(IF(OR(B169="", U169=0), "", VLOOKUP(U169, 'Fixture Identities'!$A$7:$G$1023, 5, FALSE)), "")</f>
        <v/>
      </c>
      <c r="W169" s="26" t="str">
        <f>IF(B169="", "",'Lighting Inventory'!K177)</f>
        <v/>
      </c>
      <c r="X169" s="65" t="str">
        <f>IF(B169="", "", 'Lighting Inventory'!L177)</f>
        <v/>
      </c>
      <c r="Y169" s="26" t="str">
        <f>IF(B169="", "", IF('Lighting Inventory'!M177="", "Light Switch",'Lighting Inventory'!M177))</f>
        <v/>
      </c>
      <c r="Z169" s="26" t="str">
        <f>IF(OR(K169="Retrofit", B169=""), "", 'Lighting Inventory'!N177)</f>
        <v/>
      </c>
      <c r="AA169" s="26" t="str">
        <f>IF(OR(Z169="",B169=""), "", 'Lighting Inventory'!O177)</f>
        <v/>
      </c>
      <c r="AB169" s="26" t="str">
        <f>IF(B169="", "", 'Lighting Inventory'!P177)</f>
        <v/>
      </c>
      <c r="AC169" s="96" t="str">
        <f>IF(B169="", "", 'Lighting Inventory'!R177)</f>
        <v/>
      </c>
      <c r="AD169" s="26" t="str">
        <f>IF(B169="", "", 'Lighting Inventory'!S177)</f>
        <v/>
      </c>
      <c r="AE169" s="26" t="str">
        <f>IF(B169="", "", 'Lighting Inventory'!V177)</f>
        <v/>
      </c>
      <c r="AF169" s="26" t="str">
        <f>IF(B169="", "", 'Lighting Inventory'!W177)</f>
        <v/>
      </c>
      <c r="AG169" s="26" t="str">
        <f>IF(OR(AF169="", B169=""), "", IF(AE169="Custom", "0", VLOOKUP(AF169, 'Lookup Tables'!$AI$6:$AP$102, 8, FALSE)))</f>
        <v/>
      </c>
      <c r="AH169" s="26" t="str">
        <f>IF(B169="", "", 'Lighting Inventory'!AD177)</f>
        <v/>
      </c>
      <c r="AI169" s="26" t="str">
        <f>IF(OR('Lighting Inventory'!AK177="", B169=""), "", 'Lighting Inventory'!AK177)</f>
        <v/>
      </c>
      <c r="AJ169" s="66" t="str">
        <f>IF(B169="", "", 'Lighting Inventory'!AL177)</f>
        <v/>
      </c>
      <c r="AK169" s="65" t="str">
        <f>IF(B169="", "", 'Lighting Inventory'!AM177)</f>
        <v/>
      </c>
      <c r="AL169" s="26" t="str">
        <f>IF(B169="", "", 'Lighting Inventory'!AN177)</f>
        <v/>
      </c>
      <c r="AM169" s="26" t="str">
        <f t="shared" si="8"/>
        <v/>
      </c>
      <c r="AN169" s="26" t="str">
        <f>IF(B169="","",IF('Lighting Inventory'!AV177="","Prescribed",'Lighting Inventory'!AV177))</f>
        <v/>
      </c>
      <c r="AO169" s="66" t="str">
        <f>IF(B169="", "", 'Lighting Inventory'!AX177)</f>
        <v/>
      </c>
      <c r="AP169" s="67" t="str">
        <f>IF(B169="", "", 'Lighting Inventory'!AZ177)</f>
        <v/>
      </c>
      <c r="AQ169" s="67" t="str">
        <f>IF(B169="", "", 'Lighting Inventory'!BA177)</f>
        <v/>
      </c>
      <c r="AR169" s="67" t="str">
        <f>IF(B169="", "", 'Lighting Inventory'!BB177)</f>
        <v/>
      </c>
      <c r="AS169" s="67" t="str">
        <f>IF(B169="", "", 'Lighting Inventory'!BC177)</f>
        <v/>
      </c>
      <c r="AT169" s="67" t="str">
        <f>IF(B169="", "", 'Lighting Inventory'!BD177)</f>
        <v/>
      </c>
      <c r="AU169" s="67" t="str">
        <f>IF(B169="", "", 'Lighting Inventory'!BE177)</f>
        <v/>
      </c>
      <c r="AV169" s="67" t="str">
        <f>IF(B169="", "", 'Lighting Inventory'!BE177)</f>
        <v/>
      </c>
      <c r="AW169" s="67" t="str">
        <f>IF(B169="", "", 'Lighting Inventory'!BF177)</f>
        <v/>
      </c>
      <c r="AX169" s="67" t="str">
        <f>IF(B169="", "", 'Lighting Inventory'!BF177)</f>
        <v/>
      </c>
      <c r="AY169" s="65" t="str">
        <f t="shared" si="10"/>
        <v/>
      </c>
      <c r="AZ169" s="65" t="str">
        <f>IF(B169="", "", 'Lighting Inventory'!BJ177)</f>
        <v/>
      </c>
      <c r="BA169" s="65" t="str">
        <f>IF(B169="", "", 'Lighting Inventory'!BM177)</f>
        <v/>
      </c>
      <c r="BB169" s="65" t="str">
        <f>IF(B169="","",SUM('Lighting Inventory'!BP177:BP177))</f>
        <v/>
      </c>
      <c r="BC169" s="67" t="str">
        <f>IF(OR(AE169="", B169=""),"", 'Lighting Inventory'!GR177)</f>
        <v/>
      </c>
      <c r="BD169" s="67" t="str">
        <f>IFERROR(IF(B169="", "", 'Lighting Inventory'!AF177)*AD169," ")</f>
        <v xml:space="preserve"> </v>
      </c>
      <c r="BE169" s="67"/>
      <c r="BF169" s="67"/>
    </row>
    <row r="170" spans="1:58" x14ac:dyDescent="0.25">
      <c r="A170" s="26" t="str">
        <f>IF(B170="", "", 'Lookup Tables'!AW171)</f>
        <v/>
      </c>
      <c r="B170" s="26" t="str">
        <f>IF(OR('Lighting Inventory'!Y178="", 'Lighting Inventory'!V178="No Change"),"", 'Lighting Inventory'!Y178)</f>
        <v/>
      </c>
      <c r="C170" s="26" t="str">
        <f>IF(B170="", "", IF('Lighting Inventory'!Y178='Lookup Tables'!$Y$32, 'Lighting Inventory'!AJ178, IF(AD170=0, R170, AD170)))</f>
        <v/>
      </c>
      <c r="D170" s="26" t="str">
        <f>IF(B170="", "", 'General Information'!$F$14)</f>
        <v/>
      </c>
      <c r="E170" s="26" t="str">
        <f t="shared" si="9"/>
        <v/>
      </c>
      <c r="F170" s="26" t="str">
        <f>IF(B170="", "", CONCATENATE('General Information'!$F$9, " - ", 'General Information'!$F$14))</f>
        <v/>
      </c>
      <c r="G170" s="26" t="str">
        <f>IF(B170="", "", 'General Information'!$F$15)</f>
        <v/>
      </c>
      <c r="H170" s="26" t="str">
        <f>IF(B170="", "", IF(VLOOKUP(B170, 'Lookup Tables'!$Y$18:$AA$34, 2, FALSE)="Traffic", VLOOKUP('Lighting Inventory'!W178, 'Lookup Tables'!#REF!, 11, FALSE), VLOOKUP(B170, 'Lookup Tables'!$Y$18:$AA$34, 2, FALSE)))</f>
        <v/>
      </c>
      <c r="I170" s="26" t="str">
        <f>IF(B170="", "", CONCATENATE(D170, 'Data Export'!A170))</f>
        <v/>
      </c>
      <c r="J170" s="26" t="str">
        <f>IF(B170="", "", 'Lookup Tables'!$B$1)</f>
        <v/>
      </c>
      <c r="K170" s="26" t="str">
        <f>IF(B170="", "", 'Lighting Inventory'!B178)</f>
        <v/>
      </c>
      <c r="L170" s="26" t="str">
        <f>IF(B170="", "", 'Lighting Inventory'!C178)</f>
        <v/>
      </c>
      <c r="M170" s="26" t="str">
        <f>IF(B170="", "",'Lighting Inventory'!D178)</f>
        <v/>
      </c>
      <c r="N170" s="26" t="str">
        <f>IF(B170="", "",'Lighting Inventory'!E178)</f>
        <v/>
      </c>
      <c r="O170" s="26" t="str">
        <f>IF(B170="", "", 'Lighting Inventory'!F178)</f>
        <v/>
      </c>
      <c r="P170" s="26" t="str">
        <f>IF(B170="", "", 'Lighting Inventory'!G178)</f>
        <v/>
      </c>
      <c r="Q170" s="26" t="str">
        <f>IF(B170="", "", 'Lighting Inventory'!H178)</f>
        <v/>
      </c>
      <c r="R170" s="26" t="str">
        <f>IF(B170="", "", 'Lighting Inventory'!I178)</f>
        <v/>
      </c>
      <c r="S170" s="26" t="str">
        <f>IF(B170="", "", 'Lighting Inventory'!J178)</f>
        <v/>
      </c>
      <c r="T170" s="26" t="str">
        <f>IFERROR(IF(B170="","",VLOOKUP(S170,'Fixture Identities'!$A$7:$G$1023,5,FALSE)), "New Construction")</f>
        <v/>
      </c>
      <c r="U170" s="26" t="str">
        <f>IFERROR(IF(B170="", "", IF(K170="New Construction", "NC", IF(VLOOKUP(S170, 'Fixture Identities'!$A$7:$I$1023,3, FALSE)="T12 Linear Fluorescent", VLOOKUP(S170, 'Fixture Identities'!$A$7:$K$1012, 11, FALSE), S170))), "")</f>
        <v/>
      </c>
      <c r="V170" s="26" t="str">
        <f>IFERROR(IF(OR(B170="", U170=0), "", VLOOKUP(U170, 'Fixture Identities'!$A$7:$G$1023, 5, FALSE)), "")</f>
        <v/>
      </c>
      <c r="W170" s="26" t="str">
        <f>IF(B170="", "",'Lighting Inventory'!K178)</f>
        <v/>
      </c>
      <c r="X170" s="65" t="str">
        <f>IF(B170="", "", 'Lighting Inventory'!L178)</f>
        <v/>
      </c>
      <c r="Y170" s="26" t="str">
        <f>IF(B170="", "", IF('Lighting Inventory'!M178="", "Light Switch",'Lighting Inventory'!M178))</f>
        <v/>
      </c>
      <c r="Z170" s="26" t="str">
        <f>IF(OR(K170="Retrofit", B170=""), "", 'Lighting Inventory'!N178)</f>
        <v/>
      </c>
      <c r="AA170" s="26" t="str">
        <f>IF(OR(Z170="",B170=""), "", 'Lighting Inventory'!O178)</f>
        <v/>
      </c>
      <c r="AB170" s="26" t="str">
        <f>IF(B170="", "", 'Lighting Inventory'!P178)</f>
        <v/>
      </c>
      <c r="AC170" s="96" t="str">
        <f>IF(B170="", "", 'Lighting Inventory'!R178)</f>
        <v/>
      </c>
      <c r="AD170" s="26" t="str">
        <f>IF(B170="", "", 'Lighting Inventory'!S178)</f>
        <v/>
      </c>
      <c r="AE170" s="26" t="str">
        <f>IF(B170="", "", 'Lighting Inventory'!V178)</f>
        <v/>
      </c>
      <c r="AF170" s="26" t="str">
        <f>IF(B170="", "", 'Lighting Inventory'!W178)</f>
        <v/>
      </c>
      <c r="AG170" s="26" t="str">
        <f>IF(OR(AF170="", B170=""), "", IF(AE170="Custom", "0", VLOOKUP(AF170, 'Lookup Tables'!$AI$6:$AP$102, 8, FALSE)))</f>
        <v/>
      </c>
      <c r="AH170" s="26" t="str">
        <f>IF(B170="", "", 'Lighting Inventory'!AD178)</f>
        <v/>
      </c>
      <c r="AI170" s="26" t="str">
        <f>IF(OR('Lighting Inventory'!AK178="", B170=""), "", 'Lighting Inventory'!AK178)</f>
        <v/>
      </c>
      <c r="AJ170" s="66" t="str">
        <f>IF(B170="", "", 'Lighting Inventory'!AL178)</f>
        <v/>
      </c>
      <c r="AK170" s="65" t="str">
        <f>IF(B170="", "", 'Lighting Inventory'!AM178)</f>
        <v/>
      </c>
      <c r="AL170" s="26" t="str">
        <f>IF(B170="", "", 'Lighting Inventory'!AN178)</f>
        <v/>
      </c>
      <c r="AM170" s="26" t="str">
        <f t="shared" si="8"/>
        <v/>
      </c>
      <c r="AN170" s="26" t="str">
        <f>IF(B170="","",IF('Lighting Inventory'!AV178="","Prescribed",'Lighting Inventory'!AV178))</f>
        <v/>
      </c>
      <c r="AO170" s="66" t="str">
        <f>IF(B170="", "", 'Lighting Inventory'!AX178)</f>
        <v/>
      </c>
      <c r="AP170" s="67" t="str">
        <f>IF(B170="", "", 'Lighting Inventory'!AZ178)</f>
        <v/>
      </c>
      <c r="AQ170" s="67" t="str">
        <f>IF(B170="", "", 'Lighting Inventory'!BA178)</f>
        <v/>
      </c>
      <c r="AR170" s="67" t="str">
        <f>IF(B170="", "", 'Lighting Inventory'!BB178)</f>
        <v/>
      </c>
      <c r="AS170" s="67" t="str">
        <f>IF(B170="", "", 'Lighting Inventory'!BC178)</f>
        <v/>
      </c>
      <c r="AT170" s="67" t="str">
        <f>IF(B170="", "", 'Lighting Inventory'!BD178)</f>
        <v/>
      </c>
      <c r="AU170" s="67" t="str">
        <f>IF(B170="", "", 'Lighting Inventory'!BE178)</f>
        <v/>
      </c>
      <c r="AV170" s="67" t="str">
        <f>IF(B170="", "", 'Lighting Inventory'!BE178)</f>
        <v/>
      </c>
      <c r="AW170" s="67" t="str">
        <f>IF(B170="", "", 'Lighting Inventory'!BF178)</f>
        <v/>
      </c>
      <c r="AX170" s="67" t="str">
        <f>IF(B170="", "", 'Lighting Inventory'!BF178)</f>
        <v/>
      </c>
      <c r="AY170" s="65" t="str">
        <f t="shared" si="10"/>
        <v/>
      </c>
      <c r="AZ170" s="65" t="str">
        <f>IF(B170="", "", 'Lighting Inventory'!BJ178)</f>
        <v/>
      </c>
      <c r="BA170" s="65" t="str">
        <f>IF(B170="", "", 'Lighting Inventory'!BM178)</f>
        <v/>
      </c>
      <c r="BB170" s="65" t="str">
        <f>IF(B170="","",SUM('Lighting Inventory'!BP178:BP178))</f>
        <v/>
      </c>
      <c r="BC170" s="67" t="str">
        <f>IF(OR(AE170="", B170=""),"", 'Lighting Inventory'!GR178)</f>
        <v/>
      </c>
      <c r="BD170" s="67" t="str">
        <f>IFERROR(IF(B170="", "", 'Lighting Inventory'!AF178)*AD170," ")</f>
        <v xml:space="preserve"> </v>
      </c>
      <c r="BE170" s="67"/>
      <c r="BF170" s="67"/>
    </row>
    <row r="171" spans="1:58" x14ac:dyDescent="0.25">
      <c r="A171" s="26" t="str">
        <f>IF(B171="", "", 'Lookup Tables'!AW172)</f>
        <v/>
      </c>
      <c r="B171" s="26" t="str">
        <f>IF(OR('Lighting Inventory'!Y179="", 'Lighting Inventory'!V179="No Change"),"", 'Lighting Inventory'!Y179)</f>
        <v/>
      </c>
      <c r="C171" s="26" t="str">
        <f>IF(B171="", "", IF('Lighting Inventory'!Y179='Lookup Tables'!$Y$32, 'Lighting Inventory'!AJ179, IF(AD171=0, R171, AD171)))</f>
        <v/>
      </c>
      <c r="D171" s="26" t="str">
        <f>IF(B171="", "", 'General Information'!$F$14)</f>
        <v/>
      </c>
      <c r="E171" s="26" t="str">
        <f t="shared" si="9"/>
        <v/>
      </c>
      <c r="F171" s="26" t="str">
        <f>IF(B171="", "", CONCATENATE('General Information'!$F$9, " - ", 'General Information'!$F$14))</f>
        <v/>
      </c>
      <c r="G171" s="26" t="str">
        <f>IF(B171="", "", 'General Information'!$F$15)</f>
        <v/>
      </c>
      <c r="H171" s="26" t="str">
        <f>IF(B171="", "", IF(VLOOKUP(B171, 'Lookup Tables'!$Y$18:$AA$34, 2, FALSE)="Traffic", VLOOKUP('Lighting Inventory'!W179, 'Lookup Tables'!#REF!, 11, FALSE), VLOOKUP(B171, 'Lookup Tables'!$Y$18:$AA$34, 2, FALSE)))</f>
        <v/>
      </c>
      <c r="I171" s="26" t="str">
        <f>IF(B171="", "", CONCATENATE(D171, 'Data Export'!A171))</f>
        <v/>
      </c>
      <c r="J171" s="26" t="str">
        <f>IF(B171="", "", 'Lookup Tables'!$B$1)</f>
        <v/>
      </c>
      <c r="K171" s="26" t="str">
        <f>IF(B171="", "", 'Lighting Inventory'!B179)</f>
        <v/>
      </c>
      <c r="L171" s="26" t="str">
        <f>IF(B171="", "", 'Lighting Inventory'!C179)</f>
        <v/>
      </c>
      <c r="M171" s="26" t="str">
        <f>IF(B171="", "",'Lighting Inventory'!D179)</f>
        <v/>
      </c>
      <c r="N171" s="26" t="str">
        <f>IF(B171="", "",'Lighting Inventory'!E179)</f>
        <v/>
      </c>
      <c r="O171" s="26" t="str">
        <f>IF(B171="", "", 'Lighting Inventory'!F179)</f>
        <v/>
      </c>
      <c r="P171" s="26" t="str">
        <f>IF(B171="", "", 'Lighting Inventory'!G179)</f>
        <v/>
      </c>
      <c r="Q171" s="26" t="str">
        <f>IF(B171="", "", 'Lighting Inventory'!H179)</f>
        <v/>
      </c>
      <c r="R171" s="26" t="str">
        <f>IF(B171="", "", 'Lighting Inventory'!I179)</f>
        <v/>
      </c>
      <c r="S171" s="26" t="str">
        <f>IF(B171="", "", 'Lighting Inventory'!J179)</f>
        <v/>
      </c>
      <c r="T171" s="26" t="str">
        <f>IFERROR(IF(B171="","",VLOOKUP(S171,'Fixture Identities'!$A$7:$G$1023,5,FALSE)), "New Construction")</f>
        <v/>
      </c>
      <c r="U171" s="26" t="str">
        <f>IFERROR(IF(B171="", "", IF(K171="New Construction", "NC", IF(VLOOKUP(S171, 'Fixture Identities'!$A$7:$I$1023,3, FALSE)="T12 Linear Fluorescent", VLOOKUP(S171, 'Fixture Identities'!$A$7:$K$1012, 11, FALSE), S171))), "")</f>
        <v/>
      </c>
      <c r="V171" s="26" t="str">
        <f>IFERROR(IF(OR(B171="", U171=0), "", VLOOKUP(U171, 'Fixture Identities'!$A$7:$G$1023, 5, FALSE)), "")</f>
        <v/>
      </c>
      <c r="W171" s="26" t="str">
        <f>IF(B171="", "",'Lighting Inventory'!K179)</f>
        <v/>
      </c>
      <c r="X171" s="65" t="str">
        <f>IF(B171="", "", 'Lighting Inventory'!L179)</f>
        <v/>
      </c>
      <c r="Y171" s="26" t="str">
        <f>IF(B171="", "", IF('Lighting Inventory'!M179="", "Light Switch",'Lighting Inventory'!M179))</f>
        <v/>
      </c>
      <c r="Z171" s="26" t="str">
        <f>IF(OR(K171="Retrofit", B171=""), "", 'Lighting Inventory'!N179)</f>
        <v/>
      </c>
      <c r="AA171" s="26" t="str">
        <f>IF(OR(Z171="",B171=""), "", 'Lighting Inventory'!O179)</f>
        <v/>
      </c>
      <c r="AB171" s="26" t="str">
        <f>IF(B171="", "", 'Lighting Inventory'!P179)</f>
        <v/>
      </c>
      <c r="AC171" s="96" t="str">
        <f>IF(B171="", "", 'Lighting Inventory'!R179)</f>
        <v/>
      </c>
      <c r="AD171" s="26" t="str">
        <f>IF(B171="", "", 'Lighting Inventory'!S179)</f>
        <v/>
      </c>
      <c r="AE171" s="26" t="str">
        <f>IF(B171="", "", 'Lighting Inventory'!V179)</f>
        <v/>
      </c>
      <c r="AF171" s="26" t="str">
        <f>IF(B171="", "", 'Lighting Inventory'!W179)</f>
        <v/>
      </c>
      <c r="AG171" s="26" t="str">
        <f>IF(OR(AF171="", B171=""), "", IF(AE171="Custom", "0", VLOOKUP(AF171, 'Lookup Tables'!$AI$6:$AP$102, 8, FALSE)))</f>
        <v/>
      </c>
      <c r="AH171" s="26" t="str">
        <f>IF(B171="", "", 'Lighting Inventory'!AD179)</f>
        <v/>
      </c>
      <c r="AI171" s="26" t="str">
        <f>IF(OR('Lighting Inventory'!AK179="", B171=""), "", 'Lighting Inventory'!AK179)</f>
        <v/>
      </c>
      <c r="AJ171" s="66" t="str">
        <f>IF(B171="", "", 'Lighting Inventory'!AL179)</f>
        <v/>
      </c>
      <c r="AK171" s="65" t="str">
        <f>IF(B171="", "", 'Lighting Inventory'!AM179)</f>
        <v/>
      </c>
      <c r="AL171" s="26" t="str">
        <f>IF(B171="", "", 'Lighting Inventory'!AN179)</f>
        <v/>
      </c>
      <c r="AM171" s="26" t="str">
        <f t="shared" si="8"/>
        <v/>
      </c>
      <c r="AN171" s="26" t="str">
        <f>IF(B171="","",IF('Lighting Inventory'!AV179="","Prescribed",'Lighting Inventory'!AV179))</f>
        <v/>
      </c>
      <c r="AO171" s="66" t="str">
        <f>IF(B171="", "", 'Lighting Inventory'!AX179)</f>
        <v/>
      </c>
      <c r="AP171" s="67" t="str">
        <f>IF(B171="", "", 'Lighting Inventory'!AZ179)</f>
        <v/>
      </c>
      <c r="AQ171" s="67" t="str">
        <f>IF(B171="", "", 'Lighting Inventory'!BA179)</f>
        <v/>
      </c>
      <c r="AR171" s="67" t="str">
        <f>IF(B171="", "", 'Lighting Inventory'!BB179)</f>
        <v/>
      </c>
      <c r="AS171" s="67" t="str">
        <f>IF(B171="", "", 'Lighting Inventory'!BC179)</f>
        <v/>
      </c>
      <c r="AT171" s="67" t="str">
        <f>IF(B171="", "", 'Lighting Inventory'!BD179)</f>
        <v/>
      </c>
      <c r="AU171" s="67" t="str">
        <f>IF(B171="", "", 'Lighting Inventory'!BE179)</f>
        <v/>
      </c>
      <c r="AV171" s="67" t="str">
        <f>IF(B171="", "", 'Lighting Inventory'!BE179)</f>
        <v/>
      </c>
      <c r="AW171" s="67" t="str">
        <f>IF(B171="", "", 'Lighting Inventory'!BF179)</f>
        <v/>
      </c>
      <c r="AX171" s="67" t="str">
        <f>IF(B171="", "", 'Lighting Inventory'!BF179)</f>
        <v/>
      </c>
      <c r="AY171" s="65" t="str">
        <f t="shared" si="10"/>
        <v/>
      </c>
      <c r="AZ171" s="65" t="str">
        <f>IF(B171="", "", 'Lighting Inventory'!BJ179)</f>
        <v/>
      </c>
      <c r="BA171" s="65" t="str">
        <f>IF(B171="", "", 'Lighting Inventory'!BM179)</f>
        <v/>
      </c>
      <c r="BB171" s="65" t="str">
        <f>IF(B171="","",SUM('Lighting Inventory'!BP179:BP179))</f>
        <v/>
      </c>
      <c r="BC171" s="67" t="str">
        <f>IF(OR(AE171="", B171=""),"", 'Lighting Inventory'!GR179)</f>
        <v/>
      </c>
      <c r="BD171" s="67" t="str">
        <f>IFERROR(IF(B171="", "", 'Lighting Inventory'!AF179)*AD171," ")</f>
        <v xml:space="preserve"> </v>
      </c>
      <c r="BE171" s="67"/>
      <c r="BF171" s="67"/>
    </row>
    <row r="172" spans="1:58" x14ac:dyDescent="0.25">
      <c r="A172" s="26" t="str">
        <f>IF(B172="", "", 'Lookup Tables'!AW173)</f>
        <v/>
      </c>
      <c r="B172" s="26" t="str">
        <f>IF(OR('Lighting Inventory'!Y180="", 'Lighting Inventory'!V180="No Change"),"", 'Lighting Inventory'!Y180)</f>
        <v/>
      </c>
      <c r="C172" s="26" t="str">
        <f>IF(B172="", "", IF('Lighting Inventory'!Y180='Lookup Tables'!$Y$32, 'Lighting Inventory'!AJ180, IF(AD172=0, R172, AD172)))</f>
        <v/>
      </c>
      <c r="D172" s="26" t="str">
        <f>IF(B172="", "", 'General Information'!$F$14)</f>
        <v/>
      </c>
      <c r="E172" s="26" t="str">
        <f t="shared" si="9"/>
        <v/>
      </c>
      <c r="F172" s="26" t="str">
        <f>IF(B172="", "", CONCATENATE('General Information'!$F$9, " - ", 'General Information'!$F$14))</f>
        <v/>
      </c>
      <c r="G172" s="26" t="str">
        <f>IF(B172="", "", 'General Information'!$F$15)</f>
        <v/>
      </c>
      <c r="H172" s="26" t="str">
        <f>IF(B172="", "", IF(VLOOKUP(B172, 'Lookup Tables'!$Y$18:$AA$34, 2, FALSE)="Traffic", VLOOKUP('Lighting Inventory'!W180, 'Lookup Tables'!#REF!, 11, FALSE), VLOOKUP(B172, 'Lookup Tables'!$Y$18:$AA$34, 2, FALSE)))</f>
        <v/>
      </c>
      <c r="I172" s="26" t="str">
        <f>IF(B172="", "", CONCATENATE(D172, 'Data Export'!A172))</f>
        <v/>
      </c>
      <c r="J172" s="26" t="str">
        <f>IF(B172="", "", 'Lookup Tables'!$B$1)</f>
        <v/>
      </c>
      <c r="K172" s="26" t="str">
        <f>IF(B172="", "", 'Lighting Inventory'!B180)</f>
        <v/>
      </c>
      <c r="L172" s="26" t="str">
        <f>IF(B172="", "", 'Lighting Inventory'!C180)</f>
        <v/>
      </c>
      <c r="M172" s="26" t="str">
        <f>IF(B172="", "",'Lighting Inventory'!D180)</f>
        <v/>
      </c>
      <c r="N172" s="26" t="str">
        <f>IF(B172="", "",'Lighting Inventory'!E180)</f>
        <v/>
      </c>
      <c r="O172" s="26" t="str">
        <f>IF(B172="", "", 'Lighting Inventory'!F180)</f>
        <v/>
      </c>
      <c r="P172" s="26" t="str">
        <f>IF(B172="", "", 'Lighting Inventory'!G180)</f>
        <v/>
      </c>
      <c r="Q172" s="26" t="str">
        <f>IF(B172="", "", 'Lighting Inventory'!H180)</f>
        <v/>
      </c>
      <c r="R172" s="26" t="str">
        <f>IF(B172="", "", 'Lighting Inventory'!I180)</f>
        <v/>
      </c>
      <c r="S172" s="26" t="str">
        <f>IF(B172="", "", 'Lighting Inventory'!J180)</f>
        <v/>
      </c>
      <c r="T172" s="26" t="str">
        <f>IFERROR(IF(B172="","",VLOOKUP(S172,'Fixture Identities'!$A$7:$G$1023,5,FALSE)), "New Construction")</f>
        <v/>
      </c>
      <c r="U172" s="26" t="str">
        <f>IFERROR(IF(B172="", "", IF(K172="New Construction", "NC", IF(VLOOKUP(S172, 'Fixture Identities'!$A$7:$I$1023,3, FALSE)="T12 Linear Fluorescent", VLOOKUP(S172, 'Fixture Identities'!$A$7:$K$1012, 11, FALSE), S172))), "")</f>
        <v/>
      </c>
      <c r="V172" s="26" t="str">
        <f>IFERROR(IF(OR(B172="", U172=0), "", VLOOKUP(U172, 'Fixture Identities'!$A$7:$G$1023, 5, FALSE)), "")</f>
        <v/>
      </c>
      <c r="W172" s="26" t="str">
        <f>IF(B172="", "",'Lighting Inventory'!K180)</f>
        <v/>
      </c>
      <c r="X172" s="65" t="str">
        <f>IF(B172="", "", 'Lighting Inventory'!L180)</f>
        <v/>
      </c>
      <c r="Y172" s="26" t="str">
        <f>IF(B172="", "", IF('Lighting Inventory'!M180="", "Light Switch",'Lighting Inventory'!M180))</f>
        <v/>
      </c>
      <c r="Z172" s="26" t="str">
        <f>IF(OR(K172="Retrofit", B172=""), "", 'Lighting Inventory'!N180)</f>
        <v/>
      </c>
      <c r="AA172" s="26" t="str">
        <f>IF(OR(Z172="",B172=""), "", 'Lighting Inventory'!O180)</f>
        <v/>
      </c>
      <c r="AB172" s="26" t="str">
        <f>IF(B172="", "", 'Lighting Inventory'!P180)</f>
        <v/>
      </c>
      <c r="AC172" s="96" t="str">
        <f>IF(B172="", "", 'Lighting Inventory'!R180)</f>
        <v/>
      </c>
      <c r="AD172" s="26" t="str">
        <f>IF(B172="", "", 'Lighting Inventory'!S180)</f>
        <v/>
      </c>
      <c r="AE172" s="26" t="str">
        <f>IF(B172="", "", 'Lighting Inventory'!V180)</f>
        <v/>
      </c>
      <c r="AF172" s="26" t="str">
        <f>IF(B172="", "", 'Lighting Inventory'!W180)</f>
        <v/>
      </c>
      <c r="AG172" s="26" t="str">
        <f>IF(OR(AF172="", B172=""), "", IF(AE172="Custom", "0", VLOOKUP(AF172, 'Lookup Tables'!$AI$6:$AP$102, 8, FALSE)))</f>
        <v/>
      </c>
      <c r="AH172" s="26" t="str">
        <f>IF(B172="", "", 'Lighting Inventory'!AD180)</f>
        <v/>
      </c>
      <c r="AI172" s="26" t="str">
        <f>IF(OR('Lighting Inventory'!AK180="", B172=""), "", 'Lighting Inventory'!AK180)</f>
        <v/>
      </c>
      <c r="AJ172" s="66" t="str">
        <f>IF(B172="", "", 'Lighting Inventory'!AL180)</f>
        <v/>
      </c>
      <c r="AK172" s="65" t="str">
        <f>IF(B172="", "", 'Lighting Inventory'!AM180)</f>
        <v/>
      </c>
      <c r="AL172" s="26" t="str">
        <f>IF(B172="", "", 'Lighting Inventory'!AN180)</f>
        <v/>
      </c>
      <c r="AM172" s="26" t="str">
        <f t="shared" si="8"/>
        <v/>
      </c>
      <c r="AN172" s="26" t="str">
        <f>IF(B172="","",IF('Lighting Inventory'!AV180="","Prescribed",'Lighting Inventory'!AV180))</f>
        <v/>
      </c>
      <c r="AO172" s="66" t="str">
        <f>IF(B172="", "", 'Lighting Inventory'!AX180)</f>
        <v/>
      </c>
      <c r="AP172" s="67" t="str">
        <f>IF(B172="", "", 'Lighting Inventory'!AZ180)</f>
        <v/>
      </c>
      <c r="AQ172" s="67" t="str">
        <f>IF(B172="", "", 'Lighting Inventory'!BA180)</f>
        <v/>
      </c>
      <c r="AR172" s="67" t="str">
        <f>IF(B172="", "", 'Lighting Inventory'!BB180)</f>
        <v/>
      </c>
      <c r="AS172" s="67" t="str">
        <f>IF(B172="", "", 'Lighting Inventory'!BC180)</f>
        <v/>
      </c>
      <c r="AT172" s="67" t="str">
        <f>IF(B172="", "", 'Lighting Inventory'!BD180)</f>
        <v/>
      </c>
      <c r="AU172" s="67" t="str">
        <f>IF(B172="", "", 'Lighting Inventory'!BE180)</f>
        <v/>
      </c>
      <c r="AV172" s="67" t="str">
        <f>IF(B172="", "", 'Lighting Inventory'!BE180)</f>
        <v/>
      </c>
      <c r="AW172" s="67" t="str">
        <f>IF(B172="", "", 'Lighting Inventory'!BF180)</f>
        <v/>
      </c>
      <c r="AX172" s="67" t="str">
        <f>IF(B172="", "", 'Lighting Inventory'!BF180)</f>
        <v/>
      </c>
      <c r="AY172" s="65" t="str">
        <f t="shared" si="10"/>
        <v/>
      </c>
      <c r="AZ172" s="65" t="str">
        <f>IF(B172="", "", 'Lighting Inventory'!BJ180)</f>
        <v/>
      </c>
      <c r="BA172" s="65" t="str">
        <f>IF(B172="", "", 'Lighting Inventory'!BM180)</f>
        <v/>
      </c>
      <c r="BB172" s="65" t="str">
        <f>IF(B172="","",SUM('Lighting Inventory'!BP180:BP180))</f>
        <v/>
      </c>
      <c r="BC172" s="67" t="str">
        <f>IF(OR(AE172="", B172=""),"", 'Lighting Inventory'!GR180)</f>
        <v/>
      </c>
      <c r="BD172" s="67" t="str">
        <f>IFERROR(IF(B172="", "", 'Lighting Inventory'!AF180)*AD172," ")</f>
        <v xml:space="preserve"> </v>
      </c>
      <c r="BE172" s="67"/>
      <c r="BF172" s="67"/>
    </row>
    <row r="173" spans="1:58" x14ac:dyDescent="0.25">
      <c r="A173" s="26" t="str">
        <f>IF(B173="", "", 'Lookup Tables'!AW174)</f>
        <v/>
      </c>
      <c r="B173" s="26" t="str">
        <f>IF(OR('Lighting Inventory'!Y181="", 'Lighting Inventory'!V181="No Change"),"", 'Lighting Inventory'!Y181)</f>
        <v/>
      </c>
      <c r="C173" s="26" t="str">
        <f>IF(B173="", "", IF('Lighting Inventory'!Y181='Lookup Tables'!$Y$32, 'Lighting Inventory'!AJ181, IF(AD173=0, R173, AD173)))</f>
        <v/>
      </c>
      <c r="D173" s="26" t="str">
        <f>IF(B173="", "", 'General Information'!$F$14)</f>
        <v/>
      </c>
      <c r="E173" s="26" t="str">
        <f t="shared" si="9"/>
        <v/>
      </c>
      <c r="F173" s="26" t="str">
        <f>IF(B173="", "", CONCATENATE('General Information'!$F$9, " - ", 'General Information'!$F$14))</f>
        <v/>
      </c>
      <c r="G173" s="26" t="str">
        <f>IF(B173="", "", 'General Information'!$F$15)</f>
        <v/>
      </c>
      <c r="H173" s="26" t="str">
        <f>IF(B173="", "", IF(VLOOKUP(B173, 'Lookup Tables'!$Y$18:$AA$34, 2, FALSE)="Traffic", VLOOKUP('Lighting Inventory'!W181, 'Lookup Tables'!#REF!, 11, FALSE), VLOOKUP(B173, 'Lookup Tables'!$Y$18:$AA$34, 2, FALSE)))</f>
        <v/>
      </c>
      <c r="I173" s="26" t="str">
        <f>IF(B173="", "", CONCATENATE(D173, 'Data Export'!A173))</f>
        <v/>
      </c>
      <c r="J173" s="26" t="str">
        <f>IF(B173="", "", 'Lookup Tables'!$B$1)</f>
        <v/>
      </c>
      <c r="K173" s="26" t="str">
        <f>IF(B173="", "", 'Lighting Inventory'!B181)</f>
        <v/>
      </c>
      <c r="L173" s="26" t="str">
        <f>IF(B173="", "", 'Lighting Inventory'!C181)</f>
        <v/>
      </c>
      <c r="M173" s="26" t="str">
        <f>IF(B173="", "",'Lighting Inventory'!D181)</f>
        <v/>
      </c>
      <c r="N173" s="26" t="str">
        <f>IF(B173="", "",'Lighting Inventory'!E181)</f>
        <v/>
      </c>
      <c r="O173" s="26" t="str">
        <f>IF(B173="", "", 'Lighting Inventory'!F181)</f>
        <v/>
      </c>
      <c r="P173" s="26" t="str">
        <f>IF(B173="", "", 'Lighting Inventory'!G181)</f>
        <v/>
      </c>
      <c r="Q173" s="26" t="str">
        <f>IF(B173="", "", 'Lighting Inventory'!H181)</f>
        <v/>
      </c>
      <c r="R173" s="26" t="str">
        <f>IF(B173="", "", 'Lighting Inventory'!I181)</f>
        <v/>
      </c>
      <c r="S173" s="26" t="str">
        <f>IF(B173="", "", 'Lighting Inventory'!J181)</f>
        <v/>
      </c>
      <c r="T173" s="26" t="str">
        <f>IFERROR(IF(B173="","",VLOOKUP(S173,'Fixture Identities'!$A$7:$G$1023,5,FALSE)), "New Construction")</f>
        <v/>
      </c>
      <c r="U173" s="26" t="str">
        <f>IFERROR(IF(B173="", "", IF(K173="New Construction", "NC", IF(VLOOKUP(S173, 'Fixture Identities'!$A$7:$I$1023,3, FALSE)="T12 Linear Fluorescent", VLOOKUP(S173, 'Fixture Identities'!$A$7:$K$1012, 11, FALSE), S173))), "")</f>
        <v/>
      </c>
      <c r="V173" s="26" t="str">
        <f>IFERROR(IF(OR(B173="", U173=0), "", VLOOKUP(U173, 'Fixture Identities'!$A$7:$G$1023, 5, FALSE)), "")</f>
        <v/>
      </c>
      <c r="W173" s="26" t="str">
        <f>IF(B173="", "",'Lighting Inventory'!K181)</f>
        <v/>
      </c>
      <c r="X173" s="65" t="str">
        <f>IF(B173="", "", 'Lighting Inventory'!L181)</f>
        <v/>
      </c>
      <c r="Y173" s="26" t="str">
        <f>IF(B173="", "", IF('Lighting Inventory'!M181="", "Light Switch",'Lighting Inventory'!M181))</f>
        <v/>
      </c>
      <c r="Z173" s="26" t="str">
        <f>IF(OR(K173="Retrofit", B173=""), "", 'Lighting Inventory'!N181)</f>
        <v/>
      </c>
      <c r="AA173" s="26" t="str">
        <f>IF(OR(Z173="",B173=""), "", 'Lighting Inventory'!O181)</f>
        <v/>
      </c>
      <c r="AB173" s="26" t="str">
        <f>IF(B173="", "", 'Lighting Inventory'!P181)</f>
        <v/>
      </c>
      <c r="AC173" s="96" t="str">
        <f>IF(B173="", "", 'Lighting Inventory'!R181)</f>
        <v/>
      </c>
      <c r="AD173" s="26" t="str">
        <f>IF(B173="", "", 'Lighting Inventory'!S181)</f>
        <v/>
      </c>
      <c r="AE173" s="26" t="str">
        <f>IF(B173="", "", 'Lighting Inventory'!V181)</f>
        <v/>
      </c>
      <c r="AF173" s="26" t="str">
        <f>IF(B173="", "", 'Lighting Inventory'!W181)</f>
        <v/>
      </c>
      <c r="AG173" s="26" t="str">
        <f>IF(OR(AF173="", B173=""), "", IF(AE173="Custom", "0", VLOOKUP(AF173, 'Lookup Tables'!$AI$6:$AP$102, 8, FALSE)))</f>
        <v/>
      </c>
      <c r="AH173" s="26" t="str">
        <f>IF(B173="", "", 'Lighting Inventory'!AD181)</f>
        <v/>
      </c>
      <c r="AI173" s="26" t="str">
        <f>IF(OR('Lighting Inventory'!AK181="", B173=""), "", 'Lighting Inventory'!AK181)</f>
        <v/>
      </c>
      <c r="AJ173" s="66" t="str">
        <f>IF(B173="", "", 'Lighting Inventory'!AL181)</f>
        <v/>
      </c>
      <c r="AK173" s="65" t="str">
        <f>IF(B173="", "", 'Lighting Inventory'!AM181)</f>
        <v/>
      </c>
      <c r="AL173" s="26" t="str">
        <f>IF(B173="", "", 'Lighting Inventory'!AN181)</f>
        <v/>
      </c>
      <c r="AM173" s="26" t="str">
        <f t="shared" si="8"/>
        <v/>
      </c>
      <c r="AN173" s="26" t="str">
        <f>IF(B173="","",IF('Lighting Inventory'!AV181="","Prescribed",'Lighting Inventory'!AV181))</f>
        <v/>
      </c>
      <c r="AO173" s="66" t="str">
        <f>IF(B173="", "", 'Lighting Inventory'!AX181)</f>
        <v/>
      </c>
      <c r="AP173" s="67" t="str">
        <f>IF(B173="", "", 'Lighting Inventory'!AZ181)</f>
        <v/>
      </c>
      <c r="AQ173" s="67" t="str">
        <f>IF(B173="", "", 'Lighting Inventory'!BA181)</f>
        <v/>
      </c>
      <c r="AR173" s="67" t="str">
        <f>IF(B173="", "", 'Lighting Inventory'!BB181)</f>
        <v/>
      </c>
      <c r="AS173" s="67" t="str">
        <f>IF(B173="", "", 'Lighting Inventory'!BC181)</f>
        <v/>
      </c>
      <c r="AT173" s="67" t="str">
        <f>IF(B173="", "", 'Lighting Inventory'!BD181)</f>
        <v/>
      </c>
      <c r="AU173" s="67" t="str">
        <f>IF(B173="", "", 'Lighting Inventory'!BE181)</f>
        <v/>
      </c>
      <c r="AV173" s="67" t="str">
        <f>IF(B173="", "", 'Lighting Inventory'!BE181)</f>
        <v/>
      </c>
      <c r="AW173" s="67" t="str">
        <f>IF(B173="", "", 'Lighting Inventory'!BF181)</f>
        <v/>
      </c>
      <c r="AX173" s="67" t="str">
        <f>IF(B173="", "", 'Lighting Inventory'!BF181)</f>
        <v/>
      </c>
      <c r="AY173" s="65" t="str">
        <f t="shared" si="10"/>
        <v/>
      </c>
      <c r="AZ173" s="65" t="str">
        <f>IF(B173="", "", 'Lighting Inventory'!BJ181)</f>
        <v/>
      </c>
      <c r="BA173" s="65" t="str">
        <f>IF(B173="", "", 'Lighting Inventory'!BM181)</f>
        <v/>
      </c>
      <c r="BB173" s="65" t="str">
        <f>IF(B173="","",SUM('Lighting Inventory'!BP181:BP181))</f>
        <v/>
      </c>
      <c r="BC173" s="67" t="str">
        <f>IF(OR(AE173="", B173=""),"", 'Lighting Inventory'!GR181)</f>
        <v/>
      </c>
      <c r="BD173" s="67" t="str">
        <f>IFERROR(IF(B173="", "", 'Lighting Inventory'!AF181)*AD173," ")</f>
        <v xml:space="preserve"> </v>
      </c>
      <c r="BE173" s="67"/>
      <c r="BF173" s="67"/>
    </row>
    <row r="174" spans="1:58" x14ac:dyDescent="0.25">
      <c r="A174" s="26" t="str">
        <f>IF(B174="", "", 'Lookup Tables'!AW175)</f>
        <v/>
      </c>
      <c r="B174" s="26" t="str">
        <f>IF(OR('Lighting Inventory'!Y182="", 'Lighting Inventory'!V182="No Change"),"", 'Lighting Inventory'!Y182)</f>
        <v/>
      </c>
      <c r="C174" s="26" t="str">
        <f>IF(B174="", "", IF('Lighting Inventory'!Y182='Lookup Tables'!$Y$32, 'Lighting Inventory'!AJ182, IF(AD174=0, R174, AD174)))</f>
        <v/>
      </c>
      <c r="D174" s="26" t="str">
        <f>IF(B174="", "", 'General Information'!$F$14)</f>
        <v/>
      </c>
      <c r="E174" s="26" t="str">
        <f t="shared" si="9"/>
        <v/>
      </c>
      <c r="F174" s="26" t="str">
        <f>IF(B174="", "", CONCATENATE('General Information'!$F$9, " - ", 'General Information'!$F$14))</f>
        <v/>
      </c>
      <c r="G174" s="26" t="str">
        <f>IF(B174="", "", 'General Information'!$F$15)</f>
        <v/>
      </c>
      <c r="H174" s="26" t="str">
        <f>IF(B174="", "", IF(VLOOKUP(B174, 'Lookup Tables'!$Y$18:$AA$34, 2, FALSE)="Traffic", VLOOKUP('Lighting Inventory'!W182, 'Lookup Tables'!#REF!, 11, FALSE), VLOOKUP(B174, 'Lookup Tables'!$Y$18:$AA$34, 2, FALSE)))</f>
        <v/>
      </c>
      <c r="I174" s="26" t="str">
        <f>IF(B174="", "", CONCATENATE(D174, 'Data Export'!A174))</f>
        <v/>
      </c>
      <c r="J174" s="26" t="str">
        <f>IF(B174="", "", 'Lookup Tables'!$B$1)</f>
        <v/>
      </c>
      <c r="K174" s="26" t="str">
        <f>IF(B174="", "", 'Lighting Inventory'!B182)</f>
        <v/>
      </c>
      <c r="L174" s="26" t="str">
        <f>IF(B174="", "", 'Lighting Inventory'!C182)</f>
        <v/>
      </c>
      <c r="M174" s="26" t="str">
        <f>IF(B174="", "",'Lighting Inventory'!D182)</f>
        <v/>
      </c>
      <c r="N174" s="26" t="str">
        <f>IF(B174="", "",'Lighting Inventory'!E182)</f>
        <v/>
      </c>
      <c r="O174" s="26" t="str">
        <f>IF(B174="", "", 'Lighting Inventory'!F182)</f>
        <v/>
      </c>
      <c r="P174" s="26" t="str">
        <f>IF(B174="", "", 'Lighting Inventory'!G182)</f>
        <v/>
      </c>
      <c r="Q174" s="26" t="str">
        <f>IF(B174="", "", 'Lighting Inventory'!H182)</f>
        <v/>
      </c>
      <c r="R174" s="26" t="str">
        <f>IF(B174="", "", 'Lighting Inventory'!I182)</f>
        <v/>
      </c>
      <c r="S174" s="26" t="str">
        <f>IF(B174="", "", 'Lighting Inventory'!J182)</f>
        <v/>
      </c>
      <c r="T174" s="26" t="str">
        <f>IFERROR(IF(B174="","",VLOOKUP(S174,'Fixture Identities'!$A$7:$G$1023,5,FALSE)), "New Construction")</f>
        <v/>
      </c>
      <c r="U174" s="26" t="str">
        <f>IFERROR(IF(B174="", "", IF(K174="New Construction", "NC", IF(VLOOKUP(S174, 'Fixture Identities'!$A$7:$I$1023,3, FALSE)="T12 Linear Fluorescent", VLOOKUP(S174, 'Fixture Identities'!$A$7:$K$1012, 11, FALSE), S174))), "")</f>
        <v/>
      </c>
      <c r="V174" s="26" t="str">
        <f>IFERROR(IF(OR(B174="", U174=0), "", VLOOKUP(U174, 'Fixture Identities'!$A$7:$G$1023, 5, FALSE)), "")</f>
        <v/>
      </c>
      <c r="W174" s="26" t="str">
        <f>IF(B174="", "",'Lighting Inventory'!K182)</f>
        <v/>
      </c>
      <c r="X174" s="65" t="str">
        <f>IF(B174="", "", 'Lighting Inventory'!L182)</f>
        <v/>
      </c>
      <c r="Y174" s="26" t="str">
        <f>IF(B174="", "", IF('Lighting Inventory'!M182="", "Light Switch",'Lighting Inventory'!M182))</f>
        <v/>
      </c>
      <c r="Z174" s="26" t="str">
        <f>IF(OR(K174="Retrofit", B174=""), "", 'Lighting Inventory'!N182)</f>
        <v/>
      </c>
      <c r="AA174" s="26" t="str">
        <f>IF(OR(Z174="",B174=""), "", 'Lighting Inventory'!O182)</f>
        <v/>
      </c>
      <c r="AB174" s="26" t="str">
        <f>IF(B174="", "", 'Lighting Inventory'!P182)</f>
        <v/>
      </c>
      <c r="AC174" s="96" t="str">
        <f>IF(B174="", "", 'Lighting Inventory'!R182)</f>
        <v/>
      </c>
      <c r="AD174" s="26" t="str">
        <f>IF(B174="", "", 'Lighting Inventory'!S182)</f>
        <v/>
      </c>
      <c r="AE174" s="26" t="str">
        <f>IF(B174="", "", 'Lighting Inventory'!V182)</f>
        <v/>
      </c>
      <c r="AF174" s="26" t="str">
        <f>IF(B174="", "", 'Lighting Inventory'!W182)</f>
        <v/>
      </c>
      <c r="AG174" s="26" t="str">
        <f>IF(OR(AF174="", B174=""), "", IF(AE174="Custom", "0", VLOOKUP(AF174, 'Lookup Tables'!$AI$6:$AP$102, 8, FALSE)))</f>
        <v/>
      </c>
      <c r="AH174" s="26" t="str">
        <f>IF(B174="", "", 'Lighting Inventory'!AD182)</f>
        <v/>
      </c>
      <c r="AI174" s="26" t="str">
        <f>IF(OR('Lighting Inventory'!AK182="", B174=""), "", 'Lighting Inventory'!AK182)</f>
        <v/>
      </c>
      <c r="AJ174" s="66" t="str">
        <f>IF(B174="", "", 'Lighting Inventory'!AL182)</f>
        <v/>
      </c>
      <c r="AK174" s="65" t="str">
        <f>IF(B174="", "", 'Lighting Inventory'!AM182)</f>
        <v/>
      </c>
      <c r="AL174" s="26" t="str">
        <f>IF(B174="", "", 'Lighting Inventory'!AN182)</f>
        <v/>
      </c>
      <c r="AM174" s="26" t="str">
        <f t="shared" si="8"/>
        <v/>
      </c>
      <c r="AN174" s="26" t="str">
        <f>IF(B174="","",IF('Lighting Inventory'!AV182="","Prescribed",'Lighting Inventory'!AV182))</f>
        <v/>
      </c>
      <c r="AO174" s="66" t="str">
        <f>IF(B174="", "", 'Lighting Inventory'!AX182)</f>
        <v/>
      </c>
      <c r="AP174" s="67" t="str">
        <f>IF(B174="", "", 'Lighting Inventory'!AZ182)</f>
        <v/>
      </c>
      <c r="AQ174" s="67" t="str">
        <f>IF(B174="", "", 'Lighting Inventory'!BA182)</f>
        <v/>
      </c>
      <c r="AR174" s="67" t="str">
        <f>IF(B174="", "", 'Lighting Inventory'!BB182)</f>
        <v/>
      </c>
      <c r="AS174" s="67" t="str">
        <f>IF(B174="", "", 'Lighting Inventory'!BC182)</f>
        <v/>
      </c>
      <c r="AT174" s="67" t="str">
        <f>IF(B174="", "", 'Lighting Inventory'!BD182)</f>
        <v/>
      </c>
      <c r="AU174" s="67" t="str">
        <f>IF(B174="", "", 'Lighting Inventory'!BE182)</f>
        <v/>
      </c>
      <c r="AV174" s="67" t="str">
        <f>IF(B174="", "", 'Lighting Inventory'!BE182)</f>
        <v/>
      </c>
      <c r="AW174" s="67" t="str">
        <f>IF(B174="", "", 'Lighting Inventory'!BF182)</f>
        <v/>
      </c>
      <c r="AX174" s="67" t="str">
        <f>IF(B174="", "", 'Lighting Inventory'!BF182)</f>
        <v/>
      </c>
      <c r="AY174" s="65" t="str">
        <f t="shared" si="10"/>
        <v/>
      </c>
      <c r="AZ174" s="65" t="str">
        <f>IF(B174="", "", 'Lighting Inventory'!BJ182)</f>
        <v/>
      </c>
      <c r="BA174" s="65" t="str">
        <f>IF(B174="", "", 'Lighting Inventory'!BM182)</f>
        <v/>
      </c>
      <c r="BB174" s="65" t="str">
        <f>IF(B174="","",SUM('Lighting Inventory'!BP182:BP182))</f>
        <v/>
      </c>
      <c r="BC174" s="67" t="str">
        <f>IF(OR(AE174="", B174=""),"", 'Lighting Inventory'!GR182)</f>
        <v/>
      </c>
      <c r="BD174" s="67" t="str">
        <f>IFERROR(IF(B174="", "", 'Lighting Inventory'!AF182)*AD174," ")</f>
        <v xml:space="preserve"> </v>
      </c>
      <c r="BE174" s="67"/>
      <c r="BF174" s="67"/>
    </row>
    <row r="175" spans="1:58" x14ac:dyDescent="0.25">
      <c r="A175" s="26" t="str">
        <f>IF(B175="", "", 'Lookup Tables'!AW176)</f>
        <v/>
      </c>
      <c r="B175" s="26" t="str">
        <f>IF(OR('Lighting Inventory'!Y183="", 'Lighting Inventory'!V183="No Change"),"", 'Lighting Inventory'!Y183)</f>
        <v/>
      </c>
      <c r="C175" s="26" t="str">
        <f>IF(B175="", "", IF('Lighting Inventory'!Y183='Lookup Tables'!$Y$32, 'Lighting Inventory'!AJ183, IF(AD175=0, R175, AD175)))</f>
        <v/>
      </c>
      <c r="D175" s="26" t="str">
        <f>IF(B175="", "", 'General Information'!$F$14)</f>
        <v/>
      </c>
      <c r="E175" s="26" t="str">
        <f t="shared" si="9"/>
        <v/>
      </c>
      <c r="F175" s="26" t="str">
        <f>IF(B175="", "", CONCATENATE('General Information'!$F$9, " - ", 'General Information'!$F$14))</f>
        <v/>
      </c>
      <c r="G175" s="26" t="str">
        <f>IF(B175="", "", 'General Information'!$F$15)</f>
        <v/>
      </c>
      <c r="H175" s="26" t="str">
        <f>IF(B175="", "", IF(VLOOKUP(B175, 'Lookup Tables'!$Y$18:$AA$34, 2, FALSE)="Traffic", VLOOKUP('Lighting Inventory'!W183, 'Lookup Tables'!#REF!, 11, FALSE), VLOOKUP(B175, 'Lookup Tables'!$Y$18:$AA$34, 2, FALSE)))</f>
        <v/>
      </c>
      <c r="I175" s="26" t="str">
        <f>IF(B175="", "", CONCATENATE(D175, 'Data Export'!A175))</f>
        <v/>
      </c>
      <c r="J175" s="26" t="str">
        <f>IF(B175="", "", 'Lookup Tables'!$B$1)</f>
        <v/>
      </c>
      <c r="K175" s="26" t="str">
        <f>IF(B175="", "", 'Lighting Inventory'!B183)</f>
        <v/>
      </c>
      <c r="L175" s="26" t="str">
        <f>IF(B175="", "", 'Lighting Inventory'!C183)</f>
        <v/>
      </c>
      <c r="M175" s="26" t="str">
        <f>IF(B175="", "",'Lighting Inventory'!D183)</f>
        <v/>
      </c>
      <c r="N175" s="26" t="str">
        <f>IF(B175="", "",'Lighting Inventory'!E183)</f>
        <v/>
      </c>
      <c r="O175" s="26" t="str">
        <f>IF(B175="", "", 'Lighting Inventory'!F183)</f>
        <v/>
      </c>
      <c r="P175" s="26" t="str">
        <f>IF(B175="", "", 'Lighting Inventory'!G183)</f>
        <v/>
      </c>
      <c r="Q175" s="26" t="str">
        <f>IF(B175="", "", 'Lighting Inventory'!H183)</f>
        <v/>
      </c>
      <c r="R175" s="26" t="str">
        <f>IF(B175="", "", 'Lighting Inventory'!I183)</f>
        <v/>
      </c>
      <c r="S175" s="26" t="str">
        <f>IF(B175="", "", 'Lighting Inventory'!J183)</f>
        <v/>
      </c>
      <c r="T175" s="26" t="str">
        <f>IFERROR(IF(B175="","",VLOOKUP(S175,'Fixture Identities'!$A$7:$G$1023,5,FALSE)), "New Construction")</f>
        <v/>
      </c>
      <c r="U175" s="26" t="str">
        <f>IFERROR(IF(B175="", "", IF(K175="New Construction", "NC", IF(VLOOKUP(S175, 'Fixture Identities'!$A$7:$I$1023,3, FALSE)="T12 Linear Fluorescent", VLOOKUP(S175, 'Fixture Identities'!$A$7:$K$1012, 11, FALSE), S175))), "")</f>
        <v/>
      </c>
      <c r="V175" s="26" t="str">
        <f>IFERROR(IF(OR(B175="", U175=0), "", VLOOKUP(U175, 'Fixture Identities'!$A$7:$G$1023, 5, FALSE)), "")</f>
        <v/>
      </c>
      <c r="W175" s="26" t="str">
        <f>IF(B175="", "",'Lighting Inventory'!K183)</f>
        <v/>
      </c>
      <c r="X175" s="65" t="str">
        <f>IF(B175="", "", 'Lighting Inventory'!L183)</f>
        <v/>
      </c>
      <c r="Y175" s="26" t="str">
        <f>IF(B175="", "", IF('Lighting Inventory'!M183="", "Light Switch",'Lighting Inventory'!M183))</f>
        <v/>
      </c>
      <c r="Z175" s="26" t="str">
        <f>IF(OR(K175="Retrofit", B175=""), "", 'Lighting Inventory'!N183)</f>
        <v/>
      </c>
      <c r="AA175" s="26" t="str">
        <f>IF(OR(Z175="",B175=""), "", 'Lighting Inventory'!O183)</f>
        <v/>
      </c>
      <c r="AB175" s="26" t="str">
        <f>IF(B175="", "", 'Lighting Inventory'!P183)</f>
        <v/>
      </c>
      <c r="AC175" s="96" t="str">
        <f>IF(B175="", "", 'Lighting Inventory'!R183)</f>
        <v/>
      </c>
      <c r="AD175" s="26" t="str">
        <f>IF(B175="", "", 'Lighting Inventory'!S183)</f>
        <v/>
      </c>
      <c r="AE175" s="26" t="str">
        <f>IF(B175="", "", 'Lighting Inventory'!V183)</f>
        <v/>
      </c>
      <c r="AF175" s="26" t="str">
        <f>IF(B175="", "", 'Lighting Inventory'!W183)</f>
        <v/>
      </c>
      <c r="AG175" s="26" t="str">
        <f>IF(OR(AF175="", B175=""), "", IF(AE175="Custom", "0", VLOOKUP(AF175, 'Lookup Tables'!$AI$6:$AP$102, 8, FALSE)))</f>
        <v/>
      </c>
      <c r="AH175" s="26" t="str">
        <f>IF(B175="", "", 'Lighting Inventory'!AD183)</f>
        <v/>
      </c>
      <c r="AI175" s="26" t="str">
        <f>IF(OR('Lighting Inventory'!AK183="", B175=""), "", 'Lighting Inventory'!AK183)</f>
        <v/>
      </c>
      <c r="AJ175" s="66" t="str">
        <f>IF(B175="", "", 'Lighting Inventory'!AL183)</f>
        <v/>
      </c>
      <c r="AK175" s="65" t="str">
        <f>IF(B175="", "", 'Lighting Inventory'!AM183)</f>
        <v/>
      </c>
      <c r="AL175" s="26" t="str">
        <f>IF(B175="", "", 'Lighting Inventory'!AN183)</f>
        <v/>
      </c>
      <c r="AM175" s="26" t="str">
        <f t="shared" si="8"/>
        <v/>
      </c>
      <c r="AN175" s="26" t="str">
        <f>IF(B175="","",IF('Lighting Inventory'!AV183="","Prescribed",'Lighting Inventory'!AV183))</f>
        <v/>
      </c>
      <c r="AO175" s="66" t="str">
        <f>IF(B175="", "", 'Lighting Inventory'!AX183)</f>
        <v/>
      </c>
      <c r="AP175" s="67" t="str">
        <f>IF(B175="", "", 'Lighting Inventory'!AZ183)</f>
        <v/>
      </c>
      <c r="AQ175" s="67" t="str">
        <f>IF(B175="", "", 'Lighting Inventory'!BA183)</f>
        <v/>
      </c>
      <c r="AR175" s="67" t="str">
        <f>IF(B175="", "", 'Lighting Inventory'!BB183)</f>
        <v/>
      </c>
      <c r="AS175" s="67" t="str">
        <f>IF(B175="", "", 'Lighting Inventory'!BC183)</f>
        <v/>
      </c>
      <c r="AT175" s="67" t="str">
        <f>IF(B175="", "", 'Lighting Inventory'!BD183)</f>
        <v/>
      </c>
      <c r="AU175" s="67" t="str">
        <f>IF(B175="", "", 'Lighting Inventory'!BE183)</f>
        <v/>
      </c>
      <c r="AV175" s="67" t="str">
        <f>IF(B175="", "", 'Lighting Inventory'!BE183)</f>
        <v/>
      </c>
      <c r="AW175" s="67" t="str">
        <f>IF(B175="", "", 'Lighting Inventory'!BF183)</f>
        <v/>
      </c>
      <c r="AX175" s="67" t="str">
        <f>IF(B175="", "", 'Lighting Inventory'!BF183)</f>
        <v/>
      </c>
      <c r="AY175" s="65" t="str">
        <f t="shared" si="10"/>
        <v/>
      </c>
      <c r="AZ175" s="65" t="str">
        <f>IF(B175="", "", 'Lighting Inventory'!BJ183)</f>
        <v/>
      </c>
      <c r="BA175" s="65" t="str">
        <f>IF(B175="", "", 'Lighting Inventory'!BM183)</f>
        <v/>
      </c>
      <c r="BB175" s="65" t="str">
        <f>IF(B175="","",SUM('Lighting Inventory'!BP183:BP183))</f>
        <v/>
      </c>
      <c r="BC175" s="67" t="str">
        <f>IF(OR(AE175="", B175=""),"", 'Lighting Inventory'!GR183)</f>
        <v/>
      </c>
      <c r="BD175" s="67" t="str">
        <f>IFERROR(IF(B175="", "", 'Lighting Inventory'!AF183)*AD175," ")</f>
        <v xml:space="preserve"> </v>
      </c>
      <c r="BE175" s="67"/>
      <c r="BF175" s="67"/>
    </row>
    <row r="176" spans="1:58" x14ac:dyDescent="0.25">
      <c r="A176" s="26" t="str">
        <f>IF(B176="", "", 'Lookup Tables'!AW177)</f>
        <v/>
      </c>
      <c r="B176" s="26" t="str">
        <f>IF(OR('Lighting Inventory'!Y184="", 'Lighting Inventory'!V184="No Change"),"", 'Lighting Inventory'!Y184)</f>
        <v/>
      </c>
      <c r="C176" s="26" t="str">
        <f>IF(B176="", "", IF('Lighting Inventory'!Y184='Lookup Tables'!$Y$32, 'Lighting Inventory'!AJ184, IF(AD176=0, R176, AD176)))</f>
        <v/>
      </c>
      <c r="D176" s="26" t="str">
        <f>IF(B176="", "", 'General Information'!$F$14)</f>
        <v/>
      </c>
      <c r="E176" s="26" t="str">
        <f t="shared" si="9"/>
        <v/>
      </c>
      <c r="F176" s="26" t="str">
        <f>IF(B176="", "", CONCATENATE('General Information'!$F$9, " - ", 'General Information'!$F$14))</f>
        <v/>
      </c>
      <c r="G176" s="26" t="str">
        <f>IF(B176="", "", 'General Information'!$F$15)</f>
        <v/>
      </c>
      <c r="H176" s="26" t="str">
        <f>IF(B176="", "", IF(VLOOKUP(B176, 'Lookup Tables'!$Y$18:$AA$34, 2, FALSE)="Traffic", VLOOKUP('Lighting Inventory'!W184, 'Lookup Tables'!#REF!, 11, FALSE), VLOOKUP(B176, 'Lookup Tables'!$Y$18:$AA$34, 2, FALSE)))</f>
        <v/>
      </c>
      <c r="I176" s="26" t="str">
        <f>IF(B176="", "", CONCATENATE(D176, 'Data Export'!A176))</f>
        <v/>
      </c>
      <c r="J176" s="26" t="str">
        <f>IF(B176="", "", 'Lookup Tables'!$B$1)</f>
        <v/>
      </c>
      <c r="K176" s="26" t="str">
        <f>IF(B176="", "", 'Lighting Inventory'!B184)</f>
        <v/>
      </c>
      <c r="L176" s="26" t="str">
        <f>IF(B176="", "", 'Lighting Inventory'!C184)</f>
        <v/>
      </c>
      <c r="M176" s="26" t="str">
        <f>IF(B176="", "",'Lighting Inventory'!D184)</f>
        <v/>
      </c>
      <c r="N176" s="26" t="str">
        <f>IF(B176="", "",'Lighting Inventory'!E184)</f>
        <v/>
      </c>
      <c r="O176" s="26" t="str">
        <f>IF(B176="", "", 'Lighting Inventory'!F184)</f>
        <v/>
      </c>
      <c r="P176" s="26" t="str">
        <f>IF(B176="", "", 'Lighting Inventory'!G184)</f>
        <v/>
      </c>
      <c r="Q176" s="26" t="str">
        <f>IF(B176="", "", 'Lighting Inventory'!H184)</f>
        <v/>
      </c>
      <c r="R176" s="26" t="str">
        <f>IF(B176="", "", 'Lighting Inventory'!I184)</f>
        <v/>
      </c>
      <c r="S176" s="26" t="str">
        <f>IF(B176="", "", 'Lighting Inventory'!J184)</f>
        <v/>
      </c>
      <c r="T176" s="26" t="str">
        <f>IFERROR(IF(B176="","",VLOOKUP(S176,'Fixture Identities'!$A$7:$G$1023,5,FALSE)), "New Construction")</f>
        <v/>
      </c>
      <c r="U176" s="26" t="str">
        <f>IFERROR(IF(B176="", "", IF(K176="New Construction", "NC", IF(VLOOKUP(S176, 'Fixture Identities'!$A$7:$I$1023,3, FALSE)="T12 Linear Fluorescent", VLOOKUP(S176, 'Fixture Identities'!$A$7:$K$1012, 11, FALSE), S176))), "")</f>
        <v/>
      </c>
      <c r="V176" s="26" t="str">
        <f>IFERROR(IF(OR(B176="", U176=0), "", VLOOKUP(U176, 'Fixture Identities'!$A$7:$G$1023, 5, FALSE)), "")</f>
        <v/>
      </c>
      <c r="W176" s="26" t="str">
        <f>IF(B176="", "",'Lighting Inventory'!K184)</f>
        <v/>
      </c>
      <c r="X176" s="65" t="str">
        <f>IF(B176="", "", 'Lighting Inventory'!L184)</f>
        <v/>
      </c>
      <c r="Y176" s="26" t="str">
        <f>IF(B176="", "", IF('Lighting Inventory'!M184="", "Light Switch",'Lighting Inventory'!M184))</f>
        <v/>
      </c>
      <c r="Z176" s="26" t="str">
        <f>IF(OR(K176="Retrofit", B176=""), "", 'Lighting Inventory'!N184)</f>
        <v/>
      </c>
      <c r="AA176" s="26" t="str">
        <f>IF(OR(Z176="",B176=""), "", 'Lighting Inventory'!O184)</f>
        <v/>
      </c>
      <c r="AB176" s="26" t="str">
        <f>IF(B176="", "", 'Lighting Inventory'!P184)</f>
        <v/>
      </c>
      <c r="AC176" s="96" t="str">
        <f>IF(B176="", "", 'Lighting Inventory'!R184)</f>
        <v/>
      </c>
      <c r="AD176" s="26" t="str">
        <f>IF(B176="", "", 'Lighting Inventory'!S184)</f>
        <v/>
      </c>
      <c r="AE176" s="26" t="str">
        <f>IF(B176="", "", 'Lighting Inventory'!V184)</f>
        <v/>
      </c>
      <c r="AF176" s="26" t="str">
        <f>IF(B176="", "", 'Lighting Inventory'!W184)</f>
        <v/>
      </c>
      <c r="AG176" s="26" t="str">
        <f>IF(OR(AF176="", B176=""), "", IF(AE176="Custom", "0", VLOOKUP(AF176, 'Lookup Tables'!$AI$6:$AP$102, 8, FALSE)))</f>
        <v/>
      </c>
      <c r="AH176" s="26" t="str">
        <f>IF(B176="", "", 'Lighting Inventory'!AD184)</f>
        <v/>
      </c>
      <c r="AI176" s="26" t="str">
        <f>IF(OR('Lighting Inventory'!AK184="", B176=""), "", 'Lighting Inventory'!AK184)</f>
        <v/>
      </c>
      <c r="AJ176" s="66" t="str">
        <f>IF(B176="", "", 'Lighting Inventory'!AL184)</f>
        <v/>
      </c>
      <c r="AK176" s="65" t="str">
        <f>IF(B176="", "", 'Lighting Inventory'!AM184)</f>
        <v/>
      </c>
      <c r="AL176" s="26" t="str">
        <f>IF(B176="", "", 'Lighting Inventory'!AN184)</f>
        <v/>
      </c>
      <c r="AM176" s="26" t="str">
        <f t="shared" si="8"/>
        <v/>
      </c>
      <c r="AN176" s="26" t="str">
        <f>IF(B176="","",IF('Lighting Inventory'!AV184="","Prescribed",'Lighting Inventory'!AV184))</f>
        <v/>
      </c>
      <c r="AO176" s="66" t="str">
        <f>IF(B176="", "", 'Lighting Inventory'!AX184)</f>
        <v/>
      </c>
      <c r="AP176" s="67" t="str">
        <f>IF(B176="", "", 'Lighting Inventory'!AZ184)</f>
        <v/>
      </c>
      <c r="AQ176" s="67" t="str">
        <f>IF(B176="", "", 'Lighting Inventory'!BA184)</f>
        <v/>
      </c>
      <c r="AR176" s="67" t="str">
        <f>IF(B176="", "", 'Lighting Inventory'!BB184)</f>
        <v/>
      </c>
      <c r="AS176" s="67" t="str">
        <f>IF(B176="", "", 'Lighting Inventory'!BC184)</f>
        <v/>
      </c>
      <c r="AT176" s="67" t="str">
        <f>IF(B176="", "", 'Lighting Inventory'!BD184)</f>
        <v/>
      </c>
      <c r="AU176" s="67" t="str">
        <f>IF(B176="", "", 'Lighting Inventory'!BE184)</f>
        <v/>
      </c>
      <c r="AV176" s="67" t="str">
        <f>IF(B176="", "", 'Lighting Inventory'!BE184)</f>
        <v/>
      </c>
      <c r="AW176" s="67" t="str">
        <f>IF(B176="", "", 'Lighting Inventory'!BF184)</f>
        <v/>
      </c>
      <c r="AX176" s="67" t="str">
        <f>IF(B176="", "", 'Lighting Inventory'!BF184)</f>
        <v/>
      </c>
      <c r="AY176" s="65" t="str">
        <f t="shared" si="10"/>
        <v/>
      </c>
      <c r="AZ176" s="65" t="str">
        <f>IF(B176="", "", 'Lighting Inventory'!BJ184)</f>
        <v/>
      </c>
      <c r="BA176" s="65" t="str">
        <f>IF(B176="", "", 'Lighting Inventory'!BM184)</f>
        <v/>
      </c>
      <c r="BB176" s="65" t="str">
        <f>IF(B176="","",SUM('Lighting Inventory'!BP184:BP184))</f>
        <v/>
      </c>
      <c r="BC176" s="67" t="str">
        <f>IF(OR(AE176="", B176=""),"", 'Lighting Inventory'!GR184)</f>
        <v/>
      </c>
      <c r="BD176" s="67" t="str">
        <f>IFERROR(IF(B176="", "", 'Lighting Inventory'!AF184)*AD176," ")</f>
        <v xml:space="preserve"> </v>
      </c>
      <c r="BE176" s="67"/>
      <c r="BF176" s="67"/>
    </row>
    <row r="177" spans="1:58" x14ac:dyDescent="0.25">
      <c r="A177" s="26" t="str">
        <f>IF(B177="", "", 'Lookup Tables'!AW178)</f>
        <v/>
      </c>
      <c r="B177" s="26" t="str">
        <f>IF(OR('Lighting Inventory'!Y185="", 'Lighting Inventory'!V185="No Change"),"", 'Lighting Inventory'!Y185)</f>
        <v/>
      </c>
      <c r="C177" s="26" t="str">
        <f>IF(B177="", "", IF('Lighting Inventory'!Y185='Lookup Tables'!$Y$32, 'Lighting Inventory'!AJ185, IF(AD177=0, R177, AD177)))</f>
        <v/>
      </c>
      <c r="D177" s="26" t="str">
        <f>IF(B177="", "", 'General Information'!$F$14)</f>
        <v/>
      </c>
      <c r="E177" s="26" t="str">
        <f t="shared" si="9"/>
        <v/>
      </c>
      <c r="F177" s="26" t="str">
        <f>IF(B177="", "", CONCATENATE('General Information'!$F$9, " - ", 'General Information'!$F$14))</f>
        <v/>
      </c>
      <c r="G177" s="26" t="str">
        <f>IF(B177="", "", 'General Information'!$F$15)</f>
        <v/>
      </c>
      <c r="H177" s="26" t="str">
        <f>IF(B177="", "", IF(VLOOKUP(B177, 'Lookup Tables'!$Y$18:$AA$34, 2, FALSE)="Traffic", VLOOKUP('Lighting Inventory'!W185, 'Lookup Tables'!#REF!, 11, FALSE), VLOOKUP(B177, 'Lookup Tables'!$Y$18:$AA$34, 2, FALSE)))</f>
        <v/>
      </c>
      <c r="I177" s="26" t="str">
        <f>IF(B177="", "", CONCATENATE(D177, 'Data Export'!A177))</f>
        <v/>
      </c>
      <c r="J177" s="26" t="str">
        <f>IF(B177="", "", 'Lookup Tables'!$B$1)</f>
        <v/>
      </c>
      <c r="K177" s="26" t="str">
        <f>IF(B177="", "", 'Lighting Inventory'!B185)</f>
        <v/>
      </c>
      <c r="L177" s="26" t="str">
        <f>IF(B177="", "", 'Lighting Inventory'!C185)</f>
        <v/>
      </c>
      <c r="M177" s="26" t="str">
        <f>IF(B177="", "",'Lighting Inventory'!D185)</f>
        <v/>
      </c>
      <c r="N177" s="26" t="str">
        <f>IF(B177="", "",'Lighting Inventory'!E185)</f>
        <v/>
      </c>
      <c r="O177" s="26" t="str">
        <f>IF(B177="", "", 'Lighting Inventory'!F185)</f>
        <v/>
      </c>
      <c r="P177" s="26" t="str">
        <f>IF(B177="", "", 'Lighting Inventory'!G185)</f>
        <v/>
      </c>
      <c r="Q177" s="26" t="str">
        <f>IF(B177="", "", 'Lighting Inventory'!H185)</f>
        <v/>
      </c>
      <c r="R177" s="26" t="str">
        <f>IF(B177="", "", 'Lighting Inventory'!I185)</f>
        <v/>
      </c>
      <c r="S177" s="26" t="str">
        <f>IF(B177="", "", 'Lighting Inventory'!J185)</f>
        <v/>
      </c>
      <c r="T177" s="26" t="str">
        <f>IFERROR(IF(B177="","",VLOOKUP(S177,'Fixture Identities'!$A$7:$G$1023,5,FALSE)), "New Construction")</f>
        <v/>
      </c>
      <c r="U177" s="26" t="str">
        <f>IFERROR(IF(B177="", "", IF(K177="New Construction", "NC", IF(VLOOKUP(S177, 'Fixture Identities'!$A$7:$I$1023,3, FALSE)="T12 Linear Fluorescent", VLOOKUP(S177, 'Fixture Identities'!$A$7:$K$1012, 11, FALSE), S177))), "")</f>
        <v/>
      </c>
      <c r="V177" s="26" t="str">
        <f>IFERROR(IF(OR(B177="", U177=0), "", VLOOKUP(U177, 'Fixture Identities'!$A$7:$G$1023, 5, FALSE)), "")</f>
        <v/>
      </c>
      <c r="W177" s="26" t="str">
        <f>IF(B177="", "",'Lighting Inventory'!K185)</f>
        <v/>
      </c>
      <c r="X177" s="65" t="str">
        <f>IF(B177="", "", 'Lighting Inventory'!L185)</f>
        <v/>
      </c>
      <c r="Y177" s="26" t="str">
        <f>IF(B177="", "", IF('Lighting Inventory'!M185="", "Light Switch",'Lighting Inventory'!M185))</f>
        <v/>
      </c>
      <c r="Z177" s="26" t="str">
        <f>IF(OR(K177="Retrofit", B177=""), "", 'Lighting Inventory'!N185)</f>
        <v/>
      </c>
      <c r="AA177" s="26" t="str">
        <f>IF(OR(Z177="",B177=""), "", 'Lighting Inventory'!O185)</f>
        <v/>
      </c>
      <c r="AB177" s="26" t="str">
        <f>IF(B177="", "", 'Lighting Inventory'!P185)</f>
        <v/>
      </c>
      <c r="AC177" s="96" t="str">
        <f>IF(B177="", "", 'Lighting Inventory'!R185)</f>
        <v/>
      </c>
      <c r="AD177" s="26" t="str">
        <f>IF(B177="", "", 'Lighting Inventory'!S185)</f>
        <v/>
      </c>
      <c r="AE177" s="26" t="str">
        <f>IF(B177="", "", 'Lighting Inventory'!V185)</f>
        <v/>
      </c>
      <c r="AF177" s="26" t="str">
        <f>IF(B177="", "", 'Lighting Inventory'!W185)</f>
        <v/>
      </c>
      <c r="AG177" s="26" t="str">
        <f>IF(OR(AF177="", B177=""), "", IF(AE177="Custom", "0", VLOOKUP(AF177, 'Lookup Tables'!$AI$6:$AP$102, 8, FALSE)))</f>
        <v/>
      </c>
      <c r="AH177" s="26" t="str">
        <f>IF(B177="", "", 'Lighting Inventory'!AD185)</f>
        <v/>
      </c>
      <c r="AI177" s="26" t="str">
        <f>IF(OR('Lighting Inventory'!AK185="", B177=""), "", 'Lighting Inventory'!AK185)</f>
        <v/>
      </c>
      <c r="AJ177" s="66" t="str">
        <f>IF(B177="", "", 'Lighting Inventory'!AL185)</f>
        <v/>
      </c>
      <c r="AK177" s="65" t="str">
        <f>IF(B177="", "", 'Lighting Inventory'!AM185)</f>
        <v/>
      </c>
      <c r="AL177" s="26" t="str">
        <f>IF(B177="", "", 'Lighting Inventory'!AN185)</f>
        <v/>
      </c>
      <c r="AM177" s="26" t="str">
        <f t="shared" si="8"/>
        <v/>
      </c>
      <c r="AN177" s="26" t="str">
        <f>IF(B177="","",IF('Lighting Inventory'!AV185="","Prescribed",'Lighting Inventory'!AV185))</f>
        <v/>
      </c>
      <c r="AO177" s="66" t="str">
        <f>IF(B177="", "", 'Lighting Inventory'!AX185)</f>
        <v/>
      </c>
      <c r="AP177" s="67" t="str">
        <f>IF(B177="", "", 'Lighting Inventory'!AZ185)</f>
        <v/>
      </c>
      <c r="AQ177" s="67" t="str">
        <f>IF(B177="", "", 'Lighting Inventory'!BA185)</f>
        <v/>
      </c>
      <c r="AR177" s="67" t="str">
        <f>IF(B177="", "", 'Lighting Inventory'!BB185)</f>
        <v/>
      </c>
      <c r="AS177" s="67" t="str">
        <f>IF(B177="", "", 'Lighting Inventory'!BC185)</f>
        <v/>
      </c>
      <c r="AT177" s="67" t="str">
        <f>IF(B177="", "", 'Lighting Inventory'!BD185)</f>
        <v/>
      </c>
      <c r="AU177" s="67" t="str">
        <f>IF(B177="", "", 'Lighting Inventory'!BE185)</f>
        <v/>
      </c>
      <c r="AV177" s="67" t="str">
        <f>IF(B177="", "", 'Lighting Inventory'!BE185)</f>
        <v/>
      </c>
      <c r="AW177" s="67" t="str">
        <f>IF(B177="", "", 'Lighting Inventory'!BF185)</f>
        <v/>
      </c>
      <c r="AX177" s="67" t="str">
        <f>IF(B177="", "", 'Lighting Inventory'!BF185)</f>
        <v/>
      </c>
      <c r="AY177" s="65" t="str">
        <f t="shared" si="10"/>
        <v/>
      </c>
      <c r="AZ177" s="65" t="str">
        <f>IF(B177="", "", 'Lighting Inventory'!BJ185)</f>
        <v/>
      </c>
      <c r="BA177" s="65" t="str">
        <f>IF(B177="", "", 'Lighting Inventory'!BM185)</f>
        <v/>
      </c>
      <c r="BB177" s="65" t="str">
        <f>IF(B177="","",SUM('Lighting Inventory'!BP185:BP185))</f>
        <v/>
      </c>
      <c r="BC177" s="67" t="str">
        <f>IF(OR(AE177="", B177=""),"", 'Lighting Inventory'!GR185)</f>
        <v/>
      </c>
      <c r="BD177" s="67" t="str">
        <f>IFERROR(IF(B177="", "", 'Lighting Inventory'!AF185)*AD177," ")</f>
        <v xml:space="preserve"> </v>
      </c>
      <c r="BE177" s="67"/>
      <c r="BF177" s="67"/>
    </row>
    <row r="178" spans="1:58" x14ac:dyDescent="0.25">
      <c r="A178" s="26" t="str">
        <f>IF(B178="", "", 'Lookup Tables'!AW179)</f>
        <v/>
      </c>
      <c r="B178" s="26" t="str">
        <f>IF(OR('Lighting Inventory'!Y186="", 'Lighting Inventory'!V186="No Change"),"", 'Lighting Inventory'!Y186)</f>
        <v/>
      </c>
      <c r="C178" s="26" t="str">
        <f>IF(B178="", "", IF('Lighting Inventory'!Y186='Lookup Tables'!$Y$32, 'Lighting Inventory'!AJ186, IF(AD178=0, R178, AD178)))</f>
        <v/>
      </c>
      <c r="D178" s="26" t="str">
        <f>IF(B178="", "", 'General Information'!$F$14)</f>
        <v/>
      </c>
      <c r="E178" s="26" t="str">
        <f t="shared" si="9"/>
        <v/>
      </c>
      <c r="F178" s="26" t="str">
        <f>IF(B178="", "", CONCATENATE('General Information'!$F$9, " - ", 'General Information'!$F$14))</f>
        <v/>
      </c>
      <c r="G178" s="26" t="str">
        <f>IF(B178="", "", 'General Information'!$F$15)</f>
        <v/>
      </c>
      <c r="H178" s="26" t="str">
        <f>IF(B178="", "", IF(VLOOKUP(B178, 'Lookup Tables'!$Y$18:$AA$34, 2, FALSE)="Traffic", VLOOKUP('Lighting Inventory'!W186, 'Lookup Tables'!#REF!, 11, FALSE), VLOOKUP(B178, 'Lookup Tables'!$Y$18:$AA$34, 2, FALSE)))</f>
        <v/>
      </c>
      <c r="I178" s="26" t="str">
        <f>IF(B178="", "", CONCATENATE(D178, 'Data Export'!A178))</f>
        <v/>
      </c>
      <c r="J178" s="26" t="str">
        <f>IF(B178="", "", 'Lookup Tables'!$B$1)</f>
        <v/>
      </c>
      <c r="K178" s="26" t="str">
        <f>IF(B178="", "", 'Lighting Inventory'!B186)</f>
        <v/>
      </c>
      <c r="L178" s="26" t="str">
        <f>IF(B178="", "", 'Lighting Inventory'!C186)</f>
        <v/>
      </c>
      <c r="M178" s="26" t="str">
        <f>IF(B178="", "",'Lighting Inventory'!D186)</f>
        <v/>
      </c>
      <c r="N178" s="26" t="str">
        <f>IF(B178="", "",'Lighting Inventory'!E186)</f>
        <v/>
      </c>
      <c r="O178" s="26" t="str">
        <f>IF(B178="", "", 'Lighting Inventory'!F186)</f>
        <v/>
      </c>
      <c r="P178" s="26" t="str">
        <f>IF(B178="", "", 'Lighting Inventory'!G186)</f>
        <v/>
      </c>
      <c r="Q178" s="26" t="str">
        <f>IF(B178="", "", 'Lighting Inventory'!H186)</f>
        <v/>
      </c>
      <c r="R178" s="26" t="str">
        <f>IF(B178="", "", 'Lighting Inventory'!I186)</f>
        <v/>
      </c>
      <c r="S178" s="26" t="str">
        <f>IF(B178="", "", 'Lighting Inventory'!J186)</f>
        <v/>
      </c>
      <c r="T178" s="26" t="str">
        <f>IFERROR(IF(B178="","",VLOOKUP(S178,'Fixture Identities'!$A$7:$G$1023,5,FALSE)), "New Construction")</f>
        <v/>
      </c>
      <c r="U178" s="26" t="str">
        <f>IFERROR(IF(B178="", "", IF(K178="New Construction", "NC", IF(VLOOKUP(S178, 'Fixture Identities'!$A$7:$I$1023,3, FALSE)="T12 Linear Fluorescent", VLOOKUP(S178, 'Fixture Identities'!$A$7:$K$1012, 11, FALSE), S178))), "")</f>
        <v/>
      </c>
      <c r="V178" s="26" t="str">
        <f>IFERROR(IF(OR(B178="", U178=0), "", VLOOKUP(U178, 'Fixture Identities'!$A$7:$G$1023, 5, FALSE)), "")</f>
        <v/>
      </c>
      <c r="W178" s="26" t="str">
        <f>IF(B178="", "",'Lighting Inventory'!K186)</f>
        <v/>
      </c>
      <c r="X178" s="65" t="str">
        <f>IF(B178="", "", 'Lighting Inventory'!L186)</f>
        <v/>
      </c>
      <c r="Y178" s="26" t="str">
        <f>IF(B178="", "", IF('Lighting Inventory'!M186="", "Light Switch",'Lighting Inventory'!M186))</f>
        <v/>
      </c>
      <c r="Z178" s="26" t="str">
        <f>IF(OR(K178="Retrofit", B178=""), "", 'Lighting Inventory'!N186)</f>
        <v/>
      </c>
      <c r="AA178" s="26" t="str">
        <f>IF(OR(Z178="",B178=""), "", 'Lighting Inventory'!O186)</f>
        <v/>
      </c>
      <c r="AB178" s="26" t="str">
        <f>IF(B178="", "", 'Lighting Inventory'!P186)</f>
        <v/>
      </c>
      <c r="AC178" s="96" t="str">
        <f>IF(B178="", "", 'Lighting Inventory'!R186)</f>
        <v/>
      </c>
      <c r="AD178" s="26" t="str">
        <f>IF(B178="", "", 'Lighting Inventory'!S186)</f>
        <v/>
      </c>
      <c r="AE178" s="26" t="str">
        <f>IF(B178="", "", 'Lighting Inventory'!V186)</f>
        <v/>
      </c>
      <c r="AF178" s="26" t="str">
        <f>IF(B178="", "", 'Lighting Inventory'!W186)</f>
        <v/>
      </c>
      <c r="AG178" s="26" t="str">
        <f>IF(OR(AF178="", B178=""), "", IF(AE178="Custom", "0", VLOOKUP(AF178, 'Lookup Tables'!$AI$6:$AP$102, 8, FALSE)))</f>
        <v/>
      </c>
      <c r="AH178" s="26" t="str">
        <f>IF(B178="", "", 'Lighting Inventory'!AD186)</f>
        <v/>
      </c>
      <c r="AI178" s="26" t="str">
        <f>IF(OR('Lighting Inventory'!AK186="", B178=""), "", 'Lighting Inventory'!AK186)</f>
        <v/>
      </c>
      <c r="AJ178" s="66" t="str">
        <f>IF(B178="", "", 'Lighting Inventory'!AL186)</f>
        <v/>
      </c>
      <c r="AK178" s="65" t="str">
        <f>IF(B178="", "", 'Lighting Inventory'!AM186)</f>
        <v/>
      </c>
      <c r="AL178" s="26" t="str">
        <f>IF(B178="", "", 'Lighting Inventory'!AN186)</f>
        <v/>
      </c>
      <c r="AM178" s="26" t="str">
        <f t="shared" si="8"/>
        <v/>
      </c>
      <c r="AN178" s="26" t="str">
        <f>IF(B178="","",IF('Lighting Inventory'!AV186="","Prescribed",'Lighting Inventory'!AV186))</f>
        <v/>
      </c>
      <c r="AO178" s="66" t="str">
        <f>IF(B178="", "", 'Lighting Inventory'!AX186)</f>
        <v/>
      </c>
      <c r="AP178" s="67" t="str">
        <f>IF(B178="", "", 'Lighting Inventory'!AZ186)</f>
        <v/>
      </c>
      <c r="AQ178" s="67" t="str">
        <f>IF(B178="", "", 'Lighting Inventory'!BA186)</f>
        <v/>
      </c>
      <c r="AR178" s="67" t="str">
        <f>IF(B178="", "", 'Lighting Inventory'!BB186)</f>
        <v/>
      </c>
      <c r="AS178" s="67" t="str">
        <f>IF(B178="", "", 'Lighting Inventory'!BC186)</f>
        <v/>
      </c>
      <c r="AT178" s="67" t="str">
        <f>IF(B178="", "", 'Lighting Inventory'!BD186)</f>
        <v/>
      </c>
      <c r="AU178" s="67" t="str">
        <f>IF(B178="", "", 'Lighting Inventory'!BE186)</f>
        <v/>
      </c>
      <c r="AV178" s="67" t="str">
        <f>IF(B178="", "", 'Lighting Inventory'!BE186)</f>
        <v/>
      </c>
      <c r="AW178" s="67" t="str">
        <f>IF(B178="", "", 'Lighting Inventory'!BF186)</f>
        <v/>
      </c>
      <c r="AX178" s="67" t="str">
        <f>IF(B178="", "", 'Lighting Inventory'!BF186)</f>
        <v/>
      </c>
      <c r="AY178" s="65" t="str">
        <f t="shared" si="10"/>
        <v/>
      </c>
      <c r="AZ178" s="65" t="str">
        <f>IF(B178="", "", 'Lighting Inventory'!BJ186)</f>
        <v/>
      </c>
      <c r="BA178" s="65" t="str">
        <f>IF(B178="", "", 'Lighting Inventory'!BM186)</f>
        <v/>
      </c>
      <c r="BB178" s="65" t="str">
        <f>IF(B178="","",SUM('Lighting Inventory'!BP186:BP186))</f>
        <v/>
      </c>
      <c r="BC178" s="67" t="str">
        <f>IF(OR(AE178="", B178=""),"", 'Lighting Inventory'!GR186)</f>
        <v/>
      </c>
      <c r="BD178" s="67" t="str">
        <f>IFERROR(IF(B178="", "", 'Lighting Inventory'!AF186)*AD178," ")</f>
        <v xml:space="preserve"> </v>
      </c>
      <c r="BE178" s="67"/>
      <c r="BF178" s="67"/>
    </row>
    <row r="179" spans="1:58" x14ac:dyDescent="0.25">
      <c r="A179" s="26" t="str">
        <f>IF(B179="", "", 'Lookup Tables'!AW180)</f>
        <v/>
      </c>
      <c r="B179" s="26" t="str">
        <f>IF(OR('Lighting Inventory'!Y187="", 'Lighting Inventory'!V187="No Change"),"", 'Lighting Inventory'!Y187)</f>
        <v/>
      </c>
      <c r="C179" s="26" t="str">
        <f>IF(B179="", "", IF('Lighting Inventory'!Y187='Lookup Tables'!$Y$32, 'Lighting Inventory'!AJ187, IF(AD179=0, R179, AD179)))</f>
        <v/>
      </c>
      <c r="D179" s="26" t="str">
        <f>IF(B179="", "", 'General Information'!$F$14)</f>
        <v/>
      </c>
      <c r="E179" s="26" t="str">
        <f t="shared" si="9"/>
        <v/>
      </c>
      <c r="F179" s="26" t="str">
        <f>IF(B179="", "", CONCATENATE('General Information'!$F$9, " - ", 'General Information'!$F$14))</f>
        <v/>
      </c>
      <c r="G179" s="26" t="str">
        <f>IF(B179="", "", 'General Information'!$F$15)</f>
        <v/>
      </c>
      <c r="H179" s="26" t="str">
        <f>IF(B179="", "", IF(VLOOKUP(B179, 'Lookup Tables'!$Y$18:$AA$34, 2, FALSE)="Traffic", VLOOKUP('Lighting Inventory'!W187, 'Lookup Tables'!#REF!, 11, FALSE), VLOOKUP(B179, 'Lookup Tables'!$Y$18:$AA$34, 2, FALSE)))</f>
        <v/>
      </c>
      <c r="I179" s="26" t="str">
        <f>IF(B179="", "", CONCATENATE(D179, 'Data Export'!A179))</f>
        <v/>
      </c>
      <c r="J179" s="26" t="str">
        <f>IF(B179="", "", 'Lookup Tables'!$B$1)</f>
        <v/>
      </c>
      <c r="K179" s="26" t="str">
        <f>IF(B179="", "", 'Lighting Inventory'!B187)</f>
        <v/>
      </c>
      <c r="L179" s="26" t="str">
        <f>IF(B179="", "", 'Lighting Inventory'!C187)</f>
        <v/>
      </c>
      <c r="M179" s="26" t="str">
        <f>IF(B179="", "",'Lighting Inventory'!D187)</f>
        <v/>
      </c>
      <c r="N179" s="26" t="str">
        <f>IF(B179="", "",'Lighting Inventory'!E187)</f>
        <v/>
      </c>
      <c r="O179" s="26" t="str">
        <f>IF(B179="", "", 'Lighting Inventory'!F187)</f>
        <v/>
      </c>
      <c r="P179" s="26" t="str">
        <f>IF(B179="", "", 'Lighting Inventory'!G187)</f>
        <v/>
      </c>
      <c r="Q179" s="26" t="str">
        <f>IF(B179="", "", 'Lighting Inventory'!H187)</f>
        <v/>
      </c>
      <c r="R179" s="26" t="str">
        <f>IF(B179="", "", 'Lighting Inventory'!I187)</f>
        <v/>
      </c>
      <c r="S179" s="26" t="str">
        <f>IF(B179="", "", 'Lighting Inventory'!J187)</f>
        <v/>
      </c>
      <c r="T179" s="26" t="str">
        <f>IFERROR(IF(B179="","",VLOOKUP(S179,'Fixture Identities'!$A$7:$G$1023,5,FALSE)), "New Construction")</f>
        <v/>
      </c>
      <c r="U179" s="26" t="str">
        <f>IFERROR(IF(B179="", "", IF(K179="New Construction", "NC", IF(VLOOKUP(S179, 'Fixture Identities'!$A$7:$I$1023,3, FALSE)="T12 Linear Fluorescent", VLOOKUP(S179, 'Fixture Identities'!$A$7:$K$1012, 11, FALSE), S179))), "")</f>
        <v/>
      </c>
      <c r="V179" s="26" t="str">
        <f>IFERROR(IF(OR(B179="", U179=0), "", VLOOKUP(U179, 'Fixture Identities'!$A$7:$G$1023, 5, FALSE)), "")</f>
        <v/>
      </c>
      <c r="W179" s="26" t="str">
        <f>IF(B179="", "",'Lighting Inventory'!K187)</f>
        <v/>
      </c>
      <c r="X179" s="65" t="str">
        <f>IF(B179="", "", 'Lighting Inventory'!L187)</f>
        <v/>
      </c>
      <c r="Y179" s="26" t="str">
        <f>IF(B179="", "", IF('Lighting Inventory'!M187="", "Light Switch",'Lighting Inventory'!M187))</f>
        <v/>
      </c>
      <c r="Z179" s="26" t="str">
        <f>IF(OR(K179="Retrofit", B179=""), "", 'Lighting Inventory'!N187)</f>
        <v/>
      </c>
      <c r="AA179" s="26" t="str">
        <f>IF(OR(Z179="",B179=""), "", 'Lighting Inventory'!O187)</f>
        <v/>
      </c>
      <c r="AB179" s="26" t="str">
        <f>IF(B179="", "", 'Lighting Inventory'!P187)</f>
        <v/>
      </c>
      <c r="AC179" s="96" t="str">
        <f>IF(B179="", "", 'Lighting Inventory'!R187)</f>
        <v/>
      </c>
      <c r="AD179" s="26" t="str">
        <f>IF(B179="", "", 'Lighting Inventory'!S187)</f>
        <v/>
      </c>
      <c r="AE179" s="26" t="str">
        <f>IF(B179="", "", 'Lighting Inventory'!V187)</f>
        <v/>
      </c>
      <c r="AF179" s="26" t="str">
        <f>IF(B179="", "", 'Lighting Inventory'!W187)</f>
        <v/>
      </c>
      <c r="AG179" s="26" t="str">
        <f>IF(OR(AF179="", B179=""), "", IF(AE179="Custom", "0", VLOOKUP(AF179, 'Lookup Tables'!$AI$6:$AP$102, 8, FALSE)))</f>
        <v/>
      </c>
      <c r="AH179" s="26" t="str">
        <f>IF(B179="", "", 'Lighting Inventory'!AD187)</f>
        <v/>
      </c>
      <c r="AI179" s="26" t="str">
        <f>IF(OR('Lighting Inventory'!AK187="", B179=""), "", 'Lighting Inventory'!AK187)</f>
        <v/>
      </c>
      <c r="AJ179" s="66" t="str">
        <f>IF(B179="", "", 'Lighting Inventory'!AL187)</f>
        <v/>
      </c>
      <c r="AK179" s="65" t="str">
        <f>IF(B179="", "", 'Lighting Inventory'!AM187)</f>
        <v/>
      </c>
      <c r="AL179" s="26" t="str">
        <f>IF(B179="", "", 'Lighting Inventory'!AN187)</f>
        <v/>
      </c>
      <c r="AM179" s="26" t="str">
        <f t="shared" si="8"/>
        <v/>
      </c>
      <c r="AN179" s="26" t="str">
        <f>IF(B179="","",IF('Lighting Inventory'!AV187="","Prescribed",'Lighting Inventory'!AV187))</f>
        <v/>
      </c>
      <c r="AO179" s="66" t="str">
        <f>IF(B179="", "", 'Lighting Inventory'!AX187)</f>
        <v/>
      </c>
      <c r="AP179" s="67" t="str">
        <f>IF(B179="", "", 'Lighting Inventory'!AZ187)</f>
        <v/>
      </c>
      <c r="AQ179" s="67" t="str">
        <f>IF(B179="", "", 'Lighting Inventory'!BA187)</f>
        <v/>
      </c>
      <c r="AR179" s="67" t="str">
        <f>IF(B179="", "", 'Lighting Inventory'!BB187)</f>
        <v/>
      </c>
      <c r="AS179" s="67" t="str">
        <f>IF(B179="", "", 'Lighting Inventory'!BC187)</f>
        <v/>
      </c>
      <c r="AT179" s="67" t="str">
        <f>IF(B179="", "", 'Lighting Inventory'!BD187)</f>
        <v/>
      </c>
      <c r="AU179" s="67" t="str">
        <f>IF(B179="", "", 'Lighting Inventory'!BE187)</f>
        <v/>
      </c>
      <c r="AV179" s="67" t="str">
        <f>IF(B179="", "", 'Lighting Inventory'!BE187)</f>
        <v/>
      </c>
      <c r="AW179" s="67" t="str">
        <f>IF(B179="", "", 'Lighting Inventory'!BF187)</f>
        <v/>
      </c>
      <c r="AX179" s="67" t="str">
        <f>IF(B179="", "", 'Lighting Inventory'!BF187)</f>
        <v/>
      </c>
      <c r="AY179" s="65" t="str">
        <f t="shared" si="10"/>
        <v/>
      </c>
      <c r="AZ179" s="65" t="str">
        <f>IF(B179="", "", 'Lighting Inventory'!BJ187)</f>
        <v/>
      </c>
      <c r="BA179" s="65" t="str">
        <f>IF(B179="", "", 'Lighting Inventory'!BM187)</f>
        <v/>
      </c>
      <c r="BB179" s="65" t="str">
        <f>IF(B179="","",SUM('Lighting Inventory'!BP187:BP187))</f>
        <v/>
      </c>
      <c r="BC179" s="67" t="str">
        <f>IF(OR(AE179="", B179=""),"", 'Lighting Inventory'!GR187)</f>
        <v/>
      </c>
      <c r="BD179" s="67" t="str">
        <f>IFERROR(IF(B179="", "", 'Lighting Inventory'!AF187)*AD179," ")</f>
        <v xml:space="preserve"> </v>
      </c>
      <c r="BE179" s="67"/>
      <c r="BF179" s="67"/>
    </row>
    <row r="180" spans="1:58" x14ac:dyDescent="0.25">
      <c r="A180" s="26" t="str">
        <f>IF(B180="", "", 'Lookup Tables'!AW181)</f>
        <v/>
      </c>
      <c r="B180" s="26" t="str">
        <f>IF(OR('Lighting Inventory'!Y188="", 'Lighting Inventory'!V188="No Change"),"", 'Lighting Inventory'!Y188)</f>
        <v/>
      </c>
      <c r="C180" s="26" t="str">
        <f>IF(B180="", "", IF('Lighting Inventory'!Y188='Lookup Tables'!$Y$32, 'Lighting Inventory'!AJ188, IF(AD180=0, R180, AD180)))</f>
        <v/>
      </c>
      <c r="D180" s="26" t="str">
        <f>IF(B180="", "", 'General Information'!$F$14)</f>
        <v/>
      </c>
      <c r="E180" s="26" t="str">
        <f t="shared" si="9"/>
        <v/>
      </c>
      <c r="F180" s="26" t="str">
        <f>IF(B180="", "", CONCATENATE('General Information'!$F$9, " - ", 'General Information'!$F$14))</f>
        <v/>
      </c>
      <c r="G180" s="26" t="str">
        <f>IF(B180="", "", 'General Information'!$F$15)</f>
        <v/>
      </c>
      <c r="H180" s="26" t="str">
        <f>IF(B180="", "", IF(VLOOKUP(B180, 'Lookup Tables'!$Y$18:$AA$34, 2, FALSE)="Traffic", VLOOKUP('Lighting Inventory'!W188, 'Lookup Tables'!#REF!, 11, FALSE), VLOOKUP(B180, 'Lookup Tables'!$Y$18:$AA$34, 2, FALSE)))</f>
        <v/>
      </c>
      <c r="I180" s="26" t="str">
        <f>IF(B180="", "", CONCATENATE(D180, 'Data Export'!A180))</f>
        <v/>
      </c>
      <c r="J180" s="26" t="str">
        <f>IF(B180="", "", 'Lookup Tables'!$B$1)</f>
        <v/>
      </c>
      <c r="K180" s="26" t="str">
        <f>IF(B180="", "", 'Lighting Inventory'!B188)</f>
        <v/>
      </c>
      <c r="L180" s="26" t="str">
        <f>IF(B180="", "", 'Lighting Inventory'!C188)</f>
        <v/>
      </c>
      <c r="M180" s="26" t="str">
        <f>IF(B180="", "",'Lighting Inventory'!D188)</f>
        <v/>
      </c>
      <c r="N180" s="26" t="str">
        <f>IF(B180="", "",'Lighting Inventory'!E188)</f>
        <v/>
      </c>
      <c r="O180" s="26" t="str">
        <f>IF(B180="", "", 'Lighting Inventory'!F188)</f>
        <v/>
      </c>
      <c r="P180" s="26" t="str">
        <f>IF(B180="", "", 'Lighting Inventory'!G188)</f>
        <v/>
      </c>
      <c r="Q180" s="26" t="str">
        <f>IF(B180="", "", 'Lighting Inventory'!H188)</f>
        <v/>
      </c>
      <c r="R180" s="26" t="str">
        <f>IF(B180="", "", 'Lighting Inventory'!I188)</f>
        <v/>
      </c>
      <c r="S180" s="26" t="str">
        <f>IF(B180="", "", 'Lighting Inventory'!J188)</f>
        <v/>
      </c>
      <c r="T180" s="26" t="str">
        <f>IFERROR(IF(B180="","",VLOOKUP(S180,'Fixture Identities'!$A$7:$G$1023,5,FALSE)), "New Construction")</f>
        <v/>
      </c>
      <c r="U180" s="26" t="str">
        <f>IFERROR(IF(B180="", "", IF(K180="New Construction", "NC", IF(VLOOKUP(S180, 'Fixture Identities'!$A$7:$I$1023,3, FALSE)="T12 Linear Fluorescent", VLOOKUP(S180, 'Fixture Identities'!$A$7:$K$1012, 11, FALSE), S180))), "")</f>
        <v/>
      </c>
      <c r="V180" s="26" t="str">
        <f>IFERROR(IF(OR(B180="", U180=0), "", VLOOKUP(U180, 'Fixture Identities'!$A$7:$G$1023, 5, FALSE)), "")</f>
        <v/>
      </c>
      <c r="W180" s="26" t="str">
        <f>IF(B180="", "",'Lighting Inventory'!K188)</f>
        <v/>
      </c>
      <c r="X180" s="65" t="str">
        <f>IF(B180="", "", 'Lighting Inventory'!L188)</f>
        <v/>
      </c>
      <c r="Y180" s="26" t="str">
        <f>IF(B180="", "", IF('Lighting Inventory'!M188="", "Light Switch",'Lighting Inventory'!M188))</f>
        <v/>
      </c>
      <c r="Z180" s="26" t="str">
        <f>IF(OR(K180="Retrofit", B180=""), "", 'Lighting Inventory'!N188)</f>
        <v/>
      </c>
      <c r="AA180" s="26" t="str">
        <f>IF(OR(Z180="",B180=""), "", 'Lighting Inventory'!O188)</f>
        <v/>
      </c>
      <c r="AB180" s="26" t="str">
        <f>IF(B180="", "", 'Lighting Inventory'!P188)</f>
        <v/>
      </c>
      <c r="AC180" s="96" t="str">
        <f>IF(B180="", "", 'Lighting Inventory'!R188)</f>
        <v/>
      </c>
      <c r="AD180" s="26" t="str">
        <f>IF(B180="", "", 'Lighting Inventory'!S188)</f>
        <v/>
      </c>
      <c r="AE180" s="26" t="str">
        <f>IF(B180="", "", 'Lighting Inventory'!V188)</f>
        <v/>
      </c>
      <c r="AF180" s="26" t="str">
        <f>IF(B180="", "", 'Lighting Inventory'!W188)</f>
        <v/>
      </c>
      <c r="AG180" s="26" t="str">
        <f>IF(OR(AF180="", B180=""), "", IF(AE180="Custom", "0", VLOOKUP(AF180, 'Lookup Tables'!$AI$6:$AP$102, 8, FALSE)))</f>
        <v/>
      </c>
      <c r="AH180" s="26" t="str">
        <f>IF(B180="", "", 'Lighting Inventory'!AD188)</f>
        <v/>
      </c>
      <c r="AI180" s="26" t="str">
        <f>IF(OR('Lighting Inventory'!AK188="", B180=""), "", 'Lighting Inventory'!AK188)</f>
        <v/>
      </c>
      <c r="AJ180" s="66" t="str">
        <f>IF(B180="", "", 'Lighting Inventory'!AL188)</f>
        <v/>
      </c>
      <c r="AK180" s="65" t="str">
        <f>IF(B180="", "", 'Lighting Inventory'!AM188)</f>
        <v/>
      </c>
      <c r="AL180" s="26" t="str">
        <f>IF(B180="", "", 'Lighting Inventory'!AN188)</f>
        <v/>
      </c>
      <c r="AM180" s="26" t="str">
        <f t="shared" si="8"/>
        <v/>
      </c>
      <c r="AN180" s="26" t="str">
        <f>IF(B180="","",IF('Lighting Inventory'!AV188="","Prescribed",'Lighting Inventory'!AV188))</f>
        <v/>
      </c>
      <c r="AO180" s="66" t="str">
        <f>IF(B180="", "", 'Lighting Inventory'!AX188)</f>
        <v/>
      </c>
      <c r="AP180" s="67" t="str">
        <f>IF(B180="", "", 'Lighting Inventory'!AZ188)</f>
        <v/>
      </c>
      <c r="AQ180" s="67" t="str">
        <f>IF(B180="", "", 'Lighting Inventory'!BA188)</f>
        <v/>
      </c>
      <c r="AR180" s="67" t="str">
        <f>IF(B180="", "", 'Lighting Inventory'!BB188)</f>
        <v/>
      </c>
      <c r="AS180" s="67" t="str">
        <f>IF(B180="", "", 'Lighting Inventory'!BC188)</f>
        <v/>
      </c>
      <c r="AT180" s="67" t="str">
        <f>IF(B180="", "", 'Lighting Inventory'!BD188)</f>
        <v/>
      </c>
      <c r="AU180" s="67" t="str">
        <f>IF(B180="", "", 'Lighting Inventory'!BE188)</f>
        <v/>
      </c>
      <c r="AV180" s="67" t="str">
        <f>IF(B180="", "", 'Lighting Inventory'!BE188)</f>
        <v/>
      </c>
      <c r="AW180" s="67" t="str">
        <f>IF(B180="", "", 'Lighting Inventory'!BF188)</f>
        <v/>
      </c>
      <c r="AX180" s="67" t="str">
        <f>IF(B180="", "", 'Lighting Inventory'!BF188)</f>
        <v/>
      </c>
      <c r="AY180" s="65" t="str">
        <f t="shared" si="10"/>
        <v/>
      </c>
      <c r="AZ180" s="65" t="str">
        <f>IF(B180="", "", 'Lighting Inventory'!BJ188)</f>
        <v/>
      </c>
      <c r="BA180" s="65" t="str">
        <f>IF(B180="", "", 'Lighting Inventory'!BM188)</f>
        <v/>
      </c>
      <c r="BB180" s="65" t="str">
        <f>IF(B180="","",SUM('Lighting Inventory'!BP188:BP188))</f>
        <v/>
      </c>
      <c r="BC180" s="67" t="str">
        <f>IF(OR(AE180="", B180=""),"", 'Lighting Inventory'!GR188)</f>
        <v/>
      </c>
      <c r="BD180" s="67" t="str">
        <f>IFERROR(IF(B180="", "", 'Lighting Inventory'!AF188)*AD180," ")</f>
        <v xml:space="preserve"> </v>
      </c>
      <c r="BE180" s="67"/>
      <c r="BF180" s="67"/>
    </row>
    <row r="181" spans="1:58" x14ac:dyDescent="0.25">
      <c r="A181" s="26" t="str">
        <f>IF(B181="", "", 'Lookup Tables'!AW182)</f>
        <v/>
      </c>
      <c r="B181" s="26" t="str">
        <f>IF(OR('Lighting Inventory'!Y189="", 'Lighting Inventory'!V189="No Change"),"", 'Lighting Inventory'!Y189)</f>
        <v/>
      </c>
      <c r="C181" s="26" t="str">
        <f>IF(B181="", "", IF('Lighting Inventory'!Y189='Lookup Tables'!$Y$32, 'Lighting Inventory'!AJ189, IF(AD181=0, R181, AD181)))</f>
        <v/>
      </c>
      <c r="D181" s="26" t="str">
        <f>IF(B181="", "", 'General Information'!$F$14)</f>
        <v/>
      </c>
      <c r="E181" s="26" t="str">
        <f t="shared" si="9"/>
        <v/>
      </c>
      <c r="F181" s="26" t="str">
        <f>IF(B181="", "", CONCATENATE('General Information'!$F$9, " - ", 'General Information'!$F$14))</f>
        <v/>
      </c>
      <c r="G181" s="26" t="str">
        <f>IF(B181="", "", 'General Information'!$F$15)</f>
        <v/>
      </c>
      <c r="H181" s="26" t="str">
        <f>IF(B181="", "", IF(VLOOKUP(B181, 'Lookup Tables'!$Y$18:$AA$34, 2, FALSE)="Traffic", VLOOKUP('Lighting Inventory'!W189, 'Lookup Tables'!#REF!, 11, FALSE), VLOOKUP(B181, 'Lookup Tables'!$Y$18:$AA$34, 2, FALSE)))</f>
        <v/>
      </c>
      <c r="I181" s="26" t="str">
        <f>IF(B181="", "", CONCATENATE(D181, 'Data Export'!A181))</f>
        <v/>
      </c>
      <c r="J181" s="26" t="str">
        <f>IF(B181="", "", 'Lookup Tables'!$B$1)</f>
        <v/>
      </c>
      <c r="K181" s="26" t="str">
        <f>IF(B181="", "", 'Lighting Inventory'!B189)</f>
        <v/>
      </c>
      <c r="L181" s="26" t="str">
        <f>IF(B181="", "", 'Lighting Inventory'!C189)</f>
        <v/>
      </c>
      <c r="M181" s="26" t="str">
        <f>IF(B181="", "",'Lighting Inventory'!D189)</f>
        <v/>
      </c>
      <c r="N181" s="26" t="str">
        <f>IF(B181="", "",'Lighting Inventory'!E189)</f>
        <v/>
      </c>
      <c r="O181" s="26" t="str">
        <f>IF(B181="", "", 'Lighting Inventory'!F189)</f>
        <v/>
      </c>
      <c r="P181" s="26" t="str">
        <f>IF(B181="", "", 'Lighting Inventory'!G189)</f>
        <v/>
      </c>
      <c r="Q181" s="26" t="str">
        <f>IF(B181="", "", 'Lighting Inventory'!H189)</f>
        <v/>
      </c>
      <c r="R181" s="26" t="str">
        <f>IF(B181="", "", 'Lighting Inventory'!I189)</f>
        <v/>
      </c>
      <c r="S181" s="26" t="str">
        <f>IF(B181="", "", 'Lighting Inventory'!J189)</f>
        <v/>
      </c>
      <c r="T181" s="26" t="str">
        <f>IFERROR(IF(B181="","",VLOOKUP(S181,'Fixture Identities'!$A$7:$G$1023,5,FALSE)), "New Construction")</f>
        <v/>
      </c>
      <c r="U181" s="26" t="str">
        <f>IFERROR(IF(B181="", "", IF(K181="New Construction", "NC", IF(VLOOKUP(S181, 'Fixture Identities'!$A$7:$I$1023,3, FALSE)="T12 Linear Fluorescent", VLOOKUP(S181, 'Fixture Identities'!$A$7:$K$1012, 11, FALSE), S181))), "")</f>
        <v/>
      </c>
      <c r="V181" s="26" t="str">
        <f>IFERROR(IF(OR(B181="", U181=0), "", VLOOKUP(U181, 'Fixture Identities'!$A$7:$G$1023, 5, FALSE)), "")</f>
        <v/>
      </c>
      <c r="W181" s="26" t="str">
        <f>IF(B181="", "",'Lighting Inventory'!K189)</f>
        <v/>
      </c>
      <c r="X181" s="65" t="str">
        <f>IF(B181="", "", 'Lighting Inventory'!L189)</f>
        <v/>
      </c>
      <c r="Y181" s="26" t="str">
        <f>IF(B181="", "", IF('Lighting Inventory'!M189="", "Light Switch",'Lighting Inventory'!M189))</f>
        <v/>
      </c>
      <c r="Z181" s="26" t="str">
        <f>IF(OR(K181="Retrofit", B181=""), "", 'Lighting Inventory'!N189)</f>
        <v/>
      </c>
      <c r="AA181" s="26" t="str">
        <f>IF(OR(Z181="",B181=""), "", 'Lighting Inventory'!O189)</f>
        <v/>
      </c>
      <c r="AB181" s="26" t="str">
        <f>IF(B181="", "", 'Lighting Inventory'!P189)</f>
        <v/>
      </c>
      <c r="AC181" s="96" t="str">
        <f>IF(B181="", "", 'Lighting Inventory'!R189)</f>
        <v/>
      </c>
      <c r="AD181" s="26" t="str">
        <f>IF(B181="", "", 'Lighting Inventory'!S189)</f>
        <v/>
      </c>
      <c r="AE181" s="26" t="str">
        <f>IF(B181="", "", 'Lighting Inventory'!V189)</f>
        <v/>
      </c>
      <c r="AF181" s="26" t="str">
        <f>IF(B181="", "", 'Lighting Inventory'!W189)</f>
        <v/>
      </c>
      <c r="AG181" s="26" t="str">
        <f>IF(OR(AF181="", B181=""), "", IF(AE181="Custom", "0", VLOOKUP(AF181, 'Lookup Tables'!$AI$6:$AP$102, 8, FALSE)))</f>
        <v/>
      </c>
      <c r="AH181" s="26" t="str">
        <f>IF(B181="", "", 'Lighting Inventory'!AD189)</f>
        <v/>
      </c>
      <c r="AI181" s="26" t="str">
        <f>IF(OR('Lighting Inventory'!AK189="", B181=""), "", 'Lighting Inventory'!AK189)</f>
        <v/>
      </c>
      <c r="AJ181" s="66" t="str">
        <f>IF(B181="", "", 'Lighting Inventory'!AL189)</f>
        <v/>
      </c>
      <c r="AK181" s="65" t="str">
        <f>IF(B181="", "", 'Lighting Inventory'!AM189)</f>
        <v/>
      </c>
      <c r="AL181" s="26" t="str">
        <f>IF(B181="", "", 'Lighting Inventory'!AN189)</f>
        <v/>
      </c>
      <c r="AM181" s="26" t="str">
        <f t="shared" si="8"/>
        <v/>
      </c>
      <c r="AN181" s="26" t="str">
        <f>IF(B181="","",IF('Lighting Inventory'!AV189="","Prescribed",'Lighting Inventory'!AV189))</f>
        <v/>
      </c>
      <c r="AO181" s="66" t="str">
        <f>IF(B181="", "", 'Lighting Inventory'!AX189)</f>
        <v/>
      </c>
      <c r="AP181" s="67" t="str">
        <f>IF(B181="", "", 'Lighting Inventory'!AZ189)</f>
        <v/>
      </c>
      <c r="AQ181" s="67" t="str">
        <f>IF(B181="", "", 'Lighting Inventory'!BA189)</f>
        <v/>
      </c>
      <c r="AR181" s="67" t="str">
        <f>IF(B181="", "", 'Lighting Inventory'!BB189)</f>
        <v/>
      </c>
      <c r="AS181" s="67" t="str">
        <f>IF(B181="", "", 'Lighting Inventory'!BC189)</f>
        <v/>
      </c>
      <c r="AT181" s="67" t="str">
        <f>IF(B181="", "", 'Lighting Inventory'!BD189)</f>
        <v/>
      </c>
      <c r="AU181" s="67" t="str">
        <f>IF(B181="", "", 'Lighting Inventory'!BE189)</f>
        <v/>
      </c>
      <c r="AV181" s="67" t="str">
        <f>IF(B181="", "", 'Lighting Inventory'!BE189)</f>
        <v/>
      </c>
      <c r="AW181" s="67" t="str">
        <f>IF(B181="", "", 'Lighting Inventory'!BF189)</f>
        <v/>
      </c>
      <c r="AX181" s="67" t="str">
        <f>IF(B181="", "", 'Lighting Inventory'!BF189)</f>
        <v/>
      </c>
      <c r="AY181" s="65" t="str">
        <f t="shared" si="10"/>
        <v/>
      </c>
      <c r="AZ181" s="65" t="str">
        <f>IF(B181="", "", 'Lighting Inventory'!BJ189)</f>
        <v/>
      </c>
      <c r="BA181" s="65" t="str">
        <f>IF(B181="", "", 'Lighting Inventory'!BM189)</f>
        <v/>
      </c>
      <c r="BB181" s="65" t="str">
        <f>IF(B181="","",SUM('Lighting Inventory'!BP189:BP189))</f>
        <v/>
      </c>
      <c r="BC181" s="67" t="str">
        <f>IF(OR(AE181="", B181=""),"", 'Lighting Inventory'!GR189)</f>
        <v/>
      </c>
      <c r="BD181" s="67" t="str">
        <f>IFERROR(IF(B181="", "", 'Lighting Inventory'!AF189)*AD181," ")</f>
        <v xml:space="preserve"> </v>
      </c>
      <c r="BE181" s="67"/>
      <c r="BF181" s="67"/>
    </row>
    <row r="182" spans="1:58" x14ac:dyDescent="0.25">
      <c r="A182" s="26" t="str">
        <f>IF(B182="", "", 'Lookup Tables'!AW183)</f>
        <v/>
      </c>
      <c r="B182" s="26" t="str">
        <f>IF(OR('Lighting Inventory'!Y190="", 'Lighting Inventory'!V190="No Change"),"", 'Lighting Inventory'!Y190)</f>
        <v/>
      </c>
      <c r="C182" s="26" t="str">
        <f>IF(B182="", "", IF('Lighting Inventory'!Y190='Lookup Tables'!$Y$32, 'Lighting Inventory'!AJ190, IF(AD182=0, R182, AD182)))</f>
        <v/>
      </c>
      <c r="D182" s="26" t="str">
        <f>IF(B182="", "", 'General Information'!$F$14)</f>
        <v/>
      </c>
      <c r="E182" s="26" t="str">
        <f t="shared" si="9"/>
        <v/>
      </c>
      <c r="F182" s="26" t="str">
        <f>IF(B182="", "", CONCATENATE('General Information'!$F$9, " - ", 'General Information'!$F$14))</f>
        <v/>
      </c>
      <c r="G182" s="26" t="str">
        <f>IF(B182="", "", 'General Information'!$F$15)</f>
        <v/>
      </c>
      <c r="H182" s="26" t="str">
        <f>IF(B182="", "", IF(VLOOKUP(B182, 'Lookup Tables'!$Y$18:$AA$34, 2, FALSE)="Traffic", VLOOKUP('Lighting Inventory'!W190, 'Lookup Tables'!#REF!, 11, FALSE), VLOOKUP(B182, 'Lookup Tables'!$Y$18:$AA$34, 2, FALSE)))</f>
        <v/>
      </c>
      <c r="I182" s="26" t="str">
        <f>IF(B182="", "", CONCATENATE(D182, 'Data Export'!A182))</f>
        <v/>
      </c>
      <c r="J182" s="26" t="str">
        <f>IF(B182="", "", 'Lookup Tables'!$B$1)</f>
        <v/>
      </c>
      <c r="K182" s="26" t="str">
        <f>IF(B182="", "", 'Lighting Inventory'!B190)</f>
        <v/>
      </c>
      <c r="L182" s="26" t="str">
        <f>IF(B182="", "", 'Lighting Inventory'!C190)</f>
        <v/>
      </c>
      <c r="M182" s="26" t="str">
        <f>IF(B182="", "",'Lighting Inventory'!D190)</f>
        <v/>
      </c>
      <c r="N182" s="26" t="str">
        <f>IF(B182="", "",'Lighting Inventory'!E190)</f>
        <v/>
      </c>
      <c r="O182" s="26" t="str">
        <f>IF(B182="", "", 'Lighting Inventory'!F190)</f>
        <v/>
      </c>
      <c r="P182" s="26" t="str">
        <f>IF(B182="", "", 'Lighting Inventory'!G190)</f>
        <v/>
      </c>
      <c r="Q182" s="26" t="str">
        <f>IF(B182="", "", 'Lighting Inventory'!H190)</f>
        <v/>
      </c>
      <c r="R182" s="26" t="str">
        <f>IF(B182="", "", 'Lighting Inventory'!I190)</f>
        <v/>
      </c>
      <c r="S182" s="26" t="str">
        <f>IF(B182="", "", 'Lighting Inventory'!J190)</f>
        <v/>
      </c>
      <c r="T182" s="26" t="str">
        <f>IFERROR(IF(B182="","",VLOOKUP(S182,'Fixture Identities'!$A$7:$G$1023,5,FALSE)), "New Construction")</f>
        <v/>
      </c>
      <c r="U182" s="26" t="str">
        <f>IFERROR(IF(B182="", "", IF(K182="New Construction", "NC", IF(VLOOKUP(S182, 'Fixture Identities'!$A$7:$I$1023,3, FALSE)="T12 Linear Fluorescent", VLOOKUP(S182, 'Fixture Identities'!$A$7:$K$1012, 11, FALSE), S182))), "")</f>
        <v/>
      </c>
      <c r="V182" s="26" t="str">
        <f>IFERROR(IF(OR(B182="", U182=0), "", VLOOKUP(U182, 'Fixture Identities'!$A$7:$G$1023, 5, FALSE)), "")</f>
        <v/>
      </c>
      <c r="W182" s="26" t="str">
        <f>IF(B182="", "",'Lighting Inventory'!K190)</f>
        <v/>
      </c>
      <c r="X182" s="65" t="str">
        <f>IF(B182="", "", 'Lighting Inventory'!L190)</f>
        <v/>
      </c>
      <c r="Y182" s="26" t="str">
        <f>IF(B182="", "", IF('Lighting Inventory'!M190="", "Light Switch",'Lighting Inventory'!M190))</f>
        <v/>
      </c>
      <c r="Z182" s="26" t="str">
        <f>IF(OR(K182="Retrofit", B182=""), "", 'Lighting Inventory'!N190)</f>
        <v/>
      </c>
      <c r="AA182" s="26" t="str">
        <f>IF(OR(Z182="",B182=""), "", 'Lighting Inventory'!O190)</f>
        <v/>
      </c>
      <c r="AB182" s="26" t="str">
        <f>IF(B182="", "", 'Lighting Inventory'!P190)</f>
        <v/>
      </c>
      <c r="AC182" s="96" t="str">
        <f>IF(B182="", "", 'Lighting Inventory'!R190)</f>
        <v/>
      </c>
      <c r="AD182" s="26" t="str">
        <f>IF(B182="", "", 'Lighting Inventory'!S190)</f>
        <v/>
      </c>
      <c r="AE182" s="26" t="str">
        <f>IF(B182="", "", 'Lighting Inventory'!V190)</f>
        <v/>
      </c>
      <c r="AF182" s="26" t="str">
        <f>IF(B182="", "", 'Lighting Inventory'!W190)</f>
        <v/>
      </c>
      <c r="AG182" s="26" t="str">
        <f>IF(OR(AF182="", B182=""), "", IF(AE182="Custom", "0", VLOOKUP(AF182, 'Lookup Tables'!$AI$6:$AP$102, 8, FALSE)))</f>
        <v/>
      </c>
      <c r="AH182" s="26" t="str">
        <f>IF(B182="", "", 'Lighting Inventory'!AD190)</f>
        <v/>
      </c>
      <c r="AI182" s="26" t="str">
        <f>IF(OR('Lighting Inventory'!AK190="", B182=""), "", 'Lighting Inventory'!AK190)</f>
        <v/>
      </c>
      <c r="AJ182" s="66" t="str">
        <f>IF(B182="", "", 'Lighting Inventory'!AL190)</f>
        <v/>
      </c>
      <c r="AK182" s="65" t="str">
        <f>IF(B182="", "", 'Lighting Inventory'!AM190)</f>
        <v/>
      </c>
      <c r="AL182" s="26" t="str">
        <f>IF(B182="", "", 'Lighting Inventory'!AN190)</f>
        <v/>
      </c>
      <c r="AM182" s="26" t="str">
        <f t="shared" si="8"/>
        <v/>
      </c>
      <c r="AN182" s="26" t="str">
        <f>IF(B182="","",IF('Lighting Inventory'!AV190="","Prescribed",'Lighting Inventory'!AV190))</f>
        <v/>
      </c>
      <c r="AO182" s="66" t="str">
        <f>IF(B182="", "", 'Lighting Inventory'!AX190)</f>
        <v/>
      </c>
      <c r="AP182" s="67" t="str">
        <f>IF(B182="", "", 'Lighting Inventory'!AZ190)</f>
        <v/>
      </c>
      <c r="AQ182" s="67" t="str">
        <f>IF(B182="", "", 'Lighting Inventory'!BA190)</f>
        <v/>
      </c>
      <c r="AR182" s="67" t="str">
        <f>IF(B182="", "", 'Lighting Inventory'!BB190)</f>
        <v/>
      </c>
      <c r="AS182" s="67" t="str">
        <f>IF(B182="", "", 'Lighting Inventory'!BC190)</f>
        <v/>
      </c>
      <c r="AT182" s="67" t="str">
        <f>IF(B182="", "", 'Lighting Inventory'!BD190)</f>
        <v/>
      </c>
      <c r="AU182" s="67" t="str">
        <f>IF(B182="", "", 'Lighting Inventory'!BE190)</f>
        <v/>
      </c>
      <c r="AV182" s="67" t="str">
        <f>IF(B182="", "", 'Lighting Inventory'!BE190)</f>
        <v/>
      </c>
      <c r="AW182" s="67" t="str">
        <f>IF(B182="", "", 'Lighting Inventory'!BF190)</f>
        <v/>
      </c>
      <c r="AX182" s="67" t="str">
        <f>IF(B182="", "", 'Lighting Inventory'!BF190)</f>
        <v/>
      </c>
      <c r="AY182" s="65" t="str">
        <f t="shared" si="10"/>
        <v/>
      </c>
      <c r="AZ182" s="65" t="str">
        <f>IF(B182="", "", 'Lighting Inventory'!BJ190)</f>
        <v/>
      </c>
      <c r="BA182" s="65" t="str">
        <f>IF(B182="", "", 'Lighting Inventory'!BM190)</f>
        <v/>
      </c>
      <c r="BB182" s="65" t="str">
        <f>IF(B182="","",SUM('Lighting Inventory'!BP190:BP190))</f>
        <v/>
      </c>
      <c r="BC182" s="67" t="str">
        <f>IF(OR(AE182="", B182=""),"", 'Lighting Inventory'!GR190)</f>
        <v/>
      </c>
      <c r="BD182" s="67" t="str">
        <f>IFERROR(IF(B182="", "", 'Lighting Inventory'!AF190)*AD182," ")</f>
        <v xml:space="preserve"> </v>
      </c>
      <c r="BE182" s="67"/>
      <c r="BF182" s="67"/>
    </row>
    <row r="183" spans="1:58" x14ac:dyDescent="0.25">
      <c r="A183" s="26" t="str">
        <f>IF(B183="", "", 'Lookup Tables'!AW184)</f>
        <v/>
      </c>
      <c r="B183" s="26" t="str">
        <f>IF(OR('Lighting Inventory'!Y191="", 'Lighting Inventory'!V191="No Change"),"", 'Lighting Inventory'!Y191)</f>
        <v/>
      </c>
      <c r="C183" s="26" t="str">
        <f>IF(B183="", "", IF('Lighting Inventory'!Y191='Lookup Tables'!$Y$32, 'Lighting Inventory'!AJ191, IF(AD183=0, R183, AD183)))</f>
        <v/>
      </c>
      <c r="D183" s="26" t="str">
        <f>IF(B183="", "", 'General Information'!$F$14)</f>
        <v/>
      </c>
      <c r="E183" s="26" t="str">
        <f t="shared" si="9"/>
        <v/>
      </c>
      <c r="F183" s="26" t="str">
        <f>IF(B183="", "", CONCATENATE('General Information'!$F$9, " - ", 'General Information'!$F$14))</f>
        <v/>
      </c>
      <c r="G183" s="26" t="str">
        <f>IF(B183="", "", 'General Information'!$F$15)</f>
        <v/>
      </c>
      <c r="H183" s="26" t="str">
        <f>IF(B183="", "", IF(VLOOKUP(B183, 'Lookup Tables'!$Y$18:$AA$34, 2, FALSE)="Traffic", VLOOKUP('Lighting Inventory'!W191, 'Lookup Tables'!#REF!, 11, FALSE), VLOOKUP(B183, 'Lookup Tables'!$Y$18:$AA$34, 2, FALSE)))</f>
        <v/>
      </c>
      <c r="I183" s="26" t="str">
        <f>IF(B183="", "", CONCATENATE(D183, 'Data Export'!A183))</f>
        <v/>
      </c>
      <c r="J183" s="26" t="str">
        <f>IF(B183="", "", 'Lookup Tables'!$B$1)</f>
        <v/>
      </c>
      <c r="K183" s="26" t="str">
        <f>IF(B183="", "", 'Lighting Inventory'!B191)</f>
        <v/>
      </c>
      <c r="L183" s="26" t="str">
        <f>IF(B183="", "", 'Lighting Inventory'!C191)</f>
        <v/>
      </c>
      <c r="M183" s="26" t="str">
        <f>IF(B183="", "",'Lighting Inventory'!D191)</f>
        <v/>
      </c>
      <c r="N183" s="26" t="str">
        <f>IF(B183="", "",'Lighting Inventory'!E191)</f>
        <v/>
      </c>
      <c r="O183" s="26" t="str">
        <f>IF(B183="", "", 'Lighting Inventory'!F191)</f>
        <v/>
      </c>
      <c r="P183" s="26" t="str">
        <f>IF(B183="", "", 'Lighting Inventory'!G191)</f>
        <v/>
      </c>
      <c r="Q183" s="26" t="str">
        <f>IF(B183="", "", 'Lighting Inventory'!H191)</f>
        <v/>
      </c>
      <c r="R183" s="26" t="str">
        <f>IF(B183="", "", 'Lighting Inventory'!I191)</f>
        <v/>
      </c>
      <c r="S183" s="26" t="str">
        <f>IF(B183="", "", 'Lighting Inventory'!J191)</f>
        <v/>
      </c>
      <c r="T183" s="26" t="str">
        <f>IFERROR(IF(B183="","",VLOOKUP(S183,'Fixture Identities'!$A$7:$G$1023,5,FALSE)), "New Construction")</f>
        <v/>
      </c>
      <c r="U183" s="26" t="str">
        <f>IFERROR(IF(B183="", "", IF(K183="New Construction", "NC", IF(VLOOKUP(S183, 'Fixture Identities'!$A$7:$I$1023,3, FALSE)="T12 Linear Fluorescent", VLOOKUP(S183, 'Fixture Identities'!$A$7:$K$1012, 11, FALSE), S183))), "")</f>
        <v/>
      </c>
      <c r="V183" s="26" t="str">
        <f>IFERROR(IF(OR(B183="", U183=0), "", VLOOKUP(U183, 'Fixture Identities'!$A$7:$G$1023, 5, FALSE)), "")</f>
        <v/>
      </c>
      <c r="W183" s="26" t="str">
        <f>IF(B183="", "",'Lighting Inventory'!K191)</f>
        <v/>
      </c>
      <c r="X183" s="65" t="str">
        <f>IF(B183="", "", 'Lighting Inventory'!L191)</f>
        <v/>
      </c>
      <c r="Y183" s="26" t="str">
        <f>IF(B183="", "", IF('Lighting Inventory'!M191="", "Light Switch",'Lighting Inventory'!M191))</f>
        <v/>
      </c>
      <c r="Z183" s="26" t="str">
        <f>IF(OR(K183="Retrofit", B183=""), "", 'Lighting Inventory'!N191)</f>
        <v/>
      </c>
      <c r="AA183" s="26" t="str">
        <f>IF(OR(Z183="",B183=""), "", 'Lighting Inventory'!O191)</f>
        <v/>
      </c>
      <c r="AB183" s="26" t="str">
        <f>IF(B183="", "", 'Lighting Inventory'!P191)</f>
        <v/>
      </c>
      <c r="AC183" s="96" t="str">
        <f>IF(B183="", "", 'Lighting Inventory'!R191)</f>
        <v/>
      </c>
      <c r="AD183" s="26" t="str">
        <f>IF(B183="", "", 'Lighting Inventory'!S191)</f>
        <v/>
      </c>
      <c r="AE183" s="26" t="str">
        <f>IF(B183="", "", 'Lighting Inventory'!V191)</f>
        <v/>
      </c>
      <c r="AF183" s="26" t="str">
        <f>IF(B183="", "", 'Lighting Inventory'!W191)</f>
        <v/>
      </c>
      <c r="AG183" s="26" t="str">
        <f>IF(OR(AF183="", B183=""), "", IF(AE183="Custom", "0", VLOOKUP(AF183, 'Lookup Tables'!$AI$6:$AP$102, 8, FALSE)))</f>
        <v/>
      </c>
      <c r="AH183" s="26" t="str">
        <f>IF(B183="", "", 'Lighting Inventory'!AD191)</f>
        <v/>
      </c>
      <c r="AI183" s="26" t="str">
        <f>IF(OR('Lighting Inventory'!AK191="", B183=""), "", 'Lighting Inventory'!AK191)</f>
        <v/>
      </c>
      <c r="AJ183" s="66" t="str">
        <f>IF(B183="", "", 'Lighting Inventory'!AL191)</f>
        <v/>
      </c>
      <c r="AK183" s="65" t="str">
        <f>IF(B183="", "", 'Lighting Inventory'!AM191)</f>
        <v/>
      </c>
      <c r="AL183" s="26" t="str">
        <f>IF(B183="", "", 'Lighting Inventory'!AN191)</f>
        <v/>
      </c>
      <c r="AM183" s="26" t="str">
        <f t="shared" si="8"/>
        <v/>
      </c>
      <c r="AN183" s="26" t="str">
        <f>IF(B183="","",IF('Lighting Inventory'!AV191="","Prescribed",'Lighting Inventory'!AV191))</f>
        <v/>
      </c>
      <c r="AO183" s="66" t="str">
        <f>IF(B183="", "", 'Lighting Inventory'!AX191)</f>
        <v/>
      </c>
      <c r="AP183" s="67" t="str">
        <f>IF(B183="", "", 'Lighting Inventory'!AZ191)</f>
        <v/>
      </c>
      <c r="AQ183" s="67" t="str">
        <f>IF(B183="", "", 'Lighting Inventory'!BA191)</f>
        <v/>
      </c>
      <c r="AR183" s="67" t="str">
        <f>IF(B183="", "", 'Lighting Inventory'!BB191)</f>
        <v/>
      </c>
      <c r="AS183" s="67" t="str">
        <f>IF(B183="", "", 'Lighting Inventory'!BC191)</f>
        <v/>
      </c>
      <c r="AT183" s="67" t="str">
        <f>IF(B183="", "", 'Lighting Inventory'!BD191)</f>
        <v/>
      </c>
      <c r="AU183" s="67" t="str">
        <f>IF(B183="", "", 'Lighting Inventory'!BE191)</f>
        <v/>
      </c>
      <c r="AV183" s="67" t="str">
        <f>IF(B183="", "", 'Lighting Inventory'!BE191)</f>
        <v/>
      </c>
      <c r="AW183" s="67" t="str">
        <f>IF(B183="", "", 'Lighting Inventory'!BF191)</f>
        <v/>
      </c>
      <c r="AX183" s="67" t="str">
        <f>IF(B183="", "", 'Lighting Inventory'!BF191)</f>
        <v/>
      </c>
      <c r="AY183" s="65" t="str">
        <f t="shared" si="10"/>
        <v/>
      </c>
      <c r="AZ183" s="65" t="str">
        <f>IF(B183="", "", 'Lighting Inventory'!BJ191)</f>
        <v/>
      </c>
      <c r="BA183" s="65" t="str">
        <f>IF(B183="", "", 'Lighting Inventory'!BM191)</f>
        <v/>
      </c>
      <c r="BB183" s="65" t="str">
        <f>IF(B183="","",SUM('Lighting Inventory'!BP191:BP191))</f>
        <v/>
      </c>
      <c r="BC183" s="67" t="str">
        <f>IF(OR(AE183="", B183=""),"", 'Lighting Inventory'!GR191)</f>
        <v/>
      </c>
      <c r="BD183" s="67" t="str">
        <f>IFERROR(IF(B183="", "", 'Lighting Inventory'!AF191)*AD183," ")</f>
        <v xml:space="preserve"> </v>
      </c>
      <c r="BE183" s="67"/>
      <c r="BF183" s="67"/>
    </row>
    <row r="184" spans="1:58" x14ac:dyDescent="0.25">
      <c r="A184" s="26" t="str">
        <f>IF(B184="", "", 'Lookup Tables'!AW185)</f>
        <v/>
      </c>
      <c r="B184" s="26" t="str">
        <f>IF(OR('Lighting Inventory'!Y192="", 'Lighting Inventory'!V192="No Change"),"", 'Lighting Inventory'!Y192)</f>
        <v/>
      </c>
      <c r="C184" s="26" t="str">
        <f>IF(B184="", "", IF('Lighting Inventory'!Y192='Lookup Tables'!$Y$32, 'Lighting Inventory'!AJ192, IF(AD184=0, R184, AD184)))</f>
        <v/>
      </c>
      <c r="D184" s="26" t="str">
        <f>IF(B184="", "", 'General Information'!$F$14)</f>
        <v/>
      </c>
      <c r="E184" s="26" t="str">
        <f t="shared" si="9"/>
        <v/>
      </c>
      <c r="F184" s="26" t="str">
        <f>IF(B184="", "", CONCATENATE('General Information'!$F$9, " - ", 'General Information'!$F$14))</f>
        <v/>
      </c>
      <c r="G184" s="26" t="str">
        <f>IF(B184="", "", 'General Information'!$F$15)</f>
        <v/>
      </c>
      <c r="H184" s="26" t="str">
        <f>IF(B184="", "", IF(VLOOKUP(B184, 'Lookup Tables'!$Y$18:$AA$34, 2, FALSE)="Traffic", VLOOKUP('Lighting Inventory'!W192, 'Lookup Tables'!#REF!, 11, FALSE), VLOOKUP(B184, 'Lookup Tables'!$Y$18:$AA$34, 2, FALSE)))</f>
        <v/>
      </c>
      <c r="I184" s="26" t="str">
        <f>IF(B184="", "", CONCATENATE(D184, 'Data Export'!A184))</f>
        <v/>
      </c>
      <c r="J184" s="26" t="str">
        <f>IF(B184="", "", 'Lookup Tables'!$B$1)</f>
        <v/>
      </c>
      <c r="K184" s="26" t="str">
        <f>IF(B184="", "", 'Lighting Inventory'!B192)</f>
        <v/>
      </c>
      <c r="L184" s="26" t="str">
        <f>IF(B184="", "", 'Lighting Inventory'!C192)</f>
        <v/>
      </c>
      <c r="M184" s="26" t="str">
        <f>IF(B184="", "",'Lighting Inventory'!D192)</f>
        <v/>
      </c>
      <c r="N184" s="26" t="str">
        <f>IF(B184="", "",'Lighting Inventory'!E192)</f>
        <v/>
      </c>
      <c r="O184" s="26" t="str">
        <f>IF(B184="", "", 'Lighting Inventory'!F192)</f>
        <v/>
      </c>
      <c r="P184" s="26" t="str">
        <f>IF(B184="", "", 'Lighting Inventory'!G192)</f>
        <v/>
      </c>
      <c r="Q184" s="26" t="str">
        <f>IF(B184="", "", 'Lighting Inventory'!H192)</f>
        <v/>
      </c>
      <c r="R184" s="26" t="str">
        <f>IF(B184="", "", 'Lighting Inventory'!I192)</f>
        <v/>
      </c>
      <c r="S184" s="26" t="str">
        <f>IF(B184="", "", 'Lighting Inventory'!J192)</f>
        <v/>
      </c>
      <c r="T184" s="26" t="str">
        <f>IFERROR(IF(B184="","",VLOOKUP(S184,'Fixture Identities'!$A$7:$G$1023,5,FALSE)), "New Construction")</f>
        <v/>
      </c>
      <c r="U184" s="26" t="str">
        <f>IFERROR(IF(B184="", "", IF(K184="New Construction", "NC", IF(VLOOKUP(S184, 'Fixture Identities'!$A$7:$I$1023,3, FALSE)="T12 Linear Fluorescent", VLOOKUP(S184, 'Fixture Identities'!$A$7:$K$1012, 11, FALSE), S184))), "")</f>
        <v/>
      </c>
      <c r="V184" s="26" t="str">
        <f>IFERROR(IF(OR(B184="", U184=0), "", VLOOKUP(U184, 'Fixture Identities'!$A$7:$G$1023, 5, FALSE)), "")</f>
        <v/>
      </c>
      <c r="W184" s="26" t="str">
        <f>IF(B184="", "",'Lighting Inventory'!K192)</f>
        <v/>
      </c>
      <c r="X184" s="65" t="str">
        <f>IF(B184="", "", 'Lighting Inventory'!L192)</f>
        <v/>
      </c>
      <c r="Y184" s="26" t="str">
        <f>IF(B184="", "", IF('Lighting Inventory'!M192="", "Light Switch",'Lighting Inventory'!M192))</f>
        <v/>
      </c>
      <c r="Z184" s="26" t="str">
        <f>IF(OR(K184="Retrofit", B184=""), "", 'Lighting Inventory'!N192)</f>
        <v/>
      </c>
      <c r="AA184" s="26" t="str">
        <f>IF(OR(Z184="",B184=""), "", 'Lighting Inventory'!O192)</f>
        <v/>
      </c>
      <c r="AB184" s="26" t="str">
        <f>IF(B184="", "", 'Lighting Inventory'!P192)</f>
        <v/>
      </c>
      <c r="AC184" s="96" t="str">
        <f>IF(B184="", "", 'Lighting Inventory'!R192)</f>
        <v/>
      </c>
      <c r="AD184" s="26" t="str">
        <f>IF(B184="", "", 'Lighting Inventory'!S192)</f>
        <v/>
      </c>
      <c r="AE184" s="26" t="str">
        <f>IF(B184="", "", 'Lighting Inventory'!V192)</f>
        <v/>
      </c>
      <c r="AF184" s="26" t="str">
        <f>IF(B184="", "", 'Lighting Inventory'!W192)</f>
        <v/>
      </c>
      <c r="AG184" s="26" t="str">
        <f>IF(OR(AF184="", B184=""), "", IF(AE184="Custom", "0", VLOOKUP(AF184, 'Lookup Tables'!$AI$6:$AP$102, 8, FALSE)))</f>
        <v/>
      </c>
      <c r="AH184" s="26" t="str">
        <f>IF(B184="", "", 'Lighting Inventory'!AD192)</f>
        <v/>
      </c>
      <c r="AI184" s="26" t="str">
        <f>IF(OR('Lighting Inventory'!AK192="", B184=""), "", 'Lighting Inventory'!AK192)</f>
        <v/>
      </c>
      <c r="AJ184" s="66" t="str">
        <f>IF(B184="", "", 'Lighting Inventory'!AL192)</f>
        <v/>
      </c>
      <c r="AK184" s="65" t="str">
        <f>IF(B184="", "", 'Lighting Inventory'!AM192)</f>
        <v/>
      </c>
      <c r="AL184" s="26" t="str">
        <f>IF(B184="", "", 'Lighting Inventory'!AN192)</f>
        <v/>
      </c>
      <c r="AM184" s="26" t="str">
        <f t="shared" si="8"/>
        <v/>
      </c>
      <c r="AN184" s="26" t="str">
        <f>IF(B184="","",IF('Lighting Inventory'!AV192="","Prescribed",'Lighting Inventory'!AV192))</f>
        <v/>
      </c>
      <c r="AO184" s="66" t="str">
        <f>IF(B184="", "", 'Lighting Inventory'!AX192)</f>
        <v/>
      </c>
      <c r="AP184" s="67" t="str">
        <f>IF(B184="", "", 'Lighting Inventory'!AZ192)</f>
        <v/>
      </c>
      <c r="AQ184" s="67" t="str">
        <f>IF(B184="", "", 'Lighting Inventory'!BA192)</f>
        <v/>
      </c>
      <c r="AR184" s="67" t="str">
        <f>IF(B184="", "", 'Lighting Inventory'!BB192)</f>
        <v/>
      </c>
      <c r="AS184" s="67" t="str">
        <f>IF(B184="", "", 'Lighting Inventory'!BC192)</f>
        <v/>
      </c>
      <c r="AT184" s="67" t="str">
        <f>IF(B184="", "", 'Lighting Inventory'!BD192)</f>
        <v/>
      </c>
      <c r="AU184" s="67" t="str">
        <f>IF(B184="", "", 'Lighting Inventory'!BE192)</f>
        <v/>
      </c>
      <c r="AV184" s="67" t="str">
        <f>IF(B184="", "", 'Lighting Inventory'!BE192)</f>
        <v/>
      </c>
      <c r="AW184" s="67" t="str">
        <f>IF(B184="", "", 'Lighting Inventory'!BF192)</f>
        <v/>
      </c>
      <c r="AX184" s="67" t="str">
        <f>IF(B184="", "", 'Lighting Inventory'!BF192)</f>
        <v/>
      </c>
      <c r="AY184" s="65" t="str">
        <f t="shared" si="10"/>
        <v/>
      </c>
      <c r="AZ184" s="65" t="str">
        <f>IF(B184="", "", 'Lighting Inventory'!BJ192)</f>
        <v/>
      </c>
      <c r="BA184" s="65" t="str">
        <f>IF(B184="", "", 'Lighting Inventory'!BM192)</f>
        <v/>
      </c>
      <c r="BB184" s="65" t="str">
        <f>IF(B184="","",SUM('Lighting Inventory'!BP192:BP192))</f>
        <v/>
      </c>
      <c r="BC184" s="67" t="str">
        <f>IF(OR(AE184="", B184=""),"", 'Lighting Inventory'!GR192)</f>
        <v/>
      </c>
      <c r="BD184" s="67" t="str">
        <f>IFERROR(IF(B184="", "", 'Lighting Inventory'!AF192)*AD184," ")</f>
        <v xml:space="preserve"> </v>
      </c>
      <c r="BE184" s="67"/>
      <c r="BF184" s="67"/>
    </row>
    <row r="185" spans="1:58" x14ac:dyDescent="0.25">
      <c r="A185" s="26" t="str">
        <f>IF(B185="", "", 'Lookup Tables'!AW186)</f>
        <v/>
      </c>
      <c r="B185" s="26" t="str">
        <f>IF(OR('Lighting Inventory'!Y193="", 'Lighting Inventory'!V193="No Change"),"", 'Lighting Inventory'!Y193)</f>
        <v/>
      </c>
      <c r="C185" s="26" t="str">
        <f>IF(B185="", "", IF('Lighting Inventory'!Y193='Lookup Tables'!$Y$32, 'Lighting Inventory'!AJ193, IF(AD185=0, R185, AD185)))</f>
        <v/>
      </c>
      <c r="D185" s="26" t="str">
        <f>IF(B185="", "", 'General Information'!$F$14)</f>
        <v/>
      </c>
      <c r="E185" s="26" t="str">
        <f t="shared" si="9"/>
        <v/>
      </c>
      <c r="F185" s="26" t="str">
        <f>IF(B185="", "", CONCATENATE('General Information'!$F$9, " - ", 'General Information'!$F$14))</f>
        <v/>
      </c>
      <c r="G185" s="26" t="str">
        <f>IF(B185="", "", 'General Information'!$F$15)</f>
        <v/>
      </c>
      <c r="H185" s="26" t="str">
        <f>IF(B185="", "", IF(VLOOKUP(B185, 'Lookup Tables'!$Y$18:$AA$34, 2, FALSE)="Traffic", VLOOKUP('Lighting Inventory'!W193, 'Lookup Tables'!#REF!, 11, FALSE), VLOOKUP(B185, 'Lookup Tables'!$Y$18:$AA$34, 2, FALSE)))</f>
        <v/>
      </c>
      <c r="I185" s="26" t="str">
        <f>IF(B185="", "", CONCATENATE(D185, 'Data Export'!A185))</f>
        <v/>
      </c>
      <c r="J185" s="26" t="str">
        <f>IF(B185="", "", 'Lookup Tables'!$B$1)</f>
        <v/>
      </c>
      <c r="K185" s="26" t="str">
        <f>IF(B185="", "", 'Lighting Inventory'!B193)</f>
        <v/>
      </c>
      <c r="L185" s="26" t="str">
        <f>IF(B185="", "", 'Lighting Inventory'!C193)</f>
        <v/>
      </c>
      <c r="M185" s="26" t="str">
        <f>IF(B185="", "",'Lighting Inventory'!D193)</f>
        <v/>
      </c>
      <c r="N185" s="26" t="str">
        <f>IF(B185="", "",'Lighting Inventory'!E193)</f>
        <v/>
      </c>
      <c r="O185" s="26" t="str">
        <f>IF(B185="", "", 'Lighting Inventory'!F193)</f>
        <v/>
      </c>
      <c r="P185" s="26" t="str">
        <f>IF(B185="", "", 'Lighting Inventory'!G193)</f>
        <v/>
      </c>
      <c r="Q185" s="26" t="str">
        <f>IF(B185="", "", 'Lighting Inventory'!H193)</f>
        <v/>
      </c>
      <c r="R185" s="26" t="str">
        <f>IF(B185="", "", 'Lighting Inventory'!I193)</f>
        <v/>
      </c>
      <c r="S185" s="26" t="str">
        <f>IF(B185="", "", 'Lighting Inventory'!J193)</f>
        <v/>
      </c>
      <c r="T185" s="26" t="str">
        <f>IFERROR(IF(B185="","",VLOOKUP(S185,'Fixture Identities'!$A$7:$G$1023,5,FALSE)), "New Construction")</f>
        <v/>
      </c>
      <c r="U185" s="26" t="str">
        <f>IFERROR(IF(B185="", "", IF(K185="New Construction", "NC", IF(VLOOKUP(S185, 'Fixture Identities'!$A$7:$I$1023,3, FALSE)="T12 Linear Fluorescent", VLOOKUP(S185, 'Fixture Identities'!$A$7:$K$1012, 11, FALSE), S185))), "")</f>
        <v/>
      </c>
      <c r="V185" s="26" t="str">
        <f>IFERROR(IF(OR(B185="", U185=0), "", VLOOKUP(U185, 'Fixture Identities'!$A$7:$G$1023, 5, FALSE)), "")</f>
        <v/>
      </c>
      <c r="W185" s="26" t="str">
        <f>IF(B185="", "",'Lighting Inventory'!K193)</f>
        <v/>
      </c>
      <c r="X185" s="65" t="str">
        <f>IF(B185="", "", 'Lighting Inventory'!L193)</f>
        <v/>
      </c>
      <c r="Y185" s="26" t="str">
        <f>IF(B185="", "", IF('Lighting Inventory'!M193="", "Light Switch",'Lighting Inventory'!M193))</f>
        <v/>
      </c>
      <c r="Z185" s="26" t="str">
        <f>IF(OR(K185="Retrofit", B185=""), "", 'Lighting Inventory'!N193)</f>
        <v/>
      </c>
      <c r="AA185" s="26" t="str">
        <f>IF(OR(Z185="",B185=""), "", 'Lighting Inventory'!O193)</f>
        <v/>
      </c>
      <c r="AB185" s="26" t="str">
        <f>IF(B185="", "", 'Lighting Inventory'!P193)</f>
        <v/>
      </c>
      <c r="AC185" s="96" t="str">
        <f>IF(B185="", "", 'Lighting Inventory'!R193)</f>
        <v/>
      </c>
      <c r="AD185" s="26" t="str">
        <f>IF(B185="", "", 'Lighting Inventory'!S193)</f>
        <v/>
      </c>
      <c r="AE185" s="26" t="str">
        <f>IF(B185="", "", 'Lighting Inventory'!V193)</f>
        <v/>
      </c>
      <c r="AF185" s="26" t="str">
        <f>IF(B185="", "", 'Lighting Inventory'!W193)</f>
        <v/>
      </c>
      <c r="AG185" s="26" t="str">
        <f>IF(OR(AF185="", B185=""), "", IF(AE185="Custom", "0", VLOOKUP(AF185, 'Lookup Tables'!$AI$6:$AP$102, 8, FALSE)))</f>
        <v/>
      </c>
      <c r="AH185" s="26" t="str">
        <f>IF(B185="", "", 'Lighting Inventory'!AD193)</f>
        <v/>
      </c>
      <c r="AI185" s="26" t="str">
        <f>IF(OR('Lighting Inventory'!AK193="", B185=""), "", 'Lighting Inventory'!AK193)</f>
        <v/>
      </c>
      <c r="AJ185" s="66" t="str">
        <f>IF(B185="", "", 'Lighting Inventory'!AL193)</f>
        <v/>
      </c>
      <c r="AK185" s="65" t="str">
        <f>IF(B185="", "", 'Lighting Inventory'!AM193)</f>
        <v/>
      </c>
      <c r="AL185" s="26" t="str">
        <f>IF(B185="", "", 'Lighting Inventory'!AN193)</f>
        <v/>
      </c>
      <c r="AM185" s="26" t="str">
        <f t="shared" si="8"/>
        <v/>
      </c>
      <c r="AN185" s="26" t="str">
        <f>IF(B185="","",IF('Lighting Inventory'!AV193="","Prescribed",'Lighting Inventory'!AV193))</f>
        <v/>
      </c>
      <c r="AO185" s="66" t="str">
        <f>IF(B185="", "", 'Lighting Inventory'!AX193)</f>
        <v/>
      </c>
      <c r="AP185" s="67" t="str">
        <f>IF(B185="", "", 'Lighting Inventory'!AZ193)</f>
        <v/>
      </c>
      <c r="AQ185" s="67" t="str">
        <f>IF(B185="", "", 'Lighting Inventory'!BA193)</f>
        <v/>
      </c>
      <c r="AR185" s="67" t="str">
        <f>IF(B185="", "", 'Lighting Inventory'!BB193)</f>
        <v/>
      </c>
      <c r="AS185" s="67" t="str">
        <f>IF(B185="", "", 'Lighting Inventory'!BC193)</f>
        <v/>
      </c>
      <c r="AT185" s="67" t="str">
        <f>IF(B185="", "", 'Lighting Inventory'!BD193)</f>
        <v/>
      </c>
      <c r="AU185" s="67" t="str">
        <f>IF(B185="", "", 'Lighting Inventory'!BE193)</f>
        <v/>
      </c>
      <c r="AV185" s="67" t="str">
        <f>IF(B185="", "", 'Lighting Inventory'!BE193)</f>
        <v/>
      </c>
      <c r="AW185" s="67" t="str">
        <f>IF(B185="", "", 'Lighting Inventory'!BF193)</f>
        <v/>
      </c>
      <c r="AX185" s="67" t="str">
        <f>IF(B185="", "", 'Lighting Inventory'!BF193)</f>
        <v/>
      </c>
      <c r="AY185" s="65" t="str">
        <f t="shared" si="10"/>
        <v/>
      </c>
      <c r="AZ185" s="65" t="str">
        <f>IF(B185="", "", 'Lighting Inventory'!BJ193)</f>
        <v/>
      </c>
      <c r="BA185" s="65" t="str">
        <f>IF(B185="", "", 'Lighting Inventory'!BM193)</f>
        <v/>
      </c>
      <c r="BB185" s="65" t="str">
        <f>IF(B185="","",SUM('Lighting Inventory'!BP193:BP193))</f>
        <v/>
      </c>
      <c r="BC185" s="67" t="str">
        <f>IF(OR(AE185="", B185=""),"", 'Lighting Inventory'!GR193)</f>
        <v/>
      </c>
      <c r="BD185" s="67" t="str">
        <f>IFERROR(IF(B185="", "", 'Lighting Inventory'!AF193)*AD185," ")</f>
        <v xml:space="preserve"> </v>
      </c>
      <c r="BE185" s="67"/>
      <c r="BF185" s="67"/>
    </row>
    <row r="186" spans="1:58" x14ac:dyDescent="0.25">
      <c r="A186" s="26" t="str">
        <f>IF(B186="", "", 'Lookup Tables'!AW187)</f>
        <v/>
      </c>
      <c r="B186" s="26" t="str">
        <f>IF(OR('Lighting Inventory'!Y194="", 'Lighting Inventory'!V194="No Change"),"", 'Lighting Inventory'!Y194)</f>
        <v/>
      </c>
      <c r="C186" s="26" t="str">
        <f>IF(B186="", "", IF('Lighting Inventory'!Y194='Lookup Tables'!$Y$32, 'Lighting Inventory'!AJ194, IF(AD186=0, R186, AD186)))</f>
        <v/>
      </c>
      <c r="D186" s="26" t="str">
        <f>IF(B186="", "", 'General Information'!$F$14)</f>
        <v/>
      </c>
      <c r="E186" s="26" t="str">
        <f t="shared" si="9"/>
        <v/>
      </c>
      <c r="F186" s="26" t="str">
        <f>IF(B186="", "", CONCATENATE('General Information'!$F$9, " - ", 'General Information'!$F$14))</f>
        <v/>
      </c>
      <c r="G186" s="26" t="str">
        <f>IF(B186="", "", 'General Information'!$F$15)</f>
        <v/>
      </c>
      <c r="H186" s="26" t="str">
        <f>IF(B186="", "", IF(VLOOKUP(B186, 'Lookup Tables'!$Y$18:$AA$34, 2, FALSE)="Traffic", VLOOKUP('Lighting Inventory'!W194, 'Lookup Tables'!#REF!, 11, FALSE), VLOOKUP(B186, 'Lookup Tables'!$Y$18:$AA$34, 2, FALSE)))</f>
        <v/>
      </c>
      <c r="I186" s="26" t="str">
        <f>IF(B186="", "", CONCATENATE(D186, 'Data Export'!A186))</f>
        <v/>
      </c>
      <c r="J186" s="26" t="str">
        <f>IF(B186="", "", 'Lookup Tables'!$B$1)</f>
        <v/>
      </c>
      <c r="K186" s="26" t="str">
        <f>IF(B186="", "", 'Lighting Inventory'!B194)</f>
        <v/>
      </c>
      <c r="L186" s="26" t="str">
        <f>IF(B186="", "", 'Lighting Inventory'!C194)</f>
        <v/>
      </c>
      <c r="M186" s="26" t="str">
        <f>IF(B186="", "",'Lighting Inventory'!D194)</f>
        <v/>
      </c>
      <c r="N186" s="26" t="str">
        <f>IF(B186="", "",'Lighting Inventory'!E194)</f>
        <v/>
      </c>
      <c r="O186" s="26" t="str">
        <f>IF(B186="", "", 'Lighting Inventory'!F194)</f>
        <v/>
      </c>
      <c r="P186" s="26" t="str">
        <f>IF(B186="", "", 'Lighting Inventory'!G194)</f>
        <v/>
      </c>
      <c r="Q186" s="26" t="str">
        <f>IF(B186="", "", 'Lighting Inventory'!H194)</f>
        <v/>
      </c>
      <c r="R186" s="26" t="str">
        <f>IF(B186="", "", 'Lighting Inventory'!I194)</f>
        <v/>
      </c>
      <c r="S186" s="26" t="str">
        <f>IF(B186="", "", 'Lighting Inventory'!J194)</f>
        <v/>
      </c>
      <c r="T186" s="26" t="str">
        <f>IFERROR(IF(B186="","",VLOOKUP(S186,'Fixture Identities'!$A$7:$G$1023,5,FALSE)), "New Construction")</f>
        <v/>
      </c>
      <c r="U186" s="26" t="str">
        <f>IFERROR(IF(B186="", "", IF(K186="New Construction", "NC", IF(VLOOKUP(S186, 'Fixture Identities'!$A$7:$I$1023,3, FALSE)="T12 Linear Fluorescent", VLOOKUP(S186, 'Fixture Identities'!$A$7:$K$1012, 11, FALSE), S186))), "")</f>
        <v/>
      </c>
      <c r="V186" s="26" t="str">
        <f>IFERROR(IF(OR(B186="", U186=0), "", VLOOKUP(U186, 'Fixture Identities'!$A$7:$G$1023, 5, FALSE)), "")</f>
        <v/>
      </c>
      <c r="W186" s="26" t="str">
        <f>IF(B186="", "",'Lighting Inventory'!K194)</f>
        <v/>
      </c>
      <c r="X186" s="65" t="str">
        <f>IF(B186="", "", 'Lighting Inventory'!L194)</f>
        <v/>
      </c>
      <c r="Y186" s="26" t="str">
        <f>IF(B186="", "", IF('Lighting Inventory'!M194="", "Light Switch",'Lighting Inventory'!M194))</f>
        <v/>
      </c>
      <c r="Z186" s="26" t="str">
        <f>IF(OR(K186="Retrofit", B186=""), "", 'Lighting Inventory'!N194)</f>
        <v/>
      </c>
      <c r="AA186" s="26" t="str">
        <f>IF(OR(Z186="",B186=""), "", 'Lighting Inventory'!O194)</f>
        <v/>
      </c>
      <c r="AB186" s="26" t="str">
        <f>IF(B186="", "", 'Lighting Inventory'!P194)</f>
        <v/>
      </c>
      <c r="AC186" s="96" t="str">
        <f>IF(B186="", "", 'Lighting Inventory'!R194)</f>
        <v/>
      </c>
      <c r="AD186" s="26" t="str">
        <f>IF(B186="", "", 'Lighting Inventory'!S194)</f>
        <v/>
      </c>
      <c r="AE186" s="26" t="str">
        <f>IF(B186="", "", 'Lighting Inventory'!V194)</f>
        <v/>
      </c>
      <c r="AF186" s="26" t="str">
        <f>IF(B186="", "", 'Lighting Inventory'!W194)</f>
        <v/>
      </c>
      <c r="AG186" s="26" t="str">
        <f>IF(OR(AF186="", B186=""), "", IF(AE186="Custom", "0", VLOOKUP(AF186, 'Lookup Tables'!$AI$6:$AP$102, 8, FALSE)))</f>
        <v/>
      </c>
      <c r="AH186" s="26" t="str">
        <f>IF(B186="", "", 'Lighting Inventory'!AD194)</f>
        <v/>
      </c>
      <c r="AI186" s="26" t="str">
        <f>IF(OR('Lighting Inventory'!AK194="", B186=""), "", 'Lighting Inventory'!AK194)</f>
        <v/>
      </c>
      <c r="AJ186" s="66" t="str">
        <f>IF(B186="", "", 'Lighting Inventory'!AL194)</f>
        <v/>
      </c>
      <c r="AK186" s="65" t="str">
        <f>IF(B186="", "", 'Lighting Inventory'!AM194)</f>
        <v/>
      </c>
      <c r="AL186" s="26" t="str">
        <f>IF(B186="", "", 'Lighting Inventory'!AN194)</f>
        <v/>
      </c>
      <c r="AM186" s="26" t="str">
        <f t="shared" si="8"/>
        <v/>
      </c>
      <c r="AN186" s="26" t="str">
        <f>IF(B186="","",IF('Lighting Inventory'!AV194="","Prescribed",'Lighting Inventory'!AV194))</f>
        <v/>
      </c>
      <c r="AO186" s="66" t="str">
        <f>IF(B186="", "", 'Lighting Inventory'!AX194)</f>
        <v/>
      </c>
      <c r="AP186" s="67" t="str">
        <f>IF(B186="", "", 'Lighting Inventory'!AZ194)</f>
        <v/>
      </c>
      <c r="AQ186" s="67" t="str">
        <f>IF(B186="", "", 'Lighting Inventory'!BA194)</f>
        <v/>
      </c>
      <c r="AR186" s="67" t="str">
        <f>IF(B186="", "", 'Lighting Inventory'!BB194)</f>
        <v/>
      </c>
      <c r="AS186" s="67" t="str">
        <f>IF(B186="", "", 'Lighting Inventory'!BC194)</f>
        <v/>
      </c>
      <c r="AT186" s="67" t="str">
        <f>IF(B186="", "", 'Lighting Inventory'!BD194)</f>
        <v/>
      </c>
      <c r="AU186" s="67" t="str">
        <f>IF(B186="", "", 'Lighting Inventory'!BE194)</f>
        <v/>
      </c>
      <c r="AV186" s="67" t="str">
        <f>IF(B186="", "", 'Lighting Inventory'!BE194)</f>
        <v/>
      </c>
      <c r="AW186" s="67" t="str">
        <f>IF(B186="", "", 'Lighting Inventory'!BF194)</f>
        <v/>
      </c>
      <c r="AX186" s="67" t="str">
        <f>IF(B186="", "", 'Lighting Inventory'!BF194)</f>
        <v/>
      </c>
      <c r="AY186" s="65" t="str">
        <f t="shared" si="10"/>
        <v/>
      </c>
      <c r="AZ186" s="65" t="str">
        <f>IF(B186="", "", 'Lighting Inventory'!BJ194)</f>
        <v/>
      </c>
      <c r="BA186" s="65" t="str">
        <f>IF(B186="", "", 'Lighting Inventory'!BM194)</f>
        <v/>
      </c>
      <c r="BB186" s="65" t="str">
        <f>IF(B186="","",SUM('Lighting Inventory'!BP194:BP194))</f>
        <v/>
      </c>
      <c r="BC186" s="67" t="str">
        <f>IF(OR(AE186="", B186=""),"", 'Lighting Inventory'!GR194)</f>
        <v/>
      </c>
      <c r="BD186" s="67" t="str">
        <f>IFERROR(IF(B186="", "", 'Lighting Inventory'!AF194)*AD186," ")</f>
        <v xml:space="preserve"> </v>
      </c>
      <c r="BE186" s="67"/>
      <c r="BF186" s="67"/>
    </row>
    <row r="187" spans="1:58" x14ac:dyDescent="0.25">
      <c r="A187" s="26" t="str">
        <f>IF(B187="", "", 'Lookup Tables'!AW188)</f>
        <v/>
      </c>
      <c r="B187" s="26" t="str">
        <f>IF(OR('Lighting Inventory'!Y195="", 'Lighting Inventory'!V195="No Change"),"", 'Lighting Inventory'!Y195)</f>
        <v/>
      </c>
      <c r="C187" s="26" t="str">
        <f>IF(B187="", "", IF('Lighting Inventory'!Y195='Lookup Tables'!$Y$32, 'Lighting Inventory'!AJ195, IF(AD187=0, R187, AD187)))</f>
        <v/>
      </c>
      <c r="D187" s="26" t="str">
        <f>IF(B187="", "", 'General Information'!$F$14)</f>
        <v/>
      </c>
      <c r="E187" s="26" t="str">
        <f t="shared" si="9"/>
        <v/>
      </c>
      <c r="F187" s="26" t="str">
        <f>IF(B187="", "", CONCATENATE('General Information'!$F$9, " - ", 'General Information'!$F$14))</f>
        <v/>
      </c>
      <c r="G187" s="26" t="str">
        <f>IF(B187="", "", 'General Information'!$F$15)</f>
        <v/>
      </c>
      <c r="H187" s="26" t="str">
        <f>IF(B187="", "", IF(VLOOKUP(B187, 'Lookup Tables'!$Y$18:$AA$34, 2, FALSE)="Traffic", VLOOKUP('Lighting Inventory'!W195, 'Lookup Tables'!#REF!, 11, FALSE), VLOOKUP(B187, 'Lookup Tables'!$Y$18:$AA$34, 2, FALSE)))</f>
        <v/>
      </c>
      <c r="I187" s="26" t="str">
        <f>IF(B187="", "", CONCATENATE(D187, 'Data Export'!A187))</f>
        <v/>
      </c>
      <c r="J187" s="26" t="str">
        <f>IF(B187="", "", 'Lookup Tables'!$B$1)</f>
        <v/>
      </c>
      <c r="K187" s="26" t="str">
        <f>IF(B187="", "", 'Lighting Inventory'!B195)</f>
        <v/>
      </c>
      <c r="L187" s="26" t="str">
        <f>IF(B187="", "", 'Lighting Inventory'!C195)</f>
        <v/>
      </c>
      <c r="M187" s="26" t="str">
        <f>IF(B187="", "",'Lighting Inventory'!D195)</f>
        <v/>
      </c>
      <c r="N187" s="26" t="str">
        <f>IF(B187="", "",'Lighting Inventory'!E195)</f>
        <v/>
      </c>
      <c r="O187" s="26" t="str">
        <f>IF(B187="", "", 'Lighting Inventory'!F195)</f>
        <v/>
      </c>
      <c r="P187" s="26" t="str">
        <f>IF(B187="", "", 'Lighting Inventory'!G195)</f>
        <v/>
      </c>
      <c r="Q187" s="26" t="str">
        <f>IF(B187="", "", 'Lighting Inventory'!H195)</f>
        <v/>
      </c>
      <c r="R187" s="26" t="str">
        <f>IF(B187="", "", 'Lighting Inventory'!I195)</f>
        <v/>
      </c>
      <c r="S187" s="26" t="str">
        <f>IF(B187="", "", 'Lighting Inventory'!J195)</f>
        <v/>
      </c>
      <c r="T187" s="26" t="str">
        <f>IFERROR(IF(B187="","",VLOOKUP(S187,'Fixture Identities'!$A$7:$G$1023,5,FALSE)), "New Construction")</f>
        <v/>
      </c>
      <c r="U187" s="26" t="str">
        <f>IFERROR(IF(B187="", "", IF(K187="New Construction", "NC", IF(VLOOKUP(S187, 'Fixture Identities'!$A$7:$I$1023,3, FALSE)="T12 Linear Fluorescent", VLOOKUP(S187, 'Fixture Identities'!$A$7:$K$1012, 11, FALSE), S187))), "")</f>
        <v/>
      </c>
      <c r="V187" s="26" t="str">
        <f>IFERROR(IF(OR(B187="", U187=0), "", VLOOKUP(U187, 'Fixture Identities'!$A$7:$G$1023, 5, FALSE)), "")</f>
        <v/>
      </c>
      <c r="W187" s="26" t="str">
        <f>IF(B187="", "",'Lighting Inventory'!K195)</f>
        <v/>
      </c>
      <c r="X187" s="65" t="str">
        <f>IF(B187="", "", 'Lighting Inventory'!L195)</f>
        <v/>
      </c>
      <c r="Y187" s="26" t="str">
        <f>IF(B187="", "", IF('Lighting Inventory'!M195="", "Light Switch",'Lighting Inventory'!M195))</f>
        <v/>
      </c>
      <c r="Z187" s="26" t="str">
        <f>IF(OR(K187="Retrofit", B187=""), "", 'Lighting Inventory'!N195)</f>
        <v/>
      </c>
      <c r="AA187" s="26" t="str">
        <f>IF(OR(Z187="",B187=""), "", 'Lighting Inventory'!O195)</f>
        <v/>
      </c>
      <c r="AB187" s="26" t="str">
        <f>IF(B187="", "", 'Lighting Inventory'!P195)</f>
        <v/>
      </c>
      <c r="AC187" s="96" t="str">
        <f>IF(B187="", "", 'Lighting Inventory'!R195)</f>
        <v/>
      </c>
      <c r="AD187" s="26" t="str">
        <f>IF(B187="", "", 'Lighting Inventory'!S195)</f>
        <v/>
      </c>
      <c r="AE187" s="26" t="str">
        <f>IF(B187="", "", 'Lighting Inventory'!V195)</f>
        <v/>
      </c>
      <c r="AF187" s="26" t="str">
        <f>IF(B187="", "", 'Lighting Inventory'!W195)</f>
        <v/>
      </c>
      <c r="AG187" s="26" t="str">
        <f>IF(OR(AF187="", B187=""), "", IF(AE187="Custom", "0", VLOOKUP(AF187, 'Lookup Tables'!$AI$6:$AP$102, 8, FALSE)))</f>
        <v/>
      </c>
      <c r="AH187" s="26" t="str">
        <f>IF(B187="", "", 'Lighting Inventory'!AD195)</f>
        <v/>
      </c>
      <c r="AI187" s="26" t="str">
        <f>IF(OR('Lighting Inventory'!AK195="", B187=""), "", 'Lighting Inventory'!AK195)</f>
        <v/>
      </c>
      <c r="AJ187" s="66" t="str">
        <f>IF(B187="", "", 'Lighting Inventory'!AL195)</f>
        <v/>
      </c>
      <c r="AK187" s="65" t="str">
        <f>IF(B187="", "", 'Lighting Inventory'!AM195)</f>
        <v/>
      </c>
      <c r="AL187" s="26" t="str">
        <f>IF(B187="", "", 'Lighting Inventory'!AN195)</f>
        <v/>
      </c>
      <c r="AM187" s="26" t="str">
        <f t="shared" si="8"/>
        <v/>
      </c>
      <c r="AN187" s="26" t="str">
        <f>IF(B187="","",IF('Lighting Inventory'!AV195="","Prescribed",'Lighting Inventory'!AV195))</f>
        <v/>
      </c>
      <c r="AO187" s="66" t="str">
        <f>IF(B187="", "", 'Lighting Inventory'!AX195)</f>
        <v/>
      </c>
      <c r="AP187" s="67" t="str">
        <f>IF(B187="", "", 'Lighting Inventory'!AZ195)</f>
        <v/>
      </c>
      <c r="AQ187" s="67" t="str">
        <f>IF(B187="", "", 'Lighting Inventory'!BA195)</f>
        <v/>
      </c>
      <c r="AR187" s="67" t="str">
        <f>IF(B187="", "", 'Lighting Inventory'!BB195)</f>
        <v/>
      </c>
      <c r="AS187" s="67" t="str">
        <f>IF(B187="", "", 'Lighting Inventory'!BC195)</f>
        <v/>
      </c>
      <c r="AT187" s="67" t="str">
        <f>IF(B187="", "", 'Lighting Inventory'!BD195)</f>
        <v/>
      </c>
      <c r="AU187" s="67" t="str">
        <f>IF(B187="", "", 'Lighting Inventory'!BE195)</f>
        <v/>
      </c>
      <c r="AV187" s="67" t="str">
        <f>IF(B187="", "", 'Lighting Inventory'!BE195)</f>
        <v/>
      </c>
      <c r="AW187" s="67" t="str">
        <f>IF(B187="", "", 'Lighting Inventory'!BF195)</f>
        <v/>
      </c>
      <c r="AX187" s="67" t="str">
        <f>IF(B187="", "", 'Lighting Inventory'!BF195)</f>
        <v/>
      </c>
      <c r="AY187" s="65" t="str">
        <f t="shared" si="10"/>
        <v/>
      </c>
      <c r="AZ187" s="65" t="str">
        <f>IF(B187="", "", 'Lighting Inventory'!BJ195)</f>
        <v/>
      </c>
      <c r="BA187" s="65" t="str">
        <f>IF(B187="", "", 'Lighting Inventory'!BM195)</f>
        <v/>
      </c>
      <c r="BB187" s="65" t="str">
        <f>IF(B187="","",SUM('Lighting Inventory'!BP195:BP195))</f>
        <v/>
      </c>
      <c r="BC187" s="67" t="str">
        <f>IF(OR(AE187="", B187=""),"", 'Lighting Inventory'!GR195)</f>
        <v/>
      </c>
      <c r="BD187" s="67" t="str">
        <f>IFERROR(IF(B187="", "", 'Lighting Inventory'!AF195)*AD187," ")</f>
        <v xml:space="preserve"> </v>
      </c>
      <c r="BE187" s="67"/>
      <c r="BF187" s="67"/>
    </row>
    <row r="188" spans="1:58" x14ac:dyDescent="0.25">
      <c r="A188" s="26" t="str">
        <f>IF(B188="", "", 'Lookup Tables'!AW189)</f>
        <v/>
      </c>
      <c r="B188" s="26" t="str">
        <f>IF(OR('Lighting Inventory'!Y196="", 'Lighting Inventory'!V196="No Change"),"", 'Lighting Inventory'!Y196)</f>
        <v/>
      </c>
      <c r="C188" s="26" t="str">
        <f>IF(B188="", "", IF('Lighting Inventory'!Y196='Lookup Tables'!$Y$32, 'Lighting Inventory'!AJ196, IF(AD188=0, R188, AD188)))</f>
        <v/>
      </c>
      <c r="D188" s="26" t="str">
        <f>IF(B188="", "", 'General Information'!$F$14)</f>
        <v/>
      </c>
      <c r="E188" s="26" t="str">
        <f t="shared" si="9"/>
        <v/>
      </c>
      <c r="F188" s="26" t="str">
        <f>IF(B188="", "", CONCATENATE('General Information'!$F$9, " - ", 'General Information'!$F$14))</f>
        <v/>
      </c>
      <c r="G188" s="26" t="str">
        <f>IF(B188="", "", 'General Information'!$F$15)</f>
        <v/>
      </c>
      <c r="H188" s="26" t="str">
        <f>IF(B188="", "", IF(VLOOKUP(B188, 'Lookup Tables'!$Y$18:$AA$34, 2, FALSE)="Traffic", VLOOKUP('Lighting Inventory'!W196, 'Lookup Tables'!#REF!, 11, FALSE), VLOOKUP(B188, 'Lookup Tables'!$Y$18:$AA$34, 2, FALSE)))</f>
        <v/>
      </c>
      <c r="I188" s="26" t="str">
        <f>IF(B188="", "", CONCATENATE(D188, 'Data Export'!A188))</f>
        <v/>
      </c>
      <c r="J188" s="26" t="str">
        <f>IF(B188="", "", 'Lookup Tables'!$B$1)</f>
        <v/>
      </c>
      <c r="K188" s="26" t="str">
        <f>IF(B188="", "", 'Lighting Inventory'!B196)</f>
        <v/>
      </c>
      <c r="L188" s="26" t="str">
        <f>IF(B188="", "", 'Lighting Inventory'!C196)</f>
        <v/>
      </c>
      <c r="M188" s="26" t="str">
        <f>IF(B188="", "",'Lighting Inventory'!D196)</f>
        <v/>
      </c>
      <c r="N188" s="26" t="str">
        <f>IF(B188="", "",'Lighting Inventory'!E196)</f>
        <v/>
      </c>
      <c r="O188" s="26" t="str">
        <f>IF(B188="", "", 'Lighting Inventory'!F196)</f>
        <v/>
      </c>
      <c r="P188" s="26" t="str">
        <f>IF(B188="", "", 'Lighting Inventory'!G196)</f>
        <v/>
      </c>
      <c r="Q188" s="26" t="str">
        <f>IF(B188="", "", 'Lighting Inventory'!H196)</f>
        <v/>
      </c>
      <c r="R188" s="26" t="str">
        <f>IF(B188="", "", 'Lighting Inventory'!I196)</f>
        <v/>
      </c>
      <c r="S188" s="26" t="str">
        <f>IF(B188="", "", 'Lighting Inventory'!J196)</f>
        <v/>
      </c>
      <c r="T188" s="26" t="str">
        <f>IFERROR(IF(B188="","",VLOOKUP(S188,'Fixture Identities'!$A$7:$G$1023,5,FALSE)), "New Construction")</f>
        <v/>
      </c>
      <c r="U188" s="26" t="str">
        <f>IFERROR(IF(B188="", "", IF(K188="New Construction", "NC", IF(VLOOKUP(S188, 'Fixture Identities'!$A$7:$I$1023,3, FALSE)="T12 Linear Fluorescent", VLOOKUP(S188, 'Fixture Identities'!$A$7:$K$1012, 11, FALSE), S188))), "")</f>
        <v/>
      </c>
      <c r="V188" s="26" t="str">
        <f>IFERROR(IF(OR(B188="", U188=0), "", VLOOKUP(U188, 'Fixture Identities'!$A$7:$G$1023, 5, FALSE)), "")</f>
        <v/>
      </c>
      <c r="W188" s="26" t="str">
        <f>IF(B188="", "",'Lighting Inventory'!K196)</f>
        <v/>
      </c>
      <c r="X188" s="65" t="str">
        <f>IF(B188="", "", 'Lighting Inventory'!L196)</f>
        <v/>
      </c>
      <c r="Y188" s="26" t="str">
        <f>IF(B188="", "", IF('Lighting Inventory'!M196="", "Light Switch",'Lighting Inventory'!M196))</f>
        <v/>
      </c>
      <c r="Z188" s="26" t="str">
        <f>IF(OR(K188="Retrofit", B188=""), "", 'Lighting Inventory'!N196)</f>
        <v/>
      </c>
      <c r="AA188" s="26" t="str">
        <f>IF(OR(Z188="",B188=""), "", 'Lighting Inventory'!O196)</f>
        <v/>
      </c>
      <c r="AB188" s="26" t="str">
        <f>IF(B188="", "", 'Lighting Inventory'!P196)</f>
        <v/>
      </c>
      <c r="AC188" s="96" t="str">
        <f>IF(B188="", "", 'Lighting Inventory'!R196)</f>
        <v/>
      </c>
      <c r="AD188" s="26" t="str">
        <f>IF(B188="", "", 'Lighting Inventory'!S196)</f>
        <v/>
      </c>
      <c r="AE188" s="26" t="str">
        <f>IF(B188="", "", 'Lighting Inventory'!V196)</f>
        <v/>
      </c>
      <c r="AF188" s="26" t="str">
        <f>IF(B188="", "", 'Lighting Inventory'!W196)</f>
        <v/>
      </c>
      <c r="AG188" s="26" t="str">
        <f>IF(OR(AF188="", B188=""), "", IF(AE188="Custom", "0", VLOOKUP(AF188, 'Lookup Tables'!$AI$6:$AP$102, 8, FALSE)))</f>
        <v/>
      </c>
      <c r="AH188" s="26" t="str">
        <f>IF(B188="", "", 'Lighting Inventory'!AD196)</f>
        <v/>
      </c>
      <c r="AI188" s="26" t="str">
        <f>IF(OR('Lighting Inventory'!AK196="", B188=""), "", 'Lighting Inventory'!AK196)</f>
        <v/>
      </c>
      <c r="AJ188" s="66" t="str">
        <f>IF(B188="", "", 'Lighting Inventory'!AL196)</f>
        <v/>
      </c>
      <c r="AK188" s="65" t="str">
        <f>IF(B188="", "", 'Lighting Inventory'!AM196)</f>
        <v/>
      </c>
      <c r="AL188" s="26" t="str">
        <f>IF(B188="", "", 'Lighting Inventory'!AN196)</f>
        <v/>
      </c>
      <c r="AM188" s="26" t="str">
        <f t="shared" si="8"/>
        <v/>
      </c>
      <c r="AN188" s="26" t="str">
        <f>IF(B188="","",IF('Lighting Inventory'!AV196="","Prescribed",'Lighting Inventory'!AV196))</f>
        <v/>
      </c>
      <c r="AO188" s="66" t="str">
        <f>IF(B188="", "", 'Lighting Inventory'!AX196)</f>
        <v/>
      </c>
      <c r="AP188" s="67" t="str">
        <f>IF(B188="", "", 'Lighting Inventory'!AZ196)</f>
        <v/>
      </c>
      <c r="AQ188" s="67" t="str">
        <f>IF(B188="", "", 'Lighting Inventory'!BA196)</f>
        <v/>
      </c>
      <c r="AR188" s="67" t="str">
        <f>IF(B188="", "", 'Lighting Inventory'!BB196)</f>
        <v/>
      </c>
      <c r="AS188" s="67" t="str">
        <f>IF(B188="", "", 'Lighting Inventory'!BC196)</f>
        <v/>
      </c>
      <c r="AT188" s="67" t="str">
        <f>IF(B188="", "", 'Lighting Inventory'!BD196)</f>
        <v/>
      </c>
      <c r="AU188" s="67" t="str">
        <f>IF(B188="", "", 'Lighting Inventory'!BE196)</f>
        <v/>
      </c>
      <c r="AV188" s="67" t="str">
        <f>IF(B188="", "", 'Lighting Inventory'!BE196)</f>
        <v/>
      </c>
      <c r="AW188" s="67" t="str">
        <f>IF(B188="", "", 'Lighting Inventory'!BF196)</f>
        <v/>
      </c>
      <c r="AX188" s="67" t="str">
        <f>IF(B188="", "", 'Lighting Inventory'!BF196)</f>
        <v/>
      </c>
      <c r="AY188" s="65" t="str">
        <f t="shared" si="10"/>
        <v/>
      </c>
      <c r="AZ188" s="65" t="str">
        <f>IF(B188="", "", 'Lighting Inventory'!BJ196)</f>
        <v/>
      </c>
      <c r="BA188" s="65" t="str">
        <f>IF(B188="", "", 'Lighting Inventory'!BM196)</f>
        <v/>
      </c>
      <c r="BB188" s="65" t="str">
        <f>IF(B188="","",SUM('Lighting Inventory'!BP196:BP196))</f>
        <v/>
      </c>
      <c r="BC188" s="67" t="str">
        <f>IF(OR(AE188="", B188=""),"", 'Lighting Inventory'!GR196)</f>
        <v/>
      </c>
      <c r="BD188" s="67" t="str">
        <f>IFERROR(IF(B188="", "", 'Lighting Inventory'!AF196)*AD188," ")</f>
        <v xml:space="preserve"> </v>
      </c>
      <c r="BE188" s="67"/>
      <c r="BF188" s="67"/>
    </row>
    <row r="189" spans="1:58" x14ac:dyDescent="0.25">
      <c r="A189" s="26" t="str">
        <f>IF(B189="", "", 'Lookup Tables'!AW190)</f>
        <v/>
      </c>
      <c r="B189" s="26" t="str">
        <f>IF(OR('Lighting Inventory'!Y197="", 'Lighting Inventory'!V197="No Change"),"", 'Lighting Inventory'!Y197)</f>
        <v/>
      </c>
      <c r="C189" s="26" t="str">
        <f>IF(B189="", "", IF('Lighting Inventory'!Y197='Lookup Tables'!$Y$32, 'Lighting Inventory'!AJ197, IF(AD189=0, R189, AD189)))</f>
        <v/>
      </c>
      <c r="D189" s="26" t="str">
        <f>IF(B189="", "", 'General Information'!$F$14)</f>
        <v/>
      </c>
      <c r="E189" s="26" t="str">
        <f t="shared" si="9"/>
        <v/>
      </c>
      <c r="F189" s="26" t="str">
        <f>IF(B189="", "", CONCATENATE('General Information'!$F$9, " - ", 'General Information'!$F$14))</f>
        <v/>
      </c>
      <c r="G189" s="26" t="str">
        <f>IF(B189="", "", 'General Information'!$F$15)</f>
        <v/>
      </c>
      <c r="H189" s="26" t="str">
        <f>IF(B189="", "", IF(VLOOKUP(B189, 'Lookup Tables'!$Y$18:$AA$34, 2, FALSE)="Traffic", VLOOKUP('Lighting Inventory'!W197, 'Lookup Tables'!#REF!, 11, FALSE), VLOOKUP(B189, 'Lookup Tables'!$Y$18:$AA$34, 2, FALSE)))</f>
        <v/>
      </c>
      <c r="I189" s="26" t="str">
        <f>IF(B189="", "", CONCATENATE(D189, 'Data Export'!A189))</f>
        <v/>
      </c>
      <c r="J189" s="26" t="str">
        <f>IF(B189="", "", 'Lookup Tables'!$B$1)</f>
        <v/>
      </c>
      <c r="K189" s="26" t="str">
        <f>IF(B189="", "", 'Lighting Inventory'!B197)</f>
        <v/>
      </c>
      <c r="L189" s="26" t="str">
        <f>IF(B189="", "", 'Lighting Inventory'!C197)</f>
        <v/>
      </c>
      <c r="M189" s="26" t="str">
        <f>IF(B189="", "",'Lighting Inventory'!D197)</f>
        <v/>
      </c>
      <c r="N189" s="26" t="str">
        <f>IF(B189="", "",'Lighting Inventory'!E197)</f>
        <v/>
      </c>
      <c r="O189" s="26" t="str">
        <f>IF(B189="", "", 'Lighting Inventory'!F197)</f>
        <v/>
      </c>
      <c r="P189" s="26" t="str">
        <f>IF(B189="", "", 'Lighting Inventory'!G197)</f>
        <v/>
      </c>
      <c r="Q189" s="26" t="str">
        <f>IF(B189="", "", 'Lighting Inventory'!H197)</f>
        <v/>
      </c>
      <c r="R189" s="26" t="str">
        <f>IF(B189="", "", 'Lighting Inventory'!I197)</f>
        <v/>
      </c>
      <c r="S189" s="26" t="str">
        <f>IF(B189="", "", 'Lighting Inventory'!J197)</f>
        <v/>
      </c>
      <c r="T189" s="26" t="str">
        <f>IFERROR(IF(B189="","",VLOOKUP(S189,'Fixture Identities'!$A$7:$G$1023,5,FALSE)), "New Construction")</f>
        <v/>
      </c>
      <c r="U189" s="26" t="str">
        <f>IFERROR(IF(B189="", "", IF(K189="New Construction", "NC", IF(VLOOKUP(S189, 'Fixture Identities'!$A$7:$I$1023,3, FALSE)="T12 Linear Fluorescent", VLOOKUP(S189, 'Fixture Identities'!$A$7:$K$1012, 11, FALSE), S189))), "")</f>
        <v/>
      </c>
      <c r="V189" s="26" t="str">
        <f>IFERROR(IF(OR(B189="", U189=0), "", VLOOKUP(U189, 'Fixture Identities'!$A$7:$G$1023, 5, FALSE)), "")</f>
        <v/>
      </c>
      <c r="W189" s="26" t="str">
        <f>IF(B189="", "",'Lighting Inventory'!K197)</f>
        <v/>
      </c>
      <c r="X189" s="65" t="str">
        <f>IF(B189="", "", 'Lighting Inventory'!L197)</f>
        <v/>
      </c>
      <c r="Y189" s="26" t="str">
        <f>IF(B189="", "", IF('Lighting Inventory'!M197="", "Light Switch",'Lighting Inventory'!M197))</f>
        <v/>
      </c>
      <c r="Z189" s="26" t="str">
        <f>IF(OR(K189="Retrofit", B189=""), "", 'Lighting Inventory'!N197)</f>
        <v/>
      </c>
      <c r="AA189" s="26" t="str">
        <f>IF(OR(Z189="",B189=""), "", 'Lighting Inventory'!O197)</f>
        <v/>
      </c>
      <c r="AB189" s="26" t="str">
        <f>IF(B189="", "", 'Lighting Inventory'!P197)</f>
        <v/>
      </c>
      <c r="AC189" s="96" t="str">
        <f>IF(B189="", "", 'Lighting Inventory'!R197)</f>
        <v/>
      </c>
      <c r="AD189" s="26" t="str">
        <f>IF(B189="", "", 'Lighting Inventory'!S197)</f>
        <v/>
      </c>
      <c r="AE189" s="26" t="str">
        <f>IF(B189="", "", 'Lighting Inventory'!V197)</f>
        <v/>
      </c>
      <c r="AF189" s="26" t="str">
        <f>IF(B189="", "", 'Lighting Inventory'!W197)</f>
        <v/>
      </c>
      <c r="AG189" s="26" t="str">
        <f>IF(OR(AF189="", B189=""), "", IF(AE189="Custom", "0", VLOOKUP(AF189, 'Lookup Tables'!$AI$6:$AP$102, 8, FALSE)))</f>
        <v/>
      </c>
      <c r="AH189" s="26" t="str">
        <f>IF(B189="", "", 'Lighting Inventory'!AD197)</f>
        <v/>
      </c>
      <c r="AI189" s="26" t="str">
        <f>IF(OR('Lighting Inventory'!AK197="", B189=""), "", 'Lighting Inventory'!AK197)</f>
        <v/>
      </c>
      <c r="AJ189" s="66" t="str">
        <f>IF(B189="", "", 'Lighting Inventory'!AL197)</f>
        <v/>
      </c>
      <c r="AK189" s="65" t="str">
        <f>IF(B189="", "", 'Lighting Inventory'!AM197)</f>
        <v/>
      </c>
      <c r="AL189" s="26" t="str">
        <f>IF(B189="", "", 'Lighting Inventory'!AN197)</f>
        <v/>
      </c>
      <c r="AM189" s="26" t="str">
        <f t="shared" si="8"/>
        <v/>
      </c>
      <c r="AN189" s="26" t="str">
        <f>IF(B189="","",IF('Lighting Inventory'!AV197="","Prescribed",'Lighting Inventory'!AV197))</f>
        <v/>
      </c>
      <c r="AO189" s="66" t="str">
        <f>IF(B189="", "", 'Lighting Inventory'!AX197)</f>
        <v/>
      </c>
      <c r="AP189" s="67" t="str">
        <f>IF(B189="", "", 'Lighting Inventory'!AZ197)</f>
        <v/>
      </c>
      <c r="AQ189" s="67" t="str">
        <f>IF(B189="", "", 'Lighting Inventory'!BA197)</f>
        <v/>
      </c>
      <c r="AR189" s="67" t="str">
        <f>IF(B189="", "", 'Lighting Inventory'!BB197)</f>
        <v/>
      </c>
      <c r="AS189" s="67" t="str">
        <f>IF(B189="", "", 'Lighting Inventory'!BC197)</f>
        <v/>
      </c>
      <c r="AT189" s="67" t="str">
        <f>IF(B189="", "", 'Lighting Inventory'!BD197)</f>
        <v/>
      </c>
      <c r="AU189" s="67" t="str">
        <f>IF(B189="", "", 'Lighting Inventory'!BE197)</f>
        <v/>
      </c>
      <c r="AV189" s="67" t="str">
        <f>IF(B189="", "", 'Lighting Inventory'!BE197)</f>
        <v/>
      </c>
      <c r="AW189" s="67" t="str">
        <f>IF(B189="", "", 'Lighting Inventory'!BF197)</f>
        <v/>
      </c>
      <c r="AX189" s="67" t="str">
        <f>IF(B189="", "", 'Lighting Inventory'!BF197)</f>
        <v/>
      </c>
      <c r="AY189" s="65" t="str">
        <f t="shared" si="10"/>
        <v/>
      </c>
      <c r="AZ189" s="65" t="str">
        <f>IF(B189="", "", 'Lighting Inventory'!BJ197)</f>
        <v/>
      </c>
      <c r="BA189" s="65" t="str">
        <f>IF(B189="", "", 'Lighting Inventory'!BM197)</f>
        <v/>
      </c>
      <c r="BB189" s="65" t="str">
        <f>IF(B189="","",SUM('Lighting Inventory'!BP197:BP197))</f>
        <v/>
      </c>
      <c r="BC189" s="67" t="str">
        <f>IF(OR(AE189="", B189=""),"", 'Lighting Inventory'!GR197)</f>
        <v/>
      </c>
      <c r="BD189" s="67" t="str">
        <f>IFERROR(IF(B189="", "", 'Lighting Inventory'!AF197)*AD189," ")</f>
        <v xml:space="preserve"> </v>
      </c>
      <c r="BE189" s="67"/>
      <c r="BF189" s="67"/>
    </row>
    <row r="190" spans="1:58" x14ac:dyDescent="0.25">
      <c r="A190" s="26" t="str">
        <f>IF(B190="", "", 'Lookup Tables'!AW191)</f>
        <v/>
      </c>
      <c r="B190" s="26" t="str">
        <f>IF(OR('Lighting Inventory'!Y198="", 'Lighting Inventory'!V198="No Change"),"", 'Lighting Inventory'!Y198)</f>
        <v/>
      </c>
      <c r="C190" s="26" t="str">
        <f>IF(B190="", "", IF('Lighting Inventory'!Y198='Lookup Tables'!$Y$32, 'Lighting Inventory'!AJ198, IF(AD190=0, R190, AD190)))</f>
        <v/>
      </c>
      <c r="D190" s="26" t="str">
        <f>IF(B190="", "", 'General Information'!$F$14)</f>
        <v/>
      </c>
      <c r="E190" s="26" t="str">
        <f t="shared" si="9"/>
        <v/>
      </c>
      <c r="F190" s="26" t="str">
        <f>IF(B190="", "", CONCATENATE('General Information'!$F$9, " - ", 'General Information'!$F$14))</f>
        <v/>
      </c>
      <c r="G190" s="26" t="str">
        <f>IF(B190="", "", 'General Information'!$F$15)</f>
        <v/>
      </c>
      <c r="H190" s="26" t="str">
        <f>IF(B190="", "", IF(VLOOKUP(B190, 'Lookup Tables'!$Y$18:$AA$34, 2, FALSE)="Traffic", VLOOKUP('Lighting Inventory'!W198, 'Lookup Tables'!#REF!, 11, FALSE), VLOOKUP(B190, 'Lookup Tables'!$Y$18:$AA$34, 2, FALSE)))</f>
        <v/>
      </c>
      <c r="I190" s="26" t="str">
        <f>IF(B190="", "", CONCATENATE(D190, 'Data Export'!A190))</f>
        <v/>
      </c>
      <c r="J190" s="26" t="str">
        <f>IF(B190="", "", 'Lookup Tables'!$B$1)</f>
        <v/>
      </c>
      <c r="K190" s="26" t="str">
        <f>IF(B190="", "", 'Lighting Inventory'!B198)</f>
        <v/>
      </c>
      <c r="L190" s="26" t="str">
        <f>IF(B190="", "", 'Lighting Inventory'!C198)</f>
        <v/>
      </c>
      <c r="M190" s="26" t="str">
        <f>IF(B190="", "",'Lighting Inventory'!D198)</f>
        <v/>
      </c>
      <c r="N190" s="26" t="str">
        <f>IF(B190="", "",'Lighting Inventory'!E198)</f>
        <v/>
      </c>
      <c r="O190" s="26" t="str">
        <f>IF(B190="", "", 'Lighting Inventory'!F198)</f>
        <v/>
      </c>
      <c r="P190" s="26" t="str">
        <f>IF(B190="", "", 'Lighting Inventory'!G198)</f>
        <v/>
      </c>
      <c r="Q190" s="26" t="str">
        <f>IF(B190="", "", 'Lighting Inventory'!H198)</f>
        <v/>
      </c>
      <c r="R190" s="26" t="str">
        <f>IF(B190="", "", 'Lighting Inventory'!I198)</f>
        <v/>
      </c>
      <c r="S190" s="26" t="str">
        <f>IF(B190="", "", 'Lighting Inventory'!J198)</f>
        <v/>
      </c>
      <c r="T190" s="26" t="str">
        <f>IFERROR(IF(B190="","",VLOOKUP(S190,'Fixture Identities'!$A$7:$G$1023,5,FALSE)), "New Construction")</f>
        <v/>
      </c>
      <c r="U190" s="26" t="str">
        <f>IFERROR(IF(B190="", "", IF(K190="New Construction", "NC", IF(VLOOKUP(S190, 'Fixture Identities'!$A$7:$I$1023,3, FALSE)="T12 Linear Fluorescent", VLOOKUP(S190, 'Fixture Identities'!$A$7:$K$1012, 11, FALSE), S190))), "")</f>
        <v/>
      </c>
      <c r="V190" s="26" t="str">
        <f>IFERROR(IF(OR(B190="", U190=0), "", VLOOKUP(U190, 'Fixture Identities'!$A$7:$G$1023, 5, FALSE)), "")</f>
        <v/>
      </c>
      <c r="W190" s="26" t="str">
        <f>IF(B190="", "",'Lighting Inventory'!K198)</f>
        <v/>
      </c>
      <c r="X190" s="65" t="str">
        <f>IF(B190="", "", 'Lighting Inventory'!L198)</f>
        <v/>
      </c>
      <c r="Y190" s="26" t="str">
        <f>IF(B190="", "", IF('Lighting Inventory'!M198="", "Light Switch",'Lighting Inventory'!M198))</f>
        <v/>
      </c>
      <c r="Z190" s="26" t="str">
        <f>IF(OR(K190="Retrofit", B190=""), "", 'Lighting Inventory'!N198)</f>
        <v/>
      </c>
      <c r="AA190" s="26" t="str">
        <f>IF(OR(Z190="",B190=""), "", 'Lighting Inventory'!O198)</f>
        <v/>
      </c>
      <c r="AB190" s="26" t="str">
        <f>IF(B190="", "", 'Lighting Inventory'!P198)</f>
        <v/>
      </c>
      <c r="AC190" s="96" t="str">
        <f>IF(B190="", "", 'Lighting Inventory'!R198)</f>
        <v/>
      </c>
      <c r="AD190" s="26" t="str">
        <f>IF(B190="", "", 'Lighting Inventory'!S198)</f>
        <v/>
      </c>
      <c r="AE190" s="26" t="str">
        <f>IF(B190="", "", 'Lighting Inventory'!V198)</f>
        <v/>
      </c>
      <c r="AF190" s="26" t="str">
        <f>IF(B190="", "", 'Lighting Inventory'!W198)</f>
        <v/>
      </c>
      <c r="AG190" s="26" t="str">
        <f>IF(OR(AF190="", B190=""), "", IF(AE190="Custom", "0", VLOOKUP(AF190, 'Lookup Tables'!$AI$6:$AP$102, 8, FALSE)))</f>
        <v/>
      </c>
      <c r="AH190" s="26" t="str">
        <f>IF(B190="", "", 'Lighting Inventory'!AD198)</f>
        <v/>
      </c>
      <c r="AI190" s="26" t="str">
        <f>IF(OR('Lighting Inventory'!AK198="", B190=""), "", 'Lighting Inventory'!AK198)</f>
        <v/>
      </c>
      <c r="AJ190" s="66" t="str">
        <f>IF(B190="", "", 'Lighting Inventory'!AL198)</f>
        <v/>
      </c>
      <c r="AK190" s="65" t="str">
        <f>IF(B190="", "", 'Lighting Inventory'!AM198)</f>
        <v/>
      </c>
      <c r="AL190" s="26" t="str">
        <f>IF(B190="", "", 'Lighting Inventory'!AN198)</f>
        <v/>
      </c>
      <c r="AM190" s="26" t="str">
        <f t="shared" si="8"/>
        <v/>
      </c>
      <c r="AN190" s="26" t="str">
        <f>IF(B190="","",IF('Lighting Inventory'!AV198="","Prescribed",'Lighting Inventory'!AV198))</f>
        <v/>
      </c>
      <c r="AO190" s="66" t="str">
        <f>IF(B190="", "", 'Lighting Inventory'!AX198)</f>
        <v/>
      </c>
      <c r="AP190" s="67" t="str">
        <f>IF(B190="", "", 'Lighting Inventory'!AZ198)</f>
        <v/>
      </c>
      <c r="AQ190" s="67" t="str">
        <f>IF(B190="", "", 'Lighting Inventory'!BA198)</f>
        <v/>
      </c>
      <c r="AR190" s="67" t="str">
        <f>IF(B190="", "", 'Lighting Inventory'!BB198)</f>
        <v/>
      </c>
      <c r="AS190" s="67" t="str">
        <f>IF(B190="", "", 'Lighting Inventory'!BC198)</f>
        <v/>
      </c>
      <c r="AT190" s="67" t="str">
        <f>IF(B190="", "", 'Lighting Inventory'!BD198)</f>
        <v/>
      </c>
      <c r="AU190" s="67" t="str">
        <f>IF(B190="", "", 'Lighting Inventory'!BE198)</f>
        <v/>
      </c>
      <c r="AV190" s="67" t="str">
        <f>IF(B190="", "", 'Lighting Inventory'!BE198)</f>
        <v/>
      </c>
      <c r="AW190" s="67" t="str">
        <f>IF(B190="", "", 'Lighting Inventory'!BF198)</f>
        <v/>
      </c>
      <c r="AX190" s="67" t="str">
        <f>IF(B190="", "", 'Lighting Inventory'!BF198)</f>
        <v/>
      </c>
      <c r="AY190" s="65" t="str">
        <f t="shared" si="10"/>
        <v/>
      </c>
      <c r="AZ190" s="65" t="str">
        <f>IF(B190="", "", 'Lighting Inventory'!BJ198)</f>
        <v/>
      </c>
      <c r="BA190" s="65" t="str">
        <f>IF(B190="", "", 'Lighting Inventory'!BM198)</f>
        <v/>
      </c>
      <c r="BB190" s="65" t="str">
        <f>IF(B190="","",SUM('Lighting Inventory'!BP198:BP198))</f>
        <v/>
      </c>
      <c r="BC190" s="67" t="str">
        <f>IF(OR(AE190="", B190=""),"", 'Lighting Inventory'!GR198)</f>
        <v/>
      </c>
      <c r="BD190" s="67" t="str">
        <f>IFERROR(IF(B190="", "", 'Lighting Inventory'!AF198)*AD190," ")</f>
        <v xml:space="preserve"> </v>
      </c>
      <c r="BE190" s="67"/>
      <c r="BF190" s="67"/>
    </row>
    <row r="191" spans="1:58" x14ac:dyDescent="0.25">
      <c r="A191" s="26" t="str">
        <f>IF(B191="", "", 'Lookup Tables'!AW192)</f>
        <v/>
      </c>
      <c r="B191" s="26" t="str">
        <f>IF(OR('Lighting Inventory'!Y199="", 'Lighting Inventory'!V199="No Change"),"", 'Lighting Inventory'!Y199)</f>
        <v/>
      </c>
      <c r="C191" s="26" t="str">
        <f>IF(B191="", "", IF('Lighting Inventory'!Y199='Lookup Tables'!$Y$32, 'Lighting Inventory'!AJ199, IF(AD191=0, R191, AD191)))</f>
        <v/>
      </c>
      <c r="D191" s="26" t="str">
        <f>IF(B191="", "", 'General Information'!$F$14)</f>
        <v/>
      </c>
      <c r="E191" s="26" t="str">
        <f t="shared" si="9"/>
        <v/>
      </c>
      <c r="F191" s="26" t="str">
        <f>IF(B191="", "", CONCATENATE('General Information'!$F$9, " - ", 'General Information'!$F$14))</f>
        <v/>
      </c>
      <c r="G191" s="26" t="str">
        <f>IF(B191="", "", 'General Information'!$F$15)</f>
        <v/>
      </c>
      <c r="H191" s="26" t="str">
        <f>IF(B191="", "", IF(VLOOKUP(B191, 'Lookup Tables'!$Y$18:$AA$34, 2, FALSE)="Traffic", VLOOKUP('Lighting Inventory'!W199, 'Lookup Tables'!#REF!, 11, FALSE), VLOOKUP(B191, 'Lookup Tables'!$Y$18:$AA$34, 2, FALSE)))</f>
        <v/>
      </c>
      <c r="I191" s="26" t="str">
        <f>IF(B191="", "", CONCATENATE(D191, 'Data Export'!A191))</f>
        <v/>
      </c>
      <c r="J191" s="26" t="str">
        <f>IF(B191="", "", 'Lookup Tables'!$B$1)</f>
        <v/>
      </c>
      <c r="K191" s="26" t="str">
        <f>IF(B191="", "", 'Lighting Inventory'!B199)</f>
        <v/>
      </c>
      <c r="L191" s="26" t="str">
        <f>IF(B191="", "", 'Lighting Inventory'!C199)</f>
        <v/>
      </c>
      <c r="M191" s="26" t="str">
        <f>IF(B191="", "",'Lighting Inventory'!D199)</f>
        <v/>
      </c>
      <c r="N191" s="26" t="str">
        <f>IF(B191="", "",'Lighting Inventory'!E199)</f>
        <v/>
      </c>
      <c r="O191" s="26" t="str">
        <f>IF(B191="", "", 'Lighting Inventory'!F199)</f>
        <v/>
      </c>
      <c r="P191" s="26" t="str">
        <f>IF(B191="", "", 'Lighting Inventory'!G199)</f>
        <v/>
      </c>
      <c r="Q191" s="26" t="str">
        <f>IF(B191="", "", 'Lighting Inventory'!H199)</f>
        <v/>
      </c>
      <c r="R191" s="26" t="str">
        <f>IF(B191="", "", 'Lighting Inventory'!I199)</f>
        <v/>
      </c>
      <c r="S191" s="26" t="str">
        <f>IF(B191="", "", 'Lighting Inventory'!J199)</f>
        <v/>
      </c>
      <c r="T191" s="26" t="str">
        <f>IFERROR(IF(B191="","",VLOOKUP(S191,'Fixture Identities'!$A$7:$G$1023,5,FALSE)), "New Construction")</f>
        <v/>
      </c>
      <c r="U191" s="26" t="str">
        <f>IFERROR(IF(B191="", "", IF(K191="New Construction", "NC", IF(VLOOKUP(S191, 'Fixture Identities'!$A$7:$I$1023,3, FALSE)="T12 Linear Fluorescent", VLOOKUP(S191, 'Fixture Identities'!$A$7:$K$1012, 11, FALSE), S191))), "")</f>
        <v/>
      </c>
      <c r="V191" s="26" t="str">
        <f>IFERROR(IF(OR(B191="", U191=0), "", VLOOKUP(U191, 'Fixture Identities'!$A$7:$G$1023, 5, FALSE)), "")</f>
        <v/>
      </c>
      <c r="W191" s="26" t="str">
        <f>IF(B191="", "",'Lighting Inventory'!K199)</f>
        <v/>
      </c>
      <c r="X191" s="65" t="str">
        <f>IF(B191="", "", 'Lighting Inventory'!L199)</f>
        <v/>
      </c>
      <c r="Y191" s="26" t="str">
        <f>IF(B191="", "", IF('Lighting Inventory'!M199="", "Light Switch",'Lighting Inventory'!M199))</f>
        <v/>
      </c>
      <c r="Z191" s="26" t="str">
        <f>IF(OR(K191="Retrofit", B191=""), "", 'Lighting Inventory'!N199)</f>
        <v/>
      </c>
      <c r="AA191" s="26" t="str">
        <f>IF(OR(Z191="",B191=""), "", 'Lighting Inventory'!O199)</f>
        <v/>
      </c>
      <c r="AB191" s="26" t="str">
        <f>IF(B191="", "", 'Lighting Inventory'!P199)</f>
        <v/>
      </c>
      <c r="AC191" s="96" t="str">
        <f>IF(B191="", "", 'Lighting Inventory'!R199)</f>
        <v/>
      </c>
      <c r="AD191" s="26" t="str">
        <f>IF(B191="", "", 'Lighting Inventory'!S199)</f>
        <v/>
      </c>
      <c r="AE191" s="26" t="str">
        <f>IF(B191="", "", 'Lighting Inventory'!V199)</f>
        <v/>
      </c>
      <c r="AF191" s="26" t="str">
        <f>IF(B191="", "", 'Lighting Inventory'!W199)</f>
        <v/>
      </c>
      <c r="AG191" s="26" t="str">
        <f>IF(OR(AF191="", B191=""), "", IF(AE191="Custom", "0", VLOOKUP(AF191, 'Lookup Tables'!$AI$6:$AP$102, 8, FALSE)))</f>
        <v/>
      </c>
      <c r="AH191" s="26" t="str">
        <f>IF(B191="", "", 'Lighting Inventory'!AD199)</f>
        <v/>
      </c>
      <c r="AI191" s="26" t="str">
        <f>IF(OR('Lighting Inventory'!AK199="", B191=""), "", 'Lighting Inventory'!AK199)</f>
        <v/>
      </c>
      <c r="AJ191" s="66" t="str">
        <f>IF(B191="", "", 'Lighting Inventory'!AL199)</f>
        <v/>
      </c>
      <c r="AK191" s="65" t="str">
        <f>IF(B191="", "", 'Lighting Inventory'!AM199)</f>
        <v/>
      </c>
      <c r="AL191" s="26" t="str">
        <f>IF(B191="", "", 'Lighting Inventory'!AN199)</f>
        <v/>
      </c>
      <c r="AM191" s="26" t="str">
        <f t="shared" si="8"/>
        <v/>
      </c>
      <c r="AN191" s="26" t="str">
        <f>IF(B191="","",IF('Lighting Inventory'!AV199="","Prescribed",'Lighting Inventory'!AV199))</f>
        <v/>
      </c>
      <c r="AO191" s="66" t="str">
        <f>IF(B191="", "", 'Lighting Inventory'!AX199)</f>
        <v/>
      </c>
      <c r="AP191" s="67" t="str">
        <f>IF(B191="", "", 'Lighting Inventory'!AZ199)</f>
        <v/>
      </c>
      <c r="AQ191" s="67" t="str">
        <f>IF(B191="", "", 'Lighting Inventory'!BA199)</f>
        <v/>
      </c>
      <c r="AR191" s="67" t="str">
        <f>IF(B191="", "", 'Lighting Inventory'!BB199)</f>
        <v/>
      </c>
      <c r="AS191" s="67" t="str">
        <f>IF(B191="", "", 'Lighting Inventory'!BC199)</f>
        <v/>
      </c>
      <c r="AT191" s="67" t="str">
        <f>IF(B191="", "", 'Lighting Inventory'!BD199)</f>
        <v/>
      </c>
      <c r="AU191" s="67" t="str">
        <f>IF(B191="", "", 'Lighting Inventory'!BE199)</f>
        <v/>
      </c>
      <c r="AV191" s="67" t="str">
        <f>IF(B191="", "", 'Lighting Inventory'!BE199)</f>
        <v/>
      </c>
      <c r="AW191" s="67" t="str">
        <f>IF(B191="", "", 'Lighting Inventory'!BF199)</f>
        <v/>
      </c>
      <c r="AX191" s="67" t="str">
        <f>IF(B191="", "", 'Lighting Inventory'!BF199)</f>
        <v/>
      </c>
      <c r="AY191" s="65" t="str">
        <f t="shared" si="10"/>
        <v/>
      </c>
      <c r="AZ191" s="65" t="str">
        <f>IF(B191="", "", 'Lighting Inventory'!BJ199)</f>
        <v/>
      </c>
      <c r="BA191" s="65" t="str">
        <f>IF(B191="", "", 'Lighting Inventory'!BM199)</f>
        <v/>
      </c>
      <c r="BB191" s="65" t="str">
        <f>IF(B191="","",SUM('Lighting Inventory'!BP199:BP199))</f>
        <v/>
      </c>
      <c r="BC191" s="67" t="str">
        <f>IF(OR(AE191="", B191=""),"", 'Lighting Inventory'!GR199)</f>
        <v/>
      </c>
      <c r="BD191" s="67" t="str">
        <f>IFERROR(IF(B191="", "", 'Lighting Inventory'!AF199)*AD191," ")</f>
        <v xml:space="preserve"> </v>
      </c>
      <c r="BE191" s="67"/>
      <c r="BF191" s="67"/>
    </row>
    <row r="192" spans="1:58" x14ac:dyDescent="0.25">
      <c r="A192" s="26" t="str">
        <f>IF(B192="", "", 'Lookup Tables'!AW193)</f>
        <v/>
      </c>
      <c r="B192" s="26" t="str">
        <f>IF(OR('Lighting Inventory'!Y200="", 'Lighting Inventory'!V200="No Change"),"", 'Lighting Inventory'!Y200)</f>
        <v/>
      </c>
      <c r="C192" s="26" t="str">
        <f>IF(B192="", "", IF('Lighting Inventory'!Y200='Lookup Tables'!$Y$32, 'Lighting Inventory'!AJ200, IF(AD192=0, R192, AD192)))</f>
        <v/>
      </c>
      <c r="D192" s="26" t="str">
        <f>IF(B192="", "", 'General Information'!$F$14)</f>
        <v/>
      </c>
      <c r="E192" s="26" t="str">
        <f t="shared" si="9"/>
        <v/>
      </c>
      <c r="F192" s="26" t="str">
        <f>IF(B192="", "", CONCATENATE('General Information'!$F$9, " - ", 'General Information'!$F$14))</f>
        <v/>
      </c>
      <c r="G192" s="26" t="str">
        <f>IF(B192="", "", 'General Information'!$F$15)</f>
        <v/>
      </c>
      <c r="H192" s="26" t="str">
        <f>IF(B192="", "", IF(VLOOKUP(B192, 'Lookup Tables'!$Y$18:$AA$34, 2, FALSE)="Traffic", VLOOKUP('Lighting Inventory'!W200, 'Lookup Tables'!#REF!, 11, FALSE), VLOOKUP(B192, 'Lookup Tables'!$Y$18:$AA$34, 2, FALSE)))</f>
        <v/>
      </c>
      <c r="I192" s="26" t="str">
        <f>IF(B192="", "", CONCATENATE(D192, 'Data Export'!A192))</f>
        <v/>
      </c>
      <c r="J192" s="26" t="str">
        <f>IF(B192="", "", 'Lookup Tables'!$B$1)</f>
        <v/>
      </c>
      <c r="K192" s="26" t="str">
        <f>IF(B192="", "", 'Lighting Inventory'!B200)</f>
        <v/>
      </c>
      <c r="L192" s="26" t="str">
        <f>IF(B192="", "", 'Lighting Inventory'!C200)</f>
        <v/>
      </c>
      <c r="M192" s="26" t="str">
        <f>IF(B192="", "",'Lighting Inventory'!D200)</f>
        <v/>
      </c>
      <c r="N192" s="26" t="str">
        <f>IF(B192="", "",'Lighting Inventory'!E200)</f>
        <v/>
      </c>
      <c r="O192" s="26" t="str">
        <f>IF(B192="", "", 'Lighting Inventory'!F200)</f>
        <v/>
      </c>
      <c r="P192" s="26" t="str">
        <f>IF(B192="", "", 'Lighting Inventory'!G200)</f>
        <v/>
      </c>
      <c r="Q192" s="26" t="str">
        <f>IF(B192="", "", 'Lighting Inventory'!H200)</f>
        <v/>
      </c>
      <c r="R192" s="26" t="str">
        <f>IF(B192="", "", 'Lighting Inventory'!I200)</f>
        <v/>
      </c>
      <c r="S192" s="26" t="str">
        <f>IF(B192="", "", 'Lighting Inventory'!J200)</f>
        <v/>
      </c>
      <c r="T192" s="26" t="str">
        <f>IFERROR(IF(B192="","",VLOOKUP(S192,'Fixture Identities'!$A$7:$G$1023,5,FALSE)), "New Construction")</f>
        <v/>
      </c>
      <c r="U192" s="26" t="str">
        <f>IFERROR(IF(B192="", "", IF(K192="New Construction", "NC", IF(VLOOKUP(S192, 'Fixture Identities'!$A$7:$I$1023,3, FALSE)="T12 Linear Fluorescent", VLOOKUP(S192, 'Fixture Identities'!$A$7:$K$1012, 11, FALSE), S192))), "")</f>
        <v/>
      </c>
      <c r="V192" s="26" t="str">
        <f>IFERROR(IF(OR(B192="", U192=0), "", VLOOKUP(U192, 'Fixture Identities'!$A$7:$G$1023, 5, FALSE)), "")</f>
        <v/>
      </c>
      <c r="W192" s="26" t="str">
        <f>IF(B192="", "",'Lighting Inventory'!K200)</f>
        <v/>
      </c>
      <c r="X192" s="65" t="str">
        <f>IF(B192="", "", 'Lighting Inventory'!L200)</f>
        <v/>
      </c>
      <c r="Y192" s="26" t="str">
        <f>IF(B192="", "", IF('Lighting Inventory'!M200="", "Light Switch",'Lighting Inventory'!M200))</f>
        <v/>
      </c>
      <c r="Z192" s="26" t="str">
        <f>IF(OR(K192="Retrofit", B192=""), "", 'Lighting Inventory'!N200)</f>
        <v/>
      </c>
      <c r="AA192" s="26" t="str">
        <f>IF(OR(Z192="",B192=""), "", 'Lighting Inventory'!O200)</f>
        <v/>
      </c>
      <c r="AB192" s="26" t="str">
        <f>IF(B192="", "", 'Lighting Inventory'!P200)</f>
        <v/>
      </c>
      <c r="AC192" s="96" t="str">
        <f>IF(B192="", "", 'Lighting Inventory'!R200)</f>
        <v/>
      </c>
      <c r="AD192" s="26" t="str">
        <f>IF(B192="", "", 'Lighting Inventory'!S200)</f>
        <v/>
      </c>
      <c r="AE192" s="26" t="str">
        <f>IF(B192="", "", 'Lighting Inventory'!V200)</f>
        <v/>
      </c>
      <c r="AF192" s="26" t="str">
        <f>IF(B192="", "", 'Lighting Inventory'!W200)</f>
        <v/>
      </c>
      <c r="AG192" s="26" t="str">
        <f>IF(OR(AF192="", B192=""), "", IF(AE192="Custom", "0", VLOOKUP(AF192, 'Lookup Tables'!$AI$6:$AP$102, 8, FALSE)))</f>
        <v/>
      </c>
      <c r="AH192" s="26" t="str">
        <f>IF(B192="", "", 'Lighting Inventory'!AD200)</f>
        <v/>
      </c>
      <c r="AI192" s="26" t="str">
        <f>IF(OR('Lighting Inventory'!AK200="", B192=""), "", 'Lighting Inventory'!AK200)</f>
        <v/>
      </c>
      <c r="AJ192" s="66" t="str">
        <f>IF(B192="", "", 'Lighting Inventory'!AL200)</f>
        <v/>
      </c>
      <c r="AK192" s="65" t="str">
        <f>IF(B192="", "", 'Lighting Inventory'!AM200)</f>
        <v/>
      </c>
      <c r="AL192" s="26" t="str">
        <f>IF(B192="", "", 'Lighting Inventory'!AN200)</f>
        <v/>
      </c>
      <c r="AM192" s="26" t="str">
        <f t="shared" si="8"/>
        <v/>
      </c>
      <c r="AN192" s="26" t="str">
        <f>IF(B192="","",IF('Lighting Inventory'!AV200="","Prescribed",'Lighting Inventory'!AV200))</f>
        <v/>
      </c>
      <c r="AO192" s="66" t="str">
        <f>IF(B192="", "", 'Lighting Inventory'!AX200)</f>
        <v/>
      </c>
      <c r="AP192" s="67" t="str">
        <f>IF(B192="", "", 'Lighting Inventory'!AZ200)</f>
        <v/>
      </c>
      <c r="AQ192" s="67" t="str">
        <f>IF(B192="", "", 'Lighting Inventory'!BA200)</f>
        <v/>
      </c>
      <c r="AR192" s="67" t="str">
        <f>IF(B192="", "", 'Lighting Inventory'!BB200)</f>
        <v/>
      </c>
      <c r="AS192" s="67" t="str">
        <f>IF(B192="", "", 'Lighting Inventory'!BC200)</f>
        <v/>
      </c>
      <c r="AT192" s="67" t="str">
        <f>IF(B192="", "", 'Lighting Inventory'!BD200)</f>
        <v/>
      </c>
      <c r="AU192" s="67" t="str">
        <f>IF(B192="", "", 'Lighting Inventory'!BE200)</f>
        <v/>
      </c>
      <c r="AV192" s="67" t="str">
        <f>IF(B192="", "", 'Lighting Inventory'!BE200)</f>
        <v/>
      </c>
      <c r="AW192" s="67" t="str">
        <f>IF(B192="", "", 'Lighting Inventory'!BF200)</f>
        <v/>
      </c>
      <c r="AX192" s="67" t="str">
        <f>IF(B192="", "", 'Lighting Inventory'!BF200)</f>
        <v/>
      </c>
      <c r="AY192" s="65" t="str">
        <f t="shared" si="10"/>
        <v/>
      </c>
      <c r="AZ192" s="65" t="str">
        <f>IF(B192="", "", 'Lighting Inventory'!BJ200)</f>
        <v/>
      </c>
      <c r="BA192" s="65" t="str">
        <f>IF(B192="", "", 'Lighting Inventory'!BM200)</f>
        <v/>
      </c>
      <c r="BB192" s="65" t="str">
        <f>IF(B192="","",SUM('Lighting Inventory'!BP200:BP200))</f>
        <v/>
      </c>
      <c r="BC192" s="67" t="str">
        <f>IF(OR(AE192="", B192=""),"", 'Lighting Inventory'!GR200)</f>
        <v/>
      </c>
      <c r="BD192" s="67" t="str">
        <f>IFERROR(IF(B192="", "", 'Lighting Inventory'!AF200)*AD192," ")</f>
        <v xml:space="preserve"> </v>
      </c>
      <c r="BE192" s="67"/>
      <c r="BF192" s="67"/>
    </row>
    <row r="193" spans="1:58" x14ac:dyDescent="0.25">
      <c r="A193" s="26" t="str">
        <f>IF(B193="", "", 'Lookup Tables'!AW194)</f>
        <v/>
      </c>
      <c r="B193" s="26" t="str">
        <f>IF(OR('Lighting Inventory'!Y201="", 'Lighting Inventory'!V201="No Change"),"", 'Lighting Inventory'!Y201)</f>
        <v/>
      </c>
      <c r="C193" s="26" t="str">
        <f>IF(B193="", "", IF('Lighting Inventory'!Y201='Lookup Tables'!$Y$32, 'Lighting Inventory'!AJ201, IF(AD193=0, R193, AD193)))</f>
        <v/>
      </c>
      <c r="D193" s="26" t="str">
        <f>IF(B193="", "", 'General Information'!$F$14)</f>
        <v/>
      </c>
      <c r="E193" s="26" t="str">
        <f t="shared" si="9"/>
        <v/>
      </c>
      <c r="F193" s="26" t="str">
        <f>IF(B193="", "", CONCATENATE('General Information'!$F$9, " - ", 'General Information'!$F$14))</f>
        <v/>
      </c>
      <c r="G193" s="26" t="str">
        <f>IF(B193="", "", 'General Information'!$F$15)</f>
        <v/>
      </c>
      <c r="H193" s="26" t="str">
        <f>IF(B193="", "", IF(VLOOKUP(B193, 'Lookup Tables'!$Y$18:$AA$34, 2, FALSE)="Traffic", VLOOKUP('Lighting Inventory'!W201, 'Lookup Tables'!#REF!, 11, FALSE), VLOOKUP(B193, 'Lookup Tables'!$Y$18:$AA$34, 2, FALSE)))</f>
        <v/>
      </c>
      <c r="I193" s="26" t="str">
        <f>IF(B193="", "", CONCATENATE(D193, 'Data Export'!A193))</f>
        <v/>
      </c>
      <c r="J193" s="26" t="str">
        <f>IF(B193="", "", 'Lookup Tables'!$B$1)</f>
        <v/>
      </c>
      <c r="K193" s="26" t="str">
        <f>IF(B193="", "", 'Lighting Inventory'!B201)</f>
        <v/>
      </c>
      <c r="L193" s="26" t="str">
        <f>IF(B193="", "", 'Lighting Inventory'!C201)</f>
        <v/>
      </c>
      <c r="M193" s="26" t="str">
        <f>IF(B193="", "",'Lighting Inventory'!D201)</f>
        <v/>
      </c>
      <c r="N193" s="26" t="str">
        <f>IF(B193="", "",'Lighting Inventory'!E201)</f>
        <v/>
      </c>
      <c r="O193" s="26" t="str">
        <f>IF(B193="", "", 'Lighting Inventory'!F201)</f>
        <v/>
      </c>
      <c r="P193" s="26" t="str">
        <f>IF(B193="", "", 'Lighting Inventory'!G201)</f>
        <v/>
      </c>
      <c r="Q193" s="26" t="str">
        <f>IF(B193="", "", 'Lighting Inventory'!H201)</f>
        <v/>
      </c>
      <c r="R193" s="26" t="str">
        <f>IF(B193="", "", 'Lighting Inventory'!I201)</f>
        <v/>
      </c>
      <c r="S193" s="26" t="str">
        <f>IF(B193="", "", 'Lighting Inventory'!J201)</f>
        <v/>
      </c>
      <c r="T193" s="26" t="str">
        <f>IFERROR(IF(B193="","",VLOOKUP(S193,'Fixture Identities'!$A$7:$G$1023,5,FALSE)), "New Construction")</f>
        <v/>
      </c>
      <c r="U193" s="26" t="str">
        <f>IFERROR(IF(B193="", "", IF(K193="New Construction", "NC", IF(VLOOKUP(S193, 'Fixture Identities'!$A$7:$I$1023,3, FALSE)="T12 Linear Fluorescent", VLOOKUP(S193, 'Fixture Identities'!$A$7:$K$1012, 11, FALSE), S193))), "")</f>
        <v/>
      </c>
      <c r="V193" s="26" t="str">
        <f>IFERROR(IF(OR(B193="", U193=0), "", VLOOKUP(U193, 'Fixture Identities'!$A$7:$G$1023, 5, FALSE)), "")</f>
        <v/>
      </c>
      <c r="W193" s="26" t="str">
        <f>IF(B193="", "",'Lighting Inventory'!K201)</f>
        <v/>
      </c>
      <c r="X193" s="65" t="str">
        <f>IF(B193="", "", 'Lighting Inventory'!L201)</f>
        <v/>
      </c>
      <c r="Y193" s="26" t="str">
        <f>IF(B193="", "", IF('Lighting Inventory'!M201="", "Light Switch",'Lighting Inventory'!M201))</f>
        <v/>
      </c>
      <c r="Z193" s="26" t="str">
        <f>IF(OR(K193="Retrofit", B193=""), "", 'Lighting Inventory'!N201)</f>
        <v/>
      </c>
      <c r="AA193" s="26" t="str">
        <f>IF(OR(Z193="",B193=""), "", 'Lighting Inventory'!O201)</f>
        <v/>
      </c>
      <c r="AB193" s="26" t="str">
        <f>IF(B193="", "", 'Lighting Inventory'!P201)</f>
        <v/>
      </c>
      <c r="AC193" s="96" t="str">
        <f>IF(B193="", "", 'Lighting Inventory'!R201)</f>
        <v/>
      </c>
      <c r="AD193" s="26" t="str">
        <f>IF(B193="", "", 'Lighting Inventory'!S201)</f>
        <v/>
      </c>
      <c r="AE193" s="26" t="str">
        <f>IF(B193="", "", 'Lighting Inventory'!V201)</f>
        <v/>
      </c>
      <c r="AF193" s="26" t="str">
        <f>IF(B193="", "", 'Lighting Inventory'!W201)</f>
        <v/>
      </c>
      <c r="AG193" s="26" t="str">
        <f>IF(OR(AF193="", B193=""), "", IF(AE193="Custom", "0", VLOOKUP(AF193, 'Lookup Tables'!$AI$6:$AP$102, 8, FALSE)))</f>
        <v/>
      </c>
      <c r="AH193" s="26" t="str">
        <f>IF(B193="", "", 'Lighting Inventory'!AD201)</f>
        <v/>
      </c>
      <c r="AI193" s="26" t="str">
        <f>IF(OR('Lighting Inventory'!AK201="", B193=""), "", 'Lighting Inventory'!AK201)</f>
        <v/>
      </c>
      <c r="AJ193" s="66" t="str">
        <f>IF(B193="", "", 'Lighting Inventory'!AL201)</f>
        <v/>
      </c>
      <c r="AK193" s="65" t="str">
        <f>IF(B193="", "", 'Lighting Inventory'!AM201)</f>
        <v/>
      </c>
      <c r="AL193" s="26" t="str">
        <f>IF(B193="", "", 'Lighting Inventory'!AN201)</f>
        <v/>
      </c>
      <c r="AM193" s="26" t="str">
        <f t="shared" si="8"/>
        <v/>
      </c>
      <c r="AN193" s="26" t="str">
        <f>IF(B193="","",IF('Lighting Inventory'!AV201="","Prescribed",'Lighting Inventory'!AV201))</f>
        <v/>
      </c>
      <c r="AO193" s="66" t="str">
        <f>IF(B193="", "", 'Lighting Inventory'!AX201)</f>
        <v/>
      </c>
      <c r="AP193" s="67" t="str">
        <f>IF(B193="", "", 'Lighting Inventory'!AZ201)</f>
        <v/>
      </c>
      <c r="AQ193" s="67" t="str">
        <f>IF(B193="", "", 'Lighting Inventory'!BA201)</f>
        <v/>
      </c>
      <c r="AR193" s="67" t="str">
        <f>IF(B193="", "", 'Lighting Inventory'!BB201)</f>
        <v/>
      </c>
      <c r="AS193" s="67" t="str">
        <f>IF(B193="", "", 'Lighting Inventory'!BC201)</f>
        <v/>
      </c>
      <c r="AT193" s="67" t="str">
        <f>IF(B193="", "", 'Lighting Inventory'!BD201)</f>
        <v/>
      </c>
      <c r="AU193" s="67" t="str">
        <f>IF(B193="", "", 'Lighting Inventory'!BE201)</f>
        <v/>
      </c>
      <c r="AV193" s="67" t="str">
        <f>IF(B193="", "", 'Lighting Inventory'!BE201)</f>
        <v/>
      </c>
      <c r="AW193" s="67" t="str">
        <f>IF(B193="", "", 'Lighting Inventory'!BF201)</f>
        <v/>
      </c>
      <c r="AX193" s="67" t="str">
        <f>IF(B193="", "", 'Lighting Inventory'!BF201)</f>
        <v/>
      </c>
      <c r="AY193" s="65" t="str">
        <f t="shared" si="10"/>
        <v/>
      </c>
      <c r="AZ193" s="65" t="str">
        <f>IF(B193="", "", 'Lighting Inventory'!BJ201)</f>
        <v/>
      </c>
      <c r="BA193" s="65" t="str">
        <f>IF(B193="", "", 'Lighting Inventory'!BM201)</f>
        <v/>
      </c>
      <c r="BB193" s="65" t="str">
        <f>IF(B193="","",SUM('Lighting Inventory'!BP201:BP201))</f>
        <v/>
      </c>
      <c r="BC193" s="67" t="str">
        <f>IF(OR(AE193="", B193=""),"", 'Lighting Inventory'!GR201)</f>
        <v/>
      </c>
      <c r="BD193" s="67" t="str">
        <f>IFERROR(IF(B193="", "", 'Lighting Inventory'!AF201)*AD193," ")</f>
        <v xml:space="preserve"> </v>
      </c>
      <c r="BE193" s="67"/>
      <c r="BF193" s="67"/>
    </row>
    <row r="194" spans="1:58" x14ac:dyDescent="0.25">
      <c r="A194" s="26" t="str">
        <f>IF(B194="", "", 'Lookup Tables'!AW195)</f>
        <v/>
      </c>
      <c r="B194" s="26" t="str">
        <f>IF(OR('Lighting Inventory'!Y202="", 'Lighting Inventory'!V202="No Change"),"", 'Lighting Inventory'!Y202)</f>
        <v/>
      </c>
      <c r="C194" s="26" t="str">
        <f>IF(B194="", "", IF('Lighting Inventory'!Y202='Lookup Tables'!$Y$32, 'Lighting Inventory'!AJ202, IF(AD194=0, R194, AD194)))</f>
        <v/>
      </c>
      <c r="D194" s="26" t="str">
        <f>IF(B194="", "", 'General Information'!$F$14)</f>
        <v/>
      </c>
      <c r="E194" s="26" t="str">
        <f t="shared" si="9"/>
        <v/>
      </c>
      <c r="F194" s="26" t="str">
        <f>IF(B194="", "", CONCATENATE('General Information'!$F$9, " - ", 'General Information'!$F$14))</f>
        <v/>
      </c>
      <c r="G194" s="26" t="str">
        <f>IF(B194="", "", 'General Information'!$F$15)</f>
        <v/>
      </c>
      <c r="H194" s="26" t="str">
        <f>IF(B194="", "", IF(VLOOKUP(B194, 'Lookup Tables'!$Y$18:$AA$34, 2, FALSE)="Traffic", VLOOKUP('Lighting Inventory'!W202, 'Lookup Tables'!#REF!, 11, FALSE), VLOOKUP(B194, 'Lookup Tables'!$Y$18:$AA$34, 2, FALSE)))</f>
        <v/>
      </c>
      <c r="I194" s="26" t="str">
        <f>IF(B194="", "", CONCATENATE(D194, 'Data Export'!A194))</f>
        <v/>
      </c>
      <c r="J194" s="26" t="str">
        <f>IF(B194="", "", 'Lookup Tables'!$B$1)</f>
        <v/>
      </c>
      <c r="K194" s="26" t="str">
        <f>IF(B194="", "", 'Lighting Inventory'!B202)</f>
        <v/>
      </c>
      <c r="L194" s="26" t="str">
        <f>IF(B194="", "", 'Lighting Inventory'!C202)</f>
        <v/>
      </c>
      <c r="M194" s="26" t="str">
        <f>IF(B194="", "",'Lighting Inventory'!D202)</f>
        <v/>
      </c>
      <c r="N194" s="26" t="str">
        <f>IF(B194="", "",'Lighting Inventory'!E202)</f>
        <v/>
      </c>
      <c r="O194" s="26" t="str">
        <f>IF(B194="", "", 'Lighting Inventory'!F202)</f>
        <v/>
      </c>
      <c r="P194" s="26" t="str">
        <f>IF(B194="", "", 'Lighting Inventory'!G202)</f>
        <v/>
      </c>
      <c r="Q194" s="26" t="str">
        <f>IF(B194="", "", 'Lighting Inventory'!H202)</f>
        <v/>
      </c>
      <c r="R194" s="26" t="str">
        <f>IF(B194="", "", 'Lighting Inventory'!I202)</f>
        <v/>
      </c>
      <c r="S194" s="26" t="str">
        <f>IF(B194="", "", 'Lighting Inventory'!J202)</f>
        <v/>
      </c>
      <c r="T194" s="26" t="str">
        <f>IFERROR(IF(B194="","",VLOOKUP(S194,'Fixture Identities'!$A$7:$G$1023,5,FALSE)), "New Construction")</f>
        <v/>
      </c>
      <c r="U194" s="26" t="str">
        <f>IFERROR(IF(B194="", "", IF(K194="New Construction", "NC", IF(VLOOKUP(S194, 'Fixture Identities'!$A$7:$I$1023,3, FALSE)="T12 Linear Fluorescent", VLOOKUP(S194, 'Fixture Identities'!$A$7:$K$1012, 11, FALSE), S194))), "")</f>
        <v/>
      </c>
      <c r="V194" s="26" t="str">
        <f>IFERROR(IF(OR(B194="", U194=0), "", VLOOKUP(U194, 'Fixture Identities'!$A$7:$G$1023, 5, FALSE)), "")</f>
        <v/>
      </c>
      <c r="W194" s="26" t="str">
        <f>IF(B194="", "",'Lighting Inventory'!K202)</f>
        <v/>
      </c>
      <c r="X194" s="65" t="str">
        <f>IF(B194="", "", 'Lighting Inventory'!L202)</f>
        <v/>
      </c>
      <c r="Y194" s="26" t="str">
        <f>IF(B194="", "", IF('Lighting Inventory'!M202="", "Light Switch",'Lighting Inventory'!M202))</f>
        <v/>
      </c>
      <c r="Z194" s="26" t="str">
        <f>IF(OR(K194="Retrofit", B194=""), "", 'Lighting Inventory'!N202)</f>
        <v/>
      </c>
      <c r="AA194" s="26" t="str">
        <f>IF(OR(Z194="",B194=""), "", 'Lighting Inventory'!O202)</f>
        <v/>
      </c>
      <c r="AB194" s="26" t="str">
        <f>IF(B194="", "", 'Lighting Inventory'!P202)</f>
        <v/>
      </c>
      <c r="AC194" s="96" t="str">
        <f>IF(B194="", "", 'Lighting Inventory'!R202)</f>
        <v/>
      </c>
      <c r="AD194" s="26" t="str">
        <f>IF(B194="", "", 'Lighting Inventory'!S202)</f>
        <v/>
      </c>
      <c r="AE194" s="26" t="str">
        <f>IF(B194="", "", 'Lighting Inventory'!V202)</f>
        <v/>
      </c>
      <c r="AF194" s="26" t="str">
        <f>IF(B194="", "", 'Lighting Inventory'!W202)</f>
        <v/>
      </c>
      <c r="AG194" s="26" t="str">
        <f>IF(OR(AF194="", B194=""), "", IF(AE194="Custom", "0", VLOOKUP(AF194, 'Lookup Tables'!$AI$6:$AP$102, 8, FALSE)))</f>
        <v/>
      </c>
      <c r="AH194" s="26" t="str">
        <f>IF(B194="", "", 'Lighting Inventory'!AD202)</f>
        <v/>
      </c>
      <c r="AI194" s="26" t="str">
        <f>IF(OR('Lighting Inventory'!AK202="", B194=""), "", 'Lighting Inventory'!AK202)</f>
        <v/>
      </c>
      <c r="AJ194" s="66" t="str">
        <f>IF(B194="", "", 'Lighting Inventory'!AL202)</f>
        <v/>
      </c>
      <c r="AK194" s="65" t="str">
        <f>IF(B194="", "", 'Lighting Inventory'!AM202)</f>
        <v/>
      </c>
      <c r="AL194" s="26" t="str">
        <f>IF(B194="", "", 'Lighting Inventory'!AN202)</f>
        <v/>
      </c>
      <c r="AM194" s="26" t="str">
        <f t="shared" si="8"/>
        <v/>
      </c>
      <c r="AN194" s="26" t="str">
        <f>IF(B194="","",IF('Lighting Inventory'!AV202="","Prescribed",'Lighting Inventory'!AV202))</f>
        <v/>
      </c>
      <c r="AO194" s="66" t="str">
        <f>IF(B194="", "", 'Lighting Inventory'!AX202)</f>
        <v/>
      </c>
      <c r="AP194" s="67" t="str">
        <f>IF(B194="", "", 'Lighting Inventory'!AZ202)</f>
        <v/>
      </c>
      <c r="AQ194" s="67" t="str">
        <f>IF(B194="", "", 'Lighting Inventory'!BA202)</f>
        <v/>
      </c>
      <c r="AR194" s="67" t="str">
        <f>IF(B194="", "", 'Lighting Inventory'!BB202)</f>
        <v/>
      </c>
      <c r="AS194" s="67" t="str">
        <f>IF(B194="", "", 'Lighting Inventory'!BC202)</f>
        <v/>
      </c>
      <c r="AT194" s="67" t="str">
        <f>IF(B194="", "", 'Lighting Inventory'!BD202)</f>
        <v/>
      </c>
      <c r="AU194" s="67" t="str">
        <f>IF(B194="", "", 'Lighting Inventory'!BE202)</f>
        <v/>
      </c>
      <c r="AV194" s="67" t="str">
        <f>IF(B194="", "", 'Lighting Inventory'!BE202)</f>
        <v/>
      </c>
      <c r="AW194" s="67" t="str">
        <f>IF(B194="", "", 'Lighting Inventory'!BF202)</f>
        <v/>
      </c>
      <c r="AX194" s="67" t="str">
        <f>IF(B194="", "", 'Lighting Inventory'!BF202)</f>
        <v/>
      </c>
      <c r="AY194" s="65" t="str">
        <f t="shared" si="10"/>
        <v/>
      </c>
      <c r="AZ194" s="65" t="str">
        <f>IF(B194="", "", 'Lighting Inventory'!BJ202)</f>
        <v/>
      </c>
      <c r="BA194" s="65" t="str">
        <f>IF(B194="", "", 'Lighting Inventory'!BM202)</f>
        <v/>
      </c>
      <c r="BB194" s="65" t="str">
        <f>IF(B194="","",SUM('Lighting Inventory'!BP202:BP202))</f>
        <v/>
      </c>
      <c r="BC194" s="67" t="str">
        <f>IF(OR(AE194="", B194=""),"", 'Lighting Inventory'!GR202)</f>
        <v/>
      </c>
      <c r="BD194" s="67" t="str">
        <f>IFERROR(IF(B194="", "", 'Lighting Inventory'!AF202)*AD194," ")</f>
        <v xml:space="preserve"> </v>
      </c>
      <c r="BE194" s="67"/>
      <c r="BF194" s="67"/>
    </row>
    <row r="195" spans="1:58" x14ac:dyDescent="0.25">
      <c r="A195" s="26" t="str">
        <f>IF(B195="", "", 'Lookup Tables'!AW196)</f>
        <v/>
      </c>
      <c r="B195" s="26" t="str">
        <f>IF(OR('Lighting Inventory'!Y203="", 'Lighting Inventory'!V203="No Change"),"", 'Lighting Inventory'!Y203)</f>
        <v/>
      </c>
      <c r="C195" s="26" t="str">
        <f>IF(B195="", "", IF('Lighting Inventory'!Y203='Lookup Tables'!$Y$32, 'Lighting Inventory'!AJ203, IF(AD195=0, R195, AD195)))</f>
        <v/>
      </c>
      <c r="D195" s="26" t="str">
        <f>IF(B195="", "", 'General Information'!$F$14)</f>
        <v/>
      </c>
      <c r="E195" s="26" t="str">
        <f t="shared" si="9"/>
        <v/>
      </c>
      <c r="F195" s="26" t="str">
        <f>IF(B195="", "", CONCATENATE('General Information'!$F$9, " - ", 'General Information'!$F$14))</f>
        <v/>
      </c>
      <c r="G195" s="26" t="str">
        <f>IF(B195="", "", 'General Information'!$F$15)</f>
        <v/>
      </c>
      <c r="H195" s="26" t="str">
        <f>IF(B195="", "", IF(VLOOKUP(B195, 'Lookup Tables'!$Y$18:$AA$34, 2, FALSE)="Traffic", VLOOKUP('Lighting Inventory'!W203, 'Lookup Tables'!#REF!, 11, FALSE), VLOOKUP(B195, 'Lookup Tables'!$Y$18:$AA$34, 2, FALSE)))</f>
        <v/>
      </c>
      <c r="I195" s="26" t="str">
        <f>IF(B195="", "", CONCATENATE(D195, 'Data Export'!A195))</f>
        <v/>
      </c>
      <c r="J195" s="26" t="str">
        <f>IF(B195="", "", 'Lookup Tables'!$B$1)</f>
        <v/>
      </c>
      <c r="K195" s="26" t="str">
        <f>IF(B195="", "", 'Lighting Inventory'!B203)</f>
        <v/>
      </c>
      <c r="L195" s="26" t="str">
        <f>IF(B195="", "", 'Lighting Inventory'!C203)</f>
        <v/>
      </c>
      <c r="M195" s="26" t="str">
        <f>IF(B195="", "",'Lighting Inventory'!D203)</f>
        <v/>
      </c>
      <c r="N195" s="26" t="str">
        <f>IF(B195="", "",'Lighting Inventory'!E203)</f>
        <v/>
      </c>
      <c r="O195" s="26" t="str">
        <f>IF(B195="", "", 'Lighting Inventory'!F203)</f>
        <v/>
      </c>
      <c r="P195" s="26" t="str">
        <f>IF(B195="", "", 'Lighting Inventory'!G203)</f>
        <v/>
      </c>
      <c r="Q195" s="26" t="str">
        <f>IF(B195="", "", 'Lighting Inventory'!H203)</f>
        <v/>
      </c>
      <c r="R195" s="26" t="str">
        <f>IF(B195="", "", 'Lighting Inventory'!I203)</f>
        <v/>
      </c>
      <c r="S195" s="26" t="str">
        <f>IF(B195="", "", 'Lighting Inventory'!J203)</f>
        <v/>
      </c>
      <c r="T195" s="26" t="str">
        <f>IFERROR(IF(B195="","",VLOOKUP(S195,'Fixture Identities'!$A$7:$G$1023,5,FALSE)), "New Construction")</f>
        <v/>
      </c>
      <c r="U195" s="26" t="str">
        <f>IFERROR(IF(B195="", "", IF(K195="New Construction", "NC", IF(VLOOKUP(S195, 'Fixture Identities'!$A$7:$I$1023,3, FALSE)="T12 Linear Fluorescent", VLOOKUP(S195, 'Fixture Identities'!$A$7:$K$1012, 11, FALSE), S195))), "")</f>
        <v/>
      </c>
      <c r="V195" s="26" t="str">
        <f>IFERROR(IF(OR(B195="", U195=0), "", VLOOKUP(U195, 'Fixture Identities'!$A$7:$G$1023, 5, FALSE)), "")</f>
        <v/>
      </c>
      <c r="W195" s="26" t="str">
        <f>IF(B195="", "",'Lighting Inventory'!K203)</f>
        <v/>
      </c>
      <c r="X195" s="65" t="str">
        <f>IF(B195="", "", 'Lighting Inventory'!L203)</f>
        <v/>
      </c>
      <c r="Y195" s="26" t="str">
        <f>IF(B195="", "", IF('Lighting Inventory'!M203="", "Light Switch",'Lighting Inventory'!M203))</f>
        <v/>
      </c>
      <c r="Z195" s="26" t="str">
        <f>IF(OR(K195="Retrofit", B195=""), "", 'Lighting Inventory'!N203)</f>
        <v/>
      </c>
      <c r="AA195" s="26" t="str">
        <f>IF(OR(Z195="",B195=""), "", 'Lighting Inventory'!O203)</f>
        <v/>
      </c>
      <c r="AB195" s="26" t="str">
        <f>IF(B195="", "", 'Lighting Inventory'!P203)</f>
        <v/>
      </c>
      <c r="AC195" s="96" t="str">
        <f>IF(B195="", "", 'Lighting Inventory'!R203)</f>
        <v/>
      </c>
      <c r="AD195" s="26" t="str">
        <f>IF(B195="", "", 'Lighting Inventory'!S203)</f>
        <v/>
      </c>
      <c r="AE195" s="26" t="str">
        <f>IF(B195="", "", 'Lighting Inventory'!V203)</f>
        <v/>
      </c>
      <c r="AF195" s="26" t="str">
        <f>IF(B195="", "", 'Lighting Inventory'!W203)</f>
        <v/>
      </c>
      <c r="AG195" s="26" t="str">
        <f>IF(OR(AF195="", B195=""), "", IF(AE195="Custom", "0", VLOOKUP(AF195, 'Lookup Tables'!$AI$6:$AP$102, 8, FALSE)))</f>
        <v/>
      </c>
      <c r="AH195" s="26" t="str">
        <f>IF(B195="", "", 'Lighting Inventory'!AD203)</f>
        <v/>
      </c>
      <c r="AI195" s="26" t="str">
        <f>IF(OR('Lighting Inventory'!AK203="", B195=""), "", 'Lighting Inventory'!AK203)</f>
        <v/>
      </c>
      <c r="AJ195" s="66" t="str">
        <f>IF(B195="", "", 'Lighting Inventory'!AL203)</f>
        <v/>
      </c>
      <c r="AK195" s="65" t="str">
        <f>IF(B195="", "", 'Lighting Inventory'!AM203)</f>
        <v/>
      </c>
      <c r="AL195" s="26" t="str">
        <f>IF(B195="", "", 'Lighting Inventory'!AN203)</f>
        <v/>
      </c>
      <c r="AM195" s="26" t="str">
        <f t="shared" si="8"/>
        <v/>
      </c>
      <c r="AN195" s="26" t="str">
        <f>IF(B195="","",IF('Lighting Inventory'!AV203="","Prescribed",'Lighting Inventory'!AV203))</f>
        <v/>
      </c>
      <c r="AO195" s="66" t="str">
        <f>IF(B195="", "", 'Lighting Inventory'!AX203)</f>
        <v/>
      </c>
      <c r="AP195" s="67" t="str">
        <f>IF(B195="", "", 'Lighting Inventory'!AZ203)</f>
        <v/>
      </c>
      <c r="AQ195" s="67" t="str">
        <f>IF(B195="", "", 'Lighting Inventory'!BA203)</f>
        <v/>
      </c>
      <c r="AR195" s="67" t="str">
        <f>IF(B195="", "", 'Lighting Inventory'!BB203)</f>
        <v/>
      </c>
      <c r="AS195" s="67" t="str">
        <f>IF(B195="", "", 'Lighting Inventory'!BC203)</f>
        <v/>
      </c>
      <c r="AT195" s="67" t="str">
        <f>IF(B195="", "", 'Lighting Inventory'!BD203)</f>
        <v/>
      </c>
      <c r="AU195" s="67" t="str">
        <f>IF(B195="", "", 'Lighting Inventory'!BE203)</f>
        <v/>
      </c>
      <c r="AV195" s="67" t="str">
        <f>IF(B195="", "", 'Lighting Inventory'!BE203)</f>
        <v/>
      </c>
      <c r="AW195" s="67" t="str">
        <f>IF(B195="", "", 'Lighting Inventory'!BF203)</f>
        <v/>
      </c>
      <c r="AX195" s="67" t="str">
        <f>IF(B195="", "", 'Lighting Inventory'!BF203)</f>
        <v/>
      </c>
      <c r="AY195" s="65" t="str">
        <f t="shared" si="10"/>
        <v/>
      </c>
      <c r="AZ195" s="65" t="str">
        <f>IF(B195="", "", 'Lighting Inventory'!BJ203)</f>
        <v/>
      </c>
      <c r="BA195" s="65" t="str">
        <f>IF(B195="", "", 'Lighting Inventory'!BM203)</f>
        <v/>
      </c>
      <c r="BB195" s="65" t="str">
        <f>IF(B195="","",SUM('Lighting Inventory'!BP203:BP203))</f>
        <v/>
      </c>
      <c r="BC195" s="67" t="str">
        <f>IF(OR(AE195="", B195=""),"", 'Lighting Inventory'!GR203)</f>
        <v/>
      </c>
      <c r="BD195" s="67" t="str">
        <f>IFERROR(IF(B195="", "", 'Lighting Inventory'!AF203)*AD195," ")</f>
        <v xml:space="preserve"> </v>
      </c>
      <c r="BE195" s="67"/>
      <c r="BF195" s="67"/>
    </row>
    <row r="196" spans="1:58" x14ac:dyDescent="0.25">
      <c r="A196" s="26" t="str">
        <f>IF(B196="", "", 'Lookup Tables'!AW197)</f>
        <v/>
      </c>
      <c r="B196" s="26" t="str">
        <f>IF(OR('Lighting Inventory'!Y204="", 'Lighting Inventory'!V204="No Change"),"", 'Lighting Inventory'!Y204)</f>
        <v/>
      </c>
      <c r="C196" s="26" t="str">
        <f>IF(B196="", "", IF('Lighting Inventory'!Y204='Lookup Tables'!$Y$32, 'Lighting Inventory'!AJ204, IF(AD196=0, R196, AD196)))</f>
        <v/>
      </c>
      <c r="D196" s="26" t="str">
        <f>IF(B196="", "", 'General Information'!$F$14)</f>
        <v/>
      </c>
      <c r="E196" s="26" t="str">
        <f t="shared" si="9"/>
        <v/>
      </c>
      <c r="F196" s="26" t="str">
        <f>IF(B196="", "", CONCATENATE('General Information'!$F$9, " - ", 'General Information'!$F$14))</f>
        <v/>
      </c>
      <c r="G196" s="26" t="str">
        <f>IF(B196="", "", 'General Information'!$F$15)</f>
        <v/>
      </c>
      <c r="H196" s="26" t="str">
        <f>IF(B196="", "", IF(VLOOKUP(B196, 'Lookup Tables'!$Y$18:$AA$34, 2, FALSE)="Traffic", VLOOKUP('Lighting Inventory'!W204, 'Lookup Tables'!#REF!, 11, FALSE), VLOOKUP(B196, 'Lookup Tables'!$Y$18:$AA$34, 2, FALSE)))</f>
        <v/>
      </c>
      <c r="I196" s="26" t="str">
        <f>IF(B196="", "", CONCATENATE(D196, 'Data Export'!A196))</f>
        <v/>
      </c>
      <c r="J196" s="26" t="str">
        <f>IF(B196="", "", 'Lookup Tables'!$B$1)</f>
        <v/>
      </c>
      <c r="K196" s="26" t="str">
        <f>IF(B196="", "", 'Lighting Inventory'!B204)</f>
        <v/>
      </c>
      <c r="L196" s="26" t="str">
        <f>IF(B196="", "", 'Lighting Inventory'!C204)</f>
        <v/>
      </c>
      <c r="M196" s="26" t="str">
        <f>IF(B196="", "",'Lighting Inventory'!D204)</f>
        <v/>
      </c>
      <c r="N196" s="26" t="str">
        <f>IF(B196="", "",'Lighting Inventory'!E204)</f>
        <v/>
      </c>
      <c r="O196" s="26" t="str">
        <f>IF(B196="", "", 'Lighting Inventory'!F204)</f>
        <v/>
      </c>
      <c r="P196" s="26" t="str">
        <f>IF(B196="", "", 'Lighting Inventory'!G204)</f>
        <v/>
      </c>
      <c r="Q196" s="26" t="str">
        <f>IF(B196="", "", 'Lighting Inventory'!H204)</f>
        <v/>
      </c>
      <c r="R196" s="26" t="str">
        <f>IF(B196="", "", 'Lighting Inventory'!I204)</f>
        <v/>
      </c>
      <c r="S196" s="26" t="str">
        <f>IF(B196="", "", 'Lighting Inventory'!J204)</f>
        <v/>
      </c>
      <c r="T196" s="26" t="str">
        <f>IFERROR(IF(B196="","",VLOOKUP(S196,'Fixture Identities'!$A$7:$G$1023,5,FALSE)), "New Construction")</f>
        <v/>
      </c>
      <c r="U196" s="26" t="str">
        <f>IFERROR(IF(B196="", "", IF(K196="New Construction", "NC", IF(VLOOKUP(S196, 'Fixture Identities'!$A$7:$I$1023,3, FALSE)="T12 Linear Fluorescent", VLOOKUP(S196, 'Fixture Identities'!$A$7:$K$1012, 11, FALSE), S196))), "")</f>
        <v/>
      </c>
      <c r="V196" s="26" t="str">
        <f>IFERROR(IF(OR(B196="", U196=0), "", VLOOKUP(U196, 'Fixture Identities'!$A$7:$G$1023, 5, FALSE)), "")</f>
        <v/>
      </c>
      <c r="W196" s="26" t="str">
        <f>IF(B196="", "",'Lighting Inventory'!K204)</f>
        <v/>
      </c>
      <c r="X196" s="65" t="str">
        <f>IF(B196="", "", 'Lighting Inventory'!L204)</f>
        <v/>
      </c>
      <c r="Y196" s="26" t="str">
        <f>IF(B196="", "", IF('Lighting Inventory'!M204="", "Light Switch",'Lighting Inventory'!M204))</f>
        <v/>
      </c>
      <c r="Z196" s="26" t="str">
        <f>IF(OR(K196="Retrofit", B196=""), "", 'Lighting Inventory'!N204)</f>
        <v/>
      </c>
      <c r="AA196" s="26" t="str">
        <f>IF(OR(Z196="",B196=""), "", 'Lighting Inventory'!O204)</f>
        <v/>
      </c>
      <c r="AB196" s="26" t="str">
        <f>IF(B196="", "", 'Lighting Inventory'!P204)</f>
        <v/>
      </c>
      <c r="AC196" s="96" t="str">
        <f>IF(B196="", "", 'Lighting Inventory'!R204)</f>
        <v/>
      </c>
      <c r="AD196" s="26" t="str">
        <f>IF(B196="", "", 'Lighting Inventory'!S204)</f>
        <v/>
      </c>
      <c r="AE196" s="26" t="str">
        <f>IF(B196="", "", 'Lighting Inventory'!V204)</f>
        <v/>
      </c>
      <c r="AF196" s="26" t="str">
        <f>IF(B196="", "", 'Lighting Inventory'!W204)</f>
        <v/>
      </c>
      <c r="AG196" s="26" t="str">
        <f>IF(OR(AF196="", B196=""), "", IF(AE196="Custom", "0", VLOOKUP(AF196, 'Lookup Tables'!$AI$6:$AP$102, 8, FALSE)))</f>
        <v/>
      </c>
      <c r="AH196" s="26" t="str">
        <f>IF(B196="", "", 'Lighting Inventory'!AD204)</f>
        <v/>
      </c>
      <c r="AI196" s="26" t="str">
        <f>IF(OR('Lighting Inventory'!AK204="", B196=""), "", 'Lighting Inventory'!AK204)</f>
        <v/>
      </c>
      <c r="AJ196" s="66" t="str">
        <f>IF(B196="", "", 'Lighting Inventory'!AL204)</f>
        <v/>
      </c>
      <c r="AK196" s="65" t="str">
        <f>IF(B196="", "", 'Lighting Inventory'!AM204)</f>
        <v/>
      </c>
      <c r="AL196" s="26" t="str">
        <f>IF(B196="", "", 'Lighting Inventory'!AN204)</f>
        <v/>
      </c>
      <c r="AM196" s="26" t="str">
        <f t="shared" ref="AM196:AM250" si="11">IF(B196="", "", 8)</f>
        <v/>
      </c>
      <c r="AN196" s="26" t="str">
        <f>IF(B196="","",IF('Lighting Inventory'!AV204="","Prescribed",'Lighting Inventory'!AV204))</f>
        <v/>
      </c>
      <c r="AO196" s="66" t="str">
        <f>IF(B196="", "", 'Lighting Inventory'!AX204)</f>
        <v/>
      </c>
      <c r="AP196" s="67" t="str">
        <f>IF(B196="", "", 'Lighting Inventory'!AZ204)</f>
        <v/>
      </c>
      <c r="AQ196" s="67" t="str">
        <f>IF(B196="", "", 'Lighting Inventory'!BA204)</f>
        <v/>
      </c>
      <c r="AR196" s="67" t="str">
        <f>IF(B196="", "", 'Lighting Inventory'!BB204)</f>
        <v/>
      </c>
      <c r="AS196" s="67" t="str">
        <f>IF(B196="", "", 'Lighting Inventory'!BC204)</f>
        <v/>
      </c>
      <c r="AT196" s="67" t="str">
        <f>IF(B196="", "", 'Lighting Inventory'!BD204)</f>
        <v/>
      </c>
      <c r="AU196" s="67" t="str">
        <f>IF(B196="", "", 'Lighting Inventory'!BE204)</f>
        <v/>
      </c>
      <c r="AV196" s="67" t="str">
        <f>IF(B196="", "", 'Lighting Inventory'!BE204)</f>
        <v/>
      </c>
      <c r="AW196" s="67" t="str">
        <f>IF(B196="", "", 'Lighting Inventory'!BF204)</f>
        <v/>
      </c>
      <c r="AX196" s="67" t="str">
        <f>IF(B196="", "", 'Lighting Inventory'!BF204)</f>
        <v/>
      </c>
      <c r="AY196" s="65" t="str">
        <f t="shared" si="10"/>
        <v/>
      </c>
      <c r="AZ196" s="65" t="str">
        <f>IF(B196="", "", 'Lighting Inventory'!BJ204)</f>
        <v/>
      </c>
      <c r="BA196" s="65" t="str">
        <f>IF(B196="", "", 'Lighting Inventory'!BM204)</f>
        <v/>
      </c>
      <c r="BB196" s="65" t="str">
        <f>IF(B196="","",SUM('Lighting Inventory'!BP204:BP204))</f>
        <v/>
      </c>
      <c r="BC196" s="67" t="str">
        <f>IF(OR(AE196="", B196=""),"", 'Lighting Inventory'!GR204)</f>
        <v/>
      </c>
      <c r="BD196" s="67" t="str">
        <f>IFERROR(IF(B196="", "", 'Lighting Inventory'!AF204)*AD196," ")</f>
        <v xml:space="preserve"> </v>
      </c>
      <c r="BE196" s="67"/>
      <c r="BF196" s="67"/>
    </row>
    <row r="197" spans="1:58" x14ac:dyDescent="0.25">
      <c r="A197" s="26" t="str">
        <f>IF(B197="", "", 'Lookup Tables'!AW198)</f>
        <v/>
      </c>
      <c r="B197" s="26" t="str">
        <f>IF(OR('Lighting Inventory'!Y205="", 'Lighting Inventory'!V205="No Change"),"", 'Lighting Inventory'!Y205)</f>
        <v/>
      </c>
      <c r="C197" s="26" t="str">
        <f>IF(B197="", "", IF('Lighting Inventory'!Y205='Lookup Tables'!$Y$32, 'Lighting Inventory'!AJ205, IF(AD197=0, R197, AD197)))</f>
        <v/>
      </c>
      <c r="D197" s="26" t="str">
        <f>IF(B197="", "", 'General Information'!$F$14)</f>
        <v/>
      </c>
      <c r="E197" s="26" t="str">
        <f t="shared" si="9"/>
        <v/>
      </c>
      <c r="F197" s="26" t="str">
        <f>IF(B197="", "", CONCATENATE('General Information'!$F$9, " - ", 'General Information'!$F$14))</f>
        <v/>
      </c>
      <c r="G197" s="26" t="str">
        <f>IF(B197="", "", 'General Information'!$F$15)</f>
        <v/>
      </c>
      <c r="H197" s="26" t="str">
        <f>IF(B197="", "", IF(VLOOKUP(B197, 'Lookup Tables'!$Y$18:$AA$34, 2, FALSE)="Traffic", VLOOKUP('Lighting Inventory'!W205, 'Lookup Tables'!#REF!, 11, FALSE), VLOOKUP(B197, 'Lookup Tables'!$Y$18:$AA$34, 2, FALSE)))</f>
        <v/>
      </c>
      <c r="I197" s="26" t="str">
        <f>IF(B197="", "", CONCATENATE(D197, 'Data Export'!A197))</f>
        <v/>
      </c>
      <c r="J197" s="26" t="str">
        <f>IF(B197="", "", 'Lookup Tables'!$B$1)</f>
        <v/>
      </c>
      <c r="K197" s="26" t="str">
        <f>IF(B197="", "", 'Lighting Inventory'!B205)</f>
        <v/>
      </c>
      <c r="L197" s="26" t="str">
        <f>IF(B197="", "", 'Lighting Inventory'!C205)</f>
        <v/>
      </c>
      <c r="M197" s="26" t="str">
        <f>IF(B197="", "",'Lighting Inventory'!D205)</f>
        <v/>
      </c>
      <c r="N197" s="26" t="str">
        <f>IF(B197="", "",'Lighting Inventory'!E205)</f>
        <v/>
      </c>
      <c r="O197" s="26" t="str">
        <f>IF(B197="", "", 'Lighting Inventory'!F205)</f>
        <v/>
      </c>
      <c r="P197" s="26" t="str">
        <f>IF(B197="", "", 'Lighting Inventory'!G205)</f>
        <v/>
      </c>
      <c r="Q197" s="26" t="str">
        <f>IF(B197="", "", 'Lighting Inventory'!H205)</f>
        <v/>
      </c>
      <c r="R197" s="26" t="str">
        <f>IF(B197="", "", 'Lighting Inventory'!I205)</f>
        <v/>
      </c>
      <c r="S197" s="26" t="str">
        <f>IF(B197="", "", 'Lighting Inventory'!J205)</f>
        <v/>
      </c>
      <c r="T197" s="26" t="str">
        <f>IFERROR(IF(B197="","",VLOOKUP(S197,'Fixture Identities'!$A$7:$G$1023,5,FALSE)), "New Construction")</f>
        <v/>
      </c>
      <c r="U197" s="26" t="str">
        <f>IFERROR(IF(B197="", "", IF(K197="New Construction", "NC", IF(VLOOKUP(S197, 'Fixture Identities'!$A$7:$I$1023,3, FALSE)="T12 Linear Fluorescent", VLOOKUP(S197, 'Fixture Identities'!$A$7:$K$1012, 11, FALSE), S197))), "")</f>
        <v/>
      </c>
      <c r="V197" s="26" t="str">
        <f>IFERROR(IF(OR(B197="", U197=0), "", VLOOKUP(U197, 'Fixture Identities'!$A$7:$G$1023, 5, FALSE)), "")</f>
        <v/>
      </c>
      <c r="W197" s="26" t="str">
        <f>IF(B197="", "",'Lighting Inventory'!K205)</f>
        <v/>
      </c>
      <c r="X197" s="65" t="str">
        <f>IF(B197="", "", 'Lighting Inventory'!L205)</f>
        <v/>
      </c>
      <c r="Y197" s="26" t="str">
        <f>IF(B197="", "", IF('Lighting Inventory'!M205="", "Light Switch",'Lighting Inventory'!M205))</f>
        <v/>
      </c>
      <c r="Z197" s="26" t="str">
        <f>IF(OR(K197="Retrofit", B197=""), "", 'Lighting Inventory'!N205)</f>
        <v/>
      </c>
      <c r="AA197" s="26" t="str">
        <f>IF(OR(Z197="",B197=""), "", 'Lighting Inventory'!O205)</f>
        <v/>
      </c>
      <c r="AB197" s="26" t="str">
        <f>IF(B197="", "", 'Lighting Inventory'!P205)</f>
        <v/>
      </c>
      <c r="AC197" s="96" t="str">
        <f>IF(B197="", "", 'Lighting Inventory'!R205)</f>
        <v/>
      </c>
      <c r="AD197" s="26" t="str">
        <f>IF(B197="", "", 'Lighting Inventory'!S205)</f>
        <v/>
      </c>
      <c r="AE197" s="26" t="str">
        <f>IF(B197="", "", 'Lighting Inventory'!V205)</f>
        <v/>
      </c>
      <c r="AF197" s="26" t="str">
        <f>IF(B197="", "", 'Lighting Inventory'!W205)</f>
        <v/>
      </c>
      <c r="AG197" s="26" t="str">
        <f>IF(OR(AF197="", B197=""), "", IF(AE197="Custom", "0", VLOOKUP(AF197, 'Lookup Tables'!$AI$6:$AP$102, 8, FALSE)))</f>
        <v/>
      </c>
      <c r="AH197" s="26" t="str">
        <f>IF(B197="", "", 'Lighting Inventory'!AD205)</f>
        <v/>
      </c>
      <c r="AI197" s="26" t="str">
        <f>IF(OR('Lighting Inventory'!AK205="", B197=""), "", 'Lighting Inventory'!AK205)</f>
        <v/>
      </c>
      <c r="AJ197" s="66" t="str">
        <f>IF(B197="", "", 'Lighting Inventory'!AL205)</f>
        <v/>
      </c>
      <c r="AK197" s="65" t="str">
        <f>IF(B197="", "", 'Lighting Inventory'!AM205)</f>
        <v/>
      </c>
      <c r="AL197" s="26" t="str">
        <f>IF(B197="", "", 'Lighting Inventory'!AN205)</f>
        <v/>
      </c>
      <c r="AM197" s="26" t="str">
        <f t="shared" si="11"/>
        <v/>
      </c>
      <c r="AN197" s="26" t="str">
        <f>IF(B197="","",IF('Lighting Inventory'!AV205="","Prescribed",'Lighting Inventory'!AV205))</f>
        <v/>
      </c>
      <c r="AO197" s="66" t="str">
        <f>IF(B197="", "", 'Lighting Inventory'!AX205)</f>
        <v/>
      </c>
      <c r="AP197" s="67" t="str">
        <f>IF(B197="", "", 'Lighting Inventory'!AZ205)</f>
        <v/>
      </c>
      <c r="AQ197" s="67" t="str">
        <f>IF(B197="", "", 'Lighting Inventory'!BA205)</f>
        <v/>
      </c>
      <c r="AR197" s="67" t="str">
        <f>IF(B197="", "", 'Lighting Inventory'!BB205)</f>
        <v/>
      </c>
      <c r="AS197" s="67" t="str">
        <f>IF(B197="", "", 'Lighting Inventory'!BC205)</f>
        <v/>
      </c>
      <c r="AT197" s="67" t="str">
        <f>IF(B197="", "", 'Lighting Inventory'!BD205)</f>
        <v/>
      </c>
      <c r="AU197" s="67" t="str">
        <f>IF(B197="", "", 'Lighting Inventory'!BE205)</f>
        <v/>
      </c>
      <c r="AV197" s="67" t="str">
        <f>IF(B197="", "", 'Lighting Inventory'!BE205)</f>
        <v/>
      </c>
      <c r="AW197" s="67" t="str">
        <f>IF(B197="", "", 'Lighting Inventory'!BF205)</f>
        <v/>
      </c>
      <c r="AX197" s="67" t="str">
        <f>IF(B197="", "", 'Lighting Inventory'!BF205)</f>
        <v/>
      </c>
      <c r="AY197" s="65" t="str">
        <f t="shared" si="10"/>
        <v/>
      </c>
      <c r="AZ197" s="65" t="str">
        <f>IF(B197="", "", 'Lighting Inventory'!BJ205)</f>
        <v/>
      </c>
      <c r="BA197" s="65" t="str">
        <f>IF(B197="", "", 'Lighting Inventory'!BM205)</f>
        <v/>
      </c>
      <c r="BB197" s="65" t="str">
        <f>IF(B197="","",SUM('Lighting Inventory'!BP205:BP205))</f>
        <v/>
      </c>
      <c r="BC197" s="67" t="str">
        <f>IF(OR(AE197="", B197=""),"", 'Lighting Inventory'!GR205)</f>
        <v/>
      </c>
      <c r="BD197" s="67" t="str">
        <f>IFERROR(IF(B197="", "", 'Lighting Inventory'!AF205)*AD197," ")</f>
        <v xml:space="preserve"> </v>
      </c>
      <c r="BE197" s="67"/>
      <c r="BF197" s="67"/>
    </row>
    <row r="198" spans="1:58" x14ac:dyDescent="0.25">
      <c r="A198" s="26" t="str">
        <f>IF(B198="", "", 'Lookup Tables'!AW199)</f>
        <v/>
      </c>
      <c r="B198" s="26" t="str">
        <f>IF(OR('Lighting Inventory'!Y206="", 'Lighting Inventory'!V206="No Change"),"", 'Lighting Inventory'!Y206)</f>
        <v/>
      </c>
      <c r="C198" s="26" t="str">
        <f>IF(B198="", "", IF('Lighting Inventory'!Y206='Lookup Tables'!$Y$32, 'Lighting Inventory'!AJ206, IF(AD198=0, R198, AD198)))</f>
        <v/>
      </c>
      <c r="D198" s="26" t="str">
        <f>IF(B198="", "", 'General Information'!$F$14)</f>
        <v/>
      </c>
      <c r="E198" s="26" t="str">
        <f t="shared" si="9"/>
        <v/>
      </c>
      <c r="F198" s="26" t="str">
        <f>IF(B198="", "", CONCATENATE('General Information'!$F$9, " - ", 'General Information'!$F$14))</f>
        <v/>
      </c>
      <c r="G198" s="26" t="str">
        <f>IF(B198="", "", 'General Information'!$F$15)</f>
        <v/>
      </c>
      <c r="H198" s="26" t="str">
        <f>IF(B198="", "", IF(VLOOKUP(B198, 'Lookup Tables'!$Y$18:$AA$34, 2, FALSE)="Traffic", VLOOKUP('Lighting Inventory'!W206, 'Lookup Tables'!#REF!, 11, FALSE), VLOOKUP(B198, 'Lookup Tables'!$Y$18:$AA$34, 2, FALSE)))</f>
        <v/>
      </c>
      <c r="I198" s="26" t="str">
        <f>IF(B198="", "", CONCATENATE(D198, 'Data Export'!A198))</f>
        <v/>
      </c>
      <c r="J198" s="26" t="str">
        <f>IF(B198="", "", 'Lookup Tables'!$B$1)</f>
        <v/>
      </c>
      <c r="K198" s="26" t="str">
        <f>IF(B198="", "", 'Lighting Inventory'!B206)</f>
        <v/>
      </c>
      <c r="L198" s="26" t="str">
        <f>IF(B198="", "", 'Lighting Inventory'!C206)</f>
        <v/>
      </c>
      <c r="M198" s="26" t="str">
        <f>IF(B198="", "",'Lighting Inventory'!D206)</f>
        <v/>
      </c>
      <c r="N198" s="26" t="str">
        <f>IF(B198="", "",'Lighting Inventory'!E206)</f>
        <v/>
      </c>
      <c r="O198" s="26" t="str">
        <f>IF(B198="", "", 'Lighting Inventory'!F206)</f>
        <v/>
      </c>
      <c r="P198" s="26" t="str">
        <f>IF(B198="", "", 'Lighting Inventory'!G206)</f>
        <v/>
      </c>
      <c r="Q198" s="26" t="str">
        <f>IF(B198="", "", 'Lighting Inventory'!H206)</f>
        <v/>
      </c>
      <c r="R198" s="26" t="str">
        <f>IF(B198="", "", 'Lighting Inventory'!I206)</f>
        <v/>
      </c>
      <c r="S198" s="26" t="str">
        <f>IF(B198="", "", 'Lighting Inventory'!J206)</f>
        <v/>
      </c>
      <c r="T198" s="26" t="str">
        <f>IFERROR(IF(B198="","",VLOOKUP(S198,'Fixture Identities'!$A$7:$G$1023,5,FALSE)), "New Construction")</f>
        <v/>
      </c>
      <c r="U198" s="26" t="str">
        <f>IFERROR(IF(B198="", "", IF(K198="New Construction", "NC", IF(VLOOKUP(S198, 'Fixture Identities'!$A$7:$I$1023,3, FALSE)="T12 Linear Fluorescent", VLOOKUP(S198, 'Fixture Identities'!$A$7:$K$1012, 11, FALSE), S198))), "")</f>
        <v/>
      </c>
      <c r="V198" s="26" t="str">
        <f>IFERROR(IF(OR(B198="", U198=0), "", VLOOKUP(U198, 'Fixture Identities'!$A$7:$G$1023, 5, FALSE)), "")</f>
        <v/>
      </c>
      <c r="W198" s="26" t="str">
        <f>IF(B198="", "",'Lighting Inventory'!K206)</f>
        <v/>
      </c>
      <c r="X198" s="65" t="str">
        <f>IF(B198="", "", 'Lighting Inventory'!L206)</f>
        <v/>
      </c>
      <c r="Y198" s="26" t="str">
        <f>IF(B198="", "", IF('Lighting Inventory'!M206="", "Light Switch",'Lighting Inventory'!M206))</f>
        <v/>
      </c>
      <c r="Z198" s="26" t="str">
        <f>IF(OR(K198="Retrofit", B198=""), "", 'Lighting Inventory'!N206)</f>
        <v/>
      </c>
      <c r="AA198" s="26" t="str">
        <f>IF(OR(Z198="",B198=""), "", 'Lighting Inventory'!O206)</f>
        <v/>
      </c>
      <c r="AB198" s="26" t="str">
        <f>IF(B198="", "", 'Lighting Inventory'!P206)</f>
        <v/>
      </c>
      <c r="AC198" s="96" t="str">
        <f>IF(B198="", "", 'Lighting Inventory'!R206)</f>
        <v/>
      </c>
      <c r="AD198" s="26" t="str">
        <f>IF(B198="", "", 'Lighting Inventory'!S206)</f>
        <v/>
      </c>
      <c r="AE198" s="26" t="str">
        <f>IF(B198="", "", 'Lighting Inventory'!V206)</f>
        <v/>
      </c>
      <c r="AF198" s="26" t="str">
        <f>IF(B198="", "", 'Lighting Inventory'!W206)</f>
        <v/>
      </c>
      <c r="AG198" s="26" t="str">
        <f>IF(OR(AF198="", B198=""), "", IF(AE198="Custom", "0", VLOOKUP(AF198, 'Lookup Tables'!$AI$6:$AP$102, 8, FALSE)))</f>
        <v/>
      </c>
      <c r="AH198" s="26" t="str">
        <f>IF(B198="", "", 'Lighting Inventory'!AD206)</f>
        <v/>
      </c>
      <c r="AI198" s="26" t="str">
        <f>IF(OR('Lighting Inventory'!AK206="", B198=""), "", 'Lighting Inventory'!AK206)</f>
        <v/>
      </c>
      <c r="AJ198" s="66" t="str">
        <f>IF(B198="", "", 'Lighting Inventory'!AL206)</f>
        <v/>
      </c>
      <c r="AK198" s="65" t="str">
        <f>IF(B198="", "", 'Lighting Inventory'!AM206)</f>
        <v/>
      </c>
      <c r="AL198" s="26" t="str">
        <f>IF(B198="", "", 'Lighting Inventory'!AN206)</f>
        <v/>
      </c>
      <c r="AM198" s="26" t="str">
        <f t="shared" si="11"/>
        <v/>
      </c>
      <c r="AN198" s="26" t="str">
        <f>IF(B198="","",IF('Lighting Inventory'!AV206="","Prescribed",'Lighting Inventory'!AV206))</f>
        <v/>
      </c>
      <c r="AO198" s="66" t="str">
        <f>IF(B198="", "", 'Lighting Inventory'!AX206)</f>
        <v/>
      </c>
      <c r="AP198" s="67" t="str">
        <f>IF(B198="", "", 'Lighting Inventory'!AZ206)</f>
        <v/>
      </c>
      <c r="AQ198" s="67" t="str">
        <f>IF(B198="", "", 'Lighting Inventory'!BA206)</f>
        <v/>
      </c>
      <c r="AR198" s="67" t="str">
        <f>IF(B198="", "", 'Lighting Inventory'!BB206)</f>
        <v/>
      </c>
      <c r="AS198" s="67" t="str">
        <f>IF(B198="", "", 'Lighting Inventory'!BC206)</f>
        <v/>
      </c>
      <c r="AT198" s="67" t="str">
        <f>IF(B198="", "", 'Lighting Inventory'!BD206)</f>
        <v/>
      </c>
      <c r="AU198" s="67" t="str">
        <f>IF(B198="", "", 'Lighting Inventory'!BE206)</f>
        <v/>
      </c>
      <c r="AV198" s="67" t="str">
        <f>IF(B198="", "", 'Lighting Inventory'!BE206)</f>
        <v/>
      </c>
      <c r="AW198" s="67" t="str">
        <f>IF(B198="", "", 'Lighting Inventory'!BF206)</f>
        <v/>
      </c>
      <c r="AX198" s="67" t="str">
        <f>IF(B198="", "", 'Lighting Inventory'!BF206)</f>
        <v/>
      </c>
      <c r="AY198" s="65" t="str">
        <f t="shared" si="10"/>
        <v/>
      </c>
      <c r="AZ198" s="65" t="str">
        <f>IF(B198="", "", 'Lighting Inventory'!BJ206)</f>
        <v/>
      </c>
      <c r="BA198" s="65" t="str">
        <f>IF(B198="", "", 'Lighting Inventory'!BM206)</f>
        <v/>
      </c>
      <c r="BB198" s="65" t="str">
        <f>IF(B198="","",SUM('Lighting Inventory'!BP206:BP206))</f>
        <v/>
      </c>
      <c r="BC198" s="67" t="str">
        <f>IF(OR(AE198="", B198=""),"", 'Lighting Inventory'!GR206)</f>
        <v/>
      </c>
      <c r="BD198" s="67" t="str">
        <f>IFERROR(IF(B198="", "", 'Lighting Inventory'!AF206)*AD198," ")</f>
        <v xml:space="preserve"> </v>
      </c>
      <c r="BE198" s="67"/>
      <c r="BF198" s="67"/>
    </row>
    <row r="199" spans="1:58" x14ac:dyDescent="0.25">
      <c r="A199" s="26" t="str">
        <f>IF(B199="", "", 'Lookup Tables'!AW200)</f>
        <v/>
      </c>
      <c r="B199" s="26" t="str">
        <f>IF(OR('Lighting Inventory'!Y207="", 'Lighting Inventory'!V207="No Change"),"", 'Lighting Inventory'!Y207)</f>
        <v/>
      </c>
      <c r="C199" s="26" t="str">
        <f>IF(B199="", "", IF('Lighting Inventory'!Y207='Lookup Tables'!$Y$32, 'Lighting Inventory'!AJ207, IF(AD199=0, R199, AD199)))</f>
        <v/>
      </c>
      <c r="D199" s="26" t="str">
        <f>IF(B199="", "", 'General Information'!$F$14)</f>
        <v/>
      </c>
      <c r="E199" s="26" t="str">
        <f t="shared" si="9"/>
        <v/>
      </c>
      <c r="F199" s="26" t="str">
        <f>IF(B199="", "", CONCATENATE('General Information'!$F$9, " - ", 'General Information'!$F$14))</f>
        <v/>
      </c>
      <c r="G199" s="26" t="str">
        <f>IF(B199="", "", 'General Information'!$F$15)</f>
        <v/>
      </c>
      <c r="H199" s="26" t="str">
        <f>IF(B199="", "", IF(VLOOKUP(B199, 'Lookup Tables'!$Y$18:$AA$34, 2, FALSE)="Traffic", VLOOKUP('Lighting Inventory'!W207, 'Lookup Tables'!#REF!, 11, FALSE), VLOOKUP(B199, 'Lookup Tables'!$Y$18:$AA$34, 2, FALSE)))</f>
        <v/>
      </c>
      <c r="I199" s="26" t="str">
        <f>IF(B199="", "", CONCATENATE(D199, 'Data Export'!A199))</f>
        <v/>
      </c>
      <c r="J199" s="26" t="str">
        <f>IF(B199="", "", 'Lookup Tables'!$B$1)</f>
        <v/>
      </c>
      <c r="K199" s="26" t="str">
        <f>IF(B199="", "", 'Lighting Inventory'!B207)</f>
        <v/>
      </c>
      <c r="L199" s="26" t="str">
        <f>IF(B199="", "", 'Lighting Inventory'!C207)</f>
        <v/>
      </c>
      <c r="M199" s="26" t="str">
        <f>IF(B199="", "",'Lighting Inventory'!D207)</f>
        <v/>
      </c>
      <c r="N199" s="26" t="str">
        <f>IF(B199="", "",'Lighting Inventory'!E207)</f>
        <v/>
      </c>
      <c r="O199" s="26" t="str">
        <f>IF(B199="", "", 'Lighting Inventory'!F207)</f>
        <v/>
      </c>
      <c r="P199" s="26" t="str">
        <f>IF(B199="", "", 'Lighting Inventory'!G207)</f>
        <v/>
      </c>
      <c r="Q199" s="26" t="str">
        <f>IF(B199="", "", 'Lighting Inventory'!H207)</f>
        <v/>
      </c>
      <c r="R199" s="26" t="str">
        <f>IF(B199="", "", 'Lighting Inventory'!I207)</f>
        <v/>
      </c>
      <c r="S199" s="26" t="str">
        <f>IF(B199="", "", 'Lighting Inventory'!J207)</f>
        <v/>
      </c>
      <c r="T199" s="26" t="str">
        <f>IFERROR(IF(B199="","",VLOOKUP(S199,'Fixture Identities'!$A$7:$G$1023,5,FALSE)), "New Construction")</f>
        <v/>
      </c>
      <c r="U199" s="26" t="str">
        <f>IFERROR(IF(B199="", "", IF(K199="New Construction", "NC", IF(VLOOKUP(S199, 'Fixture Identities'!$A$7:$I$1023,3, FALSE)="T12 Linear Fluorescent", VLOOKUP(S199, 'Fixture Identities'!$A$7:$K$1012, 11, FALSE), S199))), "")</f>
        <v/>
      </c>
      <c r="V199" s="26" t="str">
        <f>IFERROR(IF(OR(B199="", U199=0), "", VLOOKUP(U199, 'Fixture Identities'!$A$7:$G$1023, 5, FALSE)), "")</f>
        <v/>
      </c>
      <c r="W199" s="26" t="str">
        <f>IF(B199="", "",'Lighting Inventory'!K207)</f>
        <v/>
      </c>
      <c r="X199" s="65" t="str">
        <f>IF(B199="", "", 'Lighting Inventory'!L207)</f>
        <v/>
      </c>
      <c r="Y199" s="26" t="str">
        <f>IF(B199="", "", IF('Lighting Inventory'!M207="", "Light Switch",'Lighting Inventory'!M207))</f>
        <v/>
      </c>
      <c r="Z199" s="26" t="str">
        <f>IF(OR(K199="Retrofit", B199=""), "", 'Lighting Inventory'!N207)</f>
        <v/>
      </c>
      <c r="AA199" s="26" t="str">
        <f>IF(OR(Z199="",B199=""), "", 'Lighting Inventory'!O207)</f>
        <v/>
      </c>
      <c r="AB199" s="26" t="str">
        <f>IF(B199="", "", 'Lighting Inventory'!P207)</f>
        <v/>
      </c>
      <c r="AC199" s="96" t="str">
        <f>IF(B199="", "", 'Lighting Inventory'!R207)</f>
        <v/>
      </c>
      <c r="AD199" s="26" t="str">
        <f>IF(B199="", "", 'Lighting Inventory'!S207)</f>
        <v/>
      </c>
      <c r="AE199" s="26" t="str">
        <f>IF(B199="", "", 'Lighting Inventory'!V207)</f>
        <v/>
      </c>
      <c r="AF199" s="26" t="str">
        <f>IF(B199="", "", 'Lighting Inventory'!W207)</f>
        <v/>
      </c>
      <c r="AG199" s="26" t="str">
        <f>IF(OR(AF199="", B199=""), "", IF(AE199="Custom", "0", VLOOKUP(AF199, 'Lookup Tables'!$AI$6:$AP$102, 8, FALSE)))</f>
        <v/>
      </c>
      <c r="AH199" s="26" t="str">
        <f>IF(B199="", "", 'Lighting Inventory'!AD207)</f>
        <v/>
      </c>
      <c r="AI199" s="26" t="str">
        <f>IF(OR('Lighting Inventory'!AK207="", B199=""), "", 'Lighting Inventory'!AK207)</f>
        <v/>
      </c>
      <c r="AJ199" s="66" t="str">
        <f>IF(B199="", "", 'Lighting Inventory'!AL207)</f>
        <v/>
      </c>
      <c r="AK199" s="65" t="str">
        <f>IF(B199="", "", 'Lighting Inventory'!AM207)</f>
        <v/>
      </c>
      <c r="AL199" s="26" t="str">
        <f>IF(B199="", "", 'Lighting Inventory'!AN207)</f>
        <v/>
      </c>
      <c r="AM199" s="26" t="str">
        <f t="shared" si="11"/>
        <v/>
      </c>
      <c r="AN199" s="26" t="str">
        <f>IF(B199="","",IF('Lighting Inventory'!AV207="","Prescribed",'Lighting Inventory'!AV207))</f>
        <v/>
      </c>
      <c r="AO199" s="66" t="str">
        <f>IF(B199="", "", 'Lighting Inventory'!AX207)</f>
        <v/>
      </c>
      <c r="AP199" s="67" t="str">
        <f>IF(B199="", "", 'Lighting Inventory'!AZ207)</f>
        <v/>
      </c>
      <c r="AQ199" s="67" t="str">
        <f>IF(B199="", "", 'Lighting Inventory'!BA207)</f>
        <v/>
      </c>
      <c r="AR199" s="67" t="str">
        <f>IF(B199="", "", 'Lighting Inventory'!BB207)</f>
        <v/>
      </c>
      <c r="AS199" s="67" t="str">
        <f>IF(B199="", "", 'Lighting Inventory'!BC207)</f>
        <v/>
      </c>
      <c r="AT199" s="67" t="str">
        <f>IF(B199="", "", 'Lighting Inventory'!BD207)</f>
        <v/>
      </c>
      <c r="AU199" s="67" t="str">
        <f>IF(B199="", "", 'Lighting Inventory'!BE207)</f>
        <v/>
      </c>
      <c r="AV199" s="67" t="str">
        <f>IF(B199="", "", 'Lighting Inventory'!BE207)</f>
        <v/>
      </c>
      <c r="AW199" s="67" t="str">
        <f>IF(B199="", "", 'Lighting Inventory'!BF207)</f>
        <v/>
      </c>
      <c r="AX199" s="67" t="str">
        <f>IF(B199="", "", 'Lighting Inventory'!BF207)</f>
        <v/>
      </c>
      <c r="AY199" s="65" t="str">
        <f t="shared" si="10"/>
        <v/>
      </c>
      <c r="AZ199" s="65" t="str">
        <f>IF(B199="", "", 'Lighting Inventory'!BJ207)</f>
        <v/>
      </c>
      <c r="BA199" s="65" t="str">
        <f>IF(B199="", "", 'Lighting Inventory'!BM207)</f>
        <v/>
      </c>
      <c r="BB199" s="65" t="str">
        <f>IF(B199="","",SUM('Lighting Inventory'!BP207:BP207))</f>
        <v/>
      </c>
      <c r="BC199" s="67" t="str">
        <f>IF(OR(AE199="", B199=""),"", 'Lighting Inventory'!GR207)</f>
        <v/>
      </c>
      <c r="BD199" s="67" t="str">
        <f>IFERROR(IF(B199="", "", 'Lighting Inventory'!AF207)*AD199," ")</f>
        <v xml:space="preserve"> </v>
      </c>
      <c r="BE199" s="67"/>
      <c r="BF199" s="67"/>
    </row>
    <row r="200" spans="1:58" x14ac:dyDescent="0.25">
      <c r="A200" s="26" t="str">
        <f>IF(B200="", "", 'Lookup Tables'!AW201)</f>
        <v/>
      </c>
      <c r="B200" s="26" t="str">
        <f>IF(OR('Lighting Inventory'!Y208="", 'Lighting Inventory'!V208="No Change"),"", 'Lighting Inventory'!Y208)</f>
        <v/>
      </c>
      <c r="C200" s="26" t="str">
        <f>IF(B200="", "", IF('Lighting Inventory'!Y208='Lookup Tables'!$Y$32, 'Lighting Inventory'!AJ208, IF(AD200=0, R200, AD200)))</f>
        <v/>
      </c>
      <c r="D200" s="26" t="str">
        <f>IF(B200="", "", 'General Information'!$F$14)</f>
        <v/>
      </c>
      <c r="E200" s="26" t="str">
        <f t="shared" si="9"/>
        <v/>
      </c>
      <c r="F200" s="26" t="str">
        <f>IF(B200="", "", CONCATENATE('General Information'!$F$9, " - ", 'General Information'!$F$14))</f>
        <v/>
      </c>
      <c r="G200" s="26" t="str">
        <f>IF(B200="", "", 'General Information'!$F$15)</f>
        <v/>
      </c>
      <c r="H200" s="26" t="str">
        <f>IF(B200="", "", IF(VLOOKUP(B200, 'Lookup Tables'!$Y$18:$AA$34, 2, FALSE)="Traffic", VLOOKUP('Lighting Inventory'!W208, 'Lookup Tables'!#REF!, 11, FALSE), VLOOKUP(B200, 'Lookup Tables'!$Y$18:$AA$34, 2, FALSE)))</f>
        <v/>
      </c>
      <c r="I200" s="26" t="str">
        <f>IF(B200="", "", CONCATENATE(D200, 'Data Export'!A200))</f>
        <v/>
      </c>
      <c r="J200" s="26" t="str">
        <f>IF(B200="", "", 'Lookup Tables'!$B$1)</f>
        <v/>
      </c>
      <c r="K200" s="26" t="str">
        <f>IF(B200="", "", 'Lighting Inventory'!B208)</f>
        <v/>
      </c>
      <c r="L200" s="26" t="str">
        <f>IF(B200="", "", 'Lighting Inventory'!C208)</f>
        <v/>
      </c>
      <c r="M200" s="26" t="str">
        <f>IF(B200="", "",'Lighting Inventory'!D208)</f>
        <v/>
      </c>
      <c r="N200" s="26" t="str">
        <f>IF(B200="", "",'Lighting Inventory'!E208)</f>
        <v/>
      </c>
      <c r="O200" s="26" t="str">
        <f>IF(B200="", "", 'Lighting Inventory'!F208)</f>
        <v/>
      </c>
      <c r="P200" s="26" t="str">
        <f>IF(B200="", "", 'Lighting Inventory'!G208)</f>
        <v/>
      </c>
      <c r="Q200" s="26" t="str">
        <f>IF(B200="", "", 'Lighting Inventory'!H208)</f>
        <v/>
      </c>
      <c r="R200" s="26" t="str">
        <f>IF(B200="", "", 'Lighting Inventory'!I208)</f>
        <v/>
      </c>
      <c r="S200" s="26" t="str">
        <f>IF(B200="", "", 'Lighting Inventory'!J208)</f>
        <v/>
      </c>
      <c r="T200" s="26" t="str">
        <f>IFERROR(IF(B200="","",VLOOKUP(S200,'Fixture Identities'!$A$7:$G$1023,5,FALSE)), "New Construction")</f>
        <v/>
      </c>
      <c r="U200" s="26" t="str">
        <f>IFERROR(IF(B200="", "", IF(K200="New Construction", "NC", IF(VLOOKUP(S200, 'Fixture Identities'!$A$7:$I$1023,3, FALSE)="T12 Linear Fluorescent", VLOOKUP(S200, 'Fixture Identities'!$A$7:$K$1012, 11, FALSE), S200))), "")</f>
        <v/>
      </c>
      <c r="V200" s="26" t="str">
        <f>IFERROR(IF(OR(B200="", U200=0), "", VLOOKUP(U200, 'Fixture Identities'!$A$7:$G$1023, 5, FALSE)), "")</f>
        <v/>
      </c>
      <c r="W200" s="26" t="str">
        <f>IF(B200="", "",'Lighting Inventory'!K208)</f>
        <v/>
      </c>
      <c r="X200" s="65" t="str">
        <f>IF(B200="", "", 'Lighting Inventory'!L208)</f>
        <v/>
      </c>
      <c r="Y200" s="26" t="str">
        <f>IF(B200="", "", IF('Lighting Inventory'!M208="", "Light Switch",'Lighting Inventory'!M208))</f>
        <v/>
      </c>
      <c r="Z200" s="26" t="str">
        <f>IF(OR(K200="Retrofit", B200=""), "", 'Lighting Inventory'!N208)</f>
        <v/>
      </c>
      <c r="AA200" s="26" t="str">
        <f>IF(OR(Z200="",B200=""), "", 'Lighting Inventory'!O208)</f>
        <v/>
      </c>
      <c r="AB200" s="26" t="str">
        <f>IF(B200="", "", 'Lighting Inventory'!P208)</f>
        <v/>
      </c>
      <c r="AC200" s="96" t="str">
        <f>IF(B200="", "", 'Lighting Inventory'!R208)</f>
        <v/>
      </c>
      <c r="AD200" s="26" t="str">
        <f>IF(B200="", "", 'Lighting Inventory'!S208)</f>
        <v/>
      </c>
      <c r="AE200" s="26" t="str">
        <f>IF(B200="", "", 'Lighting Inventory'!V208)</f>
        <v/>
      </c>
      <c r="AF200" s="26" t="str">
        <f>IF(B200="", "", 'Lighting Inventory'!W208)</f>
        <v/>
      </c>
      <c r="AG200" s="26" t="str">
        <f>IF(OR(AF200="", B200=""), "", IF(AE200="Custom", "0", VLOOKUP(AF200, 'Lookup Tables'!$AI$6:$AP$102, 8, FALSE)))</f>
        <v/>
      </c>
      <c r="AH200" s="26" t="str">
        <f>IF(B200="", "", 'Lighting Inventory'!AD208)</f>
        <v/>
      </c>
      <c r="AI200" s="26" t="str">
        <f>IF(OR('Lighting Inventory'!AK208="", B200=""), "", 'Lighting Inventory'!AK208)</f>
        <v/>
      </c>
      <c r="AJ200" s="66" t="str">
        <f>IF(B200="", "", 'Lighting Inventory'!AL208)</f>
        <v/>
      </c>
      <c r="AK200" s="65" t="str">
        <f>IF(B200="", "", 'Lighting Inventory'!AM208)</f>
        <v/>
      </c>
      <c r="AL200" s="26" t="str">
        <f>IF(B200="", "", 'Lighting Inventory'!AN208)</f>
        <v/>
      </c>
      <c r="AM200" s="26" t="str">
        <f t="shared" si="11"/>
        <v/>
      </c>
      <c r="AN200" s="26" t="str">
        <f>IF(B200="","",IF('Lighting Inventory'!AV208="","Prescribed",'Lighting Inventory'!AV208))</f>
        <v/>
      </c>
      <c r="AO200" s="66" t="str">
        <f>IF(B200="", "", 'Lighting Inventory'!AX208)</f>
        <v/>
      </c>
      <c r="AP200" s="67" t="str">
        <f>IF(B200="", "", 'Lighting Inventory'!AZ208)</f>
        <v/>
      </c>
      <c r="AQ200" s="67" t="str">
        <f>IF(B200="", "", 'Lighting Inventory'!BA208)</f>
        <v/>
      </c>
      <c r="AR200" s="67" t="str">
        <f>IF(B200="", "", 'Lighting Inventory'!BB208)</f>
        <v/>
      </c>
      <c r="AS200" s="67" t="str">
        <f>IF(B200="", "", 'Lighting Inventory'!BC208)</f>
        <v/>
      </c>
      <c r="AT200" s="67" t="str">
        <f>IF(B200="", "", 'Lighting Inventory'!BD208)</f>
        <v/>
      </c>
      <c r="AU200" s="67" t="str">
        <f>IF(B200="", "", 'Lighting Inventory'!BE208)</f>
        <v/>
      </c>
      <c r="AV200" s="67" t="str">
        <f>IF(B200="", "", 'Lighting Inventory'!BE208)</f>
        <v/>
      </c>
      <c r="AW200" s="67" t="str">
        <f>IF(B200="", "", 'Lighting Inventory'!BF208)</f>
        <v/>
      </c>
      <c r="AX200" s="67" t="str">
        <f>IF(B200="", "", 'Lighting Inventory'!BF208)</f>
        <v/>
      </c>
      <c r="AY200" s="65" t="str">
        <f t="shared" si="10"/>
        <v/>
      </c>
      <c r="AZ200" s="65" t="str">
        <f>IF(B200="", "", 'Lighting Inventory'!BJ208)</f>
        <v/>
      </c>
      <c r="BA200" s="65" t="str">
        <f>IF(B200="", "", 'Lighting Inventory'!BM208)</f>
        <v/>
      </c>
      <c r="BB200" s="65" t="str">
        <f>IF(B200="","",SUM('Lighting Inventory'!BP208:BP208))</f>
        <v/>
      </c>
      <c r="BC200" s="67" t="str">
        <f>IF(OR(AE200="", B200=""),"", 'Lighting Inventory'!GR208)</f>
        <v/>
      </c>
      <c r="BD200" s="67" t="str">
        <f>IFERROR(IF(B200="", "", 'Lighting Inventory'!AF208)*AD200," ")</f>
        <v xml:space="preserve"> </v>
      </c>
      <c r="BE200" s="67"/>
      <c r="BF200" s="67"/>
    </row>
    <row r="201" spans="1:58" x14ac:dyDescent="0.25">
      <c r="A201" s="26" t="str">
        <f>IF(B201="", "", 'Lookup Tables'!AW202)</f>
        <v/>
      </c>
      <c r="B201" s="26" t="str">
        <f>IF(OR('Lighting Inventory'!Y209="", 'Lighting Inventory'!V209="No Change"),"", 'Lighting Inventory'!Y209)</f>
        <v/>
      </c>
      <c r="C201" s="26" t="str">
        <f>IF(B201="", "", IF('Lighting Inventory'!Y209='Lookup Tables'!$Y$32, 'Lighting Inventory'!AJ209, IF(AD201=0, R201, AD201)))</f>
        <v/>
      </c>
      <c r="D201" s="26" t="str">
        <f>IF(B201="", "", 'General Information'!$F$14)</f>
        <v/>
      </c>
      <c r="E201" s="26" t="str">
        <f t="shared" ref="E201:E250" si="12">IF(B201="", "", "FPPLPR")</f>
        <v/>
      </c>
      <c r="F201" s="26" t="str">
        <f>IF(B201="", "", CONCATENATE('General Information'!$F$9, " - ", 'General Information'!$F$14))</f>
        <v/>
      </c>
      <c r="G201" s="26" t="str">
        <f>IF(B201="", "", 'General Information'!$F$15)</f>
        <v/>
      </c>
      <c r="H201" s="26" t="str">
        <f>IF(B201="", "", IF(VLOOKUP(B201, 'Lookup Tables'!$Y$18:$AA$34, 2, FALSE)="Traffic", VLOOKUP('Lighting Inventory'!W209, 'Lookup Tables'!#REF!, 11, FALSE), VLOOKUP(B201, 'Lookup Tables'!$Y$18:$AA$34, 2, FALSE)))</f>
        <v/>
      </c>
      <c r="I201" s="26" t="str">
        <f>IF(B201="", "", CONCATENATE(D201, 'Data Export'!A201))</f>
        <v/>
      </c>
      <c r="J201" s="26" t="str">
        <f>IF(B201="", "", 'Lookup Tables'!$B$1)</f>
        <v/>
      </c>
      <c r="K201" s="26" t="str">
        <f>IF(B201="", "", 'Lighting Inventory'!B209)</f>
        <v/>
      </c>
      <c r="L201" s="26" t="str">
        <f>IF(B201="", "", 'Lighting Inventory'!C209)</f>
        <v/>
      </c>
      <c r="M201" s="26" t="str">
        <f>IF(B201="", "",'Lighting Inventory'!D209)</f>
        <v/>
      </c>
      <c r="N201" s="26" t="str">
        <f>IF(B201="", "",'Lighting Inventory'!E209)</f>
        <v/>
      </c>
      <c r="O201" s="26" t="str">
        <f>IF(B201="", "", 'Lighting Inventory'!F209)</f>
        <v/>
      </c>
      <c r="P201" s="26" t="str">
        <f>IF(B201="", "", 'Lighting Inventory'!G209)</f>
        <v/>
      </c>
      <c r="Q201" s="26" t="str">
        <f>IF(B201="", "", 'Lighting Inventory'!H209)</f>
        <v/>
      </c>
      <c r="R201" s="26" t="str">
        <f>IF(B201="", "", 'Lighting Inventory'!I209)</f>
        <v/>
      </c>
      <c r="S201" s="26" t="str">
        <f>IF(B201="", "", 'Lighting Inventory'!J209)</f>
        <v/>
      </c>
      <c r="T201" s="26" t="str">
        <f>IFERROR(IF(B201="","",VLOOKUP(S201,'Fixture Identities'!$A$7:$G$1023,5,FALSE)), "New Construction")</f>
        <v/>
      </c>
      <c r="U201" s="26" t="str">
        <f>IFERROR(IF(B201="", "", IF(K201="New Construction", "NC", IF(VLOOKUP(S201, 'Fixture Identities'!$A$7:$I$1023,3, FALSE)="T12 Linear Fluorescent", VLOOKUP(S201, 'Fixture Identities'!$A$7:$K$1012, 11, FALSE), S201))), "")</f>
        <v/>
      </c>
      <c r="V201" s="26" t="str">
        <f>IFERROR(IF(OR(B201="", U201=0), "", VLOOKUP(U201, 'Fixture Identities'!$A$7:$G$1023, 5, FALSE)), "")</f>
        <v/>
      </c>
      <c r="W201" s="26" t="str">
        <f>IF(B201="", "",'Lighting Inventory'!K209)</f>
        <v/>
      </c>
      <c r="X201" s="65" t="str">
        <f>IF(B201="", "", 'Lighting Inventory'!L209)</f>
        <v/>
      </c>
      <c r="Y201" s="26" t="str">
        <f>IF(B201="", "", IF('Lighting Inventory'!M209="", "Light Switch",'Lighting Inventory'!M209))</f>
        <v/>
      </c>
      <c r="Z201" s="26" t="str">
        <f>IF(OR(K201="Retrofit", B201=""), "", 'Lighting Inventory'!N209)</f>
        <v/>
      </c>
      <c r="AA201" s="26" t="str">
        <f>IF(OR(Z201="",B201=""), "", 'Lighting Inventory'!O209)</f>
        <v/>
      </c>
      <c r="AB201" s="26" t="str">
        <f>IF(B201="", "", 'Lighting Inventory'!P209)</f>
        <v/>
      </c>
      <c r="AC201" s="96" t="str">
        <f>IF(B201="", "", 'Lighting Inventory'!R209)</f>
        <v/>
      </c>
      <c r="AD201" s="26" t="str">
        <f>IF(B201="", "", 'Lighting Inventory'!S209)</f>
        <v/>
      </c>
      <c r="AE201" s="26" t="str">
        <f>IF(B201="", "", 'Lighting Inventory'!V209)</f>
        <v/>
      </c>
      <c r="AF201" s="26" t="str">
        <f>IF(B201="", "", 'Lighting Inventory'!W209)</f>
        <v/>
      </c>
      <c r="AG201" s="26" t="str">
        <f>IF(OR(AF201="", B201=""), "", IF(AE201="Custom", "0", VLOOKUP(AF201, 'Lookup Tables'!$AI$6:$AP$102, 8, FALSE)))</f>
        <v/>
      </c>
      <c r="AH201" s="26" t="str">
        <f>IF(B201="", "", 'Lighting Inventory'!AD209)</f>
        <v/>
      </c>
      <c r="AI201" s="26" t="str">
        <f>IF(OR('Lighting Inventory'!AK209="", B201=""), "", 'Lighting Inventory'!AK209)</f>
        <v/>
      </c>
      <c r="AJ201" s="66" t="str">
        <f>IF(B201="", "", 'Lighting Inventory'!AL209)</f>
        <v/>
      </c>
      <c r="AK201" s="65" t="str">
        <f>IF(B201="", "", 'Lighting Inventory'!AM209)</f>
        <v/>
      </c>
      <c r="AL201" s="26" t="str">
        <f>IF(B201="", "", 'Lighting Inventory'!AN209)</f>
        <v/>
      </c>
      <c r="AM201" s="26" t="str">
        <f t="shared" si="11"/>
        <v/>
      </c>
      <c r="AN201" s="26" t="str">
        <f>IF(B201="","",IF('Lighting Inventory'!AV209="","Prescribed",'Lighting Inventory'!AV209))</f>
        <v/>
      </c>
      <c r="AO201" s="66" t="str">
        <f>IF(B201="", "", 'Lighting Inventory'!AX209)</f>
        <v/>
      </c>
      <c r="AP201" s="67" t="str">
        <f>IF(B201="", "", 'Lighting Inventory'!AZ209)</f>
        <v/>
      </c>
      <c r="AQ201" s="67" t="str">
        <f>IF(B201="", "", 'Lighting Inventory'!BA209)</f>
        <v/>
      </c>
      <c r="AR201" s="67" t="str">
        <f>IF(B201="", "", 'Lighting Inventory'!BB209)</f>
        <v/>
      </c>
      <c r="AS201" s="67" t="str">
        <f>IF(B201="", "", 'Lighting Inventory'!BC209)</f>
        <v/>
      </c>
      <c r="AT201" s="67" t="str">
        <f>IF(B201="", "", 'Lighting Inventory'!BD209)</f>
        <v/>
      </c>
      <c r="AU201" s="67" t="str">
        <f>IF(B201="", "", 'Lighting Inventory'!BE209)</f>
        <v/>
      </c>
      <c r="AV201" s="67" t="str">
        <f>IF(B201="", "", 'Lighting Inventory'!BE209)</f>
        <v/>
      </c>
      <c r="AW201" s="67" t="str">
        <f>IF(B201="", "", 'Lighting Inventory'!BF209)</f>
        <v/>
      </c>
      <c r="AX201" s="67" t="str">
        <f>IF(B201="", "", 'Lighting Inventory'!BF209)</f>
        <v/>
      </c>
      <c r="AY201" s="65" t="str">
        <f t="shared" ref="AY201:AY250" si="13">AZ201</f>
        <v/>
      </c>
      <c r="AZ201" s="65" t="str">
        <f>IF(B201="", "", 'Lighting Inventory'!BJ209)</f>
        <v/>
      </c>
      <c r="BA201" s="65" t="str">
        <f>IF(B201="", "", 'Lighting Inventory'!BM209)</f>
        <v/>
      </c>
      <c r="BB201" s="65" t="str">
        <f>IF(B201="","",SUM('Lighting Inventory'!BP209:BP209))</f>
        <v/>
      </c>
      <c r="BC201" s="67" t="str">
        <f>IF(OR(AE201="", B201=""),"", 'Lighting Inventory'!GR209)</f>
        <v/>
      </c>
      <c r="BD201" s="67" t="str">
        <f>IFERROR(IF(B201="", "", 'Lighting Inventory'!AF209)*AD201," ")</f>
        <v xml:space="preserve"> </v>
      </c>
      <c r="BE201" s="67"/>
      <c r="BF201" s="67"/>
    </row>
    <row r="202" spans="1:58" x14ac:dyDescent="0.25">
      <c r="A202" s="26" t="str">
        <f>IF(B202="", "", 'Lookup Tables'!AW203)</f>
        <v/>
      </c>
      <c r="B202" s="26" t="str">
        <f>IF(OR('Lighting Inventory'!Y210="", 'Lighting Inventory'!V210="No Change"),"", 'Lighting Inventory'!Y210)</f>
        <v/>
      </c>
      <c r="C202" s="26" t="str">
        <f>IF(B202="", "", IF('Lighting Inventory'!Y210='Lookup Tables'!$Y$32, 'Lighting Inventory'!AJ210, IF(AD202=0, R202, AD202)))</f>
        <v/>
      </c>
      <c r="D202" s="26" t="str">
        <f>IF(B202="", "", 'General Information'!$F$14)</f>
        <v/>
      </c>
      <c r="E202" s="26" t="str">
        <f t="shared" si="12"/>
        <v/>
      </c>
      <c r="F202" s="26" t="str">
        <f>IF(B202="", "", CONCATENATE('General Information'!$F$9, " - ", 'General Information'!$F$14))</f>
        <v/>
      </c>
      <c r="G202" s="26" t="str">
        <f>IF(B202="", "", 'General Information'!$F$15)</f>
        <v/>
      </c>
      <c r="H202" s="26" t="str">
        <f>IF(B202="", "", IF(VLOOKUP(B202, 'Lookup Tables'!$Y$18:$AA$34, 2, FALSE)="Traffic", VLOOKUP('Lighting Inventory'!W210, 'Lookup Tables'!#REF!, 11, FALSE), VLOOKUP(B202, 'Lookup Tables'!$Y$18:$AA$34, 2, FALSE)))</f>
        <v/>
      </c>
      <c r="I202" s="26" t="str">
        <f>IF(B202="", "", CONCATENATE(D202, 'Data Export'!A202))</f>
        <v/>
      </c>
      <c r="J202" s="26" t="str">
        <f>IF(B202="", "", 'Lookup Tables'!$B$1)</f>
        <v/>
      </c>
      <c r="K202" s="26" t="str">
        <f>IF(B202="", "", 'Lighting Inventory'!B210)</f>
        <v/>
      </c>
      <c r="L202" s="26" t="str">
        <f>IF(B202="", "", 'Lighting Inventory'!C210)</f>
        <v/>
      </c>
      <c r="M202" s="26" t="str">
        <f>IF(B202="", "",'Lighting Inventory'!D210)</f>
        <v/>
      </c>
      <c r="N202" s="26" t="str">
        <f>IF(B202="", "",'Lighting Inventory'!E210)</f>
        <v/>
      </c>
      <c r="O202" s="26" t="str">
        <f>IF(B202="", "", 'Lighting Inventory'!F210)</f>
        <v/>
      </c>
      <c r="P202" s="26" t="str">
        <f>IF(B202="", "", 'Lighting Inventory'!G210)</f>
        <v/>
      </c>
      <c r="Q202" s="26" t="str">
        <f>IF(B202="", "", 'Lighting Inventory'!H210)</f>
        <v/>
      </c>
      <c r="R202" s="26" t="str">
        <f>IF(B202="", "", 'Lighting Inventory'!I210)</f>
        <v/>
      </c>
      <c r="S202" s="26" t="str">
        <f>IF(B202="", "", 'Lighting Inventory'!J210)</f>
        <v/>
      </c>
      <c r="T202" s="26" t="str">
        <f>IFERROR(IF(B202="","",VLOOKUP(S202,'Fixture Identities'!$A$7:$G$1023,5,FALSE)), "New Construction")</f>
        <v/>
      </c>
      <c r="U202" s="26" t="str">
        <f>IFERROR(IF(B202="", "", IF(K202="New Construction", "NC", IF(VLOOKUP(S202, 'Fixture Identities'!$A$7:$I$1023,3, FALSE)="T12 Linear Fluorescent", VLOOKUP(S202, 'Fixture Identities'!$A$7:$K$1012, 11, FALSE), S202))), "")</f>
        <v/>
      </c>
      <c r="V202" s="26" t="str">
        <f>IFERROR(IF(OR(B202="", U202=0), "", VLOOKUP(U202, 'Fixture Identities'!$A$7:$G$1023, 5, FALSE)), "")</f>
        <v/>
      </c>
      <c r="W202" s="26" t="str">
        <f>IF(B202="", "",'Lighting Inventory'!K210)</f>
        <v/>
      </c>
      <c r="X202" s="65" t="str">
        <f>IF(B202="", "", 'Lighting Inventory'!L210)</f>
        <v/>
      </c>
      <c r="Y202" s="26" t="str">
        <f>IF(B202="", "", IF('Lighting Inventory'!M210="", "Light Switch",'Lighting Inventory'!M210))</f>
        <v/>
      </c>
      <c r="Z202" s="26" t="str">
        <f>IF(OR(K202="Retrofit", B202=""), "", 'Lighting Inventory'!N210)</f>
        <v/>
      </c>
      <c r="AA202" s="26" t="str">
        <f>IF(OR(Z202="",B202=""), "", 'Lighting Inventory'!O210)</f>
        <v/>
      </c>
      <c r="AB202" s="26" t="str">
        <f>IF(B202="", "", 'Lighting Inventory'!P210)</f>
        <v/>
      </c>
      <c r="AC202" s="96" t="str">
        <f>IF(B202="", "", 'Lighting Inventory'!R210)</f>
        <v/>
      </c>
      <c r="AD202" s="26" t="str">
        <f>IF(B202="", "", 'Lighting Inventory'!S210)</f>
        <v/>
      </c>
      <c r="AE202" s="26" t="str">
        <f>IF(B202="", "", 'Lighting Inventory'!V210)</f>
        <v/>
      </c>
      <c r="AF202" s="26" t="str">
        <f>IF(B202="", "", 'Lighting Inventory'!W210)</f>
        <v/>
      </c>
      <c r="AG202" s="26" t="str">
        <f>IF(OR(AF202="", B202=""), "", IF(AE202="Custom", "0", VLOOKUP(AF202, 'Lookup Tables'!$AI$6:$AP$102, 8, FALSE)))</f>
        <v/>
      </c>
      <c r="AH202" s="26" t="str">
        <f>IF(B202="", "", 'Lighting Inventory'!AD210)</f>
        <v/>
      </c>
      <c r="AI202" s="26" t="str">
        <f>IF(OR('Lighting Inventory'!AK210="", B202=""), "", 'Lighting Inventory'!AK210)</f>
        <v/>
      </c>
      <c r="AJ202" s="66" t="str">
        <f>IF(B202="", "", 'Lighting Inventory'!AL210)</f>
        <v/>
      </c>
      <c r="AK202" s="65" t="str">
        <f>IF(B202="", "", 'Lighting Inventory'!AM210)</f>
        <v/>
      </c>
      <c r="AL202" s="26" t="str">
        <f>IF(B202="", "", 'Lighting Inventory'!AN210)</f>
        <v/>
      </c>
      <c r="AM202" s="26" t="str">
        <f t="shared" si="11"/>
        <v/>
      </c>
      <c r="AN202" s="26" t="str">
        <f>IF(B202="","",IF('Lighting Inventory'!AV210="","Prescribed",'Lighting Inventory'!AV210))</f>
        <v/>
      </c>
      <c r="AO202" s="66" t="str">
        <f>IF(B202="", "", 'Lighting Inventory'!AX210)</f>
        <v/>
      </c>
      <c r="AP202" s="67" t="str">
        <f>IF(B202="", "", 'Lighting Inventory'!AZ210)</f>
        <v/>
      </c>
      <c r="AQ202" s="67" t="str">
        <f>IF(B202="", "", 'Lighting Inventory'!BA210)</f>
        <v/>
      </c>
      <c r="AR202" s="67" t="str">
        <f>IF(B202="", "", 'Lighting Inventory'!BB210)</f>
        <v/>
      </c>
      <c r="AS202" s="67" t="str">
        <f>IF(B202="", "", 'Lighting Inventory'!BC210)</f>
        <v/>
      </c>
      <c r="AT202" s="67" t="str">
        <f>IF(B202="", "", 'Lighting Inventory'!BD210)</f>
        <v/>
      </c>
      <c r="AU202" s="67" t="str">
        <f>IF(B202="", "", 'Lighting Inventory'!BE210)</f>
        <v/>
      </c>
      <c r="AV202" s="67" t="str">
        <f>IF(B202="", "", 'Lighting Inventory'!BE210)</f>
        <v/>
      </c>
      <c r="AW202" s="67" t="str">
        <f>IF(B202="", "", 'Lighting Inventory'!BF210)</f>
        <v/>
      </c>
      <c r="AX202" s="67" t="str">
        <f>IF(B202="", "", 'Lighting Inventory'!BF210)</f>
        <v/>
      </c>
      <c r="AY202" s="65" t="str">
        <f t="shared" si="13"/>
        <v/>
      </c>
      <c r="AZ202" s="65" t="str">
        <f>IF(B202="", "", 'Lighting Inventory'!BJ210)</f>
        <v/>
      </c>
      <c r="BA202" s="65" t="str">
        <f>IF(B202="", "", 'Lighting Inventory'!BM210)</f>
        <v/>
      </c>
      <c r="BB202" s="65" t="str">
        <f>IF(B202="","",SUM('Lighting Inventory'!BP210:BP210))</f>
        <v/>
      </c>
      <c r="BC202" s="67" t="str">
        <f>IF(OR(AE202="", B202=""),"", 'Lighting Inventory'!GR210)</f>
        <v/>
      </c>
      <c r="BD202" s="67" t="str">
        <f>IFERROR(IF(B202="", "", 'Lighting Inventory'!AF210)*AD202," ")</f>
        <v xml:space="preserve"> </v>
      </c>
      <c r="BE202" s="67"/>
      <c r="BF202" s="67"/>
    </row>
    <row r="203" spans="1:58" x14ac:dyDescent="0.25">
      <c r="A203" s="26" t="str">
        <f>IF(B203="", "", 'Lookup Tables'!AW204)</f>
        <v/>
      </c>
      <c r="B203" s="26" t="str">
        <f>IF(OR('Lighting Inventory'!Y211="", 'Lighting Inventory'!V211="No Change"),"", 'Lighting Inventory'!Y211)</f>
        <v/>
      </c>
      <c r="C203" s="26" t="str">
        <f>IF(B203="", "", IF('Lighting Inventory'!Y211='Lookup Tables'!$Y$32, 'Lighting Inventory'!AJ211, IF(AD203=0, R203, AD203)))</f>
        <v/>
      </c>
      <c r="D203" s="26" t="str">
        <f>IF(B203="", "", 'General Information'!$F$14)</f>
        <v/>
      </c>
      <c r="E203" s="26" t="str">
        <f t="shared" si="12"/>
        <v/>
      </c>
      <c r="F203" s="26" t="str">
        <f>IF(B203="", "", CONCATENATE('General Information'!$F$9, " - ", 'General Information'!$F$14))</f>
        <v/>
      </c>
      <c r="G203" s="26" t="str">
        <f>IF(B203="", "", 'General Information'!$F$15)</f>
        <v/>
      </c>
      <c r="H203" s="26" t="str">
        <f>IF(B203="", "", IF(VLOOKUP(B203, 'Lookup Tables'!$Y$18:$AA$34, 2, FALSE)="Traffic", VLOOKUP('Lighting Inventory'!W211, 'Lookup Tables'!#REF!, 11, FALSE), VLOOKUP(B203, 'Lookup Tables'!$Y$18:$AA$34, 2, FALSE)))</f>
        <v/>
      </c>
      <c r="I203" s="26" t="str">
        <f>IF(B203="", "", CONCATENATE(D203, 'Data Export'!A203))</f>
        <v/>
      </c>
      <c r="J203" s="26" t="str">
        <f>IF(B203="", "", 'Lookup Tables'!$B$1)</f>
        <v/>
      </c>
      <c r="K203" s="26" t="str">
        <f>IF(B203="", "", 'Lighting Inventory'!B211)</f>
        <v/>
      </c>
      <c r="L203" s="26" t="str">
        <f>IF(B203="", "", 'Lighting Inventory'!C211)</f>
        <v/>
      </c>
      <c r="M203" s="26" t="str">
        <f>IF(B203="", "",'Lighting Inventory'!D211)</f>
        <v/>
      </c>
      <c r="N203" s="26" t="str">
        <f>IF(B203="", "",'Lighting Inventory'!E211)</f>
        <v/>
      </c>
      <c r="O203" s="26" t="str">
        <f>IF(B203="", "", 'Lighting Inventory'!F211)</f>
        <v/>
      </c>
      <c r="P203" s="26" t="str">
        <f>IF(B203="", "", 'Lighting Inventory'!G211)</f>
        <v/>
      </c>
      <c r="Q203" s="26" t="str">
        <f>IF(B203="", "", 'Lighting Inventory'!H211)</f>
        <v/>
      </c>
      <c r="R203" s="26" t="str">
        <f>IF(B203="", "", 'Lighting Inventory'!I211)</f>
        <v/>
      </c>
      <c r="S203" s="26" t="str">
        <f>IF(B203="", "", 'Lighting Inventory'!J211)</f>
        <v/>
      </c>
      <c r="T203" s="26" t="str">
        <f>IFERROR(IF(B203="","",VLOOKUP(S203,'Fixture Identities'!$A$7:$G$1023,5,FALSE)), "New Construction")</f>
        <v/>
      </c>
      <c r="U203" s="26" t="str">
        <f>IFERROR(IF(B203="", "", IF(K203="New Construction", "NC", IF(VLOOKUP(S203, 'Fixture Identities'!$A$7:$I$1023,3, FALSE)="T12 Linear Fluorescent", VLOOKUP(S203, 'Fixture Identities'!$A$7:$K$1012, 11, FALSE), S203))), "")</f>
        <v/>
      </c>
      <c r="V203" s="26" t="str">
        <f>IFERROR(IF(OR(B203="", U203=0), "", VLOOKUP(U203, 'Fixture Identities'!$A$7:$G$1023, 5, FALSE)), "")</f>
        <v/>
      </c>
      <c r="W203" s="26" t="str">
        <f>IF(B203="", "",'Lighting Inventory'!K211)</f>
        <v/>
      </c>
      <c r="X203" s="65" t="str">
        <f>IF(B203="", "", 'Lighting Inventory'!L211)</f>
        <v/>
      </c>
      <c r="Y203" s="26" t="str">
        <f>IF(B203="", "", IF('Lighting Inventory'!M211="", "Light Switch",'Lighting Inventory'!M211))</f>
        <v/>
      </c>
      <c r="Z203" s="26" t="str">
        <f>IF(OR(K203="Retrofit", B203=""), "", 'Lighting Inventory'!N211)</f>
        <v/>
      </c>
      <c r="AA203" s="26" t="str">
        <f>IF(OR(Z203="",B203=""), "", 'Lighting Inventory'!O211)</f>
        <v/>
      </c>
      <c r="AB203" s="26" t="str">
        <f>IF(B203="", "", 'Lighting Inventory'!P211)</f>
        <v/>
      </c>
      <c r="AC203" s="96" t="str">
        <f>IF(B203="", "", 'Lighting Inventory'!R211)</f>
        <v/>
      </c>
      <c r="AD203" s="26" t="str">
        <f>IF(B203="", "", 'Lighting Inventory'!S211)</f>
        <v/>
      </c>
      <c r="AE203" s="26" t="str">
        <f>IF(B203="", "", 'Lighting Inventory'!V211)</f>
        <v/>
      </c>
      <c r="AF203" s="26" t="str">
        <f>IF(B203="", "", 'Lighting Inventory'!W211)</f>
        <v/>
      </c>
      <c r="AG203" s="26" t="str">
        <f>IF(OR(AF203="", B203=""), "", IF(AE203="Custom", "0", VLOOKUP(AF203, 'Lookup Tables'!$AI$6:$AP$102, 8, FALSE)))</f>
        <v/>
      </c>
      <c r="AH203" s="26" t="str">
        <f>IF(B203="", "", 'Lighting Inventory'!AD211)</f>
        <v/>
      </c>
      <c r="AI203" s="26" t="str">
        <f>IF(OR('Lighting Inventory'!AK211="", B203=""), "", 'Lighting Inventory'!AK211)</f>
        <v/>
      </c>
      <c r="AJ203" s="66" t="str">
        <f>IF(B203="", "", 'Lighting Inventory'!AL211)</f>
        <v/>
      </c>
      <c r="AK203" s="65" t="str">
        <f>IF(B203="", "", 'Lighting Inventory'!AM211)</f>
        <v/>
      </c>
      <c r="AL203" s="26" t="str">
        <f>IF(B203="", "", 'Lighting Inventory'!AN211)</f>
        <v/>
      </c>
      <c r="AM203" s="26" t="str">
        <f t="shared" si="11"/>
        <v/>
      </c>
      <c r="AN203" s="26" t="str">
        <f>IF(B203="","",IF('Lighting Inventory'!AV211="","Prescribed",'Lighting Inventory'!AV211))</f>
        <v/>
      </c>
      <c r="AO203" s="66" t="str">
        <f>IF(B203="", "", 'Lighting Inventory'!AX211)</f>
        <v/>
      </c>
      <c r="AP203" s="67" t="str">
        <f>IF(B203="", "", 'Lighting Inventory'!AZ211)</f>
        <v/>
      </c>
      <c r="AQ203" s="67" t="str">
        <f>IF(B203="", "", 'Lighting Inventory'!BA211)</f>
        <v/>
      </c>
      <c r="AR203" s="67" t="str">
        <f>IF(B203="", "", 'Lighting Inventory'!BB211)</f>
        <v/>
      </c>
      <c r="AS203" s="67" t="str">
        <f>IF(B203="", "", 'Lighting Inventory'!BC211)</f>
        <v/>
      </c>
      <c r="AT203" s="67" t="str">
        <f>IF(B203="", "", 'Lighting Inventory'!BD211)</f>
        <v/>
      </c>
      <c r="AU203" s="67" t="str">
        <f>IF(B203="", "", 'Lighting Inventory'!BE211)</f>
        <v/>
      </c>
      <c r="AV203" s="67" t="str">
        <f>IF(B203="", "", 'Lighting Inventory'!BE211)</f>
        <v/>
      </c>
      <c r="AW203" s="67" t="str">
        <f>IF(B203="", "", 'Lighting Inventory'!BF211)</f>
        <v/>
      </c>
      <c r="AX203" s="67" t="str">
        <f>IF(B203="", "", 'Lighting Inventory'!BF211)</f>
        <v/>
      </c>
      <c r="AY203" s="65" t="str">
        <f t="shared" si="13"/>
        <v/>
      </c>
      <c r="AZ203" s="65" t="str">
        <f>IF(B203="", "", 'Lighting Inventory'!BJ211)</f>
        <v/>
      </c>
      <c r="BA203" s="65" t="str">
        <f>IF(B203="", "", 'Lighting Inventory'!BM211)</f>
        <v/>
      </c>
      <c r="BB203" s="65" t="str">
        <f>IF(B203="","",SUM('Lighting Inventory'!BP211:BP211))</f>
        <v/>
      </c>
      <c r="BC203" s="67" t="str">
        <f>IF(OR(AE203="", B203=""),"", 'Lighting Inventory'!GR211)</f>
        <v/>
      </c>
      <c r="BD203" s="67" t="str">
        <f>IFERROR(IF(B203="", "", 'Lighting Inventory'!AF211)*AD203," ")</f>
        <v xml:space="preserve"> </v>
      </c>
      <c r="BE203" s="67"/>
      <c r="BF203" s="67"/>
    </row>
    <row r="204" spans="1:58" x14ac:dyDescent="0.25">
      <c r="A204" s="26" t="str">
        <f>IF(B204="", "", 'Lookup Tables'!AW205)</f>
        <v/>
      </c>
      <c r="B204" s="26" t="str">
        <f>IF(OR('Lighting Inventory'!Y212="", 'Lighting Inventory'!V212="No Change"),"", 'Lighting Inventory'!Y212)</f>
        <v/>
      </c>
      <c r="C204" s="26" t="str">
        <f>IF(B204="", "", IF('Lighting Inventory'!Y212='Lookup Tables'!$Y$32, 'Lighting Inventory'!AJ212, IF(AD204=0, R204, AD204)))</f>
        <v/>
      </c>
      <c r="D204" s="26" t="str">
        <f>IF(B204="", "", 'General Information'!$F$14)</f>
        <v/>
      </c>
      <c r="E204" s="26" t="str">
        <f t="shared" si="12"/>
        <v/>
      </c>
      <c r="F204" s="26" t="str">
        <f>IF(B204="", "", CONCATENATE('General Information'!$F$9, " - ", 'General Information'!$F$14))</f>
        <v/>
      </c>
      <c r="G204" s="26" t="str">
        <f>IF(B204="", "", 'General Information'!$F$15)</f>
        <v/>
      </c>
      <c r="H204" s="26" t="str">
        <f>IF(B204="", "", IF(VLOOKUP(B204, 'Lookup Tables'!$Y$18:$AA$34, 2, FALSE)="Traffic", VLOOKUP('Lighting Inventory'!W212, 'Lookup Tables'!#REF!, 11, FALSE), VLOOKUP(B204, 'Lookup Tables'!$Y$18:$AA$34, 2, FALSE)))</f>
        <v/>
      </c>
      <c r="I204" s="26" t="str">
        <f>IF(B204="", "", CONCATENATE(D204, 'Data Export'!A204))</f>
        <v/>
      </c>
      <c r="J204" s="26" t="str">
        <f>IF(B204="", "", 'Lookup Tables'!$B$1)</f>
        <v/>
      </c>
      <c r="K204" s="26" t="str">
        <f>IF(B204="", "", 'Lighting Inventory'!B212)</f>
        <v/>
      </c>
      <c r="L204" s="26" t="str">
        <f>IF(B204="", "", 'Lighting Inventory'!C212)</f>
        <v/>
      </c>
      <c r="M204" s="26" t="str">
        <f>IF(B204="", "",'Lighting Inventory'!D212)</f>
        <v/>
      </c>
      <c r="N204" s="26" t="str">
        <f>IF(B204="", "",'Lighting Inventory'!E212)</f>
        <v/>
      </c>
      <c r="O204" s="26" t="str">
        <f>IF(B204="", "", 'Lighting Inventory'!F212)</f>
        <v/>
      </c>
      <c r="P204" s="26" t="str">
        <f>IF(B204="", "", 'Lighting Inventory'!G212)</f>
        <v/>
      </c>
      <c r="Q204" s="26" t="str">
        <f>IF(B204="", "", 'Lighting Inventory'!H212)</f>
        <v/>
      </c>
      <c r="R204" s="26" t="str">
        <f>IF(B204="", "", 'Lighting Inventory'!I212)</f>
        <v/>
      </c>
      <c r="S204" s="26" t="str">
        <f>IF(B204="", "", 'Lighting Inventory'!J212)</f>
        <v/>
      </c>
      <c r="T204" s="26" t="str">
        <f>IFERROR(IF(B204="","",VLOOKUP(S204,'Fixture Identities'!$A$7:$G$1023,5,FALSE)), "New Construction")</f>
        <v/>
      </c>
      <c r="U204" s="26" t="str">
        <f>IFERROR(IF(B204="", "", IF(K204="New Construction", "NC", IF(VLOOKUP(S204, 'Fixture Identities'!$A$7:$I$1023,3, FALSE)="T12 Linear Fluorescent", VLOOKUP(S204, 'Fixture Identities'!$A$7:$K$1012, 11, FALSE), S204))), "")</f>
        <v/>
      </c>
      <c r="V204" s="26" t="str">
        <f>IFERROR(IF(OR(B204="", U204=0), "", VLOOKUP(U204, 'Fixture Identities'!$A$7:$G$1023, 5, FALSE)), "")</f>
        <v/>
      </c>
      <c r="W204" s="26" t="str">
        <f>IF(B204="", "",'Lighting Inventory'!K212)</f>
        <v/>
      </c>
      <c r="X204" s="65" t="str">
        <f>IF(B204="", "", 'Lighting Inventory'!L212)</f>
        <v/>
      </c>
      <c r="Y204" s="26" t="str">
        <f>IF(B204="", "", IF('Lighting Inventory'!M212="", "Light Switch",'Lighting Inventory'!M212))</f>
        <v/>
      </c>
      <c r="Z204" s="26" t="str">
        <f>IF(OR(K204="Retrofit", B204=""), "", 'Lighting Inventory'!N212)</f>
        <v/>
      </c>
      <c r="AA204" s="26" t="str">
        <f>IF(OR(Z204="",B204=""), "", 'Lighting Inventory'!O212)</f>
        <v/>
      </c>
      <c r="AB204" s="26" t="str">
        <f>IF(B204="", "", 'Lighting Inventory'!P212)</f>
        <v/>
      </c>
      <c r="AC204" s="96" t="str">
        <f>IF(B204="", "", 'Lighting Inventory'!R212)</f>
        <v/>
      </c>
      <c r="AD204" s="26" t="str">
        <f>IF(B204="", "", 'Lighting Inventory'!S212)</f>
        <v/>
      </c>
      <c r="AE204" s="26" t="str">
        <f>IF(B204="", "", 'Lighting Inventory'!V212)</f>
        <v/>
      </c>
      <c r="AF204" s="26" t="str">
        <f>IF(B204="", "", 'Lighting Inventory'!W212)</f>
        <v/>
      </c>
      <c r="AG204" s="26" t="str">
        <f>IF(OR(AF204="", B204=""), "", IF(AE204="Custom", "0", VLOOKUP(AF204, 'Lookup Tables'!$AI$6:$AP$102, 8, FALSE)))</f>
        <v/>
      </c>
      <c r="AH204" s="26" t="str">
        <f>IF(B204="", "", 'Lighting Inventory'!AD212)</f>
        <v/>
      </c>
      <c r="AI204" s="26" t="str">
        <f>IF(OR('Lighting Inventory'!AK212="", B204=""), "", 'Lighting Inventory'!AK212)</f>
        <v/>
      </c>
      <c r="AJ204" s="66" t="str">
        <f>IF(B204="", "", 'Lighting Inventory'!AL212)</f>
        <v/>
      </c>
      <c r="AK204" s="65" t="str">
        <f>IF(B204="", "", 'Lighting Inventory'!AM212)</f>
        <v/>
      </c>
      <c r="AL204" s="26" t="str">
        <f>IF(B204="", "", 'Lighting Inventory'!AN212)</f>
        <v/>
      </c>
      <c r="AM204" s="26" t="str">
        <f t="shared" si="11"/>
        <v/>
      </c>
      <c r="AN204" s="26" t="str">
        <f>IF(B204="","",IF('Lighting Inventory'!AV212="","Prescribed",'Lighting Inventory'!AV212))</f>
        <v/>
      </c>
      <c r="AO204" s="66" t="str">
        <f>IF(B204="", "", 'Lighting Inventory'!AX212)</f>
        <v/>
      </c>
      <c r="AP204" s="67" t="str">
        <f>IF(B204="", "", 'Lighting Inventory'!AZ212)</f>
        <v/>
      </c>
      <c r="AQ204" s="67" t="str">
        <f>IF(B204="", "", 'Lighting Inventory'!BA212)</f>
        <v/>
      </c>
      <c r="AR204" s="67" t="str">
        <f>IF(B204="", "", 'Lighting Inventory'!BB212)</f>
        <v/>
      </c>
      <c r="AS204" s="67" t="str">
        <f>IF(B204="", "", 'Lighting Inventory'!BC212)</f>
        <v/>
      </c>
      <c r="AT204" s="67" t="str">
        <f>IF(B204="", "", 'Lighting Inventory'!BD212)</f>
        <v/>
      </c>
      <c r="AU204" s="67" t="str">
        <f>IF(B204="", "", 'Lighting Inventory'!BE212)</f>
        <v/>
      </c>
      <c r="AV204" s="67" t="str">
        <f>IF(B204="", "", 'Lighting Inventory'!BE212)</f>
        <v/>
      </c>
      <c r="AW204" s="67" t="str">
        <f>IF(B204="", "", 'Lighting Inventory'!BF212)</f>
        <v/>
      </c>
      <c r="AX204" s="67" t="str">
        <f>IF(B204="", "", 'Lighting Inventory'!BF212)</f>
        <v/>
      </c>
      <c r="AY204" s="65" t="str">
        <f t="shared" si="13"/>
        <v/>
      </c>
      <c r="AZ204" s="65" t="str">
        <f>IF(B204="", "", 'Lighting Inventory'!BJ212)</f>
        <v/>
      </c>
      <c r="BA204" s="65" t="str">
        <f>IF(B204="", "", 'Lighting Inventory'!BM212)</f>
        <v/>
      </c>
      <c r="BB204" s="65" t="str">
        <f>IF(B204="","",SUM('Lighting Inventory'!BP212:BP212))</f>
        <v/>
      </c>
      <c r="BC204" s="67" t="str">
        <f>IF(OR(AE204="", B204=""),"", 'Lighting Inventory'!GR212)</f>
        <v/>
      </c>
      <c r="BD204" s="67" t="str">
        <f>IFERROR(IF(B204="", "", 'Lighting Inventory'!AF212)*AD204," ")</f>
        <v xml:space="preserve"> </v>
      </c>
      <c r="BE204" s="67"/>
      <c r="BF204" s="67"/>
    </row>
    <row r="205" spans="1:58" x14ac:dyDescent="0.25">
      <c r="A205" s="26" t="str">
        <f>IF(B205="", "", 'Lookup Tables'!AW206)</f>
        <v/>
      </c>
      <c r="B205" s="26" t="str">
        <f>IF(OR('Lighting Inventory'!Y213="", 'Lighting Inventory'!V213="No Change"),"", 'Lighting Inventory'!Y213)</f>
        <v/>
      </c>
      <c r="C205" s="26" t="str">
        <f>IF(B205="", "", IF('Lighting Inventory'!Y213='Lookup Tables'!$Y$32, 'Lighting Inventory'!AJ213, IF(AD205=0, R205, AD205)))</f>
        <v/>
      </c>
      <c r="D205" s="26" t="str">
        <f>IF(B205="", "", 'General Information'!$F$14)</f>
        <v/>
      </c>
      <c r="E205" s="26" t="str">
        <f t="shared" si="12"/>
        <v/>
      </c>
      <c r="F205" s="26" t="str">
        <f>IF(B205="", "", CONCATENATE('General Information'!$F$9, " - ", 'General Information'!$F$14))</f>
        <v/>
      </c>
      <c r="G205" s="26" t="str">
        <f>IF(B205="", "", 'General Information'!$F$15)</f>
        <v/>
      </c>
      <c r="H205" s="26" t="str">
        <f>IF(B205="", "", IF(VLOOKUP(B205, 'Lookup Tables'!$Y$18:$AA$34, 2, FALSE)="Traffic", VLOOKUP('Lighting Inventory'!W213, 'Lookup Tables'!#REF!, 11, FALSE), VLOOKUP(B205, 'Lookup Tables'!$Y$18:$AA$34, 2, FALSE)))</f>
        <v/>
      </c>
      <c r="I205" s="26" t="str">
        <f>IF(B205="", "", CONCATENATE(D205, 'Data Export'!A205))</f>
        <v/>
      </c>
      <c r="J205" s="26" t="str">
        <f>IF(B205="", "", 'Lookup Tables'!$B$1)</f>
        <v/>
      </c>
      <c r="K205" s="26" t="str">
        <f>IF(B205="", "", 'Lighting Inventory'!B213)</f>
        <v/>
      </c>
      <c r="L205" s="26" t="str">
        <f>IF(B205="", "", 'Lighting Inventory'!C213)</f>
        <v/>
      </c>
      <c r="M205" s="26" t="str">
        <f>IF(B205="", "",'Lighting Inventory'!D213)</f>
        <v/>
      </c>
      <c r="N205" s="26" t="str">
        <f>IF(B205="", "",'Lighting Inventory'!E213)</f>
        <v/>
      </c>
      <c r="O205" s="26" t="str">
        <f>IF(B205="", "", 'Lighting Inventory'!F213)</f>
        <v/>
      </c>
      <c r="P205" s="26" t="str">
        <f>IF(B205="", "", 'Lighting Inventory'!G213)</f>
        <v/>
      </c>
      <c r="Q205" s="26" t="str">
        <f>IF(B205="", "", 'Lighting Inventory'!H213)</f>
        <v/>
      </c>
      <c r="R205" s="26" t="str">
        <f>IF(B205="", "", 'Lighting Inventory'!I213)</f>
        <v/>
      </c>
      <c r="S205" s="26" t="str">
        <f>IF(B205="", "", 'Lighting Inventory'!J213)</f>
        <v/>
      </c>
      <c r="T205" s="26" t="str">
        <f>IFERROR(IF(B205="","",VLOOKUP(S205,'Fixture Identities'!$A$7:$G$1023,5,FALSE)), "New Construction")</f>
        <v/>
      </c>
      <c r="U205" s="26" t="str">
        <f>IFERROR(IF(B205="", "", IF(K205="New Construction", "NC", IF(VLOOKUP(S205, 'Fixture Identities'!$A$7:$I$1023,3, FALSE)="T12 Linear Fluorescent", VLOOKUP(S205, 'Fixture Identities'!$A$7:$K$1012, 11, FALSE), S205))), "")</f>
        <v/>
      </c>
      <c r="V205" s="26" t="str">
        <f>IFERROR(IF(OR(B205="", U205=0), "", VLOOKUP(U205, 'Fixture Identities'!$A$7:$G$1023, 5, FALSE)), "")</f>
        <v/>
      </c>
      <c r="W205" s="26" t="str">
        <f>IF(B205="", "",'Lighting Inventory'!K213)</f>
        <v/>
      </c>
      <c r="X205" s="65" t="str">
        <f>IF(B205="", "", 'Lighting Inventory'!L213)</f>
        <v/>
      </c>
      <c r="Y205" s="26" t="str">
        <f>IF(B205="", "", IF('Lighting Inventory'!M213="", "Light Switch",'Lighting Inventory'!M213))</f>
        <v/>
      </c>
      <c r="Z205" s="26" t="str">
        <f>IF(OR(K205="Retrofit", B205=""), "", 'Lighting Inventory'!N213)</f>
        <v/>
      </c>
      <c r="AA205" s="26" t="str">
        <f>IF(OR(Z205="",B205=""), "", 'Lighting Inventory'!O213)</f>
        <v/>
      </c>
      <c r="AB205" s="26" t="str">
        <f>IF(B205="", "", 'Lighting Inventory'!P213)</f>
        <v/>
      </c>
      <c r="AC205" s="96" t="str">
        <f>IF(B205="", "", 'Lighting Inventory'!R213)</f>
        <v/>
      </c>
      <c r="AD205" s="26" t="str">
        <f>IF(B205="", "", 'Lighting Inventory'!S213)</f>
        <v/>
      </c>
      <c r="AE205" s="26" t="str">
        <f>IF(B205="", "", 'Lighting Inventory'!V213)</f>
        <v/>
      </c>
      <c r="AF205" s="26" t="str">
        <f>IF(B205="", "", 'Lighting Inventory'!W213)</f>
        <v/>
      </c>
      <c r="AG205" s="26" t="str">
        <f>IF(OR(AF205="", B205=""), "", IF(AE205="Custom", "0", VLOOKUP(AF205, 'Lookup Tables'!$AI$6:$AP$102, 8, FALSE)))</f>
        <v/>
      </c>
      <c r="AH205" s="26" t="str">
        <f>IF(B205="", "", 'Lighting Inventory'!AD213)</f>
        <v/>
      </c>
      <c r="AI205" s="26" t="str">
        <f>IF(OR('Lighting Inventory'!AK213="", B205=""), "", 'Lighting Inventory'!AK213)</f>
        <v/>
      </c>
      <c r="AJ205" s="66" t="str">
        <f>IF(B205="", "", 'Lighting Inventory'!AL213)</f>
        <v/>
      </c>
      <c r="AK205" s="65" t="str">
        <f>IF(B205="", "", 'Lighting Inventory'!AM213)</f>
        <v/>
      </c>
      <c r="AL205" s="26" t="str">
        <f>IF(B205="", "", 'Lighting Inventory'!AN213)</f>
        <v/>
      </c>
      <c r="AM205" s="26" t="str">
        <f t="shared" si="11"/>
        <v/>
      </c>
      <c r="AN205" s="26" t="str">
        <f>IF(B205="","",IF('Lighting Inventory'!AV213="","Prescribed",'Lighting Inventory'!AV213))</f>
        <v/>
      </c>
      <c r="AO205" s="66" t="str">
        <f>IF(B205="", "", 'Lighting Inventory'!AX213)</f>
        <v/>
      </c>
      <c r="AP205" s="67" t="str">
        <f>IF(B205="", "", 'Lighting Inventory'!AZ213)</f>
        <v/>
      </c>
      <c r="AQ205" s="67" t="str">
        <f>IF(B205="", "", 'Lighting Inventory'!BA213)</f>
        <v/>
      </c>
      <c r="AR205" s="67" t="str">
        <f>IF(B205="", "", 'Lighting Inventory'!BB213)</f>
        <v/>
      </c>
      <c r="AS205" s="67" t="str">
        <f>IF(B205="", "", 'Lighting Inventory'!BC213)</f>
        <v/>
      </c>
      <c r="AT205" s="67" t="str">
        <f>IF(B205="", "", 'Lighting Inventory'!BD213)</f>
        <v/>
      </c>
      <c r="AU205" s="67" t="str">
        <f>IF(B205="", "", 'Lighting Inventory'!BE213)</f>
        <v/>
      </c>
      <c r="AV205" s="67" t="str">
        <f>IF(B205="", "", 'Lighting Inventory'!BE213)</f>
        <v/>
      </c>
      <c r="AW205" s="67" t="str">
        <f>IF(B205="", "", 'Lighting Inventory'!BF213)</f>
        <v/>
      </c>
      <c r="AX205" s="67" t="str">
        <f>IF(B205="", "", 'Lighting Inventory'!BF213)</f>
        <v/>
      </c>
      <c r="AY205" s="65" t="str">
        <f t="shared" si="13"/>
        <v/>
      </c>
      <c r="AZ205" s="65" t="str">
        <f>IF(B205="", "", 'Lighting Inventory'!BJ213)</f>
        <v/>
      </c>
      <c r="BA205" s="65" t="str">
        <f>IF(B205="", "", 'Lighting Inventory'!BM213)</f>
        <v/>
      </c>
      <c r="BB205" s="65" t="str">
        <f>IF(B205="","",SUM('Lighting Inventory'!BP213:BP213))</f>
        <v/>
      </c>
      <c r="BC205" s="67" t="str">
        <f>IF(OR(AE205="", B205=""),"", 'Lighting Inventory'!GR213)</f>
        <v/>
      </c>
      <c r="BD205" s="67" t="str">
        <f>IFERROR(IF(B205="", "", 'Lighting Inventory'!AF213)*AD205," ")</f>
        <v xml:space="preserve"> </v>
      </c>
      <c r="BE205" s="67"/>
      <c r="BF205" s="67"/>
    </row>
    <row r="206" spans="1:58" x14ac:dyDescent="0.25">
      <c r="A206" s="26" t="str">
        <f>IF(B206="", "", 'Lookup Tables'!AW207)</f>
        <v/>
      </c>
      <c r="B206" s="26" t="str">
        <f>IF(OR('Lighting Inventory'!Y214="", 'Lighting Inventory'!V214="No Change"),"", 'Lighting Inventory'!Y214)</f>
        <v/>
      </c>
      <c r="C206" s="26" t="str">
        <f>IF(B206="", "", IF('Lighting Inventory'!Y214='Lookup Tables'!$Y$32, 'Lighting Inventory'!AJ214, IF(AD206=0, R206, AD206)))</f>
        <v/>
      </c>
      <c r="D206" s="26" t="str">
        <f>IF(B206="", "", 'General Information'!$F$14)</f>
        <v/>
      </c>
      <c r="E206" s="26" t="str">
        <f t="shared" si="12"/>
        <v/>
      </c>
      <c r="F206" s="26" t="str">
        <f>IF(B206="", "", CONCATENATE('General Information'!$F$9, " - ", 'General Information'!$F$14))</f>
        <v/>
      </c>
      <c r="G206" s="26" t="str">
        <f>IF(B206="", "", 'General Information'!$F$15)</f>
        <v/>
      </c>
      <c r="H206" s="26" t="str">
        <f>IF(B206="", "", IF(VLOOKUP(B206, 'Lookup Tables'!$Y$18:$AA$34, 2, FALSE)="Traffic", VLOOKUP('Lighting Inventory'!W214, 'Lookup Tables'!#REF!, 11, FALSE), VLOOKUP(B206, 'Lookup Tables'!$Y$18:$AA$34, 2, FALSE)))</f>
        <v/>
      </c>
      <c r="I206" s="26" t="str">
        <f>IF(B206="", "", CONCATENATE(D206, 'Data Export'!A206))</f>
        <v/>
      </c>
      <c r="J206" s="26" t="str">
        <f>IF(B206="", "", 'Lookup Tables'!$B$1)</f>
        <v/>
      </c>
      <c r="K206" s="26" t="str">
        <f>IF(B206="", "", 'Lighting Inventory'!B214)</f>
        <v/>
      </c>
      <c r="L206" s="26" t="str">
        <f>IF(B206="", "", 'Lighting Inventory'!C214)</f>
        <v/>
      </c>
      <c r="M206" s="26" t="str">
        <f>IF(B206="", "",'Lighting Inventory'!D214)</f>
        <v/>
      </c>
      <c r="N206" s="26" t="str">
        <f>IF(B206="", "",'Lighting Inventory'!E214)</f>
        <v/>
      </c>
      <c r="O206" s="26" t="str">
        <f>IF(B206="", "", 'Lighting Inventory'!F214)</f>
        <v/>
      </c>
      <c r="P206" s="26" t="str">
        <f>IF(B206="", "", 'Lighting Inventory'!G214)</f>
        <v/>
      </c>
      <c r="Q206" s="26" t="str">
        <f>IF(B206="", "", 'Lighting Inventory'!H214)</f>
        <v/>
      </c>
      <c r="R206" s="26" t="str">
        <f>IF(B206="", "", 'Lighting Inventory'!I214)</f>
        <v/>
      </c>
      <c r="S206" s="26" t="str">
        <f>IF(B206="", "", 'Lighting Inventory'!J214)</f>
        <v/>
      </c>
      <c r="T206" s="26" t="str">
        <f>IFERROR(IF(B206="","",VLOOKUP(S206,'Fixture Identities'!$A$7:$G$1023,5,FALSE)), "New Construction")</f>
        <v/>
      </c>
      <c r="U206" s="26" t="str">
        <f>IFERROR(IF(B206="", "", IF(K206="New Construction", "NC", IF(VLOOKUP(S206, 'Fixture Identities'!$A$7:$I$1023,3, FALSE)="T12 Linear Fluorescent", VLOOKUP(S206, 'Fixture Identities'!$A$7:$K$1012, 11, FALSE), S206))), "")</f>
        <v/>
      </c>
      <c r="V206" s="26" t="str">
        <f>IFERROR(IF(OR(B206="", U206=0), "", VLOOKUP(U206, 'Fixture Identities'!$A$7:$G$1023, 5, FALSE)), "")</f>
        <v/>
      </c>
      <c r="W206" s="26" t="str">
        <f>IF(B206="", "",'Lighting Inventory'!K214)</f>
        <v/>
      </c>
      <c r="X206" s="65" t="str">
        <f>IF(B206="", "", 'Lighting Inventory'!L214)</f>
        <v/>
      </c>
      <c r="Y206" s="26" t="str">
        <f>IF(B206="", "", IF('Lighting Inventory'!M214="", "Light Switch",'Lighting Inventory'!M214))</f>
        <v/>
      </c>
      <c r="Z206" s="26" t="str">
        <f>IF(OR(K206="Retrofit", B206=""), "", 'Lighting Inventory'!N214)</f>
        <v/>
      </c>
      <c r="AA206" s="26" t="str">
        <f>IF(OR(Z206="",B206=""), "", 'Lighting Inventory'!O214)</f>
        <v/>
      </c>
      <c r="AB206" s="26" t="str">
        <f>IF(B206="", "", 'Lighting Inventory'!P214)</f>
        <v/>
      </c>
      <c r="AC206" s="96" t="str">
        <f>IF(B206="", "", 'Lighting Inventory'!R214)</f>
        <v/>
      </c>
      <c r="AD206" s="26" t="str">
        <f>IF(B206="", "", 'Lighting Inventory'!S214)</f>
        <v/>
      </c>
      <c r="AE206" s="26" t="str">
        <f>IF(B206="", "", 'Lighting Inventory'!V214)</f>
        <v/>
      </c>
      <c r="AF206" s="26" t="str">
        <f>IF(B206="", "", 'Lighting Inventory'!W214)</f>
        <v/>
      </c>
      <c r="AG206" s="26" t="str">
        <f>IF(OR(AF206="", B206=""), "", IF(AE206="Custom", "0", VLOOKUP(AF206, 'Lookup Tables'!$AI$6:$AP$102, 8, FALSE)))</f>
        <v/>
      </c>
      <c r="AH206" s="26" t="str">
        <f>IF(B206="", "", 'Lighting Inventory'!AD214)</f>
        <v/>
      </c>
      <c r="AI206" s="26" t="str">
        <f>IF(OR('Lighting Inventory'!AK214="", B206=""), "", 'Lighting Inventory'!AK214)</f>
        <v/>
      </c>
      <c r="AJ206" s="66" t="str">
        <f>IF(B206="", "", 'Lighting Inventory'!AL214)</f>
        <v/>
      </c>
      <c r="AK206" s="65" t="str">
        <f>IF(B206="", "", 'Lighting Inventory'!AM214)</f>
        <v/>
      </c>
      <c r="AL206" s="26" t="str">
        <f>IF(B206="", "", 'Lighting Inventory'!AN214)</f>
        <v/>
      </c>
      <c r="AM206" s="26" t="str">
        <f t="shared" si="11"/>
        <v/>
      </c>
      <c r="AN206" s="26" t="str">
        <f>IF(B206="","",IF('Lighting Inventory'!AV214="","Prescribed",'Lighting Inventory'!AV214))</f>
        <v/>
      </c>
      <c r="AO206" s="66" t="str">
        <f>IF(B206="", "", 'Lighting Inventory'!AX214)</f>
        <v/>
      </c>
      <c r="AP206" s="67" t="str">
        <f>IF(B206="", "", 'Lighting Inventory'!AZ214)</f>
        <v/>
      </c>
      <c r="AQ206" s="67" t="str">
        <f>IF(B206="", "", 'Lighting Inventory'!BA214)</f>
        <v/>
      </c>
      <c r="AR206" s="67" t="str">
        <f>IF(B206="", "", 'Lighting Inventory'!BB214)</f>
        <v/>
      </c>
      <c r="AS206" s="67" t="str">
        <f>IF(B206="", "", 'Lighting Inventory'!BC214)</f>
        <v/>
      </c>
      <c r="AT206" s="67" t="str">
        <f>IF(B206="", "", 'Lighting Inventory'!BD214)</f>
        <v/>
      </c>
      <c r="AU206" s="67" t="str">
        <f>IF(B206="", "", 'Lighting Inventory'!BE214)</f>
        <v/>
      </c>
      <c r="AV206" s="67" t="str">
        <f>IF(B206="", "", 'Lighting Inventory'!BE214)</f>
        <v/>
      </c>
      <c r="AW206" s="67" t="str">
        <f>IF(B206="", "", 'Lighting Inventory'!BF214)</f>
        <v/>
      </c>
      <c r="AX206" s="67" t="str">
        <f>IF(B206="", "", 'Lighting Inventory'!BF214)</f>
        <v/>
      </c>
      <c r="AY206" s="65" t="str">
        <f t="shared" si="13"/>
        <v/>
      </c>
      <c r="AZ206" s="65" t="str">
        <f>IF(B206="", "", 'Lighting Inventory'!BJ214)</f>
        <v/>
      </c>
      <c r="BA206" s="65" t="str">
        <f>IF(B206="", "", 'Lighting Inventory'!BM214)</f>
        <v/>
      </c>
      <c r="BB206" s="65" t="str">
        <f>IF(B206="","",SUM('Lighting Inventory'!BP214:BP214))</f>
        <v/>
      </c>
      <c r="BC206" s="67" t="str">
        <f>IF(OR(AE206="", B206=""),"", 'Lighting Inventory'!GR214)</f>
        <v/>
      </c>
      <c r="BD206" s="67" t="str">
        <f>IFERROR(IF(B206="", "", 'Lighting Inventory'!AF214)*AD206," ")</f>
        <v xml:space="preserve"> </v>
      </c>
      <c r="BE206" s="67"/>
      <c r="BF206" s="67"/>
    </row>
    <row r="207" spans="1:58" x14ac:dyDescent="0.25">
      <c r="A207" s="26" t="str">
        <f>IF(B207="", "", 'Lookup Tables'!AW208)</f>
        <v/>
      </c>
      <c r="B207" s="26" t="str">
        <f>IF(OR('Lighting Inventory'!Y215="", 'Lighting Inventory'!V215="No Change"),"", 'Lighting Inventory'!Y215)</f>
        <v/>
      </c>
      <c r="C207" s="26" t="str">
        <f>IF(B207="", "", IF('Lighting Inventory'!Y215='Lookup Tables'!$Y$32, 'Lighting Inventory'!AJ215, IF(AD207=0, R207, AD207)))</f>
        <v/>
      </c>
      <c r="D207" s="26" t="str">
        <f>IF(B207="", "", 'General Information'!$F$14)</f>
        <v/>
      </c>
      <c r="E207" s="26" t="str">
        <f t="shared" si="12"/>
        <v/>
      </c>
      <c r="F207" s="26" t="str">
        <f>IF(B207="", "", CONCATENATE('General Information'!$F$9, " - ", 'General Information'!$F$14))</f>
        <v/>
      </c>
      <c r="G207" s="26" t="str">
        <f>IF(B207="", "", 'General Information'!$F$15)</f>
        <v/>
      </c>
      <c r="H207" s="26" t="str">
        <f>IF(B207="", "", IF(VLOOKUP(B207, 'Lookup Tables'!$Y$18:$AA$34, 2, FALSE)="Traffic", VLOOKUP('Lighting Inventory'!W215, 'Lookup Tables'!#REF!, 11, FALSE), VLOOKUP(B207, 'Lookup Tables'!$Y$18:$AA$34, 2, FALSE)))</f>
        <v/>
      </c>
      <c r="I207" s="26" t="str">
        <f>IF(B207="", "", CONCATENATE(D207, 'Data Export'!A207))</f>
        <v/>
      </c>
      <c r="J207" s="26" t="str">
        <f>IF(B207="", "", 'Lookup Tables'!$B$1)</f>
        <v/>
      </c>
      <c r="K207" s="26" t="str">
        <f>IF(B207="", "", 'Lighting Inventory'!B215)</f>
        <v/>
      </c>
      <c r="L207" s="26" t="str">
        <f>IF(B207="", "", 'Lighting Inventory'!C215)</f>
        <v/>
      </c>
      <c r="M207" s="26" t="str">
        <f>IF(B207="", "",'Lighting Inventory'!D215)</f>
        <v/>
      </c>
      <c r="N207" s="26" t="str">
        <f>IF(B207="", "",'Lighting Inventory'!E215)</f>
        <v/>
      </c>
      <c r="O207" s="26" t="str">
        <f>IF(B207="", "", 'Lighting Inventory'!F215)</f>
        <v/>
      </c>
      <c r="P207" s="26" t="str">
        <f>IF(B207="", "", 'Lighting Inventory'!G215)</f>
        <v/>
      </c>
      <c r="Q207" s="26" t="str">
        <f>IF(B207="", "", 'Lighting Inventory'!H215)</f>
        <v/>
      </c>
      <c r="R207" s="26" t="str">
        <f>IF(B207="", "", 'Lighting Inventory'!I215)</f>
        <v/>
      </c>
      <c r="S207" s="26" t="str">
        <f>IF(B207="", "", 'Lighting Inventory'!J215)</f>
        <v/>
      </c>
      <c r="T207" s="26" t="str">
        <f>IFERROR(IF(B207="","",VLOOKUP(S207,'Fixture Identities'!$A$7:$G$1023,5,FALSE)), "New Construction")</f>
        <v/>
      </c>
      <c r="U207" s="26" t="str">
        <f>IFERROR(IF(B207="", "", IF(K207="New Construction", "NC", IF(VLOOKUP(S207, 'Fixture Identities'!$A$7:$I$1023,3, FALSE)="T12 Linear Fluorescent", VLOOKUP(S207, 'Fixture Identities'!$A$7:$K$1012, 11, FALSE), S207))), "")</f>
        <v/>
      </c>
      <c r="V207" s="26" t="str">
        <f>IFERROR(IF(OR(B207="", U207=0), "", VLOOKUP(U207, 'Fixture Identities'!$A$7:$G$1023, 5, FALSE)), "")</f>
        <v/>
      </c>
      <c r="W207" s="26" t="str">
        <f>IF(B207="", "",'Lighting Inventory'!K215)</f>
        <v/>
      </c>
      <c r="X207" s="65" t="str">
        <f>IF(B207="", "", 'Lighting Inventory'!L215)</f>
        <v/>
      </c>
      <c r="Y207" s="26" t="str">
        <f>IF(B207="", "", IF('Lighting Inventory'!M215="", "Light Switch",'Lighting Inventory'!M215))</f>
        <v/>
      </c>
      <c r="Z207" s="26" t="str">
        <f>IF(OR(K207="Retrofit", B207=""), "", 'Lighting Inventory'!N215)</f>
        <v/>
      </c>
      <c r="AA207" s="26" t="str">
        <f>IF(OR(Z207="",B207=""), "", 'Lighting Inventory'!O215)</f>
        <v/>
      </c>
      <c r="AB207" s="26" t="str">
        <f>IF(B207="", "", 'Lighting Inventory'!P215)</f>
        <v/>
      </c>
      <c r="AC207" s="96" t="str">
        <f>IF(B207="", "", 'Lighting Inventory'!R215)</f>
        <v/>
      </c>
      <c r="AD207" s="26" t="str">
        <f>IF(B207="", "", 'Lighting Inventory'!S215)</f>
        <v/>
      </c>
      <c r="AE207" s="26" t="str">
        <f>IF(B207="", "", 'Lighting Inventory'!V215)</f>
        <v/>
      </c>
      <c r="AF207" s="26" t="str">
        <f>IF(B207="", "", 'Lighting Inventory'!W215)</f>
        <v/>
      </c>
      <c r="AG207" s="26" t="str">
        <f>IF(OR(AF207="", B207=""), "", IF(AE207="Custom", "0", VLOOKUP(AF207, 'Lookup Tables'!$AI$6:$AP$102, 8, FALSE)))</f>
        <v/>
      </c>
      <c r="AH207" s="26" t="str">
        <f>IF(B207="", "", 'Lighting Inventory'!AD215)</f>
        <v/>
      </c>
      <c r="AI207" s="26" t="str">
        <f>IF(OR('Lighting Inventory'!AK215="", B207=""), "", 'Lighting Inventory'!AK215)</f>
        <v/>
      </c>
      <c r="AJ207" s="66" t="str">
        <f>IF(B207="", "", 'Lighting Inventory'!AL215)</f>
        <v/>
      </c>
      <c r="AK207" s="65" t="str">
        <f>IF(B207="", "", 'Lighting Inventory'!AM215)</f>
        <v/>
      </c>
      <c r="AL207" s="26" t="str">
        <f>IF(B207="", "", 'Lighting Inventory'!AN215)</f>
        <v/>
      </c>
      <c r="AM207" s="26" t="str">
        <f t="shared" si="11"/>
        <v/>
      </c>
      <c r="AN207" s="26" t="str">
        <f>IF(B207="","",IF('Lighting Inventory'!AV215="","Prescribed",'Lighting Inventory'!AV215))</f>
        <v/>
      </c>
      <c r="AO207" s="66" t="str">
        <f>IF(B207="", "", 'Lighting Inventory'!AX215)</f>
        <v/>
      </c>
      <c r="AP207" s="67" t="str">
        <f>IF(B207="", "", 'Lighting Inventory'!AZ215)</f>
        <v/>
      </c>
      <c r="AQ207" s="67" t="str">
        <f>IF(B207="", "", 'Lighting Inventory'!BA215)</f>
        <v/>
      </c>
      <c r="AR207" s="67" t="str">
        <f>IF(B207="", "", 'Lighting Inventory'!BB215)</f>
        <v/>
      </c>
      <c r="AS207" s="67" t="str">
        <f>IF(B207="", "", 'Lighting Inventory'!BC215)</f>
        <v/>
      </c>
      <c r="AT207" s="67" t="str">
        <f>IF(B207="", "", 'Lighting Inventory'!BD215)</f>
        <v/>
      </c>
      <c r="AU207" s="67" t="str">
        <f>IF(B207="", "", 'Lighting Inventory'!BE215)</f>
        <v/>
      </c>
      <c r="AV207" s="67" t="str">
        <f>IF(B207="", "", 'Lighting Inventory'!BE215)</f>
        <v/>
      </c>
      <c r="AW207" s="67" t="str">
        <f>IF(B207="", "", 'Lighting Inventory'!BF215)</f>
        <v/>
      </c>
      <c r="AX207" s="67" t="str">
        <f>IF(B207="", "", 'Lighting Inventory'!BF215)</f>
        <v/>
      </c>
      <c r="AY207" s="65" t="str">
        <f t="shared" si="13"/>
        <v/>
      </c>
      <c r="AZ207" s="65" t="str">
        <f>IF(B207="", "", 'Lighting Inventory'!BJ215)</f>
        <v/>
      </c>
      <c r="BA207" s="65" t="str">
        <f>IF(B207="", "", 'Lighting Inventory'!BM215)</f>
        <v/>
      </c>
      <c r="BB207" s="65" t="str">
        <f>IF(B207="","",SUM('Lighting Inventory'!BP215:BP215))</f>
        <v/>
      </c>
      <c r="BC207" s="67" t="str">
        <f>IF(OR(AE207="", B207=""),"", 'Lighting Inventory'!GR215)</f>
        <v/>
      </c>
      <c r="BD207" s="67" t="str">
        <f>IFERROR(IF(B207="", "", 'Lighting Inventory'!AF215)*AD207," ")</f>
        <v xml:space="preserve"> </v>
      </c>
      <c r="BE207" s="67"/>
      <c r="BF207" s="67"/>
    </row>
    <row r="208" spans="1:58" x14ac:dyDescent="0.25">
      <c r="A208" s="26" t="str">
        <f>IF(B208="", "", 'Lookup Tables'!AW209)</f>
        <v/>
      </c>
      <c r="B208" s="26" t="str">
        <f>IF(OR('Lighting Inventory'!Y216="", 'Lighting Inventory'!V216="No Change"),"", 'Lighting Inventory'!Y216)</f>
        <v/>
      </c>
      <c r="C208" s="26" t="str">
        <f>IF(B208="", "", IF('Lighting Inventory'!Y216='Lookup Tables'!$Y$32, 'Lighting Inventory'!AJ216, IF(AD208=0, R208, AD208)))</f>
        <v/>
      </c>
      <c r="D208" s="26" t="str">
        <f>IF(B208="", "", 'General Information'!$F$14)</f>
        <v/>
      </c>
      <c r="E208" s="26" t="str">
        <f t="shared" si="12"/>
        <v/>
      </c>
      <c r="F208" s="26" t="str">
        <f>IF(B208="", "", CONCATENATE('General Information'!$F$9, " - ", 'General Information'!$F$14))</f>
        <v/>
      </c>
      <c r="G208" s="26" t="str">
        <f>IF(B208="", "", 'General Information'!$F$15)</f>
        <v/>
      </c>
      <c r="H208" s="26" t="str">
        <f>IF(B208="", "", IF(VLOOKUP(B208, 'Lookup Tables'!$Y$18:$AA$34, 2, FALSE)="Traffic", VLOOKUP('Lighting Inventory'!W216, 'Lookup Tables'!#REF!, 11, FALSE), VLOOKUP(B208, 'Lookup Tables'!$Y$18:$AA$34, 2, FALSE)))</f>
        <v/>
      </c>
      <c r="I208" s="26" t="str">
        <f>IF(B208="", "", CONCATENATE(D208, 'Data Export'!A208))</f>
        <v/>
      </c>
      <c r="J208" s="26" t="str">
        <f>IF(B208="", "", 'Lookup Tables'!$B$1)</f>
        <v/>
      </c>
      <c r="K208" s="26" t="str">
        <f>IF(B208="", "", 'Lighting Inventory'!B216)</f>
        <v/>
      </c>
      <c r="L208" s="26" t="str">
        <f>IF(B208="", "", 'Lighting Inventory'!C216)</f>
        <v/>
      </c>
      <c r="M208" s="26" t="str">
        <f>IF(B208="", "",'Lighting Inventory'!D216)</f>
        <v/>
      </c>
      <c r="N208" s="26" t="str">
        <f>IF(B208="", "",'Lighting Inventory'!E216)</f>
        <v/>
      </c>
      <c r="O208" s="26" t="str">
        <f>IF(B208="", "", 'Lighting Inventory'!F216)</f>
        <v/>
      </c>
      <c r="P208" s="26" t="str">
        <f>IF(B208="", "", 'Lighting Inventory'!G216)</f>
        <v/>
      </c>
      <c r="Q208" s="26" t="str">
        <f>IF(B208="", "", 'Lighting Inventory'!H216)</f>
        <v/>
      </c>
      <c r="R208" s="26" t="str">
        <f>IF(B208="", "", 'Lighting Inventory'!I216)</f>
        <v/>
      </c>
      <c r="S208" s="26" t="str">
        <f>IF(B208="", "", 'Lighting Inventory'!J216)</f>
        <v/>
      </c>
      <c r="T208" s="26" t="str">
        <f>IFERROR(IF(B208="","",VLOOKUP(S208,'Fixture Identities'!$A$7:$G$1023,5,FALSE)), "New Construction")</f>
        <v/>
      </c>
      <c r="U208" s="26" t="str">
        <f>IFERROR(IF(B208="", "", IF(K208="New Construction", "NC", IF(VLOOKUP(S208, 'Fixture Identities'!$A$7:$I$1023,3, FALSE)="T12 Linear Fluorescent", VLOOKUP(S208, 'Fixture Identities'!$A$7:$K$1012, 11, FALSE), S208))), "")</f>
        <v/>
      </c>
      <c r="V208" s="26" t="str">
        <f>IFERROR(IF(OR(B208="", U208=0), "", VLOOKUP(U208, 'Fixture Identities'!$A$7:$G$1023, 5, FALSE)), "")</f>
        <v/>
      </c>
      <c r="W208" s="26" t="str">
        <f>IF(B208="", "",'Lighting Inventory'!K216)</f>
        <v/>
      </c>
      <c r="X208" s="65" t="str">
        <f>IF(B208="", "", 'Lighting Inventory'!L216)</f>
        <v/>
      </c>
      <c r="Y208" s="26" t="str">
        <f>IF(B208="", "", IF('Lighting Inventory'!M216="", "Light Switch",'Lighting Inventory'!M216))</f>
        <v/>
      </c>
      <c r="Z208" s="26" t="str">
        <f>IF(OR(K208="Retrofit", B208=""), "", 'Lighting Inventory'!N216)</f>
        <v/>
      </c>
      <c r="AA208" s="26" t="str">
        <f>IF(OR(Z208="",B208=""), "", 'Lighting Inventory'!O216)</f>
        <v/>
      </c>
      <c r="AB208" s="26" t="str">
        <f>IF(B208="", "", 'Lighting Inventory'!P216)</f>
        <v/>
      </c>
      <c r="AC208" s="96" t="str">
        <f>IF(B208="", "", 'Lighting Inventory'!R216)</f>
        <v/>
      </c>
      <c r="AD208" s="26" t="str">
        <f>IF(B208="", "", 'Lighting Inventory'!S216)</f>
        <v/>
      </c>
      <c r="AE208" s="26" t="str">
        <f>IF(B208="", "", 'Lighting Inventory'!V216)</f>
        <v/>
      </c>
      <c r="AF208" s="26" t="str">
        <f>IF(B208="", "", 'Lighting Inventory'!W216)</f>
        <v/>
      </c>
      <c r="AG208" s="26" t="str">
        <f>IF(OR(AF208="", B208=""), "", IF(AE208="Custom", "0", VLOOKUP(AF208, 'Lookup Tables'!$AI$6:$AP$102, 8, FALSE)))</f>
        <v/>
      </c>
      <c r="AH208" s="26" t="str">
        <f>IF(B208="", "", 'Lighting Inventory'!AD216)</f>
        <v/>
      </c>
      <c r="AI208" s="26" t="str">
        <f>IF(OR('Lighting Inventory'!AK216="", B208=""), "", 'Lighting Inventory'!AK216)</f>
        <v/>
      </c>
      <c r="AJ208" s="66" t="str">
        <f>IF(B208="", "", 'Lighting Inventory'!AL216)</f>
        <v/>
      </c>
      <c r="AK208" s="65" t="str">
        <f>IF(B208="", "", 'Lighting Inventory'!AM216)</f>
        <v/>
      </c>
      <c r="AL208" s="26" t="str">
        <f>IF(B208="", "", 'Lighting Inventory'!AN216)</f>
        <v/>
      </c>
      <c r="AM208" s="26" t="str">
        <f t="shared" si="11"/>
        <v/>
      </c>
      <c r="AN208" s="26" t="str">
        <f>IF(B208="","",IF('Lighting Inventory'!AV216="","Prescribed",'Lighting Inventory'!AV216))</f>
        <v/>
      </c>
      <c r="AO208" s="66" t="str">
        <f>IF(B208="", "", 'Lighting Inventory'!AX216)</f>
        <v/>
      </c>
      <c r="AP208" s="67" t="str">
        <f>IF(B208="", "", 'Lighting Inventory'!AZ216)</f>
        <v/>
      </c>
      <c r="AQ208" s="67" t="str">
        <f>IF(B208="", "", 'Lighting Inventory'!BA216)</f>
        <v/>
      </c>
      <c r="AR208" s="67" t="str">
        <f>IF(B208="", "", 'Lighting Inventory'!BB216)</f>
        <v/>
      </c>
      <c r="AS208" s="67" t="str">
        <f>IF(B208="", "", 'Lighting Inventory'!BC216)</f>
        <v/>
      </c>
      <c r="AT208" s="67" t="str">
        <f>IF(B208="", "", 'Lighting Inventory'!BD216)</f>
        <v/>
      </c>
      <c r="AU208" s="67" t="str">
        <f>IF(B208="", "", 'Lighting Inventory'!BE216)</f>
        <v/>
      </c>
      <c r="AV208" s="67" t="str">
        <f>IF(B208="", "", 'Lighting Inventory'!BE216)</f>
        <v/>
      </c>
      <c r="AW208" s="67" t="str">
        <f>IF(B208="", "", 'Lighting Inventory'!BF216)</f>
        <v/>
      </c>
      <c r="AX208" s="67" t="str">
        <f>IF(B208="", "", 'Lighting Inventory'!BF216)</f>
        <v/>
      </c>
      <c r="AY208" s="65" t="str">
        <f t="shared" si="13"/>
        <v/>
      </c>
      <c r="AZ208" s="65" t="str">
        <f>IF(B208="", "", 'Lighting Inventory'!BJ216)</f>
        <v/>
      </c>
      <c r="BA208" s="65" t="str">
        <f>IF(B208="", "", 'Lighting Inventory'!BM216)</f>
        <v/>
      </c>
      <c r="BB208" s="65" t="str">
        <f>IF(B208="","",SUM('Lighting Inventory'!BP216:BP216))</f>
        <v/>
      </c>
      <c r="BC208" s="67" t="str">
        <f>IF(OR(AE208="", B208=""),"", 'Lighting Inventory'!GR216)</f>
        <v/>
      </c>
      <c r="BD208" s="67" t="str">
        <f>IFERROR(IF(B208="", "", 'Lighting Inventory'!AF216)*AD208," ")</f>
        <v xml:space="preserve"> </v>
      </c>
      <c r="BE208" s="67"/>
      <c r="BF208" s="67"/>
    </row>
    <row r="209" spans="1:58" x14ac:dyDescent="0.25">
      <c r="A209" s="26" t="str">
        <f>IF(B209="", "", 'Lookup Tables'!AW210)</f>
        <v/>
      </c>
      <c r="B209" s="26" t="str">
        <f>IF(OR('Lighting Inventory'!Y217="", 'Lighting Inventory'!V217="No Change"),"", 'Lighting Inventory'!Y217)</f>
        <v/>
      </c>
      <c r="C209" s="26" t="str">
        <f>IF(B209="", "", IF('Lighting Inventory'!Y217='Lookup Tables'!$Y$32, 'Lighting Inventory'!AJ217, IF(AD209=0, R209, AD209)))</f>
        <v/>
      </c>
      <c r="D209" s="26" t="str">
        <f>IF(B209="", "", 'General Information'!$F$14)</f>
        <v/>
      </c>
      <c r="E209" s="26" t="str">
        <f t="shared" si="12"/>
        <v/>
      </c>
      <c r="F209" s="26" t="str">
        <f>IF(B209="", "", CONCATENATE('General Information'!$F$9, " - ", 'General Information'!$F$14))</f>
        <v/>
      </c>
      <c r="G209" s="26" t="str">
        <f>IF(B209="", "", 'General Information'!$F$15)</f>
        <v/>
      </c>
      <c r="H209" s="26" t="str">
        <f>IF(B209="", "", IF(VLOOKUP(B209, 'Lookup Tables'!$Y$18:$AA$34, 2, FALSE)="Traffic", VLOOKUP('Lighting Inventory'!W217, 'Lookup Tables'!#REF!, 11, FALSE), VLOOKUP(B209, 'Lookup Tables'!$Y$18:$AA$34, 2, FALSE)))</f>
        <v/>
      </c>
      <c r="I209" s="26" t="str">
        <f>IF(B209="", "", CONCATENATE(D209, 'Data Export'!A209))</f>
        <v/>
      </c>
      <c r="J209" s="26" t="str">
        <f>IF(B209="", "", 'Lookup Tables'!$B$1)</f>
        <v/>
      </c>
      <c r="K209" s="26" t="str">
        <f>IF(B209="", "", 'Lighting Inventory'!B217)</f>
        <v/>
      </c>
      <c r="L209" s="26" t="str">
        <f>IF(B209="", "", 'Lighting Inventory'!C217)</f>
        <v/>
      </c>
      <c r="M209" s="26" t="str">
        <f>IF(B209="", "",'Lighting Inventory'!D217)</f>
        <v/>
      </c>
      <c r="N209" s="26" t="str">
        <f>IF(B209="", "",'Lighting Inventory'!E217)</f>
        <v/>
      </c>
      <c r="O209" s="26" t="str">
        <f>IF(B209="", "", 'Lighting Inventory'!F217)</f>
        <v/>
      </c>
      <c r="P209" s="26" t="str">
        <f>IF(B209="", "", 'Lighting Inventory'!G217)</f>
        <v/>
      </c>
      <c r="Q209" s="26" t="str">
        <f>IF(B209="", "", 'Lighting Inventory'!H217)</f>
        <v/>
      </c>
      <c r="R209" s="26" t="str">
        <f>IF(B209="", "", 'Lighting Inventory'!I217)</f>
        <v/>
      </c>
      <c r="S209" s="26" t="str">
        <f>IF(B209="", "", 'Lighting Inventory'!J217)</f>
        <v/>
      </c>
      <c r="T209" s="26" t="str">
        <f>IFERROR(IF(B209="","",VLOOKUP(S209,'Fixture Identities'!$A$7:$G$1023,5,FALSE)), "New Construction")</f>
        <v/>
      </c>
      <c r="U209" s="26" t="str">
        <f>IFERROR(IF(B209="", "", IF(K209="New Construction", "NC", IF(VLOOKUP(S209, 'Fixture Identities'!$A$7:$I$1023,3, FALSE)="T12 Linear Fluorescent", VLOOKUP(S209, 'Fixture Identities'!$A$7:$K$1012, 11, FALSE), S209))), "")</f>
        <v/>
      </c>
      <c r="V209" s="26" t="str">
        <f>IFERROR(IF(OR(B209="", U209=0), "", VLOOKUP(U209, 'Fixture Identities'!$A$7:$G$1023, 5, FALSE)), "")</f>
        <v/>
      </c>
      <c r="W209" s="26" t="str">
        <f>IF(B209="", "",'Lighting Inventory'!K217)</f>
        <v/>
      </c>
      <c r="X209" s="65" t="str">
        <f>IF(B209="", "", 'Lighting Inventory'!L217)</f>
        <v/>
      </c>
      <c r="Y209" s="26" t="str">
        <f>IF(B209="", "", IF('Lighting Inventory'!M217="", "Light Switch",'Lighting Inventory'!M217))</f>
        <v/>
      </c>
      <c r="Z209" s="26" t="str">
        <f>IF(OR(K209="Retrofit", B209=""), "", 'Lighting Inventory'!N217)</f>
        <v/>
      </c>
      <c r="AA209" s="26" t="str">
        <f>IF(OR(Z209="",B209=""), "", 'Lighting Inventory'!O217)</f>
        <v/>
      </c>
      <c r="AB209" s="26" t="str">
        <f>IF(B209="", "", 'Lighting Inventory'!P217)</f>
        <v/>
      </c>
      <c r="AC209" s="96" t="str">
        <f>IF(B209="", "", 'Lighting Inventory'!R217)</f>
        <v/>
      </c>
      <c r="AD209" s="26" t="str">
        <f>IF(B209="", "", 'Lighting Inventory'!S217)</f>
        <v/>
      </c>
      <c r="AE209" s="26" t="str">
        <f>IF(B209="", "", 'Lighting Inventory'!V217)</f>
        <v/>
      </c>
      <c r="AF209" s="26" t="str">
        <f>IF(B209="", "", 'Lighting Inventory'!W217)</f>
        <v/>
      </c>
      <c r="AG209" s="26" t="str">
        <f>IF(OR(AF209="", B209=""), "", IF(AE209="Custom", "0", VLOOKUP(AF209, 'Lookup Tables'!$AI$6:$AP$102, 8, FALSE)))</f>
        <v/>
      </c>
      <c r="AH209" s="26" t="str">
        <f>IF(B209="", "", 'Lighting Inventory'!AD217)</f>
        <v/>
      </c>
      <c r="AI209" s="26" t="str">
        <f>IF(OR('Lighting Inventory'!AK217="", B209=""), "", 'Lighting Inventory'!AK217)</f>
        <v/>
      </c>
      <c r="AJ209" s="66" t="str">
        <f>IF(B209="", "", 'Lighting Inventory'!AL217)</f>
        <v/>
      </c>
      <c r="AK209" s="65" t="str">
        <f>IF(B209="", "", 'Lighting Inventory'!AM217)</f>
        <v/>
      </c>
      <c r="AL209" s="26" t="str">
        <f>IF(B209="", "", 'Lighting Inventory'!AN217)</f>
        <v/>
      </c>
      <c r="AM209" s="26" t="str">
        <f t="shared" si="11"/>
        <v/>
      </c>
      <c r="AN209" s="26" t="str">
        <f>IF(B209="","",IF('Lighting Inventory'!AV217="","Prescribed",'Lighting Inventory'!AV217))</f>
        <v/>
      </c>
      <c r="AO209" s="66" t="str">
        <f>IF(B209="", "", 'Lighting Inventory'!AX217)</f>
        <v/>
      </c>
      <c r="AP209" s="67" t="str">
        <f>IF(B209="", "", 'Lighting Inventory'!AZ217)</f>
        <v/>
      </c>
      <c r="AQ209" s="67" t="str">
        <f>IF(B209="", "", 'Lighting Inventory'!BA217)</f>
        <v/>
      </c>
      <c r="AR209" s="67" t="str">
        <f>IF(B209="", "", 'Lighting Inventory'!BB217)</f>
        <v/>
      </c>
      <c r="AS209" s="67" t="str">
        <f>IF(B209="", "", 'Lighting Inventory'!BC217)</f>
        <v/>
      </c>
      <c r="AT209" s="67" t="str">
        <f>IF(B209="", "", 'Lighting Inventory'!BD217)</f>
        <v/>
      </c>
      <c r="AU209" s="67" t="str">
        <f>IF(B209="", "", 'Lighting Inventory'!BE217)</f>
        <v/>
      </c>
      <c r="AV209" s="67" t="str">
        <f>IF(B209="", "", 'Lighting Inventory'!BE217)</f>
        <v/>
      </c>
      <c r="AW209" s="67" t="str">
        <f>IF(B209="", "", 'Lighting Inventory'!BF217)</f>
        <v/>
      </c>
      <c r="AX209" s="67" t="str">
        <f>IF(B209="", "", 'Lighting Inventory'!BF217)</f>
        <v/>
      </c>
      <c r="AY209" s="65" t="str">
        <f t="shared" si="13"/>
        <v/>
      </c>
      <c r="AZ209" s="65" t="str">
        <f>IF(B209="", "", 'Lighting Inventory'!BJ217)</f>
        <v/>
      </c>
      <c r="BA209" s="65" t="str">
        <f>IF(B209="", "", 'Lighting Inventory'!BM217)</f>
        <v/>
      </c>
      <c r="BB209" s="65" t="str">
        <f>IF(B209="","",SUM('Lighting Inventory'!BP217:BP217))</f>
        <v/>
      </c>
      <c r="BC209" s="67" t="str">
        <f>IF(OR(AE209="", B209=""),"", 'Lighting Inventory'!GR217)</f>
        <v/>
      </c>
      <c r="BD209" s="67" t="str">
        <f>IFERROR(IF(B209="", "", 'Lighting Inventory'!AF217)*AD209," ")</f>
        <v xml:space="preserve"> </v>
      </c>
      <c r="BE209" s="67"/>
      <c r="BF209" s="67"/>
    </row>
    <row r="210" spans="1:58" x14ac:dyDescent="0.25">
      <c r="A210" s="26" t="str">
        <f>IF(B210="", "", 'Lookup Tables'!AW211)</f>
        <v/>
      </c>
      <c r="B210" s="26" t="str">
        <f>IF(OR('Lighting Inventory'!Y218="", 'Lighting Inventory'!V218="No Change"),"", 'Lighting Inventory'!Y218)</f>
        <v/>
      </c>
      <c r="C210" s="26" t="str">
        <f>IF(B210="", "", IF('Lighting Inventory'!Y218='Lookup Tables'!$Y$32, 'Lighting Inventory'!AJ218, IF(AD210=0, R210, AD210)))</f>
        <v/>
      </c>
      <c r="D210" s="26" t="str">
        <f>IF(B210="", "", 'General Information'!$F$14)</f>
        <v/>
      </c>
      <c r="E210" s="26" t="str">
        <f t="shared" si="12"/>
        <v/>
      </c>
      <c r="F210" s="26" t="str">
        <f>IF(B210="", "", CONCATENATE('General Information'!$F$9, " - ", 'General Information'!$F$14))</f>
        <v/>
      </c>
      <c r="G210" s="26" t="str">
        <f>IF(B210="", "", 'General Information'!$F$15)</f>
        <v/>
      </c>
      <c r="H210" s="26" t="str">
        <f>IF(B210="", "", IF(VLOOKUP(B210, 'Lookup Tables'!$Y$18:$AA$34, 2, FALSE)="Traffic", VLOOKUP('Lighting Inventory'!W218, 'Lookup Tables'!#REF!, 11, FALSE), VLOOKUP(B210, 'Lookup Tables'!$Y$18:$AA$34, 2, FALSE)))</f>
        <v/>
      </c>
      <c r="I210" s="26" t="str">
        <f>IF(B210="", "", CONCATENATE(D210, 'Data Export'!A210))</f>
        <v/>
      </c>
      <c r="J210" s="26" t="str">
        <f>IF(B210="", "", 'Lookup Tables'!$B$1)</f>
        <v/>
      </c>
      <c r="K210" s="26" t="str">
        <f>IF(B210="", "", 'Lighting Inventory'!B218)</f>
        <v/>
      </c>
      <c r="L210" s="26" t="str">
        <f>IF(B210="", "", 'Lighting Inventory'!C218)</f>
        <v/>
      </c>
      <c r="M210" s="26" t="str">
        <f>IF(B210="", "",'Lighting Inventory'!D218)</f>
        <v/>
      </c>
      <c r="N210" s="26" t="str">
        <f>IF(B210="", "",'Lighting Inventory'!E218)</f>
        <v/>
      </c>
      <c r="O210" s="26" t="str">
        <f>IF(B210="", "", 'Lighting Inventory'!F218)</f>
        <v/>
      </c>
      <c r="P210" s="26" t="str">
        <f>IF(B210="", "", 'Lighting Inventory'!G218)</f>
        <v/>
      </c>
      <c r="Q210" s="26" t="str">
        <f>IF(B210="", "", 'Lighting Inventory'!H218)</f>
        <v/>
      </c>
      <c r="R210" s="26" t="str">
        <f>IF(B210="", "", 'Lighting Inventory'!I218)</f>
        <v/>
      </c>
      <c r="S210" s="26" t="str">
        <f>IF(B210="", "", 'Lighting Inventory'!J218)</f>
        <v/>
      </c>
      <c r="T210" s="26" t="str">
        <f>IFERROR(IF(B210="","",VLOOKUP(S210,'Fixture Identities'!$A$7:$G$1023,5,FALSE)), "New Construction")</f>
        <v/>
      </c>
      <c r="U210" s="26" t="str">
        <f>IFERROR(IF(B210="", "", IF(K210="New Construction", "NC", IF(VLOOKUP(S210, 'Fixture Identities'!$A$7:$I$1023,3, FALSE)="T12 Linear Fluorescent", VLOOKUP(S210, 'Fixture Identities'!$A$7:$K$1012, 11, FALSE), S210))), "")</f>
        <v/>
      </c>
      <c r="V210" s="26" t="str">
        <f>IFERROR(IF(OR(B210="", U210=0), "", VLOOKUP(U210, 'Fixture Identities'!$A$7:$G$1023, 5, FALSE)), "")</f>
        <v/>
      </c>
      <c r="W210" s="26" t="str">
        <f>IF(B210="", "",'Lighting Inventory'!K218)</f>
        <v/>
      </c>
      <c r="X210" s="65" t="str">
        <f>IF(B210="", "", 'Lighting Inventory'!L218)</f>
        <v/>
      </c>
      <c r="Y210" s="26" t="str">
        <f>IF(B210="", "", IF('Lighting Inventory'!M218="", "Light Switch",'Lighting Inventory'!M218))</f>
        <v/>
      </c>
      <c r="Z210" s="26" t="str">
        <f>IF(OR(K210="Retrofit", B210=""), "", 'Lighting Inventory'!N218)</f>
        <v/>
      </c>
      <c r="AA210" s="26" t="str">
        <f>IF(OR(Z210="",B210=""), "", 'Lighting Inventory'!O218)</f>
        <v/>
      </c>
      <c r="AB210" s="26" t="str">
        <f>IF(B210="", "", 'Lighting Inventory'!P218)</f>
        <v/>
      </c>
      <c r="AC210" s="96" t="str">
        <f>IF(B210="", "", 'Lighting Inventory'!R218)</f>
        <v/>
      </c>
      <c r="AD210" s="26" t="str">
        <f>IF(B210="", "", 'Lighting Inventory'!S218)</f>
        <v/>
      </c>
      <c r="AE210" s="26" t="str">
        <f>IF(B210="", "", 'Lighting Inventory'!V218)</f>
        <v/>
      </c>
      <c r="AF210" s="26" t="str">
        <f>IF(B210="", "", 'Lighting Inventory'!W218)</f>
        <v/>
      </c>
      <c r="AG210" s="26" t="str">
        <f>IF(OR(AF210="", B210=""), "", IF(AE210="Custom", "0", VLOOKUP(AF210, 'Lookup Tables'!$AI$6:$AP$102, 8, FALSE)))</f>
        <v/>
      </c>
      <c r="AH210" s="26" t="str">
        <f>IF(B210="", "", 'Lighting Inventory'!AD218)</f>
        <v/>
      </c>
      <c r="AI210" s="26" t="str">
        <f>IF(OR('Lighting Inventory'!AK218="", B210=""), "", 'Lighting Inventory'!AK218)</f>
        <v/>
      </c>
      <c r="AJ210" s="66" t="str">
        <f>IF(B210="", "", 'Lighting Inventory'!AL218)</f>
        <v/>
      </c>
      <c r="AK210" s="65" t="str">
        <f>IF(B210="", "", 'Lighting Inventory'!AM218)</f>
        <v/>
      </c>
      <c r="AL210" s="26" t="str">
        <f>IF(B210="", "", 'Lighting Inventory'!AN218)</f>
        <v/>
      </c>
      <c r="AM210" s="26" t="str">
        <f t="shared" si="11"/>
        <v/>
      </c>
      <c r="AN210" s="26" t="str">
        <f>IF(B210="","",IF('Lighting Inventory'!AV218="","Prescribed",'Lighting Inventory'!AV218))</f>
        <v/>
      </c>
      <c r="AO210" s="66" t="str">
        <f>IF(B210="", "", 'Lighting Inventory'!AX218)</f>
        <v/>
      </c>
      <c r="AP210" s="67" t="str">
        <f>IF(B210="", "", 'Lighting Inventory'!AZ218)</f>
        <v/>
      </c>
      <c r="AQ210" s="67" t="str">
        <f>IF(B210="", "", 'Lighting Inventory'!BA218)</f>
        <v/>
      </c>
      <c r="AR210" s="67" t="str">
        <f>IF(B210="", "", 'Lighting Inventory'!BB218)</f>
        <v/>
      </c>
      <c r="AS210" s="67" t="str">
        <f>IF(B210="", "", 'Lighting Inventory'!BC218)</f>
        <v/>
      </c>
      <c r="AT210" s="67" t="str">
        <f>IF(B210="", "", 'Lighting Inventory'!BD218)</f>
        <v/>
      </c>
      <c r="AU210" s="67" t="str">
        <f>IF(B210="", "", 'Lighting Inventory'!BE218)</f>
        <v/>
      </c>
      <c r="AV210" s="67" t="str">
        <f>IF(B210="", "", 'Lighting Inventory'!BE218)</f>
        <v/>
      </c>
      <c r="AW210" s="67" t="str">
        <f>IF(B210="", "", 'Lighting Inventory'!BF218)</f>
        <v/>
      </c>
      <c r="AX210" s="67" t="str">
        <f>IF(B210="", "", 'Lighting Inventory'!BF218)</f>
        <v/>
      </c>
      <c r="AY210" s="65" t="str">
        <f t="shared" si="13"/>
        <v/>
      </c>
      <c r="AZ210" s="65" t="str">
        <f>IF(B210="", "", 'Lighting Inventory'!BJ218)</f>
        <v/>
      </c>
      <c r="BA210" s="65" t="str">
        <f>IF(B210="", "", 'Lighting Inventory'!BM218)</f>
        <v/>
      </c>
      <c r="BB210" s="65" t="str">
        <f>IF(B210="","",SUM('Lighting Inventory'!BP218:BP218))</f>
        <v/>
      </c>
      <c r="BC210" s="67" t="str">
        <f>IF(OR(AE210="", B210=""),"", 'Lighting Inventory'!GR218)</f>
        <v/>
      </c>
      <c r="BD210" s="67" t="str">
        <f>IFERROR(IF(B210="", "", 'Lighting Inventory'!AF218)*AD210," ")</f>
        <v xml:space="preserve"> </v>
      </c>
      <c r="BE210" s="67"/>
      <c r="BF210" s="67"/>
    </row>
    <row r="211" spans="1:58" x14ac:dyDescent="0.25">
      <c r="A211" s="26" t="str">
        <f>IF(B211="", "", 'Lookup Tables'!AW212)</f>
        <v/>
      </c>
      <c r="B211" s="26" t="str">
        <f>IF(OR('Lighting Inventory'!Y219="", 'Lighting Inventory'!V219="No Change"),"", 'Lighting Inventory'!Y219)</f>
        <v/>
      </c>
      <c r="C211" s="26" t="str">
        <f>IF(B211="", "", IF('Lighting Inventory'!Y219='Lookup Tables'!$Y$32, 'Lighting Inventory'!AJ219, IF(AD211=0, R211, AD211)))</f>
        <v/>
      </c>
      <c r="D211" s="26" t="str">
        <f>IF(B211="", "", 'General Information'!$F$14)</f>
        <v/>
      </c>
      <c r="E211" s="26" t="str">
        <f t="shared" si="12"/>
        <v/>
      </c>
      <c r="F211" s="26" t="str">
        <f>IF(B211="", "", CONCATENATE('General Information'!$F$9, " - ", 'General Information'!$F$14))</f>
        <v/>
      </c>
      <c r="G211" s="26" t="str">
        <f>IF(B211="", "", 'General Information'!$F$15)</f>
        <v/>
      </c>
      <c r="H211" s="26" t="str">
        <f>IF(B211="", "", IF(VLOOKUP(B211, 'Lookup Tables'!$Y$18:$AA$34, 2, FALSE)="Traffic", VLOOKUP('Lighting Inventory'!W219, 'Lookup Tables'!#REF!, 11, FALSE), VLOOKUP(B211, 'Lookup Tables'!$Y$18:$AA$34, 2, FALSE)))</f>
        <v/>
      </c>
      <c r="I211" s="26" t="str">
        <f>IF(B211="", "", CONCATENATE(D211, 'Data Export'!A211))</f>
        <v/>
      </c>
      <c r="J211" s="26" t="str">
        <f>IF(B211="", "", 'Lookup Tables'!$B$1)</f>
        <v/>
      </c>
      <c r="K211" s="26" t="str">
        <f>IF(B211="", "", 'Lighting Inventory'!B219)</f>
        <v/>
      </c>
      <c r="L211" s="26" t="str">
        <f>IF(B211="", "", 'Lighting Inventory'!C219)</f>
        <v/>
      </c>
      <c r="M211" s="26" t="str">
        <f>IF(B211="", "",'Lighting Inventory'!D219)</f>
        <v/>
      </c>
      <c r="N211" s="26" t="str">
        <f>IF(B211="", "",'Lighting Inventory'!E219)</f>
        <v/>
      </c>
      <c r="O211" s="26" t="str">
        <f>IF(B211="", "", 'Lighting Inventory'!F219)</f>
        <v/>
      </c>
      <c r="P211" s="26" t="str">
        <f>IF(B211="", "", 'Lighting Inventory'!G219)</f>
        <v/>
      </c>
      <c r="Q211" s="26" t="str">
        <f>IF(B211="", "", 'Lighting Inventory'!H219)</f>
        <v/>
      </c>
      <c r="R211" s="26" t="str">
        <f>IF(B211="", "", 'Lighting Inventory'!I219)</f>
        <v/>
      </c>
      <c r="S211" s="26" t="str">
        <f>IF(B211="", "", 'Lighting Inventory'!J219)</f>
        <v/>
      </c>
      <c r="T211" s="26" t="str">
        <f>IFERROR(IF(B211="","",VLOOKUP(S211,'Fixture Identities'!$A$7:$G$1023,5,FALSE)), "New Construction")</f>
        <v/>
      </c>
      <c r="U211" s="26" t="str">
        <f>IFERROR(IF(B211="", "", IF(K211="New Construction", "NC", IF(VLOOKUP(S211, 'Fixture Identities'!$A$7:$I$1023,3, FALSE)="T12 Linear Fluorescent", VLOOKUP(S211, 'Fixture Identities'!$A$7:$K$1012, 11, FALSE), S211))), "")</f>
        <v/>
      </c>
      <c r="V211" s="26" t="str">
        <f>IFERROR(IF(OR(B211="", U211=0), "", VLOOKUP(U211, 'Fixture Identities'!$A$7:$G$1023, 5, FALSE)), "")</f>
        <v/>
      </c>
      <c r="W211" s="26" t="str">
        <f>IF(B211="", "",'Lighting Inventory'!K219)</f>
        <v/>
      </c>
      <c r="X211" s="65" t="str">
        <f>IF(B211="", "", 'Lighting Inventory'!L219)</f>
        <v/>
      </c>
      <c r="Y211" s="26" t="str">
        <f>IF(B211="", "", IF('Lighting Inventory'!M219="", "Light Switch",'Lighting Inventory'!M219))</f>
        <v/>
      </c>
      <c r="Z211" s="26" t="str">
        <f>IF(OR(K211="Retrofit", B211=""), "", 'Lighting Inventory'!N219)</f>
        <v/>
      </c>
      <c r="AA211" s="26" t="str">
        <f>IF(OR(Z211="",B211=""), "", 'Lighting Inventory'!O219)</f>
        <v/>
      </c>
      <c r="AB211" s="26" t="str">
        <f>IF(B211="", "", 'Lighting Inventory'!P219)</f>
        <v/>
      </c>
      <c r="AC211" s="96" t="str">
        <f>IF(B211="", "", 'Lighting Inventory'!R219)</f>
        <v/>
      </c>
      <c r="AD211" s="26" t="str">
        <f>IF(B211="", "", 'Lighting Inventory'!S219)</f>
        <v/>
      </c>
      <c r="AE211" s="26" t="str">
        <f>IF(B211="", "", 'Lighting Inventory'!V219)</f>
        <v/>
      </c>
      <c r="AF211" s="26" t="str">
        <f>IF(B211="", "", 'Lighting Inventory'!W219)</f>
        <v/>
      </c>
      <c r="AG211" s="26" t="str">
        <f>IF(OR(AF211="", B211=""), "", IF(AE211="Custom", "0", VLOOKUP(AF211, 'Lookup Tables'!$AI$6:$AP$102, 8, FALSE)))</f>
        <v/>
      </c>
      <c r="AH211" s="26" t="str">
        <f>IF(B211="", "", 'Lighting Inventory'!AD219)</f>
        <v/>
      </c>
      <c r="AI211" s="26" t="str">
        <f>IF(OR('Lighting Inventory'!AK219="", B211=""), "", 'Lighting Inventory'!AK219)</f>
        <v/>
      </c>
      <c r="AJ211" s="66" t="str">
        <f>IF(B211="", "", 'Lighting Inventory'!AL219)</f>
        <v/>
      </c>
      <c r="AK211" s="65" t="str">
        <f>IF(B211="", "", 'Lighting Inventory'!AM219)</f>
        <v/>
      </c>
      <c r="AL211" s="26" t="str">
        <f>IF(B211="", "", 'Lighting Inventory'!AN219)</f>
        <v/>
      </c>
      <c r="AM211" s="26" t="str">
        <f t="shared" si="11"/>
        <v/>
      </c>
      <c r="AN211" s="26" t="str">
        <f>IF(B211="","",IF('Lighting Inventory'!AV219="","Prescribed",'Lighting Inventory'!AV219))</f>
        <v/>
      </c>
      <c r="AO211" s="66" t="str">
        <f>IF(B211="", "", 'Lighting Inventory'!AX219)</f>
        <v/>
      </c>
      <c r="AP211" s="67" t="str">
        <f>IF(B211="", "", 'Lighting Inventory'!AZ219)</f>
        <v/>
      </c>
      <c r="AQ211" s="67" t="str">
        <f>IF(B211="", "", 'Lighting Inventory'!BA219)</f>
        <v/>
      </c>
      <c r="AR211" s="67" t="str">
        <f>IF(B211="", "", 'Lighting Inventory'!BB219)</f>
        <v/>
      </c>
      <c r="AS211" s="67" t="str">
        <f>IF(B211="", "", 'Lighting Inventory'!BC219)</f>
        <v/>
      </c>
      <c r="AT211" s="67" t="str">
        <f>IF(B211="", "", 'Lighting Inventory'!BD219)</f>
        <v/>
      </c>
      <c r="AU211" s="67" t="str">
        <f>IF(B211="", "", 'Lighting Inventory'!BE219)</f>
        <v/>
      </c>
      <c r="AV211" s="67" t="str">
        <f>IF(B211="", "", 'Lighting Inventory'!BE219)</f>
        <v/>
      </c>
      <c r="AW211" s="67" t="str">
        <f>IF(B211="", "", 'Lighting Inventory'!BF219)</f>
        <v/>
      </c>
      <c r="AX211" s="67" t="str">
        <f>IF(B211="", "", 'Lighting Inventory'!BF219)</f>
        <v/>
      </c>
      <c r="AY211" s="65" t="str">
        <f t="shared" si="13"/>
        <v/>
      </c>
      <c r="AZ211" s="65" t="str">
        <f>IF(B211="", "", 'Lighting Inventory'!BJ219)</f>
        <v/>
      </c>
      <c r="BA211" s="65" t="str">
        <f>IF(B211="", "", 'Lighting Inventory'!BM219)</f>
        <v/>
      </c>
      <c r="BB211" s="65" t="str">
        <f>IF(B211="","",SUM('Lighting Inventory'!BP219:BP219))</f>
        <v/>
      </c>
      <c r="BC211" s="67" t="str">
        <f>IF(OR(AE211="", B211=""),"", 'Lighting Inventory'!GR219)</f>
        <v/>
      </c>
      <c r="BD211" s="67" t="str">
        <f>IFERROR(IF(B211="", "", 'Lighting Inventory'!AF219)*AD211," ")</f>
        <v xml:space="preserve"> </v>
      </c>
      <c r="BE211" s="67"/>
      <c r="BF211" s="67"/>
    </row>
    <row r="212" spans="1:58" x14ac:dyDescent="0.25">
      <c r="A212" s="26" t="str">
        <f>IF(B212="", "", 'Lookup Tables'!AW213)</f>
        <v/>
      </c>
      <c r="B212" s="26" t="str">
        <f>IF(OR('Lighting Inventory'!Y220="", 'Lighting Inventory'!V220="No Change"),"", 'Lighting Inventory'!Y220)</f>
        <v/>
      </c>
      <c r="C212" s="26" t="str">
        <f>IF(B212="", "", IF('Lighting Inventory'!Y220='Lookup Tables'!$Y$32, 'Lighting Inventory'!AJ220, IF(AD212=0, R212, AD212)))</f>
        <v/>
      </c>
      <c r="D212" s="26" t="str">
        <f>IF(B212="", "", 'General Information'!$F$14)</f>
        <v/>
      </c>
      <c r="E212" s="26" t="str">
        <f t="shared" si="12"/>
        <v/>
      </c>
      <c r="F212" s="26" t="str">
        <f>IF(B212="", "", CONCATENATE('General Information'!$F$9, " - ", 'General Information'!$F$14))</f>
        <v/>
      </c>
      <c r="G212" s="26" t="str">
        <f>IF(B212="", "", 'General Information'!$F$15)</f>
        <v/>
      </c>
      <c r="H212" s="26" t="str">
        <f>IF(B212="", "", IF(VLOOKUP(B212, 'Lookup Tables'!$Y$18:$AA$34, 2, FALSE)="Traffic", VLOOKUP('Lighting Inventory'!W220, 'Lookup Tables'!#REF!, 11, FALSE), VLOOKUP(B212, 'Lookup Tables'!$Y$18:$AA$34, 2, FALSE)))</f>
        <v/>
      </c>
      <c r="I212" s="26" t="str">
        <f>IF(B212="", "", CONCATENATE(D212, 'Data Export'!A212))</f>
        <v/>
      </c>
      <c r="J212" s="26" t="str">
        <f>IF(B212="", "", 'Lookup Tables'!$B$1)</f>
        <v/>
      </c>
      <c r="K212" s="26" t="str">
        <f>IF(B212="", "", 'Lighting Inventory'!B220)</f>
        <v/>
      </c>
      <c r="L212" s="26" t="str">
        <f>IF(B212="", "", 'Lighting Inventory'!C220)</f>
        <v/>
      </c>
      <c r="M212" s="26" t="str">
        <f>IF(B212="", "",'Lighting Inventory'!D220)</f>
        <v/>
      </c>
      <c r="N212" s="26" t="str">
        <f>IF(B212="", "",'Lighting Inventory'!E220)</f>
        <v/>
      </c>
      <c r="O212" s="26" t="str">
        <f>IF(B212="", "", 'Lighting Inventory'!F220)</f>
        <v/>
      </c>
      <c r="P212" s="26" t="str">
        <f>IF(B212="", "", 'Lighting Inventory'!G220)</f>
        <v/>
      </c>
      <c r="Q212" s="26" t="str">
        <f>IF(B212="", "", 'Lighting Inventory'!H220)</f>
        <v/>
      </c>
      <c r="R212" s="26" t="str">
        <f>IF(B212="", "", 'Lighting Inventory'!I220)</f>
        <v/>
      </c>
      <c r="S212" s="26" t="str">
        <f>IF(B212="", "", 'Lighting Inventory'!J220)</f>
        <v/>
      </c>
      <c r="T212" s="26" t="str">
        <f>IFERROR(IF(B212="","",VLOOKUP(S212,'Fixture Identities'!$A$7:$G$1023,5,FALSE)), "New Construction")</f>
        <v/>
      </c>
      <c r="U212" s="26" t="str">
        <f>IFERROR(IF(B212="", "", IF(K212="New Construction", "NC", IF(VLOOKUP(S212, 'Fixture Identities'!$A$7:$I$1023,3, FALSE)="T12 Linear Fluorescent", VLOOKUP(S212, 'Fixture Identities'!$A$7:$K$1012, 11, FALSE), S212))), "")</f>
        <v/>
      </c>
      <c r="V212" s="26" t="str">
        <f>IFERROR(IF(OR(B212="", U212=0), "", VLOOKUP(U212, 'Fixture Identities'!$A$7:$G$1023, 5, FALSE)), "")</f>
        <v/>
      </c>
      <c r="W212" s="26" t="str">
        <f>IF(B212="", "",'Lighting Inventory'!K220)</f>
        <v/>
      </c>
      <c r="X212" s="65" t="str">
        <f>IF(B212="", "", 'Lighting Inventory'!L220)</f>
        <v/>
      </c>
      <c r="Y212" s="26" t="str">
        <f>IF(B212="", "", IF('Lighting Inventory'!M220="", "Light Switch",'Lighting Inventory'!M220))</f>
        <v/>
      </c>
      <c r="Z212" s="26" t="str">
        <f>IF(OR(K212="Retrofit", B212=""), "", 'Lighting Inventory'!N220)</f>
        <v/>
      </c>
      <c r="AA212" s="26" t="str">
        <f>IF(OR(Z212="",B212=""), "", 'Lighting Inventory'!O220)</f>
        <v/>
      </c>
      <c r="AB212" s="26" t="str">
        <f>IF(B212="", "", 'Lighting Inventory'!P220)</f>
        <v/>
      </c>
      <c r="AC212" s="96" t="str">
        <f>IF(B212="", "", 'Lighting Inventory'!R220)</f>
        <v/>
      </c>
      <c r="AD212" s="26" t="str">
        <f>IF(B212="", "", 'Lighting Inventory'!S220)</f>
        <v/>
      </c>
      <c r="AE212" s="26" t="str">
        <f>IF(B212="", "", 'Lighting Inventory'!V220)</f>
        <v/>
      </c>
      <c r="AF212" s="26" t="str">
        <f>IF(B212="", "", 'Lighting Inventory'!W220)</f>
        <v/>
      </c>
      <c r="AG212" s="26" t="str">
        <f>IF(OR(AF212="", B212=""), "", IF(AE212="Custom", "0", VLOOKUP(AF212, 'Lookup Tables'!$AI$6:$AP$102, 8, FALSE)))</f>
        <v/>
      </c>
      <c r="AH212" s="26" t="str">
        <f>IF(B212="", "", 'Lighting Inventory'!AD220)</f>
        <v/>
      </c>
      <c r="AI212" s="26" t="str">
        <f>IF(OR('Lighting Inventory'!AK220="", B212=""), "", 'Lighting Inventory'!AK220)</f>
        <v/>
      </c>
      <c r="AJ212" s="66" t="str">
        <f>IF(B212="", "", 'Lighting Inventory'!AL220)</f>
        <v/>
      </c>
      <c r="AK212" s="65" t="str">
        <f>IF(B212="", "", 'Lighting Inventory'!AM220)</f>
        <v/>
      </c>
      <c r="AL212" s="26" t="str">
        <f>IF(B212="", "", 'Lighting Inventory'!AN220)</f>
        <v/>
      </c>
      <c r="AM212" s="26" t="str">
        <f t="shared" si="11"/>
        <v/>
      </c>
      <c r="AN212" s="26" t="str">
        <f>IF(B212="","",IF('Lighting Inventory'!AV220="","Prescribed",'Lighting Inventory'!AV220))</f>
        <v/>
      </c>
      <c r="AO212" s="66" t="str">
        <f>IF(B212="", "", 'Lighting Inventory'!AX220)</f>
        <v/>
      </c>
      <c r="AP212" s="67" t="str">
        <f>IF(B212="", "", 'Lighting Inventory'!AZ220)</f>
        <v/>
      </c>
      <c r="AQ212" s="67" t="str">
        <f>IF(B212="", "", 'Lighting Inventory'!BA220)</f>
        <v/>
      </c>
      <c r="AR212" s="67" t="str">
        <f>IF(B212="", "", 'Lighting Inventory'!BB220)</f>
        <v/>
      </c>
      <c r="AS212" s="67" t="str">
        <f>IF(B212="", "", 'Lighting Inventory'!BC220)</f>
        <v/>
      </c>
      <c r="AT212" s="67" t="str">
        <f>IF(B212="", "", 'Lighting Inventory'!BD220)</f>
        <v/>
      </c>
      <c r="AU212" s="67" t="str">
        <f>IF(B212="", "", 'Lighting Inventory'!BE220)</f>
        <v/>
      </c>
      <c r="AV212" s="67" t="str">
        <f>IF(B212="", "", 'Lighting Inventory'!BE220)</f>
        <v/>
      </c>
      <c r="AW212" s="67" t="str">
        <f>IF(B212="", "", 'Lighting Inventory'!BF220)</f>
        <v/>
      </c>
      <c r="AX212" s="67" t="str">
        <f>IF(B212="", "", 'Lighting Inventory'!BF220)</f>
        <v/>
      </c>
      <c r="AY212" s="65" t="str">
        <f t="shared" si="13"/>
        <v/>
      </c>
      <c r="AZ212" s="65" t="str">
        <f>IF(B212="", "", 'Lighting Inventory'!BJ220)</f>
        <v/>
      </c>
      <c r="BA212" s="65" t="str">
        <f>IF(B212="", "", 'Lighting Inventory'!BM220)</f>
        <v/>
      </c>
      <c r="BB212" s="65" t="str">
        <f>IF(B212="","",SUM('Lighting Inventory'!BP220:BP220))</f>
        <v/>
      </c>
      <c r="BC212" s="67" t="str">
        <f>IF(OR(AE212="", B212=""),"", 'Lighting Inventory'!GR220)</f>
        <v/>
      </c>
      <c r="BD212" s="67" t="str">
        <f>IFERROR(IF(B212="", "", 'Lighting Inventory'!AF220)*AD212," ")</f>
        <v xml:space="preserve"> </v>
      </c>
      <c r="BE212" s="67"/>
      <c r="BF212" s="67"/>
    </row>
    <row r="213" spans="1:58" x14ac:dyDescent="0.25">
      <c r="A213" s="26" t="str">
        <f>IF(B213="", "", 'Lookup Tables'!AW214)</f>
        <v/>
      </c>
      <c r="B213" s="26" t="str">
        <f>IF(OR('Lighting Inventory'!Y221="", 'Lighting Inventory'!V221="No Change"),"", 'Lighting Inventory'!Y221)</f>
        <v/>
      </c>
      <c r="C213" s="26" t="str">
        <f>IF(B213="", "", IF('Lighting Inventory'!Y221='Lookup Tables'!$Y$32, 'Lighting Inventory'!AJ221, IF(AD213=0, R213, AD213)))</f>
        <v/>
      </c>
      <c r="D213" s="26" t="str">
        <f>IF(B213="", "", 'General Information'!$F$14)</f>
        <v/>
      </c>
      <c r="E213" s="26" t="str">
        <f t="shared" si="12"/>
        <v/>
      </c>
      <c r="F213" s="26" t="str">
        <f>IF(B213="", "", CONCATENATE('General Information'!$F$9, " - ", 'General Information'!$F$14))</f>
        <v/>
      </c>
      <c r="G213" s="26" t="str">
        <f>IF(B213="", "", 'General Information'!$F$15)</f>
        <v/>
      </c>
      <c r="H213" s="26" t="str">
        <f>IF(B213="", "", IF(VLOOKUP(B213, 'Lookup Tables'!$Y$18:$AA$34, 2, FALSE)="Traffic", VLOOKUP('Lighting Inventory'!W221, 'Lookup Tables'!#REF!, 11, FALSE), VLOOKUP(B213, 'Lookup Tables'!$Y$18:$AA$34, 2, FALSE)))</f>
        <v/>
      </c>
      <c r="I213" s="26" t="str">
        <f>IF(B213="", "", CONCATENATE(D213, 'Data Export'!A213))</f>
        <v/>
      </c>
      <c r="J213" s="26" t="str">
        <f>IF(B213="", "", 'Lookup Tables'!$B$1)</f>
        <v/>
      </c>
      <c r="K213" s="26" t="str">
        <f>IF(B213="", "", 'Lighting Inventory'!B221)</f>
        <v/>
      </c>
      <c r="L213" s="26" t="str">
        <f>IF(B213="", "", 'Lighting Inventory'!C221)</f>
        <v/>
      </c>
      <c r="M213" s="26" t="str">
        <f>IF(B213="", "",'Lighting Inventory'!D221)</f>
        <v/>
      </c>
      <c r="N213" s="26" t="str">
        <f>IF(B213="", "",'Lighting Inventory'!E221)</f>
        <v/>
      </c>
      <c r="O213" s="26" t="str">
        <f>IF(B213="", "", 'Lighting Inventory'!F221)</f>
        <v/>
      </c>
      <c r="P213" s="26" t="str">
        <f>IF(B213="", "", 'Lighting Inventory'!G221)</f>
        <v/>
      </c>
      <c r="Q213" s="26" t="str">
        <f>IF(B213="", "", 'Lighting Inventory'!H221)</f>
        <v/>
      </c>
      <c r="R213" s="26" t="str">
        <f>IF(B213="", "", 'Lighting Inventory'!I221)</f>
        <v/>
      </c>
      <c r="S213" s="26" t="str">
        <f>IF(B213="", "", 'Lighting Inventory'!J221)</f>
        <v/>
      </c>
      <c r="T213" s="26" t="str">
        <f>IFERROR(IF(B213="","",VLOOKUP(S213,'Fixture Identities'!$A$7:$G$1023,5,FALSE)), "New Construction")</f>
        <v/>
      </c>
      <c r="U213" s="26" t="str">
        <f>IFERROR(IF(B213="", "", IF(K213="New Construction", "NC", IF(VLOOKUP(S213, 'Fixture Identities'!$A$7:$I$1023,3, FALSE)="T12 Linear Fluorescent", VLOOKUP(S213, 'Fixture Identities'!$A$7:$K$1012, 11, FALSE), S213))), "")</f>
        <v/>
      </c>
      <c r="V213" s="26" t="str">
        <f>IFERROR(IF(OR(B213="", U213=0), "", VLOOKUP(U213, 'Fixture Identities'!$A$7:$G$1023, 5, FALSE)), "")</f>
        <v/>
      </c>
      <c r="W213" s="26" t="str">
        <f>IF(B213="", "",'Lighting Inventory'!K221)</f>
        <v/>
      </c>
      <c r="X213" s="65" t="str">
        <f>IF(B213="", "", 'Lighting Inventory'!L221)</f>
        <v/>
      </c>
      <c r="Y213" s="26" t="str">
        <f>IF(B213="", "", IF('Lighting Inventory'!M221="", "Light Switch",'Lighting Inventory'!M221))</f>
        <v/>
      </c>
      <c r="Z213" s="26" t="str">
        <f>IF(OR(K213="Retrofit", B213=""), "", 'Lighting Inventory'!N221)</f>
        <v/>
      </c>
      <c r="AA213" s="26" t="str">
        <f>IF(OR(Z213="",B213=""), "", 'Lighting Inventory'!O221)</f>
        <v/>
      </c>
      <c r="AB213" s="26" t="str">
        <f>IF(B213="", "", 'Lighting Inventory'!P221)</f>
        <v/>
      </c>
      <c r="AC213" s="96" t="str">
        <f>IF(B213="", "", 'Lighting Inventory'!R221)</f>
        <v/>
      </c>
      <c r="AD213" s="26" t="str">
        <f>IF(B213="", "", 'Lighting Inventory'!S221)</f>
        <v/>
      </c>
      <c r="AE213" s="26" t="str">
        <f>IF(B213="", "", 'Lighting Inventory'!V221)</f>
        <v/>
      </c>
      <c r="AF213" s="26" t="str">
        <f>IF(B213="", "", 'Lighting Inventory'!W221)</f>
        <v/>
      </c>
      <c r="AG213" s="26" t="str">
        <f>IF(OR(AF213="", B213=""), "", IF(AE213="Custom", "0", VLOOKUP(AF213, 'Lookup Tables'!$AI$6:$AP$102, 8, FALSE)))</f>
        <v/>
      </c>
      <c r="AH213" s="26" t="str">
        <f>IF(B213="", "", 'Lighting Inventory'!AD221)</f>
        <v/>
      </c>
      <c r="AI213" s="26" t="str">
        <f>IF(OR('Lighting Inventory'!AK221="", B213=""), "", 'Lighting Inventory'!AK221)</f>
        <v/>
      </c>
      <c r="AJ213" s="66" t="str">
        <f>IF(B213="", "", 'Lighting Inventory'!AL221)</f>
        <v/>
      </c>
      <c r="AK213" s="65" t="str">
        <f>IF(B213="", "", 'Lighting Inventory'!AM221)</f>
        <v/>
      </c>
      <c r="AL213" s="26" t="str">
        <f>IF(B213="", "", 'Lighting Inventory'!AN221)</f>
        <v/>
      </c>
      <c r="AM213" s="26" t="str">
        <f t="shared" si="11"/>
        <v/>
      </c>
      <c r="AN213" s="26" t="str">
        <f>IF(B213="","",IF('Lighting Inventory'!AV221="","Prescribed",'Lighting Inventory'!AV221))</f>
        <v/>
      </c>
      <c r="AO213" s="66" t="str">
        <f>IF(B213="", "", 'Lighting Inventory'!AX221)</f>
        <v/>
      </c>
      <c r="AP213" s="67" t="str">
        <f>IF(B213="", "", 'Lighting Inventory'!AZ221)</f>
        <v/>
      </c>
      <c r="AQ213" s="67" t="str">
        <f>IF(B213="", "", 'Lighting Inventory'!BA221)</f>
        <v/>
      </c>
      <c r="AR213" s="67" t="str">
        <f>IF(B213="", "", 'Lighting Inventory'!BB221)</f>
        <v/>
      </c>
      <c r="AS213" s="67" t="str">
        <f>IF(B213="", "", 'Lighting Inventory'!BC221)</f>
        <v/>
      </c>
      <c r="AT213" s="67" t="str">
        <f>IF(B213="", "", 'Lighting Inventory'!BD221)</f>
        <v/>
      </c>
      <c r="AU213" s="67" t="str">
        <f>IF(B213="", "", 'Lighting Inventory'!BE221)</f>
        <v/>
      </c>
      <c r="AV213" s="67" t="str">
        <f>IF(B213="", "", 'Lighting Inventory'!BE221)</f>
        <v/>
      </c>
      <c r="AW213" s="67" t="str">
        <f>IF(B213="", "", 'Lighting Inventory'!BF221)</f>
        <v/>
      </c>
      <c r="AX213" s="67" t="str">
        <f>IF(B213="", "", 'Lighting Inventory'!BF221)</f>
        <v/>
      </c>
      <c r="AY213" s="65" t="str">
        <f t="shared" si="13"/>
        <v/>
      </c>
      <c r="AZ213" s="65" t="str">
        <f>IF(B213="", "", 'Lighting Inventory'!BJ221)</f>
        <v/>
      </c>
      <c r="BA213" s="65" t="str">
        <f>IF(B213="", "", 'Lighting Inventory'!BM221)</f>
        <v/>
      </c>
      <c r="BB213" s="65" t="str">
        <f>IF(B213="","",SUM('Lighting Inventory'!BP221:BP221))</f>
        <v/>
      </c>
      <c r="BC213" s="67" t="str">
        <f>IF(OR(AE213="", B213=""),"", 'Lighting Inventory'!GR221)</f>
        <v/>
      </c>
      <c r="BD213" s="67" t="str">
        <f>IFERROR(IF(B213="", "", 'Lighting Inventory'!AF221)*AD213," ")</f>
        <v xml:space="preserve"> </v>
      </c>
      <c r="BE213" s="67"/>
      <c r="BF213" s="67"/>
    </row>
    <row r="214" spans="1:58" x14ac:dyDescent="0.25">
      <c r="A214" s="26" t="str">
        <f>IF(B214="", "", 'Lookup Tables'!AW215)</f>
        <v/>
      </c>
      <c r="B214" s="26" t="str">
        <f>IF(OR('Lighting Inventory'!Y222="", 'Lighting Inventory'!V222="No Change"),"", 'Lighting Inventory'!Y222)</f>
        <v/>
      </c>
      <c r="C214" s="26" t="str">
        <f>IF(B214="", "", IF('Lighting Inventory'!Y222='Lookup Tables'!$Y$32, 'Lighting Inventory'!AJ222, IF(AD214=0, R214, AD214)))</f>
        <v/>
      </c>
      <c r="D214" s="26" t="str">
        <f>IF(B214="", "", 'General Information'!$F$14)</f>
        <v/>
      </c>
      <c r="E214" s="26" t="str">
        <f t="shared" si="12"/>
        <v/>
      </c>
      <c r="F214" s="26" t="str">
        <f>IF(B214="", "", CONCATENATE('General Information'!$F$9, " - ", 'General Information'!$F$14))</f>
        <v/>
      </c>
      <c r="G214" s="26" t="str">
        <f>IF(B214="", "", 'General Information'!$F$15)</f>
        <v/>
      </c>
      <c r="H214" s="26" t="str">
        <f>IF(B214="", "", IF(VLOOKUP(B214, 'Lookup Tables'!$Y$18:$AA$34, 2, FALSE)="Traffic", VLOOKUP('Lighting Inventory'!W222, 'Lookup Tables'!#REF!, 11, FALSE), VLOOKUP(B214, 'Lookup Tables'!$Y$18:$AA$34, 2, FALSE)))</f>
        <v/>
      </c>
      <c r="I214" s="26" t="str">
        <f>IF(B214="", "", CONCATENATE(D214, 'Data Export'!A214))</f>
        <v/>
      </c>
      <c r="J214" s="26" t="str">
        <f>IF(B214="", "", 'Lookup Tables'!$B$1)</f>
        <v/>
      </c>
      <c r="K214" s="26" t="str">
        <f>IF(B214="", "", 'Lighting Inventory'!B222)</f>
        <v/>
      </c>
      <c r="L214" s="26" t="str">
        <f>IF(B214="", "", 'Lighting Inventory'!C222)</f>
        <v/>
      </c>
      <c r="M214" s="26" t="str">
        <f>IF(B214="", "",'Lighting Inventory'!D222)</f>
        <v/>
      </c>
      <c r="N214" s="26" t="str">
        <f>IF(B214="", "",'Lighting Inventory'!E222)</f>
        <v/>
      </c>
      <c r="O214" s="26" t="str">
        <f>IF(B214="", "", 'Lighting Inventory'!F222)</f>
        <v/>
      </c>
      <c r="P214" s="26" t="str">
        <f>IF(B214="", "", 'Lighting Inventory'!G222)</f>
        <v/>
      </c>
      <c r="Q214" s="26" t="str">
        <f>IF(B214="", "", 'Lighting Inventory'!H222)</f>
        <v/>
      </c>
      <c r="R214" s="26" t="str">
        <f>IF(B214="", "", 'Lighting Inventory'!I222)</f>
        <v/>
      </c>
      <c r="S214" s="26" t="str">
        <f>IF(B214="", "", 'Lighting Inventory'!J222)</f>
        <v/>
      </c>
      <c r="T214" s="26" t="str">
        <f>IFERROR(IF(B214="","",VLOOKUP(S214,'Fixture Identities'!$A$7:$G$1023,5,FALSE)), "New Construction")</f>
        <v/>
      </c>
      <c r="U214" s="26" t="str">
        <f>IFERROR(IF(B214="", "", IF(K214="New Construction", "NC", IF(VLOOKUP(S214, 'Fixture Identities'!$A$7:$I$1023,3, FALSE)="T12 Linear Fluorescent", VLOOKUP(S214, 'Fixture Identities'!$A$7:$K$1012, 11, FALSE), S214))), "")</f>
        <v/>
      </c>
      <c r="V214" s="26" t="str">
        <f>IFERROR(IF(OR(B214="", U214=0), "", VLOOKUP(U214, 'Fixture Identities'!$A$7:$G$1023, 5, FALSE)), "")</f>
        <v/>
      </c>
      <c r="W214" s="26" t="str">
        <f>IF(B214="", "",'Lighting Inventory'!K222)</f>
        <v/>
      </c>
      <c r="X214" s="65" t="str">
        <f>IF(B214="", "", 'Lighting Inventory'!L222)</f>
        <v/>
      </c>
      <c r="Y214" s="26" t="str">
        <f>IF(B214="", "", IF('Lighting Inventory'!M222="", "Light Switch",'Lighting Inventory'!M222))</f>
        <v/>
      </c>
      <c r="Z214" s="26" t="str">
        <f>IF(OR(K214="Retrofit", B214=""), "", 'Lighting Inventory'!N222)</f>
        <v/>
      </c>
      <c r="AA214" s="26" t="str">
        <f>IF(OR(Z214="",B214=""), "", 'Lighting Inventory'!O222)</f>
        <v/>
      </c>
      <c r="AB214" s="26" t="str">
        <f>IF(B214="", "", 'Lighting Inventory'!P222)</f>
        <v/>
      </c>
      <c r="AC214" s="96" t="str">
        <f>IF(B214="", "", 'Lighting Inventory'!R222)</f>
        <v/>
      </c>
      <c r="AD214" s="26" t="str">
        <f>IF(B214="", "", 'Lighting Inventory'!S222)</f>
        <v/>
      </c>
      <c r="AE214" s="26" t="str">
        <f>IF(B214="", "", 'Lighting Inventory'!V222)</f>
        <v/>
      </c>
      <c r="AF214" s="26" t="str">
        <f>IF(B214="", "", 'Lighting Inventory'!W222)</f>
        <v/>
      </c>
      <c r="AG214" s="26" t="str">
        <f>IF(OR(AF214="", B214=""), "", IF(AE214="Custom", "0", VLOOKUP(AF214, 'Lookup Tables'!$AI$6:$AP$102, 8, FALSE)))</f>
        <v/>
      </c>
      <c r="AH214" s="26" t="str">
        <f>IF(B214="", "", 'Lighting Inventory'!AD222)</f>
        <v/>
      </c>
      <c r="AI214" s="26" t="str">
        <f>IF(OR('Lighting Inventory'!AK222="", B214=""), "", 'Lighting Inventory'!AK222)</f>
        <v/>
      </c>
      <c r="AJ214" s="66" t="str">
        <f>IF(B214="", "", 'Lighting Inventory'!AL222)</f>
        <v/>
      </c>
      <c r="AK214" s="65" t="str">
        <f>IF(B214="", "", 'Lighting Inventory'!AM222)</f>
        <v/>
      </c>
      <c r="AL214" s="26" t="str">
        <f>IF(B214="", "", 'Lighting Inventory'!AN222)</f>
        <v/>
      </c>
      <c r="AM214" s="26" t="str">
        <f t="shared" si="11"/>
        <v/>
      </c>
      <c r="AN214" s="26" t="str">
        <f>IF(B214="","",IF('Lighting Inventory'!AV222="","Prescribed",'Lighting Inventory'!AV222))</f>
        <v/>
      </c>
      <c r="AO214" s="66" t="str">
        <f>IF(B214="", "", 'Lighting Inventory'!AX222)</f>
        <v/>
      </c>
      <c r="AP214" s="67" t="str">
        <f>IF(B214="", "", 'Lighting Inventory'!AZ222)</f>
        <v/>
      </c>
      <c r="AQ214" s="67" t="str">
        <f>IF(B214="", "", 'Lighting Inventory'!BA222)</f>
        <v/>
      </c>
      <c r="AR214" s="67" t="str">
        <f>IF(B214="", "", 'Lighting Inventory'!BB222)</f>
        <v/>
      </c>
      <c r="AS214" s="67" t="str">
        <f>IF(B214="", "", 'Lighting Inventory'!BC222)</f>
        <v/>
      </c>
      <c r="AT214" s="67" t="str">
        <f>IF(B214="", "", 'Lighting Inventory'!BD222)</f>
        <v/>
      </c>
      <c r="AU214" s="67" t="str">
        <f>IF(B214="", "", 'Lighting Inventory'!BE222)</f>
        <v/>
      </c>
      <c r="AV214" s="67" t="str">
        <f>IF(B214="", "", 'Lighting Inventory'!BE222)</f>
        <v/>
      </c>
      <c r="AW214" s="67" t="str">
        <f>IF(B214="", "", 'Lighting Inventory'!BF222)</f>
        <v/>
      </c>
      <c r="AX214" s="67" t="str">
        <f>IF(B214="", "", 'Lighting Inventory'!BF222)</f>
        <v/>
      </c>
      <c r="AY214" s="65" t="str">
        <f t="shared" si="13"/>
        <v/>
      </c>
      <c r="AZ214" s="65" t="str">
        <f>IF(B214="", "", 'Lighting Inventory'!BJ222)</f>
        <v/>
      </c>
      <c r="BA214" s="65" t="str">
        <f>IF(B214="", "", 'Lighting Inventory'!BM222)</f>
        <v/>
      </c>
      <c r="BB214" s="65" t="str">
        <f>IF(B214="","",SUM('Lighting Inventory'!BP222:BP222))</f>
        <v/>
      </c>
      <c r="BC214" s="67" t="str">
        <f>IF(OR(AE214="", B214=""),"", 'Lighting Inventory'!GR222)</f>
        <v/>
      </c>
      <c r="BD214" s="67" t="str">
        <f>IFERROR(IF(B214="", "", 'Lighting Inventory'!AF222)*AD214," ")</f>
        <v xml:space="preserve"> </v>
      </c>
      <c r="BE214" s="67"/>
      <c r="BF214" s="67"/>
    </row>
    <row r="215" spans="1:58" x14ac:dyDescent="0.25">
      <c r="A215" s="26" t="str">
        <f>IF(B215="", "", 'Lookup Tables'!AW216)</f>
        <v/>
      </c>
      <c r="B215" s="26" t="str">
        <f>IF(OR('Lighting Inventory'!Y223="", 'Lighting Inventory'!V223="No Change"),"", 'Lighting Inventory'!Y223)</f>
        <v/>
      </c>
      <c r="C215" s="26" t="str">
        <f>IF(B215="", "", IF('Lighting Inventory'!Y223='Lookup Tables'!$Y$32, 'Lighting Inventory'!AJ223, IF(AD215=0, R215, AD215)))</f>
        <v/>
      </c>
      <c r="D215" s="26" t="str">
        <f>IF(B215="", "", 'General Information'!$F$14)</f>
        <v/>
      </c>
      <c r="E215" s="26" t="str">
        <f t="shared" si="12"/>
        <v/>
      </c>
      <c r="F215" s="26" t="str">
        <f>IF(B215="", "", CONCATENATE('General Information'!$F$9, " - ", 'General Information'!$F$14))</f>
        <v/>
      </c>
      <c r="G215" s="26" t="str">
        <f>IF(B215="", "", 'General Information'!$F$15)</f>
        <v/>
      </c>
      <c r="H215" s="26" t="str">
        <f>IF(B215="", "", IF(VLOOKUP(B215, 'Lookup Tables'!$Y$18:$AA$34, 2, FALSE)="Traffic", VLOOKUP('Lighting Inventory'!W223, 'Lookup Tables'!#REF!, 11, FALSE), VLOOKUP(B215, 'Lookup Tables'!$Y$18:$AA$34, 2, FALSE)))</f>
        <v/>
      </c>
      <c r="I215" s="26" t="str">
        <f>IF(B215="", "", CONCATENATE(D215, 'Data Export'!A215))</f>
        <v/>
      </c>
      <c r="J215" s="26" t="str">
        <f>IF(B215="", "", 'Lookup Tables'!$B$1)</f>
        <v/>
      </c>
      <c r="K215" s="26" t="str">
        <f>IF(B215="", "", 'Lighting Inventory'!B223)</f>
        <v/>
      </c>
      <c r="L215" s="26" t="str">
        <f>IF(B215="", "", 'Lighting Inventory'!C223)</f>
        <v/>
      </c>
      <c r="M215" s="26" t="str">
        <f>IF(B215="", "",'Lighting Inventory'!D223)</f>
        <v/>
      </c>
      <c r="N215" s="26" t="str">
        <f>IF(B215="", "",'Lighting Inventory'!E223)</f>
        <v/>
      </c>
      <c r="O215" s="26" t="str">
        <f>IF(B215="", "", 'Lighting Inventory'!F223)</f>
        <v/>
      </c>
      <c r="P215" s="26" t="str">
        <f>IF(B215="", "", 'Lighting Inventory'!G223)</f>
        <v/>
      </c>
      <c r="Q215" s="26" t="str">
        <f>IF(B215="", "", 'Lighting Inventory'!H223)</f>
        <v/>
      </c>
      <c r="R215" s="26" t="str">
        <f>IF(B215="", "", 'Lighting Inventory'!I223)</f>
        <v/>
      </c>
      <c r="S215" s="26" t="str">
        <f>IF(B215="", "", 'Lighting Inventory'!J223)</f>
        <v/>
      </c>
      <c r="T215" s="26" t="str">
        <f>IFERROR(IF(B215="","",VLOOKUP(S215,'Fixture Identities'!$A$7:$G$1023,5,FALSE)), "New Construction")</f>
        <v/>
      </c>
      <c r="U215" s="26" t="str">
        <f>IFERROR(IF(B215="", "", IF(K215="New Construction", "NC", IF(VLOOKUP(S215, 'Fixture Identities'!$A$7:$I$1023,3, FALSE)="T12 Linear Fluorescent", VLOOKUP(S215, 'Fixture Identities'!$A$7:$K$1012, 11, FALSE), S215))), "")</f>
        <v/>
      </c>
      <c r="V215" s="26" t="str">
        <f>IFERROR(IF(OR(B215="", U215=0), "", VLOOKUP(U215, 'Fixture Identities'!$A$7:$G$1023, 5, FALSE)), "")</f>
        <v/>
      </c>
      <c r="W215" s="26" t="str">
        <f>IF(B215="", "",'Lighting Inventory'!K223)</f>
        <v/>
      </c>
      <c r="X215" s="65" t="str">
        <f>IF(B215="", "", 'Lighting Inventory'!L223)</f>
        <v/>
      </c>
      <c r="Y215" s="26" t="str">
        <f>IF(B215="", "", IF('Lighting Inventory'!M223="", "Light Switch",'Lighting Inventory'!M223))</f>
        <v/>
      </c>
      <c r="Z215" s="26" t="str">
        <f>IF(OR(K215="Retrofit", B215=""), "", 'Lighting Inventory'!N223)</f>
        <v/>
      </c>
      <c r="AA215" s="26" t="str">
        <f>IF(OR(Z215="",B215=""), "", 'Lighting Inventory'!O223)</f>
        <v/>
      </c>
      <c r="AB215" s="26" t="str">
        <f>IF(B215="", "", 'Lighting Inventory'!P223)</f>
        <v/>
      </c>
      <c r="AC215" s="96" t="str">
        <f>IF(B215="", "", 'Lighting Inventory'!R223)</f>
        <v/>
      </c>
      <c r="AD215" s="26" t="str">
        <f>IF(B215="", "", 'Lighting Inventory'!S223)</f>
        <v/>
      </c>
      <c r="AE215" s="26" t="str">
        <f>IF(B215="", "", 'Lighting Inventory'!V223)</f>
        <v/>
      </c>
      <c r="AF215" s="26" t="str">
        <f>IF(B215="", "", 'Lighting Inventory'!W223)</f>
        <v/>
      </c>
      <c r="AG215" s="26" t="str">
        <f>IF(OR(AF215="", B215=""), "", IF(AE215="Custom", "0", VLOOKUP(AF215, 'Lookup Tables'!$AI$6:$AP$102, 8, FALSE)))</f>
        <v/>
      </c>
      <c r="AH215" s="26" t="str">
        <f>IF(B215="", "", 'Lighting Inventory'!AD223)</f>
        <v/>
      </c>
      <c r="AI215" s="26" t="str">
        <f>IF(OR('Lighting Inventory'!AK223="", B215=""), "", 'Lighting Inventory'!AK223)</f>
        <v/>
      </c>
      <c r="AJ215" s="66" t="str">
        <f>IF(B215="", "", 'Lighting Inventory'!AL223)</f>
        <v/>
      </c>
      <c r="AK215" s="65" t="str">
        <f>IF(B215="", "", 'Lighting Inventory'!AM223)</f>
        <v/>
      </c>
      <c r="AL215" s="26" t="str">
        <f>IF(B215="", "", 'Lighting Inventory'!AN223)</f>
        <v/>
      </c>
      <c r="AM215" s="26" t="str">
        <f t="shared" si="11"/>
        <v/>
      </c>
      <c r="AN215" s="26" t="str">
        <f>IF(B215="","",IF('Lighting Inventory'!AV223="","Prescribed",'Lighting Inventory'!AV223))</f>
        <v/>
      </c>
      <c r="AO215" s="66" t="str">
        <f>IF(B215="", "", 'Lighting Inventory'!AX223)</f>
        <v/>
      </c>
      <c r="AP215" s="67" t="str">
        <f>IF(B215="", "", 'Lighting Inventory'!AZ223)</f>
        <v/>
      </c>
      <c r="AQ215" s="67" t="str">
        <f>IF(B215="", "", 'Lighting Inventory'!BA223)</f>
        <v/>
      </c>
      <c r="AR215" s="67" t="str">
        <f>IF(B215="", "", 'Lighting Inventory'!BB223)</f>
        <v/>
      </c>
      <c r="AS215" s="67" t="str">
        <f>IF(B215="", "", 'Lighting Inventory'!BC223)</f>
        <v/>
      </c>
      <c r="AT215" s="67" t="str">
        <f>IF(B215="", "", 'Lighting Inventory'!BD223)</f>
        <v/>
      </c>
      <c r="AU215" s="67" t="str">
        <f>IF(B215="", "", 'Lighting Inventory'!BE223)</f>
        <v/>
      </c>
      <c r="AV215" s="67" t="str">
        <f>IF(B215="", "", 'Lighting Inventory'!BE223)</f>
        <v/>
      </c>
      <c r="AW215" s="67" t="str">
        <f>IF(B215="", "", 'Lighting Inventory'!BF223)</f>
        <v/>
      </c>
      <c r="AX215" s="67" t="str">
        <f>IF(B215="", "", 'Lighting Inventory'!BF223)</f>
        <v/>
      </c>
      <c r="AY215" s="65" t="str">
        <f t="shared" si="13"/>
        <v/>
      </c>
      <c r="AZ215" s="65" t="str">
        <f>IF(B215="", "", 'Lighting Inventory'!BJ223)</f>
        <v/>
      </c>
      <c r="BA215" s="65" t="str">
        <f>IF(B215="", "", 'Lighting Inventory'!BM223)</f>
        <v/>
      </c>
      <c r="BB215" s="65" t="str">
        <f>IF(B215="","",SUM('Lighting Inventory'!BP223:BP223))</f>
        <v/>
      </c>
      <c r="BC215" s="67" t="str">
        <f>IF(OR(AE215="", B215=""),"", 'Lighting Inventory'!GR223)</f>
        <v/>
      </c>
      <c r="BD215" s="67" t="str">
        <f>IFERROR(IF(B215="", "", 'Lighting Inventory'!AF223)*AD215," ")</f>
        <v xml:space="preserve"> </v>
      </c>
      <c r="BE215" s="67"/>
      <c r="BF215" s="67"/>
    </row>
    <row r="216" spans="1:58" x14ac:dyDescent="0.25">
      <c r="A216" s="26" t="str">
        <f>IF(B216="", "", 'Lookup Tables'!AW217)</f>
        <v/>
      </c>
      <c r="B216" s="26" t="str">
        <f>IF(OR('Lighting Inventory'!Y224="", 'Lighting Inventory'!V224="No Change"),"", 'Lighting Inventory'!Y224)</f>
        <v/>
      </c>
      <c r="C216" s="26" t="str">
        <f>IF(B216="", "", IF('Lighting Inventory'!Y224='Lookup Tables'!$Y$32, 'Lighting Inventory'!AJ224, IF(AD216=0, R216, AD216)))</f>
        <v/>
      </c>
      <c r="D216" s="26" t="str">
        <f>IF(B216="", "", 'General Information'!$F$14)</f>
        <v/>
      </c>
      <c r="E216" s="26" t="str">
        <f t="shared" si="12"/>
        <v/>
      </c>
      <c r="F216" s="26" t="str">
        <f>IF(B216="", "", CONCATENATE('General Information'!$F$9, " - ", 'General Information'!$F$14))</f>
        <v/>
      </c>
      <c r="G216" s="26" t="str">
        <f>IF(B216="", "", 'General Information'!$F$15)</f>
        <v/>
      </c>
      <c r="H216" s="26" t="str">
        <f>IF(B216="", "", IF(VLOOKUP(B216, 'Lookup Tables'!$Y$18:$AA$34, 2, FALSE)="Traffic", VLOOKUP('Lighting Inventory'!W224, 'Lookup Tables'!#REF!, 11, FALSE), VLOOKUP(B216, 'Lookup Tables'!$Y$18:$AA$34, 2, FALSE)))</f>
        <v/>
      </c>
      <c r="I216" s="26" t="str">
        <f>IF(B216="", "", CONCATENATE(D216, 'Data Export'!A216))</f>
        <v/>
      </c>
      <c r="J216" s="26" t="str">
        <f>IF(B216="", "", 'Lookup Tables'!$B$1)</f>
        <v/>
      </c>
      <c r="K216" s="26" t="str">
        <f>IF(B216="", "", 'Lighting Inventory'!B224)</f>
        <v/>
      </c>
      <c r="L216" s="26" t="str">
        <f>IF(B216="", "", 'Lighting Inventory'!C224)</f>
        <v/>
      </c>
      <c r="M216" s="26" t="str">
        <f>IF(B216="", "",'Lighting Inventory'!D224)</f>
        <v/>
      </c>
      <c r="N216" s="26" t="str">
        <f>IF(B216="", "",'Lighting Inventory'!E224)</f>
        <v/>
      </c>
      <c r="O216" s="26" t="str">
        <f>IF(B216="", "", 'Lighting Inventory'!F224)</f>
        <v/>
      </c>
      <c r="P216" s="26" t="str">
        <f>IF(B216="", "", 'Lighting Inventory'!G224)</f>
        <v/>
      </c>
      <c r="Q216" s="26" t="str">
        <f>IF(B216="", "", 'Lighting Inventory'!H224)</f>
        <v/>
      </c>
      <c r="R216" s="26" t="str">
        <f>IF(B216="", "", 'Lighting Inventory'!I224)</f>
        <v/>
      </c>
      <c r="S216" s="26" t="str">
        <f>IF(B216="", "", 'Lighting Inventory'!J224)</f>
        <v/>
      </c>
      <c r="T216" s="26" t="str">
        <f>IFERROR(IF(B216="","",VLOOKUP(S216,'Fixture Identities'!$A$7:$G$1023,5,FALSE)), "New Construction")</f>
        <v/>
      </c>
      <c r="U216" s="26" t="str">
        <f>IFERROR(IF(B216="", "", IF(K216="New Construction", "NC", IF(VLOOKUP(S216, 'Fixture Identities'!$A$7:$I$1023,3, FALSE)="T12 Linear Fluorescent", VLOOKUP(S216, 'Fixture Identities'!$A$7:$K$1012, 11, FALSE), S216))), "")</f>
        <v/>
      </c>
      <c r="V216" s="26" t="str">
        <f>IFERROR(IF(OR(B216="", U216=0), "", VLOOKUP(U216, 'Fixture Identities'!$A$7:$G$1023, 5, FALSE)), "")</f>
        <v/>
      </c>
      <c r="W216" s="26" t="str">
        <f>IF(B216="", "",'Lighting Inventory'!K224)</f>
        <v/>
      </c>
      <c r="X216" s="65" t="str">
        <f>IF(B216="", "", 'Lighting Inventory'!L224)</f>
        <v/>
      </c>
      <c r="Y216" s="26" t="str">
        <f>IF(B216="", "", IF('Lighting Inventory'!M224="", "Light Switch",'Lighting Inventory'!M224))</f>
        <v/>
      </c>
      <c r="Z216" s="26" t="str">
        <f>IF(OR(K216="Retrofit", B216=""), "", 'Lighting Inventory'!N224)</f>
        <v/>
      </c>
      <c r="AA216" s="26" t="str">
        <f>IF(OR(Z216="",B216=""), "", 'Lighting Inventory'!O224)</f>
        <v/>
      </c>
      <c r="AB216" s="26" t="str">
        <f>IF(B216="", "", 'Lighting Inventory'!P224)</f>
        <v/>
      </c>
      <c r="AC216" s="96" t="str">
        <f>IF(B216="", "", 'Lighting Inventory'!R224)</f>
        <v/>
      </c>
      <c r="AD216" s="26" t="str">
        <f>IF(B216="", "", 'Lighting Inventory'!S224)</f>
        <v/>
      </c>
      <c r="AE216" s="26" t="str">
        <f>IF(B216="", "", 'Lighting Inventory'!V224)</f>
        <v/>
      </c>
      <c r="AF216" s="26" t="str">
        <f>IF(B216="", "", 'Lighting Inventory'!W224)</f>
        <v/>
      </c>
      <c r="AG216" s="26" t="str">
        <f>IF(OR(AF216="", B216=""), "", IF(AE216="Custom", "0", VLOOKUP(AF216, 'Lookup Tables'!$AI$6:$AP$102, 8, FALSE)))</f>
        <v/>
      </c>
      <c r="AH216" s="26" t="str">
        <f>IF(B216="", "", 'Lighting Inventory'!AD224)</f>
        <v/>
      </c>
      <c r="AI216" s="26" t="str">
        <f>IF(OR('Lighting Inventory'!AK224="", B216=""), "", 'Lighting Inventory'!AK224)</f>
        <v/>
      </c>
      <c r="AJ216" s="66" t="str">
        <f>IF(B216="", "", 'Lighting Inventory'!AL224)</f>
        <v/>
      </c>
      <c r="AK216" s="65" t="str">
        <f>IF(B216="", "", 'Lighting Inventory'!AM224)</f>
        <v/>
      </c>
      <c r="AL216" s="26" t="str">
        <f>IF(B216="", "", 'Lighting Inventory'!AN224)</f>
        <v/>
      </c>
      <c r="AM216" s="26" t="str">
        <f t="shared" si="11"/>
        <v/>
      </c>
      <c r="AN216" s="26" t="str">
        <f>IF(B216="","",IF('Lighting Inventory'!AV224="","Prescribed",'Lighting Inventory'!AV224))</f>
        <v/>
      </c>
      <c r="AO216" s="66" t="str">
        <f>IF(B216="", "", 'Lighting Inventory'!AX224)</f>
        <v/>
      </c>
      <c r="AP216" s="67" t="str">
        <f>IF(B216="", "", 'Lighting Inventory'!AZ224)</f>
        <v/>
      </c>
      <c r="AQ216" s="67" t="str">
        <f>IF(B216="", "", 'Lighting Inventory'!BA224)</f>
        <v/>
      </c>
      <c r="AR216" s="67" t="str">
        <f>IF(B216="", "", 'Lighting Inventory'!BB224)</f>
        <v/>
      </c>
      <c r="AS216" s="67" t="str">
        <f>IF(B216="", "", 'Lighting Inventory'!BC224)</f>
        <v/>
      </c>
      <c r="AT216" s="67" t="str">
        <f>IF(B216="", "", 'Lighting Inventory'!BD224)</f>
        <v/>
      </c>
      <c r="AU216" s="67" t="str">
        <f>IF(B216="", "", 'Lighting Inventory'!BE224)</f>
        <v/>
      </c>
      <c r="AV216" s="67" t="str">
        <f>IF(B216="", "", 'Lighting Inventory'!BE224)</f>
        <v/>
      </c>
      <c r="AW216" s="67" t="str">
        <f>IF(B216="", "", 'Lighting Inventory'!BF224)</f>
        <v/>
      </c>
      <c r="AX216" s="67" t="str">
        <f>IF(B216="", "", 'Lighting Inventory'!BF224)</f>
        <v/>
      </c>
      <c r="AY216" s="65" t="str">
        <f t="shared" si="13"/>
        <v/>
      </c>
      <c r="AZ216" s="65" t="str">
        <f>IF(B216="", "", 'Lighting Inventory'!BJ224)</f>
        <v/>
      </c>
      <c r="BA216" s="65" t="str">
        <f>IF(B216="", "", 'Lighting Inventory'!BM224)</f>
        <v/>
      </c>
      <c r="BB216" s="65" t="str">
        <f>IF(B216="","",SUM('Lighting Inventory'!BP224:BP224))</f>
        <v/>
      </c>
      <c r="BC216" s="67" t="str">
        <f>IF(OR(AE216="", B216=""),"", 'Lighting Inventory'!GR224)</f>
        <v/>
      </c>
      <c r="BD216" s="67" t="str">
        <f>IFERROR(IF(B216="", "", 'Lighting Inventory'!AF224)*AD216," ")</f>
        <v xml:space="preserve"> </v>
      </c>
      <c r="BE216" s="67"/>
      <c r="BF216" s="67"/>
    </row>
    <row r="217" spans="1:58" x14ac:dyDescent="0.25">
      <c r="A217" s="26" t="str">
        <f>IF(B217="", "", 'Lookup Tables'!AW218)</f>
        <v/>
      </c>
      <c r="B217" s="26" t="str">
        <f>IF(OR('Lighting Inventory'!Y225="", 'Lighting Inventory'!V225="No Change"),"", 'Lighting Inventory'!Y225)</f>
        <v/>
      </c>
      <c r="C217" s="26" t="str">
        <f>IF(B217="", "", IF('Lighting Inventory'!Y225='Lookup Tables'!$Y$32, 'Lighting Inventory'!AJ225, IF(AD217=0, R217, AD217)))</f>
        <v/>
      </c>
      <c r="D217" s="26" t="str">
        <f>IF(B217="", "", 'General Information'!$F$14)</f>
        <v/>
      </c>
      <c r="E217" s="26" t="str">
        <f t="shared" si="12"/>
        <v/>
      </c>
      <c r="F217" s="26" t="str">
        <f>IF(B217="", "", CONCATENATE('General Information'!$F$9, " - ", 'General Information'!$F$14))</f>
        <v/>
      </c>
      <c r="G217" s="26" t="str">
        <f>IF(B217="", "", 'General Information'!$F$15)</f>
        <v/>
      </c>
      <c r="H217" s="26" t="str">
        <f>IF(B217="", "", IF(VLOOKUP(B217, 'Lookup Tables'!$Y$18:$AA$34, 2, FALSE)="Traffic", VLOOKUP('Lighting Inventory'!W225, 'Lookup Tables'!#REF!, 11, FALSE), VLOOKUP(B217, 'Lookup Tables'!$Y$18:$AA$34, 2, FALSE)))</f>
        <v/>
      </c>
      <c r="I217" s="26" t="str">
        <f>IF(B217="", "", CONCATENATE(D217, 'Data Export'!A217))</f>
        <v/>
      </c>
      <c r="J217" s="26" t="str">
        <f>IF(B217="", "", 'Lookup Tables'!$B$1)</f>
        <v/>
      </c>
      <c r="K217" s="26" t="str">
        <f>IF(B217="", "", 'Lighting Inventory'!B225)</f>
        <v/>
      </c>
      <c r="L217" s="26" t="str">
        <f>IF(B217="", "", 'Lighting Inventory'!C225)</f>
        <v/>
      </c>
      <c r="M217" s="26" t="str">
        <f>IF(B217="", "",'Lighting Inventory'!D225)</f>
        <v/>
      </c>
      <c r="N217" s="26" t="str">
        <f>IF(B217="", "",'Lighting Inventory'!E225)</f>
        <v/>
      </c>
      <c r="O217" s="26" t="str">
        <f>IF(B217="", "", 'Lighting Inventory'!F225)</f>
        <v/>
      </c>
      <c r="P217" s="26" t="str">
        <f>IF(B217="", "", 'Lighting Inventory'!G225)</f>
        <v/>
      </c>
      <c r="Q217" s="26" t="str">
        <f>IF(B217="", "", 'Lighting Inventory'!H225)</f>
        <v/>
      </c>
      <c r="R217" s="26" t="str">
        <f>IF(B217="", "", 'Lighting Inventory'!I225)</f>
        <v/>
      </c>
      <c r="S217" s="26" t="str">
        <f>IF(B217="", "", 'Lighting Inventory'!J225)</f>
        <v/>
      </c>
      <c r="T217" s="26" t="str">
        <f>IFERROR(IF(B217="","",VLOOKUP(S217,'Fixture Identities'!$A$7:$G$1023,5,FALSE)), "New Construction")</f>
        <v/>
      </c>
      <c r="U217" s="26" t="str">
        <f>IFERROR(IF(B217="", "", IF(K217="New Construction", "NC", IF(VLOOKUP(S217, 'Fixture Identities'!$A$7:$I$1023,3, FALSE)="T12 Linear Fluorescent", VLOOKUP(S217, 'Fixture Identities'!$A$7:$K$1012, 11, FALSE), S217))), "")</f>
        <v/>
      </c>
      <c r="V217" s="26" t="str">
        <f>IFERROR(IF(OR(B217="", U217=0), "", VLOOKUP(U217, 'Fixture Identities'!$A$7:$G$1023, 5, FALSE)), "")</f>
        <v/>
      </c>
      <c r="W217" s="26" t="str">
        <f>IF(B217="", "",'Lighting Inventory'!K225)</f>
        <v/>
      </c>
      <c r="X217" s="65" t="str">
        <f>IF(B217="", "", 'Lighting Inventory'!L225)</f>
        <v/>
      </c>
      <c r="Y217" s="26" t="str">
        <f>IF(B217="", "", IF('Lighting Inventory'!M225="", "Light Switch",'Lighting Inventory'!M225))</f>
        <v/>
      </c>
      <c r="Z217" s="26" t="str">
        <f>IF(OR(K217="Retrofit", B217=""), "", 'Lighting Inventory'!N225)</f>
        <v/>
      </c>
      <c r="AA217" s="26" t="str">
        <f>IF(OR(Z217="",B217=""), "", 'Lighting Inventory'!O225)</f>
        <v/>
      </c>
      <c r="AB217" s="26" t="str">
        <f>IF(B217="", "", 'Lighting Inventory'!P225)</f>
        <v/>
      </c>
      <c r="AC217" s="96" t="str">
        <f>IF(B217="", "", 'Lighting Inventory'!R225)</f>
        <v/>
      </c>
      <c r="AD217" s="26" t="str">
        <f>IF(B217="", "", 'Lighting Inventory'!S225)</f>
        <v/>
      </c>
      <c r="AE217" s="26" t="str">
        <f>IF(B217="", "", 'Lighting Inventory'!V225)</f>
        <v/>
      </c>
      <c r="AF217" s="26" t="str">
        <f>IF(B217="", "", 'Lighting Inventory'!W225)</f>
        <v/>
      </c>
      <c r="AG217" s="26" t="str">
        <f>IF(OR(AF217="", B217=""), "", IF(AE217="Custom", "0", VLOOKUP(AF217, 'Lookup Tables'!$AI$6:$AP$102, 8, FALSE)))</f>
        <v/>
      </c>
      <c r="AH217" s="26" t="str">
        <f>IF(B217="", "", 'Lighting Inventory'!AD225)</f>
        <v/>
      </c>
      <c r="AI217" s="26" t="str">
        <f>IF(OR('Lighting Inventory'!AK225="", B217=""), "", 'Lighting Inventory'!AK225)</f>
        <v/>
      </c>
      <c r="AJ217" s="66" t="str">
        <f>IF(B217="", "", 'Lighting Inventory'!AL225)</f>
        <v/>
      </c>
      <c r="AK217" s="65" t="str">
        <f>IF(B217="", "", 'Lighting Inventory'!AM225)</f>
        <v/>
      </c>
      <c r="AL217" s="26" t="str">
        <f>IF(B217="", "", 'Lighting Inventory'!AN225)</f>
        <v/>
      </c>
      <c r="AM217" s="26" t="str">
        <f t="shared" si="11"/>
        <v/>
      </c>
      <c r="AN217" s="26" t="str">
        <f>IF(B217="","",IF('Lighting Inventory'!AV225="","Prescribed",'Lighting Inventory'!AV225))</f>
        <v/>
      </c>
      <c r="AO217" s="66" t="str">
        <f>IF(B217="", "", 'Lighting Inventory'!AX225)</f>
        <v/>
      </c>
      <c r="AP217" s="67" t="str">
        <f>IF(B217="", "", 'Lighting Inventory'!AZ225)</f>
        <v/>
      </c>
      <c r="AQ217" s="67" t="str">
        <f>IF(B217="", "", 'Lighting Inventory'!BA225)</f>
        <v/>
      </c>
      <c r="AR217" s="67" t="str">
        <f>IF(B217="", "", 'Lighting Inventory'!BB225)</f>
        <v/>
      </c>
      <c r="AS217" s="67" t="str">
        <f>IF(B217="", "", 'Lighting Inventory'!BC225)</f>
        <v/>
      </c>
      <c r="AT217" s="67" t="str">
        <f>IF(B217="", "", 'Lighting Inventory'!BD225)</f>
        <v/>
      </c>
      <c r="AU217" s="67" t="str">
        <f>IF(B217="", "", 'Lighting Inventory'!BE225)</f>
        <v/>
      </c>
      <c r="AV217" s="67" t="str">
        <f>IF(B217="", "", 'Lighting Inventory'!BE225)</f>
        <v/>
      </c>
      <c r="AW217" s="67" t="str">
        <f>IF(B217="", "", 'Lighting Inventory'!BF225)</f>
        <v/>
      </c>
      <c r="AX217" s="67" t="str">
        <f>IF(B217="", "", 'Lighting Inventory'!BF225)</f>
        <v/>
      </c>
      <c r="AY217" s="65" t="str">
        <f t="shared" si="13"/>
        <v/>
      </c>
      <c r="AZ217" s="65" t="str">
        <f>IF(B217="", "", 'Lighting Inventory'!BJ225)</f>
        <v/>
      </c>
      <c r="BA217" s="65" t="str">
        <f>IF(B217="", "", 'Lighting Inventory'!BM225)</f>
        <v/>
      </c>
      <c r="BB217" s="65" t="str">
        <f>IF(B217="","",SUM('Lighting Inventory'!BP225:BP225))</f>
        <v/>
      </c>
      <c r="BC217" s="67" t="str">
        <f>IF(OR(AE217="", B217=""),"", 'Lighting Inventory'!GR225)</f>
        <v/>
      </c>
      <c r="BD217" s="67" t="str">
        <f>IFERROR(IF(B217="", "", 'Lighting Inventory'!AF225)*AD217," ")</f>
        <v xml:space="preserve"> </v>
      </c>
      <c r="BE217" s="67"/>
      <c r="BF217" s="67"/>
    </row>
    <row r="218" spans="1:58" x14ac:dyDescent="0.25">
      <c r="A218" s="26" t="str">
        <f>IF(B218="", "", 'Lookup Tables'!AW219)</f>
        <v/>
      </c>
      <c r="B218" s="26" t="str">
        <f>IF(OR('Lighting Inventory'!Y226="", 'Lighting Inventory'!V226="No Change"),"", 'Lighting Inventory'!Y226)</f>
        <v/>
      </c>
      <c r="C218" s="26" t="str">
        <f>IF(B218="", "", IF('Lighting Inventory'!Y226='Lookup Tables'!$Y$32, 'Lighting Inventory'!AJ226, IF(AD218=0, R218, AD218)))</f>
        <v/>
      </c>
      <c r="D218" s="26" t="str">
        <f>IF(B218="", "", 'General Information'!$F$14)</f>
        <v/>
      </c>
      <c r="E218" s="26" t="str">
        <f t="shared" si="12"/>
        <v/>
      </c>
      <c r="F218" s="26" t="str">
        <f>IF(B218="", "", CONCATENATE('General Information'!$F$9, " - ", 'General Information'!$F$14))</f>
        <v/>
      </c>
      <c r="G218" s="26" t="str">
        <f>IF(B218="", "", 'General Information'!$F$15)</f>
        <v/>
      </c>
      <c r="H218" s="26" t="str">
        <f>IF(B218="", "", IF(VLOOKUP(B218, 'Lookup Tables'!$Y$18:$AA$34, 2, FALSE)="Traffic", VLOOKUP('Lighting Inventory'!W226, 'Lookup Tables'!#REF!, 11, FALSE), VLOOKUP(B218, 'Lookup Tables'!$Y$18:$AA$34, 2, FALSE)))</f>
        <v/>
      </c>
      <c r="I218" s="26" t="str">
        <f>IF(B218="", "", CONCATENATE(D218, 'Data Export'!A218))</f>
        <v/>
      </c>
      <c r="J218" s="26" t="str">
        <f>IF(B218="", "", 'Lookup Tables'!$B$1)</f>
        <v/>
      </c>
      <c r="K218" s="26" t="str">
        <f>IF(B218="", "", 'Lighting Inventory'!B226)</f>
        <v/>
      </c>
      <c r="L218" s="26" t="str">
        <f>IF(B218="", "", 'Lighting Inventory'!C226)</f>
        <v/>
      </c>
      <c r="M218" s="26" t="str">
        <f>IF(B218="", "",'Lighting Inventory'!D226)</f>
        <v/>
      </c>
      <c r="N218" s="26" t="str">
        <f>IF(B218="", "",'Lighting Inventory'!E226)</f>
        <v/>
      </c>
      <c r="O218" s="26" t="str">
        <f>IF(B218="", "", 'Lighting Inventory'!F226)</f>
        <v/>
      </c>
      <c r="P218" s="26" t="str">
        <f>IF(B218="", "", 'Lighting Inventory'!G226)</f>
        <v/>
      </c>
      <c r="Q218" s="26" t="str">
        <f>IF(B218="", "", 'Lighting Inventory'!H226)</f>
        <v/>
      </c>
      <c r="R218" s="26" t="str">
        <f>IF(B218="", "", 'Lighting Inventory'!I226)</f>
        <v/>
      </c>
      <c r="S218" s="26" t="str">
        <f>IF(B218="", "", 'Lighting Inventory'!J226)</f>
        <v/>
      </c>
      <c r="T218" s="26" t="str">
        <f>IFERROR(IF(B218="","",VLOOKUP(S218,'Fixture Identities'!$A$7:$G$1023,5,FALSE)), "New Construction")</f>
        <v/>
      </c>
      <c r="U218" s="26" t="str">
        <f>IFERROR(IF(B218="", "", IF(K218="New Construction", "NC", IF(VLOOKUP(S218, 'Fixture Identities'!$A$7:$I$1023,3, FALSE)="T12 Linear Fluorescent", VLOOKUP(S218, 'Fixture Identities'!$A$7:$K$1012, 11, FALSE), S218))), "")</f>
        <v/>
      </c>
      <c r="V218" s="26" t="str">
        <f>IFERROR(IF(OR(B218="", U218=0), "", VLOOKUP(U218, 'Fixture Identities'!$A$7:$G$1023, 5, FALSE)), "")</f>
        <v/>
      </c>
      <c r="W218" s="26" t="str">
        <f>IF(B218="", "",'Lighting Inventory'!K226)</f>
        <v/>
      </c>
      <c r="X218" s="65" t="str">
        <f>IF(B218="", "", 'Lighting Inventory'!L226)</f>
        <v/>
      </c>
      <c r="Y218" s="26" t="str">
        <f>IF(B218="", "", IF('Lighting Inventory'!M226="", "Light Switch",'Lighting Inventory'!M226))</f>
        <v/>
      </c>
      <c r="Z218" s="26" t="str">
        <f>IF(OR(K218="Retrofit", B218=""), "", 'Lighting Inventory'!N226)</f>
        <v/>
      </c>
      <c r="AA218" s="26" t="str">
        <f>IF(OR(Z218="",B218=""), "", 'Lighting Inventory'!O226)</f>
        <v/>
      </c>
      <c r="AB218" s="26" t="str">
        <f>IF(B218="", "", 'Lighting Inventory'!P226)</f>
        <v/>
      </c>
      <c r="AC218" s="96" t="str">
        <f>IF(B218="", "", 'Lighting Inventory'!R226)</f>
        <v/>
      </c>
      <c r="AD218" s="26" t="str">
        <f>IF(B218="", "", 'Lighting Inventory'!S226)</f>
        <v/>
      </c>
      <c r="AE218" s="26" t="str">
        <f>IF(B218="", "", 'Lighting Inventory'!V226)</f>
        <v/>
      </c>
      <c r="AF218" s="26" t="str">
        <f>IF(B218="", "", 'Lighting Inventory'!W226)</f>
        <v/>
      </c>
      <c r="AG218" s="26" t="str">
        <f>IF(OR(AF218="", B218=""), "", IF(AE218="Custom", "0", VLOOKUP(AF218, 'Lookup Tables'!$AI$6:$AP$102, 8, FALSE)))</f>
        <v/>
      </c>
      <c r="AH218" s="26" t="str">
        <f>IF(B218="", "", 'Lighting Inventory'!AD226)</f>
        <v/>
      </c>
      <c r="AI218" s="26" t="str">
        <f>IF(OR('Lighting Inventory'!AK226="", B218=""), "", 'Lighting Inventory'!AK226)</f>
        <v/>
      </c>
      <c r="AJ218" s="66" t="str">
        <f>IF(B218="", "", 'Lighting Inventory'!AL226)</f>
        <v/>
      </c>
      <c r="AK218" s="65" t="str">
        <f>IF(B218="", "", 'Lighting Inventory'!AM226)</f>
        <v/>
      </c>
      <c r="AL218" s="26" t="str">
        <f>IF(B218="", "", 'Lighting Inventory'!AN226)</f>
        <v/>
      </c>
      <c r="AM218" s="26" t="str">
        <f t="shared" si="11"/>
        <v/>
      </c>
      <c r="AN218" s="26" t="str">
        <f>IF(B218="","",IF('Lighting Inventory'!AV226="","Prescribed",'Lighting Inventory'!AV226))</f>
        <v/>
      </c>
      <c r="AO218" s="66" t="str">
        <f>IF(B218="", "", 'Lighting Inventory'!AX226)</f>
        <v/>
      </c>
      <c r="AP218" s="67" t="str">
        <f>IF(B218="", "", 'Lighting Inventory'!AZ226)</f>
        <v/>
      </c>
      <c r="AQ218" s="67" t="str">
        <f>IF(B218="", "", 'Lighting Inventory'!BA226)</f>
        <v/>
      </c>
      <c r="AR218" s="67" t="str">
        <f>IF(B218="", "", 'Lighting Inventory'!BB226)</f>
        <v/>
      </c>
      <c r="AS218" s="67" t="str">
        <f>IF(B218="", "", 'Lighting Inventory'!BC226)</f>
        <v/>
      </c>
      <c r="AT218" s="67" t="str">
        <f>IF(B218="", "", 'Lighting Inventory'!BD226)</f>
        <v/>
      </c>
      <c r="AU218" s="67" t="str">
        <f>IF(B218="", "", 'Lighting Inventory'!BE226)</f>
        <v/>
      </c>
      <c r="AV218" s="67" t="str">
        <f>IF(B218="", "", 'Lighting Inventory'!BE226)</f>
        <v/>
      </c>
      <c r="AW218" s="67" t="str">
        <f>IF(B218="", "", 'Lighting Inventory'!BF226)</f>
        <v/>
      </c>
      <c r="AX218" s="67" t="str">
        <f>IF(B218="", "", 'Lighting Inventory'!BF226)</f>
        <v/>
      </c>
      <c r="AY218" s="65" t="str">
        <f t="shared" si="13"/>
        <v/>
      </c>
      <c r="AZ218" s="65" t="str">
        <f>IF(B218="", "", 'Lighting Inventory'!BJ226)</f>
        <v/>
      </c>
      <c r="BA218" s="65" t="str">
        <f>IF(B218="", "", 'Lighting Inventory'!BM226)</f>
        <v/>
      </c>
      <c r="BB218" s="65" t="str">
        <f>IF(B218="","",SUM('Lighting Inventory'!BP226:BP226))</f>
        <v/>
      </c>
      <c r="BC218" s="67" t="str">
        <f>IF(OR(AE218="", B218=""),"", 'Lighting Inventory'!GR226)</f>
        <v/>
      </c>
      <c r="BD218" s="67" t="str">
        <f>IFERROR(IF(B218="", "", 'Lighting Inventory'!AF226)*AD218," ")</f>
        <v xml:space="preserve"> </v>
      </c>
      <c r="BE218" s="67"/>
      <c r="BF218" s="67"/>
    </row>
    <row r="219" spans="1:58" x14ac:dyDescent="0.25">
      <c r="A219" s="26" t="str">
        <f>IF(B219="", "", 'Lookup Tables'!AW220)</f>
        <v/>
      </c>
      <c r="B219" s="26" t="str">
        <f>IF(OR('Lighting Inventory'!Y227="", 'Lighting Inventory'!V227="No Change"),"", 'Lighting Inventory'!Y227)</f>
        <v/>
      </c>
      <c r="C219" s="26" t="str">
        <f>IF(B219="", "", IF('Lighting Inventory'!Y227='Lookup Tables'!$Y$32, 'Lighting Inventory'!AJ227, IF(AD219=0, R219, AD219)))</f>
        <v/>
      </c>
      <c r="D219" s="26" t="str">
        <f>IF(B219="", "", 'General Information'!$F$14)</f>
        <v/>
      </c>
      <c r="E219" s="26" t="str">
        <f t="shared" si="12"/>
        <v/>
      </c>
      <c r="F219" s="26" t="str">
        <f>IF(B219="", "", CONCATENATE('General Information'!$F$9, " - ", 'General Information'!$F$14))</f>
        <v/>
      </c>
      <c r="G219" s="26" t="str">
        <f>IF(B219="", "", 'General Information'!$F$15)</f>
        <v/>
      </c>
      <c r="H219" s="26" t="str">
        <f>IF(B219="", "", IF(VLOOKUP(B219, 'Lookup Tables'!$Y$18:$AA$34, 2, FALSE)="Traffic", VLOOKUP('Lighting Inventory'!W227, 'Lookup Tables'!#REF!, 11, FALSE), VLOOKUP(B219, 'Lookup Tables'!$Y$18:$AA$34, 2, FALSE)))</f>
        <v/>
      </c>
      <c r="I219" s="26" t="str">
        <f>IF(B219="", "", CONCATENATE(D219, 'Data Export'!A219))</f>
        <v/>
      </c>
      <c r="J219" s="26" t="str">
        <f>IF(B219="", "", 'Lookup Tables'!$B$1)</f>
        <v/>
      </c>
      <c r="K219" s="26" t="str">
        <f>IF(B219="", "", 'Lighting Inventory'!B227)</f>
        <v/>
      </c>
      <c r="L219" s="26" t="str">
        <f>IF(B219="", "", 'Lighting Inventory'!C227)</f>
        <v/>
      </c>
      <c r="M219" s="26" t="str">
        <f>IF(B219="", "",'Lighting Inventory'!D227)</f>
        <v/>
      </c>
      <c r="N219" s="26" t="str">
        <f>IF(B219="", "",'Lighting Inventory'!E227)</f>
        <v/>
      </c>
      <c r="O219" s="26" t="str">
        <f>IF(B219="", "", 'Lighting Inventory'!F227)</f>
        <v/>
      </c>
      <c r="P219" s="26" t="str">
        <f>IF(B219="", "", 'Lighting Inventory'!G227)</f>
        <v/>
      </c>
      <c r="Q219" s="26" t="str">
        <f>IF(B219="", "", 'Lighting Inventory'!H227)</f>
        <v/>
      </c>
      <c r="R219" s="26" t="str">
        <f>IF(B219="", "", 'Lighting Inventory'!I227)</f>
        <v/>
      </c>
      <c r="S219" s="26" t="str">
        <f>IF(B219="", "", 'Lighting Inventory'!J227)</f>
        <v/>
      </c>
      <c r="T219" s="26" t="str">
        <f>IFERROR(IF(B219="","",VLOOKUP(S219,'Fixture Identities'!$A$7:$G$1023,5,FALSE)), "New Construction")</f>
        <v/>
      </c>
      <c r="U219" s="26" t="str">
        <f>IFERROR(IF(B219="", "", IF(K219="New Construction", "NC", IF(VLOOKUP(S219, 'Fixture Identities'!$A$7:$I$1023,3, FALSE)="T12 Linear Fluorescent", VLOOKUP(S219, 'Fixture Identities'!$A$7:$K$1012, 11, FALSE), S219))), "")</f>
        <v/>
      </c>
      <c r="V219" s="26" t="str">
        <f>IFERROR(IF(OR(B219="", U219=0), "", VLOOKUP(U219, 'Fixture Identities'!$A$7:$G$1023, 5, FALSE)), "")</f>
        <v/>
      </c>
      <c r="W219" s="26" t="str">
        <f>IF(B219="", "",'Lighting Inventory'!K227)</f>
        <v/>
      </c>
      <c r="X219" s="65" t="str">
        <f>IF(B219="", "", 'Lighting Inventory'!L227)</f>
        <v/>
      </c>
      <c r="Y219" s="26" t="str">
        <f>IF(B219="", "", IF('Lighting Inventory'!M227="", "Light Switch",'Lighting Inventory'!M227))</f>
        <v/>
      </c>
      <c r="Z219" s="26" t="str">
        <f>IF(OR(K219="Retrofit", B219=""), "", 'Lighting Inventory'!N227)</f>
        <v/>
      </c>
      <c r="AA219" s="26" t="str">
        <f>IF(OR(Z219="",B219=""), "", 'Lighting Inventory'!O227)</f>
        <v/>
      </c>
      <c r="AB219" s="26" t="str">
        <f>IF(B219="", "", 'Lighting Inventory'!P227)</f>
        <v/>
      </c>
      <c r="AC219" s="96" t="str">
        <f>IF(B219="", "", 'Lighting Inventory'!R227)</f>
        <v/>
      </c>
      <c r="AD219" s="26" t="str">
        <f>IF(B219="", "", 'Lighting Inventory'!S227)</f>
        <v/>
      </c>
      <c r="AE219" s="26" t="str">
        <f>IF(B219="", "", 'Lighting Inventory'!V227)</f>
        <v/>
      </c>
      <c r="AF219" s="26" t="str">
        <f>IF(B219="", "", 'Lighting Inventory'!W227)</f>
        <v/>
      </c>
      <c r="AG219" s="26" t="str">
        <f>IF(OR(AF219="", B219=""), "", IF(AE219="Custom", "0", VLOOKUP(AF219, 'Lookup Tables'!$AI$6:$AP$102, 8, FALSE)))</f>
        <v/>
      </c>
      <c r="AH219" s="26" t="str">
        <f>IF(B219="", "", 'Lighting Inventory'!AD227)</f>
        <v/>
      </c>
      <c r="AI219" s="26" t="str">
        <f>IF(OR('Lighting Inventory'!AK227="", B219=""), "", 'Lighting Inventory'!AK227)</f>
        <v/>
      </c>
      <c r="AJ219" s="66" t="str">
        <f>IF(B219="", "", 'Lighting Inventory'!AL227)</f>
        <v/>
      </c>
      <c r="AK219" s="65" t="str">
        <f>IF(B219="", "", 'Lighting Inventory'!AM227)</f>
        <v/>
      </c>
      <c r="AL219" s="26" t="str">
        <f>IF(B219="", "", 'Lighting Inventory'!AN227)</f>
        <v/>
      </c>
      <c r="AM219" s="26" t="str">
        <f t="shared" si="11"/>
        <v/>
      </c>
      <c r="AN219" s="26" t="str">
        <f>IF(B219="","",IF('Lighting Inventory'!AV227="","Prescribed",'Lighting Inventory'!AV227))</f>
        <v/>
      </c>
      <c r="AO219" s="66" t="str">
        <f>IF(B219="", "", 'Lighting Inventory'!AX227)</f>
        <v/>
      </c>
      <c r="AP219" s="67" t="str">
        <f>IF(B219="", "", 'Lighting Inventory'!AZ227)</f>
        <v/>
      </c>
      <c r="AQ219" s="67" t="str">
        <f>IF(B219="", "", 'Lighting Inventory'!BA227)</f>
        <v/>
      </c>
      <c r="AR219" s="67" t="str">
        <f>IF(B219="", "", 'Lighting Inventory'!BB227)</f>
        <v/>
      </c>
      <c r="AS219" s="67" t="str">
        <f>IF(B219="", "", 'Lighting Inventory'!BC227)</f>
        <v/>
      </c>
      <c r="AT219" s="67" t="str">
        <f>IF(B219="", "", 'Lighting Inventory'!BD227)</f>
        <v/>
      </c>
      <c r="AU219" s="67" t="str">
        <f>IF(B219="", "", 'Lighting Inventory'!BE227)</f>
        <v/>
      </c>
      <c r="AV219" s="67" t="str">
        <f>IF(B219="", "", 'Lighting Inventory'!BE227)</f>
        <v/>
      </c>
      <c r="AW219" s="67" t="str">
        <f>IF(B219="", "", 'Lighting Inventory'!BF227)</f>
        <v/>
      </c>
      <c r="AX219" s="67" t="str">
        <f>IF(B219="", "", 'Lighting Inventory'!BF227)</f>
        <v/>
      </c>
      <c r="AY219" s="65" t="str">
        <f t="shared" si="13"/>
        <v/>
      </c>
      <c r="AZ219" s="65" t="str">
        <f>IF(B219="", "", 'Lighting Inventory'!BJ227)</f>
        <v/>
      </c>
      <c r="BA219" s="65" t="str">
        <f>IF(B219="", "", 'Lighting Inventory'!BM227)</f>
        <v/>
      </c>
      <c r="BB219" s="65" t="str">
        <f>IF(B219="","",SUM('Lighting Inventory'!BP227:BP227))</f>
        <v/>
      </c>
      <c r="BC219" s="67" t="str">
        <f>IF(OR(AE219="", B219=""),"", 'Lighting Inventory'!GR227)</f>
        <v/>
      </c>
      <c r="BD219" s="67" t="str">
        <f>IFERROR(IF(B219="", "", 'Lighting Inventory'!AF227)*AD219," ")</f>
        <v xml:space="preserve"> </v>
      </c>
      <c r="BE219" s="67"/>
      <c r="BF219" s="67"/>
    </row>
    <row r="220" spans="1:58" x14ac:dyDescent="0.25">
      <c r="A220" s="26" t="str">
        <f>IF(B220="", "", 'Lookup Tables'!AW221)</f>
        <v/>
      </c>
      <c r="B220" s="26" t="str">
        <f>IF(OR('Lighting Inventory'!Y228="", 'Lighting Inventory'!V228="No Change"),"", 'Lighting Inventory'!Y228)</f>
        <v/>
      </c>
      <c r="C220" s="26" t="str">
        <f>IF(B220="", "", IF('Lighting Inventory'!Y228='Lookup Tables'!$Y$32, 'Lighting Inventory'!AJ228, IF(AD220=0, R220, AD220)))</f>
        <v/>
      </c>
      <c r="D220" s="26" t="str">
        <f>IF(B220="", "", 'General Information'!$F$14)</f>
        <v/>
      </c>
      <c r="E220" s="26" t="str">
        <f t="shared" si="12"/>
        <v/>
      </c>
      <c r="F220" s="26" t="str">
        <f>IF(B220="", "", CONCATENATE('General Information'!$F$9, " - ", 'General Information'!$F$14))</f>
        <v/>
      </c>
      <c r="G220" s="26" t="str">
        <f>IF(B220="", "", 'General Information'!$F$15)</f>
        <v/>
      </c>
      <c r="H220" s="26" t="str">
        <f>IF(B220="", "", IF(VLOOKUP(B220, 'Lookup Tables'!$Y$18:$AA$34, 2, FALSE)="Traffic", VLOOKUP('Lighting Inventory'!W228, 'Lookup Tables'!#REF!, 11, FALSE), VLOOKUP(B220, 'Lookup Tables'!$Y$18:$AA$34, 2, FALSE)))</f>
        <v/>
      </c>
      <c r="I220" s="26" t="str">
        <f>IF(B220="", "", CONCATENATE(D220, 'Data Export'!A220))</f>
        <v/>
      </c>
      <c r="J220" s="26" t="str">
        <f>IF(B220="", "", 'Lookup Tables'!$B$1)</f>
        <v/>
      </c>
      <c r="K220" s="26" t="str">
        <f>IF(B220="", "", 'Lighting Inventory'!B228)</f>
        <v/>
      </c>
      <c r="L220" s="26" t="str">
        <f>IF(B220="", "", 'Lighting Inventory'!C228)</f>
        <v/>
      </c>
      <c r="M220" s="26" t="str">
        <f>IF(B220="", "",'Lighting Inventory'!D228)</f>
        <v/>
      </c>
      <c r="N220" s="26" t="str">
        <f>IF(B220="", "",'Lighting Inventory'!E228)</f>
        <v/>
      </c>
      <c r="O220" s="26" t="str">
        <f>IF(B220="", "", 'Lighting Inventory'!F228)</f>
        <v/>
      </c>
      <c r="P220" s="26" t="str">
        <f>IF(B220="", "", 'Lighting Inventory'!G228)</f>
        <v/>
      </c>
      <c r="Q220" s="26" t="str">
        <f>IF(B220="", "", 'Lighting Inventory'!H228)</f>
        <v/>
      </c>
      <c r="R220" s="26" t="str">
        <f>IF(B220="", "", 'Lighting Inventory'!I228)</f>
        <v/>
      </c>
      <c r="S220" s="26" t="str">
        <f>IF(B220="", "", 'Lighting Inventory'!J228)</f>
        <v/>
      </c>
      <c r="T220" s="26" t="str">
        <f>IFERROR(IF(B220="","",VLOOKUP(S220,'Fixture Identities'!$A$7:$G$1023,5,FALSE)), "New Construction")</f>
        <v/>
      </c>
      <c r="U220" s="26" t="str">
        <f>IFERROR(IF(B220="", "", IF(K220="New Construction", "NC", IF(VLOOKUP(S220, 'Fixture Identities'!$A$7:$I$1023,3, FALSE)="T12 Linear Fluorescent", VLOOKUP(S220, 'Fixture Identities'!$A$7:$K$1012, 11, FALSE), S220))), "")</f>
        <v/>
      </c>
      <c r="V220" s="26" t="str">
        <f>IFERROR(IF(OR(B220="", U220=0), "", VLOOKUP(U220, 'Fixture Identities'!$A$7:$G$1023, 5, FALSE)), "")</f>
        <v/>
      </c>
      <c r="W220" s="26" t="str">
        <f>IF(B220="", "",'Lighting Inventory'!K228)</f>
        <v/>
      </c>
      <c r="X220" s="65" t="str">
        <f>IF(B220="", "", 'Lighting Inventory'!L228)</f>
        <v/>
      </c>
      <c r="Y220" s="26" t="str">
        <f>IF(B220="", "", IF('Lighting Inventory'!M228="", "Light Switch",'Lighting Inventory'!M228))</f>
        <v/>
      </c>
      <c r="Z220" s="26" t="str">
        <f>IF(OR(K220="Retrofit", B220=""), "", 'Lighting Inventory'!N228)</f>
        <v/>
      </c>
      <c r="AA220" s="26" t="str">
        <f>IF(OR(Z220="",B220=""), "", 'Lighting Inventory'!O228)</f>
        <v/>
      </c>
      <c r="AB220" s="26" t="str">
        <f>IF(B220="", "", 'Lighting Inventory'!P228)</f>
        <v/>
      </c>
      <c r="AC220" s="96" t="str">
        <f>IF(B220="", "", 'Lighting Inventory'!R228)</f>
        <v/>
      </c>
      <c r="AD220" s="26" t="str">
        <f>IF(B220="", "", 'Lighting Inventory'!S228)</f>
        <v/>
      </c>
      <c r="AE220" s="26" t="str">
        <f>IF(B220="", "", 'Lighting Inventory'!V228)</f>
        <v/>
      </c>
      <c r="AF220" s="26" t="str">
        <f>IF(B220="", "", 'Lighting Inventory'!W228)</f>
        <v/>
      </c>
      <c r="AG220" s="26" t="str">
        <f>IF(OR(AF220="", B220=""), "", IF(AE220="Custom", "0", VLOOKUP(AF220, 'Lookup Tables'!$AI$6:$AP$102, 8, FALSE)))</f>
        <v/>
      </c>
      <c r="AH220" s="26" t="str">
        <f>IF(B220="", "", 'Lighting Inventory'!AD228)</f>
        <v/>
      </c>
      <c r="AI220" s="26" t="str">
        <f>IF(OR('Lighting Inventory'!AK228="", B220=""), "", 'Lighting Inventory'!AK228)</f>
        <v/>
      </c>
      <c r="AJ220" s="66" t="str">
        <f>IF(B220="", "", 'Lighting Inventory'!AL228)</f>
        <v/>
      </c>
      <c r="AK220" s="65" t="str">
        <f>IF(B220="", "", 'Lighting Inventory'!AM228)</f>
        <v/>
      </c>
      <c r="AL220" s="26" t="str">
        <f>IF(B220="", "", 'Lighting Inventory'!AN228)</f>
        <v/>
      </c>
      <c r="AM220" s="26" t="str">
        <f t="shared" si="11"/>
        <v/>
      </c>
      <c r="AN220" s="26" t="str">
        <f>IF(B220="","",IF('Lighting Inventory'!AV228="","Prescribed",'Lighting Inventory'!AV228))</f>
        <v/>
      </c>
      <c r="AO220" s="66" t="str">
        <f>IF(B220="", "", 'Lighting Inventory'!AX228)</f>
        <v/>
      </c>
      <c r="AP220" s="67" t="str">
        <f>IF(B220="", "", 'Lighting Inventory'!AZ228)</f>
        <v/>
      </c>
      <c r="AQ220" s="67" t="str">
        <f>IF(B220="", "", 'Lighting Inventory'!BA228)</f>
        <v/>
      </c>
      <c r="AR220" s="67" t="str">
        <f>IF(B220="", "", 'Lighting Inventory'!BB228)</f>
        <v/>
      </c>
      <c r="AS220" s="67" t="str">
        <f>IF(B220="", "", 'Lighting Inventory'!BC228)</f>
        <v/>
      </c>
      <c r="AT220" s="67" t="str">
        <f>IF(B220="", "", 'Lighting Inventory'!BD228)</f>
        <v/>
      </c>
      <c r="AU220" s="67" t="str">
        <f>IF(B220="", "", 'Lighting Inventory'!BE228)</f>
        <v/>
      </c>
      <c r="AV220" s="67" t="str">
        <f>IF(B220="", "", 'Lighting Inventory'!BE228)</f>
        <v/>
      </c>
      <c r="AW220" s="67" t="str">
        <f>IF(B220="", "", 'Lighting Inventory'!BF228)</f>
        <v/>
      </c>
      <c r="AX220" s="67" t="str">
        <f>IF(B220="", "", 'Lighting Inventory'!BF228)</f>
        <v/>
      </c>
      <c r="AY220" s="65" t="str">
        <f t="shared" si="13"/>
        <v/>
      </c>
      <c r="AZ220" s="65" t="str">
        <f>IF(B220="", "", 'Lighting Inventory'!BJ228)</f>
        <v/>
      </c>
      <c r="BA220" s="65" t="str">
        <f>IF(B220="", "", 'Lighting Inventory'!BM228)</f>
        <v/>
      </c>
      <c r="BB220" s="65" t="str">
        <f>IF(B220="","",SUM('Lighting Inventory'!BP228:BP228))</f>
        <v/>
      </c>
      <c r="BC220" s="67" t="str">
        <f>IF(OR(AE220="", B220=""),"", 'Lighting Inventory'!GR228)</f>
        <v/>
      </c>
      <c r="BD220" s="67" t="str">
        <f>IFERROR(IF(B220="", "", 'Lighting Inventory'!AF228)*AD220," ")</f>
        <v xml:space="preserve"> </v>
      </c>
      <c r="BE220" s="67"/>
      <c r="BF220" s="67"/>
    </row>
    <row r="221" spans="1:58" x14ac:dyDescent="0.25">
      <c r="A221" s="26" t="str">
        <f>IF(B221="", "", 'Lookup Tables'!AW222)</f>
        <v/>
      </c>
      <c r="B221" s="26" t="str">
        <f>IF(OR('Lighting Inventory'!Y229="", 'Lighting Inventory'!V229="No Change"),"", 'Lighting Inventory'!Y229)</f>
        <v/>
      </c>
      <c r="C221" s="26" t="str">
        <f>IF(B221="", "", IF('Lighting Inventory'!Y229='Lookup Tables'!$Y$32, 'Lighting Inventory'!AJ229, IF(AD221=0, R221, AD221)))</f>
        <v/>
      </c>
      <c r="D221" s="26" t="str">
        <f>IF(B221="", "", 'General Information'!$F$14)</f>
        <v/>
      </c>
      <c r="E221" s="26" t="str">
        <f t="shared" si="12"/>
        <v/>
      </c>
      <c r="F221" s="26" t="str">
        <f>IF(B221="", "", CONCATENATE('General Information'!$F$9, " - ", 'General Information'!$F$14))</f>
        <v/>
      </c>
      <c r="G221" s="26" t="str">
        <f>IF(B221="", "", 'General Information'!$F$15)</f>
        <v/>
      </c>
      <c r="H221" s="26" t="str">
        <f>IF(B221="", "", IF(VLOOKUP(B221, 'Lookup Tables'!$Y$18:$AA$34, 2, FALSE)="Traffic", VLOOKUP('Lighting Inventory'!W229, 'Lookup Tables'!#REF!, 11, FALSE), VLOOKUP(B221, 'Lookup Tables'!$Y$18:$AA$34, 2, FALSE)))</f>
        <v/>
      </c>
      <c r="I221" s="26" t="str">
        <f>IF(B221="", "", CONCATENATE(D221, 'Data Export'!A221))</f>
        <v/>
      </c>
      <c r="J221" s="26" t="str">
        <f>IF(B221="", "", 'Lookup Tables'!$B$1)</f>
        <v/>
      </c>
      <c r="K221" s="26" t="str">
        <f>IF(B221="", "", 'Lighting Inventory'!B229)</f>
        <v/>
      </c>
      <c r="L221" s="26" t="str">
        <f>IF(B221="", "", 'Lighting Inventory'!C229)</f>
        <v/>
      </c>
      <c r="M221" s="26" t="str">
        <f>IF(B221="", "",'Lighting Inventory'!D229)</f>
        <v/>
      </c>
      <c r="N221" s="26" t="str">
        <f>IF(B221="", "",'Lighting Inventory'!E229)</f>
        <v/>
      </c>
      <c r="O221" s="26" t="str">
        <f>IF(B221="", "", 'Lighting Inventory'!F229)</f>
        <v/>
      </c>
      <c r="P221" s="26" t="str">
        <f>IF(B221="", "", 'Lighting Inventory'!G229)</f>
        <v/>
      </c>
      <c r="Q221" s="26" t="str">
        <f>IF(B221="", "", 'Lighting Inventory'!H229)</f>
        <v/>
      </c>
      <c r="R221" s="26" t="str">
        <f>IF(B221="", "", 'Lighting Inventory'!I229)</f>
        <v/>
      </c>
      <c r="S221" s="26" t="str">
        <f>IF(B221="", "", 'Lighting Inventory'!J229)</f>
        <v/>
      </c>
      <c r="T221" s="26" t="str">
        <f>IFERROR(IF(B221="","",VLOOKUP(S221,'Fixture Identities'!$A$7:$G$1023,5,FALSE)), "New Construction")</f>
        <v/>
      </c>
      <c r="U221" s="26" t="str">
        <f>IFERROR(IF(B221="", "", IF(K221="New Construction", "NC", IF(VLOOKUP(S221, 'Fixture Identities'!$A$7:$I$1023,3, FALSE)="T12 Linear Fluorescent", VLOOKUP(S221, 'Fixture Identities'!$A$7:$K$1012, 11, FALSE), S221))), "")</f>
        <v/>
      </c>
      <c r="V221" s="26" t="str">
        <f>IFERROR(IF(OR(B221="", U221=0), "", VLOOKUP(U221, 'Fixture Identities'!$A$7:$G$1023, 5, FALSE)), "")</f>
        <v/>
      </c>
      <c r="W221" s="26" t="str">
        <f>IF(B221="", "",'Lighting Inventory'!K229)</f>
        <v/>
      </c>
      <c r="X221" s="65" t="str">
        <f>IF(B221="", "", 'Lighting Inventory'!L229)</f>
        <v/>
      </c>
      <c r="Y221" s="26" t="str">
        <f>IF(B221="", "", IF('Lighting Inventory'!M229="", "Light Switch",'Lighting Inventory'!M229))</f>
        <v/>
      </c>
      <c r="Z221" s="26" t="str">
        <f>IF(OR(K221="Retrofit", B221=""), "", 'Lighting Inventory'!N229)</f>
        <v/>
      </c>
      <c r="AA221" s="26" t="str">
        <f>IF(OR(Z221="",B221=""), "", 'Lighting Inventory'!O229)</f>
        <v/>
      </c>
      <c r="AB221" s="26" t="str">
        <f>IF(B221="", "", 'Lighting Inventory'!P229)</f>
        <v/>
      </c>
      <c r="AC221" s="96" t="str">
        <f>IF(B221="", "", 'Lighting Inventory'!R229)</f>
        <v/>
      </c>
      <c r="AD221" s="26" t="str">
        <f>IF(B221="", "", 'Lighting Inventory'!S229)</f>
        <v/>
      </c>
      <c r="AE221" s="26" t="str">
        <f>IF(B221="", "", 'Lighting Inventory'!V229)</f>
        <v/>
      </c>
      <c r="AF221" s="26" t="str">
        <f>IF(B221="", "", 'Lighting Inventory'!W229)</f>
        <v/>
      </c>
      <c r="AG221" s="26" t="str">
        <f>IF(OR(AF221="", B221=""), "", IF(AE221="Custom", "0", VLOOKUP(AF221, 'Lookup Tables'!$AI$6:$AP$102, 8, FALSE)))</f>
        <v/>
      </c>
      <c r="AH221" s="26" t="str">
        <f>IF(B221="", "", 'Lighting Inventory'!AD229)</f>
        <v/>
      </c>
      <c r="AI221" s="26" t="str">
        <f>IF(OR('Lighting Inventory'!AK229="", B221=""), "", 'Lighting Inventory'!AK229)</f>
        <v/>
      </c>
      <c r="AJ221" s="66" t="str">
        <f>IF(B221="", "", 'Lighting Inventory'!AL229)</f>
        <v/>
      </c>
      <c r="AK221" s="65" t="str">
        <f>IF(B221="", "", 'Lighting Inventory'!AM229)</f>
        <v/>
      </c>
      <c r="AL221" s="26" t="str">
        <f>IF(B221="", "", 'Lighting Inventory'!AN229)</f>
        <v/>
      </c>
      <c r="AM221" s="26" t="str">
        <f t="shared" si="11"/>
        <v/>
      </c>
      <c r="AN221" s="26" t="str">
        <f>IF(B221="","",IF('Lighting Inventory'!AV229="","Prescribed",'Lighting Inventory'!AV229))</f>
        <v/>
      </c>
      <c r="AO221" s="66" t="str">
        <f>IF(B221="", "", 'Lighting Inventory'!AX229)</f>
        <v/>
      </c>
      <c r="AP221" s="67" t="str">
        <f>IF(B221="", "", 'Lighting Inventory'!AZ229)</f>
        <v/>
      </c>
      <c r="AQ221" s="67" t="str">
        <f>IF(B221="", "", 'Lighting Inventory'!BA229)</f>
        <v/>
      </c>
      <c r="AR221" s="67" t="str">
        <f>IF(B221="", "", 'Lighting Inventory'!BB229)</f>
        <v/>
      </c>
      <c r="AS221" s="67" t="str">
        <f>IF(B221="", "", 'Lighting Inventory'!BC229)</f>
        <v/>
      </c>
      <c r="AT221" s="67" t="str">
        <f>IF(B221="", "", 'Lighting Inventory'!BD229)</f>
        <v/>
      </c>
      <c r="AU221" s="67" t="str">
        <f>IF(B221="", "", 'Lighting Inventory'!BE229)</f>
        <v/>
      </c>
      <c r="AV221" s="67" t="str">
        <f>IF(B221="", "", 'Lighting Inventory'!BE229)</f>
        <v/>
      </c>
      <c r="AW221" s="67" t="str">
        <f>IF(B221="", "", 'Lighting Inventory'!BF229)</f>
        <v/>
      </c>
      <c r="AX221" s="67" t="str">
        <f>IF(B221="", "", 'Lighting Inventory'!BF229)</f>
        <v/>
      </c>
      <c r="AY221" s="65" t="str">
        <f t="shared" si="13"/>
        <v/>
      </c>
      <c r="AZ221" s="65" t="str">
        <f>IF(B221="", "", 'Lighting Inventory'!BJ229)</f>
        <v/>
      </c>
      <c r="BA221" s="65" t="str">
        <f>IF(B221="", "", 'Lighting Inventory'!BM229)</f>
        <v/>
      </c>
      <c r="BB221" s="65" t="str">
        <f>IF(B221="","",SUM('Lighting Inventory'!BP229:BP229))</f>
        <v/>
      </c>
      <c r="BC221" s="67" t="str">
        <f>IF(OR(AE221="", B221=""),"", 'Lighting Inventory'!GR229)</f>
        <v/>
      </c>
      <c r="BD221" s="67" t="str">
        <f>IFERROR(IF(B221="", "", 'Lighting Inventory'!AF229)*AD221," ")</f>
        <v xml:space="preserve"> </v>
      </c>
      <c r="BE221" s="67"/>
      <c r="BF221" s="67"/>
    </row>
    <row r="222" spans="1:58" x14ac:dyDescent="0.25">
      <c r="A222" s="26" t="str">
        <f>IF(B222="", "", 'Lookup Tables'!AW223)</f>
        <v/>
      </c>
      <c r="B222" s="26" t="str">
        <f>IF(OR('Lighting Inventory'!Y230="", 'Lighting Inventory'!V230="No Change"),"", 'Lighting Inventory'!Y230)</f>
        <v/>
      </c>
      <c r="C222" s="26" t="str">
        <f>IF(B222="", "", IF('Lighting Inventory'!Y230='Lookup Tables'!$Y$32, 'Lighting Inventory'!AJ230, IF(AD222=0, R222, AD222)))</f>
        <v/>
      </c>
      <c r="D222" s="26" t="str">
        <f>IF(B222="", "", 'General Information'!$F$14)</f>
        <v/>
      </c>
      <c r="E222" s="26" t="str">
        <f t="shared" si="12"/>
        <v/>
      </c>
      <c r="F222" s="26" t="str">
        <f>IF(B222="", "", CONCATENATE('General Information'!$F$9, " - ", 'General Information'!$F$14))</f>
        <v/>
      </c>
      <c r="G222" s="26" t="str">
        <f>IF(B222="", "", 'General Information'!$F$15)</f>
        <v/>
      </c>
      <c r="H222" s="26" t="str">
        <f>IF(B222="", "", IF(VLOOKUP(B222, 'Lookup Tables'!$Y$18:$AA$34, 2, FALSE)="Traffic", VLOOKUP('Lighting Inventory'!W230, 'Lookup Tables'!#REF!, 11, FALSE), VLOOKUP(B222, 'Lookup Tables'!$Y$18:$AA$34, 2, FALSE)))</f>
        <v/>
      </c>
      <c r="I222" s="26" t="str">
        <f>IF(B222="", "", CONCATENATE(D222, 'Data Export'!A222))</f>
        <v/>
      </c>
      <c r="J222" s="26" t="str">
        <f>IF(B222="", "", 'Lookup Tables'!$B$1)</f>
        <v/>
      </c>
      <c r="K222" s="26" t="str">
        <f>IF(B222="", "", 'Lighting Inventory'!B230)</f>
        <v/>
      </c>
      <c r="L222" s="26" t="str">
        <f>IF(B222="", "", 'Lighting Inventory'!C230)</f>
        <v/>
      </c>
      <c r="M222" s="26" t="str">
        <f>IF(B222="", "",'Lighting Inventory'!D230)</f>
        <v/>
      </c>
      <c r="N222" s="26" t="str">
        <f>IF(B222="", "",'Lighting Inventory'!E230)</f>
        <v/>
      </c>
      <c r="O222" s="26" t="str">
        <f>IF(B222="", "", 'Lighting Inventory'!F230)</f>
        <v/>
      </c>
      <c r="P222" s="26" t="str">
        <f>IF(B222="", "", 'Lighting Inventory'!G230)</f>
        <v/>
      </c>
      <c r="Q222" s="26" t="str">
        <f>IF(B222="", "", 'Lighting Inventory'!H230)</f>
        <v/>
      </c>
      <c r="R222" s="26" t="str">
        <f>IF(B222="", "", 'Lighting Inventory'!I230)</f>
        <v/>
      </c>
      <c r="S222" s="26" t="str">
        <f>IF(B222="", "", 'Lighting Inventory'!J230)</f>
        <v/>
      </c>
      <c r="T222" s="26" t="str">
        <f>IFERROR(IF(B222="","",VLOOKUP(S222,'Fixture Identities'!$A$7:$G$1023,5,FALSE)), "New Construction")</f>
        <v/>
      </c>
      <c r="U222" s="26" t="str">
        <f>IFERROR(IF(B222="", "", IF(K222="New Construction", "NC", IF(VLOOKUP(S222, 'Fixture Identities'!$A$7:$I$1023,3, FALSE)="T12 Linear Fluorescent", VLOOKUP(S222, 'Fixture Identities'!$A$7:$K$1012, 11, FALSE), S222))), "")</f>
        <v/>
      </c>
      <c r="V222" s="26" t="str">
        <f>IFERROR(IF(OR(B222="", U222=0), "", VLOOKUP(U222, 'Fixture Identities'!$A$7:$G$1023, 5, FALSE)), "")</f>
        <v/>
      </c>
      <c r="W222" s="26" t="str">
        <f>IF(B222="", "",'Lighting Inventory'!K230)</f>
        <v/>
      </c>
      <c r="X222" s="65" t="str">
        <f>IF(B222="", "", 'Lighting Inventory'!L230)</f>
        <v/>
      </c>
      <c r="Y222" s="26" t="str">
        <f>IF(B222="", "", IF('Lighting Inventory'!M230="", "Light Switch",'Lighting Inventory'!M230))</f>
        <v/>
      </c>
      <c r="Z222" s="26" t="str">
        <f>IF(OR(K222="Retrofit", B222=""), "", 'Lighting Inventory'!N230)</f>
        <v/>
      </c>
      <c r="AA222" s="26" t="str">
        <f>IF(OR(Z222="",B222=""), "", 'Lighting Inventory'!O230)</f>
        <v/>
      </c>
      <c r="AB222" s="26" t="str">
        <f>IF(B222="", "", 'Lighting Inventory'!P230)</f>
        <v/>
      </c>
      <c r="AC222" s="96" t="str">
        <f>IF(B222="", "", 'Lighting Inventory'!R230)</f>
        <v/>
      </c>
      <c r="AD222" s="26" t="str">
        <f>IF(B222="", "", 'Lighting Inventory'!S230)</f>
        <v/>
      </c>
      <c r="AE222" s="26" t="str">
        <f>IF(B222="", "", 'Lighting Inventory'!V230)</f>
        <v/>
      </c>
      <c r="AF222" s="26" t="str">
        <f>IF(B222="", "", 'Lighting Inventory'!W230)</f>
        <v/>
      </c>
      <c r="AG222" s="26" t="str">
        <f>IF(OR(AF222="", B222=""), "", IF(AE222="Custom", "0", VLOOKUP(AF222, 'Lookup Tables'!$AI$6:$AP$102, 8, FALSE)))</f>
        <v/>
      </c>
      <c r="AH222" s="26" t="str">
        <f>IF(B222="", "", 'Lighting Inventory'!AD230)</f>
        <v/>
      </c>
      <c r="AI222" s="26" t="str">
        <f>IF(OR('Lighting Inventory'!AK230="", B222=""), "", 'Lighting Inventory'!AK230)</f>
        <v/>
      </c>
      <c r="AJ222" s="66" t="str">
        <f>IF(B222="", "", 'Lighting Inventory'!AL230)</f>
        <v/>
      </c>
      <c r="AK222" s="65" t="str">
        <f>IF(B222="", "", 'Lighting Inventory'!AM230)</f>
        <v/>
      </c>
      <c r="AL222" s="26" t="str">
        <f>IF(B222="", "", 'Lighting Inventory'!AN230)</f>
        <v/>
      </c>
      <c r="AM222" s="26" t="str">
        <f t="shared" si="11"/>
        <v/>
      </c>
      <c r="AN222" s="26" t="str">
        <f>IF(B222="","",IF('Lighting Inventory'!AV230="","Prescribed",'Lighting Inventory'!AV230))</f>
        <v/>
      </c>
      <c r="AO222" s="66" t="str">
        <f>IF(B222="", "", 'Lighting Inventory'!AX230)</f>
        <v/>
      </c>
      <c r="AP222" s="67" t="str">
        <f>IF(B222="", "", 'Lighting Inventory'!AZ230)</f>
        <v/>
      </c>
      <c r="AQ222" s="67" t="str">
        <f>IF(B222="", "", 'Lighting Inventory'!BA230)</f>
        <v/>
      </c>
      <c r="AR222" s="67" t="str">
        <f>IF(B222="", "", 'Lighting Inventory'!BB230)</f>
        <v/>
      </c>
      <c r="AS222" s="67" t="str">
        <f>IF(B222="", "", 'Lighting Inventory'!BC230)</f>
        <v/>
      </c>
      <c r="AT222" s="67" t="str">
        <f>IF(B222="", "", 'Lighting Inventory'!BD230)</f>
        <v/>
      </c>
      <c r="AU222" s="67" t="str">
        <f>IF(B222="", "", 'Lighting Inventory'!BE230)</f>
        <v/>
      </c>
      <c r="AV222" s="67" t="str">
        <f>IF(B222="", "", 'Lighting Inventory'!BE230)</f>
        <v/>
      </c>
      <c r="AW222" s="67" t="str">
        <f>IF(B222="", "", 'Lighting Inventory'!BF230)</f>
        <v/>
      </c>
      <c r="AX222" s="67" t="str">
        <f>IF(B222="", "", 'Lighting Inventory'!BF230)</f>
        <v/>
      </c>
      <c r="AY222" s="65" t="str">
        <f t="shared" si="13"/>
        <v/>
      </c>
      <c r="AZ222" s="65" t="str">
        <f>IF(B222="", "", 'Lighting Inventory'!BJ230)</f>
        <v/>
      </c>
      <c r="BA222" s="65" t="str">
        <f>IF(B222="", "", 'Lighting Inventory'!BM230)</f>
        <v/>
      </c>
      <c r="BB222" s="65" t="str">
        <f>IF(B222="","",SUM('Lighting Inventory'!BP230:BP230))</f>
        <v/>
      </c>
      <c r="BC222" s="67" t="str">
        <f>IF(OR(AE222="", B222=""),"", 'Lighting Inventory'!GR230)</f>
        <v/>
      </c>
      <c r="BD222" s="67" t="str">
        <f>IFERROR(IF(B222="", "", 'Lighting Inventory'!AF230)*AD222," ")</f>
        <v xml:space="preserve"> </v>
      </c>
      <c r="BE222" s="67"/>
      <c r="BF222" s="67"/>
    </row>
    <row r="223" spans="1:58" x14ac:dyDescent="0.25">
      <c r="A223" s="26" t="str">
        <f>IF(B223="", "", 'Lookup Tables'!AW224)</f>
        <v/>
      </c>
      <c r="B223" s="26" t="str">
        <f>IF(OR('Lighting Inventory'!Y231="", 'Lighting Inventory'!V231="No Change"),"", 'Lighting Inventory'!Y231)</f>
        <v/>
      </c>
      <c r="C223" s="26" t="str">
        <f>IF(B223="", "", IF('Lighting Inventory'!Y231='Lookup Tables'!$Y$32, 'Lighting Inventory'!AJ231, IF(AD223=0, R223, AD223)))</f>
        <v/>
      </c>
      <c r="D223" s="26" t="str">
        <f>IF(B223="", "", 'General Information'!$F$14)</f>
        <v/>
      </c>
      <c r="E223" s="26" t="str">
        <f t="shared" si="12"/>
        <v/>
      </c>
      <c r="F223" s="26" t="str">
        <f>IF(B223="", "", CONCATENATE('General Information'!$F$9, " - ", 'General Information'!$F$14))</f>
        <v/>
      </c>
      <c r="G223" s="26" t="str">
        <f>IF(B223="", "", 'General Information'!$F$15)</f>
        <v/>
      </c>
      <c r="H223" s="26" t="str">
        <f>IF(B223="", "", IF(VLOOKUP(B223, 'Lookup Tables'!$Y$18:$AA$34, 2, FALSE)="Traffic", VLOOKUP('Lighting Inventory'!W231, 'Lookup Tables'!#REF!, 11, FALSE), VLOOKUP(B223, 'Lookup Tables'!$Y$18:$AA$34, 2, FALSE)))</f>
        <v/>
      </c>
      <c r="I223" s="26" t="str">
        <f>IF(B223="", "", CONCATENATE(D223, 'Data Export'!A223))</f>
        <v/>
      </c>
      <c r="J223" s="26" t="str">
        <f>IF(B223="", "", 'Lookup Tables'!$B$1)</f>
        <v/>
      </c>
      <c r="K223" s="26" t="str">
        <f>IF(B223="", "", 'Lighting Inventory'!B231)</f>
        <v/>
      </c>
      <c r="L223" s="26" t="str">
        <f>IF(B223="", "", 'Lighting Inventory'!C231)</f>
        <v/>
      </c>
      <c r="M223" s="26" t="str">
        <f>IF(B223="", "",'Lighting Inventory'!D231)</f>
        <v/>
      </c>
      <c r="N223" s="26" t="str">
        <f>IF(B223="", "",'Lighting Inventory'!E231)</f>
        <v/>
      </c>
      <c r="O223" s="26" t="str">
        <f>IF(B223="", "", 'Lighting Inventory'!F231)</f>
        <v/>
      </c>
      <c r="P223" s="26" t="str">
        <f>IF(B223="", "", 'Lighting Inventory'!G231)</f>
        <v/>
      </c>
      <c r="Q223" s="26" t="str">
        <f>IF(B223="", "", 'Lighting Inventory'!H231)</f>
        <v/>
      </c>
      <c r="R223" s="26" t="str">
        <f>IF(B223="", "", 'Lighting Inventory'!I231)</f>
        <v/>
      </c>
      <c r="S223" s="26" t="str">
        <f>IF(B223="", "", 'Lighting Inventory'!J231)</f>
        <v/>
      </c>
      <c r="T223" s="26" t="str">
        <f>IFERROR(IF(B223="","",VLOOKUP(S223,'Fixture Identities'!$A$7:$G$1023,5,FALSE)), "New Construction")</f>
        <v/>
      </c>
      <c r="U223" s="26" t="str">
        <f>IFERROR(IF(B223="", "", IF(K223="New Construction", "NC", IF(VLOOKUP(S223, 'Fixture Identities'!$A$7:$I$1023,3, FALSE)="T12 Linear Fluorescent", VLOOKUP(S223, 'Fixture Identities'!$A$7:$K$1012, 11, FALSE), S223))), "")</f>
        <v/>
      </c>
      <c r="V223" s="26" t="str">
        <f>IFERROR(IF(OR(B223="", U223=0), "", VLOOKUP(U223, 'Fixture Identities'!$A$7:$G$1023, 5, FALSE)), "")</f>
        <v/>
      </c>
      <c r="W223" s="26" t="str">
        <f>IF(B223="", "",'Lighting Inventory'!K231)</f>
        <v/>
      </c>
      <c r="X223" s="65" t="str">
        <f>IF(B223="", "", 'Lighting Inventory'!L231)</f>
        <v/>
      </c>
      <c r="Y223" s="26" t="str">
        <f>IF(B223="", "", IF('Lighting Inventory'!M231="", "Light Switch",'Lighting Inventory'!M231))</f>
        <v/>
      </c>
      <c r="Z223" s="26" t="str">
        <f>IF(OR(K223="Retrofit", B223=""), "", 'Lighting Inventory'!N231)</f>
        <v/>
      </c>
      <c r="AA223" s="26" t="str">
        <f>IF(OR(Z223="",B223=""), "", 'Lighting Inventory'!O231)</f>
        <v/>
      </c>
      <c r="AB223" s="26" t="str">
        <f>IF(B223="", "", 'Lighting Inventory'!P231)</f>
        <v/>
      </c>
      <c r="AC223" s="96" t="str">
        <f>IF(B223="", "", 'Lighting Inventory'!R231)</f>
        <v/>
      </c>
      <c r="AD223" s="26" t="str">
        <f>IF(B223="", "", 'Lighting Inventory'!S231)</f>
        <v/>
      </c>
      <c r="AE223" s="26" t="str">
        <f>IF(B223="", "", 'Lighting Inventory'!V231)</f>
        <v/>
      </c>
      <c r="AF223" s="26" t="str">
        <f>IF(B223="", "", 'Lighting Inventory'!W231)</f>
        <v/>
      </c>
      <c r="AG223" s="26" t="str">
        <f>IF(OR(AF223="", B223=""), "", IF(AE223="Custom", "0", VLOOKUP(AF223, 'Lookup Tables'!$AI$6:$AP$102, 8, FALSE)))</f>
        <v/>
      </c>
      <c r="AH223" s="26" t="str">
        <f>IF(B223="", "", 'Lighting Inventory'!AD231)</f>
        <v/>
      </c>
      <c r="AI223" s="26" t="str">
        <f>IF(OR('Lighting Inventory'!AK231="", B223=""), "", 'Lighting Inventory'!AK231)</f>
        <v/>
      </c>
      <c r="AJ223" s="66" t="str">
        <f>IF(B223="", "", 'Lighting Inventory'!AL231)</f>
        <v/>
      </c>
      <c r="AK223" s="65" t="str">
        <f>IF(B223="", "", 'Lighting Inventory'!AM231)</f>
        <v/>
      </c>
      <c r="AL223" s="26" t="str">
        <f>IF(B223="", "", 'Lighting Inventory'!AN231)</f>
        <v/>
      </c>
      <c r="AM223" s="26" t="str">
        <f t="shared" si="11"/>
        <v/>
      </c>
      <c r="AN223" s="26" t="str">
        <f>IF(B223="","",IF('Lighting Inventory'!AV231="","Prescribed",'Lighting Inventory'!AV231))</f>
        <v/>
      </c>
      <c r="AO223" s="66" t="str">
        <f>IF(B223="", "", 'Lighting Inventory'!AX231)</f>
        <v/>
      </c>
      <c r="AP223" s="67" t="str">
        <f>IF(B223="", "", 'Lighting Inventory'!AZ231)</f>
        <v/>
      </c>
      <c r="AQ223" s="67" t="str">
        <f>IF(B223="", "", 'Lighting Inventory'!BA231)</f>
        <v/>
      </c>
      <c r="AR223" s="67" t="str">
        <f>IF(B223="", "", 'Lighting Inventory'!BB231)</f>
        <v/>
      </c>
      <c r="AS223" s="67" t="str">
        <f>IF(B223="", "", 'Lighting Inventory'!BC231)</f>
        <v/>
      </c>
      <c r="AT223" s="67" t="str">
        <f>IF(B223="", "", 'Lighting Inventory'!BD231)</f>
        <v/>
      </c>
      <c r="AU223" s="67" t="str">
        <f>IF(B223="", "", 'Lighting Inventory'!BE231)</f>
        <v/>
      </c>
      <c r="AV223" s="67" t="str">
        <f>IF(B223="", "", 'Lighting Inventory'!BE231)</f>
        <v/>
      </c>
      <c r="AW223" s="67" t="str">
        <f>IF(B223="", "", 'Lighting Inventory'!BF231)</f>
        <v/>
      </c>
      <c r="AX223" s="67" t="str">
        <f>IF(B223="", "", 'Lighting Inventory'!BF231)</f>
        <v/>
      </c>
      <c r="AY223" s="65" t="str">
        <f t="shared" si="13"/>
        <v/>
      </c>
      <c r="AZ223" s="65" t="str">
        <f>IF(B223="", "", 'Lighting Inventory'!BJ231)</f>
        <v/>
      </c>
      <c r="BA223" s="65" t="str">
        <f>IF(B223="", "", 'Lighting Inventory'!BM231)</f>
        <v/>
      </c>
      <c r="BB223" s="65" t="str">
        <f>IF(B223="","",SUM('Lighting Inventory'!BP231:BP231))</f>
        <v/>
      </c>
      <c r="BC223" s="67" t="str">
        <f>IF(OR(AE223="", B223=""),"", 'Lighting Inventory'!GR231)</f>
        <v/>
      </c>
      <c r="BD223" s="67" t="str">
        <f>IFERROR(IF(B223="", "", 'Lighting Inventory'!AF231)*AD223," ")</f>
        <v xml:space="preserve"> </v>
      </c>
      <c r="BE223" s="67"/>
      <c r="BF223" s="67"/>
    </row>
    <row r="224" spans="1:58" x14ac:dyDescent="0.25">
      <c r="A224" s="26" t="str">
        <f>IF(B224="", "", 'Lookup Tables'!AW225)</f>
        <v/>
      </c>
      <c r="B224" s="26" t="str">
        <f>IF(OR('Lighting Inventory'!Y232="", 'Lighting Inventory'!V232="No Change"),"", 'Lighting Inventory'!Y232)</f>
        <v/>
      </c>
      <c r="C224" s="26" t="str">
        <f>IF(B224="", "", IF('Lighting Inventory'!Y232='Lookup Tables'!$Y$32, 'Lighting Inventory'!AJ232, IF(AD224=0, R224, AD224)))</f>
        <v/>
      </c>
      <c r="D224" s="26" t="str">
        <f>IF(B224="", "", 'General Information'!$F$14)</f>
        <v/>
      </c>
      <c r="E224" s="26" t="str">
        <f t="shared" si="12"/>
        <v/>
      </c>
      <c r="F224" s="26" t="str">
        <f>IF(B224="", "", CONCATENATE('General Information'!$F$9, " - ", 'General Information'!$F$14))</f>
        <v/>
      </c>
      <c r="G224" s="26" t="str">
        <f>IF(B224="", "", 'General Information'!$F$15)</f>
        <v/>
      </c>
      <c r="H224" s="26" t="str">
        <f>IF(B224="", "", IF(VLOOKUP(B224, 'Lookup Tables'!$Y$18:$AA$34, 2, FALSE)="Traffic", VLOOKUP('Lighting Inventory'!W232, 'Lookup Tables'!#REF!, 11, FALSE), VLOOKUP(B224, 'Lookup Tables'!$Y$18:$AA$34, 2, FALSE)))</f>
        <v/>
      </c>
      <c r="I224" s="26" t="str">
        <f>IF(B224="", "", CONCATENATE(D224, 'Data Export'!A224))</f>
        <v/>
      </c>
      <c r="J224" s="26" t="str">
        <f>IF(B224="", "", 'Lookup Tables'!$B$1)</f>
        <v/>
      </c>
      <c r="K224" s="26" t="str">
        <f>IF(B224="", "", 'Lighting Inventory'!B232)</f>
        <v/>
      </c>
      <c r="L224" s="26" t="str">
        <f>IF(B224="", "", 'Lighting Inventory'!C232)</f>
        <v/>
      </c>
      <c r="M224" s="26" t="str">
        <f>IF(B224="", "",'Lighting Inventory'!D232)</f>
        <v/>
      </c>
      <c r="N224" s="26" t="str">
        <f>IF(B224="", "",'Lighting Inventory'!E232)</f>
        <v/>
      </c>
      <c r="O224" s="26" t="str">
        <f>IF(B224="", "", 'Lighting Inventory'!F232)</f>
        <v/>
      </c>
      <c r="P224" s="26" t="str">
        <f>IF(B224="", "", 'Lighting Inventory'!G232)</f>
        <v/>
      </c>
      <c r="Q224" s="26" t="str">
        <f>IF(B224="", "", 'Lighting Inventory'!H232)</f>
        <v/>
      </c>
      <c r="R224" s="26" t="str">
        <f>IF(B224="", "", 'Lighting Inventory'!I232)</f>
        <v/>
      </c>
      <c r="S224" s="26" t="str">
        <f>IF(B224="", "", 'Lighting Inventory'!J232)</f>
        <v/>
      </c>
      <c r="T224" s="26" t="str">
        <f>IFERROR(IF(B224="","",VLOOKUP(S224,'Fixture Identities'!$A$7:$G$1023,5,FALSE)), "New Construction")</f>
        <v/>
      </c>
      <c r="U224" s="26" t="str">
        <f>IFERROR(IF(B224="", "", IF(K224="New Construction", "NC", IF(VLOOKUP(S224, 'Fixture Identities'!$A$7:$I$1023,3, FALSE)="T12 Linear Fluorescent", VLOOKUP(S224, 'Fixture Identities'!$A$7:$K$1012, 11, FALSE), S224))), "")</f>
        <v/>
      </c>
      <c r="V224" s="26" t="str">
        <f>IFERROR(IF(OR(B224="", U224=0), "", VLOOKUP(U224, 'Fixture Identities'!$A$7:$G$1023, 5, FALSE)), "")</f>
        <v/>
      </c>
      <c r="W224" s="26" t="str">
        <f>IF(B224="", "",'Lighting Inventory'!K232)</f>
        <v/>
      </c>
      <c r="X224" s="65" t="str">
        <f>IF(B224="", "", 'Lighting Inventory'!L232)</f>
        <v/>
      </c>
      <c r="Y224" s="26" t="str">
        <f>IF(B224="", "", IF('Lighting Inventory'!M232="", "Light Switch",'Lighting Inventory'!M232))</f>
        <v/>
      </c>
      <c r="Z224" s="26" t="str">
        <f>IF(OR(K224="Retrofit", B224=""), "", 'Lighting Inventory'!N232)</f>
        <v/>
      </c>
      <c r="AA224" s="26" t="str">
        <f>IF(OR(Z224="",B224=""), "", 'Lighting Inventory'!O232)</f>
        <v/>
      </c>
      <c r="AB224" s="26" t="str">
        <f>IF(B224="", "", 'Lighting Inventory'!P232)</f>
        <v/>
      </c>
      <c r="AC224" s="96" t="str">
        <f>IF(B224="", "", 'Lighting Inventory'!R232)</f>
        <v/>
      </c>
      <c r="AD224" s="26" t="str">
        <f>IF(B224="", "", 'Lighting Inventory'!S232)</f>
        <v/>
      </c>
      <c r="AE224" s="26" t="str">
        <f>IF(B224="", "", 'Lighting Inventory'!V232)</f>
        <v/>
      </c>
      <c r="AF224" s="26" t="str">
        <f>IF(B224="", "", 'Lighting Inventory'!W232)</f>
        <v/>
      </c>
      <c r="AG224" s="26" t="str">
        <f>IF(OR(AF224="", B224=""), "", IF(AE224="Custom", "0", VLOOKUP(AF224, 'Lookup Tables'!$AI$6:$AP$102, 8, FALSE)))</f>
        <v/>
      </c>
      <c r="AH224" s="26" t="str">
        <f>IF(B224="", "", 'Lighting Inventory'!AD232)</f>
        <v/>
      </c>
      <c r="AI224" s="26" t="str">
        <f>IF(OR('Lighting Inventory'!AK232="", B224=""), "", 'Lighting Inventory'!AK232)</f>
        <v/>
      </c>
      <c r="AJ224" s="66" t="str">
        <f>IF(B224="", "", 'Lighting Inventory'!AL232)</f>
        <v/>
      </c>
      <c r="AK224" s="65" t="str">
        <f>IF(B224="", "", 'Lighting Inventory'!AM232)</f>
        <v/>
      </c>
      <c r="AL224" s="26" t="str">
        <f>IF(B224="", "", 'Lighting Inventory'!AN232)</f>
        <v/>
      </c>
      <c r="AM224" s="26" t="str">
        <f t="shared" si="11"/>
        <v/>
      </c>
      <c r="AN224" s="26" t="str">
        <f>IF(B224="","",IF('Lighting Inventory'!AV232="","Prescribed",'Lighting Inventory'!AV232))</f>
        <v/>
      </c>
      <c r="AO224" s="66" t="str">
        <f>IF(B224="", "", 'Lighting Inventory'!AX232)</f>
        <v/>
      </c>
      <c r="AP224" s="67" t="str">
        <f>IF(B224="", "", 'Lighting Inventory'!AZ232)</f>
        <v/>
      </c>
      <c r="AQ224" s="67" t="str">
        <f>IF(B224="", "", 'Lighting Inventory'!BA232)</f>
        <v/>
      </c>
      <c r="AR224" s="67" t="str">
        <f>IF(B224="", "", 'Lighting Inventory'!BB232)</f>
        <v/>
      </c>
      <c r="AS224" s="67" t="str">
        <f>IF(B224="", "", 'Lighting Inventory'!BC232)</f>
        <v/>
      </c>
      <c r="AT224" s="67" t="str">
        <f>IF(B224="", "", 'Lighting Inventory'!BD232)</f>
        <v/>
      </c>
      <c r="AU224" s="67" t="str">
        <f>IF(B224="", "", 'Lighting Inventory'!BE232)</f>
        <v/>
      </c>
      <c r="AV224" s="67" t="str">
        <f>IF(B224="", "", 'Lighting Inventory'!BE232)</f>
        <v/>
      </c>
      <c r="AW224" s="67" t="str">
        <f>IF(B224="", "", 'Lighting Inventory'!BF232)</f>
        <v/>
      </c>
      <c r="AX224" s="67" t="str">
        <f>IF(B224="", "", 'Lighting Inventory'!BF232)</f>
        <v/>
      </c>
      <c r="AY224" s="65" t="str">
        <f t="shared" si="13"/>
        <v/>
      </c>
      <c r="AZ224" s="65" t="str">
        <f>IF(B224="", "", 'Lighting Inventory'!BJ232)</f>
        <v/>
      </c>
      <c r="BA224" s="65" t="str">
        <f>IF(B224="", "", 'Lighting Inventory'!BM232)</f>
        <v/>
      </c>
      <c r="BB224" s="65" t="str">
        <f>IF(B224="","",SUM('Lighting Inventory'!BP232:BP232))</f>
        <v/>
      </c>
      <c r="BC224" s="67" t="str">
        <f>IF(OR(AE224="", B224=""),"", 'Lighting Inventory'!GR232)</f>
        <v/>
      </c>
      <c r="BD224" s="67" t="str">
        <f>IFERROR(IF(B224="", "", 'Lighting Inventory'!AF232)*AD224," ")</f>
        <v xml:space="preserve"> </v>
      </c>
      <c r="BE224" s="67"/>
      <c r="BF224" s="67"/>
    </row>
    <row r="225" spans="1:58" x14ac:dyDescent="0.25">
      <c r="A225" s="26" t="str">
        <f>IF(B225="", "", 'Lookup Tables'!AW226)</f>
        <v/>
      </c>
      <c r="B225" s="26" t="str">
        <f>IF(OR('Lighting Inventory'!Y233="", 'Lighting Inventory'!V233="No Change"),"", 'Lighting Inventory'!Y233)</f>
        <v/>
      </c>
      <c r="C225" s="26" t="str">
        <f>IF(B225="", "", IF('Lighting Inventory'!Y233='Lookup Tables'!$Y$32, 'Lighting Inventory'!AJ233, IF(AD225=0, R225, AD225)))</f>
        <v/>
      </c>
      <c r="D225" s="26" t="str">
        <f>IF(B225="", "", 'General Information'!$F$14)</f>
        <v/>
      </c>
      <c r="E225" s="26" t="str">
        <f t="shared" si="12"/>
        <v/>
      </c>
      <c r="F225" s="26" t="str">
        <f>IF(B225="", "", CONCATENATE('General Information'!$F$9, " - ", 'General Information'!$F$14))</f>
        <v/>
      </c>
      <c r="G225" s="26" t="str">
        <f>IF(B225="", "", 'General Information'!$F$15)</f>
        <v/>
      </c>
      <c r="H225" s="26" t="str">
        <f>IF(B225="", "", IF(VLOOKUP(B225, 'Lookup Tables'!$Y$18:$AA$34, 2, FALSE)="Traffic", VLOOKUP('Lighting Inventory'!W233, 'Lookup Tables'!#REF!, 11, FALSE), VLOOKUP(B225, 'Lookup Tables'!$Y$18:$AA$34, 2, FALSE)))</f>
        <v/>
      </c>
      <c r="I225" s="26" t="str">
        <f>IF(B225="", "", CONCATENATE(D225, 'Data Export'!A225))</f>
        <v/>
      </c>
      <c r="J225" s="26" t="str">
        <f>IF(B225="", "", 'Lookup Tables'!$B$1)</f>
        <v/>
      </c>
      <c r="K225" s="26" t="str">
        <f>IF(B225="", "", 'Lighting Inventory'!B233)</f>
        <v/>
      </c>
      <c r="L225" s="26" t="str">
        <f>IF(B225="", "", 'Lighting Inventory'!C233)</f>
        <v/>
      </c>
      <c r="M225" s="26" t="str">
        <f>IF(B225="", "",'Lighting Inventory'!D233)</f>
        <v/>
      </c>
      <c r="N225" s="26" t="str">
        <f>IF(B225="", "",'Lighting Inventory'!E233)</f>
        <v/>
      </c>
      <c r="O225" s="26" t="str">
        <f>IF(B225="", "", 'Lighting Inventory'!F233)</f>
        <v/>
      </c>
      <c r="P225" s="26" t="str">
        <f>IF(B225="", "", 'Lighting Inventory'!G233)</f>
        <v/>
      </c>
      <c r="Q225" s="26" t="str">
        <f>IF(B225="", "", 'Lighting Inventory'!H233)</f>
        <v/>
      </c>
      <c r="R225" s="26" t="str">
        <f>IF(B225="", "", 'Lighting Inventory'!I233)</f>
        <v/>
      </c>
      <c r="S225" s="26" t="str">
        <f>IF(B225="", "", 'Lighting Inventory'!J233)</f>
        <v/>
      </c>
      <c r="T225" s="26" t="str">
        <f>IFERROR(IF(B225="","",VLOOKUP(S225,'Fixture Identities'!$A$7:$G$1023,5,FALSE)), "New Construction")</f>
        <v/>
      </c>
      <c r="U225" s="26" t="str">
        <f>IFERROR(IF(B225="", "", IF(K225="New Construction", "NC", IF(VLOOKUP(S225, 'Fixture Identities'!$A$7:$I$1023,3, FALSE)="T12 Linear Fluorescent", VLOOKUP(S225, 'Fixture Identities'!$A$7:$K$1012, 11, FALSE), S225))), "")</f>
        <v/>
      </c>
      <c r="V225" s="26" t="str">
        <f>IFERROR(IF(OR(B225="", U225=0), "", VLOOKUP(U225, 'Fixture Identities'!$A$7:$G$1023, 5, FALSE)), "")</f>
        <v/>
      </c>
      <c r="W225" s="26" t="str">
        <f>IF(B225="", "",'Lighting Inventory'!K233)</f>
        <v/>
      </c>
      <c r="X225" s="65" t="str">
        <f>IF(B225="", "", 'Lighting Inventory'!L233)</f>
        <v/>
      </c>
      <c r="Y225" s="26" t="str">
        <f>IF(B225="", "", IF('Lighting Inventory'!M233="", "Light Switch",'Lighting Inventory'!M233))</f>
        <v/>
      </c>
      <c r="Z225" s="26" t="str">
        <f>IF(OR(K225="Retrofit", B225=""), "", 'Lighting Inventory'!N233)</f>
        <v/>
      </c>
      <c r="AA225" s="26" t="str">
        <f>IF(OR(Z225="",B225=""), "", 'Lighting Inventory'!O233)</f>
        <v/>
      </c>
      <c r="AB225" s="26" t="str">
        <f>IF(B225="", "", 'Lighting Inventory'!P233)</f>
        <v/>
      </c>
      <c r="AC225" s="96" t="str">
        <f>IF(B225="", "", 'Lighting Inventory'!R233)</f>
        <v/>
      </c>
      <c r="AD225" s="26" t="str">
        <f>IF(B225="", "", 'Lighting Inventory'!S233)</f>
        <v/>
      </c>
      <c r="AE225" s="26" t="str">
        <f>IF(B225="", "", 'Lighting Inventory'!V233)</f>
        <v/>
      </c>
      <c r="AF225" s="26" t="str">
        <f>IF(B225="", "", 'Lighting Inventory'!W233)</f>
        <v/>
      </c>
      <c r="AG225" s="26" t="str">
        <f>IF(OR(AF225="", B225=""), "", IF(AE225="Custom", "0", VLOOKUP(AF225, 'Lookup Tables'!$AI$6:$AP$102, 8, FALSE)))</f>
        <v/>
      </c>
      <c r="AH225" s="26" t="str">
        <f>IF(B225="", "", 'Lighting Inventory'!AD233)</f>
        <v/>
      </c>
      <c r="AI225" s="26" t="str">
        <f>IF(OR('Lighting Inventory'!AK233="", B225=""), "", 'Lighting Inventory'!AK233)</f>
        <v/>
      </c>
      <c r="AJ225" s="66" t="str">
        <f>IF(B225="", "", 'Lighting Inventory'!AL233)</f>
        <v/>
      </c>
      <c r="AK225" s="65" t="str">
        <f>IF(B225="", "", 'Lighting Inventory'!AM233)</f>
        <v/>
      </c>
      <c r="AL225" s="26" t="str">
        <f>IF(B225="", "", 'Lighting Inventory'!AN233)</f>
        <v/>
      </c>
      <c r="AM225" s="26" t="str">
        <f t="shared" si="11"/>
        <v/>
      </c>
      <c r="AN225" s="26" t="str">
        <f>IF(B225="","",IF('Lighting Inventory'!AV233="","Prescribed",'Lighting Inventory'!AV233))</f>
        <v/>
      </c>
      <c r="AO225" s="66" t="str">
        <f>IF(B225="", "", 'Lighting Inventory'!AX233)</f>
        <v/>
      </c>
      <c r="AP225" s="67" t="str">
        <f>IF(B225="", "", 'Lighting Inventory'!AZ233)</f>
        <v/>
      </c>
      <c r="AQ225" s="67" t="str">
        <f>IF(B225="", "", 'Lighting Inventory'!BA233)</f>
        <v/>
      </c>
      <c r="AR225" s="67" t="str">
        <f>IF(B225="", "", 'Lighting Inventory'!BB233)</f>
        <v/>
      </c>
      <c r="AS225" s="67" t="str">
        <f>IF(B225="", "", 'Lighting Inventory'!BC233)</f>
        <v/>
      </c>
      <c r="AT225" s="67" t="str">
        <f>IF(B225="", "", 'Lighting Inventory'!BD233)</f>
        <v/>
      </c>
      <c r="AU225" s="67" t="str">
        <f>IF(B225="", "", 'Lighting Inventory'!BE233)</f>
        <v/>
      </c>
      <c r="AV225" s="67" t="str">
        <f>IF(B225="", "", 'Lighting Inventory'!BE233)</f>
        <v/>
      </c>
      <c r="AW225" s="67" t="str">
        <f>IF(B225="", "", 'Lighting Inventory'!BF233)</f>
        <v/>
      </c>
      <c r="AX225" s="67" t="str">
        <f>IF(B225="", "", 'Lighting Inventory'!BF233)</f>
        <v/>
      </c>
      <c r="AY225" s="65" t="str">
        <f t="shared" si="13"/>
        <v/>
      </c>
      <c r="AZ225" s="65" t="str">
        <f>IF(B225="", "", 'Lighting Inventory'!BJ233)</f>
        <v/>
      </c>
      <c r="BA225" s="65" t="str">
        <f>IF(B225="", "", 'Lighting Inventory'!BM233)</f>
        <v/>
      </c>
      <c r="BB225" s="65" t="str">
        <f>IF(B225="","",SUM('Lighting Inventory'!BP233:BP233))</f>
        <v/>
      </c>
      <c r="BC225" s="67" t="str">
        <f>IF(OR(AE225="", B225=""),"", 'Lighting Inventory'!GR233)</f>
        <v/>
      </c>
      <c r="BD225" s="67" t="str">
        <f>IFERROR(IF(B225="", "", 'Lighting Inventory'!AF233)*AD225," ")</f>
        <v xml:space="preserve"> </v>
      </c>
      <c r="BE225" s="67"/>
      <c r="BF225" s="67"/>
    </row>
    <row r="226" spans="1:58" x14ac:dyDescent="0.25">
      <c r="A226" s="26" t="str">
        <f>IF(B226="", "", 'Lookup Tables'!AW227)</f>
        <v/>
      </c>
      <c r="B226" s="26" t="str">
        <f>IF(OR('Lighting Inventory'!Y234="", 'Lighting Inventory'!V234="No Change"),"", 'Lighting Inventory'!Y234)</f>
        <v/>
      </c>
      <c r="C226" s="26" t="str">
        <f>IF(B226="", "", IF('Lighting Inventory'!Y234='Lookup Tables'!$Y$32, 'Lighting Inventory'!AJ234, IF(AD226=0, R226, AD226)))</f>
        <v/>
      </c>
      <c r="D226" s="26" t="str">
        <f>IF(B226="", "", 'General Information'!$F$14)</f>
        <v/>
      </c>
      <c r="E226" s="26" t="str">
        <f t="shared" si="12"/>
        <v/>
      </c>
      <c r="F226" s="26" t="str">
        <f>IF(B226="", "", CONCATENATE('General Information'!$F$9, " - ", 'General Information'!$F$14))</f>
        <v/>
      </c>
      <c r="G226" s="26" t="str">
        <f>IF(B226="", "", 'General Information'!$F$15)</f>
        <v/>
      </c>
      <c r="H226" s="26" t="str">
        <f>IF(B226="", "", IF(VLOOKUP(B226, 'Lookup Tables'!$Y$18:$AA$34, 2, FALSE)="Traffic", VLOOKUP('Lighting Inventory'!W234, 'Lookup Tables'!#REF!, 11, FALSE), VLOOKUP(B226, 'Lookup Tables'!$Y$18:$AA$34, 2, FALSE)))</f>
        <v/>
      </c>
      <c r="I226" s="26" t="str">
        <f>IF(B226="", "", CONCATENATE(D226, 'Data Export'!A226))</f>
        <v/>
      </c>
      <c r="J226" s="26" t="str">
        <f>IF(B226="", "", 'Lookup Tables'!$B$1)</f>
        <v/>
      </c>
      <c r="K226" s="26" t="str">
        <f>IF(B226="", "", 'Lighting Inventory'!B234)</f>
        <v/>
      </c>
      <c r="L226" s="26" t="str">
        <f>IF(B226="", "", 'Lighting Inventory'!C234)</f>
        <v/>
      </c>
      <c r="M226" s="26" t="str">
        <f>IF(B226="", "",'Lighting Inventory'!D234)</f>
        <v/>
      </c>
      <c r="N226" s="26" t="str">
        <f>IF(B226="", "",'Lighting Inventory'!E234)</f>
        <v/>
      </c>
      <c r="O226" s="26" t="str">
        <f>IF(B226="", "", 'Lighting Inventory'!F234)</f>
        <v/>
      </c>
      <c r="P226" s="26" t="str">
        <f>IF(B226="", "", 'Lighting Inventory'!G234)</f>
        <v/>
      </c>
      <c r="Q226" s="26" t="str">
        <f>IF(B226="", "", 'Lighting Inventory'!H234)</f>
        <v/>
      </c>
      <c r="R226" s="26" t="str">
        <f>IF(B226="", "", 'Lighting Inventory'!I234)</f>
        <v/>
      </c>
      <c r="S226" s="26" t="str">
        <f>IF(B226="", "", 'Lighting Inventory'!J234)</f>
        <v/>
      </c>
      <c r="T226" s="26" t="str">
        <f>IFERROR(IF(B226="","",VLOOKUP(S226,'Fixture Identities'!$A$7:$G$1023,5,FALSE)), "New Construction")</f>
        <v/>
      </c>
      <c r="U226" s="26" t="str">
        <f>IFERROR(IF(B226="", "", IF(K226="New Construction", "NC", IF(VLOOKUP(S226, 'Fixture Identities'!$A$7:$I$1023,3, FALSE)="T12 Linear Fluorescent", VLOOKUP(S226, 'Fixture Identities'!$A$7:$K$1012, 11, FALSE), S226))), "")</f>
        <v/>
      </c>
      <c r="V226" s="26" t="str">
        <f>IFERROR(IF(OR(B226="", U226=0), "", VLOOKUP(U226, 'Fixture Identities'!$A$7:$G$1023, 5, FALSE)), "")</f>
        <v/>
      </c>
      <c r="W226" s="26" t="str">
        <f>IF(B226="", "",'Lighting Inventory'!K234)</f>
        <v/>
      </c>
      <c r="X226" s="65" t="str">
        <f>IF(B226="", "", 'Lighting Inventory'!L234)</f>
        <v/>
      </c>
      <c r="Y226" s="26" t="str">
        <f>IF(B226="", "", IF('Lighting Inventory'!M234="", "Light Switch",'Lighting Inventory'!M234))</f>
        <v/>
      </c>
      <c r="Z226" s="26" t="str">
        <f>IF(OR(K226="Retrofit", B226=""), "", 'Lighting Inventory'!N234)</f>
        <v/>
      </c>
      <c r="AA226" s="26" t="str">
        <f>IF(OR(Z226="",B226=""), "", 'Lighting Inventory'!O234)</f>
        <v/>
      </c>
      <c r="AB226" s="26" t="str">
        <f>IF(B226="", "", 'Lighting Inventory'!P234)</f>
        <v/>
      </c>
      <c r="AC226" s="96" t="str">
        <f>IF(B226="", "", 'Lighting Inventory'!R234)</f>
        <v/>
      </c>
      <c r="AD226" s="26" t="str">
        <f>IF(B226="", "", 'Lighting Inventory'!S234)</f>
        <v/>
      </c>
      <c r="AE226" s="26" t="str">
        <f>IF(B226="", "", 'Lighting Inventory'!V234)</f>
        <v/>
      </c>
      <c r="AF226" s="26" t="str">
        <f>IF(B226="", "", 'Lighting Inventory'!W234)</f>
        <v/>
      </c>
      <c r="AG226" s="26" t="str">
        <f>IF(OR(AF226="", B226=""), "", IF(AE226="Custom", "0", VLOOKUP(AF226, 'Lookup Tables'!$AI$6:$AP$102, 8, FALSE)))</f>
        <v/>
      </c>
      <c r="AH226" s="26" t="str">
        <f>IF(B226="", "", 'Lighting Inventory'!AD234)</f>
        <v/>
      </c>
      <c r="AI226" s="26" t="str">
        <f>IF(OR('Lighting Inventory'!AK234="", B226=""), "", 'Lighting Inventory'!AK234)</f>
        <v/>
      </c>
      <c r="AJ226" s="66" t="str">
        <f>IF(B226="", "", 'Lighting Inventory'!AL234)</f>
        <v/>
      </c>
      <c r="AK226" s="65" t="str">
        <f>IF(B226="", "", 'Lighting Inventory'!AM234)</f>
        <v/>
      </c>
      <c r="AL226" s="26" t="str">
        <f>IF(B226="", "", 'Lighting Inventory'!AN234)</f>
        <v/>
      </c>
      <c r="AM226" s="26" t="str">
        <f t="shared" si="11"/>
        <v/>
      </c>
      <c r="AN226" s="26" t="str">
        <f>IF(B226="","",IF('Lighting Inventory'!AV234="","Prescribed",'Lighting Inventory'!AV234))</f>
        <v/>
      </c>
      <c r="AO226" s="66" t="str">
        <f>IF(B226="", "", 'Lighting Inventory'!AX234)</f>
        <v/>
      </c>
      <c r="AP226" s="67" t="str">
        <f>IF(B226="", "", 'Lighting Inventory'!AZ234)</f>
        <v/>
      </c>
      <c r="AQ226" s="67" t="str">
        <f>IF(B226="", "", 'Lighting Inventory'!BA234)</f>
        <v/>
      </c>
      <c r="AR226" s="67" t="str">
        <f>IF(B226="", "", 'Lighting Inventory'!BB234)</f>
        <v/>
      </c>
      <c r="AS226" s="67" t="str">
        <f>IF(B226="", "", 'Lighting Inventory'!BC234)</f>
        <v/>
      </c>
      <c r="AT226" s="67" t="str">
        <f>IF(B226="", "", 'Lighting Inventory'!BD234)</f>
        <v/>
      </c>
      <c r="AU226" s="67" t="str">
        <f>IF(B226="", "", 'Lighting Inventory'!BE234)</f>
        <v/>
      </c>
      <c r="AV226" s="67" t="str">
        <f>IF(B226="", "", 'Lighting Inventory'!BE234)</f>
        <v/>
      </c>
      <c r="AW226" s="67" t="str">
        <f>IF(B226="", "", 'Lighting Inventory'!BF234)</f>
        <v/>
      </c>
      <c r="AX226" s="67" t="str">
        <f>IF(B226="", "", 'Lighting Inventory'!BF234)</f>
        <v/>
      </c>
      <c r="AY226" s="65" t="str">
        <f t="shared" si="13"/>
        <v/>
      </c>
      <c r="AZ226" s="65" t="str">
        <f>IF(B226="", "", 'Lighting Inventory'!BJ234)</f>
        <v/>
      </c>
      <c r="BA226" s="65" t="str">
        <f>IF(B226="", "", 'Lighting Inventory'!BM234)</f>
        <v/>
      </c>
      <c r="BB226" s="65" t="str">
        <f>IF(B226="","",SUM('Lighting Inventory'!BP234:BP234))</f>
        <v/>
      </c>
      <c r="BC226" s="67" t="str">
        <f>IF(OR(AE226="", B226=""),"", 'Lighting Inventory'!GR234)</f>
        <v/>
      </c>
      <c r="BD226" s="67" t="str">
        <f>IFERROR(IF(B226="", "", 'Lighting Inventory'!AF234)*AD226," ")</f>
        <v xml:space="preserve"> </v>
      </c>
      <c r="BE226" s="67"/>
      <c r="BF226" s="67"/>
    </row>
    <row r="227" spans="1:58" x14ac:dyDescent="0.25">
      <c r="A227" s="26" t="str">
        <f>IF(B227="", "", 'Lookup Tables'!AW228)</f>
        <v/>
      </c>
      <c r="B227" s="26" t="str">
        <f>IF(OR('Lighting Inventory'!Y235="", 'Lighting Inventory'!V235="No Change"),"", 'Lighting Inventory'!Y235)</f>
        <v/>
      </c>
      <c r="C227" s="26" t="str">
        <f>IF(B227="", "", IF('Lighting Inventory'!Y235='Lookup Tables'!$Y$32, 'Lighting Inventory'!AJ235, IF(AD227=0, R227, AD227)))</f>
        <v/>
      </c>
      <c r="D227" s="26" t="str">
        <f>IF(B227="", "", 'General Information'!$F$14)</f>
        <v/>
      </c>
      <c r="E227" s="26" t="str">
        <f t="shared" si="12"/>
        <v/>
      </c>
      <c r="F227" s="26" t="str">
        <f>IF(B227="", "", CONCATENATE('General Information'!$F$9, " - ", 'General Information'!$F$14))</f>
        <v/>
      </c>
      <c r="G227" s="26" t="str">
        <f>IF(B227="", "", 'General Information'!$F$15)</f>
        <v/>
      </c>
      <c r="H227" s="26" t="str">
        <f>IF(B227="", "", IF(VLOOKUP(B227, 'Lookup Tables'!$Y$18:$AA$34, 2, FALSE)="Traffic", VLOOKUP('Lighting Inventory'!W235, 'Lookup Tables'!#REF!, 11, FALSE), VLOOKUP(B227, 'Lookup Tables'!$Y$18:$AA$34, 2, FALSE)))</f>
        <v/>
      </c>
      <c r="I227" s="26" t="str">
        <f>IF(B227="", "", CONCATENATE(D227, 'Data Export'!A227))</f>
        <v/>
      </c>
      <c r="J227" s="26" t="str">
        <f>IF(B227="", "", 'Lookup Tables'!$B$1)</f>
        <v/>
      </c>
      <c r="K227" s="26" t="str">
        <f>IF(B227="", "", 'Lighting Inventory'!B235)</f>
        <v/>
      </c>
      <c r="L227" s="26" t="str">
        <f>IF(B227="", "", 'Lighting Inventory'!C235)</f>
        <v/>
      </c>
      <c r="M227" s="26" t="str">
        <f>IF(B227="", "",'Lighting Inventory'!D235)</f>
        <v/>
      </c>
      <c r="N227" s="26" t="str">
        <f>IF(B227="", "",'Lighting Inventory'!E235)</f>
        <v/>
      </c>
      <c r="O227" s="26" t="str">
        <f>IF(B227="", "", 'Lighting Inventory'!F235)</f>
        <v/>
      </c>
      <c r="P227" s="26" t="str">
        <f>IF(B227="", "", 'Lighting Inventory'!G235)</f>
        <v/>
      </c>
      <c r="Q227" s="26" t="str">
        <f>IF(B227="", "", 'Lighting Inventory'!H235)</f>
        <v/>
      </c>
      <c r="R227" s="26" t="str">
        <f>IF(B227="", "", 'Lighting Inventory'!I235)</f>
        <v/>
      </c>
      <c r="S227" s="26" t="str">
        <f>IF(B227="", "", 'Lighting Inventory'!J235)</f>
        <v/>
      </c>
      <c r="T227" s="26" t="str">
        <f>IFERROR(IF(B227="","",VLOOKUP(S227,'Fixture Identities'!$A$7:$G$1023,5,FALSE)), "New Construction")</f>
        <v/>
      </c>
      <c r="U227" s="26" t="str">
        <f>IFERROR(IF(B227="", "", IF(K227="New Construction", "NC", IF(VLOOKUP(S227, 'Fixture Identities'!$A$7:$I$1023,3, FALSE)="T12 Linear Fluorescent", VLOOKUP(S227, 'Fixture Identities'!$A$7:$K$1012, 11, FALSE), S227))), "")</f>
        <v/>
      </c>
      <c r="V227" s="26" t="str">
        <f>IFERROR(IF(OR(B227="", U227=0), "", VLOOKUP(U227, 'Fixture Identities'!$A$7:$G$1023, 5, FALSE)), "")</f>
        <v/>
      </c>
      <c r="W227" s="26" t="str">
        <f>IF(B227="", "",'Lighting Inventory'!K235)</f>
        <v/>
      </c>
      <c r="X227" s="65" t="str">
        <f>IF(B227="", "", 'Lighting Inventory'!L235)</f>
        <v/>
      </c>
      <c r="Y227" s="26" t="str">
        <f>IF(B227="", "", IF('Lighting Inventory'!M235="", "Light Switch",'Lighting Inventory'!M235))</f>
        <v/>
      </c>
      <c r="Z227" s="26" t="str">
        <f>IF(OR(K227="Retrofit", B227=""), "", 'Lighting Inventory'!N235)</f>
        <v/>
      </c>
      <c r="AA227" s="26" t="str">
        <f>IF(OR(Z227="",B227=""), "", 'Lighting Inventory'!O235)</f>
        <v/>
      </c>
      <c r="AB227" s="26" t="str">
        <f>IF(B227="", "", 'Lighting Inventory'!P235)</f>
        <v/>
      </c>
      <c r="AC227" s="96" t="str">
        <f>IF(B227="", "", 'Lighting Inventory'!R235)</f>
        <v/>
      </c>
      <c r="AD227" s="26" t="str">
        <f>IF(B227="", "", 'Lighting Inventory'!S235)</f>
        <v/>
      </c>
      <c r="AE227" s="26" t="str">
        <f>IF(B227="", "", 'Lighting Inventory'!V235)</f>
        <v/>
      </c>
      <c r="AF227" s="26" t="str">
        <f>IF(B227="", "", 'Lighting Inventory'!W235)</f>
        <v/>
      </c>
      <c r="AG227" s="26" t="str">
        <f>IF(OR(AF227="", B227=""), "", IF(AE227="Custom", "0", VLOOKUP(AF227, 'Lookup Tables'!$AI$6:$AP$102, 8, FALSE)))</f>
        <v/>
      </c>
      <c r="AH227" s="26" t="str">
        <f>IF(B227="", "", 'Lighting Inventory'!AD235)</f>
        <v/>
      </c>
      <c r="AI227" s="26" t="str">
        <f>IF(OR('Lighting Inventory'!AK235="", B227=""), "", 'Lighting Inventory'!AK235)</f>
        <v/>
      </c>
      <c r="AJ227" s="66" t="str">
        <f>IF(B227="", "", 'Lighting Inventory'!AL235)</f>
        <v/>
      </c>
      <c r="AK227" s="65" t="str">
        <f>IF(B227="", "", 'Lighting Inventory'!AM235)</f>
        <v/>
      </c>
      <c r="AL227" s="26" t="str">
        <f>IF(B227="", "", 'Lighting Inventory'!AN235)</f>
        <v/>
      </c>
      <c r="AM227" s="26" t="str">
        <f t="shared" si="11"/>
        <v/>
      </c>
      <c r="AN227" s="26" t="str">
        <f>IF(B227="","",IF('Lighting Inventory'!AV235="","Prescribed",'Lighting Inventory'!AV235))</f>
        <v/>
      </c>
      <c r="AO227" s="66" t="str">
        <f>IF(B227="", "", 'Lighting Inventory'!AX235)</f>
        <v/>
      </c>
      <c r="AP227" s="67" t="str">
        <f>IF(B227="", "", 'Lighting Inventory'!AZ235)</f>
        <v/>
      </c>
      <c r="AQ227" s="67" t="str">
        <f>IF(B227="", "", 'Lighting Inventory'!BA235)</f>
        <v/>
      </c>
      <c r="AR227" s="67" t="str">
        <f>IF(B227="", "", 'Lighting Inventory'!BB235)</f>
        <v/>
      </c>
      <c r="AS227" s="67" t="str">
        <f>IF(B227="", "", 'Lighting Inventory'!BC235)</f>
        <v/>
      </c>
      <c r="AT227" s="67" t="str">
        <f>IF(B227="", "", 'Lighting Inventory'!BD235)</f>
        <v/>
      </c>
      <c r="AU227" s="67" t="str">
        <f>IF(B227="", "", 'Lighting Inventory'!BE235)</f>
        <v/>
      </c>
      <c r="AV227" s="67" t="str">
        <f>IF(B227="", "", 'Lighting Inventory'!BE235)</f>
        <v/>
      </c>
      <c r="AW227" s="67" t="str">
        <f>IF(B227="", "", 'Lighting Inventory'!BF235)</f>
        <v/>
      </c>
      <c r="AX227" s="67" t="str">
        <f>IF(B227="", "", 'Lighting Inventory'!BF235)</f>
        <v/>
      </c>
      <c r="AY227" s="65" t="str">
        <f t="shared" si="13"/>
        <v/>
      </c>
      <c r="AZ227" s="65" t="str">
        <f>IF(B227="", "", 'Lighting Inventory'!BJ235)</f>
        <v/>
      </c>
      <c r="BA227" s="65" t="str">
        <f>IF(B227="", "", 'Lighting Inventory'!BM235)</f>
        <v/>
      </c>
      <c r="BB227" s="65" t="str">
        <f>IF(B227="","",SUM('Lighting Inventory'!BP235:BP235))</f>
        <v/>
      </c>
      <c r="BC227" s="67" t="str">
        <f>IF(OR(AE227="", B227=""),"", 'Lighting Inventory'!GR235)</f>
        <v/>
      </c>
      <c r="BD227" s="67" t="str">
        <f>IFERROR(IF(B227="", "", 'Lighting Inventory'!AF235)*AD227," ")</f>
        <v xml:space="preserve"> </v>
      </c>
      <c r="BE227" s="67"/>
      <c r="BF227" s="67"/>
    </row>
    <row r="228" spans="1:58" x14ac:dyDescent="0.25">
      <c r="A228" s="26" t="str">
        <f>IF(B228="", "", 'Lookup Tables'!AW229)</f>
        <v/>
      </c>
      <c r="B228" s="26" t="str">
        <f>IF(OR('Lighting Inventory'!Y236="", 'Lighting Inventory'!V236="No Change"),"", 'Lighting Inventory'!Y236)</f>
        <v/>
      </c>
      <c r="C228" s="26" t="str">
        <f>IF(B228="", "", IF('Lighting Inventory'!Y236='Lookup Tables'!$Y$32, 'Lighting Inventory'!AJ236, IF(AD228=0, R228, AD228)))</f>
        <v/>
      </c>
      <c r="D228" s="26" t="str">
        <f>IF(B228="", "", 'General Information'!$F$14)</f>
        <v/>
      </c>
      <c r="E228" s="26" t="str">
        <f t="shared" si="12"/>
        <v/>
      </c>
      <c r="F228" s="26" t="str">
        <f>IF(B228="", "", CONCATENATE('General Information'!$F$9, " - ", 'General Information'!$F$14))</f>
        <v/>
      </c>
      <c r="G228" s="26" t="str">
        <f>IF(B228="", "", 'General Information'!$F$15)</f>
        <v/>
      </c>
      <c r="H228" s="26" t="str">
        <f>IF(B228="", "", IF(VLOOKUP(B228, 'Lookup Tables'!$Y$18:$AA$34, 2, FALSE)="Traffic", VLOOKUP('Lighting Inventory'!W236, 'Lookup Tables'!#REF!, 11, FALSE), VLOOKUP(B228, 'Lookup Tables'!$Y$18:$AA$34, 2, FALSE)))</f>
        <v/>
      </c>
      <c r="I228" s="26" t="str">
        <f>IF(B228="", "", CONCATENATE(D228, 'Data Export'!A228))</f>
        <v/>
      </c>
      <c r="J228" s="26" t="str">
        <f>IF(B228="", "", 'Lookup Tables'!$B$1)</f>
        <v/>
      </c>
      <c r="K228" s="26" t="str">
        <f>IF(B228="", "", 'Lighting Inventory'!B236)</f>
        <v/>
      </c>
      <c r="L228" s="26" t="str">
        <f>IF(B228="", "", 'Lighting Inventory'!C236)</f>
        <v/>
      </c>
      <c r="M228" s="26" t="str">
        <f>IF(B228="", "",'Lighting Inventory'!D236)</f>
        <v/>
      </c>
      <c r="N228" s="26" t="str">
        <f>IF(B228="", "",'Lighting Inventory'!E236)</f>
        <v/>
      </c>
      <c r="O228" s="26" t="str">
        <f>IF(B228="", "", 'Lighting Inventory'!F236)</f>
        <v/>
      </c>
      <c r="P228" s="26" t="str">
        <f>IF(B228="", "", 'Lighting Inventory'!G236)</f>
        <v/>
      </c>
      <c r="Q228" s="26" t="str">
        <f>IF(B228="", "", 'Lighting Inventory'!H236)</f>
        <v/>
      </c>
      <c r="R228" s="26" t="str">
        <f>IF(B228="", "", 'Lighting Inventory'!I236)</f>
        <v/>
      </c>
      <c r="S228" s="26" t="str">
        <f>IF(B228="", "", 'Lighting Inventory'!J236)</f>
        <v/>
      </c>
      <c r="T228" s="26" t="str">
        <f>IFERROR(IF(B228="","",VLOOKUP(S228,'Fixture Identities'!$A$7:$G$1023,5,FALSE)), "New Construction")</f>
        <v/>
      </c>
      <c r="U228" s="26" t="str">
        <f>IFERROR(IF(B228="", "", IF(K228="New Construction", "NC", IF(VLOOKUP(S228, 'Fixture Identities'!$A$7:$I$1023,3, FALSE)="T12 Linear Fluorescent", VLOOKUP(S228, 'Fixture Identities'!$A$7:$K$1012, 11, FALSE), S228))), "")</f>
        <v/>
      </c>
      <c r="V228" s="26" t="str">
        <f>IFERROR(IF(OR(B228="", U228=0), "", VLOOKUP(U228, 'Fixture Identities'!$A$7:$G$1023, 5, FALSE)), "")</f>
        <v/>
      </c>
      <c r="W228" s="26" t="str">
        <f>IF(B228="", "",'Lighting Inventory'!K236)</f>
        <v/>
      </c>
      <c r="X228" s="65" t="str">
        <f>IF(B228="", "", 'Lighting Inventory'!L236)</f>
        <v/>
      </c>
      <c r="Y228" s="26" t="str">
        <f>IF(B228="", "", IF('Lighting Inventory'!M236="", "Light Switch",'Lighting Inventory'!M236))</f>
        <v/>
      </c>
      <c r="Z228" s="26" t="str">
        <f>IF(OR(K228="Retrofit", B228=""), "", 'Lighting Inventory'!N236)</f>
        <v/>
      </c>
      <c r="AA228" s="26" t="str">
        <f>IF(OR(Z228="",B228=""), "", 'Lighting Inventory'!O236)</f>
        <v/>
      </c>
      <c r="AB228" s="26" t="str">
        <f>IF(B228="", "", 'Lighting Inventory'!P236)</f>
        <v/>
      </c>
      <c r="AC228" s="96" t="str">
        <f>IF(B228="", "", 'Lighting Inventory'!R236)</f>
        <v/>
      </c>
      <c r="AD228" s="26" t="str">
        <f>IF(B228="", "", 'Lighting Inventory'!S236)</f>
        <v/>
      </c>
      <c r="AE228" s="26" t="str">
        <f>IF(B228="", "", 'Lighting Inventory'!V236)</f>
        <v/>
      </c>
      <c r="AF228" s="26" t="str">
        <f>IF(B228="", "", 'Lighting Inventory'!W236)</f>
        <v/>
      </c>
      <c r="AG228" s="26" t="str">
        <f>IF(OR(AF228="", B228=""), "", IF(AE228="Custom", "0", VLOOKUP(AF228, 'Lookup Tables'!$AI$6:$AP$102, 8, FALSE)))</f>
        <v/>
      </c>
      <c r="AH228" s="26" t="str">
        <f>IF(B228="", "", 'Lighting Inventory'!AD236)</f>
        <v/>
      </c>
      <c r="AI228" s="26" t="str">
        <f>IF(OR('Lighting Inventory'!AK236="", B228=""), "", 'Lighting Inventory'!AK236)</f>
        <v/>
      </c>
      <c r="AJ228" s="66" t="str">
        <f>IF(B228="", "", 'Lighting Inventory'!AL236)</f>
        <v/>
      </c>
      <c r="AK228" s="65" t="str">
        <f>IF(B228="", "", 'Lighting Inventory'!AM236)</f>
        <v/>
      </c>
      <c r="AL228" s="26" t="str">
        <f>IF(B228="", "", 'Lighting Inventory'!AN236)</f>
        <v/>
      </c>
      <c r="AM228" s="26" t="str">
        <f t="shared" si="11"/>
        <v/>
      </c>
      <c r="AN228" s="26" t="str">
        <f>IF(B228="","",IF('Lighting Inventory'!AV236="","Prescribed",'Lighting Inventory'!AV236))</f>
        <v/>
      </c>
      <c r="AO228" s="66" t="str">
        <f>IF(B228="", "", 'Lighting Inventory'!AX236)</f>
        <v/>
      </c>
      <c r="AP228" s="67" t="str">
        <f>IF(B228="", "", 'Lighting Inventory'!AZ236)</f>
        <v/>
      </c>
      <c r="AQ228" s="67" t="str">
        <f>IF(B228="", "", 'Lighting Inventory'!BA236)</f>
        <v/>
      </c>
      <c r="AR228" s="67" t="str">
        <f>IF(B228="", "", 'Lighting Inventory'!BB236)</f>
        <v/>
      </c>
      <c r="AS228" s="67" t="str">
        <f>IF(B228="", "", 'Lighting Inventory'!BC236)</f>
        <v/>
      </c>
      <c r="AT228" s="67" t="str">
        <f>IF(B228="", "", 'Lighting Inventory'!BD236)</f>
        <v/>
      </c>
      <c r="AU228" s="67" t="str">
        <f>IF(B228="", "", 'Lighting Inventory'!BE236)</f>
        <v/>
      </c>
      <c r="AV228" s="67" t="str">
        <f>IF(B228="", "", 'Lighting Inventory'!BE236)</f>
        <v/>
      </c>
      <c r="AW228" s="67" t="str">
        <f>IF(B228="", "", 'Lighting Inventory'!BF236)</f>
        <v/>
      </c>
      <c r="AX228" s="67" t="str">
        <f>IF(B228="", "", 'Lighting Inventory'!BF236)</f>
        <v/>
      </c>
      <c r="AY228" s="65" t="str">
        <f t="shared" si="13"/>
        <v/>
      </c>
      <c r="AZ228" s="65" t="str">
        <f>IF(B228="", "", 'Lighting Inventory'!BJ236)</f>
        <v/>
      </c>
      <c r="BA228" s="65" t="str">
        <f>IF(B228="", "", 'Lighting Inventory'!BM236)</f>
        <v/>
      </c>
      <c r="BB228" s="65" t="str">
        <f>IF(B228="","",SUM('Lighting Inventory'!BP236:BP236))</f>
        <v/>
      </c>
      <c r="BC228" s="67" t="str">
        <f>IF(OR(AE228="", B228=""),"", 'Lighting Inventory'!GR236)</f>
        <v/>
      </c>
      <c r="BD228" s="67" t="str">
        <f>IFERROR(IF(B228="", "", 'Lighting Inventory'!AF236)*AD228," ")</f>
        <v xml:space="preserve"> </v>
      </c>
      <c r="BE228" s="67"/>
      <c r="BF228" s="67"/>
    </row>
    <row r="229" spans="1:58" x14ac:dyDescent="0.25">
      <c r="A229" s="26" t="str">
        <f>IF(B229="", "", 'Lookup Tables'!AW230)</f>
        <v/>
      </c>
      <c r="B229" s="26" t="str">
        <f>IF(OR('Lighting Inventory'!Y237="", 'Lighting Inventory'!V237="No Change"),"", 'Lighting Inventory'!Y237)</f>
        <v/>
      </c>
      <c r="C229" s="26" t="str">
        <f>IF(B229="", "", IF('Lighting Inventory'!Y237='Lookup Tables'!$Y$32, 'Lighting Inventory'!AJ237, IF(AD229=0, R229, AD229)))</f>
        <v/>
      </c>
      <c r="D229" s="26" t="str">
        <f>IF(B229="", "", 'General Information'!$F$14)</f>
        <v/>
      </c>
      <c r="E229" s="26" t="str">
        <f t="shared" si="12"/>
        <v/>
      </c>
      <c r="F229" s="26" t="str">
        <f>IF(B229="", "", CONCATENATE('General Information'!$F$9, " - ", 'General Information'!$F$14))</f>
        <v/>
      </c>
      <c r="G229" s="26" t="str">
        <f>IF(B229="", "", 'General Information'!$F$15)</f>
        <v/>
      </c>
      <c r="H229" s="26" t="str">
        <f>IF(B229="", "", IF(VLOOKUP(B229, 'Lookup Tables'!$Y$18:$AA$34, 2, FALSE)="Traffic", VLOOKUP('Lighting Inventory'!W237, 'Lookup Tables'!#REF!, 11, FALSE), VLOOKUP(B229, 'Lookup Tables'!$Y$18:$AA$34, 2, FALSE)))</f>
        <v/>
      </c>
      <c r="I229" s="26" t="str">
        <f>IF(B229="", "", CONCATENATE(D229, 'Data Export'!A229))</f>
        <v/>
      </c>
      <c r="J229" s="26" t="str">
        <f>IF(B229="", "", 'Lookup Tables'!$B$1)</f>
        <v/>
      </c>
      <c r="K229" s="26" t="str">
        <f>IF(B229="", "", 'Lighting Inventory'!B237)</f>
        <v/>
      </c>
      <c r="L229" s="26" t="str">
        <f>IF(B229="", "", 'Lighting Inventory'!C237)</f>
        <v/>
      </c>
      <c r="M229" s="26" t="str">
        <f>IF(B229="", "",'Lighting Inventory'!D237)</f>
        <v/>
      </c>
      <c r="N229" s="26" t="str">
        <f>IF(B229="", "",'Lighting Inventory'!E237)</f>
        <v/>
      </c>
      <c r="O229" s="26" t="str">
        <f>IF(B229="", "", 'Lighting Inventory'!F237)</f>
        <v/>
      </c>
      <c r="P229" s="26" t="str">
        <f>IF(B229="", "", 'Lighting Inventory'!G237)</f>
        <v/>
      </c>
      <c r="Q229" s="26" t="str">
        <f>IF(B229="", "", 'Lighting Inventory'!H237)</f>
        <v/>
      </c>
      <c r="R229" s="26" t="str">
        <f>IF(B229="", "", 'Lighting Inventory'!I237)</f>
        <v/>
      </c>
      <c r="S229" s="26" t="str">
        <f>IF(B229="", "", 'Lighting Inventory'!J237)</f>
        <v/>
      </c>
      <c r="T229" s="26" t="str">
        <f>IFERROR(IF(B229="","",VLOOKUP(S229,'Fixture Identities'!$A$7:$G$1023,5,FALSE)), "New Construction")</f>
        <v/>
      </c>
      <c r="U229" s="26" t="str">
        <f>IFERROR(IF(B229="", "", IF(K229="New Construction", "NC", IF(VLOOKUP(S229, 'Fixture Identities'!$A$7:$I$1023,3, FALSE)="T12 Linear Fluorescent", VLOOKUP(S229, 'Fixture Identities'!$A$7:$K$1012, 11, FALSE), S229))), "")</f>
        <v/>
      </c>
      <c r="V229" s="26" t="str">
        <f>IFERROR(IF(OR(B229="", U229=0), "", VLOOKUP(U229, 'Fixture Identities'!$A$7:$G$1023, 5, FALSE)), "")</f>
        <v/>
      </c>
      <c r="W229" s="26" t="str">
        <f>IF(B229="", "",'Lighting Inventory'!K237)</f>
        <v/>
      </c>
      <c r="X229" s="65" t="str">
        <f>IF(B229="", "", 'Lighting Inventory'!L237)</f>
        <v/>
      </c>
      <c r="Y229" s="26" t="str">
        <f>IF(B229="", "", IF('Lighting Inventory'!M237="", "Light Switch",'Lighting Inventory'!M237))</f>
        <v/>
      </c>
      <c r="Z229" s="26" t="str">
        <f>IF(OR(K229="Retrofit", B229=""), "", 'Lighting Inventory'!N237)</f>
        <v/>
      </c>
      <c r="AA229" s="26" t="str">
        <f>IF(OR(Z229="",B229=""), "", 'Lighting Inventory'!O237)</f>
        <v/>
      </c>
      <c r="AB229" s="26" t="str">
        <f>IF(B229="", "", 'Lighting Inventory'!P237)</f>
        <v/>
      </c>
      <c r="AC229" s="96" t="str">
        <f>IF(B229="", "", 'Lighting Inventory'!R237)</f>
        <v/>
      </c>
      <c r="AD229" s="26" t="str">
        <f>IF(B229="", "", 'Lighting Inventory'!S237)</f>
        <v/>
      </c>
      <c r="AE229" s="26" t="str">
        <f>IF(B229="", "", 'Lighting Inventory'!V237)</f>
        <v/>
      </c>
      <c r="AF229" s="26" t="str">
        <f>IF(B229="", "", 'Lighting Inventory'!W237)</f>
        <v/>
      </c>
      <c r="AG229" s="26" t="str">
        <f>IF(OR(AF229="", B229=""), "", IF(AE229="Custom", "0", VLOOKUP(AF229, 'Lookup Tables'!$AI$6:$AP$102, 8, FALSE)))</f>
        <v/>
      </c>
      <c r="AH229" s="26" t="str">
        <f>IF(B229="", "", 'Lighting Inventory'!AD237)</f>
        <v/>
      </c>
      <c r="AI229" s="26" t="str">
        <f>IF(OR('Lighting Inventory'!AK237="", B229=""), "", 'Lighting Inventory'!AK237)</f>
        <v/>
      </c>
      <c r="AJ229" s="66" t="str">
        <f>IF(B229="", "", 'Lighting Inventory'!AL237)</f>
        <v/>
      </c>
      <c r="AK229" s="65" t="str">
        <f>IF(B229="", "", 'Lighting Inventory'!AM237)</f>
        <v/>
      </c>
      <c r="AL229" s="26" t="str">
        <f>IF(B229="", "", 'Lighting Inventory'!AN237)</f>
        <v/>
      </c>
      <c r="AM229" s="26" t="str">
        <f t="shared" si="11"/>
        <v/>
      </c>
      <c r="AN229" s="26" t="str">
        <f>IF(B229="","",IF('Lighting Inventory'!AV237="","Prescribed",'Lighting Inventory'!AV237))</f>
        <v/>
      </c>
      <c r="AO229" s="66" t="str">
        <f>IF(B229="", "", 'Lighting Inventory'!AX237)</f>
        <v/>
      </c>
      <c r="AP229" s="67" t="str">
        <f>IF(B229="", "", 'Lighting Inventory'!AZ237)</f>
        <v/>
      </c>
      <c r="AQ229" s="67" t="str">
        <f>IF(B229="", "", 'Lighting Inventory'!BA237)</f>
        <v/>
      </c>
      <c r="AR229" s="67" t="str">
        <f>IF(B229="", "", 'Lighting Inventory'!BB237)</f>
        <v/>
      </c>
      <c r="AS229" s="67" t="str">
        <f>IF(B229="", "", 'Lighting Inventory'!BC237)</f>
        <v/>
      </c>
      <c r="AT229" s="67" t="str">
        <f>IF(B229="", "", 'Lighting Inventory'!BD237)</f>
        <v/>
      </c>
      <c r="AU229" s="67" t="str">
        <f>IF(B229="", "", 'Lighting Inventory'!BE237)</f>
        <v/>
      </c>
      <c r="AV229" s="67" t="str">
        <f>IF(B229="", "", 'Lighting Inventory'!BE237)</f>
        <v/>
      </c>
      <c r="AW229" s="67" t="str">
        <f>IF(B229="", "", 'Lighting Inventory'!BF237)</f>
        <v/>
      </c>
      <c r="AX229" s="67" t="str">
        <f>IF(B229="", "", 'Lighting Inventory'!BF237)</f>
        <v/>
      </c>
      <c r="AY229" s="65" t="str">
        <f t="shared" si="13"/>
        <v/>
      </c>
      <c r="AZ229" s="65" t="str">
        <f>IF(B229="", "", 'Lighting Inventory'!BJ237)</f>
        <v/>
      </c>
      <c r="BA229" s="65" t="str">
        <f>IF(B229="", "", 'Lighting Inventory'!BM237)</f>
        <v/>
      </c>
      <c r="BB229" s="65" t="str">
        <f>IF(B229="","",SUM('Lighting Inventory'!BP237:BP237))</f>
        <v/>
      </c>
      <c r="BC229" s="67" t="str">
        <f>IF(OR(AE229="", B229=""),"", 'Lighting Inventory'!GR237)</f>
        <v/>
      </c>
      <c r="BD229" s="67" t="str">
        <f>IFERROR(IF(B229="", "", 'Lighting Inventory'!AF237)*AD229," ")</f>
        <v xml:space="preserve"> </v>
      </c>
      <c r="BE229" s="67"/>
      <c r="BF229" s="67"/>
    </row>
    <row r="230" spans="1:58" x14ac:dyDescent="0.25">
      <c r="A230" s="26" t="str">
        <f>IF(B230="", "", 'Lookup Tables'!AW231)</f>
        <v/>
      </c>
      <c r="B230" s="26" t="str">
        <f>IF(OR('Lighting Inventory'!Y238="", 'Lighting Inventory'!V238="No Change"),"", 'Lighting Inventory'!Y238)</f>
        <v/>
      </c>
      <c r="C230" s="26" t="str">
        <f>IF(B230="", "", IF('Lighting Inventory'!Y238='Lookup Tables'!$Y$32, 'Lighting Inventory'!AJ238, IF(AD230=0, R230, AD230)))</f>
        <v/>
      </c>
      <c r="D230" s="26" t="str">
        <f>IF(B230="", "", 'General Information'!$F$14)</f>
        <v/>
      </c>
      <c r="E230" s="26" t="str">
        <f t="shared" si="12"/>
        <v/>
      </c>
      <c r="F230" s="26" t="str">
        <f>IF(B230="", "", CONCATENATE('General Information'!$F$9, " - ", 'General Information'!$F$14))</f>
        <v/>
      </c>
      <c r="G230" s="26" t="str">
        <f>IF(B230="", "", 'General Information'!$F$15)</f>
        <v/>
      </c>
      <c r="H230" s="26" t="str">
        <f>IF(B230="", "", IF(VLOOKUP(B230, 'Lookup Tables'!$Y$18:$AA$34, 2, FALSE)="Traffic", VLOOKUP('Lighting Inventory'!W238, 'Lookup Tables'!#REF!, 11, FALSE), VLOOKUP(B230, 'Lookup Tables'!$Y$18:$AA$34, 2, FALSE)))</f>
        <v/>
      </c>
      <c r="I230" s="26" t="str">
        <f>IF(B230="", "", CONCATENATE(D230, 'Data Export'!A230))</f>
        <v/>
      </c>
      <c r="J230" s="26" t="str">
        <f>IF(B230="", "", 'Lookup Tables'!$B$1)</f>
        <v/>
      </c>
      <c r="K230" s="26" t="str">
        <f>IF(B230="", "", 'Lighting Inventory'!B238)</f>
        <v/>
      </c>
      <c r="L230" s="26" t="str">
        <f>IF(B230="", "", 'Lighting Inventory'!C238)</f>
        <v/>
      </c>
      <c r="M230" s="26" t="str">
        <f>IF(B230="", "",'Lighting Inventory'!D238)</f>
        <v/>
      </c>
      <c r="N230" s="26" t="str">
        <f>IF(B230="", "",'Lighting Inventory'!E238)</f>
        <v/>
      </c>
      <c r="O230" s="26" t="str">
        <f>IF(B230="", "", 'Lighting Inventory'!F238)</f>
        <v/>
      </c>
      <c r="P230" s="26" t="str">
        <f>IF(B230="", "", 'Lighting Inventory'!G238)</f>
        <v/>
      </c>
      <c r="Q230" s="26" t="str">
        <f>IF(B230="", "", 'Lighting Inventory'!H238)</f>
        <v/>
      </c>
      <c r="R230" s="26" t="str">
        <f>IF(B230="", "", 'Lighting Inventory'!I238)</f>
        <v/>
      </c>
      <c r="S230" s="26" t="str">
        <f>IF(B230="", "", 'Lighting Inventory'!J238)</f>
        <v/>
      </c>
      <c r="T230" s="26" t="str">
        <f>IFERROR(IF(B230="","",VLOOKUP(S230,'Fixture Identities'!$A$7:$G$1023,5,FALSE)), "New Construction")</f>
        <v/>
      </c>
      <c r="U230" s="26" t="str">
        <f>IFERROR(IF(B230="", "", IF(K230="New Construction", "NC", IF(VLOOKUP(S230, 'Fixture Identities'!$A$7:$I$1023,3, FALSE)="T12 Linear Fluorescent", VLOOKUP(S230, 'Fixture Identities'!$A$7:$K$1012, 11, FALSE), S230))), "")</f>
        <v/>
      </c>
      <c r="V230" s="26" t="str">
        <f>IFERROR(IF(OR(B230="", U230=0), "", VLOOKUP(U230, 'Fixture Identities'!$A$7:$G$1023, 5, FALSE)), "")</f>
        <v/>
      </c>
      <c r="W230" s="26" t="str">
        <f>IF(B230="", "",'Lighting Inventory'!K238)</f>
        <v/>
      </c>
      <c r="X230" s="65" t="str">
        <f>IF(B230="", "", 'Lighting Inventory'!L238)</f>
        <v/>
      </c>
      <c r="Y230" s="26" t="str">
        <f>IF(B230="", "", IF('Lighting Inventory'!M238="", "Light Switch",'Lighting Inventory'!M238))</f>
        <v/>
      </c>
      <c r="Z230" s="26" t="str">
        <f>IF(OR(K230="Retrofit", B230=""), "", 'Lighting Inventory'!N238)</f>
        <v/>
      </c>
      <c r="AA230" s="26" t="str">
        <f>IF(OR(Z230="",B230=""), "", 'Lighting Inventory'!O238)</f>
        <v/>
      </c>
      <c r="AB230" s="26" t="str">
        <f>IF(B230="", "", 'Lighting Inventory'!P238)</f>
        <v/>
      </c>
      <c r="AC230" s="96" t="str">
        <f>IF(B230="", "", 'Lighting Inventory'!R238)</f>
        <v/>
      </c>
      <c r="AD230" s="26" t="str">
        <f>IF(B230="", "", 'Lighting Inventory'!S238)</f>
        <v/>
      </c>
      <c r="AE230" s="26" t="str">
        <f>IF(B230="", "", 'Lighting Inventory'!V238)</f>
        <v/>
      </c>
      <c r="AF230" s="26" t="str">
        <f>IF(B230="", "", 'Lighting Inventory'!W238)</f>
        <v/>
      </c>
      <c r="AG230" s="26" t="str">
        <f>IF(OR(AF230="", B230=""), "", IF(AE230="Custom", "0", VLOOKUP(AF230, 'Lookup Tables'!$AI$6:$AP$102, 8, FALSE)))</f>
        <v/>
      </c>
      <c r="AH230" s="26" t="str">
        <f>IF(B230="", "", 'Lighting Inventory'!AD238)</f>
        <v/>
      </c>
      <c r="AI230" s="26" t="str">
        <f>IF(OR('Lighting Inventory'!AK238="", B230=""), "", 'Lighting Inventory'!AK238)</f>
        <v/>
      </c>
      <c r="AJ230" s="66" t="str">
        <f>IF(B230="", "", 'Lighting Inventory'!AL238)</f>
        <v/>
      </c>
      <c r="AK230" s="65" t="str">
        <f>IF(B230="", "", 'Lighting Inventory'!AM238)</f>
        <v/>
      </c>
      <c r="AL230" s="26" t="str">
        <f>IF(B230="", "", 'Lighting Inventory'!AN238)</f>
        <v/>
      </c>
      <c r="AM230" s="26" t="str">
        <f t="shared" si="11"/>
        <v/>
      </c>
      <c r="AN230" s="26" t="str">
        <f>IF(B230="","",IF('Lighting Inventory'!AV238="","Prescribed",'Lighting Inventory'!AV238))</f>
        <v/>
      </c>
      <c r="AO230" s="66" t="str">
        <f>IF(B230="", "", 'Lighting Inventory'!AX238)</f>
        <v/>
      </c>
      <c r="AP230" s="67" t="str">
        <f>IF(B230="", "", 'Lighting Inventory'!AZ238)</f>
        <v/>
      </c>
      <c r="AQ230" s="67" t="str">
        <f>IF(B230="", "", 'Lighting Inventory'!BA238)</f>
        <v/>
      </c>
      <c r="AR230" s="67" t="str">
        <f>IF(B230="", "", 'Lighting Inventory'!BB238)</f>
        <v/>
      </c>
      <c r="AS230" s="67" t="str">
        <f>IF(B230="", "", 'Lighting Inventory'!BC238)</f>
        <v/>
      </c>
      <c r="AT230" s="67" t="str">
        <f>IF(B230="", "", 'Lighting Inventory'!BD238)</f>
        <v/>
      </c>
      <c r="AU230" s="67" t="str">
        <f>IF(B230="", "", 'Lighting Inventory'!BE238)</f>
        <v/>
      </c>
      <c r="AV230" s="67" t="str">
        <f>IF(B230="", "", 'Lighting Inventory'!BE238)</f>
        <v/>
      </c>
      <c r="AW230" s="67" t="str">
        <f>IF(B230="", "", 'Lighting Inventory'!BF238)</f>
        <v/>
      </c>
      <c r="AX230" s="67" t="str">
        <f>IF(B230="", "", 'Lighting Inventory'!BF238)</f>
        <v/>
      </c>
      <c r="AY230" s="65" t="str">
        <f t="shared" si="13"/>
        <v/>
      </c>
      <c r="AZ230" s="65" t="str">
        <f>IF(B230="", "", 'Lighting Inventory'!BJ238)</f>
        <v/>
      </c>
      <c r="BA230" s="65" t="str">
        <f>IF(B230="", "", 'Lighting Inventory'!BM238)</f>
        <v/>
      </c>
      <c r="BB230" s="65" t="str">
        <f>IF(B230="","",SUM('Lighting Inventory'!BP238:BP238))</f>
        <v/>
      </c>
      <c r="BC230" s="67" t="str">
        <f>IF(OR(AE230="", B230=""),"", 'Lighting Inventory'!GR238)</f>
        <v/>
      </c>
      <c r="BD230" s="67" t="str">
        <f>IFERROR(IF(B230="", "", 'Lighting Inventory'!AF238)*AD230," ")</f>
        <v xml:space="preserve"> </v>
      </c>
      <c r="BE230" s="67"/>
      <c r="BF230" s="67"/>
    </row>
    <row r="231" spans="1:58" x14ac:dyDescent="0.25">
      <c r="A231" s="26" t="str">
        <f>IF(B231="", "", 'Lookup Tables'!AW232)</f>
        <v/>
      </c>
      <c r="B231" s="26" t="str">
        <f>IF(OR('Lighting Inventory'!Y239="", 'Lighting Inventory'!V239="No Change"),"", 'Lighting Inventory'!Y239)</f>
        <v/>
      </c>
      <c r="C231" s="26" t="str">
        <f>IF(B231="", "", IF('Lighting Inventory'!Y239='Lookup Tables'!$Y$32, 'Lighting Inventory'!AJ239, IF(AD231=0, R231, AD231)))</f>
        <v/>
      </c>
      <c r="D231" s="26" t="str">
        <f>IF(B231="", "", 'General Information'!$F$14)</f>
        <v/>
      </c>
      <c r="E231" s="26" t="str">
        <f t="shared" si="12"/>
        <v/>
      </c>
      <c r="F231" s="26" t="str">
        <f>IF(B231="", "", CONCATENATE('General Information'!$F$9, " - ", 'General Information'!$F$14))</f>
        <v/>
      </c>
      <c r="G231" s="26" t="str">
        <f>IF(B231="", "", 'General Information'!$F$15)</f>
        <v/>
      </c>
      <c r="H231" s="26" t="str">
        <f>IF(B231="", "", IF(VLOOKUP(B231, 'Lookup Tables'!$Y$18:$AA$34, 2, FALSE)="Traffic", VLOOKUP('Lighting Inventory'!W239, 'Lookup Tables'!#REF!, 11, FALSE), VLOOKUP(B231, 'Lookup Tables'!$Y$18:$AA$34, 2, FALSE)))</f>
        <v/>
      </c>
      <c r="I231" s="26" t="str">
        <f>IF(B231="", "", CONCATENATE(D231, 'Data Export'!A231))</f>
        <v/>
      </c>
      <c r="J231" s="26" t="str">
        <f>IF(B231="", "", 'Lookup Tables'!$B$1)</f>
        <v/>
      </c>
      <c r="K231" s="26" t="str">
        <f>IF(B231="", "", 'Lighting Inventory'!B239)</f>
        <v/>
      </c>
      <c r="L231" s="26" t="str">
        <f>IF(B231="", "", 'Lighting Inventory'!C239)</f>
        <v/>
      </c>
      <c r="M231" s="26" t="str">
        <f>IF(B231="", "",'Lighting Inventory'!D239)</f>
        <v/>
      </c>
      <c r="N231" s="26" t="str">
        <f>IF(B231="", "",'Lighting Inventory'!E239)</f>
        <v/>
      </c>
      <c r="O231" s="26" t="str">
        <f>IF(B231="", "", 'Lighting Inventory'!F239)</f>
        <v/>
      </c>
      <c r="P231" s="26" t="str">
        <f>IF(B231="", "", 'Lighting Inventory'!G239)</f>
        <v/>
      </c>
      <c r="Q231" s="26" t="str">
        <f>IF(B231="", "", 'Lighting Inventory'!H239)</f>
        <v/>
      </c>
      <c r="R231" s="26" t="str">
        <f>IF(B231="", "", 'Lighting Inventory'!I239)</f>
        <v/>
      </c>
      <c r="S231" s="26" t="str">
        <f>IF(B231="", "", 'Lighting Inventory'!J239)</f>
        <v/>
      </c>
      <c r="T231" s="26" t="str">
        <f>IFERROR(IF(B231="","",VLOOKUP(S231,'Fixture Identities'!$A$7:$G$1023,5,FALSE)), "New Construction")</f>
        <v/>
      </c>
      <c r="U231" s="26" t="str">
        <f>IFERROR(IF(B231="", "", IF(K231="New Construction", "NC", IF(VLOOKUP(S231, 'Fixture Identities'!$A$7:$I$1023,3, FALSE)="T12 Linear Fluorescent", VLOOKUP(S231, 'Fixture Identities'!$A$7:$K$1012, 11, FALSE), S231))), "")</f>
        <v/>
      </c>
      <c r="V231" s="26" t="str">
        <f>IFERROR(IF(OR(B231="", U231=0), "", VLOOKUP(U231, 'Fixture Identities'!$A$7:$G$1023, 5, FALSE)), "")</f>
        <v/>
      </c>
      <c r="W231" s="26" t="str">
        <f>IF(B231="", "",'Lighting Inventory'!K239)</f>
        <v/>
      </c>
      <c r="X231" s="65" t="str">
        <f>IF(B231="", "", 'Lighting Inventory'!L239)</f>
        <v/>
      </c>
      <c r="Y231" s="26" t="str">
        <f>IF(B231="", "", IF('Lighting Inventory'!M239="", "Light Switch",'Lighting Inventory'!M239))</f>
        <v/>
      </c>
      <c r="Z231" s="26" t="str">
        <f>IF(OR(K231="Retrofit", B231=""), "", 'Lighting Inventory'!N239)</f>
        <v/>
      </c>
      <c r="AA231" s="26" t="str">
        <f>IF(OR(Z231="",B231=""), "", 'Lighting Inventory'!O239)</f>
        <v/>
      </c>
      <c r="AB231" s="26" t="str">
        <f>IF(B231="", "", 'Lighting Inventory'!P239)</f>
        <v/>
      </c>
      <c r="AC231" s="96" t="str">
        <f>IF(B231="", "", 'Lighting Inventory'!R239)</f>
        <v/>
      </c>
      <c r="AD231" s="26" t="str">
        <f>IF(B231="", "", 'Lighting Inventory'!S239)</f>
        <v/>
      </c>
      <c r="AE231" s="26" t="str">
        <f>IF(B231="", "", 'Lighting Inventory'!V239)</f>
        <v/>
      </c>
      <c r="AF231" s="26" t="str">
        <f>IF(B231="", "", 'Lighting Inventory'!W239)</f>
        <v/>
      </c>
      <c r="AG231" s="26" t="str">
        <f>IF(OR(AF231="", B231=""), "", IF(AE231="Custom", "0", VLOOKUP(AF231, 'Lookup Tables'!$AI$6:$AP$102, 8, FALSE)))</f>
        <v/>
      </c>
      <c r="AH231" s="26" t="str">
        <f>IF(B231="", "", 'Lighting Inventory'!AD239)</f>
        <v/>
      </c>
      <c r="AI231" s="26" t="str">
        <f>IF(OR('Lighting Inventory'!AK239="", B231=""), "", 'Lighting Inventory'!AK239)</f>
        <v/>
      </c>
      <c r="AJ231" s="66" t="str">
        <f>IF(B231="", "", 'Lighting Inventory'!AL239)</f>
        <v/>
      </c>
      <c r="AK231" s="65" t="str">
        <f>IF(B231="", "", 'Lighting Inventory'!AM239)</f>
        <v/>
      </c>
      <c r="AL231" s="26" t="str">
        <f>IF(B231="", "", 'Lighting Inventory'!AN239)</f>
        <v/>
      </c>
      <c r="AM231" s="26" t="str">
        <f t="shared" si="11"/>
        <v/>
      </c>
      <c r="AN231" s="26" t="str">
        <f>IF(B231="","",IF('Lighting Inventory'!AV239="","Prescribed",'Lighting Inventory'!AV239))</f>
        <v/>
      </c>
      <c r="AO231" s="66" t="str">
        <f>IF(B231="", "", 'Lighting Inventory'!AX239)</f>
        <v/>
      </c>
      <c r="AP231" s="67" t="str">
        <f>IF(B231="", "", 'Lighting Inventory'!AZ239)</f>
        <v/>
      </c>
      <c r="AQ231" s="67" t="str">
        <f>IF(B231="", "", 'Lighting Inventory'!BA239)</f>
        <v/>
      </c>
      <c r="AR231" s="67" t="str">
        <f>IF(B231="", "", 'Lighting Inventory'!BB239)</f>
        <v/>
      </c>
      <c r="AS231" s="67" t="str">
        <f>IF(B231="", "", 'Lighting Inventory'!BC239)</f>
        <v/>
      </c>
      <c r="AT231" s="67" t="str">
        <f>IF(B231="", "", 'Lighting Inventory'!BD239)</f>
        <v/>
      </c>
      <c r="AU231" s="67" t="str">
        <f>IF(B231="", "", 'Lighting Inventory'!BE239)</f>
        <v/>
      </c>
      <c r="AV231" s="67" t="str">
        <f>IF(B231="", "", 'Lighting Inventory'!BE239)</f>
        <v/>
      </c>
      <c r="AW231" s="67" t="str">
        <f>IF(B231="", "", 'Lighting Inventory'!BF239)</f>
        <v/>
      </c>
      <c r="AX231" s="67" t="str">
        <f>IF(B231="", "", 'Lighting Inventory'!BF239)</f>
        <v/>
      </c>
      <c r="AY231" s="65" t="str">
        <f t="shared" si="13"/>
        <v/>
      </c>
      <c r="AZ231" s="65" t="str">
        <f>IF(B231="", "", 'Lighting Inventory'!BJ239)</f>
        <v/>
      </c>
      <c r="BA231" s="65" t="str">
        <f>IF(B231="", "", 'Lighting Inventory'!BM239)</f>
        <v/>
      </c>
      <c r="BB231" s="65" t="str">
        <f>IF(B231="","",SUM('Lighting Inventory'!BP239:BP239))</f>
        <v/>
      </c>
      <c r="BC231" s="67" t="str">
        <f>IF(OR(AE231="", B231=""),"", 'Lighting Inventory'!GR239)</f>
        <v/>
      </c>
      <c r="BD231" s="67" t="str">
        <f>IFERROR(IF(B231="", "", 'Lighting Inventory'!AF239)*AD231," ")</f>
        <v xml:space="preserve"> </v>
      </c>
      <c r="BE231" s="67"/>
      <c r="BF231" s="67"/>
    </row>
    <row r="232" spans="1:58" x14ac:dyDescent="0.25">
      <c r="A232" s="26" t="str">
        <f>IF(B232="", "", 'Lookup Tables'!AW233)</f>
        <v/>
      </c>
      <c r="B232" s="26" t="str">
        <f>IF(OR('Lighting Inventory'!Y240="", 'Lighting Inventory'!V240="No Change"),"", 'Lighting Inventory'!Y240)</f>
        <v/>
      </c>
      <c r="C232" s="26" t="str">
        <f>IF(B232="", "", IF('Lighting Inventory'!Y240='Lookup Tables'!$Y$32, 'Lighting Inventory'!AJ240, IF(AD232=0, R232, AD232)))</f>
        <v/>
      </c>
      <c r="D232" s="26" t="str">
        <f>IF(B232="", "", 'General Information'!$F$14)</f>
        <v/>
      </c>
      <c r="E232" s="26" t="str">
        <f t="shared" si="12"/>
        <v/>
      </c>
      <c r="F232" s="26" t="str">
        <f>IF(B232="", "", CONCATENATE('General Information'!$F$9, " - ", 'General Information'!$F$14))</f>
        <v/>
      </c>
      <c r="G232" s="26" t="str">
        <f>IF(B232="", "", 'General Information'!$F$15)</f>
        <v/>
      </c>
      <c r="H232" s="26" t="str">
        <f>IF(B232="", "", IF(VLOOKUP(B232, 'Lookup Tables'!$Y$18:$AA$34, 2, FALSE)="Traffic", VLOOKUP('Lighting Inventory'!W240, 'Lookup Tables'!#REF!, 11, FALSE), VLOOKUP(B232, 'Lookup Tables'!$Y$18:$AA$34, 2, FALSE)))</f>
        <v/>
      </c>
      <c r="I232" s="26" t="str">
        <f>IF(B232="", "", CONCATENATE(D232, 'Data Export'!A232))</f>
        <v/>
      </c>
      <c r="J232" s="26" t="str">
        <f>IF(B232="", "", 'Lookup Tables'!$B$1)</f>
        <v/>
      </c>
      <c r="K232" s="26" t="str">
        <f>IF(B232="", "", 'Lighting Inventory'!B240)</f>
        <v/>
      </c>
      <c r="L232" s="26" t="str">
        <f>IF(B232="", "", 'Lighting Inventory'!C240)</f>
        <v/>
      </c>
      <c r="M232" s="26" t="str">
        <f>IF(B232="", "",'Lighting Inventory'!D240)</f>
        <v/>
      </c>
      <c r="N232" s="26" t="str">
        <f>IF(B232="", "",'Lighting Inventory'!E240)</f>
        <v/>
      </c>
      <c r="O232" s="26" t="str">
        <f>IF(B232="", "", 'Lighting Inventory'!F240)</f>
        <v/>
      </c>
      <c r="P232" s="26" t="str">
        <f>IF(B232="", "", 'Lighting Inventory'!G240)</f>
        <v/>
      </c>
      <c r="Q232" s="26" t="str">
        <f>IF(B232="", "", 'Lighting Inventory'!H240)</f>
        <v/>
      </c>
      <c r="R232" s="26" t="str">
        <f>IF(B232="", "", 'Lighting Inventory'!I240)</f>
        <v/>
      </c>
      <c r="S232" s="26" t="str">
        <f>IF(B232="", "", 'Lighting Inventory'!J240)</f>
        <v/>
      </c>
      <c r="T232" s="26" t="str">
        <f>IFERROR(IF(B232="","",VLOOKUP(S232,'Fixture Identities'!$A$7:$G$1023,5,FALSE)), "New Construction")</f>
        <v/>
      </c>
      <c r="U232" s="26" t="str">
        <f>IFERROR(IF(B232="", "", IF(K232="New Construction", "NC", IF(VLOOKUP(S232, 'Fixture Identities'!$A$7:$I$1023,3, FALSE)="T12 Linear Fluorescent", VLOOKUP(S232, 'Fixture Identities'!$A$7:$K$1012, 11, FALSE), S232))), "")</f>
        <v/>
      </c>
      <c r="V232" s="26" t="str">
        <f>IFERROR(IF(OR(B232="", U232=0), "", VLOOKUP(U232, 'Fixture Identities'!$A$7:$G$1023, 5, FALSE)), "")</f>
        <v/>
      </c>
      <c r="W232" s="26" t="str">
        <f>IF(B232="", "",'Lighting Inventory'!K240)</f>
        <v/>
      </c>
      <c r="X232" s="65" t="str">
        <f>IF(B232="", "", 'Lighting Inventory'!L240)</f>
        <v/>
      </c>
      <c r="Y232" s="26" t="str">
        <f>IF(B232="", "", IF('Lighting Inventory'!M240="", "Light Switch",'Lighting Inventory'!M240))</f>
        <v/>
      </c>
      <c r="Z232" s="26" t="str">
        <f>IF(OR(K232="Retrofit", B232=""), "", 'Lighting Inventory'!N240)</f>
        <v/>
      </c>
      <c r="AA232" s="26" t="str">
        <f>IF(OR(Z232="",B232=""), "", 'Lighting Inventory'!O240)</f>
        <v/>
      </c>
      <c r="AB232" s="26" t="str">
        <f>IF(B232="", "", 'Lighting Inventory'!P240)</f>
        <v/>
      </c>
      <c r="AC232" s="96" t="str">
        <f>IF(B232="", "", 'Lighting Inventory'!R240)</f>
        <v/>
      </c>
      <c r="AD232" s="26" t="str">
        <f>IF(B232="", "", 'Lighting Inventory'!S240)</f>
        <v/>
      </c>
      <c r="AE232" s="26" t="str">
        <f>IF(B232="", "", 'Lighting Inventory'!V240)</f>
        <v/>
      </c>
      <c r="AF232" s="26" t="str">
        <f>IF(B232="", "", 'Lighting Inventory'!W240)</f>
        <v/>
      </c>
      <c r="AG232" s="26" t="str">
        <f>IF(OR(AF232="", B232=""), "", IF(AE232="Custom", "0", VLOOKUP(AF232, 'Lookup Tables'!$AI$6:$AP$102, 8, FALSE)))</f>
        <v/>
      </c>
      <c r="AH232" s="26" t="str">
        <f>IF(B232="", "", 'Lighting Inventory'!AD240)</f>
        <v/>
      </c>
      <c r="AI232" s="26" t="str">
        <f>IF(OR('Lighting Inventory'!AK240="", B232=""), "", 'Lighting Inventory'!AK240)</f>
        <v/>
      </c>
      <c r="AJ232" s="66" t="str">
        <f>IF(B232="", "", 'Lighting Inventory'!AL240)</f>
        <v/>
      </c>
      <c r="AK232" s="65" t="str">
        <f>IF(B232="", "", 'Lighting Inventory'!AM240)</f>
        <v/>
      </c>
      <c r="AL232" s="26" t="str">
        <f>IF(B232="", "", 'Lighting Inventory'!AN240)</f>
        <v/>
      </c>
      <c r="AM232" s="26" t="str">
        <f t="shared" si="11"/>
        <v/>
      </c>
      <c r="AN232" s="26" t="str">
        <f>IF(B232="","",IF('Lighting Inventory'!AV240="","Prescribed",'Lighting Inventory'!AV240))</f>
        <v/>
      </c>
      <c r="AO232" s="66" t="str">
        <f>IF(B232="", "", 'Lighting Inventory'!AX240)</f>
        <v/>
      </c>
      <c r="AP232" s="67" t="str">
        <f>IF(B232="", "", 'Lighting Inventory'!AZ240)</f>
        <v/>
      </c>
      <c r="AQ232" s="67" t="str">
        <f>IF(B232="", "", 'Lighting Inventory'!BA240)</f>
        <v/>
      </c>
      <c r="AR232" s="67" t="str">
        <f>IF(B232="", "", 'Lighting Inventory'!BB240)</f>
        <v/>
      </c>
      <c r="AS232" s="67" t="str">
        <f>IF(B232="", "", 'Lighting Inventory'!BC240)</f>
        <v/>
      </c>
      <c r="AT232" s="67" t="str">
        <f>IF(B232="", "", 'Lighting Inventory'!BD240)</f>
        <v/>
      </c>
      <c r="AU232" s="67" t="str">
        <f>IF(B232="", "", 'Lighting Inventory'!BE240)</f>
        <v/>
      </c>
      <c r="AV232" s="67" t="str">
        <f>IF(B232="", "", 'Lighting Inventory'!BE240)</f>
        <v/>
      </c>
      <c r="AW232" s="67" t="str">
        <f>IF(B232="", "", 'Lighting Inventory'!BF240)</f>
        <v/>
      </c>
      <c r="AX232" s="67" t="str">
        <f>IF(B232="", "", 'Lighting Inventory'!BF240)</f>
        <v/>
      </c>
      <c r="AY232" s="65" t="str">
        <f t="shared" si="13"/>
        <v/>
      </c>
      <c r="AZ232" s="65" t="str">
        <f>IF(B232="", "", 'Lighting Inventory'!BJ240)</f>
        <v/>
      </c>
      <c r="BA232" s="65" t="str">
        <f>IF(B232="", "", 'Lighting Inventory'!BM240)</f>
        <v/>
      </c>
      <c r="BB232" s="65" t="str">
        <f>IF(B232="","",SUM('Lighting Inventory'!BP240:BP240))</f>
        <v/>
      </c>
      <c r="BC232" s="67" t="str">
        <f>IF(OR(AE232="", B232=""),"", 'Lighting Inventory'!GR240)</f>
        <v/>
      </c>
      <c r="BD232" s="67" t="str">
        <f>IFERROR(IF(B232="", "", 'Lighting Inventory'!AF240)*AD232," ")</f>
        <v xml:space="preserve"> </v>
      </c>
      <c r="BE232" s="67"/>
      <c r="BF232" s="67"/>
    </row>
    <row r="233" spans="1:58" x14ac:dyDescent="0.25">
      <c r="A233" s="26" t="str">
        <f>IF(B233="", "", 'Lookup Tables'!AW234)</f>
        <v/>
      </c>
      <c r="B233" s="26" t="str">
        <f>IF(OR('Lighting Inventory'!Y241="", 'Lighting Inventory'!V241="No Change"),"", 'Lighting Inventory'!Y241)</f>
        <v/>
      </c>
      <c r="C233" s="26" t="str">
        <f>IF(B233="", "", IF('Lighting Inventory'!Y241='Lookup Tables'!$Y$32, 'Lighting Inventory'!AJ241, IF(AD233=0, R233, AD233)))</f>
        <v/>
      </c>
      <c r="D233" s="26" t="str">
        <f>IF(B233="", "", 'General Information'!$F$14)</f>
        <v/>
      </c>
      <c r="E233" s="26" t="str">
        <f t="shared" si="12"/>
        <v/>
      </c>
      <c r="F233" s="26" t="str">
        <f>IF(B233="", "", CONCATENATE('General Information'!$F$9, " - ", 'General Information'!$F$14))</f>
        <v/>
      </c>
      <c r="G233" s="26" t="str">
        <f>IF(B233="", "", 'General Information'!$F$15)</f>
        <v/>
      </c>
      <c r="H233" s="26" t="str">
        <f>IF(B233="", "", IF(VLOOKUP(B233, 'Lookup Tables'!$Y$18:$AA$34, 2, FALSE)="Traffic", VLOOKUP('Lighting Inventory'!W241, 'Lookup Tables'!#REF!, 11, FALSE), VLOOKUP(B233, 'Lookup Tables'!$Y$18:$AA$34, 2, FALSE)))</f>
        <v/>
      </c>
      <c r="I233" s="26" t="str">
        <f>IF(B233="", "", CONCATENATE(D233, 'Data Export'!A233))</f>
        <v/>
      </c>
      <c r="J233" s="26" t="str">
        <f>IF(B233="", "", 'Lookup Tables'!$B$1)</f>
        <v/>
      </c>
      <c r="K233" s="26" t="str">
        <f>IF(B233="", "", 'Lighting Inventory'!B241)</f>
        <v/>
      </c>
      <c r="L233" s="26" t="str">
        <f>IF(B233="", "", 'Lighting Inventory'!C241)</f>
        <v/>
      </c>
      <c r="M233" s="26" t="str">
        <f>IF(B233="", "",'Lighting Inventory'!D241)</f>
        <v/>
      </c>
      <c r="N233" s="26" t="str">
        <f>IF(B233="", "",'Lighting Inventory'!E241)</f>
        <v/>
      </c>
      <c r="O233" s="26" t="str">
        <f>IF(B233="", "", 'Lighting Inventory'!F241)</f>
        <v/>
      </c>
      <c r="P233" s="26" t="str">
        <f>IF(B233="", "", 'Lighting Inventory'!G241)</f>
        <v/>
      </c>
      <c r="Q233" s="26" t="str">
        <f>IF(B233="", "", 'Lighting Inventory'!H241)</f>
        <v/>
      </c>
      <c r="R233" s="26" t="str">
        <f>IF(B233="", "", 'Lighting Inventory'!I241)</f>
        <v/>
      </c>
      <c r="S233" s="26" t="str">
        <f>IF(B233="", "", 'Lighting Inventory'!J241)</f>
        <v/>
      </c>
      <c r="T233" s="26" t="str">
        <f>IFERROR(IF(B233="","",VLOOKUP(S233,'Fixture Identities'!$A$7:$G$1023,5,FALSE)), "New Construction")</f>
        <v/>
      </c>
      <c r="U233" s="26" t="str">
        <f>IFERROR(IF(B233="", "", IF(K233="New Construction", "NC", IF(VLOOKUP(S233, 'Fixture Identities'!$A$7:$I$1023,3, FALSE)="T12 Linear Fluorescent", VLOOKUP(S233, 'Fixture Identities'!$A$7:$K$1012, 11, FALSE), S233))), "")</f>
        <v/>
      </c>
      <c r="V233" s="26" t="str">
        <f>IFERROR(IF(OR(B233="", U233=0), "", VLOOKUP(U233, 'Fixture Identities'!$A$7:$G$1023, 5, FALSE)), "")</f>
        <v/>
      </c>
      <c r="W233" s="26" t="str">
        <f>IF(B233="", "",'Lighting Inventory'!K241)</f>
        <v/>
      </c>
      <c r="X233" s="65" t="str">
        <f>IF(B233="", "", 'Lighting Inventory'!L241)</f>
        <v/>
      </c>
      <c r="Y233" s="26" t="str">
        <f>IF(B233="", "", IF('Lighting Inventory'!M241="", "Light Switch",'Lighting Inventory'!M241))</f>
        <v/>
      </c>
      <c r="Z233" s="26" t="str">
        <f>IF(OR(K233="Retrofit", B233=""), "", 'Lighting Inventory'!N241)</f>
        <v/>
      </c>
      <c r="AA233" s="26" t="str">
        <f>IF(OR(Z233="",B233=""), "", 'Lighting Inventory'!O241)</f>
        <v/>
      </c>
      <c r="AB233" s="26" t="str">
        <f>IF(B233="", "", 'Lighting Inventory'!P241)</f>
        <v/>
      </c>
      <c r="AC233" s="96" t="str">
        <f>IF(B233="", "", 'Lighting Inventory'!R241)</f>
        <v/>
      </c>
      <c r="AD233" s="26" t="str">
        <f>IF(B233="", "", 'Lighting Inventory'!S241)</f>
        <v/>
      </c>
      <c r="AE233" s="26" t="str">
        <f>IF(B233="", "", 'Lighting Inventory'!V241)</f>
        <v/>
      </c>
      <c r="AF233" s="26" t="str">
        <f>IF(B233="", "", 'Lighting Inventory'!W241)</f>
        <v/>
      </c>
      <c r="AG233" s="26" t="str">
        <f>IF(OR(AF233="", B233=""), "", IF(AE233="Custom", "0", VLOOKUP(AF233, 'Lookup Tables'!$AI$6:$AP$102, 8, FALSE)))</f>
        <v/>
      </c>
      <c r="AH233" s="26" t="str">
        <f>IF(B233="", "", 'Lighting Inventory'!AD241)</f>
        <v/>
      </c>
      <c r="AI233" s="26" t="str">
        <f>IF(OR('Lighting Inventory'!AK241="", B233=""), "", 'Lighting Inventory'!AK241)</f>
        <v/>
      </c>
      <c r="AJ233" s="66" t="str">
        <f>IF(B233="", "", 'Lighting Inventory'!AL241)</f>
        <v/>
      </c>
      <c r="AK233" s="65" t="str">
        <f>IF(B233="", "", 'Lighting Inventory'!AM241)</f>
        <v/>
      </c>
      <c r="AL233" s="26" t="str">
        <f>IF(B233="", "", 'Lighting Inventory'!AN241)</f>
        <v/>
      </c>
      <c r="AM233" s="26" t="str">
        <f t="shared" si="11"/>
        <v/>
      </c>
      <c r="AN233" s="26" t="str">
        <f>IF(B233="","",IF('Lighting Inventory'!AV241="","Prescribed",'Lighting Inventory'!AV241))</f>
        <v/>
      </c>
      <c r="AO233" s="66" t="str">
        <f>IF(B233="", "", 'Lighting Inventory'!AX241)</f>
        <v/>
      </c>
      <c r="AP233" s="67" t="str">
        <f>IF(B233="", "", 'Lighting Inventory'!AZ241)</f>
        <v/>
      </c>
      <c r="AQ233" s="67" t="str">
        <f>IF(B233="", "", 'Lighting Inventory'!BA241)</f>
        <v/>
      </c>
      <c r="AR233" s="67" t="str">
        <f>IF(B233="", "", 'Lighting Inventory'!BB241)</f>
        <v/>
      </c>
      <c r="AS233" s="67" t="str">
        <f>IF(B233="", "", 'Lighting Inventory'!BC241)</f>
        <v/>
      </c>
      <c r="AT233" s="67" t="str">
        <f>IF(B233="", "", 'Lighting Inventory'!BD241)</f>
        <v/>
      </c>
      <c r="AU233" s="67" t="str">
        <f>IF(B233="", "", 'Lighting Inventory'!BE241)</f>
        <v/>
      </c>
      <c r="AV233" s="67" t="str">
        <f>IF(B233="", "", 'Lighting Inventory'!BE241)</f>
        <v/>
      </c>
      <c r="AW233" s="67" t="str">
        <f>IF(B233="", "", 'Lighting Inventory'!BF241)</f>
        <v/>
      </c>
      <c r="AX233" s="67" t="str">
        <f>IF(B233="", "", 'Lighting Inventory'!BF241)</f>
        <v/>
      </c>
      <c r="AY233" s="65" t="str">
        <f t="shared" si="13"/>
        <v/>
      </c>
      <c r="AZ233" s="65" t="str">
        <f>IF(B233="", "", 'Lighting Inventory'!BJ241)</f>
        <v/>
      </c>
      <c r="BA233" s="65" t="str">
        <f>IF(B233="", "", 'Lighting Inventory'!BM241)</f>
        <v/>
      </c>
      <c r="BB233" s="65" t="str">
        <f>IF(B233="","",SUM('Lighting Inventory'!BP241:BP241))</f>
        <v/>
      </c>
      <c r="BC233" s="67" t="str">
        <f>IF(OR(AE233="", B233=""),"", 'Lighting Inventory'!GR241)</f>
        <v/>
      </c>
      <c r="BD233" s="67" t="str">
        <f>IFERROR(IF(B233="", "", 'Lighting Inventory'!AF241)*AD233," ")</f>
        <v xml:space="preserve"> </v>
      </c>
      <c r="BE233" s="67"/>
      <c r="BF233" s="67"/>
    </row>
    <row r="234" spans="1:58" x14ac:dyDescent="0.25">
      <c r="A234" s="26" t="str">
        <f>IF(B234="", "", 'Lookup Tables'!AW235)</f>
        <v/>
      </c>
      <c r="B234" s="26" t="str">
        <f>IF(OR('Lighting Inventory'!Y242="", 'Lighting Inventory'!V242="No Change"),"", 'Lighting Inventory'!Y242)</f>
        <v/>
      </c>
      <c r="C234" s="26" t="str">
        <f>IF(B234="", "", IF('Lighting Inventory'!Y242='Lookup Tables'!$Y$32, 'Lighting Inventory'!AJ242, IF(AD234=0, R234, AD234)))</f>
        <v/>
      </c>
      <c r="D234" s="26" t="str">
        <f>IF(B234="", "", 'General Information'!$F$14)</f>
        <v/>
      </c>
      <c r="E234" s="26" t="str">
        <f t="shared" si="12"/>
        <v/>
      </c>
      <c r="F234" s="26" t="str">
        <f>IF(B234="", "", CONCATENATE('General Information'!$F$9, " - ", 'General Information'!$F$14))</f>
        <v/>
      </c>
      <c r="G234" s="26" t="str">
        <f>IF(B234="", "", 'General Information'!$F$15)</f>
        <v/>
      </c>
      <c r="H234" s="26" t="str">
        <f>IF(B234="", "", IF(VLOOKUP(B234, 'Lookup Tables'!$Y$18:$AA$34, 2, FALSE)="Traffic", VLOOKUP('Lighting Inventory'!W242, 'Lookup Tables'!#REF!, 11, FALSE), VLOOKUP(B234, 'Lookup Tables'!$Y$18:$AA$34, 2, FALSE)))</f>
        <v/>
      </c>
      <c r="I234" s="26" t="str">
        <f>IF(B234="", "", CONCATENATE(D234, 'Data Export'!A234))</f>
        <v/>
      </c>
      <c r="J234" s="26" t="str">
        <f>IF(B234="", "", 'Lookup Tables'!$B$1)</f>
        <v/>
      </c>
      <c r="K234" s="26" t="str">
        <f>IF(B234="", "", 'Lighting Inventory'!B242)</f>
        <v/>
      </c>
      <c r="L234" s="26" t="str">
        <f>IF(B234="", "", 'Lighting Inventory'!C242)</f>
        <v/>
      </c>
      <c r="M234" s="26" t="str">
        <f>IF(B234="", "",'Lighting Inventory'!D242)</f>
        <v/>
      </c>
      <c r="N234" s="26" t="str">
        <f>IF(B234="", "",'Lighting Inventory'!E242)</f>
        <v/>
      </c>
      <c r="O234" s="26" t="str">
        <f>IF(B234="", "", 'Lighting Inventory'!F242)</f>
        <v/>
      </c>
      <c r="P234" s="26" t="str">
        <f>IF(B234="", "", 'Lighting Inventory'!G242)</f>
        <v/>
      </c>
      <c r="Q234" s="26" t="str">
        <f>IF(B234="", "", 'Lighting Inventory'!H242)</f>
        <v/>
      </c>
      <c r="R234" s="26" t="str">
        <f>IF(B234="", "", 'Lighting Inventory'!I242)</f>
        <v/>
      </c>
      <c r="S234" s="26" t="str">
        <f>IF(B234="", "", 'Lighting Inventory'!J242)</f>
        <v/>
      </c>
      <c r="T234" s="26" t="str">
        <f>IFERROR(IF(B234="","",VLOOKUP(S234,'Fixture Identities'!$A$7:$G$1023,5,FALSE)), "New Construction")</f>
        <v/>
      </c>
      <c r="U234" s="26" t="str">
        <f>IFERROR(IF(B234="", "", IF(K234="New Construction", "NC", IF(VLOOKUP(S234, 'Fixture Identities'!$A$7:$I$1023,3, FALSE)="T12 Linear Fluorescent", VLOOKUP(S234, 'Fixture Identities'!$A$7:$K$1012, 11, FALSE), S234))), "")</f>
        <v/>
      </c>
      <c r="V234" s="26" t="str">
        <f>IFERROR(IF(OR(B234="", U234=0), "", VLOOKUP(U234, 'Fixture Identities'!$A$7:$G$1023, 5, FALSE)), "")</f>
        <v/>
      </c>
      <c r="W234" s="26" t="str">
        <f>IF(B234="", "",'Lighting Inventory'!K242)</f>
        <v/>
      </c>
      <c r="X234" s="65" t="str">
        <f>IF(B234="", "", 'Lighting Inventory'!L242)</f>
        <v/>
      </c>
      <c r="Y234" s="26" t="str">
        <f>IF(B234="", "", IF('Lighting Inventory'!M242="", "Light Switch",'Lighting Inventory'!M242))</f>
        <v/>
      </c>
      <c r="Z234" s="26" t="str">
        <f>IF(OR(K234="Retrofit", B234=""), "", 'Lighting Inventory'!N242)</f>
        <v/>
      </c>
      <c r="AA234" s="26" t="str">
        <f>IF(OR(Z234="",B234=""), "", 'Lighting Inventory'!O242)</f>
        <v/>
      </c>
      <c r="AB234" s="26" t="str">
        <f>IF(B234="", "", 'Lighting Inventory'!P242)</f>
        <v/>
      </c>
      <c r="AC234" s="96" t="str">
        <f>IF(B234="", "", 'Lighting Inventory'!R242)</f>
        <v/>
      </c>
      <c r="AD234" s="26" t="str">
        <f>IF(B234="", "", 'Lighting Inventory'!S242)</f>
        <v/>
      </c>
      <c r="AE234" s="26" t="str">
        <f>IF(B234="", "", 'Lighting Inventory'!V242)</f>
        <v/>
      </c>
      <c r="AF234" s="26" t="str">
        <f>IF(B234="", "", 'Lighting Inventory'!W242)</f>
        <v/>
      </c>
      <c r="AG234" s="26" t="str">
        <f>IF(OR(AF234="", B234=""), "", IF(AE234="Custom", "0", VLOOKUP(AF234, 'Lookup Tables'!$AI$6:$AP$102, 8, FALSE)))</f>
        <v/>
      </c>
      <c r="AH234" s="26" t="str">
        <f>IF(B234="", "", 'Lighting Inventory'!AD242)</f>
        <v/>
      </c>
      <c r="AI234" s="26" t="str">
        <f>IF(OR('Lighting Inventory'!AK242="", B234=""), "", 'Lighting Inventory'!AK242)</f>
        <v/>
      </c>
      <c r="AJ234" s="66" t="str">
        <f>IF(B234="", "", 'Lighting Inventory'!AL242)</f>
        <v/>
      </c>
      <c r="AK234" s="65" t="str">
        <f>IF(B234="", "", 'Lighting Inventory'!AM242)</f>
        <v/>
      </c>
      <c r="AL234" s="26" t="str">
        <f>IF(B234="", "", 'Lighting Inventory'!AN242)</f>
        <v/>
      </c>
      <c r="AM234" s="26" t="str">
        <f t="shared" si="11"/>
        <v/>
      </c>
      <c r="AN234" s="26" t="str">
        <f>IF(B234="","",IF('Lighting Inventory'!AV242="","Prescribed",'Lighting Inventory'!AV242))</f>
        <v/>
      </c>
      <c r="AO234" s="66" t="str">
        <f>IF(B234="", "", 'Lighting Inventory'!AX242)</f>
        <v/>
      </c>
      <c r="AP234" s="67" t="str">
        <f>IF(B234="", "", 'Lighting Inventory'!AZ242)</f>
        <v/>
      </c>
      <c r="AQ234" s="67" t="str">
        <f>IF(B234="", "", 'Lighting Inventory'!BA242)</f>
        <v/>
      </c>
      <c r="AR234" s="67" t="str">
        <f>IF(B234="", "", 'Lighting Inventory'!BB242)</f>
        <v/>
      </c>
      <c r="AS234" s="67" t="str">
        <f>IF(B234="", "", 'Lighting Inventory'!BC242)</f>
        <v/>
      </c>
      <c r="AT234" s="67" t="str">
        <f>IF(B234="", "", 'Lighting Inventory'!BD242)</f>
        <v/>
      </c>
      <c r="AU234" s="67" t="str">
        <f>IF(B234="", "", 'Lighting Inventory'!BE242)</f>
        <v/>
      </c>
      <c r="AV234" s="67" t="str">
        <f>IF(B234="", "", 'Lighting Inventory'!BE242)</f>
        <v/>
      </c>
      <c r="AW234" s="67" t="str">
        <f>IF(B234="", "", 'Lighting Inventory'!BF242)</f>
        <v/>
      </c>
      <c r="AX234" s="67" t="str">
        <f>IF(B234="", "", 'Lighting Inventory'!BF242)</f>
        <v/>
      </c>
      <c r="AY234" s="65" t="str">
        <f t="shared" si="13"/>
        <v/>
      </c>
      <c r="AZ234" s="65" t="str">
        <f>IF(B234="", "", 'Lighting Inventory'!BJ242)</f>
        <v/>
      </c>
      <c r="BA234" s="65" t="str">
        <f>IF(B234="", "", 'Lighting Inventory'!BM242)</f>
        <v/>
      </c>
      <c r="BB234" s="65" t="str">
        <f>IF(B234="","",SUM('Lighting Inventory'!BP242:BP242))</f>
        <v/>
      </c>
      <c r="BC234" s="67" t="str">
        <f>IF(OR(AE234="", B234=""),"", 'Lighting Inventory'!GR242)</f>
        <v/>
      </c>
      <c r="BD234" s="67" t="str">
        <f>IFERROR(IF(B234="", "", 'Lighting Inventory'!AF242)*AD234," ")</f>
        <v xml:space="preserve"> </v>
      </c>
      <c r="BE234" s="67"/>
      <c r="BF234" s="67"/>
    </row>
    <row r="235" spans="1:58" x14ac:dyDescent="0.25">
      <c r="A235" s="26" t="str">
        <f>IF(B235="", "", 'Lookup Tables'!AW236)</f>
        <v/>
      </c>
      <c r="B235" s="26" t="str">
        <f>IF(OR('Lighting Inventory'!Y243="", 'Lighting Inventory'!V243="No Change"),"", 'Lighting Inventory'!Y243)</f>
        <v/>
      </c>
      <c r="C235" s="26" t="str">
        <f>IF(B235="", "", IF('Lighting Inventory'!Y243='Lookup Tables'!$Y$32, 'Lighting Inventory'!AJ243, IF(AD235=0, R235, AD235)))</f>
        <v/>
      </c>
      <c r="D235" s="26" t="str">
        <f>IF(B235="", "", 'General Information'!$F$14)</f>
        <v/>
      </c>
      <c r="E235" s="26" t="str">
        <f t="shared" si="12"/>
        <v/>
      </c>
      <c r="F235" s="26" t="str">
        <f>IF(B235="", "", CONCATENATE('General Information'!$F$9, " - ", 'General Information'!$F$14))</f>
        <v/>
      </c>
      <c r="G235" s="26" t="str">
        <f>IF(B235="", "", 'General Information'!$F$15)</f>
        <v/>
      </c>
      <c r="H235" s="26" t="str">
        <f>IF(B235="", "", IF(VLOOKUP(B235, 'Lookup Tables'!$Y$18:$AA$34, 2, FALSE)="Traffic", VLOOKUP('Lighting Inventory'!W243, 'Lookup Tables'!#REF!, 11, FALSE), VLOOKUP(B235, 'Lookup Tables'!$Y$18:$AA$34, 2, FALSE)))</f>
        <v/>
      </c>
      <c r="I235" s="26" t="str">
        <f>IF(B235="", "", CONCATENATE(D235, 'Data Export'!A235))</f>
        <v/>
      </c>
      <c r="J235" s="26" t="str">
        <f>IF(B235="", "", 'Lookup Tables'!$B$1)</f>
        <v/>
      </c>
      <c r="K235" s="26" t="str">
        <f>IF(B235="", "", 'Lighting Inventory'!B243)</f>
        <v/>
      </c>
      <c r="L235" s="26" t="str">
        <f>IF(B235="", "", 'Lighting Inventory'!C243)</f>
        <v/>
      </c>
      <c r="M235" s="26" t="str">
        <f>IF(B235="", "",'Lighting Inventory'!D243)</f>
        <v/>
      </c>
      <c r="N235" s="26" t="str">
        <f>IF(B235="", "",'Lighting Inventory'!E243)</f>
        <v/>
      </c>
      <c r="O235" s="26" t="str">
        <f>IF(B235="", "", 'Lighting Inventory'!F243)</f>
        <v/>
      </c>
      <c r="P235" s="26" t="str">
        <f>IF(B235="", "", 'Lighting Inventory'!G243)</f>
        <v/>
      </c>
      <c r="Q235" s="26" t="str">
        <f>IF(B235="", "", 'Lighting Inventory'!H243)</f>
        <v/>
      </c>
      <c r="R235" s="26" t="str">
        <f>IF(B235="", "", 'Lighting Inventory'!I243)</f>
        <v/>
      </c>
      <c r="S235" s="26" t="str">
        <f>IF(B235="", "", 'Lighting Inventory'!J243)</f>
        <v/>
      </c>
      <c r="T235" s="26" t="str">
        <f>IFERROR(IF(B235="","",VLOOKUP(S235,'Fixture Identities'!$A$7:$G$1023,5,FALSE)), "New Construction")</f>
        <v/>
      </c>
      <c r="U235" s="26" t="str">
        <f>IFERROR(IF(B235="", "", IF(K235="New Construction", "NC", IF(VLOOKUP(S235, 'Fixture Identities'!$A$7:$I$1023,3, FALSE)="T12 Linear Fluorescent", VLOOKUP(S235, 'Fixture Identities'!$A$7:$K$1012, 11, FALSE), S235))), "")</f>
        <v/>
      </c>
      <c r="V235" s="26" t="str">
        <f>IFERROR(IF(OR(B235="", U235=0), "", VLOOKUP(U235, 'Fixture Identities'!$A$7:$G$1023, 5, FALSE)), "")</f>
        <v/>
      </c>
      <c r="W235" s="26" t="str">
        <f>IF(B235="", "",'Lighting Inventory'!K243)</f>
        <v/>
      </c>
      <c r="X235" s="65" t="str">
        <f>IF(B235="", "", 'Lighting Inventory'!L243)</f>
        <v/>
      </c>
      <c r="Y235" s="26" t="str">
        <f>IF(B235="", "", IF('Lighting Inventory'!M243="", "Light Switch",'Lighting Inventory'!M243))</f>
        <v/>
      </c>
      <c r="Z235" s="26" t="str">
        <f>IF(OR(K235="Retrofit", B235=""), "", 'Lighting Inventory'!N243)</f>
        <v/>
      </c>
      <c r="AA235" s="26" t="str">
        <f>IF(OR(Z235="",B235=""), "", 'Lighting Inventory'!O243)</f>
        <v/>
      </c>
      <c r="AB235" s="26" t="str">
        <f>IF(B235="", "", 'Lighting Inventory'!P243)</f>
        <v/>
      </c>
      <c r="AC235" s="96" t="str">
        <f>IF(B235="", "", 'Lighting Inventory'!R243)</f>
        <v/>
      </c>
      <c r="AD235" s="26" t="str">
        <f>IF(B235="", "", 'Lighting Inventory'!S243)</f>
        <v/>
      </c>
      <c r="AE235" s="26" t="str">
        <f>IF(B235="", "", 'Lighting Inventory'!V243)</f>
        <v/>
      </c>
      <c r="AF235" s="26" t="str">
        <f>IF(B235="", "", 'Lighting Inventory'!W243)</f>
        <v/>
      </c>
      <c r="AG235" s="26" t="str">
        <f>IF(OR(AF235="", B235=""), "", IF(AE235="Custom", "0", VLOOKUP(AF235, 'Lookup Tables'!$AI$6:$AP$102, 8, FALSE)))</f>
        <v/>
      </c>
      <c r="AH235" s="26" t="str">
        <f>IF(B235="", "", 'Lighting Inventory'!AD243)</f>
        <v/>
      </c>
      <c r="AI235" s="26" t="str">
        <f>IF(OR('Lighting Inventory'!AK243="", B235=""), "", 'Lighting Inventory'!AK243)</f>
        <v/>
      </c>
      <c r="AJ235" s="66" t="str">
        <f>IF(B235="", "", 'Lighting Inventory'!AL243)</f>
        <v/>
      </c>
      <c r="AK235" s="65" t="str">
        <f>IF(B235="", "", 'Lighting Inventory'!AM243)</f>
        <v/>
      </c>
      <c r="AL235" s="26" t="str">
        <f>IF(B235="", "", 'Lighting Inventory'!AN243)</f>
        <v/>
      </c>
      <c r="AM235" s="26" t="str">
        <f t="shared" si="11"/>
        <v/>
      </c>
      <c r="AN235" s="26" t="str">
        <f>IF(B235="","",IF('Lighting Inventory'!AV243="","Prescribed",'Lighting Inventory'!AV243))</f>
        <v/>
      </c>
      <c r="AO235" s="66" t="str">
        <f>IF(B235="", "", 'Lighting Inventory'!AX243)</f>
        <v/>
      </c>
      <c r="AP235" s="67" t="str">
        <f>IF(B235="", "", 'Lighting Inventory'!AZ243)</f>
        <v/>
      </c>
      <c r="AQ235" s="67" t="str">
        <f>IF(B235="", "", 'Lighting Inventory'!BA243)</f>
        <v/>
      </c>
      <c r="AR235" s="67" t="str">
        <f>IF(B235="", "", 'Lighting Inventory'!BB243)</f>
        <v/>
      </c>
      <c r="AS235" s="67" t="str">
        <f>IF(B235="", "", 'Lighting Inventory'!BC243)</f>
        <v/>
      </c>
      <c r="AT235" s="67" t="str">
        <f>IF(B235="", "", 'Lighting Inventory'!BD243)</f>
        <v/>
      </c>
      <c r="AU235" s="67" t="str">
        <f>IF(B235="", "", 'Lighting Inventory'!BE243)</f>
        <v/>
      </c>
      <c r="AV235" s="67" t="str">
        <f>IF(B235="", "", 'Lighting Inventory'!BE243)</f>
        <v/>
      </c>
      <c r="AW235" s="67" t="str">
        <f>IF(B235="", "", 'Lighting Inventory'!BF243)</f>
        <v/>
      </c>
      <c r="AX235" s="67" t="str">
        <f>IF(B235="", "", 'Lighting Inventory'!BF243)</f>
        <v/>
      </c>
      <c r="AY235" s="65" t="str">
        <f t="shared" si="13"/>
        <v/>
      </c>
      <c r="AZ235" s="65" t="str">
        <f>IF(B235="", "", 'Lighting Inventory'!BJ243)</f>
        <v/>
      </c>
      <c r="BA235" s="65" t="str">
        <f>IF(B235="", "", 'Lighting Inventory'!BM243)</f>
        <v/>
      </c>
      <c r="BB235" s="65" t="str">
        <f>IF(B235="","",SUM('Lighting Inventory'!BP243:BP243))</f>
        <v/>
      </c>
      <c r="BC235" s="67" t="str">
        <f>IF(OR(AE235="", B235=""),"", 'Lighting Inventory'!GR243)</f>
        <v/>
      </c>
      <c r="BD235" s="67" t="str">
        <f>IFERROR(IF(B235="", "", 'Lighting Inventory'!AF243)*AD235," ")</f>
        <v xml:space="preserve"> </v>
      </c>
      <c r="BE235" s="67"/>
      <c r="BF235" s="67"/>
    </row>
    <row r="236" spans="1:58" x14ac:dyDescent="0.25">
      <c r="A236" s="26" t="str">
        <f>IF(B236="", "", 'Lookup Tables'!AW237)</f>
        <v/>
      </c>
      <c r="B236" s="26" t="str">
        <f>IF(OR('Lighting Inventory'!Y244="", 'Lighting Inventory'!V244="No Change"),"", 'Lighting Inventory'!Y244)</f>
        <v/>
      </c>
      <c r="C236" s="26" t="str">
        <f>IF(B236="", "", IF('Lighting Inventory'!Y244='Lookup Tables'!$Y$32, 'Lighting Inventory'!AJ244, IF(AD236=0, R236, AD236)))</f>
        <v/>
      </c>
      <c r="D236" s="26" t="str">
        <f>IF(B236="", "", 'General Information'!$F$14)</f>
        <v/>
      </c>
      <c r="E236" s="26" t="str">
        <f t="shared" si="12"/>
        <v/>
      </c>
      <c r="F236" s="26" t="str">
        <f>IF(B236="", "", CONCATENATE('General Information'!$F$9, " - ", 'General Information'!$F$14))</f>
        <v/>
      </c>
      <c r="G236" s="26" t="str">
        <f>IF(B236="", "", 'General Information'!$F$15)</f>
        <v/>
      </c>
      <c r="H236" s="26" t="str">
        <f>IF(B236="", "", IF(VLOOKUP(B236, 'Lookup Tables'!$Y$18:$AA$34, 2, FALSE)="Traffic", VLOOKUP('Lighting Inventory'!W244, 'Lookup Tables'!#REF!, 11, FALSE), VLOOKUP(B236, 'Lookup Tables'!$Y$18:$AA$34, 2, FALSE)))</f>
        <v/>
      </c>
      <c r="I236" s="26" t="str">
        <f>IF(B236="", "", CONCATENATE(D236, 'Data Export'!A236))</f>
        <v/>
      </c>
      <c r="J236" s="26" t="str">
        <f>IF(B236="", "", 'Lookup Tables'!$B$1)</f>
        <v/>
      </c>
      <c r="K236" s="26" t="str">
        <f>IF(B236="", "", 'Lighting Inventory'!B244)</f>
        <v/>
      </c>
      <c r="L236" s="26" t="str">
        <f>IF(B236="", "", 'Lighting Inventory'!C244)</f>
        <v/>
      </c>
      <c r="M236" s="26" t="str">
        <f>IF(B236="", "",'Lighting Inventory'!D244)</f>
        <v/>
      </c>
      <c r="N236" s="26" t="str">
        <f>IF(B236="", "",'Lighting Inventory'!E244)</f>
        <v/>
      </c>
      <c r="O236" s="26" t="str">
        <f>IF(B236="", "", 'Lighting Inventory'!F244)</f>
        <v/>
      </c>
      <c r="P236" s="26" t="str">
        <f>IF(B236="", "", 'Lighting Inventory'!G244)</f>
        <v/>
      </c>
      <c r="Q236" s="26" t="str">
        <f>IF(B236="", "", 'Lighting Inventory'!H244)</f>
        <v/>
      </c>
      <c r="R236" s="26" t="str">
        <f>IF(B236="", "", 'Lighting Inventory'!I244)</f>
        <v/>
      </c>
      <c r="S236" s="26" t="str">
        <f>IF(B236="", "", 'Lighting Inventory'!J244)</f>
        <v/>
      </c>
      <c r="T236" s="26" t="str">
        <f>IFERROR(IF(B236="","",VLOOKUP(S236,'Fixture Identities'!$A$7:$G$1023,5,FALSE)), "New Construction")</f>
        <v/>
      </c>
      <c r="U236" s="26" t="str">
        <f>IFERROR(IF(B236="", "", IF(K236="New Construction", "NC", IF(VLOOKUP(S236, 'Fixture Identities'!$A$7:$I$1023,3, FALSE)="T12 Linear Fluorescent", VLOOKUP(S236, 'Fixture Identities'!$A$7:$K$1012, 11, FALSE), S236))), "")</f>
        <v/>
      </c>
      <c r="V236" s="26" t="str">
        <f>IFERROR(IF(OR(B236="", U236=0), "", VLOOKUP(U236, 'Fixture Identities'!$A$7:$G$1023, 5, FALSE)), "")</f>
        <v/>
      </c>
      <c r="W236" s="26" t="str">
        <f>IF(B236="", "",'Lighting Inventory'!K244)</f>
        <v/>
      </c>
      <c r="X236" s="65" t="str">
        <f>IF(B236="", "", 'Lighting Inventory'!L244)</f>
        <v/>
      </c>
      <c r="Y236" s="26" t="str">
        <f>IF(B236="", "", IF('Lighting Inventory'!M244="", "Light Switch",'Lighting Inventory'!M244))</f>
        <v/>
      </c>
      <c r="Z236" s="26" t="str">
        <f>IF(OR(K236="Retrofit", B236=""), "", 'Lighting Inventory'!N244)</f>
        <v/>
      </c>
      <c r="AA236" s="26" t="str">
        <f>IF(OR(Z236="",B236=""), "", 'Lighting Inventory'!O244)</f>
        <v/>
      </c>
      <c r="AB236" s="26" t="str">
        <f>IF(B236="", "", 'Lighting Inventory'!P244)</f>
        <v/>
      </c>
      <c r="AC236" s="96" t="str">
        <f>IF(B236="", "", 'Lighting Inventory'!R244)</f>
        <v/>
      </c>
      <c r="AD236" s="26" t="str">
        <f>IF(B236="", "", 'Lighting Inventory'!S244)</f>
        <v/>
      </c>
      <c r="AE236" s="26" t="str">
        <f>IF(B236="", "", 'Lighting Inventory'!V244)</f>
        <v/>
      </c>
      <c r="AF236" s="26" t="str">
        <f>IF(B236="", "", 'Lighting Inventory'!W244)</f>
        <v/>
      </c>
      <c r="AG236" s="26" t="str">
        <f>IF(OR(AF236="", B236=""), "", IF(AE236="Custom", "0", VLOOKUP(AF236, 'Lookup Tables'!$AI$6:$AP$102, 8, FALSE)))</f>
        <v/>
      </c>
      <c r="AH236" s="26" t="str">
        <f>IF(B236="", "", 'Lighting Inventory'!AD244)</f>
        <v/>
      </c>
      <c r="AI236" s="26" t="str">
        <f>IF(OR('Lighting Inventory'!AK244="", B236=""), "", 'Lighting Inventory'!AK244)</f>
        <v/>
      </c>
      <c r="AJ236" s="66" t="str">
        <f>IF(B236="", "", 'Lighting Inventory'!AL244)</f>
        <v/>
      </c>
      <c r="AK236" s="65" t="str">
        <f>IF(B236="", "", 'Lighting Inventory'!AM244)</f>
        <v/>
      </c>
      <c r="AL236" s="26" t="str">
        <f>IF(B236="", "", 'Lighting Inventory'!AN244)</f>
        <v/>
      </c>
      <c r="AM236" s="26" t="str">
        <f t="shared" si="11"/>
        <v/>
      </c>
      <c r="AN236" s="26" t="str">
        <f>IF(B236="","",IF('Lighting Inventory'!AV244="","Prescribed",'Lighting Inventory'!AV244))</f>
        <v/>
      </c>
      <c r="AO236" s="66" t="str">
        <f>IF(B236="", "", 'Lighting Inventory'!AX244)</f>
        <v/>
      </c>
      <c r="AP236" s="67" t="str">
        <f>IF(B236="", "", 'Lighting Inventory'!AZ244)</f>
        <v/>
      </c>
      <c r="AQ236" s="67" t="str">
        <f>IF(B236="", "", 'Lighting Inventory'!BA244)</f>
        <v/>
      </c>
      <c r="AR236" s="67" t="str">
        <f>IF(B236="", "", 'Lighting Inventory'!BB244)</f>
        <v/>
      </c>
      <c r="AS236" s="67" t="str">
        <f>IF(B236="", "", 'Lighting Inventory'!BC244)</f>
        <v/>
      </c>
      <c r="AT236" s="67" t="str">
        <f>IF(B236="", "", 'Lighting Inventory'!BD244)</f>
        <v/>
      </c>
      <c r="AU236" s="67" t="str">
        <f>IF(B236="", "", 'Lighting Inventory'!BE244)</f>
        <v/>
      </c>
      <c r="AV236" s="67" t="str">
        <f>IF(B236="", "", 'Lighting Inventory'!BE244)</f>
        <v/>
      </c>
      <c r="AW236" s="67" t="str">
        <f>IF(B236="", "", 'Lighting Inventory'!BF244)</f>
        <v/>
      </c>
      <c r="AX236" s="67" t="str">
        <f>IF(B236="", "", 'Lighting Inventory'!BF244)</f>
        <v/>
      </c>
      <c r="AY236" s="65" t="str">
        <f t="shared" si="13"/>
        <v/>
      </c>
      <c r="AZ236" s="65" t="str">
        <f>IF(B236="", "", 'Lighting Inventory'!BJ244)</f>
        <v/>
      </c>
      <c r="BA236" s="65" t="str">
        <f>IF(B236="", "", 'Lighting Inventory'!BM244)</f>
        <v/>
      </c>
      <c r="BB236" s="65" t="str">
        <f>IF(B236="","",SUM('Lighting Inventory'!BP244:BP244))</f>
        <v/>
      </c>
      <c r="BC236" s="67" t="str">
        <f>IF(OR(AE236="", B236=""),"", 'Lighting Inventory'!GR244)</f>
        <v/>
      </c>
      <c r="BD236" s="67" t="str">
        <f>IFERROR(IF(B236="", "", 'Lighting Inventory'!AF244)*AD236," ")</f>
        <v xml:space="preserve"> </v>
      </c>
      <c r="BE236" s="67"/>
      <c r="BF236" s="67"/>
    </row>
    <row r="237" spans="1:58" x14ac:dyDescent="0.25">
      <c r="A237" s="26" t="str">
        <f>IF(B237="", "", 'Lookup Tables'!AW238)</f>
        <v/>
      </c>
      <c r="B237" s="26" t="str">
        <f>IF(OR('Lighting Inventory'!Y245="", 'Lighting Inventory'!V245="No Change"),"", 'Lighting Inventory'!Y245)</f>
        <v/>
      </c>
      <c r="C237" s="26" t="str">
        <f>IF(B237="", "", IF('Lighting Inventory'!Y245='Lookup Tables'!$Y$32, 'Lighting Inventory'!AJ245, IF(AD237=0, R237, AD237)))</f>
        <v/>
      </c>
      <c r="D237" s="26" t="str">
        <f>IF(B237="", "", 'General Information'!$F$14)</f>
        <v/>
      </c>
      <c r="E237" s="26" t="str">
        <f t="shared" si="12"/>
        <v/>
      </c>
      <c r="F237" s="26" t="str">
        <f>IF(B237="", "", CONCATENATE('General Information'!$F$9, " - ", 'General Information'!$F$14))</f>
        <v/>
      </c>
      <c r="G237" s="26" t="str">
        <f>IF(B237="", "", 'General Information'!$F$15)</f>
        <v/>
      </c>
      <c r="H237" s="26" t="str">
        <f>IF(B237="", "", IF(VLOOKUP(B237, 'Lookup Tables'!$Y$18:$AA$34, 2, FALSE)="Traffic", VLOOKUP('Lighting Inventory'!W245, 'Lookup Tables'!#REF!, 11, FALSE), VLOOKUP(B237, 'Lookup Tables'!$Y$18:$AA$34, 2, FALSE)))</f>
        <v/>
      </c>
      <c r="I237" s="26" t="str">
        <f>IF(B237="", "", CONCATENATE(D237, 'Data Export'!A237))</f>
        <v/>
      </c>
      <c r="J237" s="26" t="str">
        <f>IF(B237="", "", 'Lookup Tables'!$B$1)</f>
        <v/>
      </c>
      <c r="K237" s="26" t="str">
        <f>IF(B237="", "", 'Lighting Inventory'!B245)</f>
        <v/>
      </c>
      <c r="L237" s="26" t="str">
        <f>IF(B237="", "", 'Lighting Inventory'!C245)</f>
        <v/>
      </c>
      <c r="M237" s="26" t="str">
        <f>IF(B237="", "",'Lighting Inventory'!D245)</f>
        <v/>
      </c>
      <c r="N237" s="26" t="str">
        <f>IF(B237="", "",'Lighting Inventory'!E245)</f>
        <v/>
      </c>
      <c r="O237" s="26" t="str">
        <f>IF(B237="", "", 'Lighting Inventory'!F245)</f>
        <v/>
      </c>
      <c r="P237" s="26" t="str">
        <f>IF(B237="", "", 'Lighting Inventory'!G245)</f>
        <v/>
      </c>
      <c r="Q237" s="26" t="str">
        <f>IF(B237="", "", 'Lighting Inventory'!H245)</f>
        <v/>
      </c>
      <c r="R237" s="26" t="str">
        <f>IF(B237="", "", 'Lighting Inventory'!I245)</f>
        <v/>
      </c>
      <c r="S237" s="26" t="str">
        <f>IF(B237="", "", 'Lighting Inventory'!J245)</f>
        <v/>
      </c>
      <c r="T237" s="26" t="str">
        <f>IFERROR(IF(B237="","",VLOOKUP(S237,'Fixture Identities'!$A$7:$G$1023,5,FALSE)), "New Construction")</f>
        <v/>
      </c>
      <c r="U237" s="26" t="str">
        <f>IFERROR(IF(B237="", "", IF(K237="New Construction", "NC", IF(VLOOKUP(S237, 'Fixture Identities'!$A$7:$I$1023,3, FALSE)="T12 Linear Fluorescent", VLOOKUP(S237, 'Fixture Identities'!$A$7:$K$1012, 11, FALSE), S237))), "")</f>
        <v/>
      </c>
      <c r="V237" s="26" t="str">
        <f>IFERROR(IF(OR(B237="", U237=0), "", VLOOKUP(U237, 'Fixture Identities'!$A$7:$G$1023, 5, FALSE)), "")</f>
        <v/>
      </c>
      <c r="W237" s="26" t="str">
        <f>IF(B237="", "",'Lighting Inventory'!K245)</f>
        <v/>
      </c>
      <c r="X237" s="65" t="str">
        <f>IF(B237="", "", 'Lighting Inventory'!L245)</f>
        <v/>
      </c>
      <c r="Y237" s="26" t="str">
        <f>IF(B237="", "", IF('Lighting Inventory'!M245="", "Light Switch",'Lighting Inventory'!M245))</f>
        <v/>
      </c>
      <c r="Z237" s="26" t="str">
        <f>IF(OR(K237="Retrofit", B237=""), "", 'Lighting Inventory'!N245)</f>
        <v/>
      </c>
      <c r="AA237" s="26" t="str">
        <f>IF(OR(Z237="",B237=""), "", 'Lighting Inventory'!O245)</f>
        <v/>
      </c>
      <c r="AB237" s="26" t="str">
        <f>IF(B237="", "", 'Lighting Inventory'!P245)</f>
        <v/>
      </c>
      <c r="AC237" s="96" t="str">
        <f>IF(B237="", "", 'Lighting Inventory'!R245)</f>
        <v/>
      </c>
      <c r="AD237" s="26" t="str">
        <f>IF(B237="", "", 'Lighting Inventory'!S245)</f>
        <v/>
      </c>
      <c r="AE237" s="26" t="str">
        <f>IF(B237="", "", 'Lighting Inventory'!V245)</f>
        <v/>
      </c>
      <c r="AF237" s="26" t="str">
        <f>IF(B237="", "", 'Lighting Inventory'!W245)</f>
        <v/>
      </c>
      <c r="AG237" s="26" t="str">
        <f>IF(OR(AF237="", B237=""), "", IF(AE237="Custom", "0", VLOOKUP(AF237, 'Lookup Tables'!$AI$6:$AP$102, 8, FALSE)))</f>
        <v/>
      </c>
      <c r="AH237" s="26" t="str">
        <f>IF(B237="", "", 'Lighting Inventory'!AD245)</f>
        <v/>
      </c>
      <c r="AI237" s="26" t="str">
        <f>IF(OR('Lighting Inventory'!AK245="", B237=""), "", 'Lighting Inventory'!AK245)</f>
        <v/>
      </c>
      <c r="AJ237" s="66" t="str">
        <f>IF(B237="", "", 'Lighting Inventory'!AL245)</f>
        <v/>
      </c>
      <c r="AK237" s="65" t="str">
        <f>IF(B237="", "", 'Lighting Inventory'!AM245)</f>
        <v/>
      </c>
      <c r="AL237" s="26" t="str">
        <f>IF(B237="", "", 'Lighting Inventory'!AN245)</f>
        <v/>
      </c>
      <c r="AM237" s="26" t="str">
        <f t="shared" si="11"/>
        <v/>
      </c>
      <c r="AN237" s="26" t="str">
        <f>IF(B237="","",IF('Lighting Inventory'!AV245="","Prescribed",'Lighting Inventory'!AV245))</f>
        <v/>
      </c>
      <c r="AO237" s="66" t="str">
        <f>IF(B237="", "", 'Lighting Inventory'!AX245)</f>
        <v/>
      </c>
      <c r="AP237" s="67" t="str">
        <f>IF(B237="", "", 'Lighting Inventory'!AZ245)</f>
        <v/>
      </c>
      <c r="AQ237" s="67" t="str">
        <f>IF(B237="", "", 'Lighting Inventory'!BA245)</f>
        <v/>
      </c>
      <c r="AR237" s="67" t="str">
        <f>IF(B237="", "", 'Lighting Inventory'!BB245)</f>
        <v/>
      </c>
      <c r="AS237" s="67" t="str">
        <f>IF(B237="", "", 'Lighting Inventory'!BC245)</f>
        <v/>
      </c>
      <c r="AT237" s="67" t="str">
        <f>IF(B237="", "", 'Lighting Inventory'!BD245)</f>
        <v/>
      </c>
      <c r="AU237" s="67" t="str">
        <f>IF(B237="", "", 'Lighting Inventory'!BE245)</f>
        <v/>
      </c>
      <c r="AV237" s="67" t="str">
        <f>IF(B237="", "", 'Lighting Inventory'!BE245)</f>
        <v/>
      </c>
      <c r="AW237" s="67" t="str">
        <f>IF(B237="", "", 'Lighting Inventory'!BF245)</f>
        <v/>
      </c>
      <c r="AX237" s="67" t="str">
        <f>IF(B237="", "", 'Lighting Inventory'!BF245)</f>
        <v/>
      </c>
      <c r="AY237" s="65" t="str">
        <f t="shared" si="13"/>
        <v/>
      </c>
      <c r="AZ237" s="65" t="str">
        <f>IF(B237="", "", 'Lighting Inventory'!BJ245)</f>
        <v/>
      </c>
      <c r="BA237" s="65" t="str">
        <f>IF(B237="", "", 'Lighting Inventory'!BM245)</f>
        <v/>
      </c>
      <c r="BB237" s="65" t="str">
        <f>IF(B237="","",SUM('Lighting Inventory'!BP245:BP245))</f>
        <v/>
      </c>
      <c r="BC237" s="67" t="str">
        <f>IF(OR(AE237="", B237=""),"", 'Lighting Inventory'!GR245)</f>
        <v/>
      </c>
      <c r="BD237" s="67" t="str">
        <f>IFERROR(IF(B237="", "", 'Lighting Inventory'!AF245)*AD237," ")</f>
        <v xml:space="preserve"> </v>
      </c>
      <c r="BE237" s="67"/>
      <c r="BF237" s="67"/>
    </row>
    <row r="238" spans="1:58" x14ac:dyDescent="0.25">
      <c r="A238" s="26" t="str">
        <f>IF(B238="", "", 'Lookup Tables'!AW239)</f>
        <v/>
      </c>
      <c r="B238" s="26" t="str">
        <f>IF(OR('Lighting Inventory'!Y246="", 'Lighting Inventory'!V246="No Change"),"", 'Lighting Inventory'!Y246)</f>
        <v/>
      </c>
      <c r="C238" s="26" t="str">
        <f>IF(B238="", "", IF('Lighting Inventory'!Y246='Lookup Tables'!$Y$32, 'Lighting Inventory'!AJ246, IF(AD238=0, R238, AD238)))</f>
        <v/>
      </c>
      <c r="D238" s="26" t="str">
        <f>IF(B238="", "", 'General Information'!$F$14)</f>
        <v/>
      </c>
      <c r="E238" s="26" t="str">
        <f t="shared" si="12"/>
        <v/>
      </c>
      <c r="F238" s="26" t="str">
        <f>IF(B238="", "", CONCATENATE('General Information'!$F$9, " - ", 'General Information'!$F$14))</f>
        <v/>
      </c>
      <c r="G238" s="26" t="str">
        <f>IF(B238="", "", 'General Information'!$F$15)</f>
        <v/>
      </c>
      <c r="H238" s="26" t="str">
        <f>IF(B238="", "", IF(VLOOKUP(B238, 'Lookup Tables'!$Y$18:$AA$34, 2, FALSE)="Traffic", VLOOKUP('Lighting Inventory'!W246, 'Lookup Tables'!#REF!, 11, FALSE), VLOOKUP(B238, 'Lookup Tables'!$Y$18:$AA$34, 2, FALSE)))</f>
        <v/>
      </c>
      <c r="I238" s="26" t="str">
        <f>IF(B238="", "", CONCATENATE(D238, 'Data Export'!A238))</f>
        <v/>
      </c>
      <c r="J238" s="26" t="str">
        <f>IF(B238="", "", 'Lookup Tables'!$B$1)</f>
        <v/>
      </c>
      <c r="K238" s="26" t="str">
        <f>IF(B238="", "", 'Lighting Inventory'!B246)</f>
        <v/>
      </c>
      <c r="L238" s="26" t="str">
        <f>IF(B238="", "", 'Lighting Inventory'!C246)</f>
        <v/>
      </c>
      <c r="M238" s="26" t="str">
        <f>IF(B238="", "",'Lighting Inventory'!D246)</f>
        <v/>
      </c>
      <c r="N238" s="26" t="str">
        <f>IF(B238="", "",'Lighting Inventory'!E246)</f>
        <v/>
      </c>
      <c r="O238" s="26" t="str">
        <f>IF(B238="", "", 'Lighting Inventory'!F246)</f>
        <v/>
      </c>
      <c r="P238" s="26" t="str">
        <f>IF(B238="", "", 'Lighting Inventory'!G246)</f>
        <v/>
      </c>
      <c r="Q238" s="26" t="str">
        <f>IF(B238="", "", 'Lighting Inventory'!H246)</f>
        <v/>
      </c>
      <c r="R238" s="26" t="str">
        <f>IF(B238="", "", 'Lighting Inventory'!I246)</f>
        <v/>
      </c>
      <c r="S238" s="26" t="str">
        <f>IF(B238="", "", 'Lighting Inventory'!J246)</f>
        <v/>
      </c>
      <c r="T238" s="26" t="str">
        <f>IFERROR(IF(B238="","",VLOOKUP(S238,'Fixture Identities'!$A$7:$G$1023,5,FALSE)), "New Construction")</f>
        <v/>
      </c>
      <c r="U238" s="26" t="str">
        <f>IFERROR(IF(B238="", "", IF(K238="New Construction", "NC", IF(VLOOKUP(S238, 'Fixture Identities'!$A$7:$I$1023,3, FALSE)="T12 Linear Fluorescent", VLOOKUP(S238, 'Fixture Identities'!$A$7:$K$1012, 11, FALSE), S238))), "")</f>
        <v/>
      </c>
      <c r="V238" s="26" t="str">
        <f>IFERROR(IF(OR(B238="", U238=0), "", VLOOKUP(U238, 'Fixture Identities'!$A$7:$G$1023, 5, FALSE)), "")</f>
        <v/>
      </c>
      <c r="W238" s="26" t="str">
        <f>IF(B238="", "",'Lighting Inventory'!K246)</f>
        <v/>
      </c>
      <c r="X238" s="65" t="str">
        <f>IF(B238="", "", 'Lighting Inventory'!L246)</f>
        <v/>
      </c>
      <c r="Y238" s="26" t="str">
        <f>IF(B238="", "", IF('Lighting Inventory'!M246="", "Light Switch",'Lighting Inventory'!M246))</f>
        <v/>
      </c>
      <c r="Z238" s="26" t="str">
        <f>IF(OR(K238="Retrofit", B238=""), "", 'Lighting Inventory'!N246)</f>
        <v/>
      </c>
      <c r="AA238" s="26" t="str">
        <f>IF(OR(Z238="",B238=""), "", 'Lighting Inventory'!O246)</f>
        <v/>
      </c>
      <c r="AB238" s="26" t="str">
        <f>IF(B238="", "", 'Lighting Inventory'!P246)</f>
        <v/>
      </c>
      <c r="AC238" s="96" t="str">
        <f>IF(B238="", "", 'Lighting Inventory'!R246)</f>
        <v/>
      </c>
      <c r="AD238" s="26" t="str">
        <f>IF(B238="", "", 'Lighting Inventory'!S246)</f>
        <v/>
      </c>
      <c r="AE238" s="26" t="str">
        <f>IF(B238="", "", 'Lighting Inventory'!V246)</f>
        <v/>
      </c>
      <c r="AF238" s="26" t="str">
        <f>IF(B238="", "", 'Lighting Inventory'!W246)</f>
        <v/>
      </c>
      <c r="AG238" s="26" t="str">
        <f>IF(OR(AF238="", B238=""), "", IF(AE238="Custom", "0", VLOOKUP(AF238, 'Lookup Tables'!$AI$6:$AP$102, 8, FALSE)))</f>
        <v/>
      </c>
      <c r="AH238" s="26" t="str">
        <f>IF(B238="", "", 'Lighting Inventory'!AD246)</f>
        <v/>
      </c>
      <c r="AI238" s="26" t="str">
        <f>IF(OR('Lighting Inventory'!AK246="", B238=""), "", 'Lighting Inventory'!AK246)</f>
        <v/>
      </c>
      <c r="AJ238" s="66" t="str">
        <f>IF(B238="", "", 'Lighting Inventory'!AL246)</f>
        <v/>
      </c>
      <c r="AK238" s="65" t="str">
        <f>IF(B238="", "", 'Lighting Inventory'!AM246)</f>
        <v/>
      </c>
      <c r="AL238" s="26" t="str">
        <f>IF(B238="", "", 'Lighting Inventory'!AN246)</f>
        <v/>
      </c>
      <c r="AM238" s="26" t="str">
        <f t="shared" si="11"/>
        <v/>
      </c>
      <c r="AN238" s="26" t="str">
        <f>IF(B238="","",IF('Lighting Inventory'!AV246="","Prescribed",'Lighting Inventory'!AV246))</f>
        <v/>
      </c>
      <c r="AO238" s="66" t="str">
        <f>IF(B238="", "", 'Lighting Inventory'!AX246)</f>
        <v/>
      </c>
      <c r="AP238" s="67" t="str">
        <f>IF(B238="", "", 'Lighting Inventory'!AZ246)</f>
        <v/>
      </c>
      <c r="AQ238" s="67" t="str">
        <f>IF(B238="", "", 'Lighting Inventory'!BA246)</f>
        <v/>
      </c>
      <c r="AR238" s="67" t="str">
        <f>IF(B238="", "", 'Lighting Inventory'!BB246)</f>
        <v/>
      </c>
      <c r="AS238" s="67" t="str">
        <f>IF(B238="", "", 'Lighting Inventory'!BC246)</f>
        <v/>
      </c>
      <c r="AT238" s="67" t="str">
        <f>IF(B238="", "", 'Lighting Inventory'!BD246)</f>
        <v/>
      </c>
      <c r="AU238" s="67" t="str">
        <f>IF(B238="", "", 'Lighting Inventory'!BE246)</f>
        <v/>
      </c>
      <c r="AV238" s="67" t="str">
        <f>IF(B238="", "", 'Lighting Inventory'!BE246)</f>
        <v/>
      </c>
      <c r="AW238" s="67" t="str">
        <f>IF(B238="", "", 'Lighting Inventory'!BF246)</f>
        <v/>
      </c>
      <c r="AX238" s="67" t="str">
        <f>IF(B238="", "", 'Lighting Inventory'!BF246)</f>
        <v/>
      </c>
      <c r="AY238" s="65" t="str">
        <f t="shared" si="13"/>
        <v/>
      </c>
      <c r="AZ238" s="65" t="str">
        <f>IF(B238="", "", 'Lighting Inventory'!BJ246)</f>
        <v/>
      </c>
      <c r="BA238" s="65" t="str">
        <f>IF(B238="", "", 'Lighting Inventory'!BM246)</f>
        <v/>
      </c>
      <c r="BB238" s="65" t="str">
        <f>IF(B238="","",SUM('Lighting Inventory'!BP246:BP246))</f>
        <v/>
      </c>
      <c r="BC238" s="67" t="str">
        <f>IF(OR(AE238="", B238=""),"", 'Lighting Inventory'!GR246)</f>
        <v/>
      </c>
      <c r="BD238" s="67" t="str">
        <f>IFERROR(IF(B238="", "", 'Lighting Inventory'!AF246)*AD238," ")</f>
        <v xml:space="preserve"> </v>
      </c>
      <c r="BE238" s="67"/>
      <c r="BF238" s="67"/>
    </row>
    <row r="239" spans="1:58" x14ac:dyDescent="0.25">
      <c r="A239" s="26" t="str">
        <f>IF(B239="", "", 'Lookup Tables'!AW240)</f>
        <v/>
      </c>
      <c r="B239" s="26" t="str">
        <f>IF(OR('Lighting Inventory'!Y247="", 'Lighting Inventory'!V247="No Change"),"", 'Lighting Inventory'!Y247)</f>
        <v/>
      </c>
      <c r="C239" s="26" t="str">
        <f>IF(B239="", "", IF('Lighting Inventory'!Y247='Lookup Tables'!$Y$32, 'Lighting Inventory'!AJ247, IF(AD239=0, R239, AD239)))</f>
        <v/>
      </c>
      <c r="D239" s="26" t="str">
        <f>IF(B239="", "", 'General Information'!$F$14)</f>
        <v/>
      </c>
      <c r="E239" s="26" t="str">
        <f t="shared" si="12"/>
        <v/>
      </c>
      <c r="F239" s="26" t="str">
        <f>IF(B239="", "", CONCATENATE('General Information'!$F$9, " - ", 'General Information'!$F$14))</f>
        <v/>
      </c>
      <c r="G239" s="26" t="str">
        <f>IF(B239="", "", 'General Information'!$F$15)</f>
        <v/>
      </c>
      <c r="H239" s="26" t="str">
        <f>IF(B239="", "", IF(VLOOKUP(B239, 'Lookup Tables'!$Y$18:$AA$34, 2, FALSE)="Traffic", VLOOKUP('Lighting Inventory'!W247, 'Lookup Tables'!#REF!, 11, FALSE), VLOOKUP(B239, 'Lookup Tables'!$Y$18:$AA$34, 2, FALSE)))</f>
        <v/>
      </c>
      <c r="I239" s="26" t="str">
        <f>IF(B239="", "", CONCATENATE(D239, 'Data Export'!A239))</f>
        <v/>
      </c>
      <c r="J239" s="26" t="str">
        <f>IF(B239="", "", 'Lookup Tables'!$B$1)</f>
        <v/>
      </c>
      <c r="K239" s="26" t="str">
        <f>IF(B239="", "", 'Lighting Inventory'!B247)</f>
        <v/>
      </c>
      <c r="L239" s="26" t="str">
        <f>IF(B239="", "", 'Lighting Inventory'!C247)</f>
        <v/>
      </c>
      <c r="M239" s="26" t="str">
        <f>IF(B239="", "",'Lighting Inventory'!D247)</f>
        <v/>
      </c>
      <c r="N239" s="26" t="str">
        <f>IF(B239="", "",'Lighting Inventory'!E247)</f>
        <v/>
      </c>
      <c r="O239" s="26" t="str">
        <f>IF(B239="", "", 'Lighting Inventory'!F247)</f>
        <v/>
      </c>
      <c r="P239" s="26" t="str">
        <f>IF(B239="", "", 'Lighting Inventory'!G247)</f>
        <v/>
      </c>
      <c r="Q239" s="26" t="str">
        <f>IF(B239="", "", 'Lighting Inventory'!H247)</f>
        <v/>
      </c>
      <c r="R239" s="26" t="str">
        <f>IF(B239="", "", 'Lighting Inventory'!I247)</f>
        <v/>
      </c>
      <c r="S239" s="26" t="str">
        <f>IF(B239="", "", 'Lighting Inventory'!J247)</f>
        <v/>
      </c>
      <c r="T239" s="26" t="str">
        <f>IFERROR(IF(B239="","",VLOOKUP(S239,'Fixture Identities'!$A$7:$G$1023,5,FALSE)), "New Construction")</f>
        <v/>
      </c>
      <c r="U239" s="26" t="str">
        <f>IFERROR(IF(B239="", "", IF(K239="New Construction", "NC", IF(VLOOKUP(S239, 'Fixture Identities'!$A$7:$I$1023,3, FALSE)="T12 Linear Fluorescent", VLOOKUP(S239, 'Fixture Identities'!$A$7:$K$1012, 11, FALSE), S239))), "")</f>
        <v/>
      </c>
      <c r="V239" s="26" t="str">
        <f>IFERROR(IF(OR(B239="", U239=0), "", VLOOKUP(U239, 'Fixture Identities'!$A$7:$G$1023, 5, FALSE)), "")</f>
        <v/>
      </c>
      <c r="W239" s="26" t="str">
        <f>IF(B239="", "",'Lighting Inventory'!K247)</f>
        <v/>
      </c>
      <c r="X239" s="65" t="str">
        <f>IF(B239="", "", 'Lighting Inventory'!L247)</f>
        <v/>
      </c>
      <c r="Y239" s="26" t="str">
        <f>IF(B239="", "", IF('Lighting Inventory'!M247="", "Light Switch",'Lighting Inventory'!M247))</f>
        <v/>
      </c>
      <c r="Z239" s="26" t="str">
        <f>IF(OR(K239="Retrofit", B239=""), "", 'Lighting Inventory'!N247)</f>
        <v/>
      </c>
      <c r="AA239" s="26" t="str">
        <f>IF(OR(Z239="",B239=""), "", 'Lighting Inventory'!O247)</f>
        <v/>
      </c>
      <c r="AB239" s="26" t="str">
        <f>IF(B239="", "", 'Lighting Inventory'!P247)</f>
        <v/>
      </c>
      <c r="AC239" s="96" t="str">
        <f>IF(B239="", "", 'Lighting Inventory'!R247)</f>
        <v/>
      </c>
      <c r="AD239" s="26" t="str">
        <f>IF(B239="", "", 'Lighting Inventory'!S247)</f>
        <v/>
      </c>
      <c r="AE239" s="26" t="str">
        <f>IF(B239="", "", 'Lighting Inventory'!V247)</f>
        <v/>
      </c>
      <c r="AF239" s="26" t="str">
        <f>IF(B239="", "", 'Lighting Inventory'!W247)</f>
        <v/>
      </c>
      <c r="AG239" s="26" t="str">
        <f>IF(OR(AF239="", B239=""), "", IF(AE239="Custom", "0", VLOOKUP(AF239, 'Lookup Tables'!$AI$6:$AP$102, 8, FALSE)))</f>
        <v/>
      </c>
      <c r="AH239" s="26" t="str">
        <f>IF(B239="", "", 'Lighting Inventory'!AD247)</f>
        <v/>
      </c>
      <c r="AI239" s="26" t="str">
        <f>IF(OR('Lighting Inventory'!AK247="", B239=""), "", 'Lighting Inventory'!AK247)</f>
        <v/>
      </c>
      <c r="AJ239" s="66" t="str">
        <f>IF(B239="", "", 'Lighting Inventory'!AL247)</f>
        <v/>
      </c>
      <c r="AK239" s="65" t="str">
        <f>IF(B239="", "", 'Lighting Inventory'!AM247)</f>
        <v/>
      </c>
      <c r="AL239" s="26" t="str">
        <f>IF(B239="", "", 'Lighting Inventory'!AN247)</f>
        <v/>
      </c>
      <c r="AM239" s="26" t="str">
        <f t="shared" si="11"/>
        <v/>
      </c>
      <c r="AN239" s="26" t="str">
        <f>IF(B239="","",IF('Lighting Inventory'!AV247="","Prescribed",'Lighting Inventory'!AV247))</f>
        <v/>
      </c>
      <c r="AO239" s="66" t="str">
        <f>IF(B239="", "", 'Lighting Inventory'!AX247)</f>
        <v/>
      </c>
      <c r="AP239" s="67" t="str">
        <f>IF(B239="", "", 'Lighting Inventory'!AZ247)</f>
        <v/>
      </c>
      <c r="AQ239" s="67" t="str">
        <f>IF(B239="", "", 'Lighting Inventory'!BA247)</f>
        <v/>
      </c>
      <c r="AR239" s="67" t="str">
        <f>IF(B239="", "", 'Lighting Inventory'!BB247)</f>
        <v/>
      </c>
      <c r="AS239" s="67" t="str">
        <f>IF(B239="", "", 'Lighting Inventory'!BC247)</f>
        <v/>
      </c>
      <c r="AT239" s="67" t="str">
        <f>IF(B239="", "", 'Lighting Inventory'!BD247)</f>
        <v/>
      </c>
      <c r="AU239" s="67" t="str">
        <f>IF(B239="", "", 'Lighting Inventory'!BE247)</f>
        <v/>
      </c>
      <c r="AV239" s="67" t="str">
        <f>IF(B239="", "", 'Lighting Inventory'!BE247)</f>
        <v/>
      </c>
      <c r="AW239" s="67" t="str">
        <f>IF(B239="", "", 'Lighting Inventory'!BF247)</f>
        <v/>
      </c>
      <c r="AX239" s="67" t="str">
        <f>IF(B239="", "", 'Lighting Inventory'!BF247)</f>
        <v/>
      </c>
      <c r="AY239" s="65" t="str">
        <f t="shared" si="13"/>
        <v/>
      </c>
      <c r="AZ239" s="65" t="str">
        <f>IF(B239="", "", 'Lighting Inventory'!BJ247)</f>
        <v/>
      </c>
      <c r="BA239" s="65" t="str">
        <f>IF(B239="", "", 'Lighting Inventory'!BM247)</f>
        <v/>
      </c>
      <c r="BB239" s="65" t="str">
        <f>IF(B239="","",SUM('Lighting Inventory'!BP247:BP247))</f>
        <v/>
      </c>
      <c r="BC239" s="67" t="str">
        <f>IF(OR(AE239="", B239=""),"", 'Lighting Inventory'!GR247)</f>
        <v/>
      </c>
      <c r="BD239" s="67" t="str">
        <f>IFERROR(IF(B239="", "", 'Lighting Inventory'!AF247)*AD239," ")</f>
        <v xml:space="preserve"> </v>
      </c>
      <c r="BE239" s="67"/>
      <c r="BF239" s="67"/>
    </row>
    <row r="240" spans="1:58" x14ac:dyDescent="0.25">
      <c r="A240" s="26" t="str">
        <f>IF(B240="", "", 'Lookup Tables'!AW241)</f>
        <v/>
      </c>
      <c r="B240" s="26" t="str">
        <f>IF(OR('Lighting Inventory'!Y248="", 'Lighting Inventory'!V248="No Change"),"", 'Lighting Inventory'!Y248)</f>
        <v/>
      </c>
      <c r="C240" s="26" t="str">
        <f>IF(B240="", "", IF('Lighting Inventory'!Y248='Lookup Tables'!$Y$32, 'Lighting Inventory'!AJ248, IF(AD240=0, R240, AD240)))</f>
        <v/>
      </c>
      <c r="D240" s="26" t="str">
        <f>IF(B240="", "", 'General Information'!$F$14)</f>
        <v/>
      </c>
      <c r="E240" s="26" t="str">
        <f t="shared" si="12"/>
        <v/>
      </c>
      <c r="F240" s="26" t="str">
        <f>IF(B240="", "", CONCATENATE('General Information'!$F$9, " - ", 'General Information'!$F$14))</f>
        <v/>
      </c>
      <c r="G240" s="26" t="str">
        <f>IF(B240="", "", 'General Information'!$F$15)</f>
        <v/>
      </c>
      <c r="H240" s="26" t="str">
        <f>IF(B240="", "", IF(VLOOKUP(B240, 'Lookup Tables'!$Y$18:$AA$34, 2, FALSE)="Traffic", VLOOKUP('Lighting Inventory'!W248, 'Lookup Tables'!#REF!, 11, FALSE), VLOOKUP(B240, 'Lookup Tables'!$Y$18:$AA$34, 2, FALSE)))</f>
        <v/>
      </c>
      <c r="I240" s="26" t="str">
        <f>IF(B240="", "", CONCATENATE(D240, 'Data Export'!A240))</f>
        <v/>
      </c>
      <c r="J240" s="26" t="str">
        <f>IF(B240="", "", 'Lookup Tables'!$B$1)</f>
        <v/>
      </c>
      <c r="K240" s="26" t="str">
        <f>IF(B240="", "", 'Lighting Inventory'!B248)</f>
        <v/>
      </c>
      <c r="L240" s="26" t="str">
        <f>IF(B240="", "", 'Lighting Inventory'!C248)</f>
        <v/>
      </c>
      <c r="M240" s="26" t="str">
        <f>IF(B240="", "",'Lighting Inventory'!D248)</f>
        <v/>
      </c>
      <c r="N240" s="26" t="str">
        <f>IF(B240="", "",'Lighting Inventory'!E248)</f>
        <v/>
      </c>
      <c r="O240" s="26" t="str">
        <f>IF(B240="", "", 'Lighting Inventory'!F248)</f>
        <v/>
      </c>
      <c r="P240" s="26" t="str">
        <f>IF(B240="", "", 'Lighting Inventory'!G248)</f>
        <v/>
      </c>
      <c r="Q240" s="26" t="str">
        <f>IF(B240="", "", 'Lighting Inventory'!H248)</f>
        <v/>
      </c>
      <c r="R240" s="26" t="str">
        <f>IF(B240="", "", 'Lighting Inventory'!I248)</f>
        <v/>
      </c>
      <c r="S240" s="26" t="str">
        <f>IF(B240="", "", 'Lighting Inventory'!J248)</f>
        <v/>
      </c>
      <c r="T240" s="26" t="str">
        <f>IFERROR(IF(B240="","",VLOOKUP(S240,'Fixture Identities'!$A$7:$G$1023,5,FALSE)), "New Construction")</f>
        <v/>
      </c>
      <c r="U240" s="26" t="str">
        <f>IFERROR(IF(B240="", "", IF(K240="New Construction", "NC", IF(VLOOKUP(S240, 'Fixture Identities'!$A$7:$I$1023,3, FALSE)="T12 Linear Fluorescent", VLOOKUP(S240, 'Fixture Identities'!$A$7:$K$1012, 11, FALSE), S240))), "")</f>
        <v/>
      </c>
      <c r="V240" s="26" t="str">
        <f>IFERROR(IF(OR(B240="", U240=0), "", VLOOKUP(U240, 'Fixture Identities'!$A$7:$G$1023, 5, FALSE)), "")</f>
        <v/>
      </c>
      <c r="W240" s="26" t="str">
        <f>IF(B240="", "",'Lighting Inventory'!K248)</f>
        <v/>
      </c>
      <c r="X240" s="65" t="str">
        <f>IF(B240="", "", 'Lighting Inventory'!L248)</f>
        <v/>
      </c>
      <c r="Y240" s="26" t="str">
        <f>IF(B240="", "", IF('Lighting Inventory'!M248="", "Light Switch",'Lighting Inventory'!M248))</f>
        <v/>
      </c>
      <c r="Z240" s="26" t="str">
        <f>IF(OR(K240="Retrofit", B240=""), "", 'Lighting Inventory'!N248)</f>
        <v/>
      </c>
      <c r="AA240" s="26" t="str">
        <f>IF(OR(Z240="",B240=""), "", 'Lighting Inventory'!O248)</f>
        <v/>
      </c>
      <c r="AB240" s="26" t="str">
        <f>IF(B240="", "", 'Lighting Inventory'!P248)</f>
        <v/>
      </c>
      <c r="AC240" s="96" t="str">
        <f>IF(B240="", "", 'Lighting Inventory'!R248)</f>
        <v/>
      </c>
      <c r="AD240" s="26" t="str">
        <f>IF(B240="", "", 'Lighting Inventory'!S248)</f>
        <v/>
      </c>
      <c r="AE240" s="26" t="str">
        <f>IF(B240="", "", 'Lighting Inventory'!V248)</f>
        <v/>
      </c>
      <c r="AF240" s="26" t="str">
        <f>IF(B240="", "", 'Lighting Inventory'!W248)</f>
        <v/>
      </c>
      <c r="AG240" s="26" t="str">
        <f>IF(OR(AF240="", B240=""), "", IF(AE240="Custom", "0", VLOOKUP(AF240, 'Lookup Tables'!$AI$6:$AP$102, 8, FALSE)))</f>
        <v/>
      </c>
      <c r="AH240" s="26" t="str">
        <f>IF(B240="", "", 'Lighting Inventory'!AD248)</f>
        <v/>
      </c>
      <c r="AI240" s="26" t="str">
        <f>IF(OR('Lighting Inventory'!AK248="", B240=""), "", 'Lighting Inventory'!AK248)</f>
        <v/>
      </c>
      <c r="AJ240" s="66" t="str">
        <f>IF(B240="", "", 'Lighting Inventory'!AL248)</f>
        <v/>
      </c>
      <c r="AK240" s="65" t="str">
        <f>IF(B240="", "", 'Lighting Inventory'!AM248)</f>
        <v/>
      </c>
      <c r="AL240" s="26" t="str">
        <f>IF(B240="", "", 'Lighting Inventory'!AN248)</f>
        <v/>
      </c>
      <c r="AM240" s="26" t="str">
        <f t="shared" si="11"/>
        <v/>
      </c>
      <c r="AN240" s="26" t="str">
        <f>IF(B240="","",IF('Lighting Inventory'!AV248="","Prescribed",'Lighting Inventory'!AV248))</f>
        <v/>
      </c>
      <c r="AO240" s="66" t="str">
        <f>IF(B240="", "", 'Lighting Inventory'!AX248)</f>
        <v/>
      </c>
      <c r="AP240" s="67" t="str">
        <f>IF(B240="", "", 'Lighting Inventory'!AZ248)</f>
        <v/>
      </c>
      <c r="AQ240" s="67" t="str">
        <f>IF(B240="", "", 'Lighting Inventory'!BA248)</f>
        <v/>
      </c>
      <c r="AR240" s="67" t="str">
        <f>IF(B240="", "", 'Lighting Inventory'!BB248)</f>
        <v/>
      </c>
      <c r="AS240" s="67" t="str">
        <f>IF(B240="", "", 'Lighting Inventory'!BC248)</f>
        <v/>
      </c>
      <c r="AT240" s="67" t="str">
        <f>IF(B240="", "", 'Lighting Inventory'!BD248)</f>
        <v/>
      </c>
      <c r="AU240" s="67" t="str">
        <f>IF(B240="", "", 'Lighting Inventory'!BE248)</f>
        <v/>
      </c>
      <c r="AV240" s="67" t="str">
        <f>IF(B240="", "", 'Lighting Inventory'!BE248)</f>
        <v/>
      </c>
      <c r="AW240" s="67" t="str">
        <f>IF(B240="", "", 'Lighting Inventory'!BF248)</f>
        <v/>
      </c>
      <c r="AX240" s="67" t="str">
        <f>IF(B240="", "", 'Lighting Inventory'!BF248)</f>
        <v/>
      </c>
      <c r="AY240" s="65" t="str">
        <f t="shared" si="13"/>
        <v/>
      </c>
      <c r="AZ240" s="65" t="str">
        <f>IF(B240="", "", 'Lighting Inventory'!BJ248)</f>
        <v/>
      </c>
      <c r="BA240" s="65" t="str">
        <f>IF(B240="", "", 'Lighting Inventory'!BM248)</f>
        <v/>
      </c>
      <c r="BB240" s="65" t="str">
        <f>IF(B240="","",SUM('Lighting Inventory'!BP248:BP248))</f>
        <v/>
      </c>
      <c r="BC240" s="67" t="str">
        <f>IF(OR(AE240="", B240=""),"", 'Lighting Inventory'!GR248)</f>
        <v/>
      </c>
      <c r="BD240" s="67" t="str">
        <f>IFERROR(IF(B240="", "", 'Lighting Inventory'!AF248)*AD240," ")</f>
        <v xml:space="preserve"> </v>
      </c>
      <c r="BE240" s="67"/>
      <c r="BF240" s="67"/>
    </row>
    <row r="241" spans="1:59" x14ac:dyDescent="0.25">
      <c r="A241" s="26" t="str">
        <f>IF(B241="", "", 'Lookup Tables'!AW242)</f>
        <v/>
      </c>
      <c r="B241" s="26" t="str">
        <f>IF(OR('Lighting Inventory'!Y249="", 'Lighting Inventory'!V249="No Change"),"", 'Lighting Inventory'!Y249)</f>
        <v/>
      </c>
      <c r="C241" s="26" t="str">
        <f>IF(B241="", "", IF('Lighting Inventory'!Y249='Lookup Tables'!$Y$32, 'Lighting Inventory'!AJ249, IF(AD241=0, R241, AD241)))</f>
        <v/>
      </c>
      <c r="D241" s="26" t="str">
        <f>IF(B241="", "", 'General Information'!$F$14)</f>
        <v/>
      </c>
      <c r="E241" s="26" t="str">
        <f t="shared" si="12"/>
        <v/>
      </c>
      <c r="F241" s="26" t="str">
        <f>IF(B241="", "", CONCATENATE('General Information'!$F$9, " - ", 'General Information'!$F$14))</f>
        <v/>
      </c>
      <c r="G241" s="26" t="str">
        <f>IF(B241="", "", 'General Information'!$F$15)</f>
        <v/>
      </c>
      <c r="H241" s="26" t="str">
        <f>IF(B241="", "", IF(VLOOKUP(B241, 'Lookup Tables'!$Y$18:$AA$34, 2, FALSE)="Traffic", VLOOKUP('Lighting Inventory'!W249, 'Lookup Tables'!#REF!, 11, FALSE), VLOOKUP(B241, 'Lookup Tables'!$Y$18:$AA$34, 2, FALSE)))</f>
        <v/>
      </c>
      <c r="I241" s="26" t="str">
        <f>IF(B241="", "", CONCATENATE(D241, 'Data Export'!A241))</f>
        <v/>
      </c>
      <c r="J241" s="26" t="str">
        <f>IF(B241="", "", 'Lookup Tables'!$B$1)</f>
        <v/>
      </c>
      <c r="K241" s="26" t="str">
        <f>IF(B241="", "", 'Lighting Inventory'!B249)</f>
        <v/>
      </c>
      <c r="L241" s="26" t="str">
        <f>IF(B241="", "", 'Lighting Inventory'!C249)</f>
        <v/>
      </c>
      <c r="M241" s="26" t="str">
        <f>IF(B241="", "",'Lighting Inventory'!D249)</f>
        <v/>
      </c>
      <c r="N241" s="26" t="str">
        <f>IF(B241="", "",'Lighting Inventory'!E249)</f>
        <v/>
      </c>
      <c r="O241" s="26" t="str">
        <f>IF(B241="", "", 'Lighting Inventory'!F249)</f>
        <v/>
      </c>
      <c r="P241" s="26" t="str">
        <f>IF(B241="", "", 'Lighting Inventory'!G249)</f>
        <v/>
      </c>
      <c r="Q241" s="26" t="str">
        <f>IF(B241="", "", 'Lighting Inventory'!H249)</f>
        <v/>
      </c>
      <c r="R241" s="26" t="str">
        <f>IF(B241="", "", 'Lighting Inventory'!I249)</f>
        <v/>
      </c>
      <c r="S241" s="26" t="str">
        <f>IF(B241="", "", 'Lighting Inventory'!J249)</f>
        <v/>
      </c>
      <c r="T241" s="26" t="str">
        <f>IFERROR(IF(B241="","",VLOOKUP(S241,'Fixture Identities'!$A$7:$G$1023,5,FALSE)), "New Construction")</f>
        <v/>
      </c>
      <c r="U241" s="26" t="str">
        <f>IFERROR(IF(B241="", "", IF(K241="New Construction", "NC", IF(VLOOKUP(S241, 'Fixture Identities'!$A$7:$I$1023,3, FALSE)="T12 Linear Fluorescent", VLOOKUP(S241, 'Fixture Identities'!$A$7:$K$1012, 11, FALSE), S241))), "")</f>
        <v/>
      </c>
      <c r="V241" s="26" t="str">
        <f>IFERROR(IF(OR(B241="", U241=0), "", VLOOKUP(U241, 'Fixture Identities'!$A$7:$G$1023, 5, FALSE)), "")</f>
        <v/>
      </c>
      <c r="W241" s="26" t="str">
        <f>IF(B241="", "",'Lighting Inventory'!K249)</f>
        <v/>
      </c>
      <c r="X241" s="65" t="str">
        <f>IF(B241="", "", 'Lighting Inventory'!L249)</f>
        <v/>
      </c>
      <c r="Y241" s="26" t="str">
        <f>IF(B241="", "", IF('Lighting Inventory'!M249="", "Light Switch",'Lighting Inventory'!M249))</f>
        <v/>
      </c>
      <c r="Z241" s="26" t="str">
        <f>IF(OR(K241="Retrofit", B241=""), "", 'Lighting Inventory'!N249)</f>
        <v/>
      </c>
      <c r="AA241" s="26" t="str">
        <f>IF(OR(Z241="",B241=""), "", 'Lighting Inventory'!O249)</f>
        <v/>
      </c>
      <c r="AB241" s="26" t="str">
        <f>IF(B241="", "", 'Lighting Inventory'!P249)</f>
        <v/>
      </c>
      <c r="AC241" s="96" t="str">
        <f>IF(B241="", "", 'Lighting Inventory'!R249)</f>
        <v/>
      </c>
      <c r="AD241" s="26" t="str">
        <f>IF(B241="", "", 'Lighting Inventory'!S249)</f>
        <v/>
      </c>
      <c r="AE241" s="26" t="str">
        <f>IF(B241="", "", 'Lighting Inventory'!V249)</f>
        <v/>
      </c>
      <c r="AF241" s="26" t="str">
        <f>IF(B241="", "", 'Lighting Inventory'!W249)</f>
        <v/>
      </c>
      <c r="AG241" s="26" t="str">
        <f>IF(OR(AF241="", B241=""), "", IF(AE241="Custom", "0", VLOOKUP(AF241, 'Lookup Tables'!$AI$6:$AP$102, 8, FALSE)))</f>
        <v/>
      </c>
      <c r="AH241" s="26" t="str">
        <f>IF(B241="", "", 'Lighting Inventory'!AD249)</f>
        <v/>
      </c>
      <c r="AI241" s="26" t="str">
        <f>IF(OR('Lighting Inventory'!AK249="", B241=""), "", 'Lighting Inventory'!AK249)</f>
        <v/>
      </c>
      <c r="AJ241" s="66" t="str">
        <f>IF(B241="", "", 'Lighting Inventory'!AL249)</f>
        <v/>
      </c>
      <c r="AK241" s="65" t="str">
        <f>IF(B241="", "", 'Lighting Inventory'!AM249)</f>
        <v/>
      </c>
      <c r="AL241" s="26" t="str">
        <f>IF(B241="", "", 'Lighting Inventory'!AN249)</f>
        <v/>
      </c>
      <c r="AM241" s="26" t="str">
        <f t="shared" si="11"/>
        <v/>
      </c>
      <c r="AN241" s="26" t="str">
        <f>IF(B241="","",IF('Lighting Inventory'!AV249="","Prescribed",'Lighting Inventory'!AV249))</f>
        <v/>
      </c>
      <c r="AO241" s="66" t="str">
        <f>IF(B241="", "", 'Lighting Inventory'!AX249)</f>
        <v/>
      </c>
      <c r="AP241" s="67" t="str">
        <f>IF(B241="", "", 'Lighting Inventory'!AZ249)</f>
        <v/>
      </c>
      <c r="AQ241" s="67" t="str">
        <f>IF(B241="", "", 'Lighting Inventory'!BA249)</f>
        <v/>
      </c>
      <c r="AR241" s="67" t="str">
        <f>IF(B241="", "", 'Lighting Inventory'!BB249)</f>
        <v/>
      </c>
      <c r="AS241" s="67" t="str">
        <f>IF(B241="", "", 'Lighting Inventory'!BC249)</f>
        <v/>
      </c>
      <c r="AT241" s="67" t="str">
        <f>IF(B241="", "", 'Lighting Inventory'!BD249)</f>
        <v/>
      </c>
      <c r="AU241" s="67" t="str">
        <f>IF(B241="", "", 'Lighting Inventory'!BE249)</f>
        <v/>
      </c>
      <c r="AV241" s="67" t="str">
        <f>IF(B241="", "", 'Lighting Inventory'!BE249)</f>
        <v/>
      </c>
      <c r="AW241" s="67" t="str">
        <f>IF(B241="", "", 'Lighting Inventory'!BF249)</f>
        <v/>
      </c>
      <c r="AX241" s="67" t="str">
        <f>IF(B241="", "", 'Lighting Inventory'!BF249)</f>
        <v/>
      </c>
      <c r="AY241" s="65" t="str">
        <f t="shared" si="13"/>
        <v/>
      </c>
      <c r="AZ241" s="65" t="str">
        <f>IF(B241="", "", 'Lighting Inventory'!BJ249)</f>
        <v/>
      </c>
      <c r="BA241" s="65" t="str">
        <f>IF(B241="", "", 'Lighting Inventory'!BM249)</f>
        <v/>
      </c>
      <c r="BB241" s="65" t="str">
        <f>IF(B241="","",SUM('Lighting Inventory'!BP249:BP249))</f>
        <v/>
      </c>
      <c r="BC241" s="67" t="str">
        <f>IF(OR(AE241="", B241=""),"", 'Lighting Inventory'!GR249)</f>
        <v/>
      </c>
      <c r="BD241" s="67" t="str">
        <f>IFERROR(IF(B241="", "", 'Lighting Inventory'!AF249)*AD241," ")</f>
        <v xml:space="preserve"> </v>
      </c>
      <c r="BE241" s="67"/>
      <c r="BF241" s="67"/>
    </row>
    <row r="242" spans="1:59" x14ac:dyDescent="0.25">
      <c r="A242" s="26" t="str">
        <f>IF(B242="", "", 'Lookup Tables'!AW243)</f>
        <v/>
      </c>
      <c r="B242" s="26" t="str">
        <f>IF(OR('Lighting Inventory'!Y250="", 'Lighting Inventory'!V250="No Change"),"", 'Lighting Inventory'!Y250)</f>
        <v/>
      </c>
      <c r="C242" s="26" t="str">
        <f>IF(B242="", "", IF('Lighting Inventory'!Y250='Lookup Tables'!$Y$32, 'Lighting Inventory'!AJ250, IF(AD242=0, R242, AD242)))</f>
        <v/>
      </c>
      <c r="D242" s="26" t="str">
        <f>IF(B242="", "", 'General Information'!$F$14)</f>
        <v/>
      </c>
      <c r="E242" s="26" t="str">
        <f t="shared" si="12"/>
        <v/>
      </c>
      <c r="F242" s="26" t="str">
        <f>IF(B242="", "", CONCATENATE('General Information'!$F$9, " - ", 'General Information'!$F$14))</f>
        <v/>
      </c>
      <c r="G242" s="26" t="str">
        <f>IF(B242="", "", 'General Information'!$F$15)</f>
        <v/>
      </c>
      <c r="H242" s="26" t="str">
        <f>IF(B242="", "", IF(VLOOKUP(B242, 'Lookup Tables'!$Y$18:$AA$34, 2, FALSE)="Traffic", VLOOKUP('Lighting Inventory'!W250, 'Lookup Tables'!#REF!, 11, FALSE), VLOOKUP(B242, 'Lookup Tables'!$Y$18:$AA$34, 2, FALSE)))</f>
        <v/>
      </c>
      <c r="I242" s="26" t="str">
        <f>IF(B242="", "", CONCATENATE(D242, 'Data Export'!A242))</f>
        <v/>
      </c>
      <c r="J242" s="26" t="str">
        <f>IF(B242="", "", 'Lookup Tables'!$B$1)</f>
        <v/>
      </c>
      <c r="K242" s="26" t="str">
        <f>IF(B242="", "", 'Lighting Inventory'!B250)</f>
        <v/>
      </c>
      <c r="L242" s="26" t="str">
        <f>IF(B242="", "", 'Lighting Inventory'!C250)</f>
        <v/>
      </c>
      <c r="M242" s="26" t="str">
        <f>IF(B242="", "",'Lighting Inventory'!D250)</f>
        <v/>
      </c>
      <c r="N242" s="26" t="str">
        <f>IF(B242="", "",'Lighting Inventory'!E250)</f>
        <v/>
      </c>
      <c r="O242" s="26" t="str">
        <f>IF(B242="", "", 'Lighting Inventory'!F250)</f>
        <v/>
      </c>
      <c r="P242" s="26" t="str">
        <f>IF(B242="", "", 'Lighting Inventory'!G250)</f>
        <v/>
      </c>
      <c r="Q242" s="26" t="str">
        <f>IF(B242="", "", 'Lighting Inventory'!H250)</f>
        <v/>
      </c>
      <c r="R242" s="26" t="str">
        <f>IF(B242="", "", 'Lighting Inventory'!I250)</f>
        <v/>
      </c>
      <c r="S242" s="26" t="str">
        <f>IF(B242="", "", 'Lighting Inventory'!J250)</f>
        <v/>
      </c>
      <c r="T242" s="26" t="str">
        <f>IFERROR(IF(B242="","",VLOOKUP(S242,'Fixture Identities'!$A$7:$G$1023,5,FALSE)), "New Construction")</f>
        <v/>
      </c>
      <c r="U242" s="26" t="str">
        <f>IFERROR(IF(B242="", "", IF(K242="New Construction", "NC", IF(VLOOKUP(S242, 'Fixture Identities'!$A$7:$I$1023,3, FALSE)="T12 Linear Fluorescent", VLOOKUP(S242, 'Fixture Identities'!$A$7:$K$1012, 11, FALSE), S242))), "")</f>
        <v/>
      </c>
      <c r="V242" s="26" t="str">
        <f>IFERROR(IF(OR(B242="", U242=0), "", VLOOKUP(U242, 'Fixture Identities'!$A$7:$G$1023, 5, FALSE)), "")</f>
        <v/>
      </c>
      <c r="W242" s="26" t="str">
        <f>IF(B242="", "",'Lighting Inventory'!K250)</f>
        <v/>
      </c>
      <c r="X242" s="65" t="str">
        <f>IF(B242="", "", 'Lighting Inventory'!L250)</f>
        <v/>
      </c>
      <c r="Y242" s="26" t="str">
        <f>IF(B242="", "", IF('Lighting Inventory'!M250="", "Light Switch",'Lighting Inventory'!M250))</f>
        <v/>
      </c>
      <c r="Z242" s="26" t="str">
        <f>IF(OR(K242="Retrofit", B242=""), "", 'Lighting Inventory'!N250)</f>
        <v/>
      </c>
      <c r="AA242" s="26" t="str">
        <f>IF(OR(Z242="",B242=""), "", 'Lighting Inventory'!O250)</f>
        <v/>
      </c>
      <c r="AB242" s="26" t="str">
        <f>IF(B242="", "", 'Lighting Inventory'!P250)</f>
        <v/>
      </c>
      <c r="AC242" s="96" t="str">
        <f>IF(B242="", "", 'Lighting Inventory'!R250)</f>
        <v/>
      </c>
      <c r="AD242" s="26" t="str">
        <f>IF(B242="", "", 'Lighting Inventory'!S250)</f>
        <v/>
      </c>
      <c r="AE242" s="26" t="str">
        <f>IF(B242="", "", 'Lighting Inventory'!V250)</f>
        <v/>
      </c>
      <c r="AF242" s="26" t="str">
        <f>IF(B242="", "", 'Lighting Inventory'!W250)</f>
        <v/>
      </c>
      <c r="AG242" s="26" t="str">
        <f>IF(OR(AF242="", B242=""), "", IF(AE242="Custom", "0", VLOOKUP(AF242, 'Lookup Tables'!$AI$6:$AP$102, 8, FALSE)))</f>
        <v/>
      </c>
      <c r="AH242" s="26" t="str">
        <f>IF(B242="", "", 'Lighting Inventory'!AD250)</f>
        <v/>
      </c>
      <c r="AI242" s="26" t="str">
        <f>IF(OR('Lighting Inventory'!AK250="", B242=""), "", 'Lighting Inventory'!AK250)</f>
        <v/>
      </c>
      <c r="AJ242" s="66" t="str">
        <f>IF(B242="", "", 'Lighting Inventory'!AL250)</f>
        <v/>
      </c>
      <c r="AK242" s="65" t="str">
        <f>IF(B242="", "", 'Lighting Inventory'!AM250)</f>
        <v/>
      </c>
      <c r="AL242" s="26" t="str">
        <f>IF(B242="", "", 'Lighting Inventory'!AN250)</f>
        <v/>
      </c>
      <c r="AM242" s="26" t="str">
        <f t="shared" si="11"/>
        <v/>
      </c>
      <c r="AN242" s="26" t="str">
        <f>IF(B242="","",IF('Lighting Inventory'!AV250="","Prescribed",'Lighting Inventory'!AV250))</f>
        <v/>
      </c>
      <c r="AO242" s="66" t="str">
        <f>IF(B242="", "", 'Lighting Inventory'!AX250)</f>
        <v/>
      </c>
      <c r="AP242" s="67" t="str">
        <f>IF(B242="", "", 'Lighting Inventory'!AZ250)</f>
        <v/>
      </c>
      <c r="AQ242" s="67" t="str">
        <f>IF(B242="", "", 'Lighting Inventory'!BA250)</f>
        <v/>
      </c>
      <c r="AR242" s="67" t="str">
        <f>IF(B242="", "", 'Lighting Inventory'!BB250)</f>
        <v/>
      </c>
      <c r="AS242" s="67" t="str">
        <f>IF(B242="", "", 'Lighting Inventory'!BC250)</f>
        <v/>
      </c>
      <c r="AT242" s="67" t="str">
        <f>IF(B242="", "", 'Lighting Inventory'!BD250)</f>
        <v/>
      </c>
      <c r="AU242" s="67" t="str">
        <f>IF(B242="", "", 'Lighting Inventory'!BE250)</f>
        <v/>
      </c>
      <c r="AV242" s="67" t="str">
        <f>IF(B242="", "", 'Lighting Inventory'!BE250)</f>
        <v/>
      </c>
      <c r="AW242" s="67" t="str">
        <f>IF(B242="", "", 'Lighting Inventory'!BF250)</f>
        <v/>
      </c>
      <c r="AX242" s="67" t="str">
        <f>IF(B242="", "", 'Lighting Inventory'!BF250)</f>
        <v/>
      </c>
      <c r="AY242" s="65" t="str">
        <f t="shared" si="13"/>
        <v/>
      </c>
      <c r="AZ242" s="65" t="str">
        <f>IF(B242="", "", 'Lighting Inventory'!BJ250)</f>
        <v/>
      </c>
      <c r="BA242" s="65" t="str">
        <f>IF(B242="", "", 'Lighting Inventory'!BM250)</f>
        <v/>
      </c>
      <c r="BB242" s="65" t="str">
        <f>IF(B242="","",SUM('Lighting Inventory'!BP250:BP250))</f>
        <v/>
      </c>
      <c r="BC242" s="67" t="str">
        <f>IF(OR(AE242="", B242=""),"", 'Lighting Inventory'!GR250)</f>
        <v/>
      </c>
      <c r="BD242" s="67" t="str">
        <f>IFERROR(IF(B242="", "", 'Lighting Inventory'!AF250)*AD242," ")</f>
        <v xml:space="preserve"> </v>
      </c>
      <c r="BE242" s="67"/>
      <c r="BF242" s="67"/>
    </row>
    <row r="243" spans="1:59" x14ac:dyDescent="0.25">
      <c r="A243" s="26" t="str">
        <f>IF(B243="", "", 'Lookup Tables'!AW244)</f>
        <v/>
      </c>
      <c r="B243" s="26" t="str">
        <f>IF(OR('Lighting Inventory'!Y251="", 'Lighting Inventory'!V251="No Change"),"", 'Lighting Inventory'!Y251)</f>
        <v/>
      </c>
      <c r="C243" s="26" t="str">
        <f>IF(B243="", "", IF('Lighting Inventory'!Y251='Lookup Tables'!$Y$32, 'Lighting Inventory'!AJ251, IF(AD243=0, R243, AD243)))</f>
        <v/>
      </c>
      <c r="D243" s="26" t="str">
        <f>IF(B243="", "", 'General Information'!$F$14)</f>
        <v/>
      </c>
      <c r="E243" s="26" t="str">
        <f t="shared" si="12"/>
        <v/>
      </c>
      <c r="F243" s="26" t="str">
        <f>IF(B243="", "", CONCATENATE('General Information'!$F$9, " - ", 'General Information'!$F$14))</f>
        <v/>
      </c>
      <c r="G243" s="26" t="str">
        <f>IF(B243="", "", 'General Information'!$F$15)</f>
        <v/>
      </c>
      <c r="H243" s="26" t="str">
        <f>IF(B243="", "", IF(VLOOKUP(B243, 'Lookup Tables'!$Y$18:$AA$34, 2, FALSE)="Traffic", VLOOKUP('Lighting Inventory'!W251, 'Lookup Tables'!#REF!, 11, FALSE), VLOOKUP(B243, 'Lookup Tables'!$Y$18:$AA$34, 2, FALSE)))</f>
        <v/>
      </c>
      <c r="I243" s="26" t="str">
        <f>IF(B243="", "", CONCATENATE(D243, 'Data Export'!A243))</f>
        <v/>
      </c>
      <c r="J243" s="26" t="str">
        <f>IF(B243="", "", 'Lookup Tables'!$B$1)</f>
        <v/>
      </c>
      <c r="K243" s="26" t="str">
        <f>IF(B243="", "", 'Lighting Inventory'!B251)</f>
        <v/>
      </c>
      <c r="L243" s="26" t="str">
        <f>IF(B243="", "", 'Lighting Inventory'!C251)</f>
        <v/>
      </c>
      <c r="M243" s="26" t="str">
        <f>IF(B243="", "",'Lighting Inventory'!D251)</f>
        <v/>
      </c>
      <c r="N243" s="26" t="str">
        <f>IF(B243="", "",'Lighting Inventory'!E251)</f>
        <v/>
      </c>
      <c r="O243" s="26" t="str">
        <f>IF(B243="", "", 'Lighting Inventory'!F251)</f>
        <v/>
      </c>
      <c r="P243" s="26" t="str">
        <f>IF(B243="", "", 'Lighting Inventory'!G251)</f>
        <v/>
      </c>
      <c r="Q243" s="26" t="str">
        <f>IF(B243="", "", 'Lighting Inventory'!H251)</f>
        <v/>
      </c>
      <c r="R243" s="26" t="str">
        <f>IF(B243="", "", 'Lighting Inventory'!I251)</f>
        <v/>
      </c>
      <c r="S243" s="26" t="str">
        <f>IF(B243="", "", 'Lighting Inventory'!J251)</f>
        <v/>
      </c>
      <c r="T243" s="26" t="str">
        <f>IFERROR(IF(B243="","",VLOOKUP(S243,'Fixture Identities'!$A$7:$G$1023,5,FALSE)), "New Construction")</f>
        <v/>
      </c>
      <c r="U243" s="26" t="str">
        <f>IFERROR(IF(B243="", "", IF(K243="New Construction", "NC", IF(VLOOKUP(S243, 'Fixture Identities'!$A$7:$I$1023,3, FALSE)="T12 Linear Fluorescent", VLOOKUP(S243, 'Fixture Identities'!$A$7:$K$1012, 11, FALSE), S243))), "")</f>
        <v/>
      </c>
      <c r="V243" s="26" t="str">
        <f>IFERROR(IF(OR(B243="", U243=0), "", VLOOKUP(U243, 'Fixture Identities'!$A$7:$G$1023, 5, FALSE)), "")</f>
        <v/>
      </c>
      <c r="W243" s="26" t="str">
        <f>IF(B243="", "",'Lighting Inventory'!K251)</f>
        <v/>
      </c>
      <c r="X243" s="65" t="str">
        <f>IF(B243="", "", 'Lighting Inventory'!L251)</f>
        <v/>
      </c>
      <c r="Y243" s="26" t="str">
        <f>IF(B243="", "", IF('Lighting Inventory'!M251="", "Light Switch",'Lighting Inventory'!M251))</f>
        <v/>
      </c>
      <c r="Z243" s="26" t="str">
        <f>IF(OR(K243="Retrofit", B243=""), "", 'Lighting Inventory'!N251)</f>
        <v/>
      </c>
      <c r="AA243" s="26" t="str">
        <f>IF(OR(Z243="",B243=""), "", 'Lighting Inventory'!O251)</f>
        <v/>
      </c>
      <c r="AB243" s="26" t="str">
        <f>IF(B243="", "", 'Lighting Inventory'!P251)</f>
        <v/>
      </c>
      <c r="AC243" s="96" t="str">
        <f>IF(B243="", "", 'Lighting Inventory'!R251)</f>
        <v/>
      </c>
      <c r="AD243" s="26" t="str">
        <f>IF(B243="", "", 'Lighting Inventory'!S251)</f>
        <v/>
      </c>
      <c r="AE243" s="26" t="str">
        <f>IF(B243="", "", 'Lighting Inventory'!V251)</f>
        <v/>
      </c>
      <c r="AF243" s="26" t="str">
        <f>IF(B243="", "", 'Lighting Inventory'!W251)</f>
        <v/>
      </c>
      <c r="AG243" s="26" t="str">
        <f>IF(OR(AF243="", B243=""), "", IF(AE243="Custom", "0", VLOOKUP(AF243, 'Lookup Tables'!$AI$6:$AP$102, 8, FALSE)))</f>
        <v/>
      </c>
      <c r="AH243" s="26" t="str">
        <f>IF(B243="", "", 'Lighting Inventory'!AD251)</f>
        <v/>
      </c>
      <c r="AI243" s="26" t="str">
        <f>IF(OR('Lighting Inventory'!AK251="", B243=""), "", 'Lighting Inventory'!AK251)</f>
        <v/>
      </c>
      <c r="AJ243" s="66" t="str">
        <f>IF(B243="", "", 'Lighting Inventory'!AL251)</f>
        <v/>
      </c>
      <c r="AK243" s="65" t="str">
        <f>IF(B243="", "", 'Lighting Inventory'!AM251)</f>
        <v/>
      </c>
      <c r="AL243" s="26" t="str">
        <f>IF(B243="", "", 'Lighting Inventory'!AN251)</f>
        <v/>
      </c>
      <c r="AM243" s="26" t="str">
        <f t="shared" si="11"/>
        <v/>
      </c>
      <c r="AN243" s="26" t="str">
        <f>IF(B243="","",IF('Lighting Inventory'!AV251="","Prescribed",'Lighting Inventory'!AV251))</f>
        <v/>
      </c>
      <c r="AO243" s="66" t="str">
        <f>IF(B243="", "", 'Lighting Inventory'!AX251)</f>
        <v/>
      </c>
      <c r="AP243" s="67" t="str">
        <f>IF(B243="", "", 'Lighting Inventory'!AZ251)</f>
        <v/>
      </c>
      <c r="AQ243" s="67" t="str">
        <f>IF(B243="", "", 'Lighting Inventory'!BA251)</f>
        <v/>
      </c>
      <c r="AR243" s="67" t="str">
        <f>IF(B243="", "", 'Lighting Inventory'!BB251)</f>
        <v/>
      </c>
      <c r="AS243" s="67" t="str">
        <f>IF(B243="", "", 'Lighting Inventory'!BC251)</f>
        <v/>
      </c>
      <c r="AT243" s="67" t="str">
        <f>IF(B243="", "", 'Lighting Inventory'!BD251)</f>
        <v/>
      </c>
      <c r="AU243" s="67" t="str">
        <f>IF(B243="", "", 'Lighting Inventory'!BE251)</f>
        <v/>
      </c>
      <c r="AV243" s="67" t="str">
        <f>IF(B243="", "", 'Lighting Inventory'!BE251)</f>
        <v/>
      </c>
      <c r="AW243" s="67" t="str">
        <f>IF(B243="", "", 'Lighting Inventory'!BF251)</f>
        <v/>
      </c>
      <c r="AX243" s="67" t="str">
        <f>IF(B243="", "", 'Lighting Inventory'!BF251)</f>
        <v/>
      </c>
      <c r="AY243" s="65" t="str">
        <f t="shared" si="13"/>
        <v/>
      </c>
      <c r="AZ243" s="65" t="str">
        <f>IF(B243="", "", 'Lighting Inventory'!BJ251)</f>
        <v/>
      </c>
      <c r="BA243" s="65" t="str">
        <f>IF(B243="", "", 'Lighting Inventory'!BM251)</f>
        <v/>
      </c>
      <c r="BB243" s="65" t="str">
        <f>IF(B243="","",SUM('Lighting Inventory'!BP251:BP251))</f>
        <v/>
      </c>
      <c r="BC243" s="67" t="str">
        <f>IF(OR(AE243="", B243=""),"", 'Lighting Inventory'!GR251)</f>
        <v/>
      </c>
      <c r="BD243" s="67" t="str">
        <f>IFERROR(IF(B243="", "", 'Lighting Inventory'!AF251)*AD243," ")</f>
        <v xml:space="preserve"> </v>
      </c>
      <c r="BE243" s="67"/>
      <c r="BF243" s="67"/>
    </row>
    <row r="244" spans="1:59" x14ac:dyDescent="0.25">
      <c r="A244" s="26" t="str">
        <f>IF(B244="", "", 'Lookup Tables'!AW245)</f>
        <v/>
      </c>
      <c r="B244" s="26" t="str">
        <f>IF(OR('Lighting Inventory'!Y252="", 'Lighting Inventory'!V252="No Change"),"", 'Lighting Inventory'!Y252)</f>
        <v/>
      </c>
      <c r="C244" s="26" t="str">
        <f>IF(B244="", "", IF('Lighting Inventory'!Y252='Lookup Tables'!$Y$32, 'Lighting Inventory'!AJ252, IF(AD244=0, R244, AD244)))</f>
        <v/>
      </c>
      <c r="D244" s="26" t="str">
        <f>IF(B244="", "", 'General Information'!$F$14)</f>
        <v/>
      </c>
      <c r="E244" s="26" t="str">
        <f t="shared" si="12"/>
        <v/>
      </c>
      <c r="F244" s="26" t="str">
        <f>IF(B244="", "", CONCATENATE('General Information'!$F$9, " - ", 'General Information'!$F$14))</f>
        <v/>
      </c>
      <c r="G244" s="26" t="str">
        <f>IF(B244="", "", 'General Information'!$F$15)</f>
        <v/>
      </c>
      <c r="H244" s="26" t="str">
        <f>IF(B244="", "", IF(VLOOKUP(B244, 'Lookup Tables'!$Y$18:$AA$34, 2, FALSE)="Traffic", VLOOKUP('Lighting Inventory'!W252, 'Lookup Tables'!#REF!, 11, FALSE), VLOOKUP(B244, 'Lookup Tables'!$Y$18:$AA$34, 2, FALSE)))</f>
        <v/>
      </c>
      <c r="I244" s="26" t="str">
        <f>IF(B244="", "", CONCATENATE(D244, 'Data Export'!A244))</f>
        <v/>
      </c>
      <c r="J244" s="26" t="str">
        <f>IF(B244="", "", 'Lookup Tables'!$B$1)</f>
        <v/>
      </c>
      <c r="K244" s="26" t="str">
        <f>IF(B244="", "", 'Lighting Inventory'!B252)</f>
        <v/>
      </c>
      <c r="L244" s="26" t="str">
        <f>IF(B244="", "", 'Lighting Inventory'!C252)</f>
        <v/>
      </c>
      <c r="M244" s="26" t="str">
        <f>IF(B244="", "",'Lighting Inventory'!D252)</f>
        <v/>
      </c>
      <c r="N244" s="26" t="str">
        <f>IF(B244="", "",'Lighting Inventory'!E252)</f>
        <v/>
      </c>
      <c r="O244" s="26" t="str">
        <f>IF(B244="", "", 'Lighting Inventory'!F252)</f>
        <v/>
      </c>
      <c r="P244" s="26" t="str">
        <f>IF(B244="", "", 'Lighting Inventory'!G252)</f>
        <v/>
      </c>
      <c r="Q244" s="26" t="str">
        <f>IF(B244="", "", 'Lighting Inventory'!H252)</f>
        <v/>
      </c>
      <c r="R244" s="26" t="str">
        <f>IF(B244="", "", 'Lighting Inventory'!I252)</f>
        <v/>
      </c>
      <c r="S244" s="26" t="str">
        <f>IF(B244="", "", 'Lighting Inventory'!J252)</f>
        <v/>
      </c>
      <c r="T244" s="26" t="str">
        <f>IFERROR(IF(B244="","",VLOOKUP(S244,'Fixture Identities'!$A$7:$G$1023,5,FALSE)), "New Construction")</f>
        <v/>
      </c>
      <c r="U244" s="26" t="str">
        <f>IFERROR(IF(B244="", "", IF(K244="New Construction", "NC", IF(VLOOKUP(S244, 'Fixture Identities'!$A$7:$I$1023,3, FALSE)="T12 Linear Fluorescent", VLOOKUP(S244, 'Fixture Identities'!$A$7:$K$1012, 11, FALSE), S244))), "")</f>
        <v/>
      </c>
      <c r="V244" s="26" t="str">
        <f>IFERROR(IF(OR(B244="", U244=0), "", VLOOKUP(U244, 'Fixture Identities'!$A$7:$G$1023, 5, FALSE)), "")</f>
        <v/>
      </c>
      <c r="W244" s="26" t="str">
        <f>IF(B244="", "",'Lighting Inventory'!K252)</f>
        <v/>
      </c>
      <c r="X244" s="65" t="str">
        <f>IF(B244="", "", 'Lighting Inventory'!L252)</f>
        <v/>
      </c>
      <c r="Y244" s="26" t="str">
        <f>IF(B244="", "", IF('Lighting Inventory'!M252="", "Light Switch",'Lighting Inventory'!M252))</f>
        <v/>
      </c>
      <c r="Z244" s="26" t="str">
        <f>IF(OR(K244="Retrofit", B244=""), "", 'Lighting Inventory'!N252)</f>
        <v/>
      </c>
      <c r="AA244" s="26" t="str">
        <f>IF(OR(Z244="",B244=""), "", 'Lighting Inventory'!O252)</f>
        <v/>
      </c>
      <c r="AB244" s="26" t="str">
        <f>IF(B244="", "", 'Lighting Inventory'!P252)</f>
        <v/>
      </c>
      <c r="AC244" s="96" t="str">
        <f>IF(B244="", "", 'Lighting Inventory'!R252)</f>
        <v/>
      </c>
      <c r="AD244" s="26" t="str">
        <f>IF(B244="", "", 'Lighting Inventory'!S252)</f>
        <v/>
      </c>
      <c r="AE244" s="26" t="str">
        <f>IF(B244="", "", 'Lighting Inventory'!V252)</f>
        <v/>
      </c>
      <c r="AF244" s="26" t="str">
        <f>IF(B244="", "", 'Lighting Inventory'!W252)</f>
        <v/>
      </c>
      <c r="AG244" s="26" t="str">
        <f>IF(OR(AF244="", B244=""), "", IF(AE244="Custom", "0", VLOOKUP(AF244, 'Lookup Tables'!$AI$6:$AP$102, 8, FALSE)))</f>
        <v/>
      </c>
      <c r="AH244" s="26" t="str">
        <f>IF(B244="", "", 'Lighting Inventory'!AD252)</f>
        <v/>
      </c>
      <c r="AI244" s="26" t="str">
        <f>IF(OR('Lighting Inventory'!AK252="", B244=""), "", 'Lighting Inventory'!AK252)</f>
        <v/>
      </c>
      <c r="AJ244" s="66" t="str">
        <f>IF(B244="", "", 'Lighting Inventory'!AL252)</f>
        <v/>
      </c>
      <c r="AK244" s="65" t="str">
        <f>IF(B244="", "", 'Lighting Inventory'!AM252)</f>
        <v/>
      </c>
      <c r="AL244" s="26" t="str">
        <f>IF(B244="", "", 'Lighting Inventory'!AN252)</f>
        <v/>
      </c>
      <c r="AM244" s="26" t="str">
        <f t="shared" si="11"/>
        <v/>
      </c>
      <c r="AN244" s="26" t="str">
        <f>IF(B244="","",IF('Lighting Inventory'!AV252="","Prescribed",'Lighting Inventory'!AV252))</f>
        <v/>
      </c>
      <c r="AO244" s="66" t="str">
        <f>IF(B244="", "", 'Lighting Inventory'!AX252)</f>
        <v/>
      </c>
      <c r="AP244" s="67" t="str">
        <f>IF(B244="", "", 'Lighting Inventory'!AZ252)</f>
        <v/>
      </c>
      <c r="AQ244" s="67" t="str">
        <f>IF(B244="", "", 'Lighting Inventory'!BA252)</f>
        <v/>
      </c>
      <c r="AR244" s="67" t="str">
        <f>IF(B244="", "", 'Lighting Inventory'!BB252)</f>
        <v/>
      </c>
      <c r="AS244" s="67" t="str">
        <f>IF(B244="", "", 'Lighting Inventory'!BC252)</f>
        <v/>
      </c>
      <c r="AT244" s="67" t="str">
        <f>IF(B244="", "", 'Lighting Inventory'!BD252)</f>
        <v/>
      </c>
      <c r="AU244" s="67" t="str">
        <f>IF(B244="", "", 'Lighting Inventory'!BE252)</f>
        <v/>
      </c>
      <c r="AV244" s="67" t="str">
        <f>IF(B244="", "", 'Lighting Inventory'!BE252)</f>
        <v/>
      </c>
      <c r="AW244" s="67" t="str">
        <f>IF(B244="", "", 'Lighting Inventory'!BF252)</f>
        <v/>
      </c>
      <c r="AX244" s="67" t="str">
        <f>IF(B244="", "", 'Lighting Inventory'!BF252)</f>
        <v/>
      </c>
      <c r="AY244" s="65" t="str">
        <f t="shared" si="13"/>
        <v/>
      </c>
      <c r="AZ244" s="65" t="str">
        <f>IF(B244="", "", 'Lighting Inventory'!BJ252)</f>
        <v/>
      </c>
      <c r="BA244" s="65" t="str">
        <f>IF(B244="", "", 'Lighting Inventory'!BM252)</f>
        <v/>
      </c>
      <c r="BB244" s="65" t="str">
        <f>IF(B244="","",SUM('Lighting Inventory'!BP252:BP252))</f>
        <v/>
      </c>
      <c r="BC244" s="67" t="str">
        <f>IF(OR(AE244="", B244=""),"", 'Lighting Inventory'!GR252)</f>
        <v/>
      </c>
      <c r="BD244" s="67" t="str">
        <f>IFERROR(IF(B244="", "", 'Lighting Inventory'!AF252)*AD244," ")</f>
        <v xml:space="preserve"> </v>
      </c>
      <c r="BE244" s="67"/>
      <c r="BF244" s="67"/>
    </row>
    <row r="245" spans="1:59" x14ac:dyDescent="0.25">
      <c r="A245" s="26" t="str">
        <f>IF(B245="", "", 'Lookup Tables'!AW246)</f>
        <v/>
      </c>
      <c r="B245" s="26" t="str">
        <f>IF(OR('Lighting Inventory'!Y253="", 'Lighting Inventory'!V253="No Change"),"", 'Lighting Inventory'!Y253)</f>
        <v/>
      </c>
      <c r="C245" s="26" t="str">
        <f>IF(B245="", "", IF('Lighting Inventory'!Y253='Lookup Tables'!$Y$32, 'Lighting Inventory'!AJ253, IF(AD245=0, R245, AD245)))</f>
        <v/>
      </c>
      <c r="D245" s="26" t="str">
        <f>IF(B245="", "", 'General Information'!$F$14)</f>
        <v/>
      </c>
      <c r="E245" s="26" t="str">
        <f t="shared" si="12"/>
        <v/>
      </c>
      <c r="F245" s="26" t="str">
        <f>IF(B245="", "", CONCATENATE('General Information'!$F$9, " - ", 'General Information'!$F$14))</f>
        <v/>
      </c>
      <c r="G245" s="26" t="str">
        <f>IF(B245="", "", 'General Information'!$F$15)</f>
        <v/>
      </c>
      <c r="H245" s="26" t="str">
        <f>IF(B245="", "", IF(VLOOKUP(B245, 'Lookup Tables'!$Y$18:$AA$34, 2, FALSE)="Traffic", VLOOKUP('Lighting Inventory'!W253, 'Lookup Tables'!#REF!, 11, FALSE), VLOOKUP(B245, 'Lookup Tables'!$Y$18:$AA$34, 2, FALSE)))</f>
        <v/>
      </c>
      <c r="I245" s="26" t="str">
        <f>IF(B245="", "", CONCATENATE(D245, 'Data Export'!A245))</f>
        <v/>
      </c>
      <c r="J245" s="26" t="str">
        <f>IF(B245="", "", 'Lookup Tables'!$B$1)</f>
        <v/>
      </c>
      <c r="K245" s="26" t="str">
        <f>IF(B245="", "", 'Lighting Inventory'!B253)</f>
        <v/>
      </c>
      <c r="L245" s="26" t="str">
        <f>IF(B245="", "", 'Lighting Inventory'!C253)</f>
        <v/>
      </c>
      <c r="M245" s="26" t="str">
        <f>IF(B245="", "",'Lighting Inventory'!D253)</f>
        <v/>
      </c>
      <c r="N245" s="26" t="str">
        <f>IF(B245="", "",'Lighting Inventory'!E253)</f>
        <v/>
      </c>
      <c r="O245" s="26" t="str">
        <f>IF(B245="", "", 'Lighting Inventory'!F253)</f>
        <v/>
      </c>
      <c r="P245" s="26" t="str">
        <f>IF(B245="", "", 'Lighting Inventory'!G253)</f>
        <v/>
      </c>
      <c r="Q245" s="26" t="str">
        <f>IF(B245="", "", 'Lighting Inventory'!H253)</f>
        <v/>
      </c>
      <c r="R245" s="26" t="str">
        <f>IF(B245="", "", 'Lighting Inventory'!I253)</f>
        <v/>
      </c>
      <c r="S245" s="26" t="str">
        <f>IF(B245="", "", 'Lighting Inventory'!J253)</f>
        <v/>
      </c>
      <c r="T245" s="26" t="str">
        <f>IFERROR(IF(B245="","",VLOOKUP(S245,'Fixture Identities'!$A$7:$G$1023,5,FALSE)), "New Construction")</f>
        <v/>
      </c>
      <c r="U245" s="26" t="str">
        <f>IFERROR(IF(B245="", "", IF(K245="New Construction", "NC", IF(VLOOKUP(S245, 'Fixture Identities'!$A$7:$I$1023,3, FALSE)="T12 Linear Fluorescent", VLOOKUP(S245, 'Fixture Identities'!$A$7:$K$1012, 11, FALSE), S245))), "")</f>
        <v/>
      </c>
      <c r="V245" s="26" t="str">
        <f>IFERROR(IF(OR(B245="", U245=0), "", VLOOKUP(U245, 'Fixture Identities'!$A$7:$G$1023, 5, FALSE)), "")</f>
        <v/>
      </c>
      <c r="W245" s="26" t="str">
        <f>IF(B245="", "",'Lighting Inventory'!K253)</f>
        <v/>
      </c>
      <c r="X245" s="65" t="str">
        <f>IF(B245="", "", 'Lighting Inventory'!L253)</f>
        <v/>
      </c>
      <c r="Y245" s="26" t="str">
        <f>IF(B245="", "", IF('Lighting Inventory'!M253="", "Light Switch",'Lighting Inventory'!M253))</f>
        <v/>
      </c>
      <c r="Z245" s="26" t="str">
        <f>IF(OR(K245="Retrofit", B245=""), "", 'Lighting Inventory'!N253)</f>
        <v/>
      </c>
      <c r="AA245" s="26" t="str">
        <f>IF(OR(Z245="",B245=""), "", 'Lighting Inventory'!O253)</f>
        <v/>
      </c>
      <c r="AB245" s="26" t="str">
        <f>IF(B245="", "", 'Lighting Inventory'!P253)</f>
        <v/>
      </c>
      <c r="AC245" s="96" t="str">
        <f>IF(B245="", "", 'Lighting Inventory'!R253)</f>
        <v/>
      </c>
      <c r="AD245" s="26" t="str">
        <f>IF(B245="", "", 'Lighting Inventory'!S253)</f>
        <v/>
      </c>
      <c r="AE245" s="26" t="str">
        <f>IF(B245="", "", 'Lighting Inventory'!V253)</f>
        <v/>
      </c>
      <c r="AF245" s="26" t="str">
        <f>IF(B245="", "", 'Lighting Inventory'!W253)</f>
        <v/>
      </c>
      <c r="AG245" s="26" t="str">
        <f>IF(OR(AF245="", B245=""), "", IF(AE245="Custom", "0", VLOOKUP(AF245, 'Lookup Tables'!$AI$6:$AP$102, 8, FALSE)))</f>
        <v/>
      </c>
      <c r="AH245" s="26" t="str">
        <f>IF(B245="", "", 'Lighting Inventory'!AD253)</f>
        <v/>
      </c>
      <c r="AI245" s="26" t="str">
        <f>IF(OR('Lighting Inventory'!AK253="", B245=""), "", 'Lighting Inventory'!AK253)</f>
        <v/>
      </c>
      <c r="AJ245" s="66" t="str">
        <f>IF(B245="", "", 'Lighting Inventory'!AL253)</f>
        <v/>
      </c>
      <c r="AK245" s="65" t="str">
        <f>IF(B245="", "", 'Lighting Inventory'!AM253)</f>
        <v/>
      </c>
      <c r="AL245" s="26" t="str">
        <f>IF(B245="", "", 'Lighting Inventory'!AN253)</f>
        <v/>
      </c>
      <c r="AM245" s="26" t="str">
        <f t="shared" si="11"/>
        <v/>
      </c>
      <c r="AN245" s="26" t="str">
        <f>IF(B245="","",IF('Lighting Inventory'!AV253="","Prescribed",'Lighting Inventory'!AV253))</f>
        <v/>
      </c>
      <c r="AO245" s="66" t="str">
        <f>IF(B245="", "", 'Lighting Inventory'!AX253)</f>
        <v/>
      </c>
      <c r="AP245" s="67" t="str">
        <f>IF(B245="", "", 'Lighting Inventory'!AZ253)</f>
        <v/>
      </c>
      <c r="AQ245" s="67" t="str">
        <f>IF(B245="", "", 'Lighting Inventory'!BA253)</f>
        <v/>
      </c>
      <c r="AR245" s="67" t="str">
        <f>IF(B245="", "", 'Lighting Inventory'!BB253)</f>
        <v/>
      </c>
      <c r="AS245" s="67" t="str">
        <f>IF(B245="", "", 'Lighting Inventory'!BC253)</f>
        <v/>
      </c>
      <c r="AT245" s="67" t="str">
        <f>IF(B245="", "", 'Lighting Inventory'!BD253)</f>
        <v/>
      </c>
      <c r="AU245" s="67" t="str">
        <f>IF(B245="", "", 'Lighting Inventory'!BE253)</f>
        <v/>
      </c>
      <c r="AV245" s="67" t="str">
        <f>IF(B245="", "", 'Lighting Inventory'!BE253)</f>
        <v/>
      </c>
      <c r="AW245" s="67" t="str">
        <f>IF(B245="", "", 'Lighting Inventory'!BF253)</f>
        <v/>
      </c>
      <c r="AX245" s="67" t="str">
        <f>IF(B245="", "", 'Lighting Inventory'!BF253)</f>
        <v/>
      </c>
      <c r="AY245" s="65" t="str">
        <f t="shared" si="13"/>
        <v/>
      </c>
      <c r="AZ245" s="65" t="str">
        <f>IF(B245="", "", 'Lighting Inventory'!BJ253)</f>
        <v/>
      </c>
      <c r="BA245" s="65" t="str">
        <f>IF(B245="", "", 'Lighting Inventory'!BM253)</f>
        <v/>
      </c>
      <c r="BB245" s="65" t="str">
        <f>IF(B245="","",SUM('Lighting Inventory'!BP253:BP253))</f>
        <v/>
      </c>
      <c r="BC245" s="67" t="str">
        <f>IF(OR(AE245="", B245=""),"", 'Lighting Inventory'!GR253)</f>
        <v/>
      </c>
      <c r="BD245" s="67" t="str">
        <f>IFERROR(IF(B245="", "", 'Lighting Inventory'!AF253)*AD245," ")</f>
        <v xml:space="preserve"> </v>
      </c>
      <c r="BE245" s="67"/>
      <c r="BF245" s="67"/>
    </row>
    <row r="246" spans="1:59" x14ac:dyDescent="0.25">
      <c r="A246" s="26" t="str">
        <f>IF(B246="", "", 'Lookup Tables'!AW247)</f>
        <v/>
      </c>
      <c r="B246" s="26" t="str">
        <f>IF(OR('Lighting Inventory'!Y254="", 'Lighting Inventory'!V254="No Change"),"", 'Lighting Inventory'!Y254)</f>
        <v/>
      </c>
      <c r="C246" s="26" t="str">
        <f>IF(B246="", "", IF('Lighting Inventory'!Y254='Lookup Tables'!$Y$32, 'Lighting Inventory'!AJ254, IF(AD246=0, R246, AD246)))</f>
        <v/>
      </c>
      <c r="D246" s="26" t="str">
        <f>IF(B246="", "", 'General Information'!$F$14)</f>
        <v/>
      </c>
      <c r="E246" s="26" t="str">
        <f t="shared" si="12"/>
        <v/>
      </c>
      <c r="F246" s="26" t="str">
        <f>IF(B246="", "", CONCATENATE('General Information'!$F$9, " - ", 'General Information'!$F$14))</f>
        <v/>
      </c>
      <c r="G246" s="26" t="str">
        <f>IF(B246="", "", 'General Information'!$F$15)</f>
        <v/>
      </c>
      <c r="H246" s="26" t="str">
        <f>IF(B246="", "", IF(VLOOKUP(B246, 'Lookup Tables'!$Y$18:$AA$34, 2, FALSE)="Traffic", VLOOKUP('Lighting Inventory'!W254, 'Lookup Tables'!#REF!, 11, FALSE), VLOOKUP(B246, 'Lookup Tables'!$Y$18:$AA$34, 2, FALSE)))</f>
        <v/>
      </c>
      <c r="I246" s="26" t="str">
        <f>IF(B246="", "", CONCATENATE(D246, 'Data Export'!A246))</f>
        <v/>
      </c>
      <c r="J246" s="26" t="str">
        <f>IF(B246="", "", 'Lookup Tables'!$B$1)</f>
        <v/>
      </c>
      <c r="K246" s="26" t="str">
        <f>IF(B246="", "", 'Lighting Inventory'!B254)</f>
        <v/>
      </c>
      <c r="L246" s="26" t="str">
        <f>IF(B246="", "", 'Lighting Inventory'!C254)</f>
        <v/>
      </c>
      <c r="M246" s="26" t="str">
        <f>IF(B246="", "",'Lighting Inventory'!D254)</f>
        <v/>
      </c>
      <c r="N246" s="26" t="str">
        <f>IF(B246="", "",'Lighting Inventory'!E254)</f>
        <v/>
      </c>
      <c r="O246" s="26" t="str">
        <f>IF(B246="", "", 'Lighting Inventory'!F254)</f>
        <v/>
      </c>
      <c r="P246" s="26" t="str">
        <f>IF(B246="", "", 'Lighting Inventory'!G254)</f>
        <v/>
      </c>
      <c r="Q246" s="26" t="str">
        <f>IF(B246="", "", 'Lighting Inventory'!H254)</f>
        <v/>
      </c>
      <c r="R246" s="26" t="str">
        <f>IF(B246="", "", 'Lighting Inventory'!I254)</f>
        <v/>
      </c>
      <c r="S246" s="26" t="str">
        <f>IF(B246="", "", 'Lighting Inventory'!J254)</f>
        <v/>
      </c>
      <c r="T246" s="26" t="str">
        <f>IFERROR(IF(B246="","",VLOOKUP(S246,'Fixture Identities'!$A$7:$G$1023,5,FALSE)), "New Construction")</f>
        <v/>
      </c>
      <c r="U246" s="26" t="str">
        <f>IFERROR(IF(B246="", "", IF(K246="New Construction", "NC", IF(VLOOKUP(S246, 'Fixture Identities'!$A$7:$I$1023,3, FALSE)="T12 Linear Fluorescent", VLOOKUP(S246, 'Fixture Identities'!$A$7:$K$1012, 11, FALSE), S246))), "")</f>
        <v/>
      </c>
      <c r="V246" s="26" t="str">
        <f>IFERROR(IF(OR(B246="", U246=0), "", VLOOKUP(U246, 'Fixture Identities'!$A$7:$G$1023, 5, FALSE)), "")</f>
        <v/>
      </c>
      <c r="W246" s="26" t="str">
        <f>IF(B246="", "",'Lighting Inventory'!K254)</f>
        <v/>
      </c>
      <c r="X246" s="65" t="str">
        <f>IF(B246="", "", 'Lighting Inventory'!L254)</f>
        <v/>
      </c>
      <c r="Y246" s="26" t="str">
        <f>IF(B246="", "", IF('Lighting Inventory'!M254="", "Light Switch",'Lighting Inventory'!M254))</f>
        <v/>
      </c>
      <c r="Z246" s="26" t="str">
        <f>IF(OR(K246="Retrofit", B246=""), "", 'Lighting Inventory'!N254)</f>
        <v/>
      </c>
      <c r="AA246" s="26" t="str">
        <f>IF(OR(Z246="",B246=""), "", 'Lighting Inventory'!O254)</f>
        <v/>
      </c>
      <c r="AB246" s="26" t="str">
        <f>IF(B246="", "", 'Lighting Inventory'!P254)</f>
        <v/>
      </c>
      <c r="AC246" s="96" t="str">
        <f>IF(B246="", "", 'Lighting Inventory'!R254)</f>
        <v/>
      </c>
      <c r="AD246" s="26" t="str">
        <f>IF(B246="", "", 'Lighting Inventory'!S254)</f>
        <v/>
      </c>
      <c r="AE246" s="26" t="str">
        <f>IF(B246="", "", 'Lighting Inventory'!V254)</f>
        <v/>
      </c>
      <c r="AF246" s="26" t="str">
        <f>IF(B246="", "", 'Lighting Inventory'!W254)</f>
        <v/>
      </c>
      <c r="AG246" s="26" t="str">
        <f>IF(OR(AF246="", B246=""), "", IF(AE246="Custom", "0", VLOOKUP(AF246, 'Lookup Tables'!$AI$6:$AP$102, 8, FALSE)))</f>
        <v/>
      </c>
      <c r="AH246" s="26" t="str">
        <f>IF(B246="", "", 'Lighting Inventory'!AD254)</f>
        <v/>
      </c>
      <c r="AI246" s="26" t="str">
        <f>IF(OR('Lighting Inventory'!AK254="", B246=""), "", 'Lighting Inventory'!AK254)</f>
        <v/>
      </c>
      <c r="AJ246" s="66" t="str">
        <f>IF(B246="", "", 'Lighting Inventory'!AL254)</f>
        <v/>
      </c>
      <c r="AK246" s="65" t="str">
        <f>IF(B246="", "", 'Lighting Inventory'!AM254)</f>
        <v/>
      </c>
      <c r="AL246" s="26" t="str">
        <f>IF(B246="", "", 'Lighting Inventory'!AN254)</f>
        <v/>
      </c>
      <c r="AM246" s="26" t="str">
        <f t="shared" si="11"/>
        <v/>
      </c>
      <c r="AN246" s="26" t="str">
        <f>IF(B246="","",IF('Lighting Inventory'!AV254="","Prescribed",'Lighting Inventory'!AV254))</f>
        <v/>
      </c>
      <c r="AO246" s="66" t="str">
        <f>IF(B246="", "", 'Lighting Inventory'!AX254)</f>
        <v/>
      </c>
      <c r="AP246" s="67" t="str">
        <f>IF(B246="", "", 'Lighting Inventory'!AZ254)</f>
        <v/>
      </c>
      <c r="AQ246" s="67" t="str">
        <f>IF(B246="", "", 'Lighting Inventory'!BA254)</f>
        <v/>
      </c>
      <c r="AR246" s="67" t="str">
        <f>IF(B246="", "", 'Lighting Inventory'!BB254)</f>
        <v/>
      </c>
      <c r="AS246" s="67" t="str">
        <f>IF(B246="", "", 'Lighting Inventory'!BC254)</f>
        <v/>
      </c>
      <c r="AT246" s="67" t="str">
        <f>IF(B246="", "", 'Lighting Inventory'!BD254)</f>
        <v/>
      </c>
      <c r="AU246" s="67" t="str">
        <f>IF(B246="", "", 'Lighting Inventory'!BE254)</f>
        <v/>
      </c>
      <c r="AV246" s="67" t="str">
        <f>IF(B246="", "", 'Lighting Inventory'!BE254)</f>
        <v/>
      </c>
      <c r="AW246" s="67" t="str">
        <f>IF(B246="", "", 'Lighting Inventory'!BF254)</f>
        <v/>
      </c>
      <c r="AX246" s="67" t="str">
        <f>IF(B246="", "", 'Lighting Inventory'!BF254)</f>
        <v/>
      </c>
      <c r="AY246" s="65" t="str">
        <f t="shared" si="13"/>
        <v/>
      </c>
      <c r="AZ246" s="65" t="str">
        <f>IF(B246="", "", 'Lighting Inventory'!BJ254)</f>
        <v/>
      </c>
      <c r="BA246" s="65" t="str">
        <f>IF(B246="", "", 'Lighting Inventory'!BM254)</f>
        <v/>
      </c>
      <c r="BB246" s="65" t="str">
        <f>IF(B246="","",SUM('Lighting Inventory'!BP254:BP254))</f>
        <v/>
      </c>
      <c r="BC246" s="67" t="str">
        <f>IF(OR(AE246="", B246=""),"", 'Lighting Inventory'!GR254)</f>
        <v/>
      </c>
      <c r="BD246" s="67" t="str">
        <f>IFERROR(IF(B246="", "", 'Lighting Inventory'!AF254)*AD246," ")</f>
        <v xml:space="preserve"> </v>
      </c>
      <c r="BE246" s="67"/>
      <c r="BF246" s="67"/>
    </row>
    <row r="247" spans="1:59" x14ac:dyDescent="0.25">
      <c r="A247" s="26" t="str">
        <f>IF(B247="", "", 'Lookup Tables'!AW248)</f>
        <v/>
      </c>
      <c r="B247" s="26" t="str">
        <f>IF(OR('Lighting Inventory'!Y255="", 'Lighting Inventory'!V255="No Change"),"", 'Lighting Inventory'!Y255)</f>
        <v/>
      </c>
      <c r="C247" s="26" t="str">
        <f>IF(B247="", "", IF('Lighting Inventory'!Y255='Lookup Tables'!$Y$32, 'Lighting Inventory'!AJ255, IF(AD247=0, R247, AD247)))</f>
        <v/>
      </c>
      <c r="D247" s="26" t="str">
        <f>IF(B247="", "", 'General Information'!$F$14)</f>
        <v/>
      </c>
      <c r="E247" s="26" t="str">
        <f t="shared" si="12"/>
        <v/>
      </c>
      <c r="F247" s="26" t="str">
        <f>IF(B247="", "", CONCATENATE('General Information'!$F$9, " - ", 'General Information'!$F$14))</f>
        <v/>
      </c>
      <c r="G247" s="26" t="str">
        <f>IF(B247="", "", 'General Information'!$F$15)</f>
        <v/>
      </c>
      <c r="H247" s="26" t="str">
        <f>IF(B247="", "", IF(VLOOKUP(B247, 'Lookup Tables'!$Y$18:$AA$34, 2, FALSE)="Traffic", VLOOKUP('Lighting Inventory'!W255, 'Lookup Tables'!#REF!, 11, FALSE), VLOOKUP(B247, 'Lookup Tables'!$Y$18:$AA$34, 2, FALSE)))</f>
        <v/>
      </c>
      <c r="I247" s="26" t="str">
        <f>IF(B247="", "", CONCATENATE(D247, 'Data Export'!A247))</f>
        <v/>
      </c>
      <c r="J247" s="26" t="str">
        <f>IF(B247="", "", 'Lookup Tables'!$B$1)</f>
        <v/>
      </c>
      <c r="K247" s="26" t="str">
        <f>IF(B247="", "", 'Lighting Inventory'!B255)</f>
        <v/>
      </c>
      <c r="L247" s="26" t="str">
        <f>IF(B247="", "", 'Lighting Inventory'!C255)</f>
        <v/>
      </c>
      <c r="M247" s="26" t="str">
        <f>IF(B247="", "",'Lighting Inventory'!D255)</f>
        <v/>
      </c>
      <c r="N247" s="26" t="str">
        <f>IF(B247="", "",'Lighting Inventory'!E255)</f>
        <v/>
      </c>
      <c r="O247" s="26" t="str">
        <f>IF(B247="", "", 'Lighting Inventory'!F255)</f>
        <v/>
      </c>
      <c r="P247" s="26" t="str">
        <f>IF(B247="", "", 'Lighting Inventory'!G255)</f>
        <v/>
      </c>
      <c r="Q247" s="26" t="str">
        <f>IF(B247="", "", 'Lighting Inventory'!H255)</f>
        <v/>
      </c>
      <c r="R247" s="26" t="str">
        <f>IF(B247="", "", 'Lighting Inventory'!I255)</f>
        <v/>
      </c>
      <c r="S247" s="26" t="str">
        <f>IF(B247="", "", 'Lighting Inventory'!J255)</f>
        <v/>
      </c>
      <c r="T247" s="26" t="str">
        <f>IFERROR(IF(B247="","",VLOOKUP(S247,'Fixture Identities'!$A$7:$G$1023,5,FALSE)), "New Construction")</f>
        <v/>
      </c>
      <c r="U247" s="26" t="str">
        <f>IFERROR(IF(B247="", "", IF(K247="New Construction", "NC", IF(VLOOKUP(S247, 'Fixture Identities'!$A$7:$I$1023,3, FALSE)="T12 Linear Fluorescent", VLOOKUP(S247, 'Fixture Identities'!$A$7:$K$1012, 11, FALSE), S247))), "")</f>
        <v/>
      </c>
      <c r="V247" s="26" t="str">
        <f>IFERROR(IF(OR(B247="", U247=0), "", VLOOKUP(U247, 'Fixture Identities'!$A$7:$G$1023, 5, FALSE)), "")</f>
        <v/>
      </c>
      <c r="W247" s="26" t="str">
        <f>IF(B247="", "",'Lighting Inventory'!K255)</f>
        <v/>
      </c>
      <c r="X247" s="65" t="str">
        <f>IF(B247="", "", 'Lighting Inventory'!L255)</f>
        <v/>
      </c>
      <c r="Y247" s="26" t="str">
        <f>IF(B247="", "", IF('Lighting Inventory'!M255="", "Light Switch",'Lighting Inventory'!M255))</f>
        <v/>
      </c>
      <c r="Z247" s="26" t="str">
        <f>IF(OR(K247="Retrofit", B247=""), "", 'Lighting Inventory'!N255)</f>
        <v/>
      </c>
      <c r="AA247" s="26" t="str">
        <f>IF(OR(Z247="",B247=""), "", 'Lighting Inventory'!O255)</f>
        <v/>
      </c>
      <c r="AB247" s="26" t="str">
        <f>IF(B247="", "", 'Lighting Inventory'!P255)</f>
        <v/>
      </c>
      <c r="AC247" s="96" t="str">
        <f>IF(B247="", "", 'Lighting Inventory'!R255)</f>
        <v/>
      </c>
      <c r="AD247" s="26" t="str">
        <f>IF(B247="", "", 'Lighting Inventory'!S255)</f>
        <v/>
      </c>
      <c r="AE247" s="26" t="str">
        <f>IF(B247="", "", 'Lighting Inventory'!V255)</f>
        <v/>
      </c>
      <c r="AF247" s="26" t="str">
        <f>IF(B247="", "", 'Lighting Inventory'!W255)</f>
        <v/>
      </c>
      <c r="AG247" s="26" t="str">
        <f>IF(OR(AF247="", B247=""), "", IF(AE247="Custom", "0", VLOOKUP(AF247, 'Lookup Tables'!$AI$6:$AP$102, 8, FALSE)))</f>
        <v/>
      </c>
      <c r="AH247" s="26" t="str">
        <f>IF(B247="", "", 'Lighting Inventory'!AD255)</f>
        <v/>
      </c>
      <c r="AI247" s="26" t="str">
        <f>IF(OR('Lighting Inventory'!AK255="", B247=""), "", 'Lighting Inventory'!AK255)</f>
        <v/>
      </c>
      <c r="AJ247" s="66" t="str">
        <f>IF(B247="", "", 'Lighting Inventory'!AL255)</f>
        <v/>
      </c>
      <c r="AK247" s="65" t="str">
        <f>IF(B247="", "", 'Lighting Inventory'!AM255)</f>
        <v/>
      </c>
      <c r="AL247" s="26" t="str">
        <f>IF(B247="", "", 'Lighting Inventory'!AN255)</f>
        <v/>
      </c>
      <c r="AM247" s="26" t="str">
        <f t="shared" si="11"/>
        <v/>
      </c>
      <c r="AN247" s="26" t="str">
        <f>IF(B247="","",IF('Lighting Inventory'!AV255="","Prescribed",'Lighting Inventory'!AV255))</f>
        <v/>
      </c>
      <c r="AO247" s="66" t="str">
        <f>IF(B247="", "", 'Lighting Inventory'!AX255)</f>
        <v/>
      </c>
      <c r="AP247" s="67" t="str">
        <f>IF(B247="", "", 'Lighting Inventory'!AZ255)</f>
        <v/>
      </c>
      <c r="AQ247" s="67" t="str">
        <f>IF(B247="", "", 'Lighting Inventory'!BA255)</f>
        <v/>
      </c>
      <c r="AR247" s="67" t="str">
        <f>IF(B247="", "", 'Lighting Inventory'!BB255)</f>
        <v/>
      </c>
      <c r="AS247" s="67" t="str">
        <f>IF(B247="", "", 'Lighting Inventory'!BC255)</f>
        <v/>
      </c>
      <c r="AT247" s="67" t="str">
        <f>IF(B247="", "", 'Lighting Inventory'!BD255)</f>
        <v/>
      </c>
      <c r="AU247" s="67" t="str">
        <f>IF(B247="", "", 'Lighting Inventory'!BE255)</f>
        <v/>
      </c>
      <c r="AV247" s="67" t="str">
        <f>IF(B247="", "", 'Lighting Inventory'!BE255)</f>
        <v/>
      </c>
      <c r="AW247" s="67" t="str">
        <f>IF(B247="", "", 'Lighting Inventory'!BF255)</f>
        <v/>
      </c>
      <c r="AX247" s="67" t="str">
        <f>IF(B247="", "", 'Lighting Inventory'!BF255)</f>
        <v/>
      </c>
      <c r="AY247" s="65" t="str">
        <f t="shared" si="13"/>
        <v/>
      </c>
      <c r="AZ247" s="65" t="str">
        <f>IF(B247="", "", 'Lighting Inventory'!BJ255)</f>
        <v/>
      </c>
      <c r="BA247" s="65" t="str">
        <f>IF(B247="", "", 'Lighting Inventory'!BM255)</f>
        <v/>
      </c>
      <c r="BB247" s="65" t="str">
        <f>IF(B247="","",SUM('Lighting Inventory'!BP255:BP255))</f>
        <v/>
      </c>
      <c r="BC247" s="67" t="str">
        <f>IF(OR(AE247="", B247=""),"", 'Lighting Inventory'!GR255)</f>
        <v/>
      </c>
      <c r="BD247" s="67" t="str">
        <f>IFERROR(IF(B247="", "", 'Lighting Inventory'!AF255)*AD247," ")</f>
        <v xml:space="preserve"> </v>
      </c>
      <c r="BE247" s="67"/>
      <c r="BF247" s="67"/>
    </row>
    <row r="248" spans="1:59" x14ac:dyDescent="0.25">
      <c r="A248" s="26" t="str">
        <f>IF(B248="", "", 'Lookup Tables'!AW249)</f>
        <v/>
      </c>
      <c r="B248" s="26" t="str">
        <f>IF(OR('Lighting Inventory'!Y256="", 'Lighting Inventory'!V256="No Change"),"", 'Lighting Inventory'!Y256)</f>
        <v/>
      </c>
      <c r="C248" s="26" t="str">
        <f>IF(B248="", "", IF('Lighting Inventory'!Y256='Lookup Tables'!$Y$32, 'Lighting Inventory'!AJ256, IF(AD248=0, R248, AD248)))</f>
        <v/>
      </c>
      <c r="D248" s="26" t="str">
        <f>IF(B248="", "", 'General Information'!$F$14)</f>
        <v/>
      </c>
      <c r="E248" s="26" t="str">
        <f t="shared" si="12"/>
        <v/>
      </c>
      <c r="F248" s="26" t="str">
        <f>IF(B248="", "", CONCATENATE('General Information'!$F$9, " - ", 'General Information'!$F$14))</f>
        <v/>
      </c>
      <c r="G248" s="26" t="str">
        <f>IF(B248="", "", 'General Information'!$F$15)</f>
        <v/>
      </c>
      <c r="H248" s="26" t="str">
        <f>IF(B248="", "", IF(VLOOKUP(B248, 'Lookup Tables'!$Y$18:$AA$34, 2, FALSE)="Traffic", VLOOKUP('Lighting Inventory'!W256, 'Lookup Tables'!#REF!, 11, FALSE), VLOOKUP(B248, 'Lookup Tables'!$Y$18:$AA$34, 2, FALSE)))</f>
        <v/>
      </c>
      <c r="I248" s="26" t="str">
        <f>IF(B248="", "", CONCATENATE(D248, 'Data Export'!A248))</f>
        <v/>
      </c>
      <c r="J248" s="26" t="str">
        <f>IF(B248="", "", 'Lookup Tables'!$B$1)</f>
        <v/>
      </c>
      <c r="K248" s="26" t="str">
        <f>IF(B248="", "", 'Lighting Inventory'!B256)</f>
        <v/>
      </c>
      <c r="L248" s="26" t="str">
        <f>IF(B248="", "", 'Lighting Inventory'!C256)</f>
        <v/>
      </c>
      <c r="M248" s="26" t="str">
        <f>IF(B248="", "",'Lighting Inventory'!D256)</f>
        <v/>
      </c>
      <c r="N248" s="26" t="str">
        <f>IF(B248="", "",'Lighting Inventory'!E256)</f>
        <v/>
      </c>
      <c r="O248" s="26" t="str">
        <f>IF(B248="", "", 'Lighting Inventory'!F256)</f>
        <v/>
      </c>
      <c r="P248" s="26" t="str">
        <f>IF(B248="", "", 'Lighting Inventory'!G256)</f>
        <v/>
      </c>
      <c r="Q248" s="26" t="str">
        <f>IF(B248="", "", 'Lighting Inventory'!H256)</f>
        <v/>
      </c>
      <c r="R248" s="26" t="str">
        <f>IF(B248="", "", 'Lighting Inventory'!I256)</f>
        <v/>
      </c>
      <c r="S248" s="26" t="str">
        <f>IF(B248="", "", 'Lighting Inventory'!J256)</f>
        <v/>
      </c>
      <c r="T248" s="26" t="str">
        <f>IFERROR(IF(B248="","",VLOOKUP(S248,'Fixture Identities'!$A$7:$G$1023,5,FALSE)), "New Construction")</f>
        <v/>
      </c>
      <c r="U248" s="26" t="str">
        <f>IFERROR(IF(B248="", "", IF(K248="New Construction", "NC", IF(VLOOKUP(S248, 'Fixture Identities'!$A$7:$I$1023,3, FALSE)="T12 Linear Fluorescent", VLOOKUP(S248, 'Fixture Identities'!$A$7:$K$1012, 11, FALSE), S248))), "")</f>
        <v/>
      </c>
      <c r="V248" s="26" t="str">
        <f>IFERROR(IF(OR(B248="", U248=0), "", VLOOKUP(U248, 'Fixture Identities'!$A$7:$G$1023, 5, FALSE)), "")</f>
        <v/>
      </c>
      <c r="W248" s="26" t="str">
        <f>IF(B248="", "",'Lighting Inventory'!K256)</f>
        <v/>
      </c>
      <c r="X248" s="65" t="str">
        <f>IF(B248="", "", 'Lighting Inventory'!L256)</f>
        <v/>
      </c>
      <c r="Y248" s="26" t="str">
        <f>IF(B248="", "", IF('Lighting Inventory'!M256="", "Light Switch",'Lighting Inventory'!M256))</f>
        <v/>
      </c>
      <c r="Z248" s="26" t="str">
        <f>IF(OR(K248="Retrofit", B248=""), "", 'Lighting Inventory'!N256)</f>
        <v/>
      </c>
      <c r="AA248" s="26" t="str">
        <f>IF(OR(Z248="",B248=""), "", 'Lighting Inventory'!O256)</f>
        <v/>
      </c>
      <c r="AB248" s="26" t="str">
        <f>IF(B248="", "", 'Lighting Inventory'!P256)</f>
        <v/>
      </c>
      <c r="AC248" s="96" t="str">
        <f>IF(B248="", "", 'Lighting Inventory'!R256)</f>
        <v/>
      </c>
      <c r="AD248" s="26" t="str">
        <f>IF(B248="", "", 'Lighting Inventory'!S256)</f>
        <v/>
      </c>
      <c r="AE248" s="26" t="str">
        <f>IF(B248="", "", 'Lighting Inventory'!V256)</f>
        <v/>
      </c>
      <c r="AF248" s="26" t="str">
        <f>IF(B248="", "", 'Lighting Inventory'!W256)</f>
        <v/>
      </c>
      <c r="AG248" s="26" t="str">
        <f>IF(OR(AF248="", B248=""), "", IF(AE248="Custom", "0", VLOOKUP(AF248, 'Lookup Tables'!$AI$6:$AP$102, 8, FALSE)))</f>
        <v/>
      </c>
      <c r="AH248" s="26" t="str">
        <f>IF(B248="", "", 'Lighting Inventory'!AD256)</f>
        <v/>
      </c>
      <c r="AI248" s="26" t="str">
        <f>IF(OR('Lighting Inventory'!AK256="", B248=""), "", 'Lighting Inventory'!AK256)</f>
        <v/>
      </c>
      <c r="AJ248" s="66" t="str">
        <f>IF(B248="", "", 'Lighting Inventory'!AL256)</f>
        <v/>
      </c>
      <c r="AK248" s="65" t="str">
        <f>IF(B248="", "", 'Lighting Inventory'!AM256)</f>
        <v/>
      </c>
      <c r="AL248" s="26" t="str">
        <f>IF(B248="", "", 'Lighting Inventory'!AN256)</f>
        <v/>
      </c>
      <c r="AM248" s="26" t="str">
        <f t="shared" si="11"/>
        <v/>
      </c>
      <c r="AN248" s="26" t="str">
        <f>IF(B248="","",IF('Lighting Inventory'!AV256="","Prescribed",'Lighting Inventory'!AV256))</f>
        <v/>
      </c>
      <c r="AO248" s="66" t="str">
        <f>IF(B248="", "", 'Lighting Inventory'!AX256)</f>
        <v/>
      </c>
      <c r="AP248" s="67" t="str">
        <f>IF(B248="", "", 'Lighting Inventory'!AZ256)</f>
        <v/>
      </c>
      <c r="AQ248" s="67" t="str">
        <f>IF(B248="", "", 'Lighting Inventory'!BA256)</f>
        <v/>
      </c>
      <c r="AR248" s="67" t="str">
        <f>IF(B248="", "", 'Lighting Inventory'!BB256)</f>
        <v/>
      </c>
      <c r="AS248" s="67" t="str">
        <f>IF(B248="", "", 'Lighting Inventory'!BC256)</f>
        <v/>
      </c>
      <c r="AT248" s="67" t="str">
        <f>IF(B248="", "", 'Lighting Inventory'!BD256)</f>
        <v/>
      </c>
      <c r="AU248" s="67" t="str">
        <f>IF(B248="", "", 'Lighting Inventory'!BE256)</f>
        <v/>
      </c>
      <c r="AV248" s="67" t="str">
        <f>IF(B248="", "", 'Lighting Inventory'!BE256)</f>
        <v/>
      </c>
      <c r="AW248" s="67" t="str">
        <f>IF(B248="", "", 'Lighting Inventory'!BF256)</f>
        <v/>
      </c>
      <c r="AX248" s="67" t="str">
        <f>IF(B248="", "", 'Lighting Inventory'!BF256)</f>
        <v/>
      </c>
      <c r="AY248" s="65" t="str">
        <f t="shared" si="13"/>
        <v/>
      </c>
      <c r="AZ248" s="65" t="str">
        <f>IF(B248="", "", 'Lighting Inventory'!BJ256)</f>
        <v/>
      </c>
      <c r="BA248" s="65" t="str">
        <f>IF(B248="", "", 'Lighting Inventory'!BM256)</f>
        <v/>
      </c>
      <c r="BB248" s="65" t="str">
        <f>IF(B248="","",SUM('Lighting Inventory'!BP256:BP256))</f>
        <v/>
      </c>
      <c r="BC248" s="67" t="str">
        <f>IF(OR(AE248="", B248=""),"", 'Lighting Inventory'!GR256)</f>
        <v/>
      </c>
      <c r="BD248" s="67" t="str">
        <f>IFERROR(IF(B248="", "", 'Lighting Inventory'!AF256)*AD248," ")</f>
        <v xml:space="preserve"> </v>
      </c>
      <c r="BE248" s="67"/>
      <c r="BF248" s="67"/>
    </row>
    <row r="249" spans="1:59" x14ac:dyDescent="0.25">
      <c r="A249" s="26" t="str">
        <f>IF(B249="", "", 'Lookup Tables'!AW250)</f>
        <v/>
      </c>
      <c r="B249" s="26" t="str">
        <f>IF(OR('Lighting Inventory'!Y257="", 'Lighting Inventory'!V257="No Change"),"", 'Lighting Inventory'!Y257)</f>
        <v/>
      </c>
      <c r="C249" s="26" t="str">
        <f>IF(B249="", "", IF('Lighting Inventory'!Y257='Lookup Tables'!$Y$32, 'Lighting Inventory'!AJ257, IF(AD249=0, R249, AD249)))</f>
        <v/>
      </c>
      <c r="D249" s="26" t="str">
        <f>IF(B249="", "", 'General Information'!$F$14)</f>
        <v/>
      </c>
      <c r="E249" s="26" t="str">
        <f t="shared" si="12"/>
        <v/>
      </c>
      <c r="F249" s="26" t="str">
        <f>IF(B249="", "", CONCATENATE('General Information'!$F$9, " - ", 'General Information'!$F$14))</f>
        <v/>
      </c>
      <c r="G249" s="26" t="str">
        <f>IF(B249="", "", 'General Information'!$F$15)</f>
        <v/>
      </c>
      <c r="H249" s="26" t="str">
        <f>IF(B249="", "", IF(VLOOKUP(B249, 'Lookup Tables'!$Y$18:$AA$34, 2, FALSE)="Traffic", VLOOKUP('Lighting Inventory'!W257, 'Lookup Tables'!#REF!, 11, FALSE), VLOOKUP(B249, 'Lookup Tables'!$Y$18:$AA$34, 2, FALSE)))</f>
        <v/>
      </c>
      <c r="I249" s="26" t="str">
        <f>IF(B249="", "", CONCATENATE(D249, 'Data Export'!A249))</f>
        <v/>
      </c>
      <c r="J249" s="26" t="str">
        <f>IF(B249="", "", 'Lookup Tables'!$B$1)</f>
        <v/>
      </c>
      <c r="K249" s="26" t="str">
        <f>IF(B249="", "", 'Lighting Inventory'!B257)</f>
        <v/>
      </c>
      <c r="L249" s="26" t="str">
        <f>IF(B249="", "", 'Lighting Inventory'!C257)</f>
        <v/>
      </c>
      <c r="M249" s="26" t="str">
        <f>IF(B249="", "",'Lighting Inventory'!D257)</f>
        <v/>
      </c>
      <c r="N249" s="26" t="str">
        <f>IF(B249="", "",'Lighting Inventory'!E257)</f>
        <v/>
      </c>
      <c r="O249" s="26" t="str">
        <f>IF(B249="", "", 'Lighting Inventory'!F257)</f>
        <v/>
      </c>
      <c r="P249" s="26" t="str">
        <f>IF(B249="", "", 'Lighting Inventory'!G257)</f>
        <v/>
      </c>
      <c r="Q249" s="26" t="str">
        <f>IF(B249="", "", 'Lighting Inventory'!H257)</f>
        <v/>
      </c>
      <c r="R249" s="26" t="str">
        <f>IF(B249="", "", 'Lighting Inventory'!I257)</f>
        <v/>
      </c>
      <c r="S249" s="26" t="str">
        <f>IF(B249="", "", 'Lighting Inventory'!J257)</f>
        <v/>
      </c>
      <c r="T249" s="26" t="str">
        <f>IFERROR(IF(B249="","",VLOOKUP(S249,'Fixture Identities'!$A$7:$G$1023,5,FALSE)), "New Construction")</f>
        <v/>
      </c>
      <c r="U249" s="26" t="str">
        <f>IFERROR(IF(B249="", "", IF(K249="New Construction", "NC", IF(VLOOKUP(S249, 'Fixture Identities'!$A$7:$I$1023,3, FALSE)="T12 Linear Fluorescent", VLOOKUP(S249, 'Fixture Identities'!$A$7:$K$1012, 11, FALSE), S249))), "")</f>
        <v/>
      </c>
      <c r="V249" s="26" t="str">
        <f>IFERROR(IF(OR(B249="", U249=0), "", VLOOKUP(U249, 'Fixture Identities'!$A$7:$G$1023, 5, FALSE)), "")</f>
        <v/>
      </c>
      <c r="W249" s="26" t="str">
        <f>IF(B249="", "",'Lighting Inventory'!K257)</f>
        <v/>
      </c>
      <c r="X249" s="65" t="str">
        <f>IF(B249="", "", 'Lighting Inventory'!L257)</f>
        <v/>
      </c>
      <c r="Y249" s="26" t="str">
        <f>IF(B249="", "", IF('Lighting Inventory'!M257="", "Light Switch",'Lighting Inventory'!M257))</f>
        <v/>
      </c>
      <c r="Z249" s="26" t="str">
        <f>IF(OR(K249="Retrofit", B249=""), "", 'Lighting Inventory'!N257)</f>
        <v/>
      </c>
      <c r="AA249" s="26" t="str">
        <f>IF(OR(Z249="",B249=""), "", 'Lighting Inventory'!O257)</f>
        <v/>
      </c>
      <c r="AB249" s="26" t="str">
        <f>IF(B249="", "", 'Lighting Inventory'!P257)</f>
        <v/>
      </c>
      <c r="AC249" s="96" t="str">
        <f>IF(B249="", "", 'Lighting Inventory'!R257)</f>
        <v/>
      </c>
      <c r="AD249" s="26" t="str">
        <f>IF(B249="", "", 'Lighting Inventory'!S257)</f>
        <v/>
      </c>
      <c r="AE249" s="26" t="str">
        <f>IF(B249="", "", 'Lighting Inventory'!V257)</f>
        <v/>
      </c>
      <c r="AF249" s="26" t="str">
        <f>IF(B249="", "", 'Lighting Inventory'!W257)</f>
        <v/>
      </c>
      <c r="AG249" s="26" t="str">
        <f>IF(OR(AF249="", B249=""), "", IF(AE249="Custom", "0", VLOOKUP(AF249, 'Lookup Tables'!$AI$6:$AP$102, 8, FALSE)))</f>
        <v/>
      </c>
      <c r="AH249" s="26" t="str">
        <f>IF(B249="", "", 'Lighting Inventory'!AD257)</f>
        <v/>
      </c>
      <c r="AI249" s="26" t="str">
        <f>IF(OR('Lighting Inventory'!AK257="", B249=""), "", 'Lighting Inventory'!AK257)</f>
        <v/>
      </c>
      <c r="AJ249" s="66" t="str">
        <f>IF(B249="", "", 'Lighting Inventory'!AL257)</f>
        <v/>
      </c>
      <c r="AK249" s="65" t="str">
        <f>IF(B249="", "", 'Lighting Inventory'!AM257)</f>
        <v/>
      </c>
      <c r="AL249" s="26" t="str">
        <f>IF(B249="", "", 'Lighting Inventory'!AN257)</f>
        <v/>
      </c>
      <c r="AM249" s="26" t="str">
        <f t="shared" si="11"/>
        <v/>
      </c>
      <c r="AN249" s="26" t="str">
        <f>IF(B249="","",IF('Lighting Inventory'!AV257="","Prescribed",'Lighting Inventory'!AV257))</f>
        <v/>
      </c>
      <c r="AO249" s="66" t="str">
        <f>IF(B249="", "", 'Lighting Inventory'!AX257)</f>
        <v/>
      </c>
      <c r="AP249" s="67" t="str">
        <f>IF(B249="", "", 'Lighting Inventory'!AZ257)</f>
        <v/>
      </c>
      <c r="AQ249" s="67" t="str">
        <f>IF(B249="", "", 'Lighting Inventory'!BA257)</f>
        <v/>
      </c>
      <c r="AR249" s="67" t="str">
        <f>IF(B249="", "", 'Lighting Inventory'!BB257)</f>
        <v/>
      </c>
      <c r="AS249" s="67" t="str">
        <f>IF(B249="", "", 'Lighting Inventory'!BC257)</f>
        <v/>
      </c>
      <c r="AT249" s="67" t="str">
        <f>IF(B249="", "", 'Lighting Inventory'!BD257)</f>
        <v/>
      </c>
      <c r="AU249" s="67" t="str">
        <f>IF(B249="", "", 'Lighting Inventory'!BE257)</f>
        <v/>
      </c>
      <c r="AV249" s="67" t="str">
        <f>IF(B249="", "", 'Lighting Inventory'!BE257)</f>
        <v/>
      </c>
      <c r="AW249" s="67" t="str">
        <f>IF(B249="", "", 'Lighting Inventory'!BF257)</f>
        <v/>
      </c>
      <c r="AX249" s="67" t="str">
        <f>IF(B249="", "", 'Lighting Inventory'!BF257)</f>
        <v/>
      </c>
      <c r="AY249" s="65" t="str">
        <f t="shared" si="13"/>
        <v/>
      </c>
      <c r="AZ249" s="65" t="str">
        <f>IF(B249="", "", 'Lighting Inventory'!BJ257)</f>
        <v/>
      </c>
      <c r="BA249" s="65" t="str">
        <f>IF(B249="", "", 'Lighting Inventory'!BM257)</f>
        <v/>
      </c>
      <c r="BB249" s="65" t="str">
        <f>IF(B249="","",SUM('Lighting Inventory'!BP257:BP257))</f>
        <v/>
      </c>
      <c r="BC249" s="67" t="str">
        <f>IF(OR(AE249="", B249=""),"", 'Lighting Inventory'!GR257)</f>
        <v/>
      </c>
      <c r="BD249" s="67" t="str">
        <f>IFERROR(IF(B249="", "", 'Lighting Inventory'!AF257)*AD249," ")</f>
        <v xml:space="preserve"> </v>
      </c>
      <c r="BE249" s="67"/>
      <c r="BF249" s="67"/>
    </row>
    <row r="250" spans="1:59" x14ac:dyDescent="0.25">
      <c r="A250" s="26" t="str">
        <f>IF(B250="", "", 'Lookup Tables'!AW251)</f>
        <v/>
      </c>
      <c r="B250" s="26" t="str">
        <f>IF(OR('Lighting Inventory'!Y258="", 'Lighting Inventory'!V258="No Change"),"", 'Lighting Inventory'!Y258)</f>
        <v/>
      </c>
      <c r="C250" s="26" t="str">
        <f>IF(B250="", "", IF('Lighting Inventory'!Y258='Lookup Tables'!$Y$32, 'Lighting Inventory'!AJ258, IF(AD250=0, R250, AD250)))</f>
        <v/>
      </c>
      <c r="D250" s="26" t="str">
        <f>IF(B250="", "", 'General Information'!$F$14)</f>
        <v/>
      </c>
      <c r="E250" s="26" t="str">
        <f t="shared" si="12"/>
        <v/>
      </c>
      <c r="F250" s="26" t="str">
        <f>IF(B250="", "", CONCATENATE('General Information'!$F$9, " - ", 'General Information'!$F$14))</f>
        <v/>
      </c>
      <c r="G250" s="26" t="str">
        <f>IF(B250="", "", 'General Information'!$F$15)</f>
        <v/>
      </c>
      <c r="H250" s="26" t="str">
        <f>IF(B250="", "", IF(VLOOKUP(B250, 'Lookup Tables'!$Y$18:$AA$34, 2, FALSE)="Traffic", VLOOKUP('Lighting Inventory'!W258, 'Lookup Tables'!#REF!, 11, FALSE), VLOOKUP(B250, 'Lookup Tables'!$Y$18:$AA$34, 2, FALSE)))</f>
        <v/>
      </c>
      <c r="I250" s="26" t="str">
        <f>IF(B250="", "", CONCATENATE(D250, 'Data Export'!A250))</f>
        <v/>
      </c>
      <c r="J250" s="26" t="str">
        <f>IF(B250="", "", 'Lookup Tables'!$B$1)</f>
        <v/>
      </c>
      <c r="K250" s="26" t="str">
        <f>IF(B250="", "", 'Lighting Inventory'!B258)</f>
        <v/>
      </c>
      <c r="L250" s="26" t="str">
        <f>IF(B250="", "", 'Lighting Inventory'!C258)</f>
        <v/>
      </c>
      <c r="M250" s="26" t="str">
        <f>IF(B250="", "",'Lighting Inventory'!D258)</f>
        <v/>
      </c>
      <c r="N250" s="26" t="str">
        <f>IF(B250="", "",'Lighting Inventory'!E258)</f>
        <v/>
      </c>
      <c r="O250" s="26" t="str">
        <f>IF(B250="", "", 'Lighting Inventory'!F258)</f>
        <v/>
      </c>
      <c r="P250" s="26" t="str">
        <f>IF(B250="", "", 'Lighting Inventory'!G258)</f>
        <v/>
      </c>
      <c r="Q250" s="26" t="str">
        <f>IF(B250="", "", 'Lighting Inventory'!H258)</f>
        <v/>
      </c>
      <c r="R250" s="26" t="str">
        <f>IF(B250="", "", 'Lighting Inventory'!I258)</f>
        <v/>
      </c>
      <c r="S250" s="26" t="str">
        <f>IF(B250="", "", 'Lighting Inventory'!J258)</f>
        <v/>
      </c>
      <c r="T250" s="26" t="str">
        <f>IFERROR(IF(B250="","",VLOOKUP(S250,'Fixture Identities'!$A$7:$G$1023,5,FALSE)), "New Construction")</f>
        <v/>
      </c>
      <c r="U250" s="26" t="str">
        <f>IFERROR(IF(B250="", "", IF(K250="New Construction", "NC", IF(VLOOKUP(S250, 'Fixture Identities'!$A$7:$I$1023,3, FALSE)="T12 Linear Fluorescent", VLOOKUP(S250, 'Fixture Identities'!$A$7:$K$1012, 11, FALSE), S250))), "")</f>
        <v/>
      </c>
      <c r="V250" s="26" t="str">
        <f>IFERROR(IF(OR(B250="", U250=0), "", VLOOKUP(U250, 'Fixture Identities'!$A$7:$G$1023, 5, FALSE)), "")</f>
        <v/>
      </c>
      <c r="W250" s="26" t="str">
        <f>IF(B250="", "",'Lighting Inventory'!K258)</f>
        <v/>
      </c>
      <c r="X250" s="65" t="str">
        <f>IF(B250="", "", 'Lighting Inventory'!L258)</f>
        <v/>
      </c>
      <c r="Y250" s="26" t="str">
        <f>IF(B250="", "", IF('Lighting Inventory'!M258="", "Light Switch",'Lighting Inventory'!M258))</f>
        <v/>
      </c>
      <c r="Z250" s="26" t="str">
        <f>IF(OR(K250="Retrofit", B250=""), "", 'Lighting Inventory'!N258)</f>
        <v/>
      </c>
      <c r="AA250" s="26" t="str">
        <f>IF(OR(Z250="",B250=""), "", 'Lighting Inventory'!O258)</f>
        <v/>
      </c>
      <c r="AB250" s="26" t="str">
        <f>IF(B250="", "", 'Lighting Inventory'!P258)</f>
        <v/>
      </c>
      <c r="AC250" s="96" t="str">
        <f>IF(B250="", "", 'Lighting Inventory'!R258)</f>
        <v/>
      </c>
      <c r="AD250" s="26" t="str">
        <f>IF(B250="", "", 'Lighting Inventory'!S258)</f>
        <v/>
      </c>
      <c r="AE250" s="26" t="str">
        <f>IF(B250="", "", 'Lighting Inventory'!V258)</f>
        <v/>
      </c>
      <c r="AF250" s="26" t="str">
        <f>IF(B250="", "", 'Lighting Inventory'!W258)</f>
        <v/>
      </c>
      <c r="AG250" s="26" t="str">
        <f>IF(OR(AF250="", B250=""), "", IF(AE250="Custom", "0", VLOOKUP(AF250, 'Lookup Tables'!$AI$6:$AP$102, 8, FALSE)))</f>
        <v/>
      </c>
      <c r="AH250" s="26" t="str">
        <f>IF(B250="", "", 'Lighting Inventory'!AD258)</f>
        <v/>
      </c>
      <c r="AI250" s="26" t="str">
        <f>IF(OR('Lighting Inventory'!AK258="", B250=""), "", 'Lighting Inventory'!AK258)</f>
        <v/>
      </c>
      <c r="AJ250" s="66" t="str">
        <f>IF(B250="", "", 'Lighting Inventory'!AL258)</f>
        <v/>
      </c>
      <c r="AK250" s="65" t="str">
        <f>IF(B250="", "", 'Lighting Inventory'!AM258)</f>
        <v/>
      </c>
      <c r="AL250" s="26" t="str">
        <f>IF(B250="", "", 'Lighting Inventory'!AN258)</f>
        <v/>
      </c>
      <c r="AM250" s="26" t="str">
        <f t="shared" si="11"/>
        <v/>
      </c>
      <c r="AN250" s="26" t="str">
        <f>IF(B250="","",IF('Lighting Inventory'!AV258="","Prescribed",'Lighting Inventory'!AV258))</f>
        <v/>
      </c>
      <c r="AO250" s="66" t="str">
        <f>IF(B250="", "", 'Lighting Inventory'!AX258)</f>
        <v/>
      </c>
      <c r="AP250" s="67" t="str">
        <f>IF(B250="", "", 'Lighting Inventory'!AZ258)</f>
        <v/>
      </c>
      <c r="AQ250" s="67" t="str">
        <f>IF(B250="", "", 'Lighting Inventory'!BA258)</f>
        <v/>
      </c>
      <c r="AR250" s="67" t="str">
        <f>IF(B250="", "", 'Lighting Inventory'!BB258)</f>
        <v/>
      </c>
      <c r="AS250" s="67" t="str">
        <f>IF(B250="", "", 'Lighting Inventory'!BC258)</f>
        <v/>
      </c>
      <c r="AT250" s="67" t="str">
        <f>IF(B250="", "", 'Lighting Inventory'!BD258)</f>
        <v/>
      </c>
      <c r="AU250" s="67" t="str">
        <f>IF(B250="", "", 'Lighting Inventory'!BE258)</f>
        <v/>
      </c>
      <c r="AV250" s="67" t="str">
        <f>IF(B250="", "", 'Lighting Inventory'!BE258)</f>
        <v/>
      </c>
      <c r="AW250" s="67" t="str">
        <f>IF(B250="", "", 'Lighting Inventory'!BF258)</f>
        <v/>
      </c>
      <c r="AX250" s="67" t="str">
        <f>IF(B250="", "", 'Lighting Inventory'!BF258)</f>
        <v/>
      </c>
      <c r="AY250" s="65" t="str">
        <f t="shared" si="13"/>
        <v/>
      </c>
      <c r="AZ250" s="65" t="str">
        <f>IF(B250="", "", 'Lighting Inventory'!BJ258)</f>
        <v/>
      </c>
      <c r="BA250" s="65" t="str">
        <f>IF(B250="", "", 'Lighting Inventory'!BM258)</f>
        <v/>
      </c>
      <c r="BB250" s="65" t="str">
        <f>IF(B250="","",SUM('Lighting Inventory'!BP258:BP258))</f>
        <v/>
      </c>
      <c r="BC250" s="67" t="str">
        <f>IF(OR(AE250="", B250=""),"", 'Lighting Inventory'!GR258)</f>
        <v/>
      </c>
      <c r="BD250" s="67" t="str">
        <f>IFERROR(IF(B250="", "", 'Lighting Inventory'!AF258)*AD250," ")</f>
        <v xml:space="preserve"> </v>
      </c>
      <c r="BE250" s="67"/>
      <c r="BF250" s="67"/>
    </row>
    <row r="251" spans="1:59" x14ac:dyDescent="0.25">
      <c r="A251" s="26" t="str">
        <f>IF(B251="", "", 'Lookup Tables'!AW252)</f>
        <v/>
      </c>
      <c r="B251" s="26" t="str">
        <f>IF(OR('Lighting Inventory'!Y259="", 'Lighting Inventory'!V259="No Change"),"", 'Lighting Inventory'!Y259)</f>
        <v/>
      </c>
      <c r="C251" s="26" t="str">
        <f>IF(B251="", "", IF('Lighting Inventory'!Y259='Lookup Tables'!$Y$32, 'Lighting Inventory'!AJ259, IF(AD251=0, R251, AD251)))</f>
        <v/>
      </c>
      <c r="D251" s="26" t="str">
        <f>IF(B251="", "", 'General Information'!$F$14)</f>
        <v/>
      </c>
      <c r="E251" s="26" t="str">
        <f t="shared" ref="E251:E314" si="14">IF(B251="", "", "FPPLPR")</f>
        <v/>
      </c>
      <c r="F251" s="26" t="str">
        <f>IF(B251="", "", CONCATENATE('General Information'!$F$9, " - ", 'General Information'!$F$14))</f>
        <v/>
      </c>
      <c r="G251" s="26" t="str">
        <f>IF(B251="", "", 'General Information'!$F$15)</f>
        <v/>
      </c>
      <c r="H251" s="26" t="str">
        <f>IF(B251="", "", IF(VLOOKUP(B251, 'Lookup Tables'!$Y$18:$AA$34, 2, FALSE)="Traffic", VLOOKUP('Lighting Inventory'!W259, 'Lookup Tables'!#REF!, 11, FALSE), VLOOKUP(B251, 'Lookup Tables'!$Y$18:$AA$34, 2, FALSE)))</f>
        <v/>
      </c>
      <c r="I251" s="26" t="str">
        <f>IF(B251="", "", CONCATENATE(D251, 'Data Export'!A251))</f>
        <v/>
      </c>
      <c r="J251" s="26" t="str">
        <f>IF(B251="", "", 'Lookup Tables'!$B$1)</f>
        <v/>
      </c>
      <c r="K251" s="26" t="str">
        <f>IF(B251="", "", 'Lighting Inventory'!B259)</f>
        <v/>
      </c>
      <c r="L251" s="26" t="str">
        <f>IF(B251="", "", 'Lighting Inventory'!C259)</f>
        <v/>
      </c>
      <c r="M251" s="26" t="str">
        <f>IF(B251="", "",'Lighting Inventory'!D259)</f>
        <v/>
      </c>
      <c r="N251" s="26" t="str">
        <f>IF(B251="", "",'Lighting Inventory'!E259)</f>
        <v/>
      </c>
      <c r="O251" s="26" t="str">
        <f>IF(B251="", "", 'Lighting Inventory'!F259)</f>
        <v/>
      </c>
      <c r="P251" s="26" t="str">
        <f>IF(B251="", "", 'Lighting Inventory'!G259)</f>
        <v/>
      </c>
      <c r="Q251" s="26" t="str">
        <f>IF(B251="", "", 'Lighting Inventory'!H259)</f>
        <v/>
      </c>
      <c r="R251" s="26" t="str">
        <f>IF(B251="", "", 'Lighting Inventory'!I259)</f>
        <v/>
      </c>
      <c r="S251" s="26" t="str">
        <f>IF(B251="", "", 'Lighting Inventory'!J259)</f>
        <v/>
      </c>
      <c r="T251" s="26" t="str">
        <f>IFERROR(IF(B251="","",VLOOKUP(S251,'Fixture Identities'!$A$7:$G$1023,5,FALSE)), "New Construction")</f>
        <v/>
      </c>
      <c r="U251" s="26" t="str">
        <f>IFERROR(IF(B251="", "", IF(K251="New Construction", "NC", IF(VLOOKUP(S251, 'Fixture Identities'!$A$7:$I$1023,3, FALSE)="T12 Linear Fluorescent", VLOOKUP(S251, 'Fixture Identities'!$A$7:$K$1012, 11, FALSE), S251))), "")</f>
        <v/>
      </c>
      <c r="V251" s="26" t="str">
        <f>IFERROR(IF(OR(B251="", U251=0), "", VLOOKUP(U251, 'Fixture Identities'!$A$7:$G$1023, 5, FALSE)), "")</f>
        <v/>
      </c>
      <c r="W251" s="26" t="str">
        <f>IF(B251="", "",'Lighting Inventory'!K259)</f>
        <v/>
      </c>
      <c r="X251" s="65" t="str">
        <f>IF(B251="", "", 'Lighting Inventory'!L259)</f>
        <v/>
      </c>
      <c r="Y251" s="26" t="str">
        <f>IF(B251="", "", IF('Lighting Inventory'!M259="", "Light Switch",'Lighting Inventory'!M259))</f>
        <v/>
      </c>
      <c r="Z251" s="26" t="str">
        <f>IF(OR(K251="Retrofit", B251=""), "", 'Lighting Inventory'!N259)</f>
        <v/>
      </c>
      <c r="AA251" s="26" t="str">
        <f>IF(OR(Z251="",B251=""), "", 'Lighting Inventory'!O259)</f>
        <v/>
      </c>
      <c r="AB251" s="26" t="str">
        <f>IF(B251="", "", 'Lighting Inventory'!P259)</f>
        <v/>
      </c>
      <c r="AC251" s="96" t="str">
        <f>IF(B251="", "", 'Lighting Inventory'!R259)</f>
        <v/>
      </c>
      <c r="AD251" s="26" t="str">
        <f>IF(B251="", "", 'Lighting Inventory'!S259)</f>
        <v/>
      </c>
      <c r="AE251" s="26" t="str">
        <f>IF(B251="", "", 'Lighting Inventory'!V259)</f>
        <v/>
      </c>
      <c r="AF251" s="26" t="str">
        <f>IF(B251="", "", 'Lighting Inventory'!W259)</f>
        <v/>
      </c>
      <c r="AG251" s="26" t="str">
        <f>IF(OR(AF251="", B251=""), "", IF(AE251="Custom", "0", VLOOKUP(AF251, 'Lookup Tables'!$AI$6:$AP$102, 8, FALSE)))</f>
        <v/>
      </c>
      <c r="AH251" s="26" t="str">
        <f>IF(B251="", "", 'Lighting Inventory'!AD259)</f>
        <v/>
      </c>
      <c r="AI251" s="26" t="str">
        <f>IF(OR('Lighting Inventory'!AK259="", B251=""), "", 'Lighting Inventory'!AK259)</f>
        <v/>
      </c>
      <c r="AJ251" s="66" t="str">
        <f>IF(B251="", "", 'Lighting Inventory'!AL259)</f>
        <v/>
      </c>
      <c r="AK251" s="65" t="str">
        <f>IF(B251="", "", 'Lighting Inventory'!AM259)</f>
        <v/>
      </c>
      <c r="AL251" s="26" t="str">
        <f>IF(B251="", "", 'Lighting Inventory'!AN259)</f>
        <v/>
      </c>
      <c r="AM251" s="26" t="str">
        <f t="shared" ref="AM251:AM314" si="15">IF(B251="", "", 8)</f>
        <v/>
      </c>
      <c r="AN251" s="26" t="str">
        <f>IF(B251="","",IF('Lighting Inventory'!AV259="","Prescribed",'Lighting Inventory'!AV259))</f>
        <v/>
      </c>
      <c r="AO251" s="66" t="str">
        <f>IF(B251="", "", 'Lighting Inventory'!AX259)</f>
        <v/>
      </c>
      <c r="AP251" s="67" t="str">
        <f>IF(B251="", "", 'Lighting Inventory'!AZ259)</f>
        <v/>
      </c>
      <c r="AQ251" s="67" t="str">
        <f>IF(B251="", "", 'Lighting Inventory'!BA259)</f>
        <v/>
      </c>
      <c r="AR251" s="67" t="str">
        <f>IF(B251="", "", 'Lighting Inventory'!BB259)</f>
        <v/>
      </c>
      <c r="AS251" s="67" t="str">
        <f>IF(B251="", "", 'Lighting Inventory'!BC259)</f>
        <v/>
      </c>
      <c r="AT251" s="67" t="str">
        <f>IF(B251="", "", 'Lighting Inventory'!BD259)</f>
        <v/>
      </c>
      <c r="AU251" s="67" t="str">
        <f>IF(B251="", "", 'Lighting Inventory'!BE259)</f>
        <v/>
      </c>
      <c r="AV251" s="67" t="str">
        <f>IF(B251="", "", 'Lighting Inventory'!BE259)</f>
        <v/>
      </c>
      <c r="AW251" s="67" t="str">
        <f>IF(B251="", "", 'Lighting Inventory'!BF259)</f>
        <v/>
      </c>
      <c r="AX251" s="67" t="str">
        <f>IF(B251="", "", 'Lighting Inventory'!BF259)</f>
        <v/>
      </c>
      <c r="AY251" s="65" t="str">
        <f t="shared" ref="AY251:AY314" si="16">AZ251</f>
        <v/>
      </c>
      <c r="AZ251" s="65" t="str">
        <f>IF(B251="", "", 'Lighting Inventory'!BJ259)</f>
        <v/>
      </c>
      <c r="BA251" s="65" t="str">
        <f>IF(B251="", "", 'Lighting Inventory'!BM259)</f>
        <v/>
      </c>
      <c r="BB251" s="65" t="str">
        <f>IF(B251="","",SUM('Lighting Inventory'!BP259:BP259))</f>
        <v/>
      </c>
      <c r="BC251" s="67" t="str">
        <f>IF(OR(AE251="", B251=""),"", 'Lighting Inventory'!GR259)</f>
        <v/>
      </c>
      <c r="BD251" s="67" t="str">
        <f>IFERROR(IF(B251="", "", 'Lighting Inventory'!AF259)*AD251," ")</f>
        <v xml:space="preserve"> </v>
      </c>
      <c r="BE251" s="67"/>
      <c r="BF251" s="67"/>
    </row>
    <row r="252" spans="1:59" customFormat="1" x14ac:dyDescent="0.25">
      <c r="A252" s="26" t="str">
        <f>IF(B252="", "", 'Lookup Tables'!AW253)</f>
        <v/>
      </c>
      <c r="B252" s="26" t="str">
        <f>IF(OR('Lighting Inventory'!Y260="", 'Lighting Inventory'!V260="No Change"),"", 'Lighting Inventory'!Y260)</f>
        <v/>
      </c>
      <c r="C252" s="26" t="str">
        <f>IF(B252="", "", IF('Lighting Inventory'!Y260='Lookup Tables'!$Y$32, 'Lighting Inventory'!AJ260, IF(AD252=0, R252, AD252)))</f>
        <v/>
      </c>
      <c r="D252" s="26" t="str">
        <f>IF(B252="", "", 'General Information'!$F$14)</f>
        <v/>
      </c>
      <c r="E252" s="26" t="str">
        <f t="shared" si="14"/>
        <v/>
      </c>
      <c r="F252" s="26" t="str">
        <f>IF(B252="", "", CONCATENATE('General Information'!$F$9, " - ", 'General Information'!$F$14))</f>
        <v/>
      </c>
      <c r="G252" s="26" t="str">
        <f>IF(B252="", "", 'General Information'!$F$15)</f>
        <v/>
      </c>
      <c r="H252" s="26" t="str">
        <f>IF(B252="", "", IF(VLOOKUP(B252, 'Lookup Tables'!$Y$18:$AA$34, 2, FALSE)="Traffic", VLOOKUP('Lighting Inventory'!W260, 'Lookup Tables'!#REF!, 11, FALSE), VLOOKUP(B252, 'Lookup Tables'!$Y$18:$AA$34, 2, FALSE)))</f>
        <v/>
      </c>
      <c r="I252" s="26" t="str">
        <f>IF(B252="", "", CONCATENATE(D252, 'Data Export'!A252))</f>
        <v/>
      </c>
      <c r="J252" s="26" t="str">
        <f>IF(B252="", "", 'Lookup Tables'!$B$1)</f>
        <v/>
      </c>
      <c r="K252" s="26" t="str">
        <f>IF(B252="", "", 'Lighting Inventory'!B260)</f>
        <v/>
      </c>
      <c r="L252" s="26" t="str">
        <f>IF(B252="", "", 'Lighting Inventory'!C260)</f>
        <v/>
      </c>
      <c r="M252" s="26" t="str">
        <f>IF(B252="", "",'Lighting Inventory'!D260)</f>
        <v/>
      </c>
      <c r="N252" s="26" t="str">
        <f>IF(B252="", "",'Lighting Inventory'!E260)</f>
        <v/>
      </c>
      <c r="O252" s="26" t="str">
        <f>IF(B252="", "", 'Lighting Inventory'!F260)</f>
        <v/>
      </c>
      <c r="P252" s="26" t="str">
        <f>IF(B252="", "", 'Lighting Inventory'!G260)</f>
        <v/>
      </c>
      <c r="Q252" s="26" t="str">
        <f>IF(B252="", "", 'Lighting Inventory'!H260)</f>
        <v/>
      </c>
      <c r="R252" s="26" t="str">
        <f>IF(B252="", "", 'Lighting Inventory'!I260)</f>
        <v/>
      </c>
      <c r="S252" s="26" t="str">
        <f>IF(B252="", "", 'Lighting Inventory'!J260)</f>
        <v/>
      </c>
      <c r="T252" s="26" t="str">
        <f>IFERROR(IF(B252="","",VLOOKUP(S252,'Fixture Identities'!$A$7:$G$1023,5,FALSE)), "New Construction")</f>
        <v/>
      </c>
      <c r="U252" s="26" t="str">
        <f>IFERROR(IF(B252="", "", IF(K252="New Construction", "NC", IF(VLOOKUP(S252, 'Fixture Identities'!$A$7:$I$1023,3, FALSE)="T12 Linear Fluorescent", VLOOKUP(S252, 'Fixture Identities'!$A$7:$K$1012, 11, FALSE), S252))), "")</f>
        <v/>
      </c>
      <c r="V252" s="26" t="str">
        <f>IFERROR(IF(OR(B252="", U252=0), "", VLOOKUP(U252, 'Fixture Identities'!$A$7:$G$1023, 5, FALSE)), "")</f>
        <v/>
      </c>
      <c r="W252" s="26" t="str">
        <f>IF(B252="", "",'Lighting Inventory'!K260)</f>
        <v/>
      </c>
      <c r="X252" s="65" t="str">
        <f>IF(B252="", "", 'Lighting Inventory'!L260)</f>
        <v/>
      </c>
      <c r="Y252" s="26" t="str">
        <f>IF(B252="", "", IF('Lighting Inventory'!M260="", "Light Switch",'Lighting Inventory'!M260))</f>
        <v/>
      </c>
      <c r="Z252" s="26" t="str">
        <f>IF(OR(K252="Retrofit", B252=""), "", 'Lighting Inventory'!N260)</f>
        <v/>
      </c>
      <c r="AA252" s="26" t="str">
        <f>IF(OR(Z252="",B252=""), "", 'Lighting Inventory'!O260)</f>
        <v/>
      </c>
      <c r="AB252" s="26" t="str">
        <f>IF(B252="", "", 'Lighting Inventory'!P260)</f>
        <v/>
      </c>
      <c r="AC252" s="96" t="str">
        <f>IF(B252="", "", 'Lighting Inventory'!R260)</f>
        <v/>
      </c>
      <c r="AD252" s="26" t="str">
        <f>IF(B252="", "", 'Lighting Inventory'!S260)</f>
        <v/>
      </c>
      <c r="AE252" s="26" t="str">
        <f>IF(B252="", "", 'Lighting Inventory'!V260)</f>
        <v/>
      </c>
      <c r="AF252" s="26" t="str">
        <f>IF(B252="", "", 'Lighting Inventory'!W260)</f>
        <v/>
      </c>
      <c r="AG252" s="26" t="str">
        <f>IF(OR(AF252="", B252=""), "", IF(AE252="Custom", "0", VLOOKUP(AF252, 'Lookup Tables'!$AI$6:$AP$102, 8, FALSE)))</f>
        <v/>
      </c>
      <c r="AH252" s="26" t="str">
        <f>IF(B252="", "", 'Lighting Inventory'!AD260)</f>
        <v/>
      </c>
      <c r="AI252" s="26" t="str">
        <f>IF(OR('Lighting Inventory'!AK260="", B252=""), "", 'Lighting Inventory'!AK260)</f>
        <v/>
      </c>
      <c r="AJ252" s="66" t="str">
        <f>IF(B252="", "", 'Lighting Inventory'!AL260)</f>
        <v/>
      </c>
      <c r="AK252" s="65" t="str">
        <f>IF(B252="", "", 'Lighting Inventory'!AM260)</f>
        <v/>
      </c>
      <c r="AL252" s="26" t="str">
        <f>IF(B252="", "", 'Lighting Inventory'!AN260)</f>
        <v/>
      </c>
      <c r="AM252" s="26" t="str">
        <f t="shared" si="15"/>
        <v/>
      </c>
      <c r="AN252" s="26" t="str">
        <f>IF(B252="","",IF('Lighting Inventory'!AV260="","Prescribed",'Lighting Inventory'!AV260))</f>
        <v/>
      </c>
      <c r="AO252" s="66" t="str">
        <f>IF(B252="", "", 'Lighting Inventory'!AX260)</f>
        <v/>
      </c>
      <c r="AP252" s="67" t="str">
        <f>IF(B252="", "", 'Lighting Inventory'!AZ260)</f>
        <v/>
      </c>
      <c r="AQ252" s="67" t="str">
        <f>IF(B252="", "", 'Lighting Inventory'!BA260)</f>
        <v/>
      </c>
      <c r="AR252" s="67" t="str">
        <f>IF(B252="", "", 'Lighting Inventory'!BB260)</f>
        <v/>
      </c>
      <c r="AS252" s="67" t="str">
        <f>IF(B252="", "", 'Lighting Inventory'!BC260)</f>
        <v/>
      </c>
      <c r="AT252" s="67" t="str">
        <f>IF(B252="", "", 'Lighting Inventory'!BD260)</f>
        <v/>
      </c>
      <c r="AU252" s="67" t="str">
        <f>IF(B252="", "", 'Lighting Inventory'!BE260)</f>
        <v/>
      </c>
      <c r="AV252" s="67" t="str">
        <f>IF(B252="", "", 'Lighting Inventory'!BE260)</f>
        <v/>
      </c>
      <c r="AW252" s="67" t="str">
        <f>IF(B252="", "", 'Lighting Inventory'!BF260)</f>
        <v/>
      </c>
      <c r="AX252" s="67" t="str">
        <f>IF(B252="", "", 'Lighting Inventory'!BF260)</f>
        <v/>
      </c>
      <c r="AY252" s="65" t="str">
        <f t="shared" si="16"/>
        <v/>
      </c>
      <c r="AZ252" s="65" t="str">
        <f>IF(B252="", "", 'Lighting Inventory'!BJ260)</f>
        <v/>
      </c>
      <c r="BA252" s="65" t="str">
        <f>IF(B252="", "", 'Lighting Inventory'!BM260)</f>
        <v/>
      </c>
      <c r="BB252" s="65" t="str">
        <f>IF(B252="","",SUM('Lighting Inventory'!BP260:BP260))</f>
        <v/>
      </c>
      <c r="BC252" s="67" t="str">
        <f>IF(OR(AE252="", B252=""),"", 'Lighting Inventory'!GR260)</f>
        <v/>
      </c>
      <c r="BD252" s="67" t="str">
        <f>IFERROR(IF(B252="", "", 'Lighting Inventory'!AF260)*AD252," ")</f>
        <v xml:space="preserve"> </v>
      </c>
      <c r="BE252" s="67"/>
      <c r="BF252" s="67"/>
      <c r="BG252" s="26"/>
    </row>
    <row r="253" spans="1:59" customFormat="1" x14ac:dyDescent="0.25">
      <c r="A253" s="26" t="str">
        <f>IF(B253="", "", 'Lookup Tables'!AW254)</f>
        <v/>
      </c>
      <c r="B253" s="26" t="str">
        <f>IF(OR('Lighting Inventory'!Y261="", 'Lighting Inventory'!V261="No Change"),"", 'Lighting Inventory'!Y261)</f>
        <v/>
      </c>
      <c r="C253" s="26" t="str">
        <f>IF(B253="", "", IF('Lighting Inventory'!Y261='Lookup Tables'!$Y$32, 'Lighting Inventory'!AJ261, IF(AD253=0, R253, AD253)))</f>
        <v/>
      </c>
      <c r="D253" s="26" t="str">
        <f>IF(B253="", "", 'General Information'!$F$14)</f>
        <v/>
      </c>
      <c r="E253" s="26" t="str">
        <f t="shared" si="14"/>
        <v/>
      </c>
      <c r="F253" s="26" t="str">
        <f>IF(B253="", "", CONCATENATE('General Information'!$F$9, " - ", 'General Information'!$F$14))</f>
        <v/>
      </c>
      <c r="G253" s="26" t="str">
        <f>IF(B253="", "", 'General Information'!$F$15)</f>
        <v/>
      </c>
      <c r="H253" s="26" t="str">
        <f>IF(B253="", "", IF(VLOOKUP(B253, 'Lookup Tables'!$Y$18:$AA$34, 2, FALSE)="Traffic", VLOOKUP('Lighting Inventory'!W261, 'Lookup Tables'!#REF!, 11, FALSE), VLOOKUP(B253, 'Lookup Tables'!$Y$18:$AA$34, 2, FALSE)))</f>
        <v/>
      </c>
      <c r="I253" s="26" t="str">
        <f>IF(B253="", "", CONCATENATE(D253, 'Data Export'!A253))</f>
        <v/>
      </c>
      <c r="J253" s="26" t="str">
        <f>IF(B253="", "", 'Lookup Tables'!$B$1)</f>
        <v/>
      </c>
      <c r="K253" s="26" t="str">
        <f>IF(B253="", "", 'Lighting Inventory'!B261)</f>
        <v/>
      </c>
      <c r="L253" s="26" t="str">
        <f>IF(B253="", "", 'Lighting Inventory'!C261)</f>
        <v/>
      </c>
      <c r="M253" s="26" t="str">
        <f>IF(B253="", "",'Lighting Inventory'!D261)</f>
        <v/>
      </c>
      <c r="N253" s="26" t="str">
        <f>IF(B253="", "",'Lighting Inventory'!E261)</f>
        <v/>
      </c>
      <c r="O253" s="26" t="str">
        <f>IF(B253="", "", 'Lighting Inventory'!F261)</f>
        <v/>
      </c>
      <c r="P253" s="26" t="str">
        <f>IF(B253="", "", 'Lighting Inventory'!G261)</f>
        <v/>
      </c>
      <c r="Q253" s="26" t="str">
        <f>IF(B253="", "", 'Lighting Inventory'!H261)</f>
        <v/>
      </c>
      <c r="R253" s="26" t="str">
        <f>IF(B253="", "", 'Lighting Inventory'!I261)</f>
        <v/>
      </c>
      <c r="S253" s="26" t="str">
        <f>IF(B253="", "", 'Lighting Inventory'!J261)</f>
        <v/>
      </c>
      <c r="T253" s="26" t="str">
        <f>IFERROR(IF(B253="","",VLOOKUP(S253,'Fixture Identities'!$A$7:$G$1023,5,FALSE)), "New Construction")</f>
        <v/>
      </c>
      <c r="U253" s="26" t="str">
        <f>IFERROR(IF(B253="", "", IF(K253="New Construction", "NC", IF(VLOOKUP(S253, 'Fixture Identities'!$A$7:$I$1023,3, FALSE)="T12 Linear Fluorescent", VLOOKUP(S253, 'Fixture Identities'!$A$7:$K$1012, 11, FALSE), S253))), "")</f>
        <v/>
      </c>
      <c r="V253" s="26" t="str">
        <f>IFERROR(IF(OR(B253="", U253=0), "", VLOOKUP(U253, 'Fixture Identities'!$A$7:$G$1023, 5, FALSE)), "")</f>
        <v/>
      </c>
      <c r="W253" s="26" t="str">
        <f>IF(B253="", "",'Lighting Inventory'!K261)</f>
        <v/>
      </c>
      <c r="X253" s="65" t="str">
        <f>IF(B253="", "", 'Lighting Inventory'!L261)</f>
        <v/>
      </c>
      <c r="Y253" s="26" t="str">
        <f>IF(B253="", "", IF('Lighting Inventory'!M261="", "Light Switch",'Lighting Inventory'!M261))</f>
        <v/>
      </c>
      <c r="Z253" s="26" t="str">
        <f>IF(OR(K253="Retrofit", B253=""), "", 'Lighting Inventory'!N261)</f>
        <v/>
      </c>
      <c r="AA253" s="26" t="str">
        <f>IF(OR(Z253="",B253=""), "", 'Lighting Inventory'!O261)</f>
        <v/>
      </c>
      <c r="AB253" s="26" t="str">
        <f>IF(B253="", "", 'Lighting Inventory'!P261)</f>
        <v/>
      </c>
      <c r="AC253" s="96" t="str">
        <f>IF(B253="", "", 'Lighting Inventory'!R261)</f>
        <v/>
      </c>
      <c r="AD253" s="26" t="str">
        <f>IF(B253="", "", 'Lighting Inventory'!S261)</f>
        <v/>
      </c>
      <c r="AE253" s="26" t="str">
        <f>IF(B253="", "", 'Lighting Inventory'!V261)</f>
        <v/>
      </c>
      <c r="AF253" s="26" t="str">
        <f>IF(B253="", "", 'Lighting Inventory'!W261)</f>
        <v/>
      </c>
      <c r="AG253" s="26" t="str">
        <f>IF(OR(AF253="", B253=""), "", IF(AE253="Custom", "0", VLOOKUP(AF253, 'Lookup Tables'!$AI$6:$AP$102, 8, FALSE)))</f>
        <v/>
      </c>
      <c r="AH253" s="26" t="str">
        <f>IF(B253="", "", 'Lighting Inventory'!AD261)</f>
        <v/>
      </c>
      <c r="AI253" s="26" t="str">
        <f>IF(OR('Lighting Inventory'!AK261="", B253=""), "", 'Lighting Inventory'!AK261)</f>
        <v/>
      </c>
      <c r="AJ253" s="66" t="str">
        <f>IF(B253="", "", 'Lighting Inventory'!AL261)</f>
        <v/>
      </c>
      <c r="AK253" s="65" t="str">
        <f>IF(B253="", "", 'Lighting Inventory'!AM261)</f>
        <v/>
      </c>
      <c r="AL253" s="26" t="str">
        <f>IF(B253="", "", 'Lighting Inventory'!AN261)</f>
        <v/>
      </c>
      <c r="AM253" s="26" t="str">
        <f t="shared" si="15"/>
        <v/>
      </c>
      <c r="AN253" s="26" t="str">
        <f>IF(B253="","",IF('Lighting Inventory'!AV261="","Prescribed",'Lighting Inventory'!AV261))</f>
        <v/>
      </c>
      <c r="AO253" s="66" t="str">
        <f>IF(B253="", "", 'Lighting Inventory'!AX261)</f>
        <v/>
      </c>
      <c r="AP253" s="67" t="str">
        <f>IF(B253="", "", 'Lighting Inventory'!AZ261)</f>
        <v/>
      </c>
      <c r="AQ253" s="67" t="str">
        <f>IF(B253="", "", 'Lighting Inventory'!BA261)</f>
        <v/>
      </c>
      <c r="AR253" s="67" t="str">
        <f>IF(B253="", "", 'Lighting Inventory'!BB261)</f>
        <v/>
      </c>
      <c r="AS253" s="67" t="str">
        <f>IF(B253="", "", 'Lighting Inventory'!BC261)</f>
        <v/>
      </c>
      <c r="AT253" s="67" t="str">
        <f>IF(B253="", "", 'Lighting Inventory'!BD261)</f>
        <v/>
      </c>
      <c r="AU253" s="67" t="str">
        <f>IF(B253="", "", 'Lighting Inventory'!BE261)</f>
        <v/>
      </c>
      <c r="AV253" s="67" t="str">
        <f>IF(B253="", "", 'Lighting Inventory'!BE261)</f>
        <v/>
      </c>
      <c r="AW253" s="67" t="str">
        <f>IF(B253="", "", 'Lighting Inventory'!BF261)</f>
        <v/>
      </c>
      <c r="AX253" s="67" t="str">
        <f>IF(B253="", "", 'Lighting Inventory'!BF261)</f>
        <v/>
      </c>
      <c r="AY253" s="65" t="str">
        <f t="shared" si="16"/>
        <v/>
      </c>
      <c r="AZ253" s="65" t="str">
        <f>IF(B253="", "", 'Lighting Inventory'!BJ261)</f>
        <v/>
      </c>
      <c r="BA253" s="65" t="str">
        <f>IF(B253="", "", 'Lighting Inventory'!BM261)</f>
        <v/>
      </c>
      <c r="BB253" s="65" t="str">
        <f>IF(B253="","",SUM('Lighting Inventory'!BP261:BP261))</f>
        <v/>
      </c>
      <c r="BC253" s="67" t="str">
        <f>IF(OR(AE253="", B253=""),"", 'Lighting Inventory'!GR261)</f>
        <v/>
      </c>
      <c r="BD253" s="67" t="str">
        <f>IFERROR(IF(B253="", "", 'Lighting Inventory'!AF261)*AD253," ")</f>
        <v xml:space="preserve"> </v>
      </c>
      <c r="BE253" s="67"/>
      <c r="BF253" s="67"/>
      <c r="BG253" s="26"/>
    </row>
    <row r="254" spans="1:59" customFormat="1" x14ac:dyDescent="0.25">
      <c r="A254" s="26" t="str">
        <f>IF(B254="", "", 'Lookup Tables'!AW255)</f>
        <v/>
      </c>
      <c r="B254" s="26" t="str">
        <f>IF(OR('Lighting Inventory'!Y262="", 'Lighting Inventory'!V262="No Change"),"", 'Lighting Inventory'!Y262)</f>
        <v/>
      </c>
      <c r="C254" s="26" t="str">
        <f>IF(B254="", "", IF('Lighting Inventory'!Y262='Lookup Tables'!$Y$32, 'Lighting Inventory'!AJ262, IF(AD254=0, R254, AD254)))</f>
        <v/>
      </c>
      <c r="D254" s="26" t="str">
        <f>IF(B254="", "", 'General Information'!$F$14)</f>
        <v/>
      </c>
      <c r="E254" s="26" t="str">
        <f t="shared" si="14"/>
        <v/>
      </c>
      <c r="F254" s="26" t="str">
        <f>IF(B254="", "", CONCATENATE('General Information'!$F$9, " - ", 'General Information'!$F$14))</f>
        <v/>
      </c>
      <c r="G254" s="26" t="str">
        <f>IF(B254="", "", 'General Information'!$F$15)</f>
        <v/>
      </c>
      <c r="H254" s="26" t="str">
        <f>IF(B254="", "", IF(VLOOKUP(B254, 'Lookup Tables'!$Y$18:$AA$34, 2, FALSE)="Traffic", VLOOKUP('Lighting Inventory'!W262, 'Lookup Tables'!#REF!, 11, FALSE), VLOOKUP(B254, 'Lookup Tables'!$Y$18:$AA$34, 2, FALSE)))</f>
        <v/>
      </c>
      <c r="I254" s="26" t="str">
        <f>IF(B254="", "", CONCATENATE(D254, 'Data Export'!A254))</f>
        <v/>
      </c>
      <c r="J254" s="26" t="str">
        <f>IF(B254="", "", 'Lookup Tables'!$B$1)</f>
        <v/>
      </c>
      <c r="K254" s="26" t="str">
        <f>IF(B254="", "", 'Lighting Inventory'!B262)</f>
        <v/>
      </c>
      <c r="L254" s="26" t="str">
        <f>IF(B254="", "", 'Lighting Inventory'!C262)</f>
        <v/>
      </c>
      <c r="M254" s="26" t="str">
        <f>IF(B254="", "",'Lighting Inventory'!D262)</f>
        <v/>
      </c>
      <c r="N254" s="26" t="str">
        <f>IF(B254="", "",'Lighting Inventory'!E262)</f>
        <v/>
      </c>
      <c r="O254" s="26" t="str">
        <f>IF(B254="", "", 'Lighting Inventory'!F262)</f>
        <v/>
      </c>
      <c r="P254" s="26" t="str">
        <f>IF(B254="", "", 'Lighting Inventory'!G262)</f>
        <v/>
      </c>
      <c r="Q254" s="26" t="str">
        <f>IF(B254="", "", 'Lighting Inventory'!H262)</f>
        <v/>
      </c>
      <c r="R254" s="26" t="str">
        <f>IF(B254="", "", 'Lighting Inventory'!I262)</f>
        <v/>
      </c>
      <c r="S254" s="26" t="str">
        <f>IF(B254="", "", 'Lighting Inventory'!J262)</f>
        <v/>
      </c>
      <c r="T254" s="26" t="str">
        <f>IFERROR(IF(B254="","",VLOOKUP(S254,'Fixture Identities'!$A$7:$G$1023,5,FALSE)), "New Construction")</f>
        <v/>
      </c>
      <c r="U254" s="26" t="str">
        <f>IFERROR(IF(B254="", "", IF(K254="New Construction", "NC", IF(VLOOKUP(S254, 'Fixture Identities'!$A$7:$I$1023,3, FALSE)="T12 Linear Fluorescent", VLOOKUP(S254, 'Fixture Identities'!$A$7:$K$1012, 11, FALSE), S254))), "")</f>
        <v/>
      </c>
      <c r="V254" s="26" t="str">
        <f>IFERROR(IF(OR(B254="", U254=0), "", VLOOKUP(U254, 'Fixture Identities'!$A$7:$G$1023, 5, FALSE)), "")</f>
        <v/>
      </c>
      <c r="W254" s="26" t="str">
        <f>IF(B254="", "",'Lighting Inventory'!K262)</f>
        <v/>
      </c>
      <c r="X254" s="65" t="str">
        <f>IF(B254="", "", 'Lighting Inventory'!L262)</f>
        <v/>
      </c>
      <c r="Y254" s="26" t="str">
        <f>IF(B254="", "", IF('Lighting Inventory'!M262="", "Light Switch",'Lighting Inventory'!M262))</f>
        <v/>
      </c>
      <c r="Z254" s="26" t="str">
        <f>IF(OR(K254="Retrofit", B254=""), "", 'Lighting Inventory'!N262)</f>
        <v/>
      </c>
      <c r="AA254" s="26" t="str">
        <f>IF(OR(Z254="",B254=""), "", 'Lighting Inventory'!O262)</f>
        <v/>
      </c>
      <c r="AB254" s="26" t="str">
        <f>IF(B254="", "", 'Lighting Inventory'!P262)</f>
        <v/>
      </c>
      <c r="AC254" s="96" t="str">
        <f>IF(B254="", "", 'Lighting Inventory'!R262)</f>
        <v/>
      </c>
      <c r="AD254" s="26" t="str">
        <f>IF(B254="", "", 'Lighting Inventory'!S262)</f>
        <v/>
      </c>
      <c r="AE254" s="26" t="str">
        <f>IF(B254="", "", 'Lighting Inventory'!V262)</f>
        <v/>
      </c>
      <c r="AF254" s="26" t="str">
        <f>IF(B254="", "", 'Lighting Inventory'!W262)</f>
        <v/>
      </c>
      <c r="AG254" s="26" t="str">
        <f>IF(OR(AF254="", B254=""), "", IF(AE254="Custom", "0", VLOOKUP(AF254, 'Lookup Tables'!$AI$6:$AP$102, 8, FALSE)))</f>
        <v/>
      </c>
      <c r="AH254" s="26" t="str">
        <f>IF(B254="", "", 'Lighting Inventory'!AD262)</f>
        <v/>
      </c>
      <c r="AI254" s="26" t="str">
        <f>IF(OR('Lighting Inventory'!AK262="", B254=""), "", 'Lighting Inventory'!AK262)</f>
        <v/>
      </c>
      <c r="AJ254" s="66" t="str">
        <f>IF(B254="", "", 'Lighting Inventory'!AL262)</f>
        <v/>
      </c>
      <c r="AK254" s="65" t="str">
        <f>IF(B254="", "", 'Lighting Inventory'!AM262)</f>
        <v/>
      </c>
      <c r="AL254" s="26" t="str">
        <f>IF(B254="", "", 'Lighting Inventory'!AN262)</f>
        <v/>
      </c>
      <c r="AM254" s="26" t="str">
        <f t="shared" si="15"/>
        <v/>
      </c>
      <c r="AN254" s="26" t="str">
        <f>IF(B254="","",IF('Lighting Inventory'!AV262="","Prescribed",'Lighting Inventory'!AV262))</f>
        <v/>
      </c>
      <c r="AO254" s="66" t="str">
        <f>IF(B254="", "", 'Lighting Inventory'!AX262)</f>
        <v/>
      </c>
      <c r="AP254" s="67" t="str">
        <f>IF(B254="", "", 'Lighting Inventory'!AZ262)</f>
        <v/>
      </c>
      <c r="AQ254" s="67" t="str">
        <f>IF(B254="", "", 'Lighting Inventory'!BA262)</f>
        <v/>
      </c>
      <c r="AR254" s="67" t="str">
        <f>IF(B254="", "", 'Lighting Inventory'!BB262)</f>
        <v/>
      </c>
      <c r="AS254" s="67" t="str">
        <f>IF(B254="", "", 'Lighting Inventory'!BC262)</f>
        <v/>
      </c>
      <c r="AT254" s="67" t="str">
        <f>IF(B254="", "", 'Lighting Inventory'!BD262)</f>
        <v/>
      </c>
      <c r="AU254" s="67" t="str">
        <f>IF(B254="", "", 'Lighting Inventory'!BE262)</f>
        <v/>
      </c>
      <c r="AV254" s="67" t="str">
        <f>IF(B254="", "", 'Lighting Inventory'!BE262)</f>
        <v/>
      </c>
      <c r="AW254" s="67" t="str">
        <f>IF(B254="", "", 'Lighting Inventory'!BF262)</f>
        <v/>
      </c>
      <c r="AX254" s="67" t="str">
        <f>IF(B254="", "", 'Lighting Inventory'!BF262)</f>
        <v/>
      </c>
      <c r="AY254" s="65" t="str">
        <f t="shared" si="16"/>
        <v/>
      </c>
      <c r="AZ254" s="65" t="str">
        <f>IF(B254="", "", 'Lighting Inventory'!BJ262)</f>
        <v/>
      </c>
      <c r="BA254" s="65" t="str">
        <f>IF(B254="", "", 'Lighting Inventory'!BM262)</f>
        <v/>
      </c>
      <c r="BB254" s="65" t="str">
        <f>IF(B254="","",SUM('Lighting Inventory'!BP262:BP262))</f>
        <v/>
      </c>
      <c r="BC254" s="67" t="str">
        <f>IF(OR(AE254="", B254=""),"", 'Lighting Inventory'!GR262)</f>
        <v/>
      </c>
      <c r="BD254" s="67" t="str">
        <f>IFERROR(IF(B254="", "", 'Lighting Inventory'!AF262)*AD254," ")</f>
        <v xml:space="preserve"> </v>
      </c>
      <c r="BE254" s="67"/>
      <c r="BF254" s="67"/>
      <c r="BG254" s="26"/>
    </row>
    <row r="255" spans="1:59" customFormat="1" x14ac:dyDescent="0.25">
      <c r="A255" s="26" t="str">
        <f>IF(B255="", "", 'Lookup Tables'!AW256)</f>
        <v/>
      </c>
      <c r="B255" s="26" t="str">
        <f>IF(OR('Lighting Inventory'!Y263="", 'Lighting Inventory'!V263="No Change"),"", 'Lighting Inventory'!Y263)</f>
        <v/>
      </c>
      <c r="C255" s="26" t="str">
        <f>IF(B255="", "", IF('Lighting Inventory'!Y263='Lookup Tables'!$Y$32, 'Lighting Inventory'!AJ263, IF(AD255=0, R255, AD255)))</f>
        <v/>
      </c>
      <c r="D255" s="26" t="str">
        <f>IF(B255="", "", 'General Information'!$F$14)</f>
        <v/>
      </c>
      <c r="E255" s="26" t="str">
        <f t="shared" si="14"/>
        <v/>
      </c>
      <c r="F255" s="26" t="str">
        <f>IF(B255="", "", CONCATENATE('General Information'!$F$9, " - ", 'General Information'!$F$14))</f>
        <v/>
      </c>
      <c r="G255" s="26" t="str">
        <f>IF(B255="", "", 'General Information'!$F$15)</f>
        <v/>
      </c>
      <c r="H255" s="26" t="str">
        <f>IF(B255="", "", IF(VLOOKUP(B255, 'Lookup Tables'!$Y$18:$AA$34, 2, FALSE)="Traffic", VLOOKUP('Lighting Inventory'!W263, 'Lookup Tables'!#REF!, 11, FALSE), VLOOKUP(B255, 'Lookup Tables'!$Y$18:$AA$34, 2, FALSE)))</f>
        <v/>
      </c>
      <c r="I255" s="26" t="str">
        <f>IF(B255="", "", CONCATENATE(D255, 'Data Export'!A255))</f>
        <v/>
      </c>
      <c r="J255" s="26" t="str">
        <f>IF(B255="", "", 'Lookup Tables'!$B$1)</f>
        <v/>
      </c>
      <c r="K255" s="26" t="str">
        <f>IF(B255="", "", 'Lighting Inventory'!B263)</f>
        <v/>
      </c>
      <c r="L255" s="26" t="str">
        <f>IF(B255="", "", 'Lighting Inventory'!C263)</f>
        <v/>
      </c>
      <c r="M255" s="26" t="str">
        <f>IF(B255="", "",'Lighting Inventory'!D263)</f>
        <v/>
      </c>
      <c r="N255" s="26" t="str">
        <f>IF(B255="", "",'Lighting Inventory'!E263)</f>
        <v/>
      </c>
      <c r="O255" s="26" t="str">
        <f>IF(B255="", "", 'Lighting Inventory'!F263)</f>
        <v/>
      </c>
      <c r="P255" s="26" t="str">
        <f>IF(B255="", "", 'Lighting Inventory'!G263)</f>
        <v/>
      </c>
      <c r="Q255" s="26" t="str">
        <f>IF(B255="", "", 'Lighting Inventory'!H263)</f>
        <v/>
      </c>
      <c r="R255" s="26" t="str">
        <f>IF(B255="", "", 'Lighting Inventory'!I263)</f>
        <v/>
      </c>
      <c r="S255" s="26" t="str">
        <f>IF(B255="", "", 'Lighting Inventory'!J263)</f>
        <v/>
      </c>
      <c r="T255" s="26" t="str">
        <f>IFERROR(IF(B255="","",VLOOKUP(S255,'Fixture Identities'!$A$7:$G$1023,5,FALSE)), "New Construction")</f>
        <v/>
      </c>
      <c r="U255" s="26" t="str">
        <f>IFERROR(IF(B255="", "", IF(K255="New Construction", "NC", IF(VLOOKUP(S255, 'Fixture Identities'!$A$7:$I$1023,3, FALSE)="T12 Linear Fluorescent", VLOOKUP(S255, 'Fixture Identities'!$A$7:$K$1012, 11, FALSE), S255))), "")</f>
        <v/>
      </c>
      <c r="V255" s="26" t="str">
        <f>IFERROR(IF(OR(B255="", U255=0), "", VLOOKUP(U255, 'Fixture Identities'!$A$7:$G$1023, 5, FALSE)), "")</f>
        <v/>
      </c>
      <c r="W255" s="26" t="str">
        <f>IF(B255="", "",'Lighting Inventory'!K263)</f>
        <v/>
      </c>
      <c r="X255" s="65" t="str">
        <f>IF(B255="", "", 'Lighting Inventory'!L263)</f>
        <v/>
      </c>
      <c r="Y255" s="26" t="str">
        <f>IF(B255="", "", IF('Lighting Inventory'!M263="", "Light Switch",'Lighting Inventory'!M263))</f>
        <v/>
      </c>
      <c r="Z255" s="26" t="str">
        <f>IF(OR(K255="Retrofit", B255=""), "", 'Lighting Inventory'!N263)</f>
        <v/>
      </c>
      <c r="AA255" s="26" t="str">
        <f>IF(OR(Z255="",B255=""), "", 'Lighting Inventory'!O263)</f>
        <v/>
      </c>
      <c r="AB255" s="26" t="str">
        <f>IF(B255="", "", 'Lighting Inventory'!P263)</f>
        <v/>
      </c>
      <c r="AC255" s="96" t="str">
        <f>IF(B255="", "", 'Lighting Inventory'!R263)</f>
        <v/>
      </c>
      <c r="AD255" s="26" t="str">
        <f>IF(B255="", "", 'Lighting Inventory'!S263)</f>
        <v/>
      </c>
      <c r="AE255" s="26" t="str">
        <f>IF(B255="", "", 'Lighting Inventory'!V263)</f>
        <v/>
      </c>
      <c r="AF255" s="26" t="str">
        <f>IF(B255="", "", 'Lighting Inventory'!W263)</f>
        <v/>
      </c>
      <c r="AG255" s="26" t="str">
        <f>IF(OR(AF255="", B255=""), "", IF(AE255="Custom", "0", VLOOKUP(AF255, 'Lookup Tables'!$AI$6:$AP$102, 8, FALSE)))</f>
        <v/>
      </c>
      <c r="AH255" s="26" t="str">
        <f>IF(B255="", "", 'Lighting Inventory'!AD263)</f>
        <v/>
      </c>
      <c r="AI255" s="26" t="str">
        <f>IF(OR('Lighting Inventory'!AK263="", B255=""), "", 'Lighting Inventory'!AK263)</f>
        <v/>
      </c>
      <c r="AJ255" s="66" t="str">
        <f>IF(B255="", "", 'Lighting Inventory'!AL263)</f>
        <v/>
      </c>
      <c r="AK255" s="65" t="str">
        <f>IF(B255="", "", 'Lighting Inventory'!AM263)</f>
        <v/>
      </c>
      <c r="AL255" s="26" t="str">
        <f>IF(B255="", "", 'Lighting Inventory'!AN263)</f>
        <v/>
      </c>
      <c r="AM255" s="26" t="str">
        <f t="shared" si="15"/>
        <v/>
      </c>
      <c r="AN255" s="26" t="str">
        <f>IF(B255="","",IF('Lighting Inventory'!AV263="","Prescribed",'Lighting Inventory'!AV263))</f>
        <v/>
      </c>
      <c r="AO255" s="66" t="str">
        <f>IF(B255="", "", 'Lighting Inventory'!AX263)</f>
        <v/>
      </c>
      <c r="AP255" s="67" t="str">
        <f>IF(B255="", "", 'Lighting Inventory'!AZ263)</f>
        <v/>
      </c>
      <c r="AQ255" s="67" t="str">
        <f>IF(B255="", "", 'Lighting Inventory'!BA263)</f>
        <v/>
      </c>
      <c r="AR255" s="67" t="str">
        <f>IF(B255="", "", 'Lighting Inventory'!BB263)</f>
        <v/>
      </c>
      <c r="AS255" s="67" t="str">
        <f>IF(B255="", "", 'Lighting Inventory'!BC263)</f>
        <v/>
      </c>
      <c r="AT255" s="67" t="str">
        <f>IF(B255="", "", 'Lighting Inventory'!BD263)</f>
        <v/>
      </c>
      <c r="AU255" s="67" t="str">
        <f>IF(B255="", "", 'Lighting Inventory'!BE263)</f>
        <v/>
      </c>
      <c r="AV255" s="67" t="str">
        <f>IF(B255="", "", 'Lighting Inventory'!BE263)</f>
        <v/>
      </c>
      <c r="AW255" s="67" t="str">
        <f>IF(B255="", "", 'Lighting Inventory'!BF263)</f>
        <v/>
      </c>
      <c r="AX255" s="67" t="str">
        <f>IF(B255="", "", 'Lighting Inventory'!BF263)</f>
        <v/>
      </c>
      <c r="AY255" s="65" t="str">
        <f t="shared" si="16"/>
        <v/>
      </c>
      <c r="AZ255" s="65" t="str">
        <f>IF(B255="", "", 'Lighting Inventory'!BJ263)</f>
        <v/>
      </c>
      <c r="BA255" s="65" t="str">
        <f>IF(B255="", "", 'Lighting Inventory'!BM263)</f>
        <v/>
      </c>
      <c r="BB255" s="65" t="str">
        <f>IF(B255="","",SUM('Lighting Inventory'!BP263:BP263))</f>
        <v/>
      </c>
      <c r="BC255" s="67" t="str">
        <f>IF(OR(AE255="", B255=""),"", 'Lighting Inventory'!GR263)</f>
        <v/>
      </c>
      <c r="BD255" s="67" t="str">
        <f>IFERROR(IF(B255="", "", 'Lighting Inventory'!AF263)*AD255," ")</f>
        <v xml:space="preserve"> </v>
      </c>
      <c r="BE255" s="67"/>
      <c r="BF255" s="67"/>
      <c r="BG255" s="26"/>
    </row>
    <row r="256" spans="1:59" customFormat="1" x14ac:dyDescent="0.25">
      <c r="A256" s="26" t="str">
        <f>IF(B256="", "", 'Lookup Tables'!AW257)</f>
        <v/>
      </c>
      <c r="B256" s="26" t="str">
        <f>IF(OR('Lighting Inventory'!Y264="", 'Lighting Inventory'!V264="No Change"),"", 'Lighting Inventory'!Y264)</f>
        <v/>
      </c>
      <c r="C256" s="26" t="str">
        <f>IF(B256="", "", IF('Lighting Inventory'!Y264='Lookup Tables'!$Y$32, 'Lighting Inventory'!AJ264, IF(AD256=0, R256, AD256)))</f>
        <v/>
      </c>
      <c r="D256" s="26" t="str">
        <f>IF(B256="", "", 'General Information'!$F$14)</f>
        <v/>
      </c>
      <c r="E256" s="26" t="str">
        <f t="shared" si="14"/>
        <v/>
      </c>
      <c r="F256" s="26" t="str">
        <f>IF(B256="", "", CONCATENATE('General Information'!$F$9, " - ", 'General Information'!$F$14))</f>
        <v/>
      </c>
      <c r="G256" s="26" t="str">
        <f>IF(B256="", "", 'General Information'!$F$15)</f>
        <v/>
      </c>
      <c r="H256" s="26" t="str">
        <f>IF(B256="", "", IF(VLOOKUP(B256, 'Lookup Tables'!$Y$18:$AA$34, 2, FALSE)="Traffic", VLOOKUP('Lighting Inventory'!W264, 'Lookup Tables'!#REF!, 11, FALSE), VLOOKUP(B256, 'Lookup Tables'!$Y$18:$AA$34, 2, FALSE)))</f>
        <v/>
      </c>
      <c r="I256" s="26" t="str">
        <f>IF(B256="", "", CONCATENATE(D256, 'Data Export'!A256))</f>
        <v/>
      </c>
      <c r="J256" s="26" t="str">
        <f>IF(B256="", "", 'Lookup Tables'!$B$1)</f>
        <v/>
      </c>
      <c r="K256" s="26" t="str">
        <f>IF(B256="", "", 'Lighting Inventory'!B264)</f>
        <v/>
      </c>
      <c r="L256" s="26" t="str">
        <f>IF(B256="", "", 'Lighting Inventory'!C264)</f>
        <v/>
      </c>
      <c r="M256" s="26" t="str">
        <f>IF(B256="", "",'Lighting Inventory'!D264)</f>
        <v/>
      </c>
      <c r="N256" s="26" t="str">
        <f>IF(B256="", "",'Lighting Inventory'!E264)</f>
        <v/>
      </c>
      <c r="O256" s="26" t="str">
        <f>IF(B256="", "", 'Lighting Inventory'!F264)</f>
        <v/>
      </c>
      <c r="P256" s="26" t="str">
        <f>IF(B256="", "", 'Lighting Inventory'!G264)</f>
        <v/>
      </c>
      <c r="Q256" s="26" t="str">
        <f>IF(B256="", "", 'Lighting Inventory'!H264)</f>
        <v/>
      </c>
      <c r="R256" s="26" t="str">
        <f>IF(B256="", "", 'Lighting Inventory'!I264)</f>
        <v/>
      </c>
      <c r="S256" s="26" t="str">
        <f>IF(B256="", "", 'Lighting Inventory'!J264)</f>
        <v/>
      </c>
      <c r="T256" s="26" t="str">
        <f>IFERROR(IF(B256="","",VLOOKUP(S256,'Fixture Identities'!$A$7:$G$1023,5,FALSE)), "New Construction")</f>
        <v/>
      </c>
      <c r="U256" s="26" t="str">
        <f>IFERROR(IF(B256="", "", IF(K256="New Construction", "NC", IF(VLOOKUP(S256, 'Fixture Identities'!$A$7:$I$1023,3, FALSE)="T12 Linear Fluorescent", VLOOKUP(S256, 'Fixture Identities'!$A$7:$K$1012, 11, FALSE), S256))), "")</f>
        <v/>
      </c>
      <c r="V256" s="26" t="str">
        <f>IFERROR(IF(OR(B256="", U256=0), "", VLOOKUP(U256, 'Fixture Identities'!$A$7:$G$1023, 5, FALSE)), "")</f>
        <v/>
      </c>
      <c r="W256" s="26" t="str">
        <f>IF(B256="", "",'Lighting Inventory'!K264)</f>
        <v/>
      </c>
      <c r="X256" s="65" t="str">
        <f>IF(B256="", "", 'Lighting Inventory'!L264)</f>
        <v/>
      </c>
      <c r="Y256" s="26" t="str">
        <f>IF(B256="", "", IF('Lighting Inventory'!M264="", "Light Switch",'Lighting Inventory'!M264))</f>
        <v/>
      </c>
      <c r="Z256" s="26" t="str">
        <f>IF(OR(K256="Retrofit", B256=""), "", 'Lighting Inventory'!N264)</f>
        <v/>
      </c>
      <c r="AA256" s="26" t="str">
        <f>IF(OR(Z256="",B256=""), "", 'Lighting Inventory'!O264)</f>
        <v/>
      </c>
      <c r="AB256" s="26" t="str">
        <f>IF(B256="", "", 'Lighting Inventory'!P264)</f>
        <v/>
      </c>
      <c r="AC256" s="96" t="str">
        <f>IF(B256="", "", 'Lighting Inventory'!R264)</f>
        <v/>
      </c>
      <c r="AD256" s="26" t="str">
        <f>IF(B256="", "", 'Lighting Inventory'!S264)</f>
        <v/>
      </c>
      <c r="AE256" s="26" t="str">
        <f>IF(B256="", "", 'Lighting Inventory'!V264)</f>
        <v/>
      </c>
      <c r="AF256" s="26" t="str">
        <f>IF(B256="", "", 'Lighting Inventory'!W264)</f>
        <v/>
      </c>
      <c r="AG256" s="26" t="str">
        <f>IF(OR(AF256="", B256=""), "", IF(AE256="Custom", "0", VLOOKUP(AF256, 'Lookup Tables'!$AI$6:$AP$102, 8, FALSE)))</f>
        <v/>
      </c>
      <c r="AH256" s="26" t="str">
        <f>IF(B256="", "", 'Lighting Inventory'!AD264)</f>
        <v/>
      </c>
      <c r="AI256" s="26" t="str">
        <f>IF(OR('Lighting Inventory'!AK264="", B256=""), "", 'Lighting Inventory'!AK264)</f>
        <v/>
      </c>
      <c r="AJ256" s="66" t="str">
        <f>IF(B256="", "", 'Lighting Inventory'!AL264)</f>
        <v/>
      </c>
      <c r="AK256" s="65" t="str">
        <f>IF(B256="", "", 'Lighting Inventory'!AM264)</f>
        <v/>
      </c>
      <c r="AL256" s="26" t="str">
        <f>IF(B256="", "", 'Lighting Inventory'!AN264)</f>
        <v/>
      </c>
      <c r="AM256" s="26" t="str">
        <f t="shared" si="15"/>
        <v/>
      </c>
      <c r="AN256" s="26" t="str">
        <f>IF(B256="","",IF('Lighting Inventory'!AV264="","Prescribed",'Lighting Inventory'!AV264))</f>
        <v/>
      </c>
      <c r="AO256" s="66" t="str">
        <f>IF(B256="", "", 'Lighting Inventory'!AX264)</f>
        <v/>
      </c>
      <c r="AP256" s="67" t="str">
        <f>IF(B256="", "", 'Lighting Inventory'!AZ264)</f>
        <v/>
      </c>
      <c r="AQ256" s="67" t="str">
        <f>IF(B256="", "", 'Lighting Inventory'!BA264)</f>
        <v/>
      </c>
      <c r="AR256" s="67" t="str">
        <f>IF(B256="", "", 'Lighting Inventory'!BB264)</f>
        <v/>
      </c>
      <c r="AS256" s="67" t="str">
        <f>IF(B256="", "", 'Lighting Inventory'!BC264)</f>
        <v/>
      </c>
      <c r="AT256" s="67" t="str">
        <f>IF(B256="", "", 'Lighting Inventory'!BD264)</f>
        <v/>
      </c>
      <c r="AU256" s="67" t="str">
        <f>IF(B256="", "", 'Lighting Inventory'!BE264)</f>
        <v/>
      </c>
      <c r="AV256" s="67" t="str">
        <f>IF(B256="", "", 'Lighting Inventory'!BE264)</f>
        <v/>
      </c>
      <c r="AW256" s="67" t="str">
        <f>IF(B256="", "", 'Lighting Inventory'!BF264)</f>
        <v/>
      </c>
      <c r="AX256" s="67" t="str">
        <f>IF(B256="", "", 'Lighting Inventory'!BF264)</f>
        <v/>
      </c>
      <c r="AY256" s="65" t="str">
        <f t="shared" si="16"/>
        <v/>
      </c>
      <c r="AZ256" s="65" t="str">
        <f>IF(B256="", "", 'Lighting Inventory'!BJ264)</f>
        <v/>
      </c>
      <c r="BA256" s="65" t="str">
        <f>IF(B256="", "", 'Lighting Inventory'!BM264)</f>
        <v/>
      </c>
      <c r="BB256" s="65" t="str">
        <f>IF(B256="","",SUM('Lighting Inventory'!BP264:BP264))</f>
        <v/>
      </c>
      <c r="BC256" s="67" t="str">
        <f>IF(OR(AE256="", B256=""),"", 'Lighting Inventory'!GR264)</f>
        <v/>
      </c>
      <c r="BD256" s="67" t="str">
        <f>IFERROR(IF(B256="", "", 'Lighting Inventory'!AF264)*AD256," ")</f>
        <v xml:space="preserve"> </v>
      </c>
      <c r="BE256" s="67"/>
      <c r="BF256" s="67"/>
      <c r="BG256" s="26"/>
    </row>
    <row r="257" spans="1:59" customFormat="1" x14ac:dyDescent="0.25">
      <c r="A257" s="26" t="str">
        <f>IF(B257="", "", 'Lookup Tables'!AW258)</f>
        <v/>
      </c>
      <c r="B257" s="26" t="str">
        <f>IF(OR('Lighting Inventory'!Y265="", 'Lighting Inventory'!V265="No Change"),"", 'Lighting Inventory'!Y265)</f>
        <v/>
      </c>
      <c r="C257" s="26" t="str">
        <f>IF(B257="", "", IF('Lighting Inventory'!Y265='Lookup Tables'!$Y$32, 'Lighting Inventory'!AJ265, IF(AD257=0, R257, AD257)))</f>
        <v/>
      </c>
      <c r="D257" s="26" t="str">
        <f>IF(B257="", "", 'General Information'!$F$14)</f>
        <v/>
      </c>
      <c r="E257" s="26" t="str">
        <f t="shared" si="14"/>
        <v/>
      </c>
      <c r="F257" s="26" t="str">
        <f>IF(B257="", "", CONCATENATE('General Information'!$F$9, " - ", 'General Information'!$F$14))</f>
        <v/>
      </c>
      <c r="G257" s="26" t="str">
        <f>IF(B257="", "", 'General Information'!$F$15)</f>
        <v/>
      </c>
      <c r="H257" s="26" t="str">
        <f>IF(B257="", "", IF(VLOOKUP(B257, 'Lookup Tables'!$Y$18:$AA$34, 2, FALSE)="Traffic", VLOOKUP('Lighting Inventory'!W265, 'Lookup Tables'!#REF!, 11, FALSE), VLOOKUP(B257, 'Lookup Tables'!$Y$18:$AA$34, 2, FALSE)))</f>
        <v/>
      </c>
      <c r="I257" s="26" t="str">
        <f>IF(B257="", "", CONCATENATE(D257, 'Data Export'!A257))</f>
        <v/>
      </c>
      <c r="J257" s="26" t="str">
        <f>IF(B257="", "", 'Lookup Tables'!$B$1)</f>
        <v/>
      </c>
      <c r="K257" s="26" t="str">
        <f>IF(B257="", "", 'Lighting Inventory'!B265)</f>
        <v/>
      </c>
      <c r="L257" s="26" t="str">
        <f>IF(B257="", "", 'Lighting Inventory'!C265)</f>
        <v/>
      </c>
      <c r="M257" s="26" t="str">
        <f>IF(B257="", "",'Lighting Inventory'!D265)</f>
        <v/>
      </c>
      <c r="N257" s="26" t="str">
        <f>IF(B257="", "",'Lighting Inventory'!E265)</f>
        <v/>
      </c>
      <c r="O257" s="26" t="str">
        <f>IF(B257="", "", 'Lighting Inventory'!F265)</f>
        <v/>
      </c>
      <c r="P257" s="26" t="str">
        <f>IF(B257="", "", 'Lighting Inventory'!G265)</f>
        <v/>
      </c>
      <c r="Q257" s="26" t="str">
        <f>IF(B257="", "", 'Lighting Inventory'!H265)</f>
        <v/>
      </c>
      <c r="R257" s="26" t="str">
        <f>IF(B257="", "", 'Lighting Inventory'!I265)</f>
        <v/>
      </c>
      <c r="S257" s="26" t="str">
        <f>IF(B257="", "", 'Lighting Inventory'!J265)</f>
        <v/>
      </c>
      <c r="T257" s="26" t="str">
        <f>IFERROR(IF(B257="","",VLOOKUP(S257,'Fixture Identities'!$A$7:$G$1023,5,FALSE)), "New Construction")</f>
        <v/>
      </c>
      <c r="U257" s="26" t="str">
        <f>IFERROR(IF(B257="", "", IF(K257="New Construction", "NC", IF(VLOOKUP(S257, 'Fixture Identities'!$A$7:$I$1023,3, FALSE)="T12 Linear Fluorescent", VLOOKUP(S257, 'Fixture Identities'!$A$7:$K$1012, 11, FALSE), S257))), "")</f>
        <v/>
      </c>
      <c r="V257" s="26" t="str">
        <f>IFERROR(IF(OR(B257="", U257=0), "", VLOOKUP(U257, 'Fixture Identities'!$A$7:$G$1023, 5, FALSE)), "")</f>
        <v/>
      </c>
      <c r="W257" s="26" t="str">
        <f>IF(B257="", "",'Lighting Inventory'!K265)</f>
        <v/>
      </c>
      <c r="X257" s="65" t="str">
        <f>IF(B257="", "", 'Lighting Inventory'!L265)</f>
        <v/>
      </c>
      <c r="Y257" s="26" t="str">
        <f>IF(B257="", "", IF('Lighting Inventory'!M265="", "Light Switch",'Lighting Inventory'!M265))</f>
        <v/>
      </c>
      <c r="Z257" s="26" t="str">
        <f>IF(OR(K257="Retrofit", B257=""), "", 'Lighting Inventory'!N265)</f>
        <v/>
      </c>
      <c r="AA257" s="26" t="str">
        <f>IF(OR(Z257="",B257=""), "", 'Lighting Inventory'!O265)</f>
        <v/>
      </c>
      <c r="AB257" s="26" t="str">
        <f>IF(B257="", "", 'Lighting Inventory'!P265)</f>
        <v/>
      </c>
      <c r="AC257" s="96" t="str">
        <f>IF(B257="", "", 'Lighting Inventory'!R265)</f>
        <v/>
      </c>
      <c r="AD257" s="26" t="str">
        <f>IF(B257="", "", 'Lighting Inventory'!S265)</f>
        <v/>
      </c>
      <c r="AE257" s="26" t="str">
        <f>IF(B257="", "", 'Lighting Inventory'!V265)</f>
        <v/>
      </c>
      <c r="AF257" s="26" t="str">
        <f>IF(B257="", "", 'Lighting Inventory'!W265)</f>
        <v/>
      </c>
      <c r="AG257" s="26" t="str">
        <f>IF(OR(AF257="", B257=""), "", IF(AE257="Custom", "0", VLOOKUP(AF257, 'Lookup Tables'!$AI$6:$AP$102, 8, FALSE)))</f>
        <v/>
      </c>
      <c r="AH257" s="26" t="str">
        <f>IF(B257="", "", 'Lighting Inventory'!AD265)</f>
        <v/>
      </c>
      <c r="AI257" s="26" t="str">
        <f>IF(OR('Lighting Inventory'!AK265="", B257=""), "", 'Lighting Inventory'!AK265)</f>
        <v/>
      </c>
      <c r="AJ257" s="66" t="str">
        <f>IF(B257="", "", 'Lighting Inventory'!AL265)</f>
        <v/>
      </c>
      <c r="AK257" s="65" t="str">
        <f>IF(B257="", "", 'Lighting Inventory'!AM265)</f>
        <v/>
      </c>
      <c r="AL257" s="26" t="str">
        <f>IF(B257="", "", 'Lighting Inventory'!AN265)</f>
        <v/>
      </c>
      <c r="AM257" s="26" t="str">
        <f t="shared" si="15"/>
        <v/>
      </c>
      <c r="AN257" s="26" t="str">
        <f>IF(B257="","",IF('Lighting Inventory'!AV265="","Prescribed",'Lighting Inventory'!AV265))</f>
        <v/>
      </c>
      <c r="AO257" s="66" t="str">
        <f>IF(B257="", "", 'Lighting Inventory'!AX265)</f>
        <v/>
      </c>
      <c r="AP257" s="67" t="str">
        <f>IF(B257="", "", 'Lighting Inventory'!AZ265)</f>
        <v/>
      </c>
      <c r="AQ257" s="67" t="str">
        <f>IF(B257="", "", 'Lighting Inventory'!BA265)</f>
        <v/>
      </c>
      <c r="AR257" s="67" t="str">
        <f>IF(B257="", "", 'Lighting Inventory'!BB265)</f>
        <v/>
      </c>
      <c r="AS257" s="67" t="str">
        <f>IF(B257="", "", 'Lighting Inventory'!BC265)</f>
        <v/>
      </c>
      <c r="AT257" s="67" t="str">
        <f>IF(B257="", "", 'Lighting Inventory'!BD265)</f>
        <v/>
      </c>
      <c r="AU257" s="67" t="str">
        <f>IF(B257="", "", 'Lighting Inventory'!BE265)</f>
        <v/>
      </c>
      <c r="AV257" s="67" t="str">
        <f>IF(B257="", "", 'Lighting Inventory'!BE265)</f>
        <v/>
      </c>
      <c r="AW257" s="67" t="str">
        <f>IF(B257="", "", 'Lighting Inventory'!BF265)</f>
        <v/>
      </c>
      <c r="AX257" s="67" t="str">
        <f>IF(B257="", "", 'Lighting Inventory'!BF265)</f>
        <v/>
      </c>
      <c r="AY257" s="65" t="str">
        <f t="shared" si="16"/>
        <v/>
      </c>
      <c r="AZ257" s="65" t="str">
        <f>IF(B257="", "", 'Lighting Inventory'!BJ265)</f>
        <v/>
      </c>
      <c r="BA257" s="65" t="str">
        <f>IF(B257="", "", 'Lighting Inventory'!BM265)</f>
        <v/>
      </c>
      <c r="BB257" s="65" t="str">
        <f>IF(B257="","",SUM('Lighting Inventory'!BP265:BP265))</f>
        <v/>
      </c>
      <c r="BC257" s="67" t="str">
        <f>IF(OR(AE257="", B257=""),"", 'Lighting Inventory'!GR265)</f>
        <v/>
      </c>
      <c r="BD257" s="67" t="str">
        <f>IFERROR(IF(B257="", "", 'Lighting Inventory'!AF265)*AD257," ")</f>
        <v xml:space="preserve"> </v>
      </c>
      <c r="BE257" s="67"/>
      <c r="BF257" s="67"/>
      <c r="BG257" s="26"/>
    </row>
    <row r="258" spans="1:59" x14ac:dyDescent="0.25">
      <c r="A258" s="26" t="str">
        <f>IF(B258="", "", 'Lookup Tables'!AW259)</f>
        <v/>
      </c>
      <c r="B258" s="26" t="str">
        <f>IF(OR('Lighting Inventory'!Y266="", 'Lighting Inventory'!V266="No Change"),"", 'Lighting Inventory'!Y266)</f>
        <v/>
      </c>
      <c r="C258" s="26" t="str">
        <f>IF(B258="", "", IF('Lighting Inventory'!Y266='Lookup Tables'!$Y$32, 'Lighting Inventory'!AJ266, IF(AD258=0, R258, AD258)))</f>
        <v/>
      </c>
      <c r="D258" s="26" t="str">
        <f>IF(B258="", "", 'General Information'!$F$14)</f>
        <v/>
      </c>
      <c r="E258" s="26" t="str">
        <f t="shared" si="14"/>
        <v/>
      </c>
      <c r="F258" s="26" t="str">
        <f>IF(B258="", "", CONCATENATE('General Information'!$F$9, " - ", 'General Information'!$F$14))</f>
        <v/>
      </c>
      <c r="G258" s="26" t="str">
        <f>IF(B258="", "", 'General Information'!$F$15)</f>
        <v/>
      </c>
      <c r="H258" s="26" t="str">
        <f>IF(B258="", "", IF(VLOOKUP(B258, 'Lookup Tables'!$Y$18:$AA$34, 2, FALSE)="Traffic", VLOOKUP('Lighting Inventory'!W266, 'Lookup Tables'!#REF!, 11, FALSE), VLOOKUP(B258, 'Lookup Tables'!$Y$18:$AA$34, 2, FALSE)))</f>
        <v/>
      </c>
      <c r="I258" s="26" t="str">
        <f>IF(B258="", "", CONCATENATE(D258, 'Data Export'!A258))</f>
        <v/>
      </c>
      <c r="J258" s="26" t="str">
        <f>IF(B258="", "", 'Lookup Tables'!$B$1)</f>
        <v/>
      </c>
      <c r="K258" s="26" t="str">
        <f>IF(B258="", "", 'Lighting Inventory'!B266)</f>
        <v/>
      </c>
      <c r="L258" s="26" t="str">
        <f>IF(B258="", "", 'Lighting Inventory'!C266)</f>
        <v/>
      </c>
      <c r="M258" s="26" t="str">
        <f>IF(B258="", "",'Lighting Inventory'!D266)</f>
        <v/>
      </c>
      <c r="N258" s="26" t="str">
        <f>IF(B258="", "",'Lighting Inventory'!E266)</f>
        <v/>
      </c>
      <c r="O258" s="26" t="str">
        <f>IF(B258="", "", 'Lighting Inventory'!F266)</f>
        <v/>
      </c>
      <c r="P258" s="26" t="str">
        <f>IF(B258="", "", 'Lighting Inventory'!G266)</f>
        <v/>
      </c>
      <c r="Q258" s="26" t="str">
        <f>IF(B258="", "", 'Lighting Inventory'!H266)</f>
        <v/>
      </c>
      <c r="R258" s="26" t="str">
        <f>IF(B258="", "", 'Lighting Inventory'!I266)</f>
        <v/>
      </c>
      <c r="S258" s="26" t="str">
        <f>IF(B258="", "", 'Lighting Inventory'!J266)</f>
        <v/>
      </c>
      <c r="T258" s="26" t="str">
        <f>IFERROR(IF(B258="","",VLOOKUP(S258,'Fixture Identities'!$A$7:$G$1023,5,FALSE)), "New Construction")</f>
        <v/>
      </c>
      <c r="U258" s="26" t="str">
        <f>IFERROR(IF(B258="", "", IF(K258="New Construction", "NC", IF(VLOOKUP(S258, 'Fixture Identities'!$A$7:$I$1023,3, FALSE)="T12 Linear Fluorescent", VLOOKUP(S258, 'Fixture Identities'!$A$7:$K$1012, 11, FALSE), S258))), "")</f>
        <v/>
      </c>
      <c r="V258" s="26" t="str">
        <f>IFERROR(IF(OR(B258="", U258=0), "", VLOOKUP(U258, 'Fixture Identities'!$A$7:$G$1023, 5, FALSE)), "")</f>
        <v/>
      </c>
      <c r="W258" s="26" t="str">
        <f>IF(B258="", "",'Lighting Inventory'!K266)</f>
        <v/>
      </c>
      <c r="X258" s="65" t="str">
        <f>IF(B258="", "", 'Lighting Inventory'!L266)</f>
        <v/>
      </c>
      <c r="Y258" s="26" t="str">
        <f>IF(B258="", "", IF('Lighting Inventory'!M266="", "Light Switch",'Lighting Inventory'!M266))</f>
        <v/>
      </c>
      <c r="Z258" s="26" t="str">
        <f>IF(OR(K258="Retrofit", B258=""), "", 'Lighting Inventory'!N266)</f>
        <v/>
      </c>
      <c r="AA258" s="26" t="str">
        <f>IF(OR(Z258="",B258=""), "", 'Lighting Inventory'!O266)</f>
        <v/>
      </c>
      <c r="AB258" s="26" t="str">
        <f>IF(B258="", "", 'Lighting Inventory'!P266)</f>
        <v/>
      </c>
      <c r="AC258" s="96" t="str">
        <f>IF(B258="", "", 'Lighting Inventory'!R266)</f>
        <v/>
      </c>
      <c r="AD258" s="26" t="str">
        <f>IF(B258="", "", 'Lighting Inventory'!S266)</f>
        <v/>
      </c>
      <c r="AE258" s="26" t="str">
        <f>IF(B258="", "", 'Lighting Inventory'!V266)</f>
        <v/>
      </c>
      <c r="AF258" s="26" t="str">
        <f>IF(B258="", "", 'Lighting Inventory'!W266)</f>
        <v/>
      </c>
      <c r="AG258" s="26" t="str">
        <f>IF(OR(AF258="", B258=""), "", IF(AE258="Custom", "0", VLOOKUP(AF258, 'Lookup Tables'!$AI$6:$AP$102, 8, FALSE)))</f>
        <v/>
      </c>
      <c r="AH258" s="26" t="str">
        <f>IF(B258="", "", 'Lighting Inventory'!AD266)</f>
        <v/>
      </c>
      <c r="AI258" s="26" t="str">
        <f>IF(OR('Lighting Inventory'!AK266="", B258=""), "", 'Lighting Inventory'!AK266)</f>
        <v/>
      </c>
      <c r="AJ258" s="66" t="str">
        <f>IF(B258="", "", 'Lighting Inventory'!AL266)</f>
        <v/>
      </c>
      <c r="AK258" s="65" t="str">
        <f>IF(B258="", "", 'Lighting Inventory'!AM266)</f>
        <v/>
      </c>
      <c r="AL258" s="26" t="str">
        <f>IF(B258="", "", 'Lighting Inventory'!AN266)</f>
        <v/>
      </c>
      <c r="AM258" s="26" t="str">
        <f t="shared" si="15"/>
        <v/>
      </c>
      <c r="AN258" s="26" t="str">
        <f>IF(B258="","",IF('Lighting Inventory'!AV266="","Prescribed",'Lighting Inventory'!AV266))</f>
        <v/>
      </c>
      <c r="AO258" s="66" t="str">
        <f>IF(B258="", "", 'Lighting Inventory'!AX266)</f>
        <v/>
      </c>
      <c r="AP258" s="67" t="str">
        <f>IF(B258="", "", 'Lighting Inventory'!AZ266)</f>
        <v/>
      </c>
      <c r="AQ258" s="67" t="str">
        <f>IF(B258="", "", 'Lighting Inventory'!BA266)</f>
        <v/>
      </c>
      <c r="AR258" s="67" t="str">
        <f>IF(B258="", "", 'Lighting Inventory'!BB266)</f>
        <v/>
      </c>
      <c r="AS258" s="67" t="str">
        <f>IF(B258="", "", 'Lighting Inventory'!BC266)</f>
        <v/>
      </c>
      <c r="AT258" s="67" t="str">
        <f>IF(B258="", "", 'Lighting Inventory'!BD266)</f>
        <v/>
      </c>
      <c r="AU258" s="67" t="str">
        <f>IF(B258="", "", 'Lighting Inventory'!BE266)</f>
        <v/>
      </c>
      <c r="AV258" s="67" t="str">
        <f>IF(B258="", "", 'Lighting Inventory'!BE266)</f>
        <v/>
      </c>
      <c r="AW258" s="67" t="str">
        <f>IF(B258="", "", 'Lighting Inventory'!BF266)</f>
        <v/>
      </c>
      <c r="AX258" s="67" t="str">
        <f>IF(B258="", "", 'Lighting Inventory'!BF266)</f>
        <v/>
      </c>
      <c r="AY258" s="65" t="str">
        <f t="shared" si="16"/>
        <v/>
      </c>
      <c r="AZ258" s="65" t="str">
        <f>IF(B258="", "", 'Lighting Inventory'!BJ266)</f>
        <v/>
      </c>
      <c r="BA258" s="65" t="str">
        <f>IF(B258="", "", 'Lighting Inventory'!BM266)</f>
        <v/>
      </c>
      <c r="BB258" s="65" t="str">
        <f>IF(B258="","",SUM('Lighting Inventory'!BP266:BP266))</f>
        <v/>
      </c>
      <c r="BC258" s="67" t="str">
        <f>IF(OR(AE258="", B258=""),"", 'Lighting Inventory'!GR266)</f>
        <v/>
      </c>
      <c r="BD258" s="67" t="str">
        <f>IFERROR(IF(B258="", "", 'Lighting Inventory'!AF266)*AD258," ")</f>
        <v xml:space="preserve"> </v>
      </c>
      <c r="BE258" s="67"/>
      <c r="BF258" s="67"/>
    </row>
    <row r="259" spans="1:59" x14ac:dyDescent="0.25">
      <c r="A259" s="26" t="str">
        <f>IF(B259="", "", 'Lookup Tables'!AW260)</f>
        <v/>
      </c>
      <c r="B259" s="26" t="str">
        <f>IF(OR('Lighting Inventory'!Y267="", 'Lighting Inventory'!V267="No Change"),"", 'Lighting Inventory'!Y267)</f>
        <v/>
      </c>
      <c r="C259" s="26" t="str">
        <f>IF(B259="", "", IF('Lighting Inventory'!Y267='Lookup Tables'!$Y$32, 'Lighting Inventory'!AJ267, IF(AD259=0, R259, AD259)))</f>
        <v/>
      </c>
      <c r="D259" s="26" t="str">
        <f>IF(B259="", "", 'General Information'!$F$14)</f>
        <v/>
      </c>
      <c r="E259" s="26" t="str">
        <f t="shared" si="14"/>
        <v/>
      </c>
      <c r="F259" s="26" t="str">
        <f>IF(B259="", "", CONCATENATE('General Information'!$F$9, " - ", 'General Information'!$F$14))</f>
        <v/>
      </c>
      <c r="G259" s="26" t="str">
        <f>IF(B259="", "", 'General Information'!$F$15)</f>
        <v/>
      </c>
      <c r="H259" s="26" t="str">
        <f>IF(B259="", "", IF(VLOOKUP(B259, 'Lookup Tables'!$Y$18:$AA$34, 2, FALSE)="Traffic", VLOOKUP('Lighting Inventory'!W267, 'Lookup Tables'!#REF!, 11, FALSE), VLOOKUP(B259, 'Lookup Tables'!$Y$18:$AA$34, 2, FALSE)))</f>
        <v/>
      </c>
      <c r="I259" s="26" t="str">
        <f>IF(B259="", "", CONCATENATE(D259, 'Data Export'!A259))</f>
        <v/>
      </c>
      <c r="J259" s="26" t="str">
        <f>IF(B259="", "", 'Lookup Tables'!$B$1)</f>
        <v/>
      </c>
      <c r="K259" s="26" t="str">
        <f>IF(B259="", "", 'Lighting Inventory'!B267)</f>
        <v/>
      </c>
      <c r="L259" s="26" t="str">
        <f>IF(B259="", "", 'Lighting Inventory'!C267)</f>
        <v/>
      </c>
      <c r="M259" s="26" t="str">
        <f>IF(B259="", "",'Lighting Inventory'!D267)</f>
        <v/>
      </c>
      <c r="N259" s="26" t="str">
        <f>IF(B259="", "",'Lighting Inventory'!E267)</f>
        <v/>
      </c>
      <c r="O259" s="26" t="str">
        <f>IF(B259="", "", 'Lighting Inventory'!F267)</f>
        <v/>
      </c>
      <c r="P259" s="26" t="str">
        <f>IF(B259="", "", 'Lighting Inventory'!G267)</f>
        <v/>
      </c>
      <c r="Q259" s="26" t="str">
        <f>IF(B259="", "", 'Lighting Inventory'!H267)</f>
        <v/>
      </c>
      <c r="R259" s="26" t="str">
        <f>IF(B259="", "", 'Lighting Inventory'!I267)</f>
        <v/>
      </c>
      <c r="S259" s="26" t="str">
        <f>IF(B259="", "", 'Lighting Inventory'!J267)</f>
        <v/>
      </c>
      <c r="T259" s="26" t="str">
        <f>IFERROR(IF(B259="","",VLOOKUP(S259,'Fixture Identities'!$A$7:$G$1023,5,FALSE)), "New Construction")</f>
        <v/>
      </c>
      <c r="U259" s="26" t="str">
        <f>IFERROR(IF(B259="", "", IF(K259="New Construction", "NC", IF(VLOOKUP(S259, 'Fixture Identities'!$A$7:$I$1023,3, FALSE)="T12 Linear Fluorescent", VLOOKUP(S259, 'Fixture Identities'!$A$7:$K$1012, 11, FALSE), S259))), "")</f>
        <v/>
      </c>
      <c r="V259" s="26" t="str">
        <f>IFERROR(IF(OR(B259="", U259=0), "", VLOOKUP(U259, 'Fixture Identities'!$A$7:$G$1023, 5, FALSE)), "")</f>
        <v/>
      </c>
      <c r="W259" s="26" t="str">
        <f>IF(B259="", "",'Lighting Inventory'!K267)</f>
        <v/>
      </c>
      <c r="X259" s="65" t="str">
        <f>IF(B259="", "", 'Lighting Inventory'!L267)</f>
        <v/>
      </c>
      <c r="Y259" s="26" t="str">
        <f>IF(B259="", "", IF('Lighting Inventory'!M267="", "Light Switch",'Lighting Inventory'!M267))</f>
        <v/>
      </c>
      <c r="Z259" s="26" t="str">
        <f>IF(OR(K259="Retrofit", B259=""), "", 'Lighting Inventory'!N267)</f>
        <v/>
      </c>
      <c r="AA259" s="26" t="str">
        <f>IF(OR(Z259="",B259=""), "", 'Lighting Inventory'!O267)</f>
        <v/>
      </c>
      <c r="AB259" s="26" t="str">
        <f>IF(B259="", "", 'Lighting Inventory'!P267)</f>
        <v/>
      </c>
      <c r="AC259" s="96" t="str">
        <f>IF(B259="", "", 'Lighting Inventory'!R267)</f>
        <v/>
      </c>
      <c r="AD259" s="26" t="str">
        <f>IF(B259="", "", 'Lighting Inventory'!S267)</f>
        <v/>
      </c>
      <c r="AE259" s="26" t="str">
        <f>IF(B259="", "", 'Lighting Inventory'!V267)</f>
        <v/>
      </c>
      <c r="AF259" s="26" t="str">
        <f>IF(B259="", "", 'Lighting Inventory'!W267)</f>
        <v/>
      </c>
      <c r="AG259" s="26" t="str">
        <f>IF(OR(AF259="", B259=""), "", IF(AE259="Custom", "0", VLOOKUP(AF259, 'Lookup Tables'!$AI$6:$AP$102, 8, FALSE)))</f>
        <v/>
      </c>
      <c r="AH259" s="26" t="str">
        <f>IF(B259="", "", 'Lighting Inventory'!AD267)</f>
        <v/>
      </c>
      <c r="AI259" s="26" t="str">
        <f>IF(OR('Lighting Inventory'!AK267="", B259=""), "", 'Lighting Inventory'!AK267)</f>
        <v/>
      </c>
      <c r="AJ259" s="66" t="str">
        <f>IF(B259="", "", 'Lighting Inventory'!AL267)</f>
        <v/>
      </c>
      <c r="AK259" s="65" t="str">
        <f>IF(B259="", "", 'Lighting Inventory'!AM267)</f>
        <v/>
      </c>
      <c r="AL259" s="26" t="str">
        <f>IF(B259="", "", 'Lighting Inventory'!AN267)</f>
        <v/>
      </c>
      <c r="AM259" s="26" t="str">
        <f t="shared" si="15"/>
        <v/>
      </c>
      <c r="AN259" s="26" t="str">
        <f>IF(B259="","",IF('Lighting Inventory'!AV267="","Prescribed",'Lighting Inventory'!AV267))</f>
        <v/>
      </c>
      <c r="AO259" s="66" t="str">
        <f>IF(B259="", "", 'Lighting Inventory'!AX267)</f>
        <v/>
      </c>
      <c r="AP259" s="67" t="str">
        <f>IF(B259="", "", 'Lighting Inventory'!AZ267)</f>
        <v/>
      </c>
      <c r="AQ259" s="67" t="str">
        <f>IF(B259="", "", 'Lighting Inventory'!BA267)</f>
        <v/>
      </c>
      <c r="AR259" s="67" t="str">
        <f>IF(B259="", "", 'Lighting Inventory'!BB267)</f>
        <v/>
      </c>
      <c r="AS259" s="67" t="str">
        <f>IF(B259="", "", 'Lighting Inventory'!BC267)</f>
        <v/>
      </c>
      <c r="AT259" s="67" t="str">
        <f>IF(B259="", "", 'Lighting Inventory'!BD267)</f>
        <v/>
      </c>
      <c r="AU259" s="67" t="str">
        <f>IF(B259="", "", 'Lighting Inventory'!BE267)</f>
        <v/>
      </c>
      <c r="AV259" s="67" t="str">
        <f>IF(B259="", "", 'Lighting Inventory'!BE267)</f>
        <v/>
      </c>
      <c r="AW259" s="67" t="str">
        <f>IF(B259="", "", 'Lighting Inventory'!BF267)</f>
        <v/>
      </c>
      <c r="AX259" s="67" t="str">
        <f>IF(B259="", "", 'Lighting Inventory'!BF267)</f>
        <v/>
      </c>
      <c r="AY259" s="65" t="str">
        <f t="shared" si="16"/>
        <v/>
      </c>
      <c r="AZ259" s="65" t="str">
        <f>IF(B259="", "", 'Lighting Inventory'!BJ267)</f>
        <v/>
      </c>
      <c r="BA259" s="65" t="str">
        <f>IF(B259="", "", 'Lighting Inventory'!BM267)</f>
        <v/>
      </c>
      <c r="BB259" s="65" t="str">
        <f>IF(B259="","",SUM('Lighting Inventory'!BP267:BP267))</f>
        <v/>
      </c>
      <c r="BC259" s="67" t="str">
        <f>IF(OR(AE259="", B259=""),"", 'Lighting Inventory'!GR267)</f>
        <v/>
      </c>
      <c r="BD259" s="67" t="str">
        <f>IFERROR(IF(B259="", "", 'Lighting Inventory'!AF267)*AD259," ")</f>
        <v xml:space="preserve"> </v>
      </c>
      <c r="BE259" s="67"/>
      <c r="BF259" s="67"/>
    </row>
    <row r="260" spans="1:59" x14ac:dyDescent="0.25">
      <c r="A260" s="26" t="str">
        <f>IF(B260="", "", 'Lookup Tables'!AW261)</f>
        <v/>
      </c>
      <c r="B260" s="26" t="str">
        <f>IF(OR('Lighting Inventory'!Y268="", 'Lighting Inventory'!V268="No Change"),"", 'Lighting Inventory'!Y268)</f>
        <v/>
      </c>
      <c r="C260" s="26" t="str">
        <f>IF(B260="", "", IF('Lighting Inventory'!Y268='Lookup Tables'!$Y$32, 'Lighting Inventory'!AJ268, IF(AD260=0, R260, AD260)))</f>
        <v/>
      </c>
      <c r="D260" s="26" t="str">
        <f>IF(B260="", "", 'General Information'!$F$14)</f>
        <v/>
      </c>
      <c r="E260" s="26" t="str">
        <f t="shared" si="14"/>
        <v/>
      </c>
      <c r="F260" s="26" t="str">
        <f>IF(B260="", "", CONCATENATE('General Information'!$F$9, " - ", 'General Information'!$F$14))</f>
        <v/>
      </c>
      <c r="G260" s="26" t="str">
        <f>IF(B260="", "", 'General Information'!$F$15)</f>
        <v/>
      </c>
      <c r="H260" s="26" t="str">
        <f>IF(B260="", "", IF(VLOOKUP(B260, 'Lookup Tables'!$Y$18:$AA$34, 2, FALSE)="Traffic", VLOOKUP('Lighting Inventory'!W268, 'Lookup Tables'!#REF!, 11, FALSE), VLOOKUP(B260, 'Lookup Tables'!$Y$18:$AA$34, 2, FALSE)))</f>
        <v/>
      </c>
      <c r="I260" s="26" t="str">
        <f>IF(B260="", "", CONCATENATE(D260, 'Data Export'!A260))</f>
        <v/>
      </c>
      <c r="J260" s="26" t="str">
        <f>IF(B260="", "", 'Lookup Tables'!$B$1)</f>
        <v/>
      </c>
      <c r="K260" s="26" t="str">
        <f>IF(B260="", "", 'Lighting Inventory'!B268)</f>
        <v/>
      </c>
      <c r="L260" s="26" t="str">
        <f>IF(B260="", "", 'Lighting Inventory'!C268)</f>
        <v/>
      </c>
      <c r="M260" s="26" t="str">
        <f>IF(B260="", "",'Lighting Inventory'!D268)</f>
        <v/>
      </c>
      <c r="N260" s="26" t="str">
        <f>IF(B260="", "",'Lighting Inventory'!E268)</f>
        <v/>
      </c>
      <c r="O260" s="26" t="str">
        <f>IF(B260="", "", 'Lighting Inventory'!F268)</f>
        <v/>
      </c>
      <c r="P260" s="26" t="str">
        <f>IF(B260="", "", 'Lighting Inventory'!G268)</f>
        <v/>
      </c>
      <c r="Q260" s="26" t="str">
        <f>IF(B260="", "", 'Lighting Inventory'!H268)</f>
        <v/>
      </c>
      <c r="R260" s="26" t="str">
        <f>IF(B260="", "", 'Lighting Inventory'!I268)</f>
        <v/>
      </c>
      <c r="S260" s="26" t="str">
        <f>IF(B260="", "", 'Lighting Inventory'!J268)</f>
        <v/>
      </c>
      <c r="T260" s="26" t="str">
        <f>IFERROR(IF(B260="","",VLOOKUP(S260,'Fixture Identities'!$A$7:$G$1023,5,FALSE)), "New Construction")</f>
        <v/>
      </c>
      <c r="U260" s="26" t="str">
        <f>IFERROR(IF(B260="", "", IF(K260="New Construction", "NC", IF(VLOOKUP(S260, 'Fixture Identities'!$A$7:$I$1023,3, FALSE)="T12 Linear Fluorescent", VLOOKUP(S260, 'Fixture Identities'!$A$7:$K$1012, 11, FALSE), S260))), "")</f>
        <v/>
      </c>
      <c r="V260" s="26" t="str">
        <f>IFERROR(IF(OR(B260="", U260=0), "", VLOOKUP(U260, 'Fixture Identities'!$A$7:$G$1023, 5, FALSE)), "")</f>
        <v/>
      </c>
      <c r="W260" s="26" t="str">
        <f>IF(B260="", "",'Lighting Inventory'!K268)</f>
        <v/>
      </c>
      <c r="X260" s="65" t="str">
        <f>IF(B260="", "", 'Lighting Inventory'!L268)</f>
        <v/>
      </c>
      <c r="Y260" s="26" t="str">
        <f>IF(B260="", "", IF('Lighting Inventory'!M268="", "Light Switch",'Lighting Inventory'!M268))</f>
        <v/>
      </c>
      <c r="Z260" s="26" t="str">
        <f>IF(OR(K260="Retrofit", B260=""), "", 'Lighting Inventory'!N268)</f>
        <v/>
      </c>
      <c r="AA260" s="26" t="str">
        <f>IF(OR(Z260="",B260=""), "", 'Lighting Inventory'!O268)</f>
        <v/>
      </c>
      <c r="AB260" s="26" t="str">
        <f>IF(B260="", "", 'Lighting Inventory'!P268)</f>
        <v/>
      </c>
      <c r="AC260" s="96" t="str">
        <f>IF(B260="", "", 'Lighting Inventory'!R268)</f>
        <v/>
      </c>
      <c r="AD260" s="26" t="str">
        <f>IF(B260="", "", 'Lighting Inventory'!S268)</f>
        <v/>
      </c>
      <c r="AE260" s="26" t="str">
        <f>IF(B260="", "", 'Lighting Inventory'!V268)</f>
        <v/>
      </c>
      <c r="AF260" s="26" t="str">
        <f>IF(B260="", "", 'Lighting Inventory'!W268)</f>
        <v/>
      </c>
      <c r="AG260" s="26" t="str">
        <f>IF(OR(AF260="", B260=""), "", IF(AE260="Custom", "0", VLOOKUP(AF260, 'Lookup Tables'!$AI$6:$AP$102, 8, FALSE)))</f>
        <v/>
      </c>
      <c r="AH260" s="26" t="str">
        <f>IF(B260="", "", 'Lighting Inventory'!AD268)</f>
        <v/>
      </c>
      <c r="AI260" s="26" t="str">
        <f>IF(OR('Lighting Inventory'!AK268="", B260=""), "", 'Lighting Inventory'!AK268)</f>
        <v/>
      </c>
      <c r="AJ260" s="66" t="str">
        <f>IF(B260="", "", 'Lighting Inventory'!AL268)</f>
        <v/>
      </c>
      <c r="AK260" s="65" t="str">
        <f>IF(B260="", "", 'Lighting Inventory'!AM268)</f>
        <v/>
      </c>
      <c r="AL260" s="26" t="str">
        <f>IF(B260="", "", 'Lighting Inventory'!AN268)</f>
        <v/>
      </c>
      <c r="AM260" s="26" t="str">
        <f t="shared" si="15"/>
        <v/>
      </c>
      <c r="AN260" s="26" t="str">
        <f>IF(B260="","",IF('Lighting Inventory'!AV268="","Prescribed",'Lighting Inventory'!AV268))</f>
        <v/>
      </c>
      <c r="AO260" s="66" t="str">
        <f>IF(B260="", "", 'Lighting Inventory'!AX268)</f>
        <v/>
      </c>
      <c r="AP260" s="67" t="str">
        <f>IF(B260="", "", 'Lighting Inventory'!AZ268)</f>
        <v/>
      </c>
      <c r="AQ260" s="67" t="str">
        <f>IF(B260="", "", 'Lighting Inventory'!BA268)</f>
        <v/>
      </c>
      <c r="AR260" s="67" t="str">
        <f>IF(B260="", "", 'Lighting Inventory'!BB268)</f>
        <v/>
      </c>
      <c r="AS260" s="67" t="str">
        <f>IF(B260="", "", 'Lighting Inventory'!BC268)</f>
        <v/>
      </c>
      <c r="AT260" s="67" t="str">
        <f>IF(B260="", "", 'Lighting Inventory'!BD268)</f>
        <v/>
      </c>
      <c r="AU260" s="67" t="str">
        <f>IF(B260="", "", 'Lighting Inventory'!BE268)</f>
        <v/>
      </c>
      <c r="AV260" s="67" t="str">
        <f>IF(B260="", "", 'Lighting Inventory'!BE268)</f>
        <v/>
      </c>
      <c r="AW260" s="67" t="str">
        <f>IF(B260="", "", 'Lighting Inventory'!BF268)</f>
        <v/>
      </c>
      <c r="AX260" s="67" t="str">
        <f>IF(B260="", "", 'Lighting Inventory'!BF268)</f>
        <v/>
      </c>
      <c r="AY260" s="65" t="str">
        <f t="shared" si="16"/>
        <v/>
      </c>
      <c r="AZ260" s="65" t="str">
        <f>IF(B260="", "", 'Lighting Inventory'!BJ268)</f>
        <v/>
      </c>
      <c r="BA260" s="65" t="str">
        <f>IF(B260="", "", 'Lighting Inventory'!BM268)</f>
        <v/>
      </c>
      <c r="BB260" s="65" t="str">
        <f>IF(B260="","",SUM('Lighting Inventory'!BP268:BP268))</f>
        <v/>
      </c>
      <c r="BC260" s="67" t="str">
        <f>IF(OR(AE260="", B260=""),"", 'Lighting Inventory'!GR268)</f>
        <v/>
      </c>
      <c r="BD260" s="67" t="str">
        <f>IFERROR(IF(B260="", "", 'Lighting Inventory'!AF268)*AD260," ")</f>
        <v xml:space="preserve"> </v>
      </c>
      <c r="BE260" s="67"/>
      <c r="BF260" s="67"/>
    </row>
    <row r="261" spans="1:59" x14ac:dyDescent="0.25">
      <c r="A261" s="26" t="str">
        <f>IF(B261="", "", 'Lookup Tables'!AW262)</f>
        <v/>
      </c>
      <c r="B261" s="26" t="str">
        <f>IF(OR('Lighting Inventory'!Y269="", 'Lighting Inventory'!V269="No Change"),"", 'Lighting Inventory'!Y269)</f>
        <v/>
      </c>
      <c r="C261" s="26" t="str">
        <f>IF(B261="", "", IF('Lighting Inventory'!Y269='Lookup Tables'!$Y$32, 'Lighting Inventory'!AJ269, IF(AD261=0, R261, AD261)))</f>
        <v/>
      </c>
      <c r="D261" s="26" t="str">
        <f>IF(B261="", "", 'General Information'!$F$14)</f>
        <v/>
      </c>
      <c r="E261" s="26" t="str">
        <f t="shared" si="14"/>
        <v/>
      </c>
      <c r="F261" s="26" t="str">
        <f>IF(B261="", "", CONCATENATE('General Information'!$F$9, " - ", 'General Information'!$F$14))</f>
        <v/>
      </c>
      <c r="G261" s="26" t="str">
        <f>IF(B261="", "", 'General Information'!$F$15)</f>
        <v/>
      </c>
      <c r="H261" s="26" t="str">
        <f>IF(B261="", "", IF(VLOOKUP(B261, 'Lookup Tables'!$Y$18:$AA$34, 2, FALSE)="Traffic", VLOOKUP('Lighting Inventory'!W269, 'Lookup Tables'!#REF!, 11, FALSE), VLOOKUP(B261, 'Lookup Tables'!$Y$18:$AA$34, 2, FALSE)))</f>
        <v/>
      </c>
      <c r="I261" s="26" t="str">
        <f>IF(B261="", "", CONCATENATE(D261, 'Data Export'!A261))</f>
        <v/>
      </c>
      <c r="J261" s="26" t="str">
        <f>IF(B261="", "", 'Lookup Tables'!$B$1)</f>
        <v/>
      </c>
      <c r="K261" s="26" t="str">
        <f>IF(B261="", "", 'Lighting Inventory'!B269)</f>
        <v/>
      </c>
      <c r="L261" s="26" t="str">
        <f>IF(B261="", "", 'Lighting Inventory'!C269)</f>
        <v/>
      </c>
      <c r="M261" s="26" t="str">
        <f>IF(B261="", "",'Lighting Inventory'!D269)</f>
        <v/>
      </c>
      <c r="N261" s="26" t="str">
        <f>IF(B261="", "",'Lighting Inventory'!E269)</f>
        <v/>
      </c>
      <c r="O261" s="26" t="str">
        <f>IF(B261="", "", 'Lighting Inventory'!F269)</f>
        <v/>
      </c>
      <c r="P261" s="26" t="str">
        <f>IF(B261="", "", 'Lighting Inventory'!G269)</f>
        <v/>
      </c>
      <c r="Q261" s="26" t="str">
        <f>IF(B261="", "", 'Lighting Inventory'!H269)</f>
        <v/>
      </c>
      <c r="R261" s="26" t="str">
        <f>IF(B261="", "", 'Lighting Inventory'!I269)</f>
        <v/>
      </c>
      <c r="S261" s="26" t="str">
        <f>IF(B261="", "", 'Lighting Inventory'!J269)</f>
        <v/>
      </c>
      <c r="T261" s="26" t="str">
        <f>IFERROR(IF(B261="","",VLOOKUP(S261,'Fixture Identities'!$A$7:$G$1023,5,FALSE)), "New Construction")</f>
        <v/>
      </c>
      <c r="U261" s="26" t="str">
        <f>IFERROR(IF(B261="", "", IF(K261="New Construction", "NC", IF(VLOOKUP(S261, 'Fixture Identities'!$A$7:$I$1023,3, FALSE)="T12 Linear Fluorescent", VLOOKUP(S261, 'Fixture Identities'!$A$7:$K$1012, 11, FALSE), S261))), "")</f>
        <v/>
      </c>
      <c r="V261" s="26" t="str">
        <f>IFERROR(IF(OR(B261="", U261=0), "", VLOOKUP(U261, 'Fixture Identities'!$A$7:$G$1023, 5, FALSE)), "")</f>
        <v/>
      </c>
      <c r="W261" s="26" t="str">
        <f>IF(B261="", "",'Lighting Inventory'!K269)</f>
        <v/>
      </c>
      <c r="X261" s="65" t="str">
        <f>IF(B261="", "", 'Lighting Inventory'!L269)</f>
        <v/>
      </c>
      <c r="Y261" s="26" t="str">
        <f>IF(B261="", "", IF('Lighting Inventory'!M269="", "Light Switch",'Lighting Inventory'!M269))</f>
        <v/>
      </c>
      <c r="Z261" s="26" t="str">
        <f>IF(OR(K261="Retrofit", B261=""), "", 'Lighting Inventory'!N269)</f>
        <v/>
      </c>
      <c r="AA261" s="26" t="str">
        <f>IF(OR(Z261="",B261=""), "", 'Lighting Inventory'!O269)</f>
        <v/>
      </c>
      <c r="AB261" s="26" t="str">
        <f>IF(B261="", "", 'Lighting Inventory'!P269)</f>
        <v/>
      </c>
      <c r="AC261" s="96" t="str">
        <f>IF(B261="", "", 'Lighting Inventory'!R269)</f>
        <v/>
      </c>
      <c r="AD261" s="26" t="str">
        <f>IF(B261="", "", 'Lighting Inventory'!S269)</f>
        <v/>
      </c>
      <c r="AE261" s="26" t="str">
        <f>IF(B261="", "", 'Lighting Inventory'!V269)</f>
        <v/>
      </c>
      <c r="AF261" s="26" t="str">
        <f>IF(B261="", "", 'Lighting Inventory'!W269)</f>
        <v/>
      </c>
      <c r="AG261" s="26" t="str">
        <f>IF(OR(AF261="", B261=""), "", IF(AE261="Custom", "0", VLOOKUP(AF261, 'Lookup Tables'!$AI$6:$AP$102, 8, FALSE)))</f>
        <v/>
      </c>
      <c r="AH261" s="26" t="str">
        <f>IF(B261="", "", 'Lighting Inventory'!AD269)</f>
        <v/>
      </c>
      <c r="AI261" s="26" t="str">
        <f>IF(OR('Lighting Inventory'!AK269="", B261=""), "", 'Lighting Inventory'!AK269)</f>
        <v/>
      </c>
      <c r="AJ261" s="66" t="str">
        <f>IF(B261="", "", 'Lighting Inventory'!AL269)</f>
        <v/>
      </c>
      <c r="AK261" s="65" t="str">
        <f>IF(B261="", "", 'Lighting Inventory'!AM269)</f>
        <v/>
      </c>
      <c r="AL261" s="26" t="str">
        <f>IF(B261="", "", 'Lighting Inventory'!AN269)</f>
        <v/>
      </c>
      <c r="AM261" s="26" t="str">
        <f t="shared" si="15"/>
        <v/>
      </c>
      <c r="AN261" s="26" t="str">
        <f>IF(B261="","",IF('Lighting Inventory'!AV269="","Prescribed",'Lighting Inventory'!AV269))</f>
        <v/>
      </c>
      <c r="AO261" s="66" t="str">
        <f>IF(B261="", "", 'Lighting Inventory'!AX269)</f>
        <v/>
      </c>
      <c r="AP261" s="67" t="str">
        <f>IF(B261="", "", 'Lighting Inventory'!AZ269)</f>
        <v/>
      </c>
      <c r="AQ261" s="67" t="str">
        <f>IF(B261="", "", 'Lighting Inventory'!BA269)</f>
        <v/>
      </c>
      <c r="AR261" s="67" t="str">
        <f>IF(B261="", "", 'Lighting Inventory'!BB269)</f>
        <v/>
      </c>
      <c r="AS261" s="67" t="str">
        <f>IF(B261="", "", 'Lighting Inventory'!BC269)</f>
        <v/>
      </c>
      <c r="AT261" s="67" t="str">
        <f>IF(B261="", "", 'Lighting Inventory'!BD269)</f>
        <v/>
      </c>
      <c r="AU261" s="67" t="str">
        <f>IF(B261="", "", 'Lighting Inventory'!BE269)</f>
        <v/>
      </c>
      <c r="AV261" s="67" t="str">
        <f>IF(B261="", "", 'Lighting Inventory'!BE269)</f>
        <v/>
      </c>
      <c r="AW261" s="67" t="str">
        <f>IF(B261="", "", 'Lighting Inventory'!BF269)</f>
        <v/>
      </c>
      <c r="AX261" s="67" t="str">
        <f>IF(B261="", "", 'Lighting Inventory'!BF269)</f>
        <v/>
      </c>
      <c r="AY261" s="65" t="str">
        <f t="shared" si="16"/>
        <v/>
      </c>
      <c r="AZ261" s="65" t="str">
        <f>IF(B261="", "", 'Lighting Inventory'!BJ269)</f>
        <v/>
      </c>
      <c r="BA261" s="65" t="str">
        <f>IF(B261="", "", 'Lighting Inventory'!BM269)</f>
        <v/>
      </c>
      <c r="BB261" s="65" t="str">
        <f>IF(B261="","",SUM('Lighting Inventory'!BP269:BP269))</f>
        <v/>
      </c>
      <c r="BC261" s="67" t="str">
        <f>IF(OR(AE261="", B261=""),"", 'Lighting Inventory'!GR269)</f>
        <v/>
      </c>
      <c r="BD261" s="67" t="str">
        <f>IFERROR(IF(B261="", "", 'Lighting Inventory'!AF269)*AD261," ")</f>
        <v xml:space="preserve"> </v>
      </c>
      <c r="BE261" s="67"/>
      <c r="BF261" s="67"/>
    </row>
    <row r="262" spans="1:59" x14ac:dyDescent="0.25">
      <c r="A262" s="26" t="str">
        <f>IF(B262="", "", 'Lookup Tables'!AW263)</f>
        <v/>
      </c>
      <c r="B262" s="26" t="str">
        <f>IF(OR('Lighting Inventory'!Y270="", 'Lighting Inventory'!V270="No Change"),"", 'Lighting Inventory'!Y270)</f>
        <v/>
      </c>
      <c r="C262" s="26" t="str">
        <f>IF(B262="", "", IF('Lighting Inventory'!Y270='Lookup Tables'!$Y$32, 'Lighting Inventory'!AJ270, IF(AD262=0, R262, AD262)))</f>
        <v/>
      </c>
      <c r="D262" s="26" t="str">
        <f>IF(B262="", "", 'General Information'!$F$14)</f>
        <v/>
      </c>
      <c r="E262" s="26" t="str">
        <f t="shared" si="14"/>
        <v/>
      </c>
      <c r="F262" s="26" t="str">
        <f>IF(B262="", "", CONCATENATE('General Information'!$F$9, " - ", 'General Information'!$F$14))</f>
        <v/>
      </c>
      <c r="G262" s="26" t="str">
        <f>IF(B262="", "", 'General Information'!$F$15)</f>
        <v/>
      </c>
      <c r="H262" s="26" t="str">
        <f>IF(B262="", "", IF(VLOOKUP(B262, 'Lookup Tables'!$Y$18:$AA$34, 2, FALSE)="Traffic", VLOOKUP('Lighting Inventory'!W270, 'Lookup Tables'!#REF!, 11, FALSE), VLOOKUP(B262, 'Lookup Tables'!$Y$18:$AA$34, 2, FALSE)))</f>
        <v/>
      </c>
      <c r="I262" s="26" t="str">
        <f>IF(B262="", "", CONCATENATE(D262, 'Data Export'!A262))</f>
        <v/>
      </c>
      <c r="J262" s="26" t="str">
        <f>IF(B262="", "", 'Lookup Tables'!$B$1)</f>
        <v/>
      </c>
      <c r="K262" s="26" t="str">
        <f>IF(B262="", "", 'Lighting Inventory'!B270)</f>
        <v/>
      </c>
      <c r="L262" s="26" t="str">
        <f>IF(B262="", "", 'Lighting Inventory'!C270)</f>
        <v/>
      </c>
      <c r="M262" s="26" t="str">
        <f>IF(B262="", "",'Lighting Inventory'!D270)</f>
        <v/>
      </c>
      <c r="N262" s="26" t="str">
        <f>IF(B262="", "",'Lighting Inventory'!E270)</f>
        <v/>
      </c>
      <c r="O262" s="26" t="str">
        <f>IF(B262="", "", 'Lighting Inventory'!F270)</f>
        <v/>
      </c>
      <c r="P262" s="26" t="str">
        <f>IF(B262="", "", 'Lighting Inventory'!G270)</f>
        <v/>
      </c>
      <c r="Q262" s="26" t="str">
        <f>IF(B262="", "", 'Lighting Inventory'!H270)</f>
        <v/>
      </c>
      <c r="R262" s="26" t="str">
        <f>IF(B262="", "", 'Lighting Inventory'!I270)</f>
        <v/>
      </c>
      <c r="S262" s="26" t="str">
        <f>IF(B262="", "", 'Lighting Inventory'!J270)</f>
        <v/>
      </c>
      <c r="T262" s="26" t="str">
        <f>IFERROR(IF(B262="","",VLOOKUP(S262,'Fixture Identities'!$A$7:$G$1023,5,FALSE)), "New Construction")</f>
        <v/>
      </c>
      <c r="U262" s="26" t="str">
        <f>IFERROR(IF(B262="", "", IF(K262="New Construction", "NC", IF(VLOOKUP(S262, 'Fixture Identities'!$A$7:$I$1023,3, FALSE)="T12 Linear Fluorescent", VLOOKUP(S262, 'Fixture Identities'!$A$7:$K$1012, 11, FALSE), S262))), "")</f>
        <v/>
      </c>
      <c r="V262" s="26" t="str">
        <f>IFERROR(IF(OR(B262="", U262=0), "", VLOOKUP(U262, 'Fixture Identities'!$A$7:$G$1023, 5, FALSE)), "")</f>
        <v/>
      </c>
      <c r="W262" s="26" t="str">
        <f>IF(B262="", "",'Lighting Inventory'!K270)</f>
        <v/>
      </c>
      <c r="X262" s="65" t="str">
        <f>IF(B262="", "", 'Lighting Inventory'!L270)</f>
        <v/>
      </c>
      <c r="Y262" s="26" t="str">
        <f>IF(B262="", "", IF('Lighting Inventory'!M270="", "Light Switch",'Lighting Inventory'!M270))</f>
        <v/>
      </c>
      <c r="Z262" s="26" t="str">
        <f>IF(OR(K262="Retrofit", B262=""), "", 'Lighting Inventory'!N270)</f>
        <v/>
      </c>
      <c r="AA262" s="26" t="str">
        <f>IF(OR(Z262="",B262=""), "", 'Lighting Inventory'!O270)</f>
        <v/>
      </c>
      <c r="AB262" s="26" t="str">
        <f>IF(B262="", "", 'Lighting Inventory'!P270)</f>
        <v/>
      </c>
      <c r="AC262" s="96" t="str">
        <f>IF(B262="", "", 'Lighting Inventory'!R270)</f>
        <v/>
      </c>
      <c r="AD262" s="26" t="str">
        <f>IF(B262="", "", 'Lighting Inventory'!S270)</f>
        <v/>
      </c>
      <c r="AE262" s="26" t="str">
        <f>IF(B262="", "", 'Lighting Inventory'!V270)</f>
        <v/>
      </c>
      <c r="AF262" s="26" t="str">
        <f>IF(B262="", "", 'Lighting Inventory'!W270)</f>
        <v/>
      </c>
      <c r="AG262" s="26" t="str">
        <f>IF(OR(AF262="", B262=""), "", IF(AE262="Custom", "0", VLOOKUP(AF262, 'Lookup Tables'!$AI$6:$AP$102, 8, FALSE)))</f>
        <v/>
      </c>
      <c r="AH262" s="26" t="str">
        <f>IF(B262="", "", 'Lighting Inventory'!AD270)</f>
        <v/>
      </c>
      <c r="AI262" s="26" t="str">
        <f>IF(OR('Lighting Inventory'!AK270="", B262=""), "", 'Lighting Inventory'!AK270)</f>
        <v/>
      </c>
      <c r="AJ262" s="66" t="str">
        <f>IF(B262="", "", 'Lighting Inventory'!AL270)</f>
        <v/>
      </c>
      <c r="AK262" s="65" t="str">
        <f>IF(B262="", "", 'Lighting Inventory'!AM270)</f>
        <v/>
      </c>
      <c r="AL262" s="26" t="str">
        <f>IF(B262="", "", 'Lighting Inventory'!AN270)</f>
        <v/>
      </c>
      <c r="AM262" s="26" t="str">
        <f t="shared" si="15"/>
        <v/>
      </c>
      <c r="AN262" s="26" t="str">
        <f>IF(B262="","",IF('Lighting Inventory'!AV270="","Prescribed",'Lighting Inventory'!AV270))</f>
        <v/>
      </c>
      <c r="AO262" s="66" t="str">
        <f>IF(B262="", "", 'Lighting Inventory'!AX270)</f>
        <v/>
      </c>
      <c r="AP262" s="67" t="str">
        <f>IF(B262="", "", 'Lighting Inventory'!AZ270)</f>
        <v/>
      </c>
      <c r="AQ262" s="67" t="str">
        <f>IF(B262="", "", 'Lighting Inventory'!BA270)</f>
        <v/>
      </c>
      <c r="AR262" s="67" t="str">
        <f>IF(B262="", "", 'Lighting Inventory'!BB270)</f>
        <v/>
      </c>
      <c r="AS262" s="67" t="str">
        <f>IF(B262="", "", 'Lighting Inventory'!BC270)</f>
        <v/>
      </c>
      <c r="AT262" s="67" t="str">
        <f>IF(B262="", "", 'Lighting Inventory'!BD270)</f>
        <v/>
      </c>
      <c r="AU262" s="67" t="str">
        <f>IF(B262="", "", 'Lighting Inventory'!BE270)</f>
        <v/>
      </c>
      <c r="AV262" s="67" t="str">
        <f>IF(B262="", "", 'Lighting Inventory'!BE270)</f>
        <v/>
      </c>
      <c r="AW262" s="67" t="str">
        <f>IF(B262="", "", 'Lighting Inventory'!BF270)</f>
        <v/>
      </c>
      <c r="AX262" s="67" t="str">
        <f>IF(B262="", "", 'Lighting Inventory'!BF270)</f>
        <v/>
      </c>
      <c r="AY262" s="65" t="str">
        <f t="shared" si="16"/>
        <v/>
      </c>
      <c r="AZ262" s="65" t="str">
        <f>IF(B262="", "", 'Lighting Inventory'!BJ270)</f>
        <v/>
      </c>
      <c r="BA262" s="65" t="str">
        <f>IF(B262="", "", 'Lighting Inventory'!BM270)</f>
        <v/>
      </c>
      <c r="BB262" s="65" t="str">
        <f>IF(B262="","",SUM('Lighting Inventory'!BP270:BP270))</f>
        <v/>
      </c>
      <c r="BC262" s="67" t="str">
        <f>IF(OR(AE262="", B262=""),"", 'Lighting Inventory'!GR270)</f>
        <v/>
      </c>
      <c r="BD262" s="67" t="str">
        <f>IFERROR(IF(B262="", "", 'Lighting Inventory'!AF270)*AD262," ")</f>
        <v xml:space="preserve"> </v>
      </c>
      <c r="BE262" s="67"/>
      <c r="BF262" s="67"/>
    </row>
    <row r="263" spans="1:59" x14ac:dyDescent="0.25">
      <c r="A263" s="26" t="str">
        <f>IF(B263="", "", 'Lookup Tables'!AW264)</f>
        <v/>
      </c>
      <c r="B263" s="26" t="str">
        <f>IF(OR('Lighting Inventory'!Y271="", 'Lighting Inventory'!V271="No Change"),"", 'Lighting Inventory'!Y271)</f>
        <v/>
      </c>
      <c r="C263" s="26" t="str">
        <f>IF(B263="", "", IF('Lighting Inventory'!Y271='Lookup Tables'!$Y$32, 'Lighting Inventory'!AJ271, IF(AD263=0, R263, AD263)))</f>
        <v/>
      </c>
      <c r="D263" s="26" t="str">
        <f>IF(B263="", "", 'General Information'!$F$14)</f>
        <v/>
      </c>
      <c r="E263" s="26" t="str">
        <f t="shared" si="14"/>
        <v/>
      </c>
      <c r="F263" s="26" t="str">
        <f>IF(B263="", "", CONCATENATE('General Information'!$F$9, " - ", 'General Information'!$F$14))</f>
        <v/>
      </c>
      <c r="G263" s="26" t="str">
        <f>IF(B263="", "", 'General Information'!$F$15)</f>
        <v/>
      </c>
      <c r="H263" s="26" t="str">
        <f>IF(B263="", "", IF(VLOOKUP(B263, 'Lookup Tables'!$Y$18:$AA$34, 2, FALSE)="Traffic", VLOOKUP('Lighting Inventory'!W271, 'Lookup Tables'!#REF!, 11, FALSE), VLOOKUP(B263, 'Lookup Tables'!$Y$18:$AA$34, 2, FALSE)))</f>
        <v/>
      </c>
      <c r="I263" s="26" t="str">
        <f>IF(B263="", "", CONCATENATE(D263, 'Data Export'!A263))</f>
        <v/>
      </c>
      <c r="J263" s="26" t="str">
        <f>IF(B263="", "", 'Lookup Tables'!$B$1)</f>
        <v/>
      </c>
      <c r="K263" s="26" t="str">
        <f>IF(B263="", "", 'Lighting Inventory'!B271)</f>
        <v/>
      </c>
      <c r="L263" s="26" t="str">
        <f>IF(B263="", "", 'Lighting Inventory'!C271)</f>
        <v/>
      </c>
      <c r="M263" s="26" t="str">
        <f>IF(B263="", "",'Lighting Inventory'!D271)</f>
        <v/>
      </c>
      <c r="N263" s="26" t="str">
        <f>IF(B263="", "",'Lighting Inventory'!E271)</f>
        <v/>
      </c>
      <c r="O263" s="26" t="str">
        <f>IF(B263="", "", 'Lighting Inventory'!F271)</f>
        <v/>
      </c>
      <c r="P263" s="26" t="str">
        <f>IF(B263="", "", 'Lighting Inventory'!G271)</f>
        <v/>
      </c>
      <c r="Q263" s="26" t="str">
        <f>IF(B263="", "", 'Lighting Inventory'!H271)</f>
        <v/>
      </c>
      <c r="R263" s="26" t="str">
        <f>IF(B263="", "", 'Lighting Inventory'!I271)</f>
        <v/>
      </c>
      <c r="S263" s="26" t="str">
        <f>IF(B263="", "", 'Lighting Inventory'!J271)</f>
        <v/>
      </c>
      <c r="T263" s="26" t="str">
        <f>IFERROR(IF(B263="","",VLOOKUP(S263,'Fixture Identities'!$A$7:$G$1023,5,FALSE)), "New Construction")</f>
        <v/>
      </c>
      <c r="U263" s="26" t="str">
        <f>IFERROR(IF(B263="", "", IF(K263="New Construction", "NC", IF(VLOOKUP(S263, 'Fixture Identities'!$A$7:$I$1023,3, FALSE)="T12 Linear Fluorescent", VLOOKUP(S263, 'Fixture Identities'!$A$7:$K$1012, 11, FALSE), S263))), "")</f>
        <v/>
      </c>
      <c r="V263" s="26" t="str">
        <f>IFERROR(IF(OR(B263="", U263=0), "", VLOOKUP(U263, 'Fixture Identities'!$A$7:$G$1023, 5, FALSE)), "")</f>
        <v/>
      </c>
      <c r="W263" s="26" t="str">
        <f>IF(B263="", "",'Lighting Inventory'!K271)</f>
        <v/>
      </c>
      <c r="X263" s="65" t="str">
        <f>IF(B263="", "", 'Lighting Inventory'!L271)</f>
        <v/>
      </c>
      <c r="Y263" s="26" t="str">
        <f>IF(B263="", "", IF('Lighting Inventory'!M271="", "Light Switch",'Lighting Inventory'!M271))</f>
        <v/>
      </c>
      <c r="Z263" s="26" t="str">
        <f>IF(OR(K263="Retrofit", B263=""), "", 'Lighting Inventory'!N271)</f>
        <v/>
      </c>
      <c r="AA263" s="26" t="str">
        <f>IF(OR(Z263="",B263=""), "", 'Lighting Inventory'!O271)</f>
        <v/>
      </c>
      <c r="AB263" s="26" t="str">
        <f>IF(B263="", "", 'Lighting Inventory'!P271)</f>
        <v/>
      </c>
      <c r="AC263" s="96" t="str">
        <f>IF(B263="", "", 'Lighting Inventory'!R271)</f>
        <v/>
      </c>
      <c r="AD263" s="26" t="str">
        <f>IF(B263="", "", 'Lighting Inventory'!S271)</f>
        <v/>
      </c>
      <c r="AE263" s="26" t="str">
        <f>IF(B263="", "", 'Lighting Inventory'!V271)</f>
        <v/>
      </c>
      <c r="AF263" s="26" t="str">
        <f>IF(B263="", "", 'Lighting Inventory'!W271)</f>
        <v/>
      </c>
      <c r="AG263" s="26" t="str">
        <f>IF(OR(AF263="", B263=""), "", IF(AE263="Custom", "0", VLOOKUP(AF263, 'Lookup Tables'!$AI$6:$AP$102, 8, FALSE)))</f>
        <v/>
      </c>
      <c r="AH263" s="26" t="str">
        <f>IF(B263="", "", 'Lighting Inventory'!AD271)</f>
        <v/>
      </c>
      <c r="AI263" s="26" t="str">
        <f>IF(OR('Lighting Inventory'!AK271="", B263=""), "", 'Lighting Inventory'!AK271)</f>
        <v/>
      </c>
      <c r="AJ263" s="66" t="str">
        <f>IF(B263="", "", 'Lighting Inventory'!AL271)</f>
        <v/>
      </c>
      <c r="AK263" s="65" t="str">
        <f>IF(B263="", "", 'Lighting Inventory'!AM271)</f>
        <v/>
      </c>
      <c r="AL263" s="26" t="str">
        <f>IF(B263="", "", 'Lighting Inventory'!AN271)</f>
        <v/>
      </c>
      <c r="AM263" s="26" t="str">
        <f t="shared" si="15"/>
        <v/>
      </c>
      <c r="AN263" s="26" t="str">
        <f>IF(B263="","",IF('Lighting Inventory'!AV271="","Prescribed",'Lighting Inventory'!AV271))</f>
        <v/>
      </c>
      <c r="AO263" s="66" t="str">
        <f>IF(B263="", "", 'Lighting Inventory'!AX271)</f>
        <v/>
      </c>
      <c r="AP263" s="67" t="str">
        <f>IF(B263="", "", 'Lighting Inventory'!AZ271)</f>
        <v/>
      </c>
      <c r="AQ263" s="67" t="str">
        <f>IF(B263="", "", 'Lighting Inventory'!BA271)</f>
        <v/>
      </c>
      <c r="AR263" s="67" t="str">
        <f>IF(B263="", "", 'Lighting Inventory'!BB271)</f>
        <v/>
      </c>
      <c r="AS263" s="67" t="str">
        <f>IF(B263="", "", 'Lighting Inventory'!BC271)</f>
        <v/>
      </c>
      <c r="AT263" s="67" t="str">
        <f>IF(B263="", "", 'Lighting Inventory'!BD271)</f>
        <v/>
      </c>
      <c r="AU263" s="67" t="str">
        <f>IF(B263="", "", 'Lighting Inventory'!BE271)</f>
        <v/>
      </c>
      <c r="AV263" s="67" t="str">
        <f>IF(B263="", "", 'Lighting Inventory'!BE271)</f>
        <v/>
      </c>
      <c r="AW263" s="67" t="str">
        <f>IF(B263="", "", 'Lighting Inventory'!BF271)</f>
        <v/>
      </c>
      <c r="AX263" s="67" t="str">
        <f>IF(B263="", "", 'Lighting Inventory'!BF271)</f>
        <v/>
      </c>
      <c r="AY263" s="65" t="str">
        <f t="shared" si="16"/>
        <v/>
      </c>
      <c r="AZ263" s="65" t="str">
        <f>IF(B263="", "", 'Lighting Inventory'!BJ271)</f>
        <v/>
      </c>
      <c r="BA263" s="65" t="str">
        <f>IF(B263="", "", 'Lighting Inventory'!BM271)</f>
        <v/>
      </c>
      <c r="BB263" s="65" t="str">
        <f>IF(B263="","",SUM('Lighting Inventory'!BP271:BP271))</f>
        <v/>
      </c>
      <c r="BC263" s="67" t="str">
        <f>IF(OR(AE263="", B263=""),"", 'Lighting Inventory'!GR271)</f>
        <v/>
      </c>
      <c r="BD263" s="67" t="str">
        <f>IFERROR(IF(B263="", "", 'Lighting Inventory'!AF271)*AD263," ")</f>
        <v xml:space="preserve"> </v>
      </c>
      <c r="BE263" s="67"/>
      <c r="BF263" s="67"/>
    </row>
    <row r="264" spans="1:59" x14ac:dyDescent="0.25">
      <c r="A264" s="26" t="str">
        <f>IF(B264="", "", 'Lookup Tables'!AW265)</f>
        <v/>
      </c>
      <c r="B264" s="26" t="str">
        <f>IF(OR('Lighting Inventory'!Y272="", 'Lighting Inventory'!V272="No Change"),"", 'Lighting Inventory'!Y272)</f>
        <v/>
      </c>
      <c r="C264" s="26" t="str">
        <f>IF(B264="", "", IF('Lighting Inventory'!Y272='Lookup Tables'!$Y$32, 'Lighting Inventory'!AJ272, IF(AD264=0, R264, AD264)))</f>
        <v/>
      </c>
      <c r="D264" s="26" t="str">
        <f>IF(B264="", "", 'General Information'!$F$14)</f>
        <v/>
      </c>
      <c r="E264" s="26" t="str">
        <f t="shared" si="14"/>
        <v/>
      </c>
      <c r="F264" s="26" t="str">
        <f>IF(B264="", "", CONCATENATE('General Information'!$F$9, " - ", 'General Information'!$F$14))</f>
        <v/>
      </c>
      <c r="G264" s="26" t="str">
        <f>IF(B264="", "", 'General Information'!$F$15)</f>
        <v/>
      </c>
      <c r="H264" s="26" t="str">
        <f>IF(B264="", "", IF(VLOOKUP(B264, 'Lookup Tables'!$Y$18:$AA$34, 2, FALSE)="Traffic", VLOOKUP('Lighting Inventory'!W272, 'Lookup Tables'!#REF!, 11, FALSE), VLOOKUP(B264, 'Lookup Tables'!$Y$18:$AA$34, 2, FALSE)))</f>
        <v/>
      </c>
      <c r="I264" s="26" t="str">
        <f>IF(B264="", "", CONCATENATE(D264, 'Data Export'!A264))</f>
        <v/>
      </c>
      <c r="J264" s="26" t="str">
        <f>IF(B264="", "", 'Lookup Tables'!$B$1)</f>
        <v/>
      </c>
      <c r="K264" s="26" t="str">
        <f>IF(B264="", "", 'Lighting Inventory'!B272)</f>
        <v/>
      </c>
      <c r="L264" s="26" t="str">
        <f>IF(B264="", "", 'Lighting Inventory'!C272)</f>
        <v/>
      </c>
      <c r="M264" s="26" t="str">
        <f>IF(B264="", "",'Lighting Inventory'!D272)</f>
        <v/>
      </c>
      <c r="N264" s="26" t="str">
        <f>IF(B264="", "",'Lighting Inventory'!E272)</f>
        <v/>
      </c>
      <c r="O264" s="26" t="str">
        <f>IF(B264="", "", 'Lighting Inventory'!F272)</f>
        <v/>
      </c>
      <c r="P264" s="26" t="str">
        <f>IF(B264="", "", 'Lighting Inventory'!G272)</f>
        <v/>
      </c>
      <c r="Q264" s="26" t="str">
        <f>IF(B264="", "", 'Lighting Inventory'!H272)</f>
        <v/>
      </c>
      <c r="R264" s="26" t="str">
        <f>IF(B264="", "", 'Lighting Inventory'!I272)</f>
        <v/>
      </c>
      <c r="S264" s="26" t="str">
        <f>IF(B264="", "", 'Lighting Inventory'!J272)</f>
        <v/>
      </c>
      <c r="T264" s="26" t="str">
        <f>IFERROR(IF(B264="","",VLOOKUP(S264,'Fixture Identities'!$A$7:$G$1023,5,FALSE)), "New Construction")</f>
        <v/>
      </c>
      <c r="U264" s="26" t="str">
        <f>IFERROR(IF(B264="", "", IF(K264="New Construction", "NC", IF(VLOOKUP(S264, 'Fixture Identities'!$A$7:$I$1023,3, FALSE)="T12 Linear Fluorescent", VLOOKUP(S264, 'Fixture Identities'!$A$7:$K$1012, 11, FALSE), S264))), "")</f>
        <v/>
      </c>
      <c r="V264" s="26" t="str">
        <f>IFERROR(IF(OR(B264="", U264=0), "", VLOOKUP(U264, 'Fixture Identities'!$A$7:$G$1023, 5, FALSE)), "")</f>
        <v/>
      </c>
      <c r="W264" s="26" t="str">
        <f>IF(B264="", "",'Lighting Inventory'!K272)</f>
        <v/>
      </c>
      <c r="X264" s="65" t="str">
        <f>IF(B264="", "", 'Lighting Inventory'!L272)</f>
        <v/>
      </c>
      <c r="Y264" s="26" t="str">
        <f>IF(B264="", "", IF('Lighting Inventory'!M272="", "Light Switch",'Lighting Inventory'!M272))</f>
        <v/>
      </c>
      <c r="Z264" s="26" t="str">
        <f>IF(OR(K264="Retrofit", B264=""), "", 'Lighting Inventory'!N272)</f>
        <v/>
      </c>
      <c r="AA264" s="26" t="str">
        <f>IF(OR(Z264="",B264=""), "", 'Lighting Inventory'!O272)</f>
        <v/>
      </c>
      <c r="AB264" s="26" t="str">
        <f>IF(B264="", "", 'Lighting Inventory'!P272)</f>
        <v/>
      </c>
      <c r="AC264" s="96" t="str">
        <f>IF(B264="", "", 'Lighting Inventory'!R272)</f>
        <v/>
      </c>
      <c r="AD264" s="26" t="str">
        <f>IF(B264="", "", 'Lighting Inventory'!S272)</f>
        <v/>
      </c>
      <c r="AE264" s="26" t="str">
        <f>IF(B264="", "", 'Lighting Inventory'!V272)</f>
        <v/>
      </c>
      <c r="AF264" s="26" t="str">
        <f>IF(B264="", "", 'Lighting Inventory'!W272)</f>
        <v/>
      </c>
      <c r="AG264" s="26" t="str">
        <f>IF(OR(AF264="", B264=""), "", IF(AE264="Custom", "0", VLOOKUP(AF264, 'Lookup Tables'!$AI$6:$AP$102, 8, FALSE)))</f>
        <v/>
      </c>
      <c r="AH264" s="26" t="str">
        <f>IF(B264="", "", 'Lighting Inventory'!AD272)</f>
        <v/>
      </c>
      <c r="AI264" s="26" t="str">
        <f>IF(OR('Lighting Inventory'!AK272="", B264=""), "", 'Lighting Inventory'!AK272)</f>
        <v/>
      </c>
      <c r="AJ264" s="66" t="str">
        <f>IF(B264="", "", 'Lighting Inventory'!AL272)</f>
        <v/>
      </c>
      <c r="AK264" s="65" t="str">
        <f>IF(B264="", "", 'Lighting Inventory'!AM272)</f>
        <v/>
      </c>
      <c r="AL264" s="26" t="str">
        <f>IF(B264="", "", 'Lighting Inventory'!AN272)</f>
        <v/>
      </c>
      <c r="AM264" s="26" t="str">
        <f t="shared" si="15"/>
        <v/>
      </c>
      <c r="AN264" s="26" t="str">
        <f>IF(B264="","",IF('Lighting Inventory'!AV272="","Prescribed",'Lighting Inventory'!AV272))</f>
        <v/>
      </c>
      <c r="AO264" s="66" t="str">
        <f>IF(B264="", "", 'Lighting Inventory'!AX272)</f>
        <v/>
      </c>
      <c r="AP264" s="67" t="str">
        <f>IF(B264="", "", 'Lighting Inventory'!AZ272)</f>
        <v/>
      </c>
      <c r="AQ264" s="67" t="str">
        <f>IF(B264="", "", 'Lighting Inventory'!BA272)</f>
        <v/>
      </c>
      <c r="AR264" s="67" t="str">
        <f>IF(B264="", "", 'Lighting Inventory'!BB272)</f>
        <v/>
      </c>
      <c r="AS264" s="67" t="str">
        <f>IF(B264="", "", 'Lighting Inventory'!BC272)</f>
        <v/>
      </c>
      <c r="AT264" s="67" t="str">
        <f>IF(B264="", "", 'Lighting Inventory'!BD272)</f>
        <v/>
      </c>
      <c r="AU264" s="67" t="str">
        <f>IF(B264="", "", 'Lighting Inventory'!BE272)</f>
        <v/>
      </c>
      <c r="AV264" s="67" t="str">
        <f>IF(B264="", "", 'Lighting Inventory'!BE272)</f>
        <v/>
      </c>
      <c r="AW264" s="67" t="str">
        <f>IF(B264="", "", 'Lighting Inventory'!BF272)</f>
        <v/>
      </c>
      <c r="AX264" s="67" t="str">
        <f>IF(B264="", "", 'Lighting Inventory'!BF272)</f>
        <v/>
      </c>
      <c r="AY264" s="65" t="str">
        <f t="shared" si="16"/>
        <v/>
      </c>
      <c r="AZ264" s="65" t="str">
        <f>IF(B264="", "", 'Lighting Inventory'!BJ272)</f>
        <v/>
      </c>
      <c r="BA264" s="65" t="str">
        <f>IF(B264="", "", 'Lighting Inventory'!BM272)</f>
        <v/>
      </c>
      <c r="BB264" s="65" t="str">
        <f>IF(B264="","",SUM('Lighting Inventory'!BP272:BP272))</f>
        <v/>
      </c>
      <c r="BC264" s="67" t="str">
        <f>IF(OR(AE264="", B264=""),"", 'Lighting Inventory'!GR272)</f>
        <v/>
      </c>
      <c r="BD264" s="67" t="str">
        <f>IFERROR(IF(B264="", "", 'Lighting Inventory'!AF272)*AD264," ")</f>
        <v xml:space="preserve"> </v>
      </c>
      <c r="BE264" s="67"/>
      <c r="BF264" s="67"/>
    </row>
    <row r="265" spans="1:59" x14ac:dyDescent="0.25">
      <c r="A265" s="26" t="str">
        <f>IF(B265="", "", 'Lookup Tables'!AW266)</f>
        <v/>
      </c>
      <c r="B265" s="26" t="str">
        <f>IF(OR('Lighting Inventory'!Y273="", 'Lighting Inventory'!V273="No Change"),"", 'Lighting Inventory'!Y273)</f>
        <v/>
      </c>
      <c r="C265" s="26" t="str">
        <f>IF(B265="", "", IF('Lighting Inventory'!Y273='Lookup Tables'!$Y$32, 'Lighting Inventory'!AJ273, IF(AD265=0, R265, AD265)))</f>
        <v/>
      </c>
      <c r="D265" s="26" t="str">
        <f>IF(B265="", "", 'General Information'!$F$14)</f>
        <v/>
      </c>
      <c r="E265" s="26" t="str">
        <f t="shared" si="14"/>
        <v/>
      </c>
      <c r="F265" s="26" t="str">
        <f>IF(B265="", "", CONCATENATE('General Information'!$F$9, " - ", 'General Information'!$F$14))</f>
        <v/>
      </c>
      <c r="G265" s="26" t="str">
        <f>IF(B265="", "", 'General Information'!$F$15)</f>
        <v/>
      </c>
      <c r="H265" s="26" t="str">
        <f>IF(B265="", "", IF(VLOOKUP(B265, 'Lookup Tables'!$Y$18:$AA$34, 2, FALSE)="Traffic", VLOOKUP('Lighting Inventory'!W273, 'Lookup Tables'!#REF!, 11, FALSE), VLOOKUP(B265, 'Lookup Tables'!$Y$18:$AA$34, 2, FALSE)))</f>
        <v/>
      </c>
      <c r="I265" s="26" t="str">
        <f>IF(B265="", "", CONCATENATE(D265, 'Data Export'!A265))</f>
        <v/>
      </c>
      <c r="J265" s="26" t="str">
        <f>IF(B265="", "", 'Lookup Tables'!$B$1)</f>
        <v/>
      </c>
      <c r="K265" s="26" t="str">
        <f>IF(B265="", "", 'Lighting Inventory'!B273)</f>
        <v/>
      </c>
      <c r="L265" s="26" t="str">
        <f>IF(B265="", "", 'Lighting Inventory'!C273)</f>
        <v/>
      </c>
      <c r="M265" s="26" t="str">
        <f>IF(B265="", "",'Lighting Inventory'!D273)</f>
        <v/>
      </c>
      <c r="N265" s="26" t="str">
        <f>IF(B265="", "",'Lighting Inventory'!E273)</f>
        <v/>
      </c>
      <c r="O265" s="26" t="str">
        <f>IF(B265="", "", 'Lighting Inventory'!F273)</f>
        <v/>
      </c>
      <c r="P265" s="26" t="str">
        <f>IF(B265="", "", 'Lighting Inventory'!G273)</f>
        <v/>
      </c>
      <c r="Q265" s="26" t="str">
        <f>IF(B265="", "", 'Lighting Inventory'!H273)</f>
        <v/>
      </c>
      <c r="R265" s="26" t="str">
        <f>IF(B265="", "", 'Lighting Inventory'!I273)</f>
        <v/>
      </c>
      <c r="S265" s="26" t="str">
        <f>IF(B265="", "", 'Lighting Inventory'!J273)</f>
        <v/>
      </c>
      <c r="T265" s="26" t="str">
        <f>IFERROR(IF(B265="","",VLOOKUP(S265,'Fixture Identities'!$A$7:$G$1023,5,FALSE)), "New Construction")</f>
        <v/>
      </c>
      <c r="U265" s="26" t="str">
        <f>IFERROR(IF(B265="", "", IF(K265="New Construction", "NC", IF(VLOOKUP(S265, 'Fixture Identities'!$A$7:$I$1023,3, FALSE)="T12 Linear Fluorescent", VLOOKUP(S265, 'Fixture Identities'!$A$7:$K$1012, 11, FALSE), S265))), "")</f>
        <v/>
      </c>
      <c r="V265" s="26" t="str">
        <f>IFERROR(IF(OR(B265="", U265=0), "", VLOOKUP(U265, 'Fixture Identities'!$A$7:$G$1023, 5, FALSE)), "")</f>
        <v/>
      </c>
      <c r="W265" s="26" t="str">
        <f>IF(B265="", "",'Lighting Inventory'!K273)</f>
        <v/>
      </c>
      <c r="X265" s="65" t="str">
        <f>IF(B265="", "", 'Lighting Inventory'!L273)</f>
        <v/>
      </c>
      <c r="Y265" s="26" t="str">
        <f>IF(B265="", "", IF('Lighting Inventory'!M273="", "Light Switch",'Lighting Inventory'!M273))</f>
        <v/>
      </c>
      <c r="Z265" s="26" t="str">
        <f>IF(OR(K265="Retrofit", B265=""), "", 'Lighting Inventory'!N273)</f>
        <v/>
      </c>
      <c r="AA265" s="26" t="str">
        <f>IF(OR(Z265="",B265=""), "", 'Lighting Inventory'!O273)</f>
        <v/>
      </c>
      <c r="AB265" s="26" t="str">
        <f>IF(B265="", "", 'Lighting Inventory'!P273)</f>
        <v/>
      </c>
      <c r="AC265" s="96" t="str">
        <f>IF(B265="", "", 'Lighting Inventory'!R273)</f>
        <v/>
      </c>
      <c r="AD265" s="26" t="str">
        <f>IF(B265="", "", 'Lighting Inventory'!S273)</f>
        <v/>
      </c>
      <c r="AE265" s="26" t="str">
        <f>IF(B265="", "", 'Lighting Inventory'!V273)</f>
        <v/>
      </c>
      <c r="AF265" s="26" t="str">
        <f>IF(B265="", "", 'Lighting Inventory'!W273)</f>
        <v/>
      </c>
      <c r="AG265" s="26" t="str">
        <f>IF(OR(AF265="", B265=""), "", IF(AE265="Custom", "0", VLOOKUP(AF265, 'Lookup Tables'!$AI$6:$AP$102, 8, FALSE)))</f>
        <v/>
      </c>
      <c r="AH265" s="26" t="str">
        <f>IF(B265="", "", 'Lighting Inventory'!AD273)</f>
        <v/>
      </c>
      <c r="AI265" s="26" t="str">
        <f>IF(OR('Lighting Inventory'!AK273="", B265=""), "", 'Lighting Inventory'!AK273)</f>
        <v/>
      </c>
      <c r="AJ265" s="66" t="str">
        <f>IF(B265="", "", 'Lighting Inventory'!AL273)</f>
        <v/>
      </c>
      <c r="AK265" s="65" t="str">
        <f>IF(B265="", "", 'Lighting Inventory'!AM273)</f>
        <v/>
      </c>
      <c r="AL265" s="26" t="str">
        <f>IF(B265="", "", 'Lighting Inventory'!AN273)</f>
        <v/>
      </c>
      <c r="AM265" s="26" t="str">
        <f t="shared" si="15"/>
        <v/>
      </c>
      <c r="AN265" s="26" t="str">
        <f>IF(B265="","",IF('Lighting Inventory'!AV273="","Prescribed",'Lighting Inventory'!AV273))</f>
        <v/>
      </c>
      <c r="AO265" s="66" t="str">
        <f>IF(B265="", "", 'Lighting Inventory'!AX273)</f>
        <v/>
      </c>
      <c r="AP265" s="67" t="str">
        <f>IF(B265="", "", 'Lighting Inventory'!AZ273)</f>
        <v/>
      </c>
      <c r="AQ265" s="67" t="str">
        <f>IF(B265="", "", 'Lighting Inventory'!BA273)</f>
        <v/>
      </c>
      <c r="AR265" s="67" t="str">
        <f>IF(B265="", "", 'Lighting Inventory'!BB273)</f>
        <v/>
      </c>
      <c r="AS265" s="67" t="str">
        <f>IF(B265="", "", 'Lighting Inventory'!BC273)</f>
        <v/>
      </c>
      <c r="AT265" s="67" t="str">
        <f>IF(B265="", "", 'Lighting Inventory'!BD273)</f>
        <v/>
      </c>
      <c r="AU265" s="67" t="str">
        <f>IF(B265="", "", 'Lighting Inventory'!BE273)</f>
        <v/>
      </c>
      <c r="AV265" s="67" t="str">
        <f>IF(B265="", "", 'Lighting Inventory'!BE273)</f>
        <v/>
      </c>
      <c r="AW265" s="67" t="str">
        <f>IF(B265="", "", 'Lighting Inventory'!BF273)</f>
        <v/>
      </c>
      <c r="AX265" s="67" t="str">
        <f>IF(B265="", "", 'Lighting Inventory'!BF273)</f>
        <v/>
      </c>
      <c r="AY265" s="65" t="str">
        <f t="shared" si="16"/>
        <v/>
      </c>
      <c r="AZ265" s="65" t="str">
        <f>IF(B265="", "", 'Lighting Inventory'!BJ273)</f>
        <v/>
      </c>
      <c r="BA265" s="65" t="str">
        <f>IF(B265="", "", 'Lighting Inventory'!BM273)</f>
        <v/>
      </c>
      <c r="BB265" s="65" t="str">
        <f>IF(B265="","",SUM('Lighting Inventory'!BP273:BP273))</f>
        <v/>
      </c>
      <c r="BC265" s="67" t="str">
        <f>IF(OR(AE265="", B265=""),"", 'Lighting Inventory'!GR273)</f>
        <v/>
      </c>
      <c r="BD265" s="67" t="str">
        <f>IFERROR(IF(B265="", "", 'Lighting Inventory'!AF273)*AD265," ")</f>
        <v xml:space="preserve"> </v>
      </c>
      <c r="BE265" s="67"/>
      <c r="BF265" s="67"/>
    </row>
    <row r="266" spans="1:59" x14ac:dyDescent="0.25">
      <c r="A266" s="26" t="str">
        <f>IF(B266="", "", 'Lookup Tables'!AW267)</f>
        <v/>
      </c>
      <c r="B266" s="26" t="str">
        <f>IF(OR('Lighting Inventory'!Y274="", 'Lighting Inventory'!V274="No Change"),"", 'Lighting Inventory'!Y274)</f>
        <v/>
      </c>
      <c r="C266" s="26" t="str">
        <f>IF(B266="", "", IF('Lighting Inventory'!Y274='Lookup Tables'!$Y$32, 'Lighting Inventory'!AJ274, IF(AD266=0, R266, AD266)))</f>
        <v/>
      </c>
      <c r="D266" s="26" t="str">
        <f>IF(B266="", "", 'General Information'!$F$14)</f>
        <v/>
      </c>
      <c r="E266" s="26" t="str">
        <f t="shared" si="14"/>
        <v/>
      </c>
      <c r="F266" s="26" t="str">
        <f>IF(B266="", "", CONCATENATE('General Information'!$F$9, " - ", 'General Information'!$F$14))</f>
        <v/>
      </c>
      <c r="G266" s="26" t="str">
        <f>IF(B266="", "", 'General Information'!$F$15)</f>
        <v/>
      </c>
      <c r="H266" s="26" t="str">
        <f>IF(B266="", "", IF(VLOOKUP(B266, 'Lookup Tables'!$Y$18:$AA$34, 2, FALSE)="Traffic", VLOOKUP('Lighting Inventory'!W274, 'Lookup Tables'!#REF!, 11, FALSE), VLOOKUP(B266, 'Lookup Tables'!$Y$18:$AA$34, 2, FALSE)))</f>
        <v/>
      </c>
      <c r="I266" s="26" t="str">
        <f>IF(B266="", "", CONCATENATE(D266, 'Data Export'!A266))</f>
        <v/>
      </c>
      <c r="J266" s="26" t="str">
        <f>IF(B266="", "", 'Lookup Tables'!$B$1)</f>
        <v/>
      </c>
      <c r="K266" s="26" t="str">
        <f>IF(B266="", "", 'Lighting Inventory'!B274)</f>
        <v/>
      </c>
      <c r="L266" s="26" t="str">
        <f>IF(B266="", "", 'Lighting Inventory'!C274)</f>
        <v/>
      </c>
      <c r="M266" s="26" t="str">
        <f>IF(B266="", "",'Lighting Inventory'!D274)</f>
        <v/>
      </c>
      <c r="N266" s="26" t="str">
        <f>IF(B266="", "",'Lighting Inventory'!E274)</f>
        <v/>
      </c>
      <c r="O266" s="26" t="str">
        <f>IF(B266="", "", 'Lighting Inventory'!F274)</f>
        <v/>
      </c>
      <c r="P266" s="26" t="str">
        <f>IF(B266="", "", 'Lighting Inventory'!G274)</f>
        <v/>
      </c>
      <c r="Q266" s="26" t="str">
        <f>IF(B266="", "", 'Lighting Inventory'!H274)</f>
        <v/>
      </c>
      <c r="R266" s="26" t="str">
        <f>IF(B266="", "", 'Lighting Inventory'!I274)</f>
        <v/>
      </c>
      <c r="S266" s="26" t="str">
        <f>IF(B266="", "", 'Lighting Inventory'!J274)</f>
        <v/>
      </c>
      <c r="T266" s="26" t="str">
        <f>IFERROR(IF(B266="","",VLOOKUP(S266,'Fixture Identities'!$A$7:$G$1023,5,FALSE)), "New Construction")</f>
        <v/>
      </c>
      <c r="U266" s="26" t="str">
        <f>IFERROR(IF(B266="", "", IF(K266="New Construction", "NC", IF(VLOOKUP(S266, 'Fixture Identities'!$A$7:$I$1023,3, FALSE)="T12 Linear Fluorescent", VLOOKUP(S266, 'Fixture Identities'!$A$7:$K$1012, 11, FALSE), S266))), "")</f>
        <v/>
      </c>
      <c r="V266" s="26" t="str">
        <f>IFERROR(IF(OR(B266="", U266=0), "", VLOOKUP(U266, 'Fixture Identities'!$A$7:$G$1023, 5, FALSE)), "")</f>
        <v/>
      </c>
      <c r="W266" s="26" t="str">
        <f>IF(B266="", "",'Lighting Inventory'!K274)</f>
        <v/>
      </c>
      <c r="X266" s="65" t="str">
        <f>IF(B266="", "", 'Lighting Inventory'!L274)</f>
        <v/>
      </c>
      <c r="Y266" s="26" t="str">
        <f>IF(B266="", "", IF('Lighting Inventory'!M274="", "Light Switch",'Lighting Inventory'!M274))</f>
        <v/>
      </c>
      <c r="Z266" s="26" t="str">
        <f>IF(OR(K266="Retrofit", B266=""), "", 'Lighting Inventory'!N274)</f>
        <v/>
      </c>
      <c r="AA266" s="26" t="str">
        <f>IF(OR(Z266="",B266=""), "", 'Lighting Inventory'!O274)</f>
        <v/>
      </c>
      <c r="AB266" s="26" t="str">
        <f>IF(B266="", "", 'Lighting Inventory'!P274)</f>
        <v/>
      </c>
      <c r="AC266" s="96" t="str">
        <f>IF(B266="", "", 'Lighting Inventory'!R274)</f>
        <v/>
      </c>
      <c r="AD266" s="26" t="str">
        <f>IF(B266="", "", 'Lighting Inventory'!S274)</f>
        <v/>
      </c>
      <c r="AE266" s="26" t="str">
        <f>IF(B266="", "", 'Lighting Inventory'!V274)</f>
        <v/>
      </c>
      <c r="AF266" s="26" t="str">
        <f>IF(B266="", "", 'Lighting Inventory'!W274)</f>
        <v/>
      </c>
      <c r="AG266" s="26" t="str">
        <f>IF(OR(AF266="", B266=""), "", IF(AE266="Custom", "0", VLOOKUP(AF266, 'Lookup Tables'!$AI$6:$AP$102, 8, FALSE)))</f>
        <v/>
      </c>
      <c r="AH266" s="26" t="str">
        <f>IF(B266="", "", 'Lighting Inventory'!AD274)</f>
        <v/>
      </c>
      <c r="AI266" s="26" t="str">
        <f>IF(OR('Lighting Inventory'!AK274="", B266=""), "", 'Lighting Inventory'!AK274)</f>
        <v/>
      </c>
      <c r="AJ266" s="66" t="str">
        <f>IF(B266="", "", 'Lighting Inventory'!AL274)</f>
        <v/>
      </c>
      <c r="AK266" s="65" t="str">
        <f>IF(B266="", "", 'Lighting Inventory'!AM274)</f>
        <v/>
      </c>
      <c r="AL266" s="26" t="str">
        <f>IF(B266="", "", 'Lighting Inventory'!AN274)</f>
        <v/>
      </c>
      <c r="AM266" s="26" t="str">
        <f t="shared" si="15"/>
        <v/>
      </c>
      <c r="AN266" s="26" t="str">
        <f>IF(B266="","",IF('Lighting Inventory'!AV274="","Prescribed",'Lighting Inventory'!AV274))</f>
        <v/>
      </c>
      <c r="AO266" s="66" t="str">
        <f>IF(B266="", "", 'Lighting Inventory'!AX274)</f>
        <v/>
      </c>
      <c r="AP266" s="67" t="str">
        <f>IF(B266="", "", 'Lighting Inventory'!AZ274)</f>
        <v/>
      </c>
      <c r="AQ266" s="67" t="str">
        <f>IF(B266="", "", 'Lighting Inventory'!BA274)</f>
        <v/>
      </c>
      <c r="AR266" s="67" t="str">
        <f>IF(B266="", "", 'Lighting Inventory'!BB274)</f>
        <v/>
      </c>
      <c r="AS266" s="67" t="str">
        <f>IF(B266="", "", 'Lighting Inventory'!BC274)</f>
        <v/>
      </c>
      <c r="AT266" s="67" t="str">
        <f>IF(B266="", "", 'Lighting Inventory'!BD274)</f>
        <v/>
      </c>
      <c r="AU266" s="67" t="str">
        <f>IF(B266="", "", 'Lighting Inventory'!BE274)</f>
        <v/>
      </c>
      <c r="AV266" s="67" t="str">
        <f>IF(B266="", "", 'Lighting Inventory'!BE274)</f>
        <v/>
      </c>
      <c r="AW266" s="67" t="str">
        <f>IF(B266="", "", 'Lighting Inventory'!BF274)</f>
        <v/>
      </c>
      <c r="AX266" s="67" t="str">
        <f>IF(B266="", "", 'Lighting Inventory'!BF274)</f>
        <v/>
      </c>
      <c r="AY266" s="65" t="str">
        <f t="shared" si="16"/>
        <v/>
      </c>
      <c r="AZ266" s="65" t="str">
        <f>IF(B266="", "", 'Lighting Inventory'!BJ274)</f>
        <v/>
      </c>
      <c r="BA266" s="65" t="str">
        <f>IF(B266="", "", 'Lighting Inventory'!BM274)</f>
        <v/>
      </c>
      <c r="BB266" s="65" t="str">
        <f>IF(B266="","",SUM('Lighting Inventory'!BP274:BP274))</f>
        <v/>
      </c>
      <c r="BC266" s="67" t="str">
        <f>IF(OR(AE266="", B266=""),"", 'Lighting Inventory'!GR274)</f>
        <v/>
      </c>
      <c r="BD266" s="67" t="str">
        <f>IFERROR(IF(B266="", "", 'Lighting Inventory'!AF274)*AD266," ")</f>
        <v xml:space="preserve"> </v>
      </c>
      <c r="BE266" s="67"/>
      <c r="BF266" s="67"/>
    </row>
    <row r="267" spans="1:59" x14ac:dyDescent="0.25">
      <c r="A267" s="26" t="str">
        <f>IF(B267="", "", 'Lookup Tables'!AW268)</f>
        <v/>
      </c>
      <c r="B267" s="26" t="str">
        <f>IF(OR('Lighting Inventory'!Y275="", 'Lighting Inventory'!V275="No Change"),"", 'Lighting Inventory'!Y275)</f>
        <v/>
      </c>
      <c r="C267" s="26" t="str">
        <f>IF(B267="", "", IF('Lighting Inventory'!Y275='Lookup Tables'!$Y$32, 'Lighting Inventory'!AJ275, IF(AD267=0, R267, AD267)))</f>
        <v/>
      </c>
      <c r="D267" s="26" t="str">
        <f>IF(B267="", "", 'General Information'!$F$14)</f>
        <v/>
      </c>
      <c r="E267" s="26" t="str">
        <f t="shared" si="14"/>
        <v/>
      </c>
      <c r="F267" s="26" t="str">
        <f>IF(B267="", "", CONCATENATE('General Information'!$F$9, " - ", 'General Information'!$F$14))</f>
        <v/>
      </c>
      <c r="G267" s="26" t="str">
        <f>IF(B267="", "", 'General Information'!$F$15)</f>
        <v/>
      </c>
      <c r="H267" s="26" t="str">
        <f>IF(B267="", "", IF(VLOOKUP(B267, 'Lookup Tables'!$Y$18:$AA$34, 2, FALSE)="Traffic", VLOOKUP('Lighting Inventory'!W275, 'Lookup Tables'!#REF!, 11, FALSE), VLOOKUP(B267, 'Lookup Tables'!$Y$18:$AA$34, 2, FALSE)))</f>
        <v/>
      </c>
      <c r="I267" s="26" t="str">
        <f>IF(B267="", "", CONCATENATE(D267, 'Data Export'!A267))</f>
        <v/>
      </c>
      <c r="J267" s="26" t="str">
        <f>IF(B267="", "", 'Lookup Tables'!$B$1)</f>
        <v/>
      </c>
      <c r="K267" s="26" t="str">
        <f>IF(B267="", "", 'Lighting Inventory'!B275)</f>
        <v/>
      </c>
      <c r="L267" s="26" t="str">
        <f>IF(B267="", "", 'Lighting Inventory'!C275)</f>
        <v/>
      </c>
      <c r="M267" s="26" t="str">
        <f>IF(B267="", "",'Lighting Inventory'!D275)</f>
        <v/>
      </c>
      <c r="N267" s="26" t="str">
        <f>IF(B267="", "",'Lighting Inventory'!E275)</f>
        <v/>
      </c>
      <c r="O267" s="26" t="str">
        <f>IF(B267="", "", 'Lighting Inventory'!F275)</f>
        <v/>
      </c>
      <c r="P267" s="26" t="str">
        <f>IF(B267="", "", 'Lighting Inventory'!G275)</f>
        <v/>
      </c>
      <c r="Q267" s="26" t="str">
        <f>IF(B267="", "", 'Lighting Inventory'!H275)</f>
        <v/>
      </c>
      <c r="R267" s="26" t="str">
        <f>IF(B267="", "", 'Lighting Inventory'!I275)</f>
        <v/>
      </c>
      <c r="S267" s="26" t="str">
        <f>IF(B267="", "", 'Lighting Inventory'!J275)</f>
        <v/>
      </c>
      <c r="T267" s="26" t="str">
        <f>IFERROR(IF(B267="","",VLOOKUP(S267,'Fixture Identities'!$A$7:$G$1023,5,FALSE)), "New Construction")</f>
        <v/>
      </c>
      <c r="U267" s="26" t="str">
        <f>IFERROR(IF(B267="", "", IF(K267="New Construction", "NC", IF(VLOOKUP(S267, 'Fixture Identities'!$A$7:$I$1023,3, FALSE)="T12 Linear Fluorescent", VLOOKUP(S267, 'Fixture Identities'!$A$7:$K$1012, 11, FALSE), S267))), "")</f>
        <v/>
      </c>
      <c r="V267" s="26" t="str">
        <f>IFERROR(IF(OR(B267="", U267=0), "", VLOOKUP(U267, 'Fixture Identities'!$A$7:$G$1023, 5, FALSE)), "")</f>
        <v/>
      </c>
      <c r="W267" s="26" t="str">
        <f>IF(B267="", "",'Lighting Inventory'!K275)</f>
        <v/>
      </c>
      <c r="X267" s="65" t="str">
        <f>IF(B267="", "", 'Lighting Inventory'!L275)</f>
        <v/>
      </c>
      <c r="Y267" s="26" t="str">
        <f>IF(B267="", "", IF('Lighting Inventory'!M275="", "Light Switch",'Lighting Inventory'!M275))</f>
        <v/>
      </c>
      <c r="Z267" s="26" t="str">
        <f>IF(OR(K267="Retrofit", B267=""), "", 'Lighting Inventory'!N275)</f>
        <v/>
      </c>
      <c r="AA267" s="26" t="str">
        <f>IF(OR(Z267="",B267=""), "", 'Lighting Inventory'!O275)</f>
        <v/>
      </c>
      <c r="AB267" s="26" t="str">
        <f>IF(B267="", "", 'Lighting Inventory'!P275)</f>
        <v/>
      </c>
      <c r="AC267" s="96" t="str">
        <f>IF(B267="", "", 'Lighting Inventory'!R275)</f>
        <v/>
      </c>
      <c r="AD267" s="26" t="str">
        <f>IF(B267="", "", 'Lighting Inventory'!S275)</f>
        <v/>
      </c>
      <c r="AE267" s="26" t="str">
        <f>IF(B267="", "", 'Lighting Inventory'!V275)</f>
        <v/>
      </c>
      <c r="AF267" s="26" t="str">
        <f>IF(B267="", "", 'Lighting Inventory'!W275)</f>
        <v/>
      </c>
      <c r="AG267" s="26" t="str">
        <f>IF(OR(AF267="", B267=""), "", IF(AE267="Custom", "0", VLOOKUP(AF267, 'Lookup Tables'!$AI$6:$AP$102, 8, FALSE)))</f>
        <v/>
      </c>
      <c r="AH267" s="26" t="str">
        <f>IF(B267="", "", 'Lighting Inventory'!AD275)</f>
        <v/>
      </c>
      <c r="AI267" s="26" t="str">
        <f>IF(OR('Lighting Inventory'!AK275="", B267=""), "", 'Lighting Inventory'!AK275)</f>
        <v/>
      </c>
      <c r="AJ267" s="66" t="str">
        <f>IF(B267="", "", 'Lighting Inventory'!AL275)</f>
        <v/>
      </c>
      <c r="AK267" s="65" t="str">
        <f>IF(B267="", "", 'Lighting Inventory'!AM275)</f>
        <v/>
      </c>
      <c r="AL267" s="26" t="str">
        <f>IF(B267="", "", 'Lighting Inventory'!AN275)</f>
        <v/>
      </c>
      <c r="AM267" s="26" t="str">
        <f t="shared" si="15"/>
        <v/>
      </c>
      <c r="AN267" s="26" t="str">
        <f>IF(B267="","",IF('Lighting Inventory'!AV275="","Prescribed",'Lighting Inventory'!AV275))</f>
        <v/>
      </c>
      <c r="AO267" s="66" t="str">
        <f>IF(B267="", "", 'Lighting Inventory'!AX275)</f>
        <v/>
      </c>
      <c r="AP267" s="67" t="str">
        <f>IF(B267="", "", 'Lighting Inventory'!AZ275)</f>
        <v/>
      </c>
      <c r="AQ267" s="67" t="str">
        <f>IF(B267="", "", 'Lighting Inventory'!BA275)</f>
        <v/>
      </c>
      <c r="AR267" s="67" t="str">
        <f>IF(B267="", "", 'Lighting Inventory'!BB275)</f>
        <v/>
      </c>
      <c r="AS267" s="67" t="str">
        <f>IF(B267="", "", 'Lighting Inventory'!BC275)</f>
        <v/>
      </c>
      <c r="AT267" s="67" t="str">
        <f>IF(B267="", "", 'Lighting Inventory'!BD275)</f>
        <v/>
      </c>
      <c r="AU267" s="67" t="str">
        <f>IF(B267="", "", 'Lighting Inventory'!BE275)</f>
        <v/>
      </c>
      <c r="AV267" s="67" t="str">
        <f>IF(B267="", "", 'Lighting Inventory'!BE275)</f>
        <v/>
      </c>
      <c r="AW267" s="67" t="str">
        <f>IF(B267="", "", 'Lighting Inventory'!BF275)</f>
        <v/>
      </c>
      <c r="AX267" s="67" t="str">
        <f>IF(B267="", "", 'Lighting Inventory'!BF275)</f>
        <v/>
      </c>
      <c r="AY267" s="65" t="str">
        <f t="shared" si="16"/>
        <v/>
      </c>
      <c r="AZ267" s="65" t="str">
        <f>IF(B267="", "", 'Lighting Inventory'!BJ275)</f>
        <v/>
      </c>
      <c r="BA267" s="65" t="str">
        <f>IF(B267="", "", 'Lighting Inventory'!BM275)</f>
        <v/>
      </c>
      <c r="BB267" s="65" t="str">
        <f>IF(B267="","",SUM('Lighting Inventory'!BP275:BP275))</f>
        <v/>
      </c>
      <c r="BC267" s="67" t="str">
        <f>IF(OR(AE267="", B267=""),"", 'Lighting Inventory'!GR275)</f>
        <v/>
      </c>
      <c r="BD267" s="67" t="str">
        <f>IFERROR(IF(B267="", "", 'Lighting Inventory'!AF275)*AD267," ")</f>
        <v xml:space="preserve"> </v>
      </c>
      <c r="BE267" s="67"/>
      <c r="BF267" s="67"/>
    </row>
    <row r="268" spans="1:59" x14ac:dyDescent="0.25">
      <c r="A268" s="26" t="str">
        <f>IF(B268="", "", 'Lookup Tables'!AW269)</f>
        <v/>
      </c>
      <c r="B268" s="26" t="str">
        <f>IF(OR('Lighting Inventory'!Y276="", 'Lighting Inventory'!V276="No Change"),"", 'Lighting Inventory'!Y276)</f>
        <v/>
      </c>
      <c r="C268" s="26" t="str">
        <f>IF(B268="", "", IF('Lighting Inventory'!Y276='Lookup Tables'!$Y$32, 'Lighting Inventory'!AJ276, IF(AD268=0, R268, AD268)))</f>
        <v/>
      </c>
      <c r="D268" s="26" t="str">
        <f>IF(B268="", "", 'General Information'!$F$14)</f>
        <v/>
      </c>
      <c r="E268" s="26" t="str">
        <f t="shared" si="14"/>
        <v/>
      </c>
      <c r="F268" s="26" t="str">
        <f>IF(B268="", "", CONCATENATE('General Information'!$F$9, " - ", 'General Information'!$F$14))</f>
        <v/>
      </c>
      <c r="G268" s="26" t="str">
        <f>IF(B268="", "", 'General Information'!$F$15)</f>
        <v/>
      </c>
      <c r="H268" s="26" t="str">
        <f>IF(B268="", "", IF(VLOOKUP(B268, 'Lookup Tables'!$Y$18:$AA$34, 2, FALSE)="Traffic", VLOOKUP('Lighting Inventory'!W276, 'Lookup Tables'!#REF!, 11, FALSE), VLOOKUP(B268, 'Lookup Tables'!$Y$18:$AA$34, 2, FALSE)))</f>
        <v/>
      </c>
      <c r="I268" s="26" t="str">
        <f>IF(B268="", "", CONCATENATE(D268, 'Data Export'!A268))</f>
        <v/>
      </c>
      <c r="J268" s="26" t="str">
        <f>IF(B268="", "", 'Lookup Tables'!$B$1)</f>
        <v/>
      </c>
      <c r="K268" s="26" t="str">
        <f>IF(B268="", "", 'Lighting Inventory'!B276)</f>
        <v/>
      </c>
      <c r="L268" s="26" t="str">
        <f>IF(B268="", "", 'Lighting Inventory'!C276)</f>
        <v/>
      </c>
      <c r="M268" s="26" t="str">
        <f>IF(B268="", "",'Lighting Inventory'!D276)</f>
        <v/>
      </c>
      <c r="N268" s="26" t="str">
        <f>IF(B268="", "",'Lighting Inventory'!E276)</f>
        <v/>
      </c>
      <c r="O268" s="26" t="str">
        <f>IF(B268="", "", 'Lighting Inventory'!F276)</f>
        <v/>
      </c>
      <c r="P268" s="26" t="str">
        <f>IF(B268="", "", 'Lighting Inventory'!G276)</f>
        <v/>
      </c>
      <c r="Q268" s="26" t="str">
        <f>IF(B268="", "", 'Lighting Inventory'!H276)</f>
        <v/>
      </c>
      <c r="R268" s="26" t="str">
        <f>IF(B268="", "", 'Lighting Inventory'!I276)</f>
        <v/>
      </c>
      <c r="S268" s="26" t="str">
        <f>IF(B268="", "", 'Lighting Inventory'!J276)</f>
        <v/>
      </c>
      <c r="T268" s="26" t="str">
        <f>IFERROR(IF(B268="","",VLOOKUP(S268,'Fixture Identities'!$A$7:$G$1023,5,FALSE)), "New Construction")</f>
        <v/>
      </c>
      <c r="U268" s="26" t="str">
        <f>IFERROR(IF(B268="", "", IF(K268="New Construction", "NC", IF(VLOOKUP(S268, 'Fixture Identities'!$A$7:$I$1023,3, FALSE)="T12 Linear Fluorescent", VLOOKUP(S268, 'Fixture Identities'!$A$7:$K$1012, 11, FALSE), S268))), "")</f>
        <v/>
      </c>
      <c r="V268" s="26" t="str">
        <f>IFERROR(IF(OR(B268="", U268=0), "", VLOOKUP(U268, 'Fixture Identities'!$A$7:$G$1023, 5, FALSE)), "")</f>
        <v/>
      </c>
      <c r="W268" s="26" t="str">
        <f>IF(B268="", "",'Lighting Inventory'!K276)</f>
        <v/>
      </c>
      <c r="X268" s="65" t="str">
        <f>IF(B268="", "", 'Lighting Inventory'!L276)</f>
        <v/>
      </c>
      <c r="Y268" s="26" t="str">
        <f>IF(B268="", "", IF('Lighting Inventory'!M276="", "Light Switch",'Lighting Inventory'!M276))</f>
        <v/>
      </c>
      <c r="Z268" s="26" t="str">
        <f>IF(OR(K268="Retrofit", B268=""), "", 'Lighting Inventory'!N276)</f>
        <v/>
      </c>
      <c r="AA268" s="26" t="str">
        <f>IF(OR(Z268="",B268=""), "", 'Lighting Inventory'!O276)</f>
        <v/>
      </c>
      <c r="AB268" s="26" t="str">
        <f>IF(B268="", "", 'Lighting Inventory'!P276)</f>
        <v/>
      </c>
      <c r="AC268" s="96" t="str">
        <f>IF(B268="", "", 'Lighting Inventory'!R276)</f>
        <v/>
      </c>
      <c r="AD268" s="26" t="str">
        <f>IF(B268="", "", 'Lighting Inventory'!S276)</f>
        <v/>
      </c>
      <c r="AE268" s="26" t="str">
        <f>IF(B268="", "", 'Lighting Inventory'!V276)</f>
        <v/>
      </c>
      <c r="AF268" s="26" t="str">
        <f>IF(B268="", "", 'Lighting Inventory'!W276)</f>
        <v/>
      </c>
      <c r="AG268" s="26" t="str">
        <f>IF(OR(AF268="", B268=""), "", IF(AE268="Custom", "0", VLOOKUP(AF268, 'Lookup Tables'!$AI$6:$AP$102, 8, FALSE)))</f>
        <v/>
      </c>
      <c r="AH268" s="26" t="str">
        <f>IF(B268="", "", 'Lighting Inventory'!AD276)</f>
        <v/>
      </c>
      <c r="AI268" s="26" t="str">
        <f>IF(OR('Lighting Inventory'!AK276="", B268=""), "", 'Lighting Inventory'!AK276)</f>
        <v/>
      </c>
      <c r="AJ268" s="66" t="str">
        <f>IF(B268="", "", 'Lighting Inventory'!AL276)</f>
        <v/>
      </c>
      <c r="AK268" s="65" t="str">
        <f>IF(B268="", "", 'Lighting Inventory'!AM276)</f>
        <v/>
      </c>
      <c r="AL268" s="26" t="str">
        <f>IF(B268="", "", 'Lighting Inventory'!AN276)</f>
        <v/>
      </c>
      <c r="AM268" s="26" t="str">
        <f t="shared" si="15"/>
        <v/>
      </c>
      <c r="AN268" s="26" t="str">
        <f>IF(B268="","",IF('Lighting Inventory'!AV276="","Prescribed",'Lighting Inventory'!AV276))</f>
        <v/>
      </c>
      <c r="AO268" s="66" t="str">
        <f>IF(B268="", "", 'Lighting Inventory'!AX276)</f>
        <v/>
      </c>
      <c r="AP268" s="67" t="str">
        <f>IF(B268="", "", 'Lighting Inventory'!AZ276)</f>
        <v/>
      </c>
      <c r="AQ268" s="67" t="str">
        <f>IF(B268="", "", 'Lighting Inventory'!BA276)</f>
        <v/>
      </c>
      <c r="AR268" s="67" t="str">
        <f>IF(B268="", "", 'Lighting Inventory'!BB276)</f>
        <v/>
      </c>
      <c r="AS268" s="67" t="str">
        <f>IF(B268="", "", 'Lighting Inventory'!BC276)</f>
        <v/>
      </c>
      <c r="AT268" s="67" t="str">
        <f>IF(B268="", "", 'Lighting Inventory'!BD276)</f>
        <v/>
      </c>
      <c r="AU268" s="67" t="str">
        <f>IF(B268="", "", 'Lighting Inventory'!BE276)</f>
        <v/>
      </c>
      <c r="AV268" s="67" t="str">
        <f>IF(B268="", "", 'Lighting Inventory'!BE276)</f>
        <v/>
      </c>
      <c r="AW268" s="67" t="str">
        <f>IF(B268="", "", 'Lighting Inventory'!BF276)</f>
        <v/>
      </c>
      <c r="AX268" s="67" t="str">
        <f>IF(B268="", "", 'Lighting Inventory'!BF276)</f>
        <v/>
      </c>
      <c r="AY268" s="65" t="str">
        <f t="shared" si="16"/>
        <v/>
      </c>
      <c r="AZ268" s="65" t="str">
        <f>IF(B268="", "", 'Lighting Inventory'!BJ276)</f>
        <v/>
      </c>
      <c r="BA268" s="65" t="str">
        <f>IF(B268="", "", 'Lighting Inventory'!BM276)</f>
        <v/>
      </c>
      <c r="BB268" s="65" t="str">
        <f>IF(B268="","",SUM('Lighting Inventory'!BP276:BP276))</f>
        <v/>
      </c>
      <c r="BC268" s="67" t="str">
        <f>IF(OR(AE268="", B268=""),"", 'Lighting Inventory'!GR276)</f>
        <v/>
      </c>
      <c r="BD268" s="67" t="str">
        <f>IFERROR(IF(B268="", "", 'Lighting Inventory'!AF276)*AD268," ")</f>
        <v xml:space="preserve"> </v>
      </c>
      <c r="BE268" s="67"/>
      <c r="BF268" s="67"/>
    </row>
    <row r="269" spans="1:59" x14ac:dyDescent="0.25">
      <c r="A269" s="26" t="str">
        <f>IF(B269="", "", 'Lookup Tables'!AW270)</f>
        <v/>
      </c>
      <c r="B269" s="26" t="str">
        <f>IF(OR('Lighting Inventory'!Y277="", 'Lighting Inventory'!V277="No Change"),"", 'Lighting Inventory'!Y277)</f>
        <v/>
      </c>
      <c r="C269" s="26" t="str">
        <f>IF(B269="", "", IF('Lighting Inventory'!Y277='Lookup Tables'!$Y$32, 'Lighting Inventory'!AJ277, IF(AD269=0, R269, AD269)))</f>
        <v/>
      </c>
      <c r="D269" s="26" t="str">
        <f>IF(B269="", "", 'General Information'!$F$14)</f>
        <v/>
      </c>
      <c r="E269" s="26" t="str">
        <f t="shared" si="14"/>
        <v/>
      </c>
      <c r="F269" s="26" t="str">
        <f>IF(B269="", "", CONCATENATE('General Information'!$F$9, " - ", 'General Information'!$F$14))</f>
        <v/>
      </c>
      <c r="G269" s="26" t="str">
        <f>IF(B269="", "", 'General Information'!$F$15)</f>
        <v/>
      </c>
      <c r="H269" s="26" t="str">
        <f>IF(B269="", "", IF(VLOOKUP(B269, 'Lookup Tables'!$Y$18:$AA$34, 2, FALSE)="Traffic", VLOOKUP('Lighting Inventory'!W277, 'Lookup Tables'!#REF!, 11, FALSE), VLOOKUP(B269, 'Lookup Tables'!$Y$18:$AA$34, 2, FALSE)))</f>
        <v/>
      </c>
      <c r="I269" s="26" t="str">
        <f>IF(B269="", "", CONCATENATE(D269, 'Data Export'!A269))</f>
        <v/>
      </c>
      <c r="J269" s="26" t="str">
        <f>IF(B269="", "", 'Lookup Tables'!$B$1)</f>
        <v/>
      </c>
      <c r="K269" s="26" t="str">
        <f>IF(B269="", "", 'Lighting Inventory'!B277)</f>
        <v/>
      </c>
      <c r="L269" s="26" t="str">
        <f>IF(B269="", "", 'Lighting Inventory'!C277)</f>
        <v/>
      </c>
      <c r="M269" s="26" t="str">
        <f>IF(B269="", "",'Lighting Inventory'!D277)</f>
        <v/>
      </c>
      <c r="N269" s="26" t="str">
        <f>IF(B269="", "",'Lighting Inventory'!E277)</f>
        <v/>
      </c>
      <c r="O269" s="26" t="str">
        <f>IF(B269="", "", 'Lighting Inventory'!F277)</f>
        <v/>
      </c>
      <c r="P269" s="26" t="str">
        <f>IF(B269="", "", 'Lighting Inventory'!G277)</f>
        <v/>
      </c>
      <c r="Q269" s="26" t="str">
        <f>IF(B269="", "", 'Lighting Inventory'!H277)</f>
        <v/>
      </c>
      <c r="R269" s="26" t="str">
        <f>IF(B269="", "", 'Lighting Inventory'!I277)</f>
        <v/>
      </c>
      <c r="S269" s="26" t="str">
        <f>IF(B269="", "", 'Lighting Inventory'!J277)</f>
        <v/>
      </c>
      <c r="T269" s="26" t="str">
        <f>IFERROR(IF(B269="","",VLOOKUP(S269,'Fixture Identities'!$A$7:$G$1023,5,FALSE)), "New Construction")</f>
        <v/>
      </c>
      <c r="U269" s="26" t="str">
        <f>IFERROR(IF(B269="", "", IF(K269="New Construction", "NC", IF(VLOOKUP(S269, 'Fixture Identities'!$A$7:$I$1023,3, FALSE)="T12 Linear Fluorescent", VLOOKUP(S269, 'Fixture Identities'!$A$7:$K$1012, 11, FALSE), S269))), "")</f>
        <v/>
      </c>
      <c r="V269" s="26" t="str">
        <f>IFERROR(IF(OR(B269="", U269=0), "", VLOOKUP(U269, 'Fixture Identities'!$A$7:$G$1023, 5, FALSE)), "")</f>
        <v/>
      </c>
      <c r="W269" s="26" t="str">
        <f>IF(B269="", "",'Lighting Inventory'!K277)</f>
        <v/>
      </c>
      <c r="X269" s="65" t="str">
        <f>IF(B269="", "", 'Lighting Inventory'!L277)</f>
        <v/>
      </c>
      <c r="Y269" s="26" t="str">
        <f>IF(B269="", "", IF('Lighting Inventory'!M277="", "Light Switch",'Lighting Inventory'!M277))</f>
        <v/>
      </c>
      <c r="Z269" s="26" t="str">
        <f>IF(OR(K269="Retrofit", B269=""), "", 'Lighting Inventory'!N277)</f>
        <v/>
      </c>
      <c r="AA269" s="26" t="str">
        <f>IF(OR(Z269="",B269=""), "", 'Lighting Inventory'!O277)</f>
        <v/>
      </c>
      <c r="AB269" s="26" t="str">
        <f>IF(B269="", "", 'Lighting Inventory'!P277)</f>
        <v/>
      </c>
      <c r="AC269" s="96" t="str">
        <f>IF(B269="", "", 'Lighting Inventory'!R277)</f>
        <v/>
      </c>
      <c r="AD269" s="26" t="str">
        <f>IF(B269="", "", 'Lighting Inventory'!S277)</f>
        <v/>
      </c>
      <c r="AE269" s="26" t="str">
        <f>IF(B269="", "", 'Lighting Inventory'!V277)</f>
        <v/>
      </c>
      <c r="AF269" s="26" t="str">
        <f>IF(B269="", "", 'Lighting Inventory'!W277)</f>
        <v/>
      </c>
      <c r="AG269" s="26" t="str">
        <f>IF(OR(AF269="", B269=""), "", IF(AE269="Custom", "0", VLOOKUP(AF269, 'Lookup Tables'!$AI$6:$AP$102, 8, FALSE)))</f>
        <v/>
      </c>
      <c r="AH269" s="26" t="str">
        <f>IF(B269="", "", 'Lighting Inventory'!AD277)</f>
        <v/>
      </c>
      <c r="AI269" s="26" t="str">
        <f>IF(OR('Lighting Inventory'!AK277="", B269=""), "", 'Lighting Inventory'!AK277)</f>
        <v/>
      </c>
      <c r="AJ269" s="66" t="str">
        <f>IF(B269="", "", 'Lighting Inventory'!AL277)</f>
        <v/>
      </c>
      <c r="AK269" s="65" t="str">
        <f>IF(B269="", "", 'Lighting Inventory'!AM277)</f>
        <v/>
      </c>
      <c r="AL269" s="26" t="str">
        <f>IF(B269="", "", 'Lighting Inventory'!AN277)</f>
        <v/>
      </c>
      <c r="AM269" s="26" t="str">
        <f t="shared" si="15"/>
        <v/>
      </c>
      <c r="AN269" s="26" t="str">
        <f>IF(B269="","",IF('Lighting Inventory'!AV277="","Prescribed",'Lighting Inventory'!AV277))</f>
        <v/>
      </c>
      <c r="AO269" s="66" t="str">
        <f>IF(B269="", "", 'Lighting Inventory'!AX277)</f>
        <v/>
      </c>
      <c r="AP269" s="67" t="str">
        <f>IF(B269="", "", 'Lighting Inventory'!AZ277)</f>
        <v/>
      </c>
      <c r="AQ269" s="67" t="str">
        <f>IF(B269="", "", 'Lighting Inventory'!BA277)</f>
        <v/>
      </c>
      <c r="AR269" s="67" t="str">
        <f>IF(B269="", "", 'Lighting Inventory'!BB277)</f>
        <v/>
      </c>
      <c r="AS269" s="67" t="str">
        <f>IF(B269="", "", 'Lighting Inventory'!BC277)</f>
        <v/>
      </c>
      <c r="AT269" s="67" t="str">
        <f>IF(B269="", "", 'Lighting Inventory'!BD277)</f>
        <v/>
      </c>
      <c r="AU269" s="67" t="str">
        <f>IF(B269="", "", 'Lighting Inventory'!BE277)</f>
        <v/>
      </c>
      <c r="AV269" s="67" t="str">
        <f>IF(B269="", "", 'Lighting Inventory'!BE277)</f>
        <v/>
      </c>
      <c r="AW269" s="67" t="str">
        <f>IF(B269="", "", 'Lighting Inventory'!BF277)</f>
        <v/>
      </c>
      <c r="AX269" s="67" t="str">
        <f>IF(B269="", "", 'Lighting Inventory'!BF277)</f>
        <v/>
      </c>
      <c r="AY269" s="65" t="str">
        <f t="shared" si="16"/>
        <v/>
      </c>
      <c r="AZ269" s="65" t="str">
        <f>IF(B269="", "", 'Lighting Inventory'!BJ277)</f>
        <v/>
      </c>
      <c r="BA269" s="65" t="str">
        <f>IF(B269="", "", 'Lighting Inventory'!BM277)</f>
        <v/>
      </c>
      <c r="BB269" s="65" t="str">
        <f>IF(B269="","",SUM('Lighting Inventory'!BP277:BP277))</f>
        <v/>
      </c>
      <c r="BC269" s="67" t="str">
        <f>IF(OR(AE269="", B269=""),"", 'Lighting Inventory'!GR277)</f>
        <v/>
      </c>
      <c r="BD269" s="67" t="str">
        <f>IFERROR(IF(B269="", "", 'Lighting Inventory'!AF277)*AD269," ")</f>
        <v xml:space="preserve"> </v>
      </c>
      <c r="BE269" s="67"/>
      <c r="BF269" s="67"/>
    </row>
    <row r="270" spans="1:59" x14ac:dyDescent="0.25">
      <c r="A270" s="26" t="str">
        <f>IF(B270="", "", 'Lookup Tables'!AW271)</f>
        <v/>
      </c>
      <c r="B270" s="26" t="str">
        <f>IF(OR('Lighting Inventory'!Y278="", 'Lighting Inventory'!V278="No Change"),"", 'Lighting Inventory'!Y278)</f>
        <v/>
      </c>
      <c r="C270" s="26" t="str">
        <f>IF(B270="", "", IF('Lighting Inventory'!Y278='Lookup Tables'!$Y$32, 'Lighting Inventory'!AJ278, IF(AD270=0, R270, AD270)))</f>
        <v/>
      </c>
      <c r="D270" s="26" t="str">
        <f>IF(B270="", "", 'General Information'!$F$14)</f>
        <v/>
      </c>
      <c r="E270" s="26" t="str">
        <f t="shared" si="14"/>
        <v/>
      </c>
      <c r="F270" s="26" t="str">
        <f>IF(B270="", "", CONCATENATE('General Information'!$F$9, " - ", 'General Information'!$F$14))</f>
        <v/>
      </c>
      <c r="G270" s="26" t="str">
        <f>IF(B270="", "", 'General Information'!$F$15)</f>
        <v/>
      </c>
      <c r="H270" s="26" t="str">
        <f>IF(B270="", "", IF(VLOOKUP(B270, 'Lookup Tables'!$Y$18:$AA$34, 2, FALSE)="Traffic", VLOOKUP('Lighting Inventory'!W278, 'Lookup Tables'!#REF!, 11, FALSE), VLOOKUP(B270, 'Lookup Tables'!$Y$18:$AA$34, 2, FALSE)))</f>
        <v/>
      </c>
      <c r="I270" s="26" t="str">
        <f>IF(B270="", "", CONCATENATE(D270, 'Data Export'!A270))</f>
        <v/>
      </c>
      <c r="J270" s="26" t="str">
        <f>IF(B270="", "", 'Lookup Tables'!$B$1)</f>
        <v/>
      </c>
      <c r="K270" s="26" t="str">
        <f>IF(B270="", "", 'Lighting Inventory'!B278)</f>
        <v/>
      </c>
      <c r="L270" s="26" t="str">
        <f>IF(B270="", "", 'Lighting Inventory'!C278)</f>
        <v/>
      </c>
      <c r="M270" s="26" t="str">
        <f>IF(B270="", "",'Lighting Inventory'!D278)</f>
        <v/>
      </c>
      <c r="N270" s="26" t="str">
        <f>IF(B270="", "",'Lighting Inventory'!E278)</f>
        <v/>
      </c>
      <c r="O270" s="26" t="str">
        <f>IF(B270="", "", 'Lighting Inventory'!F278)</f>
        <v/>
      </c>
      <c r="P270" s="26" t="str">
        <f>IF(B270="", "", 'Lighting Inventory'!G278)</f>
        <v/>
      </c>
      <c r="Q270" s="26" t="str">
        <f>IF(B270="", "", 'Lighting Inventory'!H278)</f>
        <v/>
      </c>
      <c r="R270" s="26" t="str">
        <f>IF(B270="", "", 'Lighting Inventory'!I278)</f>
        <v/>
      </c>
      <c r="S270" s="26" t="str">
        <f>IF(B270="", "", 'Lighting Inventory'!J278)</f>
        <v/>
      </c>
      <c r="T270" s="26" t="str">
        <f>IFERROR(IF(B270="","",VLOOKUP(S270,'Fixture Identities'!$A$7:$G$1023,5,FALSE)), "New Construction")</f>
        <v/>
      </c>
      <c r="U270" s="26" t="str">
        <f>IFERROR(IF(B270="", "", IF(K270="New Construction", "NC", IF(VLOOKUP(S270, 'Fixture Identities'!$A$7:$I$1023,3, FALSE)="T12 Linear Fluorescent", VLOOKUP(S270, 'Fixture Identities'!$A$7:$K$1012, 11, FALSE), S270))), "")</f>
        <v/>
      </c>
      <c r="V270" s="26" t="str">
        <f>IFERROR(IF(OR(B270="", U270=0), "", VLOOKUP(U270, 'Fixture Identities'!$A$7:$G$1023, 5, FALSE)), "")</f>
        <v/>
      </c>
      <c r="W270" s="26" t="str">
        <f>IF(B270="", "",'Lighting Inventory'!K278)</f>
        <v/>
      </c>
      <c r="X270" s="65" t="str">
        <f>IF(B270="", "", 'Lighting Inventory'!L278)</f>
        <v/>
      </c>
      <c r="Y270" s="26" t="str">
        <f>IF(B270="", "", IF('Lighting Inventory'!M278="", "Light Switch",'Lighting Inventory'!M278))</f>
        <v/>
      </c>
      <c r="Z270" s="26" t="str">
        <f>IF(OR(K270="Retrofit", B270=""), "", 'Lighting Inventory'!N278)</f>
        <v/>
      </c>
      <c r="AA270" s="26" t="str">
        <f>IF(OR(Z270="",B270=""), "", 'Lighting Inventory'!O278)</f>
        <v/>
      </c>
      <c r="AB270" s="26" t="str">
        <f>IF(B270="", "", 'Lighting Inventory'!P278)</f>
        <v/>
      </c>
      <c r="AC270" s="96" t="str">
        <f>IF(B270="", "", 'Lighting Inventory'!R278)</f>
        <v/>
      </c>
      <c r="AD270" s="26" t="str">
        <f>IF(B270="", "", 'Lighting Inventory'!S278)</f>
        <v/>
      </c>
      <c r="AE270" s="26" t="str">
        <f>IF(B270="", "", 'Lighting Inventory'!V278)</f>
        <v/>
      </c>
      <c r="AF270" s="26" t="str">
        <f>IF(B270="", "", 'Lighting Inventory'!W278)</f>
        <v/>
      </c>
      <c r="AG270" s="26" t="str">
        <f>IF(OR(AF270="", B270=""), "", IF(AE270="Custom", "0", VLOOKUP(AF270, 'Lookup Tables'!$AI$6:$AP$102, 8, FALSE)))</f>
        <v/>
      </c>
      <c r="AH270" s="26" t="str">
        <f>IF(B270="", "", 'Lighting Inventory'!AD278)</f>
        <v/>
      </c>
      <c r="AI270" s="26" t="str">
        <f>IF(OR('Lighting Inventory'!AK278="", B270=""), "", 'Lighting Inventory'!AK278)</f>
        <v/>
      </c>
      <c r="AJ270" s="66" t="str">
        <f>IF(B270="", "", 'Lighting Inventory'!AL278)</f>
        <v/>
      </c>
      <c r="AK270" s="65" t="str">
        <f>IF(B270="", "", 'Lighting Inventory'!AM278)</f>
        <v/>
      </c>
      <c r="AL270" s="26" t="str">
        <f>IF(B270="", "", 'Lighting Inventory'!AN278)</f>
        <v/>
      </c>
      <c r="AM270" s="26" t="str">
        <f t="shared" si="15"/>
        <v/>
      </c>
      <c r="AN270" s="26" t="str">
        <f>IF(B270="","",IF('Lighting Inventory'!AV278="","Prescribed",'Lighting Inventory'!AV278))</f>
        <v/>
      </c>
      <c r="AO270" s="66" t="str">
        <f>IF(B270="", "", 'Lighting Inventory'!AX278)</f>
        <v/>
      </c>
      <c r="AP270" s="67" t="str">
        <f>IF(B270="", "", 'Lighting Inventory'!AZ278)</f>
        <v/>
      </c>
      <c r="AQ270" s="67" t="str">
        <f>IF(B270="", "", 'Lighting Inventory'!BA278)</f>
        <v/>
      </c>
      <c r="AR270" s="67" t="str">
        <f>IF(B270="", "", 'Lighting Inventory'!BB278)</f>
        <v/>
      </c>
      <c r="AS270" s="67" t="str">
        <f>IF(B270="", "", 'Lighting Inventory'!BC278)</f>
        <v/>
      </c>
      <c r="AT270" s="67" t="str">
        <f>IF(B270="", "", 'Lighting Inventory'!BD278)</f>
        <v/>
      </c>
      <c r="AU270" s="67" t="str">
        <f>IF(B270="", "", 'Lighting Inventory'!BE278)</f>
        <v/>
      </c>
      <c r="AV270" s="67" t="str">
        <f>IF(B270="", "", 'Lighting Inventory'!BE278)</f>
        <v/>
      </c>
      <c r="AW270" s="67" t="str">
        <f>IF(B270="", "", 'Lighting Inventory'!BF278)</f>
        <v/>
      </c>
      <c r="AX270" s="67" t="str">
        <f>IF(B270="", "", 'Lighting Inventory'!BF278)</f>
        <v/>
      </c>
      <c r="AY270" s="65" t="str">
        <f t="shared" si="16"/>
        <v/>
      </c>
      <c r="AZ270" s="65" t="str">
        <f>IF(B270="", "", 'Lighting Inventory'!BJ278)</f>
        <v/>
      </c>
      <c r="BA270" s="65" t="str">
        <f>IF(B270="", "", 'Lighting Inventory'!BM278)</f>
        <v/>
      </c>
      <c r="BB270" s="65" t="str">
        <f>IF(B270="","",SUM('Lighting Inventory'!BP278:BP278))</f>
        <v/>
      </c>
      <c r="BC270" s="67" t="str">
        <f>IF(OR(AE270="", B270=""),"", 'Lighting Inventory'!GR278)</f>
        <v/>
      </c>
      <c r="BD270" s="67" t="str">
        <f>IFERROR(IF(B270="", "", 'Lighting Inventory'!AF278)*AD270," ")</f>
        <v xml:space="preserve"> </v>
      </c>
      <c r="BE270" s="67"/>
      <c r="BF270" s="67"/>
    </row>
    <row r="271" spans="1:59" x14ac:dyDescent="0.25">
      <c r="A271" s="26" t="str">
        <f>IF(B271="", "", 'Lookup Tables'!AW272)</f>
        <v/>
      </c>
      <c r="B271" s="26" t="str">
        <f>IF(OR('Lighting Inventory'!Y279="", 'Lighting Inventory'!V279="No Change"),"", 'Lighting Inventory'!Y279)</f>
        <v/>
      </c>
      <c r="C271" s="26" t="str">
        <f>IF(B271="", "", IF('Lighting Inventory'!Y279='Lookup Tables'!$Y$32, 'Lighting Inventory'!AJ279, IF(AD271=0, R271, AD271)))</f>
        <v/>
      </c>
      <c r="D271" s="26" t="str">
        <f>IF(B271="", "", 'General Information'!$F$14)</f>
        <v/>
      </c>
      <c r="E271" s="26" t="str">
        <f t="shared" si="14"/>
        <v/>
      </c>
      <c r="F271" s="26" t="str">
        <f>IF(B271="", "", CONCATENATE('General Information'!$F$9, " - ", 'General Information'!$F$14))</f>
        <v/>
      </c>
      <c r="G271" s="26" t="str">
        <f>IF(B271="", "", 'General Information'!$F$15)</f>
        <v/>
      </c>
      <c r="H271" s="26" t="str">
        <f>IF(B271="", "", IF(VLOOKUP(B271, 'Lookup Tables'!$Y$18:$AA$34, 2, FALSE)="Traffic", VLOOKUP('Lighting Inventory'!W279, 'Lookup Tables'!#REF!, 11, FALSE), VLOOKUP(B271, 'Lookup Tables'!$Y$18:$AA$34, 2, FALSE)))</f>
        <v/>
      </c>
      <c r="I271" s="26" t="str">
        <f>IF(B271="", "", CONCATENATE(D271, 'Data Export'!A271))</f>
        <v/>
      </c>
      <c r="J271" s="26" t="str">
        <f>IF(B271="", "", 'Lookup Tables'!$B$1)</f>
        <v/>
      </c>
      <c r="K271" s="26" t="str">
        <f>IF(B271="", "", 'Lighting Inventory'!B279)</f>
        <v/>
      </c>
      <c r="L271" s="26" t="str">
        <f>IF(B271="", "", 'Lighting Inventory'!C279)</f>
        <v/>
      </c>
      <c r="M271" s="26" t="str">
        <f>IF(B271="", "",'Lighting Inventory'!D279)</f>
        <v/>
      </c>
      <c r="N271" s="26" t="str">
        <f>IF(B271="", "",'Lighting Inventory'!E279)</f>
        <v/>
      </c>
      <c r="O271" s="26" t="str">
        <f>IF(B271="", "", 'Lighting Inventory'!F279)</f>
        <v/>
      </c>
      <c r="P271" s="26" t="str">
        <f>IF(B271="", "", 'Lighting Inventory'!G279)</f>
        <v/>
      </c>
      <c r="Q271" s="26" t="str">
        <f>IF(B271="", "", 'Lighting Inventory'!H279)</f>
        <v/>
      </c>
      <c r="R271" s="26" t="str">
        <f>IF(B271="", "", 'Lighting Inventory'!I279)</f>
        <v/>
      </c>
      <c r="S271" s="26" t="str">
        <f>IF(B271="", "", 'Lighting Inventory'!J279)</f>
        <v/>
      </c>
      <c r="T271" s="26" t="str">
        <f>IFERROR(IF(B271="","",VLOOKUP(S271,'Fixture Identities'!$A$7:$G$1023,5,FALSE)), "New Construction")</f>
        <v/>
      </c>
      <c r="U271" s="26" t="str">
        <f>IFERROR(IF(B271="", "", IF(K271="New Construction", "NC", IF(VLOOKUP(S271, 'Fixture Identities'!$A$7:$I$1023,3, FALSE)="T12 Linear Fluorescent", VLOOKUP(S271, 'Fixture Identities'!$A$7:$K$1012, 11, FALSE), S271))), "")</f>
        <v/>
      </c>
      <c r="V271" s="26" t="str">
        <f>IFERROR(IF(OR(B271="", U271=0), "", VLOOKUP(U271, 'Fixture Identities'!$A$7:$G$1023, 5, FALSE)), "")</f>
        <v/>
      </c>
      <c r="W271" s="26" t="str">
        <f>IF(B271="", "",'Lighting Inventory'!K279)</f>
        <v/>
      </c>
      <c r="X271" s="65" t="str">
        <f>IF(B271="", "", 'Lighting Inventory'!L279)</f>
        <v/>
      </c>
      <c r="Y271" s="26" t="str">
        <f>IF(B271="", "", IF('Lighting Inventory'!M279="", "Light Switch",'Lighting Inventory'!M279))</f>
        <v/>
      </c>
      <c r="Z271" s="26" t="str">
        <f>IF(OR(K271="Retrofit", B271=""), "", 'Lighting Inventory'!N279)</f>
        <v/>
      </c>
      <c r="AA271" s="26" t="str">
        <f>IF(OR(Z271="",B271=""), "", 'Lighting Inventory'!O279)</f>
        <v/>
      </c>
      <c r="AB271" s="26" t="str">
        <f>IF(B271="", "", 'Lighting Inventory'!P279)</f>
        <v/>
      </c>
      <c r="AC271" s="96" t="str">
        <f>IF(B271="", "", 'Lighting Inventory'!R279)</f>
        <v/>
      </c>
      <c r="AD271" s="26" t="str">
        <f>IF(B271="", "", 'Lighting Inventory'!S279)</f>
        <v/>
      </c>
      <c r="AE271" s="26" t="str">
        <f>IF(B271="", "", 'Lighting Inventory'!V279)</f>
        <v/>
      </c>
      <c r="AF271" s="26" t="str">
        <f>IF(B271="", "", 'Lighting Inventory'!W279)</f>
        <v/>
      </c>
      <c r="AG271" s="26" t="str">
        <f>IF(OR(AF271="", B271=""), "", IF(AE271="Custom", "0", VLOOKUP(AF271, 'Lookup Tables'!$AI$6:$AP$102, 8, FALSE)))</f>
        <v/>
      </c>
      <c r="AH271" s="26" t="str">
        <f>IF(B271="", "", 'Lighting Inventory'!AD279)</f>
        <v/>
      </c>
      <c r="AI271" s="26" t="str">
        <f>IF(OR('Lighting Inventory'!AK279="", B271=""), "", 'Lighting Inventory'!AK279)</f>
        <v/>
      </c>
      <c r="AJ271" s="66" t="str">
        <f>IF(B271="", "", 'Lighting Inventory'!AL279)</f>
        <v/>
      </c>
      <c r="AK271" s="65" t="str">
        <f>IF(B271="", "", 'Lighting Inventory'!AM279)</f>
        <v/>
      </c>
      <c r="AL271" s="26" t="str">
        <f>IF(B271="", "", 'Lighting Inventory'!AN279)</f>
        <v/>
      </c>
      <c r="AM271" s="26" t="str">
        <f t="shared" si="15"/>
        <v/>
      </c>
      <c r="AN271" s="26" t="str">
        <f>IF(B271="","",IF('Lighting Inventory'!AV279="","Prescribed",'Lighting Inventory'!AV279))</f>
        <v/>
      </c>
      <c r="AO271" s="66" t="str">
        <f>IF(B271="", "", 'Lighting Inventory'!AX279)</f>
        <v/>
      </c>
      <c r="AP271" s="67" t="str">
        <f>IF(B271="", "", 'Lighting Inventory'!AZ279)</f>
        <v/>
      </c>
      <c r="AQ271" s="67" t="str">
        <f>IF(B271="", "", 'Lighting Inventory'!BA279)</f>
        <v/>
      </c>
      <c r="AR271" s="67" t="str">
        <f>IF(B271="", "", 'Lighting Inventory'!BB279)</f>
        <v/>
      </c>
      <c r="AS271" s="67" t="str">
        <f>IF(B271="", "", 'Lighting Inventory'!BC279)</f>
        <v/>
      </c>
      <c r="AT271" s="67" t="str">
        <f>IF(B271="", "", 'Lighting Inventory'!BD279)</f>
        <v/>
      </c>
      <c r="AU271" s="67" t="str">
        <f>IF(B271="", "", 'Lighting Inventory'!BE279)</f>
        <v/>
      </c>
      <c r="AV271" s="67" t="str">
        <f>IF(B271="", "", 'Lighting Inventory'!BE279)</f>
        <v/>
      </c>
      <c r="AW271" s="67" t="str">
        <f>IF(B271="", "", 'Lighting Inventory'!BF279)</f>
        <v/>
      </c>
      <c r="AX271" s="67" t="str">
        <f>IF(B271="", "", 'Lighting Inventory'!BF279)</f>
        <v/>
      </c>
      <c r="AY271" s="65" t="str">
        <f t="shared" si="16"/>
        <v/>
      </c>
      <c r="AZ271" s="65" t="str">
        <f>IF(B271="", "", 'Lighting Inventory'!BJ279)</f>
        <v/>
      </c>
      <c r="BA271" s="65" t="str">
        <f>IF(B271="", "", 'Lighting Inventory'!BM279)</f>
        <v/>
      </c>
      <c r="BB271" s="65" t="str">
        <f>IF(B271="","",SUM('Lighting Inventory'!BP279:BP279))</f>
        <v/>
      </c>
      <c r="BC271" s="67" t="str">
        <f>IF(OR(AE271="", B271=""),"", 'Lighting Inventory'!GR279)</f>
        <v/>
      </c>
      <c r="BD271" s="67" t="str">
        <f>IFERROR(IF(B271="", "", 'Lighting Inventory'!AF279)*AD271," ")</f>
        <v xml:space="preserve"> </v>
      </c>
      <c r="BE271" s="67"/>
      <c r="BF271" s="67"/>
    </row>
    <row r="272" spans="1:59" x14ac:dyDescent="0.25">
      <c r="A272" s="26" t="str">
        <f>IF(B272="", "", 'Lookup Tables'!AW273)</f>
        <v/>
      </c>
      <c r="B272" s="26" t="str">
        <f>IF(OR('Lighting Inventory'!Y280="", 'Lighting Inventory'!V280="No Change"),"", 'Lighting Inventory'!Y280)</f>
        <v/>
      </c>
      <c r="C272" s="26" t="str">
        <f>IF(B272="", "", IF('Lighting Inventory'!Y280='Lookup Tables'!$Y$32, 'Lighting Inventory'!AJ280, IF(AD272=0, R272, AD272)))</f>
        <v/>
      </c>
      <c r="D272" s="26" t="str">
        <f>IF(B272="", "", 'General Information'!$F$14)</f>
        <v/>
      </c>
      <c r="E272" s="26" t="str">
        <f t="shared" si="14"/>
        <v/>
      </c>
      <c r="F272" s="26" t="str">
        <f>IF(B272="", "", CONCATENATE('General Information'!$F$9, " - ", 'General Information'!$F$14))</f>
        <v/>
      </c>
      <c r="G272" s="26" t="str">
        <f>IF(B272="", "", 'General Information'!$F$15)</f>
        <v/>
      </c>
      <c r="H272" s="26" t="str">
        <f>IF(B272="", "", IF(VLOOKUP(B272, 'Lookup Tables'!$Y$18:$AA$34, 2, FALSE)="Traffic", VLOOKUP('Lighting Inventory'!W280, 'Lookup Tables'!#REF!, 11, FALSE), VLOOKUP(B272, 'Lookup Tables'!$Y$18:$AA$34, 2, FALSE)))</f>
        <v/>
      </c>
      <c r="I272" s="26" t="str">
        <f>IF(B272="", "", CONCATENATE(D272, 'Data Export'!A272))</f>
        <v/>
      </c>
      <c r="J272" s="26" t="str">
        <f>IF(B272="", "", 'Lookup Tables'!$B$1)</f>
        <v/>
      </c>
      <c r="K272" s="26" t="str">
        <f>IF(B272="", "", 'Lighting Inventory'!B280)</f>
        <v/>
      </c>
      <c r="L272" s="26" t="str">
        <f>IF(B272="", "", 'Lighting Inventory'!C280)</f>
        <v/>
      </c>
      <c r="M272" s="26" t="str">
        <f>IF(B272="", "",'Lighting Inventory'!D280)</f>
        <v/>
      </c>
      <c r="N272" s="26" t="str">
        <f>IF(B272="", "",'Lighting Inventory'!E280)</f>
        <v/>
      </c>
      <c r="O272" s="26" t="str">
        <f>IF(B272="", "", 'Lighting Inventory'!F280)</f>
        <v/>
      </c>
      <c r="P272" s="26" t="str">
        <f>IF(B272="", "", 'Lighting Inventory'!G280)</f>
        <v/>
      </c>
      <c r="Q272" s="26" t="str">
        <f>IF(B272="", "", 'Lighting Inventory'!H280)</f>
        <v/>
      </c>
      <c r="R272" s="26" t="str">
        <f>IF(B272="", "", 'Lighting Inventory'!I280)</f>
        <v/>
      </c>
      <c r="S272" s="26" t="str">
        <f>IF(B272="", "", 'Lighting Inventory'!J280)</f>
        <v/>
      </c>
      <c r="T272" s="26" t="str">
        <f>IFERROR(IF(B272="","",VLOOKUP(S272,'Fixture Identities'!$A$7:$G$1023,5,FALSE)), "New Construction")</f>
        <v/>
      </c>
      <c r="U272" s="26" t="str">
        <f>IFERROR(IF(B272="", "", IF(K272="New Construction", "NC", IF(VLOOKUP(S272, 'Fixture Identities'!$A$7:$I$1023,3, FALSE)="T12 Linear Fluorescent", VLOOKUP(S272, 'Fixture Identities'!$A$7:$K$1012, 11, FALSE), S272))), "")</f>
        <v/>
      </c>
      <c r="V272" s="26" t="str">
        <f>IFERROR(IF(OR(B272="", U272=0), "", VLOOKUP(U272, 'Fixture Identities'!$A$7:$G$1023, 5, FALSE)), "")</f>
        <v/>
      </c>
      <c r="W272" s="26" t="str">
        <f>IF(B272="", "",'Lighting Inventory'!K280)</f>
        <v/>
      </c>
      <c r="X272" s="65" t="str">
        <f>IF(B272="", "", 'Lighting Inventory'!L280)</f>
        <v/>
      </c>
      <c r="Y272" s="26" t="str">
        <f>IF(B272="", "", IF('Lighting Inventory'!M280="", "Light Switch",'Lighting Inventory'!M280))</f>
        <v/>
      </c>
      <c r="Z272" s="26" t="str">
        <f>IF(OR(K272="Retrofit", B272=""), "", 'Lighting Inventory'!N280)</f>
        <v/>
      </c>
      <c r="AA272" s="26" t="str">
        <f>IF(OR(Z272="",B272=""), "", 'Lighting Inventory'!O280)</f>
        <v/>
      </c>
      <c r="AB272" s="26" t="str">
        <f>IF(B272="", "", 'Lighting Inventory'!P280)</f>
        <v/>
      </c>
      <c r="AC272" s="96" t="str">
        <f>IF(B272="", "", 'Lighting Inventory'!R280)</f>
        <v/>
      </c>
      <c r="AD272" s="26" t="str">
        <f>IF(B272="", "", 'Lighting Inventory'!S280)</f>
        <v/>
      </c>
      <c r="AE272" s="26" t="str">
        <f>IF(B272="", "", 'Lighting Inventory'!V280)</f>
        <v/>
      </c>
      <c r="AF272" s="26" t="str">
        <f>IF(B272="", "", 'Lighting Inventory'!W280)</f>
        <v/>
      </c>
      <c r="AG272" s="26" t="str">
        <f>IF(OR(AF272="", B272=""), "", IF(AE272="Custom", "0", VLOOKUP(AF272, 'Lookup Tables'!$AI$6:$AP$102, 8, FALSE)))</f>
        <v/>
      </c>
      <c r="AH272" s="26" t="str">
        <f>IF(B272="", "", 'Lighting Inventory'!AD280)</f>
        <v/>
      </c>
      <c r="AI272" s="26" t="str">
        <f>IF(OR('Lighting Inventory'!AK280="", B272=""), "", 'Lighting Inventory'!AK280)</f>
        <v/>
      </c>
      <c r="AJ272" s="66" t="str">
        <f>IF(B272="", "", 'Lighting Inventory'!AL280)</f>
        <v/>
      </c>
      <c r="AK272" s="65" t="str">
        <f>IF(B272="", "", 'Lighting Inventory'!AM280)</f>
        <v/>
      </c>
      <c r="AL272" s="26" t="str">
        <f>IF(B272="", "", 'Lighting Inventory'!AN280)</f>
        <v/>
      </c>
      <c r="AM272" s="26" t="str">
        <f t="shared" si="15"/>
        <v/>
      </c>
      <c r="AN272" s="26" t="str">
        <f>IF(B272="","",IF('Lighting Inventory'!AV280="","Prescribed",'Lighting Inventory'!AV280))</f>
        <v/>
      </c>
      <c r="AO272" s="66" t="str">
        <f>IF(B272="", "", 'Lighting Inventory'!AX280)</f>
        <v/>
      </c>
      <c r="AP272" s="67" t="str">
        <f>IF(B272="", "", 'Lighting Inventory'!AZ280)</f>
        <v/>
      </c>
      <c r="AQ272" s="67" t="str">
        <f>IF(B272="", "", 'Lighting Inventory'!BA280)</f>
        <v/>
      </c>
      <c r="AR272" s="67" t="str">
        <f>IF(B272="", "", 'Lighting Inventory'!BB280)</f>
        <v/>
      </c>
      <c r="AS272" s="67" t="str">
        <f>IF(B272="", "", 'Lighting Inventory'!BC280)</f>
        <v/>
      </c>
      <c r="AT272" s="67" t="str">
        <f>IF(B272="", "", 'Lighting Inventory'!BD280)</f>
        <v/>
      </c>
      <c r="AU272" s="67" t="str">
        <f>IF(B272="", "", 'Lighting Inventory'!BE280)</f>
        <v/>
      </c>
      <c r="AV272" s="67" t="str">
        <f>IF(B272="", "", 'Lighting Inventory'!BE280)</f>
        <v/>
      </c>
      <c r="AW272" s="67" t="str">
        <f>IF(B272="", "", 'Lighting Inventory'!BF280)</f>
        <v/>
      </c>
      <c r="AX272" s="67" t="str">
        <f>IF(B272="", "", 'Lighting Inventory'!BF280)</f>
        <v/>
      </c>
      <c r="AY272" s="65" t="str">
        <f t="shared" si="16"/>
        <v/>
      </c>
      <c r="AZ272" s="65" t="str">
        <f>IF(B272="", "", 'Lighting Inventory'!BJ280)</f>
        <v/>
      </c>
      <c r="BA272" s="65" t="str">
        <f>IF(B272="", "", 'Lighting Inventory'!BM280)</f>
        <v/>
      </c>
      <c r="BB272" s="65" t="str">
        <f>IF(B272="","",SUM('Lighting Inventory'!BP280:BP280))</f>
        <v/>
      </c>
      <c r="BC272" s="67" t="str">
        <f>IF(OR(AE272="", B272=""),"", 'Lighting Inventory'!GR280)</f>
        <v/>
      </c>
      <c r="BD272" s="67" t="str">
        <f>IFERROR(IF(B272="", "", 'Lighting Inventory'!AF280)*AD272," ")</f>
        <v xml:space="preserve"> </v>
      </c>
      <c r="BE272" s="67"/>
      <c r="BF272" s="67"/>
    </row>
    <row r="273" spans="1:58" x14ac:dyDescent="0.25">
      <c r="A273" s="26" t="str">
        <f>IF(B273="", "", 'Lookup Tables'!AW274)</f>
        <v/>
      </c>
      <c r="B273" s="26" t="str">
        <f>IF(OR('Lighting Inventory'!Y281="", 'Lighting Inventory'!V281="No Change"),"", 'Lighting Inventory'!Y281)</f>
        <v/>
      </c>
      <c r="C273" s="26" t="str">
        <f>IF(B273="", "", IF('Lighting Inventory'!Y281='Lookup Tables'!$Y$32, 'Lighting Inventory'!AJ281, IF(AD273=0, R273, AD273)))</f>
        <v/>
      </c>
      <c r="D273" s="26" t="str">
        <f>IF(B273="", "", 'General Information'!$F$14)</f>
        <v/>
      </c>
      <c r="E273" s="26" t="str">
        <f t="shared" si="14"/>
        <v/>
      </c>
      <c r="F273" s="26" t="str">
        <f>IF(B273="", "", CONCATENATE('General Information'!$F$9, " - ", 'General Information'!$F$14))</f>
        <v/>
      </c>
      <c r="G273" s="26" t="str">
        <f>IF(B273="", "", 'General Information'!$F$15)</f>
        <v/>
      </c>
      <c r="H273" s="26" t="str">
        <f>IF(B273="", "", IF(VLOOKUP(B273, 'Lookup Tables'!$Y$18:$AA$34, 2, FALSE)="Traffic", VLOOKUP('Lighting Inventory'!W281, 'Lookup Tables'!#REF!, 11, FALSE), VLOOKUP(B273, 'Lookup Tables'!$Y$18:$AA$34, 2, FALSE)))</f>
        <v/>
      </c>
      <c r="I273" s="26" t="str">
        <f>IF(B273="", "", CONCATENATE(D273, 'Data Export'!A273))</f>
        <v/>
      </c>
      <c r="J273" s="26" t="str">
        <f>IF(B273="", "", 'Lookup Tables'!$B$1)</f>
        <v/>
      </c>
      <c r="K273" s="26" t="str">
        <f>IF(B273="", "", 'Lighting Inventory'!B281)</f>
        <v/>
      </c>
      <c r="L273" s="26" t="str">
        <f>IF(B273="", "", 'Lighting Inventory'!C281)</f>
        <v/>
      </c>
      <c r="M273" s="26" t="str">
        <f>IF(B273="", "",'Lighting Inventory'!D281)</f>
        <v/>
      </c>
      <c r="N273" s="26" t="str">
        <f>IF(B273="", "",'Lighting Inventory'!E281)</f>
        <v/>
      </c>
      <c r="O273" s="26" t="str">
        <f>IF(B273="", "", 'Lighting Inventory'!F281)</f>
        <v/>
      </c>
      <c r="P273" s="26" t="str">
        <f>IF(B273="", "", 'Lighting Inventory'!G281)</f>
        <v/>
      </c>
      <c r="Q273" s="26" t="str">
        <f>IF(B273="", "", 'Lighting Inventory'!H281)</f>
        <v/>
      </c>
      <c r="R273" s="26" t="str">
        <f>IF(B273="", "", 'Lighting Inventory'!I281)</f>
        <v/>
      </c>
      <c r="S273" s="26" t="str">
        <f>IF(B273="", "", 'Lighting Inventory'!J281)</f>
        <v/>
      </c>
      <c r="T273" s="26" t="str">
        <f>IFERROR(IF(B273="","",VLOOKUP(S273,'Fixture Identities'!$A$7:$G$1023,5,FALSE)), "New Construction")</f>
        <v/>
      </c>
      <c r="U273" s="26" t="str">
        <f>IFERROR(IF(B273="", "", IF(K273="New Construction", "NC", IF(VLOOKUP(S273, 'Fixture Identities'!$A$7:$I$1023,3, FALSE)="T12 Linear Fluorescent", VLOOKUP(S273, 'Fixture Identities'!$A$7:$K$1012, 11, FALSE), S273))), "")</f>
        <v/>
      </c>
      <c r="V273" s="26" t="str">
        <f>IFERROR(IF(OR(B273="", U273=0), "", VLOOKUP(U273, 'Fixture Identities'!$A$7:$G$1023, 5, FALSE)), "")</f>
        <v/>
      </c>
      <c r="W273" s="26" t="str">
        <f>IF(B273="", "",'Lighting Inventory'!K281)</f>
        <v/>
      </c>
      <c r="X273" s="65" t="str">
        <f>IF(B273="", "", 'Lighting Inventory'!L281)</f>
        <v/>
      </c>
      <c r="Y273" s="26" t="str">
        <f>IF(B273="", "", IF('Lighting Inventory'!M281="", "Light Switch",'Lighting Inventory'!M281))</f>
        <v/>
      </c>
      <c r="Z273" s="26" t="str">
        <f>IF(OR(K273="Retrofit", B273=""), "", 'Lighting Inventory'!N281)</f>
        <v/>
      </c>
      <c r="AA273" s="26" t="str">
        <f>IF(OR(Z273="",B273=""), "", 'Lighting Inventory'!O281)</f>
        <v/>
      </c>
      <c r="AB273" s="26" t="str">
        <f>IF(B273="", "", 'Lighting Inventory'!P281)</f>
        <v/>
      </c>
      <c r="AC273" s="96" t="str">
        <f>IF(B273="", "", 'Lighting Inventory'!R281)</f>
        <v/>
      </c>
      <c r="AD273" s="26" t="str">
        <f>IF(B273="", "", 'Lighting Inventory'!S281)</f>
        <v/>
      </c>
      <c r="AE273" s="26" t="str">
        <f>IF(B273="", "", 'Lighting Inventory'!V281)</f>
        <v/>
      </c>
      <c r="AF273" s="26" t="str">
        <f>IF(B273="", "", 'Lighting Inventory'!W281)</f>
        <v/>
      </c>
      <c r="AG273" s="26" t="str">
        <f>IF(OR(AF273="", B273=""), "", IF(AE273="Custom", "0", VLOOKUP(AF273, 'Lookup Tables'!$AI$6:$AP$102, 8, FALSE)))</f>
        <v/>
      </c>
      <c r="AH273" s="26" t="str">
        <f>IF(B273="", "", 'Lighting Inventory'!AD281)</f>
        <v/>
      </c>
      <c r="AI273" s="26" t="str">
        <f>IF(OR('Lighting Inventory'!AK281="", B273=""), "", 'Lighting Inventory'!AK281)</f>
        <v/>
      </c>
      <c r="AJ273" s="66" t="str">
        <f>IF(B273="", "", 'Lighting Inventory'!AL281)</f>
        <v/>
      </c>
      <c r="AK273" s="65" t="str">
        <f>IF(B273="", "", 'Lighting Inventory'!AM281)</f>
        <v/>
      </c>
      <c r="AL273" s="26" t="str">
        <f>IF(B273="", "", 'Lighting Inventory'!AN281)</f>
        <v/>
      </c>
      <c r="AM273" s="26" t="str">
        <f t="shared" si="15"/>
        <v/>
      </c>
      <c r="AN273" s="26" t="str">
        <f>IF(B273="","",IF('Lighting Inventory'!AV281="","Prescribed",'Lighting Inventory'!AV281))</f>
        <v/>
      </c>
      <c r="AO273" s="66" t="str">
        <f>IF(B273="", "", 'Lighting Inventory'!AX281)</f>
        <v/>
      </c>
      <c r="AP273" s="67" t="str">
        <f>IF(B273="", "", 'Lighting Inventory'!AZ281)</f>
        <v/>
      </c>
      <c r="AQ273" s="67" t="str">
        <f>IF(B273="", "", 'Lighting Inventory'!BA281)</f>
        <v/>
      </c>
      <c r="AR273" s="67" t="str">
        <f>IF(B273="", "", 'Lighting Inventory'!BB281)</f>
        <v/>
      </c>
      <c r="AS273" s="67" t="str">
        <f>IF(B273="", "", 'Lighting Inventory'!BC281)</f>
        <v/>
      </c>
      <c r="AT273" s="67" t="str">
        <f>IF(B273="", "", 'Lighting Inventory'!BD281)</f>
        <v/>
      </c>
      <c r="AU273" s="67" t="str">
        <f>IF(B273="", "", 'Lighting Inventory'!BE281)</f>
        <v/>
      </c>
      <c r="AV273" s="67" t="str">
        <f>IF(B273="", "", 'Lighting Inventory'!BE281)</f>
        <v/>
      </c>
      <c r="AW273" s="67" t="str">
        <f>IF(B273="", "", 'Lighting Inventory'!BF281)</f>
        <v/>
      </c>
      <c r="AX273" s="67" t="str">
        <f>IF(B273="", "", 'Lighting Inventory'!BF281)</f>
        <v/>
      </c>
      <c r="AY273" s="65" t="str">
        <f t="shared" si="16"/>
        <v/>
      </c>
      <c r="AZ273" s="65" t="str">
        <f>IF(B273="", "", 'Lighting Inventory'!BJ281)</f>
        <v/>
      </c>
      <c r="BA273" s="65" t="str">
        <f>IF(B273="", "", 'Lighting Inventory'!BM281)</f>
        <v/>
      </c>
      <c r="BB273" s="65" t="str">
        <f>IF(B273="","",SUM('Lighting Inventory'!BP281:BP281))</f>
        <v/>
      </c>
      <c r="BC273" s="67" t="str">
        <f>IF(OR(AE273="", B273=""),"", 'Lighting Inventory'!GR281)</f>
        <v/>
      </c>
      <c r="BD273" s="67" t="str">
        <f>IFERROR(IF(B273="", "", 'Lighting Inventory'!AF281)*AD273," ")</f>
        <v xml:space="preserve"> </v>
      </c>
      <c r="BE273" s="67"/>
      <c r="BF273" s="67"/>
    </row>
    <row r="274" spans="1:58" x14ac:dyDescent="0.25">
      <c r="A274" s="26" t="str">
        <f>IF(B274="", "", 'Lookup Tables'!AW275)</f>
        <v/>
      </c>
      <c r="B274" s="26" t="str">
        <f>IF(OR('Lighting Inventory'!Y282="", 'Lighting Inventory'!V282="No Change"),"", 'Lighting Inventory'!Y282)</f>
        <v/>
      </c>
      <c r="C274" s="26" t="str">
        <f>IF(B274="", "", IF('Lighting Inventory'!Y282='Lookup Tables'!$Y$32, 'Lighting Inventory'!AJ282, IF(AD274=0, R274, AD274)))</f>
        <v/>
      </c>
      <c r="D274" s="26" t="str">
        <f>IF(B274="", "", 'General Information'!$F$14)</f>
        <v/>
      </c>
      <c r="E274" s="26" t="str">
        <f t="shared" si="14"/>
        <v/>
      </c>
      <c r="F274" s="26" t="str">
        <f>IF(B274="", "", CONCATENATE('General Information'!$F$9, " - ", 'General Information'!$F$14))</f>
        <v/>
      </c>
      <c r="G274" s="26" t="str">
        <f>IF(B274="", "", 'General Information'!$F$15)</f>
        <v/>
      </c>
      <c r="H274" s="26" t="str">
        <f>IF(B274="", "", IF(VLOOKUP(B274, 'Lookup Tables'!$Y$18:$AA$34, 2, FALSE)="Traffic", VLOOKUP('Lighting Inventory'!W282, 'Lookup Tables'!#REF!, 11, FALSE), VLOOKUP(B274, 'Lookup Tables'!$Y$18:$AA$34, 2, FALSE)))</f>
        <v/>
      </c>
      <c r="I274" s="26" t="str">
        <f>IF(B274="", "", CONCATENATE(D274, 'Data Export'!A274))</f>
        <v/>
      </c>
      <c r="J274" s="26" t="str">
        <f>IF(B274="", "", 'Lookup Tables'!$B$1)</f>
        <v/>
      </c>
      <c r="K274" s="26" t="str">
        <f>IF(B274="", "", 'Lighting Inventory'!B282)</f>
        <v/>
      </c>
      <c r="L274" s="26" t="str">
        <f>IF(B274="", "", 'Lighting Inventory'!C282)</f>
        <v/>
      </c>
      <c r="M274" s="26" t="str">
        <f>IF(B274="", "",'Lighting Inventory'!D282)</f>
        <v/>
      </c>
      <c r="N274" s="26" t="str">
        <f>IF(B274="", "",'Lighting Inventory'!E282)</f>
        <v/>
      </c>
      <c r="O274" s="26" t="str">
        <f>IF(B274="", "", 'Lighting Inventory'!F282)</f>
        <v/>
      </c>
      <c r="P274" s="26" t="str">
        <f>IF(B274="", "", 'Lighting Inventory'!G282)</f>
        <v/>
      </c>
      <c r="Q274" s="26" t="str">
        <f>IF(B274="", "", 'Lighting Inventory'!H282)</f>
        <v/>
      </c>
      <c r="R274" s="26" t="str">
        <f>IF(B274="", "", 'Lighting Inventory'!I282)</f>
        <v/>
      </c>
      <c r="S274" s="26" t="str">
        <f>IF(B274="", "", 'Lighting Inventory'!J282)</f>
        <v/>
      </c>
      <c r="T274" s="26" t="str">
        <f>IFERROR(IF(B274="","",VLOOKUP(S274,'Fixture Identities'!$A$7:$G$1023,5,FALSE)), "New Construction")</f>
        <v/>
      </c>
      <c r="U274" s="26" t="str">
        <f>IFERROR(IF(B274="", "", IF(K274="New Construction", "NC", IF(VLOOKUP(S274, 'Fixture Identities'!$A$7:$I$1023,3, FALSE)="T12 Linear Fluorescent", VLOOKUP(S274, 'Fixture Identities'!$A$7:$K$1012, 11, FALSE), S274))), "")</f>
        <v/>
      </c>
      <c r="V274" s="26" t="str">
        <f>IFERROR(IF(OR(B274="", U274=0), "", VLOOKUP(U274, 'Fixture Identities'!$A$7:$G$1023, 5, FALSE)), "")</f>
        <v/>
      </c>
      <c r="W274" s="26" t="str">
        <f>IF(B274="", "",'Lighting Inventory'!K282)</f>
        <v/>
      </c>
      <c r="X274" s="65" t="str">
        <f>IF(B274="", "", 'Lighting Inventory'!L282)</f>
        <v/>
      </c>
      <c r="Y274" s="26" t="str">
        <f>IF(B274="", "", IF('Lighting Inventory'!M282="", "Light Switch",'Lighting Inventory'!M282))</f>
        <v/>
      </c>
      <c r="Z274" s="26" t="str">
        <f>IF(OR(K274="Retrofit", B274=""), "", 'Lighting Inventory'!N282)</f>
        <v/>
      </c>
      <c r="AA274" s="26" t="str">
        <f>IF(OR(Z274="",B274=""), "", 'Lighting Inventory'!O282)</f>
        <v/>
      </c>
      <c r="AB274" s="26" t="str">
        <f>IF(B274="", "", 'Lighting Inventory'!P282)</f>
        <v/>
      </c>
      <c r="AC274" s="96" t="str">
        <f>IF(B274="", "", 'Lighting Inventory'!R282)</f>
        <v/>
      </c>
      <c r="AD274" s="26" t="str">
        <f>IF(B274="", "", 'Lighting Inventory'!S282)</f>
        <v/>
      </c>
      <c r="AE274" s="26" t="str">
        <f>IF(B274="", "", 'Lighting Inventory'!V282)</f>
        <v/>
      </c>
      <c r="AF274" s="26" t="str">
        <f>IF(B274="", "", 'Lighting Inventory'!W282)</f>
        <v/>
      </c>
      <c r="AG274" s="26" t="str">
        <f>IF(OR(AF274="", B274=""), "", IF(AE274="Custom", "0", VLOOKUP(AF274, 'Lookup Tables'!$AI$6:$AP$102, 8, FALSE)))</f>
        <v/>
      </c>
      <c r="AH274" s="26" t="str">
        <f>IF(B274="", "", 'Lighting Inventory'!AD282)</f>
        <v/>
      </c>
      <c r="AI274" s="26" t="str">
        <f>IF(OR('Lighting Inventory'!AK282="", B274=""), "", 'Lighting Inventory'!AK282)</f>
        <v/>
      </c>
      <c r="AJ274" s="66" t="str">
        <f>IF(B274="", "", 'Lighting Inventory'!AL282)</f>
        <v/>
      </c>
      <c r="AK274" s="65" t="str">
        <f>IF(B274="", "", 'Lighting Inventory'!AM282)</f>
        <v/>
      </c>
      <c r="AL274" s="26" t="str">
        <f>IF(B274="", "", 'Lighting Inventory'!AN282)</f>
        <v/>
      </c>
      <c r="AM274" s="26" t="str">
        <f t="shared" si="15"/>
        <v/>
      </c>
      <c r="AN274" s="26" t="str">
        <f>IF(B274="","",IF('Lighting Inventory'!AV282="","Prescribed",'Lighting Inventory'!AV282))</f>
        <v/>
      </c>
      <c r="AO274" s="66" t="str">
        <f>IF(B274="", "", 'Lighting Inventory'!AX282)</f>
        <v/>
      </c>
      <c r="AP274" s="67" t="str">
        <f>IF(B274="", "", 'Lighting Inventory'!AZ282)</f>
        <v/>
      </c>
      <c r="AQ274" s="67" t="str">
        <f>IF(B274="", "", 'Lighting Inventory'!BA282)</f>
        <v/>
      </c>
      <c r="AR274" s="67" t="str">
        <f>IF(B274="", "", 'Lighting Inventory'!BB282)</f>
        <v/>
      </c>
      <c r="AS274" s="67" t="str">
        <f>IF(B274="", "", 'Lighting Inventory'!BC282)</f>
        <v/>
      </c>
      <c r="AT274" s="67" t="str">
        <f>IF(B274="", "", 'Lighting Inventory'!BD282)</f>
        <v/>
      </c>
      <c r="AU274" s="67" t="str">
        <f>IF(B274="", "", 'Lighting Inventory'!BE282)</f>
        <v/>
      </c>
      <c r="AV274" s="67" t="str">
        <f>IF(B274="", "", 'Lighting Inventory'!BE282)</f>
        <v/>
      </c>
      <c r="AW274" s="67" t="str">
        <f>IF(B274="", "", 'Lighting Inventory'!BF282)</f>
        <v/>
      </c>
      <c r="AX274" s="67" t="str">
        <f>IF(B274="", "", 'Lighting Inventory'!BF282)</f>
        <v/>
      </c>
      <c r="AY274" s="65" t="str">
        <f t="shared" si="16"/>
        <v/>
      </c>
      <c r="AZ274" s="65" t="str">
        <f>IF(B274="", "", 'Lighting Inventory'!BJ282)</f>
        <v/>
      </c>
      <c r="BA274" s="65" t="str">
        <f>IF(B274="", "", 'Lighting Inventory'!BM282)</f>
        <v/>
      </c>
      <c r="BB274" s="65" t="str">
        <f>IF(B274="","",SUM('Lighting Inventory'!BP282:BP282))</f>
        <v/>
      </c>
      <c r="BC274" s="67" t="str">
        <f>IF(OR(AE274="", B274=""),"", 'Lighting Inventory'!GR282)</f>
        <v/>
      </c>
      <c r="BD274" s="67" t="str">
        <f>IFERROR(IF(B274="", "", 'Lighting Inventory'!AF282)*AD274," ")</f>
        <v xml:space="preserve"> </v>
      </c>
      <c r="BE274" s="67"/>
      <c r="BF274" s="67"/>
    </row>
    <row r="275" spans="1:58" x14ac:dyDescent="0.25">
      <c r="A275" s="26" t="str">
        <f>IF(B275="", "", 'Lookup Tables'!AW276)</f>
        <v/>
      </c>
      <c r="B275" s="26" t="str">
        <f>IF(OR('Lighting Inventory'!Y283="", 'Lighting Inventory'!V283="No Change"),"", 'Lighting Inventory'!Y283)</f>
        <v/>
      </c>
      <c r="C275" s="26" t="str">
        <f>IF(B275="", "", IF('Lighting Inventory'!Y283='Lookup Tables'!$Y$32, 'Lighting Inventory'!AJ283, IF(AD275=0, R275, AD275)))</f>
        <v/>
      </c>
      <c r="D275" s="26" t="str">
        <f>IF(B275="", "", 'General Information'!$F$14)</f>
        <v/>
      </c>
      <c r="E275" s="26" t="str">
        <f t="shared" si="14"/>
        <v/>
      </c>
      <c r="F275" s="26" t="str">
        <f>IF(B275="", "", CONCATENATE('General Information'!$F$9, " - ", 'General Information'!$F$14))</f>
        <v/>
      </c>
      <c r="G275" s="26" t="str">
        <f>IF(B275="", "", 'General Information'!$F$15)</f>
        <v/>
      </c>
      <c r="H275" s="26" t="str">
        <f>IF(B275="", "", IF(VLOOKUP(B275, 'Lookup Tables'!$Y$18:$AA$34, 2, FALSE)="Traffic", VLOOKUP('Lighting Inventory'!W283, 'Lookup Tables'!#REF!, 11, FALSE), VLOOKUP(B275, 'Lookup Tables'!$Y$18:$AA$34, 2, FALSE)))</f>
        <v/>
      </c>
      <c r="I275" s="26" t="str">
        <f>IF(B275="", "", CONCATENATE(D275, 'Data Export'!A275))</f>
        <v/>
      </c>
      <c r="J275" s="26" t="str">
        <f>IF(B275="", "", 'Lookup Tables'!$B$1)</f>
        <v/>
      </c>
      <c r="K275" s="26" t="str">
        <f>IF(B275="", "", 'Lighting Inventory'!B283)</f>
        <v/>
      </c>
      <c r="L275" s="26" t="str">
        <f>IF(B275="", "", 'Lighting Inventory'!C283)</f>
        <v/>
      </c>
      <c r="M275" s="26" t="str">
        <f>IF(B275="", "",'Lighting Inventory'!D283)</f>
        <v/>
      </c>
      <c r="N275" s="26" t="str">
        <f>IF(B275="", "",'Lighting Inventory'!E283)</f>
        <v/>
      </c>
      <c r="O275" s="26" t="str">
        <f>IF(B275="", "", 'Lighting Inventory'!F283)</f>
        <v/>
      </c>
      <c r="P275" s="26" t="str">
        <f>IF(B275="", "", 'Lighting Inventory'!G283)</f>
        <v/>
      </c>
      <c r="Q275" s="26" t="str">
        <f>IF(B275="", "", 'Lighting Inventory'!H283)</f>
        <v/>
      </c>
      <c r="R275" s="26" t="str">
        <f>IF(B275="", "", 'Lighting Inventory'!I283)</f>
        <v/>
      </c>
      <c r="S275" s="26" t="str">
        <f>IF(B275="", "", 'Lighting Inventory'!J283)</f>
        <v/>
      </c>
      <c r="T275" s="26" t="str">
        <f>IFERROR(IF(B275="","",VLOOKUP(S275,'Fixture Identities'!$A$7:$G$1023,5,FALSE)), "New Construction")</f>
        <v/>
      </c>
      <c r="U275" s="26" t="str">
        <f>IFERROR(IF(B275="", "", IF(K275="New Construction", "NC", IF(VLOOKUP(S275, 'Fixture Identities'!$A$7:$I$1023,3, FALSE)="T12 Linear Fluorescent", VLOOKUP(S275, 'Fixture Identities'!$A$7:$K$1012, 11, FALSE), S275))), "")</f>
        <v/>
      </c>
      <c r="V275" s="26" t="str">
        <f>IFERROR(IF(OR(B275="", U275=0), "", VLOOKUP(U275, 'Fixture Identities'!$A$7:$G$1023, 5, FALSE)), "")</f>
        <v/>
      </c>
      <c r="W275" s="26" t="str">
        <f>IF(B275="", "",'Lighting Inventory'!K283)</f>
        <v/>
      </c>
      <c r="X275" s="65" t="str">
        <f>IF(B275="", "", 'Lighting Inventory'!L283)</f>
        <v/>
      </c>
      <c r="Y275" s="26" t="str">
        <f>IF(B275="", "", IF('Lighting Inventory'!M283="", "Light Switch",'Lighting Inventory'!M283))</f>
        <v/>
      </c>
      <c r="Z275" s="26" t="str">
        <f>IF(OR(K275="Retrofit", B275=""), "", 'Lighting Inventory'!N283)</f>
        <v/>
      </c>
      <c r="AA275" s="26" t="str">
        <f>IF(OR(Z275="",B275=""), "", 'Lighting Inventory'!O283)</f>
        <v/>
      </c>
      <c r="AB275" s="26" t="str">
        <f>IF(B275="", "", 'Lighting Inventory'!P283)</f>
        <v/>
      </c>
      <c r="AC275" s="96" t="str">
        <f>IF(B275="", "", 'Lighting Inventory'!R283)</f>
        <v/>
      </c>
      <c r="AD275" s="26" t="str">
        <f>IF(B275="", "", 'Lighting Inventory'!S283)</f>
        <v/>
      </c>
      <c r="AE275" s="26" t="str">
        <f>IF(B275="", "", 'Lighting Inventory'!V283)</f>
        <v/>
      </c>
      <c r="AF275" s="26" t="str">
        <f>IF(B275="", "", 'Lighting Inventory'!W283)</f>
        <v/>
      </c>
      <c r="AG275" s="26" t="str">
        <f>IF(OR(AF275="", B275=""), "", IF(AE275="Custom", "0", VLOOKUP(AF275, 'Lookup Tables'!$AI$6:$AP$102, 8, FALSE)))</f>
        <v/>
      </c>
      <c r="AH275" s="26" t="str">
        <f>IF(B275="", "", 'Lighting Inventory'!AD283)</f>
        <v/>
      </c>
      <c r="AI275" s="26" t="str">
        <f>IF(OR('Lighting Inventory'!AK283="", B275=""), "", 'Lighting Inventory'!AK283)</f>
        <v/>
      </c>
      <c r="AJ275" s="66" t="str">
        <f>IF(B275="", "", 'Lighting Inventory'!AL283)</f>
        <v/>
      </c>
      <c r="AK275" s="65" t="str">
        <f>IF(B275="", "", 'Lighting Inventory'!AM283)</f>
        <v/>
      </c>
      <c r="AL275" s="26" t="str">
        <f>IF(B275="", "", 'Lighting Inventory'!AN283)</f>
        <v/>
      </c>
      <c r="AM275" s="26" t="str">
        <f t="shared" si="15"/>
        <v/>
      </c>
      <c r="AN275" s="26" t="str">
        <f>IF(B275="","",IF('Lighting Inventory'!AV283="","Prescribed",'Lighting Inventory'!AV283))</f>
        <v/>
      </c>
      <c r="AO275" s="66" t="str">
        <f>IF(B275="", "", 'Lighting Inventory'!AX283)</f>
        <v/>
      </c>
      <c r="AP275" s="67" t="str">
        <f>IF(B275="", "", 'Lighting Inventory'!AZ283)</f>
        <v/>
      </c>
      <c r="AQ275" s="67" t="str">
        <f>IF(B275="", "", 'Lighting Inventory'!BA283)</f>
        <v/>
      </c>
      <c r="AR275" s="67" t="str">
        <f>IF(B275="", "", 'Lighting Inventory'!BB283)</f>
        <v/>
      </c>
      <c r="AS275" s="67" t="str">
        <f>IF(B275="", "", 'Lighting Inventory'!BC283)</f>
        <v/>
      </c>
      <c r="AT275" s="67" t="str">
        <f>IF(B275="", "", 'Lighting Inventory'!BD283)</f>
        <v/>
      </c>
      <c r="AU275" s="67" t="str">
        <f>IF(B275="", "", 'Lighting Inventory'!BE283)</f>
        <v/>
      </c>
      <c r="AV275" s="67" t="str">
        <f>IF(B275="", "", 'Lighting Inventory'!BE283)</f>
        <v/>
      </c>
      <c r="AW275" s="67" t="str">
        <f>IF(B275="", "", 'Lighting Inventory'!BF283)</f>
        <v/>
      </c>
      <c r="AX275" s="67" t="str">
        <f>IF(B275="", "", 'Lighting Inventory'!BF283)</f>
        <v/>
      </c>
      <c r="AY275" s="65" t="str">
        <f t="shared" si="16"/>
        <v/>
      </c>
      <c r="AZ275" s="65" t="str">
        <f>IF(B275="", "", 'Lighting Inventory'!BJ283)</f>
        <v/>
      </c>
      <c r="BA275" s="65" t="str">
        <f>IF(B275="", "", 'Lighting Inventory'!BM283)</f>
        <v/>
      </c>
      <c r="BB275" s="65" t="str">
        <f>IF(B275="","",SUM('Lighting Inventory'!BP283:BP283))</f>
        <v/>
      </c>
      <c r="BC275" s="67" t="str">
        <f>IF(OR(AE275="", B275=""),"", 'Lighting Inventory'!GR283)</f>
        <v/>
      </c>
      <c r="BD275" s="67" t="str">
        <f>IFERROR(IF(B275="", "", 'Lighting Inventory'!AF283)*AD275," ")</f>
        <v xml:space="preserve"> </v>
      </c>
      <c r="BE275" s="67"/>
      <c r="BF275" s="67"/>
    </row>
    <row r="276" spans="1:58" x14ac:dyDescent="0.25">
      <c r="A276" s="26" t="str">
        <f>IF(B276="", "", 'Lookup Tables'!AW277)</f>
        <v/>
      </c>
      <c r="B276" s="26" t="str">
        <f>IF(OR('Lighting Inventory'!Y284="", 'Lighting Inventory'!V284="No Change"),"", 'Lighting Inventory'!Y284)</f>
        <v/>
      </c>
      <c r="C276" s="26" t="str">
        <f>IF(B276="", "", IF('Lighting Inventory'!Y284='Lookup Tables'!$Y$32, 'Lighting Inventory'!AJ284, IF(AD276=0, R276, AD276)))</f>
        <v/>
      </c>
      <c r="D276" s="26" t="str">
        <f>IF(B276="", "", 'General Information'!$F$14)</f>
        <v/>
      </c>
      <c r="E276" s="26" t="str">
        <f t="shared" si="14"/>
        <v/>
      </c>
      <c r="F276" s="26" t="str">
        <f>IF(B276="", "", CONCATENATE('General Information'!$F$9, " - ", 'General Information'!$F$14))</f>
        <v/>
      </c>
      <c r="G276" s="26" t="str">
        <f>IF(B276="", "", 'General Information'!$F$15)</f>
        <v/>
      </c>
      <c r="H276" s="26" t="str">
        <f>IF(B276="", "", IF(VLOOKUP(B276, 'Lookup Tables'!$Y$18:$AA$34, 2, FALSE)="Traffic", VLOOKUP('Lighting Inventory'!W284, 'Lookup Tables'!#REF!, 11, FALSE), VLOOKUP(B276, 'Lookup Tables'!$Y$18:$AA$34, 2, FALSE)))</f>
        <v/>
      </c>
      <c r="I276" s="26" t="str">
        <f>IF(B276="", "", CONCATENATE(D276, 'Data Export'!A276))</f>
        <v/>
      </c>
      <c r="J276" s="26" t="str">
        <f>IF(B276="", "", 'Lookup Tables'!$B$1)</f>
        <v/>
      </c>
      <c r="K276" s="26" t="str">
        <f>IF(B276="", "", 'Lighting Inventory'!B284)</f>
        <v/>
      </c>
      <c r="L276" s="26" t="str">
        <f>IF(B276="", "", 'Lighting Inventory'!C284)</f>
        <v/>
      </c>
      <c r="M276" s="26" t="str">
        <f>IF(B276="", "",'Lighting Inventory'!D284)</f>
        <v/>
      </c>
      <c r="N276" s="26" t="str">
        <f>IF(B276="", "",'Lighting Inventory'!E284)</f>
        <v/>
      </c>
      <c r="O276" s="26" t="str">
        <f>IF(B276="", "", 'Lighting Inventory'!F284)</f>
        <v/>
      </c>
      <c r="P276" s="26" t="str">
        <f>IF(B276="", "", 'Lighting Inventory'!G284)</f>
        <v/>
      </c>
      <c r="Q276" s="26" t="str">
        <f>IF(B276="", "", 'Lighting Inventory'!H284)</f>
        <v/>
      </c>
      <c r="R276" s="26" t="str">
        <f>IF(B276="", "", 'Lighting Inventory'!I284)</f>
        <v/>
      </c>
      <c r="S276" s="26" t="str">
        <f>IF(B276="", "", 'Lighting Inventory'!J284)</f>
        <v/>
      </c>
      <c r="T276" s="26" t="str">
        <f>IFERROR(IF(B276="","",VLOOKUP(S276,'Fixture Identities'!$A$7:$G$1023,5,FALSE)), "New Construction")</f>
        <v/>
      </c>
      <c r="U276" s="26" t="str">
        <f>IFERROR(IF(B276="", "", IF(K276="New Construction", "NC", IF(VLOOKUP(S276, 'Fixture Identities'!$A$7:$I$1023,3, FALSE)="T12 Linear Fluorescent", VLOOKUP(S276, 'Fixture Identities'!$A$7:$K$1012, 11, FALSE), S276))), "")</f>
        <v/>
      </c>
      <c r="V276" s="26" t="str">
        <f>IFERROR(IF(OR(B276="", U276=0), "", VLOOKUP(U276, 'Fixture Identities'!$A$7:$G$1023, 5, FALSE)), "")</f>
        <v/>
      </c>
      <c r="W276" s="26" t="str">
        <f>IF(B276="", "",'Lighting Inventory'!K284)</f>
        <v/>
      </c>
      <c r="X276" s="65" t="str">
        <f>IF(B276="", "", 'Lighting Inventory'!L284)</f>
        <v/>
      </c>
      <c r="Y276" s="26" t="str">
        <f>IF(B276="", "", IF('Lighting Inventory'!M284="", "Light Switch",'Lighting Inventory'!M284))</f>
        <v/>
      </c>
      <c r="Z276" s="26" t="str">
        <f>IF(OR(K276="Retrofit", B276=""), "", 'Lighting Inventory'!N284)</f>
        <v/>
      </c>
      <c r="AA276" s="26" t="str">
        <f>IF(OR(Z276="",B276=""), "", 'Lighting Inventory'!O284)</f>
        <v/>
      </c>
      <c r="AB276" s="26" t="str">
        <f>IF(B276="", "", 'Lighting Inventory'!P284)</f>
        <v/>
      </c>
      <c r="AC276" s="96" t="str">
        <f>IF(B276="", "", 'Lighting Inventory'!R284)</f>
        <v/>
      </c>
      <c r="AD276" s="26" t="str">
        <f>IF(B276="", "", 'Lighting Inventory'!S284)</f>
        <v/>
      </c>
      <c r="AE276" s="26" t="str">
        <f>IF(B276="", "", 'Lighting Inventory'!V284)</f>
        <v/>
      </c>
      <c r="AF276" s="26" t="str">
        <f>IF(B276="", "", 'Lighting Inventory'!W284)</f>
        <v/>
      </c>
      <c r="AG276" s="26" t="str">
        <f>IF(OR(AF276="", B276=""), "", IF(AE276="Custom", "0", VLOOKUP(AF276, 'Lookup Tables'!$AI$6:$AP$102, 8, FALSE)))</f>
        <v/>
      </c>
      <c r="AH276" s="26" t="str">
        <f>IF(B276="", "", 'Lighting Inventory'!AD284)</f>
        <v/>
      </c>
      <c r="AI276" s="26" t="str">
        <f>IF(OR('Lighting Inventory'!AK284="", B276=""), "", 'Lighting Inventory'!AK284)</f>
        <v/>
      </c>
      <c r="AJ276" s="66" t="str">
        <f>IF(B276="", "", 'Lighting Inventory'!AL284)</f>
        <v/>
      </c>
      <c r="AK276" s="65" t="str">
        <f>IF(B276="", "", 'Lighting Inventory'!AM284)</f>
        <v/>
      </c>
      <c r="AL276" s="26" t="str">
        <f>IF(B276="", "", 'Lighting Inventory'!AN284)</f>
        <v/>
      </c>
      <c r="AM276" s="26" t="str">
        <f t="shared" si="15"/>
        <v/>
      </c>
      <c r="AN276" s="26" t="str">
        <f>IF(B276="","",IF('Lighting Inventory'!AV284="","Prescribed",'Lighting Inventory'!AV284))</f>
        <v/>
      </c>
      <c r="AO276" s="66" t="str">
        <f>IF(B276="", "", 'Lighting Inventory'!AX284)</f>
        <v/>
      </c>
      <c r="AP276" s="67" t="str">
        <f>IF(B276="", "", 'Lighting Inventory'!AZ284)</f>
        <v/>
      </c>
      <c r="AQ276" s="67" t="str">
        <f>IF(B276="", "", 'Lighting Inventory'!BA284)</f>
        <v/>
      </c>
      <c r="AR276" s="67" t="str">
        <f>IF(B276="", "", 'Lighting Inventory'!BB284)</f>
        <v/>
      </c>
      <c r="AS276" s="67" t="str">
        <f>IF(B276="", "", 'Lighting Inventory'!BC284)</f>
        <v/>
      </c>
      <c r="AT276" s="67" t="str">
        <f>IF(B276="", "", 'Lighting Inventory'!BD284)</f>
        <v/>
      </c>
      <c r="AU276" s="67" t="str">
        <f>IF(B276="", "", 'Lighting Inventory'!BE284)</f>
        <v/>
      </c>
      <c r="AV276" s="67" t="str">
        <f>IF(B276="", "", 'Lighting Inventory'!BE284)</f>
        <v/>
      </c>
      <c r="AW276" s="67" t="str">
        <f>IF(B276="", "", 'Lighting Inventory'!BF284)</f>
        <v/>
      </c>
      <c r="AX276" s="67" t="str">
        <f>IF(B276="", "", 'Lighting Inventory'!BF284)</f>
        <v/>
      </c>
      <c r="AY276" s="65" t="str">
        <f t="shared" si="16"/>
        <v/>
      </c>
      <c r="AZ276" s="65" t="str">
        <f>IF(B276="", "", 'Lighting Inventory'!BJ284)</f>
        <v/>
      </c>
      <c r="BA276" s="65" t="str">
        <f>IF(B276="", "", 'Lighting Inventory'!BM284)</f>
        <v/>
      </c>
      <c r="BB276" s="65" t="str">
        <f>IF(B276="","",SUM('Lighting Inventory'!BP284:BP284))</f>
        <v/>
      </c>
      <c r="BC276" s="67" t="str">
        <f>IF(OR(AE276="", B276=""),"", 'Lighting Inventory'!GR284)</f>
        <v/>
      </c>
      <c r="BD276" s="67" t="str">
        <f>IFERROR(IF(B276="", "", 'Lighting Inventory'!AF284)*AD276," ")</f>
        <v xml:space="preserve"> </v>
      </c>
      <c r="BE276" s="67"/>
      <c r="BF276" s="67"/>
    </row>
    <row r="277" spans="1:58" x14ac:dyDescent="0.25">
      <c r="A277" s="26" t="str">
        <f>IF(B277="", "", 'Lookup Tables'!AW278)</f>
        <v/>
      </c>
      <c r="B277" s="26" t="str">
        <f>IF(OR('Lighting Inventory'!Y285="", 'Lighting Inventory'!V285="No Change"),"", 'Lighting Inventory'!Y285)</f>
        <v/>
      </c>
      <c r="C277" s="26" t="str">
        <f>IF(B277="", "", IF('Lighting Inventory'!Y285='Lookup Tables'!$Y$32, 'Lighting Inventory'!AJ285, IF(AD277=0, R277, AD277)))</f>
        <v/>
      </c>
      <c r="D277" s="26" t="str">
        <f>IF(B277="", "", 'General Information'!$F$14)</f>
        <v/>
      </c>
      <c r="E277" s="26" t="str">
        <f t="shared" si="14"/>
        <v/>
      </c>
      <c r="F277" s="26" t="str">
        <f>IF(B277="", "", CONCATENATE('General Information'!$F$9, " - ", 'General Information'!$F$14))</f>
        <v/>
      </c>
      <c r="G277" s="26" t="str">
        <f>IF(B277="", "", 'General Information'!$F$15)</f>
        <v/>
      </c>
      <c r="H277" s="26" t="str">
        <f>IF(B277="", "", IF(VLOOKUP(B277, 'Lookup Tables'!$Y$18:$AA$34, 2, FALSE)="Traffic", VLOOKUP('Lighting Inventory'!W285, 'Lookup Tables'!#REF!, 11, FALSE), VLOOKUP(B277, 'Lookup Tables'!$Y$18:$AA$34, 2, FALSE)))</f>
        <v/>
      </c>
      <c r="I277" s="26" t="str">
        <f>IF(B277="", "", CONCATENATE(D277, 'Data Export'!A277))</f>
        <v/>
      </c>
      <c r="J277" s="26" t="str">
        <f>IF(B277="", "", 'Lookup Tables'!$B$1)</f>
        <v/>
      </c>
      <c r="K277" s="26" t="str">
        <f>IF(B277="", "", 'Lighting Inventory'!B285)</f>
        <v/>
      </c>
      <c r="L277" s="26" t="str">
        <f>IF(B277="", "", 'Lighting Inventory'!C285)</f>
        <v/>
      </c>
      <c r="M277" s="26" t="str">
        <f>IF(B277="", "",'Lighting Inventory'!D285)</f>
        <v/>
      </c>
      <c r="N277" s="26" t="str">
        <f>IF(B277="", "",'Lighting Inventory'!E285)</f>
        <v/>
      </c>
      <c r="O277" s="26" t="str">
        <f>IF(B277="", "", 'Lighting Inventory'!F285)</f>
        <v/>
      </c>
      <c r="P277" s="26" t="str">
        <f>IF(B277="", "", 'Lighting Inventory'!G285)</f>
        <v/>
      </c>
      <c r="Q277" s="26" t="str">
        <f>IF(B277="", "", 'Lighting Inventory'!H285)</f>
        <v/>
      </c>
      <c r="R277" s="26" t="str">
        <f>IF(B277="", "", 'Lighting Inventory'!I285)</f>
        <v/>
      </c>
      <c r="S277" s="26" t="str">
        <f>IF(B277="", "", 'Lighting Inventory'!J285)</f>
        <v/>
      </c>
      <c r="T277" s="26" t="str">
        <f>IFERROR(IF(B277="","",VLOOKUP(S277,'Fixture Identities'!$A$7:$G$1023,5,FALSE)), "New Construction")</f>
        <v/>
      </c>
      <c r="U277" s="26" t="str">
        <f>IFERROR(IF(B277="", "", IF(K277="New Construction", "NC", IF(VLOOKUP(S277, 'Fixture Identities'!$A$7:$I$1023,3, FALSE)="T12 Linear Fluorescent", VLOOKUP(S277, 'Fixture Identities'!$A$7:$K$1012, 11, FALSE), S277))), "")</f>
        <v/>
      </c>
      <c r="V277" s="26" t="str">
        <f>IFERROR(IF(OR(B277="", U277=0), "", VLOOKUP(U277, 'Fixture Identities'!$A$7:$G$1023, 5, FALSE)), "")</f>
        <v/>
      </c>
      <c r="W277" s="26" t="str">
        <f>IF(B277="", "",'Lighting Inventory'!K285)</f>
        <v/>
      </c>
      <c r="X277" s="65" t="str">
        <f>IF(B277="", "", 'Lighting Inventory'!L285)</f>
        <v/>
      </c>
      <c r="Y277" s="26" t="str">
        <f>IF(B277="", "", IF('Lighting Inventory'!M285="", "Light Switch",'Lighting Inventory'!M285))</f>
        <v/>
      </c>
      <c r="Z277" s="26" t="str">
        <f>IF(OR(K277="Retrofit", B277=""), "", 'Lighting Inventory'!N285)</f>
        <v/>
      </c>
      <c r="AA277" s="26" t="str">
        <f>IF(OR(Z277="",B277=""), "", 'Lighting Inventory'!O285)</f>
        <v/>
      </c>
      <c r="AB277" s="26" t="str">
        <f>IF(B277="", "", 'Lighting Inventory'!P285)</f>
        <v/>
      </c>
      <c r="AC277" s="96" t="str">
        <f>IF(B277="", "", 'Lighting Inventory'!R285)</f>
        <v/>
      </c>
      <c r="AD277" s="26" t="str">
        <f>IF(B277="", "", 'Lighting Inventory'!S285)</f>
        <v/>
      </c>
      <c r="AE277" s="26" t="str">
        <f>IF(B277="", "", 'Lighting Inventory'!V285)</f>
        <v/>
      </c>
      <c r="AF277" s="26" t="str">
        <f>IF(B277="", "", 'Lighting Inventory'!W285)</f>
        <v/>
      </c>
      <c r="AG277" s="26" t="str">
        <f>IF(OR(AF277="", B277=""), "", IF(AE277="Custom", "0", VLOOKUP(AF277, 'Lookup Tables'!$AI$6:$AP$102, 8, FALSE)))</f>
        <v/>
      </c>
      <c r="AH277" s="26" t="str">
        <f>IF(B277="", "", 'Lighting Inventory'!AD285)</f>
        <v/>
      </c>
      <c r="AI277" s="26" t="str">
        <f>IF(OR('Lighting Inventory'!AK285="", B277=""), "", 'Lighting Inventory'!AK285)</f>
        <v/>
      </c>
      <c r="AJ277" s="66" t="str">
        <f>IF(B277="", "", 'Lighting Inventory'!AL285)</f>
        <v/>
      </c>
      <c r="AK277" s="65" t="str">
        <f>IF(B277="", "", 'Lighting Inventory'!AM285)</f>
        <v/>
      </c>
      <c r="AL277" s="26" t="str">
        <f>IF(B277="", "", 'Lighting Inventory'!AN285)</f>
        <v/>
      </c>
      <c r="AM277" s="26" t="str">
        <f t="shared" si="15"/>
        <v/>
      </c>
      <c r="AN277" s="26" t="str">
        <f>IF(B277="","",IF('Lighting Inventory'!AV285="","Prescribed",'Lighting Inventory'!AV285))</f>
        <v/>
      </c>
      <c r="AO277" s="66" t="str">
        <f>IF(B277="", "", 'Lighting Inventory'!AX285)</f>
        <v/>
      </c>
      <c r="AP277" s="67" t="str">
        <f>IF(B277="", "", 'Lighting Inventory'!AZ285)</f>
        <v/>
      </c>
      <c r="AQ277" s="67" t="str">
        <f>IF(B277="", "", 'Lighting Inventory'!BA285)</f>
        <v/>
      </c>
      <c r="AR277" s="67" t="str">
        <f>IF(B277="", "", 'Lighting Inventory'!BB285)</f>
        <v/>
      </c>
      <c r="AS277" s="67" t="str">
        <f>IF(B277="", "", 'Lighting Inventory'!BC285)</f>
        <v/>
      </c>
      <c r="AT277" s="67" t="str">
        <f>IF(B277="", "", 'Lighting Inventory'!BD285)</f>
        <v/>
      </c>
      <c r="AU277" s="67" t="str">
        <f>IF(B277="", "", 'Lighting Inventory'!BE285)</f>
        <v/>
      </c>
      <c r="AV277" s="67" t="str">
        <f>IF(B277="", "", 'Lighting Inventory'!BE285)</f>
        <v/>
      </c>
      <c r="AW277" s="67" t="str">
        <f>IF(B277="", "", 'Lighting Inventory'!BF285)</f>
        <v/>
      </c>
      <c r="AX277" s="67" t="str">
        <f>IF(B277="", "", 'Lighting Inventory'!BF285)</f>
        <v/>
      </c>
      <c r="AY277" s="65" t="str">
        <f t="shared" si="16"/>
        <v/>
      </c>
      <c r="AZ277" s="65" t="str">
        <f>IF(B277="", "", 'Lighting Inventory'!BJ285)</f>
        <v/>
      </c>
      <c r="BA277" s="65" t="str">
        <f>IF(B277="", "", 'Lighting Inventory'!BM285)</f>
        <v/>
      </c>
      <c r="BB277" s="65" t="str">
        <f>IF(B277="","",SUM('Lighting Inventory'!BP285:BP285))</f>
        <v/>
      </c>
      <c r="BC277" s="67" t="str">
        <f>IF(OR(AE277="", B277=""),"", 'Lighting Inventory'!GR285)</f>
        <v/>
      </c>
      <c r="BD277" s="67" t="str">
        <f>IFERROR(IF(B277="", "", 'Lighting Inventory'!AF285)*AD277," ")</f>
        <v xml:space="preserve"> </v>
      </c>
      <c r="BE277" s="67"/>
      <c r="BF277" s="67"/>
    </row>
    <row r="278" spans="1:58" x14ac:dyDescent="0.25">
      <c r="A278" s="26" t="str">
        <f>IF(B278="", "", 'Lookup Tables'!AW279)</f>
        <v/>
      </c>
      <c r="B278" s="26" t="str">
        <f>IF(OR('Lighting Inventory'!Y286="", 'Lighting Inventory'!V286="No Change"),"", 'Lighting Inventory'!Y286)</f>
        <v/>
      </c>
      <c r="C278" s="26" t="str">
        <f>IF(B278="", "", IF('Lighting Inventory'!Y286='Lookup Tables'!$Y$32, 'Lighting Inventory'!AJ286, IF(AD278=0, R278, AD278)))</f>
        <v/>
      </c>
      <c r="D278" s="26" t="str">
        <f>IF(B278="", "", 'General Information'!$F$14)</f>
        <v/>
      </c>
      <c r="E278" s="26" t="str">
        <f t="shared" si="14"/>
        <v/>
      </c>
      <c r="F278" s="26" t="str">
        <f>IF(B278="", "", CONCATENATE('General Information'!$F$9, " - ", 'General Information'!$F$14))</f>
        <v/>
      </c>
      <c r="G278" s="26" t="str">
        <f>IF(B278="", "", 'General Information'!$F$15)</f>
        <v/>
      </c>
      <c r="H278" s="26" t="str">
        <f>IF(B278="", "", IF(VLOOKUP(B278, 'Lookup Tables'!$Y$18:$AA$34, 2, FALSE)="Traffic", VLOOKUP('Lighting Inventory'!W286, 'Lookup Tables'!#REF!, 11, FALSE), VLOOKUP(B278, 'Lookup Tables'!$Y$18:$AA$34, 2, FALSE)))</f>
        <v/>
      </c>
      <c r="I278" s="26" t="str">
        <f>IF(B278="", "", CONCATENATE(D278, 'Data Export'!A278))</f>
        <v/>
      </c>
      <c r="J278" s="26" t="str">
        <f>IF(B278="", "", 'Lookup Tables'!$B$1)</f>
        <v/>
      </c>
      <c r="K278" s="26" t="str">
        <f>IF(B278="", "", 'Lighting Inventory'!B286)</f>
        <v/>
      </c>
      <c r="L278" s="26" t="str">
        <f>IF(B278="", "", 'Lighting Inventory'!C286)</f>
        <v/>
      </c>
      <c r="M278" s="26" t="str">
        <f>IF(B278="", "",'Lighting Inventory'!D286)</f>
        <v/>
      </c>
      <c r="N278" s="26" t="str">
        <f>IF(B278="", "",'Lighting Inventory'!E286)</f>
        <v/>
      </c>
      <c r="O278" s="26" t="str">
        <f>IF(B278="", "", 'Lighting Inventory'!F286)</f>
        <v/>
      </c>
      <c r="P278" s="26" t="str">
        <f>IF(B278="", "", 'Lighting Inventory'!G286)</f>
        <v/>
      </c>
      <c r="Q278" s="26" t="str">
        <f>IF(B278="", "", 'Lighting Inventory'!H286)</f>
        <v/>
      </c>
      <c r="R278" s="26" t="str">
        <f>IF(B278="", "", 'Lighting Inventory'!I286)</f>
        <v/>
      </c>
      <c r="S278" s="26" t="str">
        <f>IF(B278="", "", 'Lighting Inventory'!J286)</f>
        <v/>
      </c>
      <c r="T278" s="26" t="str">
        <f>IFERROR(IF(B278="","",VLOOKUP(S278,'Fixture Identities'!$A$7:$G$1023,5,FALSE)), "New Construction")</f>
        <v/>
      </c>
      <c r="U278" s="26" t="str">
        <f>IFERROR(IF(B278="", "", IF(K278="New Construction", "NC", IF(VLOOKUP(S278, 'Fixture Identities'!$A$7:$I$1023,3, FALSE)="T12 Linear Fluorescent", VLOOKUP(S278, 'Fixture Identities'!$A$7:$K$1012, 11, FALSE), S278))), "")</f>
        <v/>
      </c>
      <c r="V278" s="26" t="str">
        <f>IFERROR(IF(OR(B278="", U278=0), "", VLOOKUP(U278, 'Fixture Identities'!$A$7:$G$1023, 5, FALSE)), "")</f>
        <v/>
      </c>
      <c r="W278" s="26" t="str">
        <f>IF(B278="", "",'Lighting Inventory'!K286)</f>
        <v/>
      </c>
      <c r="X278" s="65" t="str">
        <f>IF(B278="", "", 'Lighting Inventory'!L286)</f>
        <v/>
      </c>
      <c r="Y278" s="26" t="str">
        <f>IF(B278="", "", IF('Lighting Inventory'!M286="", "Light Switch",'Lighting Inventory'!M286))</f>
        <v/>
      </c>
      <c r="Z278" s="26" t="str">
        <f>IF(OR(K278="Retrofit", B278=""), "", 'Lighting Inventory'!N286)</f>
        <v/>
      </c>
      <c r="AA278" s="26" t="str">
        <f>IF(OR(Z278="",B278=""), "", 'Lighting Inventory'!O286)</f>
        <v/>
      </c>
      <c r="AB278" s="26" t="str">
        <f>IF(B278="", "", 'Lighting Inventory'!P286)</f>
        <v/>
      </c>
      <c r="AC278" s="96" t="str">
        <f>IF(B278="", "", 'Lighting Inventory'!R286)</f>
        <v/>
      </c>
      <c r="AD278" s="26" t="str">
        <f>IF(B278="", "", 'Lighting Inventory'!S286)</f>
        <v/>
      </c>
      <c r="AE278" s="26" t="str">
        <f>IF(B278="", "", 'Lighting Inventory'!V286)</f>
        <v/>
      </c>
      <c r="AF278" s="26" t="str">
        <f>IF(B278="", "", 'Lighting Inventory'!W286)</f>
        <v/>
      </c>
      <c r="AG278" s="26" t="str">
        <f>IF(OR(AF278="", B278=""), "", IF(AE278="Custom", "0", VLOOKUP(AF278, 'Lookup Tables'!$AI$6:$AP$102, 8, FALSE)))</f>
        <v/>
      </c>
      <c r="AH278" s="26" t="str">
        <f>IF(B278="", "", 'Lighting Inventory'!AD286)</f>
        <v/>
      </c>
      <c r="AI278" s="26" t="str">
        <f>IF(OR('Lighting Inventory'!AK286="", B278=""), "", 'Lighting Inventory'!AK286)</f>
        <v/>
      </c>
      <c r="AJ278" s="66" t="str">
        <f>IF(B278="", "", 'Lighting Inventory'!AL286)</f>
        <v/>
      </c>
      <c r="AK278" s="65" t="str">
        <f>IF(B278="", "", 'Lighting Inventory'!AM286)</f>
        <v/>
      </c>
      <c r="AL278" s="26" t="str">
        <f>IF(B278="", "", 'Lighting Inventory'!AN286)</f>
        <v/>
      </c>
      <c r="AM278" s="26" t="str">
        <f t="shared" si="15"/>
        <v/>
      </c>
      <c r="AN278" s="26" t="str">
        <f>IF(B278="","",IF('Lighting Inventory'!AV286="","Prescribed",'Lighting Inventory'!AV286))</f>
        <v/>
      </c>
      <c r="AO278" s="66" t="str">
        <f>IF(B278="", "", 'Lighting Inventory'!AX286)</f>
        <v/>
      </c>
      <c r="AP278" s="67" t="str">
        <f>IF(B278="", "", 'Lighting Inventory'!AZ286)</f>
        <v/>
      </c>
      <c r="AQ278" s="67" t="str">
        <f>IF(B278="", "", 'Lighting Inventory'!BA286)</f>
        <v/>
      </c>
      <c r="AR278" s="67" t="str">
        <f>IF(B278="", "", 'Lighting Inventory'!BB286)</f>
        <v/>
      </c>
      <c r="AS278" s="67" t="str">
        <f>IF(B278="", "", 'Lighting Inventory'!BC286)</f>
        <v/>
      </c>
      <c r="AT278" s="67" t="str">
        <f>IF(B278="", "", 'Lighting Inventory'!BD286)</f>
        <v/>
      </c>
      <c r="AU278" s="67" t="str">
        <f>IF(B278="", "", 'Lighting Inventory'!BE286)</f>
        <v/>
      </c>
      <c r="AV278" s="67" t="str">
        <f>IF(B278="", "", 'Lighting Inventory'!BE286)</f>
        <v/>
      </c>
      <c r="AW278" s="67" t="str">
        <f>IF(B278="", "", 'Lighting Inventory'!BF286)</f>
        <v/>
      </c>
      <c r="AX278" s="67" t="str">
        <f>IF(B278="", "", 'Lighting Inventory'!BF286)</f>
        <v/>
      </c>
      <c r="AY278" s="65" t="str">
        <f t="shared" si="16"/>
        <v/>
      </c>
      <c r="AZ278" s="65" t="str">
        <f>IF(B278="", "", 'Lighting Inventory'!BJ286)</f>
        <v/>
      </c>
      <c r="BA278" s="65" t="str">
        <f>IF(B278="", "", 'Lighting Inventory'!BM286)</f>
        <v/>
      </c>
      <c r="BB278" s="65" t="str">
        <f>IF(B278="","",SUM('Lighting Inventory'!BP286:BP286))</f>
        <v/>
      </c>
      <c r="BC278" s="67" t="str">
        <f>IF(OR(AE278="", B278=""),"", 'Lighting Inventory'!GR286)</f>
        <v/>
      </c>
      <c r="BD278" s="67" t="str">
        <f>IFERROR(IF(B278="", "", 'Lighting Inventory'!AF286)*AD278," ")</f>
        <v xml:space="preserve"> </v>
      </c>
      <c r="BE278" s="67"/>
      <c r="BF278" s="67"/>
    </row>
    <row r="279" spans="1:58" x14ac:dyDescent="0.25">
      <c r="A279" s="26" t="str">
        <f>IF(B279="", "", 'Lookup Tables'!AW280)</f>
        <v/>
      </c>
      <c r="B279" s="26" t="str">
        <f>IF(OR('Lighting Inventory'!Y287="", 'Lighting Inventory'!V287="No Change"),"", 'Lighting Inventory'!Y287)</f>
        <v/>
      </c>
      <c r="C279" s="26" t="str">
        <f>IF(B279="", "", IF('Lighting Inventory'!Y287='Lookup Tables'!$Y$32, 'Lighting Inventory'!AJ287, IF(AD279=0, R279, AD279)))</f>
        <v/>
      </c>
      <c r="D279" s="26" t="str">
        <f>IF(B279="", "", 'General Information'!$F$14)</f>
        <v/>
      </c>
      <c r="E279" s="26" t="str">
        <f t="shared" si="14"/>
        <v/>
      </c>
      <c r="F279" s="26" t="str">
        <f>IF(B279="", "", CONCATENATE('General Information'!$F$9, " - ", 'General Information'!$F$14))</f>
        <v/>
      </c>
      <c r="G279" s="26" t="str">
        <f>IF(B279="", "", 'General Information'!$F$15)</f>
        <v/>
      </c>
      <c r="H279" s="26" t="str">
        <f>IF(B279="", "", IF(VLOOKUP(B279, 'Lookup Tables'!$Y$18:$AA$34, 2, FALSE)="Traffic", VLOOKUP('Lighting Inventory'!W287, 'Lookup Tables'!#REF!, 11, FALSE), VLOOKUP(B279, 'Lookup Tables'!$Y$18:$AA$34, 2, FALSE)))</f>
        <v/>
      </c>
      <c r="I279" s="26" t="str">
        <f>IF(B279="", "", CONCATENATE(D279, 'Data Export'!A279))</f>
        <v/>
      </c>
      <c r="J279" s="26" t="str">
        <f>IF(B279="", "", 'Lookup Tables'!$B$1)</f>
        <v/>
      </c>
      <c r="K279" s="26" t="str">
        <f>IF(B279="", "", 'Lighting Inventory'!B287)</f>
        <v/>
      </c>
      <c r="L279" s="26" t="str">
        <f>IF(B279="", "", 'Lighting Inventory'!C287)</f>
        <v/>
      </c>
      <c r="M279" s="26" t="str">
        <f>IF(B279="", "",'Lighting Inventory'!D287)</f>
        <v/>
      </c>
      <c r="N279" s="26" t="str">
        <f>IF(B279="", "",'Lighting Inventory'!E287)</f>
        <v/>
      </c>
      <c r="O279" s="26" t="str">
        <f>IF(B279="", "", 'Lighting Inventory'!F287)</f>
        <v/>
      </c>
      <c r="P279" s="26" t="str">
        <f>IF(B279="", "", 'Lighting Inventory'!G287)</f>
        <v/>
      </c>
      <c r="Q279" s="26" t="str">
        <f>IF(B279="", "", 'Lighting Inventory'!H287)</f>
        <v/>
      </c>
      <c r="R279" s="26" t="str">
        <f>IF(B279="", "", 'Lighting Inventory'!I287)</f>
        <v/>
      </c>
      <c r="S279" s="26" t="str">
        <f>IF(B279="", "", 'Lighting Inventory'!J287)</f>
        <v/>
      </c>
      <c r="T279" s="26" t="str">
        <f>IFERROR(IF(B279="","",VLOOKUP(S279,'Fixture Identities'!$A$7:$G$1023,5,FALSE)), "New Construction")</f>
        <v/>
      </c>
      <c r="U279" s="26" t="str">
        <f>IFERROR(IF(B279="", "", IF(K279="New Construction", "NC", IF(VLOOKUP(S279, 'Fixture Identities'!$A$7:$I$1023,3, FALSE)="T12 Linear Fluorescent", VLOOKUP(S279, 'Fixture Identities'!$A$7:$K$1012, 11, FALSE), S279))), "")</f>
        <v/>
      </c>
      <c r="V279" s="26" t="str">
        <f>IFERROR(IF(OR(B279="", U279=0), "", VLOOKUP(U279, 'Fixture Identities'!$A$7:$G$1023, 5, FALSE)), "")</f>
        <v/>
      </c>
      <c r="W279" s="26" t="str">
        <f>IF(B279="", "",'Lighting Inventory'!K287)</f>
        <v/>
      </c>
      <c r="X279" s="65" t="str">
        <f>IF(B279="", "", 'Lighting Inventory'!L287)</f>
        <v/>
      </c>
      <c r="Y279" s="26" t="str">
        <f>IF(B279="", "", IF('Lighting Inventory'!M287="", "Light Switch",'Lighting Inventory'!M287))</f>
        <v/>
      </c>
      <c r="Z279" s="26" t="str">
        <f>IF(OR(K279="Retrofit", B279=""), "", 'Lighting Inventory'!N287)</f>
        <v/>
      </c>
      <c r="AA279" s="26" t="str">
        <f>IF(OR(Z279="",B279=""), "", 'Lighting Inventory'!O287)</f>
        <v/>
      </c>
      <c r="AB279" s="26" t="str">
        <f>IF(B279="", "", 'Lighting Inventory'!P287)</f>
        <v/>
      </c>
      <c r="AC279" s="96" t="str">
        <f>IF(B279="", "", 'Lighting Inventory'!R287)</f>
        <v/>
      </c>
      <c r="AD279" s="26" t="str">
        <f>IF(B279="", "", 'Lighting Inventory'!S287)</f>
        <v/>
      </c>
      <c r="AE279" s="26" t="str">
        <f>IF(B279="", "", 'Lighting Inventory'!V287)</f>
        <v/>
      </c>
      <c r="AF279" s="26" t="str">
        <f>IF(B279="", "", 'Lighting Inventory'!W287)</f>
        <v/>
      </c>
      <c r="AG279" s="26" t="str">
        <f>IF(OR(AF279="", B279=""), "", IF(AE279="Custom", "0", VLOOKUP(AF279, 'Lookup Tables'!$AI$6:$AP$102, 8, FALSE)))</f>
        <v/>
      </c>
      <c r="AH279" s="26" t="str">
        <f>IF(B279="", "", 'Lighting Inventory'!AD287)</f>
        <v/>
      </c>
      <c r="AI279" s="26" t="str">
        <f>IF(OR('Lighting Inventory'!AK287="", B279=""), "", 'Lighting Inventory'!AK287)</f>
        <v/>
      </c>
      <c r="AJ279" s="66" t="str">
        <f>IF(B279="", "", 'Lighting Inventory'!AL287)</f>
        <v/>
      </c>
      <c r="AK279" s="65" t="str">
        <f>IF(B279="", "", 'Lighting Inventory'!AM287)</f>
        <v/>
      </c>
      <c r="AL279" s="26" t="str">
        <f>IF(B279="", "", 'Lighting Inventory'!AN287)</f>
        <v/>
      </c>
      <c r="AM279" s="26" t="str">
        <f t="shared" si="15"/>
        <v/>
      </c>
      <c r="AN279" s="26" t="str">
        <f>IF(B279="","",IF('Lighting Inventory'!AV287="","Prescribed",'Lighting Inventory'!AV287))</f>
        <v/>
      </c>
      <c r="AO279" s="66" t="str">
        <f>IF(B279="", "", 'Lighting Inventory'!AX287)</f>
        <v/>
      </c>
      <c r="AP279" s="67" t="str">
        <f>IF(B279="", "", 'Lighting Inventory'!AZ287)</f>
        <v/>
      </c>
      <c r="AQ279" s="67" t="str">
        <f>IF(B279="", "", 'Lighting Inventory'!BA287)</f>
        <v/>
      </c>
      <c r="AR279" s="67" t="str">
        <f>IF(B279="", "", 'Lighting Inventory'!BB287)</f>
        <v/>
      </c>
      <c r="AS279" s="67" t="str">
        <f>IF(B279="", "", 'Lighting Inventory'!BC287)</f>
        <v/>
      </c>
      <c r="AT279" s="67" t="str">
        <f>IF(B279="", "", 'Lighting Inventory'!BD287)</f>
        <v/>
      </c>
      <c r="AU279" s="67" t="str">
        <f>IF(B279="", "", 'Lighting Inventory'!BE287)</f>
        <v/>
      </c>
      <c r="AV279" s="67" t="str">
        <f>IF(B279="", "", 'Lighting Inventory'!BE287)</f>
        <v/>
      </c>
      <c r="AW279" s="67" t="str">
        <f>IF(B279="", "", 'Lighting Inventory'!BF287)</f>
        <v/>
      </c>
      <c r="AX279" s="67" t="str">
        <f>IF(B279="", "", 'Lighting Inventory'!BF287)</f>
        <v/>
      </c>
      <c r="AY279" s="65" t="str">
        <f t="shared" si="16"/>
        <v/>
      </c>
      <c r="AZ279" s="65" t="str">
        <f>IF(B279="", "", 'Lighting Inventory'!BJ287)</f>
        <v/>
      </c>
      <c r="BA279" s="65" t="str">
        <f>IF(B279="", "", 'Lighting Inventory'!BM287)</f>
        <v/>
      </c>
      <c r="BB279" s="65" t="str">
        <f>IF(B279="","",SUM('Lighting Inventory'!BP287:BP287))</f>
        <v/>
      </c>
      <c r="BC279" s="67" t="str">
        <f>IF(OR(AE279="", B279=""),"", 'Lighting Inventory'!GR287)</f>
        <v/>
      </c>
      <c r="BD279" s="67" t="str">
        <f>IFERROR(IF(B279="", "", 'Lighting Inventory'!AF287)*AD279," ")</f>
        <v xml:space="preserve"> </v>
      </c>
      <c r="BE279" s="67"/>
      <c r="BF279" s="67"/>
    </row>
    <row r="280" spans="1:58" x14ac:dyDescent="0.25">
      <c r="A280" s="26" t="str">
        <f>IF(B280="", "", 'Lookup Tables'!AW281)</f>
        <v/>
      </c>
      <c r="B280" s="26" t="str">
        <f>IF(OR('Lighting Inventory'!Y288="", 'Lighting Inventory'!V288="No Change"),"", 'Lighting Inventory'!Y288)</f>
        <v/>
      </c>
      <c r="C280" s="26" t="str">
        <f>IF(B280="", "", IF('Lighting Inventory'!Y288='Lookup Tables'!$Y$32, 'Lighting Inventory'!AJ288, IF(AD280=0, R280, AD280)))</f>
        <v/>
      </c>
      <c r="D280" s="26" t="str">
        <f>IF(B280="", "", 'General Information'!$F$14)</f>
        <v/>
      </c>
      <c r="E280" s="26" t="str">
        <f t="shared" si="14"/>
        <v/>
      </c>
      <c r="F280" s="26" t="str">
        <f>IF(B280="", "", CONCATENATE('General Information'!$F$9, " - ", 'General Information'!$F$14))</f>
        <v/>
      </c>
      <c r="G280" s="26" t="str">
        <f>IF(B280="", "", 'General Information'!$F$15)</f>
        <v/>
      </c>
      <c r="H280" s="26" t="str">
        <f>IF(B280="", "", IF(VLOOKUP(B280, 'Lookup Tables'!$Y$18:$AA$34, 2, FALSE)="Traffic", VLOOKUP('Lighting Inventory'!W288, 'Lookup Tables'!#REF!, 11, FALSE), VLOOKUP(B280, 'Lookup Tables'!$Y$18:$AA$34, 2, FALSE)))</f>
        <v/>
      </c>
      <c r="I280" s="26" t="str">
        <f>IF(B280="", "", CONCATENATE(D280, 'Data Export'!A280))</f>
        <v/>
      </c>
      <c r="J280" s="26" t="str">
        <f>IF(B280="", "", 'Lookup Tables'!$B$1)</f>
        <v/>
      </c>
      <c r="K280" s="26" t="str">
        <f>IF(B280="", "", 'Lighting Inventory'!B288)</f>
        <v/>
      </c>
      <c r="L280" s="26" t="str">
        <f>IF(B280="", "", 'Lighting Inventory'!C288)</f>
        <v/>
      </c>
      <c r="M280" s="26" t="str">
        <f>IF(B280="", "",'Lighting Inventory'!D288)</f>
        <v/>
      </c>
      <c r="N280" s="26" t="str">
        <f>IF(B280="", "",'Lighting Inventory'!E288)</f>
        <v/>
      </c>
      <c r="O280" s="26" t="str">
        <f>IF(B280="", "", 'Lighting Inventory'!F288)</f>
        <v/>
      </c>
      <c r="P280" s="26" t="str">
        <f>IF(B280="", "", 'Lighting Inventory'!G288)</f>
        <v/>
      </c>
      <c r="Q280" s="26" t="str">
        <f>IF(B280="", "", 'Lighting Inventory'!H288)</f>
        <v/>
      </c>
      <c r="R280" s="26" t="str">
        <f>IF(B280="", "", 'Lighting Inventory'!I288)</f>
        <v/>
      </c>
      <c r="S280" s="26" t="str">
        <f>IF(B280="", "", 'Lighting Inventory'!J288)</f>
        <v/>
      </c>
      <c r="T280" s="26" t="str">
        <f>IFERROR(IF(B280="","",VLOOKUP(S280,'Fixture Identities'!$A$7:$G$1023,5,FALSE)), "New Construction")</f>
        <v/>
      </c>
      <c r="U280" s="26" t="str">
        <f>IFERROR(IF(B280="", "", IF(K280="New Construction", "NC", IF(VLOOKUP(S280, 'Fixture Identities'!$A$7:$I$1023,3, FALSE)="T12 Linear Fluorescent", VLOOKUP(S280, 'Fixture Identities'!$A$7:$K$1012, 11, FALSE), S280))), "")</f>
        <v/>
      </c>
      <c r="V280" s="26" t="str">
        <f>IFERROR(IF(OR(B280="", U280=0), "", VLOOKUP(U280, 'Fixture Identities'!$A$7:$G$1023, 5, FALSE)), "")</f>
        <v/>
      </c>
      <c r="W280" s="26" t="str">
        <f>IF(B280="", "",'Lighting Inventory'!K288)</f>
        <v/>
      </c>
      <c r="X280" s="65" t="str">
        <f>IF(B280="", "", 'Lighting Inventory'!L288)</f>
        <v/>
      </c>
      <c r="Y280" s="26" t="str">
        <f>IF(B280="", "", IF('Lighting Inventory'!M288="", "Light Switch",'Lighting Inventory'!M288))</f>
        <v/>
      </c>
      <c r="Z280" s="26" t="str">
        <f>IF(OR(K280="Retrofit", B280=""), "", 'Lighting Inventory'!N288)</f>
        <v/>
      </c>
      <c r="AA280" s="26" t="str">
        <f>IF(OR(Z280="",B280=""), "", 'Lighting Inventory'!O288)</f>
        <v/>
      </c>
      <c r="AB280" s="26" t="str">
        <f>IF(B280="", "", 'Lighting Inventory'!P288)</f>
        <v/>
      </c>
      <c r="AC280" s="96" t="str">
        <f>IF(B280="", "", 'Lighting Inventory'!R288)</f>
        <v/>
      </c>
      <c r="AD280" s="26" t="str">
        <f>IF(B280="", "", 'Lighting Inventory'!S288)</f>
        <v/>
      </c>
      <c r="AE280" s="26" t="str">
        <f>IF(B280="", "", 'Lighting Inventory'!V288)</f>
        <v/>
      </c>
      <c r="AF280" s="26" t="str">
        <f>IF(B280="", "", 'Lighting Inventory'!W288)</f>
        <v/>
      </c>
      <c r="AG280" s="26" t="str">
        <f>IF(OR(AF280="", B280=""), "", IF(AE280="Custom", "0", VLOOKUP(AF280, 'Lookup Tables'!$AI$6:$AP$102, 8, FALSE)))</f>
        <v/>
      </c>
      <c r="AH280" s="26" t="str">
        <f>IF(B280="", "", 'Lighting Inventory'!AD288)</f>
        <v/>
      </c>
      <c r="AI280" s="26" t="str">
        <f>IF(OR('Lighting Inventory'!AK288="", B280=""), "", 'Lighting Inventory'!AK288)</f>
        <v/>
      </c>
      <c r="AJ280" s="66" t="str">
        <f>IF(B280="", "", 'Lighting Inventory'!AL288)</f>
        <v/>
      </c>
      <c r="AK280" s="65" t="str">
        <f>IF(B280="", "", 'Lighting Inventory'!AM288)</f>
        <v/>
      </c>
      <c r="AL280" s="26" t="str">
        <f>IF(B280="", "", 'Lighting Inventory'!AN288)</f>
        <v/>
      </c>
      <c r="AM280" s="26" t="str">
        <f t="shared" si="15"/>
        <v/>
      </c>
      <c r="AN280" s="26" t="str">
        <f>IF(B280="","",IF('Lighting Inventory'!AV288="","Prescribed",'Lighting Inventory'!AV288))</f>
        <v/>
      </c>
      <c r="AO280" s="66" t="str">
        <f>IF(B280="", "", 'Lighting Inventory'!AX288)</f>
        <v/>
      </c>
      <c r="AP280" s="67" t="str">
        <f>IF(B280="", "", 'Lighting Inventory'!AZ288)</f>
        <v/>
      </c>
      <c r="AQ280" s="67" t="str">
        <f>IF(B280="", "", 'Lighting Inventory'!BA288)</f>
        <v/>
      </c>
      <c r="AR280" s="67" t="str">
        <f>IF(B280="", "", 'Lighting Inventory'!BB288)</f>
        <v/>
      </c>
      <c r="AS280" s="67" t="str">
        <f>IF(B280="", "", 'Lighting Inventory'!BC288)</f>
        <v/>
      </c>
      <c r="AT280" s="67" t="str">
        <f>IF(B280="", "", 'Lighting Inventory'!BD288)</f>
        <v/>
      </c>
      <c r="AU280" s="67" t="str">
        <f>IF(B280="", "", 'Lighting Inventory'!BE288)</f>
        <v/>
      </c>
      <c r="AV280" s="67" t="str">
        <f>IF(B280="", "", 'Lighting Inventory'!BE288)</f>
        <v/>
      </c>
      <c r="AW280" s="67" t="str">
        <f>IF(B280="", "", 'Lighting Inventory'!BF288)</f>
        <v/>
      </c>
      <c r="AX280" s="67" t="str">
        <f>IF(B280="", "", 'Lighting Inventory'!BF288)</f>
        <v/>
      </c>
      <c r="AY280" s="65" t="str">
        <f t="shared" si="16"/>
        <v/>
      </c>
      <c r="AZ280" s="65" t="str">
        <f>IF(B280="", "", 'Lighting Inventory'!BJ288)</f>
        <v/>
      </c>
      <c r="BA280" s="65" t="str">
        <f>IF(B280="", "", 'Lighting Inventory'!BM288)</f>
        <v/>
      </c>
      <c r="BB280" s="65" t="str">
        <f>IF(B280="","",SUM('Lighting Inventory'!BP288:BP288))</f>
        <v/>
      </c>
      <c r="BC280" s="67" t="str">
        <f>IF(OR(AE280="", B280=""),"", 'Lighting Inventory'!GR288)</f>
        <v/>
      </c>
      <c r="BD280" s="67" t="str">
        <f>IFERROR(IF(B280="", "", 'Lighting Inventory'!AF288)*AD280," ")</f>
        <v xml:space="preserve"> </v>
      </c>
      <c r="BE280" s="67"/>
      <c r="BF280" s="67"/>
    </row>
    <row r="281" spans="1:58" x14ac:dyDescent="0.25">
      <c r="A281" s="26" t="str">
        <f>IF(B281="", "", 'Lookup Tables'!AW282)</f>
        <v/>
      </c>
      <c r="B281" s="26" t="str">
        <f>IF(OR('Lighting Inventory'!Y289="", 'Lighting Inventory'!V289="No Change"),"", 'Lighting Inventory'!Y289)</f>
        <v/>
      </c>
      <c r="C281" s="26" t="str">
        <f>IF(B281="", "", IF('Lighting Inventory'!Y289='Lookup Tables'!$Y$32, 'Lighting Inventory'!AJ289, IF(AD281=0, R281, AD281)))</f>
        <v/>
      </c>
      <c r="D281" s="26" t="str">
        <f>IF(B281="", "", 'General Information'!$F$14)</f>
        <v/>
      </c>
      <c r="E281" s="26" t="str">
        <f t="shared" si="14"/>
        <v/>
      </c>
      <c r="F281" s="26" t="str">
        <f>IF(B281="", "", CONCATENATE('General Information'!$F$9, " - ", 'General Information'!$F$14))</f>
        <v/>
      </c>
      <c r="G281" s="26" t="str">
        <f>IF(B281="", "", 'General Information'!$F$15)</f>
        <v/>
      </c>
      <c r="H281" s="26" t="str">
        <f>IF(B281="", "", IF(VLOOKUP(B281, 'Lookup Tables'!$Y$18:$AA$34, 2, FALSE)="Traffic", VLOOKUP('Lighting Inventory'!W289, 'Lookup Tables'!#REF!, 11, FALSE), VLOOKUP(B281, 'Lookup Tables'!$Y$18:$AA$34, 2, FALSE)))</f>
        <v/>
      </c>
      <c r="I281" s="26" t="str">
        <f>IF(B281="", "", CONCATENATE(D281, 'Data Export'!A281))</f>
        <v/>
      </c>
      <c r="J281" s="26" t="str">
        <f>IF(B281="", "", 'Lookup Tables'!$B$1)</f>
        <v/>
      </c>
      <c r="K281" s="26" t="str">
        <f>IF(B281="", "", 'Lighting Inventory'!B289)</f>
        <v/>
      </c>
      <c r="L281" s="26" t="str">
        <f>IF(B281="", "", 'Lighting Inventory'!C289)</f>
        <v/>
      </c>
      <c r="M281" s="26" t="str">
        <f>IF(B281="", "",'Lighting Inventory'!D289)</f>
        <v/>
      </c>
      <c r="N281" s="26" t="str">
        <f>IF(B281="", "",'Lighting Inventory'!E289)</f>
        <v/>
      </c>
      <c r="O281" s="26" t="str">
        <f>IF(B281="", "", 'Lighting Inventory'!F289)</f>
        <v/>
      </c>
      <c r="P281" s="26" t="str">
        <f>IF(B281="", "", 'Lighting Inventory'!G289)</f>
        <v/>
      </c>
      <c r="Q281" s="26" t="str">
        <f>IF(B281="", "", 'Lighting Inventory'!H289)</f>
        <v/>
      </c>
      <c r="R281" s="26" t="str">
        <f>IF(B281="", "", 'Lighting Inventory'!I289)</f>
        <v/>
      </c>
      <c r="S281" s="26" t="str">
        <f>IF(B281="", "", 'Lighting Inventory'!J289)</f>
        <v/>
      </c>
      <c r="T281" s="26" t="str">
        <f>IFERROR(IF(B281="","",VLOOKUP(S281,'Fixture Identities'!$A$7:$G$1023,5,FALSE)), "New Construction")</f>
        <v/>
      </c>
      <c r="U281" s="26" t="str">
        <f>IFERROR(IF(B281="", "", IF(K281="New Construction", "NC", IF(VLOOKUP(S281, 'Fixture Identities'!$A$7:$I$1023,3, FALSE)="T12 Linear Fluorescent", VLOOKUP(S281, 'Fixture Identities'!$A$7:$K$1012, 11, FALSE), S281))), "")</f>
        <v/>
      </c>
      <c r="V281" s="26" t="str">
        <f>IFERROR(IF(OR(B281="", U281=0), "", VLOOKUP(U281, 'Fixture Identities'!$A$7:$G$1023, 5, FALSE)), "")</f>
        <v/>
      </c>
      <c r="W281" s="26" t="str">
        <f>IF(B281="", "",'Lighting Inventory'!K289)</f>
        <v/>
      </c>
      <c r="X281" s="65" t="str">
        <f>IF(B281="", "", 'Lighting Inventory'!L289)</f>
        <v/>
      </c>
      <c r="Y281" s="26" t="str">
        <f>IF(B281="", "", IF('Lighting Inventory'!M289="", "Light Switch",'Lighting Inventory'!M289))</f>
        <v/>
      </c>
      <c r="Z281" s="26" t="str">
        <f>IF(OR(K281="Retrofit", B281=""), "", 'Lighting Inventory'!N289)</f>
        <v/>
      </c>
      <c r="AA281" s="26" t="str">
        <f>IF(OR(Z281="",B281=""), "", 'Lighting Inventory'!O289)</f>
        <v/>
      </c>
      <c r="AB281" s="26" t="str">
        <f>IF(B281="", "", 'Lighting Inventory'!P289)</f>
        <v/>
      </c>
      <c r="AC281" s="96" t="str">
        <f>IF(B281="", "", 'Lighting Inventory'!R289)</f>
        <v/>
      </c>
      <c r="AD281" s="26" t="str">
        <f>IF(B281="", "", 'Lighting Inventory'!S289)</f>
        <v/>
      </c>
      <c r="AE281" s="26" t="str">
        <f>IF(B281="", "", 'Lighting Inventory'!V289)</f>
        <v/>
      </c>
      <c r="AF281" s="26" t="str">
        <f>IF(B281="", "", 'Lighting Inventory'!W289)</f>
        <v/>
      </c>
      <c r="AG281" s="26" t="str">
        <f>IF(OR(AF281="", B281=""), "", IF(AE281="Custom", "0", VLOOKUP(AF281, 'Lookup Tables'!$AI$6:$AP$102, 8, FALSE)))</f>
        <v/>
      </c>
      <c r="AH281" s="26" t="str">
        <f>IF(B281="", "", 'Lighting Inventory'!AD289)</f>
        <v/>
      </c>
      <c r="AI281" s="26" t="str">
        <f>IF(OR('Lighting Inventory'!AK289="", B281=""), "", 'Lighting Inventory'!AK289)</f>
        <v/>
      </c>
      <c r="AJ281" s="66" t="str">
        <f>IF(B281="", "", 'Lighting Inventory'!AL289)</f>
        <v/>
      </c>
      <c r="AK281" s="65" t="str">
        <f>IF(B281="", "", 'Lighting Inventory'!AM289)</f>
        <v/>
      </c>
      <c r="AL281" s="26" t="str">
        <f>IF(B281="", "", 'Lighting Inventory'!AN289)</f>
        <v/>
      </c>
      <c r="AM281" s="26" t="str">
        <f t="shared" si="15"/>
        <v/>
      </c>
      <c r="AN281" s="26" t="str">
        <f>IF(B281="","",IF('Lighting Inventory'!AV289="","Prescribed",'Lighting Inventory'!AV289))</f>
        <v/>
      </c>
      <c r="AO281" s="66" t="str">
        <f>IF(B281="", "", 'Lighting Inventory'!AX289)</f>
        <v/>
      </c>
      <c r="AP281" s="67" t="str">
        <f>IF(B281="", "", 'Lighting Inventory'!AZ289)</f>
        <v/>
      </c>
      <c r="AQ281" s="67" t="str">
        <f>IF(B281="", "", 'Lighting Inventory'!BA289)</f>
        <v/>
      </c>
      <c r="AR281" s="67" t="str">
        <f>IF(B281="", "", 'Lighting Inventory'!BB289)</f>
        <v/>
      </c>
      <c r="AS281" s="67" t="str">
        <f>IF(B281="", "", 'Lighting Inventory'!BC289)</f>
        <v/>
      </c>
      <c r="AT281" s="67" t="str">
        <f>IF(B281="", "", 'Lighting Inventory'!BD289)</f>
        <v/>
      </c>
      <c r="AU281" s="67" t="str">
        <f>IF(B281="", "", 'Lighting Inventory'!BE289)</f>
        <v/>
      </c>
      <c r="AV281" s="67" t="str">
        <f>IF(B281="", "", 'Lighting Inventory'!BE289)</f>
        <v/>
      </c>
      <c r="AW281" s="67" t="str">
        <f>IF(B281="", "", 'Lighting Inventory'!BF289)</f>
        <v/>
      </c>
      <c r="AX281" s="67" t="str">
        <f>IF(B281="", "", 'Lighting Inventory'!BF289)</f>
        <v/>
      </c>
      <c r="AY281" s="65" t="str">
        <f t="shared" si="16"/>
        <v/>
      </c>
      <c r="AZ281" s="65" t="str">
        <f>IF(B281="", "", 'Lighting Inventory'!BJ289)</f>
        <v/>
      </c>
      <c r="BA281" s="65" t="str">
        <f>IF(B281="", "", 'Lighting Inventory'!BM289)</f>
        <v/>
      </c>
      <c r="BB281" s="65" t="str">
        <f>IF(B281="","",SUM('Lighting Inventory'!BP289:BP289))</f>
        <v/>
      </c>
      <c r="BC281" s="67" t="str">
        <f>IF(OR(AE281="", B281=""),"", 'Lighting Inventory'!GR289)</f>
        <v/>
      </c>
      <c r="BD281" s="67" t="str">
        <f>IFERROR(IF(B281="", "", 'Lighting Inventory'!AF289)*AD281," ")</f>
        <v xml:space="preserve"> </v>
      </c>
      <c r="BE281" s="67"/>
      <c r="BF281" s="67"/>
    </row>
    <row r="282" spans="1:58" x14ac:dyDescent="0.25">
      <c r="A282" s="26" t="str">
        <f>IF(B282="", "", 'Lookup Tables'!AW283)</f>
        <v/>
      </c>
      <c r="B282" s="26" t="str">
        <f>IF(OR('Lighting Inventory'!Y290="", 'Lighting Inventory'!V290="No Change"),"", 'Lighting Inventory'!Y290)</f>
        <v/>
      </c>
      <c r="C282" s="26" t="str">
        <f>IF(B282="", "", IF('Lighting Inventory'!Y290='Lookup Tables'!$Y$32, 'Lighting Inventory'!AJ290, IF(AD282=0, R282, AD282)))</f>
        <v/>
      </c>
      <c r="D282" s="26" t="str">
        <f>IF(B282="", "", 'General Information'!$F$14)</f>
        <v/>
      </c>
      <c r="E282" s="26" t="str">
        <f t="shared" si="14"/>
        <v/>
      </c>
      <c r="F282" s="26" t="str">
        <f>IF(B282="", "", CONCATENATE('General Information'!$F$9, " - ", 'General Information'!$F$14))</f>
        <v/>
      </c>
      <c r="G282" s="26" t="str">
        <f>IF(B282="", "", 'General Information'!$F$15)</f>
        <v/>
      </c>
      <c r="H282" s="26" t="str">
        <f>IF(B282="", "", IF(VLOOKUP(B282, 'Lookup Tables'!$Y$18:$AA$34, 2, FALSE)="Traffic", VLOOKUP('Lighting Inventory'!W290, 'Lookup Tables'!#REF!, 11, FALSE), VLOOKUP(B282, 'Lookup Tables'!$Y$18:$AA$34, 2, FALSE)))</f>
        <v/>
      </c>
      <c r="I282" s="26" t="str">
        <f>IF(B282="", "", CONCATENATE(D282, 'Data Export'!A282))</f>
        <v/>
      </c>
      <c r="J282" s="26" t="str">
        <f>IF(B282="", "", 'Lookup Tables'!$B$1)</f>
        <v/>
      </c>
      <c r="K282" s="26" t="str">
        <f>IF(B282="", "", 'Lighting Inventory'!B290)</f>
        <v/>
      </c>
      <c r="L282" s="26" t="str">
        <f>IF(B282="", "", 'Lighting Inventory'!C290)</f>
        <v/>
      </c>
      <c r="M282" s="26" t="str">
        <f>IF(B282="", "",'Lighting Inventory'!D290)</f>
        <v/>
      </c>
      <c r="N282" s="26" t="str">
        <f>IF(B282="", "",'Lighting Inventory'!E290)</f>
        <v/>
      </c>
      <c r="O282" s="26" t="str">
        <f>IF(B282="", "", 'Lighting Inventory'!F290)</f>
        <v/>
      </c>
      <c r="P282" s="26" t="str">
        <f>IF(B282="", "", 'Lighting Inventory'!G290)</f>
        <v/>
      </c>
      <c r="Q282" s="26" t="str">
        <f>IF(B282="", "", 'Lighting Inventory'!H290)</f>
        <v/>
      </c>
      <c r="R282" s="26" t="str">
        <f>IF(B282="", "", 'Lighting Inventory'!I290)</f>
        <v/>
      </c>
      <c r="S282" s="26" t="str">
        <f>IF(B282="", "", 'Lighting Inventory'!J290)</f>
        <v/>
      </c>
      <c r="T282" s="26" t="str">
        <f>IFERROR(IF(B282="","",VLOOKUP(S282,'Fixture Identities'!$A$7:$G$1023,5,FALSE)), "New Construction")</f>
        <v/>
      </c>
      <c r="U282" s="26" t="str">
        <f>IFERROR(IF(B282="", "", IF(K282="New Construction", "NC", IF(VLOOKUP(S282, 'Fixture Identities'!$A$7:$I$1023,3, FALSE)="T12 Linear Fluorescent", VLOOKUP(S282, 'Fixture Identities'!$A$7:$K$1012, 11, FALSE), S282))), "")</f>
        <v/>
      </c>
      <c r="V282" s="26" t="str">
        <f>IFERROR(IF(OR(B282="", U282=0), "", VLOOKUP(U282, 'Fixture Identities'!$A$7:$G$1023, 5, FALSE)), "")</f>
        <v/>
      </c>
      <c r="W282" s="26" t="str">
        <f>IF(B282="", "",'Lighting Inventory'!K290)</f>
        <v/>
      </c>
      <c r="X282" s="65" t="str">
        <f>IF(B282="", "", 'Lighting Inventory'!L290)</f>
        <v/>
      </c>
      <c r="Y282" s="26" t="str">
        <f>IF(B282="", "", IF('Lighting Inventory'!M290="", "Light Switch",'Lighting Inventory'!M290))</f>
        <v/>
      </c>
      <c r="Z282" s="26" t="str">
        <f>IF(OR(K282="Retrofit", B282=""), "", 'Lighting Inventory'!N290)</f>
        <v/>
      </c>
      <c r="AA282" s="26" t="str">
        <f>IF(OR(Z282="",B282=""), "", 'Lighting Inventory'!O290)</f>
        <v/>
      </c>
      <c r="AB282" s="26" t="str">
        <f>IF(B282="", "", 'Lighting Inventory'!P290)</f>
        <v/>
      </c>
      <c r="AC282" s="96" t="str">
        <f>IF(B282="", "", 'Lighting Inventory'!R290)</f>
        <v/>
      </c>
      <c r="AD282" s="26" t="str">
        <f>IF(B282="", "", 'Lighting Inventory'!S290)</f>
        <v/>
      </c>
      <c r="AE282" s="26" t="str">
        <f>IF(B282="", "", 'Lighting Inventory'!V290)</f>
        <v/>
      </c>
      <c r="AF282" s="26" t="str">
        <f>IF(B282="", "", 'Lighting Inventory'!W290)</f>
        <v/>
      </c>
      <c r="AG282" s="26" t="str">
        <f>IF(OR(AF282="", B282=""), "", IF(AE282="Custom", "0", VLOOKUP(AF282, 'Lookup Tables'!$AI$6:$AP$102, 8, FALSE)))</f>
        <v/>
      </c>
      <c r="AH282" s="26" t="str">
        <f>IF(B282="", "", 'Lighting Inventory'!AD290)</f>
        <v/>
      </c>
      <c r="AI282" s="26" t="str">
        <f>IF(OR('Lighting Inventory'!AK290="", B282=""), "", 'Lighting Inventory'!AK290)</f>
        <v/>
      </c>
      <c r="AJ282" s="66" t="str">
        <f>IF(B282="", "", 'Lighting Inventory'!AL290)</f>
        <v/>
      </c>
      <c r="AK282" s="65" t="str">
        <f>IF(B282="", "", 'Lighting Inventory'!AM290)</f>
        <v/>
      </c>
      <c r="AL282" s="26" t="str">
        <f>IF(B282="", "", 'Lighting Inventory'!AN290)</f>
        <v/>
      </c>
      <c r="AM282" s="26" t="str">
        <f t="shared" si="15"/>
        <v/>
      </c>
      <c r="AN282" s="26" t="str">
        <f>IF(B282="","",IF('Lighting Inventory'!AV290="","Prescribed",'Lighting Inventory'!AV290))</f>
        <v/>
      </c>
      <c r="AO282" s="66" t="str">
        <f>IF(B282="", "", 'Lighting Inventory'!AX290)</f>
        <v/>
      </c>
      <c r="AP282" s="67" t="str">
        <f>IF(B282="", "", 'Lighting Inventory'!AZ290)</f>
        <v/>
      </c>
      <c r="AQ282" s="67" t="str">
        <f>IF(B282="", "", 'Lighting Inventory'!BA290)</f>
        <v/>
      </c>
      <c r="AR282" s="67" t="str">
        <f>IF(B282="", "", 'Lighting Inventory'!BB290)</f>
        <v/>
      </c>
      <c r="AS282" s="67" t="str">
        <f>IF(B282="", "", 'Lighting Inventory'!BC290)</f>
        <v/>
      </c>
      <c r="AT282" s="67" t="str">
        <f>IF(B282="", "", 'Lighting Inventory'!BD290)</f>
        <v/>
      </c>
      <c r="AU282" s="67" t="str">
        <f>IF(B282="", "", 'Lighting Inventory'!BE290)</f>
        <v/>
      </c>
      <c r="AV282" s="67" t="str">
        <f>IF(B282="", "", 'Lighting Inventory'!BE290)</f>
        <v/>
      </c>
      <c r="AW282" s="67" t="str">
        <f>IF(B282="", "", 'Lighting Inventory'!BF290)</f>
        <v/>
      </c>
      <c r="AX282" s="67" t="str">
        <f>IF(B282="", "", 'Lighting Inventory'!BF290)</f>
        <v/>
      </c>
      <c r="AY282" s="65" t="str">
        <f t="shared" si="16"/>
        <v/>
      </c>
      <c r="AZ282" s="65" t="str">
        <f>IF(B282="", "", 'Lighting Inventory'!BJ290)</f>
        <v/>
      </c>
      <c r="BA282" s="65" t="str">
        <f>IF(B282="", "", 'Lighting Inventory'!BM290)</f>
        <v/>
      </c>
      <c r="BB282" s="65" t="str">
        <f>IF(B282="","",SUM('Lighting Inventory'!BP290:BP290))</f>
        <v/>
      </c>
      <c r="BC282" s="67" t="str">
        <f>IF(OR(AE282="", B282=""),"", 'Lighting Inventory'!GR290)</f>
        <v/>
      </c>
      <c r="BD282" s="67" t="str">
        <f>IFERROR(IF(B282="", "", 'Lighting Inventory'!AF290)*AD282," ")</f>
        <v xml:space="preserve"> </v>
      </c>
      <c r="BE282" s="67"/>
      <c r="BF282" s="67"/>
    </row>
    <row r="283" spans="1:58" x14ac:dyDescent="0.25">
      <c r="A283" s="26" t="str">
        <f>IF(B283="", "", 'Lookup Tables'!AW284)</f>
        <v/>
      </c>
      <c r="B283" s="26" t="str">
        <f>IF(OR('Lighting Inventory'!Y291="", 'Lighting Inventory'!V291="No Change"),"", 'Lighting Inventory'!Y291)</f>
        <v/>
      </c>
      <c r="C283" s="26" t="str">
        <f>IF(B283="", "", IF('Lighting Inventory'!Y291='Lookup Tables'!$Y$32, 'Lighting Inventory'!AJ291, IF(AD283=0, R283, AD283)))</f>
        <v/>
      </c>
      <c r="D283" s="26" t="str">
        <f>IF(B283="", "", 'General Information'!$F$14)</f>
        <v/>
      </c>
      <c r="E283" s="26" t="str">
        <f t="shared" si="14"/>
        <v/>
      </c>
      <c r="F283" s="26" t="str">
        <f>IF(B283="", "", CONCATENATE('General Information'!$F$9, " - ", 'General Information'!$F$14))</f>
        <v/>
      </c>
      <c r="G283" s="26" t="str">
        <f>IF(B283="", "", 'General Information'!$F$15)</f>
        <v/>
      </c>
      <c r="H283" s="26" t="str">
        <f>IF(B283="", "", IF(VLOOKUP(B283, 'Lookup Tables'!$Y$18:$AA$34, 2, FALSE)="Traffic", VLOOKUP('Lighting Inventory'!W291, 'Lookup Tables'!#REF!, 11, FALSE), VLOOKUP(B283, 'Lookup Tables'!$Y$18:$AA$34, 2, FALSE)))</f>
        <v/>
      </c>
      <c r="I283" s="26" t="str">
        <f>IF(B283="", "", CONCATENATE(D283, 'Data Export'!A283))</f>
        <v/>
      </c>
      <c r="J283" s="26" t="str">
        <f>IF(B283="", "", 'Lookup Tables'!$B$1)</f>
        <v/>
      </c>
      <c r="K283" s="26" t="str">
        <f>IF(B283="", "", 'Lighting Inventory'!B291)</f>
        <v/>
      </c>
      <c r="L283" s="26" t="str">
        <f>IF(B283="", "", 'Lighting Inventory'!C291)</f>
        <v/>
      </c>
      <c r="M283" s="26" t="str">
        <f>IF(B283="", "",'Lighting Inventory'!D291)</f>
        <v/>
      </c>
      <c r="N283" s="26" t="str">
        <f>IF(B283="", "",'Lighting Inventory'!E291)</f>
        <v/>
      </c>
      <c r="O283" s="26" t="str">
        <f>IF(B283="", "", 'Lighting Inventory'!F291)</f>
        <v/>
      </c>
      <c r="P283" s="26" t="str">
        <f>IF(B283="", "", 'Lighting Inventory'!G291)</f>
        <v/>
      </c>
      <c r="Q283" s="26" t="str">
        <f>IF(B283="", "", 'Lighting Inventory'!H291)</f>
        <v/>
      </c>
      <c r="R283" s="26" t="str">
        <f>IF(B283="", "", 'Lighting Inventory'!I291)</f>
        <v/>
      </c>
      <c r="S283" s="26" t="str">
        <f>IF(B283="", "", 'Lighting Inventory'!J291)</f>
        <v/>
      </c>
      <c r="T283" s="26" t="str">
        <f>IFERROR(IF(B283="","",VLOOKUP(S283,'Fixture Identities'!$A$7:$G$1023,5,FALSE)), "New Construction")</f>
        <v/>
      </c>
      <c r="U283" s="26" t="str">
        <f>IFERROR(IF(B283="", "", IF(K283="New Construction", "NC", IF(VLOOKUP(S283, 'Fixture Identities'!$A$7:$I$1023,3, FALSE)="T12 Linear Fluorescent", VLOOKUP(S283, 'Fixture Identities'!$A$7:$K$1012, 11, FALSE), S283))), "")</f>
        <v/>
      </c>
      <c r="V283" s="26" t="str">
        <f>IFERROR(IF(OR(B283="", U283=0), "", VLOOKUP(U283, 'Fixture Identities'!$A$7:$G$1023, 5, FALSE)), "")</f>
        <v/>
      </c>
      <c r="W283" s="26" t="str">
        <f>IF(B283="", "",'Lighting Inventory'!K291)</f>
        <v/>
      </c>
      <c r="X283" s="65" t="str">
        <f>IF(B283="", "", 'Lighting Inventory'!L291)</f>
        <v/>
      </c>
      <c r="Y283" s="26" t="str">
        <f>IF(B283="", "", IF('Lighting Inventory'!M291="", "Light Switch",'Lighting Inventory'!M291))</f>
        <v/>
      </c>
      <c r="Z283" s="26" t="str">
        <f>IF(OR(K283="Retrofit", B283=""), "", 'Lighting Inventory'!N291)</f>
        <v/>
      </c>
      <c r="AA283" s="26" t="str">
        <f>IF(OR(Z283="",B283=""), "", 'Lighting Inventory'!O291)</f>
        <v/>
      </c>
      <c r="AB283" s="26" t="str">
        <f>IF(B283="", "", 'Lighting Inventory'!P291)</f>
        <v/>
      </c>
      <c r="AC283" s="96" t="str">
        <f>IF(B283="", "", 'Lighting Inventory'!R291)</f>
        <v/>
      </c>
      <c r="AD283" s="26" t="str">
        <f>IF(B283="", "", 'Lighting Inventory'!S291)</f>
        <v/>
      </c>
      <c r="AE283" s="26" t="str">
        <f>IF(B283="", "", 'Lighting Inventory'!V291)</f>
        <v/>
      </c>
      <c r="AF283" s="26" t="str">
        <f>IF(B283="", "", 'Lighting Inventory'!W291)</f>
        <v/>
      </c>
      <c r="AG283" s="26" t="str">
        <f>IF(OR(AF283="", B283=""), "", IF(AE283="Custom", "0", VLOOKUP(AF283, 'Lookup Tables'!$AI$6:$AP$102, 8, FALSE)))</f>
        <v/>
      </c>
      <c r="AH283" s="26" t="str">
        <f>IF(B283="", "", 'Lighting Inventory'!AD291)</f>
        <v/>
      </c>
      <c r="AI283" s="26" t="str">
        <f>IF(OR('Lighting Inventory'!AK291="", B283=""), "", 'Lighting Inventory'!AK291)</f>
        <v/>
      </c>
      <c r="AJ283" s="66" t="str">
        <f>IF(B283="", "", 'Lighting Inventory'!AL291)</f>
        <v/>
      </c>
      <c r="AK283" s="65" t="str">
        <f>IF(B283="", "", 'Lighting Inventory'!AM291)</f>
        <v/>
      </c>
      <c r="AL283" s="26" t="str">
        <f>IF(B283="", "", 'Lighting Inventory'!AN291)</f>
        <v/>
      </c>
      <c r="AM283" s="26" t="str">
        <f t="shared" si="15"/>
        <v/>
      </c>
      <c r="AN283" s="26" t="str">
        <f>IF(B283="","",IF('Lighting Inventory'!AV291="","Prescribed",'Lighting Inventory'!AV291))</f>
        <v/>
      </c>
      <c r="AO283" s="66" t="str">
        <f>IF(B283="", "", 'Lighting Inventory'!AX291)</f>
        <v/>
      </c>
      <c r="AP283" s="67" t="str">
        <f>IF(B283="", "", 'Lighting Inventory'!AZ291)</f>
        <v/>
      </c>
      <c r="AQ283" s="67" t="str">
        <f>IF(B283="", "", 'Lighting Inventory'!BA291)</f>
        <v/>
      </c>
      <c r="AR283" s="67" t="str">
        <f>IF(B283="", "", 'Lighting Inventory'!BB291)</f>
        <v/>
      </c>
      <c r="AS283" s="67" t="str">
        <f>IF(B283="", "", 'Lighting Inventory'!BC291)</f>
        <v/>
      </c>
      <c r="AT283" s="67" t="str">
        <f>IF(B283="", "", 'Lighting Inventory'!BD291)</f>
        <v/>
      </c>
      <c r="AU283" s="67" t="str">
        <f>IF(B283="", "", 'Lighting Inventory'!BE291)</f>
        <v/>
      </c>
      <c r="AV283" s="67" t="str">
        <f>IF(B283="", "", 'Lighting Inventory'!BE291)</f>
        <v/>
      </c>
      <c r="AW283" s="67" t="str">
        <f>IF(B283="", "", 'Lighting Inventory'!BF291)</f>
        <v/>
      </c>
      <c r="AX283" s="67" t="str">
        <f>IF(B283="", "", 'Lighting Inventory'!BF291)</f>
        <v/>
      </c>
      <c r="AY283" s="65" t="str">
        <f t="shared" si="16"/>
        <v/>
      </c>
      <c r="AZ283" s="65" t="str">
        <f>IF(B283="", "", 'Lighting Inventory'!BJ291)</f>
        <v/>
      </c>
      <c r="BA283" s="65" t="str">
        <f>IF(B283="", "", 'Lighting Inventory'!BM291)</f>
        <v/>
      </c>
      <c r="BB283" s="65" t="str">
        <f>IF(B283="","",SUM('Lighting Inventory'!BP291:BP291))</f>
        <v/>
      </c>
      <c r="BC283" s="67" t="str">
        <f>IF(OR(AE283="", B283=""),"", 'Lighting Inventory'!GR291)</f>
        <v/>
      </c>
      <c r="BD283" s="67" t="str">
        <f>IFERROR(IF(B283="", "", 'Lighting Inventory'!AF291)*AD283," ")</f>
        <v xml:space="preserve"> </v>
      </c>
      <c r="BE283" s="67"/>
      <c r="BF283" s="67"/>
    </row>
    <row r="284" spans="1:58" x14ac:dyDescent="0.25">
      <c r="A284" s="26" t="str">
        <f>IF(B284="", "", 'Lookup Tables'!AW285)</f>
        <v/>
      </c>
      <c r="B284" s="26" t="str">
        <f>IF(OR('Lighting Inventory'!Y292="", 'Lighting Inventory'!V292="No Change"),"", 'Lighting Inventory'!Y292)</f>
        <v/>
      </c>
      <c r="C284" s="26" t="str">
        <f>IF(B284="", "", IF('Lighting Inventory'!Y292='Lookup Tables'!$Y$32, 'Lighting Inventory'!AJ292, IF(AD284=0, R284, AD284)))</f>
        <v/>
      </c>
      <c r="D284" s="26" t="str">
        <f>IF(B284="", "", 'General Information'!$F$14)</f>
        <v/>
      </c>
      <c r="E284" s="26" t="str">
        <f t="shared" si="14"/>
        <v/>
      </c>
      <c r="F284" s="26" t="str">
        <f>IF(B284="", "", CONCATENATE('General Information'!$F$9, " - ", 'General Information'!$F$14))</f>
        <v/>
      </c>
      <c r="G284" s="26" t="str">
        <f>IF(B284="", "", 'General Information'!$F$15)</f>
        <v/>
      </c>
      <c r="H284" s="26" t="str">
        <f>IF(B284="", "", IF(VLOOKUP(B284, 'Lookup Tables'!$Y$18:$AA$34, 2, FALSE)="Traffic", VLOOKUP('Lighting Inventory'!W292, 'Lookup Tables'!#REF!, 11, FALSE), VLOOKUP(B284, 'Lookup Tables'!$Y$18:$AA$34, 2, FALSE)))</f>
        <v/>
      </c>
      <c r="I284" s="26" t="str">
        <f>IF(B284="", "", CONCATENATE(D284, 'Data Export'!A284))</f>
        <v/>
      </c>
      <c r="J284" s="26" t="str">
        <f>IF(B284="", "", 'Lookup Tables'!$B$1)</f>
        <v/>
      </c>
      <c r="K284" s="26" t="str">
        <f>IF(B284="", "", 'Lighting Inventory'!B292)</f>
        <v/>
      </c>
      <c r="L284" s="26" t="str">
        <f>IF(B284="", "", 'Lighting Inventory'!C292)</f>
        <v/>
      </c>
      <c r="M284" s="26" t="str">
        <f>IF(B284="", "",'Lighting Inventory'!D292)</f>
        <v/>
      </c>
      <c r="N284" s="26" t="str">
        <f>IF(B284="", "",'Lighting Inventory'!E292)</f>
        <v/>
      </c>
      <c r="O284" s="26" t="str">
        <f>IF(B284="", "", 'Lighting Inventory'!F292)</f>
        <v/>
      </c>
      <c r="P284" s="26" t="str">
        <f>IF(B284="", "", 'Lighting Inventory'!G292)</f>
        <v/>
      </c>
      <c r="Q284" s="26" t="str">
        <f>IF(B284="", "", 'Lighting Inventory'!H292)</f>
        <v/>
      </c>
      <c r="R284" s="26" t="str">
        <f>IF(B284="", "", 'Lighting Inventory'!I292)</f>
        <v/>
      </c>
      <c r="S284" s="26" t="str">
        <f>IF(B284="", "", 'Lighting Inventory'!J292)</f>
        <v/>
      </c>
      <c r="T284" s="26" t="str">
        <f>IFERROR(IF(B284="","",VLOOKUP(S284,'Fixture Identities'!$A$7:$G$1023,5,FALSE)), "New Construction")</f>
        <v/>
      </c>
      <c r="U284" s="26" t="str">
        <f>IFERROR(IF(B284="", "", IF(K284="New Construction", "NC", IF(VLOOKUP(S284, 'Fixture Identities'!$A$7:$I$1023,3, FALSE)="T12 Linear Fluorescent", VLOOKUP(S284, 'Fixture Identities'!$A$7:$K$1012, 11, FALSE), S284))), "")</f>
        <v/>
      </c>
      <c r="V284" s="26" t="str">
        <f>IFERROR(IF(OR(B284="", U284=0), "", VLOOKUP(U284, 'Fixture Identities'!$A$7:$G$1023, 5, FALSE)), "")</f>
        <v/>
      </c>
      <c r="W284" s="26" t="str">
        <f>IF(B284="", "",'Lighting Inventory'!K292)</f>
        <v/>
      </c>
      <c r="X284" s="65" t="str">
        <f>IF(B284="", "", 'Lighting Inventory'!L292)</f>
        <v/>
      </c>
      <c r="Y284" s="26" t="str">
        <f>IF(B284="", "", IF('Lighting Inventory'!M292="", "Light Switch",'Lighting Inventory'!M292))</f>
        <v/>
      </c>
      <c r="Z284" s="26" t="str">
        <f>IF(OR(K284="Retrofit", B284=""), "", 'Lighting Inventory'!N292)</f>
        <v/>
      </c>
      <c r="AA284" s="26" t="str">
        <f>IF(OR(Z284="",B284=""), "", 'Lighting Inventory'!O292)</f>
        <v/>
      </c>
      <c r="AB284" s="26" t="str">
        <f>IF(B284="", "", 'Lighting Inventory'!P292)</f>
        <v/>
      </c>
      <c r="AC284" s="96" t="str">
        <f>IF(B284="", "", 'Lighting Inventory'!R292)</f>
        <v/>
      </c>
      <c r="AD284" s="26" t="str">
        <f>IF(B284="", "", 'Lighting Inventory'!S292)</f>
        <v/>
      </c>
      <c r="AE284" s="26" t="str">
        <f>IF(B284="", "", 'Lighting Inventory'!V292)</f>
        <v/>
      </c>
      <c r="AF284" s="26" t="str">
        <f>IF(B284="", "", 'Lighting Inventory'!W292)</f>
        <v/>
      </c>
      <c r="AG284" s="26" t="str">
        <f>IF(OR(AF284="", B284=""), "", IF(AE284="Custom", "0", VLOOKUP(AF284, 'Lookup Tables'!$AI$6:$AP$102, 8, FALSE)))</f>
        <v/>
      </c>
      <c r="AH284" s="26" t="str">
        <f>IF(B284="", "", 'Lighting Inventory'!AD292)</f>
        <v/>
      </c>
      <c r="AI284" s="26" t="str">
        <f>IF(OR('Lighting Inventory'!AK292="", B284=""), "", 'Lighting Inventory'!AK292)</f>
        <v/>
      </c>
      <c r="AJ284" s="66" t="str">
        <f>IF(B284="", "", 'Lighting Inventory'!AL292)</f>
        <v/>
      </c>
      <c r="AK284" s="65" t="str">
        <f>IF(B284="", "", 'Lighting Inventory'!AM292)</f>
        <v/>
      </c>
      <c r="AL284" s="26" t="str">
        <f>IF(B284="", "", 'Lighting Inventory'!AN292)</f>
        <v/>
      </c>
      <c r="AM284" s="26" t="str">
        <f t="shared" si="15"/>
        <v/>
      </c>
      <c r="AN284" s="26" t="str">
        <f>IF(B284="","",IF('Lighting Inventory'!AV292="","Prescribed",'Lighting Inventory'!AV292))</f>
        <v/>
      </c>
      <c r="AO284" s="66" t="str">
        <f>IF(B284="", "", 'Lighting Inventory'!AX292)</f>
        <v/>
      </c>
      <c r="AP284" s="67" t="str">
        <f>IF(B284="", "", 'Lighting Inventory'!AZ292)</f>
        <v/>
      </c>
      <c r="AQ284" s="67" t="str">
        <f>IF(B284="", "", 'Lighting Inventory'!BA292)</f>
        <v/>
      </c>
      <c r="AR284" s="67" t="str">
        <f>IF(B284="", "", 'Lighting Inventory'!BB292)</f>
        <v/>
      </c>
      <c r="AS284" s="67" t="str">
        <f>IF(B284="", "", 'Lighting Inventory'!BC292)</f>
        <v/>
      </c>
      <c r="AT284" s="67" t="str">
        <f>IF(B284="", "", 'Lighting Inventory'!BD292)</f>
        <v/>
      </c>
      <c r="AU284" s="67" t="str">
        <f>IF(B284="", "", 'Lighting Inventory'!BE292)</f>
        <v/>
      </c>
      <c r="AV284" s="67" t="str">
        <f>IF(B284="", "", 'Lighting Inventory'!BE292)</f>
        <v/>
      </c>
      <c r="AW284" s="67" t="str">
        <f>IF(B284="", "", 'Lighting Inventory'!BF292)</f>
        <v/>
      </c>
      <c r="AX284" s="67" t="str">
        <f>IF(B284="", "", 'Lighting Inventory'!BF292)</f>
        <v/>
      </c>
      <c r="AY284" s="65" t="str">
        <f t="shared" si="16"/>
        <v/>
      </c>
      <c r="AZ284" s="65" t="str">
        <f>IF(B284="", "", 'Lighting Inventory'!BJ292)</f>
        <v/>
      </c>
      <c r="BA284" s="65" t="str">
        <f>IF(B284="", "", 'Lighting Inventory'!BM292)</f>
        <v/>
      </c>
      <c r="BB284" s="65" t="str">
        <f>IF(B284="","",SUM('Lighting Inventory'!BP292:BP292))</f>
        <v/>
      </c>
      <c r="BC284" s="67" t="str">
        <f>IF(OR(AE284="", B284=""),"", 'Lighting Inventory'!GR292)</f>
        <v/>
      </c>
      <c r="BD284" s="67" t="str">
        <f>IFERROR(IF(B284="", "", 'Lighting Inventory'!AF292)*AD284," ")</f>
        <v xml:space="preserve"> </v>
      </c>
      <c r="BE284" s="67"/>
      <c r="BF284" s="67"/>
    </row>
    <row r="285" spans="1:58" x14ac:dyDescent="0.25">
      <c r="A285" s="26" t="str">
        <f>IF(B285="", "", 'Lookup Tables'!AW286)</f>
        <v/>
      </c>
      <c r="B285" s="26" t="str">
        <f>IF(OR('Lighting Inventory'!Y293="", 'Lighting Inventory'!V293="No Change"),"", 'Lighting Inventory'!Y293)</f>
        <v/>
      </c>
      <c r="C285" s="26" t="str">
        <f>IF(B285="", "", IF('Lighting Inventory'!Y293='Lookup Tables'!$Y$32, 'Lighting Inventory'!AJ293, IF(AD285=0, R285, AD285)))</f>
        <v/>
      </c>
      <c r="D285" s="26" t="str">
        <f>IF(B285="", "", 'General Information'!$F$14)</f>
        <v/>
      </c>
      <c r="E285" s="26" t="str">
        <f t="shared" si="14"/>
        <v/>
      </c>
      <c r="F285" s="26" t="str">
        <f>IF(B285="", "", CONCATENATE('General Information'!$F$9, " - ", 'General Information'!$F$14))</f>
        <v/>
      </c>
      <c r="G285" s="26" t="str">
        <f>IF(B285="", "", 'General Information'!$F$15)</f>
        <v/>
      </c>
      <c r="H285" s="26" t="str">
        <f>IF(B285="", "", IF(VLOOKUP(B285, 'Lookup Tables'!$Y$18:$AA$34, 2, FALSE)="Traffic", VLOOKUP('Lighting Inventory'!W293, 'Lookup Tables'!#REF!, 11, FALSE), VLOOKUP(B285, 'Lookup Tables'!$Y$18:$AA$34, 2, FALSE)))</f>
        <v/>
      </c>
      <c r="I285" s="26" t="str">
        <f>IF(B285="", "", CONCATENATE(D285, 'Data Export'!A285))</f>
        <v/>
      </c>
      <c r="J285" s="26" t="str">
        <f>IF(B285="", "", 'Lookup Tables'!$B$1)</f>
        <v/>
      </c>
      <c r="K285" s="26" t="str">
        <f>IF(B285="", "", 'Lighting Inventory'!B293)</f>
        <v/>
      </c>
      <c r="L285" s="26" t="str">
        <f>IF(B285="", "", 'Lighting Inventory'!C293)</f>
        <v/>
      </c>
      <c r="M285" s="26" t="str">
        <f>IF(B285="", "",'Lighting Inventory'!D293)</f>
        <v/>
      </c>
      <c r="N285" s="26" t="str">
        <f>IF(B285="", "",'Lighting Inventory'!E293)</f>
        <v/>
      </c>
      <c r="O285" s="26" t="str">
        <f>IF(B285="", "", 'Lighting Inventory'!F293)</f>
        <v/>
      </c>
      <c r="P285" s="26" t="str">
        <f>IF(B285="", "", 'Lighting Inventory'!G293)</f>
        <v/>
      </c>
      <c r="Q285" s="26" t="str">
        <f>IF(B285="", "", 'Lighting Inventory'!H293)</f>
        <v/>
      </c>
      <c r="R285" s="26" t="str">
        <f>IF(B285="", "", 'Lighting Inventory'!I293)</f>
        <v/>
      </c>
      <c r="S285" s="26" t="str">
        <f>IF(B285="", "", 'Lighting Inventory'!J293)</f>
        <v/>
      </c>
      <c r="T285" s="26" t="str">
        <f>IFERROR(IF(B285="","",VLOOKUP(S285,'Fixture Identities'!$A$7:$G$1023,5,FALSE)), "New Construction")</f>
        <v/>
      </c>
      <c r="U285" s="26" t="str">
        <f>IFERROR(IF(B285="", "", IF(K285="New Construction", "NC", IF(VLOOKUP(S285, 'Fixture Identities'!$A$7:$I$1023,3, FALSE)="T12 Linear Fluorescent", VLOOKUP(S285, 'Fixture Identities'!$A$7:$K$1012, 11, FALSE), S285))), "")</f>
        <v/>
      </c>
      <c r="V285" s="26" t="str">
        <f>IFERROR(IF(OR(B285="", U285=0), "", VLOOKUP(U285, 'Fixture Identities'!$A$7:$G$1023, 5, FALSE)), "")</f>
        <v/>
      </c>
      <c r="W285" s="26" t="str">
        <f>IF(B285="", "",'Lighting Inventory'!K293)</f>
        <v/>
      </c>
      <c r="X285" s="65" t="str">
        <f>IF(B285="", "", 'Lighting Inventory'!L293)</f>
        <v/>
      </c>
      <c r="Y285" s="26" t="str">
        <f>IF(B285="", "", IF('Lighting Inventory'!M293="", "Light Switch",'Lighting Inventory'!M293))</f>
        <v/>
      </c>
      <c r="Z285" s="26" t="str">
        <f>IF(OR(K285="Retrofit", B285=""), "", 'Lighting Inventory'!N293)</f>
        <v/>
      </c>
      <c r="AA285" s="26" t="str">
        <f>IF(OR(Z285="",B285=""), "", 'Lighting Inventory'!O293)</f>
        <v/>
      </c>
      <c r="AB285" s="26" t="str">
        <f>IF(B285="", "", 'Lighting Inventory'!P293)</f>
        <v/>
      </c>
      <c r="AC285" s="96" t="str">
        <f>IF(B285="", "", 'Lighting Inventory'!R293)</f>
        <v/>
      </c>
      <c r="AD285" s="26" t="str">
        <f>IF(B285="", "", 'Lighting Inventory'!S293)</f>
        <v/>
      </c>
      <c r="AE285" s="26" t="str">
        <f>IF(B285="", "", 'Lighting Inventory'!V293)</f>
        <v/>
      </c>
      <c r="AF285" s="26" t="str">
        <f>IF(B285="", "", 'Lighting Inventory'!W293)</f>
        <v/>
      </c>
      <c r="AG285" s="26" t="str">
        <f>IF(OR(AF285="", B285=""), "", IF(AE285="Custom", "0", VLOOKUP(AF285, 'Lookup Tables'!$AI$6:$AP$102, 8, FALSE)))</f>
        <v/>
      </c>
      <c r="AH285" s="26" t="str">
        <f>IF(B285="", "", 'Lighting Inventory'!AD293)</f>
        <v/>
      </c>
      <c r="AI285" s="26" t="str">
        <f>IF(OR('Lighting Inventory'!AK293="", B285=""), "", 'Lighting Inventory'!AK293)</f>
        <v/>
      </c>
      <c r="AJ285" s="66" t="str">
        <f>IF(B285="", "", 'Lighting Inventory'!AL293)</f>
        <v/>
      </c>
      <c r="AK285" s="65" t="str">
        <f>IF(B285="", "", 'Lighting Inventory'!AM293)</f>
        <v/>
      </c>
      <c r="AL285" s="26" t="str">
        <f>IF(B285="", "", 'Lighting Inventory'!AN293)</f>
        <v/>
      </c>
      <c r="AM285" s="26" t="str">
        <f t="shared" si="15"/>
        <v/>
      </c>
      <c r="AN285" s="26" t="str">
        <f>IF(B285="","",IF('Lighting Inventory'!AV293="","Prescribed",'Lighting Inventory'!AV293))</f>
        <v/>
      </c>
      <c r="AO285" s="66" t="str">
        <f>IF(B285="", "", 'Lighting Inventory'!AX293)</f>
        <v/>
      </c>
      <c r="AP285" s="67" t="str">
        <f>IF(B285="", "", 'Lighting Inventory'!AZ293)</f>
        <v/>
      </c>
      <c r="AQ285" s="67" t="str">
        <f>IF(B285="", "", 'Lighting Inventory'!BA293)</f>
        <v/>
      </c>
      <c r="AR285" s="67" t="str">
        <f>IF(B285="", "", 'Lighting Inventory'!BB293)</f>
        <v/>
      </c>
      <c r="AS285" s="67" t="str">
        <f>IF(B285="", "", 'Lighting Inventory'!BC293)</f>
        <v/>
      </c>
      <c r="AT285" s="67" t="str">
        <f>IF(B285="", "", 'Lighting Inventory'!BD293)</f>
        <v/>
      </c>
      <c r="AU285" s="67" t="str">
        <f>IF(B285="", "", 'Lighting Inventory'!BE293)</f>
        <v/>
      </c>
      <c r="AV285" s="67" t="str">
        <f>IF(B285="", "", 'Lighting Inventory'!BE293)</f>
        <v/>
      </c>
      <c r="AW285" s="67" t="str">
        <f>IF(B285="", "", 'Lighting Inventory'!BF293)</f>
        <v/>
      </c>
      <c r="AX285" s="67" t="str">
        <f>IF(B285="", "", 'Lighting Inventory'!BF293)</f>
        <v/>
      </c>
      <c r="AY285" s="65" t="str">
        <f t="shared" si="16"/>
        <v/>
      </c>
      <c r="AZ285" s="65" t="str">
        <f>IF(B285="", "", 'Lighting Inventory'!BJ293)</f>
        <v/>
      </c>
      <c r="BA285" s="65" t="str">
        <f>IF(B285="", "", 'Lighting Inventory'!BM293)</f>
        <v/>
      </c>
      <c r="BB285" s="65" t="str">
        <f>IF(B285="","",SUM('Lighting Inventory'!BP293:BP293))</f>
        <v/>
      </c>
      <c r="BC285" s="67" t="str">
        <f>IF(OR(AE285="", B285=""),"", 'Lighting Inventory'!GR293)</f>
        <v/>
      </c>
      <c r="BD285" s="67" t="str">
        <f>IFERROR(IF(B285="", "", 'Lighting Inventory'!AF293)*AD285," ")</f>
        <v xml:space="preserve"> </v>
      </c>
      <c r="BE285" s="67"/>
      <c r="BF285" s="67"/>
    </row>
    <row r="286" spans="1:58" x14ac:dyDescent="0.25">
      <c r="A286" s="26" t="str">
        <f>IF(B286="", "", 'Lookup Tables'!AW287)</f>
        <v/>
      </c>
      <c r="B286" s="26" t="str">
        <f>IF(OR('Lighting Inventory'!Y294="", 'Lighting Inventory'!V294="No Change"),"", 'Lighting Inventory'!Y294)</f>
        <v/>
      </c>
      <c r="C286" s="26" t="str">
        <f>IF(B286="", "", IF('Lighting Inventory'!Y294='Lookup Tables'!$Y$32, 'Lighting Inventory'!AJ294, IF(AD286=0, R286, AD286)))</f>
        <v/>
      </c>
      <c r="D286" s="26" t="str">
        <f>IF(B286="", "", 'General Information'!$F$14)</f>
        <v/>
      </c>
      <c r="E286" s="26" t="str">
        <f t="shared" si="14"/>
        <v/>
      </c>
      <c r="F286" s="26" t="str">
        <f>IF(B286="", "", CONCATENATE('General Information'!$F$9, " - ", 'General Information'!$F$14))</f>
        <v/>
      </c>
      <c r="G286" s="26" t="str">
        <f>IF(B286="", "", 'General Information'!$F$15)</f>
        <v/>
      </c>
      <c r="H286" s="26" t="str">
        <f>IF(B286="", "", IF(VLOOKUP(B286, 'Lookup Tables'!$Y$18:$AA$34, 2, FALSE)="Traffic", VLOOKUP('Lighting Inventory'!W294, 'Lookup Tables'!#REF!, 11, FALSE), VLOOKUP(B286, 'Lookup Tables'!$Y$18:$AA$34, 2, FALSE)))</f>
        <v/>
      </c>
      <c r="I286" s="26" t="str">
        <f>IF(B286="", "", CONCATENATE(D286, 'Data Export'!A286))</f>
        <v/>
      </c>
      <c r="J286" s="26" t="str">
        <f>IF(B286="", "", 'Lookup Tables'!$B$1)</f>
        <v/>
      </c>
      <c r="K286" s="26" t="str">
        <f>IF(B286="", "", 'Lighting Inventory'!B294)</f>
        <v/>
      </c>
      <c r="L286" s="26" t="str">
        <f>IF(B286="", "", 'Lighting Inventory'!C294)</f>
        <v/>
      </c>
      <c r="M286" s="26" t="str">
        <f>IF(B286="", "",'Lighting Inventory'!D294)</f>
        <v/>
      </c>
      <c r="N286" s="26" t="str">
        <f>IF(B286="", "",'Lighting Inventory'!E294)</f>
        <v/>
      </c>
      <c r="O286" s="26" t="str">
        <f>IF(B286="", "", 'Lighting Inventory'!F294)</f>
        <v/>
      </c>
      <c r="P286" s="26" t="str">
        <f>IF(B286="", "", 'Lighting Inventory'!G294)</f>
        <v/>
      </c>
      <c r="Q286" s="26" t="str">
        <f>IF(B286="", "", 'Lighting Inventory'!H294)</f>
        <v/>
      </c>
      <c r="R286" s="26" t="str">
        <f>IF(B286="", "", 'Lighting Inventory'!I294)</f>
        <v/>
      </c>
      <c r="S286" s="26" t="str">
        <f>IF(B286="", "", 'Lighting Inventory'!J294)</f>
        <v/>
      </c>
      <c r="T286" s="26" t="str">
        <f>IFERROR(IF(B286="","",VLOOKUP(S286,'Fixture Identities'!$A$7:$G$1023,5,FALSE)), "New Construction")</f>
        <v/>
      </c>
      <c r="U286" s="26" t="str">
        <f>IFERROR(IF(B286="", "", IF(K286="New Construction", "NC", IF(VLOOKUP(S286, 'Fixture Identities'!$A$7:$I$1023,3, FALSE)="T12 Linear Fluorescent", VLOOKUP(S286, 'Fixture Identities'!$A$7:$K$1012, 11, FALSE), S286))), "")</f>
        <v/>
      </c>
      <c r="V286" s="26" t="str">
        <f>IFERROR(IF(OR(B286="", U286=0), "", VLOOKUP(U286, 'Fixture Identities'!$A$7:$G$1023, 5, FALSE)), "")</f>
        <v/>
      </c>
      <c r="W286" s="26" t="str">
        <f>IF(B286="", "",'Lighting Inventory'!K294)</f>
        <v/>
      </c>
      <c r="X286" s="65" t="str">
        <f>IF(B286="", "", 'Lighting Inventory'!L294)</f>
        <v/>
      </c>
      <c r="Y286" s="26" t="str">
        <f>IF(B286="", "", IF('Lighting Inventory'!M294="", "Light Switch",'Lighting Inventory'!M294))</f>
        <v/>
      </c>
      <c r="Z286" s="26" t="str">
        <f>IF(OR(K286="Retrofit", B286=""), "", 'Lighting Inventory'!N294)</f>
        <v/>
      </c>
      <c r="AA286" s="26" t="str">
        <f>IF(OR(Z286="",B286=""), "", 'Lighting Inventory'!O294)</f>
        <v/>
      </c>
      <c r="AB286" s="26" t="str">
        <f>IF(B286="", "", 'Lighting Inventory'!P294)</f>
        <v/>
      </c>
      <c r="AC286" s="96" t="str">
        <f>IF(B286="", "", 'Lighting Inventory'!R294)</f>
        <v/>
      </c>
      <c r="AD286" s="26" t="str">
        <f>IF(B286="", "", 'Lighting Inventory'!S294)</f>
        <v/>
      </c>
      <c r="AE286" s="26" t="str">
        <f>IF(B286="", "", 'Lighting Inventory'!V294)</f>
        <v/>
      </c>
      <c r="AF286" s="26" t="str">
        <f>IF(B286="", "", 'Lighting Inventory'!W294)</f>
        <v/>
      </c>
      <c r="AG286" s="26" t="str">
        <f>IF(OR(AF286="", B286=""), "", IF(AE286="Custom", "0", VLOOKUP(AF286, 'Lookup Tables'!$AI$6:$AP$102, 8, FALSE)))</f>
        <v/>
      </c>
      <c r="AH286" s="26" t="str">
        <f>IF(B286="", "", 'Lighting Inventory'!AD294)</f>
        <v/>
      </c>
      <c r="AI286" s="26" t="str">
        <f>IF(OR('Lighting Inventory'!AK294="", B286=""), "", 'Lighting Inventory'!AK294)</f>
        <v/>
      </c>
      <c r="AJ286" s="66" t="str">
        <f>IF(B286="", "", 'Lighting Inventory'!AL294)</f>
        <v/>
      </c>
      <c r="AK286" s="65" t="str">
        <f>IF(B286="", "", 'Lighting Inventory'!AM294)</f>
        <v/>
      </c>
      <c r="AL286" s="26" t="str">
        <f>IF(B286="", "", 'Lighting Inventory'!AN294)</f>
        <v/>
      </c>
      <c r="AM286" s="26" t="str">
        <f t="shared" si="15"/>
        <v/>
      </c>
      <c r="AN286" s="26" t="str">
        <f>IF(B286="","",IF('Lighting Inventory'!AV294="","Prescribed",'Lighting Inventory'!AV294))</f>
        <v/>
      </c>
      <c r="AO286" s="66" t="str">
        <f>IF(B286="", "", 'Lighting Inventory'!AX294)</f>
        <v/>
      </c>
      <c r="AP286" s="67" t="str">
        <f>IF(B286="", "", 'Lighting Inventory'!AZ294)</f>
        <v/>
      </c>
      <c r="AQ286" s="67" t="str">
        <f>IF(B286="", "", 'Lighting Inventory'!BA294)</f>
        <v/>
      </c>
      <c r="AR286" s="67" t="str">
        <f>IF(B286="", "", 'Lighting Inventory'!BB294)</f>
        <v/>
      </c>
      <c r="AS286" s="67" t="str">
        <f>IF(B286="", "", 'Lighting Inventory'!BC294)</f>
        <v/>
      </c>
      <c r="AT286" s="67" t="str">
        <f>IF(B286="", "", 'Lighting Inventory'!BD294)</f>
        <v/>
      </c>
      <c r="AU286" s="67" t="str">
        <f>IF(B286="", "", 'Lighting Inventory'!BE294)</f>
        <v/>
      </c>
      <c r="AV286" s="67" t="str">
        <f>IF(B286="", "", 'Lighting Inventory'!BE294)</f>
        <v/>
      </c>
      <c r="AW286" s="67" t="str">
        <f>IF(B286="", "", 'Lighting Inventory'!BF294)</f>
        <v/>
      </c>
      <c r="AX286" s="67" t="str">
        <f>IF(B286="", "", 'Lighting Inventory'!BF294)</f>
        <v/>
      </c>
      <c r="AY286" s="65" t="str">
        <f t="shared" si="16"/>
        <v/>
      </c>
      <c r="AZ286" s="65" t="str">
        <f>IF(B286="", "", 'Lighting Inventory'!BJ294)</f>
        <v/>
      </c>
      <c r="BA286" s="65" t="str">
        <f>IF(B286="", "", 'Lighting Inventory'!BM294)</f>
        <v/>
      </c>
      <c r="BB286" s="65" t="str">
        <f>IF(B286="","",SUM('Lighting Inventory'!BP294:BP294))</f>
        <v/>
      </c>
      <c r="BC286" s="67" t="str">
        <f>IF(OR(AE286="", B286=""),"", 'Lighting Inventory'!GR294)</f>
        <v/>
      </c>
      <c r="BD286" s="67" t="str">
        <f>IFERROR(IF(B286="", "", 'Lighting Inventory'!AF294)*AD286," ")</f>
        <v xml:space="preserve"> </v>
      </c>
      <c r="BE286" s="67"/>
      <c r="BF286" s="67"/>
    </row>
    <row r="287" spans="1:58" x14ac:dyDescent="0.25">
      <c r="A287" s="26" t="str">
        <f>IF(B287="", "", 'Lookup Tables'!AW288)</f>
        <v/>
      </c>
      <c r="B287" s="26" t="str">
        <f>IF(OR('Lighting Inventory'!Y295="", 'Lighting Inventory'!V295="No Change"),"", 'Lighting Inventory'!Y295)</f>
        <v/>
      </c>
      <c r="C287" s="26" t="str">
        <f>IF(B287="", "", IF('Lighting Inventory'!Y295='Lookup Tables'!$Y$32, 'Lighting Inventory'!AJ295, IF(AD287=0, R287, AD287)))</f>
        <v/>
      </c>
      <c r="D287" s="26" t="str">
        <f>IF(B287="", "", 'General Information'!$F$14)</f>
        <v/>
      </c>
      <c r="E287" s="26" t="str">
        <f t="shared" si="14"/>
        <v/>
      </c>
      <c r="F287" s="26" t="str">
        <f>IF(B287="", "", CONCATENATE('General Information'!$F$9, " - ", 'General Information'!$F$14))</f>
        <v/>
      </c>
      <c r="G287" s="26" t="str">
        <f>IF(B287="", "", 'General Information'!$F$15)</f>
        <v/>
      </c>
      <c r="H287" s="26" t="str">
        <f>IF(B287="", "", IF(VLOOKUP(B287, 'Lookup Tables'!$Y$18:$AA$34, 2, FALSE)="Traffic", VLOOKUP('Lighting Inventory'!W295, 'Lookup Tables'!#REF!, 11, FALSE), VLOOKUP(B287, 'Lookup Tables'!$Y$18:$AA$34, 2, FALSE)))</f>
        <v/>
      </c>
      <c r="I287" s="26" t="str">
        <f>IF(B287="", "", CONCATENATE(D287, 'Data Export'!A287))</f>
        <v/>
      </c>
      <c r="J287" s="26" t="str">
        <f>IF(B287="", "", 'Lookup Tables'!$B$1)</f>
        <v/>
      </c>
      <c r="K287" s="26" t="str">
        <f>IF(B287="", "", 'Lighting Inventory'!B295)</f>
        <v/>
      </c>
      <c r="L287" s="26" t="str">
        <f>IF(B287="", "", 'Lighting Inventory'!C295)</f>
        <v/>
      </c>
      <c r="M287" s="26" t="str">
        <f>IF(B287="", "",'Lighting Inventory'!D295)</f>
        <v/>
      </c>
      <c r="N287" s="26" t="str">
        <f>IF(B287="", "",'Lighting Inventory'!E295)</f>
        <v/>
      </c>
      <c r="O287" s="26" t="str">
        <f>IF(B287="", "", 'Lighting Inventory'!F295)</f>
        <v/>
      </c>
      <c r="P287" s="26" t="str">
        <f>IF(B287="", "", 'Lighting Inventory'!G295)</f>
        <v/>
      </c>
      <c r="Q287" s="26" t="str">
        <f>IF(B287="", "", 'Lighting Inventory'!H295)</f>
        <v/>
      </c>
      <c r="R287" s="26" t="str">
        <f>IF(B287="", "", 'Lighting Inventory'!I295)</f>
        <v/>
      </c>
      <c r="S287" s="26" t="str">
        <f>IF(B287="", "", 'Lighting Inventory'!J295)</f>
        <v/>
      </c>
      <c r="T287" s="26" t="str">
        <f>IFERROR(IF(B287="","",VLOOKUP(S287,'Fixture Identities'!$A$7:$G$1023,5,FALSE)), "New Construction")</f>
        <v/>
      </c>
      <c r="U287" s="26" t="str">
        <f>IFERROR(IF(B287="", "", IF(K287="New Construction", "NC", IF(VLOOKUP(S287, 'Fixture Identities'!$A$7:$I$1023,3, FALSE)="T12 Linear Fluorescent", VLOOKUP(S287, 'Fixture Identities'!$A$7:$K$1012, 11, FALSE), S287))), "")</f>
        <v/>
      </c>
      <c r="V287" s="26" t="str">
        <f>IFERROR(IF(OR(B287="", U287=0), "", VLOOKUP(U287, 'Fixture Identities'!$A$7:$G$1023, 5, FALSE)), "")</f>
        <v/>
      </c>
      <c r="W287" s="26" t="str">
        <f>IF(B287="", "",'Lighting Inventory'!K295)</f>
        <v/>
      </c>
      <c r="X287" s="65" t="str">
        <f>IF(B287="", "", 'Lighting Inventory'!L295)</f>
        <v/>
      </c>
      <c r="Y287" s="26" t="str">
        <f>IF(B287="", "", IF('Lighting Inventory'!M295="", "Light Switch",'Lighting Inventory'!M295))</f>
        <v/>
      </c>
      <c r="Z287" s="26" t="str">
        <f>IF(OR(K287="Retrofit", B287=""), "", 'Lighting Inventory'!N295)</f>
        <v/>
      </c>
      <c r="AA287" s="26" t="str">
        <f>IF(OR(Z287="",B287=""), "", 'Lighting Inventory'!O295)</f>
        <v/>
      </c>
      <c r="AB287" s="26" t="str">
        <f>IF(B287="", "", 'Lighting Inventory'!P295)</f>
        <v/>
      </c>
      <c r="AC287" s="96" t="str">
        <f>IF(B287="", "", 'Lighting Inventory'!R295)</f>
        <v/>
      </c>
      <c r="AD287" s="26" t="str">
        <f>IF(B287="", "", 'Lighting Inventory'!S295)</f>
        <v/>
      </c>
      <c r="AE287" s="26" t="str">
        <f>IF(B287="", "", 'Lighting Inventory'!V295)</f>
        <v/>
      </c>
      <c r="AF287" s="26" t="str">
        <f>IF(B287="", "", 'Lighting Inventory'!W295)</f>
        <v/>
      </c>
      <c r="AG287" s="26" t="str">
        <f>IF(OR(AF287="", B287=""), "", IF(AE287="Custom", "0", VLOOKUP(AF287, 'Lookup Tables'!$AI$6:$AP$102, 8, FALSE)))</f>
        <v/>
      </c>
      <c r="AH287" s="26" t="str">
        <f>IF(B287="", "", 'Lighting Inventory'!AD295)</f>
        <v/>
      </c>
      <c r="AI287" s="26" t="str">
        <f>IF(OR('Lighting Inventory'!AK295="", B287=""), "", 'Lighting Inventory'!AK295)</f>
        <v/>
      </c>
      <c r="AJ287" s="66" t="str">
        <f>IF(B287="", "", 'Lighting Inventory'!AL295)</f>
        <v/>
      </c>
      <c r="AK287" s="65" t="str">
        <f>IF(B287="", "", 'Lighting Inventory'!AM295)</f>
        <v/>
      </c>
      <c r="AL287" s="26" t="str">
        <f>IF(B287="", "", 'Lighting Inventory'!AN295)</f>
        <v/>
      </c>
      <c r="AM287" s="26" t="str">
        <f t="shared" si="15"/>
        <v/>
      </c>
      <c r="AN287" s="26" t="str">
        <f>IF(B287="","",IF('Lighting Inventory'!AV295="","Prescribed",'Lighting Inventory'!AV295))</f>
        <v/>
      </c>
      <c r="AO287" s="66" t="str">
        <f>IF(B287="", "", 'Lighting Inventory'!AX295)</f>
        <v/>
      </c>
      <c r="AP287" s="67" t="str">
        <f>IF(B287="", "", 'Lighting Inventory'!AZ295)</f>
        <v/>
      </c>
      <c r="AQ287" s="67" t="str">
        <f>IF(B287="", "", 'Lighting Inventory'!BA295)</f>
        <v/>
      </c>
      <c r="AR287" s="67" t="str">
        <f>IF(B287="", "", 'Lighting Inventory'!BB295)</f>
        <v/>
      </c>
      <c r="AS287" s="67" t="str">
        <f>IF(B287="", "", 'Lighting Inventory'!BC295)</f>
        <v/>
      </c>
      <c r="AT287" s="67" t="str">
        <f>IF(B287="", "", 'Lighting Inventory'!BD295)</f>
        <v/>
      </c>
      <c r="AU287" s="67" t="str">
        <f>IF(B287="", "", 'Lighting Inventory'!BE295)</f>
        <v/>
      </c>
      <c r="AV287" s="67" t="str">
        <f>IF(B287="", "", 'Lighting Inventory'!BE295)</f>
        <v/>
      </c>
      <c r="AW287" s="67" t="str">
        <f>IF(B287="", "", 'Lighting Inventory'!BF295)</f>
        <v/>
      </c>
      <c r="AX287" s="67" t="str">
        <f>IF(B287="", "", 'Lighting Inventory'!BF295)</f>
        <v/>
      </c>
      <c r="AY287" s="65" t="str">
        <f t="shared" si="16"/>
        <v/>
      </c>
      <c r="AZ287" s="65" t="str">
        <f>IF(B287="", "", 'Lighting Inventory'!BJ295)</f>
        <v/>
      </c>
      <c r="BA287" s="65" t="str">
        <f>IF(B287="", "", 'Lighting Inventory'!BM295)</f>
        <v/>
      </c>
      <c r="BB287" s="65" t="str">
        <f>IF(B287="","",SUM('Lighting Inventory'!BP295:BP295))</f>
        <v/>
      </c>
      <c r="BC287" s="67" t="str">
        <f>IF(OR(AE287="", B287=""),"", 'Lighting Inventory'!GR295)</f>
        <v/>
      </c>
      <c r="BD287" s="67" t="str">
        <f>IFERROR(IF(B287="", "", 'Lighting Inventory'!AF295)*AD287," ")</f>
        <v xml:space="preserve"> </v>
      </c>
      <c r="BE287" s="67"/>
      <c r="BF287" s="67"/>
    </row>
    <row r="288" spans="1:58" x14ac:dyDescent="0.25">
      <c r="A288" s="26" t="str">
        <f>IF(B288="", "", 'Lookup Tables'!AW289)</f>
        <v/>
      </c>
      <c r="B288" s="26" t="str">
        <f>IF(OR('Lighting Inventory'!Y296="", 'Lighting Inventory'!V296="No Change"),"", 'Lighting Inventory'!Y296)</f>
        <v/>
      </c>
      <c r="C288" s="26" t="str">
        <f>IF(B288="", "", IF('Lighting Inventory'!Y296='Lookup Tables'!$Y$32, 'Lighting Inventory'!AJ296, IF(AD288=0, R288, AD288)))</f>
        <v/>
      </c>
      <c r="D288" s="26" t="str">
        <f>IF(B288="", "", 'General Information'!$F$14)</f>
        <v/>
      </c>
      <c r="E288" s="26" t="str">
        <f t="shared" si="14"/>
        <v/>
      </c>
      <c r="F288" s="26" t="str">
        <f>IF(B288="", "", CONCATENATE('General Information'!$F$9, " - ", 'General Information'!$F$14))</f>
        <v/>
      </c>
      <c r="G288" s="26" t="str">
        <f>IF(B288="", "", 'General Information'!$F$15)</f>
        <v/>
      </c>
      <c r="H288" s="26" t="str">
        <f>IF(B288="", "", IF(VLOOKUP(B288, 'Lookup Tables'!$Y$18:$AA$34, 2, FALSE)="Traffic", VLOOKUP('Lighting Inventory'!W296, 'Lookup Tables'!#REF!, 11, FALSE), VLOOKUP(B288, 'Lookup Tables'!$Y$18:$AA$34, 2, FALSE)))</f>
        <v/>
      </c>
      <c r="I288" s="26" t="str">
        <f>IF(B288="", "", CONCATENATE(D288, 'Data Export'!A288))</f>
        <v/>
      </c>
      <c r="J288" s="26" t="str">
        <f>IF(B288="", "", 'Lookup Tables'!$B$1)</f>
        <v/>
      </c>
      <c r="K288" s="26" t="str">
        <f>IF(B288="", "", 'Lighting Inventory'!B296)</f>
        <v/>
      </c>
      <c r="L288" s="26" t="str">
        <f>IF(B288="", "", 'Lighting Inventory'!C296)</f>
        <v/>
      </c>
      <c r="M288" s="26" t="str">
        <f>IF(B288="", "",'Lighting Inventory'!D296)</f>
        <v/>
      </c>
      <c r="N288" s="26" t="str">
        <f>IF(B288="", "",'Lighting Inventory'!E296)</f>
        <v/>
      </c>
      <c r="O288" s="26" t="str">
        <f>IF(B288="", "", 'Lighting Inventory'!F296)</f>
        <v/>
      </c>
      <c r="P288" s="26" t="str">
        <f>IF(B288="", "", 'Lighting Inventory'!G296)</f>
        <v/>
      </c>
      <c r="Q288" s="26" t="str">
        <f>IF(B288="", "", 'Lighting Inventory'!H296)</f>
        <v/>
      </c>
      <c r="R288" s="26" t="str">
        <f>IF(B288="", "", 'Lighting Inventory'!I296)</f>
        <v/>
      </c>
      <c r="S288" s="26" t="str">
        <f>IF(B288="", "", 'Lighting Inventory'!J296)</f>
        <v/>
      </c>
      <c r="T288" s="26" t="str">
        <f>IFERROR(IF(B288="","",VLOOKUP(S288,'Fixture Identities'!$A$7:$G$1023,5,FALSE)), "New Construction")</f>
        <v/>
      </c>
      <c r="U288" s="26" t="str">
        <f>IFERROR(IF(B288="", "", IF(K288="New Construction", "NC", IF(VLOOKUP(S288, 'Fixture Identities'!$A$7:$I$1023,3, FALSE)="T12 Linear Fluorescent", VLOOKUP(S288, 'Fixture Identities'!$A$7:$K$1012, 11, FALSE), S288))), "")</f>
        <v/>
      </c>
      <c r="V288" s="26" t="str">
        <f>IFERROR(IF(OR(B288="", U288=0), "", VLOOKUP(U288, 'Fixture Identities'!$A$7:$G$1023, 5, FALSE)), "")</f>
        <v/>
      </c>
      <c r="W288" s="26" t="str">
        <f>IF(B288="", "",'Lighting Inventory'!K296)</f>
        <v/>
      </c>
      <c r="X288" s="65" t="str">
        <f>IF(B288="", "", 'Lighting Inventory'!L296)</f>
        <v/>
      </c>
      <c r="Y288" s="26" t="str">
        <f>IF(B288="", "", IF('Lighting Inventory'!M296="", "Light Switch",'Lighting Inventory'!M296))</f>
        <v/>
      </c>
      <c r="Z288" s="26" t="str">
        <f>IF(OR(K288="Retrofit", B288=""), "", 'Lighting Inventory'!N296)</f>
        <v/>
      </c>
      <c r="AA288" s="26" t="str">
        <f>IF(OR(Z288="",B288=""), "", 'Lighting Inventory'!O296)</f>
        <v/>
      </c>
      <c r="AB288" s="26" t="str">
        <f>IF(B288="", "", 'Lighting Inventory'!P296)</f>
        <v/>
      </c>
      <c r="AC288" s="96" t="str">
        <f>IF(B288="", "", 'Lighting Inventory'!R296)</f>
        <v/>
      </c>
      <c r="AD288" s="26" t="str">
        <f>IF(B288="", "", 'Lighting Inventory'!S296)</f>
        <v/>
      </c>
      <c r="AE288" s="26" t="str">
        <f>IF(B288="", "", 'Lighting Inventory'!V296)</f>
        <v/>
      </c>
      <c r="AF288" s="26" t="str">
        <f>IF(B288="", "", 'Lighting Inventory'!W296)</f>
        <v/>
      </c>
      <c r="AG288" s="26" t="str">
        <f>IF(OR(AF288="", B288=""), "", IF(AE288="Custom", "0", VLOOKUP(AF288, 'Lookup Tables'!$AI$6:$AP$102, 8, FALSE)))</f>
        <v/>
      </c>
      <c r="AH288" s="26" t="str">
        <f>IF(B288="", "", 'Lighting Inventory'!AD296)</f>
        <v/>
      </c>
      <c r="AI288" s="26" t="str">
        <f>IF(OR('Lighting Inventory'!AK296="", B288=""), "", 'Lighting Inventory'!AK296)</f>
        <v/>
      </c>
      <c r="AJ288" s="66" t="str">
        <f>IF(B288="", "", 'Lighting Inventory'!AL296)</f>
        <v/>
      </c>
      <c r="AK288" s="65" t="str">
        <f>IF(B288="", "", 'Lighting Inventory'!AM296)</f>
        <v/>
      </c>
      <c r="AL288" s="26" t="str">
        <f>IF(B288="", "", 'Lighting Inventory'!AN296)</f>
        <v/>
      </c>
      <c r="AM288" s="26" t="str">
        <f t="shared" si="15"/>
        <v/>
      </c>
      <c r="AN288" s="26" t="str">
        <f>IF(B288="","",IF('Lighting Inventory'!AV296="","Prescribed",'Lighting Inventory'!AV296))</f>
        <v/>
      </c>
      <c r="AO288" s="66" t="str">
        <f>IF(B288="", "", 'Lighting Inventory'!AX296)</f>
        <v/>
      </c>
      <c r="AP288" s="67" t="str">
        <f>IF(B288="", "", 'Lighting Inventory'!AZ296)</f>
        <v/>
      </c>
      <c r="AQ288" s="67" t="str">
        <f>IF(B288="", "", 'Lighting Inventory'!BA296)</f>
        <v/>
      </c>
      <c r="AR288" s="67" t="str">
        <f>IF(B288="", "", 'Lighting Inventory'!BB296)</f>
        <v/>
      </c>
      <c r="AS288" s="67" t="str">
        <f>IF(B288="", "", 'Lighting Inventory'!BC296)</f>
        <v/>
      </c>
      <c r="AT288" s="67" t="str">
        <f>IF(B288="", "", 'Lighting Inventory'!BD296)</f>
        <v/>
      </c>
      <c r="AU288" s="67" t="str">
        <f>IF(B288="", "", 'Lighting Inventory'!BE296)</f>
        <v/>
      </c>
      <c r="AV288" s="67" t="str">
        <f>IF(B288="", "", 'Lighting Inventory'!BE296)</f>
        <v/>
      </c>
      <c r="AW288" s="67" t="str">
        <f>IF(B288="", "", 'Lighting Inventory'!BF296)</f>
        <v/>
      </c>
      <c r="AX288" s="67" t="str">
        <f>IF(B288="", "", 'Lighting Inventory'!BF296)</f>
        <v/>
      </c>
      <c r="AY288" s="65" t="str">
        <f t="shared" si="16"/>
        <v/>
      </c>
      <c r="AZ288" s="65" t="str">
        <f>IF(B288="", "", 'Lighting Inventory'!BJ296)</f>
        <v/>
      </c>
      <c r="BA288" s="65" t="str">
        <f>IF(B288="", "", 'Lighting Inventory'!BM296)</f>
        <v/>
      </c>
      <c r="BB288" s="65" t="str">
        <f>IF(B288="","",SUM('Lighting Inventory'!BP296:BP296))</f>
        <v/>
      </c>
      <c r="BC288" s="67" t="str">
        <f>IF(OR(AE288="", B288=""),"", 'Lighting Inventory'!GR296)</f>
        <v/>
      </c>
      <c r="BD288" s="67" t="str">
        <f>IFERROR(IF(B288="", "", 'Lighting Inventory'!AF296)*AD288," ")</f>
        <v xml:space="preserve"> </v>
      </c>
      <c r="BE288" s="67"/>
      <c r="BF288" s="67"/>
    </row>
    <row r="289" spans="1:58" x14ac:dyDescent="0.25">
      <c r="A289" s="26" t="str">
        <f>IF(B289="", "", 'Lookup Tables'!AW290)</f>
        <v/>
      </c>
      <c r="B289" s="26" t="str">
        <f>IF(OR('Lighting Inventory'!Y297="", 'Lighting Inventory'!V297="No Change"),"", 'Lighting Inventory'!Y297)</f>
        <v/>
      </c>
      <c r="C289" s="26" t="str">
        <f>IF(B289="", "", IF('Lighting Inventory'!Y297='Lookup Tables'!$Y$32, 'Lighting Inventory'!AJ297, IF(AD289=0, R289, AD289)))</f>
        <v/>
      </c>
      <c r="D289" s="26" t="str">
        <f>IF(B289="", "", 'General Information'!$F$14)</f>
        <v/>
      </c>
      <c r="E289" s="26" t="str">
        <f t="shared" si="14"/>
        <v/>
      </c>
      <c r="F289" s="26" t="str">
        <f>IF(B289="", "", CONCATENATE('General Information'!$F$9, " - ", 'General Information'!$F$14))</f>
        <v/>
      </c>
      <c r="G289" s="26" t="str">
        <f>IF(B289="", "", 'General Information'!$F$15)</f>
        <v/>
      </c>
      <c r="H289" s="26" t="str">
        <f>IF(B289="", "", IF(VLOOKUP(B289, 'Lookup Tables'!$Y$18:$AA$34, 2, FALSE)="Traffic", VLOOKUP('Lighting Inventory'!W297, 'Lookup Tables'!#REF!, 11, FALSE), VLOOKUP(B289, 'Lookup Tables'!$Y$18:$AA$34, 2, FALSE)))</f>
        <v/>
      </c>
      <c r="I289" s="26" t="str">
        <f>IF(B289="", "", CONCATENATE(D289, 'Data Export'!A289))</f>
        <v/>
      </c>
      <c r="J289" s="26" t="str">
        <f>IF(B289="", "", 'Lookup Tables'!$B$1)</f>
        <v/>
      </c>
      <c r="K289" s="26" t="str">
        <f>IF(B289="", "", 'Lighting Inventory'!B297)</f>
        <v/>
      </c>
      <c r="L289" s="26" t="str">
        <f>IF(B289="", "", 'Lighting Inventory'!C297)</f>
        <v/>
      </c>
      <c r="M289" s="26" t="str">
        <f>IF(B289="", "",'Lighting Inventory'!D297)</f>
        <v/>
      </c>
      <c r="N289" s="26" t="str">
        <f>IF(B289="", "",'Lighting Inventory'!E297)</f>
        <v/>
      </c>
      <c r="O289" s="26" t="str">
        <f>IF(B289="", "", 'Lighting Inventory'!F297)</f>
        <v/>
      </c>
      <c r="P289" s="26" t="str">
        <f>IF(B289="", "", 'Lighting Inventory'!G297)</f>
        <v/>
      </c>
      <c r="Q289" s="26" t="str">
        <f>IF(B289="", "", 'Lighting Inventory'!H297)</f>
        <v/>
      </c>
      <c r="R289" s="26" t="str">
        <f>IF(B289="", "", 'Lighting Inventory'!I297)</f>
        <v/>
      </c>
      <c r="S289" s="26" t="str">
        <f>IF(B289="", "", 'Lighting Inventory'!J297)</f>
        <v/>
      </c>
      <c r="T289" s="26" t="str">
        <f>IFERROR(IF(B289="","",VLOOKUP(S289,'Fixture Identities'!$A$7:$G$1023,5,FALSE)), "New Construction")</f>
        <v/>
      </c>
      <c r="U289" s="26" t="str">
        <f>IFERROR(IF(B289="", "", IF(K289="New Construction", "NC", IF(VLOOKUP(S289, 'Fixture Identities'!$A$7:$I$1023,3, FALSE)="T12 Linear Fluorescent", VLOOKUP(S289, 'Fixture Identities'!$A$7:$K$1012, 11, FALSE), S289))), "")</f>
        <v/>
      </c>
      <c r="V289" s="26" t="str">
        <f>IFERROR(IF(OR(B289="", U289=0), "", VLOOKUP(U289, 'Fixture Identities'!$A$7:$G$1023, 5, FALSE)), "")</f>
        <v/>
      </c>
      <c r="W289" s="26" t="str">
        <f>IF(B289="", "",'Lighting Inventory'!K297)</f>
        <v/>
      </c>
      <c r="X289" s="65" t="str">
        <f>IF(B289="", "", 'Lighting Inventory'!L297)</f>
        <v/>
      </c>
      <c r="Y289" s="26" t="str">
        <f>IF(B289="", "", IF('Lighting Inventory'!M297="", "Light Switch",'Lighting Inventory'!M297))</f>
        <v/>
      </c>
      <c r="Z289" s="26" t="str">
        <f>IF(OR(K289="Retrofit", B289=""), "", 'Lighting Inventory'!N297)</f>
        <v/>
      </c>
      <c r="AA289" s="26" t="str">
        <f>IF(OR(Z289="",B289=""), "", 'Lighting Inventory'!O297)</f>
        <v/>
      </c>
      <c r="AB289" s="26" t="str">
        <f>IF(B289="", "", 'Lighting Inventory'!P297)</f>
        <v/>
      </c>
      <c r="AC289" s="96" t="str">
        <f>IF(B289="", "", 'Lighting Inventory'!R297)</f>
        <v/>
      </c>
      <c r="AD289" s="26" t="str">
        <f>IF(B289="", "", 'Lighting Inventory'!S297)</f>
        <v/>
      </c>
      <c r="AE289" s="26" t="str">
        <f>IF(B289="", "", 'Lighting Inventory'!V297)</f>
        <v/>
      </c>
      <c r="AF289" s="26" t="str">
        <f>IF(B289="", "", 'Lighting Inventory'!W297)</f>
        <v/>
      </c>
      <c r="AG289" s="26" t="str">
        <f>IF(OR(AF289="", B289=""), "", IF(AE289="Custom", "0", VLOOKUP(AF289, 'Lookup Tables'!$AI$6:$AP$102, 8, FALSE)))</f>
        <v/>
      </c>
      <c r="AH289" s="26" t="str">
        <f>IF(B289="", "", 'Lighting Inventory'!AD297)</f>
        <v/>
      </c>
      <c r="AI289" s="26" t="str">
        <f>IF(OR('Lighting Inventory'!AK297="", B289=""), "", 'Lighting Inventory'!AK297)</f>
        <v/>
      </c>
      <c r="AJ289" s="66" t="str">
        <f>IF(B289="", "", 'Lighting Inventory'!AL297)</f>
        <v/>
      </c>
      <c r="AK289" s="65" t="str">
        <f>IF(B289="", "", 'Lighting Inventory'!AM297)</f>
        <v/>
      </c>
      <c r="AL289" s="26" t="str">
        <f>IF(B289="", "", 'Lighting Inventory'!AN297)</f>
        <v/>
      </c>
      <c r="AM289" s="26" t="str">
        <f t="shared" si="15"/>
        <v/>
      </c>
      <c r="AN289" s="26" t="str">
        <f>IF(B289="","",IF('Lighting Inventory'!AV297="","Prescribed",'Lighting Inventory'!AV297))</f>
        <v/>
      </c>
      <c r="AO289" s="66" t="str">
        <f>IF(B289="", "", 'Lighting Inventory'!AX297)</f>
        <v/>
      </c>
      <c r="AP289" s="67" t="str">
        <f>IF(B289="", "", 'Lighting Inventory'!AZ297)</f>
        <v/>
      </c>
      <c r="AQ289" s="67" t="str">
        <f>IF(B289="", "", 'Lighting Inventory'!BA297)</f>
        <v/>
      </c>
      <c r="AR289" s="67" t="str">
        <f>IF(B289="", "", 'Lighting Inventory'!BB297)</f>
        <v/>
      </c>
      <c r="AS289" s="67" t="str">
        <f>IF(B289="", "", 'Lighting Inventory'!BC297)</f>
        <v/>
      </c>
      <c r="AT289" s="67" t="str">
        <f>IF(B289="", "", 'Lighting Inventory'!BD297)</f>
        <v/>
      </c>
      <c r="AU289" s="67" t="str">
        <f>IF(B289="", "", 'Lighting Inventory'!BE297)</f>
        <v/>
      </c>
      <c r="AV289" s="67" t="str">
        <f>IF(B289="", "", 'Lighting Inventory'!BE297)</f>
        <v/>
      </c>
      <c r="AW289" s="67" t="str">
        <f>IF(B289="", "", 'Lighting Inventory'!BF297)</f>
        <v/>
      </c>
      <c r="AX289" s="67" t="str">
        <f>IF(B289="", "", 'Lighting Inventory'!BF297)</f>
        <v/>
      </c>
      <c r="AY289" s="65" t="str">
        <f t="shared" si="16"/>
        <v/>
      </c>
      <c r="AZ289" s="65" t="str">
        <f>IF(B289="", "", 'Lighting Inventory'!BJ297)</f>
        <v/>
      </c>
      <c r="BA289" s="65" t="str">
        <f>IF(B289="", "", 'Lighting Inventory'!BM297)</f>
        <v/>
      </c>
      <c r="BB289" s="65" t="str">
        <f>IF(B289="","",SUM('Lighting Inventory'!BP297:BP297))</f>
        <v/>
      </c>
      <c r="BC289" s="67" t="str">
        <f>IF(OR(AE289="", B289=""),"", 'Lighting Inventory'!GR297)</f>
        <v/>
      </c>
      <c r="BD289" s="67" t="str">
        <f>IFERROR(IF(B289="", "", 'Lighting Inventory'!AF297)*AD289," ")</f>
        <v xml:space="preserve"> </v>
      </c>
      <c r="BE289" s="67"/>
      <c r="BF289" s="67"/>
    </row>
    <row r="290" spans="1:58" x14ac:dyDescent="0.25">
      <c r="A290" s="26" t="str">
        <f>IF(B290="", "", 'Lookup Tables'!AW291)</f>
        <v/>
      </c>
      <c r="B290" s="26" t="str">
        <f>IF(OR('Lighting Inventory'!Y298="", 'Lighting Inventory'!V298="No Change"),"", 'Lighting Inventory'!Y298)</f>
        <v/>
      </c>
      <c r="C290" s="26" t="str">
        <f>IF(B290="", "", IF('Lighting Inventory'!Y298='Lookup Tables'!$Y$32, 'Lighting Inventory'!AJ298, IF(AD290=0, R290, AD290)))</f>
        <v/>
      </c>
      <c r="D290" s="26" t="str">
        <f>IF(B290="", "", 'General Information'!$F$14)</f>
        <v/>
      </c>
      <c r="E290" s="26" t="str">
        <f t="shared" si="14"/>
        <v/>
      </c>
      <c r="F290" s="26" t="str">
        <f>IF(B290="", "", CONCATENATE('General Information'!$F$9, " - ", 'General Information'!$F$14))</f>
        <v/>
      </c>
      <c r="G290" s="26" t="str">
        <f>IF(B290="", "", 'General Information'!$F$15)</f>
        <v/>
      </c>
      <c r="H290" s="26" t="str">
        <f>IF(B290="", "", IF(VLOOKUP(B290, 'Lookup Tables'!$Y$18:$AA$34, 2, FALSE)="Traffic", VLOOKUP('Lighting Inventory'!W298, 'Lookup Tables'!#REF!, 11, FALSE), VLOOKUP(B290, 'Lookup Tables'!$Y$18:$AA$34, 2, FALSE)))</f>
        <v/>
      </c>
      <c r="I290" s="26" t="str">
        <f>IF(B290="", "", CONCATENATE(D290, 'Data Export'!A290))</f>
        <v/>
      </c>
      <c r="J290" s="26" t="str">
        <f>IF(B290="", "", 'Lookup Tables'!$B$1)</f>
        <v/>
      </c>
      <c r="K290" s="26" t="str">
        <f>IF(B290="", "", 'Lighting Inventory'!B298)</f>
        <v/>
      </c>
      <c r="L290" s="26" t="str">
        <f>IF(B290="", "", 'Lighting Inventory'!C298)</f>
        <v/>
      </c>
      <c r="M290" s="26" t="str">
        <f>IF(B290="", "",'Lighting Inventory'!D298)</f>
        <v/>
      </c>
      <c r="N290" s="26" t="str">
        <f>IF(B290="", "",'Lighting Inventory'!E298)</f>
        <v/>
      </c>
      <c r="O290" s="26" t="str">
        <f>IF(B290="", "", 'Lighting Inventory'!F298)</f>
        <v/>
      </c>
      <c r="P290" s="26" t="str">
        <f>IF(B290="", "", 'Lighting Inventory'!G298)</f>
        <v/>
      </c>
      <c r="Q290" s="26" t="str">
        <f>IF(B290="", "", 'Lighting Inventory'!H298)</f>
        <v/>
      </c>
      <c r="R290" s="26" t="str">
        <f>IF(B290="", "", 'Lighting Inventory'!I298)</f>
        <v/>
      </c>
      <c r="S290" s="26" t="str">
        <f>IF(B290="", "", 'Lighting Inventory'!J298)</f>
        <v/>
      </c>
      <c r="T290" s="26" t="str">
        <f>IFERROR(IF(B290="","",VLOOKUP(S290,'Fixture Identities'!$A$7:$G$1023,5,FALSE)), "New Construction")</f>
        <v/>
      </c>
      <c r="U290" s="26" t="str">
        <f>IFERROR(IF(B290="", "", IF(K290="New Construction", "NC", IF(VLOOKUP(S290, 'Fixture Identities'!$A$7:$I$1023,3, FALSE)="T12 Linear Fluorescent", VLOOKUP(S290, 'Fixture Identities'!$A$7:$K$1012, 11, FALSE), S290))), "")</f>
        <v/>
      </c>
      <c r="V290" s="26" t="str">
        <f>IFERROR(IF(OR(B290="", U290=0), "", VLOOKUP(U290, 'Fixture Identities'!$A$7:$G$1023, 5, FALSE)), "")</f>
        <v/>
      </c>
      <c r="W290" s="26" t="str">
        <f>IF(B290="", "",'Lighting Inventory'!K298)</f>
        <v/>
      </c>
      <c r="X290" s="65" t="str">
        <f>IF(B290="", "", 'Lighting Inventory'!L298)</f>
        <v/>
      </c>
      <c r="Y290" s="26" t="str">
        <f>IF(B290="", "", IF('Lighting Inventory'!M298="", "Light Switch",'Lighting Inventory'!M298))</f>
        <v/>
      </c>
      <c r="Z290" s="26" t="str">
        <f>IF(OR(K290="Retrofit", B290=""), "", 'Lighting Inventory'!N298)</f>
        <v/>
      </c>
      <c r="AA290" s="26" t="str">
        <f>IF(OR(Z290="",B290=""), "", 'Lighting Inventory'!O298)</f>
        <v/>
      </c>
      <c r="AB290" s="26" t="str">
        <f>IF(B290="", "", 'Lighting Inventory'!P298)</f>
        <v/>
      </c>
      <c r="AC290" s="96" t="str">
        <f>IF(B290="", "", 'Lighting Inventory'!R298)</f>
        <v/>
      </c>
      <c r="AD290" s="26" t="str">
        <f>IF(B290="", "", 'Lighting Inventory'!S298)</f>
        <v/>
      </c>
      <c r="AE290" s="26" t="str">
        <f>IF(B290="", "", 'Lighting Inventory'!V298)</f>
        <v/>
      </c>
      <c r="AF290" s="26" t="str">
        <f>IF(B290="", "", 'Lighting Inventory'!W298)</f>
        <v/>
      </c>
      <c r="AG290" s="26" t="str">
        <f>IF(OR(AF290="", B290=""), "", IF(AE290="Custom", "0", VLOOKUP(AF290, 'Lookup Tables'!$AI$6:$AP$102, 8, FALSE)))</f>
        <v/>
      </c>
      <c r="AH290" s="26" t="str">
        <f>IF(B290="", "", 'Lighting Inventory'!AD298)</f>
        <v/>
      </c>
      <c r="AI290" s="26" t="str">
        <f>IF(OR('Lighting Inventory'!AK298="", B290=""), "", 'Lighting Inventory'!AK298)</f>
        <v/>
      </c>
      <c r="AJ290" s="66" t="str">
        <f>IF(B290="", "", 'Lighting Inventory'!AL298)</f>
        <v/>
      </c>
      <c r="AK290" s="65" t="str">
        <f>IF(B290="", "", 'Lighting Inventory'!AM298)</f>
        <v/>
      </c>
      <c r="AL290" s="26" t="str">
        <f>IF(B290="", "", 'Lighting Inventory'!AN298)</f>
        <v/>
      </c>
      <c r="AM290" s="26" t="str">
        <f t="shared" si="15"/>
        <v/>
      </c>
      <c r="AN290" s="26" t="str">
        <f>IF(B290="","",IF('Lighting Inventory'!AV298="","Prescribed",'Lighting Inventory'!AV298))</f>
        <v/>
      </c>
      <c r="AO290" s="66" t="str">
        <f>IF(B290="", "", 'Lighting Inventory'!AX298)</f>
        <v/>
      </c>
      <c r="AP290" s="67" t="str">
        <f>IF(B290="", "", 'Lighting Inventory'!AZ298)</f>
        <v/>
      </c>
      <c r="AQ290" s="67" t="str">
        <f>IF(B290="", "", 'Lighting Inventory'!BA298)</f>
        <v/>
      </c>
      <c r="AR290" s="67" t="str">
        <f>IF(B290="", "", 'Lighting Inventory'!BB298)</f>
        <v/>
      </c>
      <c r="AS290" s="67" t="str">
        <f>IF(B290="", "", 'Lighting Inventory'!BC298)</f>
        <v/>
      </c>
      <c r="AT290" s="67" t="str">
        <f>IF(B290="", "", 'Lighting Inventory'!BD298)</f>
        <v/>
      </c>
      <c r="AU290" s="67" t="str">
        <f>IF(B290="", "", 'Lighting Inventory'!BE298)</f>
        <v/>
      </c>
      <c r="AV290" s="67" t="str">
        <f>IF(B290="", "", 'Lighting Inventory'!BE298)</f>
        <v/>
      </c>
      <c r="AW290" s="67" t="str">
        <f>IF(B290="", "", 'Lighting Inventory'!BF298)</f>
        <v/>
      </c>
      <c r="AX290" s="67" t="str">
        <f>IF(B290="", "", 'Lighting Inventory'!BF298)</f>
        <v/>
      </c>
      <c r="AY290" s="65" t="str">
        <f t="shared" si="16"/>
        <v/>
      </c>
      <c r="AZ290" s="65" t="str">
        <f>IF(B290="", "", 'Lighting Inventory'!BJ298)</f>
        <v/>
      </c>
      <c r="BA290" s="65" t="str">
        <f>IF(B290="", "", 'Lighting Inventory'!BM298)</f>
        <v/>
      </c>
      <c r="BB290" s="65" t="str">
        <f>IF(B290="","",SUM('Lighting Inventory'!BP298:BP298))</f>
        <v/>
      </c>
      <c r="BC290" s="67" t="str">
        <f>IF(OR(AE290="", B290=""),"", 'Lighting Inventory'!GR298)</f>
        <v/>
      </c>
      <c r="BD290" s="67" t="str">
        <f>IFERROR(IF(B290="", "", 'Lighting Inventory'!AF298)*AD290," ")</f>
        <v xml:space="preserve"> </v>
      </c>
      <c r="BE290" s="67"/>
      <c r="BF290" s="67"/>
    </row>
    <row r="291" spans="1:58" x14ac:dyDescent="0.25">
      <c r="A291" s="26" t="str">
        <f>IF(B291="", "", 'Lookup Tables'!AW292)</f>
        <v/>
      </c>
      <c r="B291" s="26" t="str">
        <f>IF(OR('Lighting Inventory'!Y299="", 'Lighting Inventory'!V299="No Change"),"", 'Lighting Inventory'!Y299)</f>
        <v/>
      </c>
      <c r="C291" s="26" t="str">
        <f>IF(B291="", "", IF('Lighting Inventory'!Y299='Lookup Tables'!$Y$32, 'Lighting Inventory'!AJ299, IF(AD291=0, R291, AD291)))</f>
        <v/>
      </c>
      <c r="D291" s="26" t="str">
        <f>IF(B291="", "", 'General Information'!$F$14)</f>
        <v/>
      </c>
      <c r="E291" s="26" t="str">
        <f t="shared" si="14"/>
        <v/>
      </c>
      <c r="F291" s="26" t="str">
        <f>IF(B291="", "", CONCATENATE('General Information'!$F$9, " - ", 'General Information'!$F$14))</f>
        <v/>
      </c>
      <c r="G291" s="26" t="str">
        <f>IF(B291="", "", 'General Information'!$F$15)</f>
        <v/>
      </c>
      <c r="H291" s="26" t="str">
        <f>IF(B291="", "", IF(VLOOKUP(B291, 'Lookup Tables'!$Y$18:$AA$34, 2, FALSE)="Traffic", VLOOKUP('Lighting Inventory'!W299, 'Lookup Tables'!#REF!, 11, FALSE), VLOOKUP(B291, 'Lookup Tables'!$Y$18:$AA$34, 2, FALSE)))</f>
        <v/>
      </c>
      <c r="I291" s="26" t="str">
        <f>IF(B291="", "", CONCATENATE(D291, 'Data Export'!A291))</f>
        <v/>
      </c>
      <c r="J291" s="26" t="str">
        <f>IF(B291="", "", 'Lookup Tables'!$B$1)</f>
        <v/>
      </c>
      <c r="K291" s="26" t="str">
        <f>IF(B291="", "", 'Lighting Inventory'!B299)</f>
        <v/>
      </c>
      <c r="L291" s="26" t="str">
        <f>IF(B291="", "", 'Lighting Inventory'!C299)</f>
        <v/>
      </c>
      <c r="M291" s="26" t="str">
        <f>IF(B291="", "",'Lighting Inventory'!D299)</f>
        <v/>
      </c>
      <c r="N291" s="26" t="str">
        <f>IF(B291="", "",'Lighting Inventory'!E299)</f>
        <v/>
      </c>
      <c r="O291" s="26" t="str">
        <f>IF(B291="", "", 'Lighting Inventory'!F299)</f>
        <v/>
      </c>
      <c r="P291" s="26" t="str">
        <f>IF(B291="", "", 'Lighting Inventory'!G299)</f>
        <v/>
      </c>
      <c r="Q291" s="26" t="str">
        <f>IF(B291="", "", 'Lighting Inventory'!H299)</f>
        <v/>
      </c>
      <c r="R291" s="26" t="str">
        <f>IF(B291="", "", 'Lighting Inventory'!I299)</f>
        <v/>
      </c>
      <c r="S291" s="26" t="str">
        <f>IF(B291="", "", 'Lighting Inventory'!J299)</f>
        <v/>
      </c>
      <c r="T291" s="26" t="str">
        <f>IFERROR(IF(B291="","",VLOOKUP(S291,'Fixture Identities'!$A$7:$G$1023,5,FALSE)), "New Construction")</f>
        <v/>
      </c>
      <c r="U291" s="26" t="str">
        <f>IFERROR(IF(B291="", "", IF(K291="New Construction", "NC", IF(VLOOKUP(S291, 'Fixture Identities'!$A$7:$I$1023,3, FALSE)="T12 Linear Fluorescent", VLOOKUP(S291, 'Fixture Identities'!$A$7:$K$1012, 11, FALSE), S291))), "")</f>
        <v/>
      </c>
      <c r="V291" s="26" t="str">
        <f>IFERROR(IF(OR(B291="", U291=0), "", VLOOKUP(U291, 'Fixture Identities'!$A$7:$G$1023, 5, FALSE)), "")</f>
        <v/>
      </c>
      <c r="W291" s="26" t="str">
        <f>IF(B291="", "",'Lighting Inventory'!K299)</f>
        <v/>
      </c>
      <c r="X291" s="65" t="str">
        <f>IF(B291="", "", 'Lighting Inventory'!L299)</f>
        <v/>
      </c>
      <c r="Y291" s="26" t="str">
        <f>IF(B291="", "", IF('Lighting Inventory'!M299="", "Light Switch",'Lighting Inventory'!M299))</f>
        <v/>
      </c>
      <c r="Z291" s="26" t="str">
        <f>IF(OR(K291="Retrofit", B291=""), "", 'Lighting Inventory'!N299)</f>
        <v/>
      </c>
      <c r="AA291" s="26" t="str">
        <f>IF(OR(Z291="",B291=""), "", 'Lighting Inventory'!O299)</f>
        <v/>
      </c>
      <c r="AB291" s="26" t="str">
        <f>IF(B291="", "", 'Lighting Inventory'!P299)</f>
        <v/>
      </c>
      <c r="AC291" s="96" t="str">
        <f>IF(B291="", "", 'Lighting Inventory'!R299)</f>
        <v/>
      </c>
      <c r="AD291" s="26" t="str">
        <f>IF(B291="", "", 'Lighting Inventory'!S299)</f>
        <v/>
      </c>
      <c r="AE291" s="26" t="str">
        <f>IF(B291="", "", 'Lighting Inventory'!V299)</f>
        <v/>
      </c>
      <c r="AF291" s="26" t="str">
        <f>IF(B291="", "", 'Lighting Inventory'!W299)</f>
        <v/>
      </c>
      <c r="AG291" s="26" t="str">
        <f>IF(OR(AF291="", B291=""), "", IF(AE291="Custom", "0", VLOOKUP(AF291, 'Lookup Tables'!$AI$6:$AP$102, 8, FALSE)))</f>
        <v/>
      </c>
      <c r="AH291" s="26" t="str">
        <f>IF(B291="", "", 'Lighting Inventory'!AD299)</f>
        <v/>
      </c>
      <c r="AI291" s="26" t="str">
        <f>IF(OR('Lighting Inventory'!AK299="", B291=""), "", 'Lighting Inventory'!AK299)</f>
        <v/>
      </c>
      <c r="AJ291" s="66" t="str">
        <f>IF(B291="", "", 'Lighting Inventory'!AL299)</f>
        <v/>
      </c>
      <c r="AK291" s="65" t="str">
        <f>IF(B291="", "", 'Lighting Inventory'!AM299)</f>
        <v/>
      </c>
      <c r="AL291" s="26" t="str">
        <f>IF(B291="", "", 'Lighting Inventory'!AN299)</f>
        <v/>
      </c>
      <c r="AM291" s="26" t="str">
        <f t="shared" si="15"/>
        <v/>
      </c>
      <c r="AN291" s="26" t="str">
        <f>IF(B291="","",IF('Lighting Inventory'!AV299="","Prescribed",'Lighting Inventory'!AV299))</f>
        <v/>
      </c>
      <c r="AO291" s="66" t="str">
        <f>IF(B291="", "", 'Lighting Inventory'!AX299)</f>
        <v/>
      </c>
      <c r="AP291" s="67" t="str">
        <f>IF(B291="", "", 'Lighting Inventory'!AZ299)</f>
        <v/>
      </c>
      <c r="AQ291" s="67" t="str">
        <f>IF(B291="", "", 'Lighting Inventory'!BA299)</f>
        <v/>
      </c>
      <c r="AR291" s="67" t="str">
        <f>IF(B291="", "", 'Lighting Inventory'!BB299)</f>
        <v/>
      </c>
      <c r="AS291" s="67" t="str">
        <f>IF(B291="", "", 'Lighting Inventory'!BC299)</f>
        <v/>
      </c>
      <c r="AT291" s="67" t="str">
        <f>IF(B291="", "", 'Lighting Inventory'!BD299)</f>
        <v/>
      </c>
      <c r="AU291" s="67" t="str">
        <f>IF(B291="", "", 'Lighting Inventory'!BE299)</f>
        <v/>
      </c>
      <c r="AV291" s="67" t="str">
        <f>IF(B291="", "", 'Lighting Inventory'!BE299)</f>
        <v/>
      </c>
      <c r="AW291" s="67" t="str">
        <f>IF(B291="", "", 'Lighting Inventory'!BF299)</f>
        <v/>
      </c>
      <c r="AX291" s="67" t="str">
        <f>IF(B291="", "", 'Lighting Inventory'!BF299)</f>
        <v/>
      </c>
      <c r="AY291" s="65" t="str">
        <f t="shared" si="16"/>
        <v/>
      </c>
      <c r="AZ291" s="65" t="str">
        <f>IF(B291="", "", 'Lighting Inventory'!BJ299)</f>
        <v/>
      </c>
      <c r="BA291" s="65" t="str">
        <f>IF(B291="", "", 'Lighting Inventory'!BM299)</f>
        <v/>
      </c>
      <c r="BB291" s="65" t="str">
        <f>IF(B291="","",SUM('Lighting Inventory'!BP299:BP299))</f>
        <v/>
      </c>
      <c r="BC291" s="67" t="str">
        <f>IF(OR(AE291="", B291=""),"", 'Lighting Inventory'!GR299)</f>
        <v/>
      </c>
      <c r="BD291" s="67" t="str">
        <f>IFERROR(IF(B291="", "", 'Lighting Inventory'!AF299)*AD291," ")</f>
        <v xml:space="preserve"> </v>
      </c>
      <c r="BE291" s="67"/>
      <c r="BF291" s="67"/>
    </row>
    <row r="292" spans="1:58" x14ac:dyDescent="0.25">
      <c r="A292" s="26" t="str">
        <f>IF(B292="", "", 'Lookup Tables'!AW293)</f>
        <v/>
      </c>
      <c r="B292" s="26" t="str">
        <f>IF(OR('Lighting Inventory'!Y300="", 'Lighting Inventory'!V300="No Change"),"", 'Lighting Inventory'!Y300)</f>
        <v/>
      </c>
      <c r="C292" s="26" t="str">
        <f>IF(B292="", "", IF('Lighting Inventory'!Y300='Lookup Tables'!$Y$32, 'Lighting Inventory'!AJ300, IF(AD292=0, R292, AD292)))</f>
        <v/>
      </c>
      <c r="D292" s="26" t="str">
        <f>IF(B292="", "", 'General Information'!$F$14)</f>
        <v/>
      </c>
      <c r="E292" s="26" t="str">
        <f t="shared" si="14"/>
        <v/>
      </c>
      <c r="F292" s="26" t="str">
        <f>IF(B292="", "", CONCATENATE('General Information'!$F$9, " - ", 'General Information'!$F$14))</f>
        <v/>
      </c>
      <c r="G292" s="26" t="str">
        <f>IF(B292="", "", 'General Information'!$F$15)</f>
        <v/>
      </c>
      <c r="H292" s="26" t="str">
        <f>IF(B292="", "", IF(VLOOKUP(B292, 'Lookup Tables'!$Y$18:$AA$34, 2, FALSE)="Traffic", VLOOKUP('Lighting Inventory'!W300, 'Lookup Tables'!#REF!, 11, FALSE), VLOOKUP(B292, 'Lookup Tables'!$Y$18:$AA$34, 2, FALSE)))</f>
        <v/>
      </c>
      <c r="I292" s="26" t="str">
        <f>IF(B292="", "", CONCATENATE(D292, 'Data Export'!A292))</f>
        <v/>
      </c>
      <c r="J292" s="26" t="str">
        <f>IF(B292="", "", 'Lookup Tables'!$B$1)</f>
        <v/>
      </c>
      <c r="K292" s="26" t="str">
        <f>IF(B292="", "", 'Lighting Inventory'!B300)</f>
        <v/>
      </c>
      <c r="L292" s="26" t="str">
        <f>IF(B292="", "", 'Lighting Inventory'!C300)</f>
        <v/>
      </c>
      <c r="M292" s="26" t="str">
        <f>IF(B292="", "",'Lighting Inventory'!D300)</f>
        <v/>
      </c>
      <c r="N292" s="26" t="str">
        <f>IF(B292="", "",'Lighting Inventory'!E300)</f>
        <v/>
      </c>
      <c r="O292" s="26" t="str">
        <f>IF(B292="", "", 'Lighting Inventory'!F300)</f>
        <v/>
      </c>
      <c r="P292" s="26" t="str">
        <f>IF(B292="", "", 'Lighting Inventory'!G300)</f>
        <v/>
      </c>
      <c r="Q292" s="26" t="str">
        <f>IF(B292="", "", 'Lighting Inventory'!H300)</f>
        <v/>
      </c>
      <c r="R292" s="26" t="str">
        <f>IF(B292="", "", 'Lighting Inventory'!I300)</f>
        <v/>
      </c>
      <c r="S292" s="26" t="str">
        <f>IF(B292="", "", 'Lighting Inventory'!J300)</f>
        <v/>
      </c>
      <c r="T292" s="26" t="str">
        <f>IFERROR(IF(B292="","",VLOOKUP(S292,'Fixture Identities'!$A$7:$G$1023,5,FALSE)), "New Construction")</f>
        <v/>
      </c>
      <c r="U292" s="26" t="str">
        <f>IFERROR(IF(B292="", "", IF(K292="New Construction", "NC", IF(VLOOKUP(S292, 'Fixture Identities'!$A$7:$I$1023,3, FALSE)="T12 Linear Fluorescent", VLOOKUP(S292, 'Fixture Identities'!$A$7:$K$1012, 11, FALSE), S292))), "")</f>
        <v/>
      </c>
      <c r="V292" s="26" t="str">
        <f>IFERROR(IF(OR(B292="", U292=0), "", VLOOKUP(U292, 'Fixture Identities'!$A$7:$G$1023, 5, FALSE)), "")</f>
        <v/>
      </c>
      <c r="W292" s="26" t="str">
        <f>IF(B292="", "",'Lighting Inventory'!K300)</f>
        <v/>
      </c>
      <c r="X292" s="65" t="str">
        <f>IF(B292="", "", 'Lighting Inventory'!L300)</f>
        <v/>
      </c>
      <c r="Y292" s="26" t="str">
        <f>IF(B292="", "", IF('Lighting Inventory'!M300="", "Light Switch",'Lighting Inventory'!M300))</f>
        <v/>
      </c>
      <c r="Z292" s="26" t="str">
        <f>IF(OR(K292="Retrofit", B292=""), "", 'Lighting Inventory'!N300)</f>
        <v/>
      </c>
      <c r="AA292" s="26" t="str">
        <f>IF(OR(Z292="",B292=""), "", 'Lighting Inventory'!O300)</f>
        <v/>
      </c>
      <c r="AB292" s="26" t="str">
        <f>IF(B292="", "", 'Lighting Inventory'!P300)</f>
        <v/>
      </c>
      <c r="AC292" s="96" t="str">
        <f>IF(B292="", "", 'Lighting Inventory'!R300)</f>
        <v/>
      </c>
      <c r="AD292" s="26" t="str">
        <f>IF(B292="", "", 'Lighting Inventory'!S300)</f>
        <v/>
      </c>
      <c r="AE292" s="26" t="str">
        <f>IF(B292="", "", 'Lighting Inventory'!V300)</f>
        <v/>
      </c>
      <c r="AF292" s="26" t="str">
        <f>IF(B292="", "", 'Lighting Inventory'!W300)</f>
        <v/>
      </c>
      <c r="AG292" s="26" t="str">
        <f>IF(OR(AF292="", B292=""), "", IF(AE292="Custom", "0", VLOOKUP(AF292, 'Lookup Tables'!$AI$6:$AP$102, 8, FALSE)))</f>
        <v/>
      </c>
      <c r="AH292" s="26" t="str">
        <f>IF(B292="", "", 'Lighting Inventory'!AD300)</f>
        <v/>
      </c>
      <c r="AI292" s="26" t="str">
        <f>IF(OR('Lighting Inventory'!AK300="", B292=""), "", 'Lighting Inventory'!AK300)</f>
        <v/>
      </c>
      <c r="AJ292" s="66" t="str">
        <f>IF(B292="", "", 'Lighting Inventory'!AL300)</f>
        <v/>
      </c>
      <c r="AK292" s="65" t="str">
        <f>IF(B292="", "", 'Lighting Inventory'!AM300)</f>
        <v/>
      </c>
      <c r="AL292" s="26" t="str">
        <f>IF(B292="", "", 'Lighting Inventory'!AN300)</f>
        <v/>
      </c>
      <c r="AM292" s="26" t="str">
        <f t="shared" si="15"/>
        <v/>
      </c>
      <c r="AN292" s="26" t="str">
        <f>IF(B292="","",IF('Lighting Inventory'!AV300="","Prescribed",'Lighting Inventory'!AV300))</f>
        <v/>
      </c>
      <c r="AO292" s="66" t="str">
        <f>IF(B292="", "", 'Lighting Inventory'!AX300)</f>
        <v/>
      </c>
      <c r="AP292" s="67" t="str">
        <f>IF(B292="", "", 'Lighting Inventory'!AZ300)</f>
        <v/>
      </c>
      <c r="AQ292" s="67" t="str">
        <f>IF(B292="", "", 'Lighting Inventory'!BA300)</f>
        <v/>
      </c>
      <c r="AR292" s="67" t="str">
        <f>IF(B292="", "", 'Lighting Inventory'!BB300)</f>
        <v/>
      </c>
      <c r="AS292" s="67" t="str">
        <f>IF(B292="", "", 'Lighting Inventory'!BC300)</f>
        <v/>
      </c>
      <c r="AT292" s="67" t="str">
        <f>IF(B292="", "", 'Lighting Inventory'!BD300)</f>
        <v/>
      </c>
      <c r="AU292" s="67" t="str">
        <f>IF(B292="", "", 'Lighting Inventory'!BE300)</f>
        <v/>
      </c>
      <c r="AV292" s="67" t="str">
        <f>IF(B292="", "", 'Lighting Inventory'!BE300)</f>
        <v/>
      </c>
      <c r="AW292" s="67" t="str">
        <f>IF(B292="", "", 'Lighting Inventory'!BF300)</f>
        <v/>
      </c>
      <c r="AX292" s="67" t="str">
        <f>IF(B292="", "", 'Lighting Inventory'!BF300)</f>
        <v/>
      </c>
      <c r="AY292" s="65" t="str">
        <f t="shared" si="16"/>
        <v/>
      </c>
      <c r="AZ292" s="65" t="str">
        <f>IF(B292="", "", 'Lighting Inventory'!BJ300)</f>
        <v/>
      </c>
      <c r="BA292" s="65" t="str">
        <f>IF(B292="", "", 'Lighting Inventory'!BM300)</f>
        <v/>
      </c>
      <c r="BB292" s="65" t="str">
        <f>IF(B292="","",SUM('Lighting Inventory'!BP300:BP300))</f>
        <v/>
      </c>
      <c r="BC292" s="67" t="str">
        <f>IF(OR(AE292="", B292=""),"", 'Lighting Inventory'!GR300)</f>
        <v/>
      </c>
      <c r="BD292" s="67" t="str">
        <f>IFERROR(IF(B292="", "", 'Lighting Inventory'!AF300)*AD292," ")</f>
        <v xml:space="preserve"> </v>
      </c>
      <c r="BE292" s="67"/>
      <c r="BF292" s="67"/>
    </row>
    <row r="293" spans="1:58" x14ac:dyDescent="0.25">
      <c r="A293" s="26" t="str">
        <f>IF(B293="", "", 'Lookup Tables'!AW294)</f>
        <v/>
      </c>
      <c r="B293" s="26" t="str">
        <f>IF(OR('Lighting Inventory'!Y301="", 'Lighting Inventory'!V301="No Change"),"", 'Lighting Inventory'!Y301)</f>
        <v/>
      </c>
      <c r="C293" s="26" t="str">
        <f>IF(B293="", "", IF('Lighting Inventory'!Y301='Lookup Tables'!$Y$32, 'Lighting Inventory'!AJ301, IF(AD293=0, R293, AD293)))</f>
        <v/>
      </c>
      <c r="D293" s="26" t="str">
        <f>IF(B293="", "", 'General Information'!$F$14)</f>
        <v/>
      </c>
      <c r="E293" s="26" t="str">
        <f t="shared" si="14"/>
        <v/>
      </c>
      <c r="F293" s="26" t="str">
        <f>IF(B293="", "", CONCATENATE('General Information'!$F$9, " - ", 'General Information'!$F$14))</f>
        <v/>
      </c>
      <c r="G293" s="26" t="str">
        <f>IF(B293="", "", 'General Information'!$F$15)</f>
        <v/>
      </c>
      <c r="H293" s="26" t="str">
        <f>IF(B293="", "", IF(VLOOKUP(B293, 'Lookup Tables'!$Y$18:$AA$34, 2, FALSE)="Traffic", VLOOKUP('Lighting Inventory'!W301, 'Lookup Tables'!#REF!, 11, FALSE), VLOOKUP(B293, 'Lookup Tables'!$Y$18:$AA$34, 2, FALSE)))</f>
        <v/>
      </c>
      <c r="I293" s="26" t="str">
        <f>IF(B293="", "", CONCATENATE(D293, 'Data Export'!A293))</f>
        <v/>
      </c>
      <c r="J293" s="26" t="str">
        <f>IF(B293="", "", 'Lookup Tables'!$B$1)</f>
        <v/>
      </c>
      <c r="K293" s="26" t="str">
        <f>IF(B293="", "", 'Lighting Inventory'!B301)</f>
        <v/>
      </c>
      <c r="L293" s="26" t="str">
        <f>IF(B293="", "", 'Lighting Inventory'!C301)</f>
        <v/>
      </c>
      <c r="M293" s="26" t="str">
        <f>IF(B293="", "",'Lighting Inventory'!D301)</f>
        <v/>
      </c>
      <c r="N293" s="26" t="str">
        <f>IF(B293="", "",'Lighting Inventory'!E301)</f>
        <v/>
      </c>
      <c r="O293" s="26" t="str">
        <f>IF(B293="", "", 'Lighting Inventory'!F301)</f>
        <v/>
      </c>
      <c r="P293" s="26" t="str">
        <f>IF(B293="", "", 'Lighting Inventory'!G301)</f>
        <v/>
      </c>
      <c r="Q293" s="26" t="str">
        <f>IF(B293="", "", 'Lighting Inventory'!H301)</f>
        <v/>
      </c>
      <c r="R293" s="26" t="str">
        <f>IF(B293="", "", 'Lighting Inventory'!I301)</f>
        <v/>
      </c>
      <c r="S293" s="26" t="str">
        <f>IF(B293="", "", 'Lighting Inventory'!J301)</f>
        <v/>
      </c>
      <c r="T293" s="26" t="str">
        <f>IFERROR(IF(B293="","",VLOOKUP(S293,'Fixture Identities'!$A$7:$G$1023,5,FALSE)), "New Construction")</f>
        <v/>
      </c>
      <c r="U293" s="26" t="str">
        <f>IFERROR(IF(B293="", "", IF(K293="New Construction", "NC", IF(VLOOKUP(S293, 'Fixture Identities'!$A$7:$I$1023,3, FALSE)="T12 Linear Fluorescent", VLOOKUP(S293, 'Fixture Identities'!$A$7:$K$1012, 11, FALSE), S293))), "")</f>
        <v/>
      </c>
      <c r="V293" s="26" t="str">
        <f>IFERROR(IF(OR(B293="", U293=0), "", VLOOKUP(U293, 'Fixture Identities'!$A$7:$G$1023, 5, FALSE)), "")</f>
        <v/>
      </c>
      <c r="W293" s="26" t="str">
        <f>IF(B293="", "",'Lighting Inventory'!K301)</f>
        <v/>
      </c>
      <c r="X293" s="65" t="str">
        <f>IF(B293="", "", 'Lighting Inventory'!L301)</f>
        <v/>
      </c>
      <c r="Y293" s="26" t="str">
        <f>IF(B293="", "", IF('Lighting Inventory'!M301="", "Light Switch",'Lighting Inventory'!M301))</f>
        <v/>
      </c>
      <c r="Z293" s="26" t="str">
        <f>IF(OR(K293="Retrofit", B293=""), "", 'Lighting Inventory'!N301)</f>
        <v/>
      </c>
      <c r="AA293" s="26" t="str">
        <f>IF(OR(Z293="",B293=""), "", 'Lighting Inventory'!O301)</f>
        <v/>
      </c>
      <c r="AB293" s="26" t="str">
        <f>IF(B293="", "", 'Lighting Inventory'!P301)</f>
        <v/>
      </c>
      <c r="AC293" s="96" t="str">
        <f>IF(B293="", "", 'Lighting Inventory'!R301)</f>
        <v/>
      </c>
      <c r="AD293" s="26" t="str">
        <f>IF(B293="", "", 'Lighting Inventory'!S301)</f>
        <v/>
      </c>
      <c r="AE293" s="26" t="str">
        <f>IF(B293="", "", 'Lighting Inventory'!V301)</f>
        <v/>
      </c>
      <c r="AF293" s="26" t="str">
        <f>IF(B293="", "", 'Lighting Inventory'!W301)</f>
        <v/>
      </c>
      <c r="AG293" s="26" t="str">
        <f>IF(OR(AF293="", B293=""), "", IF(AE293="Custom", "0", VLOOKUP(AF293, 'Lookup Tables'!$AI$6:$AP$102, 8, FALSE)))</f>
        <v/>
      </c>
      <c r="AH293" s="26" t="str">
        <f>IF(B293="", "", 'Lighting Inventory'!AD301)</f>
        <v/>
      </c>
      <c r="AI293" s="26" t="str">
        <f>IF(OR('Lighting Inventory'!AK301="", B293=""), "", 'Lighting Inventory'!AK301)</f>
        <v/>
      </c>
      <c r="AJ293" s="66" t="str">
        <f>IF(B293="", "", 'Lighting Inventory'!AL301)</f>
        <v/>
      </c>
      <c r="AK293" s="65" t="str">
        <f>IF(B293="", "", 'Lighting Inventory'!AM301)</f>
        <v/>
      </c>
      <c r="AL293" s="26" t="str">
        <f>IF(B293="", "", 'Lighting Inventory'!AN301)</f>
        <v/>
      </c>
      <c r="AM293" s="26" t="str">
        <f t="shared" si="15"/>
        <v/>
      </c>
      <c r="AN293" s="26" t="str">
        <f>IF(B293="","",IF('Lighting Inventory'!AV301="","Prescribed",'Lighting Inventory'!AV301))</f>
        <v/>
      </c>
      <c r="AO293" s="66" t="str">
        <f>IF(B293="", "", 'Lighting Inventory'!AX301)</f>
        <v/>
      </c>
      <c r="AP293" s="67" t="str">
        <f>IF(B293="", "", 'Lighting Inventory'!AZ301)</f>
        <v/>
      </c>
      <c r="AQ293" s="67" t="str">
        <f>IF(B293="", "", 'Lighting Inventory'!BA301)</f>
        <v/>
      </c>
      <c r="AR293" s="67" t="str">
        <f>IF(B293="", "", 'Lighting Inventory'!BB301)</f>
        <v/>
      </c>
      <c r="AS293" s="67" t="str">
        <f>IF(B293="", "", 'Lighting Inventory'!BC301)</f>
        <v/>
      </c>
      <c r="AT293" s="67" t="str">
        <f>IF(B293="", "", 'Lighting Inventory'!BD301)</f>
        <v/>
      </c>
      <c r="AU293" s="67" t="str">
        <f>IF(B293="", "", 'Lighting Inventory'!BE301)</f>
        <v/>
      </c>
      <c r="AV293" s="67" t="str">
        <f>IF(B293="", "", 'Lighting Inventory'!BE301)</f>
        <v/>
      </c>
      <c r="AW293" s="67" t="str">
        <f>IF(B293="", "", 'Lighting Inventory'!BF301)</f>
        <v/>
      </c>
      <c r="AX293" s="67" t="str">
        <f>IF(B293="", "", 'Lighting Inventory'!BF301)</f>
        <v/>
      </c>
      <c r="AY293" s="65" t="str">
        <f t="shared" si="16"/>
        <v/>
      </c>
      <c r="AZ293" s="65" t="str">
        <f>IF(B293="", "", 'Lighting Inventory'!BJ301)</f>
        <v/>
      </c>
      <c r="BA293" s="65" t="str">
        <f>IF(B293="", "", 'Lighting Inventory'!BM301)</f>
        <v/>
      </c>
      <c r="BB293" s="65" t="str">
        <f>IF(B293="","",SUM('Lighting Inventory'!BP301:BP301))</f>
        <v/>
      </c>
      <c r="BC293" s="67" t="str">
        <f>IF(OR(AE293="", B293=""),"", 'Lighting Inventory'!GR301)</f>
        <v/>
      </c>
      <c r="BD293" s="67" t="str">
        <f>IFERROR(IF(B293="", "", 'Lighting Inventory'!AF301)*AD293," ")</f>
        <v xml:space="preserve"> </v>
      </c>
      <c r="BE293" s="67"/>
      <c r="BF293" s="67"/>
    </row>
    <row r="294" spans="1:58" x14ac:dyDescent="0.25">
      <c r="A294" s="26" t="str">
        <f>IF(B294="", "", 'Lookup Tables'!AW295)</f>
        <v/>
      </c>
      <c r="B294" s="26" t="str">
        <f>IF(OR('Lighting Inventory'!Y302="", 'Lighting Inventory'!V302="No Change"),"", 'Lighting Inventory'!Y302)</f>
        <v/>
      </c>
      <c r="C294" s="26" t="str">
        <f>IF(B294="", "", IF('Lighting Inventory'!Y302='Lookup Tables'!$Y$32, 'Lighting Inventory'!AJ302, IF(AD294=0, R294, AD294)))</f>
        <v/>
      </c>
      <c r="D294" s="26" t="str">
        <f>IF(B294="", "", 'General Information'!$F$14)</f>
        <v/>
      </c>
      <c r="E294" s="26" t="str">
        <f t="shared" si="14"/>
        <v/>
      </c>
      <c r="F294" s="26" t="str">
        <f>IF(B294="", "", CONCATENATE('General Information'!$F$9, " - ", 'General Information'!$F$14))</f>
        <v/>
      </c>
      <c r="G294" s="26" t="str">
        <f>IF(B294="", "", 'General Information'!$F$15)</f>
        <v/>
      </c>
      <c r="H294" s="26" t="str">
        <f>IF(B294="", "", IF(VLOOKUP(B294, 'Lookup Tables'!$Y$18:$AA$34, 2, FALSE)="Traffic", VLOOKUP('Lighting Inventory'!W302, 'Lookup Tables'!#REF!, 11, FALSE), VLOOKUP(B294, 'Lookup Tables'!$Y$18:$AA$34, 2, FALSE)))</f>
        <v/>
      </c>
      <c r="I294" s="26" t="str">
        <f>IF(B294="", "", CONCATENATE(D294, 'Data Export'!A294))</f>
        <v/>
      </c>
      <c r="J294" s="26" t="str">
        <f>IF(B294="", "", 'Lookup Tables'!$B$1)</f>
        <v/>
      </c>
      <c r="K294" s="26" t="str">
        <f>IF(B294="", "", 'Lighting Inventory'!B302)</f>
        <v/>
      </c>
      <c r="L294" s="26" t="str">
        <f>IF(B294="", "", 'Lighting Inventory'!C302)</f>
        <v/>
      </c>
      <c r="M294" s="26" t="str">
        <f>IF(B294="", "",'Lighting Inventory'!D302)</f>
        <v/>
      </c>
      <c r="N294" s="26" t="str">
        <f>IF(B294="", "",'Lighting Inventory'!E302)</f>
        <v/>
      </c>
      <c r="O294" s="26" t="str">
        <f>IF(B294="", "", 'Lighting Inventory'!F302)</f>
        <v/>
      </c>
      <c r="P294" s="26" t="str">
        <f>IF(B294="", "", 'Lighting Inventory'!G302)</f>
        <v/>
      </c>
      <c r="Q294" s="26" t="str">
        <f>IF(B294="", "", 'Lighting Inventory'!H302)</f>
        <v/>
      </c>
      <c r="R294" s="26" t="str">
        <f>IF(B294="", "", 'Lighting Inventory'!I302)</f>
        <v/>
      </c>
      <c r="S294" s="26" t="str">
        <f>IF(B294="", "", 'Lighting Inventory'!J302)</f>
        <v/>
      </c>
      <c r="T294" s="26" t="str">
        <f>IFERROR(IF(B294="","",VLOOKUP(S294,'Fixture Identities'!$A$7:$G$1023,5,FALSE)), "New Construction")</f>
        <v/>
      </c>
      <c r="U294" s="26" t="str">
        <f>IFERROR(IF(B294="", "", IF(K294="New Construction", "NC", IF(VLOOKUP(S294, 'Fixture Identities'!$A$7:$I$1023,3, FALSE)="T12 Linear Fluorescent", VLOOKUP(S294, 'Fixture Identities'!$A$7:$K$1012, 11, FALSE), S294))), "")</f>
        <v/>
      </c>
      <c r="V294" s="26" t="str">
        <f>IFERROR(IF(OR(B294="", U294=0), "", VLOOKUP(U294, 'Fixture Identities'!$A$7:$G$1023, 5, FALSE)), "")</f>
        <v/>
      </c>
      <c r="W294" s="26" t="str">
        <f>IF(B294="", "",'Lighting Inventory'!K302)</f>
        <v/>
      </c>
      <c r="X294" s="65" t="str">
        <f>IF(B294="", "", 'Lighting Inventory'!L302)</f>
        <v/>
      </c>
      <c r="Y294" s="26" t="str">
        <f>IF(B294="", "", IF('Lighting Inventory'!M302="", "Light Switch",'Lighting Inventory'!M302))</f>
        <v/>
      </c>
      <c r="Z294" s="26" t="str">
        <f>IF(OR(K294="Retrofit", B294=""), "", 'Lighting Inventory'!N302)</f>
        <v/>
      </c>
      <c r="AA294" s="26" t="str">
        <f>IF(OR(Z294="",B294=""), "", 'Lighting Inventory'!O302)</f>
        <v/>
      </c>
      <c r="AB294" s="26" t="str">
        <f>IF(B294="", "", 'Lighting Inventory'!P302)</f>
        <v/>
      </c>
      <c r="AC294" s="96" t="str">
        <f>IF(B294="", "", 'Lighting Inventory'!R302)</f>
        <v/>
      </c>
      <c r="AD294" s="26" t="str">
        <f>IF(B294="", "", 'Lighting Inventory'!S302)</f>
        <v/>
      </c>
      <c r="AE294" s="26" t="str">
        <f>IF(B294="", "", 'Lighting Inventory'!V302)</f>
        <v/>
      </c>
      <c r="AF294" s="26" t="str">
        <f>IF(B294="", "", 'Lighting Inventory'!W302)</f>
        <v/>
      </c>
      <c r="AG294" s="26" t="str">
        <f>IF(OR(AF294="", B294=""), "", IF(AE294="Custom", "0", VLOOKUP(AF294, 'Lookup Tables'!$AI$6:$AP$102, 8, FALSE)))</f>
        <v/>
      </c>
      <c r="AH294" s="26" t="str">
        <f>IF(B294="", "", 'Lighting Inventory'!AD302)</f>
        <v/>
      </c>
      <c r="AI294" s="26" t="str">
        <f>IF(OR('Lighting Inventory'!AK302="", B294=""), "", 'Lighting Inventory'!AK302)</f>
        <v/>
      </c>
      <c r="AJ294" s="66" t="str">
        <f>IF(B294="", "", 'Lighting Inventory'!AL302)</f>
        <v/>
      </c>
      <c r="AK294" s="65" t="str">
        <f>IF(B294="", "", 'Lighting Inventory'!AM302)</f>
        <v/>
      </c>
      <c r="AL294" s="26" t="str">
        <f>IF(B294="", "", 'Lighting Inventory'!AN302)</f>
        <v/>
      </c>
      <c r="AM294" s="26" t="str">
        <f t="shared" si="15"/>
        <v/>
      </c>
      <c r="AN294" s="26" t="str">
        <f>IF(B294="","",IF('Lighting Inventory'!AV302="","Prescribed",'Lighting Inventory'!AV302))</f>
        <v/>
      </c>
      <c r="AO294" s="66" t="str">
        <f>IF(B294="", "", 'Lighting Inventory'!AX302)</f>
        <v/>
      </c>
      <c r="AP294" s="67" t="str">
        <f>IF(B294="", "", 'Lighting Inventory'!AZ302)</f>
        <v/>
      </c>
      <c r="AQ294" s="67" t="str">
        <f>IF(B294="", "", 'Lighting Inventory'!BA302)</f>
        <v/>
      </c>
      <c r="AR294" s="67" t="str">
        <f>IF(B294="", "", 'Lighting Inventory'!BB302)</f>
        <v/>
      </c>
      <c r="AS294" s="67" t="str">
        <f>IF(B294="", "", 'Lighting Inventory'!BC302)</f>
        <v/>
      </c>
      <c r="AT294" s="67" t="str">
        <f>IF(B294="", "", 'Lighting Inventory'!BD302)</f>
        <v/>
      </c>
      <c r="AU294" s="67" t="str">
        <f>IF(B294="", "", 'Lighting Inventory'!BE302)</f>
        <v/>
      </c>
      <c r="AV294" s="67" t="str">
        <f>IF(B294="", "", 'Lighting Inventory'!BE302)</f>
        <v/>
      </c>
      <c r="AW294" s="67" t="str">
        <f>IF(B294="", "", 'Lighting Inventory'!BF302)</f>
        <v/>
      </c>
      <c r="AX294" s="67" t="str">
        <f>IF(B294="", "", 'Lighting Inventory'!BF302)</f>
        <v/>
      </c>
      <c r="AY294" s="65" t="str">
        <f t="shared" si="16"/>
        <v/>
      </c>
      <c r="AZ294" s="65" t="str">
        <f>IF(B294="", "", 'Lighting Inventory'!BJ302)</f>
        <v/>
      </c>
      <c r="BA294" s="65" t="str">
        <f>IF(B294="", "", 'Lighting Inventory'!BM302)</f>
        <v/>
      </c>
      <c r="BB294" s="65" t="str">
        <f>IF(B294="","",SUM('Lighting Inventory'!BP302:BP302))</f>
        <v/>
      </c>
      <c r="BC294" s="67" t="str">
        <f>IF(OR(AE294="", B294=""),"", 'Lighting Inventory'!GR302)</f>
        <v/>
      </c>
      <c r="BD294" s="67" t="str">
        <f>IFERROR(IF(B294="", "", 'Lighting Inventory'!AF302)*AD294," ")</f>
        <v xml:space="preserve"> </v>
      </c>
      <c r="BE294" s="67"/>
      <c r="BF294" s="67"/>
    </row>
    <row r="295" spans="1:58" x14ac:dyDescent="0.25">
      <c r="A295" s="26" t="str">
        <f>IF(B295="", "", 'Lookup Tables'!AW296)</f>
        <v/>
      </c>
      <c r="B295" s="26" t="str">
        <f>IF(OR('Lighting Inventory'!Y303="", 'Lighting Inventory'!V303="No Change"),"", 'Lighting Inventory'!Y303)</f>
        <v/>
      </c>
      <c r="C295" s="26" t="str">
        <f>IF(B295="", "", IF('Lighting Inventory'!Y303='Lookup Tables'!$Y$32, 'Lighting Inventory'!AJ303, IF(AD295=0, R295, AD295)))</f>
        <v/>
      </c>
      <c r="D295" s="26" t="str">
        <f>IF(B295="", "", 'General Information'!$F$14)</f>
        <v/>
      </c>
      <c r="E295" s="26" t="str">
        <f t="shared" si="14"/>
        <v/>
      </c>
      <c r="F295" s="26" t="str">
        <f>IF(B295="", "", CONCATENATE('General Information'!$F$9, " - ", 'General Information'!$F$14))</f>
        <v/>
      </c>
      <c r="G295" s="26" t="str">
        <f>IF(B295="", "", 'General Information'!$F$15)</f>
        <v/>
      </c>
      <c r="H295" s="26" t="str">
        <f>IF(B295="", "", IF(VLOOKUP(B295, 'Lookup Tables'!$Y$18:$AA$34, 2, FALSE)="Traffic", VLOOKUP('Lighting Inventory'!W303, 'Lookup Tables'!#REF!, 11, FALSE), VLOOKUP(B295, 'Lookup Tables'!$Y$18:$AA$34, 2, FALSE)))</f>
        <v/>
      </c>
      <c r="I295" s="26" t="str">
        <f>IF(B295="", "", CONCATENATE(D295, 'Data Export'!A295))</f>
        <v/>
      </c>
      <c r="J295" s="26" t="str">
        <f>IF(B295="", "", 'Lookup Tables'!$B$1)</f>
        <v/>
      </c>
      <c r="K295" s="26" t="str">
        <f>IF(B295="", "", 'Lighting Inventory'!B303)</f>
        <v/>
      </c>
      <c r="L295" s="26" t="str">
        <f>IF(B295="", "", 'Lighting Inventory'!C303)</f>
        <v/>
      </c>
      <c r="M295" s="26" t="str">
        <f>IF(B295="", "",'Lighting Inventory'!D303)</f>
        <v/>
      </c>
      <c r="N295" s="26" t="str">
        <f>IF(B295="", "",'Lighting Inventory'!E303)</f>
        <v/>
      </c>
      <c r="O295" s="26" t="str">
        <f>IF(B295="", "", 'Lighting Inventory'!F303)</f>
        <v/>
      </c>
      <c r="P295" s="26" t="str">
        <f>IF(B295="", "", 'Lighting Inventory'!G303)</f>
        <v/>
      </c>
      <c r="Q295" s="26" t="str">
        <f>IF(B295="", "", 'Lighting Inventory'!H303)</f>
        <v/>
      </c>
      <c r="R295" s="26" t="str">
        <f>IF(B295="", "", 'Lighting Inventory'!I303)</f>
        <v/>
      </c>
      <c r="S295" s="26" t="str">
        <f>IF(B295="", "", 'Lighting Inventory'!J303)</f>
        <v/>
      </c>
      <c r="T295" s="26" t="str">
        <f>IFERROR(IF(B295="","",VLOOKUP(S295,'Fixture Identities'!$A$7:$G$1023,5,FALSE)), "New Construction")</f>
        <v/>
      </c>
      <c r="U295" s="26" t="str">
        <f>IFERROR(IF(B295="", "", IF(K295="New Construction", "NC", IF(VLOOKUP(S295, 'Fixture Identities'!$A$7:$I$1023,3, FALSE)="T12 Linear Fluorescent", VLOOKUP(S295, 'Fixture Identities'!$A$7:$K$1012, 11, FALSE), S295))), "")</f>
        <v/>
      </c>
      <c r="V295" s="26" t="str">
        <f>IFERROR(IF(OR(B295="", U295=0), "", VLOOKUP(U295, 'Fixture Identities'!$A$7:$G$1023, 5, FALSE)), "")</f>
        <v/>
      </c>
      <c r="W295" s="26" t="str">
        <f>IF(B295="", "",'Lighting Inventory'!K303)</f>
        <v/>
      </c>
      <c r="X295" s="65" t="str">
        <f>IF(B295="", "", 'Lighting Inventory'!L303)</f>
        <v/>
      </c>
      <c r="Y295" s="26" t="str">
        <f>IF(B295="", "", IF('Lighting Inventory'!M303="", "Light Switch",'Lighting Inventory'!M303))</f>
        <v/>
      </c>
      <c r="Z295" s="26" t="str">
        <f>IF(OR(K295="Retrofit", B295=""), "", 'Lighting Inventory'!N303)</f>
        <v/>
      </c>
      <c r="AA295" s="26" t="str">
        <f>IF(OR(Z295="",B295=""), "", 'Lighting Inventory'!O303)</f>
        <v/>
      </c>
      <c r="AB295" s="26" t="str">
        <f>IF(B295="", "", 'Lighting Inventory'!P303)</f>
        <v/>
      </c>
      <c r="AC295" s="96" t="str">
        <f>IF(B295="", "", 'Lighting Inventory'!R303)</f>
        <v/>
      </c>
      <c r="AD295" s="26" t="str">
        <f>IF(B295="", "", 'Lighting Inventory'!S303)</f>
        <v/>
      </c>
      <c r="AE295" s="26" t="str">
        <f>IF(B295="", "", 'Lighting Inventory'!V303)</f>
        <v/>
      </c>
      <c r="AF295" s="26" t="str">
        <f>IF(B295="", "", 'Lighting Inventory'!W303)</f>
        <v/>
      </c>
      <c r="AG295" s="26" t="str">
        <f>IF(OR(AF295="", B295=""), "", IF(AE295="Custom", "0", VLOOKUP(AF295, 'Lookup Tables'!$AI$6:$AP$102, 8, FALSE)))</f>
        <v/>
      </c>
      <c r="AH295" s="26" t="str">
        <f>IF(B295="", "", 'Lighting Inventory'!AD303)</f>
        <v/>
      </c>
      <c r="AI295" s="26" t="str">
        <f>IF(OR('Lighting Inventory'!AK303="", B295=""), "", 'Lighting Inventory'!AK303)</f>
        <v/>
      </c>
      <c r="AJ295" s="66" t="str">
        <f>IF(B295="", "", 'Lighting Inventory'!AL303)</f>
        <v/>
      </c>
      <c r="AK295" s="65" t="str">
        <f>IF(B295="", "", 'Lighting Inventory'!AM303)</f>
        <v/>
      </c>
      <c r="AL295" s="26" t="str">
        <f>IF(B295="", "", 'Lighting Inventory'!AN303)</f>
        <v/>
      </c>
      <c r="AM295" s="26" t="str">
        <f t="shared" si="15"/>
        <v/>
      </c>
      <c r="AN295" s="26" t="str">
        <f>IF(B295="","",IF('Lighting Inventory'!AV303="","Prescribed",'Lighting Inventory'!AV303))</f>
        <v/>
      </c>
      <c r="AO295" s="66" t="str">
        <f>IF(B295="", "", 'Lighting Inventory'!AX303)</f>
        <v/>
      </c>
      <c r="AP295" s="67" t="str">
        <f>IF(B295="", "", 'Lighting Inventory'!AZ303)</f>
        <v/>
      </c>
      <c r="AQ295" s="67" t="str">
        <f>IF(B295="", "", 'Lighting Inventory'!BA303)</f>
        <v/>
      </c>
      <c r="AR295" s="67" t="str">
        <f>IF(B295="", "", 'Lighting Inventory'!BB303)</f>
        <v/>
      </c>
      <c r="AS295" s="67" t="str">
        <f>IF(B295="", "", 'Lighting Inventory'!BC303)</f>
        <v/>
      </c>
      <c r="AT295" s="67" t="str">
        <f>IF(B295="", "", 'Lighting Inventory'!BD303)</f>
        <v/>
      </c>
      <c r="AU295" s="67" t="str">
        <f>IF(B295="", "", 'Lighting Inventory'!BE303)</f>
        <v/>
      </c>
      <c r="AV295" s="67" t="str">
        <f>IF(B295="", "", 'Lighting Inventory'!BE303)</f>
        <v/>
      </c>
      <c r="AW295" s="67" t="str">
        <f>IF(B295="", "", 'Lighting Inventory'!BF303)</f>
        <v/>
      </c>
      <c r="AX295" s="67" t="str">
        <f>IF(B295="", "", 'Lighting Inventory'!BF303)</f>
        <v/>
      </c>
      <c r="AY295" s="65" t="str">
        <f t="shared" si="16"/>
        <v/>
      </c>
      <c r="AZ295" s="65" t="str">
        <f>IF(B295="", "", 'Lighting Inventory'!BJ303)</f>
        <v/>
      </c>
      <c r="BA295" s="65" t="str">
        <f>IF(B295="", "", 'Lighting Inventory'!BM303)</f>
        <v/>
      </c>
      <c r="BB295" s="65" t="str">
        <f>IF(B295="","",SUM('Lighting Inventory'!BP303:BP303))</f>
        <v/>
      </c>
      <c r="BC295" s="67" t="str">
        <f>IF(OR(AE295="", B295=""),"", 'Lighting Inventory'!GR303)</f>
        <v/>
      </c>
      <c r="BD295" s="67" t="str">
        <f>IFERROR(IF(B295="", "", 'Lighting Inventory'!AF303)*AD295," ")</f>
        <v xml:space="preserve"> </v>
      </c>
      <c r="BE295" s="67"/>
      <c r="BF295" s="67"/>
    </row>
    <row r="296" spans="1:58" x14ac:dyDescent="0.25">
      <c r="A296" s="26" t="str">
        <f>IF(B296="", "", 'Lookup Tables'!AW297)</f>
        <v/>
      </c>
      <c r="B296" s="26" t="str">
        <f>IF(OR('Lighting Inventory'!Y304="", 'Lighting Inventory'!V304="No Change"),"", 'Lighting Inventory'!Y304)</f>
        <v/>
      </c>
      <c r="C296" s="26" t="str">
        <f>IF(B296="", "", IF('Lighting Inventory'!Y304='Lookup Tables'!$Y$32, 'Lighting Inventory'!AJ304, IF(AD296=0, R296, AD296)))</f>
        <v/>
      </c>
      <c r="D296" s="26" t="str">
        <f>IF(B296="", "", 'General Information'!$F$14)</f>
        <v/>
      </c>
      <c r="E296" s="26" t="str">
        <f t="shared" si="14"/>
        <v/>
      </c>
      <c r="F296" s="26" t="str">
        <f>IF(B296="", "", CONCATENATE('General Information'!$F$9, " - ", 'General Information'!$F$14))</f>
        <v/>
      </c>
      <c r="G296" s="26" t="str">
        <f>IF(B296="", "", 'General Information'!$F$15)</f>
        <v/>
      </c>
      <c r="H296" s="26" t="str">
        <f>IF(B296="", "", IF(VLOOKUP(B296, 'Lookup Tables'!$Y$18:$AA$34, 2, FALSE)="Traffic", VLOOKUP('Lighting Inventory'!W304, 'Lookup Tables'!#REF!, 11, FALSE), VLOOKUP(B296, 'Lookup Tables'!$Y$18:$AA$34, 2, FALSE)))</f>
        <v/>
      </c>
      <c r="I296" s="26" t="str">
        <f>IF(B296="", "", CONCATENATE(D296, 'Data Export'!A296))</f>
        <v/>
      </c>
      <c r="J296" s="26" t="str">
        <f>IF(B296="", "", 'Lookup Tables'!$B$1)</f>
        <v/>
      </c>
      <c r="K296" s="26" t="str">
        <f>IF(B296="", "", 'Lighting Inventory'!B304)</f>
        <v/>
      </c>
      <c r="L296" s="26" t="str">
        <f>IF(B296="", "", 'Lighting Inventory'!C304)</f>
        <v/>
      </c>
      <c r="M296" s="26" t="str">
        <f>IF(B296="", "",'Lighting Inventory'!D304)</f>
        <v/>
      </c>
      <c r="N296" s="26" t="str">
        <f>IF(B296="", "",'Lighting Inventory'!E304)</f>
        <v/>
      </c>
      <c r="O296" s="26" t="str">
        <f>IF(B296="", "", 'Lighting Inventory'!F304)</f>
        <v/>
      </c>
      <c r="P296" s="26" t="str">
        <f>IF(B296="", "", 'Lighting Inventory'!G304)</f>
        <v/>
      </c>
      <c r="Q296" s="26" t="str">
        <f>IF(B296="", "", 'Lighting Inventory'!H304)</f>
        <v/>
      </c>
      <c r="R296" s="26" t="str">
        <f>IF(B296="", "", 'Lighting Inventory'!I304)</f>
        <v/>
      </c>
      <c r="S296" s="26" t="str">
        <f>IF(B296="", "", 'Lighting Inventory'!J304)</f>
        <v/>
      </c>
      <c r="T296" s="26" t="str">
        <f>IFERROR(IF(B296="","",VLOOKUP(S296,'Fixture Identities'!$A$7:$G$1023,5,FALSE)), "New Construction")</f>
        <v/>
      </c>
      <c r="U296" s="26" t="str">
        <f>IFERROR(IF(B296="", "", IF(K296="New Construction", "NC", IF(VLOOKUP(S296, 'Fixture Identities'!$A$7:$I$1023,3, FALSE)="T12 Linear Fluorescent", VLOOKUP(S296, 'Fixture Identities'!$A$7:$K$1012, 11, FALSE), S296))), "")</f>
        <v/>
      </c>
      <c r="V296" s="26" t="str">
        <f>IFERROR(IF(OR(B296="", U296=0), "", VLOOKUP(U296, 'Fixture Identities'!$A$7:$G$1023, 5, FALSE)), "")</f>
        <v/>
      </c>
      <c r="W296" s="26" t="str">
        <f>IF(B296="", "",'Lighting Inventory'!K304)</f>
        <v/>
      </c>
      <c r="X296" s="65" t="str">
        <f>IF(B296="", "", 'Lighting Inventory'!L304)</f>
        <v/>
      </c>
      <c r="Y296" s="26" t="str">
        <f>IF(B296="", "", IF('Lighting Inventory'!M304="", "Light Switch",'Lighting Inventory'!M304))</f>
        <v/>
      </c>
      <c r="Z296" s="26" t="str">
        <f>IF(OR(K296="Retrofit", B296=""), "", 'Lighting Inventory'!N304)</f>
        <v/>
      </c>
      <c r="AA296" s="26" t="str">
        <f>IF(OR(Z296="",B296=""), "", 'Lighting Inventory'!O304)</f>
        <v/>
      </c>
      <c r="AB296" s="26" t="str">
        <f>IF(B296="", "", 'Lighting Inventory'!P304)</f>
        <v/>
      </c>
      <c r="AC296" s="96" t="str">
        <f>IF(B296="", "", 'Lighting Inventory'!R304)</f>
        <v/>
      </c>
      <c r="AD296" s="26" t="str">
        <f>IF(B296="", "", 'Lighting Inventory'!S304)</f>
        <v/>
      </c>
      <c r="AE296" s="26" t="str">
        <f>IF(B296="", "", 'Lighting Inventory'!V304)</f>
        <v/>
      </c>
      <c r="AF296" s="26" t="str">
        <f>IF(B296="", "", 'Lighting Inventory'!W304)</f>
        <v/>
      </c>
      <c r="AG296" s="26" t="str">
        <f>IF(OR(AF296="", B296=""), "", IF(AE296="Custom", "0", VLOOKUP(AF296, 'Lookup Tables'!$AI$6:$AP$102, 8, FALSE)))</f>
        <v/>
      </c>
      <c r="AH296" s="26" t="str">
        <f>IF(B296="", "", 'Lighting Inventory'!AD304)</f>
        <v/>
      </c>
      <c r="AI296" s="26" t="str">
        <f>IF(OR('Lighting Inventory'!AK304="", B296=""), "", 'Lighting Inventory'!AK304)</f>
        <v/>
      </c>
      <c r="AJ296" s="66" t="str">
        <f>IF(B296="", "", 'Lighting Inventory'!AL304)</f>
        <v/>
      </c>
      <c r="AK296" s="65" t="str">
        <f>IF(B296="", "", 'Lighting Inventory'!AM304)</f>
        <v/>
      </c>
      <c r="AL296" s="26" t="str">
        <f>IF(B296="", "", 'Lighting Inventory'!AN304)</f>
        <v/>
      </c>
      <c r="AM296" s="26" t="str">
        <f t="shared" si="15"/>
        <v/>
      </c>
      <c r="AN296" s="26" t="str">
        <f>IF(B296="","",IF('Lighting Inventory'!AV304="","Prescribed",'Lighting Inventory'!AV304))</f>
        <v/>
      </c>
      <c r="AO296" s="66" t="str">
        <f>IF(B296="", "", 'Lighting Inventory'!AX304)</f>
        <v/>
      </c>
      <c r="AP296" s="67" t="str">
        <f>IF(B296="", "", 'Lighting Inventory'!AZ304)</f>
        <v/>
      </c>
      <c r="AQ296" s="67" t="str">
        <f>IF(B296="", "", 'Lighting Inventory'!BA304)</f>
        <v/>
      </c>
      <c r="AR296" s="67" t="str">
        <f>IF(B296="", "", 'Lighting Inventory'!BB304)</f>
        <v/>
      </c>
      <c r="AS296" s="67" t="str">
        <f>IF(B296="", "", 'Lighting Inventory'!BC304)</f>
        <v/>
      </c>
      <c r="AT296" s="67" t="str">
        <f>IF(B296="", "", 'Lighting Inventory'!BD304)</f>
        <v/>
      </c>
      <c r="AU296" s="67" t="str">
        <f>IF(B296="", "", 'Lighting Inventory'!BE304)</f>
        <v/>
      </c>
      <c r="AV296" s="67" t="str">
        <f>IF(B296="", "", 'Lighting Inventory'!BE304)</f>
        <v/>
      </c>
      <c r="AW296" s="67" t="str">
        <f>IF(B296="", "", 'Lighting Inventory'!BF304)</f>
        <v/>
      </c>
      <c r="AX296" s="67" t="str">
        <f>IF(B296="", "", 'Lighting Inventory'!BF304)</f>
        <v/>
      </c>
      <c r="AY296" s="65" t="str">
        <f t="shared" si="16"/>
        <v/>
      </c>
      <c r="AZ296" s="65" t="str">
        <f>IF(B296="", "", 'Lighting Inventory'!BJ304)</f>
        <v/>
      </c>
      <c r="BA296" s="65" t="str">
        <f>IF(B296="", "", 'Lighting Inventory'!BM304)</f>
        <v/>
      </c>
      <c r="BB296" s="65" t="str">
        <f>IF(B296="","",SUM('Lighting Inventory'!BP304:BP304))</f>
        <v/>
      </c>
      <c r="BC296" s="67" t="str">
        <f>IF(OR(AE296="", B296=""),"", 'Lighting Inventory'!GR304)</f>
        <v/>
      </c>
      <c r="BD296" s="67" t="str">
        <f>IFERROR(IF(B296="", "", 'Lighting Inventory'!AF304)*AD296," ")</f>
        <v xml:space="preserve"> </v>
      </c>
      <c r="BE296" s="67"/>
      <c r="BF296" s="67"/>
    </row>
    <row r="297" spans="1:58" x14ac:dyDescent="0.25">
      <c r="A297" s="26" t="str">
        <f>IF(B297="", "", 'Lookup Tables'!AW298)</f>
        <v/>
      </c>
      <c r="B297" s="26" t="str">
        <f>IF(OR('Lighting Inventory'!Y305="", 'Lighting Inventory'!V305="No Change"),"", 'Lighting Inventory'!Y305)</f>
        <v/>
      </c>
      <c r="C297" s="26" t="str">
        <f>IF(B297="", "", IF('Lighting Inventory'!Y305='Lookup Tables'!$Y$32, 'Lighting Inventory'!AJ305, IF(AD297=0, R297, AD297)))</f>
        <v/>
      </c>
      <c r="D297" s="26" t="str">
        <f>IF(B297="", "", 'General Information'!$F$14)</f>
        <v/>
      </c>
      <c r="E297" s="26" t="str">
        <f t="shared" si="14"/>
        <v/>
      </c>
      <c r="F297" s="26" t="str">
        <f>IF(B297="", "", CONCATENATE('General Information'!$F$9, " - ", 'General Information'!$F$14))</f>
        <v/>
      </c>
      <c r="G297" s="26" t="str">
        <f>IF(B297="", "", 'General Information'!$F$15)</f>
        <v/>
      </c>
      <c r="H297" s="26" t="str">
        <f>IF(B297="", "", IF(VLOOKUP(B297, 'Lookup Tables'!$Y$18:$AA$34, 2, FALSE)="Traffic", VLOOKUP('Lighting Inventory'!W305, 'Lookup Tables'!#REF!, 11, FALSE), VLOOKUP(B297, 'Lookup Tables'!$Y$18:$AA$34, 2, FALSE)))</f>
        <v/>
      </c>
      <c r="I297" s="26" t="str">
        <f>IF(B297="", "", CONCATENATE(D297, 'Data Export'!A297))</f>
        <v/>
      </c>
      <c r="J297" s="26" t="str">
        <f>IF(B297="", "", 'Lookup Tables'!$B$1)</f>
        <v/>
      </c>
      <c r="K297" s="26" t="str">
        <f>IF(B297="", "", 'Lighting Inventory'!B305)</f>
        <v/>
      </c>
      <c r="L297" s="26" t="str">
        <f>IF(B297="", "", 'Lighting Inventory'!C305)</f>
        <v/>
      </c>
      <c r="M297" s="26" t="str">
        <f>IF(B297="", "",'Lighting Inventory'!D305)</f>
        <v/>
      </c>
      <c r="N297" s="26" t="str">
        <f>IF(B297="", "",'Lighting Inventory'!E305)</f>
        <v/>
      </c>
      <c r="O297" s="26" t="str">
        <f>IF(B297="", "", 'Lighting Inventory'!F305)</f>
        <v/>
      </c>
      <c r="P297" s="26" t="str">
        <f>IF(B297="", "", 'Lighting Inventory'!G305)</f>
        <v/>
      </c>
      <c r="Q297" s="26" t="str">
        <f>IF(B297="", "", 'Lighting Inventory'!H305)</f>
        <v/>
      </c>
      <c r="R297" s="26" t="str">
        <f>IF(B297="", "", 'Lighting Inventory'!I305)</f>
        <v/>
      </c>
      <c r="S297" s="26" t="str">
        <f>IF(B297="", "", 'Lighting Inventory'!J305)</f>
        <v/>
      </c>
      <c r="T297" s="26" t="str">
        <f>IFERROR(IF(B297="","",VLOOKUP(S297,'Fixture Identities'!$A$7:$G$1023,5,FALSE)), "New Construction")</f>
        <v/>
      </c>
      <c r="U297" s="26" t="str">
        <f>IFERROR(IF(B297="", "", IF(K297="New Construction", "NC", IF(VLOOKUP(S297, 'Fixture Identities'!$A$7:$I$1023,3, FALSE)="T12 Linear Fluorescent", VLOOKUP(S297, 'Fixture Identities'!$A$7:$K$1012, 11, FALSE), S297))), "")</f>
        <v/>
      </c>
      <c r="V297" s="26" t="str">
        <f>IFERROR(IF(OR(B297="", U297=0), "", VLOOKUP(U297, 'Fixture Identities'!$A$7:$G$1023, 5, FALSE)), "")</f>
        <v/>
      </c>
      <c r="W297" s="26" t="str">
        <f>IF(B297="", "",'Lighting Inventory'!K305)</f>
        <v/>
      </c>
      <c r="X297" s="65" t="str">
        <f>IF(B297="", "", 'Lighting Inventory'!L305)</f>
        <v/>
      </c>
      <c r="Y297" s="26" t="str">
        <f>IF(B297="", "", IF('Lighting Inventory'!M305="", "Light Switch",'Lighting Inventory'!M305))</f>
        <v/>
      </c>
      <c r="Z297" s="26" t="str">
        <f>IF(OR(K297="Retrofit", B297=""), "", 'Lighting Inventory'!N305)</f>
        <v/>
      </c>
      <c r="AA297" s="26" t="str">
        <f>IF(OR(Z297="",B297=""), "", 'Lighting Inventory'!O305)</f>
        <v/>
      </c>
      <c r="AB297" s="26" t="str">
        <f>IF(B297="", "", 'Lighting Inventory'!P305)</f>
        <v/>
      </c>
      <c r="AC297" s="96" t="str">
        <f>IF(B297="", "", 'Lighting Inventory'!R305)</f>
        <v/>
      </c>
      <c r="AD297" s="26" t="str">
        <f>IF(B297="", "", 'Lighting Inventory'!S305)</f>
        <v/>
      </c>
      <c r="AE297" s="26" t="str">
        <f>IF(B297="", "", 'Lighting Inventory'!V305)</f>
        <v/>
      </c>
      <c r="AF297" s="26" t="str">
        <f>IF(B297="", "", 'Lighting Inventory'!W305)</f>
        <v/>
      </c>
      <c r="AG297" s="26" t="str">
        <f>IF(OR(AF297="", B297=""), "", IF(AE297="Custom", "0", VLOOKUP(AF297, 'Lookup Tables'!$AI$6:$AP$102, 8, FALSE)))</f>
        <v/>
      </c>
      <c r="AH297" s="26" t="str">
        <f>IF(B297="", "", 'Lighting Inventory'!AD305)</f>
        <v/>
      </c>
      <c r="AI297" s="26" t="str">
        <f>IF(OR('Lighting Inventory'!AK305="", B297=""), "", 'Lighting Inventory'!AK305)</f>
        <v/>
      </c>
      <c r="AJ297" s="66" t="str">
        <f>IF(B297="", "", 'Lighting Inventory'!AL305)</f>
        <v/>
      </c>
      <c r="AK297" s="65" t="str">
        <f>IF(B297="", "", 'Lighting Inventory'!AM305)</f>
        <v/>
      </c>
      <c r="AL297" s="26" t="str">
        <f>IF(B297="", "", 'Lighting Inventory'!AN305)</f>
        <v/>
      </c>
      <c r="AM297" s="26" t="str">
        <f t="shared" si="15"/>
        <v/>
      </c>
      <c r="AN297" s="26" t="str">
        <f>IF(B297="","",IF('Lighting Inventory'!AV305="","Prescribed",'Lighting Inventory'!AV305))</f>
        <v/>
      </c>
      <c r="AO297" s="66" t="str">
        <f>IF(B297="", "", 'Lighting Inventory'!AX305)</f>
        <v/>
      </c>
      <c r="AP297" s="67" t="str">
        <f>IF(B297="", "", 'Lighting Inventory'!AZ305)</f>
        <v/>
      </c>
      <c r="AQ297" s="67" t="str">
        <f>IF(B297="", "", 'Lighting Inventory'!BA305)</f>
        <v/>
      </c>
      <c r="AR297" s="67" t="str">
        <f>IF(B297="", "", 'Lighting Inventory'!BB305)</f>
        <v/>
      </c>
      <c r="AS297" s="67" t="str">
        <f>IF(B297="", "", 'Lighting Inventory'!BC305)</f>
        <v/>
      </c>
      <c r="AT297" s="67" t="str">
        <f>IF(B297="", "", 'Lighting Inventory'!BD305)</f>
        <v/>
      </c>
      <c r="AU297" s="67" t="str">
        <f>IF(B297="", "", 'Lighting Inventory'!BE305)</f>
        <v/>
      </c>
      <c r="AV297" s="67" t="str">
        <f>IF(B297="", "", 'Lighting Inventory'!BE305)</f>
        <v/>
      </c>
      <c r="AW297" s="67" t="str">
        <f>IF(B297="", "", 'Lighting Inventory'!BF305)</f>
        <v/>
      </c>
      <c r="AX297" s="67" t="str">
        <f>IF(B297="", "", 'Lighting Inventory'!BF305)</f>
        <v/>
      </c>
      <c r="AY297" s="65" t="str">
        <f t="shared" si="16"/>
        <v/>
      </c>
      <c r="AZ297" s="65" t="str">
        <f>IF(B297="", "", 'Lighting Inventory'!BJ305)</f>
        <v/>
      </c>
      <c r="BA297" s="65" t="str">
        <f>IF(B297="", "", 'Lighting Inventory'!BM305)</f>
        <v/>
      </c>
      <c r="BB297" s="65" t="str">
        <f>IF(B297="","",SUM('Lighting Inventory'!BP305:BP305))</f>
        <v/>
      </c>
      <c r="BC297" s="67" t="str">
        <f>IF(OR(AE297="", B297=""),"", 'Lighting Inventory'!GR305)</f>
        <v/>
      </c>
      <c r="BD297" s="67" t="str">
        <f>IFERROR(IF(B297="", "", 'Lighting Inventory'!AF305)*AD297," ")</f>
        <v xml:space="preserve"> </v>
      </c>
      <c r="BE297" s="67"/>
      <c r="BF297" s="67"/>
    </row>
    <row r="298" spans="1:58" x14ac:dyDescent="0.25">
      <c r="A298" s="26" t="str">
        <f>IF(B298="", "", 'Lookup Tables'!AW299)</f>
        <v/>
      </c>
      <c r="B298" s="26" t="str">
        <f>IF(OR('Lighting Inventory'!Y306="", 'Lighting Inventory'!V306="No Change"),"", 'Lighting Inventory'!Y306)</f>
        <v/>
      </c>
      <c r="C298" s="26" t="str">
        <f>IF(B298="", "", IF('Lighting Inventory'!Y306='Lookup Tables'!$Y$32, 'Lighting Inventory'!AJ306, IF(AD298=0, R298, AD298)))</f>
        <v/>
      </c>
      <c r="D298" s="26" t="str">
        <f>IF(B298="", "", 'General Information'!$F$14)</f>
        <v/>
      </c>
      <c r="E298" s="26" t="str">
        <f t="shared" si="14"/>
        <v/>
      </c>
      <c r="F298" s="26" t="str">
        <f>IF(B298="", "", CONCATENATE('General Information'!$F$9, " - ", 'General Information'!$F$14))</f>
        <v/>
      </c>
      <c r="G298" s="26" t="str">
        <f>IF(B298="", "", 'General Information'!$F$15)</f>
        <v/>
      </c>
      <c r="H298" s="26" t="str">
        <f>IF(B298="", "", IF(VLOOKUP(B298, 'Lookup Tables'!$Y$18:$AA$34, 2, FALSE)="Traffic", VLOOKUP('Lighting Inventory'!W306, 'Lookup Tables'!#REF!, 11, FALSE), VLOOKUP(B298, 'Lookup Tables'!$Y$18:$AA$34, 2, FALSE)))</f>
        <v/>
      </c>
      <c r="I298" s="26" t="str">
        <f>IF(B298="", "", CONCATENATE(D298, 'Data Export'!A298))</f>
        <v/>
      </c>
      <c r="J298" s="26" t="str">
        <f>IF(B298="", "", 'Lookup Tables'!$B$1)</f>
        <v/>
      </c>
      <c r="K298" s="26" t="str">
        <f>IF(B298="", "", 'Lighting Inventory'!B306)</f>
        <v/>
      </c>
      <c r="L298" s="26" t="str">
        <f>IF(B298="", "", 'Lighting Inventory'!C306)</f>
        <v/>
      </c>
      <c r="M298" s="26" t="str">
        <f>IF(B298="", "",'Lighting Inventory'!D306)</f>
        <v/>
      </c>
      <c r="N298" s="26" t="str">
        <f>IF(B298="", "",'Lighting Inventory'!E306)</f>
        <v/>
      </c>
      <c r="O298" s="26" t="str">
        <f>IF(B298="", "", 'Lighting Inventory'!F306)</f>
        <v/>
      </c>
      <c r="P298" s="26" t="str">
        <f>IF(B298="", "", 'Lighting Inventory'!G306)</f>
        <v/>
      </c>
      <c r="Q298" s="26" t="str">
        <f>IF(B298="", "", 'Lighting Inventory'!H306)</f>
        <v/>
      </c>
      <c r="R298" s="26" t="str">
        <f>IF(B298="", "", 'Lighting Inventory'!I306)</f>
        <v/>
      </c>
      <c r="S298" s="26" t="str">
        <f>IF(B298="", "", 'Lighting Inventory'!J306)</f>
        <v/>
      </c>
      <c r="T298" s="26" t="str">
        <f>IFERROR(IF(B298="","",VLOOKUP(S298,'Fixture Identities'!$A$7:$G$1023,5,FALSE)), "New Construction")</f>
        <v/>
      </c>
      <c r="U298" s="26" t="str">
        <f>IFERROR(IF(B298="", "", IF(K298="New Construction", "NC", IF(VLOOKUP(S298, 'Fixture Identities'!$A$7:$I$1023,3, FALSE)="T12 Linear Fluorescent", VLOOKUP(S298, 'Fixture Identities'!$A$7:$K$1012, 11, FALSE), S298))), "")</f>
        <v/>
      </c>
      <c r="V298" s="26" t="str">
        <f>IFERROR(IF(OR(B298="", U298=0), "", VLOOKUP(U298, 'Fixture Identities'!$A$7:$G$1023, 5, FALSE)), "")</f>
        <v/>
      </c>
      <c r="W298" s="26" t="str">
        <f>IF(B298="", "",'Lighting Inventory'!K306)</f>
        <v/>
      </c>
      <c r="X298" s="65" t="str">
        <f>IF(B298="", "", 'Lighting Inventory'!L306)</f>
        <v/>
      </c>
      <c r="Y298" s="26" t="str">
        <f>IF(B298="", "", IF('Lighting Inventory'!M306="", "Light Switch",'Lighting Inventory'!M306))</f>
        <v/>
      </c>
      <c r="Z298" s="26" t="str">
        <f>IF(OR(K298="Retrofit", B298=""), "", 'Lighting Inventory'!N306)</f>
        <v/>
      </c>
      <c r="AA298" s="26" t="str">
        <f>IF(OR(Z298="",B298=""), "", 'Lighting Inventory'!O306)</f>
        <v/>
      </c>
      <c r="AB298" s="26" t="str">
        <f>IF(B298="", "", 'Lighting Inventory'!P306)</f>
        <v/>
      </c>
      <c r="AC298" s="96" t="str">
        <f>IF(B298="", "", 'Lighting Inventory'!R306)</f>
        <v/>
      </c>
      <c r="AD298" s="26" t="str">
        <f>IF(B298="", "", 'Lighting Inventory'!S306)</f>
        <v/>
      </c>
      <c r="AE298" s="26" t="str">
        <f>IF(B298="", "", 'Lighting Inventory'!V306)</f>
        <v/>
      </c>
      <c r="AF298" s="26" t="str">
        <f>IF(B298="", "", 'Lighting Inventory'!W306)</f>
        <v/>
      </c>
      <c r="AG298" s="26" t="str">
        <f>IF(OR(AF298="", B298=""), "", IF(AE298="Custom", "0", VLOOKUP(AF298, 'Lookup Tables'!$AI$6:$AP$102, 8, FALSE)))</f>
        <v/>
      </c>
      <c r="AH298" s="26" t="str">
        <f>IF(B298="", "", 'Lighting Inventory'!AD306)</f>
        <v/>
      </c>
      <c r="AI298" s="26" t="str">
        <f>IF(OR('Lighting Inventory'!AK306="", B298=""), "", 'Lighting Inventory'!AK306)</f>
        <v/>
      </c>
      <c r="AJ298" s="66" t="str">
        <f>IF(B298="", "", 'Lighting Inventory'!AL306)</f>
        <v/>
      </c>
      <c r="AK298" s="65" t="str">
        <f>IF(B298="", "", 'Lighting Inventory'!AM306)</f>
        <v/>
      </c>
      <c r="AL298" s="26" t="str">
        <f>IF(B298="", "", 'Lighting Inventory'!AN306)</f>
        <v/>
      </c>
      <c r="AM298" s="26" t="str">
        <f t="shared" si="15"/>
        <v/>
      </c>
      <c r="AN298" s="26" t="str">
        <f>IF(B298="","",IF('Lighting Inventory'!AV306="","Prescribed",'Lighting Inventory'!AV306))</f>
        <v/>
      </c>
      <c r="AO298" s="66" t="str">
        <f>IF(B298="", "", 'Lighting Inventory'!AX306)</f>
        <v/>
      </c>
      <c r="AP298" s="67" t="str">
        <f>IF(B298="", "", 'Lighting Inventory'!AZ306)</f>
        <v/>
      </c>
      <c r="AQ298" s="67" t="str">
        <f>IF(B298="", "", 'Lighting Inventory'!BA306)</f>
        <v/>
      </c>
      <c r="AR298" s="67" t="str">
        <f>IF(B298="", "", 'Lighting Inventory'!BB306)</f>
        <v/>
      </c>
      <c r="AS298" s="67" t="str">
        <f>IF(B298="", "", 'Lighting Inventory'!BC306)</f>
        <v/>
      </c>
      <c r="AT298" s="67" t="str">
        <f>IF(B298="", "", 'Lighting Inventory'!BD306)</f>
        <v/>
      </c>
      <c r="AU298" s="67" t="str">
        <f>IF(B298="", "", 'Lighting Inventory'!BE306)</f>
        <v/>
      </c>
      <c r="AV298" s="67" t="str">
        <f>IF(B298="", "", 'Lighting Inventory'!BE306)</f>
        <v/>
      </c>
      <c r="AW298" s="67" t="str">
        <f>IF(B298="", "", 'Lighting Inventory'!BF306)</f>
        <v/>
      </c>
      <c r="AX298" s="67" t="str">
        <f>IF(B298="", "", 'Lighting Inventory'!BF306)</f>
        <v/>
      </c>
      <c r="AY298" s="65" t="str">
        <f t="shared" si="16"/>
        <v/>
      </c>
      <c r="AZ298" s="65" t="str">
        <f>IF(B298="", "", 'Lighting Inventory'!BJ306)</f>
        <v/>
      </c>
      <c r="BA298" s="65" t="str">
        <f>IF(B298="", "", 'Lighting Inventory'!BM306)</f>
        <v/>
      </c>
      <c r="BB298" s="65" t="str">
        <f>IF(B298="","",SUM('Lighting Inventory'!BP306:BP306))</f>
        <v/>
      </c>
      <c r="BC298" s="67" t="str">
        <f>IF(OR(AE298="", B298=""),"", 'Lighting Inventory'!GR306)</f>
        <v/>
      </c>
      <c r="BD298" s="67" t="str">
        <f>IFERROR(IF(B298="", "", 'Lighting Inventory'!AF306)*AD298," ")</f>
        <v xml:space="preserve"> </v>
      </c>
      <c r="BE298" s="67"/>
      <c r="BF298" s="67"/>
    </row>
    <row r="299" spans="1:58" x14ac:dyDescent="0.25">
      <c r="A299" s="26" t="str">
        <f>IF(B299="", "", 'Lookup Tables'!AW300)</f>
        <v/>
      </c>
      <c r="B299" s="26" t="str">
        <f>IF(OR('Lighting Inventory'!Y307="", 'Lighting Inventory'!V307="No Change"),"", 'Lighting Inventory'!Y307)</f>
        <v/>
      </c>
      <c r="C299" s="26" t="str">
        <f>IF(B299="", "", IF('Lighting Inventory'!Y307='Lookup Tables'!$Y$32, 'Lighting Inventory'!AJ307, IF(AD299=0, R299, AD299)))</f>
        <v/>
      </c>
      <c r="D299" s="26" t="str">
        <f>IF(B299="", "", 'General Information'!$F$14)</f>
        <v/>
      </c>
      <c r="E299" s="26" t="str">
        <f t="shared" si="14"/>
        <v/>
      </c>
      <c r="F299" s="26" t="str">
        <f>IF(B299="", "", CONCATENATE('General Information'!$F$9, " - ", 'General Information'!$F$14))</f>
        <v/>
      </c>
      <c r="G299" s="26" t="str">
        <f>IF(B299="", "", 'General Information'!$F$15)</f>
        <v/>
      </c>
      <c r="H299" s="26" t="str">
        <f>IF(B299="", "", IF(VLOOKUP(B299, 'Lookup Tables'!$Y$18:$AA$34, 2, FALSE)="Traffic", VLOOKUP('Lighting Inventory'!W307, 'Lookup Tables'!#REF!, 11, FALSE), VLOOKUP(B299, 'Lookup Tables'!$Y$18:$AA$34, 2, FALSE)))</f>
        <v/>
      </c>
      <c r="I299" s="26" t="str">
        <f>IF(B299="", "", CONCATENATE(D299, 'Data Export'!A299))</f>
        <v/>
      </c>
      <c r="J299" s="26" t="str">
        <f>IF(B299="", "", 'Lookup Tables'!$B$1)</f>
        <v/>
      </c>
      <c r="K299" s="26" t="str">
        <f>IF(B299="", "", 'Lighting Inventory'!B307)</f>
        <v/>
      </c>
      <c r="L299" s="26" t="str">
        <f>IF(B299="", "", 'Lighting Inventory'!C307)</f>
        <v/>
      </c>
      <c r="M299" s="26" t="str">
        <f>IF(B299="", "",'Lighting Inventory'!D307)</f>
        <v/>
      </c>
      <c r="N299" s="26" t="str">
        <f>IF(B299="", "",'Lighting Inventory'!E307)</f>
        <v/>
      </c>
      <c r="O299" s="26" t="str">
        <f>IF(B299="", "", 'Lighting Inventory'!F307)</f>
        <v/>
      </c>
      <c r="P299" s="26" t="str">
        <f>IF(B299="", "", 'Lighting Inventory'!G307)</f>
        <v/>
      </c>
      <c r="Q299" s="26" t="str">
        <f>IF(B299="", "", 'Lighting Inventory'!H307)</f>
        <v/>
      </c>
      <c r="R299" s="26" t="str">
        <f>IF(B299="", "", 'Lighting Inventory'!I307)</f>
        <v/>
      </c>
      <c r="S299" s="26" t="str">
        <f>IF(B299="", "", 'Lighting Inventory'!J307)</f>
        <v/>
      </c>
      <c r="T299" s="26" t="str">
        <f>IFERROR(IF(B299="","",VLOOKUP(S299,'Fixture Identities'!$A$7:$G$1023,5,FALSE)), "New Construction")</f>
        <v/>
      </c>
      <c r="U299" s="26" t="str">
        <f>IFERROR(IF(B299="", "", IF(K299="New Construction", "NC", IF(VLOOKUP(S299, 'Fixture Identities'!$A$7:$I$1023,3, FALSE)="T12 Linear Fluorescent", VLOOKUP(S299, 'Fixture Identities'!$A$7:$K$1012, 11, FALSE), S299))), "")</f>
        <v/>
      </c>
      <c r="V299" s="26" t="str">
        <f>IFERROR(IF(OR(B299="", U299=0), "", VLOOKUP(U299, 'Fixture Identities'!$A$7:$G$1023, 5, FALSE)), "")</f>
        <v/>
      </c>
      <c r="W299" s="26" t="str">
        <f>IF(B299="", "",'Lighting Inventory'!K307)</f>
        <v/>
      </c>
      <c r="X299" s="65" t="str">
        <f>IF(B299="", "", 'Lighting Inventory'!L307)</f>
        <v/>
      </c>
      <c r="Y299" s="26" t="str">
        <f>IF(B299="", "", IF('Lighting Inventory'!M307="", "Light Switch",'Lighting Inventory'!M307))</f>
        <v/>
      </c>
      <c r="Z299" s="26" t="str">
        <f>IF(OR(K299="Retrofit", B299=""), "", 'Lighting Inventory'!N307)</f>
        <v/>
      </c>
      <c r="AA299" s="26" t="str">
        <f>IF(OR(Z299="",B299=""), "", 'Lighting Inventory'!O307)</f>
        <v/>
      </c>
      <c r="AB299" s="26" t="str">
        <f>IF(B299="", "", 'Lighting Inventory'!P307)</f>
        <v/>
      </c>
      <c r="AC299" s="96" t="str">
        <f>IF(B299="", "", 'Lighting Inventory'!R307)</f>
        <v/>
      </c>
      <c r="AD299" s="26" t="str">
        <f>IF(B299="", "", 'Lighting Inventory'!S307)</f>
        <v/>
      </c>
      <c r="AE299" s="26" t="str">
        <f>IF(B299="", "", 'Lighting Inventory'!V307)</f>
        <v/>
      </c>
      <c r="AF299" s="26" t="str">
        <f>IF(B299="", "", 'Lighting Inventory'!W307)</f>
        <v/>
      </c>
      <c r="AG299" s="26" t="str">
        <f>IF(OR(AF299="", B299=""), "", IF(AE299="Custom", "0", VLOOKUP(AF299, 'Lookup Tables'!$AI$6:$AP$102, 8, FALSE)))</f>
        <v/>
      </c>
      <c r="AH299" s="26" t="str">
        <f>IF(B299="", "", 'Lighting Inventory'!AD307)</f>
        <v/>
      </c>
      <c r="AI299" s="26" t="str">
        <f>IF(OR('Lighting Inventory'!AK307="", B299=""), "", 'Lighting Inventory'!AK307)</f>
        <v/>
      </c>
      <c r="AJ299" s="66" t="str">
        <f>IF(B299="", "", 'Lighting Inventory'!AL307)</f>
        <v/>
      </c>
      <c r="AK299" s="65" t="str">
        <f>IF(B299="", "", 'Lighting Inventory'!AM307)</f>
        <v/>
      </c>
      <c r="AL299" s="26" t="str">
        <f>IF(B299="", "", 'Lighting Inventory'!AN307)</f>
        <v/>
      </c>
      <c r="AM299" s="26" t="str">
        <f t="shared" si="15"/>
        <v/>
      </c>
      <c r="AN299" s="26" t="str">
        <f>IF(B299="","",IF('Lighting Inventory'!AV307="","Prescribed",'Lighting Inventory'!AV307))</f>
        <v/>
      </c>
      <c r="AO299" s="66" t="str">
        <f>IF(B299="", "", 'Lighting Inventory'!AX307)</f>
        <v/>
      </c>
      <c r="AP299" s="67" t="str">
        <f>IF(B299="", "", 'Lighting Inventory'!AZ307)</f>
        <v/>
      </c>
      <c r="AQ299" s="67" t="str">
        <f>IF(B299="", "", 'Lighting Inventory'!BA307)</f>
        <v/>
      </c>
      <c r="AR299" s="67" t="str">
        <f>IF(B299="", "", 'Lighting Inventory'!BB307)</f>
        <v/>
      </c>
      <c r="AS299" s="67" t="str">
        <f>IF(B299="", "", 'Lighting Inventory'!BC307)</f>
        <v/>
      </c>
      <c r="AT299" s="67" t="str">
        <f>IF(B299="", "", 'Lighting Inventory'!BD307)</f>
        <v/>
      </c>
      <c r="AU299" s="67" t="str">
        <f>IF(B299="", "", 'Lighting Inventory'!BE307)</f>
        <v/>
      </c>
      <c r="AV299" s="67" t="str">
        <f>IF(B299="", "", 'Lighting Inventory'!BE307)</f>
        <v/>
      </c>
      <c r="AW299" s="67" t="str">
        <f>IF(B299="", "", 'Lighting Inventory'!BF307)</f>
        <v/>
      </c>
      <c r="AX299" s="67" t="str">
        <f>IF(B299="", "", 'Lighting Inventory'!BF307)</f>
        <v/>
      </c>
      <c r="AY299" s="65" t="str">
        <f t="shared" si="16"/>
        <v/>
      </c>
      <c r="AZ299" s="65" t="str">
        <f>IF(B299="", "", 'Lighting Inventory'!BJ307)</f>
        <v/>
      </c>
      <c r="BA299" s="65" t="str">
        <f>IF(B299="", "", 'Lighting Inventory'!BM307)</f>
        <v/>
      </c>
      <c r="BB299" s="65" t="str">
        <f>IF(B299="","",SUM('Lighting Inventory'!BP307:BP307))</f>
        <v/>
      </c>
      <c r="BC299" s="67" t="str">
        <f>IF(OR(AE299="", B299=""),"", 'Lighting Inventory'!GR307)</f>
        <v/>
      </c>
      <c r="BD299" s="67" t="str">
        <f>IFERROR(IF(B299="", "", 'Lighting Inventory'!AF307)*AD299," ")</f>
        <v xml:space="preserve"> </v>
      </c>
      <c r="BE299" s="67"/>
      <c r="BF299" s="67"/>
    </row>
    <row r="300" spans="1:58" x14ac:dyDescent="0.25">
      <c r="A300" s="26" t="str">
        <f>IF(B300="", "", 'Lookup Tables'!AW301)</f>
        <v/>
      </c>
      <c r="B300" s="26" t="str">
        <f>IF(OR('Lighting Inventory'!Y308="", 'Lighting Inventory'!V308="No Change"),"", 'Lighting Inventory'!Y308)</f>
        <v/>
      </c>
      <c r="C300" s="26" t="str">
        <f>IF(B300="", "", IF('Lighting Inventory'!Y308='Lookup Tables'!$Y$32, 'Lighting Inventory'!AJ308, IF(AD300=0, R300, AD300)))</f>
        <v/>
      </c>
      <c r="D300" s="26" t="str">
        <f>IF(B300="", "", 'General Information'!$F$14)</f>
        <v/>
      </c>
      <c r="E300" s="26" t="str">
        <f t="shared" si="14"/>
        <v/>
      </c>
      <c r="F300" s="26" t="str">
        <f>IF(B300="", "", CONCATENATE('General Information'!$F$9, " - ", 'General Information'!$F$14))</f>
        <v/>
      </c>
      <c r="G300" s="26" t="str">
        <f>IF(B300="", "", 'General Information'!$F$15)</f>
        <v/>
      </c>
      <c r="H300" s="26" t="str">
        <f>IF(B300="", "", IF(VLOOKUP(B300, 'Lookup Tables'!$Y$18:$AA$34, 2, FALSE)="Traffic", VLOOKUP('Lighting Inventory'!W308, 'Lookup Tables'!#REF!, 11, FALSE), VLOOKUP(B300, 'Lookup Tables'!$Y$18:$AA$34, 2, FALSE)))</f>
        <v/>
      </c>
      <c r="I300" s="26" t="str">
        <f>IF(B300="", "", CONCATENATE(D300, 'Data Export'!A300))</f>
        <v/>
      </c>
      <c r="J300" s="26" t="str">
        <f>IF(B300="", "", 'Lookup Tables'!$B$1)</f>
        <v/>
      </c>
      <c r="K300" s="26" t="str">
        <f>IF(B300="", "", 'Lighting Inventory'!B308)</f>
        <v/>
      </c>
      <c r="L300" s="26" t="str">
        <f>IF(B300="", "", 'Lighting Inventory'!C308)</f>
        <v/>
      </c>
      <c r="M300" s="26" t="str">
        <f>IF(B300="", "",'Lighting Inventory'!D308)</f>
        <v/>
      </c>
      <c r="N300" s="26" t="str">
        <f>IF(B300="", "",'Lighting Inventory'!E308)</f>
        <v/>
      </c>
      <c r="O300" s="26" t="str">
        <f>IF(B300="", "", 'Lighting Inventory'!F308)</f>
        <v/>
      </c>
      <c r="P300" s="26" t="str">
        <f>IF(B300="", "", 'Lighting Inventory'!G308)</f>
        <v/>
      </c>
      <c r="Q300" s="26" t="str">
        <f>IF(B300="", "", 'Lighting Inventory'!H308)</f>
        <v/>
      </c>
      <c r="R300" s="26" t="str">
        <f>IF(B300="", "", 'Lighting Inventory'!I308)</f>
        <v/>
      </c>
      <c r="S300" s="26" t="str">
        <f>IF(B300="", "", 'Lighting Inventory'!J308)</f>
        <v/>
      </c>
      <c r="T300" s="26" t="str">
        <f>IFERROR(IF(B300="","",VLOOKUP(S300,'Fixture Identities'!$A$7:$G$1023,5,FALSE)), "New Construction")</f>
        <v/>
      </c>
      <c r="U300" s="26" t="str">
        <f>IFERROR(IF(B300="", "", IF(K300="New Construction", "NC", IF(VLOOKUP(S300, 'Fixture Identities'!$A$7:$I$1023,3, FALSE)="T12 Linear Fluorescent", VLOOKUP(S300, 'Fixture Identities'!$A$7:$K$1012, 11, FALSE), S300))), "")</f>
        <v/>
      </c>
      <c r="V300" s="26" t="str">
        <f>IFERROR(IF(OR(B300="", U300=0), "", VLOOKUP(U300, 'Fixture Identities'!$A$7:$G$1023, 5, FALSE)), "")</f>
        <v/>
      </c>
      <c r="W300" s="26" t="str">
        <f>IF(B300="", "",'Lighting Inventory'!K308)</f>
        <v/>
      </c>
      <c r="X300" s="65" t="str">
        <f>IF(B300="", "", 'Lighting Inventory'!L308)</f>
        <v/>
      </c>
      <c r="Y300" s="26" t="str">
        <f>IF(B300="", "", IF('Lighting Inventory'!M308="", "Light Switch",'Lighting Inventory'!M308))</f>
        <v/>
      </c>
      <c r="Z300" s="26" t="str">
        <f>IF(OR(K300="Retrofit", B300=""), "", 'Lighting Inventory'!N308)</f>
        <v/>
      </c>
      <c r="AA300" s="26" t="str">
        <f>IF(OR(Z300="",B300=""), "", 'Lighting Inventory'!O308)</f>
        <v/>
      </c>
      <c r="AB300" s="26" t="str">
        <f>IF(B300="", "", 'Lighting Inventory'!P308)</f>
        <v/>
      </c>
      <c r="AC300" s="96" t="str">
        <f>IF(B300="", "", 'Lighting Inventory'!R308)</f>
        <v/>
      </c>
      <c r="AD300" s="26" t="str">
        <f>IF(B300="", "", 'Lighting Inventory'!S308)</f>
        <v/>
      </c>
      <c r="AE300" s="26" t="str">
        <f>IF(B300="", "", 'Lighting Inventory'!V308)</f>
        <v/>
      </c>
      <c r="AF300" s="26" t="str">
        <f>IF(B300="", "", 'Lighting Inventory'!W308)</f>
        <v/>
      </c>
      <c r="AG300" s="26" t="str">
        <f>IF(OR(AF300="", B300=""), "", IF(AE300="Custom", "0", VLOOKUP(AF300, 'Lookup Tables'!$AI$6:$AP$102, 8, FALSE)))</f>
        <v/>
      </c>
      <c r="AH300" s="26" t="str">
        <f>IF(B300="", "", 'Lighting Inventory'!AD308)</f>
        <v/>
      </c>
      <c r="AI300" s="26" t="str">
        <f>IF(OR('Lighting Inventory'!AK308="", B300=""), "", 'Lighting Inventory'!AK308)</f>
        <v/>
      </c>
      <c r="AJ300" s="66" t="str">
        <f>IF(B300="", "", 'Lighting Inventory'!AL308)</f>
        <v/>
      </c>
      <c r="AK300" s="65" t="str">
        <f>IF(B300="", "", 'Lighting Inventory'!AM308)</f>
        <v/>
      </c>
      <c r="AL300" s="26" t="str">
        <f>IF(B300="", "", 'Lighting Inventory'!AN308)</f>
        <v/>
      </c>
      <c r="AM300" s="26" t="str">
        <f t="shared" si="15"/>
        <v/>
      </c>
      <c r="AN300" s="26" t="str">
        <f>IF(B300="","",IF('Lighting Inventory'!AV308="","Prescribed",'Lighting Inventory'!AV308))</f>
        <v/>
      </c>
      <c r="AO300" s="66" t="str">
        <f>IF(B300="", "", 'Lighting Inventory'!AX308)</f>
        <v/>
      </c>
      <c r="AP300" s="67" t="str">
        <f>IF(B300="", "", 'Lighting Inventory'!AZ308)</f>
        <v/>
      </c>
      <c r="AQ300" s="67" t="str">
        <f>IF(B300="", "", 'Lighting Inventory'!BA308)</f>
        <v/>
      </c>
      <c r="AR300" s="67" t="str">
        <f>IF(B300="", "", 'Lighting Inventory'!BB308)</f>
        <v/>
      </c>
      <c r="AS300" s="67" t="str">
        <f>IF(B300="", "", 'Lighting Inventory'!BC308)</f>
        <v/>
      </c>
      <c r="AT300" s="67" t="str">
        <f>IF(B300="", "", 'Lighting Inventory'!BD308)</f>
        <v/>
      </c>
      <c r="AU300" s="67" t="str">
        <f>IF(B300="", "", 'Lighting Inventory'!BE308)</f>
        <v/>
      </c>
      <c r="AV300" s="67" t="str">
        <f>IF(B300="", "", 'Lighting Inventory'!BE308)</f>
        <v/>
      </c>
      <c r="AW300" s="67" t="str">
        <f>IF(B300="", "", 'Lighting Inventory'!BF308)</f>
        <v/>
      </c>
      <c r="AX300" s="67" t="str">
        <f>IF(B300="", "", 'Lighting Inventory'!BF308)</f>
        <v/>
      </c>
      <c r="AY300" s="65" t="str">
        <f t="shared" si="16"/>
        <v/>
      </c>
      <c r="AZ300" s="65" t="str">
        <f>IF(B300="", "", 'Lighting Inventory'!BJ308)</f>
        <v/>
      </c>
      <c r="BA300" s="65" t="str">
        <f>IF(B300="", "", 'Lighting Inventory'!BM308)</f>
        <v/>
      </c>
      <c r="BB300" s="65" t="str">
        <f>IF(B300="","",SUM('Lighting Inventory'!BP308:BP308))</f>
        <v/>
      </c>
      <c r="BC300" s="67" t="str">
        <f>IF(OR(AE300="", B300=""),"", 'Lighting Inventory'!GR308)</f>
        <v/>
      </c>
      <c r="BD300" s="67" t="str">
        <f>IFERROR(IF(B300="", "", 'Lighting Inventory'!AF308)*AD300," ")</f>
        <v xml:space="preserve"> </v>
      </c>
      <c r="BE300" s="67"/>
      <c r="BF300" s="67"/>
    </row>
    <row r="301" spans="1:58" x14ac:dyDescent="0.25">
      <c r="A301" s="26" t="str">
        <f>IF(B301="", "", 'Lookup Tables'!AW302)</f>
        <v/>
      </c>
      <c r="B301" s="26" t="str">
        <f>IF(OR('Lighting Inventory'!Y309="", 'Lighting Inventory'!V309="No Change"),"", 'Lighting Inventory'!Y309)</f>
        <v/>
      </c>
      <c r="C301" s="26" t="str">
        <f>IF(B301="", "", IF('Lighting Inventory'!Y309='Lookup Tables'!$Y$32, 'Lighting Inventory'!AJ309, IF(AD301=0, R301, AD301)))</f>
        <v/>
      </c>
      <c r="D301" s="26" t="str">
        <f>IF(B301="", "", 'General Information'!$F$14)</f>
        <v/>
      </c>
      <c r="E301" s="26" t="str">
        <f t="shared" si="14"/>
        <v/>
      </c>
      <c r="F301" s="26" t="str">
        <f>IF(B301="", "", CONCATENATE('General Information'!$F$9, " - ", 'General Information'!$F$14))</f>
        <v/>
      </c>
      <c r="G301" s="26" t="str">
        <f>IF(B301="", "", 'General Information'!$F$15)</f>
        <v/>
      </c>
      <c r="H301" s="26" t="str">
        <f>IF(B301="", "", IF(VLOOKUP(B301, 'Lookup Tables'!$Y$18:$AA$34, 2, FALSE)="Traffic", VLOOKUP('Lighting Inventory'!W309, 'Lookup Tables'!#REF!, 11, FALSE), VLOOKUP(B301, 'Lookup Tables'!$Y$18:$AA$34, 2, FALSE)))</f>
        <v/>
      </c>
      <c r="I301" s="26" t="str">
        <f>IF(B301="", "", CONCATENATE(D301, 'Data Export'!A301))</f>
        <v/>
      </c>
      <c r="J301" s="26" t="str">
        <f>IF(B301="", "", 'Lookup Tables'!$B$1)</f>
        <v/>
      </c>
      <c r="K301" s="26" t="str">
        <f>IF(B301="", "", 'Lighting Inventory'!B309)</f>
        <v/>
      </c>
      <c r="L301" s="26" t="str">
        <f>IF(B301="", "", 'Lighting Inventory'!C309)</f>
        <v/>
      </c>
      <c r="M301" s="26" t="str">
        <f>IF(B301="", "",'Lighting Inventory'!D309)</f>
        <v/>
      </c>
      <c r="N301" s="26" t="str">
        <f>IF(B301="", "",'Lighting Inventory'!E309)</f>
        <v/>
      </c>
      <c r="O301" s="26" t="str">
        <f>IF(B301="", "", 'Lighting Inventory'!F309)</f>
        <v/>
      </c>
      <c r="P301" s="26" t="str">
        <f>IF(B301="", "", 'Lighting Inventory'!G309)</f>
        <v/>
      </c>
      <c r="Q301" s="26" t="str">
        <f>IF(B301="", "", 'Lighting Inventory'!H309)</f>
        <v/>
      </c>
      <c r="R301" s="26" t="str">
        <f>IF(B301="", "", 'Lighting Inventory'!I309)</f>
        <v/>
      </c>
      <c r="S301" s="26" t="str">
        <f>IF(B301="", "", 'Lighting Inventory'!J309)</f>
        <v/>
      </c>
      <c r="T301" s="26" t="str">
        <f>IFERROR(IF(B301="","",VLOOKUP(S301,'Fixture Identities'!$A$7:$G$1023,5,FALSE)), "New Construction")</f>
        <v/>
      </c>
      <c r="U301" s="26" t="str">
        <f>IFERROR(IF(B301="", "", IF(K301="New Construction", "NC", IF(VLOOKUP(S301, 'Fixture Identities'!$A$7:$I$1023,3, FALSE)="T12 Linear Fluorescent", VLOOKUP(S301, 'Fixture Identities'!$A$7:$K$1012, 11, FALSE), S301))), "")</f>
        <v/>
      </c>
      <c r="V301" s="26" t="str">
        <f>IFERROR(IF(OR(B301="", U301=0), "", VLOOKUP(U301, 'Fixture Identities'!$A$7:$G$1023, 5, FALSE)), "")</f>
        <v/>
      </c>
      <c r="W301" s="26" t="str">
        <f>IF(B301="", "",'Lighting Inventory'!K309)</f>
        <v/>
      </c>
      <c r="X301" s="65" t="str">
        <f>IF(B301="", "", 'Lighting Inventory'!L309)</f>
        <v/>
      </c>
      <c r="Y301" s="26" t="str">
        <f>IF(B301="", "", IF('Lighting Inventory'!M309="", "Light Switch",'Lighting Inventory'!M309))</f>
        <v/>
      </c>
      <c r="Z301" s="26" t="str">
        <f>IF(OR(K301="Retrofit", B301=""), "", 'Lighting Inventory'!N309)</f>
        <v/>
      </c>
      <c r="AA301" s="26" t="str">
        <f>IF(OR(Z301="",B301=""), "", 'Lighting Inventory'!O309)</f>
        <v/>
      </c>
      <c r="AB301" s="26" t="str">
        <f>IF(B301="", "", 'Lighting Inventory'!P309)</f>
        <v/>
      </c>
      <c r="AC301" s="96" t="str">
        <f>IF(B301="", "", 'Lighting Inventory'!R309)</f>
        <v/>
      </c>
      <c r="AD301" s="26" t="str">
        <f>IF(B301="", "", 'Lighting Inventory'!S309)</f>
        <v/>
      </c>
      <c r="AE301" s="26" t="str">
        <f>IF(B301="", "", 'Lighting Inventory'!V309)</f>
        <v/>
      </c>
      <c r="AF301" s="26" t="str">
        <f>IF(B301="", "", 'Lighting Inventory'!W309)</f>
        <v/>
      </c>
      <c r="AG301" s="26" t="str">
        <f>IF(OR(AF301="", B301=""), "", IF(AE301="Custom", "0", VLOOKUP(AF301, 'Lookup Tables'!$AI$6:$AP$102, 8, FALSE)))</f>
        <v/>
      </c>
      <c r="AH301" s="26" t="str">
        <f>IF(B301="", "", 'Lighting Inventory'!AD309)</f>
        <v/>
      </c>
      <c r="AI301" s="26" t="str">
        <f>IF(OR('Lighting Inventory'!AK309="", B301=""), "", 'Lighting Inventory'!AK309)</f>
        <v/>
      </c>
      <c r="AJ301" s="66" t="str">
        <f>IF(B301="", "", 'Lighting Inventory'!AL309)</f>
        <v/>
      </c>
      <c r="AK301" s="65" t="str">
        <f>IF(B301="", "", 'Lighting Inventory'!AM309)</f>
        <v/>
      </c>
      <c r="AL301" s="26" t="str">
        <f>IF(B301="", "", 'Lighting Inventory'!AN309)</f>
        <v/>
      </c>
      <c r="AM301" s="26" t="str">
        <f t="shared" si="15"/>
        <v/>
      </c>
      <c r="AN301" s="26" t="str">
        <f>IF(B301="","",IF('Lighting Inventory'!AV309="","Prescribed",'Lighting Inventory'!AV309))</f>
        <v/>
      </c>
      <c r="AO301" s="66" t="str">
        <f>IF(B301="", "", 'Lighting Inventory'!AX309)</f>
        <v/>
      </c>
      <c r="AP301" s="67" t="str">
        <f>IF(B301="", "", 'Lighting Inventory'!AZ309)</f>
        <v/>
      </c>
      <c r="AQ301" s="67" t="str">
        <f>IF(B301="", "", 'Lighting Inventory'!BA309)</f>
        <v/>
      </c>
      <c r="AR301" s="67" t="str">
        <f>IF(B301="", "", 'Lighting Inventory'!BB309)</f>
        <v/>
      </c>
      <c r="AS301" s="67" t="str">
        <f>IF(B301="", "", 'Lighting Inventory'!BC309)</f>
        <v/>
      </c>
      <c r="AT301" s="67" t="str">
        <f>IF(B301="", "", 'Lighting Inventory'!BD309)</f>
        <v/>
      </c>
      <c r="AU301" s="67" t="str">
        <f>IF(B301="", "", 'Lighting Inventory'!BE309)</f>
        <v/>
      </c>
      <c r="AV301" s="67" t="str">
        <f>IF(B301="", "", 'Lighting Inventory'!BE309)</f>
        <v/>
      </c>
      <c r="AW301" s="67" t="str">
        <f>IF(B301="", "", 'Lighting Inventory'!BF309)</f>
        <v/>
      </c>
      <c r="AX301" s="67" t="str">
        <f>IF(B301="", "", 'Lighting Inventory'!BF309)</f>
        <v/>
      </c>
      <c r="AY301" s="65" t="str">
        <f t="shared" si="16"/>
        <v/>
      </c>
      <c r="AZ301" s="65" t="str">
        <f>IF(B301="", "", 'Lighting Inventory'!BJ309)</f>
        <v/>
      </c>
      <c r="BA301" s="65" t="str">
        <f>IF(B301="", "", 'Lighting Inventory'!BM309)</f>
        <v/>
      </c>
      <c r="BB301" s="65" t="str">
        <f>IF(B301="","",SUM('Lighting Inventory'!BP309:BP309))</f>
        <v/>
      </c>
      <c r="BC301" s="67" t="str">
        <f>IF(OR(AE301="", B301=""),"", 'Lighting Inventory'!GR309)</f>
        <v/>
      </c>
      <c r="BD301" s="67" t="str">
        <f>IFERROR(IF(B301="", "", 'Lighting Inventory'!AF309)*AD301," ")</f>
        <v xml:space="preserve"> </v>
      </c>
      <c r="BE301" s="67"/>
      <c r="BF301" s="67"/>
    </row>
    <row r="302" spans="1:58" x14ac:dyDescent="0.25">
      <c r="A302" s="26" t="str">
        <f>IF(B302="", "", 'Lookup Tables'!AW303)</f>
        <v/>
      </c>
      <c r="B302" s="26" t="str">
        <f>IF(OR('Lighting Inventory'!Y310="", 'Lighting Inventory'!V310="No Change"),"", 'Lighting Inventory'!Y310)</f>
        <v/>
      </c>
      <c r="C302" s="26" t="str">
        <f>IF(B302="", "", IF('Lighting Inventory'!Y310='Lookup Tables'!$Y$32, 'Lighting Inventory'!AJ310, IF(AD302=0, R302, AD302)))</f>
        <v/>
      </c>
      <c r="D302" s="26" t="str">
        <f>IF(B302="", "", 'General Information'!$F$14)</f>
        <v/>
      </c>
      <c r="E302" s="26" t="str">
        <f t="shared" si="14"/>
        <v/>
      </c>
      <c r="F302" s="26" t="str">
        <f>IF(B302="", "", CONCATENATE('General Information'!$F$9, " - ", 'General Information'!$F$14))</f>
        <v/>
      </c>
      <c r="G302" s="26" t="str">
        <f>IF(B302="", "", 'General Information'!$F$15)</f>
        <v/>
      </c>
      <c r="H302" s="26" t="str">
        <f>IF(B302="", "", IF(VLOOKUP(B302, 'Lookup Tables'!$Y$18:$AA$34, 2, FALSE)="Traffic", VLOOKUP('Lighting Inventory'!W310, 'Lookup Tables'!#REF!, 11, FALSE), VLOOKUP(B302, 'Lookup Tables'!$Y$18:$AA$34, 2, FALSE)))</f>
        <v/>
      </c>
      <c r="I302" s="26" t="str">
        <f>IF(B302="", "", CONCATENATE(D302, 'Data Export'!A302))</f>
        <v/>
      </c>
      <c r="J302" s="26" t="str">
        <f>IF(B302="", "", 'Lookup Tables'!$B$1)</f>
        <v/>
      </c>
      <c r="K302" s="26" t="str">
        <f>IF(B302="", "", 'Lighting Inventory'!B310)</f>
        <v/>
      </c>
      <c r="L302" s="26" t="str">
        <f>IF(B302="", "", 'Lighting Inventory'!C310)</f>
        <v/>
      </c>
      <c r="M302" s="26" t="str">
        <f>IF(B302="", "",'Lighting Inventory'!D310)</f>
        <v/>
      </c>
      <c r="N302" s="26" t="str">
        <f>IF(B302="", "",'Lighting Inventory'!E310)</f>
        <v/>
      </c>
      <c r="O302" s="26" t="str">
        <f>IF(B302="", "", 'Lighting Inventory'!F310)</f>
        <v/>
      </c>
      <c r="P302" s="26" t="str">
        <f>IF(B302="", "", 'Lighting Inventory'!G310)</f>
        <v/>
      </c>
      <c r="Q302" s="26" t="str">
        <f>IF(B302="", "", 'Lighting Inventory'!H310)</f>
        <v/>
      </c>
      <c r="R302" s="26" t="str">
        <f>IF(B302="", "", 'Lighting Inventory'!I310)</f>
        <v/>
      </c>
      <c r="S302" s="26" t="str">
        <f>IF(B302="", "", 'Lighting Inventory'!J310)</f>
        <v/>
      </c>
      <c r="T302" s="26" t="str">
        <f>IFERROR(IF(B302="","",VLOOKUP(S302,'Fixture Identities'!$A$7:$G$1023,5,FALSE)), "New Construction")</f>
        <v/>
      </c>
      <c r="U302" s="26" t="str">
        <f>IFERROR(IF(B302="", "", IF(K302="New Construction", "NC", IF(VLOOKUP(S302, 'Fixture Identities'!$A$7:$I$1023,3, FALSE)="T12 Linear Fluorescent", VLOOKUP(S302, 'Fixture Identities'!$A$7:$K$1012, 11, FALSE), S302))), "")</f>
        <v/>
      </c>
      <c r="V302" s="26" t="str">
        <f>IFERROR(IF(OR(B302="", U302=0), "", VLOOKUP(U302, 'Fixture Identities'!$A$7:$G$1023, 5, FALSE)), "")</f>
        <v/>
      </c>
      <c r="W302" s="26" t="str">
        <f>IF(B302="", "",'Lighting Inventory'!K310)</f>
        <v/>
      </c>
      <c r="X302" s="65" t="str">
        <f>IF(B302="", "", 'Lighting Inventory'!L310)</f>
        <v/>
      </c>
      <c r="Y302" s="26" t="str">
        <f>IF(B302="", "", IF('Lighting Inventory'!M310="", "Light Switch",'Lighting Inventory'!M310))</f>
        <v/>
      </c>
      <c r="Z302" s="26" t="str">
        <f>IF(OR(K302="Retrofit", B302=""), "", 'Lighting Inventory'!N310)</f>
        <v/>
      </c>
      <c r="AA302" s="26" t="str">
        <f>IF(OR(Z302="",B302=""), "", 'Lighting Inventory'!O310)</f>
        <v/>
      </c>
      <c r="AB302" s="26" t="str">
        <f>IF(B302="", "", 'Lighting Inventory'!P310)</f>
        <v/>
      </c>
      <c r="AC302" s="96" t="str">
        <f>IF(B302="", "", 'Lighting Inventory'!R310)</f>
        <v/>
      </c>
      <c r="AD302" s="26" t="str">
        <f>IF(B302="", "", 'Lighting Inventory'!S310)</f>
        <v/>
      </c>
      <c r="AE302" s="26" t="str">
        <f>IF(B302="", "", 'Lighting Inventory'!V310)</f>
        <v/>
      </c>
      <c r="AF302" s="26" t="str">
        <f>IF(B302="", "", 'Lighting Inventory'!W310)</f>
        <v/>
      </c>
      <c r="AG302" s="26" t="str">
        <f>IF(OR(AF302="", B302=""), "", IF(AE302="Custom", "0", VLOOKUP(AF302, 'Lookup Tables'!$AI$6:$AP$102, 8, FALSE)))</f>
        <v/>
      </c>
      <c r="AH302" s="26" t="str">
        <f>IF(B302="", "", 'Lighting Inventory'!AD310)</f>
        <v/>
      </c>
      <c r="AI302" s="26" t="str">
        <f>IF(OR('Lighting Inventory'!AK310="", B302=""), "", 'Lighting Inventory'!AK310)</f>
        <v/>
      </c>
      <c r="AJ302" s="66" t="str">
        <f>IF(B302="", "", 'Lighting Inventory'!AL310)</f>
        <v/>
      </c>
      <c r="AK302" s="65" t="str">
        <f>IF(B302="", "", 'Lighting Inventory'!AM310)</f>
        <v/>
      </c>
      <c r="AL302" s="26" t="str">
        <f>IF(B302="", "", 'Lighting Inventory'!AN310)</f>
        <v/>
      </c>
      <c r="AM302" s="26" t="str">
        <f t="shared" si="15"/>
        <v/>
      </c>
      <c r="AN302" s="26" t="str">
        <f>IF(B302="","",IF('Lighting Inventory'!AV310="","Prescribed",'Lighting Inventory'!AV310))</f>
        <v/>
      </c>
      <c r="AO302" s="66" t="str">
        <f>IF(B302="", "", 'Lighting Inventory'!AX310)</f>
        <v/>
      </c>
      <c r="AP302" s="67" t="str">
        <f>IF(B302="", "", 'Lighting Inventory'!AZ310)</f>
        <v/>
      </c>
      <c r="AQ302" s="67" t="str">
        <f>IF(B302="", "", 'Lighting Inventory'!BA310)</f>
        <v/>
      </c>
      <c r="AR302" s="67" t="str">
        <f>IF(B302="", "", 'Lighting Inventory'!BB310)</f>
        <v/>
      </c>
      <c r="AS302" s="67" t="str">
        <f>IF(B302="", "", 'Lighting Inventory'!BC310)</f>
        <v/>
      </c>
      <c r="AT302" s="67" t="str">
        <f>IF(B302="", "", 'Lighting Inventory'!BD310)</f>
        <v/>
      </c>
      <c r="AU302" s="67" t="str">
        <f>IF(B302="", "", 'Lighting Inventory'!BE310)</f>
        <v/>
      </c>
      <c r="AV302" s="67" t="str">
        <f>IF(B302="", "", 'Lighting Inventory'!BE310)</f>
        <v/>
      </c>
      <c r="AW302" s="67" t="str">
        <f>IF(B302="", "", 'Lighting Inventory'!BF310)</f>
        <v/>
      </c>
      <c r="AX302" s="67" t="str">
        <f>IF(B302="", "", 'Lighting Inventory'!BF310)</f>
        <v/>
      </c>
      <c r="AY302" s="65" t="str">
        <f t="shared" si="16"/>
        <v/>
      </c>
      <c r="AZ302" s="65" t="str">
        <f>IF(B302="", "", 'Lighting Inventory'!BJ310)</f>
        <v/>
      </c>
      <c r="BA302" s="65" t="str">
        <f>IF(B302="", "", 'Lighting Inventory'!BM310)</f>
        <v/>
      </c>
      <c r="BB302" s="65" t="str">
        <f>IF(B302="","",SUM('Lighting Inventory'!BP310:BP310))</f>
        <v/>
      </c>
      <c r="BC302" s="67" t="str">
        <f>IF(OR(AE302="", B302=""),"", 'Lighting Inventory'!GR310)</f>
        <v/>
      </c>
      <c r="BD302" s="67" t="str">
        <f>IFERROR(IF(B302="", "", 'Lighting Inventory'!AF310)*AD302," ")</f>
        <v xml:space="preserve"> </v>
      </c>
      <c r="BE302" s="67"/>
      <c r="BF302" s="67"/>
    </row>
    <row r="303" spans="1:58" x14ac:dyDescent="0.25">
      <c r="A303" s="26" t="str">
        <f>IF(B303="", "", 'Lookup Tables'!AW304)</f>
        <v/>
      </c>
      <c r="B303" s="26" t="str">
        <f>IF(OR('Lighting Inventory'!Y311="", 'Lighting Inventory'!V311="No Change"),"", 'Lighting Inventory'!Y311)</f>
        <v/>
      </c>
      <c r="C303" s="26" t="str">
        <f>IF(B303="", "", IF('Lighting Inventory'!Y311='Lookup Tables'!$Y$32, 'Lighting Inventory'!AJ311, IF(AD303=0, R303, AD303)))</f>
        <v/>
      </c>
      <c r="D303" s="26" t="str">
        <f>IF(B303="", "", 'General Information'!$F$14)</f>
        <v/>
      </c>
      <c r="E303" s="26" t="str">
        <f t="shared" si="14"/>
        <v/>
      </c>
      <c r="F303" s="26" t="str">
        <f>IF(B303="", "", CONCATENATE('General Information'!$F$9, " - ", 'General Information'!$F$14))</f>
        <v/>
      </c>
      <c r="G303" s="26" t="str">
        <f>IF(B303="", "", 'General Information'!$F$15)</f>
        <v/>
      </c>
      <c r="H303" s="26" t="str">
        <f>IF(B303="", "", IF(VLOOKUP(B303, 'Lookup Tables'!$Y$18:$AA$34, 2, FALSE)="Traffic", VLOOKUP('Lighting Inventory'!W311, 'Lookup Tables'!#REF!, 11, FALSE), VLOOKUP(B303, 'Lookup Tables'!$Y$18:$AA$34, 2, FALSE)))</f>
        <v/>
      </c>
      <c r="I303" s="26" t="str">
        <f>IF(B303="", "", CONCATENATE(D303, 'Data Export'!A303))</f>
        <v/>
      </c>
      <c r="J303" s="26" t="str">
        <f>IF(B303="", "", 'Lookup Tables'!$B$1)</f>
        <v/>
      </c>
      <c r="K303" s="26" t="str">
        <f>IF(B303="", "", 'Lighting Inventory'!B311)</f>
        <v/>
      </c>
      <c r="L303" s="26" t="str">
        <f>IF(B303="", "", 'Lighting Inventory'!C311)</f>
        <v/>
      </c>
      <c r="M303" s="26" t="str">
        <f>IF(B303="", "",'Lighting Inventory'!D311)</f>
        <v/>
      </c>
      <c r="N303" s="26" t="str">
        <f>IF(B303="", "",'Lighting Inventory'!E311)</f>
        <v/>
      </c>
      <c r="O303" s="26" t="str">
        <f>IF(B303="", "", 'Lighting Inventory'!F311)</f>
        <v/>
      </c>
      <c r="P303" s="26" t="str">
        <f>IF(B303="", "", 'Lighting Inventory'!G311)</f>
        <v/>
      </c>
      <c r="Q303" s="26" t="str">
        <f>IF(B303="", "", 'Lighting Inventory'!H311)</f>
        <v/>
      </c>
      <c r="R303" s="26" t="str">
        <f>IF(B303="", "", 'Lighting Inventory'!I311)</f>
        <v/>
      </c>
      <c r="S303" s="26" t="str">
        <f>IF(B303="", "", 'Lighting Inventory'!J311)</f>
        <v/>
      </c>
      <c r="T303" s="26" t="str">
        <f>IFERROR(IF(B303="","",VLOOKUP(S303,'Fixture Identities'!$A$7:$G$1023,5,FALSE)), "New Construction")</f>
        <v/>
      </c>
      <c r="U303" s="26" t="str">
        <f>IFERROR(IF(B303="", "", IF(K303="New Construction", "NC", IF(VLOOKUP(S303, 'Fixture Identities'!$A$7:$I$1023,3, FALSE)="T12 Linear Fluorescent", VLOOKUP(S303, 'Fixture Identities'!$A$7:$K$1012, 11, FALSE), S303))), "")</f>
        <v/>
      </c>
      <c r="V303" s="26" t="str">
        <f>IFERROR(IF(OR(B303="", U303=0), "", VLOOKUP(U303, 'Fixture Identities'!$A$7:$G$1023, 5, FALSE)), "")</f>
        <v/>
      </c>
      <c r="W303" s="26" t="str">
        <f>IF(B303="", "",'Lighting Inventory'!K311)</f>
        <v/>
      </c>
      <c r="X303" s="65" t="str">
        <f>IF(B303="", "", 'Lighting Inventory'!L311)</f>
        <v/>
      </c>
      <c r="Y303" s="26" t="str">
        <f>IF(B303="", "", IF('Lighting Inventory'!M311="", "Light Switch",'Lighting Inventory'!M311))</f>
        <v/>
      </c>
      <c r="Z303" s="26" t="str">
        <f>IF(OR(K303="Retrofit", B303=""), "", 'Lighting Inventory'!N311)</f>
        <v/>
      </c>
      <c r="AA303" s="26" t="str">
        <f>IF(OR(Z303="",B303=""), "", 'Lighting Inventory'!O311)</f>
        <v/>
      </c>
      <c r="AB303" s="26" t="str">
        <f>IF(B303="", "", 'Lighting Inventory'!P311)</f>
        <v/>
      </c>
      <c r="AC303" s="96" t="str">
        <f>IF(B303="", "", 'Lighting Inventory'!R311)</f>
        <v/>
      </c>
      <c r="AD303" s="26" t="str">
        <f>IF(B303="", "", 'Lighting Inventory'!S311)</f>
        <v/>
      </c>
      <c r="AE303" s="26" t="str">
        <f>IF(B303="", "", 'Lighting Inventory'!V311)</f>
        <v/>
      </c>
      <c r="AF303" s="26" t="str">
        <f>IF(B303="", "", 'Lighting Inventory'!W311)</f>
        <v/>
      </c>
      <c r="AG303" s="26" t="str">
        <f>IF(OR(AF303="", B303=""), "", IF(AE303="Custom", "0", VLOOKUP(AF303, 'Lookup Tables'!$AI$6:$AP$102, 8, FALSE)))</f>
        <v/>
      </c>
      <c r="AH303" s="26" t="str">
        <f>IF(B303="", "", 'Lighting Inventory'!AD311)</f>
        <v/>
      </c>
      <c r="AI303" s="26" t="str">
        <f>IF(OR('Lighting Inventory'!AK311="", B303=""), "", 'Lighting Inventory'!AK311)</f>
        <v/>
      </c>
      <c r="AJ303" s="66" t="str">
        <f>IF(B303="", "", 'Lighting Inventory'!AL311)</f>
        <v/>
      </c>
      <c r="AK303" s="65" t="str">
        <f>IF(B303="", "", 'Lighting Inventory'!AM311)</f>
        <v/>
      </c>
      <c r="AL303" s="26" t="str">
        <f>IF(B303="", "", 'Lighting Inventory'!AN311)</f>
        <v/>
      </c>
      <c r="AM303" s="26" t="str">
        <f t="shared" si="15"/>
        <v/>
      </c>
      <c r="AN303" s="26" t="str">
        <f>IF(B303="","",IF('Lighting Inventory'!AV311="","Prescribed",'Lighting Inventory'!AV311))</f>
        <v/>
      </c>
      <c r="AO303" s="66" t="str">
        <f>IF(B303="", "", 'Lighting Inventory'!AX311)</f>
        <v/>
      </c>
      <c r="AP303" s="67" t="str">
        <f>IF(B303="", "", 'Lighting Inventory'!AZ311)</f>
        <v/>
      </c>
      <c r="AQ303" s="67" t="str">
        <f>IF(B303="", "", 'Lighting Inventory'!BA311)</f>
        <v/>
      </c>
      <c r="AR303" s="67" t="str">
        <f>IF(B303="", "", 'Lighting Inventory'!BB311)</f>
        <v/>
      </c>
      <c r="AS303" s="67" t="str">
        <f>IF(B303="", "", 'Lighting Inventory'!BC311)</f>
        <v/>
      </c>
      <c r="AT303" s="67" t="str">
        <f>IF(B303="", "", 'Lighting Inventory'!BD311)</f>
        <v/>
      </c>
      <c r="AU303" s="67" t="str">
        <f>IF(B303="", "", 'Lighting Inventory'!BE311)</f>
        <v/>
      </c>
      <c r="AV303" s="67" t="str">
        <f>IF(B303="", "", 'Lighting Inventory'!BE311)</f>
        <v/>
      </c>
      <c r="AW303" s="67" t="str">
        <f>IF(B303="", "", 'Lighting Inventory'!BF311)</f>
        <v/>
      </c>
      <c r="AX303" s="67" t="str">
        <f>IF(B303="", "", 'Lighting Inventory'!BF311)</f>
        <v/>
      </c>
      <c r="AY303" s="65" t="str">
        <f t="shared" si="16"/>
        <v/>
      </c>
      <c r="AZ303" s="65" t="str">
        <f>IF(B303="", "", 'Lighting Inventory'!BJ311)</f>
        <v/>
      </c>
      <c r="BA303" s="65" t="str">
        <f>IF(B303="", "", 'Lighting Inventory'!BM311)</f>
        <v/>
      </c>
      <c r="BB303" s="65" t="str">
        <f>IF(B303="","",SUM('Lighting Inventory'!BP311:BP311))</f>
        <v/>
      </c>
      <c r="BC303" s="67" t="str">
        <f>IF(OR(AE303="", B303=""),"", 'Lighting Inventory'!GR311)</f>
        <v/>
      </c>
      <c r="BD303" s="67" t="str">
        <f>IFERROR(IF(B303="", "", 'Lighting Inventory'!AF311)*AD303," ")</f>
        <v xml:space="preserve"> </v>
      </c>
      <c r="BE303" s="67"/>
      <c r="BF303" s="67"/>
    </row>
    <row r="304" spans="1:58" x14ac:dyDescent="0.25">
      <c r="A304" s="26" t="str">
        <f>IF(B304="", "", 'Lookup Tables'!AW305)</f>
        <v/>
      </c>
      <c r="B304" s="26" t="str">
        <f>IF(OR('Lighting Inventory'!Y312="", 'Lighting Inventory'!V312="No Change"),"", 'Lighting Inventory'!Y312)</f>
        <v/>
      </c>
      <c r="C304" s="26" t="str">
        <f>IF(B304="", "", IF('Lighting Inventory'!Y312='Lookup Tables'!$Y$32, 'Lighting Inventory'!AJ312, IF(AD304=0, R304, AD304)))</f>
        <v/>
      </c>
      <c r="D304" s="26" t="str">
        <f>IF(B304="", "", 'General Information'!$F$14)</f>
        <v/>
      </c>
      <c r="E304" s="26" t="str">
        <f t="shared" si="14"/>
        <v/>
      </c>
      <c r="F304" s="26" t="str">
        <f>IF(B304="", "", CONCATENATE('General Information'!$F$9, " - ", 'General Information'!$F$14))</f>
        <v/>
      </c>
      <c r="G304" s="26" t="str">
        <f>IF(B304="", "", 'General Information'!$F$15)</f>
        <v/>
      </c>
      <c r="H304" s="26" t="str">
        <f>IF(B304="", "", IF(VLOOKUP(B304, 'Lookup Tables'!$Y$18:$AA$34, 2, FALSE)="Traffic", VLOOKUP('Lighting Inventory'!W312, 'Lookup Tables'!#REF!, 11, FALSE), VLOOKUP(B304, 'Lookup Tables'!$Y$18:$AA$34, 2, FALSE)))</f>
        <v/>
      </c>
      <c r="I304" s="26" t="str">
        <f>IF(B304="", "", CONCATENATE(D304, 'Data Export'!A304))</f>
        <v/>
      </c>
      <c r="J304" s="26" t="str">
        <f>IF(B304="", "", 'Lookup Tables'!$B$1)</f>
        <v/>
      </c>
      <c r="K304" s="26" t="str">
        <f>IF(B304="", "", 'Lighting Inventory'!B312)</f>
        <v/>
      </c>
      <c r="L304" s="26" t="str">
        <f>IF(B304="", "", 'Lighting Inventory'!C312)</f>
        <v/>
      </c>
      <c r="M304" s="26" t="str">
        <f>IF(B304="", "",'Lighting Inventory'!D312)</f>
        <v/>
      </c>
      <c r="N304" s="26" t="str">
        <f>IF(B304="", "",'Lighting Inventory'!E312)</f>
        <v/>
      </c>
      <c r="O304" s="26" t="str">
        <f>IF(B304="", "", 'Lighting Inventory'!F312)</f>
        <v/>
      </c>
      <c r="P304" s="26" t="str">
        <f>IF(B304="", "", 'Lighting Inventory'!G312)</f>
        <v/>
      </c>
      <c r="Q304" s="26" t="str">
        <f>IF(B304="", "", 'Lighting Inventory'!H312)</f>
        <v/>
      </c>
      <c r="R304" s="26" t="str">
        <f>IF(B304="", "", 'Lighting Inventory'!I312)</f>
        <v/>
      </c>
      <c r="S304" s="26" t="str">
        <f>IF(B304="", "", 'Lighting Inventory'!J312)</f>
        <v/>
      </c>
      <c r="T304" s="26" t="str">
        <f>IFERROR(IF(B304="","",VLOOKUP(S304,'Fixture Identities'!$A$7:$G$1023,5,FALSE)), "New Construction")</f>
        <v/>
      </c>
      <c r="U304" s="26" t="str">
        <f>IFERROR(IF(B304="", "", IF(K304="New Construction", "NC", IF(VLOOKUP(S304, 'Fixture Identities'!$A$7:$I$1023,3, FALSE)="T12 Linear Fluorescent", VLOOKUP(S304, 'Fixture Identities'!$A$7:$K$1012, 11, FALSE), S304))), "")</f>
        <v/>
      </c>
      <c r="V304" s="26" t="str">
        <f>IFERROR(IF(OR(B304="", U304=0), "", VLOOKUP(U304, 'Fixture Identities'!$A$7:$G$1023, 5, FALSE)), "")</f>
        <v/>
      </c>
      <c r="W304" s="26" t="str">
        <f>IF(B304="", "",'Lighting Inventory'!K312)</f>
        <v/>
      </c>
      <c r="X304" s="65" t="str">
        <f>IF(B304="", "", 'Lighting Inventory'!L312)</f>
        <v/>
      </c>
      <c r="Y304" s="26" t="str">
        <f>IF(B304="", "", IF('Lighting Inventory'!M312="", "Light Switch",'Lighting Inventory'!M312))</f>
        <v/>
      </c>
      <c r="Z304" s="26" t="str">
        <f>IF(OR(K304="Retrofit", B304=""), "", 'Lighting Inventory'!N312)</f>
        <v/>
      </c>
      <c r="AA304" s="26" t="str">
        <f>IF(OR(Z304="",B304=""), "", 'Lighting Inventory'!O312)</f>
        <v/>
      </c>
      <c r="AB304" s="26" t="str">
        <f>IF(B304="", "", 'Lighting Inventory'!P312)</f>
        <v/>
      </c>
      <c r="AC304" s="96" t="str">
        <f>IF(B304="", "", 'Lighting Inventory'!R312)</f>
        <v/>
      </c>
      <c r="AD304" s="26" t="str">
        <f>IF(B304="", "", 'Lighting Inventory'!S312)</f>
        <v/>
      </c>
      <c r="AE304" s="26" t="str">
        <f>IF(B304="", "", 'Lighting Inventory'!V312)</f>
        <v/>
      </c>
      <c r="AF304" s="26" t="str">
        <f>IF(B304="", "", 'Lighting Inventory'!W312)</f>
        <v/>
      </c>
      <c r="AG304" s="26" t="str">
        <f>IF(OR(AF304="", B304=""), "", IF(AE304="Custom", "0", VLOOKUP(AF304, 'Lookup Tables'!$AI$6:$AP$102, 8, FALSE)))</f>
        <v/>
      </c>
      <c r="AH304" s="26" t="str">
        <f>IF(B304="", "", 'Lighting Inventory'!AD312)</f>
        <v/>
      </c>
      <c r="AI304" s="26" t="str">
        <f>IF(OR('Lighting Inventory'!AK312="", B304=""), "", 'Lighting Inventory'!AK312)</f>
        <v/>
      </c>
      <c r="AJ304" s="66" t="str">
        <f>IF(B304="", "", 'Lighting Inventory'!AL312)</f>
        <v/>
      </c>
      <c r="AK304" s="65" t="str">
        <f>IF(B304="", "", 'Lighting Inventory'!AM312)</f>
        <v/>
      </c>
      <c r="AL304" s="26" t="str">
        <f>IF(B304="", "", 'Lighting Inventory'!AN312)</f>
        <v/>
      </c>
      <c r="AM304" s="26" t="str">
        <f t="shared" si="15"/>
        <v/>
      </c>
      <c r="AN304" s="26" t="str">
        <f>IF(B304="","",IF('Lighting Inventory'!AV312="","Prescribed",'Lighting Inventory'!AV312))</f>
        <v/>
      </c>
      <c r="AO304" s="66" t="str">
        <f>IF(B304="", "", 'Lighting Inventory'!AX312)</f>
        <v/>
      </c>
      <c r="AP304" s="67" t="str">
        <f>IF(B304="", "", 'Lighting Inventory'!AZ312)</f>
        <v/>
      </c>
      <c r="AQ304" s="67" t="str">
        <f>IF(B304="", "", 'Lighting Inventory'!BA312)</f>
        <v/>
      </c>
      <c r="AR304" s="67" t="str">
        <f>IF(B304="", "", 'Lighting Inventory'!BB312)</f>
        <v/>
      </c>
      <c r="AS304" s="67" t="str">
        <f>IF(B304="", "", 'Lighting Inventory'!BC312)</f>
        <v/>
      </c>
      <c r="AT304" s="67" t="str">
        <f>IF(B304="", "", 'Lighting Inventory'!BD312)</f>
        <v/>
      </c>
      <c r="AU304" s="67" t="str">
        <f>IF(B304="", "", 'Lighting Inventory'!BE312)</f>
        <v/>
      </c>
      <c r="AV304" s="67" t="str">
        <f>IF(B304="", "", 'Lighting Inventory'!BE312)</f>
        <v/>
      </c>
      <c r="AW304" s="67" t="str">
        <f>IF(B304="", "", 'Lighting Inventory'!BF312)</f>
        <v/>
      </c>
      <c r="AX304" s="67" t="str">
        <f>IF(B304="", "", 'Lighting Inventory'!BF312)</f>
        <v/>
      </c>
      <c r="AY304" s="65" t="str">
        <f t="shared" si="16"/>
        <v/>
      </c>
      <c r="AZ304" s="65" t="str">
        <f>IF(B304="", "", 'Lighting Inventory'!BJ312)</f>
        <v/>
      </c>
      <c r="BA304" s="65" t="str">
        <f>IF(B304="", "", 'Lighting Inventory'!BM312)</f>
        <v/>
      </c>
      <c r="BB304" s="65" t="str">
        <f>IF(B304="","",SUM('Lighting Inventory'!BP312:BP312))</f>
        <v/>
      </c>
      <c r="BC304" s="67" t="str">
        <f>IF(OR(AE304="", B304=""),"", 'Lighting Inventory'!GR312)</f>
        <v/>
      </c>
      <c r="BD304" s="67" t="str">
        <f>IFERROR(IF(B304="", "", 'Lighting Inventory'!AF312)*AD304," ")</f>
        <v xml:space="preserve"> </v>
      </c>
      <c r="BE304" s="67"/>
      <c r="BF304" s="67"/>
    </row>
    <row r="305" spans="1:58" x14ac:dyDescent="0.25">
      <c r="A305" s="26" t="str">
        <f>IF(B305="", "", 'Lookup Tables'!AW306)</f>
        <v/>
      </c>
      <c r="B305" s="26" t="str">
        <f>IF(OR('Lighting Inventory'!Y313="", 'Lighting Inventory'!V313="No Change"),"", 'Lighting Inventory'!Y313)</f>
        <v/>
      </c>
      <c r="C305" s="26" t="str">
        <f>IF(B305="", "", IF('Lighting Inventory'!Y313='Lookup Tables'!$Y$32, 'Lighting Inventory'!AJ313, IF(AD305=0, R305, AD305)))</f>
        <v/>
      </c>
      <c r="D305" s="26" t="str">
        <f>IF(B305="", "", 'General Information'!$F$14)</f>
        <v/>
      </c>
      <c r="E305" s="26" t="str">
        <f t="shared" si="14"/>
        <v/>
      </c>
      <c r="F305" s="26" t="str">
        <f>IF(B305="", "", CONCATENATE('General Information'!$F$9, " - ", 'General Information'!$F$14))</f>
        <v/>
      </c>
      <c r="G305" s="26" t="str">
        <f>IF(B305="", "", 'General Information'!$F$15)</f>
        <v/>
      </c>
      <c r="H305" s="26" t="str">
        <f>IF(B305="", "", IF(VLOOKUP(B305, 'Lookup Tables'!$Y$18:$AA$34, 2, FALSE)="Traffic", VLOOKUP('Lighting Inventory'!W313, 'Lookup Tables'!#REF!, 11, FALSE), VLOOKUP(B305, 'Lookup Tables'!$Y$18:$AA$34, 2, FALSE)))</f>
        <v/>
      </c>
      <c r="I305" s="26" t="str">
        <f>IF(B305="", "", CONCATENATE(D305, 'Data Export'!A305))</f>
        <v/>
      </c>
      <c r="J305" s="26" t="str">
        <f>IF(B305="", "", 'Lookup Tables'!$B$1)</f>
        <v/>
      </c>
      <c r="K305" s="26" t="str">
        <f>IF(B305="", "", 'Lighting Inventory'!B313)</f>
        <v/>
      </c>
      <c r="L305" s="26" t="str">
        <f>IF(B305="", "", 'Lighting Inventory'!C313)</f>
        <v/>
      </c>
      <c r="M305" s="26" t="str">
        <f>IF(B305="", "",'Lighting Inventory'!D313)</f>
        <v/>
      </c>
      <c r="N305" s="26" t="str">
        <f>IF(B305="", "",'Lighting Inventory'!E313)</f>
        <v/>
      </c>
      <c r="O305" s="26" t="str">
        <f>IF(B305="", "", 'Lighting Inventory'!F313)</f>
        <v/>
      </c>
      <c r="P305" s="26" t="str">
        <f>IF(B305="", "", 'Lighting Inventory'!G313)</f>
        <v/>
      </c>
      <c r="Q305" s="26" t="str">
        <f>IF(B305="", "", 'Lighting Inventory'!H313)</f>
        <v/>
      </c>
      <c r="R305" s="26" t="str">
        <f>IF(B305="", "", 'Lighting Inventory'!I313)</f>
        <v/>
      </c>
      <c r="S305" s="26" t="str">
        <f>IF(B305="", "", 'Lighting Inventory'!J313)</f>
        <v/>
      </c>
      <c r="T305" s="26" t="str">
        <f>IFERROR(IF(B305="","",VLOOKUP(S305,'Fixture Identities'!$A$7:$G$1023,5,FALSE)), "New Construction")</f>
        <v/>
      </c>
      <c r="U305" s="26" t="str">
        <f>IFERROR(IF(B305="", "", IF(K305="New Construction", "NC", IF(VLOOKUP(S305, 'Fixture Identities'!$A$7:$I$1023,3, FALSE)="T12 Linear Fluorescent", VLOOKUP(S305, 'Fixture Identities'!$A$7:$K$1012, 11, FALSE), S305))), "")</f>
        <v/>
      </c>
      <c r="V305" s="26" t="str">
        <f>IFERROR(IF(OR(B305="", U305=0), "", VLOOKUP(U305, 'Fixture Identities'!$A$7:$G$1023, 5, FALSE)), "")</f>
        <v/>
      </c>
      <c r="W305" s="26" t="str">
        <f>IF(B305="", "",'Lighting Inventory'!K313)</f>
        <v/>
      </c>
      <c r="X305" s="65" t="str">
        <f>IF(B305="", "", 'Lighting Inventory'!L313)</f>
        <v/>
      </c>
      <c r="Y305" s="26" t="str">
        <f>IF(B305="", "", IF('Lighting Inventory'!M313="", "Light Switch",'Lighting Inventory'!M313))</f>
        <v/>
      </c>
      <c r="Z305" s="26" t="str">
        <f>IF(OR(K305="Retrofit", B305=""), "", 'Lighting Inventory'!N313)</f>
        <v/>
      </c>
      <c r="AA305" s="26" t="str">
        <f>IF(OR(Z305="",B305=""), "", 'Lighting Inventory'!O313)</f>
        <v/>
      </c>
      <c r="AB305" s="26" t="str">
        <f>IF(B305="", "", 'Lighting Inventory'!P313)</f>
        <v/>
      </c>
      <c r="AC305" s="96" t="str">
        <f>IF(B305="", "", 'Lighting Inventory'!R313)</f>
        <v/>
      </c>
      <c r="AD305" s="26" t="str">
        <f>IF(B305="", "", 'Lighting Inventory'!S313)</f>
        <v/>
      </c>
      <c r="AE305" s="26" t="str">
        <f>IF(B305="", "", 'Lighting Inventory'!V313)</f>
        <v/>
      </c>
      <c r="AF305" s="26" t="str">
        <f>IF(B305="", "", 'Lighting Inventory'!W313)</f>
        <v/>
      </c>
      <c r="AG305" s="26" t="str">
        <f>IF(OR(AF305="", B305=""), "", IF(AE305="Custom", "0", VLOOKUP(AF305, 'Lookup Tables'!$AI$6:$AP$102, 8, FALSE)))</f>
        <v/>
      </c>
      <c r="AH305" s="26" t="str">
        <f>IF(B305="", "", 'Lighting Inventory'!AD313)</f>
        <v/>
      </c>
      <c r="AI305" s="26" t="str">
        <f>IF(OR('Lighting Inventory'!AK313="", B305=""), "", 'Lighting Inventory'!AK313)</f>
        <v/>
      </c>
      <c r="AJ305" s="66" t="str">
        <f>IF(B305="", "", 'Lighting Inventory'!AL313)</f>
        <v/>
      </c>
      <c r="AK305" s="65" t="str">
        <f>IF(B305="", "", 'Lighting Inventory'!AM313)</f>
        <v/>
      </c>
      <c r="AL305" s="26" t="str">
        <f>IF(B305="", "", 'Lighting Inventory'!AN313)</f>
        <v/>
      </c>
      <c r="AM305" s="26" t="str">
        <f t="shared" si="15"/>
        <v/>
      </c>
      <c r="AN305" s="26" t="str">
        <f>IF(B305="","",IF('Lighting Inventory'!AV313="","Prescribed",'Lighting Inventory'!AV313))</f>
        <v/>
      </c>
      <c r="AO305" s="66" t="str">
        <f>IF(B305="", "", 'Lighting Inventory'!AX313)</f>
        <v/>
      </c>
      <c r="AP305" s="67" t="str">
        <f>IF(B305="", "", 'Lighting Inventory'!AZ313)</f>
        <v/>
      </c>
      <c r="AQ305" s="67" t="str">
        <f>IF(B305="", "", 'Lighting Inventory'!BA313)</f>
        <v/>
      </c>
      <c r="AR305" s="67" t="str">
        <f>IF(B305="", "", 'Lighting Inventory'!BB313)</f>
        <v/>
      </c>
      <c r="AS305" s="67" t="str">
        <f>IF(B305="", "", 'Lighting Inventory'!BC313)</f>
        <v/>
      </c>
      <c r="AT305" s="67" t="str">
        <f>IF(B305="", "", 'Lighting Inventory'!BD313)</f>
        <v/>
      </c>
      <c r="AU305" s="67" t="str">
        <f>IF(B305="", "", 'Lighting Inventory'!BE313)</f>
        <v/>
      </c>
      <c r="AV305" s="67" t="str">
        <f>IF(B305="", "", 'Lighting Inventory'!BE313)</f>
        <v/>
      </c>
      <c r="AW305" s="67" t="str">
        <f>IF(B305="", "", 'Lighting Inventory'!BF313)</f>
        <v/>
      </c>
      <c r="AX305" s="67" t="str">
        <f>IF(B305="", "", 'Lighting Inventory'!BF313)</f>
        <v/>
      </c>
      <c r="AY305" s="65" t="str">
        <f t="shared" si="16"/>
        <v/>
      </c>
      <c r="AZ305" s="65" t="str">
        <f>IF(B305="", "", 'Lighting Inventory'!BJ313)</f>
        <v/>
      </c>
      <c r="BA305" s="65" t="str">
        <f>IF(B305="", "", 'Lighting Inventory'!BM313)</f>
        <v/>
      </c>
      <c r="BB305" s="65" t="str">
        <f>IF(B305="","",SUM('Lighting Inventory'!BP313:BP313))</f>
        <v/>
      </c>
      <c r="BC305" s="67" t="str">
        <f>IF(OR(AE305="", B305=""),"", 'Lighting Inventory'!GR313)</f>
        <v/>
      </c>
      <c r="BD305" s="67" t="str">
        <f>IFERROR(IF(B305="", "", 'Lighting Inventory'!AF313)*AD305," ")</f>
        <v xml:space="preserve"> </v>
      </c>
      <c r="BE305" s="67"/>
      <c r="BF305" s="67"/>
    </row>
    <row r="306" spans="1:58" x14ac:dyDescent="0.25">
      <c r="A306" s="26" t="str">
        <f>IF(B306="", "", 'Lookup Tables'!AW307)</f>
        <v/>
      </c>
      <c r="B306" s="26" t="str">
        <f>IF(OR('Lighting Inventory'!Y314="", 'Lighting Inventory'!V314="No Change"),"", 'Lighting Inventory'!Y314)</f>
        <v/>
      </c>
      <c r="C306" s="26" t="str">
        <f>IF(B306="", "", IF('Lighting Inventory'!Y314='Lookup Tables'!$Y$32, 'Lighting Inventory'!AJ314, IF(AD306=0, R306, AD306)))</f>
        <v/>
      </c>
      <c r="D306" s="26" t="str">
        <f>IF(B306="", "", 'General Information'!$F$14)</f>
        <v/>
      </c>
      <c r="E306" s="26" t="str">
        <f t="shared" si="14"/>
        <v/>
      </c>
      <c r="F306" s="26" t="str">
        <f>IF(B306="", "", CONCATENATE('General Information'!$F$9, " - ", 'General Information'!$F$14))</f>
        <v/>
      </c>
      <c r="G306" s="26" t="str">
        <f>IF(B306="", "", 'General Information'!$F$15)</f>
        <v/>
      </c>
      <c r="H306" s="26" t="str">
        <f>IF(B306="", "", IF(VLOOKUP(B306, 'Lookup Tables'!$Y$18:$AA$34, 2, FALSE)="Traffic", VLOOKUP('Lighting Inventory'!W314, 'Lookup Tables'!#REF!, 11, FALSE), VLOOKUP(B306, 'Lookup Tables'!$Y$18:$AA$34, 2, FALSE)))</f>
        <v/>
      </c>
      <c r="I306" s="26" t="str">
        <f>IF(B306="", "", CONCATENATE(D306, 'Data Export'!A306))</f>
        <v/>
      </c>
      <c r="J306" s="26" t="str">
        <f>IF(B306="", "", 'Lookup Tables'!$B$1)</f>
        <v/>
      </c>
      <c r="K306" s="26" t="str">
        <f>IF(B306="", "", 'Lighting Inventory'!B314)</f>
        <v/>
      </c>
      <c r="L306" s="26" t="str">
        <f>IF(B306="", "", 'Lighting Inventory'!C314)</f>
        <v/>
      </c>
      <c r="M306" s="26" t="str">
        <f>IF(B306="", "",'Lighting Inventory'!D314)</f>
        <v/>
      </c>
      <c r="N306" s="26" t="str">
        <f>IF(B306="", "",'Lighting Inventory'!E314)</f>
        <v/>
      </c>
      <c r="O306" s="26" t="str">
        <f>IF(B306="", "", 'Lighting Inventory'!F314)</f>
        <v/>
      </c>
      <c r="P306" s="26" t="str">
        <f>IF(B306="", "", 'Lighting Inventory'!G314)</f>
        <v/>
      </c>
      <c r="Q306" s="26" t="str">
        <f>IF(B306="", "", 'Lighting Inventory'!H314)</f>
        <v/>
      </c>
      <c r="R306" s="26" t="str">
        <f>IF(B306="", "", 'Lighting Inventory'!I314)</f>
        <v/>
      </c>
      <c r="S306" s="26" t="str">
        <f>IF(B306="", "", 'Lighting Inventory'!J314)</f>
        <v/>
      </c>
      <c r="T306" s="26" t="str">
        <f>IFERROR(IF(B306="","",VLOOKUP(S306,'Fixture Identities'!$A$7:$G$1023,5,FALSE)), "New Construction")</f>
        <v/>
      </c>
      <c r="U306" s="26" t="str">
        <f>IFERROR(IF(B306="", "", IF(K306="New Construction", "NC", IF(VLOOKUP(S306, 'Fixture Identities'!$A$7:$I$1023,3, FALSE)="T12 Linear Fluorescent", VLOOKUP(S306, 'Fixture Identities'!$A$7:$K$1012, 11, FALSE), S306))), "")</f>
        <v/>
      </c>
      <c r="V306" s="26" t="str">
        <f>IFERROR(IF(OR(B306="", U306=0), "", VLOOKUP(U306, 'Fixture Identities'!$A$7:$G$1023, 5, FALSE)), "")</f>
        <v/>
      </c>
      <c r="W306" s="26" t="str">
        <f>IF(B306="", "",'Lighting Inventory'!K314)</f>
        <v/>
      </c>
      <c r="X306" s="65" t="str">
        <f>IF(B306="", "", 'Lighting Inventory'!L314)</f>
        <v/>
      </c>
      <c r="Y306" s="26" t="str">
        <f>IF(B306="", "", IF('Lighting Inventory'!M314="", "Light Switch",'Lighting Inventory'!M314))</f>
        <v/>
      </c>
      <c r="Z306" s="26" t="str">
        <f>IF(OR(K306="Retrofit", B306=""), "", 'Lighting Inventory'!N314)</f>
        <v/>
      </c>
      <c r="AA306" s="26" t="str">
        <f>IF(OR(Z306="",B306=""), "", 'Lighting Inventory'!O314)</f>
        <v/>
      </c>
      <c r="AB306" s="26" t="str">
        <f>IF(B306="", "", 'Lighting Inventory'!P314)</f>
        <v/>
      </c>
      <c r="AC306" s="96" t="str">
        <f>IF(B306="", "", 'Lighting Inventory'!R314)</f>
        <v/>
      </c>
      <c r="AD306" s="26" t="str">
        <f>IF(B306="", "", 'Lighting Inventory'!S314)</f>
        <v/>
      </c>
      <c r="AE306" s="26" t="str">
        <f>IF(B306="", "", 'Lighting Inventory'!V314)</f>
        <v/>
      </c>
      <c r="AF306" s="26" t="str">
        <f>IF(B306="", "", 'Lighting Inventory'!W314)</f>
        <v/>
      </c>
      <c r="AG306" s="26" t="str">
        <f>IF(OR(AF306="", B306=""), "", IF(AE306="Custom", "0", VLOOKUP(AF306, 'Lookup Tables'!$AI$6:$AP$102, 8, FALSE)))</f>
        <v/>
      </c>
      <c r="AH306" s="26" t="str">
        <f>IF(B306="", "", 'Lighting Inventory'!AD314)</f>
        <v/>
      </c>
      <c r="AI306" s="26" t="str">
        <f>IF(OR('Lighting Inventory'!AK314="", B306=""), "", 'Lighting Inventory'!AK314)</f>
        <v/>
      </c>
      <c r="AJ306" s="66" t="str">
        <f>IF(B306="", "", 'Lighting Inventory'!AL314)</f>
        <v/>
      </c>
      <c r="AK306" s="65" t="str">
        <f>IF(B306="", "", 'Lighting Inventory'!AM314)</f>
        <v/>
      </c>
      <c r="AL306" s="26" t="str">
        <f>IF(B306="", "", 'Lighting Inventory'!AN314)</f>
        <v/>
      </c>
      <c r="AM306" s="26" t="str">
        <f t="shared" si="15"/>
        <v/>
      </c>
      <c r="AN306" s="26" t="str">
        <f>IF(B306="","",IF('Lighting Inventory'!AV314="","Prescribed",'Lighting Inventory'!AV314))</f>
        <v/>
      </c>
      <c r="AO306" s="66" t="str">
        <f>IF(B306="", "", 'Lighting Inventory'!AX314)</f>
        <v/>
      </c>
      <c r="AP306" s="67" t="str">
        <f>IF(B306="", "", 'Lighting Inventory'!AZ314)</f>
        <v/>
      </c>
      <c r="AQ306" s="67" t="str">
        <f>IF(B306="", "", 'Lighting Inventory'!BA314)</f>
        <v/>
      </c>
      <c r="AR306" s="67" t="str">
        <f>IF(B306="", "", 'Lighting Inventory'!BB314)</f>
        <v/>
      </c>
      <c r="AS306" s="67" t="str">
        <f>IF(B306="", "", 'Lighting Inventory'!BC314)</f>
        <v/>
      </c>
      <c r="AT306" s="67" t="str">
        <f>IF(B306="", "", 'Lighting Inventory'!BD314)</f>
        <v/>
      </c>
      <c r="AU306" s="67" t="str">
        <f>IF(B306="", "", 'Lighting Inventory'!BE314)</f>
        <v/>
      </c>
      <c r="AV306" s="67" t="str">
        <f>IF(B306="", "", 'Lighting Inventory'!BE314)</f>
        <v/>
      </c>
      <c r="AW306" s="67" t="str">
        <f>IF(B306="", "", 'Lighting Inventory'!BF314)</f>
        <v/>
      </c>
      <c r="AX306" s="67" t="str">
        <f>IF(B306="", "", 'Lighting Inventory'!BF314)</f>
        <v/>
      </c>
      <c r="AY306" s="65" t="str">
        <f t="shared" si="16"/>
        <v/>
      </c>
      <c r="AZ306" s="65" t="str">
        <f>IF(B306="", "", 'Lighting Inventory'!BJ314)</f>
        <v/>
      </c>
      <c r="BA306" s="65" t="str">
        <f>IF(B306="", "", 'Lighting Inventory'!BM314)</f>
        <v/>
      </c>
      <c r="BB306" s="65" t="str">
        <f>IF(B306="","",SUM('Lighting Inventory'!BP314:BP314))</f>
        <v/>
      </c>
      <c r="BC306" s="67" t="str">
        <f>IF(OR(AE306="", B306=""),"", 'Lighting Inventory'!GR314)</f>
        <v/>
      </c>
      <c r="BD306" s="67" t="str">
        <f>IFERROR(IF(B306="", "", 'Lighting Inventory'!AF314)*AD306," ")</f>
        <v xml:space="preserve"> </v>
      </c>
      <c r="BE306" s="67"/>
      <c r="BF306" s="67"/>
    </row>
    <row r="307" spans="1:58" x14ac:dyDescent="0.25">
      <c r="A307" s="26" t="str">
        <f>IF(B307="", "", 'Lookup Tables'!AW308)</f>
        <v/>
      </c>
      <c r="B307" s="26" t="str">
        <f>IF(OR('Lighting Inventory'!Y315="", 'Lighting Inventory'!V315="No Change"),"", 'Lighting Inventory'!Y315)</f>
        <v/>
      </c>
      <c r="C307" s="26" t="str">
        <f>IF(B307="", "", IF('Lighting Inventory'!Y315='Lookup Tables'!$Y$32, 'Lighting Inventory'!AJ315, IF(AD307=0, R307, AD307)))</f>
        <v/>
      </c>
      <c r="D307" s="26" t="str">
        <f>IF(B307="", "", 'General Information'!$F$14)</f>
        <v/>
      </c>
      <c r="E307" s="26" t="str">
        <f t="shared" si="14"/>
        <v/>
      </c>
      <c r="F307" s="26" t="str">
        <f>IF(B307="", "", CONCATENATE('General Information'!$F$9, " - ", 'General Information'!$F$14))</f>
        <v/>
      </c>
      <c r="G307" s="26" t="str">
        <f>IF(B307="", "", 'General Information'!$F$15)</f>
        <v/>
      </c>
      <c r="H307" s="26" t="str">
        <f>IF(B307="", "", IF(VLOOKUP(B307, 'Lookup Tables'!$Y$18:$AA$34, 2, FALSE)="Traffic", VLOOKUP('Lighting Inventory'!W315, 'Lookup Tables'!#REF!, 11, FALSE), VLOOKUP(B307, 'Lookup Tables'!$Y$18:$AA$34, 2, FALSE)))</f>
        <v/>
      </c>
      <c r="I307" s="26" t="str">
        <f>IF(B307="", "", CONCATENATE(D307, 'Data Export'!A307))</f>
        <v/>
      </c>
      <c r="J307" s="26" t="str">
        <f>IF(B307="", "", 'Lookup Tables'!$B$1)</f>
        <v/>
      </c>
      <c r="K307" s="26" t="str">
        <f>IF(B307="", "", 'Lighting Inventory'!B315)</f>
        <v/>
      </c>
      <c r="L307" s="26" t="str">
        <f>IF(B307="", "", 'Lighting Inventory'!C315)</f>
        <v/>
      </c>
      <c r="M307" s="26" t="str">
        <f>IF(B307="", "",'Lighting Inventory'!D315)</f>
        <v/>
      </c>
      <c r="N307" s="26" t="str">
        <f>IF(B307="", "",'Lighting Inventory'!E315)</f>
        <v/>
      </c>
      <c r="O307" s="26" t="str">
        <f>IF(B307="", "", 'Lighting Inventory'!F315)</f>
        <v/>
      </c>
      <c r="P307" s="26" t="str">
        <f>IF(B307="", "", 'Lighting Inventory'!G315)</f>
        <v/>
      </c>
      <c r="Q307" s="26" t="str">
        <f>IF(B307="", "", 'Lighting Inventory'!H315)</f>
        <v/>
      </c>
      <c r="R307" s="26" t="str">
        <f>IF(B307="", "", 'Lighting Inventory'!I315)</f>
        <v/>
      </c>
      <c r="S307" s="26" t="str">
        <f>IF(B307="", "", 'Lighting Inventory'!J315)</f>
        <v/>
      </c>
      <c r="T307" s="26" t="str">
        <f>IFERROR(IF(B307="","",VLOOKUP(S307,'Fixture Identities'!$A$7:$G$1023,5,FALSE)), "New Construction")</f>
        <v/>
      </c>
      <c r="U307" s="26" t="str">
        <f>IFERROR(IF(B307="", "", IF(K307="New Construction", "NC", IF(VLOOKUP(S307, 'Fixture Identities'!$A$7:$I$1023,3, FALSE)="T12 Linear Fluorescent", VLOOKUP(S307, 'Fixture Identities'!$A$7:$K$1012, 11, FALSE), S307))), "")</f>
        <v/>
      </c>
      <c r="V307" s="26" t="str">
        <f>IFERROR(IF(OR(B307="", U307=0), "", VLOOKUP(U307, 'Fixture Identities'!$A$7:$G$1023, 5, FALSE)), "")</f>
        <v/>
      </c>
      <c r="W307" s="26" t="str">
        <f>IF(B307="", "",'Lighting Inventory'!K315)</f>
        <v/>
      </c>
      <c r="X307" s="65" t="str">
        <f>IF(B307="", "", 'Lighting Inventory'!L315)</f>
        <v/>
      </c>
      <c r="Y307" s="26" t="str">
        <f>IF(B307="", "", IF('Lighting Inventory'!M315="", "Light Switch",'Lighting Inventory'!M315))</f>
        <v/>
      </c>
      <c r="Z307" s="26" t="str">
        <f>IF(OR(K307="Retrofit", B307=""), "", 'Lighting Inventory'!N315)</f>
        <v/>
      </c>
      <c r="AA307" s="26" t="str">
        <f>IF(OR(Z307="",B307=""), "", 'Lighting Inventory'!O315)</f>
        <v/>
      </c>
      <c r="AB307" s="26" t="str">
        <f>IF(B307="", "", 'Lighting Inventory'!P315)</f>
        <v/>
      </c>
      <c r="AC307" s="96" t="str">
        <f>IF(B307="", "", 'Lighting Inventory'!R315)</f>
        <v/>
      </c>
      <c r="AD307" s="26" t="str">
        <f>IF(B307="", "", 'Lighting Inventory'!S315)</f>
        <v/>
      </c>
      <c r="AE307" s="26" t="str">
        <f>IF(B307="", "", 'Lighting Inventory'!V315)</f>
        <v/>
      </c>
      <c r="AF307" s="26" t="str">
        <f>IF(B307="", "", 'Lighting Inventory'!W315)</f>
        <v/>
      </c>
      <c r="AG307" s="26" t="str">
        <f>IF(OR(AF307="", B307=""), "", IF(AE307="Custom", "0", VLOOKUP(AF307, 'Lookup Tables'!$AI$6:$AP$102, 8, FALSE)))</f>
        <v/>
      </c>
      <c r="AH307" s="26" t="str">
        <f>IF(B307="", "", 'Lighting Inventory'!AD315)</f>
        <v/>
      </c>
      <c r="AI307" s="26" t="str">
        <f>IF(OR('Lighting Inventory'!AK315="", B307=""), "", 'Lighting Inventory'!AK315)</f>
        <v/>
      </c>
      <c r="AJ307" s="66" t="str">
        <f>IF(B307="", "", 'Lighting Inventory'!AL315)</f>
        <v/>
      </c>
      <c r="AK307" s="65" t="str">
        <f>IF(B307="", "", 'Lighting Inventory'!AM315)</f>
        <v/>
      </c>
      <c r="AL307" s="26" t="str">
        <f>IF(B307="", "", 'Lighting Inventory'!AN315)</f>
        <v/>
      </c>
      <c r="AM307" s="26" t="str">
        <f t="shared" si="15"/>
        <v/>
      </c>
      <c r="AN307" s="26" t="str">
        <f>IF(B307="","",IF('Lighting Inventory'!AV315="","Prescribed",'Lighting Inventory'!AV315))</f>
        <v/>
      </c>
      <c r="AO307" s="66" t="str">
        <f>IF(B307="", "", 'Lighting Inventory'!AX315)</f>
        <v/>
      </c>
      <c r="AP307" s="67" t="str">
        <f>IF(B307="", "", 'Lighting Inventory'!AZ315)</f>
        <v/>
      </c>
      <c r="AQ307" s="67" t="str">
        <f>IF(B307="", "", 'Lighting Inventory'!BA315)</f>
        <v/>
      </c>
      <c r="AR307" s="67" t="str">
        <f>IF(B307="", "", 'Lighting Inventory'!BB315)</f>
        <v/>
      </c>
      <c r="AS307" s="67" t="str">
        <f>IF(B307="", "", 'Lighting Inventory'!BC315)</f>
        <v/>
      </c>
      <c r="AT307" s="67" t="str">
        <f>IF(B307="", "", 'Lighting Inventory'!BD315)</f>
        <v/>
      </c>
      <c r="AU307" s="67" t="str">
        <f>IF(B307="", "", 'Lighting Inventory'!BE315)</f>
        <v/>
      </c>
      <c r="AV307" s="67" t="str">
        <f>IF(B307="", "", 'Lighting Inventory'!BE315)</f>
        <v/>
      </c>
      <c r="AW307" s="67" t="str">
        <f>IF(B307="", "", 'Lighting Inventory'!BF315)</f>
        <v/>
      </c>
      <c r="AX307" s="67" t="str">
        <f>IF(B307="", "", 'Lighting Inventory'!BF315)</f>
        <v/>
      </c>
      <c r="AY307" s="65" t="str">
        <f t="shared" si="16"/>
        <v/>
      </c>
      <c r="AZ307" s="65" t="str">
        <f>IF(B307="", "", 'Lighting Inventory'!BJ315)</f>
        <v/>
      </c>
      <c r="BA307" s="65" t="str">
        <f>IF(B307="", "", 'Lighting Inventory'!BM315)</f>
        <v/>
      </c>
      <c r="BB307" s="65" t="str">
        <f>IF(B307="","",SUM('Lighting Inventory'!BP315:BP315))</f>
        <v/>
      </c>
      <c r="BC307" s="67" t="str">
        <f>IF(OR(AE307="", B307=""),"", 'Lighting Inventory'!GR315)</f>
        <v/>
      </c>
      <c r="BD307" s="67" t="str">
        <f>IFERROR(IF(B307="", "", 'Lighting Inventory'!AF315)*AD307," ")</f>
        <v xml:space="preserve"> </v>
      </c>
      <c r="BE307" s="67"/>
      <c r="BF307" s="67"/>
    </row>
    <row r="308" spans="1:58" x14ac:dyDescent="0.25">
      <c r="A308" s="26" t="str">
        <f>IF(B308="", "", 'Lookup Tables'!AW309)</f>
        <v/>
      </c>
      <c r="B308" s="26" t="str">
        <f>IF(OR('Lighting Inventory'!Y316="", 'Lighting Inventory'!V316="No Change"),"", 'Lighting Inventory'!Y316)</f>
        <v/>
      </c>
      <c r="C308" s="26" t="str">
        <f>IF(B308="", "", IF('Lighting Inventory'!Y316='Lookup Tables'!$Y$32, 'Lighting Inventory'!AJ316, IF(AD308=0, R308, AD308)))</f>
        <v/>
      </c>
      <c r="D308" s="26" t="str">
        <f>IF(B308="", "", 'General Information'!$F$14)</f>
        <v/>
      </c>
      <c r="E308" s="26" t="str">
        <f t="shared" si="14"/>
        <v/>
      </c>
      <c r="F308" s="26" t="str">
        <f>IF(B308="", "", CONCATENATE('General Information'!$F$9, " - ", 'General Information'!$F$14))</f>
        <v/>
      </c>
      <c r="G308" s="26" t="str">
        <f>IF(B308="", "", 'General Information'!$F$15)</f>
        <v/>
      </c>
      <c r="H308" s="26" t="str">
        <f>IF(B308="", "", IF(VLOOKUP(B308, 'Lookup Tables'!$Y$18:$AA$34, 2, FALSE)="Traffic", VLOOKUP('Lighting Inventory'!W316, 'Lookup Tables'!#REF!, 11, FALSE), VLOOKUP(B308, 'Lookup Tables'!$Y$18:$AA$34, 2, FALSE)))</f>
        <v/>
      </c>
      <c r="I308" s="26" t="str">
        <f>IF(B308="", "", CONCATENATE(D308, 'Data Export'!A308))</f>
        <v/>
      </c>
      <c r="J308" s="26" t="str">
        <f>IF(B308="", "", 'Lookup Tables'!$B$1)</f>
        <v/>
      </c>
      <c r="K308" s="26" t="str">
        <f>IF(B308="", "", 'Lighting Inventory'!B316)</f>
        <v/>
      </c>
      <c r="L308" s="26" t="str">
        <f>IF(B308="", "", 'Lighting Inventory'!C316)</f>
        <v/>
      </c>
      <c r="M308" s="26" t="str">
        <f>IF(B308="", "",'Lighting Inventory'!D316)</f>
        <v/>
      </c>
      <c r="N308" s="26" t="str">
        <f>IF(B308="", "",'Lighting Inventory'!E316)</f>
        <v/>
      </c>
      <c r="O308" s="26" t="str">
        <f>IF(B308="", "", 'Lighting Inventory'!F316)</f>
        <v/>
      </c>
      <c r="P308" s="26" t="str">
        <f>IF(B308="", "", 'Lighting Inventory'!G316)</f>
        <v/>
      </c>
      <c r="Q308" s="26" t="str">
        <f>IF(B308="", "", 'Lighting Inventory'!H316)</f>
        <v/>
      </c>
      <c r="R308" s="26" t="str">
        <f>IF(B308="", "", 'Lighting Inventory'!I316)</f>
        <v/>
      </c>
      <c r="S308" s="26" t="str">
        <f>IF(B308="", "", 'Lighting Inventory'!J316)</f>
        <v/>
      </c>
      <c r="T308" s="26" t="str">
        <f>IFERROR(IF(B308="","",VLOOKUP(S308,'Fixture Identities'!$A$7:$G$1023,5,FALSE)), "New Construction")</f>
        <v/>
      </c>
      <c r="U308" s="26" t="str">
        <f>IFERROR(IF(B308="", "", IF(K308="New Construction", "NC", IF(VLOOKUP(S308, 'Fixture Identities'!$A$7:$I$1023,3, FALSE)="T12 Linear Fluorescent", VLOOKUP(S308, 'Fixture Identities'!$A$7:$K$1012, 11, FALSE), S308))), "")</f>
        <v/>
      </c>
      <c r="V308" s="26" t="str">
        <f>IFERROR(IF(OR(B308="", U308=0), "", VLOOKUP(U308, 'Fixture Identities'!$A$7:$G$1023, 5, FALSE)), "")</f>
        <v/>
      </c>
      <c r="W308" s="26" t="str">
        <f>IF(B308="", "",'Lighting Inventory'!K316)</f>
        <v/>
      </c>
      <c r="X308" s="65" t="str">
        <f>IF(B308="", "", 'Lighting Inventory'!L316)</f>
        <v/>
      </c>
      <c r="Y308" s="26" t="str">
        <f>IF(B308="", "", IF('Lighting Inventory'!M316="", "Light Switch",'Lighting Inventory'!M316))</f>
        <v/>
      </c>
      <c r="Z308" s="26" t="str">
        <f>IF(OR(K308="Retrofit", B308=""), "", 'Lighting Inventory'!N316)</f>
        <v/>
      </c>
      <c r="AA308" s="26" t="str">
        <f>IF(OR(Z308="",B308=""), "", 'Lighting Inventory'!O316)</f>
        <v/>
      </c>
      <c r="AB308" s="26" t="str">
        <f>IF(B308="", "", 'Lighting Inventory'!P316)</f>
        <v/>
      </c>
      <c r="AC308" s="96" t="str">
        <f>IF(B308="", "", 'Lighting Inventory'!R316)</f>
        <v/>
      </c>
      <c r="AD308" s="26" t="str">
        <f>IF(B308="", "", 'Lighting Inventory'!S316)</f>
        <v/>
      </c>
      <c r="AE308" s="26" t="str">
        <f>IF(B308="", "", 'Lighting Inventory'!V316)</f>
        <v/>
      </c>
      <c r="AF308" s="26" t="str">
        <f>IF(B308="", "", 'Lighting Inventory'!W316)</f>
        <v/>
      </c>
      <c r="AG308" s="26" t="str">
        <f>IF(OR(AF308="", B308=""), "", IF(AE308="Custom", "0", VLOOKUP(AF308, 'Lookup Tables'!$AI$6:$AP$102, 8, FALSE)))</f>
        <v/>
      </c>
      <c r="AH308" s="26" t="str">
        <f>IF(B308="", "", 'Lighting Inventory'!AD316)</f>
        <v/>
      </c>
      <c r="AI308" s="26" t="str">
        <f>IF(OR('Lighting Inventory'!AK316="", B308=""), "", 'Lighting Inventory'!AK316)</f>
        <v/>
      </c>
      <c r="AJ308" s="66" t="str">
        <f>IF(B308="", "", 'Lighting Inventory'!AL316)</f>
        <v/>
      </c>
      <c r="AK308" s="65" t="str">
        <f>IF(B308="", "", 'Lighting Inventory'!AM316)</f>
        <v/>
      </c>
      <c r="AL308" s="26" t="str">
        <f>IF(B308="", "", 'Lighting Inventory'!AN316)</f>
        <v/>
      </c>
      <c r="AM308" s="26" t="str">
        <f t="shared" si="15"/>
        <v/>
      </c>
      <c r="AN308" s="26" t="str">
        <f>IF(B308="","",IF('Lighting Inventory'!AV316="","Prescribed",'Lighting Inventory'!AV316))</f>
        <v/>
      </c>
      <c r="AO308" s="66" t="str">
        <f>IF(B308="", "", 'Lighting Inventory'!AX316)</f>
        <v/>
      </c>
      <c r="AP308" s="67" t="str">
        <f>IF(B308="", "", 'Lighting Inventory'!AZ316)</f>
        <v/>
      </c>
      <c r="AQ308" s="67" t="str">
        <f>IF(B308="", "", 'Lighting Inventory'!BA316)</f>
        <v/>
      </c>
      <c r="AR308" s="67" t="str">
        <f>IF(B308="", "", 'Lighting Inventory'!BB316)</f>
        <v/>
      </c>
      <c r="AS308" s="67" t="str">
        <f>IF(B308="", "", 'Lighting Inventory'!BC316)</f>
        <v/>
      </c>
      <c r="AT308" s="67" t="str">
        <f>IF(B308="", "", 'Lighting Inventory'!BD316)</f>
        <v/>
      </c>
      <c r="AU308" s="67" t="str">
        <f>IF(B308="", "", 'Lighting Inventory'!BE316)</f>
        <v/>
      </c>
      <c r="AV308" s="67" t="str">
        <f>IF(B308="", "", 'Lighting Inventory'!BE316)</f>
        <v/>
      </c>
      <c r="AW308" s="67" t="str">
        <f>IF(B308="", "", 'Lighting Inventory'!BF316)</f>
        <v/>
      </c>
      <c r="AX308" s="67" t="str">
        <f>IF(B308="", "", 'Lighting Inventory'!BF316)</f>
        <v/>
      </c>
      <c r="AY308" s="65" t="str">
        <f t="shared" si="16"/>
        <v/>
      </c>
      <c r="AZ308" s="65" t="str">
        <f>IF(B308="", "", 'Lighting Inventory'!BJ316)</f>
        <v/>
      </c>
      <c r="BA308" s="65" t="str">
        <f>IF(B308="", "", 'Lighting Inventory'!BM316)</f>
        <v/>
      </c>
      <c r="BB308" s="65" t="str">
        <f>IF(B308="","",SUM('Lighting Inventory'!BP316:BP316))</f>
        <v/>
      </c>
      <c r="BC308" s="67" t="str">
        <f>IF(OR(AE308="", B308=""),"", 'Lighting Inventory'!GR316)</f>
        <v/>
      </c>
      <c r="BD308" s="67" t="str">
        <f>IFERROR(IF(B308="", "", 'Lighting Inventory'!AF316)*AD308," ")</f>
        <v xml:space="preserve"> </v>
      </c>
      <c r="BE308" s="67"/>
      <c r="BF308" s="67"/>
    </row>
    <row r="309" spans="1:58" x14ac:dyDescent="0.25">
      <c r="A309" s="26" t="str">
        <f>IF(B309="", "", 'Lookup Tables'!AW310)</f>
        <v/>
      </c>
      <c r="B309" s="26" t="str">
        <f>IF(OR('Lighting Inventory'!Y317="", 'Lighting Inventory'!V317="No Change"),"", 'Lighting Inventory'!Y317)</f>
        <v/>
      </c>
      <c r="C309" s="26" t="str">
        <f>IF(B309="", "", IF('Lighting Inventory'!Y317='Lookup Tables'!$Y$32, 'Lighting Inventory'!AJ317, IF(AD309=0, R309, AD309)))</f>
        <v/>
      </c>
      <c r="D309" s="26" t="str">
        <f>IF(B309="", "", 'General Information'!$F$14)</f>
        <v/>
      </c>
      <c r="E309" s="26" t="str">
        <f t="shared" si="14"/>
        <v/>
      </c>
      <c r="F309" s="26" t="str">
        <f>IF(B309="", "", CONCATENATE('General Information'!$F$9, " - ", 'General Information'!$F$14))</f>
        <v/>
      </c>
      <c r="G309" s="26" t="str">
        <f>IF(B309="", "", 'General Information'!$F$15)</f>
        <v/>
      </c>
      <c r="H309" s="26" t="str">
        <f>IF(B309="", "", IF(VLOOKUP(B309, 'Lookup Tables'!$Y$18:$AA$34, 2, FALSE)="Traffic", VLOOKUP('Lighting Inventory'!W317, 'Lookup Tables'!#REF!, 11, FALSE), VLOOKUP(B309, 'Lookup Tables'!$Y$18:$AA$34, 2, FALSE)))</f>
        <v/>
      </c>
      <c r="I309" s="26" t="str">
        <f>IF(B309="", "", CONCATENATE(D309, 'Data Export'!A309))</f>
        <v/>
      </c>
      <c r="J309" s="26" t="str">
        <f>IF(B309="", "", 'Lookup Tables'!$B$1)</f>
        <v/>
      </c>
      <c r="K309" s="26" t="str">
        <f>IF(B309="", "", 'Lighting Inventory'!B317)</f>
        <v/>
      </c>
      <c r="L309" s="26" t="str">
        <f>IF(B309="", "", 'Lighting Inventory'!C317)</f>
        <v/>
      </c>
      <c r="M309" s="26" t="str">
        <f>IF(B309="", "",'Lighting Inventory'!D317)</f>
        <v/>
      </c>
      <c r="N309" s="26" t="str">
        <f>IF(B309="", "",'Lighting Inventory'!E317)</f>
        <v/>
      </c>
      <c r="O309" s="26" t="str">
        <f>IF(B309="", "", 'Lighting Inventory'!F317)</f>
        <v/>
      </c>
      <c r="P309" s="26" t="str">
        <f>IF(B309="", "", 'Lighting Inventory'!G317)</f>
        <v/>
      </c>
      <c r="Q309" s="26" t="str">
        <f>IF(B309="", "", 'Lighting Inventory'!H317)</f>
        <v/>
      </c>
      <c r="R309" s="26" t="str">
        <f>IF(B309="", "", 'Lighting Inventory'!I317)</f>
        <v/>
      </c>
      <c r="S309" s="26" t="str">
        <f>IF(B309="", "", 'Lighting Inventory'!J317)</f>
        <v/>
      </c>
      <c r="T309" s="26" t="str">
        <f>IFERROR(IF(B309="","",VLOOKUP(S309,'Fixture Identities'!$A$7:$G$1023,5,FALSE)), "New Construction")</f>
        <v/>
      </c>
      <c r="U309" s="26" t="str">
        <f>IFERROR(IF(B309="", "", IF(K309="New Construction", "NC", IF(VLOOKUP(S309, 'Fixture Identities'!$A$7:$I$1023,3, FALSE)="T12 Linear Fluorescent", VLOOKUP(S309, 'Fixture Identities'!$A$7:$K$1012, 11, FALSE), S309))), "")</f>
        <v/>
      </c>
      <c r="V309" s="26" t="str">
        <f>IFERROR(IF(OR(B309="", U309=0), "", VLOOKUP(U309, 'Fixture Identities'!$A$7:$G$1023, 5, FALSE)), "")</f>
        <v/>
      </c>
      <c r="W309" s="26" t="str">
        <f>IF(B309="", "",'Lighting Inventory'!K317)</f>
        <v/>
      </c>
      <c r="X309" s="65" t="str">
        <f>IF(B309="", "", 'Lighting Inventory'!L317)</f>
        <v/>
      </c>
      <c r="Y309" s="26" t="str">
        <f>IF(B309="", "", IF('Lighting Inventory'!M317="", "Light Switch",'Lighting Inventory'!M317))</f>
        <v/>
      </c>
      <c r="Z309" s="26" t="str">
        <f>IF(OR(K309="Retrofit", B309=""), "", 'Lighting Inventory'!N317)</f>
        <v/>
      </c>
      <c r="AA309" s="26" t="str">
        <f>IF(OR(Z309="",B309=""), "", 'Lighting Inventory'!O317)</f>
        <v/>
      </c>
      <c r="AB309" s="26" t="str">
        <f>IF(B309="", "", 'Lighting Inventory'!P317)</f>
        <v/>
      </c>
      <c r="AC309" s="96" t="str">
        <f>IF(B309="", "", 'Lighting Inventory'!R317)</f>
        <v/>
      </c>
      <c r="AD309" s="26" t="str">
        <f>IF(B309="", "", 'Lighting Inventory'!S317)</f>
        <v/>
      </c>
      <c r="AE309" s="26" t="str">
        <f>IF(B309="", "", 'Lighting Inventory'!V317)</f>
        <v/>
      </c>
      <c r="AF309" s="26" t="str">
        <f>IF(B309="", "", 'Lighting Inventory'!W317)</f>
        <v/>
      </c>
      <c r="AG309" s="26" t="str">
        <f>IF(OR(AF309="", B309=""), "", IF(AE309="Custom", "0", VLOOKUP(AF309, 'Lookup Tables'!$AI$6:$AP$102, 8, FALSE)))</f>
        <v/>
      </c>
      <c r="AH309" s="26" t="str">
        <f>IF(B309="", "", 'Lighting Inventory'!AD317)</f>
        <v/>
      </c>
      <c r="AI309" s="26" t="str">
        <f>IF(OR('Lighting Inventory'!AK317="", B309=""), "", 'Lighting Inventory'!AK317)</f>
        <v/>
      </c>
      <c r="AJ309" s="66" t="str">
        <f>IF(B309="", "", 'Lighting Inventory'!AL317)</f>
        <v/>
      </c>
      <c r="AK309" s="65" t="str">
        <f>IF(B309="", "", 'Lighting Inventory'!AM317)</f>
        <v/>
      </c>
      <c r="AL309" s="26" t="str">
        <f>IF(B309="", "", 'Lighting Inventory'!AN317)</f>
        <v/>
      </c>
      <c r="AM309" s="26" t="str">
        <f t="shared" si="15"/>
        <v/>
      </c>
      <c r="AN309" s="26" t="str">
        <f>IF(B309="","",IF('Lighting Inventory'!AV317="","Prescribed",'Lighting Inventory'!AV317))</f>
        <v/>
      </c>
      <c r="AO309" s="66" t="str">
        <f>IF(B309="", "", 'Lighting Inventory'!AX317)</f>
        <v/>
      </c>
      <c r="AP309" s="67" t="str">
        <f>IF(B309="", "", 'Lighting Inventory'!AZ317)</f>
        <v/>
      </c>
      <c r="AQ309" s="67" t="str">
        <f>IF(B309="", "", 'Lighting Inventory'!BA317)</f>
        <v/>
      </c>
      <c r="AR309" s="67" t="str">
        <f>IF(B309="", "", 'Lighting Inventory'!BB317)</f>
        <v/>
      </c>
      <c r="AS309" s="67" t="str">
        <f>IF(B309="", "", 'Lighting Inventory'!BC317)</f>
        <v/>
      </c>
      <c r="AT309" s="67" t="str">
        <f>IF(B309="", "", 'Lighting Inventory'!BD317)</f>
        <v/>
      </c>
      <c r="AU309" s="67" t="str">
        <f>IF(B309="", "", 'Lighting Inventory'!BE317)</f>
        <v/>
      </c>
      <c r="AV309" s="67" t="str">
        <f>IF(B309="", "", 'Lighting Inventory'!BE317)</f>
        <v/>
      </c>
      <c r="AW309" s="67" t="str">
        <f>IF(B309="", "", 'Lighting Inventory'!BF317)</f>
        <v/>
      </c>
      <c r="AX309" s="67" t="str">
        <f>IF(B309="", "", 'Lighting Inventory'!BF317)</f>
        <v/>
      </c>
      <c r="AY309" s="65" t="str">
        <f t="shared" si="16"/>
        <v/>
      </c>
      <c r="AZ309" s="65" t="str">
        <f>IF(B309="", "", 'Lighting Inventory'!BJ317)</f>
        <v/>
      </c>
      <c r="BA309" s="65" t="str">
        <f>IF(B309="", "", 'Lighting Inventory'!BM317)</f>
        <v/>
      </c>
      <c r="BB309" s="65" t="str">
        <f>IF(B309="","",SUM('Lighting Inventory'!BP317:BP317))</f>
        <v/>
      </c>
      <c r="BC309" s="67" t="str">
        <f>IF(OR(AE309="", B309=""),"", 'Lighting Inventory'!GR317)</f>
        <v/>
      </c>
      <c r="BD309" s="67" t="str">
        <f>IFERROR(IF(B309="", "", 'Lighting Inventory'!AF317)*AD309," ")</f>
        <v xml:space="preserve"> </v>
      </c>
      <c r="BE309" s="67"/>
      <c r="BF309" s="67"/>
    </row>
    <row r="310" spans="1:58" x14ac:dyDescent="0.25">
      <c r="A310" s="26" t="str">
        <f>IF(B310="", "", 'Lookup Tables'!AW311)</f>
        <v/>
      </c>
      <c r="B310" s="26" t="str">
        <f>IF(OR('Lighting Inventory'!Y318="", 'Lighting Inventory'!V318="No Change"),"", 'Lighting Inventory'!Y318)</f>
        <v/>
      </c>
      <c r="C310" s="26" t="str">
        <f>IF(B310="", "", IF('Lighting Inventory'!Y318='Lookup Tables'!$Y$32, 'Lighting Inventory'!AJ318, IF(AD310=0, R310, AD310)))</f>
        <v/>
      </c>
      <c r="D310" s="26" t="str">
        <f>IF(B310="", "", 'General Information'!$F$14)</f>
        <v/>
      </c>
      <c r="E310" s="26" t="str">
        <f t="shared" si="14"/>
        <v/>
      </c>
      <c r="F310" s="26" t="str">
        <f>IF(B310="", "", CONCATENATE('General Information'!$F$9, " - ", 'General Information'!$F$14))</f>
        <v/>
      </c>
      <c r="G310" s="26" t="str">
        <f>IF(B310="", "", 'General Information'!$F$15)</f>
        <v/>
      </c>
      <c r="H310" s="26" t="str">
        <f>IF(B310="", "", IF(VLOOKUP(B310, 'Lookup Tables'!$Y$18:$AA$34, 2, FALSE)="Traffic", VLOOKUP('Lighting Inventory'!W318, 'Lookup Tables'!#REF!, 11, FALSE), VLOOKUP(B310, 'Lookup Tables'!$Y$18:$AA$34, 2, FALSE)))</f>
        <v/>
      </c>
      <c r="I310" s="26" t="str">
        <f>IF(B310="", "", CONCATENATE(D310, 'Data Export'!A310))</f>
        <v/>
      </c>
      <c r="J310" s="26" t="str">
        <f>IF(B310="", "", 'Lookup Tables'!$B$1)</f>
        <v/>
      </c>
      <c r="K310" s="26" t="str">
        <f>IF(B310="", "", 'Lighting Inventory'!B318)</f>
        <v/>
      </c>
      <c r="L310" s="26" t="str">
        <f>IF(B310="", "", 'Lighting Inventory'!C318)</f>
        <v/>
      </c>
      <c r="M310" s="26" t="str">
        <f>IF(B310="", "",'Lighting Inventory'!D318)</f>
        <v/>
      </c>
      <c r="N310" s="26" t="str">
        <f>IF(B310="", "",'Lighting Inventory'!E318)</f>
        <v/>
      </c>
      <c r="O310" s="26" t="str">
        <f>IF(B310="", "", 'Lighting Inventory'!F318)</f>
        <v/>
      </c>
      <c r="P310" s="26" t="str">
        <f>IF(B310="", "", 'Lighting Inventory'!G318)</f>
        <v/>
      </c>
      <c r="Q310" s="26" t="str">
        <f>IF(B310="", "", 'Lighting Inventory'!H318)</f>
        <v/>
      </c>
      <c r="R310" s="26" t="str">
        <f>IF(B310="", "", 'Lighting Inventory'!I318)</f>
        <v/>
      </c>
      <c r="S310" s="26" t="str">
        <f>IF(B310="", "", 'Lighting Inventory'!J318)</f>
        <v/>
      </c>
      <c r="T310" s="26" t="str">
        <f>IFERROR(IF(B310="","",VLOOKUP(S310,'Fixture Identities'!$A$7:$G$1023,5,FALSE)), "New Construction")</f>
        <v/>
      </c>
      <c r="U310" s="26" t="str">
        <f>IFERROR(IF(B310="", "", IF(K310="New Construction", "NC", IF(VLOOKUP(S310, 'Fixture Identities'!$A$7:$I$1023,3, FALSE)="T12 Linear Fluorescent", VLOOKUP(S310, 'Fixture Identities'!$A$7:$K$1012, 11, FALSE), S310))), "")</f>
        <v/>
      </c>
      <c r="V310" s="26" t="str">
        <f>IFERROR(IF(OR(B310="", U310=0), "", VLOOKUP(U310, 'Fixture Identities'!$A$7:$G$1023, 5, FALSE)), "")</f>
        <v/>
      </c>
      <c r="W310" s="26" t="str">
        <f>IF(B310="", "",'Lighting Inventory'!K318)</f>
        <v/>
      </c>
      <c r="X310" s="65" t="str">
        <f>IF(B310="", "", 'Lighting Inventory'!L318)</f>
        <v/>
      </c>
      <c r="Y310" s="26" t="str">
        <f>IF(B310="", "", IF('Lighting Inventory'!M318="", "Light Switch",'Lighting Inventory'!M318))</f>
        <v/>
      </c>
      <c r="Z310" s="26" t="str">
        <f>IF(OR(K310="Retrofit", B310=""), "", 'Lighting Inventory'!N318)</f>
        <v/>
      </c>
      <c r="AA310" s="26" t="str">
        <f>IF(OR(Z310="",B310=""), "", 'Lighting Inventory'!O318)</f>
        <v/>
      </c>
      <c r="AB310" s="26" t="str">
        <f>IF(B310="", "", 'Lighting Inventory'!P318)</f>
        <v/>
      </c>
      <c r="AC310" s="96" t="str">
        <f>IF(B310="", "", 'Lighting Inventory'!R318)</f>
        <v/>
      </c>
      <c r="AD310" s="26" t="str">
        <f>IF(B310="", "", 'Lighting Inventory'!S318)</f>
        <v/>
      </c>
      <c r="AE310" s="26" t="str">
        <f>IF(B310="", "", 'Lighting Inventory'!V318)</f>
        <v/>
      </c>
      <c r="AF310" s="26" t="str">
        <f>IF(B310="", "", 'Lighting Inventory'!W318)</f>
        <v/>
      </c>
      <c r="AG310" s="26" t="str">
        <f>IF(OR(AF310="", B310=""), "", IF(AE310="Custom", "0", VLOOKUP(AF310, 'Lookup Tables'!$AI$6:$AP$102, 8, FALSE)))</f>
        <v/>
      </c>
      <c r="AH310" s="26" t="str">
        <f>IF(B310="", "", 'Lighting Inventory'!AD318)</f>
        <v/>
      </c>
      <c r="AI310" s="26" t="str">
        <f>IF(OR('Lighting Inventory'!AK318="", B310=""), "", 'Lighting Inventory'!AK318)</f>
        <v/>
      </c>
      <c r="AJ310" s="66" t="str">
        <f>IF(B310="", "", 'Lighting Inventory'!AL318)</f>
        <v/>
      </c>
      <c r="AK310" s="65" t="str">
        <f>IF(B310="", "", 'Lighting Inventory'!AM318)</f>
        <v/>
      </c>
      <c r="AL310" s="26" t="str">
        <f>IF(B310="", "", 'Lighting Inventory'!AN318)</f>
        <v/>
      </c>
      <c r="AM310" s="26" t="str">
        <f t="shared" si="15"/>
        <v/>
      </c>
      <c r="AN310" s="26" t="str">
        <f>IF(B310="","",IF('Lighting Inventory'!AV318="","Prescribed",'Lighting Inventory'!AV318))</f>
        <v/>
      </c>
      <c r="AO310" s="66" t="str">
        <f>IF(B310="", "", 'Lighting Inventory'!AX318)</f>
        <v/>
      </c>
      <c r="AP310" s="67" t="str">
        <f>IF(B310="", "", 'Lighting Inventory'!AZ318)</f>
        <v/>
      </c>
      <c r="AQ310" s="67" t="str">
        <f>IF(B310="", "", 'Lighting Inventory'!BA318)</f>
        <v/>
      </c>
      <c r="AR310" s="67" t="str">
        <f>IF(B310="", "", 'Lighting Inventory'!BB318)</f>
        <v/>
      </c>
      <c r="AS310" s="67" t="str">
        <f>IF(B310="", "", 'Lighting Inventory'!BC318)</f>
        <v/>
      </c>
      <c r="AT310" s="67" t="str">
        <f>IF(B310="", "", 'Lighting Inventory'!BD318)</f>
        <v/>
      </c>
      <c r="AU310" s="67" t="str">
        <f>IF(B310="", "", 'Lighting Inventory'!BE318)</f>
        <v/>
      </c>
      <c r="AV310" s="67" t="str">
        <f>IF(B310="", "", 'Lighting Inventory'!BE318)</f>
        <v/>
      </c>
      <c r="AW310" s="67" t="str">
        <f>IF(B310="", "", 'Lighting Inventory'!BF318)</f>
        <v/>
      </c>
      <c r="AX310" s="67" t="str">
        <f>IF(B310="", "", 'Lighting Inventory'!BF318)</f>
        <v/>
      </c>
      <c r="AY310" s="65" t="str">
        <f t="shared" si="16"/>
        <v/>
      </c>
      <c r="AZ310" s="65" t="str">
        <f>IF(B310="", "", 'Lighting Inventory'!BJ318)</f>
        <v/>
      </c>
      <c r="BA310" s="65" t="str">
        <f>IF(B310="", "", 'Lighting Inventory'!BM318)</f>
        <v/>
      </c>
      <c r="BB310" s="65" t="str">
        <f>IF(B310="","",SUM('Lighting Inventory'!BP318:BP318))</f>
        <v/>
      </c>
      <c r="BC310" s="67" t="str">
        <f>IF(OR(AE310="", B310=""),"", 'Lighting Inventory'!GR318)</f>
        <v/>
      </c>
      <c r="BD310" s="67" t="str">
        <f>IFERROR(IF(B310="", "", 'Lighting Inventory'!AF318)*AD310," ")</f>
        <v xml:space="preserve"> </v>
      </c>
      <c r="BE310" s="67"/>
      <c r="BF310" s="67"/>
    </row>
    <row r="311" spans="1:58" x14ac:dyDescent="0.25">
      <c r="A311" s="26" t="str">
        <f>IF(B311="", "", 'Lookup Tables'!AW312)</f>
        <v/>
      </c>
      <c r="B311" s="26" t="str">
        <f>IF(OR('Lighting Inventory'!Y319="", 'Lighting Inventory'!V319="No Change"),"", 'Lighting Inventory'!Y319)</f>
        <v/>
      </c>
      <c r="C311" s="26" t="str">
        <f>IF(B311="", "", IF('Lighting Inventory'!Y319='Lookup Tables'!$Y$32, 'Lighting Inventory'!AJ319, IF(AD311=0, R311, AD311)))</f>
        <v/>
      </c>
      <c r="D311" s="26" t="str">
        <f>IF(B311="", "", 'General Information'!$F$14)</f>
        <v/>
      </c>
      <c r="E311" s="26" t="str">
        <f t="shared" si="14"/>
        <v/>
      </c>
      <c r="F311" s="26" t="str">
        <f>IF(B311="", "", CONCATENATE('General Information'!$F$9, " - ", 'General Information'!$F$14))</f>
        <v/>
      </c>
      <c r="G311" s="26" t="str">
        <f>IF(B311="", "", 'General Information'!$F$15)</f>
        <v/>
      </c>
      <c r="H311" s="26" t="str">
        <f>IF(B311="", "", IF(VLOOKUP(B311, 'Lookup Tables'!$Y$18:$AA$34, 2, FALSE)="Traffic", VLOOKUP('Lighting Inventory'!W319, 'Lookup Tables'!#REF!, 11, FALSE), VLOOKUP(B311, 'Lookup Tables'!$Y$18:$AA$34, 2, FALSE)))</f>
        <v/>
      </c>
      <c r="I311" s="26" t="str">
        <f>IF(B311="", "", CONCATENATE(D311, 'Data Export'!A311))</f>
        <v/>
      </c>
      <c r="J311" s="26" t="str">
        <f>IF(B311="", "", 'Lookup Tables'!$B$1)</f>
        <v/>
      </c>
      <c r="K311" s="26" t="str">
        <f>IF(B311="", "", 'Lighting Inventory'!B319)</f>
        <v/>
      </c>
      <c r="L311" s="26" t="str">
        <f>IF(B311="", "", 'Lighting Inventory'!C319)</f>
        <v/>
      </c>
      <c r="M311" s="26" t="str">
        <f>IF(B311="", "",'Lighting Inventory'!D319)</f>
        <v/>
      </c>
      <c r="N311" s="26" t="str">
        <f>IF(B311="", "",'Lighting Inventory'!E319)</f>
        <v/>
      </c>
      <c r="O311" s="26" t="str">
        <f>IF(B311="", "", 'Lighting Inventory'!F319)</f>
        <v/>
      </c>
      <c r="P311" s="26" t="str">
        <f>IF(B311="", "", 'Lighting Inventory'!G319)</f>
        <v/>
      </c>
      <c r="Q311" s="26" t="str">
        <f>IF(B311="", "", 'Lighting Inventory'!H319)</f>
        <v/>
      </c>
      <c r="R311" s="26" t="str">
        <f>IF(B311="", "", 'Lighting Inventory'!I319)</f>
        <v/>
      </c>
      <c r="S311" s="26" t="str">
        <f>IF(B311="", "", 'Lighting Inventory'!J319)</f>
        <v/>
      </c>
      <c r="T311" s="26" t="str">
        <f>IFERROR(IF(B311="","",VLOOKUP(S311,'Fixture Identities'!$A$7:$G$1023,5,FALSE)), "New Construction")</f>
        <v/>
      </c>
      <c r="U311" s="26" t="str">
        <f>IFERROR(IF(B311="", "", IF(K311="New Construction", "NC", IF(VLOOKUP(S311, 'Fixture Identities'!$A$7:$I$1023,3, FALSE)="T12 Linear Fluorescent", VLOOKUP(S311, 'Fixture Identities'!$A$7:$K$1012, 11, FALSE), S311))), "")</f>
        <v/>
      </c>
      <c r="V311" s="26" t="str">
        <f>IFERROR(IF(OR(B311="", U311=0), "", VLOOKUP(U311, 'Fixture Identities'!$A$7:$G$1023, 5, FALSE)), "")</f>
        <v/>
      </c>
      <c r="W311" s="26" t="str">
        <f>IF(B311="", "",'Lighting Inventory'!K319)</f>
        <v/>
      </c>
      <c r="X311" s="65" t="str">
        <f>IF(B311="", "", 'Lighting Inventory'!L319)</f>
        <v/>
      </c>
      <c r="Y311" s="26" t="str">
        <f>IF(B311="", "", IF('Lighting Inventory'!M319="", "Light Switch",'Lighting Inventory'!M319))</f>
        <v/>
      </c>
      <c r="Z311" s="26" t="str">
        <f>IF(OR(K311="Retrofit", B311=""), "", 'Lighting Inventory'!N319)</f>
        <v/>
      </c>
      <c r="AA311" s="26" t="str">
        <f>IF(OR(Z311="",B311=""), "", 'Lighting Inventory'!O319)</f>
        <v/>
      </c>
      <c r="AB311" s="26" t="str">
        <f>IF(B311="", "", 'Lighting Inventory'!P319)</f>
        <v/>
      </c>
      <c r="AC311" s="96" t="str">
        <f>IF(B311="", "", 'Lighting Inventory'!R319)</f>
        <v/>
      </c>
      <c r="AD311" s="26" t="str">
        <f>IF(B311="", "", 'Lighting Inventory'!S319)</f>
        <v/>
      </c>
      <c r="AE311" s="26" t="str">
        <f>IF(B311="", "", 'Lighting Inventory'!V319)</f>
        <v/>
      </c>
      <c r="AF311" s="26" t="str">
        <f>IF(B311="", "", 'Lighting Inventory'!W319)</f>
        <v/>
      </c>
      <c r="AG311" s="26" t="str">
        <f>IF(OR(AF311="", B311=""), "", IF(AE311="Custom", "0", VLOOKUP(AF311, 'Lookup Tables'!$AI$6:$AP$102, 8, FALSE)))</f>
        <v/>
      </c>
      <c r="AH311" s="26" t="str">
        <f>IF(B311="", "", 'Lighting Inventory'!AD319)</f>
        <v/>
      </c>
      <c r="AI311" s="26" t="str">
        <f>IF(OR('Lighting Inventory'!AK319="", B311=""), "", 'Lighting Inventory'!AK319)</f>
        <v/>
      </c>
      <c r="AJ311" s="66" t="str">
        <f>IF(B311="", "", 'Lighting Inventory'!AL319)</f>
        <v/>
      </c>
      <c r="AK311" s="65" t="str">
        <f>IF(B311="", "", 'Lighting Inventory'!AM319)</f>
        <v/>
      </c>
      <c r="AL311" s="26" t="str">
        <f>IF(B311="", "", 'Lighting Inventory'!AN319)</f>
        <v/>
      </c>
      <c r="AM311" s="26" t="str">
        <f t="shared" si="15"/>
        <v/>
      </c>
      <c r="AN311" s="26" t="str">
        <f>IF(B311="","",IF('Lighting Inventory'!AV319="","Prescribed",'Lighting Inventory'!AV319))</f>
        <v/>
      </c>
      <c r="AO311" s="66" t="str">
        <f>IF(B311="", "", 'Lighting Inventory'!AX319)</f>
        <v/>
      </c>
      <c r="AP311" s="67" t="str">
        <f>IF(B311="", "", 'Lighting Inventory'!AZ319)</f>
        <v/>
      </c>
      <c r="AQ311" s="67" t="str">
        <f>IF(B311="", "", 'Lighting Inventory'!BA319)</f>
        <v/>
      </c>
      <c r="AR311" s="67" t="str">
        <f>IF(B311="", "", 'Lighting Inventory'!BB319)</f>
        <v/>
      </c>
      <c r="AS311" s="67" t="str">
        <f>IF(B311="", "", 'Lighting Inventory'!BC319)</f>
        <v/>
      </c>
      <c r="AT311" s="67" t="str">
        <f>IF(B311="", "", 'Lighting Inventory'!BD319)</f>
        <v/>
      </c>
      <c r="AU311" s="67" t="str">
        <f>IF(B311="", "", 'Lighting Inventory'!BE319)</f>
        <v/>
      </c>
      <c r="AV311" s="67" t="str">
        <f>IF(B311="", "", 'Lighting Inventory'!BE319)</f>
        <v/>
      </c>
      <c r="AW311" s="67" t="str">
        <f>IF(B311="", "", 'Lighting Inventory'!BF319)</f>
        <v/>
      </c>
      <c r="AX311" s="67" t="str">
        <f>IF(B311="", "", 'Lighting Inventory'!BF319)</f>
        <v/>
      </c>
      <c r="AY311" s="65" t="str">
        <f t="shared" si="16"/>
        <v/>
      </c>
      <c r="AZ311" s="65" t="str">
        <f>IF(B311="", "", 'Lighting Inventory'!BJ319)</f>
        <v/>
      </c>
      <c r="BA311" s="65" t="str">
        <f>IF(B311="", "", 'Lighting Inventory'!BM319)</f>
        <v/>
      </c>
      <c r="BB311" s="65" t="str">
        <f>IF(B311="","",SUM('Lighting Inventory'!BP319:BP319))</f>
        <v/>
      </c>
      <c r="BC311" s="67" t="str">
        <f>IF(OR(AE311="", B311=""),"", 'Lighting Inventory'!GR319)</f>
        <v/>
      </c>
      <c r="BD311" s="67" t="str">
        <f>IFERROR(IF(B311="", "", 'Lighting Inventory'!AF319)*AD311," ")</f>
        <v xml:space="preserve"> </v>
      </c>
      <c r="BE311" s="67"/>
      <c r="BF311" s="67"/>
    </row>
    <row r="312" spans="1:58" x14ac:dyDescent="0.25">
      <c r="A312" s="26" t="str">
        <f>IF(B312="", "", 'Lookup Tables'!AW313)</f>
        <v/>
      </c>
      <c r="B312" s="26" t="str">
        <f>IF(OR('Lighting Inventory'!Y320="", 'Lighting Inventory'!V320="No Change"),"", 'Lighting Inventory'!Y320)</f>
        <v/>
      </c>
      <c r="C312" s="26" t="str">
        <f>IF(B312="", "", IF('Lighting Inventory'!Y320='Lookup Tables'!$Y$32, 'Lighting Inventory'!AJ320, IF(AD312=0, R312, AD312)))</f>
        <v/>
      </c>
      <c r="D312" s="26" t="str">
        <f>IF(B312="", "", 'General Information'!$F$14)</f>
        <v/>
      </c>
      <c r="E312" s="26" t="str">
        <f t="shared" si="14"/>
        <v/>
      </c>
      <c r="F312" s="26" t="str">
        <f>IF(B312="", "", CONCATENATE('General Information'!$F$9, " - ", 'General Information'!$F$14))</f>
        <v/>
      </c>
      <c r="G312" s="26" t="str">
        <f>IF(B312="", "", 'General Information'!$F$15)</f>
        <v/>
      </c>
      <c r="H312" s="26" t="str">
        <f>IF(B312="", "", IF(VLOOKUP(B312, 'Lookup Tables'!$Y$18:$AA$34, 2, FALSE)="Traffic", VLOOKUP('Lighting Inventory'!W320, 'Lookup Tables'!#REF!, 11, FALSE), VLOOKUP(B312, 'Lookup Tables'!$Y$18:$AA$34, 2, FALSE)))</f>
        <v/>
      </c>
      <c r="I312" s="26" t="str">
        <f>IF(B312="", "", CONCATENATE(D312, 'Data Export'!A312))</f>
        <v/>
      </c>
      <c r="J312" s="26" t="str">
        <f>IF(B312="", "", 'Lookup Tables'!$B$1)</f>
        <v/>
      </c>
      <c r="K312" s="26" t="str">
        <f>IF(B312="", "", 'Lighting Inventory'!B320)</f>
        <v/>
      </c>
      <c r="L312" s="26" t="str">
        <f>IF(B312="", "", 'Lighting Inventory'!C320)</f>
        <v/>
      </c>
      <c r="M312" s="26" t="str">
        <f>IF(B312="", "",'Lighting Inventory'!D320)</f>
        <v/>
      </c>
      <c r="N312" s="26" t="str">
        <f>IF(B312="", "",'Lighting Inventory'!E320)</f>
        <v/>
      </c>
      <c r="O312" s="26" t="str">
        <f>IF(B312="", "", 'Lighting Inventory'!F320)</f>
        <v/>
      </c>
      <c r="P312" s="26" t="str">
        <f>IF(B312="", "", 'Lighting Inventory'!G320)</f>
        <v/>
      </c>
      <c r="Q312" s="26" t="str">
        <f>IF(B312="", "", 'Lighting Inventory'!H320)</f>
        <v/>
      </c>
      <c r="R312" s="26" t="str">
        <f>IF(B312="", "", 'Lighting Inventory'!I320)</f>
        <v/>
      </c>
      <c r="S312" s="26" t="str">
        <f>IF(B312="", "", 'Lighting Inventory'!J320)</f>
        <v/>
      </c>
      <c r="T312" s="26" t="str">
        <f>IFERROR(IF(B312="","",VLOOKUP(S312,'Fixture Identities'!$A$7:$G$1023,5,FALSE)), "New Construction")</f>
        <v/>
      </c>
      <c r="U312" s="26" t="str">
        <f>IFERROR(IF(B312="", "", IF(K312="New Construction", "NC", IF(VLOOKUP(S312, 'Fixture Identities'!$A$7:$I$1023,3, FALSE)="T12 Linear Fluorescent", VLOOKUP(S312, 'Fixture Identities'!$A$7:$K$1012, 11, FALSE), S312))), "")</f>
        <v/>
      </c>
      <c r="V312" s="26" t="str">
        <f>IFERROR(IF(OR(B312="", U312=0), "", VLOOKUP(U312, 'Fixture Identities'!$A$7:$G$1023, 5, FALSE)), "")</f>
        <v/>
      </c>
      <c r="W312" s="26" t="str">
        <f>IF(B312="", "",'Lighting Inventory'!K320)</f>
        <v/>
      </c>
      <c r="X312" s="65" t="str">
        <f>IF(B312="", "", 'Lighting Inventory'!L320)</f>
        <v/>
      </c>
      <c r="Y312" s="26" t="str">
        <f>IF(B312="", "", IF('Lighting Inventory'!M320="", "Light Switch",'Lighting Inventory'!M320))</f>
        <v/>
      </c>
      <c r="Z312" s="26" t="str">
        <f>IF(OR(K312="Retrofit", B312=""), "", 'Lighting Inventory'!N320)</f>
        <v/>
      </c>
      <c r="AA312" s="26" t="str">
        <f>IF(OR(Z312="",B312=""), "", 'Lighting Inventory'!O320)</f>
        <v/>
      </c>
      <c r="AB312" s="26" t="str">
        <f>IF(B312="", "", 'Lighting Inventory'!P320)</f>
        <v/>
      </c>
      <c r="AC312" s="96" t="str">
        <f>IF(B312="", "", 'Lighting Inventory'!R320)</f>
        <v/>
      </c>
      <c r="AD312" s="26" t="str">
        <f>IF(B312="", "", 'Lighting Inventory'!S320)</f>
        <v/>
      </c>
      <c r="AE312" s="26" t="str">
        <f>IF(B312="", "", 'Lighting Inventory'!V320)</f>
        <v/>
      </c>
      <c r="AF312" s="26" t="str">
        <f>IF(B312="", "", 'Lighting Inventory'!W320)</f>
        <v/>
      </c>
      <c r="AG312" s="26" t="str">
        <f>IF(OR(AF312="", B312=""), "", IF(AE312="Custom", "0", VLOOKUP(AF312, 'Lookup Tables'!$AI$6:$AP$102, 8, FALSE)))</f>
        <v/>
      </c>
      <c r="AH312" s="26" t="str">
        <f>IF(B312="", "", 'Lighting Inventory'!AD320)</f>
        <v/>
      </c>
      <c r="AI312" s="26" t="str">
        <f>IF(OR('Lighting Inventory'!AK320="", B312=""), "", 'Lighting Inventory'!AK320)</f>
        <v/>
      </c>
      <c r="AJ312" s="66" t="str">
        <f>IF(B312="", "", 'Lighting Inventory'!AL320)</f>
        <v/>
      </c>
      <c r="AK312" s="65" t="str">
        <f>IF(B312="", "", 'Lighting Inventory'!AM320)</f>
        <v/>
      </c>
      <c r="AL312" s="26" t="str">
        <f>IF(B312="", "", 'Lighting Inventory'!AN320)</f>
        <v/>
      </c>
      <c r="AM312" s="26" t="str">
        <f t="shared" si="15"/>
        <v/>
      </c>
      <c r="AN312" s="26" t="str">
        <f>IF(B312="","",IF('Lighting Inventory'!AV320="","Prescribed",'Lighting Inventory'!AV320))</f>
        <v/>
      </c>
      <c r="AO312" s="66" t="str">
        <f>IF(B312="", "", 'Lighting Inventory'!AX320)</f>
        <v/>
      </c>
      <c r="AP312" s="67" t="str">
        <f>IF(B312="", "", 'Lighting Inventory'!AZ320)</f>
        <v/>
      </c>
      <c r="AQ312" s="67" t="str">
        <f>IF(B312="", "", 'Lighting Inventory'!BA320)</f>
        <v/>
      </c>
      <c r="AR312" s="67" t="str">
        <f>IF(B312="", "", 'Lighting Inventory'!BB320)</f>
        <v/>
      </c>
      <c r="AS312" s="67" t="str">
        <f>IF(B312="", "", 'Lighting Inventory'!BC320)</f>
        <v/>
      </c>
      <c r="AT312" s="67" t="str">
        <f>IF(B312="", "", 'Lighting Inventory'!BD320)</f>
        <v/>
      </c>
      <c r="AU312" s="67" t="str">
        <f>IF(B312="", "", 'Lighting Inventory'!BE320)</f>
        <v/>
      </c>
      <c r="AV312" s="67" t="str">
        <f>IF(B312="", "", 'Lighting Inventory'!BE320)</f>
        <v/>
      </c>
      <c r="AW312" s="67" t="str">
        <f>IF(B312="", "", 'Lighting Inventory'!BF320)</f>
        <v/>
      </c>
      <c r="AX312" s="67" t="str">
        <f>IF(B312="", "", 'Lighting Inventory'!BF320)</f>
        <v/>
      </c>
      <c r="AY312" s="65" t="str">
        <f t="shared" si="16"/>
        <v/>
      </c>
      <c r="AZ312" s="65" t="str">
        <f>IF(B312="", "", 'Lighting Inventory'!BJ320)</f>
        <v/>
      </c>
      <c r="BA312" s="65" t="str">
        <f>IF(B312="", "", 'Lighting Inventory'!BM320)</f>
        <v/>
      </c>
      <c r="BB312" s="65" t="str">
        <f>IF(B312="","",SUM('Lighting Inventory'!BP320:BP320))</f>
        <v/>
      </c>
      <c r="BC312" s="67" t="str">
        <f>IF(OR(AE312="", B312=""),"", 'Lighting Inventory'!GR320)</f>
        <v/>
      </c>
      <c r="BD312" s="67" t="str">
        <f>IFERROR(IF(B312="", "", 'Lighting Inventory'!AF320)*AD312," ")</f>
        <v xml:space="preserve"> </v>
      </c>
      <c r="BE312" s="67"/>
      <c r="BF312" s="67"/>
    </row>
    <row r="313" spans="1:58" x14ac:dyDescent="0.25">
      <c r="A313" s="26" t="str">
        <f>IF(B313="", "", 'Lookup Tables'!AW314)</f>
        <v/>
      </c>
      <c r="B313" s="26" t="str">
        <f>IF(OR('Lighting Inventory'!Y321="", 'Lighting Inventory'!V321="No Change"),"", 'Lighting Inventory'!Y321)</f>
        <v/>
      </c>
      <c r="C313" s="26" t="str">
        <f>IF(B313="", "", IF('Lighting Inventory'!Y321='Lookup Tables'!$Y$32, 'Lighting Inventory'!AJ321, IF(AD313=0, R313, AD313)))</f>
        <v/>
      </c>
      <c r="D313" s="26" t="str">
        <f>IF(B313="", "", 'General Information'!$F$14)</f>
        <v/>
      </c>
      <c r="E313" s="26" t="str">
        <f t="shared" si="14"/>
        <v/>
      </c>
      <c r="F313" s="26" t="str">
        <f>IF(B313="", "", CONCATENATE('General Information'!$F$9, " - ", 'General Information'!$F$14))</f>
        <v/>
      </c>
      <c r="G313" s="26" t="str">
        <f>IF(B313="", "", 'General Information'!$F$15)</f>
        <v/>
      </c>
      <c r="H313" s="26" t="str">
        <f>IF(B313="", "", IF(VLOOKUP(B313, 'Lookup Tables'!$Y$18:$AA$34, 2, FALSE)="Traffic", VLOOKUP('Lighting Inventory'!W321, 'Lookup Tables'!#REF!, 11, FALSE), VLOOKUP(B313, 'Lookup Tables'!$Y$18:$AA$34, 2, FALSE)))</f>
        <v/>
      </c>
      <c r="I313" s="26" t="str">
        <f>IF(B313="", "", CONCATENATE(D313, 'Data Export'!A313))</f>
        <v/>
      </c>
      <c r="J313" s="26" t="str">
        <f>IF(B313="", "", 'Lookup Tables'!$B$1)</f>
        <v/>
      </c>
      <c r="K313" s="26" t="str">
        <f>IF(B313="", "", 'Lighting Inventory'!B321)</f>
        <v/>
      </c>
      <c r="L313" s="26" t="str">
        <f>IF(B313="", "", 'Lighting Inventory'!C321)</f>
        <v/>
      </c>
      <c r="M313" s="26" t="str">
        <f>IF(B313="", "",'Lighting Inventory'!D321)</f>
        <v/>
      </c>
      <c r="N313" s="26" t="str">
        <f>IF(B313="", "",'Lighting Inventory'!E321)</f>
        <v/>
      </c>
      <c r="O313" s="26" t="str">
        <f>IF(B313="", "", 'Lighting Inventory'!F321)</f>
        <v/>
      </c>
      <c r="P313" s="26" t="str">
        <f>IF(B313="", "", 'Lighting Inventory'!G321)</f>
        <v/>
      </c>
      <c r="Q313" s="26" t="str">
        <f>IF(B313="", "", 'Lighting Inventory'!H321)</f>
        <v/>
      </c>
      <c r="R313" s="26" t="str">
        <f>IF(B313="", "", 'Lighting Inventory'!I321)</f>
        <v/>
      </c>
      <c r="S313" s="26" t="str">
        <f>IF(B313="", "", 'Lighting Inventory'!J321)</f>
        <v/>
      </c>
      <c r="T313" s="26" t="str">
        <f>IFERROR(IF(B313="","",VLOOKUP(S313,'Fixture Identities'!$A$7:$G$1023,5,FALSE)), "New Construction")</f>
        <v/>
      </c>
      <c r="U313" s="26" t="str">
        <f>IFERROR(IF(B313="", "", IF(K313="New Construction", "NC", IF(VLOOKUP(S313, 'Fixture Identities'!$A$7:$I$1023,3, FALSE)="T12 Linear Fluorescent", VLOOKUP(S313, 'Fixture Identities'!$A$7:$K$1012, 11, FALSE), S313))), "")</f>
        <v/>
      </c>
      <c r="V313" s="26" t="str">
        <f>IFERROR(IF(OR(B313="", U313=0), "", VLOOKUP(U313, 'Fixture Identities'!$A$7:$G$1023, 5, FALSE)), "")</f>
        <v/>
      </c>
      <c r="W313" s="26" t="str">
        <f>IF(B313="", "",'Lighting Inventory'!K321)</f>
        <v/>
      </c>
      <c r="X313" s="65" t="str">
        <f>IF(B313="", "", 'Lighting Inventory'!L321)</f>
        <v/>
      </c>
      <c r="Y313" s="26" t="str">
        <f>IF(B313="", "", IF('Lighting Inventory'!M321="", "Light Switch",'Lighting Inventory'!M321))</f>
        <v/>
      </c>
      <c r="Z313" s="26" t="str">
        <f>IF(OR(K313="Retrofit", B313=""), "", 'Lighting Inventory'!N321)</f>
        <v/>
      </c>
      <c r="AA313" s="26" t="str">
        <f>IF(OR(Z313="",B313=""), "", 'Lighting Inventory'!O321)</f>
        <v/>
      </c>
      <c r="AB313" s="26" t="str">
        <f>IF(B313="", "", 'Lighting Inventory'!P321)</f>
        <v/>
      </c>
      <c r="AC313" s="96" t="str">
        <f>IF(B313="", "", 'Lighting Inventory'!R321)</f>
        <v/>
      </c>
      <c r="AD313" s="26" t="str">
        <f>IF(B313="", "", 'Lighting Inventory'!S321)</f>
        <v/>
      </c>
      <c r="AE313" s="26" t="str">
        <f>IF(B313="", "", 'Lighting Inventory'!V321)</f>
        <v/>
      </c>
      <c r="AF313" s="26" t="str">
        <f>IF(B313="", "", 'Lighting Inventory'!W321)</f>
        <v/>
      </c>
      <c r="AG313" s="26" t="str">
        <f>IF(OR(AF313="", B313=""), "", IF(AE313="Custom", "0", VLOOKUP(AF313, 'Lookup Tables'!$AI$6:$AP$102, 8, FALSE)))</f>
        <v/>
      </c>
      <c r="AH313" s="26" t="str">
        <f>IF(B313="", "", 'Lighting Inventory'!AD321)</f>
        <v/>
      </c>
      <c r="AI313" s="26" t="str">
        <f>IF(OR('Lighting Inventory'!AK321="", B313=""), "", 'Lighting Inventory'!AK321)</f>
        <v/>
      </c>
      <c r="AJ313" s="66" t="str">
        <f>IF(B313="", "", 'Lighting Inventory'!AL321)</f>
        <v/>
      </c>
      <c r="AK313" s="65" t="str">
        <f>IF(B313="", "", 'Lighting Inventory'!AM321)</f>
        <v/>
      </c>
      <c r="AL313" s="26" t="str">
        <f>IF(B313="", "", 'Lighting Inventory'!AN321)</f>
        <v/>
      </c>
      <c r="AM313" s="26" t="str">
        <f t="shared" si="15"/>
        <v/>
      </c>
      <c r="AN313" s="26" t="str">
        <f>IF(B313="","",IF('Lighting Inventory'!AV321="","Prescribed",'Lighting Inventory'!AV321))</f>
        <v/>
      </c>
      <c r="AO313" s="66" t="str">
        <f>IF(B313="", "", 'Lighting Inventory'!AX321)</f>
        <v/>
      </c>
      <c r="AP313" s="67" t="str">
        <f>IF(B313="", "", 'Lighting Inventory'!AZ321)</f>
        <v/>
      </c>
      <c r="AQ313" s="67" t="str">
        <f>IF(B313="", "", 'Lighting Inventory'!BA321)</f>
        <v/>
      </c>
      <c r="AR313" s="67" t="str">
        <f>IF(B313="", "", 'Lighting Inventory'!BB321)</f>
        <v/>
      </c>
      <c r="AS313" s="67" t="str">
        <f>IF(B313="", "", 'Lighting Inventory'!BC321)</f>
        <v/>
      </c>
      <c r="AT313" s="67" t="str">
        <f>IF(B313="", "", 'Lighting Inventory'!BD321)</f>
        <v/>
      </c>
      <c r="AU313" s="67" t="str">
        <f>IF(B313="", "", 'Lighting Inventory'!BE321)</f>
        <v/>
      </c>
      <c r="AV313" s="67" t="str">
        <f>IF(B313="", "", 'Lighting Inventory'!BE321)</f>
        <v/>
      </c>
      <c r="AW313" s="67" t="str">
        <f>IF(B313="", "", 'Lighting Inventory'!BF321)</f>
        <v/>
      </c>
      <c r="AX313" s="67" t="str">
        <f>IF(B313="", "", 'Lighting Inventory'!BF321)</f>
        <v/>
      </c>
      <c r="AY313" s="65" t="str">
        <f t="shared" si="16"/>
        <v/>
      </c>
      <c r="AZ313" s="65" t="str">
        <f>IF(B313="", "", 'Lighting Inventory'!BJ321)</f>
        <v/>
      </c>
      <c r="BA313" s="65" t="str">
        <f>IF(B313="", "", 'Lighting Inventory'!BM321)</f>
        <v/>
      </c>
      <c r="BB313" s="65" t="str">
        <f>IF(B313="","",SUM('Lighting Inventory'!BP321:BP321))</f>
        <v/>
      </c>
      <c r="BC313" s="67" t="str">
        <f>IF(OR(AE313="", B313=""),"", 'Lighting Inventory'!GR321)</f>
        <v/>
      </c>
      <c r="BD313" s="67" t="str">
        <f>IFERROR(IF(B313="", "", 'Lighting Inventory'!AF321)*AD313," ")</f>
        <v xml:space="preserve"> </v>
      </c>
      <c r="BE313" s="67"/>
      <c r="BF313" s="67"/>
    </row>
    <row r="314" spans="1:58" x14ac:dyDescent="0.25">
      <c r="A314" s="26" t="str">
        <f>IF(B314="", "", 'Lookup Tables'!AW315)</f>
        <v/>
      </c>
      <c r="B314" s="26" t="str">
        <f>IF(OR('Lighting Inventory'!Y322="", 'Lighting Inventory'!V322="No Change"),"", 'Lighting Inventory'!Y322)</f>
        <v/>
      </c>
      <c r="C314" s="26" t="str">
        <f>IF(B314="", "", IF('Lighting Inventory'!Y322='Lookup Tables'!$Y$32, 'Lighting Inventory'!AJ322, IF(AD314=0, R314, AD314)))</f>
        <v/>
      </c>
      <c r="D314" s="26" t="str">
        <f>IF(B314="", "", 'General Information'!$F$14)</f>
        <v/>
      </c>
      <c r="E314" s="26" t="str">
        <f t="shared" si="14"/>
        <v/>
      </c>
      <c r="F314" s="26" t="str">
        <f>IF(B314="", "", CONCATENATE('General Information'!$F$9, " - ", 'General Information'!$F$14))</f>
        <v/>
      </c>
      <c r="G314" s="26" t="str">
        <f>IF(B314="", "", 'General Information'!$F$15)</f>
        <v/>
      </c>
      <c r="H314" s="26" t="str">
        <f>IF(B314="", "", IF(VLOOKUP(B314, 'Lookup Tables'!$Y$18:$AA$34, 2, FALSE)="Traffic", VLOOKUP('Lighting Inventory'!W322, 'Lookup Tables'!#REF!, 11, FALSE), VLOOKUP(B314, 'Lookup Tables'!$Y$18:$AA$34, 2, FALSE)))</f>
        <v/>
      </c>
      <c r="I314" s="26" t="str">
        <f>IF(B314="", "", CONCATENATE(D314, 'Data Export'!A314))</f>
        <v/>
      </c>
      <c r="J314" s="26" t="str">
        <f>IF(B314="", "", 'Lookup Tables'!$B$1)</f>
        <v/>
      </c>
      <c r="K314" s="26" t="str">
        <f>IF(B314="", "", 'Lighting Inventory'!B322)</f>
        <v/>
      </c>
      <c r="L314" s="26" t="str">
        <f>IF(B314="", "", 'Lighting Inventory'!C322)</f>
        <v/>
      </c>
      <c r="M314" s="26" t="str">
        <f>IF(B314="", "",'Lighting Inventory'!D322)</f>
        <v/>
      </c>
      <c r="N314" s="26" t="str">
        <f>IF(B314="", "",'Lighting Inventory'!E322)</f>
        <v/>
      </c>
      <c r="O314" s="26" t="str">
        <f>IF(B314="", "", 'Lighting Inventory'!F322)</f>
        <v/>
      </c>
      <c r="P314" s="26" t="str">
        <f>IF(B314="", "", 'Lighting Inventory'!G322)</f>
        <v/>
      </c>
      <c r="Q314" s="26" t="str">
        <f>IF(B314="", "", 'Lighting Inventory'!H322)</f>
        <v/>
      </c>
      <c r="R314" s="26" t="str">
        <f>IF(B314="", "", 'Lighting Inventory'!I322)</f>
        <v/>
      </c>
      <c r="S314" s="26" t="str">
        <f>IF(B314="", "", 'Lighting Inventory'!J322)</f>
        <v/>
      </c>
      <c r="T314" s="26" t="str">
        <f>IFERROR(IF(B314="","",VLOOKUP(S314,'Fixture Identities'!$A$7:$G$1023,5,FALSE)), "New Construction")</f>
        <v/>
      </c>
      <c r="U314" s="26" t="str">
        <f>IFERROR(IF(B314="", "", IF(K314="New Construction", "NC", IF(VLOOKUP(S314, 'Fixture Identities'!$A$7:$I$1023,3, FALSE)="T12 Linear Fluorescent", VLOOKUP(S314, 'Fixture Identities'!$A$7:$K$1012, 11, FALSE), S314))), "")</f>
        <v/>
      </c>
      <c r="V314" s="26" t="str">
        <f>IFERROR(IF(OR(B314="", U314=0), "", VLOOKUP(U314, 'Fixture Identities'!$A$7:$G$1023, 5, FALSE)), "")</f>
        <v/>
      </c>
      <c r="W314" s="26" t="str">
        <f>IF(B314="", "",'Lighting Inventory'!K322)</f>
        <v/>
      </c>
      <c r="X314" s="65" t="str">
        <f>IF(B314="", "", 'Lighting Inventory'!L322)</f>
        <v/>
      </c>
      <c r="Y314" s="26" t="str">
        <f>IF(B314="", "", IF('Lighting Inventory'!M322="", "Light Switch",'Lighting Inventory'!M322))</f>
        <v/>
      </c>
      <c r="Z314" s="26" t="str">
        <f>IF(OR(K314="Retrofit", B314=""), "", 'Lighting Inventory'!N322)</f>
        <v/>
      </c>
      <c r="AA314" s="26" t="str">
        <f>IF(OR(Z314="",B314=""), "", 'Lighting Inventory'!O322)</f>
        <v/>
      </c>
      <c r="AB314" s="26" t="str">
        <f>IF(B314="", "", 'Lighting Inventory'!P322)</f>
        <v/>
      </c>
      <c r="AC314" s="96" t="str">
        <f>IF(B314="", "", 'Lighting Inventory'!R322)</f>
        <v/>
      </c>
      <c r="AD314" s="26" t="str">
        <f>IF(B314="", "", 'Lighting Inventory'!S322)</f>
        <v/>
      </c>
      <c r="AE314" s="26" t="str">
        <f>IF(B314="", "", 'Lighting Inventory'!V322)</f>
        <v/>
      </c>
      <c r="AF314" s="26" t="str">
        <f>IF(B314="", "", 'Lighting Inventory'!W322)</f>
        <v/>
      </c>
      <c r="AG314" s="26" t="str">
        <f>IF(OR(AF314="", B314=""), "", IF(AE314="Custom", "0", VLOOKUP(AF314, 'Lookup Tables'!$AI$6:$AP$102, 8, FALSE)))</f>
        <v/>
      </c>
      <c r="AH314" s="26" t="str">
        <f>IF(B314="", "", 'Lighting Inventory'!AD322)</f>
        <v/>
      </c>
      <c r="AI314" s="26" t="str">
        <f>IF(OR('Lighting Inventory'!AK322="", B314=""), "", 'Lighting Inventory'!AK322)</f>
        <v/>
      </c>
      <c r="AJ314" s="66" t="str">
        <f>IF(B314="", "", 'Lighting Inventory'!AL322)</f>
        <v/>
      </c>
      <c r="AK314" s="65" t="str">
        <f>IF(B314="", "", 'Lighting Inventory'!AM322)</f>
        <v/>
      </c>
      <c r="AL314" s="26" t="str">
        <f>IF(B314="", "", 'Lighting Inventory'!AN322)</f>
        <v/>
      </c>
      <c r="AM314" s="26" t="str">
        <f t="shared" si="15"/>
        <v/>
      </c>
      <c r="AN314" s="26" t="str">
        <f>IF(B314="","",IF('Lighting Inventory'!AV322="","Prescribed",'Lighting Inventory'!AV322))</f>
        <v/>
      </c>
      <c r="AO314" s="66" t="str">
        <f>IF(B314="", "", 'Lighting Inventory'!AX322)</f>
        <v/>
      </c>
      <c r="AP314" s="67" t="str">
        <f>IF(B314="", "", 'Lighting Inventory'!AZ322)</f>
        <v/>
      </c>
      <c r="AQ314" s="67" t="str">
        <f>IF(B314="", "", 'Lighting Inventory'!BA322)</f>
        <v/>
      </c>
      <c r="AR314" s="67" t="str">
        <f>IF(B314="", "", 'Lighting Inventory'!BB322)</f>
        <v/>
      </c>
      <c r="AS314" s="67" t="str">
        <f>IF(B314="", "", 'Lighting Inventory'!BC322)</f>
        <v/>
      </c>
      <c r="AT314" s="67" t="str">
        <f>IF(B314="", "", 'Lighting Inventory'!BD322)</f>
        <v/>
      </c>
      <c r="AU314" s="67" t="str">
        <f>IF(B314="", "", 'Lighting Inventory'!BE322)</f>
        <v/>
      </c>
      <c r="AV314" s="67" t="str">
        <f>IF(B314="", "", 'Lighting Inventory'!BE322)</f>
        <v/>
      </c>
      <c r="AW314" s="67" t="str">
        <f>IF(B314="", "", 'Lighting Inventory'!BF322)</f>
        <v/>
      </c>
      <c r="AX314" s="67" t="str">
        <f>IF(B314="", "", 'Lighting Inventory'!BF322)</f>
        <v/>
      </c>
      <c r="AY314" s="65" t="str">
        <f t="shared" si="16"/>
        <v/>
      </c>
      <c r="AZ314" s="65" t="str">
        <f>IF(B314="", "", 'Lighting Inventory'!BJ322)</f>
        <v/>
      </c>
      <c r="BA314" s="65" t="str">
        <f>IF(B314="", "", 'Lighting Inventory'!BM322)</f>
        <v/>
      </c>
      <c r="BB314" s="65" t="str">
        <f>IF(B314="","",SUM('Lighting Inventory'!BP322:BP322))</f>
        <v/>
      </c>
      <c r="BC314" s="67" t="str">
        <f>IF(OR(AE314="", B314=""),"", 'Lighting Inventory'!GR322)</f>
        <v/>
      </c>
      <c r="BD314" s="67" t="str">
        <f>IFERROR(IF(B314="", "", 'Lighting Inventory'!AF322)*AD314," ")</f>
        <v xml:space="preserve"> </v>
      </c>
      <c r="BE314" s="67"/>
      <c r="BF314" s="67"/>
    </row>
    <row r="315" spans="1:58" x14ac:dyDescent="0.25">
      <c r="A315" s="26" t="str">
        <f>IF(B315="", "", 'Lookup Tables'!AW316)</f>
        <v/>
      </c>
      <c r="B315" s="26" t="str">
        <f>IF(OR('Lighting Inventory'!Y323="", 'Lighting Inventory'!V323="No Change"),"", 'Lighting Inventory'!Y323)</f>
        <v/>
      </c>
      <c r="C315" s="26" t="str">
        <f>IF(B315="", "", IF('Lighting Inventory'!Y323='Lookup Tables'!$Y$32, 'Lighting Inventory'!AJ323, IF(AD315=0, R315, AD315)))</f>
        <v/>
      </c>
      <c r="D315" s="26" t="str">
        <f>IF(B315="", "", 'General Information'!$F$14)</f>
        <v/>
      </c>
      <c r="E315" s="26" t="str">
        <f t="shared" ref="E315:E378" si="17">IF(B315="", "", "FPPLPR")</f>
        <v/>
      </c>
      <c r="F315" s="26" t="str">
        <f>IF(B315="", "", CONCATENATE('General Information'!$F$9, " - ", 'General Information'!$F$14))</f>
        <v/>
      </c>
      <c r="G315" s="26" t="str">
        <f>IF(B315="", "", 'General Information'!$F$15)</f>
        <v/>
      </c>
      <c r="H315" s="26" t="str">
        <f>IF(B315="", "", IF(VLOOKUP(B315, 'Lookup Tables'!$Y$18:$AA$34, 2, FALSE)="Traffic", VLOOKUP('Lighting Inventory'!W323, 'Lookup Tables'!#REF!, 11, FALSE), VLOOKUP(B315, 'Lookup Tables'!$Y$18:$AA$34, 2, FALSE)))</f>
        <v/>
      </c>
      <c r="I315" s="26" t="str">
        <f>IF(B315="", "", CONCATENATE(D315, 'Data Export'!A315))</f>
        <v/>
      </c>
      <c r="J315" s="26" t="str">
        <f>IF(B315="", "", 'Lookup Tables'!$B$1)</f>
        <v/>
      </c>
      <c r="K315" s="26" t="str">
        <f>IF(B315="", "", 'Lighting Inventory'!B323)</f>
        <v/>
      </c>
      <c r="L315" s="26" t="str">
        <f>IF(B315="", "", 'Lighting Inventory'!C323)</f>
        <v/>
      </c>
      <c r="M315" s="26" t="str">
        <f>IF(B315="", "",'Lighting Inventory'!D323)</f>
        <v/>
      </c>
      <c r="N315" s="26" t="str">
        <f>IF(B315="", "",'Lighting Inventory'!E323)</f>
        <v/>
      </c>
      <c r="O315" s="26" t="str">
        <f>IF(B315="", "", 'Lighting Inventory'!F323)</f>
        <v/>
      </c>
      <c r="P315" s="26" t="str">
        <f>IF(B315="", "", 'Lighting Inventory'!G323)</f>
        <v/>
      </c>
      <c r="Q315" s="26" t="str">
        <f>IF(B315="", "", 'Lighting Inventory'!H323)</f>
        <v/>
      </c>
      <c r="R315" s="26" t="str">
        <f>IF(B315="", "", 'Lighting Inventory'!I323)</f>
        <v/>
      </c>
      <c r="S315" s="26" t="str">
        <f>IF(B315="", "", 'Lighting Inventory'!J323)</f>
        <v/>
      </c>
      <c r="T315" s="26" t="str">
        <f>IFERROR(IF(B315="","",VLOOKUP(S315,'Fixture Identities'!$A$7:$G$1023,5,FALSE)), "New Construction")</f>
        <v/>
      </c>
      <c r="U315" s="26" t="str">
        <f>IFERROR(IF(B315="", "", IF(K315="New Construction", "NC", IF(VLOOKUP(S315, 'Fixture Identities'!$A$7:$I$1023,3, FALSE)="T12 Linear Fluorescent", VLOOKUP(S315, 'Fixture Identities'!$A$7:$K$1012, 11, FALSE), S315))), "")</f>
        <v/>
      </c>
      <c r="V315" s="26" t="str">
        <f>IFERROR(IF(OR(B315="", U315=0), "", VLOOKUP(U315, 'Fixture Identities'!$A$7:$G$1023, 5, FALSE)), "")</f>
        <v/>
      </c>
      <c r="W315" s="26" t="str">
        <f>IF(B315="", "",'Lighting Inventory'!K323)</f>
        <v/>
      </c>
      <c r="X315" s="65" t="str">
        <f>IF(B315="", "", 'Lighting Inventory'!L323)</f>
        <v/>
      </c>
      <c r="Y315" s="26" t="str">
        <f>IF(B315="", "", IF('Lighting Inventory'!M323="", "Light Switch",'Lighting Inventory'!M323))</f>
        <v/>
      </c>
      <c r="Z315" s="26" t="str">
        <f>IF(OR(K315="Retrofit", B315=""), "", 'Lighting Inventory'!N323)</f>
        <v/>
      </c>
      <c r="AA315" s="26" t="str">
        <f>IF(OR(Z315="",B315=""), "", 'Lighting Inventory'!O323)</f>
        <v/>
      </c>
      <c r="AB315" s="26" t="str">
        <f>IF(B315="", "", 'Lighting Inventory'!P323)</f>
        <v/>
      </c>
      <c r="AC315" s="96" t="str">
        <f>IF(B315="", "", 'Lighting Inventory'!R323)</f>
        <v/>
      </c>
      <c r="AD315" s="26" t="str">
        <f>IF(B315="", "", 'Lighting Inventory'!S323)</f>
        <v/>
      </c>
      <c r="AE315" s="26" t="str">
        <f>IF(B315="", "", 'Lighting Inventory'!V323)</f>
        <v/>
      </c>
      <c r="AF315" s="26" t="str">
        <f>IF(B315="", "", 'Lighting Inventory'!W323)</f>
        <v/>
      </c>
      <c r="AG315" s="26" t="str">
        <f>IF(OR(AF315="", B315=""), "", IF(AE315="Custom", "0", VLOOKUP(AF315, 'Lookup Tables'!$AI$6:$AP$102, 8, FALSE)))</f>
        <v/>
      </c>
      <c r="AH315" s="26" t="str">
        <f>IF(B315="", "", 'Lighting Inventory'!AD323)</f>
        <v/>
      </c>
      <c r="AI315" s="26" t="str">
        <f>IF(OR('Lighting Inventory'!AK323="", B315=""), "", 'Lighting Inventory'!AK323)</f>
        <v/>
      </c>
      <c r="AJ315" s="66" t="str">
        <f>IF(B315="", "", 'Lighting Inventory'!AL323)</f>
        <v/>
      </c>
      <c r="AK315" s="65" t="str">
        <f>IF(B315="", "", 'Lighting Inventory'!AM323)</f>
        <v/>
      </c>
      <c r="AL315" s="26" t="str">
        <f>IF(B315="", "", 'Lighting Inventory'!AN323)</f>
        <v/>
      </c>
      <c r="AM315" s="26" t="str">
        <f t="shared" ref="AM315:AM378" si="18">IF(B315="", "", 8)</f>
        <v/>
      </c>
      <c r="AN315" s="26" t="str">
        <f>IF(B315="","",IF('Lighting Inventory'!AV323="","Prescribed",'Lighting Inventory'!AV323))</f>
        <v/>
      </c>
      <c r="AO315" s="66" t="str">
        <f>IF(B315="", "", 'Lighting Inventory'!AX323)</f>
        <v/>
      </c>
      <c r="AP315" s="67" t="str">
        <f>IF(B315="", "", 'Lighting Inventory'!AZ323)</f>
        <v/>
      </c>
      <c r="AQ315" s="67" t="str">
        <f>IF(B315="", "", 'Lighting Inventory'!BA323)</f>
        <v/>
      </c>
      <c r="AR315" s="67" t="str">
        <f>IF(B315="", "", 'Lighting Inventory'!BB323)</f>
        <v/>
      </c>
      <c r="AS315" s="67" t="str">
        <f>IF(B315="", "", 'Lighting Inventory'!BC323)</f>
        <v/>
      </c>
      <c r="AT315" s="67" t="str">
        <f>IF(B315="", "", 'Lighting Inventory'!BD323)</f>
        <v/>
      </c>
      <c r="AU315" s="67" t="str">
        <f>IF(B315="", "", 'Lighting Inventory'!BE323)</f>
        <v/>
      </c>
      <c r="AV315" s="67" t="str">
        <f>IF(B315="", "", 'Lighting Inventory'!BE323)</f>
        <v/>
      </c>
      <c r="AW315" s="67" t="str">
        <f>IF(B315="", "", 'Lighting Inventory'!BF323)</f>
        <v/>
      </c>
      <c r="AX315" s="67" t="str">
        <f>IF(B315="", "", 'Lighting Inventory'!BF323)</f>
        <v/>
      </c>
      <c r="AY315" s="65" t="str">
        <f t="shared" ref="AY315:AY378" si="19">AZ315</f>
        <v/>
      </c>
      <c r="AZ315" s="65" t="str">
        <f>IF(B315="", "", 'Lighting Inventory'!BJ323)</f>
        <v/>
      </c>
      <c r="BA315" s="65" t="str">
        <f>IF(B315="", "", 'Lighting Inventory'!BM323)</f>
        <v/>
      </c>
      <c r="BB315" s="65" t="str">
        <f>IF(B315="","",SUM('Lighting Inventory'!BP323:BP323))</f>
        <v/>
      </c>
      <c r="BC315" s="67" t="str">
        <f>IF(OR(AE315="", B315=""),"", 'Lighting Inventory'!GR323)</f>
        <v/>
      </c>
      <c r="BD315" s="67" t="str">
        <f>IFERROR(IF(B315="", "", 'Lighting Inventory'!AF323)*AD315," ")</f>
        <v xml:space="preserve"> </v>
      </c>
      <c r="BE315" s="67"/>
      <c r="BF315" s="67"/>
    </row>
    <row r="316" spans="1:58" x14ac:dyDescent="0.25">
      <c r="A316" s="26" t="str">
        <f>IF(B316="", "", 'Lookup Tables'!AW317)</f>
        <v/>
      </c>
      <c r="B316" s="26" t="str">
        <f>IF(OR('Lighting Inventory'!Y324="", 'Lighting Inventory'!V324="No Change"),"", 'Lighting Inventory'!Y324)</f>
        <v/>
      </c>
      <c r="C316" s="26" t="str">
        <f>IF(B316="", "", IF('Lighting Inventory'!Y324='Lookup Tables'!$Y$32, 'Lighting Inventory'!AJ324, IF(AD316=0, R316, AD316)))</f>
        <v/>
      </c>
      <c r="D316" s="26" t="str">
        <f>IF(B316="", "", 'General Information'!$F$14)</f>
        <v/>
      </c>
      <c r="E316" s="26" t="str">
        <f t="shared" si="17"/>
        <v/>
      </c>
      <c r="F316" s="26" t="str">
        <f>IF(B316="", "", CONCATENATE('General Information'!$F$9, " - ", 'General Information'!$F$14))</f>
        <v/>
      </c>
      <c r="G316" s="26" t="str">
        <f>IF(B316="", "", 'General Information'!$F$15)</f>
        <v/>
      </c>
      <c r="H316" s="26" t="str">
        <f>IF(B316="", "", IF(VLOOKUP(B316, 'Lookup Tables'!$Y$18:$AA$34, 2, FALSE)="Traffic", VLOOKUP('Lighting Inventory'!W324, 'Lookup Tables'!#REF!, 11, FALSE), VLOOKUP(B316, 'Lookup Tables'!$Y$18:$AA$34, 2, FALSE)))</f>
        <v/>
      </c>
      <c r="I316" s="26" t="str">
        <f>IF(B316="", "", CONCATENATE(D316, 'Data Export'!A316))</f>
        <v/>
      </c>
      <c r="J316" s="26" t="str">
        <f>IF(B316="", "", 'Lookup Tables'!$B$1)</f>
        <v/>
      </c>
      <c r="K316" s="26" t="str">
        <f>IF(B316="", "", 'Lighting Inventory'!B324)</f>
        <v/>
      </c>
      <c r="L316" s="26" t="str">
        <f>IF(B316="", "", 'Lighting Inventory'!C324)</f>
        <v/>
      </c>
      <c r="M316" s="26" t="str">
        <f>IF(B316="", "",'Lighting Inventory'!D324)</f>
        <v/>
      </c>
      <c r="N316" s="26" t="str">
        <f>IF(B316="", "",'Lighting Inventory'!E324)</f>
        <v/>
      </c>
      <c r="O316" s="26" t="str">
        <f>IF(B316="", "", 'Lighting Inventory'!F324)</f>
        <v/>
      </c>
      <c r="P316" s="26" t="str">
        <f>IF(B316="", "", 'Lighting Inventory'!G324)</f>
        <v/>
      </c>
      <c r="Q316" s="26" t="str">
        <f>IF(B316="", "", 'Lighting Inventory'!H324)</f>
        <v/>
      </c>
      <c r="R316" s="26" t="str">
        <f>IF(B316="", "", 'Lighting Inventory'!I324)</f>
        <v/>
      </c>
      <c r="S316" s="26" t="str">
        <f>IF(B316="", "", 'Lighting Inventory'!J324)</f>
        <v/>
      </c>
      <c r="T316" s="26" t="str">
        <f>IFERROR(IF(B316="","",VLOOKUP(S316,'Fixture Identities'!$A$7:$G$1023,5,FALSE)), "New Construction")</f>
        <v/>
      </c>
      <c r="U316" s="26" t="str">
        <f>IFERROR(IF(B316="", "", IF(K316="New Construction", "NC", IF(VLOOKUP(S316, 'Fixture Identities'!$A$7:$I$1023,3, FALSE)="T12 Linear Fluorescent", VLOOKUP(S316, 'Fixture Identities'!$A$7:$K$1012, 11, FALSE), S316))), "")</f>
        <v/>
      </c>
      <c r="V316" s="26" t="str">
        <f>IFERROR(IF(OR(B316="", U316=0), "", VLOOKUP(U316, 'Fixture Identities'!$A$7:$G$1023, 5, FALSE)), "")</f>
        <v/>
      </c>
      <c r="W316" s="26" t="str">
        <f>IF(B316="", "",'Lighting Inventory'!K324)</f>
        <v/>
      </c>
      <c r="X316" s="65" t="str">
        <f>IF(B316="", "", 'Lighting Inventory'!L324)</f>
        <v/>
      </c>
      <c r="Y316" s="26" t="str">
        <f>IF(B316="", "", IF('Lighting Inventory'!M324="", "Light Switch",'Lighting Inventory'!M324))</f>
        <v/>
      </c>
      <c r="Z316" s="26" t="str">
        <f>IF(OR(K316="Retrofit", B316=""), "", 'Lighting Inventory'!N324)</f>
        <v/>
      </c>
      <c r="AA316" s="26" t="str">
        <f>IF(OR(Z316="",B316=""), "", 'Lighting Inventory'!O324)</f>
        <v/>
      </c>
      <c r="AB316" s="26" t="str">
        <f>IF(B316="", "", 'Lighting Inventory'!P324)</f>
        <v/>
      </c>
      <c r="AC316" s="96" t="str">
        <f>IF(B316="", "", 'Lighting Inventory'!R324)</f>
        <v/>
      </c>
      <c r="AD316" s="26" t="str">
        <f>IF(B316="", "", 'Lighting Inventory'!S324)</f>
        <v/>
      </c>
      <c r="AE316" s="26" t="str">
        <f>IF(B316="", "", 'Lighting Inventory'!V324)</f>
        <v/>
      </c>
      <c r="AF316" s="26" t="str">
        <f>IF(B316="", "", 'Lighting Inventory'!W324)</f>
        <v/>
      </c>
      <c r="AG316" s="26" t="str">
        <f>IF(OR(AF316="", B316=""), "", IF(AE316="Custom", "0", VLOOKUP(AF316, 'Lookup Tables'!$AI$6:$AP$102, 8, FALSE)))</f>
        <v/>
      </c>
      <c r="AH316" s="26" t="str">
        <f>IF(B316="", "", 'Lighting Inventory'!AD324)</f>
        <v/>
      </c>
      <c r="AI316" s="26" t="str">
        <f>IF(OR('Lighting Inventory'!AK324="", B316=""), "", 'Lighting Inventory'!AK324)</f>
        <v/>
      </c>
      <c r="AJ316" s="66" t="str">
        <f>IF(B316="", "", 'Lighting Inventory'!AL324)</f>
        <v/>
      </c>
      <c r="AK316" s="65" t="str">
        <f>IF(B316="", "", 'Lighting Inventory'!AM324)</f>
        <v/>
      </c>
      <c r="AL316" s="26" t="str">
        <f>IF(B316="", "", 'Lighting Inventory'!AN324)</f>
        <v/>
      </c>
      <c r="AM316" s="26" t="str">
        <f t="shared" si="18"/>
        <v/>
      </c>
      <c r="AN316" s="26" t="str">
        <f>IF(B316="","",IF('Lighting Inventory'!AV324="","Prescribed",'Lighting Inventory'!AV324))</f>
        <v/>
      </c>
      <c r="AO316" s="66" t="str">
        <f>IF(B316="", "", 'Lighting Inventory'!AX324)</f>
        <v/>
      </c>
      <c r="AP316" s="67" t="str">
        <f>IF(B316="", "", 'Lighting Inventory'!AZ324)</f>
        <v/>
      </c>
      <c r="AQ316" s="67" t="str">
        <f>IF(B316="", "", 'Lighting Inventory'!BA324)</f>
        <v/>
      </c>
      <c r="AR316" s="67" t="str">
        <f>IF(B316="", "", 'Lighting Inventory'!BB324)</f>
        <v/>
      </c>
      <c r="AS316" s="67" t="str">
        <f>IF(B316="", "", 'Lighting Inventory'!BC324)</f>
        <v/>
      </c>
      <c r="AT316" s="67" t="str">
        <f>IF(B316="", "", 'Lighting Inventory'!BD324)</f>
        <v/>
      </c>
      <c r="AU316" s="67" t="str">
        <f>IF(B316="", "", 'Lighting Inventory'!BE324)</f>
        <v/>
      </c>
      <c r="AV316" s="67" t="str">
        <f>IF(B316="", "", 'Lighting Inventory'!BE324)</f>
        <v/>
      </c>
      <c r="AW316" s="67" t="str">
        <f>IF(B316="", "", 'Lighting Inventory'!BF324)</f>
        <v/>
      </c>
      <c r="AX316" s="67" t="str">
        <f>IF(B316="", "", 'Lighting Inventory'!BF324)</f>
        <v/>
      </c>
      <c r="AY316" s="65" t="str">
        <f t="shared" si="19"/>
        <v/>
      </c>
      <c r="AZ316" s="65" t="str">
        <f>IF(B316="", "", 'Lighting Inventory'!BJ324)</f>
        <v/>
      </c>
      <c r="BA316" s="65" t="str">
        <f>IF(B316="", "", 'Lighting Inventory'!BM324)</f>
        <v/>
      </c>
      <c r="BB316" s="65" t="str">
        <f>IF(B316="","",SUM('Lighting Inventory'!BP324:BP324))</f>
        <v/>
      </c>
      <c r="BC316" s="67" t="str">
        <f>IF(OR(AE316="", B316=""),"", 'Lighting Inventory'!GR324)</f>
        <v/>
      </c>
      <c r="BD316" s="67" t="str">
        <f>IFERROR(IF(B316="", "", 'Lighting Inventory'!AF324)*AD316," ")</f>
        <v xml:space="preserve"> </v>
      </c>
      <c r="BE316" s="67"/>
      <c r="BF316" s="67"/>
    </row>
    <row r="317" spans="1:58" x14ac:dyDescent="0.25">
      <c r="A317" s="26" t="str">
        <f>IF(B317="", "", 'Lookup Tables'!AW318)</f>
        <v/>
      </c>
      <c r="B317" s="26" t="str">
        <f>IF(OR('Lighting Inventory'!Y325="", 'Lighting Inventory'!V325="No Change"),"", 'Lighting Inventory'!Y325)</f>
        <v/>
      </c>
      <c r="C317" s="26" t="str">
        <f>IF(B317="", "", IF('Lighting Inventory'!Y325='Lookup Tables'!$Y$32, 'Lighting Inventory'!AJ325, IF(AD317=0, R317, AD317)))</f>
        <v/>
      </c>
      <c r="D317" s="26" t="str">
        <f>IF(B317="", "", 'General Information'!$F$14)</f>
        <v/>
      </c>
      <c r="E317" s="26" t="str">
        <f t="shared" si="17"/>
        <v/>
      </c>
      <c r="F317" s="26" t="str">
        <f>IF(B317="", "", CONCATENATE('General Information'!$F$9, " - ", 'General Information'!$F$14))</f>
        <v/>
      </c>
      <c r="G317" s="26" t="str">
        <f>IF(B317="", "", 'General Information'!$F$15)</f>
        <v/>
      </c>
      <c r="H317" s="26" t="str">
        <f>IF(B317="", "", IF(VLOOKUP(B317, 'Lookup Tables'!$Y$18:$AA$34, 2, FALSE)="Traffic", VLOOKUP('Lighting Inventory'!W325, 'Lookup Tables'!#REF!, 11, FALSE), VLOOKUP(B317, 'Lookup Tables'!$Y$18:$AA$34, 2, FALSE)))</f>
        <v/>
      </c>
      <c r="I317" s="26" t="str">
        <f>IF(B317="", "", CONCATENATE(D317, 'Data Export'!A317))</f>
        <v/>
      </c>
      <c r="J317" s="26" t="str">
        <f>IF(B317="", "", 'Lookup Tables'!$B$1)</f>
        <v/>
      </c>
      <c r="K317" s="26" t="str">
        <f>IF(B317="", "", 'Lighting Inventory'!B325)</f>
        <v/>
      </c>
      <c r="L317" s="26" t="str">
        <f>IF(B317="", "", 'Lighting Inventory'!C325)</f>
        <v/>
      </c>
      <c r="M317" s="26" t="str">
        <f>IF(B317="", "",'Lighting Inventory'!D325)</f>
        <v/>
      </c>
      <c r="N317" s="26" t="str">
        <f>IF(B317="", "",'Lighting Inventory'!E325)</f>
        <v/>
      </c>
      <c r="O317" s="26" t="str">
        <f>IF(B317="", "", 'Lighting Inventory'!F325)</f>
        <v/>
      </c>
      <c r="P317" s="26" t="str">
        <f>IF(B317="", "", 'Lighting Inventory'!G325)</f>
        <v/>
      </c>
      <c r="Q317" s="26" t="str">
        <f>IF(B317="", "", 'Lighting Inventory'!H325)</f>
        <v/>
      </c>
      <c r="R317" s="26" t="str">
        <f>IF(B317="", "", 'Lighting Inventory'!I325)</f>
        <v/>
      </c>
      <c r="S317" s="26" t="str">
        <f>IF(B317="", "", 'Lighting Inventory'!J325)</f>
        <v/>
      </c>
      <c r="T317" s="26" t="str">
        <f>IFERROR(IF(B317="","",VLOOKUP(S317,'Fixture Identities'!$A$7:$G$1023,5,FALSE)), "New Construction")</f>
        <v/>
      </c>
      <c r="U317" s="26" t="str">
        <f>IFERROR(IF(B317="", "", IF(K317="New Construction", "NC", IF(VLOOKUP(S317, 'Fixture Identities'!$A$7:$I$1023,3, FALSE)="T12 Linear Fluorescent", VLOOKUP(S317, 'Fixture Identities'!$A$7:$K$1012, 11, FALSE), S317))), "")</f>
        <v/>
      </c>
      <c r="V317" s="26" t="str">
        <f>IFERROR(IF(OR(B317="", U317=0), "", VLOOKUP(U317, 'Fixture Identities'!$A$7:$G$1023, 5, FALSE)), "")</f>
        <v/>
      </c>
      <c r="W317" s="26" t="str">
        <f>IF(B317="", "",'Lighting Inventory'!K325)</f>
        <v/>
      </c>
      <c r="X317" s="65" t="str">
        <f>IF(B317="", "", 'Lighting Inventory'!L325)</f>
        <v/>
      </c>
      <c r="Y317" s="26" t="str">
        <f>IF(B317="", "", IF('Lighting Inventory'!M325="", "Light Switch",'Lighting Inventory'!M325))</f>
        <v/>
      </c>
      <c r="Z317" s="26" t="str">
        <f>IF(OR(K317="Retrofit", B317=""), "", 'Lighting Inventory'!N325)</f>
        <v/>
      </c>
      <c r="AA317" s="26" t="str">
        <f>IF(OR(Z317="",B317=""), "", 'Lighting Inventory'!O325)</f>
        <v/>
      </c>
      <c r="AB317" s="26" t="str">
        <f>IF(B317="", "", 'Lighting Inventory'!P325)</f>
        <v/>
      </c>
      <c r="AC317" s="96" t="str">
        <f>IF(B317="", "", 'Lighting Inventory'!R325)</f>
        <v/>
      </c>
      <c r="AD317" s="26" t="str">
        <f>IF(B317="", "", 'Lighting Inventory'!S325)</f>
        <v/>
      </c>
      <c r="AE317" s="26" t="str">
        <f>IF(B317="", "", 'Lighting Inventory'!V325)</f>
        <v/>
      </c>
      <c r="AF317" s="26" t="str">
        <f>IF(B317="", "", 'Lighting Inventory'!W325)</f>
        <v/>
      </c>
      <c r="AG317" s="26" t="str">
        <f>IF(OR(AF317="", B317=""), "", IF(AE317="Custom", "0", VLOOKUP(AF317, 'Lookup Tables'!$AI$6:$AP$102, 8, FALSE)))</f>
        <v/>
      </c>
      <c r="AH317" s="26" t="str">
        <f>IF(B317="", "", 'Lighting Inventory'!AD325)</f>
        <v/>
      </c>
      <c r="AI317" s="26" t="str">
        <f>IF(OR('Lighting Inventory'!AK325="", B317=""), "", 'Lighting Inventory'!AK325)</f>
        <v/>
      </c>
      <c r="AJ317" s="66" t="str">
        <f>IF(B317="", "", 'Lighting Inventory'!AL325)</f>
        <v/>
      </c>
      <c r="AK317" s="65" t="str">
        <f>IF(B317="", "", 'Lighting Inventory'!AM325)</f>
        <v/>
      </c>
      <c r="AL317" s="26" t="str">
        <f>IF(B317="", "", 'Lighting Inventory'!AN325)</f>
        <v/>
      </c>
      <c r="AM317" s="26" t="str">
        <f t="shared" si="18"/>
        <v/>
      </c>
      <c r="AN317" s="26" t="str">
        <f>IF(B317="","",IF('Lighting Inventory'!AV325="","Prescribed",'Lighting Inventory'!AV325))</f>
        <v/>
      </c>
      <c r="AO317" s="66" t="str">
        <f>IF(B317="", "", 'Lighting Inventory'!AX325)</f>
        <v/>
      </c>
      <c r="AP317" s="67" t="str">
        <f>IF(B317="", "", 'Lighting Inventory'!AZ325)</f>
        <v/>
      </c>
      <c r="AQ317" s="67" t="str">
        <f>IF(B317="", "", 'Lighting Inventory'!BA325)</f>
        <v/>
      </c>
      <c r="AR317" s="67" t="str">
        <f>IF(B317="", "", 'Lighting Inventory'!BB325)</f>
        <v/>
      </c>
      <c r="AS317" s="67" t="str">
        <f>IF(B317="", "", 'Lighting Inventory'!BC325)</f>
        <v/>
      </c>
      <c r="AT317" s="67" t="str">
        <f>IF(B317="", "", 'Lighting Inventory'!BD325)</f>
        <v/>
      </c>
      <c r="AU317" s="67" t="str">
        <f>IF(B317="", "", 'Lighting Inventory'!BE325)</f>
        <v/>
      </c>
      <c r="AV317" s="67" t="str">
        <f>IF(B317="", "", 'Lighting Inventory'!BE325)</f>
        <v/>
      </c>
      <c r="AW317" s="67" t="str">
        <f>IF(B317="", "", 'Lighting Inventory'!BF325)</f>
        <v/>
      </c>
      <c r="AX317" s="67" t="str">
        <f>IF(B317="", "", 'Lighting Inventory'!BF325)</f>
        <v/>
      </c>
      <c r="AY317" s="65" t="str">
        <f t="shared" si="19"/>
        <v/>
      </c>
      <c r="AZ317" s="65" t="str">
        <f>IF(B317="", "", 'Lighting Inventory'!BJ325)</f>
        <v/>
      </c>
      <c r="BA317" s="65" t="str">
        <f>IF(B317="", "", 'Lighting Inventory'!BM325)</f>
        <v/>
      </c>
      <c r="BB317" s="65" t="str">
        <f>IF(B317="","",SUM('Lighting Inventory'!BP325:BP325))</f>
        <v/>
      </c>
      <c r="BC317" s="67" t="str">
        <f>IF(OR(AE317="", B317=""),"", 'Lighting Inventory'!GR325)</f>
        <v/>
      </c>
      <c r="BD317" s="67" t="str">
        <f>IFERROR(IF(B317="", "", 'Lighting Inventory'!AF325)*AD317," ")</f>
        <v xml:space="preserve"> </v>
      </c>
      <c r="BE317" s="67"/>
      <c r="BF317" s="67"/>
    </row>
    <row r="318" spans="1:58" x14ac:dyDescent="0.25">
      <c r="A318" s="26" t="str">
        <f>IF(B318="", "", 'Lookup Tables'!AW319)</f>
        <v/>
      </c>
      <c r="B318" s="26" t="str">
        <f>IF(OR('Lighting Inventory'!Y326="", 'Lighting Inventory'!V326="No Change"),"", 'Lighting Inventory'!Y326)</f>
        <v/>
      </c>
      <c r="C318" s="26" t="str">
        <f>IF(B318="", "", IF('Lighting Inventory'!Y326='Lookup Tables'!$Y$32, 'Lighting Inventory'!AJ326, IF(AD318=0, R318, AD318)))</f>
        <v/>
      </c>
      <c r="D318" s="26" t="str">
        <f>IF(B318="", "", 'General Information'!$F$14)</f>
        <v/>
      </c>
      <c r="E318" s="26" t="str">
        <f t="shared" si="17"/>
        <v/>
      </c>
      <c r="F318" s="26" t="str">
        <f>IF(B318="", "", CONCATENATE('General Information'!$F$9, " - ", 'General Information'!$F$14))</f>
        <v/>
      </c>
      <c r="G318" s="26" t="str">
        <f>IF(B318="", "", 'General Information'!$F$15)</f>
        <v/>
      </c>
      <c r="H318" s="26" t="str">
        <f>IF(B318="", "", IF(VLOOKUP(B318, 'Lookup Tables'!$Y$18:$AA$34, 2, FALSE)="Traffic", VLOOKUP('Lighting Inventory'!W326, 'Lookup Tables'!#REF!, 11, FALSE), VLOOKUP(B318, 'Lookup Tables'!$Y$18:$AA$34, 2, FALSE)))</f>
        <v/>
      </c>
      <c r="I318" s="26" t="str">
        <f>IF(B318="", "", CONCATENATE(D318, 'Data Export'!A318))</f>
        <v/>
      </c>
      <c r="J318" s="26" t="str">
        <f>IF(B318="", "", 'Lookup Tables'!$B$1)</f>
        <v/>
      </c>
      <c r="K318" s="26" t="str">
        <f>IF(B318="", "", 'Lighting Inventory'!B326)</f>
        <v/>
      </c>
      <c r="L318" s="26" t="str">
        <f>IF(B318="", "", 'Lighting Inventory'!C326)</f>
        <v/>
      </c>
      <c r="M318" s="26" t="str">
        <f>IF(B318="", "",'Lighting Inventory'!D326)</f>
        <v/>
      </c>
      <c r="N318" s="26" t="str">
        <f>IF(B318="", "",'Lighting Inventory'!E326)</f>
        <v/>
      </c>
      <c r="O318" s="26" t="str">
        <f>IF(B318="", "", 'Lighting Inventory'!F326)</f>
        <v/>
      </c>
      <c r="P318" s="26" t="str">
        <f>IF(B318="", "", 'Lighting Inventory'!G326)</f>
        <v/>
      </c>
      <c r="Q318" s="26" t="str">
        <f>IF(B318="", "", 'Lighting Inventory'!H326)</f>
        <v/>
      </c>
      <c r="R318" s="26" t="str">
        <f>IF(B318="", "", 'Lighting Inventory'!I326)</f>
        <v/>
      </c>
      <c r="S318" s="26" t="str">
        <f>IF(B318="", "", 'Lighting Inventory'!J326)</f>
        <v/>
      </c>
      <c r="T318" s="26" t="str">
        <f>IFERROR(IF(B318="","",VLOOKUP(S318,'Fixture Identities'!$A$7:$G$1023,5,FALSE)), "New Construction")</f>
        <v/>
      </c>
      <c r="U318" s="26" t="str">
        <f>IFERROR(IF(B318="", "", IF(K318="New Construction", "NC", IF(VLOOKUP(S318, 'Fixture Identities'!$A$7:$I$1023,3, FALSE)="T12 Linear Fluorescent", VLOOKUP(S318, 'Fixture Identities'!$A$7:$K$1012, 11, FALSE), S318))), "")</f>
        <v/>
      </c>
      <c r="V318" s="26" t="str">
        <f>IFERROR(IF(OR(B318="", U318=0), "", VLOOKUP(U318, 'Fixture Identities'!$A$7:$G$1023, 5, FALSE)), "")</f>
        <v/>
      </c>
      <c r="W318" s="26" t="str">
        <f>IF(B318="", "",'Lighting Inventory'!K326)</f>
        <v/>
      </c>
      <c r="X318" s="65" t="str">
        <f>IF(B318="", "", 'Lighting Inventory'!L326)</f>
        <v/>
      </c>
      <c r="Y318" s="26" t="str">
        <f>IF(B318="", "", IF('Lighting Inventory'!M326="", "Light Switch",'Lighting Inventory'!M326))</f>
        <v/>
      </c>
      <c r="Z318" s="26" t="str">
        <f>IF(OR(K318="Retrofit", B318=""), "", 'Lighting Inventory'!N326)</f>
        <v/>
      </c>
      <c r="AA318" s="26" t="str">
        <f>IF(OR(Z318="",B318=""), "", 'Lighting Inventory'!O326)</f>
        <v/>
      </c>
      <c r="AB318" s="26" t="str">
        <f>IF(B318="", "", 'Lighting Inventory'!P326)</f>
        <v/>
      </c>
      <c r="AC318" s="96" t="str">
        <f>IF(B318="", "", 'Lighting Inventory'!R326)</f>
        <v/>
      </c>
      <c r="AD318" s="26" t="str">
        <f>IF(B318="", "", 'Lighting Inventory'!S326)</f>
        <v/>
      </c>
      <c r="AE318" s="26" t="str">
        <f>IF(B318="", "", 'Lighting Inventory'!V326)</f>
        <v/>
      </c>
      <c r="AF318" s="26" t="str">
        <f>IF(B318="", "", 'Lighting Inventory'!W326)</f>
        <v/>
      </c>
      <c r="AG318" s="26" t="str">
        <f>IF(OR(AF318="", B318=""), "", IF(AE318="Custom", "0", VLOOKUP(AF318, 'Lookup Tables'!$AI$6:$AP$102, 8, FALSE)))</f>
        <v/>
      </c>
      <c r="AH318" s="26" t="str">
        <f>IF(B318="", "", 'Lighting Inventory'!AD326)</f>
        <v/>
      </c>
      <c r="AI318" s="26" t="str">
        <f>IF(OR('Lighting Inventory'!AK326="", B318=""), "", 'Lighting Inventory'!AK326)</f>
        <v/>
      </c>
      <c r="AJ318" s="66" t="str">
        <f>IF(B318="", "", 'Lighting Inventory'!AL326)</f>
        <v/>
      </c>
      <c r="AK318" s="65" t="str">
        <f>IF(B318="", "", 'Lighting Inventory'!AM326)</f>
        <v/>
      </c>
      <c r="AL318" s="26" t="str">
        <f>IF(B318="", "", 'Lighting Inventory'!AN326)</f>
        <v/>
      </c>
      <c r="AM318" s="26" t="str">
        <f t="shared" si="18"/>
        <v/>
      </c>
      <c r="AN318" s="26" t="str">
        <f>IF(B318="","",IF('Lighting Inventory'!AV326="","Prescribed",'Lighting Inventory'!AV326))</f>
        <v/>
      </c>
      <c r="AO318" s="66" t="str">
        <f>IF(B318="", "", 'Lighting Inventory'!AX326)</f>
        <v/>
      </c>
      <c r="AP318" s="67" t="str">
        <f>IF(B318="", "", 'Lighting Inventory'!AZ326)</f>
        <v/>
      </c>
      <c r="AQ318" s="67" t="str">
        <f>IF(B318="", "", 'Lighting Inventory'!BA326)</f>
        <v/>
      </c>
      <c r="AR318" s="67" t="str">
        <f>IF(B318="", "", 'Lighting Inventory'!BB326)</f>
        <v/>
      </c>
      <c r="AS318" s="67" t="str">
        <f>IF(B318="", "", 'Lighting Inventory'!BC326)</f>
        <v/>
      </c>
      <c r="AT318" s="67" t="str">
        <f>IF(B318="", "", 'Lighting Inventory'!BD326)</f>
        <v/>
      </c>
      <c r="AU318" s="67" t="str">
        <f>IF(B318="", "", 'Lighting Inventory'!BE326)</f>
        <v/>
      </c>
      <c r="AV318" s="67" t="str">
        <f>IF(B318="", "", 'Lighting Inventory'!BE326)</f>
        <v/>
      </c>
      <c r="AW318" s="67" t="str">
        <f>IF(B318="", "", 'Lighting Inventory'!BF326)</f>
        <v/>
      </c>
      <c r="AX318" s="67" t="str">
        <f>IF(B318="", "", 'Lighting Inventory'!BF326)</f>
        <v/>
      </c>
      <c r="AY318" s="65" t="str">
        <f t="shared" si="19"/>
        <v/>
      </c>
      <c r="AZ318" s="65" t="str">
        <f>IF(B318="", "", 'Lighting Inventory'!BJ326)</f>
        <v/>
      </c>
      <c r="BA318" s="65" t="str">
        <f>IF(B318="", "", 'Lighting Inventory'!BM326)</f>
        <v/>
      </c>
      <c r="BB318" s="65" t="str">
        <f>IF(B318="","",SUM('Lighting Inventory'!BP326:BP326))</f>
        <v/>
      </c>
      <c r="BC318" s="67" t="str">
        <f>IF(OR(AE318="", B318=""),"", 'Lighting Inventory'!GR326)</f>
        <v/>
      </c>
      <c r="BD318" s="67" t="str">
        <f>IFERROR(IF(B318="", "", 'Lighting Inventory'!AF326)*AD318," ")</f>
        <v xml:space="preserve"> </v>
      </c>
      <c r="BE318" s="67"/>
      <c r="BF318" s="67"/>
    </row>
    <row r="319" spans="1:58" x14ac:dyDescent="0.25">
      <c r="A319" s="26" t="str">
        <f>IF(B319="", "", 'Lookup Tables'!AW320)</f>
        <v/>
      </c>
      <c r="B319" s="26" t="str">
        <f>IF(OR('Lighting Inventory'!Y327="", 'Lighting Inventory'!V327="No Change"),"", 'Lighting Inventory'!Y327)</f>
        <v/>
      </c>
      <c r="C319" s="26" t="str">
        <f>IF(B319="", "", IF('Lighting Inventory'!Y327='Lookup Tables'!$Y$32, 'Lighting Inventory'!AJ327, IF(AD319=0, R319, AD319)))</f>
        <v/>
      </c>
      <c r="D319" s="26" t="str">
        <f>IF(B319="", "", 'General Information'!$F$14)</f>
        <v/>
      </c>
      <c r="E319" s="26" t="str">
        <f t="shared" si="17"/>
        <v/>
      </c>
      <c r="F319" s="26" t="str">
        <f>IF(B319="", "", CONCATENATE('General Information'!$F$9, " - ", 'General Information'!$F$14))</f>
        <v/>
      </c>
      <c r="G319" s="26" t="str">
        <f>IF(B319="", "", 'General Information'!$F$15)</f>
        <v/>
      </c>
      <c r="H319" s="26" t="str">
        <f>IF(B319="", "", IF(VLOOKUP(B319, 'Lookup Tables'!$Y$18:$AA$34, 2, FALSE)="Traffic", VLOOKUP('Lighting Inventory'!W327, 'Lookup Tables'!#REF!, 11, FALSE), VLOOKUP(B319, 'Lookup Tables'!$Y$18:$AA$34, 2, FALSE)))</f>
        <v/>
      </c>
      <c r="I319" s="26" t="str">
        <f>IF(B319="", "", CONCATENATE(D319, 'Data Export'!A319))</f>
        <v/>
      </c>
      <c r="J319" s="26" t="str">
        <f>IF(B319="", "", 'Lookup Tables'!$B$1)</f>
        <v/>
      </c>
      <c r="K319" s="26" t="str">
        <f>IF(B319="", "", 'Lighting Inventory'!B327)</f>
        <v/>
      </c>
      <c r="L319" s="26" t="str">
        <f>IF(B319="", "", 'Lighting Inventory'!C327)</f>
        <v/>
      </c>
      <c r="M319" s="26" t="str">
        <f>IF(B319="", "",'Lighting Inventory'!D327)</f>
        <v/>
      </c>
      <c r="N319" s="26" t="str">
        <f>IF(B319="", "",'Lighting Inventory'!E327)</f>
        <v/>
      </c>
      <c r="O319" s="26" t="str">
        <f>IF(B319="", "", 'Lighting Inventory'!F327)</f>
        <v/>
      </c>
      <c r="P319" s="26" t="str">
        <f>IF(B319="", "", 'Lighting Inventory'!G327)</f>
        <v/>
      </c>
      <c r="Q319" s="26" t="str">
        <f>IF(B319="", "", 'Lighting Inventory'!H327)</f>
        <v/>
      </c>
      <c r="R319" s="26" t="str">
        <f>IF(B319="", "", 'Lighting Inventory'!I327)</f>
        <v/>
      </c>
      <c r="S319" s="26" t="str">
        <f>IF(B319="", "", 'Lighting Inventory'!J327)</f>
        <v/>
      </c>
      <c r="T319" s="26" t="str">
        <f>IFERROR(IF(B319="","",VLOOKUP(S319,'Fixture Identities'!$A$7:$G$1023,5,FALSE)), "New Construction")</f>
        <v/>
      </c>
      <c r="U319" s="26" t="str">
        <f>IFERROR(IF(B319="", "", IF(K319="New Construction", "NC", IF(VLOOKUP(S319, 'Fixture Identities'!$A$7:$I$1023,3, FALSE)="T12 Linear Fluorescent", VLOOKUP(S319, 'Fixture Identities'!$A$7:$K$1012, 11, FALSE), S319))), "")</f>
        <v/>
      </c>
      <c r="V319" s="26" t="str">
        <f>IFERROR(IF(OR(B319="", U319=0), "", VLOOKUP(U319, 'Fixture Identities'!$A$7:$G$1023, 5, FALSE)), "")</f>
        <v/>
      </c>
      <c r="W319" s="26" t="str">
        <f>IF(B319="", "",'Lighting Inventory'!K327)</f>
        <v/>
      </c>
      <c r="X319" s="65" t="str">
        <f>IF(B319="", "", 'Lighting Inventory'!L327)</f>
        <v/>
      </c>
      <c r="Y319" s="26" t="str">
        <f>IF(B319="", "", IF('Lighting Inventory'!M327="", "Light Switch",'Lighting Inventory'!M327))</f>
        <v/>
      </c>
      <c r="Z319" s="26" t="str">
        <f>IF(OR(K319="Retrofit", B319=""), "", 'Lighting Inventory'!N327)</f>
        <v/>
      </c>
      <c r="AA319" s="26" t="str">
        <f>IF(OR(Z319="",B319=""), "", 'Lighting Inventory'!O327)</f>
        <v/>
      </c>
      <c r="AB319" s="26" t="str">
        <f>IF(B319="", "", 'Lighting Inventory'!P327)</f>
        <v/>
      </c>
      <c r="AC319" s="96" t="str">
        <f>IF(B319="", "", 'Lighting Inventory'!R327)</f>
        <v/>
      </c>
      <c r="AD319" s="26" t="str">
        <f>IF(B319="", "", 'Lighting Inventory'!S327)</f>
        <v/>
      </c>
      <c r="AE319" s="26" t="str">
        <f>IF(B319="", "", 'Lighting Inventory'!V327)</f>
        <v/>
      </c>
      <c r="AF319" s="26" t="str">
        <f>IF(B319="", "", 'Lighting Inventory'!W327)</f>
        <v/>
      </c>
      <c r="AG319" s="26" t="str">
        <f>IF(OR(AF319="", B319=""), "", IF(AE319="Custom", "0", VLOOKUP(AF319, 'Lookup Tables'!$AI$6:$AP$102, 8, FALSE)))</f>
        <v/>
      </c>
      <c r="AH319" s="26" t="str">
        <f>IF(B319="", "", 'Lighting Inventory'!AD327)</f>
        <v/>
      </c>
      <c r="AI319" s="26" t="str">
        <f>IF(OR('Lighting Inventory'!AK327="", B319=""), "", 'Lighting Inventory'!AK327)</f>
        <v/>
      </c>
      <c r="AJ319" s="66" t="str">
        <f>IF(B319="", "", 'Lighting Inventory'!AL327)</f>
        <v/>
      </c>
      <c r="AK319" s="65" t="str">
        <f>IF(B319="", "", 'Lighting Inventory'!AM327)</f>
        <v/>
      </c>
      <c r="AL319" s="26" t="str">
        <f>IF(B319="", "", 'Lighting Inventory'!AN327)</f>
        <v/>
      </c>
      <c r="AM319" s="26" t="str">
        <f t="shared" si="18"/>
        <v/>
      </c>
      <c r="AN319" s="26" t="str">
        <f>IF(B319="","",IF('Lighting Inventory'!AV327="","Prescribed",'Lighting Inventory'!AV327))</f>
        <v/>
      </c>
      <c r="AO319" s="66" t="str">
        <f>IF(B319="", "", 'Lighting Inventory'!AX327)</f>
        <v/>
      </c>
      <c r="AP319" s="67" t="str">
        <f>IF(B319="", "", 'Lighting Inventory'!AZ327)</f>
        <v/>
      </c>
      <c r="AQ319" s="67" t="str">
        <f>IF(B319="", "", 'Lighting Inventory'!BA327)</f>
        <v/>
      </c>
      <c r="AR319" s="67" t="str">
        <f>IF(B319="", "", 'Lighting Inventory'!BB327)</f>
        <v/>
      </c>
      <c r="AS319" s="67" t="str">
        <f>IF(B319="", "", 'Lighting Inventory'!BC327)</f>
        <v/>
      </c>
      <c r="AT319" s="67" t="str">
        <f>IF(B319="", "", 'Lighting Inventory'!BD327)</f>
        <v/>
      </c>
      <c r="AU319" s="67" t="str">
        <f>IF(B319="", "", 'Lighting Inventory'!BE327)</f>
        <v/>
      </c>
      <c r="AV319" s="67" t="str">
        <f>IF(B319="", "", 'Lighting Inventory'!BE327)</f>
        <v/>
      </c>
      <c r="AW319" s="67" t="str">
        <f>IF(B319="", "", 'Lighting Inventory'!BF327)</f>
        <v/>
      </c>
      <c r="AX319" s="67" t="str">
        <f>IF(B319="", "", 'Lighting Inventory'!BF327)</f>
        <v/>
      </c>
      <c r="AY319" s="65" t="str">
        <f t="shared" si="19"/>
        <v/>
      </c>
      <c r="AZ319" s="65" t="str">
        <f>IF(B319="", "", 'Lighting Inventory'!BJ327)</f>
        <v/>
      </c>
      <c r="BA319" s="65" t="str">
        <f>IF(B319="", "", 'Lighting Inventory'!BM327)</f>
        <v/>
      </c>
      <c r="BB319" s="65" t="str">
        <f>IF(B319="","",SUM('Lighting Inventory'!BP327:BP327))</f>
        <v/>
      </c>
      <c r="BC319" s="67" t="str">
        <f>IF(OR(AE319="", B319=""),"", 'Lighting Inventory'!GR327)</f>
        <v/>
      </c>
      <c r="BD319" s="67" t="str">
        <f>IFERROR(IF(B319="", "", 'Lighting Inventory'!AF327)*AD319," ")</f>
        <v xml:space="preserve"> </v>
      </c>
      <c r="BE319" s="67"/>
      <c r="BF319" s="67"/>
    </row>
    <row r="320" spans="1:58" x14ac:dyDescent="0.25">
      <c r="A320" s="26" t="str">
        <f>IF(B320="", "", 'Lookup Tables'!AW321)</f>
        <v/>
      </c>
      <c r="B320" s="26" t="str">
        <f>IF(OR('Lighting Inventory'!Y328="", 'Lighting Inventory'!V328="No Change"),"", 'Lighting Inventory'!Y328)</f>
        <v/>
      </c>
      <c r="C320" s="26" t="str">
        <f>IF(B320="", "", IF('Lighting Inventory'!Y328='Lookup Tables'!$Y$32, 'Lighting Inventory'!AJ328, IF(AD320=0, R320, AD320)))</f>
        <v/>
      </c>
      <c r="D320" s="26" t="str">
        <f>IF(B320="", "", 'General Information'!$F$14)</f>
        <v/>
      </c>
      <c r="E320" s="26" t="str">
        <f t="shared" si="17"/>
        <v/>
      </c>
      <c r="F320" s="26" t="str">
        <f>IF(B320="", "", CONCATENATE('General Information'!$F$9, " - ", 'General Information'!$F$14))</f>
        <v/>
      </c>
      <c r="G320" s="26" t="str">
        <f>IF(B320="", "", 'General Information'!$F$15)</f>
        <v/>
      </c>
      <c r="H320" s="26" t="str">
        <f>IF(B320="", "", IF(VLOOKUP(B320, 'Lookup Tables'!$Y$18:$AA$34, 2, FALSE)="Traffic", VLOOKUP('Lighting Inventory'!W328, 'Lookup Tables'!#REF!, 11, FALSE), VLOOKUP(B320, 'Lookup Tables'!$Y$18:$AA$34, 2, FALSE)))</f>
        <v/>
      </c>
      <c r="I320" s="26" t="str">
        <f>IF(B320="", "", CONCATENATE(D320, 'Data Export'!A320))</f>
        <v/>
      </c>
      <c r="J320" s="26" t="str">
        <f>IF(B320="", "", 'Lookup Tables'!$B$1)</f>
        <v/>
      </c>
      <c r="K320" s="26" t="str">
        <f>IF(B320="", "", 'Lighting Inventory'!B328)</f>
        <v/>
      </c>
      <c r="L320" s="26" t="str">
        <f>IF(B320="", "", 'Lighting Inventory'!C328)</f>
        <v/>
      </c>
      <c r="M320" s="26" t="str">
        <f>IF(B320="", "",'Lighting Inventory'!D328)</f>
        <v/>
      </c>
      <c r="N320" s="26" t="str">
        <f>IF(B320="", "",'Lighting Inventory'!E328)</f>
        <v/>
      </c>
      <c r="O320" s="26" t="str">
        <f>IF(B320="", "", 'Lighting Inventory'!F328)</f>
        <v/>
      </c>
      <c r="P320" s="26" t="str">
        <f>IF(B320="", "", 'Lighting Inventory'!G328)</f>
        <v/>
      </c>
      <c r="Q320" s="26" t="str">
        <f>IF(B320="", "", 'Lighting Inventory'!H328)</f>
        <v/>
      </c>
      <c r="R320" s="26" t="str">
        <f>IF(B320="", "", 'Lighting Inventory'!I328)</f>
        <v/>
      </c>
      <c r="S320" s="26" t="str">
        <f>IF(B320="", "", 'Lighting Inventory'!J328)</f>
        <v/>
      </c>
      <c r="T320" s="26" t="str">
        <f>IFERROR(IF(B320="","",VLOOKUP(S320,'Fixture Identities'!$A$7:$G$1023,5,FALSE)), "New Construction")</f>
        <v/>
      </c>
      <c r="U320" s="26" t="str">
        <f>IFERROR(IF(B320="", "", IF(K320="New Construction", "NC", IF(VLOOKUP(S320, 'Fixture Identities'!$A$7:$I$1023,3, FALSE)="T12 Linear Fluorescent", VLOOKUP(S320, 'Fixture Identities'!$A$7:$K$1012, 11, FALSE), S320))), "")</f>
        <v/>
      </c>
      <c r="V320" s="26" t="str">
        <f>IFERROR(IF(OR(B320="", U320=0), "", VLOOKUP(U320, 'Fixture Identities'!$A$7:$G$1023, 5, FALSE)), "")</f>
        <v/>
      </c>
      <c r="W320" s="26" t="str">
        <f>IF(B320="", "",'Lighting Inventory'!K328)</f>
        <v/>
      </c>
      <c r="X320" s="65" t="str">
        <f>IF(B320="", "", 'Lighting Inventory'!L328)</f>
        <v/>
      </c>
      <c r="Y320" s="26" t="str">
        <f>IF(B320="", "", IF('Lighting Inventory'!M328="", "Light Switch",'Lighting Inventory'!M328))</f>
        <v/>
      </c>
      <c r="Z320" s="26" t="str">
        <f>IF(OR(K320="Retrofit", B320=""), "", 'Lighting Inventory'!N328)</f>
        <v/>
      </c>
      <c r="AA320" s="26" t="str">
        <f>IF(OR(Z320="",B320=""), "", 'Lighting Inventory'!O328)</f>
        <v/>
      </c>
      <c r="AB320" s="26" t="str">
        <f>IF(B320="", "", 'Lighting Inventory'!P328)</f>
        <v/>
      </c>
      <c r="AC320" s="96" t="str">
        <f>IF(B320="", "", 'Lighting Inventory'!R328)</f>
        <v/>
      </c>
      <c r="AD320" s="26" t="str">
        <f>IF(B320="", "", 'Lighting Inventory'!S328)</f>
        <v/>
      </c>
      <c r="AE320" s="26" t="str">
        <f>IF(B320="", "", 'Lighting Inventory'!V328)</f>
        <v/>
      </c>
      <c r="AF320" s="26" t="str">
        <f>IF(B320="", "", 'Lighting Inventory'!W328)</f>
        <v/>
      </c>
      <c r="AG320" s="26" t="str">
        <f>IF(OR(AF320="", B320=""), "", IF(AE320="Custom", "0", VLOOKUP(AF320, 'Lookup Tables'!$AI$6:$AP$102, 8, FALSE)))</f>
        <v/>
      </c>
      <c r="AH320" s="26" t="str">
        <f>IF(B320="", "", 'Lighting Inventory'!AD328)</f>
        <v/>
      </c>
      <c r="AI320" s="26" t="str">
        <f>IF(OR('Lighting Inventory'!AK328="", B320=""), "", 'Lighting Inventory'!AK328)</f>
        <v/>
      </c>
      <c r="AJ320" s="66" t="str">
        <f>IF(B320="", "", 'Lighting Inventory'!AL328)</f>
        <v/>
      </c>
      <c r="AK320" s="65" t="str">
        <f>IF(B320="", "", 'Lighting Inventory'!AM328)</f>
        <v/>
      </c>
      <c r="AL320" s="26" t="str">
        <f>IF(B320="", "", 'Lighting Inventory'!AN328)</f>
        <v/>
      </c>
      <c r="AM320" s="26" t="str">
        <f t="shared" si="18"/>
        <v/>
      </c>
      <c r="AN320" s="26" t="str">
        <f>IF(B320="","",IF('Lighting Inventory'!AV328="","Prescribed",'Lighting Inventory'!AV328))</f>
        <v/>
      </c>
      <c r="AO320" s="66" t="str">
        <f>IF(B320="", "", 'Lighting Inventory'!AX328)</f>
        <v/>
      </c>
      <c r="AP320" s="67" t="str">
        <f>IF(B320="", "", 'Lighting Inventory'!AZ328)</f>
        <v/>
      </c>
      <c r="AQ320" s="67" t="str">
        <f>IF(B320="", "", 'Lighting Inventory'!BA328)</f>
        <v/>
      </c>
      <c r="AR320" s="67" t="str">
        <f>IF(B320="", "", 'Lighting Inventory'!BB328)</f>
        <v/>
      </c>
      <c r="AS320" s="67" t="str">
        <f>IF(B320="", "", 'Lighting Inventory'!BC328)</f>
        <v/>
      </c>
      <c r="AT320" s="67" t="str">
        <f>IF(B320="", "", 'Lighting Inventory'!BD328)</f>
        <v/>
      </c>
      <c r="AU320" s="67" t="str">
        <f>IF(B320="", "", 'Lighting Inventory'!BE328)</f>
        <v/>
      </c>
      <c r="AV320" s="67" t="str">
        <f>IF(B320="", "", 'Lighting Inventory'!BE328)</f>
        <v/>
      </c>
      <c r="AW320" s="67" t="str">
        <f>IF(B320="", "", 'Lighting Inventory'!BF328)</f>
        <v/>
      </c>
      <c r="AX320" s="67" t="str">
        <f>IF(B320="", "", 'Lighting Inventory'!BF328)</f>
        <v/>
      </c>
      <c r="AY320" s="65" t="str">
        <f t="shared" si="19"/>
        <v/>
      </c>
      <c r="AZ320" s="65" t="str">
        <f>IF(B320="", "", 'Lighting Inventory'!BJ328)</f>
        <v/>
      </c>
      <c r="BA320" s="65" t="str">
        <f>IF(B320="", "", 'Lighting Inventory'!BM328)</f>
        <v/>
      </c>
      <c r="BB320" s="65" t="str">
        <f>IF(B320="","",SUM('Lighting Inventory'!BP328:BP328))</f>
        <v/>
      </c>
      <c r="BC320" s="67" t="str">
        <f>IF(OR(AE320="", B320=""),"", 'Lighting Inventory'!GR328)</f>
        <v/>
      </c>
      <c r="BD320" s="67" t="str">
        <f>IFERROR(IF(B320="", "", 'Lighting Inventory'!AF328)*AD320," ")</f>
        <v xml:space="preserve"> </v>
      </c>
      <c r="BE320" s="67"/>
      <c r="BF320" s="67"/>
    </row>
    <row r="321" spans="1:58" x14ac:dyDescent="0.25">
      <c r="A321" s="26" t="str">
        <f>IF(B321="", "", 'Lookup Tables'!AW322)</f>
        <v/>
      </c>
      <c r="B321" s="26" t="str">
        <f>IF(OR('Lighting Inventory'!Y329="", 'Lighting Inventory'!V329="No Change"),"", 'Lighting Inventory'!Y329)</f>
        <v/>
      </c>
      <c r="C321" s="26" t="str">
        <f>IF(B321="", "", IF('Lighting Inventory'!Y329='Lookup Tables'!$Y$32, 'Lighting Inventory'!AJ329, IF(AD321=0, R321, AD321)))</f>
        <v/>
      </c>
      <c r="D321" s="26" t="str">
        <f>IF(B321="", "", 'General Information'!$F$14)</f>
        <v/>
      </c>
      <c r="E321" s="26" t="str">
        <f t="shared" si="17"/>
        <v/>
      </c>
      <c r="F321" s="26" t="str">
        <f>IF(B321="", "", CONCATENATE('General Information'!$F$9, " - ", 'General Information'!$F$14))</f>
        <v/>
      </c>
      <c r="G321" s="26" t="str">
        <f>IF(B321="", "", 'General Information'!$F$15)</f>
        <v/>
      </c>
      <c r="H321" s="26" t="str">
        <f>IF(B321="", "", IF(VLOOKUP(B321, 'Lookup Tables'!$Y$18:$AA$34, 2, FALSE)="Traffic", VLOOKUP('Lighting Inventory'!W329, 'Lookup Tables'!#REF!, 11, FALSE), VLOOKUP(B321, 'Lookup Tables'!$Y$18:$AA$34, 2, FALSE)))</f>
        <v/>
      </c>
      <c r="I321" s="26" t="str">
        <f>IF(B321="", "", CONCATENATE(D321, 'Data Export'!A321))</f>
        <v/>
      </c>
      <c r="J321" s="26" t="str">
        <f>IF(B321="", "", 'Lookup Tables'!$B$1)</f>
        <v/>
      </c>
      <c r="K321" s="26" t="str">
        <f>IF(B321="", "", 'Lighting Inventory'!B329)</f>
        <v/>
      </c>
      <c r="L321" s="26" t="str">
        <f>IF(B321="", "", 'Lighting Inventory'!C329)</f>
        <v/>
      </c>
      <c r="M321" s="26" t="str">
        <f>IF(B321="", "",'Lighting Inventory'!D329)</f>
        <v/>
      </c>
      <c r="N321" s="26" t="str">
        <f>IF(B321="", "",'Lighting Inventory'!E329)</f>
        <v/>
      </c>
      <c r="O321" s="26" t="str">
        <f>IF(B321="", "", 'Lighting Inventory'!F329)</f>
        <v/>
      </c>
      <c r="P321" s="26" t="str">
        <f>IF(B321="", "", 'Lighting Inventory'!G329)</f>
        <v/>
      </c>
      <c r="Q321" s="26" t="str">
        <f>IF(B321="", "", 'Lighting Inventory'!H329)</f>
        <v/>
      </c>
      <c r="R321" s="26" t="str">
        <f>IF(B321="", "", 'Lighting Inventory'!I329)</f>
        <v/>
      </c>
      <c r="S321" s="26" t="str">
        <f>IF(B321="", "", 'Lighting Inventory'!J329)</f>
        <v/>
      </c>
      <c r="T321" s="26" t="str">
        <f>IFERROR(IF(B321="","",VLOOKUP(S321,'Fixture Identities'!$A$7:$G$1023,5,FALSE)), "New Construction")</f>
        <v/>
      </c>
      <c r="U321" s="26" t="str">
        <f>IFERROR(IF(B321="", "", IF(K321="New Construction", "NC", IF(VLOOKUP(S321, 'Fixture Identities'!$A$7:$I$1023,3, FALSE)="T12 Linear Fluorescent", VLOOKUP(S321, 'Fixture Identities'!$A$7:$K$1012, 11, FALSE), S321))), "")</f>
        <v/>
      </c>
      <c r="V321" s="26" t="str">
        <f>IFERROR(IF(OR(B321="", U321=0), "", VLOOKUP(U321, 'Fixture Identities'!$A$7:$G$1023, 5, FALSE)), "")</f>
        <v/>
      </c>
      <c r="W321" s="26" t="str">
        <f>IF(B321="", "",'Lighting Inventory'!K329)</f>
        <v/>
      </c>
      <c r="X321" s="65" t="str">
        <f>IF(B321="", "", 'Lighting Inventory'!L329)</f>
        <v/>
      </c>
      <c r="Y321" s="26" t="str">
        <f>IF(B321="", "", IF('Lighting Inventory'!M329="", "Light Switch",'Lighting Inventory'!M329))</f>
        <v/>
      </c>
      <c r="Z321" s="26" t="str">
        <f>IF(OR(K321="Retrofit", B321=""), "", 'Lighting Inventory'!N329)</f>
        <v/>
      </c>
      <c r="AA321" s="26" t="str">
        <f>IF(OR(Z321="",B321=""), "", 'Lighting Inventory'!O329)</f>
        <v/>
      </c>
      <c r="AB321" s="26" t="str">
        <f>IF(B321="", "", 'Lighting Inventory'!P329)</f>
        <v/>
      </c>
      <c r="AC321" s="96" t="str">
        <f>IF(B321="", "", 'Lighting Inventory'!R329)</f>
        <v/>
      </c>
      <c r="AD321" s="26" t="str">
        <f>IF(B321="", "", 'Lighting Inventory'!S329)</f>
        <v/>
      </c>
      <c r="AE321" s="26" t="str">
        <f>IF(B321="", "", 'Lighting Inventory'!V329)</f>
        <v/>
      </c>
      <c r="AF321" s="26" t="str">
        <f>IF(B321="", "", 'Lighting Inventory'!W329)</f>
        <v/>
      </c>
      <c r="AG321" s="26" t="str">
        <f>IF(OR(AF321="", B321=""), "", IF(AE321="Custom", "0", VLOOKUP(AF321, 'Lookup Tables'!$AI$6:$AP$102, 8, FALSE)))</f>
        <v/>
      </c>
      <c r="AH321" s="26" t="str">
        <f>IF(B321="", "", 'Lighting Inventory'!AD329)</f>
        <v/>
      </c>
      <c r="AI321" s="26" t="str">
        <f>IF(OR('Lighting Inventory'!AK329="", B321=""), "", 'Lighting Inventory'!AK329)</f>
        <v/>
      </c>
      <c r="AJ321" s="66" t="str">
        <f>IF(B321="", "", 'Lighting Inventory'!AL329)</f>
        <v/>
      </c>
      <c r="AK321" s="65" t="str">
        <f>IF(B321="", "", 'Lighting Inventory'!AM329)</f>
        <v/>
      </c>
      <c r="AL321" s="26" t="str">
        <f>IF(B321="", "", 'Lighting Inventory'!AN329)</f>
        <v/>
      </c>
      <c r="AM321" s="26" t="str">
        <f t="shared" si="18"/>
        <v/>
      </c>
      <c r="AN321" s="26" t="str">
        <f>IF(B321="","",IF('Lighting Inventory'!AV329="","Prescribed",'Lighting Inventory'!AV329))</f>
        <v/>
      </c>
      <c r="AO321" s="66" t="str">
        <f>IF(B321="", "", 'Lighting Inventory'!AX329)</f>
        <v/>
      </c>
      <c r="AP321" s="67" t="str">
        <f>IF(B321="", "", 'Lighting Inventory'!AZ329)</f>
        <v/>
      </c>
      <c r="AQ321" s="67" t="str">
        <f>IF(B321="", "", 'Lighting Inventory'!BA329)</f>
        <v/>
      </c>
      <c r="AR321" s="67" t="str">
        <f>IF(B321="", "", 'Lighting Inventory'!BB329)</f>
        <v/>
      </c>
      <c r="AS321" s="67" t="str">
        <f>IF(B321="", "", 'Lighting Inventory'!BC329)</f>
        <v/>
      </c>
      <c r="AT321" s="67" t="str">
        <f>IF(B321="", "", 'Lighting Inventory'!BD329)</f>
        <v/>
      </c>
      <c r="AU321" s="67" t="str">
        <f>IF(B321="", "", 'Lighting Inventory'!BE329)</f>
        <v/>
      </c>
      <c r="AV321" s="67" t="str">
        <f>IF(B321="", "", 'Lighting Inventory'!BE329)</f>
        <v/>
      </c>
      <c r="AW321" s="67" t="str">
        <f>IF(B321="", "", 'Lighting Inventory'!BF329)</f>
        <v/>
      </c>
      <c r="AX321" s="67" t="str">
        <f>IF(B321="", "", 'Lighting Inventory'!BF329)</f>
        <v/>
      </c>
      <c r="AY321" s="65" t="str">
        <f t="shared" si="19"/>
        <v/>
      </c>
      <c r="AZ321" s="65" t="str">
        <f>IF(B321="", "", 'Lighting Inventory'!BJ329)</f>
        <v/>
      </c>
      <c r="BA321" s="65" t="str">
        <f>IF(B321="", "", 'Lighting Inventory'!BM329)</f>
        <v/>
      </c>
      <c r="BB321" s="65" t="str">
        <f>IF(B321="","",SUM('Lighting Inventory'!BP329:BP329))</f>
        <v/>
      </c>
      <c r="BC321" s="67" t="str">
        <f>IF(OR(AE321="", B321=""),"", 'Lighting Inventory'!GR329)</f>
        <v/>
      </c>
      <c r="BD321" s="67" t="str">
        <f>IFERROR(IF(B321="", "", 'Lighting Inventory'!AF329)*AD321," ")</f>
        <v xml:space="preserve"> </v>
      </c>
      <c r="BE321" s="67"/>
      <c r="BF321" s="67"/>
    </row>
    <row r="322" spans="1:58" x14ac:dyDescent="0.25">
      <c r="A322" s="26" t="str">
        <f>IF(B322="", "", 'Lookup Tables'!AW323)</f>
        <v/>
      </c>
      <c r="B322" s="26" t="str">
        <f>IF(OR('Lighting Inventory'!Y330="", 'Lighting Inventory'!V330="No Change"),"", 'Lighting Inventory'!Y330)</f>
        <v/>
      </c>
      <c r="C322" s="26" t="str">
        <f>IF(B322="", "", IF('Lighting Inventory'!Y330='Lookup Tables'!$Y$32, 'Lighting Inventory'!AJ330, IF(AD322=0, R322, AD322)))</f>
        <v/>
      </c>
      <c r="D322" s="26" t="str">
        <f>IF(B322="", "", 'General Information'!$F$14)</f>
        <v/>
      </c>
      <c r="E322" s="26" t="str">
        <f t="shared" si="17"/>
        <v/>
      </c>
      <c r="F322" s="26" t="str">
        <f>IF(B322="", "", CONCATENATE('General Information'!$F$9, " - ", 'General Information'!$F$14))</f>
        <v/>
      </c>
      <c r="G322" s="26" t="str">
        <f>IF(B322="", "", 'General Information'!$F$15)</f>
        <v/>
      </c>
      <c r="H322" s="26" t="str">
        <f>IF(B322="", "", IF(VLOOKUP(B322, 'Lookup Tables'!$Y$18:$AA$34, 2, FALSE)="Traffic", VLOOKUP('Lighting Inventory'!W330, 'Lookup Tables'!#REF!, 11, FALSE), VLOOKUP(B322, 'Lookup Tables'!$Y$18:$AA$34, 2, FALSE)))</f>
        <v/>
      </c>
      <c r="I322" s="26" t="str">
        <f>IF(B322="", "", CONCATENATE(D322, 'Data Export'!A322))</f>
        <v/>
      </c>
      <c r="J322" s="26" t="str">
        <f>IF(B322="", "", 'Lookup Tables'!$B$1)</f>
        <v/>
      </c>
      <c r="K322" s="26" t="str">
        <f>IF(B322="", "", 'Lighting Inventory'!B330)</f>
        <v/>
      </c>
      <c r="L322" s="26" t="str">
        <f>IF(B322="", "", 'Lighting Inventory'!C330)</f>
        <v/>
      </c>
      <c r="M322" s="26" t="str">
        <f>IF(B322="", "",'Lighting Inventory'!D330)</f>
        <v/>
      </c>
      <c r="N322" s="26" t="str">
        <f>IF(B322="", "",'Lighting Inventory'!E330)</f>
        <v/>
      </c>
      <c r="O322" s="26" t="str">
        <f>IF(B322="", "", 'Lighting Inventory'!F330)</f>
        <v/>
      </c>
      <c r="P322" s="26" t="str">
        <f>IF(B322="", "", 'Lighting Inventory'!G330)</f>
        <v/>
      </c>
      <c r="Q322" s="26" t="str">
        <f>IF(B322="", "", 'Lighting Inventory'!H330)</f>
        <v/>
      </c>
      <c r="R322" s="26" t="str">
        <f>IF(B322="", "", 'Lighting Inventory'!I330)</f>
        <v/>
      </c>
      <c r="S322" s="26" t="str">
        <f>IF(B322="", "", 'Lighting Inventory'!J330)</f>
        <v/>
      </c>
      <c r="T322" s="26" t="str">
        <f>IFERROR(IF(B322="","",VLOOKUP(S322,'Fixture Identities'!$A$7:$G$1023,5,FALSE)), "New Construction")</f>
        <v/>
      </c>
      <c r="U322" s="26" t="str">
        <f>IFERROR(IF(B322="", "", IF(K322="New Construction", "NC", IF(VLOOKUP(S322, 'Fixture Identities'!$A$7:$I$1023,3, FALSE)="T12 Linear Fluorescent", VLOOKUP(S322, 'Fixture Identities'!$A$7:$K$1012, 11, FALSE), S322))), "")</f>
        <v/>
      </c>
      <c r="V322" s="26" t="str">
        <f>IFERROR(IF(OR(B322="", U322=0), "", VLOOKUP(U322, 'Fixture Identities'!$A$7:$G$1023, 5, FALSE)), "")</f>
        <v/>
      </c>
      <c r="W322" s="26" t="str">
        <f>IF(B322="", "",'Lighting Inventory'!K330)</f>
        <v/>
      </c>
      <c r="X322" s="65" t="str">
        <f>IF(B322="", "", 'Lighting Inventory'!L330)</f>
        <v/>
      </c>
      <c r="Y322" s="26" t="str">
        <f>IF(B322="", "", IF('Lighting Inventory'!M330="", "Light Switch",'Lighting Inventory'!M330))</f>
        <v/>
      </c>
      <c r="Z322" s="26" t="str">
        <f>IF(OR(K322="Retrofit", B322=""), "", 'Lighting Inventory'!N330)</f>
        <v/>
      </c>
      <c r="AA322" s="26" t="str">
        <f>IF(OR(Z322="",B322=""), "", 'Lighting Inventory'!O330)</f>
        <v/>
      </c>
      <c r="AB322" s="26" t="str">
        <f>IF(B322="", "", 'Lighting Inventory'!P330)</f>
        <v/>
      </c>
      <c r="AC322" s="96" t="str">
        <f>IF(B322="", "", 'Lighting Inventory'!R330)</f>
        <v/>
      </c>
      <c r="AD322" s="26" t="str">
        <f>IF(B322="", "", 'Lighting Inventory'!S330)</f>
        <v/>
      </c>
      <c r="AE322" s="26" t="str">
        <f>IF(B322="", "", 'Lighting Inventory'!V330)</f>
        <v/>
      </c>
      <c r="AF322" s="26" t="str">
        <f>IF(B322="", "", 'Lighting Inventory'!W330)</f>
        <v/>
      </c>
      <c r="AG322" s="26" t="str">
        <f>IF(OR(AF322="", B322=""), "", IF(AE322="Custom", "0", VLOOKUP(AF322, 'Lookup Tables'!$AI$6:$AP$102, 8, FALSE)))</f>
        <v/>
      </c>
      <c r="AH322" s="26" t="str">
        <f>IF(B322="", "", 'Lighting Inventory'!AD330)</f>
        <v/>
      </c>
      <c r="AI322" s="26" t="str">
        <f>IF(OR('Lighting Inventory'!AK330="", B322=""), "", 'Lighting Inventory'!AK330)</f>
        <v/>
      </c>
      <c r="AJ322" s="66" t="str">
        <f>IF(B322="", "", 'Lighting Inventory'!AL330)</f>
        <v/>
      </c>
      <c r="AK322" s="65" t="str">
        <f>IF(B322="", "", 'Lighting Inventory'!AM330)</f>
        <v/>
      </c>
      <c r="AL322" s="26" t="str">
        <f>IF(B322="", "", 'Lighting Inventory'!AN330)</f>
        <v/>
      </c>
      <c r="AM322" s="26" t="str">
        <f t="shared" si="18"/>
        <v/>
      </c>
      <c r="AN322" s="26" t="str">
        <f>IF(B322="","",IF('Lighting Inventory'!AV330="","Prescribed",'Lighting Inventory'!AV330))</f>
        <v/>
      </c>
      <c r="AO322" s="66" t="str">
        <f>IF(B322="", "", 'Lighting Inventory'!AX330)</f>
        <v/>
      </c>
      <c r="AP322" s="67" t="str">
        <f>IF(B322="", "", 'Lighting Inventory'!AZ330)</f>
        <v/>
      </c>
      <c r="AQ322" s="67" t="str">
        <f>IF(B322="", "", 'Lighting Inventory'!BA330)</f>
        <v/>
      </c>
      <c r="AR322" s="67" t="str">
        <f>IF(B322="", "", 'Lighting Inventory'!BB330)</f>
        <v/>
      </c>
      <c r="AS322" s="67" t="str">
        <f>IF(B322="", "", 'Lighting Inventory'!BC330)</f>
        <v/>
      </c>
      <c r="AT322" s="67" t="str">
        <f>IF(B322="", "", 'Lighting Inventory'!BD330)</f>
        <v/>
      </c>
      <c r="AU322" s="67" t="str">
        <f>IF(B322="", "", 'Lighting Inventory'!BE330)</f>
        <v/>
      </c>
      <c r="AV322" s="67" t="str">
        <f>IF(B322="", "", 'Lighting Inventory'!BE330)</f>
        <v/>
      </c>
      <c r="AW322" s="67" t="str">
        <f>IF(B322="", "", 'Lighting Inventory'!BF330)</f>
        <v/>
      </c>
      <c r="AX322" s="67" t="str">
        <f>IF(B322="", "", 'Lighting Inventory'!BF330)</f>
        <v/>
      </c>
      <c r="AY322" s="65" t="str">
        <f t="shared" si="19"/>
        <v/>
      </c>
      <c r="AZ322" s="65" t="str">
        <f>IF(B322="", "", 'Lighting Inventory'!BJ330)</f>
        <v/>
      </c>
      <c r="BA322" s="65" t="str">
        <f>IF(B322="", "", 'Lighting Inventory'!BM330)</f>
        <v/>
      </c>
      <c r="BB322" s="65" t="str">
        <f>IF(B322="","",SUM('Lighting Inventory'!BP330:BP330))</f>
        <v/>
      </c>
      <c r="BC322" s="67" t="str">
        <f>IF(OR(AE322="", B322=""),"", 'Lighting Inventory'!GR330)</f>
        <v/>
      </c>
      <c r="BD322" s="67" t="str">
        <f>IFERROR(IF(B322="", "", 'Lighting Inventory'!AF330)*AD322," ")</f>
        <v xml:space="preserve"> </v>
      </c>
      <c r="BE322" s="67"/>
      <c r="BF322" s="67"/>
    </row>
    <row r="323" spans="1:58" x14ac:dyDescent="0.25">
      <c r="A323" s="26" t="str">
        <f>IF(B323="", "", 'Lookup Tables'!AW324)</f>
        <v/>
      </c>
      <c r="B323" s="26" t="str">
        <f>IF(OR('Lighting Inventory'!Y331="", 'Lighting Inventory'!V331="No Change"),"", 'Lighting Inventory'!Y331)</f>
        <v/>
      </c>
      <c r="C323" s="26" t="str">
        <f>IF(B323="", "", IF('Lighting Inventory'!Y331='Lookup Tables'!$Y$32, 'Lighting Inventory'!AJ331, IF(AD323=0, R323, AD323)))</f>
        <v/>
      </c>
      <c r="D323" s="26" t="str">
        <f>IF(B323="", "", 'General Information'!$F$14)</f>
        <v/>
      </c>
      <c r="E323" s="26" t="str">
        <f t="shared" si="17"/>
        <v/>
      </c>
      <c r="F323" s="26" t="str">
        <f>IF(B323="", "", CONCATENATE('General Information'!$F$9, " - ", 'General Information'!$F$14))</f>
        <v/>
      </c>
      <c r="G323" s="26" t="str">
        <f>IF(B323="", "", 'General Information'!$F$15)</f>
        <v/>
      </c>
      <c r="H323" s="26" t="str">
        <f>IF(B323="", "", IF(VLOOKUP(B323, 'Lookup Tables'!$Y$18:$AA$34, 2, FALSE)="Traffic", VLOOKUP('Lighting Inventory'!W331, 'Lookup Tables'!#REF!, 11, FALSE), VLOOKUP(B323, 'Lookup Tables'!$Y$18:$AA$34, 2, FALSE)))</f>
        <v/>
      </c>
      <c r="I323" s="26" t="str">
        <f>IF(B323="", "", CONCATENATE(D323, 'Data Export'!A323))</f>
        <v/>
      </c>
      <c r="J323" s="26" t="str">
        <f>IF(B323="", "", 'Lookup Tables'!$B$1)</f>
        <v/>
      </c>
      <c r="K323" s="26" t="str">
        <f>IF(B323="", "", 'Lighting Inventory'!B331)</f>
        <v/>
      </c>
      <c r="L323" s="26" t="str">
        <f>IF(B323="", "", 'Lighting Inventory'!C331)</f>
        <v/>
      </c>
      <c r="M323" s="26" t="str">
        <f>IF(B323="", "",'Lighting Inventory'!D331)</f>
        <v/>
      </c>
      <c r="N323" s="26" t="str">
        <f>IF(B323="", "",'Lighting Inventory'!E331)</f>
        <v/>
      </c>
      <c r="O323" s="26" t="str">
        <f>IF(B323="", "", 'Lighting Inventory'!F331)</f>
        <v/>
      </c>
      <c r="P323" s="26" t="str">
        <f>IF(B323="", "", 'Lighting Inventory'!G331)</f>
        <v/>
      </c>
      <c r="Q323" s="26" t="str">
        <f>IF(B323="", "", 'Lighting Inventory'!H331)</f>
        <v/>
      </c>
      <c r="R323" s="26" t="str">
        <f>IF(B323="", "", 'Lighting Inventory'!I331)</f>
        <v/>
      </c>
      <c r="S323" s="26" t="str">
        <f>IF(B323="", "", 'Lighting Inventory'!J331)</f>
        <v/>
      </c>
      <c r="T323" s="26" t="str">
        <f>IFERROR(IF(B323="","",VLOOKUP(S323,'Fixture Identities'!$A$7:$G$1023,5,FALSE)), "New Construction")</f>
        <v/>
      </c>
      <c r="U323" s="26" t="str">
        <f>IFERROR(IF(B323="", "", IF(K323="New Construction", "NC", IF(VLOOKUP(S323, 'Fixture Identities'!$A$7:$I$1023,3, FALSE)="T12 Linear Fluorescent", VLOOKUP(S323, 'Fixture Identities'!$A$7:$K$1012, 11, FALSE), S323))), "")</f>
        <v/>
      </c>
      <c r="V323" s="26" t="str">
        <f>IFERROR(IF(OR(B323="", U323=0), "", VLOOKUP(U323, 'Fixture Identities'!$A$7:$G$1023, 5, FALSE)), "")</f>
        <v/>
      </c>
      <c r="W323" s="26" t="str">
        <f>IF(B323="", "",'Lighting Inventory'!K331)</f>
        <v/>
      </c>
      <c r="X323" s="65" t="str">
        <f>IF(B323="", "", 'Lighting Inventory'!L331)</f>
        <v/>
      </c>
      <c r="Y323" s="26" t="str">
        <f>IF(B323="", "", IF('Lighting Inventory'!M331="", "Light Switch",'Lighting Inventory'!M331))</f>
        <v/>
      </c>
      <c r="Z323" s="26" t="str">
        <f>IF(OR(K323="Retrofit", B323=""), "", 'Lighting Inventory'!N331)</f>
        <v/>
      </c>
      <c r="AA323" s="26" t="str">
        <f>IF(OR(Z323="",B323=""), "", 'Lighting Inventory'!O331)</f>
        <v/>
      </c>
      <c r="AB323" s="26" t="str">
        <f>IF(B323="", "", 'Lighting Inventory'!P331)</f>
        <v/>
      </c>
      <c r="AC323" s="96" t="str">
        <f>IF(B323="", "", 'Lighting Inventory'!R331)</f>
        <v/>
      </c>
      <c r="AD323" s="26" t="str">
        <f>IF(B323="", "", 'Lighting Inventory'!S331)</f>
        <v/>
      </c>
      <c r="AE323" s="26" t="str">
        <f>IF(B323="", "", 'Lighting Inventory'!V331)</f>
        <v/>
      </c>
      <c r="AF323" s="26" t="str">
        <f>IF(B323="", "", 'Lighting Inventory'!W331)</f>
        <v/>
      </c>
      <c r="AG323" s="26" t="str">
        <f>IF(OR(AF323="", B323=""), "", IF(AE323="Custom", "0", VLOOKUP(AF323, 'Lookup Tables'!$AI$6:$AP$102, 8, FALSE)))</f>
        <v/>
      </c>
      <c r="AH323" s="26" t="str">
        <f>IF(B323="", "", 'Lighting Inventory'!AD331)</f>
        <v/>
      </c>
      <c r="AI323" s="26" t="str">
        <f>IF(OR('Lighting Inventory'!AK331="", B323=""), "", 'Lighting Inventory'!AK331)</f>
        <v/>
      </c>
      <c r="AJ323" s="66" t="str">
        <f>IF(B323="", "", 'Lighting Inventory'!AL331)</f>
        <v/>
      </c>
      <c r="AK323" s="65" t="str">
        <f>IF(B323="", "", 'Lighting Inventory'!AM331)</f>
        <v/>
      </c>
      <c r="AL323" s="26" t="str">
        <f>IF(B323="", "", 'Lighting Inventory'!AN331)</f>
        <v/>
      </c>
      <c r="AM323" s="26" t="str">
        <f t="shared" si="18"/>
        <v/>
      </c>
      <c r="AN323" s="26" t="str">
        <f>IF(B323="","",IF('Lighting Inventory'!AV331="","Prescribed",'Lighting Inventory'!AV331))</f>
        <v/>
      </c>
      <c r="AO323" s="66" t="str">
        <f>IF(B323="", "", 'Lighting Inventory'!AX331)</f>
        <v/>
      </c>
      <c r="AP323" s="67" t="str">
        <f>IF(B323="", "", 'Lighting Inventory'!AZ331)</f>
        <v/>
      </c>
      <c r="AQ323" s="67" t="str">
        <f>IF(B323="", "", 'Lighting Inventory'!BA331)</f>
        <v/>
      </c>
      <c r="AR323" s="67" t="str">
        <f>IF(B323="", "", 'Lighting Inventory'!BB331)</f>
        <v/>
      </c>
      <c r="AS323" s="67" t="str">
        <f>IF(B323="", "", 'Lighting Inventory'!BC331)</f>
        <v/>
      </c>
      <c r="AT323" s="67" t="str">
        <f>IF(B323="", "", 'Lighting Inventory'!BD331)</f>
        <v/>
      </c>
      <c r="AU323" s="67" t="str">
        <f>IF(B323="", "", 'Lighting Inventory'!BE331)</f>
        <v/>
      </c>
      <c r="AV323" s="67" t="str">
        <f>IF(B323="", "", 'Lighting Inventory'!BE331)</f>
        <v/>
      </c>
      <c r="AW323" s="67" t="str">
        <f>IF(B323="", "", 'Lighting Inventory'!BF331)</f>
        <v/>
      </c>
      <c r="AX323" s="67" t="str">
        <f>IF(B323="", "", 'Lighting Inventory'!BF331)</f>
        <v/>
      </c>
      <c r="AY323" s="65" t="str">
        <f t="shared" si="19"/>
        <v/>
      </c>
      <c r="AZ323" s="65" t="str">
        <f>IF(B323="", "", 'Lighting Inventory'!BJ331)</f>
        <v/>
      </c>
      <c r="BA323" s="65" t="str">
        <f>IF(B323="", "", 'Lighting Inventory'!BM331)</f>
        <v/>
      </c>
      <c r="BB323" s="65" t="str">
        <f>IF(B323="","",SUM('Lighting Inventory'!BP331:BP331))</f>
        <v/>
      </c>
      <c r="BC323" s="67" t="str">
        <f>IF(OR(AE323="", B323=""),"", 'Lighting Inventory'!GR331)</f>
        <v/>
      </c>
      <c r="BD323" s="67" t="str">
        <f>IFERROR(IF(B323="", "", 'Lighting Inventory'!AF331)*AD323," ")</f>
        <v xml:space="preserve"> </v>
      </c>
      <c r="BE323" s="67"/>
      <c r="BF323" s="67"/>
    </row>
    <row r="324" spans="1:58" x14ac:dyDescent="0.25">
      <c r="A324" s="26" t="str">
        <f>IF(B324="", "", 'Lookup Tables'!AW325)</f>
        <v/>
      </c>
      <c r="B324" s="26" t="str">
        <f>IF(OR('Lighting Inventory'!Y332="", 'Lighting Inventory'!V332="No Change"),"", 'Lighting Inventory'!Y332)</f>
        <v/>
      </c>
      <c r="C324" s="26" t="str">
        <f>IF(B324="", "", IF('Lighting Inventory'!Y332='Lookup Tables'!$Y$32, 'Lighting Inventory'!AJ332, IF(AD324=0, R324, AD324)))</f>
        <v/>
      </c>
      <c r="D324" s="26" t="str">
        <f>IF(B324="", "", 'General Information'!$F$14)</f>
        <v/>
      </c>
      <c r="E324" s="26" t="str">
        <f t="shared" si="17"/>
        <v/>
      </c>
      <c r="F324" s="26" t="str">
        <f>IF(B324="", "", CONCATENATE('General Information'!$F$9, " - ", 'General Information'!$F$14))</f>
        <v/>
      </c>
      <c r="G324" s="26" t="str">
        <f>IF(B324="", "", 'General Information'!$F$15)</f>
        <v/>
      </c>
      <c r="H324" s="26" t="str">
        <f>IF(B324="", "", IF(VLOOKUP(B324, 'Lookup Tables'!$Y$18:$AA$34, 2, FALSE)="Traffic", VLOOKUP('Lighting Inventory'!W332, 'Lookup Tables'!#REF!, 11, FALSE), VLOOKUP(B324, 'Lookup Tables'!$Y$18:$AA$34, 2, FALSE)))</f>
        <v/>
      </c>
      <c r="I324" s="26" t="str">
        <f>IF(B324="", "", CONCATENATE(D324, 'Data Export'!A324))</f>
        <v/>
      </c>
      <c r="J324" s="26" t="str">
        <f>IF(B324="", "", 'Lookup Tables'!$B$1)</f>
        <v/>
      </c>
      <c r="K324" s="26" t="str">
        <f>IF(B324="", "", 'Lighting Inventory'!B332)</f>
        <v/>
      </c>
      <c r="L324" s="26" t="str">
        <f>IF(B324="", "", 'Lighting Inventory'!C332)</f>
        <v/>
      </c>
      <c r="M324" s="26" t="str">
        <f>IF(B324="", "",'Lighting Inventory'!D332)</f>
        <v/>
      </c>
      <c r="N324" s="26" t="str">
        <f>IF(B324="", "",'Lighting Inventory'!E332)</f>
        <v/>
      </c>
      <c r="O324" s="26" t="str">
        <f>IF(B324="", "", 'Lighting Inventory'!F332)</f>
        <v/>
      </c>
      <c r="P324" s="26" t="str">
        <f>IF(B324="", "", 'Lighting Inventory'!G332)</f>
        <v/>
      </c>
      <c r="Q324" s="26" t="str">
        <f>IF(B324="", "", 'Lighting Inventory'!H332)</f>
        <v/>
      </c>
      <c r="R324" s="26" t="str">
        <f>IF(B324="", "", 'Lighting Inventory'!I332)</f>
        <v/>
      </c>
      <c r="S324" s="26" t="str">
        <f>IF(B324="", "", 'Lighting Inventory'!J332)</f>
        <v/>
      </c>
      <c r="T324" s="26" t="str">
        <f>IFERROR(IF(B324="","",VLOOKUP(S324,'Fixture Identities'!$A$7:$G$1023,5,FALSE)), "New Construction")</f>
        <v/>
      </c>
      <c r="U324" s="26" t="str">
        <f>IFERROR(IF(B324="", "", IF(K324="New Construction", "NC", IF(VLOOKUP(S324, 'Fixture Identities'!$A$7:$I$1023,3, FALSE)="T12 Linear Fluorescent", VLOOKUP(S324, 'Fixture Identities'!$A$7:$K$1012, 11, FALSE), S324))), "")</f>
        <v/>
      </c>
      <c r="V324" s="26" t="str">
        <f>IFERROR(IF(OR(B324="", U324=0), "", VLOOKUP(U324, 'Fixture Identities'!$A$7:$G$1023, 5, FALSE)), "")</f>
        <v/>
      </c>
      <c r="W324" s="26" t="str">
        <f>IF(B324="", "",'Lighting Inventory'!K332)</f>
        <v/>
      </c>
      <c r="X324" s="65" t="str">
        <f>IF(B324="", "", 'Lighting Inventory'!L332)</f>
        <v/>
      </c>
      <c r="Y324" s="26" t="str">
        <f>IF(B324="", "", IF('Lighting Inventory'!M332="", "Light Switch",'Lighting Inventory'!M332))</f>
        <v/>
      </c>
      <c r="Z324" s="26" t="str">
        <f>IF(OR(K324="Retrofit", B324=""), "", 'Lighting Inventory'!N332)</f>
        <v/>
      </c>
      <c r="AA324" s="26" t="str">
        <f>IF(OR(Z324="",B324=""), "", 'Lighting Inventory'!O332)</f>
        <v/>
      </c>
      <c r="AB324" s="26" t="str">
        <f>IF(B324="", "", 'Lighting Inventory'!P332)</f>
        <v/>
      </c>
      <c r="AC324" s="96" t="str">
        <f>IF(B324="", "", 'Lighting Inventory'!R332)</f>
        <v/>
      </c>
      <c r="AD324" s="26" t="str">
        <f>IF(B324="", "", 'Lighting Inventory'!S332)</f>
        <v/>
      </c>
      <c r="AE324" s="26" t="str">
        <f>IF(B324="", "", 'Lighting Inventory'!V332)</f>
        <v/>
      </c>
      <c r="AF324" s="26" t="str">
        <f>IF(B324="", "", 'Lighting Inventory'!W332)</f>
        <v/>
      </c>
      <c r="AG324" s="26" t="str">
        <f>IF(OR(AF324="", B324=""), "", IF(AE324="Custom", "0", VLOOKUP(AF324, 'Lookup Tables'!$AI$6:$AP$102, 8, FALSE)))</f>
        <v/>
      </c>
      <c r="AH324" s="26" t="str">
        <f>IF(B324="", "", 'Lighting Inventory'!AD332)</f>
        <v/>
      </c>
      <c r="AI324" s="26" t="str">
        <f>IF(OR('Lighting Inventory'!AK332="", B324=""), "", 'Lighting Inventory'!AK332)</f>
        <v/>
      </c>
      <c r="AJ324" s="66" t="str">
        <f>IF(B324="", "", 'Lighting Inventory'!AL332)</f>
        <v/>
      </c>
      <c r="AK324" s="65" t="str">
        <f>IF(B324="", "", 'Lighting Inventory'!AM332)</f>
        <v/>
      </c>
      <c r="AL324" s="26" t="str">
        <f>IF(B324="", "", 'Lighting Inventory'!AN332)</f>
        <v/>
      </c>
      <c r="AM324" s="26" t="str">
        <f t="shared" si="18"/>
        <v/>
      </c>
      <c r="AN324" s="26" t="str">
        <f>IF(B324="","",IF('Lighting Inventory'!AV332="","Prescribed",'Lighting Inventory'!AV332))</f>
        <v/>
      </c>
      <c r="AO324" s="66" t="str">
        <f>IF(B324="", "", 'Lighting Inventory'!AX332)</f>
        <v/>
      </c>
      <c r="AP324" s="67" t="str">
        <f>IF(B324="", "", 'Lighting Inventory'!AZ332)</f>
        <v/>
      </c>
      <c r="AQ324" s="67" t="str">
        <f>IF(B324="", "", 'Lighting Inventory'!BA332)</f>
        <v/>
      </c>
      <c r="AR324" s="67" t="str">
        <f>IF(B324="", "", 'Lighting Inventory'!BB332)</f>
        <v/>
      </c>
      <c r="AS324" s="67" t="str">
        <f>IF(B324="", "", 'Lighting Inventory'!BC332)</f>
        <v/>
      </c>
      <c r="AT324" s="67" t="str">
        <f>IF(B324="", "", 'Lighting Inventory'!BD332)</f>
        <v/>
      </c>
      <c r="AU324" s="67" t="str">
        <f>IF(B324="", "", 'Lighting Inventory'!BE332)</f>
        <v/>
      </c>
      <c r="AV324" s="67" t="str">
        <f>IF(B324="", "", 'Lighting Inventory'!BE332)</f>
        <v/>
      </c>
      <c r="AW324" s="67" t="str">
        <f>IF(B324="", "", 'Lighting Inventory'!BF332)</f>
        <v/>
      </c>
      <c r="AX324" s="67" t="str">
        <f>IF(B324="", "", 'Lighting Inventory'!BF332)</f>
        <v/>
      </c>
      <c r="AY324" s="65" t="str">
        <f t="shared" si="19"/>
        <v/>
      </c>
      <c r="AZ324" s="65" t="str">
        <f>IF(B324="", "", 'Lighting Inventory'!BJ332)</f>
        <v/>
      </c>
      <c r="BA324" s="65" t="str">
        <f>IF(B324="", "", 'Lighting Inventory'!BM332)</f>
        <v/>
      </c>
      <c r="BB324" s="65" t="str">
        <f>IF(B324="","",SUM('Lighting Inventory'!BP332:BP332))</f>
        <v/>
      </c>
      <c r="BC324" s="67" t="str">
        <f>IF(OR(AE324="", B324=""),"", 'Lighting Inventory'!GR332)</f>
        <v/>
      </c>
      <c r="BD324" s="67" t="str">
        <f>IFERROR(IF(B324="", "", 'Lighting Inventory'!AF332)*AD324," ")</f>
        <v xml:space="preserve"> </v>
      </c>
      <c r="BE324" s="67"/>
      <c r="BF324" s="67"/>
    </row>
    <row r="325" spans="1:58" x14ac:dyDescent="0.25">
      <c r="A325" s="26" t="str">
        <f>IF(B325="", "", 'Lookup Tables'!AW326)</f>
        <v/>
      </c>
      <c r="B325" s="26" t="str">
        <f>IF(OR('Lighting Inventory'!Y333="", 'Lighting Inventory'!V333="No Change"),"", 'Lighting Inventory'!Y333)</f>
        <v/>
      </c>
      <c r="C325" s="26" t="str">
        <f>IF(B325="", "", IF('Lighting Inventory'!Y333='Lookup Tables'!$Y$32, 'Lighting Inventory'!AJ333, IF(AD325=0, R325, AD325)))</f>
        <v/>
      </c>
      <c r="D325" s="26" t="str">
        <f>IF(B325="", "", 'General Information'!$F$14)</f>
        <v/>
      </c>
      <c r="E325" s="26" t="str">
        <f t="shared" si="17"/>
        <v/>
      </c>
      <c r="F325" s="26" t="str">
        <f>IF(B325="", "", CONCATENATE('General Information'!$F$9, " - ", 'General Information'!$F$14))</f>
        <v/>
      </c>
      <c r="G325" s="26" t="str">
        <f>IF(B325="", "", 'General Information'!$F$15)</f>
        <v/>
      </c>
      <c r="H325" s="26" t="str">
        <f>IF(B325="", "", IF(VLOOKUP(B325, 'Lookup Tables'!$Y$18:$AA$34, 2, FALSE)="Traffic", VLOOKUP('Lighting Inventory'!W333, 'Lookup Tables'!#REF!, 11, FALSE), VLOOKUP(B325, 'Lookup Tables'!$Y$18:$AA$34, 2, FALSE)))</f>
        <v/>
      </c>
      <c r="I325" s="26" t="str">
        <f>IF(B325="", "", CONCATENATE(D325, 'Data Export'!A325))</f>
        <v/>
      </c>
      <c r="J325" s="26" t="str">
        <f>IF(B325="", "", 'Lookup Tables'!$B$1)</f>
        <v/>
      </c>
      <c r="K325" s="26" t="str">
        <f>IF(B325="", "", 'Lighting Inventory'!B333)</f>
        <v/>
      </c>
      <c r="L325" s="26" t="str">
        <f>IF(B325="", "", 'Lighting Inventory'!C333)</f>
        <v/>
      </c>
      <c r="M325" s="26" t="str">
        <f>IF(B325="", "",'Lighting Inventory'!D333)</f>
        <v/>
      </c>
      <c r="N325" s="26" t="str">
        <f>IF(B325="", "",'Lighting Inventory'!E333)</f>
        <v/>
      </c>
      <c r="O325" s="26" t="str">
        <f>IF(B325="", "", 'Lighting Inventory'!F333)</f>
        <v/>
      </c>
      <c r="P325" s="26" t="str">
        <f>IF(B325="", "", 'Lighting Inventory'!G333)</f>
        <v/>
      </c>
      <c r="Q325" s="26" t="str">
        <f>IF(B325="", "", 'Lighting Inventory'!H333)</f>
        <v/>
      </c>
      <c r="R325" s="26" t="str">
        <f>IF(B325="", "", 'Lighting Inventory'!I333)</f>
        <v/>
      </c>
      <c r="S325" s="26" t="str">
        <f>IF(B325="", "", 'Lighting Inventory'!J333)</f>
        <v/>
      </c>
      <c r="T325" s="26" t="str">
        <f>IFERROR(IF(B325="","",VLOOKUP(S325,'Fixture Identities'!$A$7:$G$1023,5,FALSE)), "New Construction")</f>
        <v/>
      </c>
      <c r="U325" s="26" t="str">
        <f>IFERROR(IF(B325="", "", IF(K325="New Construction", "NC", IF(VLOOKUP(S325, 'Fixture Identities'!$A$7:$I$1023,3, FALSE)="T12 Linear Fluorescent", VLOOKUP(S325, 'Fixture Identities'!$A$7:$K$1012, 11, FALSE), S325))), "")</f>
        <v/>
      </c>
      <c r="V325" s="26" t="str">
        <f>IFERROR(IF(OR(B325="", U325=0), "", VLOOKUP(U325, 'Fixture Identities'!$A$7:$G$1023, 5, FALSE)), "")</f>
        <v/>
      </c>
      <c r="W325" s="26" t="str">
        <f>IF(B325="", "",'Lighting Inventory'!K333)</f>
        <v/>
      </c>
      <c r="X325" s="65" t="str">
        <f>IF(B325="", "", 'Lighting Inventory'!L333)</f>
        <v/>
      </c>
      <c r="Y325" s="26" t="str">
        <f>IF(B325="", "", IF('Lighting Inventory'!M333="", "Light Switch",'Lighting Inventory'!M333))</f>
        <v/>
      </c>
      <c r="Z325" s="26" t="str">
        <f>IF(OR(K325="Retrofit", B325=""), "", 'Lighting Inventory'!N333)</f>
        <v/>
      </c>
      <c r="AA325" s="26" t="str">
        <f>IF(OR(Z325="",B325=""), "", 'Lighting Inventory'!O333)</f>
        <v/>
      </c>
      <c r="AB325" s="26" t="str">
        <f>IF(B325="", "", 'Lighting Inventory'!P333)</f>
        <v/>
      </c>
      <c r="AC325" s="96" t="str">
        <f>IF(B325="", "", 'Lighting Inventory'!R333)</f>
        <v/>
      </c>
      <c r="AD325" s="26" t="str">
        <f>IF(B325="", "", 'Lighting Inventory'!S333)</f>
        <v/>
      </c>
      <c r="AE325" s="26" t="str">
        <f>IF(B325="", "", 'Lighting Inventory'!V333)</f>
        <v/>
      </c>
      <c r="AF325" s="26" t="str">
        <f>IF(B325="", "", 'Lighting Inventory'!W333)</f>
        <v/>
      </c>
      <c r="AG325" s="26" t="str">
        <f>IF(OR(AF325="", B325=""), "", IF(AE325="Custom", "0", VLOOKUP(AF325, 'Lookup Tables'!$AI$6:$AP$102, 8, FALSE)))</f>
        <v/>
      </c>
      <c r="AH325" s="26" t="str">
        <f>IF(B325="", "", 'Lighting Inventory'!AD333)</f>
        <v/>
      </c>
      <c r="AI325" s="26" t="str">
        <f>IF(OR('Lighting Inventory'!AK333="", B325=""), "", 'Lighting Inventory'!AK333)</f>
        <v/>
      </c>
      <c r="AJ325" s="66" t="str">
        <f>IF(B325="", "", 'Lighting Inventory'!AL333)</f>
        <v/>
      </c>
      <c r="AK325" s="65" t="str">
        <f>IF(B325="", "", 'Lighting Inventory'!AM333)</f>
        <v/>
      </c>
      <c r="AL325" s="26" t="str">
        <f>IF(B325="", "", 'Lighting Inventory'!AN333)</f>
        <v/>
      </c>
      <c r="AM325" s="26" t="str">
        <f t="shared" si="18"/>
        <v/>
      </c>
      <c r="AN325" s="26" t="str">
        <f>IF(B325="","",IF('Lighting Inventory'!AV333="","Prescribed",'Lighting Inventory'!AV333))</f>
        <v/>
      </c>
      <c r="AO325" s="66" t="str">
        <f>IF(B325="", "", 'Lighting Inventory'!AX333)</f>
        <v/>
      </c>
      <c r="AP325" s="67" t="str">
        <f>IF(B325="", "", 'Lighting Inventory'!AZ333)</f>
        <v/>
      </c>
      <c r="AQ325" s="67" t="str">
        <f>IF(B325="", "", 'Lighting Inventory'!BA333)</f>
        <v/>
      </c>
      <c r="AR325" s="67" t="str">
        <f>IF(B325="", "", 'Lighting Inventory'!BB333)</f>
        <v/>
      </c>
      <c r="AS325" s="67" t="str">
        <f>IF(B325="", "", 'Lighting Inventory'!BC333)</f>
        <v/>
      </c>
      <c r="AT325" s="67" t="str">
        <f>IF(B325="", "", 'Lighting Inventory'!BD333)</f>
        <v/>
      </c>
      <c r="AU325" s="67" t="str">
        <f>IF(B325="", "", 'Lighting Inventory'!BE333)</f>
        <v/>
      </c>
      <c r="AV325" s="67" t="str">
        <f>IF(B325="", "", 'Lighting Inventory'!BE333)</f>
        <v/>
      </c>
      <c r="AW325" s="67" t="str">
        <f>IF(B325="", "", 'Lighting Inventory'!BF333)</f>
        <v/>
      </c>
      <c r="AX325" s="67" t="str">
        <f>IF(B325="", "", 'Lighting Inventory'!BF333)</f>
        <v/>
      </c>
      <c r="AY325" s="65" t="str">
        <f t="shared" si="19"/>
        <v/>
      </c>
      <c r="AZ325" s="65" t="str">
        <f>IF(B325="", "", 'Lighting Inventory'!BJ333)</f>
        <v/>
      </c>
      <c r="BA325" s="65" t="str">
        <f>IF(B325="", "", 'Lighting Inventory'!BM333)</f>
        <v/>
      </c>
      <c r="BB325" s="65" t="str">
        <f>IF(B325="","",SUM('Lighting Inventory'!BP333:BP333))</f>
        <v/>
      </c>
      <c r="BC325" s="67" t="str">
        <f>IF(OR(AE325="", B325=""),"", 'Lighting Inventory'!GR333)</f>
        <v/>
      </c>
      <c r="BD325" s="67" t="str">
        <f>IFERROR(IF(B325="", "", 'Lighting Inventory'!AF333)*AD325," ")</f>
        <v xml:space="preserve"> </v>
      </c>
      <c r="BE325" s="67"/>
      <c r="BF325" s="67"/>
    </row>
    <row r="326" spans="1:58" x14ac:dyDescent="0.25">
      <c r="A326" s="26" t="str">
        <f>IF(B326="", "", 'Lookup Tables'!AW327)</f>
        <v/>
      </c>
      <c r="B326" s="26" t="str">
        <f>IF(OR('Lighting Inventory'!Y334="", 'Lighting Inventory'!V334="No Change"),"", 'Lighting Inventory'!Y334)</f>
        <v/>
      </c>
      <c r="C326" s="26" t="str">
        <f>IF(B326="", "", IF('Lighting Inventory'!Y334='Lookup Tables'!$Y$32, 'Lighting Inventory'!AJ334, IF(AD326=0, R326, AD326)))</f>
        <v/>
      </c>
      <c r="D326" s="26" t="str">
        <f>IF(B326="", "", 'General Information'!$F$14)</f>
        <v/>
      </c>
      <c r="E326" s="26" t="str">
        <f t="shared" si="17"/>
        <v/>
      </c>
      <c r="F326" s="26" t="str">
        <f>IF(B326="", "", CONCATENATE('General Information'!$F$9, " - ", 'General Information'!$F$14))</f>
        <v/>
      </c>
      <c r="G326" s="26" t="str">
        <f>IF(B326="", "", 'General Information'!$F$15)</f>
        <v/>
      </c>
      <c r="H326" s="26" t="str">
        <f>IF(B326="", "", IF(VLOOKUP(B326, 'Lookup Tables'!$Y$18:$AA$34, 2, FALSE)="Traffic", VLOOKUP('Lighting Inventory'!W334, 'Lookup Tables'!#REF!, 11, FALSE), VLOOKUP(B326, 'Lookup Tables'!$Y$18:$AA$34, 2, FALSE)))</f>
        <v/>
      </c>
      <c r="I326" s="26" t="str">
        <f>IF(B326="", "", CONCATENATE(D326, 'Data Export'!A326))</f>
        <v/>
      </c>
      <c r="J326" s="26" t="str">
        <f>IF(B326="", "", 'Lookup Tables'!$B$1)</f>
        <v/>
      </c>
      <c r="K326" s="26" t="str">
        <f>IF(B326="", "", 'Lighting Inventory'!B334)</f>
        <v/>
      </c>
      <c r="L326" s="26" t="str">
        <f>IF(B326="", "", 'Lighting Inventory'!C334)</f>
        <v/>
      </c>
      <c r="M326" s="26" t="str">
        <f>IF(B326="", "",'Lighting Inventory'!D334)</f>
        <v/>
      </c>
      <c r="N326" s="26" t="str">
        <f>IF(B326="", "",'Lighting Inventory'!E334)</f>
        <v/>
      </c>
      <c r="O326" s="26" t="str">
        <f>IF(B326="", "", 'Lighting Inventory'!F334)</f>
        <v/>
      </c>
      <c r="P326" s="26" t="str">
        <f>IF(B326="", "", 'Lighting Inventory'!G334)</f>
        <v/>
      </c>
      <c r="Q326" s="26" t="str">
        <f>IF(B326="", "", 'Lighting Inventory'!H334)</f>
        <v/>
      </c>
      <c r="R326" s="26" t="str">
        <f>IF(B326="", "", 'Lighting Inventory'!I334)</f>
        <v/>
      </c>
      <c r="S326" s="26" t="str">
        <f>IF(B326="", "", 'Lighting Inventory'!J334)</f>
        <v/>
      </c>
      <c r="T326" s="26" t="str">
        <f>IFERROR(IF(B326="","",VLOOKUP(S326,'Fixture Identities'!$A$7:$G$1023,5,FALSE)), "New Construction")</f>
        <v/>
      </c>
      <c r="U326" s="26" t="str">
        <f>IFERROR(IF(B326="", "", IF(K326="New Construction", "NC", IF(VLOOKUP(S326, 'Fixture Identities'!$A$7:$I$1023,3, FALSE)="T12 Linear Fluorescent", VLOOKUP(S326, 'Fixture Identities'!$A$7:$K$1012, 11, FALSE), S326))), "")</f>
        <v/>
      </c>
      <c r="V326" s="26" t="str">
        <f>IFERROR(IF(OR(B326="", U326=0), "", VLOOKUP(U326, 'Fixture Identities'!$A$7:$G$1023, 5, FALSE)), "")</f>
        <v/>
      </c>
      <c r="W326" s="26" t="str">
        <f>IF(B326="", "",'Lighting Inventory'!K334)</f>
        <v/>
      </c>
      <c r="X326" s="65" t="str">
        <f>IF(B326="", "", 'Lighting Inventory'!L334)</f>
        <v/>
      </c>
      <c r="Y326" s="26" t="str">
        <f>IF(B326="", "", IF('Lighting Inventory'!M334="", "Light Switch",'Lighting Inventory'!M334))</f>
        <v/>
      </c>
      <c r="Z326" s="26" t="str">
        <f>IF(OR(K326="Retrofit", B326=""), "", 'Lighting Inventory'!N334)</f>
        <v/>
      </c>
      <c r="AA326" s="26" t="str">
        <f>IF(OR(Z326="",B326=""), "", 'Lighting Inventory'!O334)</f>
        <v/>
      </c>
      <c r="AB326" s="26" t="str">
        <f>IF(B326="", "", 'Lighting Inventory'!P334)</f>
        <v/>
      </c>
      <c r="AC326" s="96" t="str">
        <f>IF(B326="", "", 'Lighting Inventory'!R334)</f>
        <v/>
      </c>
      <c r="AD326" s="26" t="str">
        <f>IF(B326="", "", 'Lighting Inventory'!S334)</f>
        <v/>
      </c>
      <c r="AE326" s="26" t="str">
        <f>IF(B326="", "", 'Lighting Inventory'!V334)</f>
        <v/>
      </c>
      <c r="AF326" s="26" t="str">
        <f>IF(B326="", "", 'Lighting Inventory'!W334)</f>
        <v/>
      </c>
      <c r="AG326" s="26" t="str">
        <f>IF(OR(AF326="", B326=""), "", IF(AE326="Custom", "0", VLOOKUP(AF326, 'Lookup Tables'!$AI$6:$AP$102, 8, FALSE)))</f>
        <v/>
      </c>
      <c r="AH326" s="26" t="str">
        <f>IF(B326="", "", 'Lighting Inventory'!AD334)</f>
        <v/>
      </c>
      <c r="AI326" s="26" t="str">
        <f>IF(OR('Lighting Inventory'!AK334="", B326=""), "", 'Lighting Inventory'!AK334)</f>
        <v/>
      </c>
      <c r="AJ326" s="66" t="str">
        <f>IF(B326="", "", 'Lighting Inventory'!AL334)</f>
        <v/>
      </c>
      <c r="AK326" s="65" t="str">
        <f>IF(B326="", "", 'Lighting Inventory'!AM334)</f>
        <v/>
      </c>
      <c r="AL326" s="26" t="str">
        <f>IF(B326="", "", 'Lighting Inventory'!AN334)</f>
        <v/>
      </c>
      <c r="AM326" s="26" t="str">
        <f t="shared" si="18"/>
        <v/>
      </c>
      <c r="AN326" s="26" t="str">
        <f>IF(B326="","",IF('Lighting Inventory'!AV334="","Prescribed",'Lighting Inventory'!AV334))</f>
        <v/>
      </c>
      <c r="AO326" s="66" t="str">
        <f>IF(B326="", "", 'Lighting Inventory'!AX334)</f>
        <v/>
      </c>
      <c r="AP326" s="67" t="str">
        <f>IF(B326="", "", 'Lighting Inventory'!AZ334)</f>
        <v/>
      </c>
      <c r="AQ326" s="67" t="str">
        <f>IF(B326="", "", 'Lighting Inventory'!BA334)</f>
        <v/>
      </c>
      <c r="AR326" s="67" t="str">
        <f>IF(B326="", "", 'Lighting Inventory'!BB334)</f>
        <v/>
      </c>
      <c r="AS326" s="67" t="str">
        <f>IF(B326="", "", 'Lighting Inventory'!BC334)</f>
        <v/>
      </c>
      <c r="AT326" s="67" t="str">
        <f>IF(B326="", "", 'Lighting Inventory'!BD334)</f>
        <v/>
      </c>
      <c r="AU326" s="67" t="str">
        <f>IF(B326="", "", 'Lighting Inventory'!BE334)</f>
        <v/>
      </c>
      <c r="AV326" s="67" t="str">
        <f>IF(B326="", "", 'Lighting Inventory'!BE334)</f>
        <v/>
      </c>
      <c r="AW326" s="67" t="str">
        <f>IF(B326="", "", 'Lighting Inventory'!BF334)</f>
        <v/>
      </c>
      <c r="AX326" s="67" t="str">
        <f>IF(B326="", "", 'Lighting Inventory'!BF334)</f>
        <v/>
      </c>
      <c r="AY326" s="65" t="str">
        <f t="shared" si="19"/>
        <v/>
      </c>
      <c r="AZ326" s="65" t="str">
        <f>IF(B326="", "", 'Lighting Inventory'!BJ334)</f>
        <v/>
      </c>
      <c r="BA326" s="65" t="str">
        <f>IF(B326="", "", 'Lighting Inventory'!BM334)</f>
        <v/>
      </c>
      <c r="BB326" s="65" t="str">
        <f>IF(B326="","",SUM('Lighting Inventory'!BP334:BP334))</f>
        <v/>
      </c>
      <c r="BC326" s="67" t="str">
        <f>IF(OR(AE326="", B326=""),"", 'Lighting Inventory'!GR334)</f>
        <v/>
      </c>
      <c r="BD326" s="67" t="str">
        <f>IFERROR(IF(B326="", "", 'Lighting Inventory'!AF334)*AD326," ")</f>
        <v xml:space="preserve"> </v>
      </c>
      <c r="BE326" s="67"/>
      <c r="BF326" s="67"/>
    </row>
    <row r="327" spans="1:58" x14ac:dyDescent="0.25">
      <c r="A327" s="26" t="str">
        <f>IF(B327="", "", 'Lookup Tables'!AW328)</f>
        <v/>
      </c>
      <c r="B327" s="26" t="str">
        <f>IF(OR('Lighting Inventory'!Y335="", 'Lighting Inventory'!V335="No Change"),"", 'Lighting Inventory'!Y335)</f>
        <v/>
      </c>
      <c r="C327" s="26" t="str">
        <f>IF(B327="", "", IF('Lighting Inventory'!Y335='Lookup Tables'!$Y$32, 'Lighting Inventory'!AJ335, IF(AD327=0, R327, AD327)))</f>
        <v/>
      </c>
      <c r="D327" s="26" t="str">
        <f>IF(B327="", "", 'General Information'!$F$14)</f>
        <v/>
      </c>
      <c r="E327" s="26" t="str">
        <f t="shared" si="17"/>
        <v/>
      </c>
      <c r="F327" s="26" t="str">
        <f>IF(B327="", "", CONCATENATE('General Information'!$F$9, " - ", 'General Information'!$F$14))</f>
        <v/>
      </c>
      <c r="G327" s="26" t="str">
        <f>IF(B327="", "", 'General Information'!$F$15)</f>
        <v/>
      </c>
      <c r="H327" s="26" t="str">
        <f>IF(B327="", "", IF(VLOOKUP(B327, 'Lookup Tables'!$Y$18:$AA$34, 2, FALSE)="Traffic", VLOOKUP('Lighting Inventory'!W335, 'Lookup Tables'!#REF!, 11, FALSE), VLOOKUP(B327, 'Lookup Tables'!$Y$18:$AA$34, 2, FALSE)))</f>
        <v/>
      </c>
      <c r="I327" s="26" t="str">
        <f>IF(B327="", "", CONCATENATE(D327, 'Data Export'!A327))</f>
        <v/>
      </c>
      <c r="J327" s="26" t="str">
        <f>IF(B327="", "", 'Lookup Tables'!$B$1)</f>
        <v/>
      </c>
      <c r="K327" s="26" t="str">
        <f>IF(B327="", "", 'Lighting Inventory'!B335)</f>
        <v/>
      </c>
      <c r="L327" s="26" t="str">
        <f>IF(B327="", "", 'Lighting Inventory'!C335)</f>
        <v/>
      </c>
      <c r="M327" s="26" t="str">
        <f>IF(B327="", "",'Lighting Inventory'!D335)</f>
        <v/>
      </c>
      <c r="N327" s="26" t="str">
        <f>IF(B327="", "",'Lighting Inventory'!E335)</f>
        <v/>
      </c>
      <c r="O327" s="26" t="str">
        <f>IF(B327="", "", 'Lighting Inventory'!F335)</f>
        <v/>
      </c>
      <c r="P327" s="26" t="str">
        <f>IF(B327="", "", 'Lighting Inventory'!G335)</f>
        <v/>
      </c>
      <c r="Q327" s="26" t="str">
        <f>IF(B327="", "", 'Lighting Inventory'!H335)</f>
        <v/>
      </c>
      <c r="R327" s="26" t="str">
        <f>IF(B327="", "", 'Lighting Inventory'!I335)</f>
        <v/>
      </c>
      <c r="S327" s="26" t="str">
        <f>IF(B327="", "", 'Lighting Inventory'!J335)</f>
        <v/>
      </c>
      <c r="T327" s="26" t="str">
        <f>IFERROR(IF(B327="","",VLOOKUP(S327,'Fixture Identities'!$A$7:$G$1023,5,FALSE)), "New Construction")</f>
        <v/>
      </c>
      <c r="U327" s="26" t="str">
        <f>IFERROR(IF(B327="", "", IF(K327="New Construction", "NC", IF(VLOOKUP(S327, 'Fixture Identities'!$A$7:$I$1023,3, FALSE)="T12 Linear Fluorescent", VLOOKUP(S327, 'Fixture Identities'!$A$7:$K$1012, 11, FALSE), S327))), "")</f>
        <v/>
      </c>
      <c r="V327" s="26" t="str">
        <f>IFERROR(IF(OR(B327="", U327=0), "", VLOOKUP(U327, 'Fixture Identities'!$A$7:$G$1023, 5, FALSE)), "")</f>
        <v/>
      </c>
      <c r="W327" s="26" t="str">
        <f>IF(B327="", "",'Lighting Inventory'!K335)</f>
        <v/>
      </c>
      <c r="X327" s="65" t="str">
        <f>IF(B327="", "", 'Lighting Inventory'!L335)</f>
        <v/>
      </c>
      <c r="Y327" s="26" t="str">
        <f>IF(B327="", "", IF('Lighting Inventory'!M335="", "Light Switch",'Lighting Inventory'!M335))</f>
        <v/>
      </c>
      <c r="Z327" s="26" t="str">
        <f>IF(OR(K327="Retrofit", B327=""), "", 'Lighting Inventory'!N335)</f>
        <v/>
      </c>
      <c r="AA327" s="26" t="str">
        <f>IF(OR(Z327="",B327=""), "", 'Lighting Inventory'!O335)</f>
        <v/>
      </c>
      <c r="AB327" s="26" t="str">
        <f>IF(B327="", "", 'Lighting Inventory'!P335)</f>
        <v/>
      </c>
      <c r="AC327" s="96" t="str">
        <f>IF(B327="", "", 'Lighting Inventory'!R335)</f>
        <v/>
      </c>
      <c r="AD327" s="26" t="str">
        <f>IF(B327="", "", 'Lighting Inventory'!S335)</f>
        <v/>
      </c>
      <c r="AE327" s="26" t="str">
        <f>IF(B327="", "", 'Lighting Inventory'!V335)</f>
        <v/>
      </c>
      <c r="AF327" s="26" t="str">
        <f>IF(B327="", "", 'Lighting Inventory'!W335)</f>
        <v/>
      </c>
      <c r="AG327" s="26" t="str">
        <f>IF(OR(AF327="", B327=""), "", IF(AE327="Custom", "0", VLOOKUP(AF327, 'Lookup Tables'!$AI$6:$AP$102, 8, FALSE)))</f>
        <v/>
      </c>
      <c r="AH327" s="26" t="str">
        <f>IF(B327="", "", 'Lighting Inventory'!AD335)</f>
        <v/>
      </c>
      <c r="AI327" s="26" t="str">
        <f>IF(OR('Lighting Inventory'!AK335="", B327=""), "", 'Lighting Inventory'!AK335)</f>
        <v/>
      </c>
      <c r="AJ327" s="66" t="str">
        <f>IF(B327="", "", 'Lighting Inventory'!AL335)</f>
        <v/>
      </c>
      <c r="AK327" s="65" t="str">
        <f>IF(B327="", "", 'Lighting Inventory'!AM335)</f>
        <v/>
      </c>
      <c r="AL327" s="26" t="str">
        <f>IF(B327="", "", 'Lighting Inventory'!AN335)</f>
        <v/>
      </c>
      <c r="AM327" s="26" t="str">
        <f t="shared" si="18"/>
        <v/>
      </c>
      <c r="AN327" s="26" t="str">
        <f>IF(B327="","",IF('Lighting Inventory'!AV335="","Prescribed",'Lighting Inventory'!AV335))</f>
        <v/>
      </c>
      <c r="AO327" s="66" t="str">
        <f>IF(B327="", "", 'Lighting Inventory'!AX335)</f>
        <v/>
      </c>
      <c r="AP327" s="67" t="str">
        <f>IF(B327="", "", 'Lighting Inventory'!AZ335)</f>
        <v/>
      </c>
      <c r="AQ327" s="67" t="str">
        <f>IF(B327="", "", 'Lighting Inventory'!BA335)</f>
        <v/>
      </c>
      <c r="AR327" s="67" t="str">
        <f>IF(B327="", "", 'Lighting Inventory'!BB335)</f>
        <v/>
      </c>
      <c r="AS327" s="67" t="str">
        <f>IF(B327="", "", 'Lighting Inventory'!BC335)</f>
        <v/>
      </c>
      <c r="AT327" s="67" t="str">
        <f>IF(B327="", "", 'Lighting Inventory'!BD335)</f>
        <v/>
      </c>
      <c r="AU327" s="67" t="str">
        <f>IF(B327="", "", 'Lighting Inventory'!BE335)</f>
        <v/>
      </c>
      <c r="AV327" s="67" t="str">
        <f>IF(B327="", "", 'Lighting Inventory'!BE335)</f>
        <v/>
      </c>
      <c r="AW327" s="67" t="str">
        <f>IF(B327="", "", 'Lighting Inventory'!BF335)</f>
        <v/>
      </c>
      <c r="AX327" s="67" t="str">
        <f>IF(B327="", "", 'Lighting Inventory'!BF335)</f>
        <v/>
      </c>
      <c r="AY327" s="65" t="str">
        <f t="shared" si="19"/>
        <v/>
      </c>
      <c r="AZ327" s="65" t="str">
        <f>IF(B327="", "", 'Lighting Inventory'!BJ335)</f>
        <v/>
      </c>
      <c r="BA327" s="65" t="str">
        <f>IF(B327="", "", 'Lighting Inventory'!BM335)</f>
        <v/>
      </c>
      <c r="BB327" s="65" t="str">
        <f>IF(B327="","",SUM('Lighting Inventory'!BP335:BP335))</f>
        <v/>
      </c>
      <c r="BC327" s="67" t="str">
        <f>IF(OR(AE327="", B327=""),"", 'Lighting Inventory'!GR335)</f>
        <v/>
      </c>
      <c r="BD327" s="67" t="str">
        <f>IFERROR(IF(B327="", "", 'Lighting Inventory'!AF335)*AD327," ")</f>
        <v xml:space="preserve"> </v>
      </c>
      <c r="BE327" s="67"/>
      <c r="BF327" s="67"/>
    </row>
    <row r="328" spans="1:58" x14ac:dyDescent="0.25">
      <c r="A328" s="26" t="str">
        <f>IF(B328="", "", 'Lookup Tables'!AW329)</f>
        <v/>
      </c>
      <c r="B328" s="26" t="str">
        <f>IF(OR('Lighting Inventory'!Y336="", 'Lighting Inventory'!V336="No Change"),"", 'Lighting Inventory'!Y336)</f>
        <v/>
      </c>
      <c r="C328" s="26" t="str">
        <f>IF(B328="", "", IF('Lighting Inventory'!Y336='Lookup Tables'!$Y$32, 'Lighting Inventory'!AJ336, IF(AD328=0, R328, AD328)))</f>
        <v/>
      </c>
      <c r="D328" s="26" t="str">
        <f>IF(B328="", "", 'General Information'!$F$14)</f>
        <v/>
      </c>
      <c r="E328" s="26" t="str">
        <f t="shared" si="17"/>
        <v/>
      </c>
      <c r="F328" s="26" t="str">
        <f>IF(B328="", "", CONCATENATE('General Information'!$F$9, " - ", 'General Information'!$F$14))</f>
        <v/>
      </c>
      <c r="G328" s="26" t="str">
        <f>IF(B328="", "", 'General Information'!$F$15)</f>
        <v/>
      </c>
      <c r="H328" s="26" t="str">
        <f>IF(B328="", "", IF(VLOOKUP(B328, 'Lookup Tables'!$Y$18:$AA$34, 2, FALSE)="Traffic", VLOOKUP('Lighting Inventory'!W336, 'Lookup Tables'!#REF!, 11, FALSE), VLOOKUP(B328, 'Lookup Tables'!$Y$18:$AA$34, 2, FALSE)))</f>
        <v/>
      </c>
      <c r="I328" s="26" t="str">
        <f>IF(B328="", "", CONCATENATE(D328, 'Data Export'!A328))</f>
        <v/>
      </c>
      <c r="J328" s="26" t="str">
        <f>IF(B328="", "", 'Lookup Tables'!$B$1)</f>
        <v/>
      </c>
      <c r="K328" s="26" t="str">
        <f>IF(B328="", "", 'Lighting Inventory'!B336)</f>
        <v/>
      </c>
      <c r="L328" s="26" t="str">
        <f>IF(B328="", "", 'Lighting Inventory'!C336)</f>
        <v/>
      </c>
      <c r="M328" s="26" t="str">
        <f>IF(B328="", "",'Lighting Inventory'!D336)</f>
        <v/>
      </c>
      <c r="N328" s="26" t="str">
        <f>IF(B328="", "",'Lighting Inventory'!E336)</f>
        <v/>
      </c>
      <c r="O328" s="26" t="str">
        <f>IF(B328="", "", 'Lighting Inventory'!F336)</f>
        <v/>
      </c>
      <c r="P328" s="26" t="str">
        <f>IF(B328="", "", 'Lighting Inventory'!G336)</f>
        <v/>
      </c>
      <c r="Q328" s="26" t="str">
        <f>IF(B328="", "", 'Lighting Inventory'!H336)</f>
        <v/>
      </c>
      <c r="R328" s="26" t="str">
        <f>IF(B328="", "", 'Lighting Inventory'!I336)</f>
        <v/>
      </c>
      <c r="S328" s="26" t="str">
        <f>IF(B328="", "", 'Lighting Inventory'!J336)</f>
        <v/>
      </c>
      <c r="T328" s="26" t="str">
        <f>IFERROR(IF(B328="","",VLOOKUP(S328,'Fixture Identities'!$A$7:$G$1023,5,FALSE)), "New Construction")</f>
        <v/>
      </c>
      <c r="U328" s="26" t="str">
        <f>IFERROR(IF(B328="", "", IF(K328="New Construction", "NC", IF(VLOOKUP(S328, 'Fixture Identities'!$A$7:$I$1023,3, FALSE)="T12 Linear Fluorescent", VLOOKUP(S328, 'Fixture Identities'!$A$7:$K$1012, 11, FALSE), S328))), "")</f>
        <v/>
      </c>
      <c r="V328" s="26" t="str">
        <f>IFERROR(IF(OR(B328="", U328=0), "", VLOOKUP(U328, 'Fixture Identities'!$A$7:$G$1023, 5, FALSE)), "")</f>
        <v/>
      </c>
      <c r="W328" s="26" t="str">
        <f>IF(B328="", "",'Lighting Inventory'!K336)</f>
        <v/>
      </c>
      <c r="X328" s="65" t="str">
        <f>IF(B328="", "", 'Lighting Inventory'!L336)</f>
        <v/>
      </c>
      <c r="Y328" s="26" t="str">
        <f>IF(B328="", "", IF('Lighting Inventory'!M336="", "Light Switch",'Lighting Inventory'!M336))</f>
        <v/>
      </c>
      <c r="Z328" s="26" t="str">
        <f>IF(OR(K328="Retrofit", B328=""), "", 'Lighting Inventory'!N336)</f>
        <v/>
      </c>
      <c r="AA328" s="26" t="str">
        <f>IF(OR(Z328="",B328=""), "", 'Lighting Inventory'!O336)</f>
        <v/>
      </c>
      <c r="AB328" s="26" t="str">
        <f>IF(B328="", "", 'Lighting Inventory'!P336)</f>
        <v/>
      </c>
      <c r="AC328" s="96" t="str">
        <f>IF(B328="", "", 'Lighting Inventory'!R336)</f>
        <v/>
      </c>
      <c r="AD328" s="26" t="str">
        <f>IF(B328="", "", 'Lighting Inventory'!S336)</f>
        <v/>
      </c>
      <c r="AE328" s="26" t="str">
        <f>IF(B328="", "", 'Lighting Inventory'!V336)</f>
        <v/>
      </c>
      <c r="AF328" s="26" t="str">
        <f>IF(B328="", "", 'Lighting Inventory'!W336)</f>
        <v/>
      </c>
      <c r="AG328" s="26" t="str">
        <f>IF(OR(AF328="", B328=""), "", IF(AE328="Custom", "0", VLOOKUP(AF328, 'Lookup Tables'!$AI$6:$AP$102, 8, FALSE)))</f>
        <v/>
      </c>
      <c r="AH328" s="26" t="str">
        <f>IF(B328="", "", 'Lighting Inventory'!AD336)</f>
        <v/>
      </c>
      <c r="AI328" s="26" t="str">
        <f>IF(OR('Lighting Inventory'!AK336="", B328=""), "", 'Lighting Inventory'!AK336)</f>
        <v/>
      </c>
      <c r="AJ328" s="66" t="str">
        <f>IF(B328="", "", 'Lighting Inventory'!AL336)</f>
        <v/>
      </c>
      <c r="AK328" s="65" t="str">
        <f>IF(B328="", "", 'Lighting Inventory'!AM336)</f>
        <v/>
      </c>
      <c r="AL328" s="26" t="str">
        <f>IF(B328="", "", 'Lighting Inventory'!AN336)</f>
        <v/>
      </c>
      <c r="AM328" s="26" t="str">
        <f t="shared" si="18"/>
        <v/>
      </c>
      <c r="AN328" s="26" t="str">
        <f>IF(B328="","",IF('Lighting Inventory'!AV336="","Prescribed",'Lighting Inventory'!AV336))</f>
        <v/>
      </c>
      <c r="AO328" s="66" t="str">
        <f>IF(B328="", "", 'Lighting Inventory'!AX336)</f>
        <v/>
      </c>
      <c r="AP328" s="67" t="str">
        <f>IF(B328="", "", 'Lighting Inventory'!AZ336)</f>
        <v/>
      </c>
      <c r="AQ328" s="67" t="str">
        <f>IF(B328="", "", 'Lighting Inventory'!BA336)</f>
        <v/>
      </c>
      <c r="AR328" s="67" t="str">
        <f>IF(B328="", "", 'Lighting Inventory'!BB336)</f>
        <v/>
      </c>
      <c r="AS328" s="67" t="str">
        <f>IF(B328="", "", 'Lighting Inventory'!BC336)</f>
        <v/>
      </c>
      <c r="AT328" s="67" t="str">
        <f>IF(B328="", "", 'Lighting Inventory'!BD336)</f>
        <v/>
      </c>
      <c r="AU328" s="67" t="str">
        <f>IF(B328="", "", 'Lighting Inventory'!BE336)</f>
        <v/>
      </c>
      <c r="AV328" s="67" t="str">
        <f>IF(B328="", "", 'Lighting Inventory'!BE336)</f>
        <v/>
      </c>
      <c r="AW328" s="67" t="str">
        <f>IF(B328="", "", 'Lighting Inventory'!BF336)</f>
        <v/>
      </c>
      <c r="AX328" s="67" t="str">
        <f>IF(B328="", "", 'Lighting Inventory'!BF336)</f>
        <v/>
      </c>
      <c r="AY328" s="65" t="str">
        <f t="shared" si="19"/>
        <v/>
      </c>
      <c r="AZ328" s="65" t="str">
        <f>IF(B328="", "", 'Lighting Inventory'!BJ336)</f>
        <v/>
      </c>
      <c r="BA328" s="65" t="str">
        <f>IF(B328="", "", 'Lighting Inventory'!BM336)</f>
        <v/>
      </c>
      <c r="BB328" s="65" t="str">
        <f>IF(B328="","",SUM('Lighting Inventory'!BP336:BP336))</f>
        <v/>
      </c>
      <c r="BC328" s="67" t="str">
        <f>IF(OR(AE328="", B328=""),"", 'Lighting Inventory'!GR336)</f>
        <v/>
      </c>
      <c r="BD328" s="67" t="str">
        <f>IFERROR(IF(B328="", "", 'Lighting Inventory'!AF336)*AD328," ")</f>
        <v xml:space="preserve"> </v>
      </c>
      <c r="BE328" s="67"/>
      <c r="BF328" s="67"/>
    </row>
    <row r="329" spans="1:58" x14ac:dyDescent="0.25">
      <c r="A329" s="26" t="str">
        <f>IF(B329="", "", 'Lookup Tables'!AW330)</f>
        <v/>
      </c>
      <c r="B329" s="26" t="str">
        <f>IF(OR('Lighting Inventory'!Y337="", 'Lighting Inventory'!V337="No Change"),"", 'Lighting Inventory'!Y337)</f>
        <v/>
      </c>
      <c r="C329" s="26" t="str">
        <f>IF(B329="", "", IF('Lighting Inventory'!Y337='Lookup Tables'!$Y$32, 'Lighting Inventory'!AJ337, IF(AD329=0, R329, AD329)))</f>
        <v/>
      </c>
      <c r="D329" s="26" t="str">
        <f>IF(B329="", "", 'General Information'!$F$14)</f>
        <v/>
      </c>
      <c r="E329" s="26" t="str">
        <f t="shared" si="17"/>
        <v/>
      </c>
      <c r="F329" s="26" t="str">
        <f>IF(B329="", "", CONCATENATE('General Information'!$F$9, " - ", 'General Information'!$F$14))</f>
        <v/>
      </c>
      <c r="G329" s="26" t="str">
        <f>IF(B329="", "", 'General Information'!$F$15)</f>
        <v/>
      </c>
      <c r="H329" s="26" t="str">
        <f>IF(B329="", "", IF(VLOOKUP(B329, 'Lookup Tables'!$Y$18:$AA$34, 2, FALSE)="Traffic", VLOOKUP('Lighting Inventory'!W337, 'Lookup Tables'!#REF!, 11, FALSE), VLOOKUP(B329, 'Lookup Tables'!$Y$18:$AA$34, 2, FALSE)))</f>
        <v/>
      </c>
      <c r="I329" s="26" t="str">
        <f>IF(B329="", "", CONCATENATE(D329, 'Data Export'!A329))</f>
        <v/>
      </c>
      <c r="J329" s="26" t="str">
        <f>IF(B329="", "", 'Lookup Tables'!$B$1)</f>
        <v/>
      </c>
      <c r="K329" s="26" t="str">
        <f>IF(B329="", "", 'Lighting Inventory'!B337)</f>
        <v/>
      </c>
      <c r="L329" s="26" t="str">
        <f>IF(B329="", "", 'Lighting Inventory'!C337)</f>
        <v/>
      </c>
      <c r="M329" s="26" t="str">
        <f>IF(B329="", "",'Lighting Inventory'!D337)</f>
        <v/>
      </c>
      <c r="N329" s="26" t="str">
        <f>IF(B329="", "",'Lighting Inventory'!E337)</f>
        <v/>
      </c>
      <c r="O329" s="26" t="str">
        <f>IF(B329="", "", 'Lighting Inventory'!F337)</f>
        <v/>
      </c>
      <c r="P329" s="26" t="str">
        <f>IF(B329="", "", 'Lighting Inventory'!G337)</f>
        <v/>
      </c>
      <c r="Q329" s="26" t="str">
        <f>IF(B329="", "", 'Lighting Inventory'!H337)</f>
        <v/>
      </c>
      <c r="R329" s="26" t="str">
        <f>IF(B329="", "", 'Lighting Inventory'!I337)</f>
        <v/>
      </c>
      <c r="S329" s="26" t="str">
        <f>IF(B329="", "", 'Lighting Inventory'!J337)</f>
        <v/>
      </c>
      <c r="T329" s="26" t="str">
        <f>IFERROR(IF(B329="","",VLOOKUP(S329,'Fixture Identities'!$A$7:$G$1023,5,FALSE)), "New Construction")</f>
        <v/>
      </c>
      <c r="U329" s="26" t="str">
        <f>IFERROR(IF(B329="", "", IF(K329="New Construction", "NC", IF(VLOOKUP(S329, 'Fixture Identities'!$A$7:$I$1023,3, FALSE)="T12 Linear Fluorescent", VLOOKUP(S329, 'Fixture Identities'!$A$7:$K$1012, 11, FALSE), S329))), "")</f>
        <v/>
      </c>
      <c r="V329" s="26" t="str">
        <f>IFERROR(IF(OR(B329="", U329=0), "", VLOOKUP(U329, 'Fixture Identities'!$A$7:$G$1023, 5, FALSE)), "")</f>
        <v/>
      </c>
      <c r="W329" s="26" t="str">
        <f>IF(B329="", "",'Lighting Inventory'!K337)</f>
        <v/>
      </c>
      <c r="X329" s="65" t="str">
        <f>IF(B329="", "", 'Lighting Inventory'!L337)</f>
        <v/>
      </c>
      <c r="Y329" s="26" t="str">
        <f>IF(B329="", "", IF('Lighting Inventory'!M337="", "Light Switch",'Lighting Inventory'!M337))</f>
        <v/>
      </c>
      <c r="Z329" s="26" t="str">
        <f>IF(OR(K329="Retrofit", B329=""), "", 'Lighting Inventory'!N337)</f>
        <v/>
      </c>
      <c r="AA329" s="26" t="str">
        <f>IF(OR(Z329="",B329=""), "", 'Lighting Inventory'!O337)</f>
        <v/>
      </c>
      <c r="AB329" s="26" t="str">
        <f>IF(B329="", "", 'Lighting Inventory'!P337)</f>
        <v/>
      </c>
      <c r="AC329" s="96" t="str">
        <f>IF(B329="", "", 'Lighting Inventory'!R337)</f>
        <v/>
      </c>
      <c r="AD329" s="26" t="str">
        <f>IF(B329="", "", 'Lighting Inventory'!S337)</f>
        <v/>
      </c>
      <c r="AE329" s="26" t="str">
        <f>IF(B329="", "", 'Lighting Inventory'!V337)</f>
        <v/>
      </c>
      <c r="AF329" s="26" t="str">
        <f>IF(B329="", "", 'Lighting Inventory'!W337)</f>
        <v/>
      </c>
      <c r="AG329" s="26" t="str">
        <f>IF(OR(AF329="", B329=""), "", IF(AE329="Custom", "0", VLOOKUP(AF329, 'Lookup Tables'!$AI$6:$AP$102, 8, FALSE)))</f>
        <v/>
      </c>
      <c r="AH329" s="26" t="str">
        <f>IF(B329="", "", 'Lighting Inventory'!AD337)</f>
        <v/>
      </c>
      <c r="AI329" s="26" t="str">
        <f>IF(OR('Lighting Inventory'!AK337="", B329=""), "", 'Lighting Inventory'!AK337)</f>
        <v/>
      </c>
      <c r="AJ329" s="66" t="str">
        <f>IF(B329="", "", 'Lighting Inventory'!AL337)</f>
        <v/>
      </c>
      <c r="AK329" s="65" t="str">
        <f>IF(B329="", "", 'Lighting Inventory'!AM337)</f>
        <v/>
      </c>
      <c r="AL329" s="26" t="str">
        <f>IF(B329="", "", 'Lighting Inventory'!AN337)</f>
        <v/>
      </c>
      <c r="AM329" s="26" t="str">
        <f t="shared" si="18"/>
        <v/>
      </c>
      <c r="AN329" s="26" t="str">
        <f>IF(B329="","",IF('Lighting Inventory'!AV337="","Prescribed",'Lighting Inventory'!AV337))</f>
        <v/>
      </c>
      <c r="AO329" s="66" t="str">
        <f>IF(B329="", "", 'Lighting Inventory'!AX337)</f>
        <v/>
      </c>
      <c r="AP329" s="67" t="str">
        <f>IF(B329="", "", 'Lighting Inventory'!AZ337)</f>
        <v/>
      </c>
      <c r="AQ329" s="67" t="str">
        <f>IF(B329="", "", 'Lighting Inventory'!BA337)</f>
        <v/>
      </c>
      <c r="AR329" s="67" t="str">
        <f>IF(B329="", "", 'Lighting Inventory'!BB337)</f>
        <v/>
      </c>
      <c r="AS329" s="67" t="str">
        <f>IF(B329="", "", 'Lighting Inventory'!BC337)</f>
        <v/>
      </c>
      <c r="AT329" s="67" t="str">
        <f>IF(B329="", "", 'Lighting Inventory'!BD337)</f>
        <v/>
      </c>
      <c r="AU329" s="67" t="str">
        <f>IF(B329="", "", 'Lighting Inventory'!BE337)</f>
        <v/>
      </c>
      <c r="AV329" s="67" t="str">
        <f>IF(B329="", "", 'Lighting Inventory'!BE337)</f>
        <v/>
      </c>
      <c r="AW329" s="67" t="str">
        <f>IF(B329="", "", 'Lighting Inventory'!BF337)</f>
        <v/>
      </c>
      <c r="AX329" s="67" t="str">
        <f>IF(B329="", "", 'Lighting Inventory'!BF337)</f>
        <v/>
      </c>
      <c r="AY329" s="65" t="str">
        <f t="shared" si="19"/>
        <v/>
      </c>
      <c r="AZ329" s="65" t="str">
        <f>IF(B329="", "", 'Lighting Inventory'!BJ337)</f>
        <v/>
      </c>
      <c r="BA329" s="65" t="str">
        <f>IF(B329="", "", 'Lighting Inventory'!BM337)</f>
        <v/>
      </c>
      <c r="BB329" s="65" t="str">
        <f>IF(B329="","",SUM('Lighting Inventory'!BP337:BP337))</f>
        <v/>
      </c>
      <c r="BC329" s="67" t="str">
        <f>IF(OR(AE329="", B329=""),"", 'Lighting Inventory'!GR337)</f>
        <v/>
      </c>
      <c r="BD329" s="67" t="str">
        <f>IFERROR(IF(B329="", "", 'Lighting Inventory'!AF337)*AD329," ")</f>
        <v xml:space="preserve"> </v>
      </c>
      <c r="BE329" s="67"/>
      <c r="BF329" s="67"/>
    </row>
    <row r="330" spans="1:58" x14ac:dyDescent="0.25">
      <c r="A330" s="26" t="str">
        <f>IF(B330="", "", 'Lookup Tables'!AW331)</f>
        <v/>
      </c>
      <c r="B330" s="26" t="str">
        <f>IF(OR('Lighting Inventory'!Y338="", 'Lighting Inventory'!V338="No Change"),"", 'Lighting Inventory'!Y338)</f>
        <v/>
      </c>
      <c r="C330" s="26" t="str">
        <f>IF(B330="", "", IF('Lighting Inventory'!Y338='Lookup Tables'!$Y$32, 'Lighting Inventory'!AJ338, IF(AD330=0, R330, AD330)))</f>
        <v/>
      </c>
      <c r="D330" s="26" t="str">
        <f>IF(B330="", "", 'General Information'!$F$14)</f>
        <v/>
      </c>
      <c r="E330" s="26" t="str">
        <f t="shared" si="17"/>
        <v/>
      </c>
      <c r="F330" s="26" t="str">
        <f>IF(B330="", "", CONCATENATE('General Information'!$F$9, " - ", 'General Information'!$F$14))</f>
        <v/>
      </c>
      <c r="G330" s="26" t="str">
        <f>IF(B330="", "", 'General Information'!$F$15)</f>
        <v/>
      </c>
      <c r="H330" s="26" t="str">
        <f>IF(B330="", "", IF(VLOOKUP(B330, 'Lookup Tables'!$Y$18:$AA$34, 2, FALSE)="Traffic", VLOOKUP('Lighting Inventory'!W338, 'Lookup Tables'!#REF!, 11, FALSE), VLOOKUP(B330, 'Lookup Tables'!$Y$18:$AA$34, 2, FALSE)))</f>
        <v/>
      </c>
      <c r="I330" s="26" t="str">
        <f>IF(B330="", "", CONCATENATE(D330, 'Data Export'!A330))</f>
        <v/>
      </c>
      <c r="J330" s="26" t="str">
        <f>IF(B330="", "", 'Lookup Tables'!$B$1)</f>
        <v/>
      </c>
      <c r="K330" s="26" t="str">
        <f>IF(B330="", "", 'Lighting Inventory'!B338)</f>
        <v/>
      </c>
      <c r="L330" s="26" t="str">
        <f>IF(B330="", "", 'Lighting Inventory'!C338)</f>
        <v/>
      </c>
      <c r="M330" s="26" t="str">
        <f>IF(B330="", "",'Lighting Inventory'!D338)</f>
        <v/>
      </c>
      <c r="N330" s="26" t="str">
        <f>IF(B330="", "",'Lighting Inventory'!E338)</f>
        <v/>
      </c>
      <c r="O330" s="26" t="str">
        <f>IF(B330="", "", 'Lighting Inventory'!F338)</f>
        <v/>
      </c>
      <c r="P330" s="26" t="str">
        <f>IF(B330="", "", 'Lighting Inventory'!G338)</f>
        <v/>
      </c>
      <c r="Q330" s="26" t="str">
        <f>IF(B330="", "", 'Lighting Inventory'!H338)</f>
        <v/>
      </c>
      <c r="R330" s="26" t="str">
        <f>IF(B330="", "", 'Lighting Inventory'!I338)</f>
        <v/>
      </c>
      <c r="S330" s="26" t="str">
        <f>IF(B330="", "", 'Lighting Inventory'!J338)</f>
        <v/>
      </c>
      <c r="T330" s="26" t="str">
        <f>IFERROR(IF(B330="","",VLOOKUP(S330,'Fixture Identities'!$A$7:$G$1023,5,FALSE)), "New Construction")</f>
        <v/>
      </c>
      <c r="U330" s="26" t="str">
        <f>IFERROR(IF(B330="", "", IF(K330="New Construction", "NC", IF(VLOOKUP(S330, 'Fixture Identities'!$A$7:$I$1023,3, FALSE)="T12 Linear Fluorescent", VLOOKUP(S330, 'Fixture Identities'!$A$7:$K$1012, 11, FALSE), S330))), "")</f>
        <v/>
      </c>
      <c r="V330" s="26" t="str">
        <f>IFERROR(IF(OR(B330="", U330=0), "", VLOOKUP(U330, 'Fixture Identities'!$A$7:$G$1023, 5, FALSE)), "")</f>
        <v/>
      </c>
      <c r="W330" s="26" t="str">
        <f>IF(B330="", "",'Lighting Inventory'!K338)</f>
        <v/>
      </c>
      <c r="X330" s="65" t="str">
        <f>IF(B330="", "", 'Lighting Inventory'!L338)</f>
        <v/>
      </c>
      <c r="Y330" s="26" t="str">
        <f>IF(B330="", "", IF('Lighting Inventory'!M338="", "Light Switch",'Lighting Inventory'!M338))</f>
        <v/>
      </c>
      <c r="Z330" s="26" t="str">
        <f>IF(OR(K330="Retrofit", B330=""), "", 'Lighting Inventory'!N338)</f>
        <v/>
      </c>
      <c r="AA330" s="26" t="str">
        <f>IF(OR(Z330="",B330=""), "", 'Lighting Inventory'!O338)</f>
        <v/>
      </c>
      <c r="AB330" s="26" t="str">
        <f>IF(B330="", "", 'Lighting Inventory'!P338)</f>
        <v/>
      </c>
      <c r="AC330" s="96" t="str">
        <f>IF(B330="", "", 'Lighting Inventory'!R338)</f>
        <v/>
      </c>
      <c r="AD330" s="26" t="str">
        <f>IF(B330="", "", 'Lighting Inventory'!S338)</f>
        <v/>
      </c>
      <c r="AE330" s="26" t="str">
        <f>IF(B330="", "", 'Lighting Inventory'!V338)</f>
        <v/>
      </c>
      <c r="AF330" s="26" t="str">
        <f>IF(B330="", "", 'Lighting Inventory'!W338)</f>
        <v/>
      </c>
      <c r="AG330" s="26" t="str">
        <f>IF(OR(AF330="", B330=""), "", IF(AE330="Custom", "0", VLOOKUP(AF330, 'Lookup Tables'!$AI$6:$AP$102, 8, FALSE)))</f>
        <v/>
      </c>
      <c r="AH330" s="26" t="str">
        <f>IF(B330="", "", 'Lighting Inventory'!AD338)</f>
        <v/>
      </c>
      <c r="AI330" s="26" t="str">
        <f>IF(OR('Lighting Inventory'!AK338="", B330=""), "", 'Lighting Inventory'!AK338)</f>
        <v/>
      </c>
      <c r="AJ330" s="66" t="str">
        <f>IF(B330="", "", 'Lighting Inventory'!AL338)</f>
        <v/>
      </c>
      <c r="AK330" s="65" t="str">
        <f>IF(B330="", "", 'Lighting Inventory'!AM338)</f>
        <v/>
      </c>
      <c r="AL330" s="26" t="str">
        <f>IF(B330="", "", 'Lighting Inventory'!AN338)</f>
        <v/>
      </c>
      <c r="AM330" s="26" t="str">
        <f t="shared" si="18"/>
        <v/>
      </c>
      <c r="AN330" s="26" t="str">
        <f>IF(B330="","",IF('Lighting Inventory'!AV338="","Prescribed",'Lighting Inventory'!AV338))</f>
        <v/>
      </c>
      <c r="AO330" s="66" t="str">
        <f>IF(B330="", "", 'Lighting Inventory'!AX338)</f>
        <v/>
      </c>
      <c r="AP330" s="67" t="str">
        <f>IF(B330="", "", 'Lighting Inventory'!AZ338)</f>
        <v/>
      </c>
      <c r="AQ330" s="67" t="str">
        <f>IF(B330="", "", 'Lighting Inventory'!BA338)</f>
        <v/>
      </c>
      <c r="AR330" s="67" t="str">
        <f>IF(B330="", "", 'Lighting Inventory'!BB338)</f>
        <v/>
      </c>
      <c r="AS330" s="67" t="str">
        <f>IF(B330="", "", 'Lighting Inventory'!BC338)</f>
        <v/>
      </c>
      <c r="AT330" s="67" t="str">
        <f>IF(B330="", "", 'Lighting Inventory'!BD338)</f>
        <v/>
      </c>
      <c r="AU330" s="67" t="str">
        <f>IF(B330="", "", 'Lighting Inventory'!BE338)</f>
        <v/>
      </c>
      <c r="AV330" s="67" t="str">
        <f>IF(B330="", "", 'Lighting Inventory'!BE338)</f>
        <v/>
      </c>
      <c r="AW330" s="67" t="str">
        <f>IF(B330="", "", 'Lighting Inventory'!BF338)</f>
        <v/>
      </c>
      <c r="AX330" s="67" t="str">
        <f>IF(B330="", "", 'Lighting Inventory'!BF338)</f>
        <v/>
      </c>
      <c r="AY330" s="65" t="str">
        <f t="shared" si="19"/>
        <v/>
      </c>
      <c r="AZ330" s="65" t="str">
        <f>IF(B330="", "", 'Lighting Inventory'!BJ338)</f>
        <v/>
      </c>
      <c r="BA330" s="65" t="str">
        <f>IF(B330="", "", 'Lighting Inventory'!BM338)</f>
        <v/>
      </c>
      <c r="BB330" s="65" t="str">
        <f>IF(B330="","",SUM('Lighting Inventory'!BP338:BP338))</f>
        <v/>
      </c>
      <c r="BC330" s="67" t="str">
        <f>IF(OR(AE330="", B330=""),"", 'Lighting Inventory'!GR338)</f>
        <v/>
      </c>
      <c r="BD330" s="67" t="str">
        <f>IFERROR(IF(B330="", "", 'Lighting Inventory'!AF338)*AD330," ")</f>
        <v xml:space="preserve"> </v>
      </c>
      <c r="BE330" s="67"/>
      <c r="BF330" s="67"/>
    </row>
    <row r="331" spans="1:58" x14ac:dyDescent="0.25">
      <c r="A331" s="26" t="str">
        <f>IF(B331="", "", 'Lookup Tables'!AW332)</f>
        <v/>
      </c>
      <c r="B331" s="26" t="str">
        <f>IF(OR('Lighting Inventory'!Y339="", 'Lighting Inventory'!V339="No Change"),"", 'Lighting Inventory'!Y339)</f>
        <v/>
      </c>
      <c r="C331" s="26" t="str">
        <f>IF(B331="", "", IF('Lighting Inventory'!Y339='Lookup Tables'!$Y$32, 'Lighting Inventory'!AJ339, IF(AD331=0, R331, AD331)))</f>
        <v/>
      </c>
      <c r="D331" s="26" t="str">
        <f>IF(B331="", "", 'General Information'!$F$14)</f>
        <v/>
      </c>
      <c r="E331" s="26" t="str">
        <f t="shared" si="17"/>
        <v/>
      </c>
      <c r="F331" s="26" t="str">
        <f>IF(B331="", "", CONCATENATE('General Information'!$F$9, " - ", 'General Information'!$F$14))</f>
        <v/>
      </c>
      <c r="G331" s="26" t="str">
        <f>IF(B331="", "", 'General Information'!$F$15)</f>
        <v/>
      </c>
      <c r="H331" s="26" t="str">
        <f>IF(B331="", "", IF(VLOOKUP(B331, 'Lookup Tables'!$Y$18:$AA$34, 2, FALSE)="Traffic", VLOOKUP('Lighting Inventory'!W339, 'Lookup Tables'!#REF!, 11, FALSE), VLOOKUP(B331, 'Lookup Tables'!$Y$18:$AA$34, 2, FALSE)))</f>
        <v/>
      </c>
      <c r="I331" s="26" t="str">
        <f>IF(B331="", "", CONCATENATE(D331, 'Data Export'!A331))</f>
        <v/>
      </c>
      <c r="J331" s="26" t="str">
        <f>IF(B331="", "", 'Lookup Tables'!$B$1)</f>
        <v/>
      </c>
      <c r="K331" s="26" t="str">
        <f>IF(B331="", "", 'Lighting Inventory'!B339)</f>
        <v/>
      </c>
      <c r="L331" s="26" t="str">
        <f>IF(B331="", "", 'Lighting Inventory'!C339)</f>
        <v/>
      </c>
      <c r="M331" s="26" t="str">
        <f>IF(B331="", "",'Lighting Inventory'!D339)</f>
        <v/>
      </c>
      <c r="N331" s="26" t="str">
        <f>IF(B331="", "",'Lighting Inventory'!E339)</f>
        <v/>
      </c>
      <c r="O331" s="26" t="str">
        <f>IF(B331="", "", 'Lighting Inventory'!F339)</f>
        <v/>
      </c>
      <c r="P331" s="26" t="str">
        <f>IF(B331="", "", 'Lighting Inventory'!G339)</f>
        <v/>
      </c>
      <c r="Q331" s="26" t="str">
        <f>IF(B331="", "", 'Lighting Inventory'!H339)</f>
        <v/>
      </c>
      <c r="R331" s="26" t="str">
        <f>IF(B331="", "", 'Lighting Inventory'!I339)</f>
        <v/>
      </c>
      <c r="S331" s="26" t="str">
        <f>IF(B331="", "", 'Lighting Inventory'!J339)</f>
        <v/>
      </c>
      <c r="T331" s="26" t="str">
        <f>IFERROR(IF(B331="","",VLOOKUP(S331,'Fixture Identities'!$A$7:$G$1023,5,FALSE)), "New Construction")</f>
        <v/>
      </c>
      <c r="U331" s="26" t="str">
        <f>IFERROR(IF(B331="", "", IF(K331="New Construction", "NC", IF(VLOOKUP(S331, 'Fixture Identities'!$A$7:$I$1023,3, FALSE)="T12 Linear Fluorescent", VLOOKUP(S331, 'Fixture Identities'!$A$7:$K$1012, 11, FALSE), S331))), "")</f>
        <v/>
      </c>
      <c r="V331" s="26" t="str">
        <f>IFERROR(IF(OR(B331="", U331=0), "", VLOOKUP(U331, 'Fixture Identities'!$A$7:$G$1023, 5, FALSE)), "")</f>
        <v/>
      </c>
      <c r="W331" s="26" t="str">
        <f>IF(B331="", "",'Lighting Inventory'!K339)</f>
        <v/>
      </c>
      <c r="X331" s="65" t="str">
        <f>IF(B331="", "", 'Lighting Inventory'!L339)</f>
        <v/>
      </c>
      <c r="Y331" s="26" t="str">
        <f>IF(B331="", "", IF('Lighting Inventory'!M339="", "Light Switch",'Lighting Inventory'!M339))</f>
        <v/>
      </c>
      <c r="Z331" s="26" t="str">
        <f>IF(OR(K331="Retrofit", B331=""), "", 'Lighting Inventory'!N339)</f>
        <v/>
      </c>
      <c r="AA331" s="26" t="str">
        <f>IF(OR(Z331="",B331=""), "", 'Lighting Inventory'!O339)</f>
        <v/>
      </c>
      <c r="AB331" s="26" t="str">
        <f>IF(B331="", "", 'Lighting Inventory'!P339)</f>
        <v/>
      </c>
      <c r="AC331" s="96" t="str">
        <f>IF(B331="", "", 'Lighting Inventory'!R339)</f>
        <v/>
      </c>
      <c r="AD331" s="26" t="str">
        <f>IF(B331="", "", 'Lighting Inventory'!S339)</f>
        <v/>
      </c>
      <c r="AE331" s="26" t="str">
        <f>IF(B331="", "", 'Lighting Inventory'!V339)</f>
        <v/>
      </c>
      <c r="AF331" s="26" t="str">
        <f>IF(B331="", "", 'Lighting Inventory'!W339)</f>
        <v/>
      </c>
      <c r="AG331" s="26" t="str">
        <f>IF(OR(AF331="", B331=""), "", IF(AE331="Custom", "0", VLOOKUP(AF331, 'Lookup Tables'!$AI$6:$AP$102, 8, FALSE)))</f>
        <v/>
      </c>
      <c r="AH331" s="26" t="str">
        <f>IF(B331="", "", 'Lighting Inventory'!AD339)</f>
        <v/>
      </c>
      <c r="AI331" s="26" t="str">
        <f>IF(OR('Lighting Inventory'!AK339="", B331=""), "", 'Lighting Inventory'!AK339)</f>
        <v/>
      </c>
      <c r="AJ331" s="66" t="str">
        <f>IF(B331="", "", 'Lighting Inventory'!AL339)</f>
        <v/>
      </c>
      <c r="AK331" s="65" t="str">
        <f>IF(B331="", "", 'Lighting Inventory'!AM339)</f>
        <v/>
      </c>
      <c r="AL331" s="26" t="str">
        <f>IF(B331="", "", 'Lighting Inventory'!AN339)</f>
        <v/>
      </c>
      <c r="AM331" s="26" t="str">
        <f t="shared" si="18"/>
        <v/>
      </c>
      <c r="AN331" s="26" t="str">
        <f>IF(B331="","",IF('Lighting Inventory'!AV339="","Prescribed",'Lighting Inventory'!AV339))</f>
        <v/>
      </c>
      <c r="AO331" s="66" t="str">
        <f>IF(B331="", "", 'Lighting Inventory'!AX339)</f>
        <v/>
      </c>
      <c r="AP331" s="67" t="str">
        <f>IF(B331="", "", 'Lighting Inventory'!AZ339)</f>
        <v/>
      </c>
      <c r="AQ331" s="67" t="str">
        <f>IF(B331="", "", 'Lighting Inventory'!BA339)</f>
        <v/>
      </c>
      <c r="AR331" s="67" t="str">
        <f>IF(B331="", "", 'Lighting Inventory'!BB339)</f>
        <v/>
      </c>
      <c r="AS331" s="67" t="str">
        <f>IF(B331="", "", 'Lighting Inventory'!BC339)</f>
        <v/>
      </c>
      <c r="AT331" s="67" t="str">
        <f>IF(B331="", "", 'Lighting Inventory'!BD339)</f>
        <v/>
      </c>
      <c r="AU331" s="67" t="str">
        <f>IF(B331="", "", 'Lighting Inventory'!BE339)</f>
        <v/>
      </c>
      <c r="AV331" s="67" t="str">
        <f>IF(B331="", "", 'Lighting Inventory'!BE339)</f>
        <v/>
      </c>
      <c r="AW331" s="67" t="str">
        <f>IF(B331="", "", 'Lighting Inventory'!BF339)</f>
        <v/>
      </c>
      <c r="AX331" s="67" t="str">
        <f>IF(B331="", "", 'Lighting Inventory'!BF339)</f>
        <v/>
      </c>
      <c r="AY331" s="65" t="str">
        <f t="shared" si="19"/>
        <v/>
      </c>
      <c r="AZ331" s="65" t="str">
        <f>IF(B331="", "", 'Lighting Inventory'!BJ339)</f>
        <v/>
      </c>
      <c r="BA331" s="65" t="str">
        <f>IF(B331="", "", 'Lighting Inventory'!BM339)</f>
        <v/>
      </c>
      <c r="BB331" s="65" t="str">
        <f>IF(B331="","",SUM('Lighting Inventory'!BP339:BP339))</f>
        <v/>
      </c>
      <c r="BC331" s="67" t="str">
        <f>IF(OR(AE331="", B331=""),"", 'Lighting Inventory'!GR339)</f>
        <v/>
      </c>
      <c r="BD331" s="67" t="str">
        <f>IFERROR(IF(B331="", "", 'Lighting Inventory'!AF339)*AD331," ")</f>
        <v xml:space="preserve"> </v>
      </c>
      <c r="BE331" s="67"/>
      <c r="BF331" s="67"/>
    </row>
    <row r="332" spans="1:58" x14ac:dyDescent="0.25">
      <c r="A332" s="26" t="str">
        <f>IF(B332="", "", 'Lookup Tables'!AW333)</f>
        <v/>
      </c>
      <c r="B332" s="26" t="str">
        <f>IF(OR('Lighting Inventory'!Y340="", 'Lighting Inventory'!V340="No Change"),"", 'Lighting Inventory'!Y340)</f>
        <v/>
      </c>
      <c r="C332" s="26" t="str">
        <f>IF(B332="", "", IF('Lighting Inventory'!Y340='Lookup Tables'!$Y$32, 'Lighting Inventory'!AJ340, IF(AD332=0, R332, AD332)))</f>
        <v/>
      </c>
      <c r="D332" s="26" t="str">
        <f>IF(B332="", "", 'General Information'!$F$14)</f>
        <v/>
      </c>
      <c r="E332" s="26" t="str">
        <f t="shared" si="17"/>
        <v/>
      </c>
      <c r="F332" s="26" t="str">
        <f>IF(B332="", "", CONCATENATE('General Information'!$F$9, " - ", 'General Information'!$F$14))</f>
        <v/>
      </c>
      <c r="G332" s="26" t="str">
        <f>IF(B332="", "", 'General Information'!$F$15)</f>
        <v/>
      </c>
      <c r="H332" s="26" t="str">
        <f>IF(B332="", "", IF(VLOOKUP(B332, 'Lookup Tables'!$Y$18:$AA$34, 2, FALSE)="Traffic", VLOOKUP('Lighting Inventory'!W340, 'Lookup Tables'!#REF!, 11, FALSE), VLOOKUP(B332, 'Lookup Tables'!$Y$18:$AA$34, 2, FALSE)))</f>
        <v/>
      </c>
      <c r="I332" s="26" t="str">
        <f>IF(B332="", "", CONCATENATE(D332, 'Data Export'!A332))</f>
        <v/>
      </c>
      <c r="J332" s="26" t="str">
        <f>IF(B332="", "", 'Lookup Tables'!$B$1)</f>
        <v/>
      </c>
      <c r="K332" s="26" t="str">
        <f>IF(B332="", "", 'Lighting Inventory'!B340)</f>
        <v/>
      </c>
      <c r="L332" s="26" t="str">
        <f>IF(B332="", "", 'Lighting Inventory'!C340)</f>
        <v/>
      </c>
      <c r="M332" s="26" t="str">
        <f>IF(B332="", "",'Lighting Inventory'!D340)</f>
        <v/>
      </c>
      <c r="N332" s="26" t="str">
        <f>IF(B332="", "",'Lighting Inventory'!E340)</f>
        <v/>
      </c>
      <c r="O332" s="26" t="str">
        <f>IF(B332="", "", 'Lighting Inventory'!F340)</f>
        <v/>
      </c>
      <c r="P332" s="26" t="str">
        <f>IF(B332="", "", 'Lighting Inventory'!G340)</f>
        <v/>
      </c>
      <c r="Q332" s="26" t="str">
        <f>IF(B332="", "", 'Lighting Inventory'!H340)</f>
        <v/>
      </c>
      <c r="R332" s="26" t="str">
        <f>IF(B332="", "", 'Lighting Inventory'!I340)</f>
        <v/>
      </c>
      <c r="S332" s="26" t="str">
        <f>IF(B332="", "", 'Lighting Inventory'!J340)</f>
        <v/>
      </c>
      <c r="T332" s="26" t="str">
        <f>IFERROR(IF(B332="","",VLOOKUP(S332,'Fixture Identities'!$A$7:$G$1023,5,FALSE)), "New Construction")</f>
        <v/>
      </c>
      <c r="U332" s="26" t="str">
        <f>IFERROR(IF(B332="", "", IF(K332="New Construction", "NC", IF(VLOOKUP(S332, 'Fixture Identities'!$A$7:$I$1023,3, FALSE)="T12 Linear Fluorescent", VLOOKUP(S332, 'Fixture Identities'!$A$7:$K$1012, 11, FALSE), S332))), "")</f>
        <v/>
      </c>
      <c r="V332" s="26" t="str">
        <f>IFERROR(IF(OR(B332="", U332=0), "", VLOOKUP(U332, 'Fixture Identities'!$A$7:$G$1023, 5, FALSE)), "")</f>
        <v/>
      </c>
      <c r="W332" s="26" t="str">
        <f>IF(B332="", "",'Lighting Inventory'!K340)</f>
        <v/>
      </c>
      <c r="X332" s="65" t="str">
        <f>IF(B332="", "", 'Lighting Inventory'!L340)</f>
        <v/>
      </c>
      <c r="Y332" s="26" t="str">
        <f>IF(B332="", "", IF('Lighting Inventory'!M340="", "Light Switch",'Lighting Inventory'!M340))</f>
        <v/>
      </c>
      <c r="Z332" s="26" t="str">
        <f>IF(OR(K332="Retrofit", B332=""), "", 'Lighting Inventory'!N340)</f>
        <v/>
      </c>
      <c r="AA332" s="26" t="str">
        <f>IF(OR(Z332="",B332=""), "", 'Lighting Inventory'!O340)</f>
        <v/>
      </c>
      <c r="AB332" s="26" t="str">
        <f>IF(B332="", "", 'Lighting Inventory'!P340)</f>
        <v/>
      </c>
      <c r="AC332" s="96" t="str">
        <f>IF(B332="", "", 'Lighting Inventory'!R340)</f>
        <v/>
      </c>
      <c r="AD332" s="26" t="str">
        <f>IF(B332="", "", 'Lighting Inventory'!S340)</f>
        <v/>
      </c>
      <c r="AE332" s="26" t="str">
        <f>IF(B332="", "", 'Lighting Inventory'!V340)</f>
        <v/>
      </c>
      <c r="AF332" s="26" t="str">
        <f>IF(B332="", "", 'Lighting Inventory'!W340)</f>
        <v/>
      </c>
      <c r="AG332" s="26" t="str">
        <f>IF(OR(AF332="", B332=""), "", IF(AE332="Custom", "0", VLOOKUP(AF332, 'Lookup Tables'!$AI$6:$AP$102, 8, FALSE)))</f>
        <v/>
      </c>
      <c r="AH332" s="26" t="str">
        <f>IF(B332="", "", 'Lighting Inventory'!AD340)</f>
        <v/>
      </c>
      <c r="AI332" s="26" t="str">
        <f>IF(OR('Lighting Inventory'!AK340="", B332=""), "", 'Lighting Inventory'!AK340)</f>
        <v/>
      </c>
      <c r="AJ332" s="66" t="str">
        <f>IF(B332="", "", 'Lighting Inventory'!AL340)</f>
        <v/>
      </c>
      <c r="AK332" s="65" t="str">
        <f>IF(B332="", "", 'Lighting Inventory'!AM340)</f>
        <v/>
      </c>
      <c r="AL332" s="26" t="str">
        <f>IF(B332="", "", 'Lighting Inventory'!AN340)</f>
        <v/>
      </c>
      <c r="AM332" s="26" t="str">
        <f t="shared" si="18"/>
        <v/>
      </c>
      <c r="AN332" s="26" t="str">
        <f>IF(B332="","",IF('Lighting Inventory'!AV340="","Prescribed",'Lighting Inventory'!AV340))</f>
        <v/>
      </c>
      <c r="AO332" s="66" t="str">
        <f>IF(B332="", "", 'Lighting Inventory'!AX340)</f>
        <v/>
      </c>
      <c r="AP332" s="67" t="str">
        <f>IF(B332="", "", 'Lighting Inventory'!AZ340)</f>
        <v/>
      </c>
      <c r="AQ332" s="67" t="str">
        <f>IF(B332="", "", 'Lighting Inventory'!BA340)</f>
        <v/>
      </c>
      <c r="AR332" s="67" t="str">
        <f>IF(B332="", "", 'Lighting Inventory'!BB340)</f>
        <v/>
      </c>
      <c r="AS332" s="67" t="str">
        <f>IF(B332="", "", 'Lighting Inventory'!BC340)</f>
        <v/>
      </c>
      <c r="AT332" s="67" t="str">
        <f>IF(B332="", "", 'Lighting Inventory'!BD340)</f>
        <v/>
      </c>
      <c r="AU332" s="67" t="str">
        <f>IF(B332="", "", 'Lighting Inventory'!BE340)</f>
        <v/>
      </c>
      <c r="AV332" s="67" t="str">
        <f>IF(B332="", "", 'Lighting Inventory'!BE340)</f>
        <v/>
      </c>
      <c r="AW332" s="67" t="str">
        <f>IF(B332="", "", 'Lighting Inventory'!BF340)</f>
        <v/>
      </c>
      <c r="AX332" s="67" t="str">
        <f>IF(B332="", "", 'Lighting Inventory'!BF340)</f>
        <v/>
      </c>
      <c r="AY332" s="65" t="str">
        <f t="shared" si="19"/>
        <v/>
      </c>
      <c r="AZ332" s="65" t="str">
        <f>IF(B332="", "", 'Lighting Inventory'!BJ340)</f>
        <v/>
      </c>
      <c r="BA332" s="65" t="str">
        <f>IF(B332="", "", 'Lighting Inventory'!BM340)</f>
        <v/>
      </c>
      <c r="BB332" s="65" t="str">
        <f>IF(B332="","",SUM('Lighting Inventory'!BP340:BP340))</f>
        <v/>
      </c>
      <c r="BC332" s="67" t="str">
        <f>IF(OR(AE332="", B332=""),"", 'Lighting Inventory'!GR340)</f>
        <v/>
      </c>
      <c r="BD332" s="67" t="str">
        <f>IFERROR(IF(B332="", "", 'Lighting Inventory'!AF340)*AD332," ")</f>
        <v xml:space="preserve"> </v>
      </c>
      <c r="BE332" s="67"/>
      <c r="BF332" s="67"/>
    </row>
    <row r="333" spans="1:58" x14ac:dyDescent="0.25">
      <c r="A333" s="26" t="str">
        <f>IF(B333="", "", 'Lookup Tables'!AW334)</f>
        <v/>
      </c>
      <c r="B333" s="26" t="str">
        <f>IF(OR('Lighting Inventory'!Y341="", 'Lighting Inventory'!V341="No Change"),"", 'Lighting Inventory'!Y341)</f>
        <v/>
      </c>
      <c r="C333" s="26" t="str">
        <f>IF(B333="", "", IF('Lighting Inventory'!Y341='Lookup Tables'!$Y$32, 'Lighting Inventory'!AJ341, IF(AD333=0, R333, AD333)))</f>
        <v/>
      </c>
      <c r="D333" s="26" t="str">
        <f>IF(B333="", "", 'General Information'!$F$14)</f>
        <v/>
      </c>
      <c r="E333" s="26" t="str">
        <f t="shared" si="17"/>
        <v/>
      </c>
      <c r="F333" s="26" t="str">
        <f>IF(B333="", "", CONCATENATE('General Information'!$F$9, " - ", 'General Information'!$F$14))</f>
        <v/>
      </c>
      <c r="G333" s="26" t="str">
        <f>IF(B333="", "", 'General Information'!$F$15)</f>
        <v/>
      </c>
      <c r="H333" s="26" t="str">
        <f>IF(B333="", "", IF(VLOOKUP(B333, 'Lookup Tables'!$Y$18:$AA$34, 2, FALSE)="Traffic", VLOOKUP('Lighting Inventory'!W341, 'Lookup Tables'!#REF!, 11, FALSE), VLOOKUP(B333, 'Lookup Tables'!$Y$18:$AA$34, 2, FALSE)))</f>
        <v/>
      </c>
      <c r="I333" s="26" t="str">
        <f>IF(B333="", "", CONCATENATE(D333, 'Data Export'!A333))</f>
        <v/>
      </c>
      <c r="J333" s="26" t="str">
        <f>IF(B333="", "", 'Lookup Tables'!$B$1)</f>
        <v/>
      </c>
      <c r="K333" s="26" t="str">
        <f>IF(B333="", "", 'Lighting Inventory'!B341)</f>
        <v/>
      </c>
      <c r="L333" s="26" t="str">
        <f>IF(B333="", "", 'Lighting Inventory'!C341)</f>
        <v/>
      </c>
      <c r="M333" s="26" t="str">
        <f>IF(B333="", "",'Lighting Inventory'!D341)</f>
        <v/>
      </c>
      <c r="N333" s="26" t="str">
        <f>IF(B333="", "",'Lighting Inventory'!E341)</f>
        <v/>
      </c>
      <c r="O333" s="26" t="str">
        <f>IF(B333="", "", 'Lighting Inventory'!F341)</f>
        <v/>
      </c>
      <c r="P333" s="26" t="str">
        <f>IF(B333="", "", 'Lighting Inventory'!G341)</f>
        <v/>
      </c>
      <c r="Q333" s="26" t="str">
        <f>IF(B333="", "", 'Lighting Inventory'!H341)</f>
        <v/>
      </c>
      <c r="R333" s="26" t="str">
        <f>IF(B333="", "", 'Lighting Inventory'!I341)</f>
        <v/>
      </c>
      <c r="S333" s="26" t="str">
        <f>IF(B333="", "", 'Lighting Inventory'!J341)</f>
        <v/>
      </c>
      <c r="T333" s="26" t="str">
        <f>IFERROR(IF(B333="","",VLOOKUP(S333,'Fixture Identities'!$A$7:$G$1023,5,FALSE)), "New Construction")</f>
        <v/>
      </c>
      <c r="U333" s="26" t="str">
        <f>IFERROR(IF(B333="", "", IF(K333="New Construction", "NC", IF(VLOOKUP(S333, 'Fixture Identities'!$A$7:$I$1023,3, FALSE)="T12 Linear Fluorescent", VLOOKUP(S333, 'Fixture Identities'!$A$7:$K$1012, 11, FALSE), S333))), "")</f>
        <v/>
      </c>
      <c r="V333" s="26" t="str">
        <f>IFERROR(IF(OR(B333="", U333=0), "", VLOOKUP(U333, 'Fixture Identities'!$A$7:$G$1023, 5, FALSE)), "")</f>
        <v/>
      </c>
      <c r="W333" s="26" t="str">
        <f>IF(B333="", "",'Lighting Inventory'!K341)</f>
        <v/>
      </c>
      <c r="X333" s="65" t="str">
        <f>IF(B333="", "", 'Lighting Inventory'!L341)</f>
        <v/>
      </c>
      <c r="Y333" s="26" t="str">
        <f>IF(B333="", "", IF('Lighting Inventory'!M341="", "Light Switch",'Lighting Inventory'!M341))</f>
        <v/>
      </c>
      <c r="Z333" s="26" t="str">
        <f>IF(OR(K333="Retrofit", B333=""), "", 'Lighting Inventory'!N341)</f>
        <v/>
      </c>
      <c r="AA333" s="26" t="str">
        <f>IF(OR(Z333="",B333=""), "", 'Lighting Inventory'!O341)</f>
        <v/>
      </c>
      <c r="AB333" s="26" t="str">
        <f>IF(B333="", "", 'Lighting Inventory'!P341)</f>
        <v/>
      </c>
      <c r="AC333" s="96" t="str">
        <f>IF(B333="", "", 'Lighting Inventory'!R341)</f>
        <v/>
      </c>
      <c r="AD333" s="26" t="str">
        <f>IF(B333="", "", 'Lighting Inventory'!S341)</f>
        <v/>
      </c>
      <c r="AE333" s="26" t="str">
        <f>IF(B333="", "", 'Lighting Inventory'!V341)</f>
        <v/>
      </c>
      <c r="AF333" s="26" t="str">
        <f>IF(B333="", "", 'Lighting Inventory'!W341)</f>
        <v/>
      </c>
      <c r="AG333" s="26" t="str">
        <f>IF(OR(AF333="", B333=""), "", IF(AE333="Custom", "0", VLOOKUP(AF333, 'Lookup Tables'!$AI$6:$AP$102, 8, FALSE)))</f>
        <v/>
      </c>
      <c r="AH333" s="26" t="str">
        <f>IF(B333="", "", 'Lighting Inventory'!AD341)</f>
        <v/>
      </c>
      <c r="AI333" s="26" t="str">
        <f>IF(OR('Lighting Inventory'!AK341="", B333=""), "", 'Lighting Inventory'!AK341)</f>
        <v/>
      </c>
      <c r="AJ333" s="66" t="str">
        <f>IF(B333="", "", 'Lighting Inventory'!AL341)</f>
        <v/>
      </c>
      <c r="AK333" s="65" t="str">
        <f>IF(B333="", "", 'Lighting Inventory'!AM341)</f>
        <v/>
      </c>
      <c r="AL333" s="26" t="str">
        <f>IF(B333="", "", 'Lighting Inventory'!AN341)</f>
        <v/>
      </c>
      <c r="AM333" s="26" t="str">
        <f t="shared" si="18"/>
        <v/>
      </c>
      <c r="AN333" s="26" t="str">
        <f>IF(B333="","",IF('Lighting Inventory'!AV341="","Prescribed",'Lighting Inventory'!AV341))</f>
        <v/>
      </c>
      <c r="AO333" s="66" t="str">
        <f>IF(B333="", "", 'Lighting Inventory'!AX341)</f>
        <v/>
      </c>
      <c r="AP333" s="67" t="str">
        <f>IF(B333="", "", 'Lighting Inventory'!AZ341)</f>
        <v/>
      </c>
      <c r="AQ333" s="67" t="str">
        <f>IF(B333="", "", 'Lighting Inventory'!BA341)</f>
        <v/>
      </c>
      <c r="AR333" s="67" t="str">
        <f>IF(B333="", "", 'Lighting Inventory'!BB341)</f>
        <v/>
      </c>
      <c r="AS333" s="67" t="str">
        <f>IF(B333="", "", 'Lighting Inventory'!BC341)</f>
        <v/>
      </c>
      <c r="AT333" s="67" t="str">
        <f>IF(B333="", "", 'Lighting Inventory'!BD341)</f>
        <v/>
      </c>
      <c r="AU333" s="67" t="str">
        <f>IF(B333="", "", 'Lighting Inventory'!BE341)</f>
        <v/>
      </c>
      <c r="AV333" s="67" t="str">
        <f>IF(B333="", "", 'Lighting Inventory'!BE341)</f>
        <v/>
      </c>
      <c r="AW333" s="67" t="str">
        <f>IF(B333="", "", 'Lighting Inventory'!BF341)</f>
        <v/>
      </c>
      <c r="AX333" s="67" t="str">
        <f>IF(B333="", "", 'Lighting Inventory'!BF341)</f>
        <v/>
      </c>
      <c r="AY333" s="65" t="str">
        <f t="shared" si="19"/>
        <v/>
      </c>
      <c r="AZ333" s="65" t="str">
        <f>IF(B333="", "", 'Lighting Inventory'!BJ341)</f>
        <v/>
      </c>
      <c r="BA333" s="65" t="str">
        <f>IF(B333="", "", 'Lighting Inventory'!BM341)</f>
        <v/>
      </c>
      <c r="BB333" s="65" t="str">
        <f>IF(B333="","",SUM('Lighting Inventory'!BP341:BP341))</f>
        <v/>
      </c>
      <c r="BC333" s="67" t="str">
        <f>IF(OR(AE333="", B333=""),"", 'Lighting Inventory'!GR341)</f>
        <v/>
      </c>
      <c r="BD333" s="67" t="str">
        <f>IFERROR(IF(B333="", "", 'Lighting Inventory'!AF341)*AD333," ")</f>
        <v xml:space="preserve"> </v>
      </c>
      <c r="BE333" s="67"/>
      <c r="BF333" s="67"/>
    </row>
    <row r="334" spans="1:58" x14ac:dyDescent="0.25">
      <c r="A334" s="26" t="str">
        <f>IF(B334="", "", 'Lookup Tables'!AW335)</f>
        <v/>
      </c>
      <c r="B334" s="26" t="str">
        <f>IF(OR('Lighting Inventory'!Y342="", 'Lighting Inventory'!V342="No Change"),"", 'Lighting Inventory'!Y342)</f>
        <v/>
      </c>
      <c r="C334" s="26" t="str">
        <f>IF(B334="", "", IF('Lighting Inventory'!Y342='Lookup Tables'!$Y$32, 'Lighting Inventory'!AJ342, IF(AD334=0, R334, AD334)))</f>
        <v/>
      </c>
      <c r="D334" s="26" t="str">
        <f>IF(B334="", "", 'General Information'!$F$14)</f>
        <v/>
      </c>
      <c r="E334" s="26" t="str">
        <f t="shared" si="17"/>
        <v/>
      </c>
      <c r="F334" s="26" t="str">
        <f>IF(B334="", "", CONCATENATE('General Information'!$F$9, " - ", 'General Information'!$F$14))</f>
        <v/>
      </c>
      <c r="G334" s="26" t="str">
        <f>IF(B334="", "", 'General Information'!$F$15)</f>
        <v/>
      </c>
      <c r="H334" s="26" t="str">
        <f>IF(B334="", "", IF(VLOOKUP(B334, 'Lookup Tables'!$Y$18:$AA$34, 2, FALSE)="Traffic", VLOOKUP('Lighting Inventory'!W342, 'Lookup Tables'!#REF!, 11, FALSE), VLOOKUP(B334, 'Lookup Tables'!$Y$18:$AA$34, 2, FALSE)))</f>
        <v/>
      </c>
      <c r="I334" s="26" t="str">
        <f>IF(B334="", "", CONCATENATE(D334, 'Data Export'!A334))</f>
        <v/>
      </c>
      <c r="J334" s="26" t="str">
        <f>IF(B334="", "", 'Lookup Tables'!$B$1)</f>
        <v/>
      </c>
      <c r="K334" s="26" t="str">
        <f>IF(B334="", "", 'Lighting Inventory'!B342)</f>
        <v/>
      </c>
      <c r="L334" s="26" t="str">
        <f>IF(B334="", "", 'Lighting Inventory'!C342)</f>
        <v/>
      </c>
      <c r="M334" s="26" t="str">
        <f>IF(B334="", "",'Lighting Inventory'!D342)</f>
        <v/>
      </c>
      <c r="N334" s="26" t="str">
        <f>IF(B334="", "",'Lighting Inventory'!E342)</f>
        <v/>
      </c>
      <c r="O334" s="26" t="str">
        <f>IF(B334="", "", 'Lighting Inventory'!F342)</f>
        <v/>
      </c>
      <c r="P334" s="26" t="str">
        <f>IF(B334="", "", 'Lighting Inventory'!G342)</f>
        <v/>
      </c>
      <c r="Q334" s="26" t="str">
        <f>IF(B334="", "", 'Lighting Inventory'!H342)</f>
        <v/>
      </c>
      <c r="R334" s="26" t="str">
        <f>IF(B334="", "", 'Lighting Inventory'!I342)</f>
        <v/>
      </c>
      <c r="S334" s="26" t="str">
        <f>IF(B334="", "", 'Lighting Inventory'!J342)</f>
        <v/>
      </c>
      <c r="T334" s="26" t="str">
        <f>IFERROR(IF(B334="","",VLOOKUP(S334,'Fixture Identities'!$A$7:$G$1023,5,FALSE)), "New Construction")</f>
        <v/>
      </c>
      <c r="U334" s="26" t="str">
        <f>IFERROR(IF(B334="", "", IF(K334="New Construction", "NC", IF(VLOOKUP(S334, 'Fixture Identities'!$A$7:$I$1023,3, FALSE)="T12 Linear Fluorescent", VLOOKUP(S334, 'Fixture Identities'!$A$7:$K$1012, 11, FALSE), S334))), "")</f>
        <v/>
      </c>
      <c r="V334" s="26" t="str">
        <f>IFERROR(IF(OR(B334="", U334=0), "", VLOOKUP(U334, 'Fixture Identities'!$A$7:$G$1023, 5, FALSE)), "")</f>
        <v/>
      </c>
      <c r="W334" s="26" t="str">
        <f>IF(B334="", "",'Lighting Inventory'!K342)</f>
        <v/>
      </c>
      <c r="X334" s="65" t="str">
        <f>IF(B334="", "", 'Lighting Inventory'!L342)</f>
        <v/>
      </c>
      <c r="Y334" s="26" t="str">
        <f>IF(B334="", "", IF('Lighting Inventory'!M342="", "Light Switch",'Lighting Inventory'!M342))</f>
        <v/>
      </c>
      <c r="Z334" s="26" t="str">
        <f>IF(OR(K334="Retrofit", B334=""), "", 'Lighting Inventory'!N342)</f>
        <v/>
      </c>
      <c r="AA334" s="26" t="str">
        <f>IF(OR(Z334="",B334=""), "", 'Lighting Inventory'!O342)</f>
        <v/>
      </c>
      <c r="AB334" s="26" t="str">
        <f>IF(B334="", "", 'Lighting Inventory'!P342)</f>
        <v/>
      </c>
      <c r="AC334" s="96" t="str">
        <f>IF(B334="", "", 'Lighting Inventory'!R342)</f>
        <v/>
      </c>
      <c r="AD334" s="26" t="str">
        <f>IF(B334="", "", 'Lighting Inventory'!S342)</f>
        <v/>
      </c>
      <c r="AE334" s="26" t="str">
        <f>IF(B334="", "", 'Lighting Inventory'!V342)</f>
        <v/>
      </c>
      <c r="AF334" s="26" t="str">
        <f>IF(B334="", "", 'Lighting Inventory'!W342)</f>
        <v/>
      </c>
      <c r="AG334" s="26" t="str">
        <f>IF(OR(AF334="", B334=""), "", IF(AE334="Custom", "0", VLOOKUP(AF334, 'Lookup Tables'!$AI$6:$AP$102, 8, FALSE)))</f>
        <v/>
      </c>
      <c r="AH334" s="26" t="str">
        <f>IF(B334="", "", 'Lighting Inventory'!AD342)</f>
        <v/>
      </c>
      <c r="AI334" s="26" t="str">
        <f>IF(OR('Lighting Inventory'!AK342="", B334=""), "", 'Lighting Inventory'!AK342)</f>
        <v/>
      </c>
      <c r="AJ334" s="66" t="str">
        <f>IF(B334="", "", 'Lighting Inventory'!AL342)</f>
        <v/>
      </c>
      <c r="AK334" s="65" t="str">
        <f>IF(B334="", "", 'Lighting Inventory'!AM342)</f>
        <v/>
      </c>
      <c r="AL334" s="26" t="str">
        <f>IF(B334="", "", 'Lighting Inventory'!AN342)</f>
        <v/>
      </c>
      <c r="AM334" s="26" t="str">
        <f t="shared" si="18"/>
        <v/>
      </c>
      <c r="AN334" s="26" t="str">
        <f>IF(B334="","",IF('Lighting Inventory'!AV342="","Prescribed",'Lighting Inventory'!AV342))</f>
        <v/>
      </c>
      <c r="AO334" s="66" t="str">
        <f>IF(B334="", "", 'Lighting Inventory'!AX342)</f>
        <v/>
      </c>
      <c r="AP334" s="67" t="str">
        <f>IF(B334="", "", 'Lighting Inventory'!AZ342)</f>
        <v/>
      </c>
      <c r="AQ334" s="67" t="str">
        <f>IF(B334="", "", 'Lighting Inventory'!BA342)</f>
        <v/>
      </c>
      <c r="AR334" s="67" t="str">
        <f>IF(B334="", "", 'Lighting Inventory'!BB342)</f>
        <v/>
      </c>
      <c r="AS334" s="67" t="str">
        <f>IF(B334="", "", 'Lighting Inventory'!BC342)</f>
        <v/>
      </c>
      <c r="AT334" s="67" t="str">
        <f>IF(B334="", "", 'Lighting Inventory'!BD342)</f>
        <v/>
      </c>
      <c r="AU334" s="67" t="str">
        <f>IF(B334="", "", 'Lighting Inventory'!BE342)</f>
        <v/>
      </c>
      <c r="AV334" s="67" t="str">
        <f>IF(B334="", "", 'Lighting Inventory'!BE342)</f>
        <v/>
      </c>
      <c r="AW334" s="67" t="str">
        <f>IF(B334="", "", 'Lighting Inventory'!BF342)</f>
        <v/>
      </c>
      <c r="AX334" s="67" t="str">
        <f>IF(B334="", "", 'Lighting Inventory'!BF342)</f>
        <v/>
      </c>
      <c r="AY334" s="65" t="str">
        <f t="shared" si="19"/>
        <v/>
      </c>
      <c r="AZ334" s="65" t="str">
        <f>IF(B334="", "", 'Lighting Inventory'!BJ342)</f>
        <v/>
      </c>
      <c r="BA334" s="65" t="str">
        <f>IF(B334="", "", 'Lighting Inventory'!BM342)</f>
        <v/>
      </c>
      <c r="BB334" s="65" t="str">
        <f>IF(B334="","",SUM('Lighting Inventory'!BP342:BP342))</f>
        <v/>
      </c>
      <c r="BC334" s="67" t="str">
        <f>IF(OR(AE334="", B334=""),"", 'Lighting Inventory'!GR342)</f>
        <v/>
      </c>
      <c r="BD334" s="67" t="str">
        <f>IFERROR(IF(B334="", "", 'Lighting Inventory'!AF342)*AD334," ")</f>
        <v xml:space="preserve"> </v>
      </c>
      <c r="BE334" s="67"/>
      <c r="BF334" s="67"/>
    </row>
    <row r="335" spans="1:58" x14ac:dyDescent="0.25">
      <c r="A335" s="26" t="str">
        <f>IF(B335="", "", 'Lookup Tables'!AW336)</f>
        <v/>
      </c>
      <c r="B335" s="26" t="str">
        <f>IF(OR('Lighting Inventory'!Y343="", 'Lighting Inventory'!V343="No Change"),"", 'Lighting Inventory'!Y343)</f>
        <v/>
      </c>
      <c r="C335" s="26" t="str">
        <f>IF(B335="", "", IF('Lighting Inventory'!Y343='Lookup Tables'!$Y$32, 'Lighting Inventory'!AJ343, IF(AD335=0, R335, AD335)))</f>
        <v/>
      </c>
      <c r="D335" s="26" t="str">
        <f>IF(B335="", "", 'General Information'!$F$14)</f>
        <v/>
      </c>
      <c r="E335" s="26" t="str">
        <f t="shared" si="17"/>
        <v/>
      </c>
      <c r="F335" s="26" t="str">
        <f>IF(B335="", "", CONCATENATE('General Information'!$F$9, " - ", 'General Information'!$F$14))</f>
        <v/>
      </c>
      <c r="G335" s="26" t="str">
        <f>IF(B335="", "", 'General Information'!$F$15)</f>
        <v/>
      </c>
      <c r="H335" s="26" t="str">
        <f>IF(B335="", "", IF(VLOOKUP(B335, 'Lookup Tables'!$Y$18:$AA$34, 2, FALSE)="Traffic", VLOOKUP('Lighting Inventory'!W343, 'Lookup Tables'!#REF!, 11, FALSE), VLOOKUP(B335, 'Lookup Tables'!$Y$18:$AA$34, 2, FALSE)))</f>
        <v/>
      </c>
      <c r="I335" s="26" t="str">
        <f>IF(B335="", "", CONCATENATE(D335, 'Data Export'!A335))</f>
        <v/>
      </c>
      <c r="J335" s="26" t="str">
        <f>IF(B335="", "", 'Lookup Tables'!$B$1)</f>
        <v/>
      </c>
      <c r="K335" s="26" t="str">
        <f>IF(B335="", "", 'Lighting Inventory'!B343)</f>
        <v/>
      </c>
      <c r="L335" s="26" t="str">
        <f>IF(B335="", "", 'Lighting Inventory'!C343)</f>
        <v/>
      </c>
      <c r="M335" s="26" t="str">
        <f>IF(B335="", "",'Lighting Inventory'!D343)</f>
        <v/>
      </c>
      <c r="N335" s="26" t="str">
        <f>IF(B335="", "",'Lighting Inventory'!E343)</f>
        <v/>
      </c>
      <c r="O335" s="26" t="str">
        <f>IF(B335="", "", 'Lighting Inventory'!F343)</f>
        <v/>
      </c>
      <c r="P335" s="26" t="str">
        <f>IF(B335="", "", 'Lighting Inventory'!G343)</f>
        <v/>
      </c>
      <c r="Q335" s="26" t="str">
        <f>IF(B335="", "", 'Lighting Inventory'!H343)</f>
        <v/>
      </c>
      <c r="R335" s="26" t="str">
        <f>IF(B335="", "", 'Lighting Inventory'!I343)</f>
        <v/>
      </c>
      <c r="S335" s="26" t="str">
        <f>IF(B335="", "", 'Lighting Inventory'!J343)</f>
        <v/>
      </c>
      <c r="T335" s="26" t="str">
        <f>IFERROR(IF(B335="","",VLOOKUP(S335,'Fixture Identities'!$A$7:$G$1023,5,FALSE)), "New Construction")</f>
        <v/>
      </c>
      <c r="U335" s="26" t="str">
        <f>IFERROR(IF(B335="", "", IF(K335="New Construction", "NC", IF(VLOOKUP(S335, 'Fixture Identities'!$A$7:$I$1023,3, FALSE)="T12 Linear Fluorescent", VLOOKUP(S335, 'Fixture Identities'!$A$7:$K$1012, 11, FALSE), S335))), "")</f>
        <v/>
      </c>
      <c r="V335" s="26" t="str">
        <f>IFERROR(IF(OR(B335="", U335=0), "", VLOOKUP(U335, 'Fixture Identities'!$A$7:$G$1023, 5, FALSE)), "")</f>
        <v/>
      </c>
      <c r="W335" s="26" t="str">
        <f>IF(B335="", "",'Lighting Inventory'!K343)</f>
        <v/>
      </c>
      <c r="X335" s="65" t="str">
        <f>IF(B335="", "", 'Lighting Inventory'!L343)</f>
        <v/>
      </c>
      <c r="Y335" s="26" t="str">
        <f>IF(B335="", "", IF('Lighting Inventory'!M343="", "Light Switch",'Lighting Inventory'!M343))</f>
        <v/>
      </c>
      <c r="Z335" s="26" t="str">
        <f>IF(OR(K335="Retrofit", B335=""), "", 'Lighting Inventory'!N343)</f>
        <v/>
      </c>
      <c r="AA335" s="26" t="str">
        <f>IF(OR(Z335="",B335=""), "", 'Lighting Inventory'!O343)</f>
        <v/>
      </c>
      <c r="AB335" s="26" t="str">
        <f>IF(B335="", "", 'Lighting Inventory'!P343)</f>
        <v/>
      </c>
      <c r="AC335" s="96" t="str">
        <f>IF(B335="", "", 'Lighting Inventory'!R343)</f>
        <v/>
      </c>
      <c r="AD335" s="26" t="str">
        <f>IF(B335="", "", 'Lighting Inventory'!S343)</f>
        <v/>
      </c>
      <c r="AE335" s="26" t="str">
        <f>IF(B335="", "", 'Lighting Inventory'!V343)</f>
        <v/>
      </c>
      <c r="AF335" s="26" t="str">
        <f>IF(B335="", "", 'Lighting Inventory'!W343)</f>
        <v/>
      </c>
      <c r="AG335" s="26" t="str">
        <f>IF(OR(AF335="", B335=""), "", IF(AE335="Custom", "0", VLOOKUP(AF335, 'Lookup Tables'!$AI$6:$AP$102, 8, FALSE)))</f>
        <v/>
      </c>
      <c r="AH335" s="26" t="str">
        <f>IF(B335="", "", 'Lighting Inventory'!AD343)</f>
        <v/>
      </c>
      <c r="AI335" s="26" t="str">
        <f>IF(OR('Lighting Inventory'!AK343="", B335=""), "", 'Lighting Inventory'!AK343)</f>
        <v/>
      </c>
      <c r="AJ335" s="66" t="str">
        <f>IF(B335="", "", 'Lighting Inventory'!AL343)</f>
        <v/>
      </c>
      <c r="AK335" s="65" t="str">
        <f>IF(B335="", "", 'Lighting Inventory'!AM343)</f>
        <v/>
      </c>
      <c r="AL335" s="26" t="str">
        <f>IF(B335="", "", 'Lighting Inventory'!AN343)</f>
        <v/>
      </c>
      <c r="AM335" s="26" t="str">
        <f t="shared" si="18"/>
        <v/>
      </c>
      <c r="AN335" s="26" t="str">
        <f>IF(B335="","",IF('Lighting Inventory'!AV343="","Prescribed",'Lighting Inventory'!AV343))</f>
        <v/>
      </c>
      <c r="AO335" s="66" t="str">
        <f>IF(B335="", "", 'Lighting Inventory'!AX343)</f>
        <v/>
      </c>
      <c r="AP335" s="67" t="str">
        <f>IF(B335="", "", 'Lighting Inventory'!AZ343)</f>
        <v/>
      </c>
      <c r="AQ335" s="67" t="str">
        <f>IF(B335="", "", 'Lighting Inventory'!BA343)</f>
        <v/>
      </c>
      <c r="AR335" s="67" t="str">
        <f>IF(B335="", "", 'Lighting Inventory'!BB343)</f>
        <v/>
      </c>
      <c r="AS335" s="67" t="str">
        <f>IF(B335="", "", 'Lighting Inventory'!BC343)</f>
        <v/>
      </c>
      <c r="AT335" s="67" t="str">
        <f>IF(B335="", "", 'Lighting Inventory'!BD343)</f>
        <v/>
      </c>
      <c r="AU335" s="67" t="str">
        <f>IF(B335="", "", 'Lighting Inventory'!BE343)</f>
        <v/>
      </c>
      <c r="AV335" s="67" t="str">
        <f>IF(B335="", "", 'Lighting Inventory'!BE343)</f>
        <v/>
      </c>
      <c r="AW335" s="67" t="str">
        <f>IF(B335="", "", 'Lighting Inventory'!BF343)</f>
        <v/>
      </c>
      <c r="AX335" s="67" t="str">
        <f>IF(B335="", "", 'Lighting Inventory'!BF343)</f>
        <v/>
      </c>
      <c r="AY335" s="65" t="str">
        <f t="shared" si="19"/>
        <v/>
      </c>
      <c r="AZ335" s="65" t="str">
        <f>IF(B335="", "", 'Lighting Inventory'!BJ343)</f>
        <v/>
      </c>
      <c r="BA335" s="65" t="str">
        <f>IF(B335="", "", 'Lighting Inventory'!BM343)</f>
        <v/>
      </c>
      <c r="BB335" s="65" t="str">
        <f>IF(B335="","",SUM('Lighting Inventory'!BP343:BP343))</f>
        <v/>
      </c>
      <c r="BC335" s="67" t="str">
        <f>IF(OR(AE335="", B335=""),"", 'Lighting Inventory'!GR343)</f>
        <v/>
      </c>
      <c r="BD335" s="67" t="str">
        <f>IFERROR(IF(B335="", "", 'Lighting Inventory'!AF343)*AD335," ")</f>
        <v xml:space="preserve"> </v>
      </c>
      <c r="BE335" s="67"/>
      <c r="BF335" s="67"/>
    </row>
    <row r="336" spans="1:58" x14ac:dyDescent="0.25">
      <c r="A336" s="26" t="str">
        <f>IF(B336="", "", 'Lookup Tables'!AW337)</f>
        <v/>
      </c>
      <c r="B336" s="26" t="str">
        <f>IF(OR('Lighting Inventory'!Y344="", 'Lighting Inventory'!V344="No Change"),"", 'Lighting Inventory'!Y344)</f>
        <v/>
      </c>
      <c r="C336" s="26" t="str">
        <f>IF(B336="", "", IF('Lighting Inventory'!Y344='Lookup Tables'!$Y$32, 'Lighting Inventory'!AJ344, IF(AD336=0, R336, AD336)))</f>
        <v/>
      </c>
      <c r="D336" s="26" t="str">
        <f>IF(B336="", "", 'General Information'!$F$14)</f>
        <v/>
      </c>
      <c r="E336" s="26" t="str">
        <f t="shared" si="17"/>
        <v/>
      </c>
      <c r="F336" s="26" t="str">
        <f>IF(B336="", "", CONCATENATE('General Information'!$F$9, " - ", 'General Information'!$F$14))</f>
        <v/>
      </c>
      <c r="G336" s="26" t="str">
        <f>IF(B336="", "", 'General Information'!$F$15)</f>
        <v/>
      </c>
      <c r="H336" s="26" t="str">
        <f>IF(B336="", "", IF(VLOOKUP(B336, 'Lookup Tables'!$Y$18:$AA$34, 2, FALSE)="Traffic", VLOOKUP('Lighting Inventory'!W344, 'Lookup Tables'!#REF!, 11, FALSE), VLOOKUP(B336, 'Lookup Tables'!$Y$18:$AA$34, 2, FALSE)))</f>
        <v/>
      </c>
      <c r="I336" s="26" t="str">
        <f>IF(B336="", "", CONCATENATE(D336, 'Data Export'!A336))</f>
        <v/>
      </c>
      <c r="J336" s="26" t="str">
        <f>IF(B336="", "", 'Lookup Tables'!$B$1)</f>
        <v/>
      </c>
      <c r="K336" s="26" t="str">
        <f>IF(B336="", "", 'Lighting Inventory'!B344)</f>
        <v/>
      </c>
      <c r="L336" s="26" t="str">
        <f>IF(B336="", "", 'Lighting Inventory'!C344)</f>
        <v/>
      </c>
      <c r="M336" s="26" t="str">
        <f>IF(B336="", "",'Lighting Inventory'!D344)</f>
        <v/>
      </c>
      <c r="N336" s="26" t="str">
        <f>IF(B336="", "",'Lighting Inventory'!E344)</f>
        <v/>
      </c>
      <c r="O336" s="26" t="str">
        <f>IF(B336="", "", 'Lighting Inventory'!F344)</f>
        <v/>
      </c>
      <c r="P336" s="26" t="str">
        <f>IF(B336="", "", 'Lighting Inventory'!G344)</f>
        <v/>
      </c>
      <c r="Q336" s="26" t="str">
        <f>IF(B336="", "", 'Lighting Inventory'!H344)</f>
        <v/>
      </c>
      <c r="R336" s="26" t="str">
        <f>IF(B336="", "", 'Lighting Inventory'!I344)</f>
        <v/>
      </c>
      <c r="S336" s="26" t="str">
        <f>IF(B336="", "", 'Lighting Inventory'!J344)</f>
        <v/>
      </c>
      <c r="T336" s="26" t="str">
        <f>IFERROR(IF(B336="","",VLOOKUP(S336,'Fixture Identities'!$A$7:$G$1023,5,FALSE)), "New Construction")</f>
        <v/>
      </c>
      <c r="U336" s="26" t="str">
        <f>IFERROR(IF(B336="", "", IF(K336="New Construction", "NC", IF(VLOOKUP(S336, 'Fixture Identities'!$A$7:$I$1023,3, FALSE)="T12 Linear Fluorescent", VLOOKUP(S336, 'Fixture Identities'!$A$7:$K$1012, 11, FALSE), S336))), "")</f>
        <v/>
      </c>
      <c r="V336" s="26" t="str">
        <f>IFERROR(IF(OR(B336="", U336=0), "", VLOOKUP(U336, 'Fixture Identities'!$A$7:$G$1023, 5, FALSE)), "")</f>
        <v/>
      </c>
      <c r="W336" s="26" t="str">
        <f>IF(B336="", "",'Lighting Inventory'!K344)</f>
        <v/>
      </c>
      <c r="X336" s="65" t="str">
        <f>IF(B336="", "", 'Lighting Inventory'!L344)</f>
        <v/>
      </c>
      <c r="Y336" s="26" t="str">
        <f>IF(B336="", "", IF('Lighting Inventory'!M344="", "Light Switch",'Lighting Inventory'!M344))</f>
        <v/>
      </c>
      <c r="Z336" s="26" t="str">
        <f>IF(OR(K336="Retrofit", B336=""), "", 'Lighting Inventory'!N344)</f>
        <v/>
      </c>
      <c r="AA336" s="26" t="str">
        <f>IF(OR(Z336="",B336=""), "", 'Lighting Inventory'!O344)</f>
        <v/>
      </c>
      <c r="AB336" s="26" t="str">
        <f>IF(B336="", "", 'Lighting Inventory'!P344)</f>
        <v/>
      </c>
      <c r="AC336" s="96" t="str">
        <f>IF(B336="", "", 'Lighting Inventory'!R344)</f>
        <v/>
      </c>
      <c r="AD336" s="26" t="str">
        <f>IF(B336="", "", 'Lighting Inventory'!S344)</f>
        <v/>
      </c>
      <c r="AE336" s="26" t="str">
        <f>IF(B336="", "", 'Lighting Inventory'!V344)</f>
        <v/>
      </c>
      <c r="AF336" s="26" t="str">
        <f>IF(B336="", "", 'Lighting Inventory'!W344)</f>
        <v/>
      </c>
      <c r="AG336" s="26" t="str">
        <f>IF(OR(AF336="", B336=""), "", IF(AE336="Custom", "0", VLOOKUP(AF336, 'Lookup Tables'!$AI$6:$AP$102, 8, FALSE)))</f>
        <v/>
      </c>
      <c r="AH336" s="26" t="str">
        <f>IF(B336="", "", 'Lighting Inventory'!AD344)</f>
        <v/>
      </c>
      <c r="AI336" s="26" t="str">
        <f>IF(OR('Lighting Inventory'!AK344="", B336=""), "", 'Lighting Inventory'!AK344)</f>
        <v/>
      </c>
      <c r="AJ336" s="66" t="str">
        <f>IF(B336="", "", 'Lighting Inventory'!AL344)</f>
        <v/>
      </c>
      <c r="AK336" s="65" t="str">
        <f>IF(B336="", "", 'Lighting Inventory'!AM344)</f>
        <v/>
      </c>
      <c r="AL336" s="26" t="str">
        <f>IF(B336="", "", 'Lighting Inventory'!AN344)</f>
        <v/>
      </c>
      <c r="AM336" s="26" t="str">
        <f t="shared" si="18"/>
        <v/>
      </c>
      <c r="AN336" s="26" t="str">
        <f>IF(B336="","",IF('Lighting Inventory'!AV344="","Prescribed",'Lighting Inventory'!AV344))</f>
        <v/>
      </c>
      <c r="AO336" s="66" t="str">
        <f>IF(B336="", "", 'Lighting Inventory'!AX344)</f>
        <v/>
      </c>
      <c r="AP336" s="67" t="str">
        <f>IF(B336="", "", 'Lighting Inventory'!AZ344)</f>
        <v/>
      </c>
      <c r="AQ336" s="67" t="str">
        <f>IF(B336="", "", 'Lighting Inventory'!BA344)</f>
        <v/>
      </c>
      <c r="AR336" s="67" t="str">
        <f>IF(B336="", "", 'Lighting Inventory'!BB344)</f>
        <v/>
      </c>
      <c r="AS336" s="67" t="str">
        <f>IF(B336="", "", 'Lighting Inventory'!BC344)</f>
        <v/>
      </c>
      <c r="AT336" s="67" t="str">
        <f>IF(B336="", "", 'Lighting Inventory'!BD344)</f>
        <v/>
      </c>
      <c r="AU336" s="67" t="str">
        <f>IF(B336="", "", 'Lighting Inventory'!BE344)</f>
        <v/>
      </c>
      <c r="AV336" s="67" t="str">
        <f>IF(B336="", "", 'Lighting Inventory'!BE344)</f>
        <v/>
      </c>
      <c r="AW336" s="67" t="str">
        <f>IF(B336="", "", 'Lighting Inventory'!BF344)</f>
        <v/>
      </c>
      <c r="AX336" s="67" t="str">
        <f>IF(B336="", "", 'Lighting Inventory'!BF344)</f>
        <v/>
      </c>
      <c r="AY336" s="65" t="str">
        <f t="shared" si="19"/>
        <v/>
      </c>
      <c r="AZ336" s="65" t="str">
        <f>IF(B336="", "", 'Lighting Inventory'!BJ344)</f>
        <v/>
      </c>
      <c r="BA336" s="65" t="str">
        <f>IF(B336="", "", 'Lighting Inventory'!BM344)</f>
        <v/>
      </c>
      <c r="BB336" s="65" t="str">
        <f>IF(B336="","",SUM('Lighting Inventory'!BP344:BP344))</f>
        <v/>
      </c>
      <c r="BC336" s="67" t="str">
        <f>IF(OR(AE336="", B336=""),"", 'Lighting Inventory'!GR344)</f>
        <v/>
      </c>
      <c r="BD336" s="67" t="str">
        <f>IFERROR(IF(B336="", "", 'Lighting Inventory'!AF344)*AD336," ")</f>
        <v xml:space="preserve"> </v>
      </c>
      <c r="BE336" s="67"/>
      <c r="BF336" s="67"/>
    </row>
    <row r="337" spans="1:58" x14ac:dyDescent="0.25">
      <c r="A337" s="26" t="str">
        <f>IF(B337="", "", 'Lookup Tables'!AW338)</f>
        <v/>
      </c>
      <c r="B337" s="26" t="str">
        <f>IF(OR('Lighting Inventory'!Y345="", 'Lighting Inventory'!V345="No Change"),"", 'Lighting Inventory'!Y345)</f>
        <v/>
      </c>
      <c r="C337" s="26" t="str">
        <f>IF(B337="", "", IF('Lighting Inventory'!Y345='Lookup Tables'!$Y$32, 'Lighting Inventory'!AJ345, IF(AD337=0, R337, AD337)))</f>
        <v/>
      </c>
      <c r="D337" s="26" t="str">
        <f>IF(B337="", "", 'General Information'!$F$14)</f>
        <v/>
      </c>
      <c r="E337" s="26" t="str">
        <f t="shared" si="17"/>
        <v/>
      </c>
      <c r="F337" s="26" t="str">
        <f>IF(B337="", "", CONCATENATE('General Information'!$F$9, " - ", 'General Information'!$F$14))</f>
        <v/>
      </c>
      <c r="G337" s="26" t="str">
        <f>IF(B337="", "", 'General Information'!$F$15)</f>
        <v/>
      </c>
      <c r="H337" s="26" t="str">
        <f>IF(B337="", "", IF(VLOOKUP(B337, 'Lookup Tables'!$Y$18:$AA$34, 2, FALSE)="Traffic", VLOOKUP('Lighting Inventory'!W345, 'Lookup Tables'!#REF!, 11, FALSE), VLOOKUP(B337, 'Lookup Tables'!$Y$18:$AA$34, 2, FALSE)))</f>
        <v/>
      </c>
      <c r="I337" s="26" t="str">
        <f>IF(B337="", "", CONCATENATE(D337, 'Data Export'!A337))</f>
        <v/>
      </c>
      <c r="J337" s="26" t="str">
        <f>IF(B337="", "", 'Lookup Tables'!$B$1)</f>
        <v/>
      </c>
      <c r="K337" s="26" t="str">
        <f>IF(B337="", "", 'Lighting Inventory'!B345)</f>
        <v/>
      </c>
      <c r="L337" s="26" t="str">
        <f>IF(B337="", "", 'Lighting Inventory'!C345)</f>
        <v/>
      </c>
      <c r="M337" s="26" t="str">
        <f>IF(B337="", "",'Lighting Inventory'!D345)</f>
        <v/>
      </c>
      <c r="N337" s="26" t="str">
        <f>IF(B337="", "",'Lighting Inventory'!E345)</f>
        <v/>
      </c>
      <c r="O337" s="26" t="str">
        <f>IF(B337="", "", 'Lighting Inventory'!F345)</f>
        <v/>
      </c>
      <c r="P337" s="26" t="str">
        <f>IF(B337="", "", 'Lighting Inventory'!G345)</f>
        <v/>
      </c>
      <c r="Q337" s="26" t="str">
        <f>IF(B337="", "", 'Lighting Inventory'!H345)</f>
        <v/>
      </c>
      <c r="R337" s="26" t="str">
        <f>IF(B337="", "", 'Lighting Inventory'!I345)</f>
        <v/>
      </c>
      <c r="S337" s="26" t="str">
        <f>IF(B337="", "", 'Lighting Inventory'!J345)</f>
        <v/>
      </c>
      <c r="T337" s="26" t="str">
        <f>IFERROR(IF(B337="","",VLOOKUP(S337,'Fixture Identities'!$A$7:$G$1023,5,FALSE)), "New Construction")</f>
        <v/>
      </c>
      <c r="U337" s="26" t="str">
        <f>IFERROR(IF(B337="", "", IF(K337="New Construction", "NC", IF(VLOOKUP(S337, 'Fixture Identities'!$A$7:$I$1023,3, FALSE)="T12 Linear Fluorescent", VLOOKUP(S337, 'Fixture Identities'!$A$7:$K$1012, 11, FALSE), S337))), "")</f>
        <v/>
      </c>
      <c r="V337" s="26" t="str">
        <f>IFERROR(IF(OR(B337="", U337=0), "", VLOOKUP(U337, 'Fixture Identities'!$A$7:$G$1023, 5, FALSE)), "")</f>
        <v/>
      </c>
      <c r="W337" s="26" t="str">
        <f>IF(B337="", "",'Lighting Inventory'!K345)</f>
        <v/>
      </c>
      <c r="X337" s="65" t="str">
        <f>IF(B337="", "", 'Lighting Inventory'!L345)</f>
        <v/>
      </c>
      <c r="Y337" s="26" t="str">
        <f>IF(B337="", "", IF('Lighting Inventory'!M345="", "Light Switch",'Lighting Inventory'!M345))</f>
        <v/>
      </c>
      <c r="Z337" s="26" t="str">
        <f>IF(OR(K337="Retrofit", B337=""), "", 'Lighting Inventory'!N345)</f>
        <v/>
      </c>
      <c r="AA337" s="26" t="str">
        <f>IF(OR(Z337="",B337=""), "", 'Lighting Inventory'!O345)</f>
        <v/>
      </c>
      <c r="AB337" s="26" t="str">
        <f>IF(B337="", "", 'Lighting Inventory'!P345)</f>
        <v/>
      </c>
      <c r="AC337" s="96" t="str">
        <f>IF(B337="", "", 'Lighting Inventory'!R345)</f>
        <v/>
      </c>
      <c r="AD337" s="26" t="str">
        <f>IF(B337="", "", 'Lighting Inventory'!S345)</f>
        <v/>
      </c>
      <c r="AE337" s="26" t="str">
        <f>IF(B337="", "", 'Lighting Inventory'!V345)</f>
        <v/>
      </c>
      <c r="AF337" s="26" t="str">
        <f>IF(B337="", "", 'Lighting Inventory'!W345)</f>
        <v/>
      </c>
      <c r="AG337" s="26" t="str">
        <f>IF(OR(AF337="", B337=""), "", IF(AE337="Custom", "0", VLOOKUP(AF337, 'Lookup Tables'!$AI$6:$AP$102, 8, FALSE)))</f>
        <v/>
      </c>
      <c r="AH337" s="26" t="str">
        <f>IF(B337="", "", 'Lighting Inventory'!AD345)</f>
        <v/>
      </c>
      <c r="AI337" s="26" t="str">
        <f>IF(OR('Lighting Inventory'!AK345="", B337=""), "", 'Lighting Inventory'!AK345)</f>
        <v/>
      </c>
      <c r="AJ337" s="66" t="str">
        <f>IF(B337="", "", 'Lighting Inventory'!AL345)</f>
        <v/>
      </c>
      <c r="AK337" s="65" t="str">
        <f>IF(B337="", "", 'Lighting Inventory'!AM345)</f>
        <v/>
      </c>
      <c r="AL337" s="26" t="str">
        <f>IF(B337="", "", 'Lighting Inventory'!AN345)</f>
        <v/>
      </c>
      <c r="AM337" s="26" t="str">
        <f t="shared" si="18"/>
        <v/>
      </c>
      <c r="AN337" s="26" t="str">
        <f>IF(B337="","",IF('Lighting Inventory'!AV345="","Prescribed",'Lighting Inventory'!AV345))</f>
        <v/>
      </c>
      <c r="AO337" s="66" t="str">
        <f>IF(B337="", "", 'Lighting Inventory'!AX345)</f>
        <v/>
      </c>
      <c r="AP337" s="67" t="str">
        <f>IF(B337="", "", 'Lighting Inventory'!AZ345)</f>
        <v/>
      </c>
      <c r="AQ337" s="67" t="str">
        <f>IF(B337="", "", 'Lighting Inventory'!BA345)</f>
        <v/>
      </c>
      <c r="AR337" s="67" t="str">
        <f>IF(B337="", "", 'Lighting Inventory'!BB345)</f>
        <v/>
      </c>
      <c r="AS337" s="67" t="str">
        <f>IF(B337="", "", 'Lighting Inventory'!BC345)</f>
        <v/>
      </c>
      <c r="AT337" s="67" t="str">
        <f>IF(B337="", "", 'Lighting Inventory'!BD345)</f>
        <v/>
      </c>
      <c r="AU337" s="67" t="str">
        <f>IF(B337="", "", 'Lighting Inventory'!BE345)</f>
        <v/>
      </c>
      <c r="AV337" s="67" t="str">
        <f>IF(B337="", "", 'Lighting Inventory'!BE345)</f>
        <v/>
      </c>
      <c r="AW337" s="67" t="str">
        <f>IF(B337="", "", 'Lighting Inventory'!BF345)</f>
        <v/>
      </c>
      <c r="AX337" s="67" t="str">
        <f>IF(B337="", "", 'Lighting Inventory'!BF345)</f>
        <v/>
      </c>
      <c r="AY337" s="65" t="str">
        <f t="shared" si="19"/>
        <v/>
      </c>
      <c r="AZ337" s="65" t="str">
        <f>IF(B337="", "", 'Lighting Inventory'!BJ345)</f>
        <v/>
      </c>
      <c r="BA337" s="65" t="str">
        <f>IF(B337="", "", 'Lighting Inventory'!BM345)</f>
        <v/>
      </c>
      <c r="BB337" s="65" t="str">
        <f>IF(B337="","",SUM('Lighting Inventory'!BP345:BP345))</f>
        <v/>
      </c>
      <c r="BC337" s="67" t="str">
        <f>IF(OR(AE337="", B337=""),"", 'Lighting Inventory'!GR345)</f>
        <v/>
      </c>
      <c r="BD337" s="67" t="str">
        <f>IFERROR(IF(B337="", "", 'Lighting Inventory'!AF345)*AD337," ")</f>
        <v xml:space="preserve"> </v>
      </c>
      <c r="BE337" s="67"/>
      <c r="BF337" s="67"/>
    </row>
    <row r="338" spans="1:58" x14ac:dyDescent="0.25">
      <c r="A338" s="26" t="str">
        <f>IF(B338="", "", 'Lookup Tables'!AW339)</f>
        <v/>
      </c>
      <c r="B338" s="26" t="str">
        <f>IF(OR('Lighting Inventory'!Y346="", 'Lighting Inventory'!V346="No Change"),"", 'Lighting Inventory'!Y346)</f>
        <v/>
      </c>
      <c r="C338" s="26" t="str">
        <f>IF(B338="", "", IF('Lighting Inventory'!Y346='Lookup Tables'!$Y$32, 'Lighting Inventory'!AJ346, IF(AD338=0, R338, AD338)))</f>
        <v/>
      </c>
      <c r="D338" s="26" t="str">
        <f>IF(B338="", "", 'General Information'!$F$14)</f>
        <v/>
      </c>
      <c r="E338" s="26" t="str">
        <f t="shared" si="17"/>
        <v/>
      </c>
      <c r="F338" s="26" t="str">
        <f>IF(B338="", "", CONCATENATE('General Information'!$F$9, " - ", 'General Information'!$F$14))</f>
        <v/>
      </c>
      <c r="G338" s="26" t="str">
        <f>IF(B338="", "", 'General Information'!$F$15)</f>
        <v/>
      </c>
      <c r="H338" s="26" t="str">
        <f>IF(B338="", "", IF(VLOOKUP(B338, 'Lookup Tables'!$Y$18:$AA$34, 2, FALSE)="Traffic", VLOOKUP('Lighting Inventory'!W346, 'Lookup Tables'!#REF!, 11, FALSE), VLOOKUP(B338, 'Lookup Tables'!$Y$18:$AA$34, 2, FALSE)))</f>
        <v/>
      </c>
      <c r="I338" s="26" t="str">
        <f>IF(B338="", "", CONCATENATE(D338, 'Data Export'!A338))</f>
        <v/>
      </c>
      <c r="J338" s="26" t="str">
        <f>IF(B338="", "", 'Lookup Tables'!$B$1)</f>
        <v/>
      </c>
      <c r="K338" s="26" t="str">
        <f>IF(B338="", "", 'Lighting Inventory'!B346)</f>
        <v/>
      </c>
      <c r="L338" s="26" t="str">
        <f>IF(B338="", "", 'Lighting Inventory'!C346)</f>
        <v/>
      </c>
      <c r="M338" s="26" t="str">
        <f>IF(B338="", "",'Lighting Inventory'!D346)</f>
        <v/>
      </c>
      <c r="N338" s="26" t="str">
        <f>IF(B338="", "",'Lighting Inventory'!E346)</f>
        <v/>
      </c>
      <c r="O338" s="26" t="str">
        <f>IF(B338="", "", 'Lighting Inventory'!F346)</f>
        <v/>
      </c>
      <c r="P338" s="26" t="str">
        <f>IF(B338="", "", 'Lighting Inventory'!G346)</f>
        <v/>
      </c>
      <c r="Q338" s="26" t="str">
        <f>IF(B338="", "", 'Lighting Inventory'!H346)</f>
        <v/>
      </c>
      <c r="R338" s="26" t="str">
        <f>IF(B338="", "", 'Lighting Inventory'!I346)</f>
        <v/>
      </c>
      <c r="S338" s="26" t="str">
        <f>IF(B338="", "", 'Lighting Inventory'!J346)</f>
        <v/>
      </c>
      <c r="T338" s="26" t="str">
        <f>IFERROR(IF(B338="","",VLOOKUP(S338,'Fixture Identities'!$A$7:$G$1023,5,FALSE)), "New Construction")</f>
        <v/>
      </c>
      <c r="U338" s="26" t="str">
        <f>IFERROR(IF(B338="", "", IF(K338="New Construction", "NC", IF(VLOOKUP(S338, 'Fixture Identities'!$A$7:$I$1023,3, FALSE)="T12 Linear Fluorescent", VLOOKUP(S338, 'Fixture Identities'!$A$7:$K$1012, 11, FALSE), S338))), "")</f>
        <v/>
      </c>
      <c r="V338" s="26" t="str">
        <f>IFERROR(IF(OR(B338="", U338=0), "", VLOOKUP(U338, 'Fixture Identities'!$A$7:$G$1023, 5, FALSE)), "")</f>
        <v/>
      </c>
      <c r="W338" s="26" t="str">
        <f>IF(B338="", "",'Lighting Inventory'!K346)</f>
        <v/>
      </c>
      <c r="X338" s="65" t="str">
        <f>IF(B338="", "", 'Lighting Inventory'!L346)</f>
        <v/>
      </c>
      <c r="Y338" s="26" t="str">
        <f>IF(B338="", "", IF('Lighting Inventory'!M346="", "Light Switch",'Lighting Inventory'!M346))</f>
        <v/>
      </c>
      <c r="Z338" s="26" t="str">
        <f>IF(OR(K338="Retrofit", B338=""), "", 'Lighting Inventory'!N346)</f>
        <v/>
      </c>
      <c r="AA338" s="26" t="str">
        <f>IF(OR(Z338="",B338=""), "", 'Lighting Inventory'!O346)</f>
        <v/>
      </c>
      <c r="AB338" s="26" t="str">
        <f>IF(B338="", "", 'Lighting Inventory'!P346)</f>
        <v/>
      </c>
      <c r="AC338" s="96" t="str">
        <f>IF(B338="", "", 'Lighting Inventory'!R346)</f>
        <v/>
      </c>
      <c r="AD338" s="26" t="str">
        <f>IF(B338="", "", 'Lighting Inventory'!S346)</f>
        <v/>
      </c>
      <c r="AE338" s="26" t="str">
        <f>IF(B338="", "", 'Lighting Inventory'!V346)</f>
        <v/>
      </c>
      <c r="AF338" s="26" t="str">
        <f>IF(B338="", "", 'Lighting Inventory'!W346)</f>
        <v/>
      </c>
      <c r="AG338" s="26" t="str">
        <f>IF(OR(AF338="", B338=""), "", IF(AE338="Custom", "0", VLOOKUP(AF338, 'Lookup Tables'!$AI$6:$AP$102, 8, FALSE)))</f>
        <v/>
      </c>
      <c r="AH338" s="26" t="str">
        <f>IF(B338="", "", 'Lighting Inventory'!AD346)</f>
        <v/>
      </c>
      <c r="AI338" s="26" t="str">
        <f>IF(OR('Lighting Inventory'!AK346="", B338=""), "", 'Lighting Inventory'!AK346)</f>
        <v/>
      </c>
      <c r="AJ338" s="66" t="str">
        <f>IF(B338="", "", 'Lighting Inventory'!AL346)</f>
        <v/>
      </c>
      <c r="AK338" s="65" t="str">
        <f>IF(B338="", "", 'Lighting Inventory'!AM346)</f>
        <v/>
      </c>
      <c r="AL338" s="26" t="str">
        <f>IF(B338="", "", 'Lighting Inventory'!AN346)</f>
        <v/>
      </c>
      <c r="AM338" s="26" t="str">
        <f t="shared" si="18"/>
        <v/>
      </c>
      <c r="AN338" s="26" t="str">
        <f>IF(B338="","",IF('Lighting Inventory'!AV346="","Prescribed",'Lighting Inventory'!AV346))</f>
        <v/>
      </c>
      <c r="AO338" s="66" t="str">
        <f>IF(B338="", "", 'Lighting Inventory'!AX346)</f>
        <v/>
      </c>
      <c r="AP338" s="67" t="str">
        <f>IF(B338="", "", 'Lighting Inventory'!AZ346)</f>
        <v/>
      </c>
      <c r="AQ338" s="67" t="str">
        <f>IF(B338="", "", 'Lighting Inventory'!BA346)</f>
        <v/>
      </c>
      <c r="AR338" s="67" t="str">
        <f>IF(B338="", "", 'Lighting Inventory'!BB346)</f>
        <v/>
      </c>
      <c r="AS338" s="67" t="str">
        <f>IF(B338="", "", 'Lighting Inventory'!BC346)</f>
        <v/>
      </c>
      <c r="AT338" s="67" t="str">
        <f>IF(B338="", "", 'Lighting Inventory'!BD346)</f>
        <v/>
      </c>
      <c r="AU338" s="67" t="str">
        <f>IF(B338="", "", 'Lighting Inventory'!BE346)</f>
        <v/>
      </c>
      <c r="AV338" s="67" t="str">
        <f>IF(B338="", "", 'Lighting Inventory'!BE346)</f>
        <v/>
      </c>
      <c r="AW338" s="67" t="str">
        <f>IF(B338="", "", 'Lighting Inventory'!BF346)</f>
        <v/>
      </c>
      <c r="AX338" s="67" t="str">
        <f>IF(B338="", "", 'Lighting Inventory'!BF346)</f>
        <v/>
      </c>
      <c r="AY338" s="65" t="str">
        <f t="shared" si="19"/>
        <v/>
      </c>
      <c r="AZ338" s="65" t="str">
        <f>IF(B338="", "", 'Lighting Inventory'!BJ346)</f>
        <v/>
      </c>
      <c r="BA338" s="65" t="str">
        <f>IF(B338="", "", 'Lighting Inventory'!BM346)</f>
        <v/>
      </c>
      <c r="BB338" s="65" t="str">
        <f>IF(B338="","",SUM('Lighting Inventory'!BP346:BP346))</f>
        <v/>
      </c>
      <c r="BC338" s="67" t="str">
        <f>IF(OR(AE338="", B338=""),"", 'Lighting Inventory'!GR346)</f>
        <v/>
      </c>
      <c r="BD338" s="67" t="str">
        <f>IFERROR(IF(B338="", "", 'Lighting Inventory'!AF346)*AD338," ")</f>
        <v xml:space="preserve"> </v>
      </c>
      <c r="BE338" s="67"/>
      <c r="BF338" s="67"/>
    </row>
    <row r="339" spans="1:58" x14ac:dyDescent="0.25">
      <c r="A339" s="26" t="str">
        <f>IF(B339="", "", 'Lookup Tables'!AW340)</f>
        <v/>
      </c>
      <c r="B339" s="26" t="str">
        <f>IF(OR('Lighting Inventory'!Y347="", 'Lighting Inventory'!V347="No Change"),"", 'Lighting Inventory'!Y347)</f>
        <v/>
      </c>
      <c r="C339" s="26" t="str">
        <f>IF(B339="", "", IF('Lighting Inventory'!Y347='Lookup Tables'!$Y$32, 'Lighting Inventory'!AJ347, IF(AD339=0, R339, AD339)))</f>
        <v/>
      </c>
      <c r="D339" s="26" t="str">
        <f>IF(B339="", "", 'General Information'!$F$14)</f>
        <v/>
      </c>
      <c r="E339" s="26" t="str">
        <f t="shared" si="17"/>
        <v/>
      </c>
      <c r="F339" s="26" t="str">
        <f>IF(B339="", "", CONCATENATE('General Information'!$F$9, " - ", 'General Information'!$F$14))</f>
        <v/>
      </c>
      <c r="G339" s="26" t="str">
        <f>IF(B339="", "", 'General Information'!$F$15)</f>
        <v/>
      </c>
      <c r="H339" s="26" t="str">
        <f>IF(B339="", "", IF(VLOOKUP(B339, 'Lookup Tables'!$Y$18:$AA$34, 2, FALSE)="Traffic", VLOOKUP('Lighting Inventory'!W347, 'Lookup Tables'!#REF!, 11, FALSE), VLOOKUP(B339, 'Lookup Tables'!$Y$18:$AA$34, 2, FALSE)))</f>
        <v/>
      </c>
      <c r="I339" s="26" t="str">
        <f>IF(B339="", "", CONCATENATE(D339, 'Data Export'!A339))</f>
        <v/>
      </c>
      <c r="J339" s="26" t="str">
        <f>IF(B339="", "", 'Lookup Tables'!$B$1)</f>
        <v/>
      </c>
      <c r="K339" s="26" t="str">
        <f>IF(B339="", "", 'Lighting Inventory'!B347)</f>
        <v/>
      </c>
      <c r="L339" s="26" t="str">
        <f>IF(B339="", "", 'Lighting Inventory'!C347)</f>
        <v/>
      </c>
      <c r="M339" s="26" t="str">
        <f>IF(B339="", "",'Lighting Inventory'!D347)</f>
        <v/>
      </c>
      <c r="N339" s="26" t="str">
        <f>IF(B339="", "",'Lighting Inventory'!E347)</f>
        <v/>
      </c>
      <c r="O339" s="26" t="str">
        <f>IF(B339="", "", 'Lighting Inventory'!F347)</f>
        <v/>
      </c>
      <c r="P339" s="26" t="str">
        <f>IF(B339="", "", 'Lighting Inventory'!G347)</f>
        <v/>
      </c>
      <c r="Q339" s="26" t="str">
        <f>IF(B339="", "", 'Lighting Inventory'!H347)</f>
        <v/>
      </c>
      <c r="R339" s="26" t="str">
        <f>IF(B339="", "", 'Lighting Inventory'!I347)</f>
        <v/>
      </c>
      <c r="S339" s="26" t="str">
        <f>IF(B339="", "", 'Lighting Inventory'!J347)</f>
        <v/>
      </c>
      <c r="T339" s="26" t="str">
        <f>IFERROR(IF(B339="","",VLOOKUP(S339,'Fixture Identities'!$A$7:$G$1023,5,FALSE)), "New Construction")</f>
        <v/>
      </c>
      <c r="U339" s="26" t="str">
        <f>IFERROR(IF(B339="", "", IF(K339="New Construction", "NC", IF(VLOOKUP(S339, 'Fixture Identities'!$A$7:$I$1023,3, FALSE)="T12 Linear Fluorescent", VLOOKUP(S339, 'Fixture Identities'!$A$7:$K$1012, 11, FALSE), S339))), "")</f>
        <v/>
      </c>
      <c r="V339" s="26" t="str">
        <f>IFERROR(IF(OR(B339="", U339=0), "", VLOOKUP(U339, 'Fixture Identities'!$A$7:$G$1023, 5, FALSE)), "")</f>
        <v/>
      </c>
      <c r="W339" s="26" t="str">
        <f>IF(B339="", "",'Lighting Inventory'!K347)</f>
        <v/>
      </c>
      <c r="X339" s="65" t="str">
        <f>IF(B339="", "", 'Lighting Inventory'!L347)</f>
        <v/>
      </c>
      <c r="Y339" s="26" t="str">
        <f>IF(B339="", "", IF('Lighting Inventory'!M347="", "Light Switch",'Lighting Inventory'!M347))</f>
        <v/>
      </c>
      <c r="Z339" s="26" t="str">
        <f>IF(OR(K339="Retrofit", B339=""), "", 'Lighting Inventory'!N347)</f>
        <v/>
      </c>
      <c r="AA339" s="26" t="str">
        <f>IF(OR(Z339="",B339=""), "", 'Lighting Inventory'!O347)</f>
        <v/>
      </c>
      <c r="AB339" s="26" t="str">
        <f>IF(B339="", "", 'Lighting Inventory'!P347)</f>
        <v/>
      </c>
      <c r="AC339" s="96" t="str">
        <f>IF(B339="", "", 'Lighting Inventory'!R347)</f>
        <v/>
      </c>
      <c r="AD339" s="26" t="str">
        <f>IF(B339="", "", 'Lighting Inventory'!S347)</f>
        <v/>
      </c>
      <c r="AE339" s="26" t="str">
        <f>IF(B339="", "", 'Lighting Inventory'!V347)</f>
        <v/>
      </c>
      <c r="AF339" s="26" t="str">
        <f>IF(B339="", "", 'Lighting Inventory'!W347)</f>
        <v/>
      </c>
      <c r="AG339" s="26" t="str">
        <f>IF(OR(AF339="", B339=""), "", IF(AE339="Custom", "0", VLOOKUP(AF339, 'Lookup Tables'!$AI$6:$AP$102, 8, FALSE)))</f>
        <v/>
      </c>
      <c r="AH339" s="26" t="str">
        <f>IF(B339="", "", 'Lighting Inventory'!AD347)</f>
        <v/>
      </c>
      <c r="AI339" s="26" t="str">
        <f>IF(OR('Lighting Inventory'!AK347="", B339=""), "", 'Lighting Inventory'!AK347)</f>
        <v/>
      </c>
      <c r="AJ339" s="66" t="str">
        <f>IF(B339="", "", 'Lighting Inventory'!AL347)</f>
        <v/>
      </c>
      <c r="AK339" s="65" t="str">
        <f>IF(B339="", "", 'Lighting Inventory'!AM347)</f>
        <v/>
      </c>
      <c r="AL339" s="26" t="str">
        <f>IF(B339="", "", 'Lighting Inventory'!AN347)</f>
        <v/>
      </c>
      <c r="AM339" s="26" t="str">
        <f t="shared" si="18"/>
        <v/>
      </c>
      <c r="AN339" s="26" t="str">
        <f>IF(B339="","",IF('Lighting Inventory'!AV347="","Prescribed",'Lighting Inventory'!AV347))</f>
        <v/>
      </c>
      <c r="AO339" s="66" t="str">
        <f>IF(B339="", "", 'Lighting Inventory'!AX347)</f>
        <v/>
      </c>
      <c r="AP339" s="67" t="str">
        <f>IF(B339="", "", 'Lighting Inventory'!AZ347)</f>
        <v/>
      </c>
      <c r="AQ339" s="67" t="str">
        <f>IF(B339="", "", 'Lighting Inventory'!BA347)</f>
        <v/>
      </c>
      <c r="AR339" s="67" t="str">
        <f>IF(B339="", "", 'Lighting Inventory'!BB347)</f>
        <v/>
      </c>
      <c r="AS339" s="67" t="str">
        <f>IF(B339="", "", 'Lighting Inventory'!BC347)</f>
        <v/>
      </c>
      <c r="AT339" s="67" t="str">
        <f>IF(B339="", "", 'Lighting Inventory'!BD347)</f>
        <v/>
      </c>
      <c r="AU339" s="67" t="str">
        <f>IF(B339="", "", 'Lighting Inventory'!BE347)</f>
        <v/>
      </c>
      <c r="AV339" s="67" t="str">
        <f>IF(B339="", "", 'Lighting Inventory'!BE347)</f>
        <v/>
      </c>
      <c r="AW339" s="67" t="str">
        <f>IF(B339="", "", 'Lighting Inventory'!BF347)</f>
        <v/>
      </c>
      <c r="AX339" s="67" t="str">
        <f>IF(B339="", "", 'Lighting Inventory'!BF347)</f>
        <v/>
      </c>
      <c r="AY339" s="65" t="str">
        <f t="shared" si="19"/>
        <v/>
      </c>
      <c r="AZ339" s="65" t="str">
        <f>IF(B339="", "", 'Lighting Inventory'!BJ347)</f>
        <v/>
      </c>
      <c r="BA339" s="65" t="str">
        <f>IF(B339="", "", 'Lighting Inventory'!BM347)</f>
        <v/>
      </c>
      <c r="BB339" s="65" t="str">
        <f>IF(B339="","",SUM('Lighting Inventory'!BP347:BP347))</f>
        <v/>
      </c>
      <c r="BC339" s="67" t="str">
        <f>IF(OR(AE339="", B339=""),"", 'Lighting Inventory'!GR347)</f>
        <v/>
      </c>
      <c r="BD339" s="67" t="str">
        <f>IFERROR(IF(B339="", "", 'Lighting Inventory'!AF347)*AD339," ")</f>
        <v xml:space="preserve"> </v>
      </c>
      <c r="BE339" s="67"/>
      <c r="BF339" s="67"/>
    </row>
    <row r="340" spans="1:58" x14ac:dyDescent="0.25">
      <c r="A340" s="26" t="str">
        <f>IF(B340="", "", 'Lookup Tables'!AW341)</f>
        <v/>
      </c>
      <c r="B340" s="26" t="str">
        <f>IF(OR('Lighting Inventory'!Y348="", 'Lighting Inventory'!V348="No Change"),"", 'Lighting Inventory'!Y348)</f>
        <v/>
      </c>
      <c r="C340" s="26" t="str">
        <f>IF(B340="", "", IF('Lighting Inventory'!Y348='Lookup Tables'!$Y$32, 'Lighting Inventory'!AJ348, IF(AD340=0, R340, AD340)))</f>
        <v/>
      </c>
      <c r="D340" s="26" t="str">
        <f>IF(B340="", "", 'General Information'!$F$14)</f>
        <v/>
      </c>
      <c r="E340" s="26" t="str">
        <f t="shared" si="17"/>
        <v/>
      </c>
      <c r="F340" s="26" t="str">
        <f>IF(B340="", "", CONCATENATE('General Information'!$F$9, " - ", 'General Information'!$F$14))</f>
        <v/>
      </c>
      <c r="G340" s="26" t="str">
        <f>IF(B340="", "", 'General Information'!$F$15)</f>
        <v/>
      </c>
      <c r="H340" s="26" t="str">
        <f>IF(B340="", "", IF(VLOOKUP(B340, 'Lookup Tables'!$Y$18:$AA$34, 2, FALSE)="Traffic", VLOOKUP('Lighting Inventory'!W348, 'Lookup Tables'!#REF!, 11, FALSE), VLOOKUP(B340, 'Lookup Tables'!$Y$18:$AA$34, 2, FALSE)))</f>
        <v/>
      </c>
      <c r="I340" s="26" t="str">
        <f>IF(B340="", "", CONCATENATE(D340, 'Data Export'!A340))</f>
        <v/>
      </c>
      <c r="J340" s="26" t="str">
        <f>IF(B340="", "", 'Lookup Tables'!$B$1)</f>
        <v/>
      </c>
      <c r="K340" s="26" t="str">
        <f>IF(B340="", "", 'Lighting Inventory'!B348)</f>
        <v/>
      </c>
      <c r="L340" s="26" t="str">
        <f>IF(B340="", "", 'Lighting Inventory'!C348)</f>
        <v/>
      </c>
      <c r="M340" s="26" t="str">
        <f>IF(B340="", "",'Lighting Inventory'!D348)</f>
        <v/>
      </c>
      <c r="N340" s="26" t="str">
        <f>IF(B340="", "",'Lighting Inventory'!E348)</f>
        <v/>
      </c>
      <c r="O340" s="26" t="str">
        <f>IF(B340="", "", 'Lighting Inventory'!F348)</f>
        <v/>
      </c>
      <c r="P340" s="26" t="str">
        <f>IF(B340="", "", 'Lighting Inventory'!G348)</f>
        <v/>
      </c>
      <c r="Q340" s="26" t="str">
        <f>IF(B340="", "", 'Lighting Inventory'!H348)</f>
        <v/>
      </c>
      <c r="R340" s="26" t="str">
        <f>IF(B340="", "", 'Lighting Inventory'!I348)</f>
        <v/>
      </c>
      <c r="S340" s="26" t="str">
        <f>IF(B340="", "", 'Lighting Inventory'!J348)</f>
        <v/>
      </c>
      <c r="T340" s="26" t="str">
        <f>IFERROR(IF(B340="","",VLOOKUP(S340,'Fixture Identities'!$A$7:$G$1023,5,FALSE)), "New Construction")</f>
        <v/>
      </c>
      <c r="U340" s="26" t="str">
        <f>IFERROR(IF(B340="", "", IF(K340="New Construction", "NC", IF(VLOOKUP(S340, 'Fixture Identities'!$A$7:$I$1023,3, FALSE)="T12 Linear Fluorescent", VLOOKUP(S340, 'Fixture Identities'!$A$7:$K$1012, 11, FALSE), S340))), "")</f>
        <v/>
      </c>
      <c r="V340" s="26" t="str">
        <f>IFERROR(IF(OR(B340="", U340=0), "", VLOOKUP(U340, 'Fixture Identities'!$A$7:$G$1023, 5, FALSE)), "")</f>
        <v/>
      </c>
      <c r="W340" s="26" t="str">
        <f>IF(B340="", "",'Lighting Inventory'!K348)</f>
        <v/>
      </c>
      <c r="X340" s="65" t="str">
        <f>IF(B340="", "", 'Lighting Inventory'!L348)</f>
        <v/>
      </c>
      <c r="Y340" s="26" t="str">
        <f>IF(B340="", "", IF('Lighting Inventory'!M348="", "Light Switch",'Lighting Inventory'!M348))</f>
        <v/>
      </c>
      <c r="Z340" s="26" t="str">
        <f>IF(OR(K340="Retrofit", B340=""), "", 'Lighting Inventory'!N348)</f>
        <v/>
      </c>
      <c r="AA340" s="26" t="str">
        <f>IF(OR(Z340="",B340=""), "", 'Lighting Inventory'!O348)</f>
        <v/>
      </c>
      <c r="AB340" s="26" t="str">
        <f>IF(B340="", "", 'Lighting Inventory'!P348)</f>
        <v/>
      </c>
      <c r="AC340" s="96" t="str">
        <f>IF(B340="", "", 'Lighting Inventory'!R348)</f>
        <v/>
      </c>
      <c r="AD340" s="26" t="str">
        <f>IF(B340="", "", 'Lighting Inventory'!S348)</f>
        <v/>
      </c>
      <c r="AE340" s="26" t="str">
        <f>IF(B340="", "", 'Lighting Inventory'!V348)</f>
        <v/>
      </c>
      <c r="AF340" s="26" t="str">
        <f>IF(B340="", "", 'Lighting Inventory'!W348)</f>
        <v/>
      </c>
      <c r="AG340" s="26" t="str">
        <f>IF(OR(AF340="", B340=""), "", IF(AE340="Custom", "0", VLOOKUP(AF340, 'Lookup Tables'!$AI$6:$AP$102, 8, FALSE)))</f>
        <v/>
      </c>
      <c r="AH340" s="26" t="str">
        <f>IF(B340="", "", 'Lighting Inventory'!AD348)</f>
        <v/>
      </c>
      <c r="AI340" s="26" t="str">
        <f>IF(OR('Lighting Inventory'!AK348="", B340=""), "", 'Lighting Inventory'!AK348)</f>
        <v/>
      </c>
      <c r="AJ340" s="66" t="str">
        <f>IF(B340="", "", 'Lighting Inventory'!AL348)</f>
        <v/>
      </c>
      <c r="AK340" s="65" t="str">
        <f>IF(B340="", "", 'Lighting Inventory'!AM348)</f>
        <v/>
      </c>
      <c r="AL340" s="26" t="str">
        <f>IF(B340="", "", 'Lighting Inventory'!AN348)</f>
        <v/>
      </c>
      <c r="AM340" s="26" t="str">
        <f t="shared" si="18"/>
        <v/>
      </c>
      <c r="AN340" s="26" t="str">
        <f>IF(B340="","",IF('Lighting Inventory'!AV348="","Prescribed",'Lighting Inventory'!AV348))</f>
        <v/>
      </c>
      <c r="AO340" s="66" t="str">
        <f>IF(B340="", "", 'Lighting Inventory'!AX348)</f>
        <v/>
      </c>
      <c r="AP340" s="67" t="str">
        <f>IF(B340="", "", 'Lighting Inventory'!AZ348)</f>
        <v/>
      </c>
      <c r="AQ340" s="67" t="str">
        <f>IF(B340="", "", 'Lighting Inventory'!BA348)</f>
        <v/>
      </c>
      <c r="AR340" s="67" t="str">
        <f>IF(B340="", "", 'Lighting Inventory'!BB348)</f>
        <v/>
      </c>
      <c r="AS340" s="67" t="str">
        <f>IF(B340="", "", 'Lighting Inventory'!BC348)</f>
        <v/>
      </c>
      <c r="AT340" s="67" t="str">
        <f>IF(B340="", "", 'Lighting Inventory'!BD348)</f>
        <v/>
      </c>
      <c r="AU340" s="67" t="str">
        <f>IF(B340="", "", 'Lighting Inventory'!BE348)</f>
        <v/>
      </c>
      <c r="AV340" s="67" t="str">
        <f>IF(B340="", "", 'Lighting Inventory'!BE348)</f>
        <v/>
      </c>
      <c r="AW340" s="67" t="str">
        <f>IF(B340="", "", 'Lighting Inventory'!BF348)</f>
        <v/>
      </c>
      <c r="AX340" s="67" t="str">
        <f>IF(B340="", "", 'Lighting Inventory'!BF348)</f>
        <v/>
      </c>
      <c r="AY340" s="65" t="str">
        <f t="shared" si="19"/>
        <v/>
      </c>
      <c r="AZ340" s="65" t="str">
        <f>IF(B340="", "", 'Lighting Inventory'!BJ348)</f>
        <v/>
      </c>
      <c r="BA340" s="65" t="str">
        <f>IF(B340="", "", 'Lighting Inventory'!BM348)</f>
        <v/>
      </c>
      <c r="BB340" s="65" t="str">
        <f>IF(B340="","",SUM('Lighting Inventory'!BP348:BP348))</f>
        <v/>
      </c>
      <c r="BC340" s="67" t="str">
        <f>IF(OR(AE340="", B340=""),"", 'Lighting Inventory'!GR348)</f>
        <v/>
      </c>
      <c r="BD340" s="67" t="str">
        <f>IFERROR(IF(B340="", "", 'Lighting Inventory'!AF348)*AD340," ")</f>
        <v xml:space="preserve"> </v>
      </c>
      <c r="BE340" s="67"/>
      <c r="BF340" s="67"/>
    </row>
    <row r="341" spans="1:58" x14ac:dyDescent="0.25">
      <c r="A341" s="26" t="str">
        <f>IF(B341="", "", 'Lookup Tables'!AW342)</f>
        <v/>
      </c>
      <c r="B341" s="26" t="str">
        <f>IF(OR('Lighting Inventory'!Y349="", 'Lighting Inventory'!V349="No Change"),"", 'Lighting Inventory'!Y349)</f>
        <v/>
      </c>
      <c r="C341" s="26" t="str">
        <f>IF(B341="", "", IF('Lighting Inventory'!Y349='Lookup Tables'!$Y$32, 'Lighting Inventory'!AJ349, IF(AD341=0, R341, AD341)))</f>
        <v/>
      </c>
      <c r="D341" s="26" t="str">
        <f>IF(B341="", "", 'General Information'!$F$14)</f>
        <v/>
      </c>
      <c r="E341" s="26" t="str">
        <f t="shared" si="17"/>
        <v/>
      </c>
      <c r="F341" s="26" t="str">
        <f>IF(B341="", "", CONCATENATE('General Information'!$F$9, " - ", 'General Information'!$F$14))</f>
        <v/>
      </c>
      <c r="G341" s="26" t="str">
        <f>IF(B341="", "", 'General Information'!$F$15)</f>
        <v/>
      </c>
      <c r="H341" s="26" t="str">
        <f>IF(B341="", "", IF(VLOOKUP(B341, 'Lookup Tables'!$Y$18:$AA$34, 2, FALSE)="Traffic", VLOOKUP('Lighting Inventory'!W349, 'Lookup Tables'!#REF!, 11, FALSE), VLOOKUP(B341, 'Lookup Tables'!$Y$18:$AA$34, 2, FALSE)))</f>
        <v/>
      </c>
      <c r="I341" s="26" t="str">
        <f>IF(B341="", "", CONCATENATE(D341, 'Data Export'!A341))</f>
        <v/>
      </c>
      <c r="J341" s="26" t="str">
        <f>IF(B341="", "", 'Lookup Tables'!$B$1)</f>
        <v/>
      </c>
      <c r="K341" s="26" t="str">
        <f>IF(B341="", "", 'Lighting Inventory'!B349)</f>
        <v/>
      </c>
      <c r="L341" s="26" t="str">
        <f>IF(B341="", "", 'Lighting Inventory'!C349)</f>
        <v/>
      </c>
      <c r="M341" s="26" t="str">
        <f>IF(B341="", "",'Lighting Inventory'!D349)</f>
        <v/>
      </c>
      <c r="N341" s="26" t="str">
        <f>IF(B341="", "",'Lighting Inventory'!E349)</f>
        <v/>
      </c>
      <c r="O341" s="26" t="str">
        <f>IF(B341="", "", 'Lighting Inventory'!F349)</f>
        <v/>
      </c>
      <c r="P341" s="26" t="str">
        <f>IF(B341="", "", 'Lighting Inventory'!G349)</f>
        <v/>
      </c>
      <c r="Q341" s="26" t="str">
        <f>IF(B341="", "", 'Lighting Inventory'!H349)</f>
        <v/>
      </c>
      <c r="R341" s="26" t="str">
        <f>IF(B341="", "", 'Lighting Inventory'!I349)</f>
        <v/>
      </c>
      <c r="S341" s="26" t="str">
        <f>IF(B341="", "", 'Lighting Inventory'!J349)</f>
        <v/>
      </c>
      <c r="T341" s="26" t="str">
        <f>IFERROR(IF(B341="","",VLOOKUP(S341,'Fixture Identities'!$A$7:$G$1023,5,FALSE)), "New Construction")</f>
        <v/>
      </c>
      <c r="U341" s="26" t="str">
        <f>IFERROR(IF(B341="", "", IF(K341="New Construction", "NC", IF(VLOOKUP(S341, 'Fixture Identities'!$A$7:$I$1023,3, FALSE)="T12 Linear Fluorescent", VLOOKUP(S341, 'Fixture Identities'!$A$7:$K$1012, 11, FALSE), S341))), "")</f>
        <v/>
      </c>
      <c r="V341" s="26" t="str">
        <f>IFERROR(IF(OR(B341="", U341=0), "", VLOOKUP(U341, 'Fixture Identities'!$A$7:$G$1023, 5, FALSE)), "")</f>
        <v/>
      </c>
      <c r="W341" s="26" t="str">
        <f>IF(B341="", "",'Lighting Inventory'!K349)</f>
        <v/>
      </c>
      <c r="X341" s="65" t="str">
        <f>IF(B341="", "", 'Lighting Inventory'!L349)</f>
        <v/>
      </c>
      <c r="Y341" s="26" t="str">
        <f>IF(B341="", "", IF('Lighting Inventory'!M349="", "Light Switch",'Lighting Inventory'!M349))</f>
        <v/>
      </c>
      <c r="Z341" s="26" t="str">
        <f>IF(OR(K341="Retrofit", B341=""), "", 'Lighting Inventory'!N349)</f>
        <v/>
      </c>
      <c r="AA341" s="26" t="str">
        <f>IF(OR(Z341="",B341=""), "", 'Lighting Inventory'!O349)</f>
        <v/>
      </c>
      <c r="AB341" s="26" t="str">
        <f>IF(B341="", "", 'Lighting Inventory'!P349)</f>
        <v/>
      </c>
      <c r="AC341" s="96" t="str">
        <f>IF(B341="", "", 'Lighting Inventory'!R349)</f>
        <v/>
      </c>
      <c r="AD341" s="26" t="str">
        <f>IF(B341="", "", 'Lighting Inventory'!S349)</f>
        <v/>
      </c>
      <c r="AE341" s="26" t="str">
        <f>IF(B341="", "", 'Lighting Inventory'!V349)</f>
        <v/>
      </c>
      <c r="AF341" s="26" t="str">
        <f>IF(B341="", "", 'Lighting Inventory'!W349)</f>
        <v/>
      </c>
      <c r="AG341" s="26" t="str">
        <f>IF(OR(AF341="", B341=""), "", IF(AE341="Custom", "0", VLOOKUP(AF341, 'Lookup Tables'!$AI$6:$AP$102, 8, FALSE)))</f>
        <v/>
      </c>
      <c r="AH341" s="26" t="str">
        <f>IF(B341="", "", 'Lighting Inventory'!AD349)</f>
        <v/>
      </c>
      <c r="AI341" s="26" t="str">
        <f>IF(OR('Lighting Inventory'!AK349="", B341=""), "", 'Lighting Inventory'!AK349)</f>
        <v/>
      </c>
      <c r="AJ341" s="66" t="str">
        <f>IF(B341="", "", 'Lighting Inventory'!AL349)</f>
        <v/>
      </c>
      <c r="AK341" s="65" t="str">
        <f>IF(B341="", "", 'Lighting Inventory'!AM349)</f>
        <v/>
      </c>
      <c r="AL341" s="26" t="str">
        <f>IF(B341="", "", 'Lighting Inventory'!AN349)</f>
        <v/>
      </c>
      <c r="AM341" s="26" t="str">
        <f t="shared" si="18"/>
        <v/>
      </c>
      <c r="AN341" s="26" t="str">
        <f>IF(B341="","",IF('Lighting Inventory'!AV349="","Prescribed",'Lighting Inventory'!AV349))</f>
        <v/>
      </c>
      <c r="AO341" s="66" t="str">
        <f>IF(B341="", "", 'Lighting Inventory'!AX349)</f>
        <v/>
      </c>
      <c r="AP341" s="67" t="str">
        <f>IF(B341="", "", 'Lighting Inventory'!AZ349)</f>
        <v/>
      </c>
      <c r="AQ341" s="67" t="str">
        <f>IF(B341="", "", 'Lighting Inventory'!BA349)</f>
        <v/>
      </c>
      <c r="AR341" s="67" t="str">
        <f>IF(B341="", "", 'Lighting Inventory'!BB349)</f>
        <v/>
      </c>
      <c r="AS341" s="67" t="str">
        <f>IF(B341="", "", 'Lighting Inventory'!BC349)</f>
        <v/>
      </c>
      <c r="AT341" s="67" t="str">
        <f>IF(B341="", "", 'Lighting Inventory'!BD349)</f>
        <v/>
      </c>
      <c r="AU341" s="67" t="str">
        <f>IF(B341="", "", 'Lighting Inventory'!BE349)</f>
        <v/>
      </c>
      <c r="AV341" s="67" t="str">
        <f>IF(B341="", "", 'Lighting Inventory'!BE349)</f>
        <v/>
      </c>
      <c r="AW341" s="67" t="str">
        <f>IF(B341="", "", 'Lighting Inventory'!BF349)</f>
        <v/>
      </c>
      <c r="AX341" s="67" t="str">
        <f>IF(B341="", "", 'Lighting Inventory'!BF349)</f>
        <v/>
      </c>
      <c r="AY341" s="65" t="str">
        <f t="shared" si="19"/>
        <v/>
      </c>
      <c r="AZ341" s="65" t="str">
        <f>IF(B341="", "", 'Lighting Inventory'!BJ349)</f>
        <v/>
      </c>
      <c r="BA341" s="65" t="str">
        <f>IF(B341="", "", 'Lighting Inventory'!BM349)</f>
        <v/>
      </c>
      <c r="BB341" s="65" t="str">
        <f>IF(B341="","",SUM('Lighting Inventory'!BP349:BP349))</f>
        <v/>
      </c>
      <c r="BC341" s="67" t="str">
        <f>IF(OR(AE341="", B341=""),"", 'Lighting Inventory'!GR349)</f>
        <v/>
      </c>
      <c r="BD341" s="67" t="str">
        <f>IFERROR(IF(B341="", "", 'Lighting Inventory'!AF349)*AD341," ")</f>
        <v xml:space="preserve"> </v>
      </c>
      <c r="BE341" s="67"/>
      <c r="BF341" s="67"/>
    </row>
    <row r="342" spans="1:58" x14ac:dyDescent="0.25">
      <c r="A342" s="26" t="str">
        <f>IF(B342="", "", 'Lookup Tables'!AW343)</f>
        <v/>
      </c>
      <c r="B342" s="26" t="str">
        <f>IF(OR('Lighting Inventory'!Y350="", 'Lighting Inventory'!V350="No Change"),"", 'Lighting Inventory'!Y350)</f>
        <v/>
      </c>
      <c r="C342" s="26" t="str">
        <f>IF(B342="", "", IF('Lighting Inventory'!Y350='Lookup Tables'!$Y$32, 'Lighting Inventory'!AJ350, IF(AD342=0, R342, AD342)))</f>
        <v/>
      </c>
      <c r="D342" s="26" t="str">
        <f>IF(B342="", "", 'General Information'!$F$14)</f>
        <v/>
      </c>
      <c r="E342" s="26" t="str">
        <f t="shared" si="17"/>
        <v/>
      </c>
      <c r="F342" s="26" t="str">
        <f>IF(B342="", "", CONCATENATE('General Information'!$F$9, " - ", 'General Information'!$F$14))</f>
        <v/>
      </c>
      <c r="G342" s="26" t="str">
        <f>IF(B342="", "", 'General Information'!$F$15)</f>
        <v/>
      </c>
      <c r="H342" s="26" t="str">
        <f>IF(B342="", "", IF(VLOOKUP(B342, 'Lookup Tables'!$Y$18:$AA$34, 2, FALSE)="Traffic", VLOOKUP('Lighting Inventory'!W350, 'Lookup Tables'!#REF!, 11, FALSE), VLOOKUP(B342, 'Lookup Tables'!$Y$18:$AA$34, 2, FALSE)))</f>
        <v/>
      </c>
      <c r="I342" s="26" t="str">
        <f>IF(B342="", "", CONCATENATE(D342, 'Data Export'!A342))</f>
        <v/>
      </c>
      <c r="J342" s="26" t="str">
        <f>IF(B342="", "", 'Lookup Tables'!$B$1)</f>
        <v/>
      </c>
      <c r="K342" s="26" t="str">
        <f>IF(B342="", "", 'Lighting Inventory'!B350)</f>
        <v/>
      </c>
      <c r="L342" s="26" t="str">
        <f>IF(B342="", "", 'Lighting Inventory'!C350)</f>
        <v/>
      </c>
      <c r="M342" s="26" t="str">
        <f>IF(B342="", "",'Lighting Inventory'!D350)</f>
        <v/>
      </c>
      <c r="N342" s="26" t="str">
        <f>IF(B342="", "",'Lighting Inventory'!E350)</f>
        <v/>
      </c>
      <c r="O342" s="26" t="str">
        <f>IF(B342="", "", 'Lighting Inventory'!F350)</f>
        <v/>
      </c>
      <c r="P342" s="26" t="str">
        <f>IF(B342="", "", 'Lighting Inventory'!G350)</f>
        <v/>
      </c>
      <c r="Q342" s="26" t="str">
        <f>IF(B342="", "", 'Lighting Inventory'!H350)</f>
        <v/>
      </c>
      <c r="R342" s="26" t="str">
        <f>IF(B342="", "", 'Lighting Inventory'!I350)</f>
        <v/>
      </c>
      <c r="S342" s="26" t="str">
        <f>IF(B342="", "", 'Lighting Inventory'!J350)</f>
        <v/>
      </c>
      <c r="T342" s="26" t="str">
        <f>IFERROR(IF(B342="","",VLOOKUP(S342,'Fixture Identities'!$A$7:$G$1023,5,FALSE)), "New Construction")</f>
        <v/>
      </c>
      <c r="U342" s="26" t="str">
        <f>IFERROR(IF(B342="", "", IF(K342="New Construction", "NC", IF(VLOOKUP(S342, 'Fixture Identities'!$A$7:$I$1023,3, FALSE)="T12 Linear Fluorescent", VLOOKUP(S342, 'Fixture Identities'!$A$7:$K$1012, 11, FALSE), S342))), "")</f>
        <v/>
      </c>
      <c r="V342" s="26" t="str">
        <f>IFERROR(IF(OR(B342="", U342=0), "", VLOOKUP(U342, 'Fixture Identities'!$A$7:$G$1023, 5, FALSE)), "")</f>
        <v/>
      </c>
      <c r="W342" s="26" t="str">
        <f>IF(B342="", "",'Lighting Inventory'!K350)</f>
        <v/>
      </c>
      <c r="X342" s="65" t="str">
        <f>IF(B342="", "", 'Lighting Inventory'!L350)</f>
        <v/>
      </c>
      <c r="Y342" s="26" t="str">
        <f>IF(B342="", "", IF('Lighting Inventory'!M350="", "Light Switch",'Lighting Inventory'!M350))</f>
        <v/>
      </c>
      <c r="Z342" s="26" t="str">
        <f>IF(OR(K342="Retrofit", B342=""), "", 'Lighting Inventory'!N350)</f>
        <v/>
      </c>
      <c r="AA342" s="26" t="str">
        <f>IF(OR(Z342="",B342=""), "", 'Lighting Inventory'!O350)</f>
        <v/>
      </c>
      <c r="AB342" s="26" t="str">
        <f>IF(B342="", "", 'Lighting Inventory'!P350)</f>
        <v/>
      </c>
      <c r="AC342" s="96" t="str">
        <f>IF(B342="", "", 'Lighting Inventory'!R350)</f>
        <v/>
      </c>
      <c r="AD342" s="26" t="str">
        <f>IF(B342="", "", 'Lighting Inventory'!S350)</f>
        <v/>
      </c>
      <c r="AE342" s="26" t="str">
        <f>IF(B342="", "", 'Lighting Inventory'!V350)</f>
        <v/>
      </c>
      <c r="AF342" s="26" t="str">
        <f>IF(B342="", "", 'Lighting Inventory'!W350)</f>
        <v/>
      </c>
      <c r="AG342" s="26" t="str">
        <f>IF(OR(AF342="", B342=""), "", IF(AE342="Custom", "0", VLOOKUP(AF342, 'Lookup Tables'!$AI$6:$AP$102, 8, FALSE)))</f>
        <v/>
      </c>
      <c r="AH342" s="26" t="str">
        <f>IF(B342="", "", 'Lighting Inventory'!AD350)</f>
        <v/>
      </c>
      <c r="AI342" s="26" t="str">
        <f>IF(OR('Lighting Inventory'!AK350="", B342=""), "", 'Lighting Inventory'!AK350)</f>
        <v/>
      </c>
      <c r="AJ342" s="66" t="str">
        <f>IF(B342="", "", 'Lighting Inventory'!AL350)</f>
        <v/>
      </c>
      <c r="AK342" s="65" t="str">
        <f>IF(B342="", "", 'Lighting Inventory'!AM350)</f>
        <v/>
      </c>
      <c r="AL342" s="26" t="str">
        <f>IF(B342="", "", 'Lighting Inventory'!AN350)</f>
        <v/>
      </c>
      <c r="AM342" s="26" t="str">
        <f t="shared" si="18"/>
        <v/>
      </c>
      <c r="AN342" s="26" t="str">
        <f>IF(B342="","",IF('Lighting Inventory'!AV350="","Prescribed",'Lighting Inventory'!AV350))</f>
        <v/>
      </c>
      <c r="AO342" s="66" t="str">
        <f>IF(B342="", "", 'Lighting Inventory'!AX350)</f>
        <v/>
      </c>
      <c r="AP342" s="67" t="str">
        <f>IF(B342="", "", 'Lighting Inventory'!AZ350)</f>
        <v/>
      </c>
      <c r="AQ342" s="67" t="str">
        <f>IF(B342="", "", 'Lighting Inventory'!BA350)</f>
        <v/>
      </c>
      <c r="AR342" s="67" t="str">
        <f>IF(B342="", "", 'Lighting Inventory'!BB350)</f>
        <v/>
      </c>
      <c r="AS342" s="67" t="str">
        <f>IF(B342="", "", 'Lighting Inventory'!BC350)</f>
        <v/>
      </c>
      <c r="AT342" s="67" t="str">
        <f>IF(B342="", "", 'Lighting Inventory'!BD350)</f>
        <v/>
      </c>
      <c r="AU342" s="67" t="str">
        <f>IF(B342="", "", 'Lighting Inventory'!BE350)</f>
        <v/>
      </c>
      <c r="AV342" s="67" t="str">
        <f>IF(B342="", "", 'Lighting Inventory'!BE350)</f>
        <v/>
      </c>
      <c r="AW342" s="67" t="str">
        <f>IF(B342="", "", 'Lighting Inventory'!BF350)</f>
        <v/>
      </c>
      <c r="AX342" s="67" t="str">
        <f>IF(B342="", "", 'Lighting Inventory'!BF350)</f>
        <v/>
      </c>
      <c r="AY342" s="65" t="str">
        <f t="shared" si="19"/>
        <v/>
      </c>
      <c r="AZ342" s="65" t="str">
        <f>IF(B342="", "", 'Lighting Inventory'!BJ350)</f>
        <v/>
      </c>
      <c r="BA342" s="65" t="str">
        <f>IF(B342="", "", 'Lighting Inventory'!BM350)</f>
        <v/>
      </c>
      <c r="BB342" s="65" t="str">
        <f>IF(B342="","",SUM('Lighting Inventory'!BP350:BP350))</f>
        <v/>
      </c>
      <c r="BC342" s="67" t="str">
        <f>IF(OR(AE342="", B342=""),"", 'Lighting Inventory'!GR350)</f>
        <v/>
      </c>
      <c r="BD342" s="67" t="str">
        <f>IFERROR(IF(B342="", "", 'Lighting Inventory'!AF350)*AD342," ")</f>
        <v xml:space="preserve"> </v>
      </c>
      <c r="BE342" s="67"/>
      <c r="BF342" s="67"/>
    </row>
    <row r="343" spans="1:58" x14ac:dyDescent="0.25">
      <c r="A343" s="26" t="str">
        <f>IF(B343="", "", 'Lookup Tables'!AW344)</f>
        <v/>
      </c>
      <c r="B343" s="26" t="str">
        <f>IF(OR('Lighting Inventory'!Y351="", 'Lighting Inventory'!V351="No Change"),"", 'Lighting Inventory'!Y351)</f>
        <v/>
      </c>
      <c r="C343" s="26" t="str">
        <f>IF(B343="", "", IF('Lighting Inventory'!Y351='Lookup Tables'!$Y$32, 'Lighting Inventory'!AJ351, IF(AD343=0, R343, AD343)))</f>
        <v/>
      </c>
      <c r="D343" s="26" t="str">
        <f>IF(B343="", "", 'General Information'!$F$14)</f>
        <v/>
      </c>
      <c r="E343" s="26" t="str">
        <f t="shared" si="17"/>
        <v/>
      </c>
      <c r="F343" s="26" t="str">
        <f>IF(B343="", "", CONCATENATE('General Information'!$F$9, " - ", 'General Information'!$F$14))</f>
        <v/>
      </c>
      <c r="G343" s="26" t="str">
        <f>IF(B343="", "", 'General Information'!$F$15)</f>
        <v/>
      </c>
      <c r="H343" s="26" t="str">
        <f>IF(B343="", "", IF(VLOOKUP(B343, 'Lookup Tables'!$Y$18:$AA$34, 2, FALSE)="Traffic", VLOOKUP('Lighting Inventory'!W351, 'Lookup Tables'!#REF!, 11, FALSE), VLOOKUP(B343, 'Lookup Tables'!$Y$18:$AA$34, 2, FALSE)))</f>
        <v/>
      </c>
      <c r="I343" s="26" t="str">
        <f>IF(B343="", "", CONCATENATE(D343, 'Data Export'!A343))</f>
        <v/>
      </c>
      <c r="J343" s="26" t="str">
        <f>IF(B343="", "", 'Lookup Tables'!$B$1)</f>
        <v/>
      </c>
      <c r="K343" s="26" t="str">
        <f>IF(B343="", "", 'Lighting Inventory'!B351)</f>
        <v/>
      </c>
      <c r="L343" s="26" t="str">
        <f>IF(B343="", "", 'Lighting Inventory'!C351)</f>
        <v/>
      </c>
      <c r="M343" s="26" t="str">
        <f>IF(B343="", "",'Lighting Inventory'!D351)</f>
        <v/>
      </c>
      <c r="N343" s="26" t="str">
        <f>IF(B343="", "",'Lighting Inventory'!E351)</f>
        <v/>
      </c>
      <c r="O343" s="26" t="str">
        <f>IF(B343="", "", 'Lighting Inventory'!F351)</f>
        <v/>
      </c>
      <c r="P343" s="26" t="str">
        <f>IF(B343="", "", 'Lighting Inventory'!G351)</f>
        <v/>
      </c>
      <c r="Q343" s="26" t="str">
        <f>IF(B343="", "", 'Lighting Inventory'!H351)</f>
        <v/>
      </c>
      <c r="R343" s="26" t="str">
        <f>IF(B343="", "", 'Lighting Inventory'!I351)</f>
        <v/>
      </c>
      <c r="S343" s="26" t="str">
        <f>IF(B343="", "", 'Lighting Inventory'!J351)</f>
        <v/>
      </c>
      <c r="T343" s="26" t="str">
        <f>IFERROR(IF(B343="","",VLOOKUP(S343,'Fixture Identities'!$A$7:$G$1023,5,FALSE)), "New Construction")</f>
        <v/>
      </c>
      <c r="U343" s="26" t="str">
        <f>IFERROR(IF(B343="", "", IF(K343="New Construction", "NC", IF(VLOOKUP(S343, 'Fixture Identities'!$A$7:$I$1023,3, FALSE)="T12 Linear Fluorescent", VLOOKUP(S343, 'Fixture Identities'!$A$7:$K$1012, 11, FALSE), S343))), "")</f>
        <v/>
      </c>
      <c r="V343" s="26" t="str">
        <f>IFERROR(IF(OR(B343="", U343=0), "", VLOOKUP(U343, 'Fixture Identities'!$A$7:$G$1023, 5, FALSE)), "")</f>
        <v/>
      </c>
      <c r="W343" s="26" t="str">
        <f>IF(B343="", "",'Lighting Inventory'!K351)</f>
        <v/>
      </c>
      <c r="X343" s="65" t="str">
        <f>IF(B343="", "", 'Lighting Inventory'!L351)</f>
        <v/>
      </c>
      <c r="Y343" s="26" t="str">
        <f>IF(B343="", "", IF('Lighting Inventory'!M351="", "Light Switch",'Lighting Inventory'!M351))</f>
        <v/>
      </c>
      <c r="Z343" s="26" t="str">
        <f>IF(OR(K343="Retrofit", B343=""), "", 'Lighting Inventory'!N351)</f>
        <v/>
      </c>
      <c r="AA343" s="26" t="str">
        <f>IF(OR(Z343="",B343=""), "", 'Lighting Inventory'!O351)</f>
        <v/>
      </c>
      <c r="AB343" s="26" t="str">
        <f>IF(B343="", "", 'Lighting Inventory'!P351)</f>
        <v/>
      </c>
      <c r="AC343" s="96" t="str">
        <f>IF(B343="", "", 'Lighting Inventory'!R351)</f>
        <v/>
      </c>
      <c r="AD343" s="26" t="str">
        <f>IF(B343="", "", 'Lighting Inventory'!S351)</f>
        <v/>
      </c>
      <c r="AE343" s="26" t="str">
        <f>IF(B343="", "", 'Lighting Inventory'!V351)</f>
        <v/>
      </c>
      <c r="AF343" s="26" t="str">
        <f>IF(B343="", "", 'Lighting Inventory'!W351)</f>
        <v/>
      </c>
      <c r="AG343" s="26" t="str">
        <f>IF(OR(AF343="", B343=""), "", IF(AE343="Custom", "0", VLOOKUP(AF343, 'Lookup Tables'!$AI$6:$AP$102, 8, FALSE)))</f>
        <v/>
      </c>
      <c r="AH343" s="26" t="str">
        <f>IF(B343="", "", 'Lighting Inventory'!AD351)</f>
        <v/>
      </c>
      <c r="AI343" s="26" t="str">
        <f>IF(OR('Lighting Inventory'!AK351="", B343=""), "", 'Lighting Inventory'!AK351)</f>
        <v/>
      </c>
      <c r="AJ343" s="66" t="str">
        <f>IF(B343="", "", 'Lighting Inventory'!AL351)</f>
        <v/>
      </c>
      <c r="AK343" s="65" t="str">
        <f>IF(B343="", "", 'Lighting Inventory'!AM351)</f>
        <v/>
      </c>
      <c r="AL343" s="26" t="str">
        <f>IF(B343="", "", 'Lighting Inventory'!AN351)</f>
        <v/>
      </c>
      <c r="AM343" s="26" t="str">
        <f t="shared" si="18"/>
        <v/>
      </c>
      <c r="AN343" s="26" t="str">
        <f>IF(B343="","",IF('Lighting Inventory'!AV351="","Prescribed",'Lighting Inventory'!AV351))</f>
        <v/>
      </c>
      <c r="AO343" s="66" t="str">
        <f>IF(B343="", "", 'Lighting Inventory'!AX351)</f>
        <v/>
      </c>
      <c r="AP343" s="67" t="str">
        <f>IF(B343="", "", 'Lighting Inventory'!AZ351)</f>
        <v/>
      </c>
      <c r="AQ343" s="67" t="str">
        <f>IF(B343="", "", 'Lighting Inventory'!BA351)</f>
        <v/>
      </c>
      <c r="AR343" s="67" t="str">
        <f>IF(B343="", "", 'Lighting Inventory'!BB351)</f>
        <v/>
      </c>
      <c r="AS343" s="67" t="str">
        <f>IF(B343="", "", 'Lighting Inventory'!BC351)</f>
        <v/>
      </c>
      <c r="AT343" s="67" t="str">
        <f>IF(B343="", "", 'Lighting Inventory'!BD351)</f>
        <v/>
      </c>
      <c r="AU343" s="67" t="str">
        <f>IF(B343="", "", 'Lighting Inventory'!BE351)</f>
        <v/>
      </c>
      <c r="AV343" s="67" t="str">
        <f>IF(B343="", "", 'Lighting Inventory'!BE351)</f>
        <v/>
      </c>
      <c r="AW343" s="67" t="str">
        <f>IF(B343="", "", 'Lighting Inventory'!BF351)</f>
        <v/>
      </c>
      <c r="AX343" s="67" t="str">
        <f>IF(B343="", "", 'Lighting Inventory'!BF351)</f>
        <v/>
      </c>
      <c r="AY343" s="65" t="str">
        <f t="shared" si="19"/>
        <v/>
      </c>
      <c r="AZ343" s="65" t="str">
        <f>IF(B343="", "", 'Lighting Inventory'!BJ351)</f>
        <v/>
      </c>
      <c r="BA343" s="65" t="str">
        <f>IF(B343="", "", 'Lighting Inventory'!BM351)</f>
        <v/>
      </c>
      <c r="BB343" s="65" t="str">
        <f>IF(B343="","",SUM('Lighting Inventory'!BP351:BP351))</f>
        <v/>
      </c>
      <c r="BC343" s="67" t="str">
        <f>IF(OR(AE343="", B343=""),"", 'Lighting Inventory'!GR351)</f>
        <v/>
      </c>
      <c r="BD343" s="67" t="str">
        <f>IFERROR(IF(B343="", "", 'Lighting Inventory'!AF351)*AD343," ")</f>
        <v xml:space="preserve"> </v>
      </c>
      <c r="BE343" s="67"/>
      <c r="BF343" s="67"/>
    </row>
    <row r="344" spans="1:58" x14ac:dyDescent="0.25">
      <c r="A344" s="26" t="str">
        <f>IF(B344="", "", 'Lookup Tables'!AW345)</f>
        <v/>
      </c>
      <c r="B344" s="26" t="str">
        <f>IF(OR('Lighting Inventory'!Y352="", 'Lighting Inventory'!V352="No Change"),"", 'Lighting Inventory'!Y352)</f>
        <v/>
      </c>
      <c r="C344" s="26" t="str">
        <f>IF(B344="", "", IF('Lighting Inventory'!Y352='Lookup Tables'!$Y$32, 'Lighting Inventory'!AJ352, IF(AD344=0, R344, AD344)))</f>
        <v/>
      </c>
      <c r="D344" s="26" t="str">
        <f>IF(B344="", "", 'General Information'!$F$14)</f>
        <v/>
      </c>
      <c r="E344" s="26" t="str">
        <f t="shared" si="17"/>
        <v/>
      </c>
      <c r="F344" s="26" t="str">
        <f>IF(B344="", "", CONCATENATE('General Information'!$F$9, " - ", 'General Information'!$F$14))</f>
        <v/>
      </c>
      <c r="G344" s="26" t="str">
        <f>IF(B344="", "", 'General Information'!$F$15)</f>
        <v/>
      </c>
      <c r="H344" s="26" t="str">
        <f>IF(B344="", "", IF(VLOOKUP(B344, 'Lookup Tables'!$Y$18:$AA$34, 2, FALSE)="Traffic", VLOOKUP('Lighting Inventory'!W352, 'Lookup Tables'!#REF!, 11, FALSE), VLOOKUP(B344, 'Lookup Tables'!$Y$18:$AA$34, 2, FALSE)))</f>
        <v/>
      </c>
      <c r="I344" s="26" t="str">
        <f>IF(B344="", "", CONCATENATE(D344, 'Data Export'!A344))</f>
        <v/>
      </c>
      <c r="J344" s="26" t="str">
        <f>IF(B344="", "", 'Lookup Tables'!$B$1)</f>
        <v/>
      </c>
      <c r="K344" s="26" t="str">
        <f>IF(B344="", "", 'Lighting Inventory'!B352)</f>
        <v/>
      </c>
      <c r="L344" s="26" t="str">
        <f>IF(B344="", "", 'Lighting Inventory'!C352)</f>
        <v/>
      </c>
      <c r="M344" s="26" t="str">
        <f>IF(B344="", "",'Lighting Inventory'!D352)</f>
        <v/>
      </c>
      <c r="N344" s="26" t="str">
        <f>IF(B344="", "",'Lighting Inventory'!E352)</f>
        <v/>
      </c>
      <c r="O344" s="26" t="str">
        <f>IF(B344="", "", 'Lighting Inventory'!F352)</f>
        <v/>
      </c>
      <c r="P344" s="26" t="str">
        <f>IF(B344="", "", 'Lighting Inventory'!G352)</f>
        <v/>
      </c>
      <c r="Q344" s="26" t="str">
        <f>IF(B344="", "", 'Lighting Inventory'!H352)</f>
        <v/>
      </c>
      <c r="R344" s="26" t="str">
        <f>IF(B344="", "", 'Lighting Inventory'!I352)</f>
        <v/>
      </c>
      <c r="S344" s="26" t="str">
        <f>IF(B344="", "", 'Lighting Inventory'!J352)</f>
        <v/>
      </c>
      <c r="T344" s="26" t="str">
        <f>IFERROR(IF(B344="","",VLOOKUP(S344,'Fixture Identities'!$A$7:$G$1023,5,FALSE)), "New Construction")</f>
        <v/>
      </c>
      <c r="U344" s="26" t="str">
        <f>IFERROR(IF(B344="", "", IF(K344="New Construction", "NC", IF(VLOOKUP(S344, 'Fixture Identities'!$A$7:$I$1023,3, FALSE)="T12 Linear Fluorescent", VLOOKUP(S344, 'Fixture Identities'!$A$7:$K$1012, 11, FALSE), S344))), "")</f>
        <v/>
      </c>
      <c r="V344" s="26" t="str">
        <f>IFERROR(IF(OR(B344="", U344=0), "", VLOOKUP(U344, 'Fixture Identities'!$A$7:$G$1023, 5, FALSE)), "")</f>
        <v/>
      </c>
      <c r="W344" s="26" t="str">
        <f>IF(B344="", "",'Lighting Inventory'!K352)</f>
        <v/>
      </c>
      <c r="X344" s="65" t="str">
        <f>IF(B344="", "", 'Lighting Inventory'!L352)</f>
        <v/>
      </c>
      <c r="Y344" s="26" t="str">
        <f>IF(B344="", "", IF('Lighting Inventory'!M352="", "Light Switch",'Lighting Inventory'!M352))</f>
        <v/>
      </c>
      <c r="Z344" s="26" t="str">
        <f>IF(OR(K344="Retrofit", B344=""), "", 'Lighting Inventory'!N352)</f>
        <v/>
      </c>
      <c r="AA344" s="26" t="str">
        <f>IF(OR(Z344="",B344=""), "", 'Lighting Inventory'!O352)</f>
        <v/>
      </c>
      <c r="AB344" s="26" t="str">
        <f>IF(B344="", "", 'Lighting Inventory'!P352)</f>
        <v/>
      </c>
      <c r="AC344" s="96" t="str">
        <f>IF(B344="", "", 'Lighting Inventory'!R352)</f>
        <v/>
      </c>
      <c r="AD344" s="26" t="str">
        <f>IF(B344="", "", 'Lighting Inventory'!S352)</f>
        <v/>
      </c>
      <c r="AE344" s="26" t="str">
        <f>IF(B344="", "", 'Lighting Inventory'!V352)</f>
        <v/>
      </c>
      <c r="AF344" s="26" t="str">
        <f>IF(B344="", "", 'Lighting Inventory'!W352)</f>
        <v/>
      </c>
      <c r="AG344" s="26" t="str">
        <f>IF(OR(AF344="", B344=""), "", IF(AE344="Custom", "0", VLOOKUP(AF344, 'Lookup Tables'!$AI$6:$AP$102, 8, FALSE)))</f>
        <v/>
      </c>
      <c r="AH344" s="26" t="str">
        <f>IF(B344="", "", 'Lighting Inventory'!AD352)</f>
        <v/>
      </c>
      <c r="AI344" s="26" t="str">
        <f>IF(OR('Lighting Inventory'!AK352="", B344=""), "", 'Lighting Inventory'!AK352)</f>
        <v/>
      </c>
      <c r="AJ344" s="66" t="str">
        <f>IF(B344="", "", 'Lighting Inventory'!AL352)</f>
        <v/>
      </c>
      <c r="AK344" s="65" t="str">
        <f>IF(B344="", "", 'Lighting Inventory'!AM352)</f>
        <v/>
      </c>
      <c r="AL344" s="26" t="str">
        <f>IF(B344="", "", 'Lighting Inventory'!AN352)</f>
        <v/>
      </c>
      <c r="AM344" s="26" t="str">
        <f t="shared" si="18"/>
        <v/>
      </c>
      <c r="AN344" s="26" t="str">
        <f>IF(B344="","",IF('Lighting Inventory'!AV352="","Prescribed",'Lighting Inventory'!AV352))</f>
        <v/>
      </c>
      <c r="AO344" s="66" t="str">
        <f>IF(B344="", "", 'Lighting Inventory'!AX352)</f>
        <v/>
      </c>
      <c r="AP344" s="67" t="str">
        <f>IF(B344="", "", 'Lighting Inventory'!AZ352)</f>
        <v/>
      </c>
      <c r="AQ344" s="67" t="str">
        <f>IF(B344="", "", 'Lighting Inventory'!BA352)</f>
        <v/>
      </c>
      <c r="AR344" s="67" t="str">
        <f>IF(B344="", "", 'Lighting Inventory'!BB352)</f>
        <v/>
      </c>
      <c r="AS344" s="67" t="str">
        <f>IF(B344="", "", 'Lighting Inventory'!BC352)</f>
        <v/>
      </c>
      <c r="AT344" s="67" t="str">
        <f>IF(B344="", "", 'Lighting Inventory'!BD352)</f>
        <v/>
      </c>
      <c r="AU344" s="67" t="str">
        <f>IF(B344="", "", 'Lighting Inventory'!BE352)</f>
        <v/>
      </c>
      <c r="AV344" s="67" t="str">
        <f>IF(B344="", "", 'Lighting Inventory'!BE352)</f>
        <v/>
      </c>
      <c r="AW344" s="67" t="str">
        <f>IF(B344="", "", 'Lighting Inventory'!BF352)</f>
        <v/>
      </c>
      <c r="AX344" s="67" t="str">
        <f>IF(B344="", "", 'Lighting Inventory'!BF352)</f>
        <v/>
      </c>
      <c r="AY344" s="65" t="str">
        <f t="shared" si="19"/>
        <v/>
      </c>
      <c r="AZ344" s="65" t="str">
        <f>IF(B344="", "", 'Lighting Inventory'!BJ352)</f>
        <v/>
      </c>
      <c r="BA344" s="65" t="str">
        <f>IF(B344="", "", 'Lighting Inventory'!BM352)</f>
        <v/>
      </c>
      <c r="BB344" s="65" t="str">
        <f>IF(B344="","",SUM('Lighting Inventory'!BP352:BP352))</f>
        <v/>
      </c>
      <c r="BC344" s="67" t="str">
        <f>IF(OR(AE344="", B344=""),"", 'Lighting Inventory'!GR352)</f>
        <v/>
      </c>
      <c r="BD344" s="67" t="str">
        <f>IFERROR(IF(B344="", "", 'Lighting Inventory'!AF352)*AD344," ")</f>
        <v xml:space="preserve"> </v>
      </c>
      <c r="BE344" s="67"/>
      <c r="BF344" s="67"/>
    </row>
    <row r="345" spans="1:58" x14ac:dyDescent="0.25">
      <c r="A345" s="26" t="str">
        <f>IF(B345="", "", 'Lookup Tables'!AW346)</f>
        <v/>
      </c>
      <c r="B345" s="26" t="str">
        <f>IF(OR('Lighting Inventory'!Y353="", 'Lighting Inventory'!V353="No Change"),"", 'Lighting Inventory'!Y353)</f>
        <v/>
      </c>
      <c r="C345" s="26" t="str">
        <f>IF(B345="", "", IF('Lighting Inventory'!Y353='Lookup Tables'!$Y$32, 'Lighting Inventory'!AJ353, IF(AD345=0, R345, AD345)))</f>
        <v/>
      </c>
      <c r="D345" s="26" t="str">
        <f>IF(B345="", "", 'General Information'!$F$14)</f>
        <v/>
      </c>
      <c r="E345" s="26" t="str">
        <f t="shared" si="17"/>
        <v/>
      </c>
      <c r="F345" s="26" t="str">
        <f>IF(B345="", "", CONCATENATE('General Information'!$F$9, " - ", 'General Information'!$F$14))</f>
        <v/>
      </c>
      <c r="G345" s="26" t="str">
        <f>IF(B345="", "", 'General Information'!$F$15)</f>
        <v/>
      </c>
      <c r="H345" s="26" t="str">
        <f>IF(B345="", "", IF(VLOOKUP(B345, 'Lookup Tables'!$Y$18:$AA$34, 2, FALSE)="Traffic", VLOOKUP('Lighting Inventory'!W353, 'Lookup Tables'!#REF!, 11, FALSE), VLOOKUP(B345, 'Lookup Tables'!$Y$18:$AA$34, 2, FALSE)))</f>
        <v/>
      </c>
      <c r="I345" s="26" t="str">
        <f>IF(B345="", "", CONCATENATE(D345, 'Data Export'!A345))</f>
        <v/>
      </c>
      <c r="J345" s="26" t="str">
        <f>IF(B345="", "", 'Lookup Tables'!$B$1)</f>
        <v/>
      </c>
      <c r="K345" s="26" t="str">
        <f>IF(B345="", "", 'Lighting Inventory'!B353)</f>
        <v/>
      </c>
      <c r="L345" s="26" t="str">
        <f>IF(B345="", "", 'Lighting Inventory'!C353)</f>
        <v/>
      </c>
      <c r="M345" s="26" t="str">
        <f>IF(B345="", "",'Lighting Inventory'!D353)</f>
        <v/>
      </c>
      <c r="N345" s="26" t="str">
        <f>IF(B345="", "",'Lighting Inventory'!E353)</f>
        <v/>
      </c>
      <c r="O345" s="26" t="str">
        <f>IF(B345="", "", 'Lighting Inventory'!F353)</f>
        <v/>
      </c>
      <c r="P345" s="26" t="str">
        <f>IF(B345="", "", 'Lighting Inventory'!G353)</f>
        <v/>
      </c>
      <c r="Q345" s="26" t="str">
        <f>IF(B345="", "", 'Lighting Inventory'!H353)</f>
        <v/>
      </c>
      <c r="R345" s="26" t="str">
        <f>IF(B345="", "", 'Lighting Inventory'!I353)</f>
        <v/>
      </c>
      <c r="S345" s="26" t="str">
        <f>IF(B345="", "", 'Lighting Inventory'!J353)</f>
        <v/>
      </c>
      <c r="T345" s="26" t="str">
        <f>IFERROR(IF(B345="","",VLOOKUP(S345,'Fixture Identities'!$A$7:$G$1023,5,FALSE)), "New Construction")</f>
        <v/>
      </c>
      <c r="U345" s="26" t="str">
        <f>IFERROR(IF(B345="", "", IF(K345="New Construction", "NC", IF(VLOOKUP(S345, 'Fixture Identities'!$A$7:$I$1023,3, FALSE)="T12 Linear Fluorescent", VLOOKUP(S345, 'Fixture Identities'!$A$7:$K$1012, 11, FALSE), S345))), "")</f>
        <v/>
      </c>
      <c r="V345" s="26" t="str">
        <f>IFERROR(IF(OR(B345="", U345=0), "", VLOOKUP(U345, 'Fixture Identities'!$A$7:$G$1023, 5, FALSE)), "")</f>
        <v/>
      </c>
      <c r="W345" s="26" t="str">
        <f>IF(B345="", "",'Lighting Inventory'!K353)</f>
        <v/>
      </c>
      <c r="X345" s="65" t="str">
        <f>IF(B345="", "", 'Lighting Inventory'!L353)</f>
        <v/>
      </c>
      <c r="Y345" s="26" t="str">
        <f>IF(B345="", "", IF('Lighting Inventory'!M353="", "Light Switch",'Lighting Inventory'!M353))</f>
        <v/>
      </c>
      <c r="Z345" s="26" t="str">
        <f>IF(OR(K345="Retrofit", B345=""), "", 'Lighting Inventory'!N353)</f>
        <v/>
      </c>
      <c r="AA345" s="26" t="str">
        <f>IF(OR(Z345="",B345=""), "", 'Lighting Inventory'!O353)</f>
        <v/>
      </c>
      <c r="AB345" s="26" t="str">
        <f>IF(B345="", "", 'Lighting Inventory'!P353)</f>
        <v/>
      </c>
      <c r="AC345" s="96" t="str">
        <f>IF(B345="", "", 'Lighting Inventory'!R353)</f>
        <v/>
      </c>
      <c r="AD345" s="26" t="str">
        <f>IF(B345="", "", 'Lighting Inventory'!S353)</f>
        <v/>
      </c>
      <c r="AE345" s="26" t="str">
        <f>IF(B345="", "", 'Lighting Inventory'!V353)</f>
        <v/>
      </c>
      <c r="AF345" s="26" t="str">
        <f>IF(B345="", "", 'Lighting Inventory'!W353)</f>
        <v/>
      </c>
      <c r="AG345" s="26" t="str">
        <f>IF(OR(AF345="", B345=""), "", IF(AE345="Custom", "0", VLOOKUP(AF345, 'Lookup Tables'!$AI$6:$AP$102, 8, FALSE)))</f>
        <v/>
      </c>
      <c r="AH345" s="26" t="str">
        <f>IF(B345="", "", 'Lighting Inventory'!AD353)</f>
        <v/>
      </c>
      <c r="AI345" s="26" t="str">
        <f>IF(OR('Lighting Inventory'!AK353="", B345=""), "", 'Lighting Inventory'!AK353)</f>
        <v/>
      </c>
      <c r="AJ345" s="66" t="str">
        <f>IF(B345="", "", 'Lighting Inventory'!AL353)</f>
        <v/>
      </c>
      <c r="AK345" s="65" t="str">
        <f>IF(B345="", "", 'Lighting Inventory'!AM353)</f>
        <v/>
      </c>
      <c r="AL345" s="26" t="str">
        <f>IF(B345="", "", 'Lighting Inventory'!AN353)</f>
        <v/>
      </c>
      <c r="AM345" s="26" t="str">
        <f t="shared" si="18"/>
        <v/>
      </c>
      <c r="AN345" s="26" t="str">
        <f>IF(B345="","",IF('Lighting Inventory'!AV353="","Prescribed",'Lighting Inventory'!AV353))</f>
        <v/>
      </c>
      <c r="AO345" s="66" t="str">
        <f>IF(B345="", "", 'Lighting Inventory'!AX353)</f>
        <v/>
      </c>
      <c r="AP345" s="67" t="str">
        <f>IF(B345="", "", 'Lighting Inventory'!AZ353)</f>
        <v/>
      </c>
      <c r="AQ345" s="67" t="str">
        <f>IF(B345="", "", 'Lighting Inventory'!BA353)</f>
        <v/>
      </c>
      <c r="AR345" s="67" t="str">
        <f>IF(B345="", "", 'Lighting Inventory'!BB353)</f>
        <v/>
      </c>
      <c r="AS345" s="67" t="str">
        <f>IF(B345="", "", 'Lighting Inventory'!BC353)</f>
        <v/>
      </c>
      <c r="AT345" s="67" t="str">
        <f>IF(B345="", "", 'Lighting Inventory'!BD353)</f>
        <v/>
      </c>
      <c r="AU345" s="67" t="str">
        <f>IF(B345="", "", 'Lighting Inventory'!BE353)</f>
        <v/>
      </c>
      <c r="AV345" s="67" t="str">
        <f>IF(B345="", "", 'Lighting Inventory'!BE353)</f>
        <v/>
      </c>
      <c r="AW345" s="67" t="str">
        <f>IF(B345="", "", 'Lighting Inventory'!BF353)</f>
        <v/>
      </c>
      <c r="AX345" s="67" t="str">
        <f>IF(B345="", "", 'Lighting Inventory'!BF353)</f>
        <v/>
      </c>
      <c r="AY345" s="65" t="str">
        <f t="shared" si="19"/>
        <v/>
      </c>
      <c r="AZ345" s="65" t="str">
        <f>IF(B345="", "", 'Lighting Inventory'!BJ353)</f>
        <v/>
      </c>
      <c r="BA345" s="65" t="str">
        <f>IF(B345="", "", 'Lighting Inventory'!BM353)</f>
        <v/>
      </c>
      <c r="BB345" s="65" t="str">
        <f>IF(B345="","",SUM('Lighting Inventory'!BP353:BP353))</f>
        <v/>
      </c>
      <c r="BC345" s="67" t="str">
        <f>IF(OR(AE345="", B345=""),"", 'Lighting Inventory'!GR353)</f>
        <v/>
      </c>
      <c r="BD345" s="67" t="str">
        <f>IFERROR(IF(B345="", "", 'Lighting Inventory'!AF353)*AD345," ")</f>
        <v xml:space="preserve"> </v>
      </c>
      <c r="BE345" s="67"/>
      <c r="BF345" s="67"/>
    </row>
    <row r="346" spans="1:58" x14ac:dyDescent="0.25">
      <c r="A346" s="26" t="str">
        <f>IF(B346="", "", 'Lookup Tables'!AW347)</f>
        <v/>
      </c>
      <c r="B346" s="26" t="str">
        <f>IF(OR('Lighting Inventory'!Y354="", 'Lighting Inventory'!V354="No Change"),"", 'Lighting Inventory'!Y354)</f>
        <v/>
      </c>
      <c r="C346" s="26" t="str">
        <f>IF(B346="", "", IF('Lighting Inventory'!Y354='Lookup Tables'!$Y$32, 'Lighting Inventory'!AJ354, IF(AD346=0, R346, AD346)))</f>
        <v/>
      </c>
      <c r="D346" s="26" t="str">
        <f>IF(B346="", "", 'General Information'!$F$14)</f>
        <v/>
      </c>
      <c r="E346" s="26" t="str">
        <f t="shared" si="17"/>
        <v/>
      </c>
      <c r="F346" s="26" t="str">
        <f>IF(B346="", "", CONCATENATE('General Information'!$F$9, " - ", 'General Information'!$F$14))</f>
        <v/>
      </c>
      <c r="G346" s="26" t="str">
        <f>IF(B346="", "", 'General Information'!$F$15)</f>
        <v/>
      </c>
      <c r="H346" s="26" t="str">
        <f>IF(B346="", "", IF(VLOOKUP(B346, 'Lookup Tables'!$Y$18:$AA$34, 2, FALSE)="Traffic", VLOOKUP('Lighting Inventory'!W354, 'Lookup Tables'!#REF!, 11, FALSE), VLOOKUP(B346, 'Lookup Tables'!$Y$18:$AA$34, 2, FALSE)))</f>
        <v/>
      </c>
      <c r="I346" s="26" t="str">
        <f>IF(B346="", "", CONCATENATE(D346, 'Data Export'!A346))</f>
        <v/>
      </c>
      <c r="J346" s="26" t="str">
        <f>IF(B346="", "", 'Lookup Tables'!$B$1)</f>
        <v/>
      </c>
      <c r="K346" s="26" t="str">
        <f>IF(B346="", "", 'Lighting Inventory'!B354)</f>
        <v/>
      </c>
      <c r="L346" s="26" t="str">
        <f>IF(B346="", "", 'Lighting Inventory'!C354)</f>
        <v/>
      </c>
      <c r="M346" s="26" t="str">
        <f>IF(B346="", "",'Lighting Inventory'!D354)</f>
        <v/>
      </c>
      <c r="N346" s="26" t="str">
        <f>IF(B346="", "",'Lighting Inventory'!E354)</f>
        <v/>
      </c>
      <c r="O346" s="26" t="str">
        <f>IF(B346="", "", 'Lighting Inventory'!F354)</f>
        <v/>
      </c>
      <c r="P346" s="26" t="str">
        <f>IF(B346="", "", 'Lighting Inventory'!G354)</f>
        <v/>
      </c>
      <c r="Q346" s="26" t="str">
        <f>IF(B346="", "", 'Lighting Inventory'!H354)</f>
        <v/>
      </c>
      <c r="R346" s="26" t="str">
        <f>IF(B346="", "", 'Lighting Inventory'!I354)</f>
        <v/>
      </c>
      <c r="S346" s="26" t="str">
        <f>IF(B346="", "", 'Lighting Inventory'!J354)</f>
        <v/>
      </c>
      <c r="T346" s="26" t="str">
        <f>IFERROR(IF(B346="","",VLOOKUP(S346,'Fixture Identities'!$A$7:$G$1023,5,FALSE)), "New Construction")</f>
        <v/>
      </c>
      <c r="U346" s="26" t="str">
        <f>IFERROR(IF(B346="", "", IF(K346="New Construction", "NC", IF(VLOOKUP(S346, 'Fixture Identities'!$A$7:$I$1023,3, FALSE)="T12 Linear Fluorescent", VLOOKUP(S346, 'Fixture Identities'!$A$7:$K$1012, 11, FALSE), S346))), "")</f>
        <v/>
      </c>
      <c r="V346" s="26" t="str">
        <f>IFERROR(IF(OR(B346="", U346=0), "", VLOOKUP(U346, 'Fixture Identities'!$A$7:$G$1023, 5, FALSE)), "")</f>
        <v/>
      </c>
      <c r="W346" s="26" t="str">
        <f>IF(B346="", "",'Lighting Inventory'!K354)</f>
        <v/>
      </c>
      <c r="X346" s="65" t="str">
        <f>IF(B346="", "", 'Lighting Inventory'!L354)</f>
        <v/>
      </c>
      <c r="Y346" s="26" t="str">
        <f>IF(B346="", "", IF('Lighting Inventory'!M354="", "Light Switch",'Lighting Inventory'!M354))</f>
        <v/>
      </c>
      <c r="Z346" s="26" t="str">
        <f>IF(OR(K346="Retrofit", B346=""), "", 'Lighting Inventory'!N354)</f>
        <v/>
      </c>
      <c r="AA346" s="26" t="str">
        <f>IF(OR(Z346="",B346=""), "", 'Lighting Inventory'!O354)</f>
        <v/>
      </c>
      <c r="AB346" s="26" t="str">
        <f>IF(B346="", "", 'Lighting Inventory'!P354)</f>
        <v/>
      </c>
      <c r="AC346" s="96" t="str">
        <f>IF(B346="", "", 'Lighting Inventory'!R354)</f>
        <v/>
      </c>
      <c r="AD346" s="26" t="str">
        <f>IF(B346="", "", 'Lighting Inventory'!S354)</f>
        <v/>
      </c>
      <c r="AE346" s="26" t="str">
        <f>IF(B346="", "", 'Lighting Inventory'!V354)</f>
        <v/>
      </c>
      <c r="AF346" s="26" t="str">
        <f>IF(B346="", "", 'Lighting Inventory'!W354)</f>
        <v/>
      </c>
      <c r="AG346" s="26" t="str">
        <f>IF(OR(AF346="", B346=""), "", IF(AE346="Custom", "0", VLOOKUP(AF346, 'Lookup Tables'!$AI$6:$AP$102, 8, FALSE)))</f>
        <v/>
      </c>
      <c r="AH346" s="26" t="str">
        <f>IF(B346="", "", 'Lighting Inventory'!AD354)</f>
        <v/>
      </c>
      <c r="AI346" s="26" t="str">
        <f>IF(OR('Lighting Inventory'!AK354="", B346=""), "", 'Lighting Inventory'!AK354)</f>
        <v/>
      </c>
      <c r="AJ346" s="66" t="str">
        <f>IF(B346="", "", 'Lighting Inventory'!AL354)</f>
        <v/>
      </c>
      <c r="AK346" s="65" t="str">
        <f>IF(B346="", "", 'Lighting Inventory'!AM354)</f>
        <v/>
      </c>
      <c r="AL346" s="26" t="str">
        <f>IF(B346="", "", 'Lighting Inventory'!AN354)</f>
        <v/>
      </c>
      <c r="AM346" s="26" t="str">
        <f t="shared" si="18"/>
        <v/>
      </c>
      <c r="AN346" s="26" t="str">
        <f>IF(B346="","",IF('Lighting Inventory'!AV354="","Prescribed",'Lighting Inventory'!AV354))</f>
        <v/>
      </c>
      <c r="AO346" s="66" t="str">
        <f>IF(B346="", "", 'Lighting Inventory'!AX354)</f>
        <v/>
      </c>
      <c r="AP346" s="67" t="str">
        <f>IF(B346="", "", 'Lighting Inventory'!AZ354)</f>
        <v/>
      </c>
      <c r="AQ346" s="67" t="str">
        <f>IF(B346="", "", 'Lighting Inventory'!BA354)</f>
        <v/>
      </c>
      <c r="AR346" s="67" t="str">
        <f>IF(B346="", "", 'Lighting Inventory'!BB354)</f>
        <v/>
      </c>
      <c r="AS346" s="67" t="str">
        <f>IF(B346="", "", 'Lighting Inventory'!BC354)</f>
        <v/>
      </c>
      <c r="AT346" s="67" t="str">
        <f>IF(B346="", "", 'Lighting Inventory'!BD354)</f>
        <v/>
      </c>
      <c r="AU346" s="67" t="str">
        <f>IF(B346="", "", 'Lighting Inventory'!BE354)</f>
        <v/>
      </c>
      <c r="AV346" s="67" t="str">
        <f>IF(B346="", "", 'Lighting Inventory'!BE354)</f>
        <v/>
      </c>
      <c r="AW346" s="67" t="str">
        <f>IF(B346="", "", 'Lighting Inventory'!BF354)</f>
        <v/>
      </c>
      <c r="AX346" s="67" t="str">
        <f>IF(B346="", "", 'Lighting Inventory'!BF354)</f>
        <v/>
      </c>
      <c r="AY346" s="65" t="str">
        <f t="shared" si="19"/>
        <v/>
      </c>
      <c r="AZ346" s="65" t="str">
        <f>IF(B346="", "", 'Lighting Inventory'!BJ354)</f>
        <v/>
      </c>
      <c r="BA346" s="65" t="str">
        <f>IF(B346="", "", 'Lighting Inventory'!BM354)</f>
        <v/>
      </c>
      <c r="BB346" s="65" t="str">
        <f>IF(B346="","",SUM('Lighting Inventory'!BP354:BP354))</f>
        <v/>
      </c>
      <c r="BC346" s="67" t="str">
        <f>IF(OR(AE346="", B346=""),"", 'Lighting Inventory'!GR354)</f>
        <v/>
      </c>
      <c r="BD346" s="67" t="str">
        <f>IFERROR(IF(B346="", "", 'Lighting Inventory'!AF354)*AD346," ")</f>
        <v xml:space="preserve"> </v>
      </c>
      <c r="BE346" s="67"/>
      <c r="BF346" s="67"/>
    </row>
    <row r="347" spans="1:58" x14ac:dyDescent="0.25">
      <c r="A347" s="26" t="str">
        <f>IF(B347="", "", 'Lookup Tables'!AW348)</f>
        <v/>
      </c>
      <c r="B347" s="26" t="str">
        <f>IF(OR('Lighting Inventory'!Y355="", 'Lighting Inventory'!V355="No Change"),"", 'Lighting Inventory'!Y355)</f>
        <v/>
      </c>
      <c r="C347" s="26" t="str">
        <f>IF(B347="", "", IF('Lighting Inventory'!Y355='Lookup Tables'!$Y$32, 'Lighting Inventory'!AJ355, IF(AD347=0, R347, AD347)))</f>
        <v/>
      </c>
      <c r="D347" s="26" t="str">
        <f>IF(B347="", "", 'General Information'!$F$14)</f>
        <v/>
      </c>
      <c r="E347" s="26" t="str">
        <f t="shared" si="17"/>
        <v/>
      </c>
      <c r="F347" s="26" t="str">
        <f>IF(B347="", "", CONCATENATE('General Information'!$F$9, " - ", 'General Information'!$F$14))</f>
        <v/>
      </c>
      <c r="G347" s="26" t="str">
        <f>IF(B347="", "", 'General Information'!$F$15)</f>
        <v/>
      </c>
      <c r="H347" s="26" t="str">
        <f>IF(B347="", "", IF(VLOOKUP(B347, 'Lookup Tables'!$Y$18:$AA$34, 2, FALSE)="Traffic", VLOOKUP('Lighting Inventory'!W355, 'Lookup Tables'!#REF!, 11, FALSE), VLOOKUP(B347, 'Lookup Tables'!$Y$18:$AA$34, 2, FALSE)))</f>
        <v/>
      </c>
      <c r="I347" s="26" t="str">
        <f>IF(B347="", "", CONCATENATE(D347, 'Data Export'!A347))</f>
        <v/>
      </c>
      <c r="J347" s="26" t="str">
        <f>IF(B347="", "", 'Lookup Tables'!$B$1)</f>
        <v/>
      </c>
      <c r="K347" s="26" t="str">
        <f>IF(B347="", "", 'Lighting Inventory'!B355)</f>
        <v/>
      </c>
      <c r="L347" s="26" t="str">
        <f>IF(B347="", "", 'Lighting Inventory'!C355)</f>
        <v/>
      </c>
      <c r="M347" s="26" t="str">
        <f>IF(B347="", "",'Lighting Inventory'!D355)</f>
        <v/>
      </c>
      <c r="N347" s="26" t="str">
        <f>IF(B347="", "",'Lighting Inventory'!E355)</f>
        <v/>
      </c>
      <c r="O347" s="26" t="str">
        <f>IF(B347="", "", 'Lighting Inventory'!F355)</f>
        <v/>
      </c>
      <c r="P347" s="26" t="str">
        <f>IF(B347="", "", 'Lighting Inventory'!G355)</f>
        <v/>
      </c>
      <c r="Q347" s="26" t="str">
        <f>IF(B347="", "", 'Lighting Inventory'!H355)</f>
        <v/>
      </c>
      <c r="R347" s="26" t="str">
        <f>IF(B347="", "", 'Lighting Inventory'!I355)</f>
        <v/>
      </c>
      <c r="S347" s="26" t="str">
        <f>IF(B347="", "", 'Lighting Inventory'!J355)</f>
        <v/>
      </c>
      <c r="T347" s="26" t="str">
        <f>IFERROR(IF(B347="","",VLOOKUP(S347,'Fixture Identities'!$A$7:$G$1023,5,FALSE)), "New Construction")</f>
        <v/>
      </c>
      <c r="U347" s="26" t="str">
        <f>IFERROR(IF(B347="", "", IF(K347="New Construction", "NC", IF(VLOOKUP(S347, 'Fixture Identities'!$A$7:$I$1023,3, FALSE)="T12 Linear Fluorescent", VLOOKUP(S347, 'Fixture Identities'!$A$7:$K$1012, 11, FALSE), S347))), "")</f>
        <v/>
      </c>
      <c r="V347" s="26" t="str">
        <f>IFERROR(IF(OR(B347="", U347=0), "", VLOOKUP(U347, 'Fixture Identities'!$A$7:$G$1023, 5, FALSE)), "")</f>
        <v/>
      </c>
      <c r="W347" s="26" t="str">
        <f>IF(B347="", "",'Lighting Inventory'!K355)</f>
        <v/>
      </c>
      <c r="X347" s="65" t="str">
        <f>IF(B347="", "", 'Lighting Inventory'!L355)</f>
        <v/>
      </c>
      <c r="Y347" s="26" t="str">
        <f>IF(B347="", "", IF('Lighting Inventory'!M355="", "Light Switch",'Lighting Inventory'!M355))</f>
        <v/>
      </c>
      <c r="Z347" s="26" t="str">
        <f>IF(OR(K347="Retrofit", B347=""), "", 'Lighting Inventory'!N355)</f>
        <v/>
      </c>
      <c r="AA347" s="26" t="str">
        <f>IF(OR(Z347="",B347=""), "", 'Lighting Inventory'!O355)</f>
        <v/>
      </c>
      <c r="AB347" s="26" t="str">
        <f>IF(B347="", "", 'Lighting Inventory'!P355)</f>
        <v/>
      </c>
      <c r="AC347" s="96" t="str">
        <f>IF(B347="", "", 'Lighting Inventory'!R355)</f>
        <v/>
      </c>
      <c r="AD347" s="26" t="str">
        <f>IF(B347="", "", 'Lighting Inventory'!S355)</f>
        <v/>
      </c>
      <c r="AE347" s="26" t="str">
        <f>IF(B347="", "", 'Lighting Inventory'!V355)</f>
        <v/>
      </c>
      <c r="AF347" s="26" t="str">
        <f>IF(B347="", "", 'Lighting Inventory'!W355)</f>
        <v/>
      </c>
      <c r="AG347" s="26" t="str">
        <f>IF(OR(AF347="", B347=""), "", IF(AE347="Custom", "0", VLOOKUP(AF347, 'Lookup Tables'!$AI$6:$AP$102, 8, FALSE)))</f>
        <v/>
      </c>
      <c r="AH347" s="26" t="str">
        <f>IF(B347="", "", 'Lighting Inventory'!AD355)</f>
        <v/>
      </c>
      <c r="AI347" s="26" t="str">
        <f>IF(OR('Lighting Inventory'!AK355="", B347=""), "", 'Lighting Inventory'!AK355)</f>
        <v/>
      </c>
      <c r="AJ347" s="66" t="str">
        <f>IF(B347="", "", 'Lighting Inventory'!AL355)</f>
        <v/>
      </c>
      <c r="AK347" s="65" t="str">
        <f>IF(B347="", "", 'Lighting Inventory'!AM355)</f>
        <v/>
      </c>
      <c r="AL347" s="26" t="str">
        <f>IF(B347="", "", 'Lighting Inventory'!AN355)</f>
        <v/>
      </c>
      <c r="AM347" s="26" t="str">
        <f t="shared" si="18"/>
        <v/>
      </c>
      <c r="AN347" s="26" t="str">
        <f>IF(B347="","",IF('Lighting Inventory'!AV355="","Prescribed",'Lighting Inventory'!AV355))</f>
        <v/>
      </c>
      <c r="AO347" s="66" t="str">
        <f>IF(B347="", "", 'Lighting Inventory'!AX355)</f>
        <v/>
      </c>
      <c r="AP347" s="67" t="str">
        <f>IF(B347="", "", 'Lighting Inventory'!AZ355)</f>
        <v/>
      </c>
      <c r="AQ347" s="67" t="str">
        <f>IF(B347="", "", 'Lighting Inventory'!BA355)</f>
        <v/>
      </c>
      <c r="AR347" s="67" t="str">
        <f>IF(B347="", "", 'Lighting Inventory'!BB355)</f>
        <v/>
      </c>
      <c r="AS347" s="67" t="str">
        <f>IF(B347="", "", 'Lighting Inventory'!BC355)</f>
        <v/>
      </c>
      <c r="AT347" s="67" t="str">
        <f>IF(B347="", "", 'Lighting Inventory'!BD355)</f>
        <v/>
      </c>
      <c r="AU347" s="67" t="str">
        <f>IF(B347="", "", 'Lighting Inventory'!BE355)</f>
        <v/>
      </c>
      <c r="AV347" s="67" t="str">
        <f>IF(B347="", "", 'Lighting Inventory'!BE355)</f>
        <v/>
      </c>
      <c r="AW347" s="67" t="str">
        <f>IF(B347="", "", 'Lighting Inventory'!BF355)</f>
        <v/>
      </c>
      <c r="AX347" s="67" t="str">
        <f>IF(B347="", "", 'Lighting Inventory'!BF355)</f>
        <v/>
      </c>
      <c r="AY347" s="65" t="str">
        <f t="shared" si="19"/>
        <v/>
      </c>
      <c r="AZ347" s="65" t="str">
        <f>IF(B347="", "", 'Lighting Inventory'!BJ355)</f>
        <v/>
      </c>
      <c r="BA347" s="65" t="str">
        <f>IF(B347="", "", 'Lighting Inventory'!BM355)</f>
        <v/>
      </c>
      <c r="BB347" s="65" t="str">
        <f>IF(B347="","",SUM('Lighting Inventory'!BP355:BP355))</f>
        <v/>
      </c>
      <c r="BC347" s="67" t="str">
        <f>IF(OR(AE347="", B347=""),"", 'Lighting Inventory'!GR355)</f>
        <v/>
      </c>
      <c r="BD347" s="67" t="str">
        <f>IFERROR(IF(B347="", "", 'Lighting Inventory'!AF355)*AD347," ")</f>
        <v xml:space="preserve"> </v>
      </c>
      <c r="BE347" s="67"/>
      <c r="BF347" s="67"/>
    </row>
    <row r="348" spans="1:58" x14ac:dyDescent="0.25">
      <c r="A348" s="26" t="str">
        <f>IF(B348="", "", 'Lookup Tables'!AW349)</f>
        <v/>
      </c>
      <c r="B348" s="26" t="str">
        <f>IF(OR('Lighting Inventory'!Y356="", 'Lighting Inventory'!V356="No Change"),"", 'Lighting Inventory'!Y356)</f>
        <v/>
      </c>
      <c r="C348" s="26" t="str">
        <f>IF(B348="", "", IF('Lighting Inventory'!Y356='Lookup Tables'!$Y$32, 'Lighting Inventory'!AJ356, IF(AD348=0, R348, AD348)))</f>
        <v/>
      </c>
      <c r="D348" s="26" t="str">
        <f>IF(B348="", "", 'General Information'!$F$14)</f>
        <v/>
      </c>
      <c r="E348" s="26" t="str">
        <f t="shared" si="17"/>
        <v/>
      </c>
      <c r="F348" s="26" t="str">
        <f>IF(B348="", "", CONCATENATE('General Information'!$F$9, " - ", 'General Information'!$F$14))</f>
        <v/>
      </c>
      <c r="G348" s="26" t="str">
        <f>IF(B348="", "", 'General Information'!$F$15)</f>
        <v/>
      </c>
      <c r="H348" s="26" t="str">
        <f>IF(B348="", "", IF(VLOOKUP(B348, 'Lookup Tables'!$Y$18:$AA$34, 2, FALSE)="Traffic", VLOOKUP('Lighting Inventory'!W356, 'Lookup Tables'!#REF!, 11, FALSE), VLOOKUP(B348, 'Lookup Tables'!$Y$18:$AA$34, 2, FALSE)))</f>
        <v/>
      </c>
      <c r="I348" s="26" t="str">
        <f>IF(B348="", "", CONCATENATE(D348, 'Data Export'!A348))</f>
        <v/>
      </c>
      <c r="J348" s="26" t="str">
        <f>IF(B348="", "", 'Lookup Tables'!$B$1)</f>
        <v/>
      </c>
      <c r="K348" s="26" t="str">
        <f>IF(B348="", "", 'Lighting Inventory'!B356)</f>
        <v/>
      </c>
      <c r="L348" s="26" t="str">
        <f>IF(B348="", "", 'Lighting Inventory'!C356)</f>
        <v/>
      </c>
      <c r="M348" s="26" t="str">
        <f>IF(B348="", "",'Lighting Inventory'!D356)</f>
        <v/>
      </c>
      <c r="N348" s="26" t="str">
        <f>IF(B348="", "",'Lighting Inventory'!E356)</f>
        <v/>
      </c>
      <c r="O348" s="26" t="str">
        <f>IF(B348="", "", 'Lighting Inventory'!F356)</f>
        <v/>
      </c>
      <c r="P348" s="26" t="str">
        <f>IF(B348="", "", 'Lighting Inventory'!G356)</f>
        <v/>
      </c>
      <c r="Q348" s="26" t="str">
        <f>IF(B348="", "", 'Lighting Inventory'!H356)</f>
        <v/>
      </c>
      <c r="R348" s="26" t="str">
        <f>IF(B348="", "", 'Lighting Inventory'!I356)</f>
        <v/>
      </c>
      <c r="S348" s="26" t="str">
        <f>IF(B348="", "", 'Lighting Inventory'!J356)</f>
        <v/>
      </c>
      <c r="T348" s="26" t="str">
        <f>IFERROR(IF(B348="","",VLOOKUP(S348,'Fixture Identities'!$A$7:$G$1023,5,FALSE)), "New Construction")</f>
        <v/>
      </c>
      <c r="U348" s="26" t="str">
        <f>IFERROR(IF(B348="", "", IF(K348="New Construction", "NC", IF(VLOOKUP(S348, 'Fixture Identities'!$A$7:$I$1023,3, FALSE)="T12 Linear Fluorescent", VLOOKUP(S348, 'Fixture Identities'!$A$7:$K$1012, 11, FALSE), S348))), "")</f>
        <v/>
      </c>
      <c r="V348" s="26" t="str">
        <f>IFERROR(IF(OR(B348="", U348=0), "", VLOOKUP(U348, 'Fixture Identities'!$A$7:$G$1023, 5, FALSE)), "")</f>
        <v/>
      </c>
      <c r="W348" s="26" t="str">
        <f>IF(B348="", "",'Lighting Inventory'!K356)</f>
        <v/>
      </c>
      <c r="X348" s="65" t="str">
        <f>IF(B348="", "", 'Lighting Inventory'!L356)</f>
        <v/>
      </c>
      <c r="Y348" s="26" t="str">
        <f>IF(B348="", "", IF('Lighting Inventory'!M356="", "Light Switch",'Lighting Inventory'!M356))</f>
        <v/>
      </c>
      <c r="Z348" s="26" t="str">
        <f>IF(OR(K348="Retrofit", B348=""), "", 'Lighting Inventory'!N356)</f>
        <v/>
      </c>
      <c r="AA348" s="26" t="str">
        <f>IF(OR(Z348="",B348=""), "", 'Lighting Inventory'!O356)</f>
        <v/>
      </c>
      <c r="AB348" s="26" t="str">
        <f>IF(B348="", "", 'Lighting Inventory'!P356)</f>
        <v/>
      </c>
      <c r="AC348" s="96" t="str">
        <f>IF(B348="", "", 'Lighting Inventory'!R356)</f>
        <v/>
      </c>
      <c r="AD348" s="26" t="str">
        <f>IF(B348="", "", 'Lighting Inventory'!S356)</f>
        <v/>
      </c>
      <c r="AE348" s="26" t="str">
        <f>IF(B348="", "", 'Lighting Inventory'!V356)</f>
        <v/>
      </c>
      <c r="AF348" s="26" t="str">
        <f>IF(B348="", "", 'Lighting Inventory'!W356)</f>
        <v/>
      </c>
      <c r="AG348" s="26" t="str">
        <f>IF(OR(AF348="", B348=""), "", IF(AE348="Custom", "0", VLOOKUP(AF348, 'Lookup Tables'!$AI$6:$AP$102, 8, FALSE)))</f>
        <v/>
      </c>
      <c r="AH348" s="26" t="str">
        <f>IF(B348="", "", 'Lighting Inventory'!AD356)</f>
        <v/>
      </c>
      <c r="AI348" s="26" t="str">
        <f>IF(OR('Lighting Inventory'!AK356="", B348=""), "", 'Lighting Inventory'!AK356)</f>
        <v/>
      </c>
      <c r="AJ348" s="66" t="str">
        <f>IF(B348="", "", 'Lighting Inventory'!AL356)</f>
        <v/>
      </c>
      <c r="AK348" s="65" t="str">
        <f>IF(B348="", "", 'Lighting Inventory'!AM356)</f>
        <v/>
      </c>
      <c r="AL348" s="26" t="str">
        <f>IF(B348="", "", 'Lighting Inventory'!AN356)</f>
        <v/>
      </c>
      <c r="AM348" s="26" t="str">
        <f t="shared" si="18"/>
        <v/>
      </c>
      <c r="AN348" s="26" t="str">
        <f>IF(B348="","",IF('Lighting Inventory'!AV356="","Prescribed",'Lighting Inventory'!AV356))</f>
        <v/>
      </c>
      <c r="AO348" s="66" t="str">
        <f>IF(B348="", "", 'Lighting Inventory'!AX356)</f>
        <v/>
      </c>
      <c r="AP348" s="67" t="str">
        <f>IF(B348="", "", 'Lighting Inventory'!AZ356)</f>
        <v/>
      </c>
      <c r="AQ348" s="67" t="str">
        <f>IF(B348="", "", 'Lighting Inventory'!BA356)</f>
        <v/>
      </c>
      <c r="AR348" s="67" t="str">
        <f>IF(B348="", "", 'Lighting Inventory'!BB356)</f>
        <v/>
      </c>
      <c r="AS348" s="67" t="str">
        <f>IF(B348="", "", 'Lighting Inventory'!BC356)</f>
        <v/>
      </c>
      <c r="AT348" s="67" t="str">
        <f>IF(B348="", "", 'Lighting Inventory'!BD356)</f>
        <v/>
      </c>
      <c r="AU348" s="67" t="str">
        <f>IF(B348="", "", 'Lighting Inventory'!BE356)</f>
        <v/>
      </c>
      <c r="AV348" s="67" t="str">
        <f>IF(B348="", "", 'Lighting Inventory'!BE356)</f>
        <v/>
      </c>
      <c r="AW348" s="67" t="str">
        <f>IF(B348="", "", 'Lighting Inventory'!BF356)</f>
        <v/>
      </c>
      <c r="AX348" s="67" t="str">
        <f>IF(B348="", "", 'Lighting Inventory'!BF356)</f>
        <v/>
      </c>
      <c r="AY348" s="65" t="str">
        <f t="shared" si="19"/>
        <v/>
      </c>
      <c r="AZ348" s="65" t="str">
        <f>IF(B348="", "", 'Lighting Inventory'!BJ356)</f>
        <v/>
      </c>
      <c r="BA348" s="65" t="str">
        <f>IF(B348="", "", 'Lighting Inventory'!BM356)</f>
        <v/>
      </c>
      <c r="BB348" s="65" t="str">
        <f>IF(B348="","",SUM('Lighting Inventory'!BP356:BP356))</f>
        <v/>
      </c>
      <c r="BC348" s="67" t="str">
        <f>IF(OR(AE348="", B348=""),"", 'Lighting Inventory'!GR356)</f>
        <v/>
      </c>
      <c r="BD348" s="67" t="str">
        <f>IFERROR(IF(B348="", "", 'Lighting Inventory'!AF356)*AD348," ")</f>
        <v xml:space="preserve"> </v>
      </c>
      <c r="BE348" s="67"/>
      <c r="BF348" s="67"/>
    </row>
    <row r="349" spans="1:58" x14ac:dyDescent="0.25">
      <c r="A349" s="26" t="str">
        <f>IF(B349="", "", 'Lookup Tables'!AW350)</f>
        <v/>
      </c>
      <c r="B349" s="26" t="str">
        <f>IF(OR('Lighting Inventory'!Y357="", 'Lighting Inventory'!V357="No Change"),"", 'Lighting Inventory'!Y357)</f>
        <v/>
      </c>
      <c r="C349" s="26" t="str">
        <f>IF(B349="", "", IF('Lighting Inventory'!Y357='Lookup Tables'!$Y$32, 'Lighting Inventory'!AJ357, IF(AD349=0, R349, AD349)))</f>
        <v/>
      </c>
      <c r="D349" s="26" t="str">
        <f>IF(B349="", "", 'General Information'!$F$14)</f>
        <v/>
      </c>
      <c r="E349" s="26" t="str">
        <f t="shared" si="17"/>
        <v/>
      </c>
      <c r="F349" s="26" t="str">
        <f>IF(B349="", "", CONCATENATE('General Information'!$F$9, " - ", 'General Information'!$F$14))</f>
        <v/>
      </c>
      <c r="G349" s="26" t="str">
        <f>IF(B349="", "", 'General Information'!$F$15)</f>
        <v/>
      </c>
      <c r="H349" s="26" t="str">
        <f>IF(B349="", "", IF(VLOOKUP(B349, 'Lookup Tables'!$Y$18:$AA$34, 2, FALSE)="Traffic", VLOOKUP('Lighting Inventory'!W357, 'Lookup Tables'!#REF!, 11, FALSE), VLOOKUP(B349, 'Lookup Tables'!$Y$18:$AA$34, 2, FALSE)))</f>
        <v/>
      </c>
      <c r="I349" s="26" t="str">
        <f>IF(B349="", "", CONCATENATE(D349, 'Data Export'!A349))</f>
        <v/>
      </c>
      <c r="J349" s="26" t="str">
        <f>IF(B349="", "", 'Lookup Tables'!$B$1)</f>
        <v/>
      </c>
      <c r="K349" s="26" t="str">
        <f>IF(B349="", "", 'Lighting Inventory'!B357)</f>
        <v/>
      </c>
      <c r="L349" s="26" t="str">
        <f>IF(B349="", "", 'Lighting Inventory'!C357)</f>
        <v/>
      </c>
      <c r="M349" s="26" t="str">
        <f>IF(B349="", "",'Lighting Inventory'!D357)</f>
        <v/>
      </c>
      <c r="N349" s="26" t="str">
        <f>IF(B349="", "",'Lighting Inventory'!E357)</f>
        <v/>
      </c>
      <c r="O349" s="26" t="str">
        <f>IF(B349="", "", 'Lighting Inventory'!F357)</f>
        <v/>
      </c>
      <c r="P349" s="26" t="str">
        <f>IF(B349="", "", 'Lighting Inventory'!G357)</f>
        <v/>
      </c>
      <c r="Q349" s="26" t="str">
        <f>IF(B349="", "", 'Lighting Inventory'!H357)</f>
        <v/>
      </c>
      <c r="R349" s="26" t="str">
        <f>IF(B349="", "", 'Lighting Inventory'!I357)</f>
        <v/>
      </c>
      <c r="S349" s="26" t="str">
        <f>IF(B349="", "", 'Lighting Inventory'!J357)</f>
        <v/>
      </c>
      <c r="T349" s="26" t="str">
        <f>IFERROR(IF(B349="","",VLOOKUP(S349,'Fixture Identities'!$A$7:$G$1023,5,FALSE)), "New Construction")</f>
        <v/>
      </c>
      <c r="U349" s="26" t="str">
        <f>IFERROR(IF(B349="", "", IF(K349="New Construction", "NC", IF(VLOOKUP(S349, 'Fixture Identities'!$A$7:$I$1023,3, FALSE)="T12 Linear Fluorescent", VLOOKUP(S349, 'Fixture Identities'!$A$7:$K$1012, 11, FALSE), S349))), "")</f>
        <v/>
      </c>
      <c r="V349" s="26" t="str">
        <f>IFERROR(IF(OR(B349="", U349=0), "", VLOOKUP(U349, 'Fixture Identities'!$A$7:$G$1023, 5, FALSE)), "")</f>
        <v/>
      </c>
      <c r="W349" s="26" t="str">
        <f>IF(B349="", "",'Lighting Inventory'!K357)</f>
        <v/>
      </c>
      <c r="X349" s="65" t="str">
        <f>IF(B349="", "", 'Lighting Inventory'!L357)</f>
        <v/>
      </c>
      <c r="Y349" s="26" t="str">
        <f>IF(B349="", "", IF('Lighting Inventory'!M357="", "Light Switch",'Lighting Inventory'!M357))</f>
        <v/>
      </c>
      <c r="Z349" s="26" t="str">
        <f>IF(OR(K349="Retrofit", B349=""), "", 'Lighting Inventory'!N357)</f>
        <v/>
      </c>
      <c r="AA349" s="26" t="str">
        <f>IF(OR(Z349="",B349=""), "", 'Lighting Inventory'!O357)</f>
        <v/>
      </c>
      <c r="AB349" s="26" t="str">
        <f>IF(B349="", "", 'Lighting Inventory'!P357)</f>
        <v/>
      </c>
      <c r="AC349" s="96" t="str">
        <f>IF(B349="", "", 'Lighting Inventory'!R357)</f>
        <v/>
      </c>
      <c r="AD349" s="26" t="str">
        <f>IF(B349="", "", 'Lighting Inventory'!S357)</f>
        <v/>
      </c>
      <c r="AE349" s="26" t="str">
        <f>IF(B349="", "", 'Lighting Inventory'!V357)</f>
        <v/>
      </c>
      <c r="AF349" s="26" t="str">
        <f>IF(B349="", "", 'Lighting Inventory'!W357)</f>
        <v/>
      </c>
      <c r="AG349" s="26" t="str">
        <f>IF(OR(AF349="", B349=""), "", IF(AE349="Custom", "0", VLOOKUP(AF349, 'Lookup Tables'!$AI$6:$AP$102, 8, FALSE)))</f>
        <v/>
      </c>
      <c r="AH349" s="26" t="str">
        <f>IF(B349="", "", 'Lighting Inventory'!AD357)</f>
        <v/>
      </c>
      <c r="AI349" s="26" t="str">
        <f>IF(OR('Lighting Inventory'!AK357="", B349=""), "", 'Lighting Inventory'!AK357)</f>
        <v/>
      </c>
      <c r="AJ349" s="66" t="str">
        <f>IF(B349="", "", 'Lighting Inventory'!AL357)</f>
        <v/>
      </c>
      <c r="AK349" s="65" t="str">
        <f>IF(B349="", "", 'Lighting Inventory'!AM357)</f>
        <v/>
      </c>
      <c r="AL349" s="26" t="str">
        <f>IF(B349="", "", 'Lighting Inventory'!AN357)</f>
        <v/>
      </c>
      <c r="AM349" s="26" t="str">
        <f t="shared" si="18"/>
        <v/>
      </c>
      <c r="AN349" s="26" t="str">
        <f>IF(B349="","",IF('Lighting Inventory'!AV357="","Prescribed",'Lighting Inventory'!AV357))</f>
        <v/>
      </c>
      <c r="AO349" s="66" t="str">
        <f>IF(B349="", "", 'Lighting Inventory'!AX357)</f>
        <v/>
      </c>
      <c r="AP349" s="67" t="str">
        <f>IF(B349="", "", 'Lighting Inventory'!AZ357)</f>
        <v/>
      </c>
      <c r="AQ349" s="67" t="str">
        <f>IF(B349="", "", 'Lighting Inventory'!BA357)</f>
        <v/>
      </c>
      <c r="AR349" s="67" t="str">
        <f>IF(B349="", "", 'Lighting Inventory'!BB357)</f>
        <v/>
      </c>
      <c r="AS349" s="67" t="str">
        <f>IF(B349="", "", 'Lighting Inventory'!BC357)</f>
        <v/>
      </c>
      <c r="AT349" s="67" t="str">
        <f>IF(B349="", "", 'Lighting Inventory'!BD357)</f>
        <v/>
      </c>
      <c r="AU349" s="67" t="str">
        <f>IF(B349="", "", 'Lighting Inventory'!BE357)</f>
        <v/>
      </c>
      <c r="AV349" s="67" t="str">
        <f>IF(B349="", "", 'Lighting Inventory'!BE357)</f>
        <v/>
      </c>
      <c r="AW349" s="67" t="str">
        <f>IF(B349="", "", 'Lighting Inventory'!BF357)</f>
        <v/>
      </c>
      <c r="AX349" s="67" t="str">
        <f>IF(B349="", "", 'Lighting Inventory'!BF357)</f>
        <v/>
      </c>
      <c r="AY349" s="65" t="str">
        <f t="shared" si="19"/>
        <v/>
      </c>
      <c r="AZ349" s="65" t="str">
        <f>IF(B349="", "", 'Lighting Inventory'!BJ357)</f>
        <v/>
      </c>
      <c r="BA349" s="65" t="str">
        <f>IF(B349="", "", 'Lighting Inventory'!BM357)</f>
        <v/>
      </c>
      <c r="BB349" s="65" t="str">
        <f>IF(B349="","",SUM('Lighting Inventory'!BP357:BP357))</f>
        <v/>
      </c>
      <c r="BC349" s="67" t="str">
        <f>IF(OR(AE349="", B349=""),"", 'Lighting Inventory'!GR357)</f>
        <v/>
      </c>
      <c r="BD349" s="67" t="str">
        <f>IFERROR(IF(B349="", "", 'Lighting Inventory'!AF357)*AD349," ")</f>
        <v xml:space="preserve"> </v>
      </c>
      <c r="BE349" s="67"/>
      <c r="BF349" s="67"/>
    </row>
    <row r="350" spans="1:58" x14ac:dyDescent="0.25">
      <c r="A350" s="26" t="str">
        <f>IF(B350="", "", 'Lookup Tables'!AW351)</f>
        <v/>
      </c>
      <c r="B350" s="26" t="str">
        <f>IF(OR('Lighting Inventory'!Y358="", 'Lighting Inventory'!V358="No Change"),"", 'Lighting Inventory'!Y358)</f>
        <v/>
      </c>
      <c r="C350" s="26" t="str">
        <f>IF(B350="", "", IF('Lighting Inventory'!Y358='Lookup Tables'!$Y$32, 'Lighting Inventory'!AJ358, IF(AD350=0, R350, AD350)))</f>
        <v/>
      </c>
      <c r="D350" s="26" t="str">
        <f>IF(B350="", "", 'General Information'!$F$14)</f>
        <v/>
      </c>
      <c r="E350" s="26" t="str">
        <f t="shared" si="17"/>
        <v/>
      </c>
      <c r="F350" s="26" t="str">
        <f>IF(B350="", "", CONCATENATE('General Information'!$F$9, " - ", 'General Information'!$F$14))</f>
        <v/>
      </c>
      <c r="G350" s="26" t="str">
        <f>IF(B350="", "", 'General Information'!$F$15)</f>
        <v/>
      </c>
      <c r="H350" s="26" t="str">
        <f>IF(B350="", "", IF(VLOOKUP(B350, 'Lookup Tables'!$Y$18:$AA$34, 2, FALSE)="Traffic", VLOOKUP('Lighting Inventory'!W358, 'Lookup Tables'!#REF!, 11, FALSE), VLOOKUP(B350, 'Lookup Tables'!$Y$18:$AA$34, 2, FALSE)))</f>
        <v/>
      </c>
      <c r="I350" s="26" t="str">
        <f>IF(B350="", "", CONCATENATE(D350, 'Data Export'!A350))</f>
        <v/>
      </c>
      <c r="J350" s="26" t="str">
        <f>IF(B350="", "", 'Lookup Tables'!$B$1)</f>
        <v/>
      </c>
      <c r="K350" s="26" t="str">
        <f>IF(B350="", "", 'Lighting Inventory'!B358)</f>
        <v/>
      </c>
      <c r="L350" s="26" t="str">
        <f>IF(B350="", "", 'Lighting Inventory'!C358)</f>
        <v/>
      </c>
      <c r="M350" s="26" t="str">
        <f>IF(B350="", "",'Lighting Inventory'!D358)</f>
        <v/>
      </c>
      <c r="N350" s="26" t="str">
        <f>IF(B350="", "",'Lighting Inventory'!E358)</f>
        <v/>
      </c>
      <c r="O350" s="26" t="str">
        <f>IF(B350="", "", 'Lighting Inventory'!F358)</f>
        <v/>
      </c>
      <c r="P350" s="26" t="str">
        <f>IF(B350="", "", 'Lighting Inventory'!G358)</f>
        <v/>
      </c>
      <c r="Q350" s="26" t="str">
        <f>IF(B350="", "", 'Lighting Inventory'!H358)</f>
        <v/>
      </c>
      <c r="R350" s="26" t="str">
        <f>IF(B350="", "", 'Lighting Inventory'!I358)</f>
        <v/>
      </c>
      <c r="S350" s="26" t="str">
        <f>IF(B350="", "", 'Lighting Inventory'!J358)</f>
        <v/>
      </c>
      <c r="T350" s="26" t="str">
        <f>IFERROR(IF(B350="","",VLOOKUP(S350,'Fixture Identities'!$A$7:$G$1023,5,FALSE)), "New Construction")</f>
        <v/>
      </c>
      <c r="U350" s="26" t="str">
        <f>IFERROR(IF(B350="", "", IF(K350="New Construction", "NC", IF(VLOOKUP(S350, 'Fixture Identities'!$A$7:$I$1023,3, FALSE)="T12 Linear Fluorescent", VLOOKUP(S350, 'Fixture Identities'!$A$7:$K$1012, 11, FALSE), S350))), "")</f>
        <v/>
      </c>
      <c r="V350" s="26" t="str">
        <f>IFERROR(IF(OR(B350="", U350=0), "", VLOOKUP(U350, 'Fixture Identities'!$A$7:$G$1023, 5, FALSE)), "")</f>
        <v/>
      </c>
      <c r="W350" s="26" t="str">
        <f>IF(B350="", "",'Lighting Inventory'!K358)</f>
        <v/>
      </c>
      <c r="X350" s="65" t="str">
        <f>IF(B350="", "", 'Lighting Inventory'!L358)</f>
        <v/>
      </c>
      <c r="Y350" s="26" t="str">
        <f>IF(B350="", "", IF('Lighting Inventory'!M358="", "Light Switch",'Lighting Inventory'!M358))</f>
        <v/>
      </c>
      <c r="Z350" s="26" t="str">
        <f>IF(OR(K350="Retrofit", B350=""), "", 'Lighting Inventory'!N358)</f>
        <v/>
      </c>
      <c r="AA350" s="26" t="str">
        <f>IF(OR(Z350="",B350=""), "", 'Lighting Inventory'!O358)</f>
        <v/>
      </c>
      <c r="AB350" s="26" t="str">
        <f>IF(B350="", "", 'Lighting Inventory'!P358)</f>
        <v/>
      </c>
      <c r="AC350" s="96" t="str">
        <f>IF(B350="", "", 'Lighting Inventory'!R358)</f>
        <v/>
      </c>
      <c r="AD350" s="26" t="str">
        <f>IF(B350="", "", 'Lighting Inventory'!S358)</f>
        <v/>
      </c>
      <c r="AE350" s="26" t="str">
        <f>IF(B350="", "", 'Lighting Inventory'!V358)</f>
        <v/>
      </c>
      <c r="AF350" s="26" t="str">
        <f>IF(B350="", "", 'Lighting Inventory'!W358)</f>
        <v/>
      </c>
      <c r="AG350" s="26" t="str">
        <f>IF(OR(AF350="", B350=""), "", IF(AE350="Custom", "0", VLOOKUP(AF350, 'Lookup Tables'!$AI$6:$AP$102, 8, FALSE)))</f>
        <v/>
      </c>
      <c r="AH350" s="26" t="str">
        <f>IF(B350="", "", 'Lighting Inventory'!AD358)</f>
        <v/>
      </c>
      <c r="AI350" s="26" t="str">
        <f>IF(OR('Lighting Inventory'!AK358="", B350=""), "", 'Lighting Inventory'!AK358)</f>
        <v/>
      </c>
      <c r="AJ350" s="66" t="str">
        <f>IF(B350="", "", 'Lighting Inventory'!AL358)</f>
        <v/>
      </c>
      <c r="AK350" s="65" t="str">
        <f>IF(B350="", "", 'Lighting Inventory'!AM358)</f>
        <v/>
      </c>
      <c r="AL350" s="26" t="str">
        <f>IF(B350="", "", 'Lighting Inventory'!AN358)</f>
        <v/>
      </c>
      <c r="AM350" s="26" t="str">
        <f t="shared" si="18"/>
        <v/>
      </c>
      <c r="AN350" s="26" t="str">
        <f>IF(B350="","",IF('Lighting Inventory'!AV358="","Prescribed",'Lighting Inventory'!AV358))</f>
        <v/>
      </c>
      <c r="AO350" s="66" t="str">
        <f>IF(B350="", "", 'Lighting Inventory'!AX358)</f>
        <v/>
      </c>
      <c r="AP350" s="67" t="str">
        <f>IF(B350="", "", 'Lighting Inventory'!AZ358)</f>
        <v/>
      </c>
      <c r="AQ350" s="67" t="str">
        <f>IF(B350="", "", 'Lighting Inventory'!BA358)</f>
        <v/>
      </c>
      <c r="AR350" s="67" t="str">
        <f>IF(B350="", "", 'Lighting Inventory'!BB358)</f>
        <v/>
      </c>
      <c r="AS350" s="67" t="str">
        <f>IF(B350="", "", 'Lighting Inventory'!BC358)</f>
        <v/>
      </c>
      <c r="AT350" s="67" t="str">
        <f>IF(B350="", "", 'Lighting Inventory'!BD358)</f>
        <v/>
      </c>
      <c r="AU350" s="67" t="str">
        <f>IF(B350="", "", 'Lighting Inventory'!BE358)</f>
        <v/>
      </c>
      <c r="AV350" s="67" t="str">
        <f>IF(B350="", "", 'Lighting Inventory'!BE358)</f>
        <v/>
      </c>
      <c r="AW350" s="67" t="str">
        <f>IF(B350="", "", 'Lighting Inventory'!BF358)</f>
        <v/>
      </c>
      <c r="AX350" s="67" t="str">
        <f>IF(B350="", "", 'Lighting Inventory'!BF358)</f>
        <v/>
      </c>
      <c r="AY350" s="65" t="str">
        <f t="shared" si="19"/>
        <v/>
      </c>
      <c r="AZ350" s="65" t="str">
        <f>IF(B350="", "", 'Lighting Inventory'!BJ358)</f>
        <v/>
      </c>
      <c r="BA350" s="65" t="str">
        <f>IF(B350="", "", 'Lighting Inventory'!BM358)</f>
        <v/>
      </c>
      <c r="BB350" s="65" t="str">
        <f>IF(B350="","",SUM('Lighting Inventory'!BP358:BP358))</f>
        <v/>
      </c>
      <c r="BC350" s="67" t="str">
        <f>IF(OR(AE350="", B350=""),"", 'Lighting Inventory'!GR358)</f>
        <v/>
      </c>
      <c r="BD350" s="67" t="str">
        <f>IFERROR(IF(B350="", "", 'Lighting Inventory'!AF358)*AD350," ")</f>
        <v xml:space="preserve"> </v>
      </c>
      <c r="BE350" s="67"/>
      <c r="BF350" s="67"/>
    </row>
    <row r="351" spans="1:58" x14ac:dyDescent="0.25">
      <c r="A351" s="26" t="str">
        <f>IF(B351="", "", 'Lookup Tables'!AW352)</f>
        <v/>
      </c>
      <c r="B351" s="26" t="str">
        <f>IF(OR('Lighting Inventory'!Y359="", 'Lighting Inventory'!V359="No Change"),"", 'Lighting Inventory'!Y359)</f>
        <v/>
      </c>
      <c r="C351" s="26" t="str">
        <f>IF(B351="", "", IF('Lighting Inventory'!Y359='Lookup Tables'!$Y$32, 'Lighting Inventory'!AJ359, IF(AD351=0, R351, AD351)))</f>
        <v/>
      </c>
      <c r="D351" s="26" t="str">
        <f>IF(B351="", "", 'General Information'!$F$14)</f>
        <v/>
      </c>
      <c r="E351" s="26" t="str">
        <f t="shared" si="17"/>
        <v/>
      </c>
      <c r="F351" s="26" t="str">
        <f>IF(B351="", "", CONCATENATE('General Information'!$F$9, " - ", 'General Information'!$F$14))</f>
        <v/>
      </c>
      <c r="G351" s="26" t="str">
        <f>IF(B351="", "", 'General Information'!$F$15)</f>
        <v/>
      </c>
      <c r="H351" s="26" t="str">
        <f>IF(B351="", "", IF(VLOOKUP(B351, 'Lookup Tables'!$Y$18:$AA$34, 2, FALSE)="Traffic", VLOOKUP('Lighting Inventory'!W359, 'Lookup Tables'!#REF!, 11, FALSE), VLOOKUP(B351, 'Lookup Tables'!$Y$18:$AA$34, 2, FALSE)))</f>
        <v/>
      </c>
      <c r="I351" s="26" t="str">
        <f>IF(B351="", "", CONCATENATE(D351, 'Data Export'!A351))</f>
        <v/>
      </c>
      <c r="J351" s="26" t="str">
        <f>IF(B351="", "", 'Lookup Tables'!$B$1)</f>
        <v/>
      </c>
      <c r="K351" s="26" t="str">
        <f>IF(B351="", "", 'Lighting Inventory'!B359)</f>
        <v/>
      </c>
      <c r="L351" s="26" t="str">
        <f>IF(B351="", "", 'Lighting Inventory'!C359)</f>
        <v/>
      </c>
      <c r="M351" s="26" t="str">
        <f>IF(B351="", "",'Lighting Inventory'!D359)</f>
        <v/>
      </c>
      <c r="N351" s="26" t="str">
        <f>IF(B351="", "",'Lighting Inventory'!E359)</f>
        <v/>
      </c>
      <c r="O351" s="26" t="str">
        <f>IF(B351="", "", 'Lighting Inventory'!F359)</f>
        <v/>
      </c>
      <c r="P351" s="26" t="str">
        <f>IF(B351="", "", 'Lighting Inventory'!G359)</f>
        <v/>
      </c>
      <c r="Q351" s="26" t="str">
        <f>IF(B351="", "", 'Lighting Inventory'!H359)</f>
        <v/>
      </c>
      <c r="R351" s="26" t="str">
        <f>IF(B351="", "", 'Lighting Inventory'!I359)</f>
        <v/>
      </c>
      <c r="S351" s="26" t="str">
        <f>IF(B351="", "", 'Lighting Inventory'!J359)</f>
        <v/>
      </c>
      <c r="T351" s="26" t="str">
        <f>IFERROR(IF(B351="","",VLOOKUP(S351,'Fixture Identities'!$A$7:$G$1023,5,FALSE)), "New Construction")</f>
        <v/>
      </c>
      <c r="U351" s="26" t="str">
        <f>IFERROR(IF(B351="", "", IF(K351="New Construction", "NC", IF(VLOOKUP(S351, 'Fixture Identities'!$A$7:$I$1023,3, FALSE)="T12 Linear Fluorescent", VLOOKUP(S351, 'Fixture Identities'!$A$7:$K$1012, 11, FALSE), S351))), "")</f>
        <v/>
      </c>
      <c r="V351" s="26" t="str">
        <f>IFERROR(IF(OR(B351="", U351=0), "", VLOOKUP(U351, 'Fixture Identities'!$A$7:$G$1023, 5, FALSE)), "")</f>
        <v/>
      </c>
      <c r="W351" s="26" t="str">
        <f>IF(B351="", "",'Lighting Inventory'!K359)</f>
        <v/>
      </c>
      <c r="X351" s="65" t="str">
        <f>IF(B351="", "", 'Lighting Inventory'!L359)</f>
        <v/>
      </c>
      <c r="Y351" s="26" t="str">
        <f>IF(B351="", "", IF('Lighting Inventory'!M359="", "Light Switch",'Lighting Inventory'!M359))</f>
        <v/>
      </c>
      <c r="Z351" s="26" t="str">
        <f>IF(OR(K351="Retrofit", B351=""), "", 'Lighting Inventory'!N359)</f>
        <v/>
      </c>
      <c r="AA351" s="26" t="str">
        <f>IF(OR(Z351="",B351=""), "", 'Lighting Inventory'!O359)</f>
        <v/>
      </c>
      <c r="AB351" s="26" t="str">
        <f>IF(B351="", "", 'Lighting Inventory'!P359)</f>
        <v/>
      </c>
      <c r="AC351" s="96" t="str">
        <f>IF(B351="", "", 'Lighting Inventory'!R359)</f>
        <v/>
      </c>
      <c r="AD351" s="26" t="str">
        <f>IF(B351="", "", 'Lighting Inventory'!S359)</f>
        <v/>
      </c>
      <c r="AE351" s="26" t="str">
        <f>IF(B351="", "", 'Lighting Inventory'!V359)</f>
        <v/>
      </c>
      <c r="AF351" s="26" t="str">
        <f>IF(B351="", "", 'Lighting Inventory'!W359)</f>
        <v/>
      </c>
      <c r="AG351" s="26" t="str">
        <f>IF(OR(AF351="", B351=""), "", IF(AE351="Custom", "0", VLOOKUP(AF351, 'Lookup Tables'!$AI$6:$AP$102, 8, FALSE)))</f>
        <v/>
      </c>
      <c r="AH351" s="26" t="str">
        <f>IF(B351="", "", 'Lighting Inventory'!AD359)</f>
        <v/>
      </c>
      <c r="AI351" s="26" t="str">
        <f>IF(OR('Lighting Inventory'!AK359="", B351=""), "", 'Lighting Inventory'!AK359)</f>
        <v/>
      </c>
      <c r="AJ351" s="66" t="str">
        <f>IF(B351="", "", 'Lighting Inventory'!AL359)</f>
        <v/>
      </c>
      <c r="AK351" s="65" t="str">
        <f>IF(B351="", "", 'Lighting Inventory'!AM359)</f>
        <v/>
      </c>
      <c r="AL351" s="26" t="str">
        <f>IF(B351="", "", 'Lighting Inventory'!AN359)</f>
        <v/>
      </c>
      <c r="AM351" s="26" t="str">
        <f t="shared" si="18"/>
        <v/>
      </c>
      <c r="AN351" s="26" t="str">
        <f>IF(B351="","",IF('Lighting Inventory'!AV359="","Prescribed",'Lighting Inventory'!AV359))</f>
        <v/>
      </c>
      <c r="AO351" s="66" t="str">
        <f>IF(B351="", "", 'Lighting Inventory'!AX359)</f>
        <v/>
      </c>
      <c r="AP351" s="67" t="str">
        <f>IF(B351="", "", 'Lighting Inventory'!AZ359)</f>
        <v/>
      </c>
      <c r="AQ351" s="67" t="str">
        <f>IF(B351="", "", 'Lighting Inventory'!BA359)</f>
        <v/>
      </c>
      <c r="AR351" s="67" t="str">
        <f>IF(B351="", "", 'Lighting Inventory'!BB359)</f>
        <v/>
      </c>
      <c r="AS351" s="67" t="str">
        <f>IF(B351="", "", 'Lighting Inventory'!BC359)</f>
        <v/>
      </c>
      <c r="AT351" s="67" t="str">
        <f>IF(B351="", "", 'Lighting Inventory'!BD359)</f>
        <v/>
      </c>
      <c r="AU351" s="67" t="str">
        <f>IF(B351="", "", 'Lighting Inventory'!BE359)</f>
        <v/>
      </c>
      <c r="AV351" s="67" t="str">
        <f>IF(B351="", "", 'Lighting Inventory'!BE359)</f>
        <v/>
      </c>
      <c r="AW351" s="67" t="str">
        <f>IF(B351="", "", 'Lighting Inventory'!BF359)</f>
        <v/>
      </c>
      <c r="AX351" s="67" t="str">
        <f>IF(B351="", "", 'Lighting Inventory'!BF359)</f>
        <v/>
      </c>
      <c r="AY351" s="65" t="str">
        <f t="shared" si="19"/>
        <v/>
      </c>
      <c r="AZ351" s="65" t="str">
        <f>IF(B351="", "", 'Lighting Inventory'!BJ359)</f>
        <v/>
      </c>
      <c r="BA351" s="65" t="str">
        <f>IF(B351="", "", 'Lighting Inventory'!BM359)</f>
        <v/>
      </c>
      <c r="BB351" s="65" t="str">
        <f>IF(B351="","",SUM('Lighting Inventory'!BP359:BP359))</f>
        <v/>
      </c>
      <c r="BC351" s="67" t="str">
        <f>IF(OR(AE351="", B351=""),"", 'Lighting Inventory'!GR359)</f>
        <v/>
      </c>
      <c r="BD351" s="67" t="str">
        <f>IFERROR(IF(B351="", "", 'Lighting Inventory'!AF359)*AD351," ")</f>
        <v xml:space="preserve"> </v>
      </c>
      <c r="BE351" s="67"/>
      <c r="BF351" s="67"/>
    </row>
    <row r="352" spans="1:58" x14ac:dyDescent="0.25">
      <c r="A352" s="26" t="str">
        <f>IF(B352="", "", 'Lookup Tables'!AW353)</f>
        <v/>
      </c>
      <c r="B352" s="26" t="str">
        <f>IF(OR('Lighting Inventory'!Y360="", 'Lighting Inventory'!V360="No Change"),"", 'Lighting Inventory'!Y360)</f>
        <v/>
      </c>
      <c r="C352" s="26" t="str">
        <f>IF(B352="", "", IF('Lighting Inventory'!Y360='Lookup Tables'!$Y$32, 'Lighting Inventory'!AJ360, IF(AD352=0, R352, AD352)))</f>
        <v/>
      </c>
      <c r="D352" s="26" t="str">
        <f>IF(B352="", "", 'General Information'!$F$14)</f>
        <v/>
      </c>
      <c r="E352" s="26" t="str">
        <f t="shared" si="17"/>
        <v/>
      </c>
      <c r="F352" s="26" t="str">
        <f>IF(B352="", "", CONCATENATE('General Information'!$F$9, " - ", 'General Information'!$F$14))</f>
        <v/>
      </c>
      <c r="G352" s="26" t="str">
        <f>IF(B352="", "", 'General Information'!$F$15)</f>
        <v/>
      </c>
      <c r="H352" s="26" t="str">
        <f>IF(B352="", "", IF(VLOOKUP(B352, 'Lookup Tables'!$Y$18:$AA$34, 2, FALSE)="Traffic", VLOOKUP('Lighting Inventory'!W360, 'Lookup Tables'!#REF!, 11, FALSE), VLOOKUP(B352, 'Lookup Tables'!$Y$18:$AA$34, 2, FALSE)))</f>
        <v/>
      </c>
      <c r="I352" s="26" t="str">
        <f>IF(B352="", "", CONCATENATE(D352, 'Data Export'!A352))</f>
        <v/>
      </c>
      <c r="J352" s="26" t="str">
        <f>IF(B352="", "", 'Lookup Tables'!$B$1)</f>
        <v/>
      </c>
      <c r="K352" s="26" t="str">
        <f>IF(B352="", "", 'Lighting Inventory'!B360)</f>
        <v/>
      </c>
      <c r="L352" s="26" t="str">
        <f>IF(B352="", "", 'Lighting Inventory'!C360)</f>
        <v/>
      </c>
      <c r="M352" s="26" t="str">
        <f>IF(B352="", "",'Lighting Inventory'!D360)</f>
        <v/>
      </c>
      <c r="N352" s="26" t="str">
        <f>IF(B352="", "",'Lighting Inventory'!E360)</f>
        <v/>
      </c>
      <c r="O352" s="26" t="str">
        <f>IF(B352="", "", 'Lighting Inventory'!F360)</f>
        <v/>
      </c>
      <c r="P352" s="26" t="str">
        <f>IF(B352="", "", 'Lighting Inventory'!G360)</f>
        <v/>
      </c>
      <c r="Q352" s="26" t="str">
        <f>IF(B352="", "", 'Lighting Inventory'!H360)</f>
        <v/>
      </c>
      <c r="R352" s="26" t="str">
        <f>IF(B352="", "", 'Lighting Inventory'!I360)</f>
        <v/>
      </c>
      <c r="S352" s="26" t="str">
        <f>IF(B352="", "", 'Lighting Inventory'!J360)</f>
        <v/>
      </c>
      <c r="T352" s="26" t="str">
        <f>IFERROR(IF(B352="","",VLOOKUP(S352,'Fixture Identities'!$A$7:$G$1023,5,FALSE)), "New Construction")</f>
        <v/>
      </c>
      <c r="U352" s="26" t="str">
        <f>IFERROR(IF(B352="", "", IF(K352="New Construction", "NC", IF(VLOOKUP(S352, 'Fixture Identities'!$A$7:$I$1023,3, FALSE)="T12 Linear Fluorescent", VLOOKUP(S352, 'Fixture Identities'!$A$7:$K$1012, 11, FALSE), S352))), "")</f>
        <v/>
      </c>
      <c r="V352" s="26" t="str">
        <f>IFERROR(IF(OR(B352="", U352=0), "", VLOOKUP(U352, 'Fixture Identities'!$A$7:$G$1023, 5, FALSE)), "")</f>
        <v/>
      </c>
      <c r="W352" s="26" t="str">
        <f>IF(B352="", "",'Lighting Inventory'!K360)</f>
        <v/>
      </c>
      <c r="X352" s="65" t="str">
        <f>IF(B352="", "", 'Lighting Inventory'!L360)</f>
        <v/>
      </c>
      <c r="Y352" s="26" t="str">
        <f>IF(B352="", "", IF('Lighting Inventory'!M360="", "Light Switch",'Lighting Inventory'!M360))</f>
        <v/>
      </c>
      <c r="Z352" s="26" t="str">
        <f>IF(OR(K352="Retrofit", B352=""), "", 'Lighting Inventory'!N360)</f>
        <v/>
      </c>
      <c r="AA352" s="26" t="str">
        <f>IF(OR(Z352="",B352=""), "", 'Lighting Inventory'!O360)</f>
        <v/>
      </c>
      <c r="AB352" s="26" t="str">
        <f>IF(B352="", "", 'Lighting Inventory'!P360)</f>
        <v/>
      </c>
      <c r="AC352" s="96" t="str">
        <f>IF(B352="", "", 'Lighting Inventory'!R360)</f>
        <v/>
      </c>
      <c r="AD352" s="26" t="str">
        <f>IF(B352="", "", 'Lighting Inventory'!S360)</f>
        <v/>
      </c>
      <c r="AE352" s="26" t="str">
        <f>IF(B352="", "", 'Lighting Inventory'!V360)</f>
        <v/>
      </c>
      <c r="AF352" s="26" t="str">
        <f>IF(B352="", "", 'Lighting Inventory'!W360)</f>
        <v/>
      </c>
      <c r="AG352" s="26" t="str">
        <f>IF(OR(AF352="", B352=""), "", IF(AE352="Custom", "0", VLOOKUP(AF352, 'Lookup Tables'!$AI$6:$AP$102, 8, FALSE)))</f>
        <v/>
      </c>
      <c r="AH352" s="26" t="str">
        <f>IF(B352="", "", 'Lighting Inventory'!AD360)</f>
        <v/>
      </c>
      <c r="AI352" s="26" t="str">
        <f>IF(OR('Lighting Inventory'!AK360="", B352=""), "", 'Lighting Inventory'!AK360)</f>
        <v/>
      </c>
      <c r="AJ352" s="66" t="str">
        <f>IF(B352="", "", 'Lighting Inventory'!AL360)</f>
        <v/>
      </c>
      <c r="AK352" s="65" t="str">
        <f>IF(B352="", "", 'Lighting Inventory'!AM360)</f>
        <v/>
      </c>
      <c r="AL352" s="26" t="str">
        <f>IF(B352="", "", 'Lighting Inventory'!AN360)</f>
        <v/>
      </c>
      <c r="AM352" s="26" t="str">
        <f t="shared" si="18"/>
        <v/>
      </c>
      <c r="AN352" s="26" t="str">
        <f>IF(B352="","",IF('Lighting Inventory'!AV360="","Prescribed",'Lighting Inventory'!AV360))</f>
        <v/>
      </c>
      <c r="AO352" s="66" t="str">
        <f>IF(B352="", "", 'Lighting Inventory'!AX360)</f>
        <v/>
      </c>
      <c r="AP352" s="67" t="str">
        <f>IF(B352="", "", 'Lighting Inventory'!AZ360)</f>
        <v/>
      </c>
      <c r="AQ352" s="67" t="str">
        <f>IF(B352="", "", 'Lighting Inventory'!BA360)</f>
        <v/>
      </c>
      <c r="AR352" s="67" t="str">
        <f>IF(B352="", "", 'Lighting Inventory'!BB360)</f>
        <v/>
      </c>
      <c r="AS352" s="67" t="str">
        <f>IF(B352="", "", 'Lighting Inventory'!BC360)</f>
        <v/>
      </c>
      <c r="AT352" s="67" t="str">
        <f>IF(B352="", "", 'Lighting Inventory'!BD360)</f>
        <v/>
      </c>
      <c r="AU352" s="67" t="str">
        <f>IF(B352="", "", 'Lighting Inventory'!BE360)</f>
        <v/>
      </c>
      <c r="AV352" s="67" t="str">
        <f>IF(B352="", "", 'Lighting Inventory'!BE360)</f>
        <v/>
      </c>
      <c r="AW352" s="67" t="str">
        <f>IF(B352="", "", 'Lighting Inventory'!BF360)</f>
        <v/>
      </c>
      <c r="AX352" s="67" t="str">
        <f>IF(B352="", "", 'Lighting Inventory'!BF360)</f>
        <v/>
      </c>
      <c r="AY352" s="65" t="str">
        <f t="shared" si="19"/>
        <v/>
      </c>
      <c r="AZ352" s="65" t="str">
        <f>IF(B352="", "", 'Lighting Inventory'!BJ360)</f>
        <v/>
      </c>
      <c r="BA352" s="65" t="str">
        <f>IF(B352="", "", 'Lighting Inventory'!BM360)</f>
        <v/>
      </c>
      <c r="BB352" s="65" t="str">
        <f>IF(B352="","",SUM('Lighting Inventory'!BP360:BP360))</f>
        <v/>
      </c>
      <c r="BC352" s="67" t="str">
        <f>IF(OR(AE352="", B352=""),"", 'Lighting Inventory'!GR360)</f>
        <v/>
      </c>
      <c r="BD352" s="67" t="str">
        <f>IFERROR(IF(B352="", "", 'Lighting Inventory'!AF360)*AD352," ")</f>
        <v xml:space="preserve"> </v>
      </c>
      <c r="BE352" s="67"/>
      <c r="BF352" s="67"/>
    </row>
    <row r="353" spans="1:58" x14ac:dyDescent="0.25">
      <c r="A353" s="26" t="str">
        <f>IF(B353="", "", 'Lookup Tables'!AW354)</f>
        <v/>
      </c>
      <c r="B353" s="26" t="str">
        <f>IF(OR('Lighting Inventory'!Y361="", 'Lighting Inventory'!V361="No Change"),"", 'Lighting Inventory'!Y361)</f>
        <v/>
      </c>
      <c r="C353" s="26" t="str">
        <f>IF(B353="", "", IF('Lighting Inventory'!Y361='Lookup Tables'!$Y$32, 'Lighting Inventory'!AJ361, IF(AD353=0, R353, AD353)))</f>
        <v/>
      </c>
      <c r="D353" s="26" t="str">
        <f>IF(B353="", "", 'General Information'!$F$14)</f>
        <v/>
      </c>
      <c r="E353" s="26" t="str">
        <f t="shared" si="17"/>
        <v/>
      </c>
      <c r="F353" s="26" t="str">
        <f>IF(B353="", "", CONCATENATE('General Information'!$F$9, " - ", 'General Information'!$F$14))</f>
        <v/>
      </c>
      <c r="G353" s="26" t="str">
        <f>IF(B353="", "", 'General Information'!$F$15)</f>
        <v/>
      </c>
      <c r="H353" s="26" t="str">
        <f>IF(B353="", "", IF(VLOOKUP(B353, 'Lookup Tables'!$Y$18:$AA$34, 2, FALSE)="Traffic", VLOOKUP('Lighting Inventory'!W361, 'Lookup Tables'!#REF!, 11, FALSE), VLOOKUP(B353, 'Lookup Tables'!$Y$18:$AA$34, 2, FALSE)))</f>
        <v/>
      </c>
      <c r="I353" s="26" t="str">
        <f>IF(B353="", "", CONCATENATE(D353, 'Data Export'!A353))</f>
        <v/>
      </c>
      <c r="J353" s="26" t="str">
        <f>IF(B353="", "", 'Lookup Tables'!$B$1)</f>
        <v/>
      </c>
      <c r="K353" s="26" t="str">
        <f>IF(B353="", "", 'Lighting Inventory'!B361)</f>
        <v/>
      </c>
      <c r="L353" s="26" t="str">
        <f>IF(B353="", "", 'Lighting Inventory'!C361)</f>
        <v/>
      </c>
      <c r="M353" s="26" t="str">
        <f>IF(B353="", "",'Lighting Inventory'!D361)</f>
        <v/>
      </c>
      <c r="N353" s="26" t="str">
        <f>IF(B353="", "",'Lighting Inventory'!E361)</f>
        <v/>
      </c>
      <c r="O353" s="26" t="str">
        <f>IF(B353="", "", 'Lighting Inventory'!F361)</f>
        <v/>
      </c>
      <c r="P353" s="26" t="str">
        <f>IF(B353="", "", 'Lighting Inventory'!G361)</f>
        <v/>
      </c>
      <c r="Q353" s="26" t="str">
        <f>IF(B353="", "", 'Lighting Inventory'!H361)</f>
        <v/>
      </c>
      <c r="R353" s="26" t="str">
        <f>IF(B353="", "", 'Lighting Inventory'!I361)</f>
        <v/>
      </c>
      <c r="S353" s="26" t="str">
        <f>IF(B353="", "", 'Lighting Inventory'!J361)</f>
        <v/>
      </c>
      <c r="T353" s="26" t="str">
        <f>IFERROR(IF(B353="","",VLOOKUP(S353,'Fixture Identities'!$A$7:$G$1023,5,FALSE)), "New Construction")</f>
        <v/>
      </c>
      <c r="U353" s="26" t="str">
        <f>IFERROR(IF(B353="", "", IF(K353="New Construction", "NC", IF(VLOOKUP(S353, 'Fixture Identities'!$A$7:$I$1023,3, FALSE)="T12 Linear Fluorescent", VLOOKUP(S353, 'Fixture Identities'!$A$7:$K$1012, 11, FALSE), S353))), "")</f>
        <v/>
      </c>
      <c r="V353" s="26" t="str">
        <f>IFERROR(IF(OR(B353="", U353=0), "", VLOOKUP(U353, 'Fixture Identities'!$A$7:$G$1023, 5, FALSE)), "")</f>
        <v/>
      </c>
      <c r="W353" s="26" t="str">
        <f>IF(B353="", "",'Lighting Inventory'!K361)</f>
        <v/>
      </c>
      <c r="X353" s="65" t="str">
        <f>IF(B353="", "", 'Lighting Inventory'!L361)</f>
        <v/>
      </c>
      <c r="Y353" s="26" t="str">
        <f>IF(B353="", "", IF('Lighting Inventory'!M361="", "Light Switch",'Lighting Inventory'!M361))</f>
        <v/>
      </c>
      <c r="Z353" s="26" t="str">
        <f>IF(OR(K353="Retrofit", B353=""), "", 'Lighting Inventory'!N361)</f>
        <v/>
      </c>
      <c r="AA353" s="26" t="str">
        <f>IF(OR(Z353="",B353=""), "", 'Lighting Inventory'!O361)</f>
        <v/>
      </c>
      <c r="AB353" s="26" t="str">
        <f>IF(B353="", "", 'Lighting Inventory'!P361)</f>
        <v/>
      </c>
      <c r="AC353" s="96" t="str">
        <f>IF(B353="", "", 'Lighting Inventory'!R361)</f>
        <v/>
      </c>
      <c r="AD353" s="26" t="str">
        <f>IF(B353="", "", 'Lighting Inventory'!S361)</f>
        <v/>
      </c>
      <c r="AE353" s="26" t="str">
        <f>IF(B353="", "", 'Lighting Inventory'!V361)</f>
        <v/>
      </c>
      <c r="AF353" s="26" t="str">
        <f>IF(B353="", "", 'Lighting Inventory'!W361)</f>
        <v/>
      </c>
      <c r="AG353" s="26" t="str">
        <f>IF(OR(AF353="", B353=""), "", IF(AE353="Custom", "0", VLOOKUP(AF353, 'Lookup Tables'!$AI$6:$AP$102, 8, FALSE)))</f>
        <v/>
      </c>
      <c r="AH353" s="26" t="str">
        <f>IF(B353="", "", 'Lighting Inventory'!AD361)</f>
        <v/>
      </c>
      <c r="AI353" s="26" t="str">
        <f>IF(OR('Lighting Inventory'!AK361="", B353=""), "", 'Lighting Inventory'!AK361)</f>
        <v/>
      </c>
      <c r="AJ353" s="66" t="str">
        <f>IF(B353="", "", 'Lighting Inventory'!AL361)</f>
        <v/>
      </c>
      <c r="AK353" s="65" t="str">
        <f>IF(B353="", "", 'Lighting Inventory'!AM361)</f>
        <v/>
      </c>
      <c r="AL353" s="26" t="str">
        <f>IF(B353="", "", 'Lighting Inventory'!AN361)</f>
        <v/>
      </c>
      <c r="AM353" s="26" t="str">
        <f t="shared" si="18"/>
        <v/>
      </c>
      <c r="AN353" s="26" t="str">
        <f>IF(B353="","",IF('Lighting Inventory'!AV361="","Prescribed",'Lighting Inventory'!AV361))</f>
        <v/>
      </c>
      <c r="AO353" s="66" t="str">
        <f>IF(B353="", "", 'Lighting Inventory'!AX361)</f>
        <v/>
      </c>
      <c r="AP353" s="67" t="str">
        <f>IF(B353="", "", 'Lighting Inventory'!AZ361)</f>
        <v/>
      </c>
      <c r="AQ353" s="67" t="str">
        <f>IF(B353="", "", 'Lighting Inventory'!BA361)</f>
        <v/>
      </c>
      <c r="AR353" s="67" t="str">
        <f>IF(B353="", "", 'Lighting Inventory'!BB361)</f>
        <v/>
      </c>
      <c r="AS353" s="67" t="str">
        <f>IF(B353="", "", 'Lighting Inventory'!BC361)</f>
        <v/>
      </c>
      <c r="AT353" s="67" t="str">
        <f>IF(B353="", "", 'Lighting Inventory'!BD361)</f>
        <v/>
      </c>
      <c r="AU353" s="67" t="str">
        <f>IF(B353="", "", 'Lighting Inventory'!BE361)</f>
        <v/>
      </c>
      <c r="AV353" s="67" t="str">
        <f>IF(B353="", "", 'Lighting Inventory'!BE361)</f>
        <v/>
      </c>
      <c r="AW353" s="67" t="str">
        <f>IF(B353="", "", 'Lighting Inventory'!BF361)</f>
        <v/>
      </c>
      <c r="AX353" s="67" t="str">
        <f>IF(B353="", "", 'Lighting Inventory'!BF361)</f>
        <v/>
      </c>
      <c r="AY353" s="65" t="str">
        <f t="shared" si="19"/>
        <v/>
      </c>
      <c r="AZ353" s="65" t="str">
        <f>IF(B353="", "", 'Lighting Inventory'!BJ361)</f>
        <v/>
      </c>
      <c r="BA353" s="65" t="str">
        <f>IF(B353="", "", 'Lighting Inventory'!BM361)</f>
        <v/>
      </c>
      <c r="BB353" s="65" t="str">
        <f>IF(B353="","",SUM('Lighting Inventory'!BP361:BP361))</f>
        <v/>
      </c>
      <c r="BC353" s="67" t="str">
        <f>IF(OR(AE353="", B353=""),"", 'Lighting Inventory'!GR361)</f>
        <v/>
      </c>
      <c r="BD353" s="67" t="str">
        <f>IFERROR(IF(B353="", "", 'Lighting Inventory'!AF361)*AD353," ")</f>
        <v xml:space="preserve"> </v>
      </c>
      <c r="BE353" s="67"/>
      <c r="BF353" s="67"/>
    </row>
    <row r="354" spans="1:58" x14ac:dyDescent="0.25">
      <c r="A354" s="26" t="str">
        <f>IF(B354="", "", 'Lookup Tables'!AW355)</f>
        <v/>
      </c>
      <c r="B354" s="26" t="str">
        <f>IF(OR('Lighting Inventory'!Y362="", 'Lighting Inventory'!V362="No Change"),"", 'Lighting Inventory'!Y362)</f>
        <v/>
      </c>
      <c r="C354" s="26" t="str">
        <f>IF(B354="", "", IF('Lighting Inventory'!Y362='Lookup Tables'!$Y$32, 'Lighting Inventory'!AJ362, IF(AD354=0, R354, AD354)))</f>
        <v/>
      </c>
      <c r="D354" s="26" t="str">
        <f>IF(B354="", "", 'General Information'!$F$14)</f>
        <v/>
      </c>
      <c r="E354" s="26" t="str">
        <f t="shared" si="17"/>
        <v/>
      </c>
      <c r="F354" s="26" t="str">
        <f>IF(B354="", "", CONCATENATE('General Information'!$F$9, " - ", 'General Information'!$F$14))</f>
        <v/>
      </c>
      <c r="G354" s="26" t="str">
        <f>IF(B354="", "", 'General Information'!$F$15)</f>
        <v/>
      </c>
      <c r="H354" s="26" t="str">
        <f>IF(B354="", "", IF(VLOOKUP(B354, 'Lookup Tables'!$Y$18:$AA$34, 2, FALSE)="Traffic", VLOOKUP('Lighting Inventory'!W362, 'Lookup Tables'!#REF!, 11, FALSE), VLOOKUP(B354, 'Lookup Tables'!$Y$18:$AA$34, 2, FALSE)))</f>
        <v/>
      </c>
      <c r="I354" s="26" t="str">
        <f>IF(B354="", "", CONCATENATE(D354, 'Data Export'!A354))</f>
        <v/>
      </c>
      <c r="J354" s="26" t="str">
        <f>IF(B354="", "", 'Lookup Tables'!$B$1)</f>
        <v/>
      </c>
      <c r="K354" s="26" t="str">
        <f>IF(B354="", "", 'Lighting Inventory'!B362)</f>
        <v/>
      </c>
      <c r="L354" s="26" t="str">
        <f>IF(B354="", "", 'Lighting Inventory'!C362)</f>
        <v/>
      </c>
      <c r="M354" s="26" t="str">
        <f>IF(B354="", "",'Lighting Inventory'!D362)</f>
        <v/>
      </c>
      <c r="N354" s="26" t="str">
        <f>IF(B354="", "",'Lighting Inventory'!E362)</f>
        <v/>
      </c>
      <c r="O354" s="26" t="str">
        <f>IF(B354="", "", 'Lighting Inventory'!F362)</f>
        <v/>
      </c>
      <c r="P354" s="26" t="str">
        <f>IF(B354="", "", 'Lighting Inventory'!G362)</f>
        <v/>
      </c>
      <c r="Q354" s="26" t="str">
        <f>IF(B354="", "", 'Lighting Inventory'!H362)</f>
        <v/>
      </c>
      <c r="R354" s="26" t="str">
        <f>IF(B354="", "", 'Lighting Inventory'!I362)</f>
        <v/>
      </c>
      <c r="S354" s="26" t="str">
        <f>IF(B354="", "", 'Lighting Inventory'!J362)</f>
        <v/>
      </c>
      <c r="T354" s="26" t="str">
        <f>IFERROR(IF(B354="","",VLOOKUP(S354,'Fixture Identities'!$A$7:$G$1023,5,FALSE)), "New Construction")</f>
        <v/>
      </c>
      <c r="U354" s="26" t="str">
        <f>IFERROR(IF(B354="", "", IF(K354="New Construction", "NC", IF(VLOOKUP(S354, 'Fixture Identities'!$A$7:$I$1023,3, FALSE)="T12 Linear Fluorescent", VLOOKUP(S354, 'Fixture Identities'!$A$7:$K$1012, 11, FALSE), S354))), "")</f>
        <v/>
      </c>
      <c r="V354" s="26" t="str">
        <f>IFERROR(IF(OR(B354="", U354=0), "", VLOOKUP(U354, 'Fixture Identities'!$A$7:$G$1023, 5, FALSE)), "")</f>
        <v/>
      </c>
      <c r="W354" s="26" t="str">
        <f>IF(B354="", "",'Lighting Inventory'!K362)</f>
        <v/>
      </c>
      <c r="X354" s="65" t="str">
        <f>IF(B354="", "", 'Lighting Inventory'!L362)</f>
        <v/>
      </c>
      <c r="Y354" s="26" t="str">
        <f>IF(B354="", "", IF('Lighting Inventory'!M362="", "Light Switch",'Lighting Inventory'!M362))</f>
        <v/>
      </c>
      <c r="Z354" s="26" t="str">
        <f>IF(OR(K354="Retrofit", B354=""), "", 'Lighting Inventory'!N362)</f>
        <v/>
      </c>
      <c r="AA354" s="26" t="str">
        <f>IF(OR(Z354="",B354=""), "", 'Lighting Inventory'!O362)</f>
        <v/>
      </c>
      <c r="AB354" s="26" t="str">
        <f>IF(B354="", "", 'Lighting Inventory'!P362)</f>
        <v/>
      </c>
      <c r="AC354" s="96" t="str">
        <f>IF(B354="", "", 'Lighting Inventory'!R362)</f>
        <v/>
      </c>
      <c r="AD354" s="26" t="str">
        <f>IF(B354="", "", 'Lighting Inventory'!S362)</f>
        <v/>
      </c>
      <c r="AE354" s="26" t="str">
        <f>IF(B354="", "", 'Lighting Inventory'!V362)</f>
        <v/>
      </c>
      <c r="AF354" s="26" t="str">
        <f>IF(B354="", "", 'Lighting Inventory'!W362)</f>
        <v/>
      </c>
      <c r="AG354" s="26" t="str">
        <f>IF(OR(AF354="", B354=""), "", IF(AE354="Custom", "0", VLOOKUP(AF354, 'Lookup Tables'!$AI$6:$AP$102, 8, FALSE)))</f>
        <v/>
      </c>
      <c r="AH354" s="26" t="str">
        <f>IF(B354="", "", 'Lighting Inventory'!AD362)</f>
        <v/>
      </c>
      <c r="AI354" s="26" t="str">
        <f>IF(OR('Lighting Inventory'!AK362="", B354=""), "", 'Lighting Inventory'!AK362)</f>
        <v/>
      </c>
      <c r="AJ354" s="66" t="str">
        <f>IF(B354="", "", 'Lighting Inventory'!AL362)</f>
        <v/>
      </c>
      <c r="AK354" s="65" t="str">
        <f>IF(B354="", "", 'Lighting Inventory'!AM362)</f>
        <v/>
      </c>
      <c r="AL354" s="26" t="str">
        <f>IF(B354="", "", 'Lighting Inventory'!AN362)</f>
        <v/>
      </c>
      <c r="AM354" s="26" t="str">
        <f t="shared" si="18"/>
        <v/>
      </c>
      <c r="AN354" s="26" t="str">
        <f>IF(B354="","",IF('Lighting Inventory'!AV362="","Prescribed",'Lighting Inventory'!AV362))</f>
        <v/>
      </c>
      <c r="AO354" s="66" t="str">
        <f>IF(B354="", "", 'Lighting Inventory'!AX362)</f>
        <v/>
      </c>
      <c r="AP354" s="67" t="str">
        <f>IF(B354="", "", 'Lighting Inventory'!AZ362)</f>
        <v/>
      </c>
      <c r="AQ354" s="67" t="str">
        <f>IF(B354="", "", 'Lighting Inventory'!BA362)</f>
        <v/>
      </c>
      <c r="AR354" s="67" t="str">
        <f>IF(B354="", "", 'Lighting Inventory'!BB362)</f>
        <v/>
      </c>
      <c r="AS354" s="67" t="str">
        <f>IF(B354="", "", 'Lighting Inventory'!BC362)</f>
        <v/>
      </c>
      <c r="AT354" s="67" t="str">
        <f>IF(B354="", "", 'Lighting Inventory'!BD362)</f>
        <v/>
      </c>
      <c r="AU354" s="67" t="str">
        <f>IF(B354="", "", 'Lighting Inventory'!BE362)</f>
        <v/>
      </c>
      <c r="AV354" s="67" t="str">
        <f>IF(B354="", "", 'Lighting Inventory'!BE362)</f>
        <v/>
      </c>
      <c r="AW354" s="67" t="str">
        <f>IF(B354="", "", 'Lighting Inventory'!BF362)</f>
        <v/>
      </c>
      <c r="AX354" s="67" t="str">
        <f>IF(B354="", "", 'Lighting Inventory'!BF362)</f>
        <v/>
      </c>
      <c r="AY354" s="65" t="str">
        <f t="shared" si="19"/>
        <v/>
      </c>
      <c r="AZ354" s="65" t="str">
        <f>IF(B354="", "", 'Lighting Inventory'!BJ362)</f>
        <v/>
      </c>
      <c r="BA354" s="65" t="str">
        <f>IF(B354="", "", 'Lighting Inventory'!BM362)</f>
        <v/>
      </c>
      <c r="BB354" s="65" t="str">
        <f>IF(B354="","",SUM('Lighting Inventory'!BP362:BP362))</f>
        <v/>
      </c>
      <c r="BC354" s="67" t="str">
        <f>IF(OR(AE354="", B354=""),"", 'Lighting Inventory'!GR362)</f>
        <v/>
      </c>
      <c r="BD354" s="67" t="str">
        <f>IFERROR(IF(B354="", "", 'Lighting Inventory'!AF362)*AD354," ")</f>
        <v xml:space="preserve"> </v>
      </c>
      <c r="BE354" s="67"/>
      <c r="BF354" s="67"/>
    </row>
    <row r="355" spans="1:58" x14ac:dyDescent="0.25">
      <c r="A355" s="26" t="str">
        <f>IF(B355="", "", 'Lookup Tables'!AW356)</f>
        <v/>
      </c>
      <c r="B355" s="26" t="str">
        <f>IF(OR('Lighting Inventory'!Y363="", 'Lighting Inventory'!V363="No Change"),"", 'Lighting Inventory'!Y363)</f>
        <v/>
      </c>
      <c r="C355" s="26" t="str">
        <f>IF(B355="", "", IF('Lighting Inventory'!Y363='Lookup Tables'!$Y$32, 'Lighting Inventory'!AJ363, IF(AD355=0, R355, AD355)))</f>
        <v/>
      </c>
      <c r="D355" s="26" t="str">
        <f>IF(B355="", "", 'General Information'!$F$14)</f>
        <v/>
      </c>
      <c r="E355" s="26" t="str">
        <f t="shared" si="17"/>
        <v/>
      </c>
      <c r="F355" s="26" t="str">
        <f>IF(B355="", "", CONCATENATE('General Information'!$F$9, " - ", 'General Information'!$F$14))</f>
        <v/>
      </c>
      <c r="G355" s="26" t="str">
        <f>IF(B355="", "", 'General Information'!$F$15)</f>
        <v/>
      </c>
      <c r="H355" s="26" t="str">
        <f>IF(B355="", "", IF(VLOOKUP(B355, 'Lookup Tables'!$Y$18:$AA$34, 2, FALSE)="Traffic", VLOOKUP('Lighting Inventory'!W363, 'Lookup Tables'!#REF!, 11, FALSE), VLOOKUP(B355, 'Lookup Tables'!$Y$18:$AA$34, 2, FALSE)))</f>
        <v/>
      </c>
      <c r="I355" s="26" t="str">
        <f>IF(B355="", "", CONCATENATE(D355, 'Data Export'!A355))</f>
        <v/>
      </c>
      <c r="J355" s="26" t="str">
        <f>IF(B355="", "", 'Lookup Tables'!$B$1)</f>
        <v/>
      </c>
      <c r="K355" s="26" t="str">
        <f>IF(B355="", "", 'Lighting Inventory'!B363)</f>
        <v/>
      </c>
      <c r="L355" s="26" t="str">
        <f>IF(B355="", "", 'Lighting Inventory'!C363)</f>
        <v/>
      </c>
      <c r="M355" s="26" t="str">
        <f>IF(B355="", "",'Lighting Inventory'!D363)</f>
        <v/>
      </c>
      <c r="N355" s="26" t="str">
        <f>IF(B355="", "",'Lighting Inventory'!E363)</f>
        <v/>
      </c>
      <c r="O355" s="26" t="str">
        <f>IF(B355="", "", 'Lighting Inventory'!F363)</f>
        <v/>
      </c>
      <c r="P355" s="26" t="str">
        <f>IF(B355="", "", 'Lighting Inventory'!G363)</f>
        <v/>
      </c>
      <c r="Q355" s="26" t="str">
        <f>IF(B355="", "", 'Lighting Inventory'!H363)</f>
        <v/>
      </c>
      <c r="R355" s="26" t="str">
        <f>IF(B355="", "", 'Lighting Inventory'!I363)</f>
        <v/>
      </c>
      <c r="S355" s="26" t="str">
        <f>IF(B355="", "", 'Lighting Inventory'!J363)</f>
        <v/>
      </c>
      <c r="T355" s="26" t="str">
        <f>IFERROR(IF(B355="","",VLOOKUP(S355,'Fixture Identities'!$A$7:$G$1023,5,FALSE)), "New Construction")</f>
        <v/>
      </c>
      <c r="U355" s="26" t="str">
        <f>IFERROR(IF(B355="", "", IF(K355="New Construction", "NC", IF(VLOOKUP(S355, 'Fixture Identities'!$A$7:$I$1023,3, FALSE)="T12 Linear Fluorescent", VLOOKUP(S355, 'Fixture Identities'!$A$7:$K$1012, 11, FALSE), S355))), "")</f>
        <v/>
      </c>
      <c r="V355" s="26" t="str">
        <f>IFERROR(IF(OR(B355="", U355=0), "", VLOOKUP(U355, 'Fixture Identities'!$A$7:$G$1023, 5, FALSE)), "")</f>
        <v/>
      </c>
      <c r="W355" s="26" t="str">
        <f>IF(B355="", "",'Lighting Inventory'!K363)</f>
        <v/>
      </c>
      <c r="X355" s="65" t="str">
        <f>IF(B355="", "", 'Lighting Inventory'!L363)</f>
        <v/>
      </c>
      <c r="Y355" s="26" t="str">
        <f>IF(B355="", "", IF('Lighting Inventory'!M363="", "Light Switch",'Lighting Inventory'!M363))</f>
        <v/>
      </c>
      <c r="Z355" s="26" t="str">
        <f>IF(OR(K355="Retrofit", B355=""), "", 'Lighting Inventory'!N363)</f>
        <v/>
      </c>
      <c r="AA355" s="26" t="str">
        <f>IF(OR(Z355="",B355=""), "", 'Lighting Inventory'!O363)</f>
        <v/>
      </c>
      <c r="AB355" s="26" t="str">
        <f>IF(B355="", "", 'Lighting Inventory'!P363)</f>
        <v/>
      </c>
      <c r="AC355" s="96" t="str">
        <f>IF(B355="", "", 'Lighting Inventory'!R363)</f>
        <v/>
      </c>
      <c r="AD355" s="26" t="str">
        <f>IF(B355="", "", 'Lighting Inventory'!S363)</f>
        <v/>
      </c>
      <c r="AE355" s="26" t="str">
        <f>IF(B355="", "", 'Lighting Inventory'!V363)</f>
        <v/>
      </c>
      <c r="AF355" s="26" t="str">
        <f>IF(B355="", "", 'Lighting Inventory'!W363)</f>
        <v/>
      </c>
      <c r="AG355" s="26" t="str">
        <f>IF(OR(AF355="", B355=""), "", IF(AE355="Custom", "0", VLOOKUP(AF355, 'Lookup Tables'!$AI$6:$AP$102, 8, FALSE)))</f>
        <v/>
      </c>
      <c r="AH355" s="26" t="str">
        <f>IF(B355="", "", 'Lighting Inventory'!AD363)</f>
        <v/>
      </c>
      <c r="AI355" s="26" t="str">
        <f>IF(OR('Lighting Inventory'!AK363="", B355=""), "", 'Lighting Inventory'!AK363)</f>
        <v/>
      </c>
      <c r="AJ355" s="66" t="str">
        <f>IF(B355="", "", 'Lighting Inventory'!AL363)</f>
        <v/>
      </c>
      <c r="AK355" s="65" t="str">
        <f>IF(B355="", "", 'Lighting Inventory'!AM363)</f>
        <v/>
      </c>
      <c r="AL355" s="26" t="str">
        <f>IF(B355="", "", 'Lighting Inventory'!AN363)</f>
        <v/>
      </c>
      <c r="AM355" s="26" t="str">
        <f t="shared" si="18"/>
        <v/>
      </c>
      <c r="AN355" s="26" t="str">
        <f>IF(B355="","",IF('Lighting Inventory'!AV363="","Prescribed",'Lighting Inventory'!AV363))</f>
        <v/>
      </c>
      <c r="AO355" s="66" t="str">
        <f>IF(B355="", "", 'Lighting Inventory'!AX363)</f>
        <v/>
      </c>
      <c r="AP355" s="67" t="str">
        <f>IF(B355="", "", 'Lighting Inventory'!AZ363)</f>
        <v/>
      </c>
      <c r="AQ355" s="67" t="str">
        <f>IF(B355="", "", 'Lighting Inventory'!BA363)</f>
        <v/>
      </c>
      <c r="AR355" s="67" t="str">
        <f>IF(B355="", "", 'Lighting Inventory'!BB363)</f>
        <v/>
      </c>
      <c r="AS355" s="67" t="str">
        <f>IF(B355="", "", 'Lighting Inventory'!BC363)</f>
        <v/>
      </c>
      <c r="AT355" s="67" t="str">
        <f>IF(B355="", "", 'Lighting Inventory'!BD363)</f>
        <v/>
      </c>
      <c r="AU355" s="67" t="str">
        <f>IF(B355="", "", 'Lighting Inventory'!BE363)</f>
        <v/>
      </c>
      <c r="AV355" s="67" t="str">
        <f>IF(B355="", "", 'Lighting Inventory'!BE363)</f>
        <v/>
      </c>
      <c r="AW355" s="67" t="str">
        <f>IF(B355="", "", 'Lighting Inventory'!BF363)</f>
        <v/>
      </c>
      <c r="AX355" s="67" t="str">
        <f>IF(B355="", "", 'Lighting Inventory'!BF363)</f>
        <v/>
      </c>
      <c r="AY355" s="65" t="str">
        <f t="shared" si="19"/>
        <v/>
      </c>
      <c r="AZ355" s="65" t="str">
        <f>IF(B355="", "", 'Lighting Inventory'!BJ363)</f>
        <v/>
      </c>
      <c r="BA355" s="65" t="str">
        <f>IF(B355="", "", 'Lighting Inventory'!BM363)</f>
        <v/>
      </c>
      <c r="BB355" s="65" t="str">
        <f>IF(B355="","",SUM('Lighting Inventory'!BP363:BP363))</f>
        <v/>
      </c>
      <c r="BC355" s="67" t="str">
        <f>IF(OR(AE355="", B355=""),"", 'Lighting Inventory'!GR363)</f>
        <v/>
      </c>
      <c r="BD355" s="67" t="str">
        <f>IFERROR(IF(B355="", "", 'Lighting Inventory'!AF363)*AD355," ")</f>
        <v xml:space="preserve"> </v>
      </c>
      <c r="BE355" s="67"/>
      <c r="BF355" s="67"/>
    </row>
    <row r="356" spans="1:58" x14ac:dyDescent="0.25">
      <c r="A356" s="26" t="str">
        <f>IF(B356="", "", 'Lookup Tables'!AW357)</f>
        <v/>
      </c>
      <c r="B356" s="26" t="str">
        <f>IF(OR('Lighting Inventory'!Y364="", 'Lighting Inventory'!V364="No Change"),"", 'Lighting Inventory'!Y364)</f>
        <v/>
      </c>
      <c r="C356" s="26" t="str">
        <f>IF(B356="", "", IF('Lighting Inventory'!Y364='Lookup Tables'!$Y$32, 'Lighting Inventory'!AJ364, IF(AD356=0, R356, AD356)))</f>
        <v/>
      </c>
      <c r="D356" s="26" t="str">
        <f>IF(B356="", "", 'General Information'!$F$14)</f>
        <v/>
      </c>
      <c r="E356" s="26" t="str">
        <f t="shared" si="17"/>
        <v/>
      </c>
      <c r="F356" s="26" t="str">
        <f>IF(B356="", "", CONCATENATE('General Information'!$F$9, " - ", 'General Information'!$F$14))</f>
        <v/>
      </c>
      <c r="G356" s="26" t="str">
        <f>IF(B356="", "", 'General Information'!$F$15)</f>
        <v/>
      </c>
      <c r="H356" s="26" t="str">
        <f>IF(B356="", "", IF(VLOOKUP(B356, 'Lookup Tables'!$Y$18:$AA$34, 2, FALSE)="Traffic", VLOOKUP('Lighting Inventory'!W364, 'Lookup Tables'!#REF!, 11, FALSE), VLOOKUP(B356, 'Lookup Tables'!$Y$18:$AA$34, 2, FALSE)))</f>
        <v/>
      </c>
      <c r="I356" s="26" t="str">
        <f>IF(B356="", "", CONCATENATE(D356, 'Data Export'!A356))</f>
        <v/>
      </c>
      <c r="J356" s="26" t="str">
        <f>IF(B356="", "", 'Lookup Tables'!$B$1)</f>
        <v/>
      </c>
      <c r="K356" s="26" t="str">
        <f>IF(B356="", "", 'Lighting Inventory'!B364)</f>
        <v/>
      </c>
      <c r="L356" s="26" t="str">
        <f>IF(B356="", "", 'Lighting Inventory'!C364)</f>
        <v/>
      </c>
      <c r="M356" s="26" t="str">
        <f>IF(B356="", "",'Lighting Inventory'!D364)</f>
        <v/>
      </c>
      <c r="N356" s="26" t="str">
        <f>IF(B356="", "",'Lighting Inventory'!E364)</f>
        <v/>
      </c>
      <c r="O356" s="26" t="str">
        <f>IF(B356="", "", 'Lighting Inventory'!F364)</f>
        <v/>
      </c>
      <c r="P356" s="26" t="str">
        <f>IF(B356="", "", 'Lighting Inventory'!G364)</f>
        <v/>
      </c>
      <c r="Q356" s="26" t="str">
        <f>IF(B356="", "", 'Lighting Inventory'!H364)</f>
        <v/>
      </c>
      <c r="R356" s="26" t="str">
        <f>IF(B356="", "", 'Lighting Inventory'!I364)</f>
        <v/>
      </c>
      <c r="S356" s="26" t="str">
        <f>IF(B356="", "", 'Lighting Inventory'!J364)</f>
        <v/>
      </c>
      <c r="T356" s="26" t="str">
        <f>IFERROR(IF(B356="","",VLOOKUP(S356,'Fixture Identities'!$A$7:$G$1023,5,FALSE)), "New Construction")</f>
        <v/>
      </c>
      <c r="U356" s="26" t="str">
        <f>IFERROR(IF(B356="", "", IF(K356="New Construction", "NC", IF(VLOOKUP(S356, 'Fixture Identities'!$A$7:$I$1023,3, FALSE)="T12 Linear Fluorescent", VLOOKUP(S356, 'Fixture Identities'!$A$7:$K$1012, 11, FALSE), S356))), "")</f>
        <v/>
      </c>
      <c r="V356" s="26" t="str">
        <f>IFERROR(IF(OR(B356="", U356=0), "", VLOOKUP(U356, 'Fixture Identities'!$A$7:$G$1023, 5, FALSE)), "")</f>
        <v/>
      </c>
      <c r="W356" s="26" t="str">
        <f>IF(B356="", "",'Lighting Inventory'!K364)</f>
        <v/>
      </c>
      <c r="X356" s="65" t="str">
        <f>IF(B356="", "", 'Lighting Inventory'!L364)</f>
        <v/>
      </c>
      <c r="Y356" s="26" t="str">
        <f>IF(B356="", "", IF('Lighting Inventory'!M364="", "Light Switch",'Lighting Inventory'!M364))</f>
        <v/>
      </c>
      <c r="Z356" s="26" t="str">
        <f>IF(OR(K356="Retrofit", B356=""), "", 'Lighting Inventory'!N364)</f>
        <v/>
      </c>
      <c r="AA356" s="26" t="str">
        <f>IF(OR(Z356="",B356=""), "", 'Lighting Inventory'!O364)</f>
        <v/>
      </c>
      <c r="AB356" s="26" t="str">
        <f>IF(B356="", "", 'Lighting Inventory'!P364)</f>
        <v/>
      </c>
      <c r="AC356" s="96" t="str">
        <f>IF(B356="", "", 'Lighting Inventory'!R364)</f>
        <v/>
      </c>
      <c r="AD356" s="26" t="str">
        <f>IF(B356="", "", 'Lighting Inventory'!S364)</f>
        <v/>
      </c>
      <c r="AE356" s="26" t="str">
        <f>IF(B356="", "", 'Lighting Inventory'!V364)</f>
        <v/>
      </c>
      <c r="AF356" s="26" t="str">
        <f>IF(B356="", "", 'Lighting Inventory'!W364)</f>
        <v/>
      </c>
      <c r="AG356" s="26" t="str">
        <f>IF(OR(AF356="", B356=""), "", IF(AE356="Custom", "0", VLOOKUP(AF356, 'Lookup Tables'!$AI$6:$AP$102, 8, FALSE)))</f>
        <v/>
      </c>
      <c r="AH356" s="26" t="str">
        <f>IF(B356="", "", 'Lighting Inventory'!AD364)</f>
        <v/>
      </c>
      <c r="AI356" s="26" t="str">
        <f>IF(OR('Lighting Inventory'!AK364="", B356=""), "", 'Lighting Inventory'!AK364)</f>
        <v/>
      </c>
      <c r="AJ356" s="66" t="str">
        <f>IF(B356="", "", 'Lighting Inventory'!AL364)</f>
        <v/>
      </c>
      <c r="AK356" s="65" t="str">
        <f>IF(B356="", "", 'Lighting Inventory'!AM364)</f>
        <v/>
      </c>
      <c r="AL356" s="26" t="str">
        <f>IF(B356="", "", 'Lighting Inventory'!AN364)</f>
        <v/>
      </c>
      <c r="AM356" s="26" t="str">
        <f t="shared" si="18"/>
        <v/>
      </c>
      <c r="AN356" s="26" t="str">
        <f>IF(B356="","",IF('Lighting Inventory'!AV364="","Prescribed",'Lighting Inventory'!AV364))</f>
        <v/>
      </c>
      <c r="AO356" s="66" t="str">
        <f>IF(B356="", "", 'Lighting Inventory'!AX364)</f>
        <v/>
      </c>
      <c r="AP356" s="67" t="str">
        <f>IF(B356="", "", 'Lighting Inventory'!AZ364)</f>
        <v/>
      </c>
      <c r="AQ356" s="67" t="str">
        <f>IF(B356="", "", 'Lighting Inventory'!BA364)</f>
        <v/>
      </c>
      <c r="AR356" s="67" t="str">
        <f>IF(B356="", "", 'Lighting Inventory'!BB364)</f>
        <v/>
      </c>
      <c r="AS356" s="67" t="str">
        <f>IF(B356="", "", 'Lighting Inventory'!BC364)</f>
        <v/>
      </c>
      <c r="AT356" s="67" t="str">
        <f>IF(B356="", "", 'Lighting Inventory'!BD364)</f>
        <v/>
      </c>
      <c r="AU356" s="67" t="str">
        <f>IF(B356="", "", 'Lighting Inventory'!BE364)</f>
        <v/>
      </c>
      <c r="AV356" s="67" t="str">
        <f>IF(B356="", "", 'Lighting Inventory'!BE364)</f>
        <v/>
      </c>
      <c r="AW356" s="67" t="str">
        <f>IF(B356="", "", 'Lighting Inventory'!BF364)</f>
        <v/>
      </c>
      <c r="AX356" s="67" t="str">
        <f>IF(B356="", "", 'Lighting Inventory'!BF364)</f>
        <v/>
      </c>
      <c r="AY356" s="65" t="str">
        <f t="shared" si="19"/>
        <v/>
      </c>
      <c r="AZ356" s="65" t="str">
        <f>IF(B356="", "", 'Lighting Inventory'!BJ364)</f>
        <v/>
      </c>
      <c r="BA356" s="65" t="str">
        <f>IF(B356="", "", 'Lighting Inventory'!BM364)</f>
        <v/>
      </c>
      <c r="BB356" s="65" t="str">
        <f>IF(B356="","",SUM('Lighting Inventory'!BP364:BP364))</f>
        <v/>
      </c>
      <c r="BC356" s="67" t="str">
        <f>IF(OR(AE356="", B356=""),"", 'Lighting Inventory'!GR364)</f>
        <v/>
      </c>
      <c r="BD356" s="67" t="str">
        <f>IFERROR(IF(B356="", "", 'Lighting Inventory'!AF364)*AD356," ")</f>
        <v xml:space="preserve"> </v>
      </c>
      <c r="BE356" s="67"/>
      <c r="BF356" s="67"/>
    </row>
    <row r="357" spans="1:58" x14ac:dyDescent="0.25">
      <c r="A357" s="26" t="str">
        <f>IF(B357="", "", 'Lookup Tables'!AW358)</f>
        <v/>
      </c>
      <c r="B357" s="26" t="str">
        <f>IF(OR('Lighting Inventory'!Y365="", 'Lighting Inventory'!V365="No Change"),"", 'Lighting Inventory'!Y365)</f>
        <v/>
      </c>
      <c r="C357" s="26" t="str">
        <f>IF(B357="", "", IF('Lighting Inventory'!Y365='Lookup Tables'!$Y$32, 'Lighting Inventory'!AJ365, IF(AD357=0, R357, AD357)))</f>
        <v/>
      </c>
      <c r="D357" s="26" t="str">
        <f>IF(B357="", "", 'General Information'!$F$14)</f>
        <v/>
      </c>
      <c r="E357" s="26" t="str">
        <f t="shared" si="17"/>
        <v/>
      </c>
      <c r="F357" s="26" t="str">
        <f>IF(B357="", "", CONCATENATE('General Information'!$F$9, " - ", 'General Information'!$F$14))</f>
        <v/>
      </c>
      <c r="G357" s="26" t="str">
        <f>IF(B357="", "", 'General Information'!$F$15)</f>
        <v/>
      </c>
      <c r="H357" s="26" t="str">
        <f>IF(B357="", "", IF(VLOOKUP(B357, 'Lookup Tables'!$Y$18:$AA$34, 2, FALSE)="Traffic", VLOOKUP('Lighting Inventory'!W365, 'Lookup Tables'!#REF!, 11, FALSE), VLOOKUP(B357, 'Lookup Tables'!$Y$18:$AA$34, 2, FALSE)))</f>
        <v/>
      </c>
      <c r="I357" s="26" t="str">
        <f>IF(B357="", "", CONCATENATE(D357, 'Data Export'!A357))</f>
        <v/>
      </c>
      <c r="J357" s="26" t="str">
        <f>IF(B357="", "", 'Lookup Tables'!$B$1)</f>
        <v/>
      </c>
      <c r="K357" s="26" t="str">
        <f>IF(B357="", "", 'Lighting Inventory'!B365)</f>
        <v/>
      </c>
      <c r="L357" s="26" t="str">
        <f>IF(B357="", "", 'Lighting Inventory'!C365)</f>
        <v/>
      </c>
      <c r="M357" s="26" t="str">
        <f>IF(B357="", "",'Lighting Inventory'!D365)</f>
        <v/>
      </c>
      <c r="N357" s="26" t="str">
        <f>IF(B357="", "",'Lighting Inventory'!E365)</f>
        <v/>
      </c>
      <c r="O357" s="26" t="str">
        <f>IF(B357="", "", 'Lighting Inventory'!F365)</f>
        <v/>
      </c>
      <c r="P357" s="26" t="str">
        <f>IF(B357="", "", 'Lighting Inventory'!G365)</f>
        <v/>
      </c>
      <c r="Q357" s="26" t="str">
        <f>IF(B357="", "", 'Lighting Inventory'!H365)</f>
        <v/>
      </c>
      <c r="R357" s="26" t="str">
        <f>IF(B357="", "", 'Lighting Inventory'!I365)</f>
        <v/>
      </c>
      <c r="S357" s="26" t="str">
        <f>IF(B357="", "", 'Lighting Inventory'!J365)</f>
        <v/>
      </c>
      <c r="T357" s="26" t="str">
        <f>IFERROR(IF(B357="","",VLOOKUP(S357,'Fixture Identities'!$A$7:$G$1023,5,FALSE)), "New Construction")</f>
        <v/>
      </c>
      <c r="U357" s="26" t="str">
        <f>IFERROR(IF(B357="", "", IF(K357="New Construction", "NC", IF(VLOOKUP(S357, 'Fixture Identities'!$A$7:$I$1023,3, FALSE)="T12 Linear Fluorescent", VLOOKUP(S357, 'Fixture Identities'!$A$7:$K$1012, 11, FALSE), S357))), "")</f>
        <v/>
      </c>
      <c r="V357" s="26" t="str">
        <f>IFERROR(IF(OR(B357="", U357=0), "", VLOOKUP(U357, 'Fixture Identities'!$A$7:$G$1023, 5, FALSE)), "")</f>
        <v/>
      </c>
      <c r="W357" s="26" t="str">
        <f>IF(B357="", "",'Lighting Inventory'!K365)</f>
        <v/>
      </c>
      <c r="X357" s="65" t="str">
        <f>IF(B357="", "", 'Lighting Inventory'!L365)</f>
        <v/>
      </c>
      <c r="Y357" s="26" t="str">
        <f>IF(B357="", "", IF('Lighting Inventory'!M365="", "Light Switch",'Lighting Inventory'!M365))</f>
        <v/>
      </c>
      <c r="Z357" s="26" t="str">
        <f>IF(OR(K357="Retrofit", B357=""), "", 'Lighting Inventory'!N365)</f>
        <v/>
      </c>
      <c r="AA357" s="26" t="str">
        <f>IF(OR(Z357="",B357=""), "", 'Lighting Inventory'!O365)</f>
        <v/>
      </c>
      <c r="AB357" s="26" t="str">
        <f>IF(B357="", "", 'Lighting Inventory'!P365)</f>
        <v/>
      </c>
      <c r="AC357" s="96" t="str">
        <f>IF(B357="", "", 'Lighting Inventory'!R365)</f>
        <v/>
      </c>
      <c r="AD357" s="26" t="str">
        <f>IF(B357="", "", 'Lighting Inventory'!S365)</f>
        <v/>
      </c>
      <c r="AE357" s="26" t="str">
        <f>IF(B357="", "", 'Lighting Inventory'!V365)</f>
        <v/>
      </c>
      <c r="AF357" s="26" t="str">
        <f>IF(B357="", "", 'Lighting Inventory'!W365)</f>
        <v/>
      </c>
      <c r="AG357" s="26" t="str">
        <f>IF(OR(AF357="", B357=""), "", IF(AE357="Custom", "0", VLOOKUP(AF357, 'Lookup Tables'!$AI$6:$AP$102, 8, FALSE)))</f>
        <v/>
      </c>
      <c r="AH357" s="26" t="str">
        <f>IF(B357="", "", 'Lighting Inventory'!AD365)</f>
        <v/>
      </c>
      <c r="AI357" s="26" t="str">
        <f>IF(OR('Lighting Inventory'!AK365="", B357=""), "", 'Lighting Inventory'!AK365)</f>
        <v/>
      </c>
      <c r="AJ357" s="66" t="str">
        <f>IF(B357="", "", 'Lighting Inventory'!AL365)</f>
        <v/>
      </c>
      <c r="AK357" s="65" t="str">
        <f>IF(B357="", "", 'Lighting Inventory'!AM365)</f>
        <v/>
      </c>
      <c r="AL357" s="26" t="str">
        <f>IF(B357="", "", 'Lighting Inventory'!AN365)</f>
        <v/>
      </c>
      <c r="AM357" s="26" t="str">
        <f t="shared" si="18"/>
        <v/>
      </c>
      <c r="AN357" s="26" t="str">
        <f>IF(B357="","",IF('Lighting Inventory'!AV365="","Prescribed",'Lighting Inventory'!AV365))</f>
        <v/>
      </c>
      <c r="AO357" s="66" t="str">
        <f>IF(B357="", "", 'Lighting Inventory'!AX365)</f>
        <v/>
      </c>
      <c r="AP357" s="67" t="str">
        <f>IF(B357="", "", 'Lighting Inventory'!AZ365)</f>
        <v/>
      </c>
      <c r="AQ357" s="67" t="str">
        <f>IF(B357="", "", 'Lighting Inventory'!BA365)</f>
        <v/>
      </c>
      <c r="AR357" s="67" t="str">
        <f>IF(B357="", "", 'Lighting Inventory'!BB365)</f>
        <v/>
      </c>
      <c r="AS357" s="67" t="str">
        <f>IF(B357="", "", 'Lighting Inventory'!BC365)</f>
        <v/>
      </c>
      <c r="AT357" s="67" t="str">
        <f>IF(B357="", "", 'Lighting Inventory'!BD365)</f>
        <v/>
      </c>
      <c r="AU357" s="67" t="str">
        <f>IF(B357="", "", 'Lighting Inventory'!BE365)</f>
        <v/>
      </c>
      <c r="AV357" s="67" t="str">
        <f>IF(B357="", "", 'Lighting Inventory'!BE365)</f>
        <v/>
      </c>
      <c r="AW357" s="67" t="str">
        <f>IF(B357="", "", 'Lighting Inventory'!BF365)</f>
        <v/>
      </c>
      <c r="AX357" s="67" t="str">
        <f>IF(B357="", "", 'Lighting Inventory'!BF365)</f>
        <v/>
      </c>
      <c r="AY357" s="65" t="str">
        <f t="shared" si="19"/>
        <v/>
      </c>
      <c r="AZ357" s="65" t="str">
        <f>IF(B357="", "", 'Lighting Inventory'!BJ365)</f>
        <v/>
      </c>
      <c r="BA357" s="65" t="str">
        <f>IF(B357="", "", 'Lighting Inventory'!BM365)</f>
        <v/>
      </c>
      <c r="BB357" s="65" t="str">
        <f>IF(B357="","",SUM('Lighting Inventory'!BP365:BP365))</f>
        <v/>
      </c>
      <c r="BC357" s="67" t="str">
        <f>IF(OR(AE357="", B357=""),"", 'Lighting Inventory'!GR365)</f>
        <v/>
      </c>
      <c r="BD357" s="67" t="str">
        <f>IFERROR(IF(B357="", "", 'Lighting Inventory'!AF365)*AD357," ")</f>
        <v xml:space="preserve"> </v>
      </c>
      <c r="BE357" s="67"/>
      <c r="BF357" s="67"/>
    </row>
    <row r="358" spans="1:58" x14ac:dyDescent="0.25">
      <c r="A358" s="26" t="str">
        <f>IF(B358="", "", 'Lookup Tables'!AW359)</f>
        <v/>
      </c>
      <c r="B358" s="26" t="str">
        <f>IF(OR('Lighting Inventory'!Y366="", 'Lighting Inventory'!V366="No Change"),"", 'Lighting Inventory'!Y366)</f>
        <v/>
      </c>
      <c r="C358" s="26" t="str">
        <f>IF(B358="", "", IF('Lighting Inventory'!Y366='Lookup Tables'!$Y$32, 'Lighting Inventory'!AJ366, IF(AD358=0, R358, AD358)))</f>
        <v/>
      </c>
      <c r="D358" s="26" t="str">
        <f>IF(B358="", "", 'General Information'!$F$14)</f>
        <v/>
      </c>
      <c r="E358" s="26" t="str">
        <f t="shared" si="17"/>
        <v/>
      </c>
      <c r="F358" s="26" t="str">
        <f>IF(B358="", "", CONCATENATE('General Information'!$F$9, " - ", 'General Information'!$F$14))</f>
        <v/>
      </c>
      <c r="G358" s="26" t="str">
        <f>IF(B358="", "", 'General Information'!$F$15)</f>
        <v/>
      </c>
      <c r="H358" s="26" t="str">
        <f>IF(B358="", "", IF(VLOOKUP(B358, 'Lookup Tables'!$Y$18:$AA$34, 2, FALSE)="Traffic", VLOOKUP('Lighting Inventory'!W366, 'Lookup Tables'!#REF!, 11, FALSE), VLOOKUP(B358, 'Lookup Tables'!$Y$18:$AA$34, 2, FALSE)))</f>
        <v/>
      </c>
      <c r="I358" s="26" t="str">
        <f>IF(B358="", "", CONCATENATE(D358, 'Data Export'!A358))</f>
        <v/>
      </c>
      <c r="J358" s="26" t="str">
        <f>IF(B358="", "", 'Lookup Tables'!$B$1)</f>
        <v/>
      </c>
      <c r="K358" s="26" t="str">
        <f>IF(B358="", "", 'Lighting Inventory'!B366)</f>
        <v/>
      </c>
      <c r="L358" s="26" t="str">
        <f>IF(B358="", "", 'Lighting Inventory'!C366)</f>
        <v/>
      </c>
      <c r="M358" s="26" t="str">
        <f>IF(B358="", "",'Lighting Inventory'!D366)</f>
        <v/>
      </c>
      <c r="N358" s="26" t="str">
        <f>IF(B358="", "",'Lighting Inventory'!E366)</f>
        <v/>
      </c>
      <c r="O358" s="26" t="str">
        <f>IF(B358="", "", 'Lighting Inventory'!F366)</f>
        <v/>
      </c>
      <c r="P358" s="26" t="str">
        <f>IF(B358="", "", 'Lighting Inventory'!G366)</f>
        <v/>
      </c>
      <c r="Q358" s="26" t="str">
        <f>IF(B358="", "", 'Lighting Inventory'!H366)</f>
        <v/>
      </c>
      <c r="R358" s="26" t="str">
        <f>IF(B358="", "", 'Lighting Inventory'!I366)</f>
        <v/>
      </c>
      <c r="S358" s="26" t="str">
        <f>IF(B358="", "", 'Lighting Inventory'!J366)</f>
        <v/>
      </c>
      <c r="T358" s="26" t="str">
        <f>IFERROR(IF(B358="","",VLOOKUP(S358,'Fixture Identities'!$A$7:$G$1023,5,FALSE)), "New Construction")</f>
        <v/>
      </c>
      <c r="U358" s="26" t="str">
        <f>IFERROR(IF(B358="", "", IF(K358="New Construction", "NC", IF(VLOOKUP(S358, 'Fixture Identities'!$A$7:$I$1023,3, FALSE)="T12 Linear Fluorescent", VLOOKUP(S358, 'Fixture Identities'!$A$7:$K$1012, 11, FALSE), S358))), "")</f>
        <v/>
      </c>
      <c r="V358" s="26" t="str">
        <f>IFERROR(IF(OR(B358="", U358=0), "", VLOOKUP(U358, 'Fixture Identities'!$A$7:$G$1023, 5, FALSE)), "")</f>
        <v/>
      </c>
      <c r="W358" s="26" t="str">
        <f>IF(B358="", "",'Lighting Inventory'!K366)</f>
        <v/>
      </c>
      <c r="X358" s="65" t="str">
        <f>IF(B358="", "", 'Lighting Inventory'!L366)</f>
        <v/>
      </c>
      <c r="Y358" s="26" t="str">
        <f>IF(B358="", "", IF('Lighting Inventory'!M366="", "Light Switch",'Lighting Inventory'!M366))</f>
        <v/>
      </c>
      <c r="Z358" s="26" t="str">
        <f>IF(OR(K358="Retrofit", B358=""), "", 'Lighting Inventory'!N366)</f>
        <v/>
      </c>
      <c r="AA358" s="26" t="str">
        <f>IF(OR(Z358="",B358=""), "", 'Lighting Inventory'!O366)</f>
        <v/>
      </c>
      <c r="AB358" s="26" t="str">
        <f>IF(B358="", "", 'Lighting Inventory'!P366)</f>
        <v/>
      </c>
      <c r="AC358" s="96" t="str">
        <f>IF(B358="", "", 'Lighting Inventory'!R366)</f>
        <v/>
      </c>
      <c r="AD358" s="26" t="str">
        <f>IF(B358="", "", 'Lighting Inventory'!S366)</f>
        <v/>
      </c>
      <c r="AE358" s="26" t="str">
        <f>IF(B358="", "", 'Lighting Inventory'!V366)</f>
        <v/>
      </c>
      <c r="AF358" s="26" t="str">
        <f>IF(B358="", "", 'Lighting Inventory'!W366)</f>
        <v/>
      </c>
      <c r="AG358" s="26" t="str">
        <f>IF(OR(AF358="", B358=""), "", IF(AE358="Custom", "0", VLOOKUP(AF358, 'Lookup Tables'!$AI$6:$AP$102, 8, FALSE)))</f>
        <v/>
      </c>
      <c r="AH358" s="26" t="str">
        <f>IF(B358="", "", 'Lighting Inventory'!AD366)</f>
        <v/>
      </c>
      <c r="AI358" s="26" t="str">
        <f>IF(OR('Lighting Inventory'!AK366="", B358=""), "", 'Lighting Inventory'!AK366)</f>
        <v/>
      </c>
      <c r="AJ358" s="66" t="str">
        <f>IF(B358="", "", 'Lighting Inventory'!AL366)</f>
        <v/>
      </c>
      <c r="AK358" s="65" t="str">
        <f>IF(B358="", "", 'Lighting Inventory'!AM366)</f>
        <v/>
      </c>
      <c r="AL358" s="26" t="str">
        <f>IF(B358="", "", 'Lighting Inventory'!AN366)</f>
        <v/>
      </c>
      <c r="AM358" s="26" t="str">
        <f t="shared" si="18"/>
        <v/>
      </c>
      <c r="AN358" s="26" t="str">
        <f>IF(B358="","",IF('Lighting Inventory'!AV366="","Prescribed",'Lighting Inventory'!AV366))</f>
        <v/>
      </c>
      <c r="AO358" s="66" t="str">
        <f>IF(B358="", "", 'Lighting Inventory'!AX366)</f>
        <v/>
      </c>
      <c r="AP358" s="67" t="str">
        <f>IF(B358="", "", 'Lighting Inventory'!AZ366)</f>
        <v/>
      </c>
      <c r="AQ358" s="67" t="str">
        <f>IF(B358="", "", 'Lighting Inventory'!BA366)</f>
        <v/>
      </c>
      <c r="AR358" s="67" t="str">
        <f>IF(B358="", "", 'Lighting Inventory'!BB366)</f>
        <v/>
      </c>
      <c r="AS358" s="67" t="str">
        <f>IF(B358="", "", 'Lighting Inventory'!BC366)</f>
        <v/>
      </c>
      <c r="AT358" s="67" t="str">
        <f>IF(B358="", "", 'Lighting Inventory'!BD366)</f>
        <v/>
      </c>
      <c r="AU358" s="67" t="str">
        <f>IF(B358="", "", 'Lighting Inventory'!BE366)</f>
        <v/>
      </c>
      <c r="AV358" s="67" t="str">
        <f>IF(B358="", "", 'Lighting Inventory'!BE366)</f>
        <v/>
      </c>
      <c r="AW358" s="67" t="str">
        <f>IF(B358="", "", 'Lighting Inventory'!BF366)</f>
        <v/>
      </c>
      <c r="AX358" s="67" t="str">
        <f>IF(B358="", "", 'Lighting Inventory'!BF366)</f>
        <v/>
      </c>
      <c r="AY358" s="65" t="str">
        <f t="shared" si="19"/>
        <v/>
      </c>
      <c r="AZ358" s="65" t="str">
        <f>IF(B358="", "", 'Lighting Inventory'!BJ366)</f>
        <v/>
      </c>
      <c r="BA358" s="65" t="str">
        <f>IF(B358="", "", 'Lighting Inventory'!BM366)</f>
        <v/>
      </c>
      <c r="BB358" s="65" t="str">
        <f>IF(B358="","",SUM('Lighting Inventory'!BP366:BP366))</f>
        <v/>
      </c>
      <c r="BC358" s="67" t="str">
        <f>IF(OR(AE358="", B358=""),"", 'Lighting Inventory'!GR366)</f>
        <v/>
      </c>
      <c r="BD358" s="67" t="str">
        <f>IFERROR(IF(B358="", "", 'Lighting Inventory'!AF366)*AD358," ")</f>
        <v xml:space="preserve"> </v>
      </c>
      <c r="BE358" s="67"/>
      <c r="BF358" s="67"/>
    </row>
    <row r="359" spans="1:58" x14ac:dyDescent="0.25">
      <c r="A359" s="26" t="str">
        <f>IF(B359="", "", 'Lookup Tables'!AW360)</f>
        <v/>
      </c>
      <c r="B359" s="26" t="str">
        <f>IF(OR('Lighting Inventory'!Y367="", 'Lighting Inventory'!V367="No Change"),"", 'Lighting Inventory'!Y367)</f>
        <v/>
      </c>
      <c r="C359" s="26" t="str">
        <f>IF(B359="", "", IF('Lighting Inventory'!Y367='Lookup Tables'!$Y$32, 'Lighting Inventory'!AJ367, IF(AD359=0, R359, AD359)))</f>
        <v/>
      </c>
      <c r="D359" s="26" t="str">
        <f>IF(B359="", "", 'General Information'!$F$14)</f>
        <v/>
      </c>
      <c r="E359" s="26" t="str">
        <f t="shared" si="17"/>
        <v/>
      </c>
      <c r="F359" s="26" t="str">
        <f>IF(B359="", "", CONCATENATE('General Information'!$F$9, " - ", 'General Information'!$F$14))</f>
        <v/>
      </c>
      <c r="G359" s="26" t="str">
        <f>IF(B359="", "", 'General Information'!$F$15)</f>
        <v/>
      </c>
      <c r="H359" s="26" t="str">
        <f>IF(B359="", "", IF(VLOOKUP(B359, 'Lookup Tables'!$Y$18:$AA$34, 2, FALSE)="Traffic", VLOOKUP('Lighting Inventory'!W367, 'Lookup Tables'!#REF!, 11, FALSE), VLOOKUP(B359, 'Lookup Tables'!$Y$18:$AA$34, 2, FALSE)))</f>
        <v/>
      </c>
      <c r="I359" s="26" t="str">
        <f>IF(B359="", "", CONCATENATE(D359, 'Data Export'!A359))</f>
        <v/>
      </c>
      <c r="J359" s="26" t="str">
        <f>IF(B359="", "", 'Lookup Tables'!$B$1)</f>
        <v/>
      </c>
      <c r="K359" s="26" t="str">
        <f>IF(B359="", "", 'Lighting Inventory'!B367)</f>
        <v/>
      </c>
      <c r="L359" s="26" t="str">
        <f>IF(B359="", "", 'Lighting Inventory'!C367)</f>
        <v/>
      </c>
      <c r="M359" s="26" t="str">
        <f>IF(B359="", "",'Lighting Inventory'!D367)</f>
        <v/>
      </c>
      <c r="N359" s="26" t="str">
        <f>IF(B359="", "",'Lighting Inventory'!E367)</f>
        <v/>
      </c>
      <c r="O359" s="26" t="str">
        <f>IF(B359="", "", 'Lighting Inventory'!F367)</f>
        <v/>
      </c>
      <c r="P359" s="26" t="str">
        <f>IF(B359="", "", 'Lighting Inventory'!G367)</f>
        <v/>
      </c>
      <c r="Q359" s="26" t="str">
        <f>IF(B359="", "", 'Lighting Inventory'!H367)</f>
        <v/>
      </c>
      <c r="R359" s="26" t="str">
        <f>IF(B359="", "", 'Lighting Inventory'!I367)</f>
        <v/>
      </c>
      <c r="S359" s="26" t="str">
        <f>IF(B359="", "", 'Lighting Inventory'!J367)</f>
        <v/>
      </c>
      <c r="T359" s="26" t="str">
        <f>IFERROR(IF(B359="","",VLOOKUP(S359,'Fixture Identities'!$A$7:$G$1023,5,FALSE)), "New Construction")</f>
        <v/>
      </c>
      <c r="U359" s="26" t="str">
        <f>IFERROR(IF(B359="", "", IF(K359="New Construction", "NC", IF(VLOOKUP(S359, 'Fixture Identities'!$A$7:$I$1023,3, FALSE)="T12 Linear Fluorescent", VLOOKUP(S359, 'Fixture Identities'!$A$7:$K$1012, 11, FALSE), S359))), "")</f>
        <v/>
      </c>
      <c r="V359" s="26" t="str">
        <f>IFERROR(IF(OR(B359="", U359=0), "", VLOOKUP(U359, 'Fixture Identities'!$A$7:$G$1023, 5, FALSE)), "")</f>
        <v/>
      </c>
      <c r="W359" s="26" t="str">
        <f>IF(B359="", "",'Lighting Inventory'!K367)</f>
        <v/>
      </c>
      <c r="X359" s="65" t="str">
        <f>IF(B359="", "", 'Lighting Inventory'!L367)</f>
        <v/>
      </c>
      <c r="Y359" s="26" t="str">
        <f>IF(B359="", "", IF('Lighting Inventory'!M367="", "Light Switch",'Lighting Inventory'!M367))</f>
        <v/>
      </c>
      <c r="Z359" s="26" t="str">
        <f>IF(OR(K359="Retrofit", B359=""), "", 'Lighting Inventory'!N367)</f>
        <v/>
      </c>
      <c r="AA359" s="26" t="str">
        <f>IF(OR(Z359="",B359=""), "", 'Lighting Inventory'!O367)</f>
        <v/>
      </c>
      <c r="AB359" s="26" t="str">
        <f>IF(B359="", "", 'Lighting Inventory'!P367)</f>
        <v/>
      </c>
      <c r="AC359" s="96" t="str">
        <f>IF(B359="", "", 'Lighting Inventory'!R367)</f>
        <v/>
      </c>
      <c r="AD359" s="26" t="str">
        <f>IF(B359="", "", 'Lighting Inventory'!S367)</f>
        <v/>
      </c>
      <c r="AE359" s="26" t="str">
        <f>IF(B359="", "", 'Lighting Inventory'!V367)</f>
        <v/>
      </c>
      <c r="AF359" s="26" t="str">
        <f>IF(B359="", "", 'Lighting Inventory'!W367)</f>
        <v/>
      </c>
      <c r="AG359" s="26" t="str">
        <f>IF(OR(AF359="", B359=""), "", IF(AE359="Custom", "0", VLOOKUP(AF359, 'Lookup Tables'!$AI$6:$AP$102, 8, FALSE)))</f>
        <v/>
      </c>
      <c r="AH359" s="26" t="str">
        <f>IF(B359="", "", 'Lighting Inventory'!AD367)</f>
        <v/>
      </c>
      <c r="AI359" s="26" t="str">
        <f>IF(OR('Lighting Inventory'!AK367="", B359=""), "", 'Lighting Inventory'!AK367)</f>
        <v/>
      </c>
      <c r="AJ359" s="66" t="str">
        <f>IF(B359="", "", 'Lighting Inventory'!AL367)</f>
        <v/>
      </c>
      <c r="AK359" s="65" t="str">
        <f>IF(B359="", "", 'Lighting Inventory'!AM367)</f>
        <v/>
      </c>
      <c r="AL359" s="26" t="str">
        <f>IF(B359="", "", 'Lighting Inventory'!AN367)</f>
        <v/>
      </c>
      <c r="AM359" s="26" t="str">
        <f t="shared" si="18"/>
        <v/>
      </c>
      <c r="AN359" s="26" t="str">
        <f>IF(B359="","",IF('Lighting Inventory'!AV367="","Prescribed",'Lighting Inventory'!AV367))</f>
        <v/>
      </c>
      <c r="AO359" s="66" t="str">
        <f>IF(B359="", "", 'Lighting Inventory'!AX367)</f>
        <v/>
      </c>
      <c r="AP359" s="67" t="str">
        <f>IF(B359="", "", 'Lighting Inventory'!AZ367)</f>
        <v/>
      </c>
      <c r="AQ359" s="67" t="str">
        <f>IF(B359="", "", 'Lighting Inventory'!BA367)</f>
        <v/>
      </c>
      <c r="AR359" s="67" t="str">
        <f>IF(B359="", "", 'Lighting Inventory'!BB367)</f>
        <v/>
      </c>
      <c r="AS359" s="67" t="str">
        <f>IF(B359="", "", 'Lighting Inventory'!BC367)</f>
        <v/>
      </c>
      <c r="AT359" s="67" t="str">
        <f>IF(B359="", "", 'Lighting Inventory'!BD367)</f>
        <v/>
      </c>
      <c r="AU359" s="67" t="str">
        <f>IF(B359="", "", 'Lighting Inventory'!BE367)</f>
        <v/>
      </c>
      <c r="AV359" s="67" t="str">
        <f>IF(B359="", "", 'Lighting Inventory'!BE367)</f>
        <v/>
      </c>
      <c r="AW359" s="67" t="str">
        <f>IF(B359="", "", 'Lighting Inventory'!BF367)</f>
        <v/>
      </c>
      <c r="AX359" s="67" t="str">
        <f>IF(B359="", "", 'Lighting Inventory'!BF367)</f>
        <v/>
      </c>
      <c r="AY359" s="65" t="str">
        <f t="shared" si="19"/>
        <v/>
      </c>
      <c r="AZ359" s="65" t="str">
        <f>IF(B359="", "", 'Lighting Inventory'!BJ367)</f>
        <v/>
      </c>
      <c r="BA359" s="65" t="str">
        <f>IF(B359="", "", 'Lighting Inventory'!BM367)</f>
        <v/>
      </c>
      <c r="BB359" s="65" t="str">
        <f>IF(B359="","",SUM('Lighting Inventory'!BP367:BP367))</f>
        <v/>
      </c>
      <c r="BC359" s="67" t="str">
        <f>IF(OR(AE359="", B359=""),"", 'Lighting Inventory'!GR367)</f>
        <v/>
      </c>
      <c r="BD359" s="67" t="str">
        <f>IFERROR(IF(B359="", "", 'Lighting Inventory'!AF367)*AD359," ")</f>
        <v xml:space="preserve"> </v>
      </c>
      <c r="BE359" s="67"/>
      <c r="BF359" s="67"/>
    </row>
    <row r="360" spans="1:58" x14ac:dyDescent="0.25">
      <c r="A360" s="26" t="str">
        <f>IF(B360="", "", 'Lookup Tables'!AW361)</f>
        <v/>
      </c>
      <c r="B360" s="26" t="str">
        <f>IF(OR('Lighting Inventory'!Y368="", 'Lighting Inventory'!V368="No Change"),"", 'Lighting Inventory'!Y368)</f>
        <v/>
      </c>
      <c r="C360" s="26" t="str">
        <f>IF(B360="", "", IF('Lighting Inventory'!Y368='Lookup Tables'!$Y$32, 'Lighting Inventory'!AJ368, IF(AD360=0, R360, AD360)))</f>
        <v/>
      </c>
      <c r="D360" s="26" t="str">
        <f>IF(B360="", "", 'General Information'!$F$14)</f>
        <v/>
      </c>
      <c r="E360" s="26" t="str">
        <f t="shared" si="17"/>
        <v/>
      </c>
      <c r="F360" s="26" t="str">
        <f>IF(B360="", "", CONCATENATE('General Information'!$F$9, " - ", 'General Information'!$F$14))</f>
        <v/>
      </c>
      <c r="G360" s="26" t="str">
        <f>IF(B360="", "", 'General Information'!$F$15)</f>
        <v/>
      </c>
      <c r="H360" s="26" t="str">
        <f>IF(B360="", "", IF(VLOOKUP(B360, 'Lookup Tables'!$Y$18:$AA$34, 2, FALSE)="Traffic", VLOOKUP('Lighting Inventory'!W368, 'Lookup Tables'!#REF!, 11, FALSE), VLOOKUP(B360, 'Lookup Tables'!$Y$18:$AA$34, 2, FALSE)))</f>
        <v/>
      </c>
      <c r="I360" s="26" t="str">
        <f>IF(B360="", "", CONCATENATE(D360, 'Data Export'!A360))</f>
        <v/>
      </c>
      <c r="J360" s="26" t="str">
        <f>IF(B360="", "", 'Lookup Tables'!$B$1)</f>
        <v/>
      </c>
      <c r="K360" s="26" t="str">
        <f>IF(B360="", "", 'Lighting Inventory'!B368)</f>
        <v/>
      </c>
      <c r="L360" s="26" t="str">
        <f>IF(B360="", "", 'Lighting Inventory'!C368)</f>
        <v/>
      </c>
      <c r="M360" s="26" t="str">
        <f>IF(B360="", "",'Lighting Inventory'!D368)</f>
        <v/>
      </c>
      <c r="N360" s="26" t="str">
        <f>IF(B360="", "",'Lighting Inventory'!E368)</f>
        <v/>
      </c>
      <c r="O360" s="26" t="str">
        <f>IF(B360="", "", 'Lighting Inventory'!F368)</f>
        <v/>
      </c>
      <c r="P360" s="26" t="str">
        <f>IF(B360="", "", 'Lighting Inventory'!G368)</f>
        <v/>
      </c>
      <c r="Q360" s="26" t="str">
        <f>IF(B360="", "", 'Lighting Inventory'!H368)</f>
        <v/>
      </c>
      <c r="R360" s="26" t="str">
        <f>IF(B360="", "", 'Lighting Inventory'!I368)</f>
        <v/>
      </c>
      <c r="S360" s="26" t="str">
        <f>IF(B360="", "", 'Lighting Inventory'!J368)</f>
        <v/>
      </c>
      <c r="T360" s="26" t="str">
        <f>IFERROR(IF(B360="","",VLOOKUP(S360,'Fixture Identities'!$A$7:$G$1023,5,FALSE)), "New Construction")</f>
        <v/>
      </c>
      <c r="U360" s="26" t="str">
        <f>IFERROR(IF(B360="", "", IF(K360="New Construction", "NC", IF(VLOOKUP(S360, 'Fixture Identities'!$A$7:$I$1023,3, FALSE)="T12 Linear Fluorescent", VLOOKUP(S360, 'Fixture Identities'!$A$7:$K$1012, 11, FALSE), S360))), "")</f>
        <v/>
      </c>
      <c r="V360" s="26" t="str">
        <f>IFERROR(IF(OR(B360="", U360=0), "", VLOOKUP(U360, 'Fixture Identities'!$A$7:$G$1023, 5, FALSE)), "")</f>
        <v/>
      </c>
      <c r="W360" s="26" t="str">
        <f>IF(B360="", "",'Lighting Inventory'!K368)</f>
        <v/>
      </c>
      <c r="X360" s="65" t="str">
        <f>IF(B360="", "", 'Lighting Inventory'!L368)</f>
        <v/>
      </c>
      <c r="Y360" s="26" t="str">
        <f>IF(B360="", "", IF('Lighting Inventory'!M368="", "Light Switch",'Lighting Inventory'!M368))</f>
        <v/>
      </c>
      <c r="Z360" s="26" t="str">
        <f>IF(OR(K360="Retrofit", B360=""), "", 'Lighting Inventory'!N368)</f>
        <v/>
      </c>
      <c r="AA360" s="26" t="str">
        <f>IF(OR(Z360="",B360=""), "", 'Lighting Inventory'!O368)</f>
        <v/>
      </c>
      <c r="AB360" s="26" t="str">
        <f>IF(B360="", "", 'Lighting Inventory'!P368)</f>
        <v/>
      </c>
      <c r="AC360" s="96" t="str">
        <f>IF(B360="", "", 'Lighting Inventory'!R368)</f>
        <v/>
      </c>
      <c r="AD360" s="26" t="str">
        <f>IF(B360="", "", 'Lighting Inventory'!S368)</f>
        <v/>
      </c>
      <c r="AE360" s="26" t="str">
        <f>IF(B360="", "", 'Lighting Inventory'!V368)</f>
        <v/>
      </c>
      <c r="AF360" s="26" t="str">
        <f>IF(B360="", "", 'Lighting Inventory'!W368)</f>
        <v/>
      </c>
      <c r="AG360" s="26" t="str">
        <f>IF(OR(AF360="", B360=""), "", IF(AE360="Custom", "0", VLOOKUP(AF360, 'Lookup Tables'!$AI$6:$AP$102, 8, FALSE)))</f>
        <v/>
      </c>
      <c r="AH360" s="26" t="str">
        <f>IF(B360="", "", 'Lighting Inventory'!AD368)</f>
        <v/>
      </c>
      <c r="AI360" s="26" t="str">
        <f>IF(OR('Lighting Inventory'!AK368="", B360=""), "", 'Lighting Inventory'!AK368)</f>
        <v/>
      </c>
      <c r="AJ360" s="66" t="str">
        <f>IF(B360="", "", 'Lighting Inventory'!AL368)</f>
        <v/>
      </c>
      <c r="AK360" s="65" t="str">
        <f>IF(B360="", "", 'Lighting Inventory'!AM368)</f>
        <v/>
      </c>
      <c r="AL360" s="26" t="str">
        <f>IF(B360="", "", 'Lighting Inventory'!AN368)</f>
        <v/>
      </c>
      <c r="AM360" s="26" t="str">
        <f t="shared" si="18"/>
        <v/>
      </c>
      <c r="AN360" s="26" t="str">
        <f>IF(B360="","",IF('Lighting Inventory'!AV368="","Prescribed",'Lighting Inventory'!AV368))</f>
        <v/>
      </c>
      <c r="AO360" s="66" t="str">
        <f>IF(B360="", "", 'Lighting Inventory'!AX368)</f>
        <v/>
      </c>
      <c r="AP360" s="67" t="str">
        <f>IF(B360="", "", 'Lighting Inventory'!AZ368)</f>
        <v/>
      </c>
      <c r="AQ360" s="67" t="str">
        <f>IF(B360="", "", 'Lighting Inventory'!BA368)</f>
        <v/>
      </c>
      <c r="AR360" s="67" t="str">
        <f>IF(B360="", "", 'Lighting Inventory'!BB368)</f>
        <v/>
      </c>
      <c r="AS360" s="67" t="str">
        <f>IF(B360="", "", 'Lighting Inventory'!BC368)</f>
        <v/>
      </c>
      <c r="AT360" s="67" t="str">
        <f>IF(B360="", "", 'Lighting Inventory'!BD368)</f>
        <v/>
      </c>
      <c r="AU360" s="67" t="str">
        <f>IF(B360="", "", 'Lighting Inventory'!BE368)</f>
        <v/>
      </c>
      <c r="AV360" s="67" t="str">
        <f>IF(B360="", "", 'Lighting Inventory'!BE368)</f>
        <v/>
      </c>
      <c r="AW360" s="67" t="str">
        <f>IF(B360="", "", 'Lighting Inventory'!BF368)</f>
        <v/>
      </c>
      <c r="AX360" s="67" t="str">
        <f>IF(B360="", "", 'Lighting Inventory'!BF368)</f>
        <v/>
      </c>
      <c r="AY360" s="65" t="str">
        <f t="shared" si="19"/>
        <v/>
      </c>
      <c r="AZ360" s="65" t="str">
        <f>IF(B360="", "", 'Lighting Inventory'!BJ368)</f>
        <v/>
      </c>
      <c r="BA360" s="65" t="str">
        <f>IF(B360="", "", 'Lighting Inventory'!BM368)</f>
        <v/>
      </c>
      <c r="BB360" s="65" t="str">
        <f>IF(B360="","",SUM('Lighting Inventory'!BP368:BP368))</f>
        <v/>
      </c>
      <c r="BC360" s="67" t="str">
        <f>IF(OR(AE360="", B360=""),"", 'Lighting Inventory'!GR368)</f>
        <v/>
      </c>
      <c r="BD360" s="67" t="str">
        <f>IFERROR(IF(B360="", "", 'Lighting Inventory'!AF368)*AD360," ")</f>
        <v xml:space="preserve"> </v>
      </c>
      <c r="BE360" s="67"/>
      <c r="BF360" s="67"/>
    </row>
    <row r="361" spans="1:58" x14ac:dyDescent="0.25">
      <c r="A361" s="26" t="str">
        <f>IF(B361="", "", 'Lookup Tables'!AW362)</f>
        <v/>
      </c>
      <c r="B361" s="26" t="str">
        <f>IF(OR('Lighting Inventory'!Y369="", 'Lighting Inventory'!V369="No Change"),"", 'Lighting Inventory'!Y369)</f>
        <v/>
      </c>
      <c r="C361" s="26" t="str">
        <f>IF(B361="", "", IF('Lighting Inventory'!Y369='Lookup Tables'!$Y$32, 'Lighting Inventory'!AJ369, IF(AD361=0, R361, AD361)))</f>
        <v/>
      </c>
      <c r="D361" s="26" t="str">
        <f>IF(B361="", "", 'General Information'!$F$14)</f>
        <v/>
      </c>
      <c r="E361" s="26" t="str">
        <f t="shared" si="17"/>
        <v/>
      </c>
      <c r="F361" s="26" t="str">
        <f>IF(B361="", "", CONCATENATE('General Information'!$F$9, " - ", 'General Information'!$F$14))</f>
        <v/>
      </c>
      <c r="G361" s="26" t="str">
        <f>IF(B361="", "", 'General Information'!$F$15)</f>
        <v/>
      </c>
      <c r="H361" s="26" t="str">
        <f>IF(B361="", "", IF(VLOOKUP(B361, 'Lookup Tables'!$Y$18:$AA$34, 2, FALSE)="Traffic", VLOOKUP('Lighting Inventory'!W369, 'Lookup Tables'!#REF!, 11, FALSE), VLOOKUP(B361, 'Lookup Tables'!$Y$18:$AA$34, 2, FALSE)))</f>
        <v/>
      </c>
      <c r="I361" s="26" t="str">
        <f>IF(B361="", "", CONCATENATE(D361, 'Data Export'!A361))</f>
        <v/>
      </c>
      <c r="J361" s="26" t="str">
        <f>IF(B361="", "", 'Lookup Tables'!$B$1)</f>
        <v/>
      </c>
      <c r="K361" s="26" t="str">
        <f>IF(B361="", "", 'Lighting Inventory'!B369)</f>
        <v/>
      </c>
      <c r="L361" s="26" t="str">
        <f>IF(B361="", "", 'Lighting Inventory'!C369)</f>
        <v/>
      </c>
      <c r="M361" s="26" t="str">
        <f>IF(B361="", "",'Lighting Inventory'!D369)</f>
        <v/>
      </c>
      <c r="N361" s="26" t="str">
        <f>IF(B361="", "",'Lighting Inventory'!E369)</f>
        <v/>
      </c>
      <c r="O361" s="26" t="str">
        <f>IF(B361="", "", 'Lighting Inventory'!F369)</f>
        <v/>
      </c>
      <c r="P361" s="26" t="str">
        <f>IF(B361="", "", 'Lighting Inventory'!G369)</f>
        <v/>
      </c>
      <c r="Q361" s="26" t="str">
        <f>IF(B361="", "", 'Lighting Inventory'!H369)</f>
        <v/>
      </c>
      <c r="R361" s="26" t="str">
        <f>IF(B361="", "", 'Lighting Inventory'!I369)</f>
        <v/>
      </c>
      <c r="S361" s="26" t="str">
        <f>IF(B361="", "", 'Lighting Inventory'!J369)</f>
        <v/>
      </c>
      <c r="T361" s="26" t="str">
        <f>IFERROR(IF(B361="","",VLOOKUP(S361,'Fixture Identities'!$A$7:$G$1023,5,FALSE)), "New Construction")</f>
        <v/>
      </c>
      <c r="U361" s="26" t="str">
        <f>IFERROR(IF(B361="", "", IF(K361="New Construction", "NC", IF(VLOOKUP(S361, 'Fixture Identities'!$A$7:$I$1023,3, FALSE)="T12 Linear Fluorescent", VLOOKUP(S361, 'Fixture Identities'!$A$7:$K$1012, 11, FALSE), S361))), "")</f>
        <v/>
      </c>
      <c r="V361" s="26" t="str">
        <f>IFERROR(IF(OR(B361="", U361=0), "", VLOOKUP(U361, 'Fixture Identities'!$A$7:$G$1023, 5, FALSE)), "")</f>
        <v/>
      </c>
      <c r="W361" s="26" t="str">
        <f>IF(B361="", "",'Lighting Inventory'!K369)</f>
        <v/>
      </c>
      <c r="X361" s="65" t="str">
        <f>IF(B361="", "", 'Lighting Inventory'!L369)</f>
        <v/>
      </c>
      <c r="Y361" s="26" t="str">
        <f>IF(B361="", "", IF('Lighting Inventory'!M369="", "Light Switch",'Lighting Inventory'!M369))</f>
        <v/>
      </c>
      <c r="Z361" s="26" t="str">
        <f>IF(OR(K361="Retrofit", B361=""), "", 'Lighting Inventory'!N369)</f>
        <v/>
      </c>
      <c r="AA361" s="26" t="str">
        <f>IF(OR(Z361="",B361=""), "", 'Lighting Inventory'!O369)</f>
        <v/>
      </c>
      <c r="AB361" s="26" t="str">
        <f>IF(B361="", "", 'Lighting Inventory'!P369)</f>
        <v/>
      </c>
      <c r="AC361" s="96" t="str">
        <f>IF(B361="", "", 'Lighting Inventory'!R369)</f>
        <v/>
      </c>
      <c r="AD361" s="26" t="str">
        <f>IF(B361="", "", 'Lighting Inventory'!S369)</f>
        <v/>
      </c>
      <c r="AE361" s="26" t="str">
        <f>IF(B361="", "", 'Lighting Inventory'!V369)</f>
        <v/>
      </c>
      <c r="AF361" s="26" t="str">
        <f>IF(B361="", "", 'Lighting Inventory'!W369)</f>
        <v/>
      </c>
      <c r="AG361" s="26" t="str">
        <f>IF(OR(AF361="", B361=""), "", IF(AE361="Custom", "0", VLOOKUP(AF361, 'Lookup Tables'!$AI$6:$AP$102, 8, FALSE)))</f>
        <v/>
      </c>
      <c r="AH361" s="26" t="str">
        <f>IF(B361="", "", 'Lighting Inventory'!AD369)</f>
        <v/>
      </c>
      <c r="AI361" s="26" t="str">
        <f>IF(OR('Lighting Inventory'!AK369="", B361=""), "", 'Lighting Inventory'!AK369)</f>
        <v/>
      </c>
      <c r="AJ361" s="66" t="str">
        <f>IF(B361="", "", 'Lighting Inventory'!AL369)</f>
        <v/>
      </c>
      <c r="AK361" s="65" t="str">
        <f>IF(B361="", "", 'Lighting Inventory'!AM369)</f>
        <v/>
      </c>
      <c r="AL361" s="26" t="str">
        <f>IF(B361="", "", 'Lighting Inventory'!AN369)</f>
        <v/>
      </c>
      <c r="AM361" s="26" t="str">
        <f t="shared" si="18"/>
        <v/>
      </c>
      <c r="AN361" s="26" t="str">
        <f>IF(B361="","",IF('Lighting Inventory'!AV369="","Prescribed",'Lighting Inventory'!AV369))</f>
        <v/>
      </c>
      <c r="AO361" s="66" t="str">
        <f>IF(B361="", "", 'Lighting Inventory'!AX369)</f>
        <v/>
      </c>
      <c r="AP361" s="67" t="str">
        <f>IF(B361="", "", 'Lighting Inventory'!AZ369)</f>
        <v/>
      </c>
      <c r="AQ361" s="67" t="str">
        <f>IF(B361="", "", 'Lighting Inventory'!BA369)</f>
        <v/>
      </c>
      <c r="AR361" s="67" t="str">
        <f>IF(B361="", "", 'Lighting Inventory'!BB369)</f>
        <v/>
      </c>
      <c r="AS361" s="67" t="str">
        <f>IF(B361="", "", 'Lighting Inventory'!BC369)</f>
        <v/>
      </c>
      <c r="AT361" s="67" t="str">
        <f>IF(B361="", "", 'Lighting Inventory'!BD369)</f>
        <v/>
      </c>
      <c r="AU361" s="67" t="str">
        <f>IF(B361="", "", 'Lighting Inventory'!BE369)</f>
        <v/>
      </c>
      <c r="AV361" s="67" t="str">
        <f>IF(B361="", "", 'Lighting Inventory'!BE369)</f>
        <v/>
      </c>
      <c r="AW361" s="67" t="str">
        <f>IF(B361="", "", 'Lighting Inventory'!BF369)</f>
        <v/>
      </c>
      <c r="AX361" s="67" t="str">
        <f>IF(B361="", "", 'Lighting Inventory'!BF369)</f>
        <v/>
      </c>
      <c r="AY361" s="65" t="str">
        <f t="shared" si="19"/>
        <v/>
      </c>
      <c r="AZ361" s="65" t="str">
        <f>IF(B361="", "", 'Lighting Inventory'!BJ369)</f>
        <v/>
      </c>
      <c r="BA361" s="65" t="str">
        <f>IF(B361="", "", 'Lighting Inventory'!BM369)</f>
        <v/>
      </c>
      <c r="BB361" s="65" t="str">
        <f>IF(B361="","",SUM('Lighting Inventory'!BP369:BP369))</f>
        <v/>
      </c>
      <c r="BC361" s="67" t="str">
        <f>IF(OR(AE361="", B361=""),"", 'Lighting Inventory'!GR369)</f>
        <v/>
      </c>
      <c r="BD361" s="67" t="str">
        <f>IFERROR(IF(B361="", "", 'Lighting Inventory'!AF369)*AD361," ")</f>
        <v xml:space="preserve"> </v>
      </c>
      <c r="BE361" s="67"/>
      <c r="BF361" s="67"/>
    </row>
    <row r="362" spans="1:58" x14ac:dyDescent="0.25">
      <c r="A362" s="26" t="str">
        <f>IF(B362="", "", 'Lookup Tables'!AW363)</f>
        <v/>
      </c>
      <c r="B362" s="26" t="str">
        <f>IF(OR('Lighting Inventory'!Y370="", 'Lighting Inventory'!V370="No Change"),"", 'Lighting Inventory'!Y370)</f>
        <v/>
      </c>
      <c r="C362" s="26" t="str">
        <f>IF(B362="", "", IF('Lighting Inventory'!Y370='Lookup Tables'!$Y$32, 'Lighting Inventory'!AJ370, IF(AD362=0, R362, AD362)))</f>
        <v/>
      </c>
      <c r="D362" s="26" t="str">
        <f>IF(B362="", "", 'General Information'!$F$14)</f>
        <v/>
      </c>
      <c r="E362" s="26" t="str">
        <f t="shared" si="17"/>
        <v/>
      </c>
      <c r="F362" s="26" t="str">
        <f>IF(B362="", "", CONCATENATE('General Information'!$F$9, " - ", 'General Information'!$F$14))</f>
        <v/>
      </c>
      <c r="G362" s="26" t="str">
        <f>IF(B362="", "", 'General Information'!$F$15)</f>
        <v/>
      </c>
      <c r="H362" s="26" t="str">
        <f>IF(B362="", "", IF(VLOOKUP(B362, 'Lookup Tables'!$Y$18:$AA$34, 2, FALSE)="Traffic", VLOOKUP('Lighting Inventory'!W370, 'Lookup Tables'!#REF!, 11, FALSE), VLOOKUP(B362, 'Lookup Tables'!$Y$18:$AA$34, 2, FALSE)))</f>
        <v/>
      </c>
      <c r="I362" s="26" t="str">
        <f>IF(B362="", "", CONCATENATE(D362, 'Data Export'!A362))</f>
        <v/>
      </c>
      <c r="J362" s="26" t="str">
        <f>IF(B362="", "", 'Lookup Tables'!$B$1)</f>
        <v/>
      </c>
      <c r="K362" s="26" t="str">
        <f>IF(B362="", "", 'Lighting Inventory'!B370)</f>
        <v/>
      </c>
      <c r="L362" s="26" t="str">
        <f>IF(B362="", "", 'Lighting Inventory'!C370)</f>
        <v/>
      </c>
      <c r="M362" s="26" t="str">
        <f>IF(B362="", "",'Lighting Inventory'!D370)</f>
        <v/>
      </c>
      <c r="N362" s="26" t="str">
        <f>IF(B362="", "",'Lighting Inventory'!E370)</f>
        <v/>
      </c>
      <c r="O362" s="26" t="str">
        <f>IF(B362="", "", 'Lighting Inventory'!F370)</f>
        <v/>
      </c>
      <c r="P362" s="26" t="str">
        <f>IF(B362="", "", 'Lighting Inventory'!G370)</f>
        <v/>
      </c>
      <c r="Q362" s="26" t="str">
        <f>IF(B362="", "", 'Lighting Inventory'!H370)</f>
        <v/>
      </c>
      <c r="R362" s="26" t="str">
        <f>IF(B362="", "", 'Lighting Inventory'!I370)</f>
        <v/>
      </c>
      <c r="S362" s="26" t="str">
        <f>IF(B362="", "", 'Lighting Inventory'!J370)</f>
        <v/>
      </c>
      <c r="T362" s="26" t="str">
        <f>IFERROR(IF(B362="","",VLOOKUP(S362,'Fixture Identities'!$A$7:$G$1023,5,FALSE)), "New Construction")</f>
        <v/>
      </c>
      <c r="U362" s="26" t="str">
        <f>IFERROR(IF(B362="", "", IF(K362="New Construction", "NC", IF(VLOOKUP(S362, 'Fixture Identities'!$A$7:$I$1023,3, FALSE)="T12 Linear Fluorescent", VLOOKUP(S362, 'Fixture Identities'!$A$7:$K$1012, 11, FALSE), S362))), "")</f>
        <v/>
      </c>
      <c r="V362" s="26" t="str">
        <f>IFERROR(IF(OR(B362="", U362=0), "", VLOOKUP(U362, 'Fixture Identities'!$A$7:$G$1023, 5, FALSE)), "")</f>
        <v/>
      </c>
      <c r="W362" s="26" t="str">
        <f>IF(B362="", "",'Lighting Inventory'!K370)</f>
        <v/>
      </c>
      <c r="X362" s="65" t="str">
        <f>IF(B362="", "", 'Lighting Inventory'!L370)</f>
        <v/>
      </c>
      <c r="Y362" s="26" t="str">
        <f>IF(B362="", "", IF('Lighting Inventory'!M370="", "Light Switch",'Lighting Inventory'!M370))</f>
        <v/>
      </c>
      <c r="Z362" s="26" t="str">
        <f>IF(OR(K362="Retrofit", B362=""), "", 'Lighting Inventory'!N370)</f>
        <v/>
      </c>
      <c r="AA362" s="26" t="str">
        <f>IF(OR(Z362="",B362=""), "", 'Lighting Inventory'!O370)</f>
        <v/>
      </c>
      <c r="AB362" s="26" t="str">
        <f>IF(B362="", "", 'Lighting Inventory'!P370)</f>
        <v/>
      </c>
      <c r="AC362" s="96" t="str">
        <f>IF(B362="", "", 'Lighting Inventory'!R370)</f>
        <v/>
      </c>
      <c r="AD362" s="26" t="str">
        <f>IF(B362="", "", 'Lighting Inventory'!S370)</f>
        <v/>
      </c>
      <c r="AE362" s="26" t="str">
        <f>IF(B362="", "", 'Lighting Inventory'!V370)</f>
        <v/>
      </c>
      <c r="AF362" s="26" t="str">
        <f>IF(B362="", "", 'Lighting Inventory'!W370)</f>
        <v/>
      </c>
      <c r="AG362" s="26" t="str">
        <f>IF(OR(AF362="", B362=""), "", IF(AE362="Custom", "0", VLOOKUP(AF362, 'Lookup Tables'!$AI$6:$AP$102, 8, FALSE)))</f>
        <v/>
      </c>
      <c r="AH362" s="26" t="str">
        <f>IF(B362="", "", 'Lighting Inventory'!AD370)</f>
        <v/>
      </c>
      <c r="AI362" s="26" t="str">
        <f>IF(OR('Lighting Inventory'!AK370="", B362=""), "", 'Lighting Inventory'!AK370)</f>
        <v/>
      </c>
      <c r="AJ362" s="66" t="str">
        <f>IF(B362="", "", 'Lighting Inventory'!AL370)</f>
        <v/>
      </c>
      <c r="AK362" s="65" t="str">
        <f>IF(B362="", "", 'Lighting Inventory'!AM370)</f>
        <v/>
      </c>
      <c r="AL362" s="26" t="str">
        <f>IF(B362="", "", 'Lighting Inventory'!AN370)</f>
        <v/>
      </c>
      <c r="AM362" s="26" t="str">
        <f t="shared" si="18"/>
        <v/>
      </c>
      <c r="AN362" s="26" t="str">
        <f>IF(B362="","",IF('Lighting Inventory'!AV370="","Prescribed",'Lighting Inventory'!AV370))</f>
        <v/>
      </c>
      <c r="AO362" s="66" t="str">
        <f>IF(B362="", "", 'Lighting Inventory'!AX370)</f>
        <v/>
      </c>
      <c r="AP362" s="67" t="str">
        <f>IF(B362="", "", 'Lighting Inventory'!AZ370)</f>
        <v/>
      </c>
      <c r="AQ362" s="67" t="str">
        <f>IF(B362="", "", 'Lighting Inventory'!BA370)</f>
        <v/>
      </c>
      <c r="AR362" s="67" t="str">
        <f>IF(B362="", "", 'Lighting Inventory'!BB370)</f>
        <v/>
      </c>
      <c r="AS362" s="67" t="str">
        <f>IF(B362="", "", 'Lighting Inventory'!BC370)</f>
        <v/>
      </c>
      <c r="AT362" s="67" t="str">
        <f>IF(B362="", "", 'Lighting Inventory'!BD370)</f>
        <v/>
      </c>
      <c r="AU362" s="67" t="str">
        <f>IF(B362="", "", 'Lighting Inventory'!BE370)</f>
        <v/>
      </c>
      <c r="AV362" s="67" t="str">
        <f>IF(B362="", "", 'Lighting Inventory'!BE370)</f>
        <v/>
      </c>
      <c r="AW362" s="67" t="str">
        <f>IF(B362="", "", 'Lighting Inventory'!BF370)</f>
        <v/>
      </c>
      <c r="AX362" s="67" t="str">
        <f>IF(B362="", "", 'Lighting Inventory'!BF370)</f>
        <v/>
      </c>
      <c r="AY362" s="65" t="str">
        <f t="shared" si="19"/>
        <v/>
      </c>
      <c r="AZ362" s="65" t="str">
        <f>IF(B362="", "", 'Lighting Inventory'!BJ370)</f>
        <v/>
      </c>
      <c r="BA362" s="65" t="str">
        <f>IF(B362="", "", 'Lighting Inventory'!BM370)</f>
        <v/>
      </c>
      <c r="BB362" s="65" t="str">
        <f>IF(B362="","",SUM('Lighting Inventory'!BP370:BP370))</f>
        <v/>
      </c>
      <c r="BC362" s="67" t="str">
        <f>IF(OR(AE362="", B362=""),"", 'Lighting Inventory'!GR370)</f>
        <v/>
      </c>
      <c r="BD362" s="67" t="str">
        <f>IFERROR(IF(B362="", "", 'Lighting Inventory'!AF370)*AD362," ")</f>
        <v xml:space="preserve"> </v>
      </c>
      <c r="BE362" s="67"/>
      <c r="BF362" s="67"/>
    </row>
    <row r="363" spans="1:58" x14ac:dyDescent="0.25">
      <c r="A363" s="26" t="str">
        <f>IF(B363="", "", 'Lookup Tables'!AW364)</f>
        <v/>
      </c>
      <c r="B363" s="26" t="str">
        <f>IF(OR('Lighting Inventory'!Y371="", 'Lighting Inventory'!V371="No Change"),"", 'Lighting Inventory'!Y371)</f>
        <v/>
      </c>
      <c r="C363" s="26" t="str">
        <f>IF(B363="", "", IF('Lighting Inventory'!Y371='Lookup Tables'!$Y$32, 'Lighting Inventory'!AJ371, IF(AD363=0, R363, AD363)))</f>
        <v/>
      </c>
      <c r="D363" s="26" t="str">
        <f>IF(B363="", "", 'General Information'!$F$14)</f>
        <v/>
      </c>
      <c r="E363" s="26" t="str">
        <f t="shared" si="17"/>
        <v/>
      </c>
      <c r="F363" s="26" t="str">
        <f>IF(B363="", "", CONCATENATE('General Information'!$F$9, " - ", 'General Information'!$F$14))</f>
        <v/>
      </c>
      <c r="G363" s="26" t="str">
        <f>IF(B363="", "", 'General Information'!$F$15)</f>
        <v/>
      </c>
      <c r="H363" s="26" t="str">
        <f>IF(B363="", "", IF(VLOOKUP(B363, 'Lookup Tables'!$Y$18:$AA$34, 2, FALSE)="Traffic", VLOOKUP('Lighting Inventory'!W371, 'Lookup Tables'!#REF!, 11, FALSE), VLOOKUP(B363, 'Lookup Tables'!$Y$18:$AA$34, 2, FALSE)))</f>
        <v/>
      </c>
      <c r="I363" s="26" t="str">
        <f>IF(B363="", "", CONCATENATE(D363, 'Data Export'!A363))</f>
        <v/>
      </c>
      <c r="J363" s="26" t="str">
        <f>IF(B363="", "", 'Lookup Tables'!$B$1)</f>
        <v/>
      </c>
      <c r="K363" s="26" t="str">
        <f>IF(B363="", "", 'Lighting Inventory'!B371)</f>
        <v/>
      </c>
      <c r="L363" s="26" t="str">
        <f>IF(B363="", "", 'Lighting Inventory'!C371)</f>
        <v/>
      </c>
      <c r="M363" s="26" t="str">
        <f>IF(B363="", "",'Lighting Inventory'!D371)</f>
        <v/>
      </c>
      <c r="N363" s="26" t="str">
        <f>IF(B363="", "",'Lighting Inventory'!E371)</f>
        <v/>
      </c>
      <c r="O363" s="26" t="str">
        <f>IF(B363="", "", 'Lighting Inventory'!F371)</f>
        <v/>
      </c>
      <c r="P363" s="26" t="str">
        <f>IF(B363="", "", 'Lighting Inventory'!G371)</f>
        <v/>
      </c>
      <c r="Q363" s="26" t="str">
        <f>IF(B363="", "", 'Lighting Inventory'!H371)</f>
        <v/>
      </c>
      <c r="R363" s="26" t="str">
        <f>IF(B363="", "", 'Lighting Inventory'!I371)</f>
        <v/>
      </c>
      <c r="S363" s="26" t="str">
        <f>IF(B363="", "", 'Lighting Inventory'!J371)</f>
        <v/>
      </c>
      <c r="T363" s="26" t="str">
        <f>IFERROR(IF(B363="","",VLOOKUP(S363,'Fixture Identities'!$A$7:$G$1023,5,FALSE)), "New Construction")</f>
        <v/>
      </c>
      <c r="U363" s="26" t="str">
        <f>IFERROR(IF(B363="", "", IF(K363="New Construction", "NC", IF(VLOOKUP(S363, 'Fixture Identities'!$A$7:$I$1023,3, FALSE)="T12 Linear Fluorescent", VLOOKUP(S363, 'Fixture Identities'!$A$7:$K$1012, 11, FALSE), S363))), "")</f>
        <v/>
      </c>
      <c r="V363" s="26" t="str">
        <f>IFERROR(IF(OR(B363="", U363=0), "", VLOOKUP(U363, 'Fixture Identities'!$A$7:$G$1023, 5, FALSE)), "")</f>
        <v/>
      </c>
      <c r="W363" s="26" t="str">
        <f>IF(B363="", "",'Lighting Inventory'!K371)</f>
        <v/>
      </c>
      <c r="X363" s="65" t="str">
        <f>IF(B363="", "", 'Lighting Inventory'!L371)</f>
        <v/>
      </c>
      <c r="Y363" s="26" t="str">
        <f>IF(B363="", "", IF('Lighting Inventory'!M371="", "Light Switch",'Lighting Inventory'!M371))</f>
        <v/>
      </c>
      <c r="Z363" s="26" t="str">
        <f>IF(OR(K363="Retrofit", B363=""), "", 'Lighting Inventory'!N371)</f>
        <v/>
      </c>
      <c r="AA363" s="26" t="str">
        <f>IF(OR(Z363="",B363=""), "", 'Lighting Inventory'!O371)</f>
        <v/>
      </c>
      <c r="AB363" s="26" t="str">
        <f>IF(B363="", "", 'Lighting Inventory'!P371)</f>
        <v/>
      </c>
      <c r="AC363" s="96" t="str">
        <f>IF(B363="", "", 'Lighting Inventory'!R371)</f>
        <v/>
      </c>
      <c r="AD363" s="26" t="str">
        <f>IF(B363="", "", 'Lighting Inventory'!S371)</f>
        <v/>
      </c>
      <c r="AE363" s="26" t="str">
        <f>IF(B363="", "", 'Lighting Inventory'!V371)</f>
        <v/>
      </c>
      <c r="AF363" s="26" t="str">
        <f>IF(B363="", "", 'Lighting Inventory'!W371)</f>
        <v/>
      </c>
      <c r="AG363" s="26" t="str">
        <f>IF(OR(AF363="", B363=""), "", IF(AE363="Custom", "0", VLOOKUP(AF363, 'Lookup Tables'!$AI$6:$AP$102, 8, FALSE)))</f>
        <v/>
      </c>
      <c r="AH363" s="26" t="str">
        <f>IF(B363="", "", 'Lighting Inventory'!AD371)</f>
        <v/>
      </c>
      <c r="AI363" s="26" t="str">
        <f>IF(OR('Lighting Inventory'!AK371="", B363=""), "", 'Lighting Inventory'!AK371)</f>
        <v/>
      </c>
      <c r="AJ363" s="66" t="str">
        <f>IF(B363="", "", 'Lighting Inventory'!AL371)</f>
        <v/>
      </c>
      <c r="AK363" s="65" t="str">
        <f>IF(B363="", "", 'Lighting Inventory'!AM371)</f>
        <v/>
      </c>
      <c r="AL363" s="26" t="str">
        <f>IF(B363="", "", 'Lighting Inventory'!AN371)</f>
        <v/>
      </c>
      <c r="AM363" s="26" t="str">
        <f t="shared" si="18"/>
        <v/>
      </c>
      <c r="AN363" s="26" t="str">
        <f>IF(B363="","",IF('Lighting Inventory'!AV371="","Prescribed",'Lighting Inventory'!AV371))</f>
        <v/>
      </c>
      <c r="AO363" s="66" t="str">
        <f>IF(B363="", "", 'Lighting Inventory'!AX371)</f>
        <v/>
      </c>
      <c r="AP363" s="67" t="str">
        <f>IF(B363="", "", 'Lighting Inventory'!AZ371)</f>
        <v/>
      </c>
      <c r="AQ363" s="67" t="str">
        <f>IF(B363="", "", 'Lighting Inventory'!BA371)</f>
        <v/>
      </c>
      <c r="AR363" s="67" t="str">
        <f>IF(B363="", "", 'Lighting Inventory'!BB371)</f>
        <v/>
      </c>
      <c r="AS363" s="67" t="str">
        <f>IF(B363="", "", 'Lighting Inventory'!BC371)</f>
        <v/>
      </c>
      <c r="AT363" s="67" t="str">
        <f>IF(B363="", "", 'Lighting Inventory'!BD371)</f>
        <v/>
      </c>
      <c r="AU363" s="67" t="str">
        <f>IF(B363="", "", 'Lighting Inventory'!BE371)</f>
        <v/>
      </c>
      <c r="AV363" s="67" t="str">
        <f>IF(B363="", "", 'Lighting Inventory'!BE371)</f>
        <v/>
      </c>
      <c r="AW363" s="67" t="str">
        <f>IF(B363="", "", 'Lighting Inventory'!BF371)</f>
        <v/>
      </c>
      <c r="AX363" s="67" t="str">
        <f>IF(B363="", "", 'Lighting Inventory'!BF371)</f>
        <v/>
      </c>
      <c r="AY363" s="65" t="str">
        <f t="shared" si="19"/>
        <v/>
      </c>
      <c r="AZ363" s="65" t="str">
        <f>IF(B363="", "", 'Lighting Inventory'!BJ371)</f>
        <v/>
      </c>
      <c r="BA363" s="65" t="str">
        <f>IF(B363="", "", 'Lighting Inventory'!BM371)</f>
        <v/>
      </c>
      <c r="BB363" s="65" t="str">
        <f>IF(B363="","",SUM('Lighting Inventory'!BP371:BP371))</f>
        <v/>
      </c>
      <c r="BC363" s="67" t="str">
        <f>IF(OR(AE363="", B363=""),"", 'Lighting Inventory'!GR371)</f>
        <v/>
      </c>
      <c r="BD363" s="67" t="str">
        <f>IFERROR(IF(B363="", "", 'Lighting Inventory'!AF371)*AD363," ")</f>
        <v xml:space="preserve"> </v>
      </c>
      <c r="BE363" s="67"/>
      <c r="BF363" s="67"/>
    </row>
    <row r="364" spans="1:58" x14ac:dyDescent="0.25">
      <c r="A364" s="26" t="str">
        <f>IF(B364="", "", 'Lookup Tables'!AW365)</f>
        <v/>
      </c>
      <c r="B364" s="26" t="str">
        <f>IF(OR('Lighting Inventory'!Y372="", 'Lighting Inventory'!V372="No Change"),"", 'Lighting Inventory'!Y372)</f>
        <v/>
      </c>
      <c r="C364" s="26" t="str">
        <f>IF(B364="", "", IF('Lighting Inventory'!Y372='Lookup Tables'!$Y$32, 'Lighting Inventory'!AJ372, IF(AD364=0, R364, AD364)))</f>
        <v/>
      </c>
      <c r="D364" s="26" t="str">
        <f>IF(B364="", "", 'General Information'!$F$14)</f>
        <v/>
      </c>
      <c r="E364" s="26" t="str">
        <f t="shared" si="17"/>
        <v/>
      </c>
      <c r="F364" s="26" t="str">
        <f>IF(B364="", "", CONCATENATE('General Information'!$F$9, " - ", 'General Information'!$F$14))</f>
        <v/>
      </c>
      <c r="G364" s="26" t="str">
        <f>IF(B364="", "", 'General Information'!$F$15)</f>
        <v/>
      </c>
      <c r="H364" s="26" t="str">
        <f>IF(B364="", "", IF(VLOOKUP(B364, 'Lookup Tables'!$Y$18:$AA$34, 2, FALSE)="Traffic", VLOOKUP('Lighting Inventory'!W372, 'Lookup Tables'!#REF!, 11, FALSE), VLOOKUP(B364, 'Lookup Tables'!$Y$18:$AA$34, 2, FALSE)))</f>
        <v/>
      </c>
      <c r="I364" s="26" t="str">
        <f>IF(B364="", "", CONCATENATE(D364, 'Data Export'!A364))</f>
        <v/>
      </c>
      <c r="J364" s="26" t="str">
        <f>IF(B364="", "", 'Lookup Tables'!$B$1)</f>
        <v/>
      </c>
      <c r="K364" s="26" t="str">
        <f>IF(B364="", "", 'Lighting Inventory'!B372)</f>
        <v/>
      </c>
      <c r="L364" s="26" t="str">
        <f>IF(B364="", "", 'Lighting Inventory'!C372)</f>
        <v/>
      </c>
      <c r="M364" s="26" t="str">
        <f>IF(B364="", "",'Lighting Inventory'!D372)</f>
        <v/>
      </c>
      <c r="N364" s="26" t="str">
        <f>IF(B364="", "",'Lighting Inventory'!E372)</f>
        <v/>
      </c>
      <c r="O364" s="26" t="str">
        <f>IF(B364="", "", 'Lighting Inventory'!F372)</f>
        <v/>
      </c>
      <c r="P364" s="26" t="str">
        <f>IF(B364="", "", 'Lighting Inventory'!G372)</f>
        <v/>
      </c>
      <c r="Q364" s="26" t="str">
        <f>IF(B364="", "", 'Lighting Inventory'!H372)</f>
        <v/>
      </c>
      <c r="R364" s="26" t="str">
        <f>IF(B364="", "", 'Lighting Inventory'!I372)</f>
        <v/>
      </c>
      <c r="S364" s="26" t="str">
        <f>IF(B364="", "", 'Lighting Inventory'!J372)</f>
        <v/>
      </c>
      <c r="T364" s="26" t="str">
        <f>IFERROR(IF(B364="","",VLOOKUP(S364,'Fixture Identities'!$A$7:$G$1023,5,FALSE)), "New Construction")</f>
        <v/>
      </c>
      <c r="U364" s="26" t="str">
        <f>IFERROR(IF(B364="", "", IF(K364="New Construction", "NC", IF(VLOOKUP(S364, 'Fixture Identities'!$A$7:$I$1023,3, FALSE)="T12 Linear Fluorescent", VLOOKUP(S364, 'Fixture Identities'!$A$7:$K$1012, 11, FALSE), S364))), "")</f>
        <v/>
      </c>
      <c r="V364" s="26" t="str">
        <f>IFERROR(IF(OR(B364="", U364=0), "", VLOOKUP(U364, 'Fixture Identities'!$A$7:$G$1023, 5, FALSE)), "")</f>
        <v/>
      </c>
      <c r="W364" s="26" t="str">
        <f>IF(B364="", "",'Lighting Inventory'!K372)</f>
        <v/>
      </c>
      <c r="X364" s="65" t="str">
        <f>IF(B364="", "", 'Lighting Inventory'!L372)</f>
        <v/>
      </c>
      <c r="Y364" s="26" t="str">
        <f>IF(B364="", "", IF('Lighting Inventory'!M372="", "Light Switch",'Lighting Inventory'!M372))</f>
        <v/>
      </c>
      <c r="Z364" s="26" t="str">
        <f>IF(OR(K364="Retrofit", B364=""), "", 'Lighting Inventory'!N372)</f>
        <v/>
      </c>
      <c r="AA364" s="26" t="str">
        <f>IF(OR(Z364="",B364=""), "", 'Lighting Inventory'!O372)</f>
        <v/>
      </c>
      <c r="AB364" s="26" t="str">
        <f>IF(B364="", "", 'Lighting Inventory'!P372)</f>
        <v/>
      </c>
      <c r="AC364" s="96" t="str">
        <f>IF(B364="", "", 'Lighting Inventory'!R372)</f>
        <v/>
      </c>
      <c r="AD364" s="26" t="str">
        <f>IF(B364="", "", 'Lighting Inventory'!S372)</f>
        <v/>
      </c>
      <c r="AE364" s="26" t="str">
        <f>IF(B364="", "", 'Lighting Inventory'!V372)</f>
        <v/>
      </c>
      <c r="AF364" s="26" t="str">
        <f>IF(B364="", "", 'Lighting Inventory'!W372)</f>
        <v/>
      </c>
      <c r="AG364" s="26" t="str">
        <f>IF(OR(AF364="", B364=""), "", IF(AE364="Custom", "0", VLOOKUP(AF364, 'Lookup Tables'!$AI$6:$AP$102, 8, FALSE)))</f>
        <v/>
      </c>
      <c r="AH364" s="26" t="str">
        <f>IF(B364="", "", 'Lighting Inventory'!AD372)</f>
        <v/>
      </c>
      <c r="AI364" s="26" t="str">
        <f>IF(OR('Lighting Inventory'!AK372="", B364=""), "", 'Lighting Inventory'!AK372)</f>
        <v/>
      </c>
      <c r="AJ364" s="66" t="str">
        <f>IF(B364="", "", 'Lighting Inventory'!AL372)</f>
        <v/>
      </c>
      <c r="AK364" s="65" t="str">
        <f>IF(B364="", "", 'Lighting Inventory'!AM372)</f>
        <v/>
      </c>
      <c r="AL364" s="26" t="str">
        <f>IF(B364="", "", 'Lighting Inventory'!AN372)</f>
        <v/>
      </c>
      <c r="AM364" s="26" t="str">
        <f t="shared" si="18"/>
        <v/>
      </c>
      <c r="AN364" s="26" t="str">
        <f>IF(B364="","",IF('Lighting Inventory'!AV372="","Prescribed",'Lighting Inventory'!AV372))</f>
        <v/>
      </c>
      <c r="AO364" s="66" t="str">
        <f>IF(B364="", "", 'Lighting Inventory'!AX372)</f>
        <v/>
      </c>
      <c r="AP364" s="67" t="str">
        <f>IF(B364="", "", 'Lighting Inventory'!AZ372)</f>
        <v/>
      </c>
      <c r="AQ364" s="67" t="str">
        <f>IF(B364="", "", 'Lighting Inventory'!BA372)</f>
        <v/>
      </c>
      <c r="AR364" s="67" t="str">
        <f>IF(B364="", "", 'Lighting Inventory'!BB372)</f>
        <v/>
      </c>
      <c r="AS364" s="67" t="str">
        <f>IF(B364="", "", 'Lighting Inventory'!BC372)</f>
        <v/>
      </c>
      <c r="AT364" s="67" t="str">
        <f>IF(B364="", "", 'Lighting Inventory'!BD372)</f>
        <v/>
      </c>
      <c r="AU364" s="67" t="str">
        <f>IF(B364="", "", 'Lighting Inventory'!BE372)</f>
        <v/>
      </c>
      <c r="AV364" s="67" t="str">
        <f>IF(B364="", "", 'Lighting Inventory'!BE372)</f>
        <v/>
      </c>
      <c r="AW364" s="67" t="str">
        <f>IF(B364="", "", 'Lighting Inventory'!BF372)</f>
        <v/>
      </c>
      <c r="AX364" s="67" t="str">
        <f>IF(B364="", "", 'Lighting Inventory'!BF372)</f>
        <v/>
      </c>
      <c r="AY364" s="65" t="str">
        <f t="shared" si="19"/>
        <v/>
      </c>
      <c r="AZ364" s="65" t="str">
        <f>IF(B364="", "", 'Lighting Inventory'!BJ372)</f>
        <v/>
      </c>
      <c r="BA364" s="65" t="str">
        <f>IF(B364="", "", 'Lighting Inventory'!BM372)</f>
        <v/>
      </c>
      <c r="BB364" s="65" t="str">
        <f>IF(B364="","",SUM('Lighting Inventory'!BP372:BP372))</f>
        <v/>
      </c>
      <c r="BC364" s="67" t="str">
        <f>IF(OR(AE364="", B364=""),"", 'Lighting Inventory'!GR372)</f>
        <v/>
      </c>
      <c r="BD364" s="67" t="str">
        <f>IFERROR(IF(B364="", "", 'Lighting Inventory'!AF372)*AD364," ")</f>
        <v xml:space="preserve"> </v>
      </c>
      <c r="BE364" s="67"/>
      <c r="BF364" s="67"/>
    </row>
    <row r="365" spans="1:58" x14ac:dyDescent="0.25">
      <c r="A365" s="26" t="str">
        <f>IF(B365="", "", 'Lookup Tables'!AW366)</f>
        <v/>
      </c>
      <c r="B365" s="26" t="str">
        <f>IF(OR('Lighting Inventory'!Y373="", 'Lighting Inventory'!V373="No Change"),"", 'Lighting Inventory'!Y373)</f>
        <v/>
      </c>
      <c r="C365" s="26" t="str">
        <f>IF(B365="", "", IF('Lighting Inventory'!Y373='Lookup Tables'!$Y$32, 'Lighting Inventory'!AJ373, IF(AD365=0, R365, AD365)))</f>
        <v/>
      </c>
      <c r="D365" s="26" t="str">
        <f>IF(B365="", "", 'General Information'!$F$14)</f>
        <v/>
      </c>
      <c r="E365" s="26" t="str">
        <f t="shared" si="17"/>
        <v/>
      </c>
      <c r="F365" s="26" t="str">
        <f>IF(B365="", "", CONCATENATE('General Information'!$F$9, " - ", 'General Information'!$F$14))</f>
        <v/>
      </c>
      <c r="G365" s="26" t="str">
        <f>IF(B365="", "", 'General Information'!$F$15)</f>
        <v/>
      </c>
      <c r="H365" s="26" t="str">
        <f>IF(B365="", "", IF(VLOOKUP(B365, 'Lookup Tables'!$Y$18:$AA$34, 2, FALSE)="Traffic", VLOOKUP('Lighting Inventory'!W373, 'Lookup Tables'!#REF!, 11, FALSE), VLOOKUP(B365, 'Lookup Tables'!$Y$18:$AA$34, 2, FALSE)))</f>
        <v/>
      </c>
      <c r="I365" s="26" t="str">
        <f>IF(B365="", "", CONCATENATE(D365, 'Data Export'!A365))</f>
        <v/>
      </c>
      <c r="J365" s="26" t="str">
        <f>IF(B365="", "", 'Lookup Tables'!$B$1)</f>
        <v/>
      </c>
      <c r="K365" s="26" t="str">
        <f>IF(B365="", "", 'Lighting Inventory'!B373)</f>
        <v/>
      </c>
      <c r="L365" s="26" t="str">
        <f>IF(B365="", "", 'Lighting Inventory'!C373)</f>
        <v/>
      </c>
      <c r="M365" s="26" t="str">
        <f>IF(B365="", "",'Lighting Inventory'!D373)</f>
        <v/>
      </c>
      <c r="N365" s="26" t="str">
        <f>IF(B365="", "",'Lighting Inventory'!E373)</f>
        <v/>
      </c>
      <c r="O365" s="26" t="str">
        <f>IF(B365="", "", 'Lighting Inventory'!F373)</f>
        <v/>
      </c>
      <c r="P365" s="26" t="str">
        <f>IF(B365="", "", 'Lighting Inventory'!G373)</f>
        <v/>
      </c>
      <c r="Q365" s="26" t="str">
        <f>IF(B365="", "", 'Lighting Inventory'!H373)</f>
        <v/>
      </c>
      <c r="R365" s="26" t="str">
        <f>IF(B365="", "", 'Lighting Inventory'!I373)</f>
        <v/>
      </c>
      <c r="S365" s="26" t="str">
        <f>IF(B365="", "", 'Lighting Inventory'!J373)</f>
        <v/>
      </c>
      <c r="T365" s="26" t="str">
        <f>IFERROR(IF(B365="","",VLOOKUP(S365,'Fixture Identities'!$A$7:$G$1023,5,FALSE)), "New Construction")</f>
        <v/>
      </c>
      <c r="U365" s="26" t="str">
        <f>IFERROR(IF(B365="", "", IF(K365="New Construction", "NC", IF(VLOOKUP(S365, 'Fixture Identities'!$A$7:$I$1023,3, FALSE)="T12 Linear Fluorescent", VLOOKUP(S365, 'Fixture Identities'!$A$7:$K$1012, 11, FALSE), S365))), "")</f>
        <v/>
      </c>
      <c r="V365" s="26" t="str">
        <f>IFERROR(IF(OR(B365="", U365=0), "", VLOOKUP(U365, 'Fixture Identities'!$A$7:$G$1023, 5, FALSE)), "")</f>
        <v/>
      </c>
      <c r="W365" s="26" t="str">
        <f>IF(B365="", "",'Lighting Inventory'!K373)</f>
        <v/>
      </c>
      <c r="X365" s="65" t="str">
        <f>IF(B365="", "", 'Lighting Inventory'!L373)</f>
        <v/>
      </c>
      <c r="Y365" s="26" t="str">
        <f>IF(B365="", "", IF('Lighting Inventory'!M373="", "Light Switch",'Lighting Inventory'!M373))</f>
        <v/>
      </c>
      <c r="Z365" s="26" t="str">
        <f>IF(OR(K365="Retrofit", B365=""), "", 'Lighting Inventory'!N373)</f>
        <v/>
      </c>
      <c r="AA365" s="26" t="str">
        <f>IF(OR(Z365="",B365=""), "", 'Lighting Inventory'!O373)</f>
        <v/>
      </c>
      <c r="AB365" s="26" t="str">
        <f>IF(B365="", "", 'Lighting Inventory'!P373)</f>
        <v/>
      </c>
      <c r="AC365" s="96" t="str">
        <f>IF(B365="", "", 'Lighting Inventory'!R373)</f>
        <v/>
      </c>
      <c r="AD365" s="26" t="str">
        <f>IF(B365="", "", 'Lighting Inventory'!S373)</f>
        <v/>
      </c>
      <c r="AE365" s="26" t="str">
        <f>IF(B365="", "", 'Lighting Inventory'!V373)</f>
        <v/>
      </c>
      <c r="AF365" s="26" t="str">
        <f>IF(B365="", "", 'Lighting Inventory'!W373)</f>
        <v/>
      </c>
      <c r="AG365" s="26" t="str">
        <f>IF(OR(AF365="", B365=""), "", IF(AE365="Custom", "0", VLOOKUP(AF365, 'Lookup Tables'!$AI$6:$AP$102, 8, FALSE)))</f>
        <v/>
      </c>
      <c r="AH365" s="26" t="str">
        <f>IF(B365="", "", 'Lighting Inventory'!AD373)</f>
        <v/>
      </c>
      <c r="AI365" s="26" t="str">
        <f>IF(OR('Lighting Inventory'!AK373="", B365=""), "", 'Lighting Inventory'!AK373)</f>
        <v/>
      </c>
      <c r="AJ365" s="66" t="str">
        <f>IF(B365="", "", 'Lighting Inventory'!AL373)</f>
        <v/>
      </c>
      <c r="AK365" s="65" t="str">
        <f>IF(B365="", "", 'Lighting Inventory'!AM373)</f>
        <v/>
      </c>
      <c r="AL365" s="26" t="str">
        <f>IF(B365="", "", 'Lighting Inventory'!AN373)</f>
        <v/>
      </c>
      <c r="AM365" s="26" t="str">
        <f t="shared" si="18"/>
        <v/>
      </c>
      <c r="AN365" s="26" t="str">
        <f>IF(B365="","",IF('Lighting Inventory'!AV373="","Prescribed",'Lighting Inventory'!AV373))</f>
        <v/>
      </c>
      <c r="AO365" s="66" t="str">
        <f>IF(B365="", "", 'Lighting Inventory'!AX373)</f>
        <v/>
      </c>
      <c r="AP365" s="67" t="str">
        <f>IF(B365="", "", 'Lighting Inventory'!AZ373)</f>
        <v/>
      </c>
      <c r="AQ365" s="67" t="str">
        <f>IF(B365="", "", 'Lighting Inventory'!BA373)</f>
        <v/>
      </c>
      <c r="AR365" s="67" t="str">
        <f>IF(B365="", "", 'Lighting Inventory'!BB373)</f>
        <v/>
      </c>
      <c r="AS365" s="67" t="str">
        <f>IF(B365="", "", 'Lighting Inventory'!BC373)</f>
        <v/>
      </c>
      <c r="AT365" s="67" t="str">
        <f>IF(B365="", "", 'Lighting Inventory'!BD373)</f>
        <v/>
      </c>
      <c r="AU365" s="67" t="str">
        <f>IF(B365="", "", 'Lighting Inventory'!BE373)</f>
        <v/>
      </c>
      <c r="AV365" s="67" t="str">
        <f>IF(B365="", "", 'Lighting Inventory'!BE373)</f>
        <v/>
      </c>
      <c r="AW365" s="67" t="str">
        <f>IF(B365="", "", 'Lighting Inventory'!BF373)</f>
        <v/>
      </c>
      <c r="AX365" s="67" t="str">
        <f>IF(B365="", "", 'Lighting Inventory'!BF373)</f>
        <v/>
      </c>
      <c r="AY365" s="65" t="str">
        <f t="shared" si="19"/>
        <v/>
      </c>
      <c r="AZ365" s="65" t="str">
        <f>IF(B365="", "", 'Lighting Inventory'!BJ373)</f>
        <v/>
      </c>
      <c r="BA365" s="65" t="str">
        <f>IF(B365="", "", 'Lighting Inventory'!BM373)</f>
        <v/>
      </c>
      <c r="BB365" s="65" t="str">
        <f>IF(B365="","",SUM('Lighting Inventory'!BP373:BP373))</f>
        <v/>
      </c>
      <c r="BC365" s="67" t="str">
        <f>IF(OR(AE365="", B365=""),"", 'Lighting Inventory'!GR373)</f>
        <v/>
      </c>
      <c r="BD365" s="67" t="str">
        <f>IFERROR(IF(B365="", "", 'Lighting Inventory'!AF373)*AD365," ")</f>
        <v xml:space="preserve"> </v>
      </c>
      <c r="BE365" s="67"/>
      <c r="BF365" s="67"/>
    </row>
    <row r="366" spans="1:58" x14ac:dyDescent="0.25">
      <c r="A366" s="26" t="str">
        <f>IF(B366="", "", 'Lookup Tables'!AW367)</f>
        <v/>
      </c>
      <c r="B366" s="26" t="str">
        <f>IF(OR('Lighting Inventory'!Y374="", 'Lighting Inventory'!V374="No Change"),"", 'Lighting Inventory'!Y374)</f>
        <v/>
      </c>
      <c r="C366" s="26" t="str">
        <f>IF(B366="", "", IF('Lighting Inventory'!Y374='Lookup Tables'!$Y$32, 'Lighting Inventory'!AJ374, IF(AD366=0, R366, AD366)))</f>
        <v/>
      </c>
      <c r="D366" s="26" t="str">
        <f>IF(B366="", "", 'General Information'!$F$14)</f>
        <v/>
      </c>
      <c r="E366" s="26" t="str">
        <f t="shared" si="17"/>
        <v/>
      </c>
      <c r="F366" s="26" t="str">
        <f>IF(B366="", "", CONCATENATE('General Information'!$F$9, " - ", 'General Information'!$F$14))</f>
        <v/>
      </c>
      <c r="G366" s="26" t="str">
        <f>IF(B366="", "", 'General Information'!$F$15)</f>
        <v/>
      </c>
      <c r="H366" s="26" t="str">
        <f>IF(B366="", "", IF(VLOOKUP(B366, 'Lookup Tables'!$Y$18:$AA$34, 2, FALSE)="Traffic", VLOOKUP('Lighting Inventory'!W374, 'Lookup Tables'!#REF!, 11, FALSE), VLOOKUP(B366, 'Lookup Tables'!$Y$18:$AA$34, 2, FALSE)))</f>
        <v/>
      </c>
      <c r="I366" s="26" t="str">
        <f>IF(B366="", "", CONCATENATE(D366, 'Data Export'!A366))</f>
        <v/>
      </c>
      <c r="J366" s="26" t="str">
        <f>IF(B366="", "", 'Lookup Tables'!$B$1)</f>
        <v/>
      </c>
      <c r="K366" s="26" t="str">
        <f>IF(B366="", "", 'Lighting Inventory'!B374)</f>
        <v/>
      </c>
      <c r="L366" s="26" t="str">
        <f>IF(B366="", "", 'Lighting Inventory'!C374)</f>
        <v/>
      </c>
      <c r="M366" s="26" t="str">
        <f>IF(B366="", "",'Lighting Inventory'!D374)</f>
        <v/>
      </c>
      <c r="N366" s="26" t="str">
        <f>IF(B366="", "",'Lighting Inventory'!E374)</f>
        <v/>
      </c>
      <c r="O366" s="26" t="str">
        <f>IF(B366="", "", 'Lighting Inventory'!F374)</f>
        <v/>
      </c>
      <c r="P366" s="26" t="str">
        <f>IF(B366="", "", 'Lighting Inventory'!G374)</f>
        <v/>
      </c>
      <c r="Q366" s="26" t="str">
        <f>IF(B366="", "", 'Lighting Inventory'!H374)</f>
        <v/>
      </c>
      <c r="R366" s="26" t="str">
        <f>IF(B366="", "", 'Lighting Inventory'!I374)</f>
        <v/>
      </c>
      <c r="S366" s="26" t="str">
        <f>IF(B366="", "", 'Lighting Inventory'!J374)</f>
        <v/>
      </c>
      <c r="T366" s="26" t="str">
        <f>IFERROR(IF(B366="","",VLOOKUP(S366,'Fixture Identities'!$A$7:$G$1023,5,FALSE)), "New Construction")</f>
        <v/>
      </c>
      <c r="U366" s="26" t="str">
        <f>IFERROR(IF(B366="", "", IF(K366="New Construction", "NC", IF(VLOOKUP(S366, 'Fixture Identities'!$A$7:$I$1023,3, FALSE)="T12 Linear Fluorescent", VLOOKUP(S366, 'Fixture Identities'!$A$7:$K$1012, 11, FALSE), S366))), "")</f>
        <v/>
      </c>
      <c r="V366" s="26" t="str">
        <f>IFERROR(IF(OR(B366="", U366=0), "", VLOOKUP(U366, 'Fixture Identities'!$A$7:$G$1023, 5, FALSE)), "")</f>
        <v/>
      </c>
      <c r="W366" s="26" t="str">
        <f>IF(B366="", "",'Lighting Inventory'!K374)</f>
        <v/>
      </c>
      <c r="X366" s="65" t="str">
        <f>IF(B366="", "", 'Lighting Inventory'!L374)</f>
        <v/>
      </c>
      <c r="Y366" s="26" t="str">
        <f>IF(B366="", "", IF('Lighting Inventory'!M374="", "Light Switch",'Lighting Inventory'!M374))</f>
        <v/>
      </c>
      <c r="Z366" s="26" t="str">
        <f>IF(OR(K366="Retrofit", B366=""), "", 'Lighting Inventory'!N374)</f>
        <v/>
      </c>
      <c r="AA366" s="26" t="str">
        <f>IF(OR(Z366="",B366=""), "", 'Lighting Inventory'!O374)</f>
        <v/>
      </c>
      <c r="AB366" s="26" t="str">
        <f>IF(B366="", "", 'Lighting Inventory'!P374)</f>
        <v/>
      </c>
      <c r="AC366" s="96" t="str">
        <f>IF(B366="", "", 'Lighting Inventory'!R374)</f>
        <v/>
      </c>
      <c r="AD366" s="26" t="str">
        <f>IF(B366="", "", 'Lighting Inventory'!S374)</f>
        <v/>
      </c>
      <c r="AE366" s="26" t="str">
        <f>IF(B366="", "", 'Lighting Inventory'!V374)</f>
        <v/>
      </c>
      <c r="AF366" s="26" t="str">
        <f>IF(B366="", "", 'Lighting Inventory'!W374)</f>
        <v/>
      </c>
      <c r="AG366" s="26" t="str">
        <f>IF(OR(AF366="", B366=""), "", IF(AE366="Custom", "0", VLOOKUP(AF366, 'Lookup Tables'!$AI$6:$AP$102, 8, FALSE)))</f>
        <v/>
      </c>
      <c r="AH366" s="26" t="str">
        <f>IF(B366="", "", 'Lighting Inventory'!AD374)</f>
        <v/>
      </c>
      <c r="AI366" s="26" t="str">
        <f>IF(OR('Lighting Inventory'!AK374="", B366=""), "", 'Lighting Inventory'!AK374)</f>
        <v/>
      </c>
      <c r="AJ366" s="66" t="str">
        <f>IF(B366="", "", 'Lighting Inventory'!AL374)</f>
        <v/>
      </c>
      <c r="AK366" s="65" t="str">
        <f>IF(B366="", "", 'Lighting Inventory'!AM374)</f>
        <v/>
      </c>
      <c r="AL366" s="26" t="str">
        <f>IF(B366="", "", 'Lighting Inventory'!AN374)</f>
        <v/>
      </c>
      <c r="AM366" s="26" t="str">
        <f t="shared" si="18"/>
        <v/>
      </c>
      <c r="AN366" s="26" t="str">
        <f>IF(B366="","",IF('Lighting Inventory'!AV374="","Prescribed",'Lighting Inventory'!AV374))</f>
        <v/>
      </c>
      <c r="AO366" s="66" t="str">
        <f>IF(B366="", "", 'Lighting Inventory'!AX374)</f>
        <v/>
      </c>
      <c r="AP366" s="67" t="str">
        <f>IF(B366="", "", 'Lighting Inventory'!AZ374)</f>
        <v/>
      </c>
      <c r="AQ366" s="67" t="str">
        <f>IF(B366="", "", 'Lighting Inventory'!BA374)</f>
        <v/>
      </c>
      <c r="AR366" s="67" t="str">
        <f>IF(B366="", "", 'Lighting Inventory'!BB374)</f>
        <v/>
      </c>
      <c r="AS366" s="67" t="str">
        <f>IF(B366="", "", 'Lighting Inventory'!BC374)</f>
        <v/>
      </c>
      <c r="AT366" s="67" t="str">
        <f>IF(B366="", "", 'Lighting Inventory'!BD374)</f>
        <v/>
      </c>
      <c r="AU366" s="67" t="str">
        <f>IF(B366="", "", 'Lighting Inventory'!BE374)</f>
        <v/>
      </c>
      <c r="AV366" s="67" t="str">
        <f>IF(B366="", "", 'Lighting Inventory'!BE374)</f>
        <v/>
      </c>
      <c r="AW366" s="67" t="str">
        <f>IF(B366="", "", 'Lighting Inventory'!BF374)</f>
        <v/>
      </c>
      <c r="AX366" s="67" t="str">
        <f>IF(B366="", "", 'Lighting Inventory'!BF374)</f>
        <v/>
      </c>
      <c r="AY366" s="65" t="str">
        <f t="shared" si="19"/>
        <v/>
      </c>
      <c r="AZ366" s="65" t="str">
        <f>IF(B366="", "", 'Lighting Inventory'!BJ374)</f>
        <v/>
      </c>
      <c r="BA366" s="65" t="str">
        <f>IF(B366="", "", 'Lighting Inventory'!BM374)</f>
        <v/>
      </c>
      <c r="BB366" s="65" t="str">
        <f>IF(B366="","",SUM('Lighting Inventory'!BP374:BP374))</f>
        <v/>
      </c>
      <c r="BC366" s="67" t="str">
        <f>IF(OR(AE366="", B366=""),"", 'Lighting Inventory'!GR374)</f>
        <v/>
      </c>
      <c r="BD366" s="67" t="str">
        <f>IFERROR(IF(B366="", "", 'Lighting Inventory'!AF374)*AD366," ")</f>
        <v xml:space="preserve"> </v>
      </c>
      <c r="BE366" s="67"/>
      <c r="BF366" s="67"/>
    </row>
    <row r="367" spans="1:58" x14ac:dyDescent="0.25">
      <c r="A367" s="26" t="str">
        <f>IF(B367="", "", 'Lookup Tables'!AW368)</f>
        <v/>
      </c>
      <c r="B367" s="26" t="str">
        <f>IF(OR('Lighting Inventory'!Y375="", 'Lighting Inventory'!V375="No Change"),"", 'Lighting Inventory'!Y375)</f>
        <v/>
      </c>
      <c r="C367" s="26" t="str">
        <f>IF(B367="", "", IF('Lighting Inventory'!Y375='Lookup Tables'!$Y$32, 'Lighting Inventory'!AJ375, IF(AD367=0, R367, AD367)))</f>
        <v/>
      </c>
      <c r="D367" s="26" t="str">
        <f>IF(B367="", "", 'General Information'!$F$14)</f>
        <v/>
      </c>
      <c r="E367" s="26" t="str">
        <f t="shared" si="17"/>
        <v/>
      </c>
      <c r="F367" s="26" t="str">
        <f>IF(B367="", "", CONCATENATE('General Information'!$F$9, " - ", 'General Information'!$F$14))</f>
        <v/>
      </c>
      <c r="G367" s="26" t="str">
        <f>IF(B367="", "", 'General Information'!$F$15)</f>
        <v/>
      </c>
      <c r="H367" s="26" t="str">
        <f>IF(B367="", "", IF(VLOOKUP(B367, 'Lookup Tables'!$Y$18:$AA$34, 2, FALSE)="Traffic", VLOOKUP('Lighting Inventory'!W375, 'Lookup Tables'!#REF!, 11, FALSE), VLOOKUP(B367, 'Lookup Tables'!$Y$18:$AA$34, 2, FALSE)))</f>
        <v/>
      </c>
      <c r="I367" s="26" t="str">
        <f>IF(B367="", "", CONCATENATE(D367, 'Data Export'!A367))</f>
        <v/>
      </c>
      <c r="J367" s="26" t="str">
        <f>IF(B367="", "", 'Lookup Tables'!$B$1)</f>
        <v/>
      </c>
      <c r="K367" s="26" t="str">
        <f>IF(B367="", "", 'Lighting Inventory'!B375)</f>
        <v/>
      </c>
      <c r="L367" s="26" t="str">
        <f>IF(B367="", "", 'Lighting Inventory'!C375)</f>
        <v/>
      </c>
      <c r="M367" s="26" t="str">
        <f>IF(B367="", "",'Lighting Inventory'!D375)</f>
        <v/>
      </c>
      <c r="N367" s="26" t="str">
        <f>IF(B367="", "",'Lighting Inventory'!E375)</f>
        <v/>
      </c>
      <c r="O367" s="26" t="str">
        <f>IF(B367="", "", 'Lighting Inventory'!F375)</f>
        <v/>
      </c>
      <c r="P367" s="26" t="str">
        <f>IF(B367="", "", 'Lighting Inventory'!G375)</f>
        <v/>
      </c>
      <c r="Q367" s="26" t="str">
        <f>IF(B367="", "", 'Lighting Inventory'!H375)</f>
        <v/>
      </c>
      <c r="R367" s="26" t="str">
        <f>IF(B367="", "", 'Lighting Inventory'!I375)</f>
        <v/>
      </c>
      <c r="S367" s="26" t="str">
        <f>IF(B367="", "", 'Lighting Inventory'!J375)</f>
        <v/>
      </c>
      <c r="T367" s="26" t="str">
        <f>IFERROR(IF(B367="","",VLOOKUP(S367,'Fixture Identities'!$A$7:$G$1023,5,FALSE)), "New Construction")</f>
        <v/>
      </c>
      <c r="U367" s="26" t="str">
        <f>IFERROR(IF(B367="", "", IF(K367="New Construction", "NC", IF(VLOOKUP(S367, 'Fixture Identities'!$A$7:$I$1023,3, FALSE)="T12 Linear Fluorescent", VLOOKUP(S367, 'Fixture Identities'!$A$7:$K$1012, 11, FALSE), S367))), "")</f>
        <v/>
      </c>
      <c r="V367" s="26" t="str">
        <f>IFERROR(IF(OR(B367="", U367=0), "", VLOOKUP(U367, 'Fixture Identities'!$A$7:$G$1023, 5, FALSE)), "")</f>
        <v/>
      </c>
      <c r="W367" s="26" t="str">
        <f>IF(B367="", "",'Lighting Inventory'!K375)</f>
        <v/>
      </c>
      <c r="X367" s="65" t="str">
        <f>IF(B367="", "", 'Lighting Inventory'!L375)</f>
        <v/>
      </c>
      <c r="Y367" s="26" t="str">
        <f>IF(B367="", "", IF('Lighting Inventory'!M375="", "Light Switch",'Lighting Inventory'!M375))</f>
        <v/>
      </c>
      <c r="Z367" s="26" t="str">
        <f>IF(OR(K367="Retrofit", B367=""), "", 'Lighting Inventory'!N375)</f>
        <v/>
      </c>
      <c r="AA367" s="26" t="str">
        <f>IF(OR(Z367="",B367=""), "", 'Lighting Inventory'!O375)</f>
        <v/>
      </c>
      <c r="AB367" s="26" t="str">
        <f>IF(B367="", "", 'Lighting Inventory'!P375)</f>
        <v/>
      </c>
      <c r="AC367" s="96" t="str">
        <f>IF(B367="", "", 'Lighting Inventory'!R375)</f>
        <v/>
      </c>
      <c r="AD367" s="26" t="str">
        <f>IF(B367="", "", 'Lighting Inventory'!S375)</f>
        <v/>
      </c>
      <c r="AE367" s="26" t="str">
        <f>IF(B367="", "", 'Lighting Inventory'!V375)</f>
        <v/>
      </c>
      <c r="AF367" s="26" t="str">
        <f>IF(B367="", "", 'Lighting Inventory'!W375)</f>
        <v/>
      </c>
      <c r="AG367" s="26" t="str">
        <f>IF(OR(AF367="", B367=""), "", IF(AE367="Custom", "0", VLOOKUP(AF367, 'Lookup Tables'!$AI$6:$AP$102, 8, FALSE)))</f>
        <v/>
      </c>
      <c r="AH367" s="26" t="str">
        <f>IF(B367="", "", 'Lighting Inventory'!AD375)</f>
        <v/>
      </c>
      <c r="AI367" s="26" t="str">
        <f>IF(OR('Lighting Inventory'!AK375="", B367=""), "", 'Lighting Inventory'!AK375)</f>
        <v/>
      </c>
      <c r="AJ367" s="66" t="str">
        <f>IF(B367="", "", 'Lighting Inventory'!AL375)</f>
        <v/>
      </c>
      <c r="AK367" s="65" t="str">
        <f>IF(B367="", "", 'Lighting Inventory'!AM375)</f>
        <v/>
      </c>
      <c r="AL367" s="26" t="str">
        <f>IF(B367="", "", 'Lighting Inventory'!AN375)</f>
        <v/>
      </c>
      <c r="AM367" s="26" t="str">
        <f t="shared" si="18"/>
        <v/>
      </c>
      <c r="AN367" s="26" t="str">
        <f>IF(B367="","",IF('Lighting Inventory'!AV375="","Prescribed",'Lighting Inventory'!AV375))</f>
        <v/>
      </c>
      <c r="AO367" s="66" t="str">
        <f>IF(B367="", "", 'Lighting Inventory'!AX375)</f>
        <v/>
      </c>
      <c r="AP367" s="67" t="str">
        <f>IF(B367="", "", 'Lighting Inventory'!AZ375)</f>
        <v/>
      </c>
      <c r="AQ367" s="67" t="str">
        <f>IF(B367="", "", 'Lighting Inventory'!BA375)</f>
        <v/>
      </c>
      <c r="AR367" s="67" t="str">
        <f>IF(B367="", "", 'Lighting Inventory'!BB375)</f>
        <v/>
      </c>
      <c r="AS367" s="67" t="str">
        <f>IF(B367="", "", 'Lighting Inventory'!BC375)</f>
        <v/>
      </c>
      <c r="AT367" s="67" t="str">
        <f>IF(B367="", "", 'Lighting Inventory'!BD375)</f>
        <v/>
      </c>
      <c r="AU367" s="67" t="str">
        <f>IF(B367="", "", 'Lighting Inventory'!BE375)</f>
        <v/>
      </c>
      <c r="AV367" s="67" t="str">
        <f>IF(B367="", "", 'Lighting Inventory'!BE375)</f>
        <v/>
      </c>
      <c r="AW367" s="67" t="str">
        <f>IF(B367="", "", 'Lighting Inventory'!BF375)</f>
        <v/>
      </c>
      <c r="AX367" s="67" t="str">
        <f>IF(B367="", "", 'Lighting Inventory'!BF375)</f>
        <v/>
      </c>
      <c r="AY367" s="65" t="str">
        <f t="shared" si="19"/>
        <v/>
      </c>
      <c r="AZ367" s="65" t="str">
        <f>IF(B367="", "", 'Lighting Inventory'!BJ375)</f>
        <v/>
      </c>
      <c r="BA367" s="65" t="str">
        <f>IF(B367="", "", 'Lighting Inventory'!BM375)</f>
        <v/>
      </c>
      <c r="BB367" s="65" t="str">
        <f>IF(B367="","",SUM('Lighting Inventory'!BP375:BP375))</f>
        <v/>
      </c>
      <c r="BC367" s="67" t="str">
        <f>IF(OR(AE367="", B367=""),"", 'Lighting Inventory'!GR375)</f>
        <v/>
      </c>
      <c r="BD367" s="67" t="str">
        <f>IFERROR(IF(B367="", "", 'Lighting Inventory'!AF375)*AD367," ")</f>
        <v xml:space="preserve"> </v>
      </c>
      <c r="BE367" s="67"/>
      <c r="BF367" s="67"/>
    </row>
    <row r="368" spans="1:58" x14ac:dyDescent="0.25">
      <c r="A368" s="26" t="str">
        <f>IF(B368="", "", 'Lookup Tables'!AW369)</f>
        <v/>
      </c>
      <c r="B368" s="26" t="str">
        <f>IF(OR('Lighting Inventory'!Y376="", 'Lighting Inventory'!V376="No Change"),"", 'Lighting Inventory'!Y376)</f>
        <v/>
      </c>
      <c r="C368" s="26" t="str">
        <f>IF(B368="", "", IF('Lighting Inventory'!Y376='Lookup Tables'!$Y$32, 'Lighting Inventory'!AJ376, IF(AD368=0, R368, AD368)))</f>
        <v/>
      </c>
      <c r="D368" s="26" t="str">
        <f>IF(B368="", "", 'General Information'!$F$14)</f>
        <v/>
      </c>
      <c r="E368" s="26" t="str">
        <f t="shared" si="17"/>
        <v/>
      </c>
      <c r="F368" s="26" t="str">
        <f>IF(B368="", "", CONCATENATE('General Information'!$F$9, " - ", 'General Information'!$F$14))</f>
        <v/>
      </c>
      <c r="G368" s="26" t="str">
        <f>IF(B368="", "", 'General Information'!$F$15)</f>
        <v/>
      </c>
      <c r="H368" s="26" t="str">
        <f>IF(B368="", "", IF(VLOOKUP(B368, 'Lookup Tables'!$Y$18:$AA$34, 2, FALSE)="Traffic", VLOOKUP('Lighting Inventory'!W376, 'Lookup Tables'!#REF!, 11, FALSE), VLOOKUP(B368, 'Lookup Tables'!$Y$18:$AA$34, 2, FALSE)))</f>
        <v/>
      </c>
      <c r="I368" s="26" t="str">
        <f>IF(B368="", "", CONCATENATE(D368, 'Data Export'!A368))</f>
        <v/>
      </c>
      <c r="J368" s="26" t="str">
        <f>IF(B368="", "", 'Lookup Tables'!$B$1)</f>
        <v/>
      </c>
      <c r="K368" s="26" t="str">
        <f>IF(B368="", "", 'Lighting Inventory'!B376)</f>
        <v/>
      </c>
      <c r="L368" s="26" t="str">
        <f>IF(B368="", "", 'Lighting Inventory'!C376)</f>
        <v/>
      </c>
      <c r="M368" s="26" t="str">
        <f>IF(B368="", "",'Lighting Inventory'!D376)</f>
        <v/>
      </c>
      <c r="N368" s="26" t="str">
        <f>IF(B368="", "",'Lighting Inventory'!E376)</f>
        <v/>
      </c>
      <c r="O368" s="26" t="str">
        <f>IF(B368="", "", 'Lighting Inventory'!F376)</f>
        <v/>
      </c>
      <c r="P368" s="26" t="str">
        <f>IF(B368="", "", 'Lighting Inventory'!G376)</f>
        <v/>
      </c>
      <c r="Q368" s="26" t="str">
        <f>IF(B368="", "", 'Lighting Inventory'!H376)</f>
        <v/>
      </c>
      <c r="R368" s="26" t="str">
        <f>IF(B368="", "", 'Lighting Inventory'!I376)</f>
        <v/>
      </c>
      <c r="S368" s="26" t="str">
        <f>IF(B368="", "", 'Lighting Inventory'!J376)</f>
        <v/>
      </c>
      <c r="T368" s="26" t="str">
        <f>IFERROR(IF(B368="","",VLOOKUP(S368,'Fixture Identities'!$A$7:$G$1023,5,FALSE)), "New Construction")</f>
        <v/>
      </c>
      <c r="U368" s="26" t="str">
        <f>IFERROR(IF(B368="", "", IF(K368="New Construction", "NC", IF(VLOOKUP(S368, 'Fixture Identities'!$A$7:$I$1023,3, FALSE)="T12 Linear Fluorescent", VLOOKUP(S368, 'Fixture Identities'!$A$7:$K$1012, 11, FALSE), S368))), "")</f>
        <v/>
      </c>
      <c r="V368" s="26" t="str">
        <f>IFERROR(IF(OR(B368="", U368=0), "", VLOOKUP(U368, 'Fixture Identities'!$A$7:$G$1023, 5, FALSE)), "")</f>
        <v/>
      </c>
      <c r="W368" s="26" t="str">
        <f>IF(B368="", "",'Lighting Inventory'!K376)</f>
        <v/>
      </c>
      <c r="X368" s="65" t="str">
        <f>IF(B368="", "", 'Lighting Inventory'!L376)</f>
        <v/>
      </c>
      <c r="Y368" s="26" t="str">
        <f>IF(B368="", "", IF('Lighting Inventory'!M376="", "Light Switch",'Lighting Inventory'!M376))</f>
        <v/>
      </c>
      <c r="Z368" s="26" t="str">
        <f>IF(OR(K368="Retrofit", B368=""), "", 'Lighting Inventory'!N376)</f>
        <v/>
      </c>
      <c r="AA368" s="26" t="str">
        <f>IF(OR(Z368="",B368=""), "", 'Lighting Inventory'!O376)</f>
        <v/>
      </c>
      <c r="AB368" s="26" t="str">
        <f>IF(B368="", "", 'Lighting Inventory'!P376)</f>
        <v/>
      </c>
      <c r="AC368" s="96" t="str">
        <f>IF(B368="", "", 'Lighting Inventory'!R376)</f>
        <v/>
      </c>
      <c r="AD368" s="26" t="str">
        <f>IF(B368="", "", 'Lighting Inventory'!S376)</f>
        <v/>
      </c>
      <c r="AE368" s="26" t="str">
        <f>IF(B368="", "", 'Lighting Inventory'!V376)</f>
        <v/>
      </c>
      <c r="AF368" s="26" t="str">
        <f>IF(B368="", "", 'Lighting Inventory'!W376)</f>
        <v/>
      </c>
      <c r="AG368" s="26" t="str">
        <f>IF(OR(AF368="", B368=""), "", IF(AE368="Custom", "0", VLOOKUP(AF368, 'Lookup Tables'!$AI$6:$AP$102, 8, FALSE)))</f>
        <v/>
      </c>
      <c r="AH368" s="26" t="str">
        <f>IF(B368="", "", 'Lighting Inventory'!AD376)</f>
        <v/>
      </c>
      <c r="AI368" s="26" t="str">
        <f>IF(OR('Lighting Inventory'!AK376="", B368=""), "", 'Lighting Inventory'!AK376)</f>
        <v/>
      </c>
      <c r="AJ368" s="66" t="str">
        <f>IF(B368="", "", 'Lighting Inventory'!AL376)</f>
        <v/>
      </c>
      <c r="AK368" s="65" t="str">
        <f>IF(B368="", "", 'Lighting Inventory'!AM376)</f>
        <v/>
      </c>
      <c r="AL368" s="26" t="str">
        <f>IF(B368="", "", 'Lighting Inventory'!AN376)</f>
        <v/>
      </c>
      <c r="AM368" s="26" t="str">
        <f t="shared" si="18"/>
        <v/>
      </c>
      <c r="AN368" s="26" t="str">
        <f>IF(B368="","",IF('Lighting Inventory'!AV376="","Prescribed",'Lighting Inventory'!AV376))</f>
        <v/>
      </c>
      <c r="AO368" s="66" t="str">
        <f>IF(B368="", "", 'Lighting Inventory'!AX376)</f>
        <v/>
      </c>
      <c r="AP368" s="67" t="str">
        <f>IF(B368="", "", 'Lighting Inventory'!AZ376)</f>
        <v/>
      </c>
      <c r="AQ368" s="67" t="str">
        <f>IF(B368="", "", 'Lighting Inventory'!BA376)</f>
        <v/>
      </c>
      <c r="AR368" s="67" t="str">
        <f>IF(B368="", "", 'Lighting Inventory'!BB376)</f>
        <v/>
      </c>
      <c r="AS368" s="67" t="str">
        <f>IF(B368="", "", 'Lighting Inventory'!BC376)</f>
        <v/>
      </c>
      <c r="AT368" s="67" t="str">
        <f>IF(B368="", "", 'Lighting Inventory'!BD376)</f>
        <v/>
      </c>
      <c r="AU368" s="67" t="str">
        <f>IF(B368="", "", 'Lighting Inventory'!BE376)</f>
        <v/>
      </c>
      <c r="AV368" s="67" t="str">
        <f>IF(B368="", "", 'Lighting Inventory'!BE376)</f>
        <v/>
      </c>
      <c r="AW368" s="67" t="str">
        <f>IF(B368="", "", 'Lighting Inventory'!BF376)</f>
        <v/>
      </c>
      <c r="AX368" s="67" t="str">
        <f>IF(B368="", "", 'Lighting Inventory'!BF376)</f>
        <v/>
      </c>
      <c r="AY368" s="65" t="str">
        <f t="shared" si="19"/>
        <v/>
      </c>
      <c r="AZ368" s="65" t="str">
        <f>IF(B368="", "", 'Lighting Inventory'!BJ376)</f>
        <v/>
      </c>
      <c r="BA368" s="65" t="str">
        <f>IF(B368="", "", 'Lighting Inventory'!BM376)</f>
        <v/>
      </c>
      <c r="BB368" s="65" t="str">
        <f>IF(B368="","",SUM('Lighting Inventory'!BP376:BP376))</f>
        <v/>
      </c>
      <c r="BC368" s="67" t="str">
        <f>IF(OR(AE368="", B368=""),"", 'Lighting Inventory'!GR376)</f>
        <v/>
      </c>
      <c r="BD368" s="67" t="str">
        <f>IFERROR(IF(B368="", "", 'Lighting Inventory'!AF376)*AD368," ")</f>
        <v xml:space="preserve"> </v>
      </c>
      <c r="BE368" s="67"/>
      <c r="BF368" s="67"/>
    </row>
    <row r="369" spans="1:58" x14ac:dyDescent="0.25">
      <c r="A369" s="26" t="str">
        <f>IF(B369="", "", 'Lookup Tables'!AW370)</f>
        <v/>
      </c>
      <c r="B369" s="26" t="str">
        <f>IF(OR('Lighting Inventory'!Y377="", 'Lighting Inventory'!V377="No Change"),"", 'Lighting Inventory'!Y377)</f>
        <v/>
      </c>
      <c r="C369" s="26" t="str">
        <f>IF(B369="", "", IF('Lighting Inventory'!Y377='Lookup Tables'!$Y$32, 'Lighting Inventory'!AJ377, IF(AD369=0, R369, AD369)))</f>
        <v/>
      </c>
      <c r="D369" s="26" t="str">
        <f>IF(B369="", "", 'General Information'!$F$14)</f>
        <v/>
      </c>
      <c r="E369" s="26" t="str">
        <f t="shared" si="17"/>
        <v/>
      </c>
      <c r="F369" s="26" t="str">
        <f>IF(B369="", "", CONCATENATE('General Information'!$F$9, " - ", 'General Information'!$F$14))</f>
        <v/>
      </c>
      <c r="G369" s="26" t="str">
        <f>IF(B369="", "", 'General Information'!$F$15)</f>
        <v/>
      </c>
      <c r="H369" s="26" t="str">
        <f>IF(B369="", "", IF(VLOOKUP(B369, 'Lookup Tables'!$Y$18:$AA$34, 2, FALSE)="Traffic", VLOOKUP('Lighting Inventory'!W377, 'Lookup Tables'!#REF!, 11, FALSE), VLOOKUP(B369, 'Lookup Tables'!$Y$18:$AA$34, 2, FALSE)))</f>
        <v/>
      </c>
      <c r="I369" s="26" t="str">
        <f>IF(B369="", "", CONCATENATE(D369, 'Data Export'!A369))</f>
        <v/>
      </c>
      <c r="J369" s="26" t="str">
        <f>IF(B369="", "", 'Lookup Tables'!$B$1)</f>
        <v/>
      </c>
      <c r="K369" s="26" t="str">
        <f>IF(B369="", "", 'Lighting Inventory'!B377)</f>
        <v/>
      </c>
      <c r="L369" s="26" t="str">
        <f>IF(B369="", "", 'Lighting Inventory'!C377)</f>
        <v/>
      </c>
      <c r="M369" s="26" t="str">
        <f>IF(B369="", "",'Lighting Inventory'!D377)</f>
        <v/>
      </c>
      <c r="N369" s="26" t="str">
        <f>IF(B369="", "",'Lighting Inventory'!E377)</f>
        <v/>
      </c>
      <c r="O369" s="26" t="str">
        <f>IF(B369="", "", 'Lighting Inventory'!F377)</f>
        <v/>
      </c>
      <c r="P369" s="26" t="str">
        <f>IF(B369="", "", 'Lighting Inventory'!G377)</f>
        <v/>
      </c>
      <c r="Q369" s="26" t="str">
        <f>IF(B369="", "", 'Lighting Inventory'!H377)</f>
        <v/>
      </c>
      <c r="R369" s="26" t="str">
        <f>IF(B369="", "", 'Lighting Inventory'!I377)</f>
        <v/>
      </c>
      <c r="S369" s="26" t="str">
        <f>IF(B369="", "", 'Lighting Inventory'!J377)</f>
        <v/>
      </c>
      <c r="T369" s="26" t="str">
        <f>IFERROR(IF(B369="","",VLOOKUP(S369,'Fixture Identities'!$A$7:$G$1023,5,FALSE)), "New Construction")</f>
        <v/>
      </c>
      <c r="U369" s="26" t="str">
        <f>IFERROR(IF(B369="", "", IF(K369="New Construction", "NC", IF(VLOOKUP(S369, 'Fixture Identities'!$A$7:$I$1023,3, FALSE)="T12 Linear Fluorescent", VLOOKUP(S369, 'Fixture Identities'!$A$7:$K$1012, 11, FALSE), S369))), "")</f>
        <v/>
      </c>
      <c r="V369" s="26" t="str">
        <f>IFERROR(IF(OR(B369="", U369=0), "", VLOOKUP(U369, 'Fixture Identities'!$A$7:$G$1023, 5, FALSE)), "")</f>
        <v/>
      </c>
      <c r="W369" s="26" t="str">
        <f>IF(B369="", "",'Lighting Inventory'!K377)</f>
        <v/>
      </c>
      <c r="X369" s="65" t="str">
        <f>IF(B369="", "", 'Lighting Inventory'!L377)</f>
        <v/>
      </c>
      <c r="Y369" s="26" t="str">
        <f>IF(B369="", "", IF('Lighting Inventory'!M377="", "Light Switch",'Lighting Inventory'!M377))</f>
        <v/>
      </c>
      <c r="Z369" s="26" t="str">
        <f>IF(OR(K369="Retrofit", B369=""), "", 'Lighting Inventory'!N377)</f>
        <v/>
      </c>
      <c r="AA369" s="26" t="str">
        <f>IF(OR(Z369="",B369=""), "", 'Lighting Inventory'!O377)</f>
        <v/>
      </c>
      <c r="AB369" s="26" t="str">
        <f>IF(B369="", "", 'Lighting Inventory'!P377)</f>
        <v/>
      </c>
      <c r="AC369" s="96" t="str">
        <f>IF(B369="", "", 'Lighting Inventory'!R377)</f>
        <v/>
      </c>
      <c r="AD369" s="26" t="str">
        <f>IF(B369="", "", 'Lighting Inventory'!S377)</f>
        <v/>
      </c>
      <c r="AE369" s="26" t="str">
        <f>IF(B369="", "", 'Lighting Inventory'!V377)</f>
        <v/>
      </c>
      <c r="AF369" s="26" t="str">
        <f>IF(B369="", "", 'Lighting Inventory'!W377)</f>
        <v/>
      </c>
      <c r="AG369" s="26" t="str">
        <f>IF(OR(AF369="", B369=""), "", IF(AE369="Custom", "0", VLOOKUP(AF369, 'Lookup Tables'!$AI$6:$AP$102, 8, FALSE)))</f>
        <v/>
      </c>
      <c r="AH369" s="26" t="str">
        <f>IF(B369="", "", 'Lighting Inventory'!AD377)</f>
        <v/>
      </c>
      <c r="AI369" s="26" t="str">
        <f>IF(OR('Lighting Inventory'!AK377="", B369=""), "", 'Lighting Inventory'!AK377)</f>
        <v/>
      </c>
      <c r="AJ369" s="66" t="str">
        <f>IF(B369="", "", 'Lighting Inventory'!AL377)</f>
        <v/>
      </c>
      <c r="AK369" s="65" t="str">
        <f>IF(B369="", "", 'Lighting Inventory'!AM377)</f>
        <v/>
      </c>
      <c r="AL369" s="26" t="str">
        <f>IF(B369="", "", 'Lighting Inventory'!AN377)</f>
        <v/>
      </c>
      <c r="AM369" s="26" t="str">
        <f t="shared" si="18"/>
        <v/>
      </c>
      <c r="AN369" s="26" t="str">
        <f>IF(B369="","",IF('Lighting Inventory'!AV377="","Prescribed",'Lighting Inventory'!AV377))</f>
        <v/>
      </c>
      <c r="AO369" s="66" t="str">
        <f>IF(B369="", "", 'Lighting Inventory'!AX377)</f>
        <v/>
      </c>
      <c r="AP369" s="67" t="str">
        <f>IF(B369="", "", 'Lighting Inventory'!AZ377)</f>
        <v/>
      </c>
      <c r="AQ369" s="67" t="str">
        <f>IF(B369="", "", 'Lighting Inventory'!BA377)</f>
        <v/>
      </c>
      <c r="AR369" s="67" t="str">
        <f>IF(B369="", "", 'Lighting Inventory'!BB377)</f>
        <v/>
      </c>
      <c r="AS369" s="67" t="str">
        <f>IF(B369="", "", 'Lighting Inventory'!BC377)</f>
        <v/>
      </c>
      <c r="AT369" s="67" t="str">
        <f>IF(B369="", "", 'Lighting Inventory'!BD377)</f>
        <v/>
      </c>
      <c r="AU369" s="67" t="str">
        <f>IF(B369="", "", 'Lighting Inventory'!BE377)</f>
        <v/>
      </c>
      <c r="AV369" s="67" t="str">
        <f>IF(B369="", "", 'Lighting Inventory'!BE377)</f>
        <v/>
      </c>
      <c r="AW369" s="67" t="str">
        <f>IF(B369="", "", 'Lighting Inventory'!BF377)</f>
        <v/>
      </c>
      <c r="AX369" s="67" t="str">
        <f>IF(B369="", "", 'Lighting Inventory'!BF377)</f>
        <v/>
      </c>
      <c r="AY369" s="65" t="str">
        <f t="shared" si="19"/>
        <v/>
      </c>
      <c r="AZ369" s="65" t="str">
        <f>IF(B369="", "", 'Lighting Inventory'!BJ377)</f>
        <v/>
      </c>
      <c r="BA369" s="65" t="str">
        <f>IF(B369="", "", 'Lighting Inventory'!BM377)</f>
        <v/>
      </c>
      <c r="BB369" s="65" t="str">
        <f>IF(B369="","",SUM('Lighting Inventory'!BP377:BP377))</f>
        <v/>
      </c>
      <c r="BC369" s="67" t="str">
        <f>IF(OR(AE369="", B369=""),"", 'Lighting Inventory'!GR377)</f>
        <v/>
      </c>
      <c r="BD369" s="67" t="str">
        <f>IFERROR(IF(B369="", "", 'Lighting Inventory'!AF377)*AD369," ")</f>
        <v xml:space="preserve"> </v>
      </c>
      <c r="BE369" s="67"/>
      <c r="BF369" s="67"/>
    </row>
    <row r="370" spans="1:58" x14ac:dyDescent="0.25">
      <c r="A370" s="26" t="str">
        <f>IF(B370="", "", 'Lookup Tables'!AW371)</f>
        <v/>
      </c>
      <c r="B370" s="26" t="str">
        <f>IF(OR('Lighting Inventory'!Y378="", 'Lighting Inventory'!V378="No Change"),"", 'Lighting Inventory'!Y378)</f>
        <v/>
      </c>
      <c r="C370" s="26" t="str">
        <f>IF(B370="", "", IF('Lighting Inventory'!Y378='Lookup Tables'!$Y$32, 'Lighting Inventory'!AJ378, IF(AD370=0, R370, AD370)))</f>
        <v/>
      </c>
      <c r="D370" s="26" t="str">
        <f>IF(B370="", "", 'General Information'!$F$14)</f>
        <v/>
      </c>
      <c r="E370" s="26" t="str">
        <f t="shared" si="17"/>
        <v/>
      </c>
      <c r="F370" s="26" t="str">
        <f>IF(B370="", "", CONCATENATE('General Information'!$F$9, " - ", 'General Information'!$F$14))</f>
        <v/>
      </c>
      <c r="G370" s="26" t="str">
        <f>IF(B370="", "", 'General Information'!$F$15)</f>
        <v/>
      </c>
      <c r="H370" s="26" t="str">
        <f>IF(B370="", "", IF(VLOOKUP(B370, 'Lookup Tables'!$Y$18:$AA$34, 2, FALSE)="Traffic", VLOOKUP('Lighting Inventory'!W378, 'Lookup Tables'!#REF!, 11, FALSE), VLOOKUP(B370, 'Lookup Tables'!$Y$18:$AA$34, 2, FALSE)))</f>
        <v/>
      </c>
      <c r="I370" s="26" t="str">
        <f>IF(B370="", "", CONCATENATE(D370, 'Data Export'!A370))</f>
        <v/>
      </c>
      <c r="J370" s="26" t="str">
        <f>IF(B370="", "", 'Lookup Tables'!$B$1)</f>
        <v/>
      </c>
      <c r="K370" s="26" t="str">
        <f>IF(B370="", "", 'Lighting Inventory'!B378)</f>
        <v/>
      </c>
      <c r="L370" s="26" t="str">
        <f>IF(B370="", "", 'Lighting Inventory'!C378)</f>
        <v/>
      </c>
      <c r="M370" s="26" t="str">
        <f>IF(B370="", "",'Lighting Inventory'!D378)</f>
        <v/>
      </c>
      <c r="N370" s="26" t="str">
        <f>IF(B370="", "",'Lighting Inventory'!E378)</f>
        <v/>
      </c>
      <c r="O370" s="26" t="str">
        <f>IF(B370="", "", 'Lighting Inventory'!F378)</f>
        <v/>
      </c>
      <c r="P370" s="26" t="str">
        <f>IF(B370="", "", 'Lighting Inventory'!G378)</f>
        <v/>
      </c>
      <c r="Q370" s="26" t="str">
        <f>IF(B370="", "", 'Lighting Inventory'!H378)</f>
        <v/>
      </c>
      <c r="R370" s="26" t="str">
        <f>IF(B370="", "", 'Lighting Inventory'!I378)</f>
        <v/>
      </c>
      <c r="S370" s="26" t="str">
        <f>IF(B370="", "", 'Lighting Inventory'!J378)</f>
        <v/>
      </c>
      <c r="T370" s="26" t="str">
        <f>IFERROR(IF(B370="","",VLOOKUP(S370,'Fixture Identities'!$A$7:$G$1023,5,FALSE)), "New Construction")</f>
        <v/>
      </c>
      <c r="U370" s="26" t="str">
        <f>IFERROR(IF(B370="", "", IF(K370="New Construction", "NC", IF(VLOOKUP(S370, 'Fixture Identities'!$A$7:$I$1023,3, FALSE)="T12 Linear Fluorescent", VLOOKUP(S370, 'Fixture Identities'!$A$7:$K$1012, 11, FALSE), S370))), "")</f>
        <v/>
      </c>
      <c r="V370" s="26" t="str">
        <f>IFERROR(IF(OR(B370="", U370=0), "", VLOOKUP(U370, 'Fixture Identities'!$A$7:$G$1023, 5, FALSE)), "")</f>
        <v/>
      </c>
      <c r="W370" s="26" t="str">
        <f>IF(B370="", "",'Lighting Inventory'!K378)</f>
        <v/>
      </c>
      <c r="X370" s="65" t="str">
        <f>IF(B370="", "", 'Lighting Inventory'!L378)</f>
        <v/>
      </c>
      <c r="Y370" s="26" t="str">
        <f>IF(B370="", "", IF('Lighting Inventory'!M378="", "Light Switch",'Lighting Inventory'!M378))</f>
        <v/>
      </c>
      <c r="Z370" s="26" t="str">
        <f>IF(OR(K370="Retrofit", B370=""), "", 'Lighting Inventory'!N378)</f>
        <v/>
      </c>
      <c r="AA370" s="26" t="str">
        <f>IF(OR(Z370="",B370=""), "", 'Lighting Inventory'!O378)</f>
        <v/>
      </c>
      <c r="AB370" s="26" t="str">
        <f>IF(B370="", "", 'Lighting Inventory'!P378)</f>
        <v/>
      </c>
      <c r="AC370" s="96" t="str">
        <f>IF(B370="", "", 'Lighting Inventory'!R378)</f>
        <v/>
      </c>
      <c r="AD370" s="26" t="str">
        <f>IF(B370="", "", 'Lighting Inventory'!S378)</f>
        <v/>
      </c>
      <c r="AE370" s="26" t="str">
        <f>IF(B370="", "", 'Lighting Inventory'!V378)</f>
        <v/>
      </c>
      <c r="AF370" s="26" t="str">
        <f>IF(B370="", "", 'Lighting Inventory'!W378)</f>
        <v/>
      </c>
      <c r="AG370" s="26" t="str">
        <f>IF(OR(AF370="", B370=""), "", IF(AE370="Custom", "0", VLOOKUP(AF370, 'Lookup Tables'!$AI$6:$AP$102, 8, FALSE)))</f>
        <v/>
      </c>
      <c r="AH370" s="26" t="str">
        <f>IF(B370="", "", 'Lighting Inventory'!AD378)</f>
        <v/>
      </c>
      <c r="AI370" s="26" t="str">
        <f>IF(OR('Lighting Inventory'!AK378="", B370=""), "", 'Lighting Inventory'!AK378)</f>
        <v/>
      </c>
      <c r="AJ370" s="66" t="str">
        <f>IF(B370="", "", 'Lighting Inventory'!AL378)</f>
        <v/>
      </c>
      <c r="AK370" s="65" t="str">
        <f>IF(B370="", "", 'Lighting Inventory'!AM378)</f>
        <v/>
      </c>
      <c r="AL370" s="26" t="str">
        <f>IF(B370="", "", 'Lighting Inventory'!AN378)</f>
        <v/>
      </c>
      <c r="AM370" s="26" t="str">
        <f t="shared" si="18"/>
        <v/>
      </c>
      <c r="AN370" s="26" t="str">
        <f>IF(B370="","",IF('Lighting Inventory'!AV378="","Prescribed",'Lighting Inventory'!AV378))</f>
        <v/>
      </c>
      <c r="AO370" s="66" t="str">
        <f>IF(B370="", "", 'Lighting Inventory'!AX378)</f>
        <v/>
      </c>
      <c r="AP370" s="67" t="str">
        <f>IF(B370="", "", 'Lighting Inventory'!AZ378)</f>
        <v/>
      </c>
      <c r="AQ370" s="67" t="str">
        <f>IF(B370="", "", 'Lighting Inventory'!BA378)</f>
        <v/>
      </c>
      <c r="AR370" s="67" t="str">
        <f>IF(B370="", "", 'Lighting Inventory'!BB378)</f>
        <v/>
      </c>
      <c r="AS370" s="67" t="str">
        <f>IF(B370="", "", 'Lighting Inventory'!BC378)</f>
        <v/>
      </c>
      <c r="AT370" s="67" t="str">
        <f>IF(B370="", "", 'Lighting Inventory'!BD378)</f>
        <v/>
      </c>
      <c r="AU370" s="67" t="str">
        <f>IF(B370="", "", 'Lighting Inventory'!BE378)</f>
        <v/>
      </c>
      <c r="AV370" s="67" t="str">
        <f>IF(B370="", "", 'Lighting Inventory'!BE378)</f>
        <v/>
      </c>
      <c r="AW370" s="67" t="str">
        <f>IF(B370="", "", 'Lighting Inventory'!BF378)</f>
        <v/>
      </c>
      <c r="AX370" s="67" t="str">
        <f>IF(B370="", "", 'Lighting Inventory'!BF378)</f>
        <v/>
      </c>
      <c r="AY370" s="65" t="str">
        <f t="shared" si="19"/>
        <v/>
      </c>
      <c r="AZ370" s="65" t="str">
        <f>IF(B370="", "", 'Lighting Inventory'!BJ378)</f>
        <v/>
      </c>
      <c r="BA370" s="65" t="str">
        <f>IF(B370="", "", 'Lighting Inventory'!BM378)</f>
        <v/>
      </c>
      <c r="BB370" s="65" t="str">
        <f>IF(B370="","",SUM('Lighting Inventory'!BP378:BP378))</f>
        <v/>
      </c>
      <c r="BC370" s="67" t="str">
        <f>IF(OR(AE370="", B370=""),"", 'Lighting Inventory'!GR378)</f>
        <v/>
      </c>
      <c r="BD370" s="67" t="str">
        <f>IFERROR(IF(B370="", "", 'Lighting Inventory'!AF378)*AD370," ")</f>
        <v xml:space="preserve"> </v>
      </c>
      <c r="BE370" s="67"/>
      <c r="BF370" s="67"/>
    </row>
    <row r="371" spans="1:58" x14ac:dyDescent="0.25">
      <c r="A371" s="26" t="str">
        <f>IF(B371="", "", 'Lookup Tables'!AW372)</f>
        <v/>
      </c>
      <c r="B371" s="26" t="str">
        <f>IF(OR('Lighting Inventory'!Y379="", 'Lighting Inventory'!V379="No Change"),"", 'Lighting Inventory'!Y379)</f>
        <v/>
      </c>
      <c r="C371" s="26" t="str">
        <f>IF(B371="", "", IF('Lighting Inventory'!Y379='Lookup Tables'!$Y$32, 'Lighting Inventory'!AJ379, IF(AD371=0, R371, AD371)))</f>
        <v/>
      </c>
      <c r="D371" s="26" t="str">
        <f>IF(B371="", "", 'General Information'!$F$14)</f>
        <v/>
      </c>
      <c r="E371" s="26" t="str">
        <f t="shared" si="17"/>
        <v/>
      </c>
      <c r="F371" s="26" t="str">
        <f>IF(B371="", "", CONCATENATE('General Information'!$F$9, " - ", 'General Information'!$F$14))</f>
        <v/>
      </c>
      <c r="G371" s="26" t="str">
        <f>IF(B371="", "", 'General Information'!$F$15)</f>
        <v/>
      </c>
      <c r="H371" s="26" t="str">
        <f>IF(B371="", "", IF(VLOOKUP(B371, 'Lookup Tables'!$Y$18:$AA$34, 2, FALSE)="Traffic", VLOOKUP('Lighting Inventory'!W379, 'Lookup Tables'!#REF!, 11, FALSE), VLOOKUP(B371, 'Lookup Tables'!$Y$18:$AA$34, 2, FALSE)))</f>
        <v/>
      </c>
      <c r="I371" s="26" t="str">
        <f>IF(B371="", "", CONCATENATE(D371, 'Data Export'!A371))</f>
        <v/>
      </c>
      <c r="J371" s="26" t="str">
        <f>IF(B371="", "", 'Lookup Tables'!$B$1)</f>
        <v/>
      </c>
      <c r="K371" s="26" t="str">
        <f>IF(B371="", "", 'Lighting Inventory'!B379)</f>
        <v/>
      </c>
      <c r="L371" s="26" t="str">
        <f>IF(B371="", "", 'Lighting Inventory'!C379)</f>
        <v/>
      </c>
      <c r="M371" s="26" t="str">
        <f>IF(B371="", "",'Lighting Inventory'!D379)</f>
        <v/>
      </c>
      <c r="N371" s="26" t="str">
        <f>IF(B371="", "",'Lighting Inventory'!E379)</f>
        <v/>
      </c>
      <c r="O371" s="26" t="str">
        <f>IF(B371="", "", 'Lighting Inventory'!F379)</f>
        <v/>
      </c>
      <c r="P371" s="26" t="str">
        <f>IF(B371="", "", 'Lighting Inventory'!G379)</f>
        <v/>
      </c>
      <c r="Q371" s="26" t="str">
        <f>IF(B371="", "", 'Lighting Inventory'!H379)</f>
        <v/>
      </c>
      <c r="R371" s="26" t="str">
        <f>IF(B371="", "", 'Lighting Inventory'!I379)</f>
        <v/>
      </c>
      <c r="S371" s="26" t="str">
        <f>IF(B371="", "", 'Lighting Inventory'!J379)</f>
        <v/>
      </c>
      <c r="T371" s="26" t="str">
        <f>IFERROR(IF(B371="","",VLOOKUP(S371,'Fixture Identities'!$A$7:$G$1023,5,FALSE)), "New Construction")</f>
        <v/>
      </c>
      <c r="U371" s="26" t="str">
        <f>IFERROR(IF(B371="", "", IF(K371="New Construction", "NC", IF(VLOOKUP(S371, 'Fixture Identities'!$A$7:$I$1023,3, FALSE)="T12 Linear Fluorescent", VLOOKUP(S371, 'Fixture Identities'!$A$7:$K$1012, 11, FALSE), S371))), "")</f>
        <v/>
      </c>
      <c r="V371" s="26" t="str">
        <f>IFERROR(IF(OR(B371="", U371=0), "", VLOOKUP(U371, 'Fixture Identities'!$A$7:$G$1023, 5, FALSE)), "")</f>
        <v/>
      </c>
      <c r="W371" s="26" t="str">
        <f>IF(B371="", "",'Lighting Inventory'!K379)</f>
        <v/>
      </c>
      <c r="X371" s="65" t="str">
        <f>IF(B371="", "", 'Lighting Inventory'!L379)</f>
        <v/>
      </c>
      <c r="Y371" s="26" t="str">
        <f>IF(B371="", "", IF('Lighting Inventory'!M379="", "Light Switch",'Lighting Inventory'!M379))</f>
        <v/>
      </c>
      <c r="Z371" s="26" t="str">
        <f>IF(OR(K371="Retrofit", B371=""), "", 'Lighting Inventory'!N379)</f>
        <v/>
      </c>
      <c r="AA371" s="26" t="str">
        <f>IF(OR(Z371="",B371=""), "", 'Lighting Inventory'!O379)</f>
        <v/>
      </c>
      <c r="AB371" s="26" t="str">
        <f>IF(B371="", "", 'Lighting Inventory'!P379)</f>
        <v/>
      </c>
      <c r="AC371" s="96" t="str">
        <f>IF(B371="", "", 'Lighting Inventory'!R379)</f>
        <v/>
      </c>
      <c r="AD371" s="26" t="str">
        <f>IF(B371="", "", 'Lighting Inventory'!S379)</f>
        <v/>
      </c>
      <c r="AE371" s="26" t="str">
        <f>IF(B371="", "", 'Lighting Inventory'!V379)</f>
        <v/>
      </c>
      <c r="AF371" s="26" t="str">
        <f>IF(B371="", "", 'Lighting Inventory'!W379)</f>
        <v/>
      </c>
      <c r="AG371" s="26" t="str">
        <f>IF(OR(AF371="", B371=""), "", IF(AE371="Custom", "0", VLOOKUP(AF371, 'Lookup Tables'!$AI$6:$AP$102, 8, FALSE)))</f>
        <v/>
      </c>
      <c r="AH371" s="26" t="str">
        <f>IF(B371="", "", 'Lighting Inventory'!AD379)</f>
        <v/>
      </c>
      <c r="AI371" s="26" t="str">
        <f>IF(OR('Lighting Inventory'!AK379="", B371=""), "", 'Lighting Inventory'!AK379)</f>
        <v/>
      </c>
      <c r="AJ371" s="66" t="str">
        <f>IF(B371="", "", 'Lighting Inventory'!AL379)</f>
        <v/>
      </c>
      <c r="AK371" s="65" t="str">
        <f>IF(B371="", "", 'Lighting Inventory'!AM379)</f>
        <v/>
      </c>
      <c r="AL371" s="26" t="str">
        <f>IF(B371="", "", 'Lighting Inventory'!AN379)</f>
        <v/>
      </c>
      <c r="AM371" s="26" t="str">
        <f t="shared" si="18"/>
        <v/>
      </c>
      <c r="AN371" s="26" t="str">
        <f>IF(B371="","",IF('Lighting Inventory'!AV379="","Prescribed",'Lighting Inventory'!AV379))</f>
        <v/>
      </c>
      <c r="AO371" s="66" t="str">
        <f>IF(B371="", "", 'Lighting Inventory'!AX379)</f>
        <v/>
      </c>
      <c r="AP371" s="67" t="str">
        <f>IF(B371="", "", 'Lighting Inventory'!AZ379)</f>
        <v/>
      </c>
      <c r="AQ371" s="67" t="str">
        <f>IF(B371="", "", 'Lighting Inventory'!BA379)</f>
        <v/>
      </c>
      <c r="AR371" s="67" t="str">
        <f>IF(B371="", "", 'Lighting Inventory'!BB379)</f>
        <v/>
      </c>
      <c r="AS371" s="67" t="str">
        <f>IF(B371="", "", 'Lighting Inventory'!BC379)</f>
        <v/>
      </c>
      <c r="AT371" s="67" t="str">
        <f>IF(B371="", "", 'Lighting Inventory'!BD379)</f>
        <v/>
      </c>
      <c r="AU371" s="67" t="str">
        <f>IF(B371="", "", 'Lighting Inventory'!BE379)</f>
        <v/>
      </c>
      <c r="AV371" s="67" t="str">
        <f>IF(B371="", "", 'Lighting Inventory'!BE379)</f>
        <v/>
      </c>
      <c r="AW371" s="67" t="str">
        <f>IF(B371="", "", 'Lighting Inventory'!BF379)</f>
        <v/>
      </c>
      <c r="AX371" s="67" t="str">
        <f>IF(B371="", "", 'Lighting Inventory'!BF379)</f>
        <v/>
      </c>
      <c r="AY371" s="65" t="str">
        <f t="shared" si="19"/>
        <v/>
      </c>
      <c r="AZ371" s="65" t="str">
        <f>IF(B371="", "", 'Lighting Inventory'!BJ379)</f>
        <v/>
      </c>
      <c r="BA371" s="65" t="str">
        <f>IF(B371="", "", 'Lighting Inventory'!BM379)</f>
        <v/>
      </c>
      <c r="BB371" s="65" t="str">
        <f>IF(B371="","",SUM('Lighting Inventory'!BP379:BP379))</f>
        <v/>
      </c>
      <c r="BC371" s="67" t="str">
        <f>IF(OR(AE371="", B371=""),"", 'Lighting Inventory'!GR379)</f>
        <v/>
      </c>
      <c r="BD371" s="67" t="str">
        <f>IFERROR(IF(B371="", "", 'Lighting Inventory'!AF379)*AD371," ")</f>
        <v xml:space="preserve"> </v>
      </c>
      <c r="BE371" s="67"/>
      <c r="BF371" s="67"/>
    </row>
    <row r="372" spans="1:58" x14ac:dyDescent="0.25">
      <c r="A372" s="26" t="str">
        <f>IF(B372="", "", 'Lookup Tables'!AW373)</f>
        <v/>
      </c>
      <c r="B372" s="26" t="str">
        <f>IF(OR('Lighting Inventory'!Y380="", 'Lighting Inventory'!V380="No Change"),"", 'Lighting Inventory'!Y380)</f>
        <v/>
      </c>
      <c r="C372" s="26" t="str">
        <f>IF(B372="", "", IF('Lighting Inventory'!Y380='Lookup Tables'!$Y$32, 'Lighting Inventory'!AJ380, IF(AD372=0, R372, AD372)))</f>
        <v/>
      </c>
      <c r="D372" s="26" t="str">
        <f>IF(B372="", "", 'General Information'!$F$14)</f>
        <v/>
      </c>
      <c r="E372" s="26" t="str">
        <f t="shared" si="17"/>
        <v/>
      </c>
      <c r="F372" s="26" t="str">
        <f>IF(B372="", "", CONCATENATE('General Information'!$F$9, " - ", 'General Information'!$F$14))</f>
        <v/>
      </c>
      <c r="G372" s="26" t="str">
        <f>IF(B372="", "", 'General Information'!$F$15)</f>
        <v/>
      </c>
      <c r="H372" s="26" t="str">
        <f>IF(B372="", "", IF(VLOOKUP(B372, 'Lookup Tables'!$Y$18:$AA$34, 2, FALSE)="Traffic", VLOOKUP('Lighting Inventory'!W380, 'Lookup Tables'!#REF!, 11, FALSE), VLOOKUP(B372, 'Lookup Tables'!$Y$18:$AA$34, 2, FALSE)))</f>
        <v/>
      </c>
      <c r="I372" s="26" t="str">
        <f>IF(B372="", "", CONCATENATE(D372, 'Data Export'!A372))</f>
        <v/>
      </c>
      <c r="J372" s="26" t="str">
        <f>IF(B372="", "", 'Lookup Tables'!$B$1)</f>
        <v/>
      </c>
      <c r="K372" s="26" t="str">
        <f>IF(B372="", "", 'Lighting Inventory'!B380)</f>
        <v/>
      </c>
      <c r="L372" s="26" t="str">
        <f>IF(B372="", "", 'Lighting Inventory'!C380)</f>
        <v/>
      </c>
      <c r="M372" s="26" t="str">
        <f>IF(B372="", "",'Lighting Inventory'!D380)</f>
        <v/>
      </c>
      <c r="N372" s="26" t="str">
        <f>IF(B372="", "",'Lighting Inventory'!E380)</f>
        <v/>
      </c>
      <c r="O372" s="26" t="str">
        <f>IF(B372="", "", 'Lighting Inventory'!F380)</f>
        <v/>
      </c>
      <c r="P372" s="26" t="str">
        <f>IF(B372="", "", 'Lighting Inventory'!G380)</f>
        <v/>
      </c>
      <c r="Q372" s="26" t="str">
        <f>IF(B372="", "", 'Lighting Inventory'!H380)</f>
        <v/>
      </c>
      <c r="R372" s="26" t="str">
        <f>IF(B372="", "", 'Lighting Inventory'!I380)</f>
        <v/>
      </c>
      <c r="S372" s="26" t="str">
        <f>IF(B372="", "", 'Lighting Inventory'!J380)</f>
        <v/>
      </c>
      <c r="T372" s="26" t="str">
        <f>IFERROR(IF(B372="","",VLOOKUP(S372,'Fixture Identities'!$A$7:$G$1023,5,FALSE)), "New Construction")</f>
        <v/>
      </c>
      <c r="U372" s="26" t="str">
        <f>IFERROR(IF(B372="", "", IF(K372="New Construction", "NC", IF(VLOOKUP(S372, 'Fixture Identities'!$A$7:$I$1023,3, FALSE)="T12 Linear Fluorescent", VLOOKUP(S372, 'Fixture Identities'!$A$7:$K$1012, 11, FALSE), S372))), "")</f>
        <v/>
      </c>
      <c r="V372" s="26" t="str">
        <f>IFERROR(IF(OR(B372="", U372=0), "", VLOOKUP(U372, 'Fixture Identities'!$A$7:$G$1023, 5, FALSE)), "")</f>
        <v/>
      </c>
      <c r="W372" s="26" t="str">
        <f>IF(B372="", "",'Lighting Inventory'!K380)</f>
        <v/>
      </c>
      <c r="X372" s="65" t="str">
        <f>IF(B372="", "", 'Lighting Inventory'!L380)</f>
        <v/>
      </c>
      <c r="Y372" s="26" t="str">
        <f>IF(B372="", "", IF('Lighting Inventory'!M380="", "Light Switch",'Lighting Inventory'!M380))</f>
        <v/>
      </c>
      <c r="Z372" s="26" t="str">
        <f>IF(OR(K372="Retrofit", B372=""), "", 'Lighting Inventory'!N380)</f>
        <v/>
      </c>
      <c r="AA372" s="26" t="str">
        <f>IF(OR(Z372="",B372=""), "", 'Lighting Inventory'!O380)</f>
        <v/>
      </c>
      <c r="AB372" s="26" t="str">
        <f>IF(B372="", "", 'Lighting Inventory'!P380)</f>
        <v/>
      </c>
      <c r="AC372" s="96" t="str">
        <f>IF(B372="", "", 'Lighting Inventory'!R380)</f>
        <v/>
      </c>
      <c r="AD372" s="26" t="str">
        <f>IF(B372="", "", 'Lighting Inventory'!S380)</f>
        <v/>
      </c>
      <c r="AE372" s="26" t="str">
        <f>IF(B372="", "", 'Lighting Inventory'!V380)</f>
        <v/>
      </c>
      <c r="AF372" s="26" t="str">
        <f>IF(B372="", "", 'Lighting Inventory'!W380)</f>
        <v/>
      </c>
      <c r="AG372" s="26" t="str">
        <f>IF(OR(AF372="", B372=""), "", IF(AE372="Custom", "0", VLOOKUP(AF372, 'Lookup Tables'!$AI$6:$AP$102, 8, FALSE)))</f>
        <v/>
      </c>
      <c r="AH372" s="26" t="str">
        <f>IF(B372="", "", 'Lighting Inventory'!AD380)</f>
        <v/>
      </c>
      <c r="AI372" s="26" t="str">
        <f>IF(OR('Lighting Inventory'!AK380="", B372=""), "", 'Lighting Inventory'!AK380)</f>
        <v/>
      </c>
      <c r="AJ372" s="66" t="str">
        <f>IF(B372="", "", 'Lighting Inventory'!AL380)</f>
        <v/>
      </c>
      <c r="AK372" s="65" t="str">
        <f>IF(B372="", "", 'Lighting Inventory'!AM380)</f>
        <v/>
      </c>
      <c r="AL372" s="26" t="str">
        <f>IF(B372="", "", 'Lighting Inventory'!AN380)</f>
        <v/>
      </c>
      <c r="AM372" s="26" t="str">
        <f t="shared" si="18"/>
        <v/>
      </c>
      <c r="AN372" s="26" t="str">
        <f>IF(B372="","",IF('Lighting Inventory'!AV380="","Prescribed",'Lighting Inventory'!AV380))</f>
        <v/>
      </c>
      <c r="AO372" s="66" t="str">
        <f>IF(B372="", "", 'Lighting Inventory'!AX380)</f>
        <v/>
      </c>
      <c r="AP372" s="67" t="str">
        <f>IF(B372="", "", 'Lighting Inventory'!AZ380)</f>
        <v/>
      </c>
      <c r="AQ372" s="67" t="str">
        <f>IF(B372="", "", 'Lighting Inventory'!BA380)</f>
        <v/>
      </c>
      <c r="AR372" s="67" t="str">
        <f>IF(B372="", "", 'Lighting Inventory'!BB380)</f>
        <v/>
      </c>
      <c r="AS372" s="67" t="str">
        <f>IF(B372="", "", 'Lighting Inventory'!BC380)</f>
        <v/>
      </c>
      <c r="AT372" s="67" t="str">
        <f>IF(B372="", "", 'Lighting Inventory'!BD380)</f>
        <v/>
      </c>
      <c r="AU372" s="67" t="str">
        <f>IF(B372="", "", 'Lighting Inventory'!BE380)</f>
        <v/>
      </c>
      <c r="AV372" s="67" t="str">
        <f>IF(B372="", "", 'Lighting Inventory'!BE380)</f>
        <v/>
      </c>
      <c r="AW372" s="67" t="str">
        <f>IF(B372="", "", 'Lighting Inventory'!BF380)</f>
        <v/>
      </c>
      <c r="AX372" s="67" t="str">
        <f>IF(B372="", "", 'Lighting Inventory'!BF380)</f>
        <v/>
      </c>
      <c r="AY372" s="65" t="str">
        <f t="shared" si="19"/>
        <v/>
      </c>
      <c r="AZ372" s="65" t="str">
        <f>IF(B372="", "", 'Lighting Inventory'!BJ380)</f>
        <v/>
      </c>
      <c r="BA372" s="65" t="str">
        <f>IF(B372="", "", 'Lighting Inventory'!BM380)</f>
        <v/>
      </c>
      <c r="BB372" s="65" t="str">
        <f>IF(B372="","",SUM('Lighting Inventory'!BP380:BP380))</f>
        <v/>
      </c>
      <c r="BC372" s="67" t="str">
        <f>IF(OR(AE372="", B372=""),"", 'Lighting Inventory'!GR380)</f>
        <v/>
      </c>
      <c r="BD372" s="67" t="str">
        <f>IFERROR(IF(B372="", "", 'Lighting Inventory'!AF380)*AD372," ")</f>
        <v xml:space="preserve"> </v>
      </c>
      <c r="BE372" s="67"/>
      <c r="BF372" s="67"/>
    </row>
    <row r="373" spans="1:58" x14ac:dyDescent="0.25">
      <c r="A373" s="26" t="str">
        <f>IF(B373="", "", 'Lookup Tables'!AW374)</f>
        <v/>
      </c>
      <c r="B373" s="26" t="str">
        <f>IF(OR('Lighting Inventory'!Y381="", 'Lighting Inventory'!V381="No Change"),"", 'Lighting Inventory'!Y381)</f>
        <v/>
      </c>
      <c r="C373" s="26" t="str">
        <f>IF(B373="", "", IF('Lighting Inventory'!Y381='Lookup Tables'!$Y$32, 'Lighting Inventory'!AJ381, IF(AD373=0, R373, AD373)))</f>
        <v/>
      </c>
      <c r="D373" s="26" t="str">
        <f>IF(B373="", "", 'General Information'!$F$14)</f>
        <v/>
      </c>
      <c r="E373" s="26" t="str">
        <f t="shared" si="17"/>
        <v/>
      </c>
      <c r="F373" s="26" t="str">
        <f>IF(B373="", "", CONCATENATE('General Information'!$F$9, " - ", 'General Information'!$F$14))</f>
        <v/>
      </c>
      <c r="G373" s="26" t="str">
        <f>IF(B373="", "", 'General Information'!$F$15)</f>
        <v/>
      </c>
      <c r="H373" s="26" t="str">
        <f>IF(B373="", "", IF(VLOOKUP(B373, 'Lookup Tables'!$Y$18:$AA$34, 2, FALSE)="Traffic", VLOOKUP('Lighting Inventory'!W381, 'Lookup Tables'!#REF!, 11, FALSE), VLOOKUP(B373, 'Lookup Tables'!$Y$18:$AA$34, 2, FALSE)))</f>
        <v/>
      </c>
      <c r="I373" s="26" t="str">
        <f>IF(B373="", "", CONCATENATE(D373, 'Data Export'!A373))</f>
        <v/>
      </c>
      <c r="J373" s="26" t="str">
        <f>IF(B373="", "", 'Lookup Tables'!$B$1)</f>
        <v/>
      </c>
      <c r="K373" s="26" t="str">
        <f>IF(B373="", "", 'Lighting Inventory'!B381)</f>
        <v/>
      </c>
      <c r="L373" s="26" t="str">
        <f>IF(B373="", "", 'Lighting Inventory'!C381)</f>
        <v/>
      </c>
      <c r="M373" s="26" t="str">
        <f>IF(B373="", "",'Lighting Inventory'!D381)</f>
        <v/>
      </c>
      <c r="N373" s="26" t="str">
        <f>IF(B373="", "",'Lighting Inventory'!E381)</f>
        <v/>
      </c>
      <c r="O373" s="26" t="str">
        <f>IF(B373="", "", 'Lighting Inventory'!F381)</f>
        <v/>
      </c>
      <c r="P373" s="26" t="str">
        <f>IF(B373="", "", 'Lighting Inventory'!G381)</f>
        <v/>
      </c>
      <c r="Q373" s="26" t="str">
        <f>IF(B373="", "", 'Lighting Inventory'!H381)</f>
        <v/>
      </c>
      <c r="R373" s="26" t="str">
        <f>IF(B373="", "", 'Lighting Inventory'!I381)</f>
        <v/>
      </c>
      <c r="S373" s="26" t="str">
        <f>IF(B373="", "", 'Lighting Inventory'!J381)</f>
        <v/>
      </c>
      <c r="T373" s="26" t="str">
        <f>IFERROR(IF(B373="","",VLOOKUP(S373,'Fixture Identities'!$A$7:$G$1023,5,FALSE)), "New Construction")</f>
        <v/>
      </c>
      <c r="U373" s="26" t="str">
        <f>IFERROR(IF(B373="", "", IF(K373="New Construction", "NC", IF(VLOOKUP(S373, 'Fixture Identities'!$A$7:$I$1023,3, FALSE)="T12 Linear Fluorescent", VLOOKUP(S373, 'Fixture Identities'!$A$7:$K$1012, 11, FALSE), S373))), "")</f>
        <v/>
      </c>
      <c r="V373" s="26" t="str">
        <f>IFERROR(IF(OR(B373="", U373=0), "", VLOOKUP(U373, 'Fixture Identities'!$A$7:$G$1023, 5, FALSE)), "")</f>
        <v/>
      </c>
      <c r="W373" s="26" t="str">
        <f>IF(B373="", "",'Lighting Inventory'!K381)</f>
        <v/>
      </c>
      <c r="X373" s="65" t="str">
        <f>IF(B373="", "", 'Lighting Inventory'!L381)</f>
        <v/>
      </c>
      <c r="Y373" s="26" t="str">
        <f>IF(B373="", "", IF('Lighting Inventory'!M381="", "Light Switch",'Lighting Inventory'!M381))</f>
        <v/>
      </c>
      <c r="Z373" s="26" t="str">
        <f>IF(OR(K373="Retrofit", B373=""), "", 'Lighting Inventory'!N381)</f>
        <v/>
      </c>
      <c r="AA373" s="26" t="str">
        <f>IF(OR(Z373="",B373=""), "", 'Lighting Inventory'!O381)</f>
        <v/>
      </c>
      <c r="AB373" s="26" t="str">
        <f>IF(B373="", "", 'Lighting Inventory'!P381)</f>
        <v/>
      </c>
      <c r="AC373" s="96" t="str">
        <f>IF(B373="", "", 'Lighting Inventory'!R381)</f>
        <v/>
      </c>
      <c r="AD373" s="26" t="str">
        <f>IF(B373="", "", 'Lighting Inventory'!S381)</f>
        <v/>
      </c>
      <c r="AE373" s="26" t="str">
        <f>IF(B373="", "", 'Lighting Inventory'!V381)</f>
        <v/>
      </c>
      <c r="AF373" s="26" t="str">
        <f>IF(B373="", "", 'Lighting Inventory'!W381)</f>
        <v/>
      </c>
      <c r="AG373" s="26" t="str">
        <f>IF(OR(AF373="", B373=""), "", IF(AE373="Custom", "0", VLOOKUP(AF373, 'Lookup Tables'!$AI$6:$AP$102, 8, FALSE)))</f>
        <v/>
      </c>
      <c r="AH373" s="26" t="str">
        <f>IF(B373="", "", 'Lighting Inventory'!AD381)</f>
        <v/>
      </c>
      <c r="AI373" s="26" t="str">
        <f>IF(OR('Lighting Inventory'!AK381="", B373=""), "", 'Lighting Inventory'!AK381)</f>
        <v/>
      </c>
      <c r="AJ373" s="66" t="str">
        <f>IF(B373="", "", 'Lighting Inventory'!AL381)</f>
        <v/>
      </c>
      <c r="AK373" s="65" t="str">
        <f>IF(B373="", "", 'Lighting Inventory'!AM381)</f>
        <v/>
      </c>
      <c r="AL373" s="26" t="str">
        <f>IF(B373="", "", 'Lighting Inventory'!AN381)</f>
        <v/>
      </c>
      <c r="AM373" s="26" t="str">
        <f t="shared" si="18"/>
        <v/>
      </c>
      <c r="AN373" s="26" t="str">
        <f>IF(B373="","",IF('Lighting Inventory'!AV381="","Prescribed",'Lighting Inventory'!AV381))</f>
        <v/>
      </c>
      <c r="AO373" s="66" t="str">
        <f>IF(B373="", "", 'Lighting Inventory'!AX381)</f>
        <v/>
      </c>
      <c r="AP373" s="67" t="str">
        <f>IF(B373="", "", 'Lighting Inventory'!AZ381)</f>
        <v/>
      </c>
      <c r="AQ373" s="67" t="str">
        <f>IF(B373="", "", 'Lighting Inventory'!BA381)</f>
        <v/>
      </c>
      <c r="AR373" s="67" t="str">
        <f>IF(B373="", "", 'Lighting Inventory'!BB381)</f>
        <v/>
      </c>
      <c r="AS373" s="67" t="str">
        <f>IF(B373="", "", 'Lighting Inventory'!BC381)</f>
        <v/>
      </c>
      <c r="AT373" s="67" t="str">
        <f>IF(B373="", "", 'Lighting Inventory'!BD381)</f>
        <v/>
      </c>
      <c r="AU373" s="67" t="str">
        <f>IF(B373="", "", 'Lighting Inventory'!BE381)</f>
        <v/>
      </c>
      <c r="AV373" s="67" t="str">
        <f>IF(B373="", "", 'Lighting Inventory'!BE381)</f>
        <v/>
      </c>
      <c r="AW373" s="67" t="str">
        <f>IF(B373="", "", 'Lighting Inventory'!BF381)</f>
        <v/>
      </c>
      <c r="AX373" s="67" t="str">
        <f>IF(B373="", "", 'Lighting Inventory'!BF381)</f>
        <v/>
      </c>
      <c r="AY373" s="65" t="str">
        <f t="shared" si="19"/>
        <v/>
      </c>
      <c r="AZ373" s="65" t="str">
        <f>IF(B373="", "", 'Lighting Inventory'!BJ381)</f>
        <v/>
      </c>
      <c r="BA373" s="65" t="str">
        <f>IF(B373="", "", 'Lighting Inventory'!BM381)</f>
        <v/>
      </c>
      <c r="BB373" s="65" t="str">
        <f>IF(B373="","",SUM('Lighting Inventory'!BP381:BP381))</f>
        <v/>
      </c>
      <c r="BC373" s="67" t="str">
        <f>IF(OR(AE373="", B373=""),"", 'Lighting Inventory'!GR381)</f>
        <v/>
      </c>
      <c r="BD373" s="67" t="str">
        <f>IFERROR(IF(B373="", "", 'Lighting Inventory'!AF381)*AD373," ")</f>
        <v xml:space="preserve"> </v>
      </c>
      <c r="BE373" s="67"/>
      <c r="BF373" s="67"/>
    </row>
    <row r="374" spans="1:58" x14ac:dyDescent="0.25">
      <c r="A374" s="26" t="str">
        <f>IF(B374="", "", 'Lookup Tables'!AW375)</f>
        <v/>
      </c>
      <c r="B374" s="26" t="str">
        <f>IF(OR('Lighting Inventory'!Y382="", 'Lighting Inventory'!V382="No Change"),"", 'Lighting Inventory'!Y382)</f>
        <v/>
      </c>
      <c r="C374" s="26" t="str">
        <f>IF(B374="", "", IF('Lighting Inventory'!Y382='Lookup Tables'!$Y$32, 'Lighting Inventory'!AJ382, IF(AD374=0, R374, AD374)))</f>
        <v/>
      </c>
      <c r="D374" s="26" t="str">
        <f>IF(B374="", "", 'General Information'!$F$14)</f>
        <v/>
      </c>
      <c r="E374" s="26" t="str">
        <f t="shared" si="17"/>
        <v/>
      </c>
      <c r="F374" s="26" t="str">
        <f>IF(B374="", "", CONCATENATE('General Information'!$F$9, " - ", 'General Information'!$F$14))</f>
        <v/>
      </c>
      <c r="G374" s="26" t="str">
        <f>IF(B374="", "", 'General Information'!$F$15)</f>
        <v/>
      </c>
      <c r="H374" s="26" t="str">
        <f>IF(B374="", "", IF(VLOOKUP(B374, 'Lookup Tables'!$Y$18:$AA$34, 2, FALSE)="Traffic", VLOOKUP('Lighting Inventory'!W382, 'Lookup Tables'!#REF!, 11, FALSE), VLOOKUP(B374, 'Lookup Tables'!$Y$18:$AA$34, 2, FALSE)))</f>
        <v/>
      </c>
      <c r="I374" s="26" t="str">
        <f>IF(B374="", "", CONCATENATE(D374, 'Data Export'!A374))</f>
        <v/>
      </c>
      <c r="J374" s="26" t="str">
        <f>IF(B374="", "", 'Lookup Tables'!$B$1)</f>
        <v/>
      </c>
      <c r="K374" s="26" t="str">
        <f>IF(B374="", "", 'Lighting Inventory'!B382)</f>
        <v/>
      </c>
      <c r="L374" s="26" t="str">
        <f>IF(B374="", "", 'Lighting Inventory'!C382)</f>
        <v/>
      </c>
      <c r="M374" s="26" t="str">
        <f>IF(B374="", "",'Lighting Inventory'!D382)</f>
        <v/>
      </c>
      <c r="N374" s="26" t="str">
        <f>IF(B374="", "",'Lighting Inventory'!E382)</f>
        <v/>
      </c>
      <c r="O374" s="26" t="str">
        <f>IF(B374="", "", 'Lighting Inventory'!F382)</f>
        <v/>
      </c>
      <c r="P374" s="26" t="str">
        <f>IF(B374="", "", 'Lighting Inventory'!G382)</f>
        <v/>
      </c>
      <c r="Q374" s="26" t="str">
        <f>IF(B374="", "", 'Lighting Inventory'!H382)</f>
        <v/>
      </c>
      <c r="R374" s="26" t="str">
        <f>IF(B374="", "", 'Lighting Inventory'!I382)</f>
        <v/>
      </c>
      <c r="S374" s="26" t="str">
        <f>IF(B374="", "", 'Lighting Inventory'!J382)</f>
        <v/>
      </c>
      <c r="T374" s="26" t="str">
        <f>IFERROR(IF(B374="","",VLOOKUP(S374,'Fixture Identities'!$A$7:$G$1023,5,FALSE)), "New Construction")</f>
        <v/>
      </c>
      <c r="U374" s="26" t="str">
        <f>IFERROR(IF(B374="", "", IF(K374="New Construction", "NC", IF(VLOOKUP(S374, 'Fixture Identities'!$A$7:$I$1023,3, FALSE)="T12 Linear Fluorescent", VLOOKUP(S374, 'Fixture Identities'!$A$7:$K$1012, 11, FALSE), S374))), "")</f>
        <v/>
      </c>
      <c r="V374" s="26" t="str">
        <f>IFERROR(IF(OR(B374="", U374=0), "", VLOOKUP(U374, 'Fixture Identities'!$A$7:$G$1023, 5, FALSE)), "")</f>
        <v/>
      </c>
      <c r="W374" s="26" t="str">
        <f>IF(B374="", "",'Lighting Inventory'!K382)</f>
        <v/>
      </c>
      <c r="X374" s="65" t="str">
        <f>IF(B374="", "", 'Lighting Inventory'!L382)</f>
        <v/>
      </c>
      <c r="Y374" s="26" t="str">
        <f>IF(B374="", "", IF('Lighting Inventory'!M382="", "Light Switch",'Lighting Inventory'!M382))</f>
        <v/>
      </c>
      <c r="Z374" s="26" t="str">
        <f>IF(OR(K374="Retrofit", B374=""), "", 'Lighting Inventory'!N382)</f>
        <v/>
      </c>
      <c r="AA374" s="26" t="str">
        <f>IF(OR(Z374="",B374=""), "", 'Lighting Inventory'!O382)</f>
        <v/>
      </c>
      <c r="AB374" s="26" t="str">
        <f>IF(B374="", "", 'Lighting Inventory'!P382)</f>
        <v/>
      </c>
      <c r="AC374" s="96" t="str">
        <f>IF(B374="", "", 'Lighting Inventory'!R382)</f>
        <v/>
      </c>
      <c r="AD374" s="26" t="str">
        <f>IF(B374="", "", 'Lighting Inventory'!S382)</f>
        <v/>
      </c>
      <c r="AE374" s="26" t="str">
        <f>IF(B374="", "", 'Lighting Inventory'!V382)</f>
        <v/>
      </c>
      <c r="AF374" s="26" t="str">
        <f>IF(B374="", "", 'Lighting Inventory'!W382)</f>
        <v/>
      </c>
      <c r="AG374" s="26" t="str">
        <f>IF(OR(AF374="", B374=""), "", IF(AE374="Custom", "0", VLOOKUP(AF374, 'Lookup Tables'!$AI$6:$AP$102, 8, FALSE)))</f>
        <v/>
      </c>
      <c r="AH374" s="26" t="str">
        <f>IF(B374="", "", 'Lighting Inventory'!AD382)</f>
        <v/>
      </c>
      <c r="AI374" s="26" t="str">
        <f>IF(OR('Lighting Inventory'!AK382="", B374=""), "", 'Lighting Inventory'!AK382)</f>
        <v/>
      </c>
      <c r="AJ374" s="66" t="str">
        <f>IF(B374="", "", 'Lighting Inventory'!AL382)</f>
        <v/>
      </c>
      <c r="AK374" s="65" t="str">
        <f>IF(B374="", "", 'Lighting Inventory'!AM382)</f>
        <v/>
      </c>
      <c r="AL374" s="26" t="str">
        <f>IF(B374="", "", 'Lighting Inventory'!AN382)</f>
        <v/>
      </c>
      <c r="AM374" s="26" t="str">
        <f t="shared" si="18"/>
        <v/>
      </c>
      <c r="AN374" s="26" t="str">
        <f>IF(B374="","",IF('Lighting Inventory'!AV382="","Prescribed",'Lighting Inventory'!AV382))</f>
        <v/>
      </c>
      <c r="AO374" s="66" t="str">
        <f>IF(B374="", "", 'Lighting Inventory'!AX382)</f>
        <v/>
      </c>
      <c r="AP374" s="67" t="str">
        <f>IF(B374="", "", 'Lighting Inventory'!AZ382)</f>
        <v/>
      </c>
      <c r="AQ374" s="67" t="str">
        <f>IF(B374="", "", 'Lighting Inventory'!BA382)</f>
        <v/>
      </c>
      <c r="AR374" s="67" t="str">
        <f>IF(B374="", "", 'Lighting Inventory'!BB382)</f>
        <v/>
      </c>
      <c r="AS374" s="67" t="str">
        <f>IF(B374="", "", 'Lighting Inventory'!BC382)</f>
        <v/>
      </c>
      <c r="AT374" s="67" t="str">
        <f>IF(B374="", "", 'Lighting Inventory'!BD382)</f>
        <v/>
      </c>
      <c r="AU374" s="67" t="str">
        <f>IF(B374="", "", 'Lighting Inventory'!BE382)</f>
        <v/>
      </c>
      <c r="AV374" s="67" t="str">
        <f>IF(B374="", "", 'Lighting Inventory'!BE382)</f>
        <v/>
      </c>
      <c r="AW374" s="67" t="str">
        <f>IF(B374="", "", 'Lighting Inventory'!BF382)</f>
        <v/>
      </c>
      <c r="AX374" s="67" t="str">
        <f>IF(B374="", "", 'Lighting Inventory'!BF382)</f>
        <v/>
      </c>
      <c r="AY374" s="65" t="str">
        <f t="shared" si="19"/>
        <v/>
      </c>
      <c r="AZ374" s="65" t="str">
        <f>IF(B374="", "", 'Lighting Inventory'!BJ382)</f>
        <v/>
      </c>
      <c r="BA374" s="65" t="str">
        <f>IF(B374="", "", 'Lighting Inventory'!BM382)</f>
        <v/>
      </c>
      <c r="BB374" s="65" t="str">
        <f>IF(B374="","",SUM('Lighting Inventory'!BP382:BP382))</f>
        <v/>
      </c>
      <c r="BC374" s="67" t="str">
        <f>IF(OR(AE374="", B374=""),"", 'Lighting Inventory'!GR382)</f>
        <v/>
      </c>
      <c r="BD374" s="67" t="str">
        <f>IFERROR(IF(B374="", "", 'Lighting Inventory'!AF382)*AD374," ")</f>
        <v xml:space="preserve"> </v>
      </c>
      <c r="BE374" s="67"/>
      <c r="BF374" s="67"/>
    </row>
    <row r="375" spans="1:58" x14ac:dyDescent="0.25">
      <c r="A375" s="26" t="str">
        <f>IF(B375="", "", 'Lookup Tables'!AW376)</f>
        <v/>
      </c>
      <c r="B375" s="26" t="str">
        <f>IF(OR('Lighting Inventory'!Y383="", 'Lighting Inventory'!V383="No Change"),"", 'Lighting Inventory'!Y383)</f>
        <v/>
      </c>
      <c r="C375" s="26" t="str">
        <f>IF(B375="", "", IF('Lighting Inventory'!Y383='Lookup Tables'!$Y$32, 'Lighting Inventory'!AJ383, IF(AD375=0, R375, AD375)))</f>
        <v/>
      </c>
      <c r="D375" s="26" t="str">
        <f>IF(B375="", "", 'General Information'!$F$14)</f>
        <v/>
      </c>
      <c r="E375" s="26" t="str">
        <f t="shared" si="17"/>
        <v/>
      </c>
      <c r="F375" s="26" t="str">
        <f>IF(B375="", "", CONCATENATE('General Information'!$F$9, " - ", 'General Information'!$F$14))</f>
        <v/>
      </c>
      <c r="G375" s="26" t="str">
        <f>IF(B375="", "", 'General Information'!$F$15)</f>
        <v/>
      </c>
      <c r="H375" s="26" t="str">
        <f>IF(B375="", "", IF(VLOOKUP(B375, 'Lookup Tables'!$Y$18:$AA$34, 2, FALSE)="Traffic", VLOOKUP('Lighting Inventory'!W383, 'Lookup Tables'!#REF!, 11, FALSE), VLOOKUP(B375, 'Lookup Tables'!$Y$18:$AA$34, 2, FALSE)))</f>
        <v/>
      </c>
      <c r="I375" s="26" t="str">
        <f>IF(B375="", "", CONCATENATE(D375, 'Data Export'!A375))</f>
        <v/>
      </c>
      <c r="J375" s="26" t="str">
        <f>IF(B375="", "", 'Lookup Tables'!$B$1)</f>
        <v/>
      </c>
      <c r="K375" s="26" t="str">
        <f>IF(B375="", "", 'Lighting Inventory'!B383)</f>
        <v/>
      </c>
      <c r="L375" s="26" t="str">
        <f>IF(B375="", "", 'Lighting Inventory'!C383)</f>
        <v/>
      </c>
      <c r="M375" s="26" t="str">
        <f>IF(B375="", "",'Lighting Inventory'!D383)</f>
        <v/>
      </c>
      <c r="N375" s="26" t="str">
        <f>IF(B375="", "",'Lighting Inventory'!E383)</f>
        <v/>
      </c>
      <c r="O375" s="26" t="str">
        <f>IF(B375="", "", 'Lighting Inventory'!F383)</f>
        <v/>
      </c>
      <c r="P375" s="26" t="str">
        <f>IF(B375="", "", 'Lighting Inventory'!G383)</f>
        <v/>
      </c>
      <c r="Q375" s="26" t="str">
        <f>IF(B375="", "", 'Lighting Inventory'!H383)</f>
        <v/>
      </c>
      <c r="R375" s="26" t="str">
        <f>IF(B375="", "", 'Lighting Inventory'!I383)</f>
        <v/>
      </c>
      <c r="S375" s="26" t="str">
        <f>IF(B375="", "", 'Lighting Inventory'!J383)</f>
        <v/>
      </c>
      <c r="T375" s="26" t="str">
        <f>IFERROR(IF(B375="","",VLOOKUP(S375,'Fixture Identities'!$A$7:$G$1023,5,FALSE)), "New Construction")</f>
        <v/>
      </c>
      <c r="U375" s="26" t="str">
        <f>IFERROR(IF(B375="", "", IF(K375="New Construction", "NC", IF(VLOOKUP(S375, 'Fixture Identities'!$A$7:$I$1023,3, FALSE)="T12 Linear Fluorescent", VLOOKUP(S375, 'Fixture Identities'!$A$7:$K$1012, 11, FALSE), S375))), "")</f>
        <v/>
      </c>
      <c r="V375" s="26" t="str">
        <f>IFERROR(IF(OR(B375="", U375=0), "", VLOOKUP(U375, 'Fixture Identities'!$A$7:$G$1023, 5, FALSE)), "")</f>
        <v/>
      </c>
      <c r="W375" s="26" t="str">
        <f>IF(B375="", "",'Lighting Inventory'!K383)</f>
        <v/>
      </c>
      <c r="X375" s="65" t="str">
        <f>IF(B375="", "", 'Lighting Inventory'!L383)</f>
        <v/>
      </c>
      <c r="Y375" s="26" t="str">
        <f>IF(B375="", "", IF('Lighting Inventory'!M383="", "Light Switch",'Lighting Inventory'!M383))</f>
        <v/>
      </c>
      <c r="Z375" s="26" t="str">
        <f>IF(OR(K375="Retrofit", B375=""), "", 'Lighting Inventory'!N383)</f>
        <v/>
      </c>
      <c r="AA375" s="26" t="str">
        <f>IF(OR(Z375="",B375=""), "", 'Lighting Inventory'!O383)</f>
        <v/>
      </c>
      <c r="AB375" s="26" t="str">
        <f>IF(B375="", "", 'Lighting Inventory'!P383)</f>
        <v/>
      </c>
      <c r="AC375" s="96" t="str">
        <f>IF(B375="", "", 'Lighting Inventory'!R383)</f>
        <v/>
      </c>
      <c r="AD375" s="26" t="str">
        <f>IF(B375="", "", 'Lighting Inventory'!S383)</f>
        <v/>
      </c>
      <c r="AE375" s="26" t="str">
        <f>IF(B375="", "", 'Lighting Inventory'!V383)</f>
        <v/>
      </c>
      <c r="AF375" s="26" t="str">
        <f>IF(B375="", "", 'Lighting Inventory'!W383)</f>
        <v/>
      </c>
      <c r="AG375" s="26" t="str">
        <f>IF(OR(AF375="", B375=""), "", IF(AE375="Custom", "0", VLOOKUP(AF375, 'Lookup Tables'!$AI$6:$AP$102, 8, FALSE)))</f>
        <v/>
      </c>
      <c r="AH375" s="26" t="str">
        <f>IF(B375="", "", 'Lighting Inventory'!AD383)</f>
        <v/>
      </c>
      <c r="AI375" s="26" t="str">
        <f>IF(OR('Lighting Inventory'!AK383="", B375=""), "", 'Lighting Inventory'!AK383)</f>
        <v/>
      </c>
      <c r="AJ375" s="66" t="str">
        <f>IF(B375="", "", 'Lighting Inventory'!AL383)</f>
        <v/>
      </c>
      <c r="AK375" s="65" t="str">
        <f>IF(B375="", "", 'Lighting Inventory'!AM383)</f>
        <v/>
      </c>
      <c r="AL375" s="26" t="str">
        <f>IF(B375="", "", 'Lighting Inventory'!AN383)</f>
        <v/>
      </c>
      <c r="AM375" s="26" t="str">
        <f t="shared" si="18"/>
        <v/>
      </c>
      <c r="AN375" s="26" t="str">
        <f>IF(B375="","",IF('Lighting Inventory'!AV383="","Prescribed",'Lighting Inventory'!AV383))</f>
        <v/>
      </c>
      <c r="AO375" s="66" t="str">
        <f>IF(B375="", "", 'Lighting Inventory'!AX383)</f>
        <v/>
      </c>
      <c r="AP375" s="67" t="str">
        <f>IF(B375="", "", 'Lighting Inventory'!AZ383)</f>
        <v/>
      </c>
      <c r="AQ375" s="67" t="str">
        <f>IF(B375="", "", 'Lighting Inventory'!BA383)</f>
        <v/>
      </c>
      <c r="AR375" s="67" t="str">
        <f>IF(B375="", "", 'Lighting Inventory'!BB383)</f>
        <v/>
      </c>
      <c r="AS375" s="67" t="str">
        <f>IF(B375="", "", 'Lighting Inventory'!BC383)</f>
        <v/>
      </c>
      <c r="AT375" s="67" t="str">
        <f>IF(B375="", "", 'Lighting Inventory'!BD383)</f>
        <v/>
      </c>
      <c r="AU375" s="67" t="str">
        <f>IF(B375="", "", 'Lighting Inventory'!BE383)</f>
        <v/>
      </c>
      <c r="AV375" s="67" t="str">
        <f>IF(B375="", "", 'Lighting Inventory'!BE383)</f>
        <v/>
      </c>
      <c r="AW375" s="67" t="str">
        <f>IF(B375="", "", 'Lighting Inventory'!BF383)</f>
        <v/>
      </c>
      <c r="AX375" s="67" t="str">
        <f>IF(B375="", "", 'Lighting Inventory'!BF383)</f>
        <v/>
      </c>
      <c r="AY375" s="65" t="str">
        <f t="shared" si="19"/>
        <v/>
      </c>
      <c r="AZ375" s="65" t="str">
        <f>IF(B375="", "", 'Lighting Inventory'!BJ383)</f>
        <v/>
      </c>
      <c r="BA375" s="65" t="str">
        <f>IF(B375="", "", 'Lighting Inventory'!BM383)</f>
        <v/>
      </c>
      <c r="BB375" s="65" t="str">
        <f>IF(B375="","",SUM('Lighting Inventory'!BP383:BP383))</f>
        <v/>
      </c>
      <c r="BC375" s="67" t="str">
        <f>IF(OR(AE375="", B375=""),"", 'Lighting Inventory'!GR383)</f>
        <v/>
      </c>
      <c r="BD375" s="67" t="str">
        <f>IFERROR(IF(B375="", "", 'Lighting Inventory'!AF383)*AD375," ")</f>
        <v xml:space="preserve"> </v>
      </c>
      <c r="BE375" s="67"/>
      <c r="BF375" s="67"/>
    </row>
    <row r="376" spans="1:58" x14ac:dyDescent="0.25">
      <c r="A376" s="26" t="str">
        <f>IF(B376="", "", 'Lookup Tables'!AW377)</f>
        <v/>
      </c>
      <c r="B376" s="26" t="str">
        <f>IF(OR('Lighting Inventory'!Y384="", 'Lighting Inventory'!V384="No Change"),"", 'Lighting Inventory'!Y384)</f>
        <v/>
      </c>
      <c r="C376" s="26" t="str">
        <f>IF(B376="", "", IF('Lighting Inventory'!Y384='Lookup Tables'!$Y$32, 'Lighting Inventory'!AJ384, IF(AD376=0, R376, AD376)))</f>
        <v/>
      </c>
      <c r="D376" s="26" t="str">
        <f>IF(B376="", "", 'General Information'!$F$14)</f>
        <v/>
      </c>
      <c r="E376" s="26" t="str">
        <f t="shared" si="17"/>
        <v/>
      </c>
      <c r="F376" s="26" t="str">
        <f>IF(B376="", "", CONCATENATE('General Information'!$F$9, " - ", 'General Information'!$F$14))</f>
        <v/>
      </c>
      <c r="G376" s="26" t="str">
        <f>IF(B376="", "", 'General Information'!$F$15)</f>
        <v/>
      </c>
      <c r="H376" s="26" t="str">
        <f>IF(B376="", "", IF(VLOOKUP(B376, 'Lookup Tables'!$Y$18:$AA$34, 2, FALSE)="Traffic", VLOOKUP('Lighting Inventory'!W384, 'Lookup Tables'!#REF!, 11, FALSE), VLOOKUP(B376, 'Lookup Tables'!$Y$18:$AA$34, 2, FALSE)))</f>
        <v/>
      </c>
      <c r="I376" s="26" t="str">
        <f>IF(B376="", "", CONCATENATE(D376, 'Data Export'!A376))</f>
        <v/>
      </c>
      <c r="J376" s="26" t="str">
        <f>IF(B376="", "", 'Lookup Tables'!$B$1)</f>
        <v/>
      </c>
      <c r="K376" s="26" t="str">
        <f>IF(B376="", "", 'Lighting Inventory'!B384)</f>
        <v/>
      </c>
      <c r="L376" s="26" t="str">
        <f>IF(B376="", "", 'Lighting Inventory'!C384)</f>
        <v/>
      </c>
      <c r="M376" s="26" t="str">
        <f>IF(B376="", "",'Lighting Inventory'!D384)</f>
        <v/>
      </c>
      <c r="N376" s="26" t="str">
        <f>IF(B376="", "",'Lighting Inventory'!E384)</f>
        <v/>
      </c>
      <c r="O376" s="26" t="str">
        <f>IF(B376="", "", 'Lighting Inventory'!F384)</f>
        <v/>
      </c>
      <c r="P376" s="26" t="str">
        <f>IF(B376="", "", 'Lighting Inventory'!G384)</f>
        <v/>
      </c>
      <c r="Q376" s="26" t="str">
        <f>IF(B376="", "", 'Lighting Inventory'!H384)</f>
        <v/>
      </c>
      <c r="R376" s="26" t="str">
        <f>IF(B376="", "", 'Lighting Inventory'!I384)</f>
        <v/>
      </c>
      <c r="S376" s="26" t="str">
        <f>IF(B376="", "", 'Lighting Inventory'!J384)</f>
        <v/>
      </c>
      <c r="T376" s="26" t="str">
        <f>IFERROR(IF(B376="","",VLOOKUP(S376,'Fixture Identities'!$A$7:$G$1023,5,FALSE)), "New Construction")</f>
        <v/>
      </c>
      <c r="U376" s="26" t="str">
        <f>IFERROR(IF(B376="", "", IF(K376="New Construction", "NC", IF(VLOOKUP(S376, 'Fixture Identities'!$A$7:$I$1023,3, FALSE)="T12 Linear Fluorescent", VLOOKUP(S376, 'Fixture Identities'!$A$7:$K$1012, 11, FALSE), S376))), "")</f>
        <v/>
      </c>
      <c r="V376" s="26" t="str">
        <f>IFERROR(IF(OR(B376="", U376=0), "", VLOOKUP(U376, 'Fixture Identities'!$A$7:$G$1023, 5, FALSE)), "")</f>
        <v/>
      </c>
      <c r="W376" s="26" t="str">
        <f>IF(B376="", "",'Lighting Inventory'!K384)</f>
        <v/>
      </c>
      <c r="X376" s="65" t="str">
        <f>IF(B376="", "", 'Lighting Inventory'!L384)</f>
        <v/>
      </c>
      <c r="Y376" s="26" t="str">
        <f>IF(B376="", "", IF('Lighting Inventory'!M384="", "Light Switch",'Lighting Inventory'!M384))</f>
        <v/>
      </c>
      <c r="Z376" s="26" t="str">
        <f>IF(OR(K376="Retrofit", B376=""), "", 'Lighting Inventory'!N384)</f>
        <v/>
      </c>
      <c r="AA376" s="26" t="str">
        <f>IF(OR(Z376="",B376=""), "", 'Lighting Inventory'!O384)</f>
        <v/>
      </c>
      <c r="AB376" s="26" t="str">
        <f>IF(B376="", "", 'Lighting Inventory'!P384)</f>
        <v/>
      </c>
      <c r="AC376" s="96" t="str">
        <f>IF(B376="", "", 'Lighting Inventory'!R384)</f>
        <v/>
      </c>
      <c r="AD376" s="26" t="str">
        <f>IF(B376="", "", 'Lighting Inventory'!S384)</f>
        <v/>
      </c>
      <c r="AE376" s="26" t="str">
        <f>IF(B376="", "", 'Lighting Inventory'!V384)</f>
        <v/>
      </c>
      <c r="AF376" s="26" t="str">
        <f>IF(B376="", "", 'Lighting Inventory'!W384)</f>
        <v/>
      </c>
      <c r="AG376" s="26" t="str">
        <f>IF(OR(AF376="", B376=""), "", IF(AE376="Custom", "0", VLOOKUP(AF376, 'Lookup Tables'!$AI$6:$AP$102, 8, FALSE)))</f>
        <v/>
      </c>
      <c r="AH376" s="26" t="str">
        <f>IF(B376="", "", 'Lighting Inventory'!AD384)</f>
        <v/>
      </c>
      <c r="AI376" s="26" t="str">
        <f>IF(OR('Lighting Inventory'!AK384="", B376=""), "", 'Lighting Inventory'!AK384)</f>
        <v/>
      </c>
      <c r="AJ376" s="66" t="str">
        <f>IF(B376="", "", 'Lighting Inventory'!AL384)</f>
        <v/>
      </c>
      <c r="AK376" s="65" t="str">
        <f>IF(B376="", "", 'Lighting Inventory'!AM384)</f>
        <v/>
      </c>
      <c r="AL376" s="26" t="str">
        <f>IF(B376="", "", 'Lighting Inventory'!AN384)</f>
        <v/>
      </c>
      <c r="AM376" s="26" t="str">
        <f t="shared" si="18"/>
        <v/>
      </c>
      <c r="AN376" s="26" t="str">
        <f>IF(B376="","",IF('Lighting Inventory'!AV384="","Prescribed",'Lighting Inventory'!AV384))</f>
        <v/>
      </c>
      <c r="AO376" s="66" t="str">
        <f>IF(B376="", "", 'Lighting Inventory'!AX384)</f>
        <v/>
      </c>
      <c r="AP376" s="67" t="str">
        <f>IF(B376="", "", 'Lighting Inventory'!AZ384)</f>
        <v/>
      </c>
      <c r="AQ376" s="67" t="str">
        <f>IF(B376="", "", 'Lighting Inventory'!BA384)</f>
        <v/>
      </c>
      <c r="AR376" s="67" t="str">
        <f>IF(B376="", "", 'Lighting Inventory'!BB384)</f>
        <v/>
      </c>
      <c r="AS376" s="67" t="str">
        <f>IF(B376="", "", 'Lighting Inventory'!BC384)</f>
        <v/>
      </c>
      <c r="AT376" s="67" t="str">
        <f>IF(B376="", "", 'Lighting Inventory'!BD384)</f>
        <v/>
      </c>
      <c r="AU376" s="67" t="str">
        <f>IF(B376="", "", 'Lighting Inventory'!BE384)</f>
        <v/>
      </c>
      <c r="AV376" s="67" t="str">
        <f>IF(B376="", "", 'Lighting Inventory'!BE384)</f>
        <v/>
      </c>
      <c r="AW376" s="67" t="str">
        <f>IF(B376="", "", 'Lighting Inventory'!BF384)</f>
        <v/>
      </c>
      <c r="AX376" s="67" t="str">
        <f>IF(B376="", "", 'Lighting Inventory'!BF384)</f>
        <v/>
      </c>
      <c r="AY376" s="65" t="str">
        <f t="shared" si="19"/>
        <v/>
      </c>
      <c r="AZ376" s="65" t="str">
        <f>IF(B376="", "", 'Lighting Inventory'!BJ384)</f>
        <v/>
      </c>
      <c r="BA376" s="65" t="str">
        <f>IF(B376="", "", 'Lighting Inventory'!BM384)</f>
        <v/>
      </c>
      <c r="BB376" s="65" t="str">
        <f>IF(B376="","",SUM('Lighting Inventory'!BP384:BP384))</f>
        <v/>
      </c>
      <c r="BC376" s="67" t="str">
        <f>IF(OR(AE376="", B376=""),"", 'Lighting Inventory'!GR384)</f>
        <v/>
      </c>
      <c r="BD376" s="67" t="str">
        <f>IFERROR(IF(B376="", "", 'Lighting Inventory'!AF384)*AD376," ")</f>
        <v xml:space="preserve"> </v>
      </c>
      <c r="BE376" s="67"/>
      <c r="BF376" s="67"/>
    </row>
    <row r="377" spans="1:58" x14ac:dyDescent="0.25">
      <c r="A377" s="26" t="str">
        <f>IF(B377="", "", 'Lookup Tables'!AW378)</f>
        <v/>
      </c>
      <c r="B377" s="26" t="str">
        <f>IF(OR('Lighting Inventory'!Y385="", 'Lighting Inventory'!V385="No Change"),"", 'Lighting Inventory'!Y385)</f>
        <v/>
      </c>
      <c r="C377" s="26" t="str">
        <f>IF(B377="", "", IF('Lighting Inventory'!Y385='Lookup Tables'!$Y$32, 'Lighting Inventory'!AJ385, IF(AD377=0, R377, AD377)))</f>
        <v/>
      </c>
      <c r="D377" s="26" t="str">
        <f>IF(B377="", "", 'General Information'!$F$14)</f>
        <v/>
      </c>
      <c r="E377" s="26" t="str">
        <f t="shared" si="17"/>
        <v/>
      </c>
      <c r="F377" s="26" t="str">
        <f>IF(B377="", "", CONCATENATE('General Information'!$F$9, " - ", 'General Information'!$F$14))</f>
        <v/>
      </c>
      <c r="G377" s="26" t="str">
        <f>IF(B377="", "", 'General Information'!$F$15)</f>
        <v/>
      </c>
      <c r="H377" s="26" t="str">
        <f>IF(B377="", "", IF(VLOOKUP(B377, 'Lookup Tables'!$Y$18:$AA$34, 2, FALSE)="Traffic", VLOOKUP('Lighting Inventory'!W385, 'Lookup Tables'!#REF!, 11, FALSE), VLOOKUP(B377, 'Lookup Tables'!$Y$18:$AA$34, 2, FALSE)))</f>
        <v/>
      </c>
      <c r="I377" s="26" t="str">
        <f>IF(B377="", "", CONCATENATE(D377, 'Data Export'!A377))</f>
        <v/>
      </c>
      <c r="J377" s="26" t="str">
        <f>IF(B377="", "", 'Lookup Tables'!$B$1)</f>
        <v/>
      </c>
      <c r="K377" s="26" t="str">
        <f>IF(B377="", "", 'Lighting Inventory'!B385)</f>
        <v/>
      </c>
      <c r="L377" s="26" t="str">
        <f>IF(B377="", "", 'Lighting Inventory'!C385)</f>
        <v/>
      </c>
      <c r="M377" s="26" t="str">
        <f>IF(B377="", "",'Lighting Inventory'!D385)</f>
        <v/>
      </c>
      <c r="N377" s="26" t="str">
        <f>IF(B377="", "",'Lighting Inventory'!E385)</f>
        <v/>
      </c>
      <c r="O377" s="26" t="str">
        <f>IF(B377="", "", 'Lighting Inventory'!F385)</f>
        <v/>
      </c>
      <c r="P377" s="26" t="str">
        <f>IF(B377="", "", 'Lighting Inventory'!G385)</f>
        <v/>
      </c>
      <c r="Q377" s="26" t="str">
        <f>IF(B377="", "", 'Lighting Inventory'!H385)</f>
        <v/>
      </c>
      <c r="R377" s="26" t="str">
        <f>IF(B377="", "", 'Lighting Inventory'!I385)</f>
        <v/>
      </c>
      <c r="S377" s="26" t="str">
        <f>IF(B377="", "", 'Lighting Inventory'!J385)</f>
        <v/>
      </c>
      <c r="T377" s="26" t="str">
        <f>IFERROR(IF(B377="","",VLOOKUP(S377,'Fixture Identities'!$A$7:$G$1023,5,FALSE)), "New Construction")</f>
        <v/>
      </c>
      <c r="U377" s="26" t="str">
        <f>IFERROR(IF(B377="", "", IF(K377="New Construction", "NC", IF(VLOOKUP(S377, 'Fixture Identities'!$A$7:$I$1023,3, FALSE)="T12 Linear Fluorescent", VLOOKUP(S377, 'Fixture Identities'!$A$7:$K$1012, 11, FALSE), S377))), "")</f>
        <v/>
      </c>
      <c r="V377" s="26" t="str">
        <f>IFERROR(IF(OR(B377="", U377=0), "", VLOOKUP(U377, 'Fixture Identities'!$A$7:$G$1023, 5, FALSE)), "")</f>
        <v/>
      </c>
      <c r="W377" s="26" t="str">
        <f>IF(B377="", "",'Lighting Inventory'!K385)</f>
        <v/>
      </c>
      <c r="X377" s="65" t="str">
        <f>IF(B377="", "", 'Lighting Inventory'!L385)</f>
        <v/>
      </c>
      <c r="Y377" s="26" t="str">
        <f>IF(B377="", "", IF('Lighting Inventory'!M385="", "Light Switch",'Lighting Inventory'!M385))</f>
        <v/>
      </c>
      <c r="Z377" s="26" t="str">
        <f>IF(OR(K377="Retrofit", B377=""), "", 'Lighting Inventory'!N385)</f>
        <v/>
      </c>
      <c r="AA377" s="26" t="str">
        <f>IF(OR(Z377="",B377=""), "", 'Lighting Inventory'!O385)</f>
        <v/>
      </c>
      <c r="AB377" s="26" t="str">
        <f>IF(B377="", "", 'Lighting Inventory'!P385)</f>
        <v/>
      </c>
      <c r="AC377" s="96" t="str">
        <f>IF(B377="", "", 'Lighting Inventory'!R385)</f>
        <v/>
      </c>
      <c r="AD377" s="26" t="str">
        <f>IF(B377="", "", 'Lighting Inventory'!S385)</f>
        <v/>
      </c>
      <c r="AE377" s="26" t="str">
        <f>IF(B377="", "", 'Lighting Inventory'!V385)</f>
        <v/>
      </c>
      <c r="AF377" s="26" t="str">
        <f>IF(B377="", "", 'Lighting Inventory'!W385)</f>
        <v/>
      </c>
      <c r="AG377" s="26" t="str">
        <f>IF(OR(AF377="", B377=""), "", IF(AE377="Custom", "0", VLOOKUP(AF377, 'Lookup Tables'!$AI$6:$AP$102, 8, FALSE)))</f>
        <v/>
      </c>
      <c r="AH377" s="26" t="str">
        <f>IF(B377="", "", 'Lighting Inventory'!AD385)</f>
        <v/>
      </c>
      <c r="AI377" s="26" t="str">
        <f>IF(OR('Lighting Inventory'!AK385="", B377=""), "", 'Lighting Inventory'!AK385)</f>
        <v/>
      </c>
      <c r="AJ377" s="66" t="str">
        <f>IF(B377="", "", 'Lighting Inventory'!AL385)</f>
        <v/>
      </c>
      <c r="AK377" s="65" t="str">
        <f>IF(B377="", "", 'Lighting Inventory'!AM385)</f>
        <v/>
      </c>
      <c r="AL377" s="26" t="str">
        <f>IF(B377="", "", 'Lighting Inventory'!AN385)</f>
        <v/>
      </c>
      <c r="AM377" s="26" t="str">
        <f t="shared" si="18"/>
        <v/>
      </c>
      <c r="AN377" s="26" t="str">
        <f>IF(B377="","",IF('Lighting Inventory'!AV385="","Prescribed",'Lighting Inventory'!AV385))</f>
        <v/>
      </c>
      <c r="AO377" s="66" t="str">
        <f>IF(B377="", "", 'Lighting Inventory'!AX385)</f>
        <v/>
      </c>
      <c r="AP377" s="67" t="str">
        <f>IF(B377="", "", 'Lighting Inventory'!AZ385)</f>
        <v/>
      </c>
      <c r="AQ377" s="67" t="str">
        <f>IF(B377="", "", 'Lighting Inventory'!BA385)</f>
        <v/>
      </c>
      <c r="AR377" s="67" t="str">
        <f>IF(B377="", "", 'Lighting Inventory'!BB385)</f>
        <v/>
      </c>
      <c r="AS377" s="67" t="str">
        <f>IF(B377="", "", 'Lighting Inventory'!BC385)</f>
        <v/>
      </c>
      <c r="AT377" s="67" t="str">
        <f>IF(B377="", "", 'Lighting Inventory'!BD385)</f>
        <v/>
      </c>
      <c r="AU377" s="67" t="str">
        <f>IF(B377="", "", 'Lighting Inventory'!BE385)</f>
        <v/>
      </c>
      <c r="AV377" s="67" t="str">
        <f>IF(B377="", "", 'Lighting Inventory'!BE385)</f>
        <v/>
      </c>
      <c r="AW377" s="67" t="str">
        <f>IF(B377="", "", 'Lighting Inventory'!BF385)</f>
        <v/>
      </c>
      <c r="AX377" s="67" t="str">
        <f>IF(B377="", "", 'Lighting Inventory'!BF385)</f>
        <v/>
      </c>
      <c r="AY377" s="65" t="str">
        <f t="shared" si="19"/>
        <v/>
      </c>
      <c r="AZ377" s="65" t="str">
        <f>IF(B377="", "", 'Lighting Inventory'!BJ385)</f>
        <v/>
      </c>
      <c r="BA377" s="65" t="str">
        <f>IF(B377="", "", 'Lighting Inventory'!BM385)</f>
        <v/>
      </c>
      <c r="BB377" s="65" t="str">
        <f>IF(B377="","",SUM('Lighting Inventory'!BP385:BP385))</f>
        <v/>
      </c>
      <c r="BC377" s="67" t="str">
        <f>IF(OR(AE377="", B377=""),"", 'Lighting Inventory'!GR385)</f>
        <v/>
      </c>
      <c r="BD377" s="67" t="str">
        <f>IFERROR(IF(B377="", "", 'Lighting Inventory'!AF385)*AD377," ")</f>
        <v xml:space="preserve"> </v>
      </c>
      <c r="BE377" s="67"/>
      <c r="BF377" s="67"/>
    </row>
    <row r="378" spans="1:58" x14ac:dyDescent="0.25">
      <c r="A378" s="26" t="str">
        <f>IF(B378="", "", 'Lookup Tables'!AW379)</f>
        <v/>
      </c>
      <c r="B378" s="26" t="str">
        <f>IF(OR('Lighting Inventory'!Y386="", 'Lighting Inventory'!V386="No Change"),"", 'Lighting Inventory'!Y386)</f>
        <v/>
      </c>
      <c r="C378" s="26" t="str">
        <f>IF(B378="", "", IF('Lighting Inventory'!Y386='Lookup Tables'!$Y$32, 'Lighting Inventory'!AJ386, IF(AD378=0, R378, AD378)))</f>
        <v/>
      </c>
      <c r="D378" s="26" t="str">
        <f>IF(B378="", "", 'General Information'!$F$14)</f>
        <v/>
      </c>
      <c r="E378" s="26" t="str">
        <f t="shared" si="17"/>
        <v/>
      </c>
      <c r="F378" s="26" t="str">
        <f>IF(B378="", "", CONCATENATE('General Information'!$F$9, " - ", 'General Information'!$F$14))</f>
        <v/>
      </c>
      <c r="G378" s="26" t="str">
        <f>IF(B378="", "", 'General Information'!$F$15)</f>
        <v/>
      </c>
      <c r="H378" s="26" t="str">
        <f>IF(B378="", "", IF(VLOOKUP(B378, 'Lookup Tables'!$Y$18:$AA$34, 2, FALSE)="Traffic", VLOOKUP('Lighting Inventory'!W386, 'Lookup Tables'!#REF!, 11, FALSE), VLOOKUP(B378, 'Lookup Tables'!$Y$18:$AA$34, 2, FALSE)))</f>
        <v/>
      </c>
      <c r="I378" s="26" t="str">
        <f>IF(B378="", "", CONCATENATE(D378, 'Data Export'!A378))</f>
        <v/>
      </c>
      <c r="J378" s="26" t="str">
        <f>IF(B378="", "", 'Lookup Tables'!$B$1)</f>
        <v/>
      </c>
      <c r="K378" s="26" t="str">
        <f>IF(B378="", "", 'Lighting Inventory'!B386)</f>
        <v/>
      </c>
      <c r="L378" s="26" t="str">
        <f>IF(B378="", "", 'Lighting Inventory'!C386)</f>
        <v/>
      </c>
      <c r="M378" s="26" t="str">
        <f>IF(B378="", "",'Lighting Inventory'!D386)</f>
        <v/>
      </c>
      <c r="N378" s="26" t="str">
        <f>IF(B378="", "",'Lighting Inventory'!E386)</f>
        <v/>
      </c>
      <c r="O378" s="26" t="str">
        <f>IF(B378="", "", 'Lighting Inventory'!F386)</f>
        <v/>
      </c>
      <c r="P378" s="26" t="str">
        <f>IF(B378="", "", 'Lighting Inventory'!G386)</f>
        <v/>
      </c>
      <c r="Q378" s="26" t="str">
        <f>IF(B378="", "", 'Lighting Inventory'!H386)</f>
        <v/>
      </c>
      <c r="R378" s="26" t="str">
        <f>IF(B378="", "", 'Lighting Inventory'!I386)</f>
        <v/>
      </c>
      <c r="S378" s="26" t="str">
        <f>IF(B378="", "", 'Lighting Inventory'!J386)</f>
        <v/>
      </c>
      <c r="T378" s="26" t="str">
        <f>IFERROR(IF(B378="","",VLOOKUP(S378,'Fixture Identities'!$A$7:$G$1023,5,FALSE)), "New Construction")</f>
        <v/>
      </c>
      <c r="U378" s="26" t="str">
        <f>IFERROR(IF(B378="", "", IF(K378="New Construction", "NC", IF(VLOOKUP(S378, 'Fixture Identities'!$A$7:$I$1023,3, FALSE)="T12 Linear Fluorescent", VLOOKUP(S378, 'Fixture Identities'!$A$7:$K$1012, 11, FALSE), S378))), "")</f>
        <v/>
      </c>
      <c r="V378" s="26" t="str">
        <f>IFERROR(IF(OR(B378="", U378=0), "", VLOOKUP(U378, 'Fixture Identities'!$A$7:$G$1023, 5, FALSE)), "")</f>
        <v/>
      </c>
      <c r="W378" s="26" t="str">
        <f>IF(B378="", "",'Lighting Inventory'!K386)</f>
        <v/>
      </c>
      <c r="X378" s="65" t="str">
        <f>IF(B378="", "", 'Lighting Inventory'!L386)</f>
        <v/>
      </c>
      <c r="Y378" s="26" t="str">
        <f>IF(B378="", "", IF('Lighting Inventory'!M386="", "Light Switch",'Lighting Inventory'!M386))</f>
        <v/>
      </c>
      <c r="Z378" s="26" t="str">
        <f>IF(OR(K378="Retrofit", B378=""), "", 'Lighting Inventory'!N386)</f>
        <v/>
      </c>
      <c r="AA378" s="26" t="str">
        <f>IF(OR(Z378="",B378=""), "", 'Lighting Inventory'!O386)</f>
        <v/>
      </c>
      <c r="AB378" s="26" t="str">
        <f>IF(B378="", "", 'Lighting Inventory'!P386)</f>
        <v/>
      </c>
      <c r="AC378" s="96" t="str">
        <f>IF(B378="", "", 'Lighting Inventory'!R386)</f>
        <v/>
      </c>
      <c r="AD378" s="26" t="str">
        <f>IF(B378="", "", 'Lighting Inventory'!S386)</f>
        <v/>
      </c>
      <c r="AE378" s="26" t="str">
        <f>IF(B378="", "", 'Lighting Inventory'!V386)</f>
        <v/>
      </c>
      <c r="AF378" s="26" t="str">
        <f>IF(B378="", "", 'Lighting Inventory'!W386)</f>
        <v/>
      </c>
      <c r="AG378" s="26" t="str">
        <f>IF(OR(AF378="", B378=""), "", IF(AE378="Custom", "0", VLOOKUP(AF378, 'Lookup Tables'!$AI$6:$AP$102, 8, FALSE)))</f>
        <v/>
      </c>
      <c r="AH378" s="26" t="str">
        <f>IF(B378="", "", 'Lighting Inventory'!AD386)</f>
        <v/>
      </c>
      <c r="AI378" s="26" t="str">
        <f>IF(OR('Lighting Inventory'!AK386="", B378=""), "", 'Lighting Inventory'!AK386)</f>
        <v/>
      </c>
      <c r="AJ378" s="66" t="str">
        <f>IF(B378="", "", 'Lighting Inventory'!AL386)</f>
        <v/>
      </c>
      <c r="AK378" s="65" t="str">
        <f>IF(B378="", "", 'Lighting Inventory'!AM386)</f>
        <v/>
      </c>
      <c r="AL378" s="26" t="str">
        <f>IF(B378="", "", 'Lighting Inventory'!AN386)</f>
        <v/>
      </c>
      <c r="AM378" s="26" t="str">
        <f t="shared" si="18"/>
        <v/>
      </c>
      <c r="AN378" s="26" t="str">
        <f>IF(B378="","",IF('Lighting Inventory'!AV386="","Prescribed",'Lighting Inventory'!AV386))</f>
        <v/>
      </c>
      <c r="AO378" s="66" t="str">
        <f>IF(B378="", "", 'Lighting Inventory'!AX386)</f>
        <v/>
      </c>
      <c r="AP378" s="67" t="str">
        <f>IF(B378="", "", 'Lighting Inventory'!AZ386)</f>
        <v/>
      </c>
      <c r="AQ378" s="67" t="str">
        <f>IF(B378="", "", 'Lighting Inventory'!BA386)</f>
        <v/>
      </c>
      <c r="AR378" s="67" t="str">
        <f>IF(B378="", "", 'Lighting Inventory'!BB386)</f>
        <v/>
      </c>
      <c r="AS378" s="67" t="str">
        <f>IF(B378="", "", 'Lighting Inventory'!BC386)</f>
        <v/>
      </c>
      <c r="AT378" s="67" t="str">
        <f>IF(B378="", "", 'Lighting Inventory'!BD386)</f>
        <v/>
      </c>
      <c r="AU378" s="67" t="str">
        <f>IF(B378="", "", 'Lighting Inventory'!BE386)</f>
        <v/>
      </c>
      <c r="AV378" s="67" t="str">
        <f>IF(B378="", "", 'Lighting Inventory'!BE386)</f>
        <v/>
      </c>
      <c r="AW378" s="67" t="str">
        <f>IF(B378="", "", 'Lighting Inventory'!BF386)</f>
        <v/>
      </c>
      <c r="AX378" s="67" t="str">
        <f>IF(B378="", "", 'Lighting Inventory'!BF386)</f>
        <v/>
      </c>
      <c r="AY378" s="65" t="str">
        <f t="shared" si="19"/>
        <v/>
      </c>
      <c r="AZ378" s="65" t="str">
        <f>IF(B378="", "", 'Lighting Inventory'!BJ386)</f>
        <v/>
      </c>
      <c r="BA378" s="65" t="str">
        <f>IF(B378="", "", 'Lighting Inventory'!BM386)</f>
        <v/>
      </c>
      <c r="BB378" s="65" t="str">
        <f>IF(B378="","",SUM('Lighting Inventory'!BP386:BP386))</f>
        <v/>
      </c>
      <c r="BC378" s="67" t="str">
        <f>IF(OR(AE378="", B378=""),"", 'Lighting Inventory'!GR386)</f>
        <v/>
      </c>
      <c r="BD378" s="67" t="str">
        <f>IFERROR(IF(B378="", "", 'Lighting Inventory'!AF386)*AD378," ")</f>
        <v xml:space="preserve"> </v>
      </c>
      <c r="BE378" s="67"/>
      <c r="BF378" s="67"/>
    </row>
    <row r="379" spans="1:58" x14ac:dyDescent="0.25">
      <c r="A379" s="26" t="str">
        <f>IF(B379="", "", 'Lookup Tables'!AW380)</f>
        <v/>
      </c>
      <c r="B379" s="26" t="str">
        <f>IF(OR('Lighting Inventory'!Y387="", 'Lighting Inventory'!V387="No Change"),"", 'Lighting Inventory'!Y387)</f>
        <v/>
      </c>
      <c r="C379" s="26" t="str">
        <f>IF(B379="", "", IF('Lighting Inventory'!Y387='Lookup Tables'!$Y$32, 'Lighting Inventory'!AJ387, IF(AD379=0, R379, AD379)))</f>
        <v/>
      </c>
      <c r="D379" s="26" t="str">
        <f>IF(B379="", "", 'General Information'!$F$14)</f>
        <v/>
      </c>
      <c r="E379" s="26" t="str">
        <f t="shared" ref="E379:E442" si="20">IF(B379="", "", "FPPLPR")</f>
        <v/>
      </c>
      <c r="F379" s="26" t="str">
        <f>IF(B379="", "", CONCATENATE('General Information'!$F$9, " - ", 'General Information'!$F$14))</f>
        <v/>
      </c>
      <c r="G379" s="26" t="str">
        <f>IF(B379="", "", 'General Information'!$F$15)</f>
        <v/>
      </c>
      <c r="H379" s="26" t="str">
        <f>IF(B379="", "", IF(VLOOKUP(B379, 'Lookup Tables'!$Y$18:$AA$34, 2, FALSE)="Traffic", VLOOKUP('Lighting Inventory'!W387, 'Lookup Tables'!#REF!, 11, FALSE), VLOOKUP(B379, 'Lookup Tables'!$Y$18:$AA$34, 2, FALSE)))</f>
        <v/>
      </c>
      <c r="I379" s="26" t="str">
        <f>IF(B379="", "", CONCATENATE(D379, 'Data Export'!A379))</f>
        <v/>
      </c>
      <c r="J379" s="26" t="str">
        <f>IF(B379="", "", 'Lookup Tables'!$B$1)</f>
        <v/>
      </c>
      <c r="K379" s="26" t="str">
        <f>IF(B379="", "", 'Lighting Inventory'!B387)</f>
        <v/>
      </c>
      <c r="L379" s="26" t="str">
        <f>IF(B379="", "", 'Lighting Inventory'!C387)</f>
        <v/>
      </c>
      <c r="M379" s="26" t="str">
        <f>IF(B379="", "",'Lighting Inventory'!D387)</f>
        <v/>
      </c>
      <c r="N379" s="26" t="str">
        <f>IF(B379="", "",'Lighting Inventory'!E387)</f>
        <v/>
      </c>
      <c r="O379" s="26" t="str">
        <f>IF(B379="", "", 'Lighting Inventory'!F387)</f>
        <v/>
      </c>
      <c r="P379" s="26" t="str">
        <f>IF(B379="", "", 'Lighting Inventory'!G387)</f>
        <v/>
      </c>
      <c r="Q379" s="26" t="str">
        <f>IF(B379="", "", 'Lighting Inventory'!H387)</f>
        <v/>
      </c>
      <c r="R379" s="26" t="str">
        <f>IF(B379="", "", 'Lighting Inventory'!I387)</f>
        <v/>
      </c>
      <c r="S379" s="26" t="str">
        <f>IF(B379="", "", 'Lighting Inventory'!J387)</f>
        <v/>
      </c>
      <c r="T379" s="26" t="str">
        <f>IFERROR(IF(B379="","",VLOOKUP(S379,'Fixture Identities'!$A$7:$G$1023,5,FALSE)), "New Construction")</f>
        <v/>
      </c>
      <c r="U379" s="26" t="str">
        <f>IFERROR(IF(B379="", "", IF(K379="New Construction", "NC", IF(VLOOKUP(S379, 'Fixture Identities'!$A$7:$I$1023,3, FALSE)="T12 Linear Fluorescent", VLOOKUP(S379, 'Fixture Identities'!$A$7:$K$1012, 11, FALSE), S379))), "")</f>
        <v/>
      </c>
      <c r="V379" s="26" t="str">
        <f>IFERROR(IF(OR(B379="", U379=0), "", VLOOKUP(U379, 'Fixture Identities'!$A$7:$G$1023, 5, FALSE)), "")</f>
        <v/>
      </c>
      <c r="W379" s="26" t="str">
        <f>IF(B379="", "",'Lighting Inventory'!K387)</f>
        <v/>
      </c>
      <c r="X379" s="65" t="str">
        <f>IF(B379="", "", 'Lighting Inventory'!L387)</f>
        <v/>
      </c>
      <c r="Y379" s="26" t="str">
        <f>IF(B379="", "", IF('Lighting Inventory'!M387="", "Light Switch",'Lighting Inventory'!M387))</f>
        <v/>
      </c>
      <c r="Z379" s="26" t="str">
        <f>IF(OR(K379="Retrofit", B379=""), "", 'Lighting Inventory'!N387)</f>
        <v/>
      </c>
      <c r="AA379" s="26" t="str">
        <f>IF(OR(Z379="",B379=""), "", 'Lighting Inventory'!O387)</f>
        <v/>
      </c>
      <c r="AB379" s="26" t="str">
        <f>IF(B379="", "", 'Lighting Inventory'!P387)</f>
        <v/>
      </c>
      <c r="AC379" s="96" t="str">
        <f>IF(B379="", "", 'Lighting Inventory'!R387)</f>
        <v/>
      </c>
      <c r="AD379" s="26" t="str">
        <f>IF(B379="", "", 'Lighting Inventory'!S387)</f>
        <v/>
      </c>
      <c r="AE379" s="26" t="str">
        <f>IF(B379="", "", 'Lighting Inventory'!V387)</f>
        <v/>
      </c>
      <c r="AF379" s="26" t="str">
        <f>IF(B379="", "", 'Lighting Inventory'!W387)</f>
        <v/>
      </c>
      <c r="AG379" s="26" t="str">
        <f>IF(OR(AF379="", B379=""), "", IF(AE379="Custom", "0", VLOOKUP(AF379, 'Lookup Tables'!$AI$6:$AP$102, 8, FALSE)))</f>
        <v/>
      </c>
      <c r="AH379" s="26" t="str">
        <f>IF(B379="", "", 'Lighting Inventory'!AD387)</f>
        <v/>
      </c>
      <c r="AI379" s="26" t="str">
        <f>IF(OR('Lighting Inventory'!AK387="", B379=""), "", 'Lighting Inventory'!AK387)</f>
        <v/>
      </c>
      <c r="AJ379" s="66" t="str">
        <f>IF(B379="", "", 'Lighting Inventory'!AL387)</f>
        <v/>
      </c>
      <c r="AK379" s="65" t="str">
        <f>IF(B379="", "", 'Lighting Inventory'!AM387)</f>
        <v/>
      </c>
      <c r="AL379" s="26" t="str">
        <f>IF(B379="", "", 'Lighting Inventory'!AN387)</f>
        <v/>
      </c>
      <c r="AM379" s="26" t="str">
        <f t="shared" ref="AM379:AM442" si="21">IF(B379="", "", 8)</f>
        <v/>
      </c>
      <c r="AN379" s="26" t="str">
        <f>IF(B379="","",IF('Lighting Inventory'!AV387="","Prescribed",'Lighting Inventory'!AV387))</f>
        <v/>
      </c>
      <c r="AO379" s="66" t="str">
        <f>IF(B379="", "", 'Lighting Inventory'!AX387)</f>
        <v/>
      </c>
      <c r="AP379" s="67" t="str">
        <f>IF(B379="", "", 'Lighting Inventory'!AZ387)</f>
        <v/>
      </c>
      <c r="AQ379" s="67" t="str">
        <f>IF(B379="", "", 'Lighting Inventory'!BA387)</f>
        <v/>
      </c>
      <c r="AR379" s="67" t="str">
        <f>IF(B379="", "", 'Lighting Inventory'!BB387)</f>
        <v/>
      </c>
      <c r="AS379" s="67" t="str">
        <f>IF(B379="", "", 'Lighting Inventory'!BC387)</f>
        <v/>
      </c>
      <c r="AT379" s="67" t="str">
        <f>IF(B379="", "", 'Lighting Inventory'!BD387)</f>
        <v/>
      </c>
      <c r="AU379" s="67" t="str">
        <f>IF(B379="", "", 'Lighting Inventory'!BE387)</f>
        <v/>
      </c>
      <c r="AV379" s="67" t="str">
        <f>IF(B379="", "", 'Lighting Inventory'!BE387)</f>
        <v/>
      </c>
      <c r="AW379" s="67" t="str">
        <f>IF(B379="", "", 'Lighting Inventory'!BF387)</f>
        <v/>
      </c>
      <c r="AX379" s="67" t="str">
        <f>IF(B379="", "", 'Lighting Inventory'!BF387)</f>
        <v/>
      </c>
      <c r="AY379" s="65" t="str">
        <f t="shared" ref="AY379:AY442" si="22">AZ379</f>
        <v/>
      </c>
      <c r="AZ379" s="65" t="str">
        <f>IF(B379="", "", 'Lighting Inventory'!BJ387)</f>
        <v/>
      </c>
      <c r="BA379" s="65" t="str">
        <f>IF(B379="", "", 'Lighting Inventory'!BM387)</f>
        <v/>
      </c>
      <c r="BB379" s="65" t="str">
        <f>IF(B379="","",SUM('Lighting Inventory'!BP387:BP387))</f>
        <v/>
      </c>
      <c r="BC379" s="67" t="str">
        <f>IF(OR(AE379="", B379=""),"", 'Lighting Inventory'!GR387)</f>
        <v/>
      </c>
      <c r="BD379" s="67" t="str">
        <f>IFERROR(IF(B379="", "", 'Lighting Inventory'!AF387)*AD379," ")</f>
        <v xml:space="preserve"> </v>
      </c>
      <c r="BE379" s="67"/>
      <c r="BF379" s="67"/>
    </row>
    <row r="380" spans="1:58" x14ac:dyDescent="0.25">
      <c r="A380" s="26" t="str">
        <f>IF(B380="", "", 'Lookup Tables'!AW381)</f>
        <v/>
      </c>
      <c r="B380" s="26" t="str">
        <f>IF(OR('Lighting Inventory'!Y388="", 'Lighting Inventory'!V388="No Change"),"", 'Lighting Inventory'!Y388)</f>
        <v/>
      </c>
      <c r="C380" s="26" t="str">
        <f>IF(B380="", "", IF('Lighting Inventory'!Y388='Lookup Tables'!$Y$32, 'Lighting Inventory'!AJ388, IF(AD380=0, R380, AD380)))</f>
        <v/>
      </c>
      <c r="D380" s="26" t="str">
        <f>IF(B380="", "", 'General Information'!$F$14)</f>
        <v/>
      </c>
      <c r="E380" s="26" t="str">
        <f t="shared" si="20"/>
        <v/>
      </c>
      <c r="F380" s="26" t="str">
        <f>IF(B380="", "", CONCATENATE('General Information'!$F$9, " - ", 'General Information'!$F$14))</f>
        <v/>
      </c>
      <c r="G380" s="26" t="str">
        <f>IF(B380="", "", 'General Information'!$F$15)</f>
        <v/>
      </c>
      <c r="H380" s="26" t="str">
        <f>IF(B380="", "", IF(VLOOKUP(B380, 'Lookup Tables'!$Y$18:$AA$34, 2, FALSE)="Traffic", VLOOKUP('Lighting Inventory'!W388, 'Lookup Tables'!#REF!, 11, FALSE), VLOOKUP(B380, 'Lookup Tables'!$Y$18:$AA$34, 2, FALSE)))</f>
        <v/>
      </c>
      <c r="I380" s="26" t="str">
        <f>IF(B380="", "", CONCATENATE(D380, 'Data Export'!A380))</f>
        <v/>
      </c>
      <c r="J380" s="26" t="str">
        <f>IF(B380="", "", 'Lookup Tables'!$B$1)</f>
        <v/>
      </c>
      <c r="K380" s="26" t="str">
        <f>IF(B380="", "", 'Lighting Inventory'!B388)</f>
        <v/>
      </c>
      <c r="L380" s="26" t="str">
        <f>IF(B380="", "", 'Lighting Inventory'!C388)</f>
        <v/>
      </c>
      <c r="M380" s="26" t="str">
        <f>IF(B380="", "",'Lighting Inventory'!D388)</f>
        <v/>
      </c>
      <c r="N380" s="26" t="str">
        <f>IF(B380="", "",'Lighting Inventory'!E388)</f>
        <v/>
      </c>
      <c r="O380" s="26" t="str">
        <f>IF(B380="", "", 'Lighting Inventory'!F388)</f>
        <v/>
      </c>
      <c r="P380" s="26" t="str">
        <f>IF(B380="", "", 'Lighting Inventory'!G388)</f>
        <v/>
      </c>
      <c r="Q380" s="26" t="str">
        <f>IF(B380="", "", 'Lighting Inventory'!H388)</f>
        <v/>
      </c>
      <c r="R380" s="26" t="str">
        <f>IF(B380="", "", 'Lighting Inventory'!I388)</f>
        <v/>
      </c>
      <c r="S380" s="26" t="str">
        <f>IF(B380="", "", 'Lighting Inventory'!J388)</f>
        <v/>
      </c>
      <c r="T380" s="26" t="str">
        <f>IFERROR(IF(B380="","",VLOOKUP(S380,'Fixture Identities'!$A$7:$G$1023,5,FALSE)), "New Construction")</f>
        <v/>
      </c>
      <c r="U380" s="26" t="str">
        <f>IFERROR(IF(B380="", "", IF(K380="New Construction", "NC", IF(VLOOKUP(S380, 'Fixture Identities'!$A$7:$I$1023,3, FALSE)="T12 Linear Fluorescent", VLOOKUP(S380, 'Fixture Identities'!$A$7:$K$1012, 11, FALSE), S380))), "")</f>
        <v/>
      </c>
      <c r="V380" s="26" t="str">
        <f>IFERROR(IF(OR(B380="", U380=0), "", VLOOKUP(U380, 'Fixture Identities'!$A$7:$G$1023, 5, FALSE)), "")</f>
        <v/>
      </c>
      <c r="W380" s="26" t="str">
        <f>IF(B380="", "",'Lighting Inventory'!K388)</f>
        <v/>
      </c>
      <c r="X380" s="65" t="str">
        <f>IF(B380="", "", 'Lighting Inventory'!L388)</f>
        <v/>
      </c>
      <c r="Y380" s="26" t="str">
        <f>IF(B380="", "", IF('Lighting Inventory'!M388="", "Light Switch",'Lighting Inventory'!M388))</f>
        <v/>
      </c>
      <c r="Z380" s="26" t="str">
        <f>IF(OR(K380="Retrofit", B380=""), "", 'Lighting Inventory'!N388)</f>
        <v/>
      </c>
      <c r="AA380" s="26" t="str">
        <f>IF(OR(Z380="",B380=""), "", 'Lighting Inventory'!O388)</f>
        <v/>
      </c>
      <c r="AB380" s="26" t="str">
        <f>IF(B380="", "", 'Lighting Inventory'!P388)</f>
        <v/>
      </c>
      <c r="AC380" s="96" t="str">
        <f>IF(B380="", "", 'Lighting Inventory'!R388)</f>
        <v/>
      </c>
      <c r="AD380" s="26" t="str">
        <f>IF(B380="", "", 'Lighting Inventory'!S388)</f>
        <v/>
      </c>
      <c r="AE380" s="26" t="str">
        <f>IF(B380="", "", 'Lighting Inventory'!V388)</f>
        <v/>
      </c>
      <c r="AF380" s="26" t="str">
        <f>IF(B380="", "", 'Lighting Inventory'!W388)</f>
        <v/>
      </c>
      <c r="AG380" s="26" t="str">
        <f>IF(OR(AF380="", B380=""), "", IF(AE380="Custom", "0", VLOOKUP(AF380, 'Lookup Tables'!$AI$6:$AP$102, 8, FALSE)))</f>
        <v/>
      </c>
      <c r="AH380" s="26" t="str">
        <f>IF(B380="", "", 'Lighting Inventory'!AD388)</f>
        <v/>
      </c>
      <c r="AI380" s="26" t="str">
        <f>IF(OR('Lighting Inventory'!AK388="", B380=""), "", 'Lighting Inventory'!AK388)</f>
        <v/>
      </c>
      <c r="AJ380" s="66" t="str">
        <f>IF(B380="", "", 'Lighting Inventory'!AL388)</f>
        <v/>
      </c>
      <c r="AK380" s="65" t="str">
        <f>IF(B380="", "", 'Lighting Inventory'!AM388)</f>
        <v/>
      </c>
      <c r="AL380" s="26" t="str">
        <f>IF(B380="", "", 'Lighting Inventory'!AN388)</f>
        <v/>
      </c>
      <c r="AM380" s="26" t="str">
        <f t="shared" si="21"/>
        <v/>
      </c>
      <c r="AN380" s="26" t="str">
        <f>IF(B380="","",IF('Lighting Inventory'!AV388="","Prescribed",'Lighting Inventory'!AV388))</f>
        <v/>
      </c>
      <c r="AO380" s="66" t="str">
        <f>IF(B380="", "", 'Lighting Inventory'!AX388)</f>
        <v/>
      </c>
      <c r="AP380" s="67" t="str">
        <f>IF(B380="", "", 'Lighting Inventory'!AZ388)</f>
        <v/>
      </c>
      <c r="AQ380" s="67" t="str">
        <f>IF(B380="", "", 'Lighting Inventory'!BA388)</f>
        <v/>
      </c>
      <c r="AR380" s="67" t="str">
        <f>IF(B380="", "", 'Lighting Inventory'!BB388)</f>
        <v/>
      </c>
      <c r="AS380" s="67" t="str">
        <f>IF(B380="", "", 'Lighting Inventory'!BC388)</f>
        <v/>
      </c>
      <c r="AT380" s="67" t="str">
        <f>IF(B380="", "", 'Lighting Inventory'!BD388)</f>
        <v/>
      </c>
      <c r="AU380" s="67" t="str">
        <f>IF(B380="", "", 'Lighting Inventory'!BE388)</f>
        <v/>
      </c>
      <c r="AV380" s="67" t="str">
        <f>IF(B380="", "", 'Lighting Inventory'!BE388)</f>
        <v/>
      </c>
      <c r="AW380" s="67" t="str">
        <f>IF(B380="", "", 'Lighting Inventory'!BF388)</f>
        <v/>
      </c>
      <c r="AX380" s="67" t="str">
        <f>IF(B380="", "", 'Lighting Inventory'!BF388)</f>
        <v/>
      </c>
      <c r="AY380" s="65" t="str">
        <f t="shared" si="22"/>
        <v/>
      </c>
      <c r="AZ380" s="65" t="str">
        <f>IF(B380="", "", 'Lighting Inventory'!BJ388)</f>
        <v/>
      </c>
      <c r="BA380" s="65" t="str">
        <f>IF(B380="", "", 'Lighting Inventory'!BM388)</f>
        <v/>
      </c>
      <c r="BB380" s="65" t="str">
        <f>IF(B380="","",SUM('Lighting Inventory'!BP388:BP388))</f>
        <v/>
      </c>
      <c r="BC380" s="67" t="str">
        <f>IF(OR(AE380="", B380=""),"", 'Lighting Inventory'!GR388)</f>
        <v/>
      </c>
      <c r="BD380" s="67" t="str">
        <f>IFERROR(IF(B380="", "", 'Lighting Inventory'!AF388)*AD380," ")</f>
        <v xml:space="preserve"> </v>
      </c>
      <c r="BE380" s="67"/>
      <c r="BF380" s="67"/>
    </row>
    <row r="381" spans="1:58" x14ac:dyDescent="0.25">
      <c r="A381" s="26" t="str">
        <f>IF(B381="", "", 'Lookup Tables'!AW382)</f>
        <v/>
      </c>
      <c r="B381" s="26" t="str">
        <f>IF(OR('Lighting Inventory'!Y389="", 'Lighting Inventory'!V389="No Change"),"", 'Lighting Inventory'!Y389)</f>
        <v/>
      </c>
      <c r="C381" s="26" t="str">
        <f>IF(B381="", "", IF('Lighting Inventory'!Y389='Lookup Tables'!$Y$32, 'Lighting Inventory'!AJ389, IF(AD381=0, R381, AD381)))</f>
        <v/>
      </c>
      <c r="D381" s="26" t="str">
        <f>IF(B381="", "", 'General Information'!$F$14)</f>
        <v/>
      </c>
      <c r="E381" s="26" t="str">
        <f t="shared" si="20"/>
        <v/>
      </c>
      <c r="F381" s="26" t="str">
        <f>IF(B381="", "", CONCATENATE('General Information'!$F$9, " - ", 'General Information'!$F$14))</f>
        <v/>
      </c>
      <c r="G381" s="26" t="str">
        <f>IF(B381="", "", 'General Information'!$F$15)</f>
        <v/>
      </c>
      <c r="H381" s="26" t="str">
        <f>IF(B381="", "", IF(VLOOKUP(B381, 'Lookup Tables'!$Y$18:$AA$34, 2, FALSE)="Traffic", VLOOKUP('Lighting Inventory'!W389, 'Lookup Tables'!#REF!, 11, FALSE), VLOOKUP(B381, 'Lookup Tables'!$Y$18:$AA$34, 2, FALSE)))</f>
        <v/>
      </c>
      <c r="I381" s="26" t="str">
        <f>IF(B381="", "", CONCATENATE(D381, 'Data Export'!A381))</f>
        <v/>
      </c>
      <c r="J381" s="26" t="str">
        <f>IF(B381="", "", 'Lookup Tables'!$B$1)</f>
        <v/>
      </c>
      <c r="K381" s="26" t="str">
        <f>IF(B381="", "", 'Lighting Inventory'!B389)</f>
        <v/>
      </c>
      <c r="L381" s="26" t="str">
        <f>IF(B381="", "", 'Lighting Inventory'!C389)</f>
        <v/>
      </c>
      <c r="M381" s="26" t="str">
        <f>IF(B381="", "",'Lighting Inventory'!D389)</f>
        <v/>
      </c>
      <c r="N381" s="26" t="str">
        <f>IF(B381="", "",'Lighting Inventory'!E389)</f>
        <v/>
      </c>
      <c r="O381" s="26" t="str">
        <f>IF(B381="", "", 'Lighting Inventory'!F389)</f>
        <v/>
      </c>
      <c r="P381" s="26" t="str">
        <f>IF(B381="", "", 'Lighting Inventory'!G389)</f>
        <v/>
      </c>
      <c r="Q381" s="26" t="str">
        <f>IF(B381="", "", 'Lighting Inventory'!H389)</f>
        <v/>
      </c>
      <c r="R381" s="26" t="str">
        <f>IF(B381="", "", 'Lighting Inventory'!I389)</f>
        <v/>
      </c>
      <c r="S381" s="26" t="str">
        <f>IF(B381="", "", 'Lighting Inventory'!J389)</f>
        <v/>
      </c>
      <c r="T381" s="26" t="str">
        <f>IFERROR(IF(B381="","",VLOOKUP(S381,'Fixture Identities'!$A$7:$G$1023,5,FALSE)), "New Construction")</f>
        <v/>
      </c>
      <c r="U381" s="26" t="str">
        <f>IFERROR(IF(B381="", "", IF(K381="New Construction", "NC", IF(VLOOKUP(S381, 'Fixture Identities'!$A$7:$I$1023,3, FALSE)="T12 Linear Fluorescent", VLOOKUP(S381, 'Fixture Identities'!$A$7:$K$1012, 11, FALSE), S381))), "")</f>
        <v/>
      </c>
      <c r="V381" s="26" t="str">
        <f>IFERROR(IF(OR(B381="", U381=0), "", VLOOKUP(U381, 'Fixture Identities'!$A$7:$G$1023, 5, FALSE)), "")</f>
        <v/>
      </c>
      <c r="W381" s="26" t="str">
        <f>IF(B381="", "",'Lighting Inventory'!K389)</f>
        <v/>
      </c>
      <c r="X381" s="65" t="str">
        <f>IF(B381="", "", 'Lighting Inventory'!L389)</f>
        <v/>
      </c>
      <c r="Y381" s="26" t="str">
        <f>IF(B381="", "", IF('Lighting Inventory'!M389="", "Light Switch",'Lighting Inventory'!M389))</f>
        <v/>
      </c>
      <c r="Z381" s="26" t="str">
        <f>IF(OR(K381="Retrofit", B381=""), "", 'Lighting Inventory'!N389)</f>
        <v/>
      </c>
      <c r="AA381" s="26" t="str">
        <f>IF(OR(Z381="",B381=""), "", 'Lighting Inventory'!O389)</f>
        <v/>
      </c>
      <c r="AB381" s="26" t="str">
        <f>IF(B381="", "", 'Lighting Inventory'!P389)</f>
        <v/>
      </c>
      <c r="AC381" s="96" t="str">
        <f>IF(B381="", "", 'Lighting Inventory'!R389)</f>
        <v/>
      </c>
      <c r="AD381" s="26" t="str">
        <f>IF(B381="", "", 'Lighting Inventory'!S389)</f>
        <v/>
      </c>
      <c r="AE381" s="26" t="str">
        <f>IF(B381="", "", 'Lighting Inventory'!V389)</f>
        <v/>
      </c>
      <c r="AF381" s="26" t="str">
        <f>IF(B381="", "", 'Lighting Inventory'!W389)</f>
        <v/>
      </c>
      <c r="AG381" s="26" t="str">
        <f>IF(OR(AF381="", B381=""), "", IF(AE381="Custom", "0", VLOOKUP(AF381, 'Lookup Tables'!$AI$6:$AP$102, 8, FALSE)))</f>
        <v/>
      </c>
      <c r="AH381" s="26" t="str">
        <f>IF(B381="", "", 'Lighting Inventory'!AD389)</f>
        <v/>
      </c>
      <c r="AI381" s="26" t="str">
        <f>IF(OR('Lighting Inventory'!AK389="", B381=""), "", 'Lighting Inventory'!AK389)</f>
        <v/>
      </c>
      <c r="AJ381" s="66" t="str">
        <f>IF(B381="", "", 'Lighting Inventory'!AL389)</f>
        <v/>
      </c>
      <c r="AK381" s="65" t="str">
        <f>IF(B381="", "", 'Lighting Inventory'!AM389)</f>
        <v/>
      </c>
      <c r="AL381" s="26" t="str">
        <f>IF(B381="", "", 'Lighting Inventory'!AN389)</f>
        <v/>
      </c>
      <c r="AM381" s="26" t="str">
        <f t="shared" si="21"/>
        <v/>
      </c>
      <c r="AN381" s="26" t="str">
        <f>IF(B381="","",IF('Lighting Inventory'!AV389="","Prescribed",'Lighting Inventory'!AV389))</f>
        <v/>
      </c>
      <c r="AO381" s="66" t="str">
        <f>IF(B381="", "", 'Lighting Inventory'!AX389)</f>
        <v/>
      </c>
      <c r="AP381" s="67" t="str">
        <f>IF(B381="", "", 'Lighting Inventory'!AZ389)</f>
        <v/>
      </c>
      <c r="AQ381" s="67" t="str">
        <f>IF(B381="", "", 'Lighting Inventory'!BA389)</f>
        <v/>
      </c>
      <c r="AR381" s="67" t="str">
        <f>IF(B381="", "", 'Lighting Inventory'!BB389)</f>
        <v/>
      </c>
      <c r="AS381" s="67" t="str">
        <f>IF(B381="", "", 'Lighting Inventory'!BC389)</f>
        <v/>
      </c>
      <c r="AT381" s="67" t="str">
        <f>IF(B381="", "", 'Lighting Inventory'!BD389)</f>
        <v/>
      </c>
      <c r="AU381" s="67" t="str">
        <f>IF(B381="", "", 'Lighting Inventory'!BE389)</f>
        <v/>
      </c>
      <c r="AV381" s="67" t="str">
        <f>IF(B381="", "", 'Lighting Inventory'!BE389)</f>
        <v/>
      </c>
      <c r="AW381" s="67" t="str">
        <f>IF(B381="", "", 'Lighting Inventory'!BF389)</f>
        <v/>
      </c>
      <c r="AX381" s="67" t="str">
        <f>IF(B381="", "", 'Lighting Inventory'!BF389)</f>
        <v/>
      </c>
      <c r="AY381" s="65" t="str">
        <f t="shared" si="22"/>
        <v/>
      </c>
      <c r="AZ381" s="65" t="str">
        <f>IF(B381="", "", 'Lighting Inventory'!BJ389)</f>
        <v/>
      </c>
      <c r="BA381" s="65" t="str">
        <f>IF(B381="", "", 'Lighting Inventory'!BM389)</f>
        <v/>
      </c>
      <c r="BB381" s="65" t="str">
        <f>IF(B381="","",SUM('Lighting Inventory'!BP389:BP389))</f>
        <v/>
      </c>
      <c r="BC381" s="67" t="str">
        <f>IF(OR(AE381="", B381=""),"", 'Lighting Inventory'!GR389)</f>
        <v/>
      </c>
      <c r="BD381" s="67" t="str">
        <f>IFERROR(IF(B381="", "", 'Lighting Inventory'!AF389)*AD381," ")</f>
        <v xml:space="preserve"> </v>
      </c>
      <c r="BE381" s="67"/>
      <c r="BF381" s="67"/>
    </row>
    <row r="382" spans="1:58" x14ac:dyDescent="0.25">
      <c r="A382" s="26" t="str">
        <f>IF(B382="", "", 'Lookup Tables'!AW383)</f>
        <v/>
      </c>
      <c r="B382" s="26" t="str">
        <f>IF(OR('Lighting Inventory'!Y390="", 'Lighting Inventory'!V390="No Change"),"", 'Lighting Inventory'!Y390)</f>
        <v/>
      </c>
      <c r="C382" s="26" t="str">
        <f>IF(B382="", "", IF('Lighting Inventory'!Y390='Lookup Tables'!$Y$32, 'Lighting Inventory'!AJ390, IF(AD382=0, R382, AD382)))</f>
        <v/>
      </c>
      <c r="D382" s="26" t="str">
        <f>IF(B382="", "", 'General Information'!$F$14)</f>
        <v/>
      </c>
      <c r="E382" s="26" t="str">
        <f t="shared" si="20"/>
        <v/>
      </c>
      <c r="F382" s="26" t="str">
        <f>IF(B382="", "", CONCATENATE('General Information'!$F$9, " - ", 'General Information'!$F$14))</f>
        <v/>
      </c>
      <c r="G382" s="26" t="str">
        <f>IF(B382="", "", 'General Information'!$F$15)</f>
        <v/>
      </c>
      <c r="H382" s="26" t="str">
        <f>IF(B382="", "", IF(VLOOKUP(B382, 'Lookup Tables'!$Y$18:$AA$34, 2, FALSE)="Traffic", VLOOKUP('Lighting Inventory'!W390, 'Lookup Tables'!#REF!, 11, FALSE), VLOOKUP(B382, 'Lookup Tables'!$Y$18:$AA$34, 2, FALSE)))</f>
        <v/>
      </c>
      <c r="I382" s="26" t="str">
        <f>IF(B382="", "", CONCATENATE(D382, 'Data Export'!A382))</f>
        <v/>
      </c>
      <c r="J382" s="26" t="str">
        <f>IF(B382="", "", 'Lookup Tables'!$B$1)</f>
        <v/>
      </c>
      <c r="K382" s="26" t="str">
        <f>IF(B382="", "", 'Lighting Inventory'!B390)</f>
        <v/>
      </c>
      <c r="L382" s="26" t="str">
        <f>IF(B382="", "", 'Lighting Inventory'!C390)</f>
        <v/>
      </c>
      <c r="M382" s="26" t="str">
        <f>IF(B382="", "",'Lighting Inventory'!D390)</f>
        <v/>
      </c>
      <c r="N382" s="26" t="str">
        <f>IF(B382="", "",'Lighting Inventory'!E390)</f>
        <v/>
      </c>
      <c r="O382" s="26" t="str">
        <f>IF(B382="", "", 'Lighting Inventory'!F390)</f>
        <v/>
      </c>
      <c r="P382" s="26" t="str">
        <f>IF(B382="", "", 'Lighting Inventory'!G390)</f>
        <v/>
      </c>
      <c r="Q382" s="26" t="str">
        <f>IF(B382="", "", 'Lighting Inventory'!H390)</f>
        <v/>
      </c>
      <c r="R382" s="26" t="str">
        <f>IF(B382="", "", 'Lighting Inventory'!I390)</f>
        <v/>
      </c>
      <c r="S382" s="26" t="str">
        <f>IF(B382="", "", 'Lighting Inventory'!J390)</f>
        <v/>
      </c>
      <c r="T382" s="26" t="str">
        <f>IFERROR(IF(B382="","",VLOOKUP(S382,'Fixture Identities'!$A$7:$G$1023,5,FALSE)), "New Construction")</f>
        <v/>
      </c>
      <c r="U382" s="26" t="str">
        <f>IFERROR(IF(B382="", "", IF(K382="New Construction", "NC", IF(VLOOKUP(S382, 'Fixture Identities'!$A$7:$I$1023,3, FALSE)="T12 Linear Fluorescent", VLOOKUP(S382, 'Fixture Identities'!$A$7:$K$1012, 11, FALSE), S382))), "")</f>
        <v/>
      </c>
      <c r="V382" s="26" t="str">
        <f>IFERROR(IF(OR(B382="", U382=0), "", VLOOKUP(U382, 'Fixture Identities'!$A$7:$G$1023, 5, FALSE)), "")</f>
        <v/>
      </c>
      <c r="W382" s="26" t="str">
        <f>IF(B382="", "",'Lighting Inventory'!K390)</f>
        <v/>
      </c>
      <c r="X382" s="65" t="str">
        <f>IF(B382="", "", 'Lighting Inventory'!L390)</f>
        <v/>
      </c>
      <c r="Y382" s="26" t="str">
        <f>IF(B382="", "", IF('Lighting Inventory'!M390="", "Light Switch",'Lighting Inventory'!M390))</f>
        <v/>
      </c>
      <c r="Z382" s="26" t="str">
        <f>IF(OR(K382="Retrofit", B382=""), "", 'Lighting Inventory'!N390)</f>
        <v/>
      </c>
      <c r="AA382" s="26" t="str">
        <f>IF(OR(Z382="",B382=""), "", 'Lighting Inventory'!O390)</f>
        <v/>
      </c>
      <c r="AB382" s="26" t="str">
        <f>IF(B382="", "", 'Lighting Inventory'!P390)</f>
        <v/>
      </c>
      <c r="AC382" s="96" t="str">
        <f>IF(B382="", "", 'Lighting Inventory'!R390)</f>
        <v/>
      </c>
      <c r="AD382" s="26" t="str">
        <f>IF(B382="", "", 'Lighting Inventory'!S390)</f>
        <v/>
      </c>
      <c r="AE382" s="26" t="str">
        <f>IF(B382="", "", 'Lighting Inventory'!V390)</f>
        <v/>
      </c>
      <c r="AF382" s="26" t="str">
        <f>IF(B382="", "", 'Lighting Inventory'!W390)</f>
        <v/>
      </c>
      <c r="AG382" s="26" t="str">
        <f>IF(OR(AF382="", B382=""), "", IF(AE382="Custom", "0", VLOOKUP(AF382, 'Lookup Tables'!$AI$6:$AP$102, 8, FALSE)))</f>
        <v/>
      </c>
      <c r="AH382" s="26" t="str">
        <f>IF(B382="", "", 'Lighting Inventory'!AD390)</f>
        <v/>
      </c>
      <c r="AI382" s="26" t="str">
        <f>IF(OR('Lighting Inventory'!AK390="", B382=""), "", 'Lighting Inventory'!AK390)</f>
        <v/>
      </c>
      <c r="AJ382" s="66" t="str">
        <f>IF(B382="", "", 'Lighting Inventory'!AL390)</f>
        <v/>
      </c>
      <c r="AK382" s="65" t="str">
        <f>IF(B382="", "", 'Lighting Inventory'!AM390)</f>
        <v/>
      </c>
      <c r="AL382" s="26" t="str">
        <f>IF(B382="", "", 'Lighting Inventory'!AN390)</f>
        <v/>
      </c>
      <c r="AM382" s="26" t="str">
        <f t="shared" si="21"/>
        <v/>
      </c>
      <c r="AN382" s="26" t="str">
        <f>IF(B382="","",IF('Lighting Inventory'!AV390="","Prescribed",'Lighting Inventory'!AV390))</f>
        <v/>
      </c>
      <c r="AO382" s="66" t="str">
        <f>IF(B382="", "", 'Lighting Inventory'!AX390)</f>
        <v/>
      </c>
      <c r="AP382" s="67" t="str">
        <f>IF(B382="", "", 'Lighting Inventory'!AZ390)</f>
        <v/>
      </c>
      <c r="AQ382" s="67" t="str">
        <f>IF(B382="", "", 'Lighting Inventory'!BA390)</f>
        <v/>
      </c>
      <c r="AR382" s="67" t="str">
        <f>IF(B382="", "", 'Lighting Inventory'!BB390)</f>
        <v/>
      </c>
      <c r="AS382" s="67" t="str">
        <f>IF(B382="", "", 'Lighting Inventory'!BC390)</f>
        <v/>
      </c>
      <c r="AT382" s="67" t="str">
        <f>IF(B382="", "", 'Lighting Inventory'!BD390)</f>
        <v/>
      </c>
      <c r="AU382" s="67" t="str">
        <f>IF(B382="", "", 'Lighting Inventory'!BE390)</f>
        <v/>
      </c>
      <c r="AV382" s="67" t="str">
        <f>IF(B382="", "", 'Lighting Inventory'!BE390)</f>
        <v/>
      </c>
      <c r="AW382" s="67" t="str">
        <f>IF(B382="", "", 'Lighting Inventory'!BF390)</f>
        <v/>
      </c>
      <c r="AX382" s="67" t="str">
        <f>IF(B382="", "", 'Lighting Inventory'!BF390)</f>
        <v/>
      </c>
      <c r="AY382" s="65" t="str">
        <f t="shared" si="22"/>
        <v/>
      </c>
      <c r="AZ382" s="65" t="str">
        <f>IF(B382="", "", 'Lighting Inventory'!BJ390)</f>
        <v/>
      </c>
      <c r="BA382" s="65" t="str">
        <f>IF(B382="", "", 'Lighting Inventory'!BM390)</f>
        <v/>
      </c>
      <c r="BB382" s="65" t="str">
        <f>IF(B382="","",SUM('Lighting Inventory'!BP390:BP390))</f>
        <v/>
      </c>
      <c r="BC382" s="67" t="str">
        <f>IF(OR(AE382="", B382=""),"", 'Lighting Inventory'!GR390)</f>
        <v/>
      </c>
      <c r="BD382" s="67" t="str">
        <f>IFERROR(IF(B382="", "", 'Lighting Inventory'!AF390)*AD382," ")</f>
        <v xml:space="preserve"> </v>
      </c>
      <c r="BE382" s="67"/>
      <c r="BF382" s="67"/>
    </row>
    <row r="383" spans="1:58" x14ac:dyDescent="0.25">
      <c r="A383" s="26" t="str">
        <f>IF(B383="", "", 'Lookup Tables'!AW384)</f>
        <v/>
      </c>
      <c r="B383" s="26" t="str">
        <f>IF(OR('Lighting Inventory'!Y391="", 'Lighting Inventory'!V391="No Change"),"", 'Lighting Inventory'!Y391)</f>
        <v/>
      </c>
      <c r="C383" s="26" t="str">
        <f>IF(B383="", "", IF('Lighting Inventory'!Y391='Lookup Tables'!$Y$32, 'Lighting Inventory'!AJ391, IF(AD383=0, R383, AD383)))</f>
        <v/>
      </c>
      <c r="D383" s="26" t="str">
        <f>IF(B383="", "", 'General Information'!$F$14)</f>
        <v/>
      </c>
      <c r="E383" s="26" t="str">
        <f t="shared" si="20"/>
        <v/>
      </c>
      <c r="F383" s="26" t="str">
        <f>IF(B383="", "", CONCATENATE('General Information'!$F$9, " - ", 'General Information'!$F$14))</f>
        <v/>
      </c>
      <c r="G383" s="26" t="str">
        <f>IF(B383="", "", 'General Information'!$F$15)</f>
        <v/>
      </c>
      <c r="H383" s="26" t="str">
        <f>IF(B383="", "", IF(VLOOKUP(B383, 'Lookup Tables'!$Y$18:$AA$34, 2, FALSE)="Traffic", VLOOKUP('Lighting Inventory'!W391, 'Lookup Tables'!#REF!, 11, FALSE), VLOOKUP(B383, 'Lookup Tables'!$Y$18:$AA$34, 2, FALSE)))</f>
        <v/>
      </c>
      <c r="I383" s="26" t="str">
        <f>IF(B383="", "", CONCATENATE(D383, 'Data Export'!A383))</f>
        <v/>
      </c>
      <c r="J383" s="26" t="str">
        <f>IF(B383="", "", 'Lookup Tables'!$B$1)</f>
        <v/>
      </c>
      <c r="K383" s="26" t="str">
        <f>IF(B383="", "", 'Lighting Inventory'!B391)</f>
        <v/>
      </c>
      <c r="L383" s="26" t="str">
        <f>IF(B383="", "", 'Lighting Inventory'!C391)</f>
        <v/>
      </c>
      <c r="M383" s="26" t="str">
        <f>IF(B383="", "",'Lighting Inventory'!D391)</f>
        <v/>
      </c>
      <c r="N383" s="26" t="str">
        <f>IF(B383="", "",'Lighting Inventory'!E391)</f>
        <v/>
      </c>
      <c r="O383" s="26" t="str">
        <f>IF(B383="", "", 'Lighting Inventory'!F391)</f>
        <v/>
      </c>
      <c r="P383" s="26" t="str">
        <f>IF(B383="", "", 'Lighting Inventory'!G391)</f>
        <v/>
      </c>
      <c r="Q383" s="26" t="str">
        <f>IF(B383="", "", 'Lighting Inventory'!H391)</f>
        <v/>
      </c>
      <c r="R383" s="26" t="str">
        <f>IF(B383="", "", 'Lighting Inventory'!I391)</f>
        <v/>
      </c>
      <c r="S383" s="26" t="str">
        <f>IF(B383="", "", 'Lighting Inventory'!J391)</f>
        <v/>
      </c>
      <c r="T383" s="26" t="str">
        <f>IFERROR(IF(B383="","",VLOOKUP(S383,'Fixture Identities'!$A$7:$G$1023,5,FALSE)), "New Construction")</f>
        <v/>
      </c>
      <c r="U383" s="26" t="str">
        <f>IFERROR(IF(B383="", "", IF(K383="New Construction", "NC", IF(VLOOKUP(S383, 'Fixture Identities'!$A$7:$I$1023,3, FALSE)="T12 Linear Fluorescent", VLOOKUP(S383, 'Fixture Identities'!$A$7:$K$1012, 11, FALSE), S383))), "")</f>
        <v/>
      </c>
      <c r="V383" s="26" t="str">
        <f>IFERROR(IF(OR(B383="", U383=0), "", VLOOKUP(U383, 'Fixture Identities'!$A$7:$G$1023, 5, FALSE)), "")</f>
        <v/>
      </c>
      <c r="W383" s="26" t="str">
        <f>IF(B383="", "",'Lighting Inventory'!K391)</f>
        <v/>
      </c>
      <c r="X383" s="65" t="str">
        <f>IF(B383="", "", 'Lighting Inventory'!L391)</f>
        <v/>
      </c>
      <c r="Y383" s="26" t="str">
        <f>IF(B383="", "", IF('Lighting Inventory'!M391="", "Light Switch",'Lighting Inventory'!M391))</f>
        <v/>
      </c>
      <c r="Z383" s="26" t="str">
        <f>IF(OR(K383="Retrofit", B383=""), "", 'Lighting Inventory'!N391)</f>
        <v/>
      </c>
      <c r="AA383" s="26" t="str">
        <f>IF(OR(Z383="",B383=""), "", 'Lighting Inventory'!O391)</f>
        <v/>
      </c>
      <c r="AB383" s="26" t="str">
        <f>IF(B383="", "", 'Lighting Inventory'!P391)</f>
        <v/>
      </c>
      <c r="AC383" s="96" t="str">
        <f>IF(B383="", "", 'Lighting Inventory'!R391)</f>
        <v/>
      </c>
      <c r="AD383" s="26" t="str">
        <f>IF(B383="", "", 'Lighting Inventory'!S391)</f>
        <v/>
      </c>
      <c r="AE383" s="26" t="str">
        <f>IF(B383="", "", 'Lighting Inventory'!V391)</f>
        <v/>
      </c>
      <c r="AF383" s="26" t="str">
        <f>IF(B383="", "", 'Lighting Inventory'!W391)</f>
        <v/>
      </c>
      <c r="AG383" s="26" t="str">
        <f>IF(OR(AF383="", B383=""), "", IF(AE383="Custom", "0", VLOOKUP(AF383, 'Lookup Tables'!$AI$6:$AP$102, 8, FALSE)))</f>
        <v/>
      </c>
      <c r="AH383" s="26" t="str">
        <f>IF(B383="", "", 'Lighting Inventory'!AD391)</f>
        <v/>
      </c>
      <c r="AI383" s="26" t="str">
        <f>IF(OR('Lighting Inventory'!AK391="", B383=""), "", 'Lighting Inventory'!AK391)</f>
        <v/>
      </c>
      <c r="AJ383" s="66" t="str">
        <f>IF(B383="", "", 'Lighting Inventory'!AL391)</f>
        <v/>
      </c>
      <c r="AK383" s="65" t="str">
        <f>IF(B383="", "", 'Lighting Inventory'!AM391)</f>
        <v/>
      </c>
      <c r="AL383" s="26" t="str">
        <f>IF(B383="", "", 'Lighting Inventory'!AN391)</f>
        <v/>
      </c>
      <c r="AM383" s="26" t="str">
        <f t="shared" si="21"/>
        <v/>
      </c>
      <c r="AN383" s="26" t="str">
        <f>IF(B383="","",IF('Lighting Inventory'!AV391="","Prescribed",'Lighting Inventory'!AV391))</f>
        <v/>
      </c>
      <c r="AO383" s="66" t="str">
        <f>IF(B383="", "", 'Lighting Inventory'!AX391)</f>
        <v/>
      </c>
      <c r="AP383" s="67" t="str">
        <f>IF(B383="", "", 'Lighting Inventory'!AZ391)</f>
        <v/>
      </c>
      <c r="AQ383" s="67" t="str">
        <f>IF(B383="", "", 'Lighting Inventory'!BA391)</f>
        <v/>
      </c>
      <c r="AR383" s="67" t="str">
        <f>IF(B383="", "", 'Lighting Inventory'!BB391)</f>
        <v/>
      </c>
      <c r="AS383" s="67" t="str">
        <f>IF(B383="", "", 'Lighting Inventory'!BC391)</f>
        <v/>
      </c>
      <c r="AT383" s="67" t="str">
        <f>IF(B383="", "", 'Lighting Inventory'!BD391)</f>
        <v/>
      </c>
      <c r="AU383" s="67" t="str">
        <f>IF(B383="", "", 'Lighting Inventory'!BE391)</f>
        <v/>
      </c>
      <c r="AV383" s="67" t="str">
        <f>IF(B383="", "", 'Lighting Inventory'!BE391)</f>
        <v/>
      </c>
      <c r="AW383" s="67" t="str">
        <f>IF(B383="", "", 'Lighting Inventory'!BF391)</f>
        <v/>
      </c>
      <c r="AX383" s="67" t="str">
        <f>IF(B383="", "", 'Lighting Inventory'!BF391)</f>
        <v/>
      </c>
      <c r="AY383" s="65" t="str">
        <f t="shared" si="22"/>
        <v/>
      </c>
      <c r="AZ383" s="65" t="str">
        <f>IF(B383="", "", 'Lighting Inventory'!BJ391)</f>
        <v/>
      </c>
      <c r="BA383" s="65" t="str">
        <f>IF(B383="", "", 'Lighting Inventory'!BM391)</f>
        <v/>
      </c>
      <c r="BB383" s="65" t="str">
        <f>IF(B383="","",SUM('Lighting Inventory'!BP391:BP391))</f>
        <v/>
      </c>
      <c r="BC383" s="67" t="str">
        <f>IF(OR(AE383="", B383=""),"", 'Lighting Inventory'!GR391)</f>
        <v/>
      </c>
      <c r="BD383" s="67" t="str">
        <f>IFERROR(IF(B383="", "", 'Lighting Inventory'!AF391)*AD383," ")</f>
        <v xml:space="preserve"> </v>
      </c>
      <c r="BE383" s="67"/>
      <c r="BF383" s="67"/>
    </row>
    <row r="384" spans="1:58" x14ac:dyDescent="0.25">
      <c r="A384" s="26" t="str">
        <f>IF(B384="", "", 'Lookup Tables'!AW385)</f>
        <v/>
      </c>
      <c r="B384" s="26" t="str">
        <f>IF(OR('Lighting Inventory'!Y392="", 'Lighting Inventory'!V392="No Change"),"", 'Lighting Inventory'!Y392)</f>
        <v/>
      </c>
      <c r="C384" s="26" t="str">
        <f>IF(B384="", "", IF('Lighting Inventory'!Y392='Lookup Tables'!$Y$32, 'Lighting Inventory'!AJ392, IF(AD384=0, R384, AD384)))</f>
        <v/>
      </c>
      <c r="D384" s="26" t="str">
        <f>IF(B384="", "", 'General Information'!$F$14)</f>
        <v/>
      </c>
      <c r="E384" s="26" t="str">
        <f t="shared" si="20"/>
        <v/>
      </c>
      <c r="F384" s="26" t="str">
        <f>IF(B384="", "", CONCATENATE('General Information'!$F$9, " - ", 'General Information'!$F$14))</f>
        <v/>
      </c>
      <c r="G384" s="26" t="str">
        <f>IF(B384="", "", 'General Information'!$F$15)</f>
        <v/>
      </c>
      <c r="H384" s="26" t="str">
        <f>IF(B384="", "", IF(VLOOKUP(B384, 'Lookup Tables'!$Y$18:$AA$34, 2, FALSE)="Traffic", VLOOKUP('Lighting Inventory'!W392, 'Lookup Tables'!#REF!, 11, FALSE), VLOOKUP(B384, 'Lookup Tables'!$Y$18:$AA$34, 2, FALSE)))</f>
        <v/>
      </c>
      <c r="I384" s="26" t="str">
        <f>IF(B384="", "", CONCATENATE(D384, 'Data Export'!A384))</f>
        <v/>
      </c>
      <c r="J384" s="26" t="str">
        <f>IF(B384="", "", 'Lookup Tables'!$B$1)</f>
        <v/>
      </c>
      <c r="K384" s="26" t="str">
        <f>IF(B384="", "", 'Lighting Inventory'!B392)</f>
        <v/>
      </c>
      <c r="L384" s="26" t="str">
        <f>IF(B384="", "", 'Lighting Inventory'!C392)</f>
        <v/>
      </c>
      <c r="M384" s="26" t="str">
        <f>IF(B384="", "",'Lighting Inventory'!D392)</f>
        <v/>
      </c>
      <c r="N384" s="26" t="str">
        <f>IF(B384="", "",'Lighting Inventory'!E392)</f>
        <v/>
      </c>
      <c r="O384" s="26" t="str">
        <f>IF(B384="", "", 'Lighting Inventory'!F392)</f>
        <v/>
      </c>
      <c r="P384" s="26" t="str">
        <f>IF(B384="", "", 'Lighting Inventory'!G392)</f>
        <v/>
      </c>
      <c r="Q384" s="26" t="str">
        <f>IF(B384="", "", 'Lighting Inventory'!H392)</f>
        <v/>
      </c>
      <c r="R384" s="26" t="str">
        <f>IF(B384="", "", 'Lighting Inventory'!I392)</f>
        <v/>
      </c>
      <c r="S384" s="26" t="str">
        <f>IF(B384="", "", 'Lighting Inventory'!J392)</f>
        <v/>
      </c>
      <c r="T384" s="26" t="str">
        <f>IFERROR(IF(B384="","",VLOOKUP(S384,'Fixture Identities'!$A$7:$G$1023,5,FALSE)), "New Construction")</f>
        <v/>
      </c>
      <c r="U384" s="26" t="str">
        <f>IFERROR(IF(B384="", "", IF(K384="New Construction", "NC", IF(VLOOKUP(S384, 'Fixture Identities'!$A$7:$I$1023,3, FALSE)="T12 Linear Fluorescent", VLOOKUP(S384, 'Fixture Identities'!$A$7:$K$1012, 11, FALSE), S384))), "")</f>
        <v/>
      </c>
      <c r="V384" s="26" t="str">
        <f>IFERROR(IF(OR(B384="", U384=0), "", VLOOKUP(U384, 'Fixture Identities'!$A$7:$G$1023, 5, FALSE)), "")</f>
        <v/>
      </c>
      <c r="W384" s="26" t="str">
        <f>IF(B384="", "",'Lighting Inventory'!K392)</f>
        <v/>
      </c>
      <c r="X384" s="65" t="str">
        <f>IF(B384="", "", 'Lighting Inventory'!L392)</f>
        <v/>
      </c>
      <c r="Y384" s="26" t="str">
        <f>IF(B384="", "", IF('Lighting Inventory'!M392="", "Light Switch",'Lighting Inventory'!M392))</f>
        <v/>
      </c>
      <c r="Z384" s="26" t="str">
        <f>IF(OR(K384="Retrofit", B384=""), "", 'Lighting Inventory'!N392)</f>
        <v/>
      </c>
      <c r="AA384" s="26" t="str">
        <f>IF(OR(Z384="",B384=""), "", 'Lighting Inventory'!O392)</f>
        <v/>
      </c>
      <c r="AB384" s="26" t="str">
        <f>IF(B384="", "", 'Lighting Inventory'!P392)</f>
        <v/>
      </c>
      <c r="AC384" s="96" t="str">
        <f>IF(B384="", "", 'Lighting Inventory'!R392)</f>
        <v/>
      </c>
      <c r="AD384" s="26" t="str">
        <f>IF(B384="", "", 'Lighting Inventory'!S392)</f>
        <v/>
      </c>
      <c r="AE384" s="26" t="str">
        <f>IF(B384="", "", 'Lighting Inventory'!V392)</f>
        <v/>
      </c>
      <c r="AF384" s="26" t="str">
        <f>IF(B384="", "", 'Lighting Inventory'!W392)</f>
        <v/>
      </c>
      <c r="AG384" s="26" t="str">
        <f>IF(OR(AF384="", B384=""), "", IF(AE384="Custom", "0", VLOOKUP(AF384, 'Lookup Tables'!$AI$6:$AP$102, 8, FALSE)))</f>
        <v/>
      </c>
      <c r="AH384" s="26" t="str">
        <f>IF(B384="", "", 'Lighting Inventory'!AD392)</f>
        <v/>
      </c>
      <c r="AI384" s="26" t="str">
        <f>IF(OR('Lighting Inventory'!AK392="", B384=""), "", 'Lighting Inventory'!AK392)</f>
        <v/>
      </c>
      <c r="AJ384" s="66" t="str">
        <f>IF(B384="", "", 'Lighting Inventory'!AL392)</f>
        <v/>
      </c>
      <c r="AK384" s="65" t="str">
        <f>IF(B384="", "", 'Lighting Inventory'!AM392)</f>
        <v/>
      </c>
      <c r="AL384" s="26" t="str">
        <f>IF(B384="", "", 'Lighting Inventory'!AN392)</f>
        <v/>
      </c>
      <c r="AM384" s="26" t="str">
        <f t="shared" si="21"/>
        <v/>
      </c>
      <c r="AN384" s="26" t="str">
        <f>IF(B384="","",IF('Lighting Inventory'!AV392="","Prescribed",'Lighting Inventory'!AV392))</f>
        <v/>
      </c>
      <c r="AO384" s="66" t="str">
        <f>IF(B384="", "", 'Lighting Inventory'!AX392)</f>
        <v/>
      </c>
      <c r="AP384" s="67" t="str">
        <f>IF(B384="", "", 'Lighting Inventory'!AZ392)</f>
        <v/>
      </c>
      <c r="AQ384" s="67" t="str">
        <f>IF(B384="", "", 'Lighting Inventory'!BA392)</f>
        <v/>
      </c>
      <c r="AR384" s="67" t="str">
        <f>IF(B384="", "", 'Lighting Inventory'!BB392)</f>
        <v/>
      </c>
      <c r="AS384" s="67" t="str">
        <f>IF(B384="", "", 'Lighting Inventory'!BC392)</f>
        <v/>
      </c>
      <c r="AT384" s="67" t="str">
        <f>IF(B384="", "", 'Lighting Inventory'!BD392)</f>
        <v/>
      </c>
      <c r="AU384" s="67" t="str">
        <f>IF(B384="", "", 'Lighting Inventory'!BE392)</f>
        <v/>
      </c>
      <c r="AV384" s="67" t="str">
        <f>IF(B384="", "", 'Lighting Inventory'!BE392)</f>
        <v/>
      </c>
      <c r="AW384" s="67" t="str">
        <f>IF(B384="", "", 'Lighting Inventory'!BF392)</f>
        <v/>
      </c>
      <c r="AX384" s="67" t="str">
        <f>IF(B384="", "", 'Lighting Inventory'!BF392)</f>
        <v/>
      </c>
      <c r="AY384" s="65" t="str">
        <f t="shared" si="22"/>
        <v/>
      </c>
      <c r="AZ384" s="65" t="str">
        <f>IF(B384="", "", 'Lighting Inventory'!BJ392)</f>
        <v/>
      </c>
      <c r="BA384" s="65" t="str">
        <f>IF(B384="", "", 'Lighting Inventory'!BM392)</f>
        <v/>
      </c>
      <c r="BB384" s="65" t="str">
        <f>IF(B384="","",SUM('Lighting Inventory'!BP392:BP392))</f>
        <v/>
      </c>
      <c r="BC384" s="67" t="str">
        <f>IF(OR(AE384="", B384=""),"", 'Lighting Inventory'!GR392)</f>
        <v/>
      </c>
      <c r="BD384" s="67" t="str">
        <f>IFERROR(IF(B384="", "", 'Lighting Inventory'!AF392)*AD384," ")</f>
        <v xml:space="preserve"> </v>
      </c>
      <c r="BE384" s="67"/>
      <c r="BF384" s="67"/>
    </row>
    <row r="385" spans="1:58" x14ac:dyDescent="0.25">
      <c r="A385" s="26" t="str">
        <f>IF(B385="", "", 'Lookup Tables'!AW386)</f>
        <v/>
      </c>
      <c r="B385" s="26" t="str">
        <f>IF(OR('Lighting Inventory'!Y393="", 'Lighting Inventory'!V393="No Change"),"", 'Lighting Inventory'!Y393)</f>
        <v/>
      </c>
      <c r="C385" s="26" t="str">
        <f>IF(B385="", "", IF('Lighting Inventory'!Y393='Lookup Tables'!$Y$32, 'Lighting Inventory'!AJ393, IF(AD385=0, R385, AD385)))</f>
        <v/>
      </c>
      <c r="D385" s="26" t="str">
        <f>IF(B385="", "", 'General Information'!$F$14)</f>
        <v/>
      </c>
      <c r="E385" s="26" t="str">
        <f t="shared" si="20"/>
        <v/>
      </c>
      <c r="F385" s="26" t="str">
        <f>IF(B385="", "", CONCATENATE('General Information'!$F$9, " - ", 'General Information'!$F$14))</f>
        <v/>
      </c>
      <c r="G385" s="26" t="str">
        <f>IF(B385="", "", 'General Information'!$F$15)</f>
        <v/>
      </c>
      <c r="H385" s="26" t="str">
        <f>IF(B385="", "", IF(VLOOKUP(B385, 'Lookup Tables'!$Y$18:$AA$34, 2, FALSE)="Traffic", VLOOKUP('Lighting Inventory'!W393, 'Lookup Tables'!#REF!, 11, FALSE), VLOOKUP(B385, 'Lookup Tables'!$Y$18:$AA$34, 2, FALSE)))</f>
        <v/>
      </c>
      <c r="I385" s="26" t="str">
        <f>IF(B385="", "", CONCATENATE(D385, 'Data Export'!A385))</f>
        <v/>
      </c>
      <c r="J385" s="26" t="str">
        <f>IF(B385="", "", 'Lookup Tables'!$B$1)</f>
        <v/>
      </c>
      <c r="K385" s="26" t="str">
        <f>IF(B385="", "", 'Lighting Inventory'!B393)</f>
        <v/>
      </c>
      <c r="L385" s="26" t="str">
        <f>IF(B385="", "", 'Lighting Inventory'!C393)</f>
        <v/>
      </c>
      <c r="M385" s="26" t="str">
        <f>IF(B385="", "",'Lighting Inventory'!D393)</f>
        <v/>
      </c>
      <c r="N385" s="26" t="str">
        <f>IF(B385="", "",'Lighting Inventory'!E393)</f>
        <v/>
      </c>
      <c r="O385" s="26" t="str">
        <f>IF(B385="", "", 'Lighting Inventory'!F393)</f>
        <v/>
      </c>
      <c r="P385" s="26" t="str">
        <f>IF(B385="", "", 'Lighting Inventory'!G393)</f>
        <v/>
      </c>
      <c r="Q385" s="26" t="str">
        <f>IF(B385="", "", 'Lighting Inventory'!H393)</f>
        <v/>
      </c>
      <c r="R385" s="26" t="str">
        <f>IF(B385="", "", 'Lighting Inventory'!I393)</f>
        <v/>
      </c>
      <c r="S385" s="26" t="str">
        <f>IF(B385="", "", 'Lighting Inventory'!J393)</f>
        <v/>
      </c>
      <c r="T385" s="26" t="str">
        <f>IFERROR(IF(B385="","",VLOOKUP(S385,'Fixture Identities'!$A$7:$G$1023,5,FALSE)), "New Construction")</f>
        <v/>
      </c>
      <c r="U385" s="26" t="str">
        <f>IFERROR(IF(B385="", "", IF(K385="New Construction", "NC", IF(VLOOKUP(S385, 'Fixture Identities'!$A$7:$I$1023,3, FALSE)="T12 Linear Fluorescent", VLOOKUP(S385, 'Fixture Identities'!$A$7:$K$1012, 11, FALSE), S385))), "")</f>
        <v/>
      </c>
      <c r="V385" s="26" t="str">
        <f>IFERROR(IF(OR(B385="", U385=0), "", VLOOKUP(U385, 'Fixture Identities'!$A$7:$G$1023, 5, FALSE)), "")</f>
        <v/>
      </c>
      <c r="W385" s="26" t="str">
        <f>IF(B385="", "",'Lighting Inventory'!K393)</f>
        <v/>
      </c>
      <c r="X385" s="65" t="str">
        <f>IF(B385="", "", 'Lighting Inventory'!L393)</f>
        <v/>
      </c>
      <c r="Y385" s="26" t="str">
        <f>IF(B385="", "", IF('Lighting Inventory'!M393="", "Light Switch",'Lighting Inventory'!M393))</f>
        <v/>
      </c>
      <c r="Z385" s="26" t="str">
        <f>IF(OR(K385="Retrofit", B385=""), "", 'Lighting Inventory'!N393)</f>
        <v/>
      </c>
      <c r="AA385" s="26" t="str">
        <f>IF(OR(Z385="",B385=""), "", 'Lighting Inventory'!O393)</f>
        <v/>
      </c>
      <c r="AB385" s="26" t="str">
        <f>IF(B385="", "", 'Lighting Inventory'!P393)</f>
        <v/>
      </c>
      <c r="AC385" s="96" t="str">
        <f>IF(B385="", "", 'Lighting Inventory'!R393)</f>
        <v/>
      </c>
      <c r="AD385" s="26" t="str">
        <f>IF(B385="", "", 'Lighting Inventory'!S393)</f>
        <v/>
      </c>
      <c r="AE385" s="26" t="str">
        <f>IF(B385="", "", 'Lighting Inventory'!V393)</f>
        <v/>
      </c>
      <c r="AF385" s="26" t="str">
        <f>IF(B385="", "", 'Lighting Inventory'!W393)</f>
        <v/>
      </c>
      <c r="AG385" s="26" t="str">
        <f>IF(OR(AF385="", B385=""), "", IF(AE385="Custom", "0", VLOOKUP(AF385, 'Lookup Tables'!$AI$6:$AP$102, 8, FALSE)))</f>
        <v/>
      </c>
      <c r="AH385" s="26" t="str">
        <f>IF(B385="", "", 'Lighting Inventory'!AD393)</f>
        <v/>
      </c>
      <c r="AI385" s="26" t="str">
        <f>IF(OR('Lighting Inventory'!AK393="", B385=""), "", 'Lighting Inventory'!AK393)</f>
        <v/>
      </c>
      <c r="AJ385" s="66" t="str">
        <f>IF(B385="", "", 'Lighting Inventory'!AL393)</f>
        <v/>
      </c>
      <c r="AK385" s="65" t="str">
        <f>IF(B385="", "", 'Lighting Inventory'!AM393)</f>
        <v/>
      </c>
      <c r="AL385" s="26" t="str">
        <f>IF(B385="", "", 'Lighting Inventory'!AN393)</f>
        <v/>
      </c>
      <c r="AM385" s="26" t="str">
        <f t="shared" si="21"/>
        <v/>
      </c>
      <c r="AN385" s="26" t="str">
        <f>IF(B385="","",IF('Lighting Inventory'!AV393="","Prescribed",'Lighting Inventory'!AV393))</f>
        <v/>
      </c>
      <c r="AO385" s="66" t="str">
        <f>IF(B385="", "", 'Lighting Inventory'!AX393)</f>
        <v/>
      </c>
      <c r="AP385" s="67" t="str">
        <f>IF(B385="", "", 'Lighting Inventory'!AZ393)</f>
        <v/>
      </c>
      <c r="AQ385" s="67" t="str">
        <f>IF(B385="", "", 'Lighting Inventory'!BA393)</f>
        <v/>
      </c>
      <c r="AR385" s="67" t="str">
        <f>IF(B385="", "", 'Lighting Inventory'!BB393)</f>
        <v/>
      </c>
      <c r="AS385" s="67" t="str">
        <f>IF(B385="", "", 'Lighting Inventory'!BC393)</f>
        <v/>
      </c>
      <c r="AT385" s="67" t="str">
        <f>IF(B385="", "", 'Lighting Inventory'!BD393)</f>
        <v/>
      </c>
      <c r="AU385" s="67" t="str">
        <f>IF(B385="", "", 'Lighting Inventory'!BE393)</f>
        <v/>
      </c>
      <c r="AV385" s="67" t="str">
        <f>IF(B385="", "", 'Lighting Inventory'!BE393)</f>
        <v/>
      </c>
      <c r="AW385" s="67" t="str">
        <f>IF(B385="", "", 'Lighting Inventory'!BF393)</f>
        <v/>
      </c>
      <c r="AX385" s="67" t="str">
        <f>IF(B385="", "", 'Lighting Inventory'!BF393)</f>
        <v/>
      </c>
      <c r="AY385" s="65" t="str">
        <f t="shared" si="22"/>
        <v/>
      </c>
      <c r="AZ385" s="65" t="str">
        <f>IF(B385="", "", 'Lighting Inventory'!BJ393)</f>
        <v/>
      </c>
      <c r="BA385" s="65" t="str">
        <f>IF(B385="", "", 'Lighting Inventory'!BM393)</f>
        <v/>
      </c>
      <c r="BB385" s="65" t="str">
        <f>IF(B385="","",SUM('Lighting Inventory'!BP393:BP393))</f>
        <v/>
      </c>
      <c r="BC385" s="67" t="str">
        <f>IF(OR(AE385="", B385=""),"", 'Lighting Inventory'!GR393)</f>
        <v/>
      </c>
      <c r="BD385" s="67" t="str">
        <f>IFERROR(IF(B385="", "", 'Lighting Inventory'!AF393)*AD385," ")</f>
        <v xml:space="preserve"> </v>
      </c>
      <c r="BE385" s="67"/>
      <c r="BF385" s="67"/>
    </row>
    <row r="386" spans="1:58" x14ac:dyDescent="0.25">
      <c r="A386" s="26" t="str">
        <f>IF(B386="", "", 'Lookup Tables'!AW387)</f>
        <v/>
      </c>
      <c r="B386" s="26" t="str">
        <f>IF(OR('Lighting Inventory'!Y394="", 'Lighting Inventory'!V394="No Change"),"", 'Lighting Inventory'!Y394)</f>
        <v/>
      </c>
      <c r="C386" s="26" t="str">
        <f>IF(B386="", "", IF('Lighting Inventory'!Y394='Lookup Tables'!$Y$32, 'Lighting Inventory'!AJ394, IF(AD386=0, R386, AD386)))</f>
        <v/>
      </c>
      <c r="D386" s="26" t="str">
        <f>IF(B386="", "", 'General Information'!$F$14)</f>
        <v/>
      </c>
      <c r="E386" s="26" t="str">
        <f t="shared" si="20"/>
        <v/>
      </c>
      <c r="F386" s="26" t="str">
        <f>IF(B386="", "", CONCATENATE('General Information'!$F$9, " - ", 'General Information'!$F$14))</f>
        <v/>
      </c>
      <c r="G386" s="26" t="str">
        <f>IF(B386="", "", 'General Information'!$F$15)</f>
        <v/>
      </c>
      <c r="H386" s="26" t="str">
        <f>IF(B386="", "", IF(VLOOKUP(B386, 'Lookup Tables'!$Y$18:$AA$34, 2, FALSE)="Traffic", VLOOKUP('Lighting Inventory'!W394, 'Lookup Tables'!#REF!, 11, FALSE), VLOOKUP(B386, 'Lookup Tables'!$Y$18:$AA$34, 2, FALSE)))</f>
        <v/>
      </c>
      <c r="I386" s="26" t="str">
        <f>IF(B386="", "", CONCATENATE(D386, 'Data Export'!A386))</f>
        <v/>
      </c>
      <c r="J386" s="26" t="str">
        <f>IF(B386="", "", 'Lookup Tables'!$B$1)</f>
        <v/>
      </c>
      <c r="K386" s="26" t="str">
        <f>IF(B386="", "", 'Lighting Inventory'!B394)</f>
        <v/>
      </c>
      <c r="L386" s="26" t="str">
        <f>IF(B386="", "", 'Lighting Inventory'!C394)</f>
        <v/>
      </c>
      <c r="M386" s="26" t="str">
        <f>IF(B386="", "",'Lighting Inventory'!D394)</f>
        <v/>
      </c>
      <c r="N386" s="26" t="str">
        <f>IF(B386="", "",'Lighting Inventory'!E394)</f>
        <v/>
      </c>
      <c r="O386" s="26" t="str">
        <f>IF(B386="", "", 'Lighting Inventory'!F394)</f>
        <v/>
      </c>
      <c r="P386" s="26" t="str">
        <f>IF(B386="", "", 'Lighting Inventory'!G394)</f>
        <v/>
      </c>
      <c r="Q386" s="26" t="str">
        <f>IF(B386="", "", 'Lighting Inventory'!H394)</f>
        <v/>
      </c>
      <c r="R386" s="26" t="str">
        <f>IF(B386="", "", 'Lighting Inventory'!I394)</f>
        <v/>
      </c>
      <c r="S386" s="26" t="str">
        <f>IF(B386="", "", 'Lighting Inventory'!J394)</f>
        <v/>
      </c>
      <c r="T386" s="26" t="str">
        <f>IFERROR(IF(B386="","",VLOOKUP(S386,'Fixture Identities'!$A$7:$G$1023,5,FALSE)), "New Construction")</f>
        <v/>
      </c>
      <c r="U386" s="26" t="str">
        <f>IFERROR(IF(B386="", "", IF(K386="New Construction", "NC", IF(VLOOKUP(S386, 'Fixture Identities'!$A$7:$I$1023,3, FALSE)="T12 Linear Fluorescent", VLOOKUP(S386, 'Fixture Identities'!$A$7:$K$1012, 11, FALSE), S386))), "")</f>
        <v/>
      </c>
      <c r="V386" s="26" t="str">
        <f>IFERROR(IF(OR(B386="", U386=0), "", VLOOKUP(U386, 'Fixture Identities'!$A$7:$G$1023, 5, FALSE)), "")</f>
        <v/>
      </c>
      <c r="W386" s="26" t="str">
        <f>IF(B386="", "",'Lighting Inventory'!K394)</f>
        <v/>
      </c>
      <c r="X386" s="65" t="str">
        <f>IF(B386="", "", 'Lighting Inventory'!L394)</f>
        <v/>
      </c>
      <c r="Y386" s="26" t="str">
        <f>IF(B386="", "", IF('Lighting Inventory'!M394="", "Light Switch",'Lighting Inventory'!M394))</f>
        <v/>
      </c>
      <c r="Z386" s="26" t="str">
        <f>IF(OR(K386="Retrofit", B386=""), "", 'Lighting Inventory'!N394)</f>
        <v/>
      </c>
      <c r="AA386" s="26" t="str">
        <f>IF(OR(Z386="",B386=""), "", 'Lighting Inventory'!O394)</f>
        <v/>
      </c>
      <c r="AB386" s="26" t="str">
        <f>IF(B386="", "", 'Lighting Inventory'!P394)</f>
        <v/>
      </c>
      <c r="AC386" s="96" t="str">
        <f>IF(B386="", "", 'Lighting Inventory'!R394)</f>
        <v/>
      </c>
      <c r="AD386" s="26" t="str">
        <f>IF(B386="", "", 'Lighting Inventory'!S394)</f>
        <v/>
      </c>
      <c r="AE386" s="26" t="str">
        <f>IF(B386="", "", 'Lighting Inventory'!V394)</f>
        <v/>
      </c>
      <c r="AF386" s="26" t="str">
        <f>IF(B386="", "", 'Lighting Inventory'!W394)</f>
        <v/>
      </c>
      <c r="AG386" s="26" t="str">
        <f>IF(OR(AF386="", B386=""), "", IF(AE386="Custom", "0", VLOOKUP(AF386, 'Lookup Tables'!$AI$6:$AP$102, 8, FALSE)))</f>
        <v/>
      </c>
      <c r="AH386" s="26" t="str">
        <f>IF(B386="", "", 'Lighting Inventory'!AD394)</f>
        <v/>
      </c>
      <c r="AI386" s="26" t="str">
        <f>IF(OR('Lighting Inventory'!AK394="", B386=""), "", 'Lighting Inventory'!AK394)</f>
        <v/>
      </c>
      <c r="AJ386" s="66" t="str">
        <f>IF(B386="", "", 'Lighting Inventory'!AL394)</f>
        <v/>
      </c>
      <c r="AK386" s="65" t="str">
        <f>IF(B386="", "", 'Lighting Inventory'!AM394)</f>
        <v/>
      </c>
      <c r="AL386" s="26" t="str">
        <f>IF(B386="", "", 'Lighting Inventory'!AN394)</f>
        <v/>
      </c>
      <c r="AM386" s="26" t="str">
        <f t="shared" si="21"/>
        <v/>
      </c>
      <c r="AN386" s="26" t="str">
        <f>IF(B386="","",IF('Lighting Inventory'!AV394="","Prescribed",'Lighting Inventory'!AV394))</f>
        <v/>
      </c>
      <c r="AO386" s="66" t="str">
        <f>IF(B386="", "", 'Lighting Inventory'!AX394)</f>
        <v/>
      </c>
      <c r="AP386" s="67" t="str">
        <f>IF(B386="", "", 'Lighting Inventory'!AZ394)</f>
        <v/>
      </c>
      <c r="AQ386" s="67" t="str">
        <f>IF(B386="", "", 'Lighting Inventory'!BA394)</f>
        <v/>
      </c>
      <c r="AR386" s="67" t="str">
        <f>IF(B386="", "", 'Lighting Inventory'!BB394)</f>
        <v/>
      </c>
      <c r="AS386" s="67" t="str">
        <f>IF(B386="", "", 'Lighting Inventory'!BC394)</f>
        <v/>
      </c>
      <c r="AT386" s="67" t="str">
        <f>IF(B386="", "", 'Lighting Inventory'!BD394)</f>
        <v/>
      </c>
      <c r="AU386" s="67" t="str">
        <f>IF(B386="", "", 'Lighting Inventory'!BE394)</f>
        <v/>
      </c>
      <c r="AV386" s="67" t="str">
        <f>IF(B386="", "", 'Lighting Inventory'!BE394)</f>
        <v/>
      </c>
      <c r="AW386" s="67" t="str">
        <f>IF(B386="", "", 'Lighting Inventory'!BF394)</f>
        <v/>
      </c>
      <c r="AX386" s="67" t="str">
        <f>IF(B386="", "", 'Lighting Inventory'!BF394)</f>
        <v/>
      </c>
      <c r="AY386" s="65" t="str">
        <f t="shared" si="22"/>
        <v/>
      </c>
      <c r="AZ386" s="65" t="str">
        <f>IF(B386="", "", 'Lighting Inventory'!BJ394)</f>
        <v/>
      </c>
      <c r="BA386" s="65" t="str">
        <f>IF(B386="", "", 'Lighting Inventory'!BM394)</f>
        <v/>
      </c>
      <c r="BB386" s="65" t="str">
        <f>IF(B386="","",SUM('Lighting Inventory'!BP394:BP394))</f>
        <v/>
      </c>
      <c r="BC386" s="67" t="str">
        <f>IF(OR(AE386="", B386=""),"", 'Lighting Inventory'!GR394)</f>
        <v/>
      </c>
      <c r="BD386" s="67" t="str">
        <f>IFERROR(IF(B386="", "", 'Lighting Inventory'!AF394)*AD386," ")</f>
        <v xml:space="preserve"> </v>
      </c>
      <c r="BE386" s="67"/>
      <c r="BF386" s="67"/>
    </row>
    <row r="387" spans="1:58" x14ac:dyDescent="0.25">
      <c r="A387" s="26" t="str">
        <f>IF(B387="", "", 'Lookup Tables'!AW388)</f>
        <v/>
      </c>
      <c r="B387" s="26" t="str">
        <f>IF(OR('Lighting Inventory'!Y395="", 'Lighting Inventory'!V395="No Change"),"", 'Lighting Inventory'!Y395)</f>
        <v/>
      </c>
      <c r="C387" s="26" t="str">
        <f>IF(B387="", "", IF('Lighting Inventory'!Y395='Lookup Tables'!$Y$32, 'Lighting Inventory'!AJ395, IF(AD387=0, R387, AD387)))</f>
        <v/>
      </c>
      <c r="D387" s="26" t="str">
        <f>IF(B387="", "", 'General Information'!$F$14)</f>
        <v/>
      </c>
      <c r="E387" s="26" t="str">
        <f t="shared" si="20"/>
        <v/>
      </c>
      <c r="F387" s="26" t="str">
        <f>IF(B387="", "", CONCATENATE('General Information'!$F$9, " - ", 'General Information'!$F$14))</f>
        <v/>
      </c>
      <c r="G387" s="26" t="str">
        <f>IF(B387="", "", 'General Information'!$F$15)</f>
        <v/>
      </c>
      <c r="H387" s="26" t="str">
        <f>IF(B387="", "", IF(VLOOKUP(B387, 'Lookup Tables'!$Y$18:$AA$34, 2, FALSE)="Traffic", VLOOKUP('Lighting Inventory'!W395, 'Lookup Tables'!#REF!, 11, FALSE), VLOOKUP(B387, 'Lookup Tables'!$Y$18:$AA$34, 2, FALSE)))</f>
        <v/>
      </c>
      <c r="I387" s="26" t="str">
        <f>IF(B387="", "", CONCATENATE(D387, 'Data Export'!A387))</f>
        <v/>
      </c>
      <c r="J387" s="26" t="str">
        <f>IF(B387="", "", 'Lookup Tables'!$B$1)</f>
        <v/>
      </c>
      <c r="K387" s="26" t="str">
        <f>IF(B387="", "", 'Lighting Inventory'!B395)</f>
        <v/>
      </c>
      <c r="L387" s="26" t="str">
        <f>IF(B387="", "", 'Lighting Inventory'!C395)</f>
        <v/>
      </c>
      <c r="M387" s="26" t="str">
        <f>IF(B387="", "",'Lighting Inventory'!D395)</f>
        <v/>
      </c>
      <c r="N387" s="26" t="str">
        <f>IF(B387="", "",'Lighting Inventory'!E395)</f>
        <v/>
      </c>
      <c r="O387" s="26" t="str">
        <f>IF(B387="", "", 'Lighting Inventory'!F395)</f>
        <v/>
      </c>
      <c r="P387" s="26" t="str">
        <f>IF(B387="", "", 'Lighting Inventory'!G395)</f>
        <v/>
      </c>
      <c r="Q387" s="26" t="str">
        <f>IF(B387="", "", 'Lighting Inventory'!H395)</f>
        <v/>
      </c>
      <c r="R387" s="26" t="str">
        <f>IF(B387="", "", 'Lighting Inventory'!I395)</f>
        <v/>
      </c>
      <c r="S387" s="26" t="str">
        <f>IF(B387="", "", 'Lighting Inventory'!J395)</f>
        <v/>
      </c>
      <c r="T387" s="26" t="str">
        <f>IFERROR(IF(B387="","",VLOOKUP(S387,'Fixture Identities'!$A$7:$G$1023,5,FALSE)), "New Construction")</f>
        <v/>
      </c>
      <c r="U387" s="26" t="str">
        <f>IFERROR(IF(B387="", "", IF(K387="New Construction", "NC", IF(VLOOKUP(S387, 'Fixture Identities'!$A$7:$I$1023,3, FALSE)="T12 Linear Fluorescent", VLOOKUP(S387, 'Fixture Identities'!$A$7:$K$1012, 11, FALSE), S387))), "")</f>
        <v/>
      </c>
      <c r="V387" s="26" t="str">
        <f>IFERROR(IF(OR(B387="", U387=0), "", VLOOKUP(U387, 'Fixture Identities'!$A$7:$G$1023, 5, FALSE)), "")</f>
        <v/>
      </c>
      <c r="W387" s="26" t="str">
        <f>IF(B387="", "",'Lighting Inventory'!K395)</f>
        <v/>
      </c>
      <c r="X387" s="65" t="str">
        <f>IF(B387="", "", 'Lighting Inventory'!L395)</f>
        <v/>
      </c>
      <c r="Y387" s="26" t="str">
        <f>IF(B387="", "", IF('Lighting Inventory'!M395="", "Light Switch",'Lighting Inventory'!M395))</f>
        <v/>
      </c>
      <c r="Z387" s="26" t="str">
        <f>IF(OR(K387="Retrofit", B387=""), "", 'Lighting Inventory'!N395)</f>
        <v/>
      </c>
      <c r="AA387" s="26" t="str">
        <f>IF(OR(Z387="",B387=""), "", 'Lighting Inventory'!O395)</f>
        <v/>
      </c>
      <c r="AB387" s="26" t="str">
        <f>IF(B387="", "", 'Lighting Inventory'!P395)</f>
        <v/>
      </c>
      <c r="AC387" s="96" t="str">
        <f>IF(B387="", "", 'Lighting Inventory'!R395)</f>
        <v/>
      </c>
      <c r="AD387" s="26" t="str">
        <f>IF(B387="", "", 'Lighting Inventory'!S395)</f>
        <v/>
      </c>
      <c r="AE387" s="26" t="str">
        <f>IF(B387="", "", 'Lighting Inventory'!V395)</f>
        <v/>
      </c>
      <c r="AF387" s="26" t="str">
        <f>IF(B387="", "", 'Lighting Inventory'!W395)</f>
        <v/>
      </c>
      <c r="AG387" s="26" t="str">
        <f>IF(OR(AF387="", B387=""), "", IF(AE387="Custom", "0", VLOOKUP(AF387, 'Lookup Tables'!$AI$6:$AP$102, 8, FALSE)))</f>
        <v/>
      </c>
      <c r="AH387" s="26" t="str">
        <f>IF(B387="", "", 'Lighting Inventory'!AD395)</f>
        <v/>
      </c>
      <c r="AI387" s="26" t="str">
        <f>IF(OR('Lighting Inventory'!AK395="", B387=""), "", 'Lighting Inventory'!AK395)</f>
        <v/>
      </c>
      <c r="AJ387" s="66" t="str">
        <f>IF(B387="", "", 'Lighting Inventory'!AL395)</f>
        <v/>
      </c>
      <c r="AK387" s="65" t="str">
        <f>IF(B387="", "", 'Lighting Inventory'!AM395)</f>
        <v/>
      </c>
      <c r="AL387" s="26" t="str">
        <f>IF(B387="", "", 'Lighting Inventory'!AN395)</f>
        <v/>
      </c>
      <c r="AM387" s="26" t="str">
        <f t="shared" si="21"/>
        <v/>
      </c>
      <c r="AN387" s="26" t="str">
        <f>IF(B387="","",IF('Lighting Inventory'!AV395="","Prescribed",'Lighting Inventory'!AV395))</f>
        <v/>
      </c>
      <c r="AO387" s="66" t="str">
        <f>IF(B387="", "", 'Lighting Inventory'!AX395)</f>
        <v/>
      </c>
      <c r="AP387" s="67" t="str">
        <f>IF(B387="", "", 'Lighting Inventory'!AZ395)</f>
        <v/>
      </c>
      <c r="AQ387" s="67" t="str">
        <f>IF(B387="", "", 'Lighting Inventory'!BA395)</f>
        <v/>
      </c>
      <c r="AR387" s="67" t="str">
        <f>IF(B387="", "", 'Lighting Inventory'!BB395)</f>
        <v/>
      </c>
      <c r="AS387" s="67" t="str">
        <f>IF(B387="", "", 'Lighting Inventory'!BC395)</f>
        <v/>
      </c>
      <c r="AT387" s="67" t="str">
        <f>IF(B387="", "", 'Lighting Inventory'!BD395)</f>
        <v/>
      </c>
      <c r="AU387" s="67" t="str">
        <f>IF(B387="", "", 'Lighting Inventory'!BE395)</f>
        <v/>
      </c>
      <c r="AV387" s="67" t="str">
        <f>IF(B387="", "", 'Lighting Inventory'!BE395)</f>
        <v/>
      </c>
      <c r="AW387" s="67" t="str">
        <f>IF(B387="", "", 'Lighting Inventory'!BF395)</f>
        <v/>
      </c>
      <c r="AX387" s="67" t="str">
        <f>IF(B387="", "", 'Lighting Inventory'!BF395)</f>
        <v/>
      </c>
      <c r="AY387" s="65" t="str">
        <f t="shared" si="22"/>
        <v/>
      </c>
      <c r="AZ387" s="65" t="str">
        <f>IF(B387="", "", 'Lighting Inventory'!BJ395)</f>
        <v/>
      </c>
      <c r="BA387" s="65" t="str">
        <f>IF(B387="", "", 'Lighting Inventory'!BM395)</f>
        <v/>
      </c>
      <c r="BB387" s="65" t="str">
        <f>IF(B387="","",SUM('Lighting Inventory'!BP395:BP395))</f>
        <v/>
      </c>
      <c r="BC387" s="67" t="str">
        <f>IF(OR(AE387="", B387=""),"", 'Lighting Inventory'!GR395)</f>
        <v/>
      </c>
      <c r="BD387" s="67" t="str">
        <f>IFERROR(IF(B387="", "", 'Lighting Inventory'!AF395)*AD387," ")</f>
        <v xml:space="preserve"> </v>
      </c>
      <c r="BE387" s="67"/>
      <c r="BF387" s="67"/>
    </row>
    <row r="388" spans="1:58" x14ac:dyDescent="0.25">
      <c r="A388" s="26" t="str">
        <f>IF(B388="", "", 'Lookup Tables'!AW389)</f>
        <v/>
      </c>
      <c r="B388" s="26" t="str">
        <f>IF(OR('Lighting Inventory'!Y396="", 'Lighting Inventory'!V396="No Change"),"", 'Lighting Inventory'!Y396)</f>
        <v/>
      </c>
      <c r="C388" s="26" t="str">
        <f>IF(B388="", "", IF('Lighting Inventory'!Y396='Lookup Tables'!$Y$32, 'Lighting Inventory'!AJ396, IF(AD388=0, R388, AD388)))</f>
        <v/>
      </c>
      <c r="D388" s="26" t="str">
        <f>IF(B388="", "", 'General Information'!$F$14)</f>
        <v/>
      </c>
      <c r="E388" s="26" t="str">
        <f t="shared" si="20"/>
        <v/>
      </c>
      <c r="F388" s="26" t="str">
        <f>IF(B388="", "", CONCATENATE('General Information'!$F$9, " - ", 'General Information'!$F$14))</f>
        <v/>
      </c>
      <c r="G388" s="26" t="str">
        <f>IF(B388="", "", 'General Information'!$F$15)</f>
        <v/>
      </c>
      <c r="H388" s="26" t="str">
        <f>IF(B388="", "", IF(VLOOKUP(B388, 'Lookup Tables'!$Y$18:$AA$34, 2, FALSE)="Traffic", VLOOKUP('Lighting Inventory'!W396, 'Lookup Tables'!#REF!, 11, FALSE), VLOOKUP(B388, 'Lookup Tables'!$Y$18:$AA$34, 2, FALSE)))</f>
        <v/>
      </c>
      <c r="I388" s="26" t="str">
        <f>IF(B388="", "", CONCATENATE(D388, 'Data Export'!A388))</f>
        <v/>
      </c>
      <c r="J388" s="26" t="str">
        <f>IF(B388="", "", 'Lookup Tables'!$B$1)</f>
        <v/>
      </c>
      <c r="K388" s="26" t="str">
        <f>IF(B388="", "", 'Lighting Inventory'!B396)</f>
        <v/>
      </c>
      <c r="L388" s="26" t="str">
        <f>IF(B388="", "", 'Lighting Inventory'!C396)</f>
        <v/>
      </c>
      <c r="M388" s="26" t="str">
        <f>IF(B388="", "",'Lighting Inventory'!D396)</f>
        <v/>
      </c>
      <c r="N388" s="26" t="str">
        <f>IF(B388="", "",'Lighting Inventory'!E396)</f>
        <v/>
      </c>
      <c r="O388" s="26" t="str">
        <f>IF(B388="", "", 'Lighting Inventory'!F396)</f>
        <v/>
      </c>
      <c r="P388" s="26" t="str">
        <f>IF(B388="", "", 'Lighting Inventory'!G396)</f>
        <v/>
      </c>
      <c r="Q388" s="26" t="str">
        <f>IF(B388="", "", 'Lighting Inventory'!H396)</f>
        <v/>
      </c>
      <c r="R388" s="26" t="str">
        <f>IF(B388="", "", 'Lighting Inventory'!I396)</f>
        <v/>
      </c>
      <c r="S388" s="26" t="str">
        <f>IF(B388="", "", 'Lighting Inventory'!J396)</f>
        <v/>
      </c>
      <c r="T388" s="26" t="str">
        <f>IFERROR(IF(B388="","",VLOOKUP(S388,'Fixture Identities'!$A$7:$G$1023,5,FALSE)), "New Construction")</f>
        <v/>
      </c>
      <c r="U388" s="26" t="str">
        <f>IFERROR(IF(B388="", "", IF(K388="New Construction", "NC", IF(VLOOKUP(S388, 'Fixture Identities'!$A$7:$I$1023,3, FALSE)="T12 Linear Fluorescent", VLOOKUP(S388, 'Fixture Identities'!$A$7:$K$1012, 11, FALSE), S388))), "")</f>
        <v/>
      </c>
      <c r="V388" s="26" t="str">
        <f>IFERROR(IF(OR(B388="", U388=0), "", VLOOKUP(U388, 'Fixture Identities'!$A$7:$G$1023, 5, FALSE)), "")</f>
        <v/>
      </c>
      <c r="W388" s="26" t="str">
        <f>IF(B388="", "",'Lighting Inventory'!K396)</f>
        <v/>
      </c>
      <c r="X388" s="65" t="str">
        <f>IF(B388="", "", 'Lighting Inventory'!L396)</f>
        <v/>
      </c>
      <c r="Y388" s="26" t="str">
        <f>IF(B388="", "", IF('Lighting Inventory'!M396="", "Light Switch",'Lighting Inventory'!M396))</f>
        <v/>
      </c>
      <c r="Z388" s="26" t="str">
        <f>IF(OR(K388="Retrofit", B388=""), "", 'Lighting Inventory'!N396)</f>
        <v/>
      </c>
      <c r="AA388" s="26" t="str">
        <f>IF(OR(Z388="",B388=""), "", 'Lighting Inventory'!O396)</f>
        <v/>
      </c>
      <c r="AB388" s="26" t="str">
        <f>IF(B388="", "", 'Lighting Inventory'!P396)</f>
        <v/>
      </c>
      <c r="AC388" s="96" t="str">
        <f>IF(B388="", "", 'Lighting Inventory'!R396)</f>
        <v/>
      </c>
      <c r="AD388" s="26" t="str">
        <f>IF(B388="", "", 'Lighting Inventory'!S396)</f>
        <v/>
      </c>
      <c r="AE388" s="26" t="str">
        <f>IF(B388="", "", 'Lighting Inventory'!V396)</f>
        <v/>
      </c>
      <c r="AF388" s="26" t="str">
        <f>IF(B388="", "", 'Lighting Inventory'!W396)</f>
        <v/>
      </c>
      <c r="AG388" s="26" t="str">
        <f>IF(OR(AF388="", B388=""), "", IF(AE388="Custom", "0", VLOOKUP(AF388, 'Lookup Tables'!$AI$6:$AP$102, 8, FALSE)))</f>
        <v/>
      </c>
      <c r="AH388" s="26" t="str">
        <f>IF(B388="", "", 'Lighting Inventory'!AD396)</f>
        <v/>
      </c>
      <c r="AI388" s="26" t="str">
        <f>IF(OR('Lighting Inventory'!AK396="", B388=""), "", 'Lighting Inventory'!AK396)</f>
        <v/>
      </c>
      <c r="AJ388" s="66" t="str">
        <f>IF(B388="", "", 'Lighting Inventory'!AL396)</f>
        <v/>
      </c>
      <c r="AK388" s="65" t="str">
        <f>IF(B388="", "", 'Lighting Inventory'!AM396)</f>
        <v/>
      </c>
      <c r="AL388" s="26" t="str">
        <f>IF(B388="", "", 'Lighting Inventory'!AN396)</f>
        <v/>
      </c>
      <c r="AM388" s="26" t="str">
        <f t="shared" si="21"/>
        <v/>
      </c>
      <c r="AN388" s="26" t="str">
        <f>IF(B388="","",IF('Lighting Inventory'!AV396="","Prescribed",'Lighting Inventory'!AV396))</f>
        <v/>
      </c>
      <c r="AO388" s="66" t="str">
        <f>IF(B388="", "", 'Lighting Inventory'!AX396)</f>
        <v/>
      </c>
      <c r="AP388" s="67" t="str">
        <f>IF(B388="", "", 'Lighting Inventory'!AZ396)</f>
        <v/>
      </c>
      <c r="AQ388" s="67" t="str">
        <f>IF(B388="", "", 'Lighting Inventory'!BA396)</f>
        <v/>
      </c>
      <c r="AR388" s="67" t="str">
        <f>IF(B388="", "", 'Lighting Inventory'!BB396)</f>
        <v/>
      </c>
      <c r="AS388" s="67" t="str">
        <f>IF(B388="", "", 'Lighting Inventory'!BC396)</f>
        <v/>
      </c>
      <c r="AT388" s="67" t="str">
        <f>IF(B388="", "", 'Lighting Inventory'!BD396)</f>
        <v/>
      </c>
      <c r="AU388" s="67" t="str">
        <f>IF(B388="", "", 'Lighting Inventory'!BE396)</f>
        <v/>
      </c>
      <c r="AV388" s="67" t="str">
        <f>IF(B388="", "", 'Lighting Inventory'!BE396)</f>
        <v/>
      </c>
      <c r="AW388" s="67" t="str">
        <f>IF(B388="", "", 'Lighting Inventory'!BF396)</f>
        <v/>
      </c>
      <c r="AX388" s="67" t="str">
        <f>IF(B388="", "", 'Lighting Inventory'!BF396)</f>
        <v/>
      </c>
      <c r="AY388" s="65" t="str">
        <f t="shared" si="22"/>
        <v/>
      </c>
      <c r="AZ388" s="65" t="str">
        <f>IF(B388="", "", 'Lighting Inventory'!BJ396)</f>
        <v/>
      </c>
      <c r="BA388" s="65" t="str">
        <f>IF(B388="", "", 'Lighting Inventory'!BM396)</f>
        <v/>
      </c>
      <c r="BB388" s="65" t="str">
        <f>IF(B388="","",SUM('Lighting Inventory'!BP396:BP396))</f>
        <v/>
      </c>
      <c r="BC388" s="67" t="str">
        <f>IF(OR(AE388="", B388=""),"", 'Lighting Inventory'!GR396)</f>
        <v/>
      </c>
      <c r="BD388" s="67" t="str">
        <f>IFERROR(IF(B388="", "", 'Lighting Inventory'!AF396)*AD388," ")</f>
        <v xml:space="preserve"> </v>
      </c>
      <c r="BE388" s="67"/>
      <c r="BF388" s="67"/>
    </row>
    <row r="389" spans="1:58" x14ac:dyDescent="0.25">
      <c r="A389" s="26" t="str">
        <f>IF(B389="", "", 'Lookup Tables'!AW390)</f>
        <v/>
      </c>
      <c r="B389" s="26" t="str">
        <f>IF(OR('Lighting Inventory'!Y397="", 'Lighting Inventory'!V397="No Change"),"", 'Lighting Inventory'!Y397)</f>
        <v/>
      </c>
      <c r="C389" s="26" t="str">
        <f>IF(B389="", "", IF('Lighting Inventory'!Y397='Lookup Tables'!$Y$32, 'Lighting Inventory'!AJ397, IF(AD389=0, R389, AD389)))</f>
        <v/>
      </c>
      <c r="D389" s="26" t="str">
        <f>IF(B389="", "", 'General Information'!$F$14)</f>
        <v/>
      </c>
      <c r="E389" s="26" t="str">
        <f t="shared" si="20"/>
        <v/>
      </c>
      <c r="F389" s="26" t="str">
        <f>IF(B389="", "", CONCATENATE('General Information'!$F$9, " - ", 'General Information'!$F$14))</f>
        <v/>
      </c>
      <c r="G389" s="26" t="str">
        <f>IF(B389="", "", 'General Information'!$F$15)</f>
        <v/>
      </c>
      <c r="H389" s="26" t="str">
        <f>IF(B389="", "", IF(VLOOKUP(B389, 'Lookup Tables'!$Y$18:$AA$34, 2, FALSE)="Traffic", VLOOKUP('Lighting Inventory'!W397, 'Lookup Tables'!#REF!, 11, FALSE), VLOOKUP(B389, 'Lookup Tables'!$Y$18:$AA$34, 2, FALSE)))</f>
        <v/>
      </c>
      <c r="I389" s="26" t="str">
        <f>IF(B389="", "", CONCATENATE(D389, 'Data Export'!A389))</f>
        <v/>
      </c>
      <c r="J389" s="26" t="str">
        <f>IF(B389="", "", 'Lookup Tables'!$B$1)</f>
        <v/>
      </c>
      <c r="K389" s="26" t="str">
        <f>IF(B389="", "", 'Lighting Inventory'!B397)</f>
        <v/>
      </c>
      <c r="L389" s="26" t="str">
        <f>IF(B389="", "", 'Lighting Inventory'!C397)</f>
        <v/>
      </c>
      <c r="M389" s="26" t="str">
        <f>IF(B389="", "",'Lighting Inventory'!D397)</f>
        <v/>
      </c>
      <c r="N389" s="26" t="str">
        <f>IF(B389="", "",'Lighting Inventory'!E397)</f>
        <v/>
      </c>
      <c r="O389" s="26" t="str">
        <f>IF(B389="", "", 'Lighting Inventory'!F397)</f>
        <v/>
      </c>
      <c r="P389" s="26" t="str">
        <f>IF(B389="", "", 'Lighting Inventory'!G397)</f>
        <v/>
      </c>
      <c r="Q389" s="26" t="str">
        <f>IF(B389="", "", 'Lighting Inventory'!H397)</f>
        <v/>
      </c>
      <c r="R389" s="26" t="str">
        <f>IF(B389="", "", 'Lighting Inventory'!I397)</f>
        <v/>
      </c>
      <c r="S389" s="26" t="str">
        <f>IF(B389="", "", 'Lighting Inventory'!J397)</f>
        <v/>
      </c>
      <c r="T389" s="26" t="str">
        <f>IFERROR(IF(B389="","",VLOOKUP(S389,'Fixture Identities'!$A$7:$G$1023,5,FALSE)), "New Construction")</f>
        <v/>
      </c>
      <c r="U389" s="26" t="str">
        <f>IFERROR(IF(B389="", "", IF(K389="New Construction", "NC", IF(VLOOKUP(S389, 'Fixture Identities'!$A$7:$I$1023,3, FALSE)="T12 Linear Fluorescent", VLOOKUP(S389, 'Fixture Identities'!$A$7:$K$1012, 11, FALSE), S389))), "")</f>
        <v/>
      </c>
      <c r="V389" s="26" t="str">
        <f>IFERROR(IF(OR(B389="", U389=0), "", VLOOKUP(U389, 'Fixture Identities'!$A$7:$G$1023, 5, FALSE)), "")</f>
        <v/>
      </c>
      <c r="W389" s="26" t="str">
        <f>IF(B389="", "",'Lighting Inventory'!K397)</f>
        <v/>
      </c>
      <c r="X389" s="65" t="str">
        <f>IF(B389="", "", 'Lighting Inventory'!L397)</f>
        <v/>
      </c>
      <c r="Y389" s="26" t="str">
        <f>IF(B389="", "", IF('Lighting Inventory'!M397="", "Light Switch",'Lighting Inventory'!M397))</f>
        <v/>
      </c>
      <c r="Z389" s="26" t="str">
        <f>IF(OR(K389="Retrofit", B389=""), "", 'Lighting Inventory'!N397)</f>
        <v/>
      </c>
      <c r="AA389" s="26" t="str">
        <f>IF(OR(Z389="",B389=""), "", 'Lighting Inventory'!O397)</f>
        <v/>
      </c>
      <c r="AB389" s="26" t="str">
        <f>IF(B389="", "", 'Lighting Inventory'!P397)</f>
        <v/>
      </c>
      <c r="AC389" s="96" t="str">
        <f>IF(B389="", "", 'Lighting Inventory'!R397)</f>
        <v/>
      </c>
      <c r="AD389" s="26" t="str">
        <f>IF(B389="", "", 'Lighting Inventory'!S397)</f>
        <v/>
      </c>
      <c r="AE389" s="26" t="str">
        <f>IF(B389="", "", 'Lighting Inventory'!V397)</f>
        <v/>
      </c>
      <c r="AF389" s="26" t="str">
        <f>IF(B389="", "", 'Lighting Inventory'!W397)</f>
        <v/>
      </c>
      <c r="AG389" s="26" t="str">
        <f>IF(OR(AF389="", B389=""), "", IF(AE389="Custom", "0", VLOOKUP(AF389, 'Lookup Tables'!$AI$6:$AP$102, 8, FALSE)))</f>
        <v/>
      </c>
      <c r="AH389" s="26" t="str">
        <f>IF(B389="", "", 'Lighting Inventory'!AD397)</f>
        <v/>
      </c>
      <c r="AI389" s="26" t="str">
        <f>IF(OR('Lighting Inventory'!AK397="", B389=""), "", 'Lighting Inventory'!AK397)</f>
        <v/>
      </c>
      <c r="AJ389" s="66" t="str">
        <f>IF(B389="", "", 'Lighting Inventory'!AL397)</f>
        <v/>
      </c>
      <c r="AK389" s="65" t="str">
        <f>IF(B389="", "", 'Lighting Inventory'!AM397)</f>
        <v/>
      </c>
      <c r="AL389" s="26" t="str">
        <f>IF(B389="", "", 'Lighting Inventory'!AN397)</f>
        <v/>
      </c>
      <c r="AM389" s="26" t="str">
        <f t="shared" si="21"/>
        <v/>
      </c>
      <c r="AN389" s="26" t="str">
        <f>IF(B389="","",IF('Lighting Inventory'!AV397="","Prescribed",'Lighting Inventory'!AV397))</f>
        <v/>
      </c>
      <c r="AO389" s="66" t="str">
        <f>IF(B389="", "", 'Lighting Inventory'!AX397)</f>
        <v/>
      </c>
      <c r="AP389" s="67" t="str">
        <f>IF(B389="", "", 'Lighting Inventory'!AZ397)</f>
        <v/>
      </c>
      <c r="AQ389" s="67" t="str">
        <f>IF(B389="", "", 'Lighting Inventory'!BA397)</f>
        <v/>
      </c>
      <c r="AR389" s="67" t="str">
        <f>IF(B389="", "", 'Lighting Inventory'!BB397)</f>
        <v/>
      </c>
      <c r="AS389" s="67" t="str">
        <f>IF(B389="", "", 'Lighting Inventory'!BC397)</f>
        <v/>
      </c>
      <c r="AT389" s="67" t="str">
        <f>IF(B389="", "", 'Lighting Inventory'!BD397)</f>
        <v/>
      </c>
      <c r="AU389" s="67" t="str">
        <f>IF(B389="", "", 'Lighting Inventory'!BE397)</f>
        <v/>
      </c>
      <c r="AV389" s="67" t="str">
        <f>IF(B389="", "", 'Lighting Inventory'!BE397)</f>
        <v/>
      </c>
      <c r="AW389" s="67" t="str">
        <f>IF(B389="", "", 'Lighting Inventory'!BF397)</f>
        <v/>
      </c>
      <c r="AX389" s="67" t="str">
        <f>IF(B389="", "", 'Lighting Inventory'!BF397)</f>
        <v/>
      </c>
      <c r="AY389" s="65" t="str">
        <f t="shared" si="22"/>
        <v/>
      </c>
      <c r="AZ389" s="65" t="str">
        <f>IF(B389="", "", 'Lighting Inventory'!BJ397)</f>
        <v/>
      </c>
      <c r="BA389" s="65" t="str">
        <f>IF(B389="", "", 'Lighting Inventory'!BM397)</f>
        <v/>
      </c>
      <c r="BB389" s="65" t="str">
        <f>IF(B389="","",SUM('Lighting Inventory'!BP397:BP397))</f>
        <v/>
      </c>
      <c r="BC389" s="67" t="str">
        <f>IF(OR(AE389="", B389=""),"", 'Lighting Inventory'!GR397)</f>
        <v/>
      </c>
      <c r="BD389" s="67" t="str">
        <f>IFERROR(IF(B389="", "", 'Lighting Inventory'!AF397)*AD389," ")</f>
        <v xml:space="preserve"> </v>
      </c>
      <c r="BE389" s="67"/>
      <c r="BF389" s="67"/>
    </row>
    <row r="390" spans="1:58" x14ac:dyDescent="0.25">
      <c r="A390" s="26" t="str">
        <f>IF(B390="", "", 'Lookup Tables'!AW391)</f>
        <v/>
      </c>
      <c r="B390" s="26" t="str">
        <f>IF(OR('Lighting Inventory'!Y398="", 'Lighting Inventory'!V398="No Change"),"", 'Lighting Inventory'!Y398)</f>
        <v/>
      </c>
      <c r="C390" s="26" t="str">
        <f>IF(B390="", "", IF('Lighting Inventory'!Y398='Lookup Tables'!$Y$32, 'Lighting Inventory'!AJ398, IF(AD390=0, R390, AD390)))</f>
        <v/>
      </c>
      <c r="D390" s="26" t="str">
        <f>IF(B390="", "", 'General Information'!$F$14)</f>
        <v/>
      </c>
      <c r="E390" s="26" t="str">
        <f t="shared" si="20"/>
        <v/>
      </c>
      <c r="F390" s="26" t="str">
        <f>IF(B390="", "", CONCATENATE('General Information'!$F$9, " - ", 'General Information'!$F$14))</f>
        <v/>
      </c>
      <c r="G390" s="26" t="str">
        <f>IF(B390="", "", 'General Information'!$F$15)</f>
        <v/>
      </c>
      <c r="H390" s="26" t="str">
        <f>IF(B390="", "", IF(VLOOKUP(B390, 'Lookup Tables'!$Y$18:$AA$34, 2, FALSE)="Traffic", VLOOKUP('Lighting Inventory'!W398, 'Lookup Tables'!#REF!, 11, FALSE), VLOOKUP(B390, 'Lookup Tables'!$Y$18:$AA$34, 2, FALSE)))</f>
        <v/>
      </c>
      <c r="I390" s="26" t="str">
        <f>IF(B390="", "", CONCATENATE(D390, 'Data Export'!A390))</f>
        <v/>
      </c>
      <c r="J390" s="26" t="str">
        <f>IF(B390="", "", 'Lookup Tables'!$B$1)</f>
        <v/>
      </c>
      <c r="K390" s="26" t="str">
        <f>IF(B390="", "", 'Lighting Inventory'!B398)</f>
        <v/>
      </c>
      <c r="L390" s="26" t="str">
        <f>IF(B390="", "", 'Lighting Inventory'!C398)</f>
        <v/>
      </c>
      <c r="M390" s="26" t="str">
        <f>IF(B390="", "",'Lighting Inventory'!D398)</f>
        <v/>
      </c>
      <c r="N390" s="26" t="str">
        <f>IF(B390="", "",'Lighting Inventory'!E398)</f>
        <v/>
      </c>
      <c r="O390" s="26" t="str">
        <f>IF(B390="", "", 'Lighting Inventory'!F398)</f>
        <v/>
      </c>
      <c r="P390" s="26" t="str">
        <f>IF(B390="", "", 'Lighting Inventory'!G398)</f>
        <v/>
      </c>
      <c r="Q390" s="26" t="str">
        <f>IF(B390="", "", 'Lighting Inventory'!H398)</f>
        <v/>
      </c>
      <c r="R390" s="26" t="str">
        <f>IF(B390="", "", 'Lighting Inventory'!I398)</f>
        <v/>
      </c>
      <c r="S390" s="26" t="str">
        <f>IF(B390="", "", 'Lighting Inventory'!J398)</f>
        <v/>
      </c>
      <c r="T390" s="26" t="str">
        <f>IFERROR(IF(B390="","",VLOOKUP(S390,'Fixture Identities'!$A$7:$G$1023,5,FALSE)), "New Construction")</f>
        <v/>
      </c>
      <c r="U390" s="26" t="str">
        <f>IFERROR(IF(B390="", "", IF(K390="New Construction", "NC", IF(VLOOKUP(S390, 'Fixture Identities'!$A$7:$I$1023,3, FALSE)="T12 Linear Fluorescent", VLOOKUP(S390, 'Fixture Identities'!$A$7:$K$1012, 11, FALSE), S390))), "")</f>
        <v/>
      </c>
      <c r="V390" s="26" t="str">
        <f>IFERROR(IF(OR(B390="", U390=0), "", VLOOKUP(U390, 'Fixture Identities'!$A$7:$G$1023, 5, FALSE)), "")</f>
        <v/>
      </c>
      <c r="W390" s="26" t="str">
        <f>IF(B390="", "",'Lighting Inventory'!K398)</f>
        <v/>
      </c>
      <c r="X390" s="65" t="str">
        <f>IF(B390="", "", 'Lighting Inventory'!L398)</f>
        <v/>
      </c>
      <c r="Y390" s="26" t="str">
        <f>IF(B390="", "", IF('Lighting Inventory'!M398="", "Light Switch",'Lighting Inventory'!M398))</f>
        <v/>
      </c>
      <c r="Z390" s="26" t="str">
        <f>IF(OR(K390="Retrofit", B390=""), "", 'Lighting Inventory'!N398)</f>
        <v/>
      </c>
      <c r="AA390" s="26" t="str">
        <f>IF(OR(Z390="",B390=""), "", 'Lighting Inventory'!O398)</f>
        <v/>
      </c>
      <c r="AB390" s="26" t="str">
        <f>IF(B390="", "", 'Lighting Inventory'!P398)</f>
        <v/>
      </c>
      <c r="AC390" s="96" t="str">
        <f>IF(B390="", "", 'Lighting Inventory'!R398)</f>
        <v/>
      </c>
      <c r="AD390" s="26" t="str">
        <f>IF(B390="", "", 'Lighting Inventory'!S398)</f>
        <v/>
      </c>
      <c r="AE390" s="26" t="str">
        <f>IF(B390="", "", 'Lighting Inventory'!V398)</f>
        <v/>
      </c>
      <c r="AF390" s="26" t="str">
        <f>IF(B390="", "", 'Lighting Inventory'!W398)</f>
        <v/>
      </c>
      <c r="AG390" s="26" t="str">
        <f>IF(OR(AF390="", B390=""), "", IF(AE390="Custom", "0", VLOOKUP(AF390, 'Lookup Tables'!$AI$6:$AP$102, 8, FALSE)))</f>
        <v/>
      </c>
      <c r="AH390" s="26" t="str">
        <f>IF(B390="", "", 'Lighting Inventory'!AD398)</f>
        <v/>
      </c>
      <c r="AI390" s="26" t="str">
        <f>IF(OR('Lighting Inventory'!AK398="", B390=""), "", 'Lighting Inventory'!AK398)</f>
        <v/>
      </c>
      <c r="AJ390" s="66" t="str">
        <f>IF(B390="", "", 'Lighting Inventory'!AL398)</f>
        <v/>
      </c>
      <c r="AK390" s="65" t="str">
        <f>IF(B390="", "", 'Lighting Inventory'!AM398)</f>
        <v/>
      </c>
      <c r="AL390" s="26" t="str">
        <f>IF(B390="", "", 'Lighting Inventory'!AN398)</f>
        <v/>
      </c>
      <c r="AM390" s="26" t="str">
        <f t="shared" si="21"/>
        <v/>
      </c>
      <c r="AN390" s="26" t="str">
        <f>IF(B390="","",IF('Lighting Inventory'!AV398="","Prescribed",'Lighting Inventory'!AV398))</f>
        <v/>
      </c>
      <c r="AO390" s="66" t="str">
        <f>IF(B390="", "", 'Lighting Inventory'!AX398)</f>
        <v/>
      </c>
      <c r="AP390" s="67" t="str">
        <f>IF(B390="", "", 'Lighting Inventory'!AZ398)</f>
        <v/>
      </c>
      <c r="AQ390" s="67" t="str">
        <f>IF(B390="", "", 'Lighting Inventory'!BA398)</f>
        <v/>
      </c>
      <c r="AR390" s="67" t="str">
        <f>IF(B390="", "", 'Lighting Inventory'!BB398)</f>
        <v/>
      </c>
      <c r="AS390" s="67" t="str">
        <f>IF(B390="", "", 'Lighting Inventory'!BC398)</f>
        <v/>
      </c>
      <c r="AT390" s="67" t="str">
        <f>IF(B390="", "", 'Lighting Inventory'!BD398)</f>
        <v/>
      </c>
      <c r="AU390" s="67" t="str">
        <f>IF(B390="", "", 'Lighting Inventory'!BE398)</f>
        <v/>
      </c>
      <c r="AV390" s="67" t="str">
        <f>IF(B390="", "", 'Lighting Inventory'!BE398)</f>
        <v/>
      </c>
      <c r="AW390" s="67" t="str">
        <f>IF(B390="", "", 'Lighting Inventory'!BF398)</f>
        <v/>
      </c>
      <c r="AX390" s="67" t="str">
        <f>IF(B390="", "", 'Lighting Inventory'!BF398)</f>
        <v/>
      </c>
      <c r="AY390" s="65" t="str">
        <f t="shared" si="22"/>
        <v/>
      </c>
      <c r="AZ390" s="65" t="str">
        <f>IF(B390="", "", 'Lighting Inventory'!BJ398)</f>
        <v/>
      </c>
      <c r="BA390" s="65" t="str">
        <f>IF(B390="", "", 'Lighting Inventory'!BM398)</f>
        <v/>
      </c>
      <c r="BB390" s="65" t="str">
        <f>IF(B390="","",SUM('Lighting Inventory'!BP398:BP398))</f>
        <v/>
      </c>
      <c r="BC390" s="67" t="str">
        <f>IF(OR(AE390="", B390=""),"", 'Lighting Inventory'!GR398)</f>
        <v/>
      </c>
      <c r="BD390" s="67" t="str">
        <f>IFERROR(IF(B390="", "", 'Lighting Inventory'!AF398)*AD390," ")</f>
        <v xml:space="preserve"> </v>
      </c>
      <c r="BE390" s="67"/>
      <c r="BF390" s="67"/>
    </row>
    <row r="391" spans="1:58" x14ac:dyDescent="0.25">
      <c r="A391" s="26" t="str">
        <f>IF(B391="", "", 'Lookup Tables'!AW392)</f>
        <v/>
      </c>
      <c r="B391" s="26" t="str">
        <f>IF(OR('Lighting Inventory'!Y399="", 'Lighting Inventory'!V399="No Change"),"", 'Lighting Inventory'!Y399)</f>
        <v/>
      </c>
      <c r="C391" s="26" t="str">
        <f>IF(B391="", "", IF('Lighting Inventory'!Y399='Lookup Tables'!$Y$32, 'Lighting Inventory'!AJ399, IF(AD391=0, R391, AD391)))</f>
        <v/>
      </c>
      <c r="D391" s="26" t="str">
        <f>IF(B391="", "", 'General Information'!$F$14)</f>
        <v/>
      </c>
      <c r="E391" s="26" t="str">
        <f t="shared" si="20"/>
        <v/>
      </c>
      <c r="F391" s="26" t="str">
        <f>IF(B391="", "", CONCATENATE('General Information'!$F$9, " - ", 'General Information'!$F$14))</f>
        <v/>
      </c>
      <c r="G391" s="26" t="str">
        <f>IF(B391="", "", 'General Information'!$F$15)</f>
        <v/>
      </c>
      <c r="H391" s="26" t="str">
        <f>IF(B391="", "", IF(VLOOKUP(B391, 'Lookup Tables'!$Y$18:$AA$34, 2, FALSE)="Traffic", VLOOKUP('Lighting Inventory'!W399, 'Lookup Tables'!#REF!, 11, FALSE), VLOOKUP(B391, 'Lookup Tables'!$Y$18:$AA$34, 2, FALSE)))</f>
        <v/>
      </c>
      <c r="I391" s="26" t="str">
        <f>IF(B391="", "", CONCATENATE(D391, 'Data Export'!A391))</f>
        <v/>
      </c>
      <c r="J391" s="26" t="str">
        <f>IF(B391="", "", 'Lookup Tables'!$B$1)</f>
        <v/>
      </c>
      <c r="K391" s="26" t="str">
        <f>IF(B391="", "", 'Lighting Inventory'!B399)</f>
        <v/>
      </c>
      <c r="L391" s="26" t="str">
        <f>IF(B391="", "", 'Lighting Inventory'!C399)</f>
        <v/>
      </c>
      <c r="M391" s="26" t="str">
        <f>IF(B391="", "",'Lighting Inventory'!D399)</f>
        <v/>
      </c>
      <c r="N391" s="26" t="str">
        <f>IF(B391="", "",'Lighting Inventory'!E399)</f>
        <v/>
      </c>
      <c r="O391" s="26" t="str">
        <f>IF(B391="", "", 'Lighting Inventory'!F399)</f>
        <v/>
      </c>
      <c r="P391" s="26" t="str">
        <f>IF(B391="", "", 'Lighting Inventory'!G399)</f>
        <v/>
      </c>
      <c r="Q391" s="26" t="str">
        <f>IF(B391="", "", 'Lighting Inventory'!H399)</f>
        <v/>
      </c>
      <c r="R391" s="26" t="str">
        <f>IF(B391="", "", 'Lighting Inventory'!I399)</f>
        <v/>
      </c>
      <c r="S391" s="26" t="str">
        <f>IF(B391="", "", 'Lighting Inventory'!J399)</f>
        <v/>
      </c>
      <c r="T391" s="26" t="str">
        <f>IFERROR(IF(B391="","",VLOOKUP(S391,'Fixture Identities'!$A$7:$G$1023,5,FALSE)), "New Construction")</f>
        <v/>
      </c>
      <c r="U391" s="26" t="str">
        <f>IFERROR(IF(B391="", "", IF(K391="New Construction", "NC", IF(VLOOKUP(S391, 'Fixture Identities'!$A$7:$I$1023,3, FALSE)="T12 Linear Fluorescent", VLOOKUP(S391, 'Fixture Identities'!$A$7:$K$1012, 11, FALSE), S391))), "")</f>
        <v/>
      </c>
      <c r="V391" s="26" t="str">
        <f>IFERROR(IF(OR(B391="", U391=0), "", VLOOKUP(U391, 'Fixture Identities'!$A$7:$G$1023, 5, FALSE)), "")</f>
        <v/>
      </c>
      <c r="W391" s="26" t="str">
        <f>IF(B391="", "",'Lighting Inventory'!K399)</f>
        <v/>
      </c>
      <c r="X391" s="65" t="str">
        <f>IF(B391="", "", 'Lighting Inventory'!L399)</f>
        <v/>
      </c>
      <c r="Y391" s="26" t="str">
        <f>IF(B391="", "", IF('Lighting Inventory'!M399="", "Light Switch",'Lighting Inventory'!M399))</f>
        <v/>
      </c>
      <c r="Z391" s="26" t="str">
        <f>IF(OR(K391="Retrofit", B391=""), "", 'Lighting Inventory'!N399)</f>
        <v/>
      </c>
      <c r="AA391" s="26" t="str">
        <f>IF(OR(Z391="",B391=""), "", 'Lighting Inventory'!O399)</f>
        <v/>
      </c>
      <c r="AB391" s="26" t="str">
        <f>IF(B391="", "", 'Lighting Inventory'!P399)</f>
        <v/>
      </c>
      <c r="AC391" s="96" t="str">
        <f>IF(B391="", "", 'Lighting Inventory'!R399)</f>
        <v/>
      </c>
      <c r="AD391" s="26" t="str">
        <f>IF(B391="", "", 'Lighting Inventory'!S399)</f>
        <v/>
      </c>
      <c r="AE391" s="26" t="str">
        <f>IF(B391="", "", 'Lighting Inventory'!V399)</f>
        <v/>
      </c>
      <c r="AF391" s="26" t="str">
        <f>IF(B391="", "", 'Lighting Inventory'!W399)</f>
        <v/>
      </c>
      <c r="AG391" s="26" t="str">
        <f>IF(OR(AF391="", B391=""), "", IF(AE391="Custom", "0", VLOOKUP(AF391, 'Lookup Tables'!$AI$6:$AP$102, 8, FALSE)))</f>
        <v/>
      </c>
      <c r="AH391" s="26" t="str">
        <f>IF(B391="", "", 'Lighting Inventory'!AD399)</f>
        <v/>
      </c>
      <c r="AI391" s="26" t="str">
        <f>IF(OR('Lighting Inventory'!AK399="", B391=""), "", 'Lighting Inventory'!AK399)</f>
        <v/>
      </c>
      <c r="AJ391" s="66" t="str">
        <f>IF(B391="", "", 'Lighting Inventory'!AL399)</f>
        <v/>
      </c>
      <c r="AK391" s="65" t="str">
        <f>IF(B391="", "", 'Lighting Inventory'!AM399)</f>
        <v/>
      </c>
      <c r="AL391" s="26" t="str">
        <f>IF(B391="", "", 'Lighting Inventory'!AN399)</f>
        <v/>
      </c>
      <c r="AM391" s="26" t="str">
        <f t="shared" si="21"/>
        <v/>
      </c>
      <c r="AN391" s="26" t="str">
        <f>IF(B391="","",IF('Lighting Inventory'!AV399="","Prescribed",'Lighting Inventory'!AV399))</f>
        <v/>
      </c>
      <c r="AO391" s="66" t="str">
        <f>IF(B391="", "", 'Lighting Inventory'!AX399)</f>
        <v/>
      </c>
      <c r="AP391" s="67" t="str">
        <f>IF(B391="", "", 'Lighting Inventory'!AZ399)</f>
        <v/>
      </c>
      <c r="AQ391" s="67" t="str">
        <f>IF(B391="", "", 'Lighting Inventory'!BA399)</f>
        <v/>
      </c>
      <c r="AR391" s="67" t="str">
        <f>IF(B391="", "", 'Lighting Inventory'!BB399)</f>
        <v/>
      </c>
      <c r="AS391" s="67" t="str">
        <f>IF(B391="", "", 'Lighting Inventory'!BC399)</f>
        <v/>
      </c>
      <c r="AT391" s="67" t="str">
        <f>IF(B391="", "", 'Lighting Inventory'!BD399)</f>
        <v/>
      </c>
      <c r="AU391" s="67" t="str">
        <f>IF(B391="", "", 'Lighting Inventory'!BE399)</f>
        <v/>
      </c>
      <c r="AV391" s="67" t="str">
        <f>IF(B391="", "", 'Lighting Inventory'!BE399)</f>
        <v/>
      </c>
      <c r="AW391" s="67" t="str">
        <f>IF(B391="", "", 'Lighting Inventory'!BF399)</f>
        <v/>
      </c>
      <c r="AX391" s="67" t="str">
        <f>IF(B391="", "", 'Lighting Inventory'!BF399)</f>
        <v/>
      </c>
      <c r="AY391" s="65" t="str">
        <f t="shared" si="22"/>
        <v/>
      </c>
      <c r="AZ391" s="65" t="str">
        <f>IF(B391="", "", 'Lighting Inventory'!BJ399)</f>
        <v/>
      </c>
      <c r="BA391" s="65" t="str">
        <f>IF(B391="", "", 'Lighting Inventory'!BM399)</f>
        <v/>
      </c>
      <c r="BB391" s="65" t="str">
        <f>IF(B391="","",SUM('Lighting Inventory'!BP399:BP399))</f>
        <v/>
      </c>
      <c r="BC391" s="67" t="str">
        <f>IF(OR(AE391="", B391=""),"", 'Lighting Inventory'!GR399)</f>
        <v/>
      </c>
      <c r="BD391" s="67" t="str">
        <f>IFERROR(IF(B391="", "", 'Lighting Inventory'!AF399)*AD391," ")</f>
        <v xml:space="preserve"> </v>
      </c>
      <c r="BE391" s="67"/>
      <c r="BF391" s="67"/>
    </row>
    <row r="392" spans="1:58" x14ac:dyDescent="0.25">
      <c r="A392" s="26" t="str">
        <f>IF(B392="", "", 'Lookup Tables'!AW393)</f>
        <v/>
      </c>
      <c r="B392" s="26" t="str">
        <f>IF(OR('Lighting Inventory'!Y400="", 'Lighting Inventory'!V400="No Change"),"", 'Lighting Inventory'!Y400)</f>
        <v/>
      </c>
      <c r="C392" s="26" t="str">
        <f>IF(B392="", "", IF('Lighting Inventory'!Y400='Lookup Tables'!$Y$32, 'Lighting Inventory'!AJ400, IF(AD392=0, R392, AD392)))</f>
        <v/>
      </c>
      <c r="D392" s="26" t="str">
        <f>IF(B392="", "", 'General Information'!$F$14)</f>
        <v/>
      </c>
      <c r="E392" s="26" t="str">
        <f t="shared" si="20"/>
        <v/>
      </c>
      <c r="F392" s="26" t="str">
        <f>IF(B392="", "", CONCATENATE('General Information'!$F$9, " - ", 'General Information'!$F$14))</f>
        <v/>
      </c>
      <c r="G392" s="26" t="str">
        <f>IF(B392="", "", 'General Information'!$F$15)</f>
        <v/>
      </c>
      <c r="H392" s="26" t="str">
        <f>IF(B392="", "", IF(VLOOKUP(B392, 'Lookup Tables'!$Y$18:$AA$34, 2, FALSE)="Traffic", VLOOKUP('Lighting Inventory'!W400, 'Lookup Tables'!#REF!, 11, FALSE), VLOOKUP(B392, 'Lookup Tables'!$Y$18:$AA$34, 2, FALSE)))</f>
        <v/>
      </c>
      <c r="I392" s="26" t="str">
        <f>IF(B392="", "", CONCATENATE(D392, 'Data Export'!A392))</f>
        <v/>
      </c>
      <c r="J392" s="26" t="str">
        <f>IF(B392="", "", 'Lookup Tables'!$B$1)</f>
        <v/>
      </c>
      <c r="K392" s="26" t="str">
        <f>IF(B392="", "", 'Lighting Inventory'!B400)</f>
        <v/>
      </c>
      <c r="L392" s="26" t="str">
        <f>IF(B392="", "", 'Lighting Inventory'!C400)</f>
        <v/>
      </c>
      <c r="M392" s="26" t="str">
        <f>IF(B392="", "",'Lighting Inventory'!D400)</f>
        <v/>
      </c>
      <c r="N392" s="26" t="str">
        <f>IF(B392="", "",'Lighting Inventory'!E400)</f>
        <v/>
      </c>
      <c r="O392" s="26" t="str">
        <f>IF(B392="", "", 'Lighting Inventory'!F400)</f>
        <v/>
      </c>
      <c r="P392" s="26" t="str">
        <f>IF(B392="", "", 'Lighting Inventory'!G400)</f>
        <v/>
      </c>
      <c r="Q392" s="26" t="str">
        <f>IF(B392="", "", 'Lighting Inventory'!H400)</f>
        <v/>
      </c>
      <c r="R392" s="26" t="str">
        <f>IF(B392="", "", 'Lighting Inventory'!I400)</f>
        <v/>
      </c>
      <c r="S392" s="26" t="str">
        <f>IF(B392="", "", 'Lighting Inventory'!J400)</f>
        <v/>
      </c>
      <c r="T392" s="26" t="str">
        <f>IFERROR(IF(B392="","",VLOOKUP(S392,'Fixture Identities'!$A$7:$G$1023,5,FALSE)), "New Construction")</f>
        <v/>
      </c>
      <c r="U392" s="26" t="str">
        <f>IFERROR(IF(B392="", "", IF(K392="New Construction", "NC", IF(VLOOKUP(S392, 'Fixture Identities'!$A$7:$I$1023,3, FALSE)="T12 Linear Fluorescent", VLOOKUP(S392, 'Fixture Identities'!$A$7:$K$1012, 11, FALSE), S392))), "")</f>
        <v/>
      </c>
      <c r="V392" s="26" t="str">
        <f>IFERROR(IF(OR(B392="", U392=0), "", VLOOKUP(U392, 'Fixture Identities'!$A$7:$G$1023, 5, FALSE)), "")</f>
        <v/>
      </c>
      <c r="W392" s="26" t="str">
        <f>IF(B392="", "",'Lighting Inventory'!K400)</f>
        <v/>
      </c>
      <c r="X392" s="65" t="str">
        <f>IF(B392="", "", 'Lighting Inventory'!L400)</f>
        <v/>
      </c>
      <c r="Y392" s="26" t="str">
        <f>IF(B392="", "", IF('Lighting Inventory'!M400="", "Light Switch",'Lighting Inventory'!M400))</f>
        <v/>
      </c>
      <c r="Z392" s="26" t="str">
        <f>IF(OR(K392="Retrofit", B392=""), "", 'Lighting Inventory'!N400)</f>
        <v/>
      </c>
      <c r="AA392" s="26" t="str">
        <f>IF(OR(Z392="",B392=""), "", 'Lighting Inventory'!O400)</f>
        <v/>
      </c>
      <c r="AB392" s="26" t="str">
        <f>IF(B392="", "", 'Lighting Inventory'!P400)</f>
        <v/>
      </c>
      <c r="AC392" s="96" t="str">
        <f>IF(B392="", "", 'Lighting Inventory'!R400)</f>
        <v/>
      </c>
      <c r="AD392" s="26" t="str">
        <f>IF(B392="", "", 'Lighting Inventory'!S400)</f>
        <v/>
      </c>
      <c r="AE392" s="26" t="str">
        <f>IF(B392="", "", 'Lighting Inventory'!V400)</f>
        <v/>
      </c>
      <c r="AF392" s="26" t="str">
        <f>IF(B392="", "", 'Lighting Inventory'!W400)</f>
        <v/>
      </c>
      <c r="AG392" s="26" t="str">
        <f>IF(OR(AF392="", B392=""), "", IF(AE392="Custom", "0", VLOOKUP(AF392, 'Lookup Tables'!$AI$6:$AP$102, 8, FALSE)))</f>
        <v/>
      </c>
      <c r="AH392" s="26" t="str">
        <f>IF(B392="", "", 'Lighting Inventory'!AD400)</f>
        <v/>
      </c>
      <c r="AI392" s="26" t="str">
        <f>IF(OR('Lighting Inventory'!AK400="", B392=""), "", 'Lighting Inventory'!AK400)</f>
        <v/>
      </c>
      <c r="AJ392" s="66" t="str">
        <f>IF(B392="", "", 'Lighting Inventory'!AL400)</f>
        <v/>
      </c>
      <c r="AK392" s="65" t="str">
        <f>IF(B392="", "", 'Lighting Inventory'!AM400)</f>
        <v/>
      </c>
      <c r="AL392" s="26" t="str">
        <f>IF(B392="", "", 'Lighting Inventory'!AN400)</f>
        <v/>
      </c>
      <c r="AM392" s="26" t="str">
        <f t="shared" si="21"/>
        <v/>
      </c>
      <c r="AN392" s="26" t="str">
        <f>IF(B392="","",IF('Lighting Inventory'!AV400="","Prescribed",'Lighting Inventory'!AV400))</f>
        <v/>
      </c>
      <c r="AO392" s="66" t="str">
        <f>IF(B392="", "", 'Lighting Inventory'!AX400)</f>
        <v/>
      </c>
      <c r="AP392" s="67" t="str">
        <f>IF(B392="", "", 'Lighting Inventory'!AZ400)</f>
        <v/>
      </c>
      <c r="AQ392" s="67" t="str">
        <f>IF(B392="", "", 'Lighting Inventory'!BA400)</f>
        <v/>
      </c>
      <c r="AR392" s="67" t="str">
        <f>IF(B392="", "", 'Lighting Inventory'!BB400)</f>
        <v/>
      </c>
      <c r="AS392" s="67" t="str">
        <f>IF(B392="", "", 'Lighting Inventory'!BC400)</f>
        <v/>
      </c>
      <c r="AT392" s="67" t="str">
        <f>IF(B392="", "", 'Lighting Inventory'!BD400)</f>
        <v/>
      </c>
      <c r="AU392" s="67" t="str">
        <f>IF(B392="", "", 'Lighting Inventory'!BE400)</f>
        <v/>
      </c>
      <c r="AV392" s="67" t="str">
        <f>IF(B392="", "", 'Lighting Inventory'!BE400)</f>
        <v/>
      </c>
      <c r="AW392" s="67" t="str">
        <f>IF(B392="", "", 'Lighting Inventory'!BF400)</f>
        <v/>
      </c>
      <c r="AX392" s="67" t="str">
        <f>IF(B392="", "", 'Lighting Inventory'!BF400)</f>
        <v/>
      </c>
      <c r="AY392" s="65" t="str">
        <f t="shared" si="22"/>
        <v/>
      </c>
      <c r="AZ392" s="65" t="str">
        <f>IF(B392="", "", 'Lighting Inventory'!BJ400)</f>
        <v/>
      </c>
      <c r="BA392" s="65" t="str">
        <f>IF(B392="", "", 'Lighting Inventory'!BM400)</f>
        <v/>
      </c>
      <c r="BB392" s="65" t="str">
        <f>IF(B392="","",SUM('Lighting Inventory'!BP400:BP400))</f>
        <v/>
      </c>
      <c r="BC392" s="67" t="str">
        <f>IF(OR(AE392="", B392=""),"", 'Lighting Inventory'!GR400)</f>
        <v/>
      </c>
      <c r="BD392" s="67" t="str">
        <f>IFERROR(IF(B392="", "", 'Lighting Inventory'!AF400)*AD392," ")</f>
        <v xml:space="preserve"> </v>
      </c>
      <c r="BE392" s="67"/>
      <c r="BF392" s="67"/>
    </row>
    <row r="393" spans="1:58" x14ac:dyDescent="0.25">
      <c r="A393" s="26" t="str">
        <f>IF(B393="", "", 'Lookup Tables'!AW394)</f>
        <v/>
      </c>
      <c r="B393" s="26" t="str">
        <f>IF(OR('Lighting Inventory'!Y401="", 'Lighting Inventory'!V401="No Change"),"", 'Lighting Inventory'!Y401)</f>
        <v/>
      </c>
      <c r="C393" s="26" t="str">
        <f>IF(B393="", "", IF('Lighting Inventory'!Y401='Lookup Tables'!$Y$32, 'Lighting Inventory'!AJ401, IF(AD393=0, R393, AD393)))</f>
        <v/>
      </c>
      <c r="D393" s="26" t="str">
        <f>IF(B393="", "", 'General Information'!$F$14)</f>
        <v/>
      </c>
      <c r="E393" s="26" t="str">
        <f t="shared" si="20"/>
        <v/>
      </c>
      <c r="F393" s="26" t="str">
        <f>IF(B393="", "", CONCATENATE('General Information'!$F$9, " - ", 'General Information'!$F$14))</f>
        <v/>
      </c>
      <c r="G393" s="26" t="str">
        <f>IF(B393="", "", 'General Information'!$F$15)</f>
        <v/>
      </c>
      <c r="H393" s="26" t="str">
        <f>IF(B393="", "", IF(VLOOKUP(B393, 'Lookup Tables'!$Y$18:$AA$34, 2, FALSE)="Traffic", VLOOKUP('Lighting Inventory'!W401, 'Lookup Tables'!#REF!, 11, FALSE), VLOOKUP(B393, 'Lookup Tables'!$Y$18:$AA$34, 2, FALSE)))</f>
        <v/>
      </c>
      <c r="I393" s="26" t="str">
        <f>IF(B393="", "", CONCATENATE(D393, 'Data Export'!A393))</f>
        <v/>
      </c>
      <c r="J393" s="26" t="str">
        <f>IF(B393="", "", 'Lookup Tables'!$B$1)</f>
        <v/>
      </c>
      <c r="K393" s="26" t="str">
        <f>IF(B393="", "", 'Lighting Inventory'!B401)</f>
        <v/>
      </c>
      <c r="L393" s="26" t="str">
        <f>IF(B393="", "", 'Lighting Inventory'!C401)</f>
        <v/>
      </c>
      <c r="M393" s="26" t="str">
        <f>IF(B393="", "",'Lighting Inventory'!D401)</f>
        <v/>
      </c>
      <c r="N393" s="26" t="str">
        <f>IF(B393="", "",'Lighting Inventory'!E401)</f>
        <v/>
      </c>
      <c r="O393" s="26" t="str">
        <f>IF(B393="", "", 'Lighting Inventory'!F401)</f>
        <v/>
      </c>
      <c r="P393" s="26" t="str">
        <f>IF(B393="", "", 'Lighting Inventory'!G401)</f>
        <v/>
      </c>
      <c r="Q393" s="26" t="str">
        <f>IF(B393="", "", 'Lighting Inventory'!H401)</f>
        <v/>
      </c>
      <c r="R393" s="26" t="str">
        <f>IF(B393="", "", 'Lighting Inventory'!I401)</f>
        <v/>
      </c>
      <c r="S393" s="26" t="str">
        <f>IF(B393="", "", 'Lighting Inventory'!J401)</f>
        <v/>
      </c>
      <c r="T393" s="26" t="str">
        <f>IFERROR(IF(B393="","",VLOOKUP(S393,'Fixture Identities'!$A$7:$G$1023,5,FALSE)), "New Construction")</f>
        <v/>
      </c>
      <c r="U393" s="26" t="str">
        <f>IFERROR(IF(B393="", "", IF(K393="New Construction", "NC", IF(VLOOKUP(S393, 'Fixture Identities'!$A$7:$I$1023,3, FALSE)="T12 Linear Fluorescent", VLOOKUP(S393, 'Fixture Identities'!$A$7:$K$1012, 11, FALSE), S393))), "")</f>
        <v/>
      </c>
      <c r="V393" s="26" t="str">
        <f>IFERROR(IF(OR(B393="", U393=0), "", VLOOKUP(U393, 'Fixture Identities'!$A$7:$G$1023, 5, FALSE)), "")</f>
        <v/>
      </c>
      <c r="W393" s="26" t="str">
        <f>IF(B393="", "",'Lighting Inventory'!K401)</f>
        <v/>
      </c>
      <c r="X393" s="65" t="str">
        <f>IF(B393="", "", 'Lighting Inventory'!L401)</f>
        <v/>
      </c>
      <c r="Y393" s="26" t="str">
        <f>IF(B393="", "", IF('Lighting Inventory'!M401="", "Light Switch",'Lighting Inventory'!M401))</f>
        <v/>
      </c>
      <c r="Z393" s="26" t="str">
        <f>IF(OR(K393="Retrofit", B393=""), "", 'Lighting Inventory'!N401)</f>
        <v/>
      </c>
      <c r="AA393" s="26" t="str">
        <f>IF(OR(Z393="",B393=""), "", 'Lighting Inventory'!O401)</f>
        <v/>
      </c>
      <c r="AB393" s="26" t="str">
        <f>IF(B393="", "", 'Lighting Inventory'!P401)</f>
        <v/>
      </c>
      <c r="AC393" s="96" t="str">
        <f>IF(B393="", "", 'Lighting Inventory'!R401)</f>
        <v/>
      </c>
      <c r="AD393" s="26" t="str">
        <f>IF(B393="", "", 'Lighting Inventory'!S401)</f>
        <v/>
      </c>
      <c r="AE393" s="26" t="str">
        <f>IF(B393="", "", 'Lighting Inventory'!V401)</f>
        <v/>
      </c>
      <c r="AF393" s="26" t="str">
        <f>IF(B393="", "", 'Lighting Inventory'!W401)</f>
        <v/>
      </c>
      <c r="AG393" s="26" t="str">
        <f>IF(OR(AF393="", B393=""), "", IF(AE393="Custom", "0", VLOOKUP(AF393, 'Lookup Tables'!$AI$6:$AP$102, 8, FALSE)))</f>
        <v/>
      </c>
      <c r="AH393" s="26" t="str">
        <f>IF(B393="", "", 'Lighting Inventory'!AD401)</f>
        <v/>
      </c>
      <c r="AI393" s="26" t="str">
        <f>IF(OR('Lighting Inventory'!AK401="", B393=""), "", 'Lighting Inventory'!AK401)</f>
        <v/>
      </c>
      <c r="AJ393" s="66" t="str">
        <f>IF(B393="", "", 'Lighting Inventory'!AL401)</f>
        <v/>
      </c>
      <c r="AK393" s="65" t="str">
        <f>IF(B393="", "", 'Lighting Inventory'!AM401)</f>
        <v/>
      </c>
      <c r="AL393" s="26" t="str">
        <f>IF(B393="", "", 'Lighting Inventory'!AN401)</f>
        <v/>
      </c>
      <c r="AM393" s="26" t="str">
        <f t="shared" si="21"/>
        <v/>
      </c>
      <c r="AN393" s="26" t="str">
        <f>IF(B393="","",IF('Lighting Inventory'!AV401="","Prescribed",'Lighting Inventory'!AV401))</f>
        <v/>
      </c>
      <c r="AO393" s="66" t="str">
        <f>IF(B393="", "", 'Lighting Inventory'!AX401)</f>
        <v/>
      </c>
      <c r="AP393" s="67" t="str">
        <f>IF(B393="", "", 'Lighting Inventory'!AZ401)</f>
        <v/>
      </c>
      <c r="AQ393" s="67" t="str">
        <f>IF(B393="", "", 'Lighting Inventory'!BA401)</f>
        <v/>
      </c>
      <c r="AR393" s="67" t="str">
        <f>IF(B393="", "", 'Lighting Inventory'!BB401)</f>
        <v/>
      </c>
      <c r="AS393" s="67" t="str">
        <f>IF(B393="", "", 'Lighting Inventory'!BC401)</f>
        <v/>
      </c>
      <c r="AT393" s="67" t="str">
        <f>IF(B393="", "", 'Lighting Inventory'!BD401)</f>
        <v/>
      </c>
      <c r="AU393" s="67" t="str">
        <f>IF(B393="", "", 'Lighting Inventory'!BE401)</f>
        <v/>
      </c>
      <c r="AV393" s="67" t="str">
        <f>IF(B393="", "", 'Lighting Inventory'!BE401)</f>
        <v/>
      </c>
      <c r="AW393" s="67" t="str">
        <f>IF(B393="", "", 'Lighting Inventory'!BF401)</f>
        <v/>
      </c>
      <c r="AX393" s="67" t="str">
        <f>IF(B393="", "", 'Lighting Inventory'!BF401)</f>
        <v/>
      </c>
      <c r="AY393" s="65" t="str">
        <f t="shared" si="22"/>
        <v/>
      </c>
      <c r="AZ393" s="65" t="str">
        <f>IF(B393="", "", 'Lighting Inventory'!BJ401)</f>
        <v/>
      </c>
      <c r="BA393" s="65" t="str">
        <f>IF(B393="", "", 'Lighting Inventory'!BM401)</f>
        <v/>
      </c>
      <c r="BB393" s="65" t="str">
        <f>IF(B393="","",SUM('Lighting Inventory'!BP401:BP401))</f>
        <v/>
      </c>
      <c r="BC393" s="67" t="str">
        <f>IF(OR(AE393="", B393=""),"", 'Lighting Inventory'!GR401)</f>
        <v/>
      </c>
      <c r="BD393" s="67" t="str">
        <f>IFERROR(IF(B393="", "", 'Lighting Inventory'!AF401)*AD393," ")</f>
        <v xml:space="preserve"> </v>
      </c>
      <c r="BE393" s="67"/>
      <c r="BF393" s="67"/>
    </row>
    <row r="394" spans="1:58" x14ac:dyDescent="0.25">
      <c r="A394" s="26" t="str">
        <f>IF(B394="", "", 'Lookup Tables'!AW395)</f>
        <v/>
      </c>
      <c r="B394" s="26" t="str">
        <f>IF(OR('Lighting Inventory'!Y402="", 'Lighting Inventory'!V402="No Change"),"", 'Lighting Inventory'!Y402)</f>
        <v/>
      </c>
      <c r="C394" s="26" t="str">
        <f>IF(B394="", "", IF('Lighting Inventory'!Y402='Lookup Tables'!$Y$32, 'Lighting Inventory'!AJ402, IF(AD394=0, R394, AD394)))</f>
        <v/>
      </c>
      <c r="D394" s="26" t="str">
        <f>IF(B394="", "", 'General Information'!$F$14)</f>
        <v/>
      </c>
      <c r="E394" s="26" t="str">
        <f t="shared" si="20"/>
        <v/>
      </c>
      <c r="F394" s="26" t="str">
        <f>IF(B394="", "", CONCATENATE('General Information'!$F$9, " - ", 'General Information'!$F$14))</f>
        <v/>
      </c>
      <c r="G394" s="26" t="str">
        <f>IF(B394="", "", 'General Information'!$F$15)</f>
        <v/>
      </c>
      <c r="H394" s="26" t="str">
        <f>IF(B394="", "", IF(VLOOKUP(B394, 'Lookup Tables'!$Y$18:$AA$34, 2, FALSE)="Traffic", VLOOKUP('Lighting Inventory'!W402, 'Lookup Tables'!#REF!, 11, FALSE), VLOOKUP(B394, 'Lookup Tables'!$Y$18:$AA$34, 2, FALSE)))</f>
        <v/>
      </c>
      <c r="I394" s="26" t="str">
        <f>IF(B394="", "", CONCATENATE(D394, 'Data Export'!A394))</f>
        <v/>
      </c>
      <c r="J394" s="26" t="str">
        <f>IF(B394="", "", 'Lookup Tables'!$B$1)</f>
        <v/>
      </c>
      <c r="K394" s="26" t="str">
        <f>IF(B394="", "", 'Lighting Inventory'!B402)</f>
        <v/>
      </c>
      <c r="L394" s="26" t="str">
        <f>IF(B394="", "", 'Lighting Inventory'!C402)</f>
        <v/>
      </c>
      <c r="M394" s="26" t="str">
        <f>IF(B394="", "",'Lighting Inventory'!D402)</f>
        <v/>
      </c>
      <c r="N394" s="26" t="str">
        <f>IF(B394="", "",'Lighting Inventory'!E402)</f>
        <v/>
      </c>
      <c r="O394" s="26" t="str">
        <f>IF(B394="", "", 'Lighting Inventory'!F402)</f>
        <v/>
      </c>
      <c r="P394" s="26" t="str">
        <f>IF(B394="", "", 'Lighting Inventory'!G402)</f>
        <v/>
      </c>
      <c r="Q394" s="26" t="str">
        <f>IF(B394="", "", 'Lighting Inventory'!H402)</f>
        <v/>
      </c>
      <c r="R394" s="26" t="str">
        <f>IF(B394="", "", 'Lighting Inventory'!I402)</f>
        <v/>
      </c>
      <c r="S394" s="26" t="str">
        <f>IF(B394="", "", 'Lighting Inventory'!J402)</f>
        <v/>
      </c>
      <c r="T394" s="26" t="str">
        <f>IFERROR(IF(B394="","",VLOOKUP(S394,'Fixture Identities'!$A$7:$G$1023,5,FALSE)), "New Construction")</f>
        <v/>
      </c>
      <c r="U394" s="26" t="str">
        <f>IFERROR(IF(B394="", "", IF(K394="New Construction", "NC", IF(VLOOKUP(S394, 'Fixture Identities'!$A$7:$I$1023,3, FALSE)="T12 Linear Fluorescent", VLOOKUP(S394, 'Fixture Identities'!$A$7:$K$1012, 11, FALSE), S394))), "")</f>
        <v/>
      </c>
      <c r="V394" s="26" t="str">
        <f>IFERROR(IF(OR(B394="", U394=0), "", VLOOKUP(U394, 'Fixture Identities'!$A$7:$G$1023, 5, FALSE)), "")</f>
        <v/>
      </c>
      <c r="W394" s="26" t="str">
        <f>IF(B394="", "",'Lighting Inventory'!K402)</f>
        <v/>
      </c>
      <c r="X394" s="65" t="str">
        <f>IF(B394="", "", 'Lighting Inventory'!L402)</f>
        <v/>
      </c>
      <c r="Y394" s="26" t="str">
        <f>IF(B394="", "", IF('Lighting Inventory'!M402="", "Light Switch",'Lighting Inventory'!M402))</f>
        <v/>
      </c>
      <c r="Z394" s="26" t="str">
        <f>IF(OR(K394="Retrofit", B394=""), "", 'Lighting Inventory'!N402)</f>
        <v/>
      </c>
      <c r="AA394" s="26" t="str">
        <f>IF(OR(Z394="",B394=""), "", 'Lighting Inventory'!O402)</f>
        <v/>
      </c>
      <c r="AB394" s="26" t="str">
        <f>IF(B394="", "", 'Lighting Inventory'!P402)</f>
        <v/>
      </c>
      <c r="AC394" s="96" t="str">
        <f>IF(B394="", "", 'Lighting Inventory'!R402)</f>
        <v/>
      </c>
      <c r="AD394" s="26" t="str">
        <f>IF(B394="", "", 'Lighting Inventory'!S402)</f>
        <v/>
      </c>
      <c r="AE394" s="26" t="str">
        <f>IF(B394="", "", 'Lighting Inventory'!V402)</f>
        <v/>
      </c>
      <c r="AF394" s="26" t="str">
        <f>IF(B394="", "", 'Lighting Inventory'!W402)</f>
        <v/>
      </c>
      <c r="AG394" s="26" t="str">
        <f>IF(OR(AF394="", B394=""), "", IF(AE394="Custom", "0", VLOOKUP(AF394, 'Lookup Tables'!$AI$6:$AP$102, 8, FALSE)))</f>
        <v/>
      </c>
      <c r="AH394" s="26" t="str">
        <f>IF(B394="", "", 'Lighting Inventory'!AD402)</f>
        <v/>
      </c>
      <c r="AI394" s="26" t="str">
        <f>IF(OR('Lighting Inventory'!AK402="", B394=""), "", 'Lighting Inventory'!AK402)</f>
        <v/>
      </c>
      <c r="AJ394" s="66" t="str">
        <f>IF(B394="", "", 'Lighting Inventory'!AL402)</f>
        <v/>
      </c>
      <c r="AK394" s="65" t="str">
        <f>IF(B394="", "", 'Lighting Inventory'!AM402)</f>
        <v/>
      </c>
      <c r="AL394" s="26" t="str">
        <f>IF(B394="", "", 'Lighting Inventory'!AN402)</f>
        <v/>
      </c>
      <c r="AM394" s="26" t="str">
        <f t="shared" si="21"/>
        <v/>
      </c>
      <c r="AN394" s="26" t="str">
        <f>IF(B394="","",IF('Lighting Inventory'!AV402="","Prescribed",'Lighting Inventory'!AV402))</f>
        <v/>
      </c>
      <c r="AO394" s="66" t="str">
        <f>IF(B394="", "", 'Lighting Inventory'!AX402)</f>
        <v/>
      </c>
      <c r="AP394" s="67" t="str">
        <f>IF(B394="", "", 'Lighting Inventory'!AZ402)</f>
        <v/>
      </c>
      <c r="AQ394" s="67" t="str">
        <f>IF(B394="", "", 'Lighting Inventory'!BA402)</f>
        <v/>
      </c>
      <c r="AR394" s="67" t="str">
        <f>IF(B394="", "", 'Lighting Inventory'!BB402)</f>
        <v/>
      </c>
      <c r="AS394" s="67" t="str">
        <f>IF(B394="", "", 'Lighting Inventory'!BC402)</f>
        <v/>
      </c>
      <c r="AT394" s="67" t="str">
        <f>IF(B394="", "", 'Lighting Inventory'!BD402)</f>
        <v/>
      </c>
      <c r="AU394" s="67" t="str">
        <f>IF(B394="", "", 'Lighting Inventory'!BE402)</f>
        <v/>
      </c>
      <c r="AV394" s="67" t="str">
        <f>IF(B394="", "", 'Lighting Inventory'!BE402)</f>
        <v/>
      </c>
      <c r="AW394" s="67" t="str">
        <f>IF(B394="", "", 'Lighting Inventory'!BF402)</f>
        <v/>
      </c>
      <c r="AX394" s="67" t="str">
        <f>IF(B394="", "", 'Lighting Inventory'!BF402)</f>
        <v/>
      </c>
      <c r="AY394" s="65" t="str">
        <f t="shared" si="22"/>
        <v/>
      </c>
      <c r="AZ394" s="65" t="str">
        <f>IF(B394="", "", 'Lighting Inventory'!BJ402)</f>
        <v/>
      </c>
      <c r="BA394" s="65" t="str">
        <f>IF(B394="", "", 'Lighting Inventory'!BM402)</f>
        <v/>
      </c>
      <c r="BB394" s="65" t="str">
        <f>IF(B394="","",SUM('Lighting Inventory'!BP402:BP402))</f>
        <v/>
      </c>
      <c r="BC394" s="67" t="str">
        <f>IF(OR(AE394="", B394=""),"", 'Lighting Inventory'!GR402)</f>
        <v/>
      </c>
      <c r="BD394" s="67" t="str">
        <f>IFERROR(IF(B394="", "", 'Lighting Inventory'!AF402)*AD394," ")</f>
        <v xml:space="preserve"> </v>
      </c>
      <c r="BE394" s="67"/>
      <c r="BF394" s="67"/>
    </row>
    <row r="395" spans="1:58" x14ac:dyDescent="0.25">
      <c r="A395" s="26" t="str">
        <f>IF(B395="", "", 'Lookup Tables'!AW396)</f>
        <v/>
      </c>
      <c r="B395" s="26" t="str">
        <f>IF(OR('Lighting Inventory'!Y403="", 'Lighting Inventory'!V403="No Change"),"", 'Lighting Inventory'!Y403)</f>
        <v/>
      </c>
      <c r="C395" s="26" t="str">
        <f>IF(B395="", "", IF('Lighting Inventory'!Y403='Lookup Tables'!$Y$32, 'Lighting Inventory'!AJ403, IF(AD395=0, R395, AD395)))</f>
        <v/>
      </c>
      <c r="D395" s="26" t="str">
        <f>IF(B395="", "", 'General Information'!$F$14)</f>
        <v/>
      </c>
      <c r="E395" s="26" t="str">
        <f t="shared" si="20"/>
        <v/>
      </c>
      <c r="F395" s="26" t="str">
        <f>IF(B395="", "", CONCATENATE('General Information'!$F$9, " - ", 'General Information'!$F$14))</f>
        <v/>
      </c>
      <c r="G395" s="26" t="str">
        <f>IF(B395="", "", 'General Information'!$F$15)</f>
        <v/>
      </c>
      <c r="H395" s="26" t="str">
        <f>IF(B395="", "", IF(VLOOKUP(B395, 'Lookup Tables'!$Y$18:$AA$34, 2, FALSE)="Traffic", VLOOKUP('Lighting Inventory'!W403, 'Lookup Tables'!#REF!, 11, FALSE), VLOOKUP(B395, 'Lookup Tables'!$Y$18:$AA$34, 2, FALSE)))</f>
        <v/>
      </c>
      <c r="I395" s="26" t="str">
        <f>IF(B395="", "", CONCATENATE(D395, 'Data Export'!A395))</f>
        <v/>
      </c>
      <c r="J395" s="26" t="str">
        <f>IF(B395="", "", 'Lookup Tables'!$B$1)</f>
        <v/>
      </c>
      <c r="K395" s="26" t="str">
        <f>IF(B395="", "", 'Lighting Inventory'!B403)</f>
        <v/>
      </c>
      <c r="L395" s="26" t="str">
        <f>IF(B395="", "", 'Lighting Inventory'!C403)</f>
        <v/>
      </c>
      <c r="M395" s="26" t="str">
        <f>IF(B395="", "",'Lighting Inventory'!D403)</f>
        <v/>
      </c>
      <c r="N395" s="26" t="str">
        <f>IF(B395="", "",'Lighting Inventory'!E403)</f>
        <v/>
      </c>
      <c r="O395" s="26" t="str">
        <f>IF(B395="", "", 'Lighting Inventory'!F403)</f>
        <v/>
      </c>
      <c r="P395" s="26" t="str">
        <f>IF(B395="", "", 'Lighting Inventory'!G403)</f>
        <v/>
      </c>
      <c r="Q395" s="26" t="str">
        <f>IF(B395="", "", 'Lighting Inventory'!H403)</f>
        <v/>
      </c>
      <c r="R395" s="26" t="str">
        <f>IF(B395="", "", 'Lighting Inventory'!I403)</f>
        <v/>
      </c>
      <c r="S395" s="26" t="str">
        <f>IF(B395="", "", 'Lighting Inventory'!J403)</f>
        <v/>
      </c>
      <c r="T395" s="26" t="str">
        <f>IFERROR(IF(B395="","",VLOOKUP(S395,'Fixture Identities'!$A$7:$G$1023,5,FALSE)), "New Construction")</f>
        <v/>
      </c>
      <c r="U395" s="26" t="str">
        <f>IFERROR(IF(B395="", "", IF(K395="New Construction", "NC", IF(VLOOKUP(S395, 'Fixture Identities'!$A$7:$I$1023,3, FALSE)="T12 Linear Fluorescent", VLOOKUP(S395, 'Fixture Identities'!$A$7:$K$1012, 11, FALSE), S395))), "")</f>
        <v/>
      </c>
      <c r="V395" s="26" t="str">
        <f>IFERROR(IF(OR(B395="", U395=0), "", VLOOKUP(U395, 'Fixture Identities'!$A$7:$G$1023, 5, FALSE)), "")</f>
        <v/>
      </c>
      <c r="W395" s="26" t="str">
        <f>IF(B395="", "",'Lighting Inventory'!K403)</f>
        <v/>
      </c>
      <c r="X395" s="65" t="str">
        <f>IF(B395="", "", 'Lighting Inventory'!L403)</f>
        <v/>
      </c>
      <c r="Y395" s="26" t="str">
        <f>IF(B395="", "", IF('Lighting Inventory'!M403="", "Light Switch",'Lighting Inventory'!M403))</f>
        <v/>
      </c>
      <c r="Z395" s="26" t="str">
        <f>IF(OR(K395="Retrofit", B395=""), "", 'Lighting Inventory'!N403)</f>
        <v/>
      </c>
      <c r="AA395" s="26" t="str">
        <f>IF(OR(Z395="",B395=""), "", 'Lighting Inventory'!O403)</f>
        <v/>
      </c>
      <c r="AB395" s="26" t="str">
        <f>IF(B395="", "", 'Lighting Inventory'!P403)</f>
        <v/>
      </c>
      <c r="AC395" s="96" t="str">
        <f>IF(B395="", "", 'Lighting Inventory'!R403)</f>
        <v/>
      </c>
      <c r="AD395" s="26" t="str">
        <f>IF(B395="", "", 'Lighting Inventory'!S403)</f>
        <v/>
      </c>
      <c r="AE395" s="26" t="str">
        <f>IF(B395="", "", 'Lighting Inventory'!V403)</f>
        <v/>
      </c>
      <c r="AF395" s="26" t="str">
        <f>IF(B395="", "", 'Lighting Inventory'!W403)</f>
        <v/>
      </c>
      <c r="AG395" s="26" t="str">
        <f>IF(OR(AF395="", B395=""), "", IF(AE395="Custom", "0", VLOOKUP(AF395, 'Lookup Tables'!$AI$6:$AP$102, 8, FALSE)))</f>
        <v/>
      </c>
      <c r="AH395" s="26" t="str">
        <f>IF(B395="", "", 'Lighting Inventory'!AD403)</f>
        <v/>
      </c>
      <c r="AI395" s="26" t="str">
        <f>IF(OR('Lighting Inventory'!AK403="", B395=""), "", 'Lighting Inventory'!AK403)</f>
        <v/>
      </c>
      <c r="AJ395" s="66" t="str">
        <f>IF(B395="", "", 'Lighting Inventory'!AL403)</f>
        <v/>
      </c>
      <c r="AK395" s="65" t="str">
        <f>IF(B395="", "", 'Lighting Inventory'!AM403)</f>
        <v/>
      </c>
      <c r="AL395" s="26" t="str">
        <f>IF(B395="", "", 'Lighting Inventory'!AN403)</f>
        <v/>
      </c>
      <c r="AM395" s="26" t="str">
        <f t="shared" si="21"/>
        <v/>
      </c>
      <c r="AN395" s="26" t="str">
        <f>IF(B395="","",IF('Lighting Inventory'!AV403="","Prescribed",'Lighting Inventory'!AV403))</f>
        <v/>
      </c>
      <c r="AO395" s="66" t="str">
        <f>IF(B395="", "", 'Lighting Inventory'!AX403)</f>
        <v/>
      </c>
      <c r="AP395" s="67" t="str">
        <f>IF(B395="", "", 'Lighting Inventory'!AZ403)</f>
        <v/>
      </c>
      <c r="AQ395" s="67" t="str">
        <f>IF(B395="", "", 'Lighting Inventory'!BA403)</f>
        <v/>
      </c>
      <c r="AR395" s="67" t="str">
        <f>IF(B395="", "", 'Lighting Inventory'!BB403)</f>
        <v/>
      </c>
      <c r="AS395" s="67" t="str">
        <f>IF(B395="", "", 'Lighting Inventory'!BC403)</f>
        <v/>
      </c>
      <c r="AT395" s="67" t="str">
        <f>IF(B395="", "", 'Lighting Inventory'!BD403)</f>
        <v/>
      </c>
      <c r="AU395" s="67" t="str">
        <f>IF(B395="", "", 'Lighting Inventory'!BE403)</f>
        <v/>
      </c>
      <c r="AV395" s="67" t="str">
        <f>IF(B395="", "", 'Lighting Inventory'!BE403)</f>
        <v/>
      </c>
      <c r="AW395" s="67" t="str">
        <f>IF(B395="", "", 'Lighting Inventory'!BF403)</f>
        <v/>
      </c>
      <c r="AX395" s="67" t="str">
        <f>IF(B395="", "", 'Lighting Inventory'!BF403)</f>
        <v/>
      </c>
      <c r="AY395" s="65" t="str">
        <f t="shared" si="22"/>
        <v/>
      </c>
      <c r="AZ395" s="65" t="str">
        <f>IF(B395="", "", 'Lighting Inventory'!BJ403)</f>
        <v/>
      </c>
      <c r="BA395" s="65" t="str">
        <f>IF(B395="", "", 'Lighting Inventory'!BM403)</f>
        <v/>
      </c>
      <c r="BB395" s="65" t="str">
        <f>IF(B395="","",SUM('Lighting Inventory'!BP403:BP403))</f>
        <v/>
      </c>
      <c r="BC395" s="67" t="str">
        <f>IF(OR(AE395="", B395=""),"", 'Lighting Inventory'!GR403)</f>
        <v/>
      </c>
      <c r="BD395" s="67" t="str">
        <f>IFERROR(IF(B395="", "", 'Lighting Inventory'!AF403)*AD395," ")</f>
        <v xml:space="preserve"> </v>
      </c>
      <c r="BE395" s="67"/>
      <c r="BF395" s="67"/>
    </row>
    <row r="396" spans="1:58" x14ac:dyDescent="0.25">
      <c r="A396" s="26" t="str">
        <f>IF(B396="", "", 'Lookup Tables'!AW397)</f>
        <v/>
      </c>
      <c r="B396" s="26" t="str">
        <f>IF(OR('Lighting Inventory'!Y404="", 'Lighting Inventory'!V404="No Change"),"", 'Lighting Inventory'!Y404)</f>
        <v/>
      </c>
      <c r="C396" s="26" t="str">
        <f>IF(B396="", "", IF('Lighting Inventory'!Y404='Lookup Tables'!$Y$32, 'Lighting Inventory'!AJ404, IF(AD396=0, R396, AD396)))</f>
        <v/>
      </c>
      <c r="D396" s="26" t="str">
        <f>IF(B396="", "", 'General Information'!$F$14)</f>
        <v/>
      </c>
      <c r="E396" s="26" t="str">
        <f t="shared" si="20"/>
        <v/>
      </c>
      <c r="F396" s="26" t="str">
        <f>IF(B396="", "", CONCATENATE('General Information'!$F$9, " - ", 'General Information'!$F$14))</f>
        <v/>
      </c>
      <c r="G396" s="26" t="str">
        <f>IF(B396="", "", 'General Information'!$F$15)</f>
        <v/>
      </c>
      <c r="H396" s="26" t="str">
        <f>IF(B396="", "", IF(VLOOKUP(B396, 'Lookup Tables'!$Y$18:$AA$34, 2, FALSE)="Traffic", VLOOKUP('Lighting Inventory'!W404, 'Lookup Tables'!#REF!, 11, FALSE), VLOOKUP(B396, 'Lookup Tables'!$Y$18:$AA$34, 2, FALSE)))</f>
        <v/>
      </c>
      <c r="I396" s="26" t="str">
        <f>IF(B396="", "", CONCATENATE(D396, 'Data Export'!A396))</f>
        <v/>
      </c>
      <c r="J396" s="26" t="str">
        <f>IF(B396="", "", 'Lookup Tables'!$B$1)</f>
        <v/>
      </c>
      <c r="K396" s="26" t="str">
        <f>IF(B396="", "", 'Lighting Inventory'!B404)</f>
        <v/>
      </c>
      <c r="L396" s="26" t="str">
        <f>IF(B396="", "", 'Lighting Inventory'!C404)</f>
        <v/>
      </c>
      <c r="M396" s="26" t="str">
        <f>IF(B396="", "",'Lighting Inventory'!D404)</f>
        <v/>
      </c>
      <c r="N396" s="26" t="str">
        <f>IF(B396="", "",'Lighting Inventory'!E404)</f>
        <v/>
      </c>
      <c r="O396" s="26" t="str">
        <f>IF(B396="", "", 'Lighting Inventory'!F404)</f>
        <v/>
      </c>
      <c r="P396" s="26" t="str">
        <f>IF(B396="", "", 'Lighting Inventory'!G404)</f>
        <v/>
      </c>
      <c r="Q396" s="26" t="str">
        <f>IF(B396="", "", 'Lighting Inventory'!H404)</f>
        <v/>
      </c>
      <c r="R396" s="26" t="str">
        <f>IF(B396="", "", 'Lighting Inventory'!I404)</f>
        <v/>
      </c>
      <c r="S396" s="26" t="str">
        <f>IF(B396="", "", 'Lighting Inventory'!J404)</f>
        <v/>
      </c>
      <c r="T396" s="26" t="str">
        <f>IFERROR(IF(B396="","",VLOOKUP(S396,'Fixture Identities'!$A$7:$G$1023,5,FALSE)), "New Construction")</f>
        <v/>
      </c>
      <c r="U396" s="26" t="str">
        <f>IFERROR(IF(B396="", "", IF(K396="New Construction", "NC", IF(VLOOKUP(S396, 'Fixture Identities'!$A$7:$I$1023,3, FALSE)="T12 Linear Fluorescent", VLOOKUP(S396, 'Fixture Identities'!$A$7:$K$1012, 11, FALSE), S396))), "")</f>
        <v/>
      </c>
      <c r="V396" s="26" t="str">
        <f>IFERROR(IF(OR(B396="", U396=0), "", VLOOKUP(U396, 'Fixture Identities'!$A$7:$G$1023, 5, FALSE)), "")</f>
        <v/>
      </c>
      <c r="W396" s="26" t="str">
        <f>IF(B396="", "",'Lighting Inventory'!K404)</f>
        <v/>
      </c>
      <c r="X396" s="65" t="str">
        <f>IF(B396="", "", 'Lighting Inventory'!L404)</f>
        <v/>
      </c>
      <c r="Y396" s="26" t="str">
        <f>IF(B396="", "", IF('Lighting Inventory'!M404="", "Light Switch",'Lighting Inventory'!M404))</f>
        <v/>
      </c>
      <c r="Z396" s="26" t="str">
        <f>IF(OR(K396="Retrofit", B396=""), "", 'Lighting Inventory'!N404)</f>
        <v/>
      </c>
      <c r="AA396" s="26" t="str">
        <f>IF(OR(Z396="",B396=""), "", 'Lighting Inventory'!O404)</f>
        <v/>
      </c>
      <c r="AB396" s="26" t="str">
        <f>IF(B396="", "", 'Lighting Inventory'!P404)</f>
        <v/>
      </c>
      <c r="AC396" s="96" t="str">
        <f>IF(B396="", "", 'Lighting Inventory'!R404)</f>
        <v/>
      </c>
      <c r="AD396" s="26" t="str">
        <f>IF(B396="", "", 'Lighting Inventory'!S404)</f>
        <v/>
      </c>
      <c r="AE396" s="26" t="str">
        <f>IF(B396="", "", 'Lighting Inventory'!V404)</f>
        <v/>
      </c>
      <c r="AF396" s="26" t="str">
        <f>IF(B396="", "", 'Lighting Inventory'!W404)</f>
        <v/>
      </c>
      <c r="AG396" s="26" t="str">
        <f>IF(OR(AF396="", B396=""), "", IF(AE396="Custom", "0", VLOOKUP(AF396, 'Lookup Tables'!$AI$6:$AP$102, 8, FALSE)))</f>
        <v/>
      </c>
      <c r="AH396" s="26" t="str">
        <f>IF(B396="", "", 'Lighting Inventory'!AD404)</f>
        <v/>
      </c>
      <c r="AI396" s="26" t="str">
        <f>IF(OR('Lighting Inventory'!AK404="", B396=""), "", 'Lighting Inventory'!AK404)</f>
        <v/>
      </c>
      <c r="AJ396" s="66" t="str">
        <f>IF(B396="", "", 'Lighting Inventory'!AL404)</f>
        <v/>
      </c>
      <c r="AK396" s="65" t="str">
        <f>IF(B396="", "", 'Lighting Inventory'!AM404)</f>
        <v/>
      </c>
      <c r="AL396" s="26" t="str">
        <f>IF(B396="", "", 'Lighting Inventory'!AN404)</f>
        <v/>
      </c>
      <c r="AM396" s="26" t="str">
        <f t="shared" si="21"/>
        <v/>
      </c>
      <c r="AN396" s="26" t="str">
        <f>IF(B396="","",IF('Lighting Inventory'!AV404="","Prescribed",'Lighting Inventory'!AV404))</f>
        <v/>
      </c>
      <c r="AO396" s="66" t="str">
        <f>IF(B396="", "", 'Lighting Inventory'!AX404)</f>
        <v/>
      </c>
      <c r="AP396" s="67" t="str">
        <f>IF(B396="", "", 'Lighting Inventory'!AZ404)</f>
        <v/>
      </c>
      <c r="AQ396" s="67" t="str">
        <f>IF(B396="", "", 'Lighting Inventory'!BA404)</f>
        <v/>
      </c>
      <c r="AR396" s="67" t="str">
        <f>IF(B396="", "", 'Lighting Inventory'!BB404)</f>
        <v/>
      </c>
      <c r="AS396" s="67" t="str">
        <f>IF(B396="", "", 'Lighting Inventory'!BC404)</f>
        <v/>
      </c>
      <c r="AT396" s="67" t="str">
        <f>IF(B396="", "", 'Lighting Inventory'!BD404)</f>
        <v/>
      </c>
      <c r="AU396" s="67" t="str">
        <f>IF(B396="", "", 'Lighting Inventory'!BE404)</f>
        <v/>
      </c>
      <c r="AV396" s="67" t="str">
        <f>IF(B396="", "", 'Lighting Inventory'!BE404)</f>
        <v/>
      </c>
      <c r="AW396" s="67" t="str">
        <f>IF(B396="", "", 'Lighting Inventory'!BF404)</f>
        <v/>
      </c>
      <c r="AX396" s="67" t="str">
        <f>IF(B396="", "", 'Lighting Inventory'!BF404)</f>
        <v/>
      </c>
      <c r="AY396" s="65" t="str">
        <f t="shared" si="22"/>
        <v/>
      </c>
      <c r="AZ396" s="65" t="str">
        <f>IF(B396="", "", 'Lighting Inventory'!BJ404)</f>
        <v/>
      </c>
      <c r="BA396" s="65" t="str">
        <f>IF(B396="", "", 'Lighting Inventory'!BM404)</f>
        <v/>
      </c>
      <c r="BB396" s="65" t="str">
        <f>IF(B396="","",SUM('Lighting Inventory'!BP404:BP404))</f>
        <v/>
      </c>
      <c r="BC396" s="67" t="str">
        <f>IF(OR(AE396="", B396=""),"", 'Lighting Inventory'!GR404)</f>
        <v/>
      </c>
      <c r="BD396" s="67" t="str">
        <f>IFERROR(IF(B396="", "", 'Lighting Inventory'!AF404)*AD396," ")</f>
        <v xml:space="preserve"> </v>
      </c>
      <c r="BE396" s="67"/>
      <c r="BF396" s="67"/>
    </row>
    <row r="397" spans="1:58" x14ac:dyDescent="0.25">
      <c r="A397" s="26" t="str">
        <f>IF(B397="", "", 'Lookup Tables'!AW398)</f>
        <v/>
      </c>
      <c r="B397" s="26" t="str">
        <f>IF(OR('Lighting Inventory'!Y405="", 'Lighting Inventory'!V405="No Change"),"", 'Lighting Inventory'!Y405)</f>
        <v/>
      </c>
      <c r="C397" s="26" t="str">
        <f>IF(B397="", "", IF('Lighting Inventory'!Y405='Lookup Tables'!$Y$32, 'Lighting Inventory'!AJ405, IF(AD397=0, R397, AD397)))</f>
        <v/>
      </c>
      <c r="D397" s="26" t="str">
        <f>IF(B397="", "", 'General Information'!$F$14)</f>
        <v/>
      </c>
      <c r="E397" s="26" t="str">
        <f t="shared" si="20"/>
        <v/>
      </c>
      <c r="F397" s="26" t="str">
        <f>IF(B397="", "", CONCATENATE('General Information'!$F$9, " - ", 'General Information'!$F$14))</f>
        <v/>
      </c>
      <c r="G397" s="26" t="str">
        <f>IF(B397="", "", 'General Information'!$F$15)</f>
        <v/>
      </c>
      <c r="H397" s="26" t="str">
        <f>IF(B397="", "", IF(VLOOKUP(B397, 'Lookup Tables'!$Y$18:$AA$34, 2, FALSE)="Traffic", VLOOKUP('Lighting Inventory'!W405, 'Lookup Tables'!#REF!, 11, FALSE), VLOOKUP(B397, 'Lookup Tables'!$Y$18:$AA$34, 2, FALSE)))</f>
        <v/>
      </c>
      <c r="I397" s="26" t="str">
        <f>IF(B397="", "", CONCATENATE(D397, 'Data Export'!A397))</f>
        <v/>
      </c>
      <c r="J397" s="26" t="str">
        <f>IF(B397="", "", 'Lookup Tables'!$B$1)</f>
        <v/>
      </c>
      <c r="K397" s="26" t="str">
        <f>IF(B397="", "", 'Lighting Inventory'!B405)</f>
        <v/>
      </c>
      <c r="L397" s="26" t="str">
        <f>IF(B397="", "", 'Lighting Inventory'!C405)</f>
        <v/>
      </c>
      <c r="M397" s="26" t="str">
        <f>IF(B397="", "",'Lighting Inventory'!D405)</f>
        <v/>
      </c>
      <c r="N397" s="26" t="str">
        <f>IF(B397="", "",'Lighting Inventory'!E405)</f>
        <v/>
      </c>
      <c r="O397" s="26" t="str">
        <f>IF(B397="", "", 'Lighting Inventory'!F405)</f>
        <v/>
      </c>
      <c r="P397" s="26" t="str">
        <f>IF(B397="", "", 'Lighting Inventory'!G405)</f>
        <v/>
      </c>
      <c r="Q397" s="26" t="str">
        <f>IF(B397="", "", 'Lighting Inventory'!H405)</f>
        <v/>
      </c>
      <c r="R397" s="26" t="str">
        <f>IF(B397="", "", 'Lighting Inventory'!I405)</f>
        <v/>
      </c>
      <c r="S397" s="26" t="str">
        <f>IF(B397="", "", 'Lighting Inventory'!J405)</f>
        <v/>
      </c>
      <c r="T397" s="26" t="str">
        <f>IFERROR(IF(B397="","",VLOOKUP(S397,'Fixture Identities'!$A$7:$G$1023,5,FALSE)), "New Construction")</f>
        <v/>
      </c>
      <c r="U397" s="26" t="str">
        <f>IFERROR(IF(B397="", "", IF(K397="New Construction", "NC", IF(VLOOKUP(S397, 'Fixture Identities'!$A$7:$I$1023,3, FALSE)="T12 Linear Fluorescent", VLOOKUP(S397, 'Fixture Identities'!$A$7:$K$1012, 11, FALSE), S397))), "")</f>
        <v/>
      </c>
      <c r="V397" s="26" t="str">
        <f>IFERROR(IF(OR(B397="", U397=0), "", VLOOKUP(U397, 'Fixture Identities'!$A$7:$G$1023, 5, FALSE)), "")</f>
        <v/>
      </c>
      <c r="W397" s="26" t="str">
        <f>IF(B397="", "",'Lighting Inventory'!K405)</f>
        <v/>
      </c>
      <c r="X397" s="65" t="str">
        <f>IF(B397="", "", 'Lighting Inventory'!L405)</f>
        <v/>
      </c>
      <c r="Y397" s="26" t="str">
        <f>IF(B397="", "", IF('Lighting Inventory'!M405="", "Light Switch",'Lighting Inventory'!M405))</f>
        <v/>
      </c>
      <c r="Z397" s="26" t="str">
        <f>IF(OR(K397="Retrofit", B397=""), "", 'Lighting Inventory'!N405)</f>
        <v/>
      </c>
      <c r="AA397" s="26" t="str">
        <f>IF(OR(Z397="",B397=""), "", 'Lighting Inventory'!O405)</f>
        <v/>
      </c>
      <c r="AB397" s="26" t="str">
        <f>IF(B397="", "", 'Lighting Inventory'!P405)</f>
        <v/>
      </c>
      <c r="AC397" s="96" t="str">
        <f>IF(B397="", "", 'Lighting Inventory'!R405)</f>
        <v/>
      </c>
      <c r="AD397" s="26" t="str">
        <f>IF(B397="", "", 'Lighting Inventory'!S405)</f>
        <v/>
      </c>
      <c r="AE397" s="26" t="str">
        <f>IF(B397="", "", 'Lighting Inventory'!V405)</f>
        <v/>
      </c>
      <c r="AF397" s="26" t="str">
        <f>IF(B397="", "", 'Lighting Inventory'!W405)</f>
        <v/>
      </c>
      <c r="AG397" s="26" t="str">
        <f>IF(OR(AF397="", B397=""), "", IF(AE397="Custom", "0", VLOOKUP(AF397, 'Lookup Tables'!$AI$6:$AP$102, 8, FALSE)))</f>
        <v/>
      </c>
      <c r="AH397" s="26" t="str">
        <f>IF(B397="", "", 'Lighting Inventory'!AD405)</f>
        <v/>
      </c>
      <c r="AI397" s="26" t="str">
        <f>IF(OR('Lighting Inventory'!AK405="", B397=""), "", 'Lighting Inventory'!AK405)</f>
        <v/>
      </c>
      <c r="AJ397" s="66" t="str">
        <f>IF(B397="", "", 'Lighting Inventory'!AL405)</f>
        <v/>
      </c>
      <c r="AK397" s="65" t="str">
        <f>IF(B397="", "", 'Lighting Inventory'!AM405)</f>
        <v/>
      </c>
      <c r="AL397" s="26" t="str">
        <f>IF(B397="", "", 'Lighting Inventory'!AN405)</f>
        <v/>
      </c>
      <c r="AM397" s="26" t="str">
        <f t="shared" si="21"/>
        <v/>
      </c>
      <c r="AN397" s="26" t="str">
        <f>IF(B397="","",IF('Lighting Inventory'!AV405="","Prescribed",'Lighting Inventory'!AV405))</f>
        <v/>
      </c>
      <c r="AO397" s="66" t="str">
        <f>IF(B397="", "", 'Lighting Inventory'!AX405)</f>
        <v/>
      </c>
      <c r="AP397" s="67" t="str">
        <f>IF(B397="", "", 'Lighting Inventory'!AZ405)</f>
        <v/>
      </c>
      <c r="AQ397" s="67" t="str">
        <f>IF(B397="", "", 'Lighting Inventory'!BA405)</f>
        <v/>
      </c>
      <c r="AR397" s="67" t="str">
        <f>IF(B397="", "", 'Lighting Inventory'!BB405)</f>
        <v/>
      </c>
      <c r="AS397" s="67" t="str">
        <f>IF(B397="", "", 'Lighting Inventory'!BC405)</f>
        <v/>
      </c>
      <c r="AT397" s="67" t="str">
        <f>IF(B397="", "", 'Lighting Inventory'!BD405)</f>
        <v/>
      </c>
      <c r="AU397" s="67" t="str">
        <f>IF(B397="", "", 'Lighting Inventory'!BE405)</f>
        <v/>
      </c>
      <c r="AV397" s="67" t="str">
        <f>IF(B397="", "", 'Lighting Inventory'!BE405)</f>
        <v/>
      </c>
      <c r="AW397" s="67" t="str">
        <f>IF(B397="", "", 'Lighting Inventory'!BF405)</f>
        <v/>
      </c>
      <c r="AX397" s="67" t="str">
        <f>IF(B397="", "", 'Lighting Inventory'!BF405)</f>
        <v/>
      </c>
      <c r="AY397" s="65" t="str">
        <f t="shared" si="22"/>
        <v/>
      </c>
      <c r="AZ397" s="65" t="str">
        <f>IF(B397="", "", 'Lighting Inventory'!BJ405)</f>
        <v/>
      </c>
      <c r="BA397" s="65" t="str">
        <f>IF(B397="", "", 'Lighting Inventory'!BM405)</f>
        <v/>
      </c>
      <c r="BB397" s="65" t="str">
        <f>IF(B397="","",SUM('Lighting Inventory'!BP405:BP405))</f>
        <v/>
      </c>
      <c r="BC397" s="67" t="str">
        <f>IF(OR(AE397="", B397=""),"", 'Lighting Inventory'!GR405)</f>
        <v/>
      </c>
      <c r="BD397" s="67" t="str">
        <f>IFERROR(IF(B397="", "", 'Lighting Inventory'!AF405)*AD397," ")</f>
        <v xml:space="preserve"> </v>
      </c>
      <c r="BE397" s="67"/>
      <c r="BF397" s="67"/>
    </row>
    <row r="398" spans="1:58" x14ac:dyDescent="0.25">
      <c r="A398" s="26" t="str">
        <f>IF(B398="", "", 'Lookup Tables'!AW399)</f>
        <v/>
      </c>
      <c r="B398" s="26" t="str">
        <f>IF(OR('Lighting Inventory'!Y406="", 'Lighting Inventory'!V406="No Change"),"", 'Lighting Inventory'!Y406)</f>
        <v/>
      </c>
      <c r="C398" s="26" t="str">
        <f>IF(B398="", "", IF('Lighting Inventory'!Y406='Lookup Tables'!$Y$32, 'Lighting Inventory'!AJ406, IF(AD398=0, R398, AD398)))</f>
        <v/>
      </c>
      <c r="D398" s="26" t="str">
        <f>IF(B398="", "", 'General Information'!$F$14)</f>
        <v/>
      </c>
      <c r="E398" s="26" t="str">
        <f t="shared" si="20"/>
        <v/>
      </c>
      <c r="F398" s="26" t="str">
        <f>IF(B398="", "", CONCATENATE('General Information'!$F$9, " - ", 'General Information'!$F$14))</f>
        <v/>
      </c>
      <c r="G398" s="26" t="str">
        <f>IF(B398="", "", 'General Information'!$F$15)</f>
        <v/>
      </c>
      <c r="H398" s="26" t="str">
        <f>IF(B398="", "", IF(VLOOKUP(B398, 'Lookup Tables'!$Y$18:$AA$34, 2, FALSE)="Traffic", VLOOKUP('Lighting Inventory'!W406, 'Lookup Tables'!#REF!, 11, FALSE), VLOOKUP(B398, 'Lookup Tables'!$Y$18:$AA$34, 2, FALSE)))</f>
        <v/>
      </c>
      <c r="I398" s="26" t="str">
        <f>IF(B398="", "", CONCATENATE(D398, 'Data Export'!A398))</f>
        <v/>
      </c>
      <c r="J398" s="26" t="str">
        <f>IF(B398="", "", 'Lookup Tables'!$B$1)</f>
        <v/>
      </c>
      <c r="K398" s="26" t="str">
        <f>IF(B398="", "", 'Lighting Inventory'!B406)</f>
        <v/>
      </c>
      <c r="L398" s="26" t="str">
        <f>IF(B398="", "", 'Lighting Inventory'!C406)</f>
        <v/>
      </c>
      <c r="M398" s="26" t="str">
        <f>IF(B398="", "",'Lighting Inventory'!D406)</f>
        <v/>
      </c>
      <c r="N398" s="26" t="str">
        <f>IF(B398="", "",'Lighting Inventory'!E406)</f>
        <v/>
      </c>
      <c r="O398" s="26" t="str">
        <f>IF(B398="", "", 'Lighting Inventory'!F406)</f>
        <v/>
      </c>
      <c r="P398" s="26" t="str">
        <f>IF(B398="", "", 'Lighting Inventory'!G406)</f>
        <v/>
      </c>
      <c r="Q398" s="26" t="str">
        <f>IF(B398="", "", 'Lighting Inventory'!H406)</f>
        <v/>
      </c>
      <c r="R398" s="26" t="str">
        <f>IF(B398="", "", 'Lighting Inventory'!I406)</f>
        <v/>
      </c>
      <c r="S398" s="26" t="str">
        <f>IF(B398="", "", 'Lighting Inventory'!J406)</f>
        <v/>
      </c>
      <c r="T398" s="26" t="str">
        <f>IFERROR(IF(B398="","",VLOOKUP(S398,'Fixture Identities'!$A$7:$G$1023,5,FALSE)), "New Construction")</f>
        <v/>
      </c>
      <c r="U398" s="26" t="str">
        <f>IFERROR(IF(B398="", "", IF(K398="New Construction", "NC", IF(VLOOKUP(S398, 'Fixture Identities'!$A$7:$I$1023,3, FALSE)="T12 Linear Fluorescent", VLOOKUP(S398, 'Fixture Identities'!$A$7:$K$1012, 11, FALSE), S398))), "")</f>
        <v/>
      </c>
      <c r="V398" s="26" t="str">
        <f>IFERROR(IF(OR(B398="", U398=0), "", VLOOKUP(U398, 'Fixture Identities'!$A$7:$G$1023, 5, FALSE)), "")</f>
        <v/>
      </c>
      <c r="W398" s="26" t="str">
        <f>IF(B398="", "",'Lighting Inventory'!K406)</f>
        <v/>
      </c>
      <c r="X398" s="65" t="str">
        <f>IF(B398="", "", 'Lighting Inventory'!L406)</f>
        <v/>
      </c>
      <c r="Y398" s="26" t="str">
        <f>IF(B398="", "", IF('Lighting Inventory'!M406="", "Light Switch",'Lighting Inventory'!M406))</f>
        <v/>
      </c>
      <c r="Z398" s="26" t="str">
        <f>IF(OR(K398="Retrofit", B398=""), "", 'Lighting Inventory'!N406)</f>
        <v/>
      </c>
      <c r="AA398" s="26" t="str">
        <f>IF(OR(Z398="",B398=""), "", 'Lighting Inventory'!O406)</f>
        <v/>
      </c>
      <c r="AB398" s="26" t="str">
        <f>IF(B398="", "", 'Lighting Inventory'!P406)</f>
        <v/>
      </c>
      <c r="AC398" s="96" t="str">
        <f>IF(B398="", "", 'Lighting Inventory'!R406)</f>
        <v/>
      </c>
      <c r="AD398" s="26" t="str">
        <f>IF(B398="", "", 'Lighting Inventory'!S406)</f>
        <v/>
      </c>
      <c r="AE398" s="26" t="str">
        <f>IF(B398="", "", 'Lighting Inventory'!V406)</f>
        <v/>
      </c>
      <c r="AF398" s="26" t="str">
        <f>IF(B398="", "", 'Lighting Inventory'!W406)</f>
        <v/>
      </c>
      <c r="AG398" s="26" t="str">
        <f>IF(OR(AF398="", B398=""), "", IF(AE398="Custom", "0", VLOOKUP(AF398, 'Lookup Tables'!$AI$6:$AP$102, 8, FALSE)))</f>
        <v/>
      </c>
      <c r="AH398" s="26" t="str">
        <f>IF(B398="", "", 'Lighting Inventory'!AD406)</f>
        <v/>
      </c>
      <c r="AI398" s="26" t="str">
        <f>IF(OR('Lighting Inventory'!AK406="", B398=""), "", 'Lighting Inventory'!AK406)</f>
        <v/>
      </c>
      <c r="AJ398" s="66" t="str">
        <f>IF(B398="", "", 'Lighting Inventory'!AL406)</f>
        <v/>
      </c>
      <c r="AK398" s="65" t="str">
        <f>IF(B398="", "", 'Lighting Inventory'!AM406)</f>
        <v/>
      </c>
      <c r="AL398" s="26" t="str">
        <f>IF(B398="", "", 'Lighting Inventory'!AN406)</f>
        <v/>
      </c>
      <c r="AM398" s="26" t="str">
        <f t="shared" si="21"/>
        <v/>
      </c>
      <c r="AN398" s="26" t="str">
        <f>IF(B398="","",IF('Lighting Inventory'!AV406="","Prescribed",'Lighting Inventory'!AV406))</f>
        <v/>
      </c>
      <c r="AO398" s="66" t="str">
        <f>IF(B398="", "", 'Lighting Inventory'!AX406)</f>
        <v/>
      </c>
      <c r="AP398" s="67" t="str">
        <f>IF(B398="", "", 'Lighting Inventory'!AZ406)</f>
        <v/>
      </c>
      <c r="AQ398" s="67" t="str">
        <f>IF(B398="", "", 'Lighting Inventory'!BA406)</f>
        <v/>
      </c>
      <c r="AR398" s="67" t="str">
        <f>IF(B398="", "", 'Lighting Inventory'!BB406)</f>
        <v/>
      </c>
      <c r="AS398" s="67" t="str">
        <f>IF(B398="", "", 'Lighting Inventory'!BC406)</f>
        <v/>
      </c>
      <c r="AT398" s="67" t="str">
        <f>IF(B398="", "", 'Lighting Inventory'!BD406)</f>
        <v/>
      </c>
      <c r="AU398" s="67" t="str">
        <f>IF(B398="", "", 'Lighting Inventory'!BE406)</f>
        <v/>
      </c>
      <c r="AV398" s="67" t="str">
        <f>IF(B398="", "", 'Lighting Inventory'!BE406)</f>
        <v/>
      </c>
      <c r="AW398" s="67" t="str">
        <f>IF(B398="", "", 'Lighting Inventory'!BF406)</f>
        <v/>
      </c>
      <c r="AX398" s="67" t="str">
        <f>IF(B398="", "", 'Lighting Inventory'!BF406)</f>
        <v/>
      </c>
      <c r="AY398" s="65" t="str">
        <f t="shared" si="22"/>
        <v/>
      </c>
      <c r="AZ398" s="65" t="str">
        <f>IF(B398="", "", 'Lighting Inventory'!BJ406)</f>
        <v/>
      </c>
      <c r="BA398" s="65" t="str">
        <f>IF(B398="", "", 'Lighting Inventory'!BM406)</f>
        <v/>
      </c>
      <c r="BB398" s="65" t="str">
        <f>IF(B398="","",SUM('Lighting Inventory'!BP406:BP406))</f>
        <v/>
      </c>
      <c r="BC398" s="67" t="str">
        <f>IF(OR(AE398="", B398=""),"", 'Lighting Inventory'!GR406)</f>
        <v/>
      </c>
      <c r="BD398" s="67" t="str">
        <f>IFERROR(IF(B398="", "", 'Lighting Inventory'!AF406)*AD398," ")</f>
        <v xml:space="preserve"> </v>
      </c>
      <c r="BE398" s="67"/>
      <c r="BF398" s="67"/>
    </row>
    <row r="399" spans="1:58" x14ac:dyDescent="0.25">
      <c r="A399" s="26" t="str">
        <f>IF(B399="", "", 'Lookup Tables'!AW400)</f>
        <v/>
      </c>
      <c r="B399" s="26" t="str">
        <f>IF(OR('Lighting Inventory'!Y407="", 'Lighting Inventory'!V407="No Change"),"", 'Lighting Inventory'!Y407)</f>
        <v/>
      </c>
      <c r="C399" s="26" t="str">
        <f>IF(B399="", "", IF('Lighting Inventory'!Y407='Lookup Tables'!$Y$32, 'Lighting Inventory'!AJ407, IF(AD399=0, R399, AD399)))</f>
        <v/>
      </c>
      <c r="D399" s="26" t="str">
        <f>IF(B399="", "", 'General Information'!$F$14)</f>
        <v/>
      </c>
      <c r="E399" s="26" t="str">
        <f t="shared" si="20"/>
        <v/>
      </c>
      <c r="F399" s="26" t="str">
        <f>IF(B399="", "", CONCATENATE('General Information'!$F$9, " - ", 'General Information'!$F$14))</f>
        <v/>
      </c>
      <c r="G399" s="26" t="str">
        <f>IF(B399="", "", 'General Information'!$F$15)</f>
        <v/>
      </c>
      <c r="H399" s="26" t="str">
        <f>IF(B399="", "", IF(VLOOKUP(B399, 'Lookup Tables'!$Y$18:$AA$34, 2, FALSE)="Traffic", VLOOKUP('Lighting Inventory'!W407, 'Lookup Tables'!#REF!, 11, FALSE), VLOOKUP(B399, 'Lookup Tables'!$Y$18:$AA$34, 2, FALSE)))</f>
        <v/>
      </c>
      <c r="I399" s="26" t="str">
        <f>IF(B399="", "", CONCATENATE(D399, 'Data Export'!A399))</f>
        <v/>
      </c>
      <c r="J399" s="26" t="str">
        <f>IF(B399="", "", 'Lookup Tables'!$B$1)</f>
        <v/>
      </c>
      <c r="K399" s="26" t="str">
        <f>IF(B399="", "", 'Lighting Inventory'!B407)</f>
        <v/>
      </c>
      <c r="L399" s="26" t="str">
        <f>IF(B399="", "", 'Lighting Inventory'!C407)</f>
        <v/>
      </c>
      <c r="M399" s="26" t="str">
        <f>IF(B399="", "",'Lighting Inventory'!D407)</f>
        <v/>
      </c>
      <c r="N399" s="26" t="str">
        <f>IF(B399="", "",'Lighting Inventory'!E407)</f>
        <v/>
      </c>
      <c r="O399" s="26" t="str">
        <f>IF(B399="", "", 'Lighting Inventory'!F407)</f>
        <v/>
      </c>
      <c r="P399" s="26" t="str">
        <f>IF(B399="", "", 'Lighting Inventory'!G407)</f>
        <v/>
      </c>
      <c r="Q399" s="26" t="str">
        <f>IF(B399="", "", 'Lighting Inventory'!H407)</f>
        <v/>
      </c>
      <c r="R399" s="26" t="str">
        <f>IF(B399="", "", 'Lighting Inventory'!I407)</f>
        <v/>
      </c>
      <c r="S399" s="26" t="str">
        <f>IF(B399="", "", 'Lighting Inventory'!J407)</f>
        <v/>
      </c>
      <c r="T399" s="26" t="str">
        <f>IFERROR(IF(B399="","",VLOOKUP(S399,'Fixture Identities'!$A$7:$G$1023,5,FALSE)), "New Construction")</f>
        <v/>
      </c>
      <c r="U399" s="26" t="str">
        <f>IFERROR(IF(B399="", "", IF(K399="New Construction", "NC", IF(VLOOKUP(S399, 'Fixture Identities'!$A$7:$I$1023,3, FALSE)="T12 Linear Fluorescent", VLOOKUP(S399, 'Fixture Identities'!$A$7:$K$1012, 11, FALSE), S399))), "")</f>
        <v/>
      </c>
      <c r="V399" s="26" t="str">
        <f>IFERROR(IF(OR(B399="", U399=0), "", VLOOKUP(U399, 'Fixture Identities'!$A$7:$G$1023, 5, FALSE)), "")</f>
        <v/>
      </c>
      <c r="W399" s="26" t="str">
        <f>IF(B399="", "",'Lighting Inventory'!K407)</f>
        <v/>
      </c>
      <c r="X399" s="65" t="str">
        <f>IF(B399="", "", 'Lighting Inventory'!L407)</f>
        <v/>
      </c>
      <c r="Y399" s="26" t="str">
        <f>IF(B399="", "", IF('Lighting Inventory'!M407="", "Light Switch",'Lighting Inventory'!M407))</f>
        <v/>
      </c>
      <c r="Z399" s="26" t="str">
        <f>IF(OR(K399="Retrofit", B399=""), "", 'Lighting Inventory'!N407)</f>
        <v/>
      </c>
      <c r="AA399" s="26" t="str">
        <f>IF(OR(Z399="",B399=""), "", 'Lighting Inventory'!O407)</f>
        <v/>
      </c>
      <c r="AB399" s="26" t="str">
        <f>IF(B399="", "", 'Lighting Inventory'!P407)</f>
        <v/>
      </c>
      <c r="AC399" s="96" t="str">
        <f>IF(B399="", "", 'Lighting Inventory'!R407)</f>
        <v/>
      </c>
      <c r="AD399" s="26" t="str">
        <f>IF(B399="", "", 'Lighting Inventory'!S407)</f>
        <v/>
      </c>
      <c r="AE399" s="26" t="str">
        <f>IF(B399="", "", 'Lighting Inventory'!V407)</f>
        <v/>
      </c>
      <c r="AF399" s="26" t="str">
        <f>IF(B399="", "", 'Lighting Inventory'!W407)</f>
        <v/>
      </c>
      <c r="AG399" s="26" t="str">
        <f>IF(OR(AF399="", B399=""), "", IF(AE399="Custom", "0", VLOOKUP(AF399, 'Lookup Tables'!$AI$6:$AP$102, 8, FALSE)))</f>
        <v/>
      </c>
      <c r="AH399" s="26" t="str">
        <f>IF(B399="", "", 'Lighting Inventory'!AD407)</f>
        <v/>
      </c>
      <c r="AI399" s="26" t="str">
        <f>IF(OR('Lighting Inventory'!AK407="", B399=""), "", 'Lighting Inventory'!AK407)</f>
        <v/>
      </c>
      <c r="AJ399" s="66" t="str">
        <f>IF(B399="", "", 'Lighting Inventory'!AL407)</f>
        <v/>
      </c>
      <c r="AK399" s="65" t="str">
        <f>IF(B399="", "", 'Lighting Inventory'!AM407)</f>
        <v/>
      </c>
      <c r="AL399" s="26" t="str">
        <f>IF(B399="", "", 'Lighting Inventory'!AN407)</f>
        <v/>
      </c>
      <c r="AM399" s="26" t="str">
        <f t="shared" si="21"/>
        <v/>
      </c>
      <c r="AN399" s="26" t="str">
        <f>IF(B399="","",IF('Lighting Inventory'!AV407="","Prescribed",'Lighting Inventory'!AV407))</f>
        <v/>
      </c>
      <c r="AO399" s="66" t="str">
        <f>IF(B399="", "", 'Lighting Inventory'!AX407)</f>
        <v/>
      </c>
      <c r="AP399" s="67" t="str">
        <f>IF(B399="", "", 'Lighting Inventory'!AZ407)</f>
        <v/>
      </c>
      <c r="AQ399" s="67" t="str">
        <f>IF(B399="", "", 'Lighting Inventory'!BA407)</f>
        <v/>
      </c>
      <c r="AR399" s="67" t="str">
        <f>IF(B399="", "", 'Lighting Inventory'!BB407)</f>
        <v/>
      </c>
      <c r="AS399" s="67" t="str">
        <f>IF(B399="", "", 'Lighting Inventory'!BC407)</f>
        <v/>
      </c>
      <c r="AT399" s="67" t="str">
        <f>IF(B399="", "", 'Lighting Inventory'!BD407)</f>
        <v/>
      </c>
      <c r="AU399" s="67" t="str">
        <f>IF(B399="", "", 'Lighting Inventory'!BE407)</f>
        <v/>
      </c>
      <c r="AV399" s="67" t="str">
        <f>IF(B399="", "", 'Lighting Inventory'!BE407)</f>
        <v/>
      </c>
      <c r="AW399" s="67" t="str">
        <f>IF(B399="", "", 'Lighting Inventory'!BF407)</f>
        <v/>
      </c>
      <c r="AX399" s="67" t="str">
        <f>IF(B399="", "", 'Lighting Inventory'!BF407)</f>
        <v/>
      </c>
      <c r="AY399" s="65" t="str">
        <f t="shared" si="22"/>
        <v/>
      </c>
      <c r="AZ399" s="65" t="str">
        <f>IF(B399="", "", 'Lighting Inventory'!BJ407)</f>
        <v/>
      </c>
      <c r="BA399" s="65" t="str">
        <f>IF(B399="", "", 'Lighting Inventory'!BM407)</f>
        <v/>
      </c>
      <c r="BB399" s="65" t="str">
        <f>IF(B399="","",SUM('Lighting Inventory'!BP407:BP407))</f>
        <v/>
      </c>
      <c r="BC399" s="67" t="str">
        <f>IF(OR(AE399="", B399=""),"", 'Lighting Inventory'!GR407)</f>
        <v/>
      </c>
      <c r="BD399" s="67" t="str">
        <f>IFERROR(IF(B399="", "", 'Lighting Inventory'!AF407)*AD399," ")</f>
        <v xml:space="preserve"> </v>
      </c>
      <c r="BE399" s="67"/>
      <c r="BF399" s="67"/>
    </row>
    <row r="400" spans="1:58" x14ac:dyDescent="0.25">
      <c r="A400" s="26" t="str">
        <f>IF(B400="", "", 'Lookup Tables'!AW401)</f>
        <v/>
      </c>
      <c r="B400" s="26" t="str">
        <f>IF(OR('Lighting Inventory'!Y408="", 'Lighting Inventory'!V408="No Change"),"", 'Lighting Inventory'!Y408)</f>
        <v/>
      </c>
      <c r="C400" s="26" t="str">
        <f>IF(B400="", "", IF('Lighting Inventory'!Y408='Lookup Tables'!$Y$32, 'Lighting Inventory'!AJ408, IF(AD400=0, R400, AD400)))</f>
        <v/>
      </c>
      <c r="D400" s="26" t="str">
        <f>IF(B400="", "", 'General Information'!$F$14)</f>
        <v/>
      </c>
      <c r="E400" s="26" t="str">
        <f t="shared" si="20"/>
        <v/>
      </c>
      <c r="F400" s="26" t="str">
        <f>IF(B400="", "", CONCATENATE('General Information'!$F$9, " - ", 'General Information'!$F$14))</f>
        <v/>
      </c>
      <c r="G400" s="26" t="str">
        <f>IF(B400="", "", 'General Information'!$F$15)</f>
        <v/>
      </c>
      <c r="H400" s="26" t="str">
        <f>IF(B400="", "", IF(VLOOKUP(B400, 'Lookup Tables'!$Y$18:$AA$34, 2, FALSE)="Traffic", VLOOKUP('Lighting Inventory'!W408, 'Lookup Tables'!#REF!, 11, FALSE), VLOOKUP(B400, 'Lookup Tables'!$Y$18:$AA$34, 2, FALSE)))</f>
        <v/>
      </c>
      <c r="I400" s="26" t="str">
        <f>IF(B400="", "", CONCATENATE(D400, 'Data Export'!A400))</f>
        <v/>
      </c>
      <c r="J400" s="26" t="str">
        <f>IF(B400="", "", 'Lookup Tables'!$B$1)</f>
        <v/>
      </c>
      <c r="K400" s="26" t="str">
        <f>IF(B400="", "", 'Lighting Inventory'!B408)</f>
        <v/>
      </c>
      <c r="L400" s="26" t="str">
        <f>IF(B400="", "", 'Lighting Inventory'!C408)</f>
        <v/>
      </c>
      <c r="M400" s="26" t="str">
        <f>IF(B400="", "",'Lighting Inventory'!D408)</f>
        <v/>
      </c>
      <c r="N400" s="26" t="str">
        <f>IF(B400="", "",'Lighting Inventory'!E408)</f>
        <v/>
      </c>
      <c r="O400" s="26" t="str">
        <f>IF(B400="", "", 'Lighting Inventory'!F408)</f>
        <v/>
      </c>
      <c r="P400" s="26" t="str">
        <f>IF(B400="", "", 'Lighting Inventory'!G408)</f>
        <v/>
      </c>
      <c r="Q400" s="26" t="str">
        <f>IF(B400="", "", 'Lighting Inventory'!H408)</f>
        <v/>
      </c>
      <c r="R400" s="26" t="str">
        <f>IF(B400="", "", 'Lighting Inventory'!I408)</f>
        <v/>
      </c>
      <c r="S400" s="26" t="str">
        <f>IF(B400="", "", 'Lighting Inventory'!J408)</f>
        <v/>
      </c>
      <c r="T400" s="26" t="str">
        <f>IFERROR(IF(B400="","",VLOOKUP(S400,'Fixture Identities'!$A$7:$G$1023,5,FALSE)), "New Construction")</f>
        <v/>
      </c>
      <c r="U400" s="26" t="str">
        <f>IFERROR(IF(B400="", "", IF(K400="New Construction", "NC", IF(VLOOKUP(S400, 'Fixture Identities'!$A$7:$I$1023,3, FALSE)="T12 Linear Fluorescent", VLOOKUP(S400, 'Fixture Identities'!$A$7:$K$1012, 11, FALSE), S400))), "")</f>
        <v/>
      </c>
      <c r="V400" s="26" t="str">
        <f>IFERROR(IF(OR(B400="", U400=0), "", VLOOKUP(U400, 'Fixture Identities'!$A$7:$G$1023, 5, FALSE)), "")</f>
        <v/>
      </c>
      <c r="W400" s="26" t="str">
        <f>IF(B400="", "",'Lighting Inventory'!K408)</f>
        <v/>
      </c>
      <c r="X400" s="65" t="str">
        <f>IF(B400="", "", 'Lighting Inventory'!L408)</f>
        <v/>
      </c>
      <c r="Y400" s="26" t="str">
        <f>IF(B400="", "", IF('Lighting Inventory'!M408="", "Light Switch",'Lighting Inventory'!M408))</f>
        <v/>
      </c>
      <c r="Z400" s="26" t="str">
        <f>IF(OR(K400="Retrofit", B400=""), "", 'Lighting Inventory'!N408)</f>
        <v/>
      </c>
      <c r="AA400" s="26" t="str">
        <f>IF(OR(Z400="",B400=""), "", 'Lighting Inventory'!O408)</f>
        <v/>
      </c>
      <c r="AB400" s="26" t="str">
        <f>IF(B400="", "", 'Lighting Inventory'!P408)</f>
        <v/>
      </c>
      <c r="AC400" s="96" t="str">
        <f>IF(B400="", "", 'Lighting Inventory'!R408)</f>
        <v/>
      </c>
      <c r="AD400" s="26" t="str">
        <f>IF(B400="", "", 'Lighting Inventory'!S408)</f>
        <v/>
      </c>
      <c r="AE400" s="26" t="str">
        <f>IF(B400="", "", 'Lighting Inventory'!V408)</f>
        <v/>
      </c>
      <c r="AF400" s="26" t="str">
        <f>IF(B400="", "", 'Lighting Inventory'!W408)</f>
        <v/>
      </c>
      <c r="AG400" s="26" t="str">
        <f>IF(OR(AF400="", B400=""), "", IF(AE400="Custom", "0", VLOOKUP(AF400, 'Lookup Tables'!$AI$6:$AP$102, 8, FALSE)))</f>
        <v/>
      </c>
      <c r="AH400" s="26" t="str">
        <f>IF(B400="", "", 'Lighting Inventory'!AD408)</f>
        <v/>
      </c>
      <c r="AI400" s="26" t="str">
        <f>IF(OR('Lighting Inventory'!AK408="", B400=""), "", 'Lighting Inventory'!AK408)</f>
        <v/>
      </c>
      <c r="AJ400" s="66" t="str">
        <f>IF(B400="", "", 'Lighting Inventory'!AL408)</f>
        <v/>
      </c>
      <c r="AK400" s="65" t="str">
        <f>IF(B400="", "", 'Lighting Inventory'!AM408)</f>
        <v/>
      </c>
      <c r="AL400" s="26" t="str">
        <f>IF(B400="", "", 'Lighting Inventory'!AN408)</f>
        <v/>
      </c>
      <c r="AM400" s="26" t="str">
        <f t="shared" si="21"/>
        <v/>
      </c>
      <c r="AN400" s="26" t="str">
        <f>IF(B400="","",IF('Lighting Inventory'!AV408="","Prescribed",'Lighting Inventory'!AV408))</f>
        <v/>
      </c>
      <c r="AO400" s="66" t="str">
        <f>IF(B400="", "", 'Lighting Inventory'!AX408)</f>
        <v/>
      </c>
      <c r="AP400" s="67" t="str">
        <f>IF(B400="", "", 'Lighting Inventory'!AZ408)</f>
        <v/>
      </c>
      <c r="AQ400" s="67" t="str">
        <f>IF(B400="", "", 'Lighting Inventory'!BA408)</f>
        <v/>
      </c>
      <c r="AR400" s="67" t="str">
        <f>IF(B400="", "", 'Lighting Inventory'!BB408)</f>
        <v/>
      </c>
      <c r="AS400" s="67" t="str">
        <f>IF(B400="", "", 'Lighting Inventory'!BC408)</f>
        <v/>
      </c>
      <c r="AT400" s="67" t="str">
        <f>IF(B400="", "", 'Lighting Inventory'!BD408)</f>
        <v/>
      </c>
      <c r="AU400" s="67" t="str">
        <f>IF(B400="", "", 'Lighting Inventory'!BE408)</f>
        <v/>
      </c>
      <c r="AV400" s="67" t="str">
        <f>IF(B400="", "", 'Lighting Inventory'!BE408)</f>
        <v/>
      </c>
      <c r="AW400" s="67" t="str">
        <f>IF(B400="", "", 'Lighting Inventory'!BF408)</f>
        <v/>
      </c>
      <c r="AX400" s="67" t="str">
        <f>IF(B400="", "", 'Lighting Inventory'!BF408)</f>
        <v/>
      </c>
      <c r="AY400" s="65" t="str">
        <f t="shared" si="22"/>
        <v/>
      </c>
      <c r="AZ400" s="65" t="str">
        <f>IF(B400="", "", 'Lighting Inventory'!BJ408)</f>
        <v/>
      </c>
      <c r="BA400" s="65" t="str">
        <f>IF(B400="", "", 'Lighting Inventory'!BM408)</f>
        <v/>
      </c>
      <c r="BB400" s="65" t="str">
        <f>IF(B400="","",SUM('Lighting Inventory'!BP408:BP408))</f>
        <v/>
      </c>
      <c r="BC400" s="67" t="str">
        <f>IF(OR(AE400="", B400=""),"", 'Lighting Inventory'!GR408)</f>
        <v/>
      </c>
      <c r="BD400" s="67" t="str">
        <f>IFERROR(IF(B400="", "", 'Lighting Inventory'!AF408)*AD400," ")</f>
        <v xml:space="preserve"> </v>
      </c>
      <c r="BE400" s="67"/>
      <c r="BF400" s="67"/>
    </row>
    <row r="401" spans="1:58" x14ac:dyDescent="0.25">
      <c r="A401" s="26" t="str">
        <f>IF(B401="", "", 'Lookup Tables'!AW402)</f>
        <v/>
      </c>
      <c r="B401" s="26" t="str">
        <f>IF(OR('Lighting Inventory'!Y409="", 'Lighting Inventory'!V409="No Change"),"", 'Lighting Inventory'!Y409)</f>
        <v/>
      </c>
      <c r="C401" s="26" t="str">
        <f>IF(B401="", "", IF('Lighting Inventory'!Y409='Lookup Tables'!$Y$32, 'Lighting Inventory'!AJ409, IF(AD401=0, R401, AD401)))</f>
        <v/>
      </c>
      <c r="D401" s="26" t="str">
        <f>IF(B401="", "", 'General Information'!$F$14)</f>
        <v/>
      </c>
      <c r="E401" s="26" t="str">
        <f t="shared" si="20"/>
        <v/>
      </c>
      <c r="F401" s="26" t="str">
        <f>IF(B401="", "", CONCATENATE('General Information'!$F$9, " - ", 'General Information'!$F$14))</f>
        <v/>
      </c>
      <c r="G401" s="26" t="str">
        <f>IF(B401="", "", 'General Information'!$F$15)</f>
        <v/>
      </c>
      <c r="H401" s="26" t="str">
        <f>IF(B401="", "", IF(VLOOKUP(B401, 'Lookup Tables'!$Y$18:$AA$34, 2, FALSE)="Traffic", VLOOKUP('Lighting Inventory'!W409, 'Lookup Tables'!#REF!, 11, FALSE), VLOOKUP(B401, 'Lookup Tables'!$Y$18:$AA$34, 2, FALSE)))</f>
        <v/>
      </c>
      <c r="I401" s="26" t="str">
        <f>IF(B401="", "", CONCATENATE(D401, 'Data Export'!A401))</f>
        <v/>
      </c>
      <c r="J401" s="26" t="str">
        <f>IF(B401="", "", 'Lookup Tables'!$B$1)</f>
        <v/>
      </c>
      <c r="K401" s="26" t="str">
        <f>IF(B401="", "", 'Lighting Inventory'!B409)</f>
        <v/>
      </c>
      <c r="L401" s="26" t="str">
        <f>IF(B401="", "", 'Lighting Inventory'!C409)</f>
        <v/>
      </c>
      <c r="M401" s="26" t="str">
        <f>IF(B401="", "",'Lighting Inventory'!D409)</f>
        <v/>
      </c>
      <c r="N401" s="26" t="str">
        <f>IF(B401="", "",'Lighting Inventory'!E409)</f>
        <v/>
      </c>
      <c r="O401" s="26" t="str">
        <f>IF(B401="", "", 'Lighting Inventory'!F409)</f>
        <v/>
      </c>
      <c r="P401" s="26" t="str">
        <f>IF(B401="", "", 'Lighting Inventory'!G409)</f>
        <v/>
      </c>
      <c r="Q401" s="26" t="str">
        <f>IF(B401="", "", 'Lighting Inventory'!H409)</f>
        <v/>
      </c>
      <c r="R401" s="26" t="str">
        <f>IF(B401="", "", 'Lighting Inventory'!I409)</f>
        <v/>
      </c>
      <c r="S401" s="26" t="str">
        <f>IF(B401="", "", 'Lighting Inventory'!J409)</f>
        <v/>
      </c>
      <c r="T401" s="26" t="str">
        <f>IFERROR(IF(B401="","",VLOOKUP(S401,'Fixture Identities'!$A$7:$G$1023,5,FALSE)), "New Construction")</f>
        <v/>
      </c>
      <c r="U401" s="26" t="str">
        <f>IFERROR(IF(B401="", "", IF(K401="New Construction", "NC", IF(VLOOKUP(S401, 'Fixture Identities'!$A$7:$I$1023,3, FALSE)="T12 Linear Fluorescent", VLOOKUP(S401, 'Fixture Identities'!$A$7:$K$1012, 11, FALSE), S401))), "")</f>
        <v/>
      </c>
      <c r="V401" s="26" t="str">
        <f>IFERROR(IF(OR(B401="", U401=0), "", VLOOKUP(U401, 'Fixture Identities'!$A$7:$G$1023, 5, FALSE)), "")</f>
        <v/>
      </c>
      <c r="W401" s="26" t="str">
        <f>IF(B401="", "",'Lighting Inventory'!K409)</f>
        <v/>
      </c>
      <c r="X401" s="65" t="str">
        <f>IF(B401="", "", 'Lighting Inventory'!L409)</f>
        <v/>
      </c>
      <c r="Y401" s="26" t="str">
        <f>IF(B401="", "", IF('Lighting Inventory'!M409="", "Light Switch",'Lighting Inventory'!M409))</f>
        <v/>
      </c>
      <c r="Z401" s="26" t="str">
        <f>IF(OR(K401="Retrofit", B401=""), "", 'Lighting Inventory'!N409)</f>
        <v/>
      </c>
      <c r="AA401" s="26" t="str">
        <f>IF(OR(Z401="",B401=""), "", 'Lighting Inventory'!O409)</f>
        <v/>
      </c>
      <c r="AB401" s="26" t="str">
        <f>IF(B401="", "", 'Lighting Inventory'!P409)</f>
        <v/>
      </c>
      <c r="AC401" s="96" t="str">
        <f>IF(B401="", "", 'Lighting Inventory'!R409)</f>
        <v/>
      </c>
      <c r="AD401" s="26" t="str">
        <f>IF(B401="", "", 'Lighting Inventory'!S409)</f>
        <v/>
      </c>
      <c r="AE401" s="26" t="str">
        <f>IF(B401="", "", 'Lighting Inventory'!V409)</f>
        <v/>
      </c>
      <c r="AF401" s="26" t="str">
        <f>IF(B401="", "", 'Lighting Inventory'!W409)</f>
        <v/>
      </c>
      <c r="AG401" s="26" t="str">
        <f>IF(OR(AF401="", B401=""), "", IF(AE401="Custom", "0", VLOOKUP(AF401, 'Lookup Tables'!$AI$6:$AP$102, 8, FALSE)))</f>
        <v/>
      </c>
      <c r="AH401" s="26" t="str">
        <f>IF(B401="", "", 'Lighting Inventory'!AD409)</f>
        <v/>
      </c>
      <c r="AI401" s="26" t="str">
        <f>IF(OR('Lighting Inventory'!AK409="", B401=""), "", 'Lighting Inventory'!AK409)</f>
        <v/>
      </c>
      <c r="AJ401" s="66" t="str">
        <f>IF(B401="", "", 'Lighting Inventory'!AL409)</f>
        <v/>
      </c>
      <c r="AK401" s="65" t="str">
        <f>IF(B401="", "", 'Lighting Inventory'!AM409)</f>
        <v/>
      </c>
      <c r="AL401" s="26" t="str">
        <f>IF(B401="", "", 'Lighting Inventory'!AN409)</f>
        <v/>
      </c>
      <c r="AM401" s="26" t="str">
        <f t="shared" si="21"/>
        <v/>
      </c>
      <c r="AN401" s="26" t="str">
        <f>IF(B401="","",IF('Lighting Inventory'!AV409="","Prescribed",'Lighting Inventory'!AV409))</f>
        <v/>
      </c>
      <c r="AO401" s="66" t="str">
        <f>IF(B401="", "", 'Lighting Inventory'!AX409)</f>
        <v/>
      </c>
      <c r="AP401" s="67" t="str">
        <f>IF(B401="", "", 'Lighting Inventory'!AZ409)</f>
        <v/>
      </c>
      <c r="AQ401" s="67" t="str">
        <f>IF(B401="", "", 'Lighting Inventory'!BA409)</f>
        <v/>
      </c>
      <c r="AR401" s="67" t="str">
        <f>IF(B401="", "", 'Lighting Inventory'!BB409)</f>
        <v/>
      </c>
      <c r="AS401" s="67" t="str">
        <f>IF(B401="", "", 'Lighting Inventory'!BC409)</f>
        <v/>
      </c>
      <c r="AT401" s="67" t="str">
        <f>IF(B401="", "", 'Lighting Inventory'!BD409)</f>
        <v/>
      </c>
      <c r="AU401" s="67" t="str">
        <f>IF(B401="", "", 'Lighting Inventory'!BE409)</f>
        <v/>
      </c>
      <c r="AV401" s="67" t="str">
        <f>IF(B401="", "", 'Lighting Inventory'!BE409)</f>
        <v/>
      </c>
      <c r="AW401" s="67" t="str">
        <f>IF(B401="", "", 'Lighting Inventory'!BF409)</f>
        <v/>
      </c>
      <c r="AX401" s="67" t="str">
        <f>IF(B401="", "", 'Lighting Inventory'!BF409)</f>
        <v/>
      </c>
      <c r="AY401" s="65" t="str">
        <f t="shared" si="22"/>
        <v/>
      </c>
      <c r="AZ401" s="65" t="str">
        <f>IF(B401="", "", 'Lighting Inventory'!BJ409)</f>
        <v/>
      </c>
      <c r="BA401" s="65" t="str">
        <f>IF(B401="", "", 'Lighting Inventory'!BM409)</f>
        <v/>
      </c>
      <c r="BB401" s="65" t="str">
        <f>IF(B401="","",SUM('Lighting Inventory'!BP409:BP409))</f>
        <v/>
      </c>
      <c r="BC401" s="67" t="str">
        <f>IF(OR(AE401="", B401=""),"", 'Lighting Inventory'!GR409)</f>
        <v/>
      </c>
      <c r="BD401" s="67" t="str">
        <f>IFERROR(IF(B401="", "", 'Lighting Inventory'!AF409)*AD401," ")</f>
        <v xml:space="preserve"> </v>
      </c>
      <c r="BE401" s="67"/>
      <c r="BF401" s="67"/>
    </row>
    <row r="402" spans="1:58" x14ac:dyDescent="0.25">
      <c r="A402" s="26" t="str">
        <f>IF(B402="", "", 'Lookup Tables'!AW403)</f>
        <v/>
      </c>
      <c r="B402" s="26" t="str">
        <f>IF(OR('Lighting Inventory'!Y410="", 'Lighting Inventory'!V410="No Change"),"", 'Lighting Inventory'!Y410)</f>
        <v/>
      </c>
      <c r="C402" s="26" t="str">
        <f>IF(B402="", "", IF('Lighting Inventory'!Y410='Lookup Tables'!$Y$32, 'Lighting Inventory'!AJ410, IF(AD402=0, R402, AD402)))</f>
        <v/>
      </c>
      <c r="D402" s="26" t="str">
        <f>IF(B402="", "", 'General Information'!$F$14)</f>
        <v/>
      </c>
      <c r="E402" s="26" t="str">
        <f t="shared" si="20"/>
        <v/>
      </c>
      <c r="F402" s="26" t="str">
        <f>IF(B402="", "", CONCATENATE('General Information'!$F$9, " - ", 'General Information'!$F$14))</f>
        <v/>
      </c>
      <c r="G402" s="26" t="str">
        <f>IF(B402="", "", 'General Information'!$F$15)</f>
        <v/>
      </c>
      <c r="H402" s="26" t="str">
        <f>IF(B402="", "", IF(VLOOKUP(B402, 'Lookup Tables'!$Y$18:$AA$34, 2, FALSE)="Traffic", VLOOKUP('Lighting Inventory'!W410, 'Lookup Tables'!#REF!, 11, FALSE), VLOOKUP(B402, 'Lookup Tables'!$Y$18:$AA$34, 2, FALSE)))</f>
        <v/>
      </c>
      <c r="I402" s="26" t="str">
        <f>IF(B402="", "", CONCATENATE(D402, 'Data Export'!A402))</f>
        <v/>
      </c>
      <c r="J402" s="26" t="str">
        <f>IF(B402="", "", 'Lookup Tables'!$B$1)</f>
        <v/>
      </c>
      <c r="K402" s="26" t="str">
        <f>IF(B402="", "", 'Lighting Inventory'!B410)</f>
        <v/>
      </c>
      <c r="L402" s="26" t="str">
        <f>IF(B402="", "", 'Lighting Inventory'!C410)</f>
        <v/>
      </c>
      <c r="M402" s="26" t="str">
        <f>IF(B402="", "",'Lighting Inventory'!D410)</f>
        <v/>
      </c>
      <c r="N402" s="26" t="str">
        <f>IF(B402="", "",'Lighting Inventory'!E410)</f>
        <v/>
      </c>
      <c r="O402" s="26" t="str">
        <f>IF(B402="", "", 'Lighting Inventory'!F410)</f>
        <v/>
      </c>
      <c r="P402" s="26" t="str">
        <f>IF(B402="", "", 'Lighting Inventory'!G410)</f>
        <v/>
      </c>
      <c r="Q402" s="26" t="str">
        <f>IF(B402="", "", 'Lighting Inventory'!H410)</f>
        <v/>
      </c>
      <c r="R402" s="26" t="str">
        <f>IF(B402="", "", 'Lighting Inventory'!I410)</f>
        <v/>
      </c>
      <c r="S402" s="26" t="str">
        <f>IF(B402="", "", 'Lighting Inventory'!J410)</f>
        <v/>
      </c>
      <c r="T402" s="26" t="str">
        <f>IFERROR(IF(B402="","",VLOOKUP(S402,'Fixture Identities'!$A$7:$G$1023,5,FALSE)), "New Construction")</f>
        <v/>
      </c>
      <c r="U402" s="26" t="str">
        <f>IFERROR(IF(B402="", "", IF(K402="New Construction", "NC", IF(VLOOKUP(S402, 'Fixture Identities'!$A$7:$I$1023,3, FALSE)="T12 Linear Fluorescent", VLOOKUP(S402, 'Fixture Identities'!$A$7:$K$1012, 11, FALSE), S402))), "")</f>
        <v/>
      </c>
      <c r="V402" s="26" t="str">
        <f>IFERROR(IF(OR(B402="", U402=0), "", VLOOKUP(U402, 'Fixture Identities'!$A$7:$G$1023, 5, FALSE)), "")</f>
        <v/>
      </c>
      <c r="W402" s="26" t="str">
        <f>IF(B402="", "",'Lighting Inventory'!K410)</f>
        <v/>
      </c>
      <c r="X402" s="65" t="str">
        <f>IF(B402="", "", 'Lighting Inventory'!L410)</f>
        <v/>
      </c>
      <c r="Y402" s="26" t="str">
        <f>IF(B402="", "", IF('Lighting Inventory'!M410="", "Light Switch",'Lighting Inventory'!M410))</f>
        <v/>
      </c>
      <c r="Z402" s="26" t="str">
        <f>IF(OR(K402="Retrofit", B402=""), "", 'Lighting Inventory'!N410)</f>
        <v/>
      </c>
      <c r="AA402" s="26" t="str">
        <f>IF(OR(Z402="",B402=""), "", 'Lighting Inventory'!O410)</f>
        <v/>
      </c>
      <c r="AB402" s="26" t="str">
        <f>IF(B402="", "", 'Lighting Inventory'!P410)</f>
        <v/>
      </c>
      <c r="AC402" s="96" t="str">
        <f>IF(B402="", "", 'Lighting Inventory'!R410)</f>
        <v/>
      </c>
      <c r="AD402" s="26" t="str">
        <f>IF(B402="", "", 'Lighting Inventory'!S410)</f>
        <v/>
      </c>
      <c r="AE402" s="26" t="str">
        <f>IF(B402="", "", 'Lighting Inventory'!V410)</f>
        <v/>
      </c>
      <c r="AF402" s="26" t="str">
        <f>IF(B402="", "", 'Lighting Inventory'!W410)</f>
        <v/>
      </c>
      <c r="AG402" s="26" t="str">
        <f>IF(OR(AF402="", B402=""), "", IF(AE402="Custom", "0", VLOOKUP(AF402, 'Lookup Tables'!$AI$6:$AP$102, 8, FALSE)))</f>
        <v/>
      </c>
      <c r="AH402" s="26" t="str">
        <f>IF(B402="", "", 'Lighting Inventory'!AD410)</f>
        <v/>
      </c>
      <c r="AI402" s="26" t="str">
        <f>IF(OR('Lighting Inventory'!AK410="", B402=""), "", 'Lighting Inventory'!AK410)</f>
        <v/>
      </c>
      <c r="AJ402" s="66" t="str">
        <f>IF(B402="", "", 'Lighting Inventory'!AL410)</f>
        <v/>
      </c>
      <c r="AK402" s="65" t="str">
        <f>IF(B402="", "", 'Lighting Inventory'!AM410)</f>
        <v/>
      </c>
      <c r="AL402" s="26" t="str">
        <f>IF(B402="", "", 'Lighting Inventory'!AN410)</f>
        <v/>
      </c>
      <c r="AM402" s="26" t="str">
        <f t="shared" si="21"/>
        <v/>
      </c>
      <c r="AN402" s="26" t="str">
        <f>IF(B402="","",IF('Lighting Inventory'!AV410="","Prescribed",'Lighting Inventory'!AV410))</f>
        <v/>
      </c>
      <c r="AO402" s="66" t="str">
        <f>IF(B402="", "", 'Lighting Inventory'!AX410)</f>
        <v/>
      </c>
      <c r="AP402" s="67" t="str">
        <f>IF(B402="", "", 'Lighting Inventory'!AZ410)</f>
        <v/>
      </c>
      <c r="AQ402" s="67" t="str">
        <f>IF(B402="", "", 'Lighting Inventory'!BA410)</f>
        <v/>
      </c>
      <c r="AR402" s="67" t="str">
        <f>IF(B402="", "", 'Lighting Inventory'!BB410)</f>
        <v/>
      </c>
      <c r="AS402" s="67" t="str">
        <f>IF(B402="", "", 'Lighting Inventory'!BC410)</f>
        <v/>
      </c>
      <c r="AT402" s="67" t="str">
        <f>IF(B402="", "", 'Lighting Inventory'!BD410)</f>
        <v/>
      </c>
      <c r="AU402" s="67" t="str">
        <f>IF(B402="", "", 'Lighting Inventory'!BE410)</f>
        <v/>
      </c>
      <c r="AV402" s="67" t="str">
        <f>IF(B402="", "", 'Lighting Inventory'!BE410)</f>
        <v/>
      </c>
      <c r="AW402" s="67" t="str">
        <f>IF(B402="", "", 'Lighting Inventory'!BF410)</f>
        <v/>
      </c>
      <c r="AX402" s="67" t="str">
        <f>IF(B402="", "", 'Lighting Inventory'!BF410)</f>
        <v/>
      </c>
      <c r="AY402" s="65" t="str">
        <f t="shared" si="22"/>
        <v/>
      </c>
      <c r="AZ402" s="65" t="str">
        <f>IF(B402="", "", 'Lighting Inventory'!BJ410)</f>
        <v/>
      </c>
      <c r="BA402" s="65" t="str">
        <f>IF(B402="", "", 'Lighting Inventory'!BM410)</f>
        <v/>
      </c>
      <c r="BB402" s="65" t="str">
        <f>IF(B402="","",SUM('Lighting Inventory'!BP410:BP410))</f>
        <v/>
      </c>
      <c r="BC402" s="67" t="str">
        <f>IF(OR(AE402="", B402=""),"", 'Lighting Inventory'!GR410)</f>
        <v/>
      </c>
      <c r="BD402" s="67" t="str">
        <f>IFERROR(IF(B402="", "", 'Lighting Inventory'!AF410)*AD402," ")</f>
        <v xml:space="preserve"> </v>
      </c>
      <c r="BE402" s="67"/>
      <c r="BF402" s="67"/>
    </row>
    <row r="403" spans="1:58" x14ac:dyDescent="0.25">
      <c r="A403" s="26" t="str">
        <f>IF(B403="", "", 'Lookup Tables'!AW404)</f>
        <v/>
      </c>
      <c r="B403" s="26" t="str">
        <f>IF(OR('Lighting Inventory'!Y411="", 'Lighting Inventory'!V411="No Change"),"", 'Lighting Inventory'!Y411)</f>
        <v/>
      </c>
      <c r="C403" s="26" t="str">
        <f>IF(B403="", "", IF('Lighting Inventory'!Y411='Lookup Tables'!$Y$32, 'Lighting Inventory'!AJ411, IF(AD403=0, R403, AD403)))</f>
        <v/>
      </c>
      <c r="D403" s="26" t="str">
        <f>IF(B403="", "", 'General Information'!$F$14)</f>
        <v/>
      </c>
      <c r="E403" s="26" t="str">
        <f t="shared" si="20"/>
        <v/>
      </c>
      <c r="F403" s="26" t="str">
        <f>IF(B403="", "", CONCATENATE('General Information'!$F$9, " - ", 'General Information'!$F$14))</f>
        <v/>
      </c>
      <c r="G403" s="26" t="str">
        <f>IF(B403="", "", 'General Information'!$F$15)</f>
        <v/>
      </c>
      <c r="H403" s="26" t="str">
        <f>IF(B403="", "", IF(VLOOKUP(B403, 'Lookup Tables'!$Y$18:$AA$34, 2, FALSE)="Traffic", VLOOKUP('Lighting Inventory'!W411, 'Lookup Tables'!#REF!, 11, FALSE), VLOOKUP(B403, 'Lookup Tables'!$Y$18:$AA$34, 2, FALSE)))</f>
        <v/>
      </c>
      <c r="I403" s="26" t="str">
        <f>IF(B403="", "", CONCATENATE(D403, 'Data Export'!A403))</f>
        <v/>
      </c>
      <c r="J403" s="26" t="str">
        <f>IF(B403="", "", 'Lookup Tables'!$B$1)</f>
        <v/>
      </c>
      <c r="K403" s="26" t="str">
        <f>IF(B403="", "", 'Lighting Inventory'!B411)</f>
        <v/>
      </c>
      <c r="L403" s="26" t="str">
        <f>IF(B403="", "", 'Lighting Inventory'!C411)</f>
        <v/>
      </c>
      <c r="M403" s="26" t="str">
        <f>IF(B403="", "",'Lighting Inventory'!D411)</f>
        <v/>
      </c>
      <c r="N403" s="26" t="str">
        <f>IF(B403="", "",'Lighting Inventory'!E411)</f>
        <v/>
      </c>
      <c r="O403" s="26" t="str">
        <f>IF(B403="", "", 'Lighting Inventory'!F411)</f>
        <v/>
      </c>
      <c r="P403" s="26" t="str">
        <f>IF(B403="", "", 'Lighting Inventory'!G411)</f>
        <v/>
      </c>
      <c r="Q403" s="26" t="str">
        <f>IF(B403="", "", 'Lighting Inventory'!H411)</f>
        <v/>
      </c>
      <c r="R403" s="26" t="str">
        <f>IF(B403="", "", 'Lighting Inventory'!I411)</f>
        <v/>
      </c>
      <c r="S403" s="26" t="str">
        <f>IF(B403="", "", 'Lighting Inventory'!J411)</f>
        <v/>
      </c>
      <c r="T403" s="26" t="str">
        <f>IFERROR(IF(B403="","",VLOOKUP(S403,'Fixture Identities'!$A$7:$G$1023,5,FALSE)), "New Construction")</f>
        <v/>
      </c>
      <c r="U403" s="26" t="str">
        <f>IFERROR(IF(B403="", "", IF(K403="New Construction", "NC", IF(VLOOKUP(S403, 'Fixture Identities'!$A$7:$I$1023,3, FALSE)="T12 Linear Fluorescent", VLOOKUP(S403, 'Fixture Identities'!$A$7:$K$1012, 11, FALSE), S403))), "")</f>
        <v/>
      </c>
      <c r="V403" s="26" t="str">
        <f>IFERROR(IF(OR(B403="", U403=0), "", VLOOKUP(U403, 'Fixture Identities'!$A$7:$G$1023, 5, FALSE)), "")</f>
        <v/>
      </c>
      <c r="W403" s="26" t="str">
        <f>IF(B403="", "",'Lighting Inventory'!K411)</f>
        <v/>
      </c>
      <c r="X403" s="65" t="str">
        <f>IF(B403="", "", 'Lighting Inventory'!L411)</f>
        <v/>
      </c>
      <c r="Y403" s="26" t="str">
        <f>IF(B403="", "", IF('Lighting Inventory'!M411="", "Light Switch",'Lighting Inventory'!M411))</f>
        <v/>
      </c>
      <c r="Z403" s="26" t="str">
        <f>IF(OR(K403="Retrofit", B403=""), "", 'Lighting Inventory'!N411)</f>
        <v/>
      </c>
      <c r="AA403" s="26" t="str">
        <f>IF(OR(Z403="",B403=""), "", 'Lighting Inventory'!O411)</f>
        <v/>
      </c>
      <c r="AB403" s="26" t="str">
        <f>IF(B403="", "", 'Lighting Inventory'!P411)</f>
        <v/>
      </c>
      <c r="AC403" s="96" t="str">
        <f>IF(B403="", "", 'Lighting Inventory'!R411)</f>
        <v/>
      </c>
      <c r="AD403" s="26" t="str">
        <f>IF(B403="", "", 'Lighting Inventory'!S411)</f>
        <v/>
      </c>
      <c r="AE403" s="26" t="str">
        <f>IF(B403="", "", 'Lighting Inventory'!V411)</f>
        <v/>
      </c>
      <c r="AF403" s="26" t="str">
        <f>IF(B403="", "", 'Lighting Inventory'!W411)</f>
        <v/>
      </c>
      <c r="AG403" s="26" t="str">
        <f>IF(OR(AF403="", B403=""), "", IF(AE403="Custom", "0", VLOOKUP(AF403, 'Lookup Tables'!$AI$6:$AP$102, 8, FALSE)))</f>
        <v/>
      </c>
      <c r="AH403" s="26" t="str">
        <f>IF(B403="", "", 'Lighting Inventory'!AD411)</f>
        <v/>
      </c>
      <c r="AI403" s="26" t="str">
        <f>IF(OR('Lighting Inventory'!AK411="", B403=""), "", 'Lighting Inventory'!AK411)</f>
        <v/>
      </c>
      <c r="AJ403" s="66" t="str">
        <f>IF(B403="", "", 'Lighting Inventory'!AL411)</f>
        <v/>
      </c>
      <c r="AK403" s="65" t="str">
        <f>IF(B403="", "", 'Lighting Inventory'!AM411)</f>
        <v/>
      </c>
      <c r="AL403" s="26" t="str">
        <f>IF(B403="", "", 'Lighting Inventory'!AN411)</f>
        <v/>
      </c>
      <c r="AM403" s="26" t="str">
        <f t="shared" si="21"/>
        <v/>
      </c>
      <c r="AN403" s="26" t="str">
        <f>IF(B403="","",IF('Lighting Inventory'!AV411="","Prescribed",'Lighting Inventory'!AV411))</f>
        <v/>
      </c>
      <c r="AO403" s="66" t="str">
        <f>IF(B403="", "", 'Lighting Inventory'!AX411)</f>
        <v/>
      </c>
      <c r="AP403" s="67" t="str">
        <f>IF(B403="", "", 'Lighting Inventory'!AZ411)</f>
        <v/>
      </c>
      <c r="AQ403" s="67" t="str">
        <f>IF(B403="", "", 'Lighting Inventory'!BA411)</f>
        <v/>
      </c>
      <c r="AR403" s="67" t="str">
        <f>IF(B403="", "", 'Lighting Inventory'!BB411)</f>
        <v/>
      </c>
      <c r="AS403" s="67" t="str">
        <f>IF(B403="", "", 'Lighting Inventory'!BC411)</f>
        <v/>
      </c>
      <c r="AT403" s="67" t="str">
        <f>IF(B403="", "", 'Lighting Inventory'!BD411)</f>
        <v/>
      </c>
      <c r="AU403" s="67" t="str">
        <f>IF(B403="", "", 'Lighting Inventory'!BE411)</f>
        <v/>
      </c>
      <c r="AV403" s="67" t="str">
        <f>IF(B403="", "", 'Lighting Inventory'!BE411)</f>
        <v/>
      </c>
      <c r="AW403" s="67" t="str">
        <f>IF(B403="", "", 'Lighting Inventory'!BF411)</f>
        <v/>
      </c>
      <c r="AX403" s="67" t="str">
        <f>IF(B403="", "", 'Lighting Inventory'!BF411)</f>
        <v/>
      </c>
      <c r="AY403" s="65" t="str">
        <f t="shared" si="22"/>
        <v/>
      </c>
      <c r="AZ403" s="65" t="str">
        <f>IF(B403="", "", 'Lighting Inventory'!BJ411)</f>
        <v/>
      </c>
      <c r="BA403" s="65" t="str">
        <f>IF(B403="", "", 'Lighting Inventory'!BM411)</f>
        <v/>
      </c>
      <c r="BB403" s="65" t="str">
        <f>IF(B403="","",SUM('Lighting Inventory'!BP411:BP411))</f>
        <v/>
      </c>
      <c r="BC403" s="67" t="str">
        <f>IF(OR(AE403="", B403=""),"", 'Lighting Inventory'!GR411)</f>
        <v/>
      </c>
      <c r="BD403" s="67" t="str">
        <f>IFERROR(IF(B403="", "", 'Lighting Inventory'!AF411)*AD403," ")</f>
        <v xml:space="preserve"> </v>
      </c>
      <c r="BE403" s="67"/>
      <c r="BF403" s="67"/>
    </row>
    <row r="404" spans="1:58" x14ac:dyDescent="0.25">
      <c r="A404" s="26" t="str">
        <f>IF(B404="", "", 'Lookup Tables'!AW405)</f>
        <v/>
      </c>
      <c r="B404" s="26" t="str">
        <f>IF(OR('Lighting Inventory'!Y412="", 'Lighting Inventory'!V412="No Change"),"", 'Lighting Inventory'!Y412)</f>
        <v/>
      </c>
      <c r="C404" s="26" t="str">
        <f>IF(B404="", "", IF('Lighting Inventory'!Y412='Lookup Tables'!$Y$32, 'Lighting Inventory'!AJ412, IF(AD404=0, R404, AD404)))</f>
        <v/>
      </c>
      <c r="D404" s="26" t="str">
        <f>IF(B404="", "", 'General Information'!$F$14)</f>
        <v/>
      </c>
      <c r="E404" s="26" t="str">
        <f t="shared" si="20"/>
        <v/>
      </c>
      <c r="F404" s="26" t="str">
        <f>IF(B404="", "", CONCATENATE('General Information'!$F$9, " - ", 'General Information'!$F$14))</f>
        <v/>
      </c>
      <c r="G404" s="26" t="str">
        <f>IF(B404="", "", 'General Information'!$F$15)</f>
        <v/>
      </c>
      <c r="H404" s="26" t="str">
        <f>IF(B404="", "", IF(VLOOKUP(B404, 'Lookup Tables'!$Y$18:$AA$34, 2, FALSE)="Traffic", VLOOKUP('Lighting Inventory'!W412, 'Lookup Tables'!#REF!, 11, FALSE), VLOOKUP(B404, 'Lookup Tables'!$Y$18:$AA$34, 2, FALSE)))</f>
        <v/>
      </c>
      <c r="I404" s="26" t="str">
        <f>IF(B404="", "", CONCATENATE(D404, 'Data Export'!A404))</f>
        <v/>
      </c>
      <c r="J404" s="26" t="str">
        <f>IF(B404="", "", 'Lookup Tables'!$B$1)</f>
        <v/>
      </c>
      <c r="K404" s="26" t="str">
        <f>IF(B404="", "", 'Lighting Inventory'!B412)</f>
        <v/>
      </c>
      <c r="L404" s="26" t="str">
        <f>IF(B404="", "", 'Lighting Inventory'!C412)</f>
        <v/>
      </c>
      <c r="M404" s="26" t="str">
        <f>IF(B404="", "",'Lighting Inventory'!D412)</f>
        <v/>
      </c>
      <c r="N404" s="26" t="str">
        <f>IF(B404="", "",'Lighting Inventory'!E412)</f>
        <v/>
      </c>
      <c r="O404" s="26" t="str">
        <f>IF(B404="", "", 'Lighting Inventory'!F412)</f>
        <v/>
      </c>
      <c r="P404" s="26" t="str">
        <f>IF(B404="", "", 'Lighting Inventory'!G412)</f>
        <v/>
      </c>
      <c r="Q404" s="26" t="str">
        <f>IF(B404="", "", 'Lighting Inventory'!H412)</f>
        <v/>
      </c>
      <c r="R404" s="26" t="str">
        <f>IF(B404="", "", 'Lighting Inventory'!I412)</f>
        <v/>
      </c>
      <c r="S404" s="26" t="str">
        <f>IF(B404="", "", 'Lighting Inventory'!J412)</f>
        <v/>
      </c>
      <c r="T404" s="26" t="str">
        <f>IFERROR(IF(B404="","",VLOOKUP(S404,'Fixture Identities'!$A$7:$G$1023,5,FALSE)), "New Construction")</f>
        <v/>
      </c>
      <c r="U404" s="26" t="str">
        <f>IFERROR(IF(B404="", "", IF(K404="New Construction", "NC", IF(VLOOKUP(S404, 'Fixture Identities'!$A$7:$I$1023,3, FALSE)="T12 Linear Fluorescent", VLOOKUP(S404, 'Fixture Identities'!$A$7:$K$1012, 11, FALSE), S404))), "")</f>
        <v/>
      </c>
      <c r="V404" s="26" t="str">
        <f>IFERROR(IF(OR(B404="", U404=0), "", VLOOKUP(U404, 'Fixture Identities'!$A$7:$G$1023, 5, FALSE)), "")</f>
        <v/>
      </c>
      <c r="W404" s="26" t="str">
        <f>IF(B404="", "",'Lighting Inventory'!K412)</f>
        <v/>
      </c>
      <c r="X404" s="65" t="str">
        <f>IF(B404="", "", 'Lighting Inventory'!L412)</f>
        <v/>
      </c>
      <c r="Y404" s="26" t="str">
        <f>IF(B404="", "", IF('Lighting Inventory'!M412="", "Light Switch",'Lighting Inventory'!M412))</f>
        <v/>
      </c>
      <c r="Z404" s="26" t="str">
        <f>IF(OR(K404="Retrofit", B404=""), "", 'Lighting Inventory'!N412)</f>
        <v/>
      </c>
      <c r="AA404" s="26" t="str">
        <f>IF(OR(Z404="",B404=""), "", 'Lighting Inventory'!O412)</f>
        <v/>
      </c>
      <c r="AB404" s="26" t="str">
        <f>IF(B404="", "", 'Lighting Inventory'!P412)</f>
        <v/>
      </c>
      <c r="AC404" s="96" t="str">
        <f>IF(B404="", "", 'Lighting Inventory'!R412)</f>
        <v/>
      </c>
      <c r="AD404" s="26" t="str">
        <f>IF(B404="", "", 'Lighting Inventory'!S412)</f>
        <v/>
      </c>
      <c r="AE404" s="26" t="str">
        <f>IF(B404="", "", 'Lighting Inventory'!V412)</f>
        <v/>
      </c>
      <c r="AF404" s="26" t="str">
        <f>IF(B404="", "", 'Lighting Inventory'!W412)</f>
        <v/>
      </c>
      <c r="AG404" s="26" t="str">
        <f>IF(OR(AF404="", B404=""), "", IF(AE404="Custom", "0", VLOOKUP(AF404, 'Lookup Tables'!$AI$6:$AP$102, 8, FALSE)))</f>
        <v/>
      </c>
      <c r="AH404" s="26" t="str">
        <f>IF(B404="", "", 'Lighting Inventory'!AD412)</f>
        <v/>
      </c>
      <c r="AI404" s="26" t="str">
        <f>IF(OR('Lighting Inventory'!AK412="", B404=""), "", 'Lighting Inventory'!AK412)</f>
        <v/>
      </c>
      <c r="AJ404" s="66" t="str">
        <f>IF(B404="", "", 'Lighting Inventory'!AL412)</f>
        <v/>
      </c>
      <c r="AK404" s="65" t="str">
        <f>IF(B404="", "", 'Lighting Inventory'!AM412)</f>
        <v/>
      </c>
      <c r="AL404" s="26" t="str">
        <f>IF(B404="", "", 'Lighting Inventory'!AN412)</f>
        <v/>
      </c>
      <c r="AM404" s="26" t="str">
        <f t="shared" si="21"/>
        <v/>
      </c>
      <c r="AN404" s="26" t="str">
        <f>IF(B404="","",IF('Lighting Inventory'!AV412="","Prescribed",'Lighting Inventory'!AV412))</f>
        <v/>
      </c>
      <c r="AO404" s="66" t="str">
        <f>IF(B404="", "", 'Lighting Inventory'!AX412)</f>
        <v/>
      </c>
      <c r="AP404" s="67" t="str">
        <f>IF(B404="", "", 'Lighting Inventory'!AZ412)</f>
        <v/>
      </c>
      <c r="AQ404" s="67" t="str">
        <f>IF(B404="", "", 'Lighting Inventory'!BA412)</f>
        <v/>
      </c>
      <c r="AR404" s="67" t="str">
        <f>IF(B404="", "", 'Lighting Inventory'!BB412)</f>
        <v/>
      </c>
      <c r="AS404" s="67" t="str">
        <f>IF(B404="", "", 'Lighting Inventory'!BC412)</f>
        <v/>
      </c>
      <c r="AT404" s="67" t="str">
        <f>IF(B404="", "", 'Lighting Inventory'!BD412)</f>
        <v/>
      </c>
      <c r="AU404" s="67" t="str">
        <f>IF(B404="", "", 'Lighting Inventory'!BE412)</f>
        <v/>
      </c>
      <c r="AV404" s="67" t="str">
        <f>IF(B404="", "", 'Lighting Inventory'!BE412)</f>
        <v/>
      </c>
      <c r="AW404" s="67" t="str">
        <f>IF(B404="", "", 'Lighting Inventory'!BF412)</f>
        <v/>
      </c>
      <c r="AX404" s="67" t="str">
        <f>IF(B404="", "", 'Lighting Inventory'!BF412)</f>
        <v/>
      </c>
      <c r="AY404" s="65" t="str">
        <f t="shared" si="22"/>
        <v/>
      </c>
      <c r="AZ404" s="65" t="str">
        <f>IF(B404="", "", 'Lighting Inventory'!BJ412)</f>
        <v/>
      </c>
      <c r="BA404" s="65" t="str">
        <f>IF(B404="", "", 'Lighting Inventory'!BM412)</f>
        <v/>
      </c>
      <c r="BB404" s="65" t="str">
        <f>IF(B404="","",SUM('Lighting Inventory'!BP412:BP412))</f>
        <v/>
      </c>
      <c r="BC404" s="67" t="str">
        <f>IF(OR(AE404="", B404=""),"", 'Lighting Inventory'!GR412)</f>
        <v/>
      </c>
      <c r="BD404" s="67" t="str">
        <f>IFERROR(IF(B404="", "", 'Lighting Inventory'!AF412)*AD404," ")</f>
        <v xml:space="preserve"> </v>
      </c>
      <c r="BE404" s="67"/>
      <c r="BF404" s="67"/>
    </row>
    <row r="405" spans="1:58" x14ac:dyDescent="0.25">
      <c r="A405" s="26" t="str">
        <f>IF(B405="", "", 'Lookup Tables'!AW406)</f>
        <v/>
      </c>
      <c r="B405" s="26" t="str">
        <f>IF(OR('Lighting Inventory'!Y413="", 'Lighting Inventory'!V413="No Change"),"", 'Lighting Inventory'!Y413)</f>
        <v/>
      </c>
      <c r="C405" s="26" t="str">
        <f>IF(B405="", "", IF('Lighting Inventory'!Y413='Lookup Tables'!$Y$32, 'Lighting Inventory'!AJ413, IF(AD405=0, R405, AD405)))</f>
        <v/>
      </c>
      <c r="D405" s="26" t="str">
        <f>IF(B405="", "", 'General Information'!$F$14)</f>
        <v/>
      </c>
      <c r="E405" s="26" t="str">
        <f t="shared" si="20"/>
        <v/>
      </c>
      <c r="F405" s="26" t="str">
        <f>IF(B405="", "", CONCATENATE('General Information'!$F$9, " - ", 'General Information'!$F$14))</f>
        <v/>
      </c>
      <c r="G405" s="26" t="str">
        <f>IF(B405="", "", 'General Information'!$F$15)</f>
        <v/>
      </c>
      <c r="H405" s="26" t="str">
        <f>IF(B405="", "", IF(VLOOKUP(B405, 'Lookup Tables'!$Y$18:$AA$34, 2, FALSE)="Traffic", VLOOKUP('Lighting Inventory'!W413, 'Lookup Tables'!#REF!, 11, FALSE), VLOOKUP(B405, 'Lookup Tables'!$Y$18:$AA$34, 2, FALSE)))</f>
        <v/>
      </c>
      <c r="I405" s="26" t="str">
        <f>IF(B405="", "", CONCATENATE(D405, 'Data Export'!A405))</f>
        <v/>
      </c>
      <c r="J405" s="26" t="str">
        <f>IF(B405="", "", 'Lookup Tables'!$B$1)</f>
        <v/>
      </c>
      <c r="K405" s="26" t="str">
        <f>IF(B405="", "", 'Lighting Inventory'!B413)</f>
        <v/>
      </c>
      <c r="L405" s="26" t="str">
        <f>IF(B405="", "", 'Lighting Inventory'!C413)</f>
        <v/>
      </c>
      <c r="M405" s="26" t="str">
        <f>IF(B405="", "",'Lighting Inventory'!D413)</f>
        <v/>
      </c>
      <c r="N405" s="26" t="str">
        <f>IF(B405="", "",'Lighting Inventory'!E413)</f>
        <v/>
      </c>
      <c r="O405" s="26" t="str">
        <f>IF(B405="", "", 'Lighting Inventory'!F413)</f>
        <v/>
      </c>
      <c r="P405" s="26" t="str">
        <f>IF(B405="", "", 'Lighting Inventory'!G413)</f>
        <v/>
      </c>
      <c r="Q405" s="26" t="str">
        <f>IF(B405="", "", 'Lighting Inventory'!H413)</f>
        <v/>
      </c>
      <c r="R405" s="26" t="str">
        <f>IF(B405="", "", 'Lighting Inventory'!I413)</f>
        <v/>
      </c>
      <c r="S405" s="26" t="str">
        <f>IF(B405="", "", 'Lighting Inventory'!J413)</f>
        <v/>
      </c>
      <c r="T405" s="26" t="str">
        <f>IFERROR(IF(B405="","",VLOOKUP(S405,'Fixture Identities'!$A$7:$G$1023,5,FALSE)), "New Construction")</f>
        <v/>
      </c>
      <c r="U405" s="26" t="str">
        <f>IFERROR(IF(B405="", "", IF(K405="New Construction", "NC", IF(VLOOKUP(S405, 'Fixture Identities'!$A$7:$I$1023,3, FALSE)="T12 Linear Fluorescent", VLOOKUP(S405, 'Fixture Identities'!$A$7:$K$1012, 11, FALSE), S405))), "")</f>
        <v/>
      </c>
      <c r="V405" s="26" t="str">
        <f>IFERROR(IF(OR(B405="", U405=0), "", VLOOKUP(U405, 'Fixture Identities'!$A$7:$G$1023, 5, FALSE)), "")</f>
        <v/>
      </c>
      <c r="W405" s="26" t="str">
        <f>IF(B405="", "",'Lighting Inventory'!K413)</f>
        <v/>
      </c>
      <c r="X405" s="65" t="str">
        <f>IF(B405="", "", 'Lighting Inventory'!L413)</f>
        <v/>
      </c>
      <c r="Y405" s="26" t="str">
        <f>IF(B405="", "", IF('Lighting Inventory'!M413="", "Light Switch",'Lighting Inventory'!M413))</f>
        <v/>
      </c>
      <c r="Z405" s="26" t="str">
        <f>IF(OR(K405="Retrofit", B405=""), "", 'Lighting Inventory'!N413)</f>
        <v/>
      </c>
      <c r="AA405" s="26" t="str">
        <f>IF(OR(Z405="",B405=""), "", 'Lighting Inventory'!O413)</f>
        <v/>
      </c>
      <c r="AB405" s="26" t="str">
        <f>IF(B405="", "", 'Lighting Inventory'!P413)</f>
        <v/>
      </c>
      <c r="AC405" s="96" t="str">
        <f>IF(B405="", "", 'Lighting Inventory'!R413)</f>
        <v/>
      </c>
      <c r="AD405" s="26" t="str">
        <f>IF(B405="", "", 'Lighting Inventory'!S413)</f>
        <v/>
      </c>
      <c r="AE405" s="26" t="str">
        <f>IF(B405="", "", 'Lighting Inventory'!V413)</f>
        <v/>
      </c>
      <c r="AF405" s="26" t="str">
        <f>IF(B405="", "", 'Lighting Inventory'!W413)</f>
        <v/>
      </c>
      <c r="AG405" s="26" t="str">
        <f>IF(OR(AF405="", B405=""), "", IF(AE405="Custom", "0", VLOOKUP(AF405, 'Lookup Tables'!$AI$6:$AP$102, 8, FALSE)))</f>
        <v/>
      </c>
      <c r="AH405" s="26" t="str">
        <f>IF(B405="", "", 'Lighting Inventory'!AD413)</f>
        <v/>
      </c>
      <c r="AI405" s="26" t="str">
        <f>IF(OR('Lighting Inventory'!AK413="", B405=""), "", 'Lighting Inventory'!AK413)</f>
        <v/>
      </c>
      <c r="AJ405" s="66" t="str">
        <f>IF(B405="", "", 'Lighting Inventory'!AL413)</f>
        <v/>
      </c>
      <c r="AK405" s="65" t="str">
        <f>IF(B405="", "", 'Lighting Inventory'!AM413)</f>
        <v/>
      </c>
      <c r="AL405" s="26" t="str">
        <f>IF(B405="", "", 'Lighting Inventory'!AN413)</f>
        <v/>
      </c>
      <c r="AM405" s="26" t="str">
        <f t="shared" si="21"/>
        <v/>
      </c>
      <c r="AN405" s="26" t="str">
        <f>IF(B405="","",IF('Lighting Inventory'!AV413="","Prescribed",'Lighting Inventory'!AV413))</f>
        <v/>
      </c>
      <c r="AO405" s="66" t="str">
        <f>IF(B405="", "", 'Lighting Inventory'!AX413)</f>
        <v/>
      </c>
      <c r="AP405" s="67" t="str">
        <f>IF(B405="", "", 'Lighting Inventory'!AZ413)</f>
        <v/>
      </c>
      <c r="AQ405" s="67" t="str">
        <f>IF(B405="", "", 'Lighting Inventory'!BA413)</f>
        <v/>
      </c>
      <c r="AR405" s="67" t="str">
        <f>IF(B405="", "", 'Lighting Inventory'!BB413)</f>
        <v/>
      </c>
      <c r="AS405" s="67" t="str">
        <f>IF(B405="", "", 'Lighting Inventory'!BC413)</f>
        <v/>
      </c>
      <c r="AT405" s="67" t="str">
        <f>IF(B405="", "", 'Lighting Inventory'!BD413)</f>
        <v/>
      </c>
      <c r="AU405" s="67" t="str">
        <f>IF(B405="", "", 'Lighting Inventory'!BE413)</f>
        <v/>
      </c>
      <c r="AV405" s="67" t="str">
        <f>IF(B405="", "", 'Lighting Inventory'!BE413)</f>
        <v/>
      </c>
      <c r="AW405" s="67" t="str">
        <f>IF(B405="", "", 'Lighting Inventory'!BF413)</f>
        <v/>
      </c>
      <c r="AX405" s="67" t="str">
        <f>IF(B405="", "", 'Lighting Inventory'!BF413)</f>
        <v/>
      </c>
      <c r="AY405" s="65" t="str">
        <f t="shared" si="22"/>
        <v/>
      </c>
      <c r="AZ405" s="65" t="str">
        <f>IF(B405="", "", 'Lighting Inventory'!BJ413)</f>
        <v/>
      </c>
      <c r="BA405" s="65" t="str">
        <f>IF(B405="", "", 'Lighting Inventory'!BM413)</f>
        <v/>
      </c>
      <c r="BB405" s="65" t="str">
        <f>IF(B405="","",SUM('Lighting Inventory'!BP413:BP413))</f>
        <v/>
      </c>
      <c r="BC405" s="67" t="str">
        <f>IF(OR(AE405="", B405=""),"", 'Lighting Inventory'!GR413)</f>
        <v/>
      </c>
      <c r="BD405" s="67" t="str">
        <f>IFERROR(IF(B405="", "", 'Lighting Inventory'!AF413)*AD405," ")</f>
        <v xml:space="preserve"> </v>
      </c>
      <c r="BE405" s="67"/>
      <c r="BF405" s="67"/>
    </row>
    <row r="406" spans="1:58" x14ac:dyDescent="0.25">
      <c r="A406" s="26" t="str">
        <f>IF(B406="", "", 'Lookup Tables'!AW407)</f>
        <v/>
      </c>
      <c r="B406" s="26" t="str">
        <f>IF(OR('Lighting Inventory'!Y414="", 'Lighting Inventory'!V414="No Change"),"", 'Lighting Inventory'!Y414)</f>
        <v/>
      </c>
      <c r="C406" s="26" t="str">
        <f>IF(B406="", "", IF('Lighting Inventory'!Y414='Lookup Tables'!$Y$32, 'Lighting Inventory'!AJ414, IF(AD406=0, R406, AD406)))</f>
        <v/>
      </c>
      <c r="D406" s="26" t="str">
        <f>IF(B406="", "", 'General Information'!$F$14)</f>
        <v/>
      </c>
      <c r="E406" s="26" t="str">
        <f t="shared" si="20"/>
        <v/>
      </c>
      <c r="F406" s="26" t="str">
        <f>IF(B406="", "", CONCATENATE('General Information'!$F$9, " - ", 'General Information'!$F$14))</f>
        <v/>
      </c>
      <c r="G406" s="26" t="str">
        <f>IF(B406="", "", 'General Information'!$F$15)</f>
        <v/>
      </c>
      <c r="H406" s="26" t="str">
        <f>IF(B406="", "", IF(VLOOKUP(B406, 'Lookup Tables'!$Y$18:$AA$34, 2, FALSE)="Traffic", VLOOKUP('Lighting Inventory'!W414, 'Lookup Tables'!#REF!, 11, FALSE), VLOOKUP(B406, 'Lookup Tables'!$Y$18:$AA$34, 2, FALSE)))</f>
        <v/>
      </c>
      <c r="I406" s="26" t="str">
        <f>IF(B406="", "", CONCATENATE(D406, 'Data Export'!A406))</f>
        <v/>
      </c>
      <c r="J406" s="26" t="str">
        <f>IF(B406="", "", 'Lookup Tables'!$B$1)</f>
        <v/>
      </c>
      <c r="K406" s="26" t="str">
        <f>IF(B406="", "", 'Lighting Inventory'!B414)</f>
        <v/>
      </c>
      <c r="L406" s="26" t="str">
        <f>IF(B406="", "", 'Lighting Inventory'!C414)</f>
        <v/>
      </c>
      <c r="M406" s="26" t="str">
        <f>IF(B406="", "",'Lighting Inventory'!D414)</f>
        <v/>
      </c>
      <c r="N406" s="26" t="str">
        <f>IF(B406="", "",'Lighting Inventory'!E414)</f>
        <v/>
      </c>
      <c r="O406" s="26" t="str">
        <f>IF(B406="", "", 'Lighting Inventory'!F414)</f>
        <v/>
      </c>
      <c r="P406" s="26" t="str">
        <f>IF(B406="", "", 'Lighting Inventory'!G414)</f>
        <v/>
      </c>
      <c r="Q406" s="26" t="str">
        <f>IF(B406="", "", 'Lighting Inventory'!H414)</f>
        <v/>
      </c>
      <c r="R406" s="26" t="str">
        <f>IF(B406="", "", 'Lighting Inventory'!I414)</f>
        <v/>
      </c>
      <c r="S406" s="26" t="str">
        <f>IF(B406="", "", 'Lighting Inventory'!J414)</f>
        <v/>
      </c>
      <c r="T406" s="26" t="str">
        <f>IFERROR(IF(B406="","",VLOOKUP(S406,'Fixture Identities'!$A$7:$G$1023,5,FALSE)), "New Construction")</f>
        <v/>
      </c>
      <c r="U406" s="26" t="str">
        <f>IFERROR(IF(B406="", "", IF(K406="New Construction", "NC", IF(VLOOKUP(S406, 'Fixture Identities'!$A$7:$I$1023,3, FALSE)="T12 Linear Fluorescent", VLOOKUP(S406, 'Fixture Identities'!$A$7:$K$1012, 11, FALSE), S406))), "")</f>
        <v/>
      </c>
      <c r="V406" s="26" t="str">
        <f>IFERROR(IF(OR(B406="", U406=0), "", VLOOKUP(U406, 'Fixture Identities'!$A$7:$G$1023, 5, FALSE)), "")</f>
        <v/>
      </c>
      <c r="W406" s="26" t="str">
        <f>IF(B406="", "",'Lighting Inventory'!K414)</f>
        <v/>
      </c>
      <c r="X406" s="65" t="str">
        <f>IF(B406="", "", 'Lighting Inventory'!L414)</f>
        <v/>
      </c>
      <c r="Y406" s="26" t="str">
        <f>IF(B406="", "", IF('Lighting Inventory'!M414="", "Light Switch",'Lighting Inventory'!M414))</f>
        <v/>
      </c>
      <c r="Z406" s="26" t="str">
        <f>IF(OR(K406="Retrofit", B406=""), "", 'Lighting Inventory'!N414)</f>
        <v/>
      </c>
      <c r="AA406" s="26" t="str">
        <f>IF(OR(Z406="",B406=""), "", 'Lighting Inventory'!O414)</f>
        <v/>
      </c>
      <c r="AB406" s="26" t="str">
        <f>IF(B406="", "", 'Lighting Inventory'!P414)</f>
        <v/>
      </c>
      <c r="AC406" s="96" t="str">
        <f>IF(B406="", "", 'Lighting Inventory'!R414)</f>
        <v/>
      </c>
      <c r="AD406" s="26" t="str">
        <f>IF(B406="", "", 'Lighting Inventory'!S414)</f>
        <v/>
      </c>
      <c r="AE406" s="26" t="str">
        <f>IF(B406="", "", 'Lighting Inventory'!V414)</f>
        <v/>
      </c>
      <c r="AF406" s="26" t="str">
        <f>IF(B406="", "", 'Lighting Inventory'!W414)</f>
        <v/>
      </c>
      <c r="AG406" s="26" t="str">
        <f>IF(OR(AF406="", B406=""), "", IF(AE406="Custom", "0", VLOOKUP(AF406, 'Lookup Tables'!$AI$6:$AP$102, 8, FALSE)))</f>
        <v/>
      </c>
      <c r="AH406" s="26" t="str">
        <f>IF(B406="", "", 'Lighting Inventory'!AD414)</f>
        <v/>
      </c>
      <c r="AI406" s="26" t="str">
        <f>IF(OR('Lighting Inventory'!AK414="", B406=""), "", 'Lighting Inventory'!AK414)</f>
        <v/>
      </c>
      <c r="AJ406" s="66" t="str">
        <f>IF(B406="", "", 'Lighting Inventory'!AL414)</f>
        <v/>
      </c>
      <c r="AK406" s="65" t="str">
        <f>IF(B406="", "", 'Lighting Inventory'!AM414)</f>
        <v/>
      </c>
      <c r="AL406" s="26" t="str">
        <f>IF(B406="", "", 'Lighting Inventory'!AN414)</f>
        <v/>
      </c>
      <c r="AM406" s="26" t="str">
        <f t="shared" si="21"/>
        <v/>
      </c>
      <c r="AN406" s="26" t="str">
        <f>IF(B406="","",IF('Lighting Inventory'!AV414="","Prescribed",'Lighting Inventory'!AV414))</f>
        <v/>
      </c>
      <c r="AO406" s="66" t="str">
        <f>IF(B406="", "", 'Lighting Inventory'!AX414)</f>
        <v/>
      </c>
      <c r="AP406" s="67" t="str">
        <f>IF(B406="", "", 'Lighting Inventory'!AZ414)</f>
        <v/>
      </c>
      <c r="AQ406" s="67" t="str">
        <f>IF(B406="", "", 'Lighting Inventory'!BA414)</f>
        <v/>
      </c>
      <c r="AR406" s="67" t="str">
        <f>IF(B406="", "", 'Lighting Inventory'!BB414)</f>
        <v/>
      </c>
      <c r="AS406" s="67" t="str">
        <f>IF(B406="", "", 'Lighting Inventory'!BC414)</f>
        <v/>
      </c>
      <c r="AT406" s="67" t="str">
        <f>IF(B406="", "", 'Lighting Inventory'!BD414)</f>
        <v/>
      </c>
      <c r="AU406" s="67" t="str">
        <f>IF(B406="", "", 'Lighting Inventory'!BE414)</f>
        <v/>
      </c>
      <c r="AV406" s="67" t="str">
        <f>IF(B406="", "", 'Lighting Inventory'!BE414)</f>
        <v/>
      </c>
      <c r="AW406" s="67" t="str">
        <f>IF(B406="", "", 'Lighting Inventory'!BF414)</f>
        <v/>
      </c>
      <c r="AX406" s="67" t="str">
        <f>IF(B406="", "", 'Lighting Inventory'!BF414)</f>
        <v/>
      </c>
      <c r="AY406" s="65" t="str">
        <f t="shared" si="22"/>
        <v/>
      </c>
      <c r="AZ406" s="65" t="str">
        <f>IF(B406="", "", 'Lighting Inventory'!BJ414)</f>
        <v/>
      </c>
      <c r="BA406" s="65" t="str">
        <f>IF(B406="", "", 'Lighting Inventory'!BM414)</f>
        <v/>
      </c>
      <c r="BB406" s="65" t="str">
        <f>IF(B406="","",SUM('Lighting Inventory'!BP414:BP414))</f>
        <v/>
      </c>
      <c r="BC406" s="67" t="str">
        <f>IF(OR(AE406="", B406=""),"", 'Lighting Inventory'!GR414)</f>
        <v/>
      </c>
      <c r="BD406" s="67" t="str">
        <f>IFERROR(IF(B406="", "", 'Lighting Inventory'!AF414)*AD406," ")</f>
        <v xml:space="preserve"> </v>
      </c>
      <c r="BE406" s="67"/>
      <c r="BF406" s="67"/>
    </row>
    <row r="407" spans="1:58" x14ac:dyDescent="0.25">
      <c r="A407" s="26" t="str">
        <f>IF(B407="", "", 'Lookup Tables'!AW408)</f>
        <v/>
      </c>
      <c r="B407" s="26" t="str">
        <f>IF(OR('Lighting Inventory'!Y415="", 'Lighting Inventory'!V415="No Change"),"", 'Lighting Inventory'!Y415)</f>
        <v/>
      </c>
      <c r="C407" s="26" t="str">
        <f>IF(B407="", "", IF('Lighting Inventory'!Y415='Lookup Tables'!$Y$32, 'Lighting Inventory'!AJ415, IF(AD407=0, R407, AD407)))</f>
        <v/>
      </c>
      <c r="D407" s="26" t="str">
        <f>IF(B407="", "", 'General Information'!$F$14)</f>
        <v/>
      </c>
      <c r="E407" s="26" t="str">
        <f t="shared" si="20"/>
        <v/>
      </c>
      <c r="F407" s="26" t="str">
        <f>IF(B407="", "", CONCATENATE('General Information'!$F$9, " - ", 'General Information'!$F$14))</f>
        <v/>
      </c>
      <c r="G407" s="26" t="str">
        <f>IF(B407="", "", 'General Information'!$F$15)</f>
        <v/>
      </c>
      <c r="H407" s="26" t="str">
        <f>IF(B407="", "", IF(VLOOKUP(B407, 'Lookup Tables'!$Y$18:$AA$34, 2, FALSE)="Traffic", VLOOKUP('Lighting Inventory'!W415, 'Lookup Tables'!#REF!, 11, FALSE), VLOOKUP(B407, 'Lookup Tables'!$Y$18:$AA$34, 2, FALSE)))</f>
        <v/>
      </c>
      <c r="I407" s="26" t="str">
        <f>IF(B407="", "", CONCATENATE(D407, 'Data Export'!A407))</f>
        <v/>
      </c>
      <c r="J407" s="26" t="str">
        <f>IF(B407="", "", 'Lookup Tables'!$B$1)</f>
        <v/>
      </c>
      <c r="K407" s="26" t="str">
        <f>IF(B407="", "", 'Lighting Inventory'!B415)</f>
        <v/>
      </c>
      <c r="L407" s="26" t="str">
        <f>IF(B407="", "", 'Lighting Inventory'!C415)</f>
        <v/>
      </c>
      <c r="M407" s="26" t="str">
        <f>IF(B407="", "",'Lighting Inventory'!D415)</f>
        <v/>
      </c>
      <c r="N407" s="26" t="str">
        <f>IF(B407="", "",'Lighting Inventory'!E415)</f>
        <v/>
      </c>
      <c r="O407" s="26" t="str">
        <f>IF(B407="", "", 'Lighting Inventory'!F415)</f>
        <v/>
      </c>
      <c r="P407" s="26" t="str">
        <f>IF(B407="", "", 'Lighting Inventory'!G415)</f>
        <v/>
      </c>
      <c r="Q407" s="26" t="str">
        <f>IF(B407="", "", 'Lighting Inventory'!H415)</f>
        <v/>
      </c>
      <c r="R407" s="26" t="str">
        <f>IF(B407="", "", 'Lighting Inventory'!I415)</f>
        <v/>
      </c>
      <c r="S407" s="26" t="str">
        <f>IF(B407="", "", 'Lighting Inventory'!J415)</f>
        <v/>
      </c>
      <c r="T407" s="26" t="str">
        <f>IFERROR(IF(B407="","",VLOOKUP(S407,'Fixture Identities'!$A$7:$G$1023,5,FALSE)), "New Construction")</f>
        <v/>
      </c>
      <c r="U407" s="26" t="str">
        <f>IFERROR(IF(B407="", "", IF(K407="New Construction", "NC", IF(VLOOKUP(S407, 'Fixture Identities'!$A$7:$I$1023,3, FALSE)="T12 Linear Fluorescent", VLOOKUP(S407, 'Fixture Identities'!$A$7:$K$1012, 11, FALSE), S407))), "")</f>
        <v/>
      </c>
      <c r="V407" s="26" t="str">
        <f>IFERROR(IF(OR(B407="", U407=0), "", VLOOKUP(U407, 'Fixture Identities'!$A$7:$G$1023, 5, FALSE)), "")</f>
        <v/>
      </c>
      <c r="W407" s="26" t="str">
        <f>IF(B407="", "",'Lighting Inventory'!K415)</f>
        <v/>
      </c>
      <c r="X407" s="65" t="str">
        <f>IF(B407="", "", 'Lighting Inventory'!L415)</f>
        <v/>
      </c>
      <c r="Y407" s="26" t="str">
        <f>IF(B407="", "", IF('Lighting Inventory'!M415="", "Light Switch",'Lighting Inventory'!M415))</f>
        <v/>
      </c>
      <c r="Z407" s="26" t="str">
        <f>IF(OR(K407="Retrofit", B407=""), "", 'Lighting Inventory'!N415)</f>
        <v/>
      </c>
      <c r="AA407" s="26" t="str">
        <f>IF(OR(Z407="",B407=""), "", 'Lighting Inventory'!O415)</f>
        <v/>
      </c>
      <c r="AB407" s="26" t="str">
        <f>IF(B407="", "", 'Lighting Inventory'!P415)</f>
        <v/>
      </c>
      <c r="AC407" s="96" t="str">
        <f>IF(B407="", "", 'Lighting Inventory'!R415)</f>
        <v/>
      </c>
      <c r="AD407" s="26" t="str">
        <f>IF(B407="", "", 'Lighting Inventory'!S415)</f>
        <v/>
      </c>
      <c r="AE407" s="26" t="str">
        <f>IF(B407="", "", 'Lighting Inventory'!V415)</f>
        <v/>
      </c>
      <c r="AF407" s="26" t="str">
        <f>IF(B407="", "", 'Lighting Inventory'!W415)</f>
        <v/>
      </c>
      <c r="AG407" s="26" t="str">
        <f>IF(OR(AF407="", B407=""), "", IF(AE407="Custom", "0", VLOOKUP(AF407, 'Lookup Tables'!$AI$6:$AP$102, 8, FALSE)))</f>
        <v/>
      </c>
      <c r="AH407" s="26" t="str">
        <f>IF(B407="", "", 'Lighting Inventory'!AD415)</f>
        <v/>
      </c>
      <c r="AI407" s="26" t="str">
        <f>IF(OR('Lighting Inventory'!AK415="", B407=""), "", 'Lighting Inventory'!AK415)</f>
        <v/>
      </c>
      <c r="AJ407" s="66" t="str">
        <f>IF(B407="", "", 'Lighting Inventory'!AL415)</f>
        <v/>
      </c>
      <c r="AK407" s="65" t="str">
        <f>IF(B407="", "", 'Lighting Inventory'!AM415)</f>
        <v/>
      </c>
      <c r="AL407" s="26" t="str">
        <f>IF(B407="", "", 'Lighting Inventory'!AN415)</f>
        <v/>
      </c>
      <c r="AM407" s="26" t="str">
        <f t="shared" si="21"/>
        <v/>
      </c>
      <c r="AN407" s="26" t="str">
        <f>IF(B407="","",IF('Lighting Inventory'!AV415="","Prescribed",'Lighting Inventory'!AV415))</f>
        <v/>
      </c>
      <c r="AO407" s="66" t="str">
        <f>IF(B407="", "", 'Lighting Inventory'!AX415)</f>
        <v/>
      </c>
      <c r="AP407" s="67" t="str">
        <f>IF(B407="", "", 'Lighting Inventory'!AZ415)</f>
        <v/>
      </c>
      <c r="AQ407" s="67" t="str">
        <f>IF(B407="", "", 'Lighting Inventory'!BA415)</f>
        <v/>
      </c>
      <c r="AR407" s="67" t="str">
        <f>IF(B407="", "", 'Lighting Inventory'!BB415)</f>
        <v/>
      </c>
      <c r="AS407" s="67" t="str">
        <f>IF(B407="", "", 'Lighting Inventory'!BC415)</f>
        <v/>
      </c>
      <c r="AT407" s="67" t="str">
        <f>IF(B407="", "", 'Lighting Inventory'!BD415)</f>
        <v/>
      </c>
      <c r="AU407" s="67" t="str">
        <f>IF(B407="", "", 'Lighting Inventory'!BE415)</f>
        <v/>
      </c>
      <c r="AV407" s="67" t="str">
        <f>IF(B407="", "", 'Lighting Inventory'!BE415)</f>
        <v/>
      </c>
      <c r="AW407" s="67" t="str">
        <f>IF(B407="", "", 'Lighting Inventory'!BF415)</f>
        <v/>
      </c>
      <c r="AX407" s="67" t="str">
        <f>IF(B407="", "", 'Lighting Inventory'!BF415)</f>
        <v/>
      </c>
      <c r="AY407" s="65" t="str">
        <f t="shared" si="22"/>
        <v/>
      </c>
      <c r="AZ407" s="65" t="str">
        <f>IF(B407="", "", 'Lighting Inventory'!BJ415)</f>
        <v/>
      </c>
      <c r="BA407" s="65" t="str">
        <f>IF(B407="", "", 'Lighting Inventory'!BM415)</f>
        <v/>
      </c>
      <c r="BB407" s="65" t="str">
        <f>IF(B407="","",SUM('Lighting Inventory'!BP415:BP415))</f>
        <v/>
      </c>
      <c r="BC407" s="67" t="str">
        <f>IF(OR(AE407="", B407=""),"", 'Lighting Inventory'!GR415)</f>
        <v/>
      </c>
      <c r="BD407" s="67" t="str">
        <f>IFERROR(IF(B407="", "", 'Lighting Inventory'!AF415)*AD407," ")</f>
        <v xml:space="preserve"> </v>
      </c>
      <c r="BE407" s="67"/>
      <c r="BF407" s="67"/>
    </row>
    <row r="408" spans="1:58" x14ac:dyDescent="0.25">
      <c r="A408" s="26" t="str">
        <f>IF(B408="", "", 'Lookup Tables'!AW409)</f>
        <v/>
      </c>
      <c r="B408" s="26" t="str">
        <f>IF(OR('Lighting Inventory'!Y416="", 'Lighting Inventory'!V416="No Change"),"", 'Lighting Inventory'!Y416)</f>
        <v/>
      </c>
      <c r="C408" s="26" t="str">
        <f>IF(B408="", "", IF('Lighting Inventory'!Y416='Lookup Tables'!$Y$32, 'Lighting Inventory'!AJ416, IF(AD408=0, R408, AD408)))</f>
        <v/>
      </c>
      <c r="D408" s="26" t="str">
        <f>IF(B408="", "", 'General Information'!$F$14)</f>
        <v/>
      </c>
      <c r="E408" s="26" t="str">
        <f t="shared" si="20"/>
        <v/>
      </c>
      <c r="F408" s="26" t="str">
        <f>IF(B408="", "", CONCATENATE('General Information'!$F$9, " - ", 'General Information'!$F$14))</f>
        <v/>
      </c>
      <c r="G408" s="26" t="str">
        <f>IF(B408="", "", 'General Information'!$F$15)</f>
        <v/>
      </c>
      <c r="H408" s="26" t="str">
        <f>IF(B408="", "", IF(VLOOKUP(B408, 'Lookup Tables'!$Y$18:$AA$34, 2, FALSE)="Traffic", VLOOKUP('Lighting Inventory'!W416, 'Lookup Tables'!#REF!, 11, FALSE), VLOOKUP(B408, 'Lookup Tables'!$Y$18:$AA$34, 2, FALSE)))</f>
        <v/>
      </c>
      <c r="I408" s="26" t="str">
        <f>IF(B408="", "", CONCATENATE(D408, 'Data Export'!A408))</f>
        <v/>
      </c>
      <c r="J408" s="26" t="str">
        <f>IF(B408="", "", 'Lookup Tables'!$B$1)</f>
        <v/>
      </c>
      <c r="K408" s="26" t="str">
        <f>IF(B408="", "", 'Lighting Inventory'!B416)</f>
        <v/>
      </c>
      <c r="L408" s="26" t="str">
        <f>IF(B408="", "", 'Lighting Inventory'!C416)</f>
        <v/>
      </c>
      <c r="M408" s="26" t="str">
        <f>IF(B408="", "",'Lighting Inventory'!D416)</f>
        <v/>
      </c>
      <c r="N408" s="26" t="str">
        <f>IF(B408="", "",'Lighting Inventory'!E416)</f>
        <v/>
      </c>
      <c r="O408" s="26" t="str">
        <f>IF(B408="", "", 'Lighting Inventory'!F416)</f>
        <v/>
      </c>
      <c r="P408" s="26" t="str">
        <f>IF(B408="", "", 'Lighting Inventory'!G416)</f>
        <v/>
      </c>
      <c r="Q408" s="26" t="str">
        <f>IF(B408="", "", 'Lighting Inventory'!H416)</f>
        <v/>
      </c>
      <c r="R408" s="26" t="str">
        <f>IF(B408="", "", 'Lighting Inventory'!I416)</f>
        <v/>
      </c>
      <c r="S408" s="26" t="str">
        <f>IF(B408="", "", 'Lighting Inventory'!J416)</f>
        <v/>
      </c>
      <c r="T408" s="26" t="str">
        <f>IFERROR(IF(B408="","",VLOOKUP(S408,'Fixture Identities'!$A$7:$G$1023,5,FALSE)), "New Construction")</f>
        <v/>
      </c>
      <c r="U408" s="26" t="str">
        <f>IFERROR(IF(B408="", "", IF(K408="New Construction", "NC", IF(VLOOKUP(S408, 'Fixture Identities'!$A$7:$I$1023,3, FALSE)="T12 Linear Fluorescent", VLOOKUP(S408, 'Fixture Identities'!$A$7:$K$1012, 11, FALSE), S408))), "")</f>
        <v/>
      </c>
      <c r="V408" s="26" t="str">
        <f>IFERROR(IF(OR(B408="", U408=0), "", VLOOKUP(U408, 'Fixture Identities'!$A$7:$G$1023, 5, FALSE)), "")</f>
        <v/>
      </c>
      <c r="W408" s="26" t="str">
        <f>IF(B408="", "",'Lighting Inventory'!K416)</f>
        <v/>
      </c>
      <c r="X408" s="65" t="str">
        <f>IF(B408="", "", 'Lighting Inventory'!L416)</f>
        <v/>
      </c>
      <c r="Y408" s="26" t="str">
        <f>IF(B408="", "", IF('Lighting Inventory'!M416="", "Light Switch",'Lighting Inventory'!M416))</f>
        <v/>
      </c>
      <c r="Z408" s="26" t="str">
        <f>IF(OR(K408="Retrofit", B408=""), "", 'Lighting Inventory'!N416)</f>
        <v/>
      </c>
      <c r="AA408" s="26" t="str">
        <f>IF(OR(Z408="",B408=""), "", 'Lighting Inventory'!O416)</f>
        <v/>
      </c>
      <c r="AB408" s="26" t="str">
        <f>IF(B408="", "", 'Lighting Inventory'!P416)</f>
        <v/>
      </c>
      <c r="AC408" s="96" t="str">
        <f>IF(B408="", "", 'Lighting Inventory'!R416)</f>
        <v/>
      </c>
      <c r="AD408" s="26" t="str">
        <f>IF(B408="", "", 'Lighting Inventory'!S416)</f>
        <v/>
      </c>
      <c r="AE408" s="26" t="str">
        <f>IF(B408="", "", 'Lighting Inventory'!V416)</f>
        <v/>
      </c>
      <c r="AF408" s="26" t="str">
        <f>IF(B408="", "", 'Lighting Inventory'!W416)</f>
        <v/>
      </c>
      <c r="AG408" s="26" t="str">
        <f>IF(OR(AF408="", B408=""), "", IF(AE408="Custom", "0", VLOOKUP(AF408, 'Lookup Tables'!$AI$6:$AP$102, 8, FALSE)))</f>
        <v/>
      </c>
      <c r="AH408" s="26" t="str">
        <f>IF(B408="", "", 'Lighting Inventory'!AD416)</f>
        <v/>
      </c>
      <c r="AI408" s="26" t="str">
        <f>IF(OR('Lighting Inventory'!AK416="", B408=""), "", 'Lighting Inventory'!AK416)</f>
        <v/>
      </c>
      <c r="AJ408" s="66" t="str">
        <f>IF(B408="", "", 'Lighting Inventory'!AL416)</f>
        <v/>
      </c>
      <c r="AK408" s="65" t="str">
        <f>IF(B408="", "", 'Lighting Inventory'!AM416)</f>
        <v/>
      </c>
      <c r="AL408" s="26" t="str">
        <f>IF(B408="", "", 'Lighting Inventory'!AN416)</f>
        <v/>
      </c>
      <c r="AM408" s="26" t="str">
        <f t="shared" si="21"/>
        <v/>
      </c>
      <c r="AN408" s="26" t="str">
        <f>IF(B408="","",IF('Lighting Inventory'!AV416="","Prescribed",'Lighting Inventory'!AV416))</f>
        <v/>
      </c>
      <c r="AO408" s="66" t="str">
        <f>IF(B408="", "", 'Lighting Inventory'!AX416)</f>
        <v/>
      </c>
      <c r="AP408" s="67" t="str">
        <f>IF(B408="", "", 'Lighting Inventory'!AZ416)</f>
        <v/>
      </c>
      <c r="AQ408" s="67" t="str">
        <f>IF(B408="", "", 'Lighting Inventory'!BA416)</f>
        <v/>
      </c>
      <c r="AR408" s="67" t="str">
        <f>IF(B408="", "", 'Lighting Inventory'!BB416)</f>
        <v/>
      </c>
      <c r="AS408" s="67" t="str">
        <f>IF(B408="", "", 'Lighting Inventory'!BC416)</f>
        <v/>
      </c>
      <c r="AT408" s="67" t="str">
        <f>IF(B408="", "", 'Lighting Inventory'!BD416)</f>
        <v/>
      </c>
      <c r="AU408" s="67" t="str">
        <f>IF(B408="", "", 'Lighting Inventory'!BE416)</f>
        <v/>
      </c>
      <c r="AV408" s="67" t="str">
        <f>IF(B408="", "", 'Lighting Inventory'!BE416)</f>
        <v/>
      </c>
      <c r="AW408" s="67" t="str">
        <f>IF(B408="", "", 'Lighting Inventory'!BF416)</f>
        <v/>
      </c>
      <c r="AX408" s="67" t="str">
        <f>IF(B408="", "", 'Lighting Inventory'!BF416)</f>
        <v/>
      </c>
      <c r="AY408" s="65" t="str">
        <f t="shared" si="22"/>
        <v/>
      </c>
      <c r="AZ408" s="65" t="str">
        <f>IF(B408="", "", 'Lighting Inventory'!BJ416)</f>
        <v/>
      </c>
      <c r="BA408" s="65" t="str">
        <f>IF(B408="", "", 'Lighting Inventory'!BM416)</f>
        <v/>
      </c>
      <c r="BB408" s="65" t="str">
        <f>IF(B408="","",SUM('Lighting Inventory'!BP416:BP416))</f>
        <v/>
      </c>
      <c r="BC408" s="67" t="str">
        <f>IF(OR(AE408="", B408=""),"", 'Lighting Inventory'!GR416)</f>
        <v/>
      </c>
      <c r="BD408" s="67" t="str">
        <f>IFERROR(IF(B408="", "", 'Lighting Inventory'!AF416)*AD408," ")</f>
        <v xml:space="preserve"> </v>
      </c>
      <c r="BE408" s="67"/>
      <c r="BF408" s="67"/>
    </row>
    <row r="409" spans="1:58" x14ac:dyDescent="0.25">
      <c r="A409" s="26" t="str">
        <f>IF(B409="", "", 'Lookup Tables'!AW410)</f>
        <v/>
      </c>
      <c r="B409" s="26" t="str">
        <f>IF(OR('Lighting Inventory'!Y417="", 'Lighting Inventory'!V417="No Change"),"", 'Lighting Inventory'!Y417)</f>
        <v/>
      </c>
      <c r="C409" s="26" t="str">
        <f>IF(B409="", "", IF('Lighting Inventory'!Y417='Lookup Tables'!$Y$32, 'Lighting Inventory'!AJ417, IF(AD409=0, R409, AD409)))</f>
        <v/>
      </c>
      <c r="D409" s="26" t="str">
        <f>IF(B409="", "", 'General Information'!$F$14)</f>
        <v/>
      </c>
      <c r="E409" s="26" t="str">
        <f t="shared" si="20"/>
        <v/>
      </c>
      <c r="F409" s="26" t="str">
        <f>IF(B409="", "", CONCATENATE('General Information'!$F$9, " - ", 'General Information'!$F$14))</f>
        <v/>
      </c>
      <c r="G409" s="26" t="str">
        <f>IF(B409="", "", 'General Information'!$F$15)</f>
        <v/>
      </c>
      <c r="H409" s="26" t="str">
        <f>IF(B409="", "", IF(VLOOKUP(B409, 'Lookup Tables'!$Y$18:$AA$34, 2, FALSE)="Traffic", VLOOKUP('Lighting Inventory'!W417, 'Lookup Tables'!#REF!, 11, FALSE), VLOOKUP(B409, 'Lookup Tables'!$Y$18:$AA$34, 2, FALSE)))</f>
        <v/>
      </c>
      <c r="I409" s="26" t="str">
        <f>IF(B409="", "", CONCATENATE(D409, 'Data Export'!A409))</f>
        <v/>
      </c>
      <c r="J409" s="26" t="str">
        <f>IF(B409="", "", 'Lookup Tables'!$B$1)</f>
        <v/>
      </c>
      <c r="K409" s="26" t="str">
        <f>IF(B409="", "", 'Lighting Inventory'!B417)</f>
        <v/>
      </c>
      <c r="L409" s="26" t="str">
        <f>IF(B409="", "", 'Lighting Inventory'!C417)</f>
        <v/>
      </c>
      <c r="M409" s="26" t="str">
        <f>IF(B409="", "",'Lighting Inventory'!D417)</f>
        <v/>
      </c>
      <c r="N409" s="26" t="str">
        <f>IF(B409="", "",'Lighting Inventory'!E417)</f>
        <v/>
      </c>
      <c r="O409" s="26" t="str">
        <f>IF(B409="", "", 'Lighting Inventory'!F417)</f>
        <v/>
      </c>
      <c r="P409" s="26" t="str">
        <f>IF(B409="", "", 'Lighting Inventory'!G417)</f>
        <v/>
      </c>
      <c r="Q409" s="26" t="str">
        <f>IF(B409="", "", 'Lighting Inventory'!H417)</f>
        <v/>
      </c>
      <c r="R409" s="26" t="str">
        <f>IF(B409="", "", 'Lighting Inventory'!I417)</f>
        <v/>
      </c>
      <c r="S409" s="26" t="str">
        <f>IF(B409="", "", 'Lighting Inventory'!J417)</f>
        <v/>
      </c>
      <c r="T409" s="26" t="str">
        <f>IFERROR(IF(B409="","",VLOOKUP(S409,'Fixture Identities'!$A$7:$G$1023,5,FALSE)), "New Construction")</f>
        <v/>
      </c>
      <c r="U409" s="26" t="str">
        <f>IFERROR(IF(B409="", "", IF(K409="New Construction", "NC", IF(VLOOKUP(S409, 'Fixture Identities'!$A$7:$I$1023,3, FALSE)="T12 Linear Fluorescent", VLOOKUP(S409, 'Fixture Identities'!$A$7:$K$1012, 11, FALSE), S409))), "")</f>
        <v/>
      </c>
      <c r="V409" s="26" t="str">
        <f>IFERROR(IF(OR(B409="", U409=0), "", VLOOKUP(U409, 'Fixture Identities'!$A$7:$G$1023, 5, FALSE)), "")</f>
        <v/>
      </c>
      <c r="W409" s="26" t="str">
        <f>IF(B409="", "",'Lighting Inventory'!K417)</f>
        <v/>
      </c>
      <c r="X409" s="65" t="str">
        <f>IF(B409="", "", 'Lighting Inventory'!L417)</f>
        <v/>
      </c>
      <c r="Y409" s="26" t="str">
        <f>IF(B409="", "", IF('Lighting Inventory'!M417="", "Light Switch",'Lighting Inventory'!M417))</f>
        <v/>
      </c>
      <c r="Z409" s="26" t="str">
        <f>IF(OR(K409="Retrofit", B409=""), "", 'Lighting Inventory'!N417)</f>
        <v/>
      </c>
      <c r="AA409" s="26" t="str">
        <f>IF(OR(Z409="",B409=""), "", 'Lighting Inventory'!O417)</f>
        <v/>
      </c>
      <c r="AB409" s="26" t="str">
        <f>IF(B409="", "", 'Lighting Inventory'!P417)</f>
        <v/>
      </c>
      <c r="AC409" s="96" t="str">
        <f>IF(B409="", "", 'Lighting Inventory'!R417)</f>
        <v/>
      </c>
      <c r="AD409" s="26" t="str">
        <f>IF(B409="", "", 'Lighting Inventory'!S417)</f>
        <v/>
      </c>
      <c r="AE409" s="26" t="str">
        <f>IF(B409="", "", 'Lighting Inventory'!V417)</f>
        <v/>
      </c>
      <c r="AF409" s="26" t="str">
        <f>IF(B409="", "", 'Lighting Inventory'!W417)</f>
        <v/>
      </c>
      <c r="AG409" s="26" t="str">
        <f>IF(OR(AF409="", B409=""), "", IF(AE409="Custom", "0", VLOOKUP(AF409, 'Lookup Tables'!$AI$6:$AP$102, 8, FALSE)))</f>
        <v/>
      </c>
      <c r="AH409" s="26" t="str">
        <f>IF(B409="", "", 'Lighting Inventory'!AD417)</f>
        <v/>
      </c>
      <c r="AI409" s="26" t="str">
        <f>IF(OR('Lighting Inventory'!AK417="", B409=""), "", 'Lighting Inventory'!AK417)</f>
        <v/>
      </c>
      <c r="AJ409" s="66" t="str">
        <f>IF(B409="", "", 'Lighting Inventory'!AL417)</f>
        <v/>
      </c>
      <c r="AK409" s="65" t="str">
        <f>IF(B409="", "", 'Lighting Inventory'!AM417)</f>
        <v/>
      </c>
      <c r="AL409" s="26" t="str">
        <f>IF(B409="", "", 'Lighting Inventory'!AN417)</f>
        <v/>
      </c>
      <c r="AM409" s="26" t="str">
        <f t="shared" si="21"/>
        <v/>
      </c>
      <c r="AN409" s="26" t="str">
        <f>IF(B409="","",IF('Lighting Inventory'!AV417="","Prescribed",'Lighting Inventory'!AV417))</f>
        <v/>
      </c>
      <c r="AO409" s="66" t="str">
        <f>IF(B409="", "", 'Lighting Inventory'!AX417)</f>
        <v/>
      </c>
      <c r="AP409" s="67" t="str">
        <f>IF(B409="", "", 'Lighting Inventory'!AZ417)</f>
        <v/>
      </c>
      <c r="AQ409" s="67" t="str">
        <f>IF(B409="", "", 'Lighting Inventory'!BA417)</f>
        <v/>
      </c>
      <c r="AR409" s="67" t="str">
        <f>IF(B409="", "", 'Lighting Inventory'!BB417)</f>
        <v/>
      </c>
      <c r="AS409" s="67" t="str">
        <f>IF(B409="", "", 'Lighting Inventory'!BC417)</f>
        <v/>
      </c>
      <c r="AT409" s="67" t="str">
        <f>IF(B409="", "", 'Lighting Inventory'!BD417)</f>
        <v/>
      </c>
      <c r="AU409" s="67" t="str">
        <f>IF(B409="", "", 'Lighting Inventory'!BE417)</f>
        <v/>
      </c>
      <c r="AV409" s="67" t="str">
        <f>IF(B409="", "", 'Lighting Inventory'!BE417)</f>
        <v/>
      </c>
      <c r="AW409" s="67" t="str">
        <f>IF(B409="", "", 'Lighting Inventory'!BF417)</f>
        <v/>
      </c>
      <c r="AX409" s="67" t="str">
        <f>IF(B409="", "", 'Lighting Inventory'!BF417)</f>
        <v/>
      </c>
      <c r="AY409" s="65" t="str">
        <f t="shared" si="22"/>
        <v/>
      </c>
      <c r="AZ409" s="65" t="str">
        <f>IF(B409="", "", 'Lighting Inventory'!BJ417)</f>
        <v/>
      </c>
      <c r="BA409" s="65" t="str">
        <f>IF(B409="", "", 'Lighting Inventory'!BM417)</f>
        <v/>
      </c>
      <c r="BB409" s="65" t="str">
        <f>IF(B409="","",SUM('Lighting Inventory'!BP417:BP417))</f>
        <v/>
      </c>
      <c r="BC409" s="67" t="str">
        <f>IF(OR(AE409="", B409=""),"", 'Lighting Inventory'!GR417)</f>
        <v/>
      </c>
      <c r="BD409" s="67" t="str">
        <f>IFERROR(IF(B409="", "", 'Lighting Inventory'!AF417)*AD409," ")</f>
        <v xml:space="preserve"> </v>
      </c>
      <c r="BE409" s="67"/>
      <c r="BF409" s="67"/>
    </row>
    <row r="410" spans="1:58" x14ac:dyDescent="0.25">
      <c r="A410" s="26" t="str">
        <f>IF(B410="", "", 'Lookup Tables'!AW411)</f>
        <v/>
      </c>
      <c r="B410" s="26" t="str">
        <f>IF(OR('Lighting Inventory'!Y418="", 'Lighting Inventory'!V418="No Change"),"", 'Lighting Inventory'!Y418)</f>
        <v/>
      </c>
      <c r="C410" s="26" t="str">
        <f>IF(B410="", "", IF('Lighting Inventory'!Y418='Lookup Tables'!$Y$32, 'Lighting Inventory'!AJ418, IF(AD410=0, R410, AD410)))</f>
        <v/>
      </c>
      <c r="D410" s="26" t="str">
        <f>IF(B410="", "", 'General Information'!$F$14)</f>
        <v/>
      </c>
      <c r="E410" s="26" t="str">
        <f t="shared" si="20"/>
        <v/>
      </c>
      <c r="F410" s="26" t="str">
        <f>IF(B410="", "", CONCATENATE('General Information'!$F$9, " - ", 'General Information'!$F$14))</f>
        <v/>
      </c>
      <c r="G410" s="26" t="str">
        <f>IF(B410="", "", 'General Information'!$F$15)</f>
        <v/>
      </c>
      <c r="H410" s="26" t="str">
        <f>IF(B410="", "", IF(VLOOKUP(B410, 'Lookup Tables'!$Y$18:$AA$34, 2, FALSE)="Traffic", VLOOKUP('Lighting Inventory'!W418, 'Lookup Tables'!#REF!, 11, FALSE), VLOOKUP(B410, 'Lookup Tables'!$Y$18:$AA$34, 2, FALSE)))</f>
        <v/>
      </c>
      <c r="I410" s="26" t="str">
        <f>IF(B410="", "", CONCATENATE(D410, 'Data Export'!A410))</f>
        <v/>
      </c>
      <c r="J410" s="26" t="str">
        <f>IF(B410="", "", 'Lookup Tables'!$B$1)</f>
        <v/>
      </c>
      <c r="K410" s="26" t="str">
        <f>IF(B410="", "", 'Lighting Inventory'!B418)</f>
        <v/>
      </c>
      <c r="L410" s="26" t="str">
        <f>IF(B410="", "", 'Lighting Inventory'!C418)</f>
        <v/>
      </c>
      <c r="M410" s="26" t="str">
        <f>IF(B410="", "",'Lighting Inventory'!D418)</f>
        <v/>
      </c>
      <c r="N410" s="26" t="str">
        <f>IF(B410="", "",'Lighting Inventory'!E418)</f>
        <v/>
      </c>
      <c r="O410" s="26" t="str">
        <f>IF(B410="", "", 'Lighting Inventory'!F418)</f>
        <v/>
      </c>
      <c r="P410" s="26" t="str">
        <f>IF(B410="", "", 'Lighting Inventory'!G418)</f>
        <v/>
      </c>
      <c r="Q410" s="26" t="str">
        <f>IF(B410="", "", 'Lighting Inventory'!H418)</f>
        <v/>
      </c>
      <c r="R410" s="26" t="str">
        <f>IF(B410="", "", 'Lighting Inventory'!I418)</f>
        <v/>
      </c>
      <c r="S410" s="26" t="str">
        <f>IF(B410="", "", 'Lighting Inventory'!J418)</f>
        <v/>
      </c>
      <c r="T410" s="26" t="str">
        <f>IFERROR(IF(B410="","",VLOOKUP(S410,'Fixture Identities'!$A$7:$G$1023,5,FALSE)), "New Construction")</f>
        <v/>
      </c>
      <c r="U410" s="26" t="str">
        <f>IFERROR(IF(B410="", "", IF(K410="New Construction", "NC", IF(VLOOKUP(S410, 'Fixture Identities'!$A$7:$I$1023,3, FALSE)="T12 Linear Fluorescent", VLOOKUP(S410, 'Fixture Identities'!$A$7:$K$1012, 11, FALSE), S410))), "")</f>
        <v/>
      </c>
      <c r="V410" s="26" t="str">
        <f>IFERROR(IF(OR(B410="", U410=0), "", VLOOKUP(U410, 'Fixture Identities'!$A$7:$G$1023, 5, FALSE)), "")</f>
        <v/>
      </c>
      <c r="W410" s="26" t="str">
        <f>IF(B410="", "",'Lighting Inventory'!K418)</f>
        <v/>
      </c>
      <c r="X410" s="65" t="str">
        <f>IF(B410="", "", 'Lighting Inventory'!L418)</f>
        <v/>
      </c>
      <c r="Y410" s="26" t="str">
        <f>IF(B410="", "", IF('Lighting Inventory'!M418="", "Light Switch",'Lighting Inventory'!M418))</f>
        <v/>
      </c>
      <c r="Z410" s="26" t="str">
        <f>IF(OR(K410="Retrofit", B410=""), "", 'Lighting Inventory'!N418)</f>
        <v/>
      </c>
      <c r="AA410" s="26" t="str">
        <f>IF(OR(Z410="",B410=""), "", 'Lighting Inventory'!O418)</f>
        <v/>
      </c>
      <c r="AB410" s="26" t="str">
        <f>IF(B410="", "", 'Lighting Inventory'!P418)</f>
        <v/>
      </c>
      <c r="AC410" s="96" t="str">
        <f>IF(B410="", "", 'Lighting Inventory'!R418)</f>
        <v/>
      </c>
      <c r="AD410" s="26" t="str">
        <f>IF(B410="", "", 'Lighting Inventory'!S418)</f>
        <v/>
      </c>
      <c r="AE410" s="26" t="str">
        <f>IF(B410="", "", 'Lighting Inventory'!V418)</f>
        <v/>
      </c>
      <c r="AF410" s="26" t="str">
        <f>IF(B410="", "", 'Lighting Inventory'!W418)</f>
        <v/>
      </c>
      <c r="AG410" s="26" t="str">
        <f>IF(OR(AF410="", B410=""), "", IF(AE410="Custom", "0", VLOOKUP(AF410, 'Lookup Tables'!$AI$6:$AP$102, 8, FALSE)))</f>
        <v/>
      </c>
      <c r="AH410" s="26" t="str">
        <f>IF(B410="", "", 'Lighting Inventory'!AD418)</f>
        <v/>
      </c>
      <c r="AI410" s="26" t="str">
        <f>IF(OR('Lighting Inventory'!AK418="", B410=""), "", 'Lighting Inventory'!AK418)</f>
        <v/>
      </c>
      <c r="AJ410" s="66" t="str">
        <f>IF(B410="", "", 'Lighting Inventory'!AL418)</f>
        <v/>
      </c>
      <c r="AK410" s="65" t="str">
        <f>IF(B410="", "", 'Lighting Inventory'!AM418)</f>
        <v/>
      </c>
      <c r="AL410" s="26" t="str">
        <f>IF(B410="", "", 'Lighting Inventory'!AN418)</f>
        <v/>
      </c>
      <c r="AM410" s="26" t="str">
        <f t="shared" si="21"/>
        <v/>
      </c>
      <c r="AN410" s="26" t="str">
        <f>IF(B410="","",IF('Lighting Inventory'!AV418="","Prescribed",'Lighting Inventory'!AV418))</f>
        <v/>
      </c>
      <c r="AO410" s="66" t="str">
        <f>IF(B410="", "", 'Lighting Inventory'!AX418)</f>
        <v/>
      </c>
      <c r="AP410" s="67" t="str">
        <f>IF(B410="", "", 'Lighting Inventory'!AZ418)</f>
        <v/>
      </c>
      <c r="AQ410" s="67" t="str">
        <f>IF(B410="", "", 'Lighting Inventory'!BA418)</f>
        <v/>
      </c>
      <c r="AR410" s="67" t="str">
        <f>IF(B410="", "", 'Lighting Inventory'!BB418)</f>
        <v/>
      </c>
      <c r="AS410" s="67" t="str">
        <f>IF(B410="", "", 'Lighting Inventory'!BC418)</f>
        <v/>
      </c>
      <c r="AT410" s="67" t="str">
        <f>IF(B410="", "", 'Lighting Inventory'!BD418)</f>
        <v/>
      </c>
      <c r="AU410" s="67" t="str">
        <f>IF(B410="", "", 'Lighting Inventory'!BE418)</f>
        <v/>
      </c>
      <c r="AV410" s="67" t="str">
        <f>IF(B410="", "", 'Lighting Inventory'!BE418)</f>
        <v/>
      </c>
      <c r="AW410" s="67" t="str">
        <f>IF(B410="", "", 'Lighting Inventory'!BF418)</f>
        <v/>
      </c>
      <c r="AX410" s="67" t="str">
        <f>IF(B410="", "", 'Lighting Inventory'!BF418)</f>
        <v/>
      </c>
      <c r="AY410" s="65" t="str">
        <f t="shared" si="22"/>
        <v/>
      </c>
      <c r="AZ410" s="65" t="str">
        <f>IF(B410="", "", 'Lighting Inventory'!BJ418)</f>
        <v/>
      </c>
      <c r="BA410" s="65" t="str">
        <f>IF(B410="", "", 'Lighting Inventory'!BM418)</f>
        <v/>
      </c>
      <c r="BB410" s="65" t="str">
        <f>IF(B410="","",SUM('Lighting Inventory'!BP418:BP418))</f>
        <v/>
      </c>
      <c r="BC410" s="67" t="str">
        <f>IF(OR(AE410="", B410=""),"", 'Lighting Inventory'!GR418)</f>
        <v/>
      </c>
      <c r="BD410" s="67" t="str">
        <f>IFERROR(IF(B410="", "", 'Lighting Inventory'!AF418)*AD410," ")</f>
        <v xml:space="preserve"> </v>
      </c>
      <c r="BE410" s="67"/>
      <c r="BF410" s="67"/>
    </row>
    <row r="411" spans="1:58" x14ac:dyDescent="0.25">
      <c r="A411" s="26" t="str">
        <f>IF(B411="", "", 'Lookup Tables'!AW412)</f>
        <v/>
      </c>
      <c r="B411" s="26" t="str">
        <f>IF(OR('Lighting Inventory'!Y419="", 'Lighting Inventory'!V419="No Change"),"", 'Lighting Inventory'!Y419)</f>
        <v/>
      </c>
      <c r="C411" s="26" t="str">
        <f>IF(B411="", "", IF('Lighting Inventory'!Y419='Lookup Tables'!$Y$32, 'Lighting Inventory'!AJ419, IF(AD411=0, R411, AD411)))</f>
        <v/>
      </c>
      <c r="D411" s="26" t="str">
        <f>IF(B411="", "", 'General Information'!$F$14)</f>
        <v/>
      </c>
      <c r="E411" s="26" t="str">
        <f t="shared" si="20"/>
        <v/>
      </c>
      <c r="F411" s="26" t="str">
        <f>IF(B411="", "", CONCATENATE('General Information'!$F$9, " - ", 'General Information'!$F$14))</f>
        <v/>
      </c>
      <c r="G411" s="26" t="str">
        <f>IF(B411="", "", 'General Information'!$F$15)</f>
        <v/>
      </c>
      <c r="H411" s="26" t="str">
        <f>IF(B411="", "", IF(VLOOKUP(B411, 'Lookup Tables'!$Y$18:$AA$34, 2, FALSE)="Traffic", VLOOKUP('Lighting Inventory'!W419, 'Lookup Tables'!#REF!, 11, FALSE), VLOOKUP(B411, 'Lookup Tables'!$Y$18:$AA$34, 2, FALSE)))</f>
        <v/>
      </c>
      <c r="I411" s="26" t="str">
        <f>IF(B411="", "", CONCATENATE(D411, 'Data Export'!A411))</f>
        <v/>
      </c>
      <c r="J411" s="26" t="str">
        <f>IF(B411="", "", 'Lookup Tables'!$B$1)</f>
        <v/>
      </c>
      <c r="K411" s="26" t="str">
        <f>IF(B411="", "", 'Lighting Inventory'!B419)</f>
        <v/>
      </c>
      <c r="L411" s="26" t="str">
        <f>IF(B411="", "", 'Lighting Inventory'!C419)</f>
        <v/>
      </c>
      <c r="M411" s="26" t="str">
        <f>IF(B411="", "",'Lighting Inventory'!D419)</f>
        <v/>
      </c>
      <c r="N411" s="26" t="str">
        <f>IF(B411="", "",'Lighting Inventory'!E419)</f>
        <v/>
      </c>
      <c r="O411" s="26" t="str">
        <f>IF(B411="", "", 'Lighting Inventory'!F419)</f>
        <v/>
      </c>
      <c r="P411" s="26" t="str">
        <f>IF(B411="", "", 'Lighting Inventory'!G419)</f>
        <v/>
      </c>
      <c r="Q411" s="26" t="str">
        <f>IF(B411="", "", 'Lighting Inventory'!H419)</f>
        <v/>
      </c>
      <c r="R411" s="26" t="str">
        <f>IF(B411="", "", 'Lighting Inventory'!I419)</f>
        <v/>
      </c>
      <c r="S411" s="26" t="str">
        <f>IF(B411="", "", 'Lighting Inventory'!J419)</f>
        <v/>
      </c>
      <c r="T411" s="26" t="str">
        <f>IFERROR(IF(B411="","",VLOOKUP(S411,'Fixture Identities'!$A$7:$G$1023,5,FALSE)), "New Construction")</f>
        <v/>
      </c>
      <c r="U411" s="26" t="str">
        <f>IFERROR(IF(B411="", "", IF(K411="New Construction", "NC", IF(VLOOKUP(S411, 'Fixture Identities'!$A$7:$I$1023,3, FALSE)="T12 Linear Fluorescent", VLOOKUP(S411, 'Fixture Identities'!$A$7:$K$1012, 11, FALSE), S411))), "")</f>
        <v/>
      </c>
      <c r="V411" s="26" t="str">
        <f>IFERROR(IF(OR(B411="", U411=0), "", VLOOKUP(U411, 'Fixture Identities'!$A$7:$G$1023, 5, FALSE)), "")</f>
        <v/>
      </c>
      <c r="W411" s="26" t="str">
        <f>IF(B411="", "",'Lighting Inventory'!K419)</f>
        <v/>
      </c>
      <c r="X411" s="65" t="str">
        <f>IF(B411="", "", 'Lighting Inventory'!L419)</f>
        <v/>
      </c>
      <c r="Y411" s="26" t="str">
        <f>IF(B411="", "", IF('Lighting Inventory'!M419="", "Light Switch",'Lighting Inventory'!M419))</f>
        <v/>
      </c>
      <c r="Z411" s="26" t="str">
        <f>IF(OR(K411="Retrofit", B411=""), "", 'Lighting Inventory'!N419)</f>
        <v/>
      </c>
      <c r="AA411" s="26" t="str">
        <f>IF(OR(Z411="",B411=""), "", 'Lighting Inventory'!O419)</f>
        <v/>
      </c>
      <c r="AB411" s="26" t="str">
        <f>IF(B411="", "", 'Lighting Inventory'!P419)</f>
        <v/>
      </c>
      <c r="AC411" s="96" t="str">
        <f>IF(B411="", "", 'Lighting Inventory'!R419)</f>
        <v/>
      </c>
      <c r="AD411" s="26" t="str">
        <f>IF(B411="", "", 'Lighting Inventory'!S419)</f>
        <v/>
      </c>
      <c r="AE411" s="26" t="str">
        <f>IF(B411="", "", 'Lighting Inventory'!V419)</f>
        <v/>
      </c>
      <c r="AF411" s="26" t="str">
        <f>IF(B411="", "", 'Lighting Inventory'!W419)</f>
        <v/>
      </c>
      <c r="AG411" s="26" t="str">
        <f>IF(OR(AF411="", B411=""), "", IF(AE411="Custom", "0", VLOOKUP(AF411, 'Lookup Tables'!$AI$6:$AP$102, 8, FALSE)))</f>
        <v/>
      </c>
      <c r="AH411" s="26" t="str">
        <f>IF(B411="", "", 'Lighting Inventory'!AD419)</f>
        <v/>
      </c>
      <c r="AI411" s="26" t="str">
        <f>IF(OR('Lighting Inventory'!AK419="", B411=""), "", 'Lighting Inventory'!AK419)</f>
        <v/>
      </c>
      <c r="AJ411" s="66" t="str">
        <f>IF(B411="", "", 'Lighting Inventory'!AL419)</f>
        <v/>
      </c>
      <c r="AK411" s="65" t="str">
        <f>IF(B411="", "", 'Lighting Inventory'!AM419)</f>
        <v/>
      </c>
      <c r="AL411" s="26" t="str">
        <f>IF(B411="", "", 'Lighting Inventory'!AN419)</f>
        <v/>
      </c>
      <c r="AM411" s="26" t="str">
        <f t="shared" si="21"/>
        <v/>
      </c>
      <c r="AN411" s="26" t="str">
        <f>IF(B411="","",IF('Lighting Inventory'!AV419="","Prescribed",'Lighting Inventory'!AV419))</f>
        <v/>
      </c>
      <c r="AO411" s="66" t="str">
        <f>IF(B411="", "", 'Lighting Inventory'!AX419)</f>
        <v/>
      </c>
      <c r="AP411" s="67" t="str">
        <f>IF(B411="", "", 'Lighting Inventory'!AZ419)</f>
        <v/>
      </c>
      <c r="AQ411" s="67" t="str">
        <f>IF(B411="", "", 'Lighting Inventory'!BA419)</f>
        <v/>
      </c>
      <c r="AR411" s="67" t="str">
        <f>IF(B411="", "", 'Lighting Inventory'!BB419)</f>
        <v/>
      </c>
      <c r="AS411" s="67" t="str">
        <f>IF(B411="", "", 'Lighting Inventory'!BC419)</f>
        <v/>
      </c>
      <c r="AT411" s="67" t="str">
        <f>IF(B411="", "", 'Lighting Inventory'!BD419)</f>
        <v/>
      </c>
      <c r="AU411" s="67" t="str">
        <f>IF(B411="", "", 'Lighting Inventory'!BE419)</f>
        <v/>
      </c>
      <c r="AV411" s="67" t="str">
        <f>IF(B411="", "", 'Lighting Inventory'!BE419)</f>
        <v/>
      </c>
      <c r="AW411" s="67" t="str">
        <f>IF(B411="", "", 'Lighting Inventory'!BF419)</f>
        <v/>
      </c>
      <c r="AX411" s="67" t="str">
        <f>IF(B411="", "", 'Lighting Inventory'!BF419)</f>
        <v/>
      </c>
      <c r="AY411" s="65" t="str">
        <f t="shared" si="22"/>
        <v/>
      </c>
      <c r="AZ411" s="65" t="str">
        <f>IF(B411="", "", 'Lighting Inventory'!BJ419)</f>
        <v/>
      </c>
      <c r="BA411" s="65" t="str">
        <f>IF(B411="", "", 'Lighting Inventory'!BM419)</f>
        <v/>
      </c>
      <c r="BB411" s="65" t="str">
        <f>IF(B411="","",SUM('Lighting Inventory'!BP419:BP419))</f>
        <v/>
      </c>
      <c r="BC411" s="67" t="str">
        <f>IF(OR(AE411="", B411=""),"", 'Lighting Inventory'!GR419)</f>
        <v/>
      </c>
      <c r="BD411" s="67" t="str">
        <f>IFERROR(IF(B411="", "", 'Lighting Inventory'!AF419)*AD411," ")</f>
        <v xml:space="preserve"> </v>
      </c>
      <c r="BE411" s="67"/>
      <c r="BF411" s="67"/>
    </row>
    <row r="412" spans="1:58" x14ac:dyDescent="0.25">
      <c r="A412" s="26" t="str">
        <f>IF(B412="", "", 'Lookup Tables'!AW413)</f>
        <v/>
      </c>
      <c r="B412" s="26" t="str">
        <f>IF(OR('Lighting Inventory'!Y420="", 'Lighting Inventory'!V420="No Change"),"", 'Lighting Inventory'!Y420)</f>
        <v/>
      </c>
      <c r="C412" s="26" t="str">
        <f>IF(B412="", "", IF('Lighting Inventory'!Y420='Lookup Tables'!$Y$32, 'Lighting Inventory'!AJ420, IF(AD412=0, R412, AD412)))</f>
        <v/>
      </c>
      <c r="D412" s="26" t="str">
        <f>IF(B412="", "", 'General Information'!$F$14)</f>
        <v/>
      </c>
      <c r="E412" s="26" t="str">
        <f t="shared" si="20"/>
        <v/>
      </c>
      <c r="F412" s="26" t="str">
        <f>IF(B412="", "", CONCATENATE('General Information'!$F$9, " - ", 'General Information'!$F$14))</f>
        <v/>
      </c>
      <c r="G412" s="26" t="str">
        <f>IF(B412="", "", 'General Information'!$F$15)</f>
        <v/>
      </c>
      <c r="H412" s="26" t="str">
        <f>IF(B412="", "", IF(VLOOKUP(B412, 'Lookup Tables'!$Y$18:$AA$34, 2, FALSE)="Traffic", VLOOKUP('Lighting Inventory'!W420, 'Lookup Tables'!#REF!, 11, FALSE), VLOOKUP(B412, 'Lookup Tables'!$Y$18:$AA$34, 2, FALSE)))</f>
        <v/>
      </c>
      <c r="I412" s="26" t="str">
        <f>IF(B412="", "", CONCATENATE(D412, 'Data Export'!A412))</f>
        <v/>
      </c>
      <c r="J412" s="26" t="str">
        <f>IF(B412="", "", 'Lookup Tables'!$B$1)</f>
        <v/>
      </c>
      <c r="K412" s="26" t="str">
        <f>IF(B412="", "", 'Lighting Inventory'!B420)</f>
        <v/>
      </c>
      <c r="L412" s="26" t="str">
        <f>IF(B412="", "", 'Lighting Inventory'!C420)</f>
        <v/>
      </c>
      <c r="M412" s="26" t="str">
        <f>IF(B412="", "",'Lighting Inventory'!D420)</f>
        <v/>
      </c>
      <c r="N412" s="26" t="str">
        <f>IF(B412="", "",'Lighting Inventory'!E420)</f>
        <v/>
      </c>
      <c r="O412" s="26" t="str">
        <f>IF(B412="", "", 'Lighting Inventory'!F420)</f>
        <v/>
      </c>
      <c r="P412" s="26" t="str">
        <f>IF(B412="", "", 'Lighting Inventory'!G420)</f>
        <v/>
      </c>
      <c r="Q412" s="26" t="str">
        <f>IF(B412="", "", 'Lighting Inventory'!H420)</f>
        <v/>
      </c>
      <c r="R412" s="26" t="str">
        <f>IF(B412="", "", 'Lighting Inventory'!I420)</f>
        <v/>
      </c>
      <c r="S412" s="26" t="str">
        <f>IF(B412="", "", 'Lighting Inventory'!J420)</f>
        <v/>
      </c>
      <c r="T412" s="26" t="str">
        <f>IFERROR(IF(B412="","",VLOOKUP(S412,'Fixture Identities'!$A$7:$G$1023,5,FALSE)), "New Construction")</f>
        <v/>
      </c>
      <c r="U412" s="26" t="str">
        <f>IFERROR(IF(B412="", "", IF(K412="New Construction", "NC", IF(VLOOKUP(S412, 'Fixture Identities'!$A$7:$I$1023,3, FALSE)="T12 Linear Fluorescent", VLOOKUP(S412, 'Fixture Identities'!$A$7:$K$1012, 11, FALSE), S412))), "")</f>
        <v/>
      </c>
      <c r="V412" s="26" t="str">
        <f>IFERROR(IF(OR(B412="", U412=0), "", VLOOKUP(U412, 'Fixture Identities'!$A$7:$G$1023, 5, FALSE)), "")</f>
        <v/>
      </c>
      <c r="W412" s="26" t="str">
        <f>IF(B412="", "",'Lighting Inventory'!K420)</f>
        <v/>
      </c>
      <c r="X412" s="65" t="str">
        <f>IF(B412="", "", 'Lighting Inventory'!L420)</f>
        <v/>
      </c>
      <c r="Y412" s="26" t="str">
        <f>IF(B412="", "", IF('Lighting Inventory'!M420="", "Light Switch",'Lighting Inventory'!M420))</f>
        <v/>
      </c>
      <c r="Z412" s="26" t="str">
        <f>IF(OR(K412="Retrofit", B412=""), "", 'Lighting Inventory'!N420)</f>
        <v/>
      </c>
      <c r="AA412" s="26" t="str">
        <f>IF(OR(Z412="",B412=""), "", 'Lighting Inventory'!O420)</f>
        <v/>
      </c>
      <c r="AB412" s="26" t="str">
        <f>IF(B412="", "", 'Lighting Inventory'!P420)</f>
        <v/>
      </c>
      <c r="AC412" s="96" t="str">
        <f>IF(B412="", "", 'Lighting Inventory'!R420)</f>
        <v/>
      </c>
      <c r="AD412" s="26" t="str">
        <f>IF(B412="", "", 'Lighting Inventory'!S420)</f>
        <v/>
      </c>
      <c r="AE412" s="26" t="str">
        <f>IF(B412="", "", 'Lighting Inventory'!V420)</f>
        <v/>
      </c>
      <c r="AF412" s="26" t="str">
        <f>IF(B412="", "", 'Lighting Inventory'!W420)</f>
        <v/>
      </c>
      <c r="AG412" s="26" t="str">
        <f>IF(OR(AF412="", B412=""), "", IF(AE412="Custom", "0", VLOOKUP(AF412, 'Lookup Tables'!$AI$6:$AP$102, 8, FALSE)))</f>
        <v/>
      </c>
      <c r="AH412" s="26" t="str">
        <f>IF(B412="", "", 'Lighting Inventory'!AD420)</f>
        <v/>
      </c>
      <c r="AI412" s="26" t="str">
        <f>IF(OR('Lighting Inventory'!AK420="", B412=""), "", 'Lighting Inventory'!AK420)</f>
        <v/>
      </c>
      <c r="AJ412" s="66" t="str">
        <f>IF(B412="", "", 'Lighting Inventory'!AL420)</f>
        <v/>
      </c>
      <c r="AK412" s="65" t="str">
        <f>IF(B412="", "", 'Lighting Inventory'!AM420)</f>
        <v/>
      </c>
      <c r="AL412" s="26" t="str">
        <f>IF(B412="", "", 'Lighting Inventory'!AN420)</f>
        <v/>
      </c>
      <c r="AM412" s="26" t="str">
        <f t="shared" si="21"/>
        <v/>
      </c>
      <c r="AN412" s="26" t="str">
        <f>IF(B412="","",IF('Lighting Inventory'!AV420="","Prescribed",'Lighting Inventory'!AV420))</f>
        <v/>
      </c>
      <c r="AO412" s="66" t="str">
        <f>IF(B412="", "", 'Lighting Inventory'!AX420)</f>
        <v/>
      </c>
      <c r="AP412" s="67" t="str">
        <f>IF(B412="", "", 'Lighting Inventory'!AZ420)</f>
        <v/>
      </c>
      <c r="AQ412" s="67" t="str">
        <f>IF(B412="", "", 'Lighting Inventory'!BA420)</f>
        <v/>
      </c>
      <c r="AR412" s="67" t="str">
        <f>IF(B412="", "", 'Lighting Inventory'!BB420)</f>
        <v/>
      </c>
      <c r="AS412" s="67" t="str">
        <f>IF(B412="", "", 'Lighting Inventory'!BC420)</f>
        <v/>
      </c>
      <c r="AT412" s="67" t="str">
        <f>IF(B412="", "", 'Lighting Inventory'!BD420)</f>
        <v/>
      </c>
      <c r="AU412" s="67" t="str">
        <f>IF(B412="", "", 'Lighting Inventory'!BE420)</f>
        <v/>
      </c>
      <c r="AV412" s="67" t="str">
        <f>IF(B412="", "", 'Lighting Inventory'!BE420)</f>
        <v/>
      </c>
      <c r="AW412" s="67" t="str">
        <f>IF(B412="", "", 'Lighting Inventory'!BF420)</f>
        <v/>
      </c>
      <c r="AX412" s="67" t="str">
        <f>IF(B412="", "", 'Lighting Inventory'!BF420)</f>
        <v/>
      </c>
      <c r="AY412" s="65" t="str">
        <f t="shared" si="22"/>
        <v/>
      </c>
      <c r="AZ412" s="65" t="str">
        <f>IF(B412="", "", 'Lighting Inventory'!BJ420)</f>
        <v/>
      </c>
      <c r="BA412" s="65" t="str">
        <f>IF(B412="", "", 'Lighting Inventory'!BM420)</f>
        <v/>
      </c>
      <c r="BB412" s="65" t="str">
        <f>IF(B412="","",SUM('Lighting Inventory'!BP420:BP420))</f>
        <v/>
      </c>
      <c r="BC412" s="67" t="str">
        <f>IF(OR(AE412="", B412=""),"", 'Lighting Inventory'!GR420)</f>
        <v/>
      </c>
      <c r="BD412" s="67" t="str">
        <f>IFERROR(IF(B412="", "", 'Lighting Inventory'!AF420)*AD412," ")</f>
        <v xml:space="preserve"> </v>
      </c>
      <c r="BE412" s="67"/>
      <c r="BF412" s="67"/>
    </row>
    <row r="413" spans="1:58" x14ac:dyDescent="0.25">
      <c r="A413" s="26" t="str">
        <f>IF(B413="", "", 'Lookup Tables'!AW414)</f>
        <v/>
      </c>
      <c r="B413" s="26" t="str">
        <f>IF(OR('Lighting Inventory'!Y421="", 'Lighting Inventory'!V421="No Change"),"", 'Lighting Inventory'!Y421)</f>
        <v/>
      </c>
      <c r="C413" s="26" t="str">
        <f>IF(B413="", "", IF('Lighting Inventory'!Y421='Lookup Tables'!$Y$32, 'Lighting Inventory'!AJ421, IF(AD413=0, R413, AD413)))</f>
        <v/>
      </c>
      <c r="D413" s="26" t="str">
        <f>IF(B413="", "", 'General Information'!$F$14)</f>
        <v/>
      </c>
      <c r="E413" s="26" t="str">
        <f t="shared" si="20"/>
        <v/>
      </c>
      <c r="F413" s="26" t="str">
        <f>IF(B413="", "", CONCATENATE('General Information'!$F$9, " - ", 'General Information'!$F$14))</f>
        <v/>
      </c>
      <c r="G413" s="26" t="str">
        <f>IF(B413="", "", 'General Information'!$F$15)</f>
        <v/>
      </c>
      <c r="H413" s="26" t="str">
        <f>IF(B413="", "", IF(VLOOKUP(B413, 'Lookup Tables'!$Y$18:$AA$34, 2, FALSE)="Traffic", VLOOKUP('Lighting Inventory'!W421, 'Lookup Tables'!#REF!, 11, FALSE), VLOOKUP(B413, 'Lookup Tables'!$Y$18:$AA$34, 2, FALSE)))</f>
        <v/>
      </c>
      <c r="I413" s="26" t="str">
        <f>IF(B413="", "", CONCATENATE(D413, 'Data Export'!A413))</f>
        <v/>
      </c>
      <c r="J413" s="26" t="str">
        <f>IF(B413="", "", 'Lookup Tables'!$B$1)</f>
        <v/>
      </c>
      <c r="K413" s="26" t="str">
        <f>IF(B413="", "", 'Lighting Inventory'!B421)</f>
        <v/>
      </c>
      <c r="L413" s="26" t="str">
        <f>IF(B413="", "", 'Lighting Inventory'!C421)</f>
        <v/>
      </c>
      <c r="M413" s="26" t="str">
        <f>IF(B413="", "",'Lighting Inventory'!D421)</f>
        <v/>
      </c>
      <c r="N413" s="26" t="str">
        <f>IF(B413="", "",'Lighting Inventory'!E421)</f>
        <v/>
      </c>
      <c r="O413" s="26" t="str">
        <f>IF(B413="", "", 'Lighting Inventory'!F421)</f>
        <v/>
      </c>
      <c r="P413" s="26" t="str">
        <f>IF(B413="", "", 'Lighting Inventory'!G421)</f>
        <v/>
      </c>
      <c r="Q413" s="26" t="str">
        <f>IF(B413="", "", 'Lighting Inventory'!H421)</f>
        <v/>
      </c>
      <c r="R413" s="26" t="str">
        <f>IF(B413="", "", 'Lighting Inventory'!I421)</f>
        <v/>
      </c>
      <c r="S413" s="26" t="str">
        <f>IF(B413="", "", 'Lighting Inventory'!J421)</f>
        <v/>
      </c>
      <c r="T413" s="26" t="str">
        <f>IFERROR(IF(B413="","",VLOOKUP(S413,'Fixture Identities'!$A$7:$G$1023,5,FALSE)), "New Construction")</f>
        <v/>
      </c>
      <c r="U413" s="26" t="str">
        <f>IFERROR(IF(B413="", "", IF(K413="New Construction", "NC", IF(VLOOKUP(S413, 'Fixture Identities'!$A$7:$I$1023,3, FALSE)="T12 Linear Fluorescent", VLOOKUP(S413, 'Fixture Identities'!$A$7:$K$1012, 11, FALSE), S413))), "")</f>
        <v/>
      </c>
      <c r="V413" s="26" t="str">
        <f>IFERROR(IF(OR(B413="", U413=0), "", VLOOKUP(U413, 'Fixture Identities'!$A$7:$G$1023, 5, FALSE)), "")</f>
        <v/>
      </c>
      <c r="W413" s="26" t="str">
        <f>IF(B413="", "",'Lighting Inventory'!K421)</f>
        <v/>
      </c>
      <c r="X413" s="65" t="str">
        <f>IF(B413="", "", 'Lighting Inventory'!L421)</f>
        <v/>
      </c>
      <c r="Y413" s="26" t="str">
        <f>IF(B413="", "", IF('Lighting Inventory'!M421="", "Light Switch",'Lighting Inventory'!M421))</f>
        <v/>
      </c>
      <c r="Z413" s="26" t="str">
        <f>IF(OR(K413="Retrofit", B413=""), "", 'Lighting Inventory'!N421)</f>
        <v/>
      </c>
      <c r="AA413" s="26" t="str">
        <f>IF(OR(Z413="",B413=""), "", 'Lighting Inventory'!O421)</f>
        <v/>
      </c>
      <c r="AB413" s="26" t="str">
        <f>IF(B413="", "", 'Lighting Inventory'!P421)</f>
        <v/>
      </c>
      <c r="AC413" s="96" t="str">
        <f>IF(B413="", "", 'Lighting Inventory'!R421)</f>
        <v/>
      </c>
      <c r="AD413" s="26" t="str">
        <f>IF(B413="", "", 'Lighting Inventory'!S421)</f>
        <v/>
      </c>
      <c r="AE413" s="26" t="str">
        <f>IF(B413="", "", 'Lighting Inventory'!V421)</f>
        <v/>
      </c>
      <c r="AF413" s="26" t="str">
        <f>IF(B413="", "", 'Lighting Inventory'!W421)</f>
        <v/>
      </c>
      <c r="AG413" s="26" t="str">
        <f>IF(OR(AF413="", B413=""), "", IF(AE413="Custom", "0", VLOOKUP(AF413, 'Lookup Tables'!$AI$6:$AP$102, 8, FALSE)))</f>
        <v/>
      </c>
      <c r="AH413" s="26" t="str">
        <f>IF(B413="", "", 'Lighting Inventory'!AD421)</f>
        <v/>
      </c>
      <c r="AI413" s="26" t="str">
        <f>IF(OR('Lighting Inventory'!AK421="", B413=""), "", 'Lighting Inventory'!AK421)</f>
        <v/>
      </c>
      <c r="AJ413" s="66" t="str">
        <f>IF(B413="", "", 'Lighting Inventory'!AL421)</f>
        <v/>
      </c>
      <c r="AK413" s="65" t="str">
        <f>IF(B413="", "", 'Lighting Inventory'!AM421)</f>
        <v/>
      </c>
      <c r="AL413" s="26" t="str">
        <f>IF(B413="", "", 'Lighting Inventory'!AN421)</f>
        <v/>
      </c>
      <c r="AM413" s="26" t="str">
        <f t="shared" si="21"/>
        <v/>
      </c>
      <c r="AN413" s="26" t="str">
        <f>IF(B413="","",IF('Lighting Inventory'!AV421="","Prescribed",'Lighting Inventory'!AV421))</f>
        <v/>
      </c>
      <c r="AO413" s="66" t="str">
        <f>IF(B413="", "", 'Lighting Inventory'!AX421)</f>
        <v/>
      </c>
      <c r="AP413" s="67" t="str">
        <f>IF(B413="", "", 'Lighting Inventory'!AZ421)</f>
        <v/>
      </c>
      <c r="AQ413" s="67" t="str">
        <f>IF(B413="", "", 'Lighting Inventory'!BA421)</f>
        <v/>
      </c>
      <c r="AR413" s="67" t="str">
        <f>IF(B413="", "", 'Lighting Inventory'!BB421)</f>
        <v/>
      </c>
      <c r="AS413" s="67" t="str">
        <f>IF(B413="", "", 'Lighting Inventory'!BC421)</f>
        <v/>
      </c>
      <c r="AT413" s="67" t="str">
        <f>IF(B413="", "", 'Lighting Inventory'!BD421)</f>
        <v/>
      </c>
      <c r="AU413" s="67" t="str">
        <f>IF(B413="", "", 'Lighting Inventory'!BE421)</f>
        <v/>
      </c>
      <c r="AV413" s="67" t="str">
        <f>IF(B413="", "", 'Lighting Inventory'!BE421)</f>
        <v/>
      </c>
      <c r="AW413" s="67" t="str">
        <f>IF(B413="", "", 'Lighting Inventory'!BF421)</f>
        <v/>
      </c>
      <c r="AX413" s="67" t="str">
        <f>IF(B413="", "", 'Lighting Inventory'!BF421)</f>
        <v/>
      </c>
      <c r="AY413" s="65" t="str">
        <f t="shared" si="22"/>
        <v/>
      </c>
      <c r="AZ413" s="65" t="str">
        <f>IF(B413="", "", 'Lighting Inventory'!BJ421)</f>
        <v/>
      </c>
      <c r="BA413" s="65" t="str">
        <f>IF(B413="", "", 'Lighting Inventory'!BM421)</f>
        <v/>
      </c>
      <c r="BB413" s="65" t="str">
        <f>IF(B413="","",SUM('Lighting Inventory'!BP421:BP421))</f>
        <v/>
      </c>
      <c r="BC413" s="67" t="str">
        <f>IF(OR(AE413="", B413=""),"", 'Lighting Inventory'!GR421)</f>
        <v/>
      </c>
      <c r="BD413" s="67" t="str">
        <f>IFERROR(IF(B413="", "", 'Lighting Inventory'!AF421)*AD413," ")</f>
        <v xml:space="preserve"> </v>
      </c>
      <c r="BE413" s="67"/>
      <c r="BF413" s="67"/>
    </row>
    <row r="414" spans="1:58" x14ac:dyDescent="0.25">
      <c r="A414" s="26" t="str">
        <f>IF(B414="", "", 'Lookup Tables'!AW415)</f>
        <v/>
      </c>
      <c r="B414" s="26" t="str">
        <f>IF(OR('Lighting Inventory'!Y422="", 'Lighting Inventory'!V422="No Change"),"", 'Lighting Inventory'!Y422)</f>
        <v/>
      </c>
      <c r="C414" s="26" t="str">
        <f>IF(B414="", "", IF('Lighting Inventory'!Y422='Lookup Tables'!$Y$32, 'Lighting Inventory'!AJ422, IF(AD414=0, R414, AD414)))</f>
        <v/>
      </c>
      <c r="D414" s="26" t="str">
        <f>IF(B414="", "", 'General Information'!$F$14)</f>
        <v/>
      </c>
      <c r="E414" s="26" t="str">
        <f t="shared" si="20"/>
        <v/>
      </c>
      <c r="F414" s="26" t="str">
        <f>IF(B414="", "", CONCATENATE('General Information'!$F$9, " - ", 'General Information'!$F$14))</f>
        <v/>
      </c>
      <c r="G414" s="26" t="str">
        <f>IF(B414="", "", 'General Information'!$F$15)</f>
        <v/>
      </c>
      <c r="H414" s="26" t="str">
        <f>IF(B414="", "", IF(VLOOKUP(B414, 'Lookup Tables'!$Y$18:$AA$34, 2, FALSE)="Traffic", VLOOKUP('Lighting Inventory'!W422, 'Lookup Tables'!#REF!, 11, FALSE), VLOOKUP(B414, 'Lookup Tables'!$Y$18:$AA$34, 2, FALSE)))</f>
        <v/>
      </c>
      <c r="I414" s="26" t="str">
        <f>IF(B414="", "", CONCATENATE(D414, 'Data Export'!A414))</f>
        <v/>
      </c>
      <c r="J414" s="26" t="str">
        <f>IF(B414="", "", 'Lookup Tables'!$B$1)</f>
        <v/>
      </c>
      <c r="K414" s="26" t="str">
        <f>IF(B414="", "", 'Lighting Inventory'!B422)</f>
        <v/>
      </c>
      <c r="L414" s="26" t="str">
        <f>IF(B414="", "", 'Lighting Inventory'!C422)</f>
        <v/>
      </c>
      <c r="M414" s="26" t="str">
        <f>IF(B414="", "",'Lighting Inventory'!D422)</f>
        <v/>
      </c>
      <c r="N414" s="26" t="str">
        <f>IF(B414="", "",'Lighting Inventory'!E422)</f>
        <v/>
      </c>
      <c r="O414" s="26" t="str">
        <f>IF(B414="", "", 'Lighting Inventory'!F422)</f>
        <v/>
      </c>
      <c r="P414" s="26" t="str">
        <f>IF(B414="", "", 'Lighting Inventory'!G422)</f>
        <v/>
      </c>
      <c r="Q414" s="26" t="str">
        <f>IF(B414="", "", 'Lighting Inventory'!H422)</f>
        <v/>
      </c>
      <c r="R414" s="26" t="str">
        <f>IF(B414="", "", 'Lighting Inventory'!I422)</f>
        <v/>
      </c>
      <c r="S414" s="26" t="str">
        <f>IF(B414="", "", 'Lighting Inventory'!J422)</f>
        <v/>
      </c>
      <c r="T414" s="26" t="str">
        <f>IFERROR(IF(B414="","",VLOOKUP(S414,'Fixture Identities'!$A$7:$G$1023,5,FALSE)), "New Construction")</f>
        <v/>
      </c>
      <c r="U414" s="26" t="str">
        <f>IFERROR(IF(B414="", "", IF(K414="New Construction", "NC", IF(VLOOKUP(S414, 'Fixture Identities'!$A$7:$I$1023,3, FALSE)="T12 Linear Fluorescent", VLOOKUP(S414, 'Fixture Identities'!$A$7:$K$1012, 11, FALSE), S414))), "")</f>
        <v/>
      </c>
      <c r="V414" s="26" t="str">
        <f>IFERROR(IF(OR(B414="", U414=0), "", VLOOKUP(U414, 'Fixture Identities'!$A$7:$G$1023, 5, FALSE)), "")</f>
        <v/>
      </c>
      <c r="W414" s="26" t="str">
        <f>IF(B414="", "",'Lighting Inventory'!K422)</f>
        <v/>
      </c>
      <c r="X414" s="65" t="str">
        <f>IF(B414="", "", 'Lighting Inventory'!L422)</f>
        <v/>
      </c>
      <c r="Y414" s="26" t="str">
        <f>IF(B414="", "", IF('Lighting Inventory'!M422="", "Light Switch",'Lighting Inventory'!M422))</f>
        <v/>
      </c>
      <c r="Z414" s="26" t="str">
        <f>IF(OR(K414="Retrofit", B414=""), "", 'Lighting Inventory'!N422)</f>
        <v/>
      </c>
      <c r="AA414" s="26" t="str">
        <f>IF(OR(Z414="",B414=""), "", 'Lighting Inventory'!O422)</f>
        <v/>
      </c>
      <c r="AB414" s="26" t="str">
        <f>IF(B414="", "", 'Lighting Inventory'!P422)</f>
        <v/>
      </c>
      <c r="AC414" s="96" t="str">
        <f>IF(B414="", "", 'Lighting Inventory'!R422)</f>
        <v/>
      </c>
      <c r="AD414" s="26" t="str">
        <f>IF(B414="", "", 'Lighting Inventory'!S422)</f>
        <v/>
      </c>
      <c r="AE414" s="26" t="str">
        <f>IF(B414="", "", 'Lighting Inventory'!V422)</f>
        <v/>
      </c>
      <c r="AF414" s="26" t="str">
        <f>IF(B414="", "", 'Lighting Inventory'!W422)</f>
        <v/>
      </c>
      <c r="AG414" s="26" t="str">
        <f>IF(OR(AF414="", B414=""), "", IF(AE414="Custom", "0", VLOOKUP(AF414, 'Lookup Tables'!$AI$6:$AP$102, 8, FALSE)))</f>
        <v/>
      </c>
      <c r="AH414" s="26" t="str">
        <f>IF(B414="", "", 'Lighting Inventory'!AD422)</f>
        <v/>
      </c>
      <c r="AI414" s="26" t="str">
        <f>IF(OR('Lighting Inventory'!AK422="", B414=""), "", 'Lighting Inventory'!AK422)</f>
        <v/>
      </c>
      <c r="AJ414" s="66" t="str">
        <f>IF(B414="", "", 'Lighting Inventory'!AL422)</f>
        <v/>
      </c>
      <c r="AK414" s="65" t="str">
        <f>IF(B414="", "", 'Lighting Inventory'!AM422)</f>
        <v/>
      </c>
      <c r="AL414" s="26" t="str">
        <f>IF(B414="", "", 'Lighting Inventory'!AN422)</f>
        <v/>
      </c>
      <c r="AM414" s="26" t="str">
        <f t="shared" si="21"/>
        <v/>
      </c>
      <c r="AN414" s="26" t="str">
        <f>IF(B414="","",IF('Lighting Inventory'!AV422="","Prescribed",'Lighting Inventory'!AV422))</f>
        <v/>
      </c>
      <c r="AO414" s="66" t="str">
        <f>IF(B414="", "", 'Lighting Inventory'!AX422)</f>
        <v/>
      </c>
      <c r="AP414" s="67" t="str">
        <f>IF(B414="", "", 'Lighting Inventory'!AZ422)</f>
        <v/>
      </c>
      <c r="AQ414" s="67" t="str">
        <f>IF(B414="", "", 'Lighting Inventory'!BA422)</f>
        <v/>
      </c>
      <c r="AR414" s="67" t="str">
        <f>IF(B414="", "", 'Lighting Inventory'!BB422)</f>
        <v/>
      </c>
      <c r="AS414" s="67" t="str">
        <f>IF(B414="", "", 'Lighting Inventory'!BC422)</f>
        <v/>
      </c>
      <c r="AT414" s="67" t="str">
        <f>IF(B414="", "", 'Lighting Inventory'!BD422)</f>
        <v/>
      </c>
      <c r="AU414" s="67" t="str">
        <f>IF(B414="", "", 'Lighting Inventory'!BE422)</f>
        <v/>
      </c>
      <c r="AV414" s="67" t="str">
        <f>IF(B414="", "", 'Lighting Inventory'!BE422)</f>
        <v/>
      </c>
      <c r="AW414" s="67" t="str">
        <f>IF(B414="", "", 'Lighting Inventory'!BF422)</f>
        <v/>
      </c>
      <c r="AX414" s="67" t="str">
        <f>IF(B414="", "", 'Lighting Inventory'!BF422)</f>
        <v/>
      </c>
      <c r="AY414" s="65" t="str">
        <f t="shared" si="22"/>
        <v/>
      </c>
      <c r="AZ414" s="65" t="str">
        <f>IF(B414="", "", 'Lighting Inventory'!BJ422)</f>
        <v/>
      </c>
      <c r="BA414" s="65" t="str">
        <f>IF(B414="", "", 'Lighting Inventory'!BM422)</f>
        <v/>
      </c>
      <c r="BB414" s="65" t="str">
        <f>IF(B414="","",SUM('Lighting Inventory'!BP422:BP422))</f>
        <v/>
      </c>
      <c r="BC414" s="67" t="str">
        <f>IF(OR(AE414="", B414=""),"", 'Lighting Inventory'!GR422)</f>
        <v/>
      </c>
      <c r="BD414" s="67" t="str">
        <f>IFERROR(IF(B414="", "", 'Lighting Inventory'!AF422)*AD414," ")</f>
        <v xml:space="preserve"> </v>
      </c>
      <c r="BE414" s="67"/>
      <c r="BF414" s="67"/>
    </row>
    <row r="415" spans="1:58" x14ac:dyDescent="0.25">
      <c r="A415" s="26" t="str">
        <f>IF(B415="", "", 'Lookup Tables'!AW416)</f>
        <v/>
      </c>
      <c r="B415" s="26" t="str">
        <f>IF(OR('Lighting Inventory'!Y423="", 'Lighting Inventory'!V423="No Change"),"", 'Lighting Inventory'!Y423)</f>
        <v/>
      </c>
      <c r="C415" s="26" t="str">
        <f>IF(B415="", "", IF('Lighting Inventory'!Y423='Lookup Tables'!$Y$32, 'Lighting Inventory'!AJ423, IF(AD415=0, R415, AD415)))</f>
        <v/>
      </c>
      <c r="D415" s="26" t="str">
        <f>IF(B415="", "", 'General Information'!$F$14)</f>
        <v/>
      </c>
      <c r="E415" s="26" t="str">
        <f t="shared" si="20"/>
        <v/>
      </c>
      <c r="F415" s="26" t="str">
        <f>IF(B415="", "", CONCATENATE('General Information'!$F$9, " - ", 'General Information'!$F$14))</f>
        <v/>
      </c>
      <c r="G415" s="26" t="str">
        <f>IF(B415="", "", 'General Information'!$F$15)</f>
        <v/>
      </c>
      <c r="H415" s="26" t="str">
        <f>IF(B415="", "", IF(VLOOKUP(B415, 'Lookup Tables'!$Y$18:$AA$34, 2, FALSE)="Traffic", VLOOKUP('Lighting Inventory'!W423, 'Lookup Tables'!#REF!, 11, FALSE), VLOOKUP(B415, 'Lookup Tables'!$Y$18:$AA$34, 2, FALSE)))</f>
        <v/>
      </c>
      <c r="I415" s="26" t="str">
        <f>IF(B415="", "", CONCATENATE(D415, 'Data Export'!A415))</f>
        <v/>
      </c>
      <c r="J415" s="26" t="str">
        <f>IF(B415="", "", 'Lookup Tables'!$B$1)</f>
        <v/>
      </c>
      <c r="K415" s="26" t="str">
        <f>IF(B415="", "", 'Lighting Inventory'!B423)</f>
        <v/>
      </c>
      <c r="L415" s="26" t="str">
        <f>IF(B415="", "", 'Lighting Inventory'!C423)</f>
        <v/>
      </c>
      <c r="M415" s="26" t="str">
        <f>IF(B415="", "",'Lighting Inventory'!D423)</f>
        <v/>
      </c>
      <c r="N415" s="26" t="str">
        <f>IF(B415="", "",'Lighting Inventory'!E423)</f>
        <v/>
      </c>
      <c r="O415" s="26" t="str">
        <f>IF(B415="", "", 'Lighting Inventory'!F423)</f>
        <v/>
      </c>
      <c r="P415" s="26" t="str">
        <f>IF(B415="", "", 'Lighting Inventory'!G423)</f>
        <v/>
      </c>
      <c r="Q415" s="26" t="str">
        <f>IF(B415="", "", 'Lighting Inventory'!H423)</f>
        <v/>
      </c>
      <c r="R415" s="26" t="str">
        <f>IF(B415="", "", 'Lighting Inventory'!I423)</f>
        <v/>
      </c>
      <c r="S415" s="26" t="str">
        <f>IF(B415="", "", 'Lighting Inventory'!J423)</f>
        <v/>
      </c>
      <c r="T415" s="26" t="str">
        <f>IFERROR(IF(B415="","",VLOOKUP(S415,'Fixture Identities'!$A$7:$G$1023,5,FALSE)), "New Construction")</f>
        <v/>
      </c>
      <c r="U415" s="26" t="str">
        <f>IFERROR(IF(B415="", "", IF(K415="New Construction", "NC", IF(VLOOKUP(S415, 'Fixture Identities'!$A$7:$I$1023,3, FALSE)="T12 Linear Fluorescent", VLOOKUP(S415, 'Fixture Identities'!$A$7:$K$1012, 11, FALSE), S415))), "")</f>
        <v/>
      </c>
      <c r="V415" s="26" t="str">
        <f>IFERROR(IF(OR(B415="", U415=0), "", VLOOKUP(U415, 'Fixture Identities'!$A$7:$G$1023, 5, FALSE)), "")</f>
        <v/>
      </c>
      <c r="W415" s="26" t="str">
        <f>IF(B415="", "",'Lighting Inventory'!K423)</f>
        <v/>
      </c>
      <c r="X415" s="65" t="str">
        <f>IF(B415="", "", 'Lighting Inventory'!L423)</f>
        <v/>
      </c>
      <c r="Y415" s="26" t="str">
        <f>IF(B415="", "", IF('Lighting Inventory'!M423="", "Light Switch",'Lighting Inventory'!M423))</f>
        <v/>
      </c>
      <c r="Z415" s="26" t="str">
        <f>IF(OR(K415="Retrofit", B415=""), "", 'Lighting Inventory'!N423)</f>
        <v/>
      </c>
      <c r="AA415" s="26" t="str">
        <f>IF(OR(Z415="",B415=""), "", 'Lighting Inventory'!O423)</f>
        <v/>
      </c>
      <c r="AB415" s="26" t="str">
        <f>IF(B415="", "", 'Lighting Inventory'!P423)</f>
        <v/>
      </c>
      <c r="AC415" s="96" t="str">
        <f>IF(B415="", "", 'Lighting Inventory'!R423)</f>
        <v/>
      </c>
      <c r="AD415" s="26" t="str">
        <f>IF(B415="", "", 'Lighting Inventory'!S423)</f>
        <v/>
      </c>
      <c r="AE415" s="26" t="str">
        <f>IF(B415="", "", 'Lighting Inventory'!V423)</f>
        <v/>
      </c>
      <c r="AF415" s="26" t="str">
        <f>IF(B415="", "", 'Lighting Inventory'!W423)</f>
        <v/>
      </c>
      <c r="AG415" s="26" t="str">
        <f>IF(OR(AF415="", B415=""), "", IF(AE415="Custom", "0", VLOOKUP(AF415, 'Lookup Tables'!$AI$6:$AP$102, 8, FALSE)))</f>
        <v/>
      </c>
      <c r="AH415" s="26" t="str">
        <f>IF(B415="", "", 'Lighting Inventory'!AD423)</f>
        <v/>
      </c>
      <c r="AI415" s="26" t="str">
        <f>IF(OR('Lighting Inventory'!AK423="", B415=""), "", 'Lighting Inventory'!AK423)</f>
        <v/>
      </c>
      <c r="AJ415" s="66" t="str">
        <f>IF(B415="", "", 'Lighting Inventory'!AL423)</f>
        <v/>
      </c>
      <c r="AK415" s="65" t="str">
        <f>IF(B415="", "", 'Lighting Inventory'!AM423)</f>
        <v/>
      </c>
      <c r="AL415" s="26" t="str">
        <f>IF(B415="", "", 'Lighting Inventory'!AN423)</f>
        <v/>
      </c>
      <c r="AM415" s="26" t="str">
        <f t="shared" si="21"/>
        <v/>
      </c>
      <c r="AN415" s="26" t="str">
        <f>IF(B415="","",IF('Lighting Inventory'!AV423="","Prescribed",'Lighting Inventory'!AV423))</f>
        <v/>
      </c>
      <c r="AO415" s="66" t="str">
        <f>IF(B415="", "", 'Lighting Inventory'!AX423)</f>
        <v/>
      </c>
      <c r="AP415" s="67" t="str">
        <f>IF(B415="", "", 'Lighting Inventory'!AZ423)</f>
        <v/>
      </c>
      <c r="AQ415" s="67" t="str">
        <f>IF(B415="", "", 'Lighting Inventory'!BA423)</f>
        <v/>
      </c>
      <c r="AR415" s="67" t="str">
        <f>IF(B415="", "", 'Lighting Inventory'!BB423)</f>
        <v/>
      </c>
      <c r="AS415" s="67" t="str">
        <f>IF(B415="", "", 'Lighting Inventory'!BC423)</f>
        <v/>
      </c>
      <c r="AT415" s="67" t="str">
        <f>IF(B415="", "", 'Lighting Inventory'!BD423)</f>
        <v/>
      </c>
      <c r="AU415" s="67" t="str">
        <f>IF(B415="", "", 'Lighting Inventory'!BE423)</f>
        <v/>
      </c>
      <c r="AV415" s="67" t="str">
        <f>IF(B415="", "", 'Lighting Inventory'!BE423)</f>
        <v/>
      </c>
      <c r="AW415" s="67" t="str">
        <f>IF(B415="", "", 'Lighting Inventory'!BF423)</f>
        <v/>
      </c>
      <c r="AX415" s="67" t="str">
        <f>IF(B415="", "", 'Lighting Inventory'!BF423)</f>
        <v/>
      </c>
      <c r="AY415" s="65" t="str">
        <f t="shared" si="22"/>
        <v/>
      </c>
      <c r="AZ415" s="65" t="str">
        <f>IF(B415="", "", 'Lighting Inventory'!BJ423)</f>
        <v/>
      </c>
      <c r="BA415" s="65" t="str">
        <f>IF(B415="", "", 'Lighting Inventory'!BM423)</f>
        <v/>
      </c>
      <c r="BB415" s="65" t="str">
        <f>IF(B415="","",SUM('Lighting Inventory'!BP423:BP423))</f>
        <v/>
      </c>
      <c r="BC415" s="67" t="str">
        <f>IF(OR(AE415="", B415=""),"", 'Lighting Inventory'!GR423)</f>
        <v/>
      </c>
      <c r="BD415" s="67" t="str">
        <f>IFERROR(IF(B415="", "", 'Lighting Inventory'!AF423)*AD415," ")</f>
        <v xml:space="preserve"> </v>
      </c>
      <c r="BE415" s="67"/>
      <c r="BF415" s="67"/>
    </row>
    <row r="416" spans="1:58" x14ac:dyDescent="0.25">
      <c r="A416" s="26" t="str">
        <f>IF(B416="", "", 'Lookup Tables'!AW417)</f>
        <v/>
      </c>
      <c r="B416" s="26" t="str">
        <f>IF(OR('Lighting Inventory'!Y424="", 'Lighting Inventory'!V424="No Change"),"", 'Lighting Inventory'!Y424)</f>
        <v/>
      </c>
      <c r="C416" s="26" t="str">
        <f>IF(B416="", "", IF('Lighting Inventory'!Y424='Lookup Tables'!$Y$32, 'Lighting Inventory'!AJ424, IF(AD416=0, R416, AD416)))</f>
        <v/>
      </c>
      <c r="D416" s="26" t="str">
        <f>IF(B416="", "", 'General Information'!$F$14)</f>
        <v/>
      </c>
      <c r="E416" s="26" t="str">
        <f t="shared" si="20"/>
        <v/>
      </c>
      <c r="F416" s="26" t="str">
        <f>IF(B416="", "", CONCATENATE('General Information'!$F$9, " - ", 'General Information'!$F$14))</f>
        <v/>
      </c>
      <c r="G416" s="26" t="str">
        <f>IF(B416="", "", 'General Information'!$F$15)</f>
        <v/>
      </c>
      <c r="H416" s="26" t="str">
        <f>IF(B416="", "", IF(VLOOKUP(B416, 'Lookup Tables'!$Y$18:$AA$34, 2, FALSE)="Traffic", VLOOKUP('Lighting Inventory'!W424, 'Lookup Tables'!#REF!, 11, FALSE), VLOOKUP(B416, 'Lookup Tables'!$Y$18:$AA$34, 2, FALSE)))</f>
        <v/>
      </c>
      <c r="I416" s="26" t="str">
        <f>IF(B416="", "", CONCATENATE(D416, 'Data Export'!A416))</f>
        <v/>
      </c>
      <c r="J416" s="26" t="str">
        <f>IF(B416="", "", 'Lookup Tables'!$B$1)</f>
        <v/>
      </c>
      <c r="K416" s="26" t="str">
        <f>IF(B416="", "", 'Lighting Inventory'!B424)</f>
        <v/>
      </c>
      <c r="L416" s="26" t="str">
        <f>IF(B416="", "", 'Lighting Inventory'!C424)</f>
        <v/>
      </c>
      <c r="M416" s="26" t="str">
        <f>IF(B416="", "",'Lighting Inventory'!D424)</f>
        <v/>
      </c>
      <c r="N416" s="26" t="str">
        <f>IF(B416="", "",'Lighting Inventory'!E424)</f>
        <v/>
      </c>
      <c r="O416" s="26" t="str">
        <f>IF(B416="", "", 'Lighting Inventory'!F424)</f>
        <v/>
      </c>
      <c r="P416" s="26" t="str">
        <f>IF(B416="", "", 'Lighting Inventory'!G424)</f>
        <v/>
      </c>
      <c r="Q416" s="26" t="str">
        <f>IF(B416="", "", 'Lighting Inventory'!H424)</f>
        <v/>
      </c>
      <c r="R416" s="26" t="str">
        <f>IF(B416="", "", 'Lighting Inventory'!I424)</f>
        <v/>
      </c>
      <c r="S416" s="26" t="str">
        <f>IF(B416="", "", 'Lighting Inventory'!J424)</f>
        <v/>
      </c>
      <c r="T416" s="26" t="str">
        <f>IFERROR(IF(B416="","",VLOOKUP(S416,'Fixture Identities'!$A$7:$G$1023,5,FALSE)), "New Construction")</f>
        <v/>
      </c>
      <c r="U416" s="26" t="str">
        <f>IFERROR(IF(B416="", "", IF(K416="New Construction", "NC", IF(VLOOKUP(S416, 'Fixture Identities'!$A$7:$I$1023,3, FALSE)="T12 Linear Fluorescent", VLOOKUP(S416, 'Fixture Identities'!$A$7:$K$1012, 11, FALSE), S416))), "")</f>
        <v/>
      </c>
      <c r="V416" s="26" t="str">
        <f>IFERROR(IF(OR(B416="", U416=0), "", VLOOKUP(U416, 'Fixture Identities'!$A$7:$G$1023, 5, FALSE)), "")</f>
        <v/>
      </c>
      <c r="W416" s="26" t="str">
        <f>IF(B416="", "",'Lighting Inventory'!K424)</f>
        <v/>
      </c>
      <c r="X416" s="65" t="str">
        <f>IF(B416="", "", 'Lighting Inventory'!L424)</f>
        <v/>
      </c>
      <c r="Y416" s="26" t="str">
        <f>IF(B416="", "", IF('Lighting Inventory'!M424="", "Light Switch",'Lighting Inventory'!M424))</f>
        <v/>
      </c>
      <c r="Z416" s="26" t="str">
        <f>IF(OR(K416="Retrofit", B416=""), "", 'Lighting Inventory'!N424)</f>
        <v/>
      </c>
      <c r="AA416" s="26" t="str">
        <f>IF(OR(Z416="",B416=""), "", 'Lighting Inventory'!O424)</f>
        <v/>
      </c>
      <c r="AB416" s="26" t="str">
        <f>IF(B416="", "", 'Lighting Inventory'!P424)</f>
        <v/>
      </c>
      <c r="AC416" s="96" t="str">
        <f>IF(B416="", "", 'Lighting Inventory'!R424)</f>
        <v/>
      </c>
      <c r="AD416" s="26" t="str">
        <f>IF(B416="", "", 'Lighting Inventory'!S424)</f>
        <v/>
      </c>
      <c r="AE416" s="26" t="str">
        <f>IF(B416="", "", 'Lighting Inventory'!V424)</f>
        <v/>
      </c>
      <c r="AF416" s="26" t="str">
        <f>IF(B416="", "", 'Lighting Inventory'!W424)</f>
        <v/>
      </c>
      <c r="AG416" s="26" t="str">
        <f>IF(OR(AF416="", B416=""), "", IF(AE416="Custom", "0", VLOOKUP(AF416, 'Lookup Tables'!$AI$6:$AP$102, 8, FALSE)))</f>
        <v/>
      </c>
      <c r="AH416" s="26" t="str">
        <f>IF(B416="", "", 'Lighting Inventory'!AD424)</f>
        <v/>
      </c>
      <c r="AI416" s="26" t="str">
        <f>IF(OR('Lighting Inventory'!AK424="", B416=""), "", 'Lighting Inventory'!AK424)</f>
        <v/>
      </c>
      <c r="AJ416" s="66" t="str">
        <f>IF(B416="", "", 'Lighting Inventory'!AL424)</f>
        <v/>
      </c>
      <c r="AK416" s="65" t="str">
        <f>IF(B416="", "", 'Lighting Inventory'!AM424)</f>
        <v/>
      </c>
      <c r="AL416" s="26" t="str">
        <f>IF(B416="", "", 'Lighting Inventory'!AN424)</f>
        <v/>
      </c>
      <c r="AM416" s="26" t="str">
        <f t="shared" si="21"/>
        <v/>
      </c>
      <c r="AN416" s="26" t="str">
        <f>IF(B416="","",IF('Lighting Inventory'!AV424="","Prescribed",'Lighting Inventory'!AV424))</f>
        <v/>
      </c>
      <c r="AO416" s="66" t="str">
        <f>IF(B416="", "", 'Lighting Inventory'!AX424)</f>
        <v/>
      </c>
      <c r="AP416" s="67" t="str">
        <f>IF(B416="", "", 'Lighting Inventory'!AZ424)</f>
        <v/>
      </c>
      <c r="AQ416" s="67" t="str">
        <f>IF(B416="", "", 'Lighting Inventory'!BA424)</f>
        <v/>
      </c>
      <c r="AR416" s="67" t="str">
        <f>IF(B416="", "", 'Lighting Inventory'!BB424)</f>
        <v/>
      </c>
      <c r="AS416" s="67" t="str">
        <f>IF(B416="", "", 'Lighting Inventory'!BC424)</f>
        <v/>
      </c>
      <c r="AT416" s="67" t="str">
        <f>IF(B416="", "", 'Lighting Inventory'!BD424)</f>
        <v/>
      </c>
      <c r="AU416" s="67" t="str">
        <f>IF(B416="", "", 'Lighting Inventory'!BE424)</f>
        <v/>
      </c>
      <c r="AV416" s="67" t="str">
        <f>IF(B416="", "", 'Lighting Inventory'!BE424)</f>
        <v/>
      </c>
      <c r="AW416" s="67" t="str">
        <f>IF(B416="", "", 'Lighting Inventory'!BF424)</f>
        <v/>
      </c>
      <c r="AX416" s="67" t="str">
        <f>IF(B416="", "", 'Lighting Inventory'!BF424)</f>
        <v/>
      </c>
      <c r="AY416" s="65" t="str">
        <f t="shared" si="22"/>
        <v/>
      </c>
      <c r="AZ416" s="65" t="str">
        <f>IF(B416="", "", 'Lighting Inventory'!BJ424)</f>
        <v/>
      </c>
      <c r="BA416" s="65" t="str">
        <f>IF(B416="", "", 'Lighting Inventory'!BM424)</f>
        <v/>
      </c>
      <c r="BB416" s="65" t="str">
        <f>IF(B416="","",SUM('Lighting Inventory'!BP424:BP424))</f>
        <v/>
      </c>
      <c r="BC416" s="67" t="str">
        <f>IF(OR(AE416="", B416=""),"", 'Lighting Inventory'!GR424)</f>
        <v/>
      </c>
      <c r="BD416" s="67" t="str">
        <f>IFERROR(IF(B416="", "", 'Lighting Inventory'!AF424)*AD416," ")</f>
        <v xml:space="preserve"> </v>
      </c>
      <c r="BE416" s="67"/>
      <c r="BF416" s="67"/>
    </row>
    <row r="417" spans="1:58" x14ac:dyDescent="0.25">
      <c r="A417" s="26" t="str">
        <f>IF(B417="", "", 'Lookup Tables'!AW418)</f>
        <v/>
      </c>
      <c r="B417" s="26" t="str">
        <f>IF(OR('Lighting Inventory'!Y425="", 'Lighting Inventory'!V425="No Change"),"", 'Lighting Inventory'!Y425)</f>
        <v/>
      </c>
      <c r="C417" s="26" t="str">
        <f>IF(B417="", "", IF('Lighting Inventory'!Y425='Lookup Tables'!$Y$32, 'Lighting Inventory'!AJ425, IF(AD417=0, R417, AD417)))</f>
        <v/>
      </c>
      <c r="D417" s="26" t="str">
        <f>IF(B417="", "", 'General Information'!$F$14)</f>
        <v/>
      </c>
      <c r="E417" s="26" t="str">
        <f t="shared" si="20"/>
        <v/>
      </c>
      <c r="F417" s="26" t="str">
        <f>IF(B417="", "", CONCATENATE('General Information'!$F$9, " - ", 'General Information'!$F$14))</f>
        <v/>
      </c>
      <c r="G417" s="26" t="str">
        <f>IF(B417="", "", 'General Information'!$F$15)</f>
        <v/>
      </c>
      <c r="H417" s="26" t="str">
        <f>IF(B417="", "", IF(VLOOKUP(B417, 'Lookup Tables'!$Y$18:$AA$34, 2, FALSE)="Traffic", VLOOKUP('Lighting Inventory'!W425, 'Lookup Tables'!#REF!, 11, FALSE), VLOOKUP(B417, 'Lookup Tables'!$Y$18:$AA$34, 2, FALSE)))</f>
        <v/>
      </c>
      <c r="I417" s="26" t="str">
        <f>IF(B417="", "", CONCATENATE(D417, 'Data Export'!A417))</f>
        <v/>
      </c>
      <c r="J417" s="26" t="str">
        <f>IF(B417="", "", 'Lookup Tables'!$B$1)</f>
        <v/>
      </c>
      <c r="K417" s="26" t="str">
        <f>IF(B417="", "", 'Lighting Inventory'!B425)</f>
        <v/>
      </c>
      <c r="L417" s="26" t="str">
        <f>IF(B417="", "", 'Lighting Inventory'!C425)</f>
        <v/>
      </c>
      <c r="M417" s="26" t="str">
        <f>IF(B417="", "",'Lighting Inventory'!D425)</f>
        <v/>
      </c>
      <c r="N417" s="26" t="str">
        <f>IF(B417="", "",'Lighting Inventory'!E425)</f>
        <v/>
      </c>
      <c r="O417" s="26" t="str">
        <f>IF(B417="", "", 'Lighting Inventory'!F425)</f>
        <v/>
      </c>
      <c r="P417" s="26" t="str">
        <f>IF(B417="", "", 'Lighting Inventory'!G425)</f>
        <v/>
      </c>
      <c r="Q417" s="26" t="str">
        <f>IF(B417="", "", 'Lighting Inventory'!H425)</f>
        <v/>
      </c>
      <c r="R417" s="26" t="str">
        <f>IF(B417="", "", 'Lighting Inventory'!I425)</f>
        <v/>
      </c>
      <c r="S417" s="26" t="str">
        <f>IF(B417="", "", 'Lighting Inventory'!J425)</f>
        <v/>
      </c>
      <c r="T417" s="26" t="str">
        <f>IFERROR(IF(B417="","",VLOOKUP(S417,'Fixture Identities'!$A$7:$G$1023,5,FALSE)), "New Construction")</f>
        <v/>
      </c>
      <c r="U417" s="26" t="str">
        <f>IFERROR(IF(B417="", "", IF(K417="New Construction", "NC", IF(VLOOKUP(S417, 'Fixture Identities'!$A$7:$I$1023,3, FALSE)="T12 Linear Fluorescent", VLOOKUP(S417, 'Fixture Identities'!$A$7:$K$1012, 11, FALSE), S417))), "")</f>
        <v/>
      </c>
      <c r="V417" s="26" t="str">
        <f>IFERROR(IF(OR(B417="", U417=0), "", VLOOKUP(U417, 'Fixture Identities'!$A$7:$G$1023, 5, FALSE)), "")</f>
        <v/>
      </c>
      <c r="W417" s="26" t="str">
        <f>IF(B417="", "",'Lighting Inventory'!K425)</f>
        <v/>
      </c>
      <c r="X417" s="65" t="str">
        <f>IF(B417="", "", 'Lighting Inventory'!L425)</f>
        <v/>
      </c>
      <c r="Y417" s="26" t="str">
        <f>IF(B417="", "", IF('Lighting Inventory'!M425="", "Light Switch",'Lighting Inventory'!M425))</f>
        <v/>
      </c>
      <c r="Z417" s="26" t="str">
        <f>IF(OR(K417="Retrofit", B417=""), "", 'Lighting Inventory'!N425)</f>
        <v/>
      </c>
      <c r="AA417" s="26" t="str">
        <f>IF(OR(Z417="",B417=""), "", 'Lighting Inventory'!O425)</f>
        <v/>
      </c>
      <c r="AB417" s="26" t="str">
        <f>IF(B417="", "", 'Lighting Inventory'!P425)</f>
        <v/>
      </c>
      <c r="AC417" s="96" t="str">
        <f>IF(B417="", "", 'Lighting Inventory'!R425)</f>
        <v/>
      </c>
      <c r="AD417" s="26" t="str">
        <f>IF(B417="", "", 'Lighting Inventory'!S425)</f>
        <v/>
      </c>
      <c r="AE417" s="26" t="str">
        <f>IF(B417="", "", 'Lighting Inventory'!V425)</f>
        <v/>
      </c>
      <c r="AF417" s="26" t="str">
        <f>IF(B417="", "", 'Lighting Inventory'!W425)</f>
        <v/>
      </c>
      <c r="AG417" s="26" t="str">
        <f>IF(OR(AF417="", B417=""), "", IF(AE417="Custom", "0", VLOOKUP(AF417, 'Lookup Tables'!$AI$6:$AP$102, 8, FALSE)))</f>
        <v/>
      </c>
      <c r="AH417" s="26" t="str">
        <f>IF(B417="", "", 'Lighting Inventory'!AD425)</f>
        <v/>
      </c>
      <c r="AI417" s="26" t="str">
        <f>IF(OR('Lighting Inventory'!AK425="", B417=""), "", 'Lighting Inventory'!AK425)</f>
        <v/>
      </c>
      <c r="AJ417" s="66" t="str">
        <f>IF(B417="", "", 'Lighting Inventory'!AL425)</f>
        <v/>
      </c>
      <c r="AK417" s="65" t="str">
        <f>IF(B417="", "", 'Lighting Inventory'!AM425)</f>
        <v/>
      </c>
      <c r="AL417" s="26" t="str">
        <f>IF(B417="", "", 'Lighting Inventory'!AN425)</f>
        <v/>
      </c>
      <c r="AM417" s="26" t="str">
        <f t="shared" si="21"/>
        <v/>
      </c>
      <c r="AN417" s="26" t="str">
        <f>IF(B417="","",IF('Lighting Inventory'!AV425="","Prescribed",'Lighting Inventory'!AV425))</f>
        <v/>
      </c>
      <c r="AO417" s="66" t="str">
        <f>IF(B417="", "", 'Lighting Inventory'!AX425)</f>
        <v/>
      </c>
      <c r="AP417" s="67" t="str">
        <f>IF(B417="", "", 'Lighting Inventory'!AZ425)</f>
        <v/>
      </c>
      <c r="AQ417" s="67" t="str">
        <f>IF(B417="", "", 'Lighting Inventory'!BA425)</f>
        <v/>
      </c>
      <c r="AR417" s="67" t="str">
        <f>IF(B417="", "", 'Lighting Inventory'!BB425)</f>
        <v/>
      </c>
      <c r="AS417" s="67" t="str">
        <f>IF(B417="", "", 'Lighting Inventory'!BC425)</f>
        <v/>
      </c>
      <c r="AT417" s="67" t="str">
        <f>IF(B417="", "", 'Lighting Inventory'!BD425)</f>
        <v/>
      </c>
      <c r="AU417" s="67" t="str">
        <f>IF(B417="", "", 'Lighting Inventory'!BE425)</f>
        <v/>
      </c>
      <c r="AV417" s="67" t="str">
        <f>IF(B417="", "", 'Lighting Inventory'!BE425)</f>
        <v/>
      </c>
      <c r="AW417" s="67" t="str">
        <f>IF(B417="", "", 'Lighting Inventory'!BF425)</f>
        <v/>
      </c>
      <c r="AX417" s="67" t="str">
        <f>IF(B417="", "", 'Lighting Inventory'!BF425)</f>
        <v/>
      </c>
      <c r="AY417" s="65" t="str">
        <f t="shared" si="22"/>
        <v/>
      </c>
      <c r="AZ417" s="65" t="str">
        <f>IF(B417="", "", 'Lighting Inventory'!BJ425)</f>
        <v/>
      </c>
      <c r="BA417" s="65" t="str">
        <f>IF(B417="", "", 'Lighting Inventory'!BM425)</f>
        <v/>
      </c>
      <c r="BB417" s="65" t="str">
        <f>IF(B417="","",SUM('Lighting Inventory'!BP425:BP425))</f>
        <v/>
      </c>
      <c r="BC417" s="67" t="str">
        <f>IF(OR(AE417="", B417=""),"", 'Lighting Inventory'!GR425)</f>
        <v/>
      </c>
      <c r="BD417" s="67" t="str">
        <f>IFERROR(IF(B417="", "", 'Lighting Inventory'!AF425)*AD417," ")</f>
        <v xml:space="preserve"> </v>
      </c>
      <c r="BE417" s="67"/>
      <c r="BF417" s="67"/>
    </row>
    <row r="418" spans="1:58" x14ac:dyDescent="0.25">
      <c r="A418" s="26" t="str">
        <f>IF(B418="", "", 'Lookup Tables'!AW419)</f>
        <v/>
      </c>
      <c r="B418" s="26" t="str">
        <f>IF(OR('Lighting Inventory'!Y426="", 'Lighting Inventory'!V426="No Change"),"", 'Lighting Inventory'!Y426)</f>
        <v/>
      </c>
      <c r="C418" s="26" t="str">
        <f>IF(B418="", "", IF('Lighting Inventory'!Y426='Lookup Tables'!$Y$32, 'Lighting Inventory'!AJ426, IF(AD418=0, R418, AD418)))</f>
        <v/>
      </c>
      <c r="D418" s="26" t="str">
        <f>IF(B418="", "", 'General Information'!$F$14)</f>
        <v/>
      </c>
      <c r="E418" s="26" t="str">
        <f t="shared" si="20"/>
        <v/>
      </c>
      <c r="F418" s="26" t="str">
        <f>IF(B418="", "", CONCATENATE('General Information'!$F$9, " - ", 'General Information'!$F$14))</f>
        <v/>
      </c>
      <c r="G418" s="26" t="str">
        <f>IF(B418="", "", 'General Information'!$F$15)</f>
        <v/>
      </c>
      <c r="H418" s="26" t="str">
        <f>IF(B418="", "", IF(VLOOKUP(B418, 'Lookup Tables'!$Y$18:$AA$34, 2, FALSE)="Traffic", VLOOKUP('Lighting Inventory'!W426, 'Lookup Tables'!#REF!, 11, FALSE), VLOOKUP(B418, 'Lookup Tables'!$Y$18:$AA$34, 2, FALSE)))</f>
        <v/>
      </c>
      <c r="I418" s="26" t="str">
        <f>IF(B418="", "", CONCATENATE(D418, 'Data Export'!A418))</f>
        <v/>
      </c>
      <c r="J418" s="26" t="str">
        <f>IF(B418="", "", 'Lookup Tables'!$B$1)</f>
        <v/>
      </c>
      <c r="K418" s="26" t="str">
        <f>IF(B418="", "", 'Lighting Inventory'!B426)</f>
        <v/>
      </c>
      <c r="L418" s="26" t="str">
        <f>IF(B418="", "", 'Lighting Inventory'!C426)</f>
        <v/>
      </c>
      <c r="M418" s="26" t="str">
        <f>IF(B418="", "",'Lighting Inventory'!D426)</f>
        <v/>
      </c>
      <c r="N418" s="26" t="str">
        <f>IF(B418="", "",'Lighting Inventory'!E426)</f>
        <v/>
      </c>
      <c r="O418" s="26" t="str">
        <f>IF(B418="", "", 'Lighting Inventory'!F426)</f>
        <v/>
      </c>
      <c r="P418" s="26" t="str">
        <f>IF(B418="", "", 'Lighting Inventory'!G426)</f>
        <v/>
      </c>
      <c r="Q418" s="26" t="str">
        <f>IF(B418="", "", 'Lighting Inventory'!H426)</f>
        <v/>
      </c>
      <c r="R418" s="26" t="str">
        <f>IF(B418="", "", 'Lighting Inventory'!I426)</f>
        <v/>
      </c>
      <c r="S418" s="26" t="str">
        <f>IF(B418="", "", 'Lighting Inventory'!J426)</f>
        <v/>
      </c>
      <c r="T418" s="26" t="str">
        <f>IFERROR(IF(B418="","",VLOOKUP(S418,'Fixture Identities'!$A$7:$G$1023,5,FALSE)), "New Construction")</f>
        <v/>
      </c>
      <c r="U418" s="26" t="str">
        <f>IFERROR(IF(B418="", "", IF(K418="New Construction", "NC", IF(VLOOKUP(S418, 'Fixture Identities'!$A$7:$I$1023,3, FALSE)="T12 Linear Fluorescent", VLOOKUP(S418, 'Fixture Identities'!$A$7:$K$1012, 11, FALSE), S418))), "")</f>
        <v/>
      </c>
      <c r="V418" s="26" t="str">
        <f>IFERROR(IF(OR(B418="", U418=0), "", VLOOKUP(U418, 'Fixture Identities'!$A$7:$G$1023, 5, FALSE)), "")</f>
        <v/>
      </c>
      <c r="W418" s="26" t="str">
        <f>IF(B418="", "",'Lighting Inventory'!K426)</f>
        <v/>
      </c>
      <c r="X418" s="65" t="str">
        <f>IF(B418="", "", 'Lighting Inventory'!L426)</f>
        <v/>
      </c>
      <c r="Y418" s="26" t="str">
        <f>IF(B418="", "", IF('Lighting Inventory'!M426="", "Light Switch",'Lighting Inventory'!M426))</f>
        <v/>
      </c>
      <c r="Z418" s="26" t="str">
        <f>IF(OR(K418="Retrofit", B418=""), "", 'Lighting Inventory'!N426)</f>
        <v/>
      </c>
      <c r="AA418" s="26" t="str">
        <f>IF(OR(Z418="",B418=""), "", 'Lighting Inventory'!O426)</f>
        <v/>
      </c>
      <c r="AB418" s="26" t="str">
        <f>IF(B418="", "", 'Lighting Inventory'!P426)</f>
        <v/>
      </c>
      <c r="AC418" s="96" t="str">
        <f>IF(B418="", "", 'Lighting Inventory'!R426)</f>
        <v/>
      </c>
      <c r="AD418" s="26" t="str">
        <f>IF(B418="", "", 'Lighting Inventory'!S426)</f>
        <v/>
      </c>
      <c r="AE418" s="26" t="str">
        <f>IF(B418="", "", 'Lighting Inventory'!V426)</f>
        <v/>
      </c>
      <c r="AF418" s="26" t="str">
        <f>IF(B418="", "", 'Lighting Inventory'!W426)</f>
        <v/>
      </c>
      <c r="AG418" s="26" t="str">
        <f>IF(OR(AF418="", B418=""), "", IF(AE418="Custom", "0", VLOOKUP(AF418, 'Lookup Tables'!$AI$6:$AP$102, 8, FALSE)))</f>
        <v/>
      </c>
      <c r="AH418" s="26" t="str">
        <f>IF(B418="", "", 'Lighting Inventory'!AD426)</f>
        <v/>
      </c>
      <c r="AI418" s="26" t="str">
        <f>IF(OR('Lighting Inventory'!AK426="", B418=""), "", 'Lighting Inventory'!AK426)</f>
        <v/>
      </c>
      <c r="AJ418" s="66" t="str">
        <f>IF(B418="", "", 'Lighting Inventory'!AL426)</f>
        <v/>
      </c>
      <c r="AK418" s="65" t="str">
        <f>IF(B418="", "", 'Lighting Inventory'!AM426)</f>
        <v/>
      </c>
      <c r="AL418" s="26" t="str">
        <f>IF(B418="", "", 'Lighting Inventory'!AN426)</f>
        <v/>
      </c>
      <c r="AM418" s="26" t="str">
        <f t="shared" si="21"/>
        <v/>
      </c>
      <c r="AN418" s="26" t="str">
        <f>IF(B418="","",IF('Lighting Inventory'!AV426="","Prescribed",'Lighting Inventory'!AV426))</f>
        <v/>
      </c>
      <c r="AO418" s="66" t="str">
        <f>IF(B418="", "", 'Lighting Inventory'!AX426)</f>
        <v/>
      </c>
      <c r="AP418" s="67" t="str">
        <f>IF(B418="", "", 'Lighting Inventory'!AZ426)</f>
        <v/>
      </c>
      <c r="AQ418" s="67" t="str">
        <f>IF(B418="", "", 'Lighting Inventory'!BA426)</f>
        <v/>
      </c>
      <c r="AR418" s="67" t="str">
        <f>IF(B418="", "", 'Lighting Inventory'!BB426)</f>
        <v/>
      </c>
      <c r="AS418" s="67" t="str">
        <f>IF(B418="", "", 'Lighting Inventory'!BC426)</f>
        <v/>
      </c>
      <c r="AT418" s="67" t="str">
        <f>IF(B418="", "", 'Lighting Inventory'!BD426)</f>
        <v/>
      </c>
      <c r="AU418" s="67" t="str">
        <f>IF(B418="", "", 'Lighting Inventory'!BE426)</f>
        <v/>
      </c>
      <c r="AV418" s="67" t="str">
        <f>IF(B418="", "", 'Lighting Inventory'!BE426)</f>
        <v/>
      </c>
      <c r="AW418" s="67" t="str">
        <f>IF(B418="", "", 'Lighting Inventory'!BF426)</f>
        <v/>
      </c>
      <c r="AX418" s="67" t="str">
        <f>IF(B418="", "", 'Lighting Inventory'!BF426)</f>
        <v/>
      </c>
      <c r="AY418" s="65" t="str">
        <f t="shared" si="22"/>
        <v/>
      </c>
      <c r="AZ418" s="65" t="str">
        <f>IF(B418="", "", 'Lighting Inventory'!BJ426)</f>
        <v/>
      </c>
      <c r="BA418" s="65" t="str">
        <f>IF(B418="", "", 'Lighting Inventory'!BM426)</f>
        <v/>
      </c>
      <c r="BB418" s="65" t="str">
        <f>IF(B418="","",SUM('Lighting Inventory'!BP426:BP426))</f>
        <v/>
      </c>
      <c r="BC418" s="67" t="str">
        <f>IF(OR(AE418="", B418=""),"", 'Lighting Inventory'!GR426)</f>
        <v/>
      </c>
      <c r="BD418" s="67" t="str">
        <f>IFERROR(IF(B418="", "", 'Lighting Inventory'!AF426)*AD418," ")</f>
        <v xml:space="preserve"> </v>
      </c>
      <c r="BE418" s="67"/>
      <c r="BF418" s="67"/>
    </row>
    <row r="419" spans="1:58" x14ac:dyDescent="0.25">
      <c r="A419" s="26" t="str">
        <f>IF(B419="", "", 'Lookup Tables'!AW420)</f>
        <v/>
      </c>
      <c r="B419" s="26" t="str">
        <f>IF(OR('Lighting Inventory'!Y427="", 'Lighting Inventory'!V427="No Change"),"", 'Lighting Inventory'!Y427)</f>
        <v/>
      </c>
      <c r="C419" s="26" t="str">
        <f>IF(B419="", "", IF('Lighting Inventory'!Y427='Lookup Tables'!$Y$32, 'Lighting Inventory'!AJ427, IF(AD419=0, R419, AD419)))</f>
        <v/>
      </c>
      <c r="D419" s="26" t="str">
        <f>IF(B419="", "", 'General Information'!$F$14)</f>
        <v/>
      </c>
      <c r="E419" s="26" t="str">
        <f t="shared" si="20"/>
        <v/>
      </c>
      <c r="F419" s="26" t="str">
        <f>IF(B419="", "", CONCATENATE('General Information'!$F$9, " - ", 'General Information'!$F$14))</f>
        <v/>
      </c>
      <c r="G419" s="26" t="str">
        <f>IF(B419="", "", 'General Information'!$F$15)</f>
        <v/>
      </c>
      <c r="H419" s="26" t="str">
        <f>IF(B419="", "", IF(VLOOKUP(B419, 'Lookup Tables'!$Y$18:$AA$34, 2, FALSE)="Traffic", VLOOKUP('Lighting Inventory'!W427, 'Lookup Tables'!#REF!, 11, FALSE), VLOOKUP(B419, 'Lookup Tables'!$Y$18:$AA$34, 2, FALSE)))</f>
        <v/>
      </c>
      <c r="I419" s="26" t="str">
        <f>IF(B419="", "", CONCATENATE(D419, 'Data Export'!A419))</f>
        <v/>
      </c>
      <c r="J419" s="26" t="str">
        <f>IF(B419="", "", 'Lookup Tables'!$B$1)</f>
        <v/>
      </c>
      <c r="K419" s="26" t="str">
        <f>IF(B419="", "", 'Lighting Inventory'!B427)</f>
        <v/>
      </c>
      <c r="L419" s="26" t="str">
        <f>IF(B419="", "", 'Lighting Inventory'!C427)</f>
        <v/>
      </c>
      <c r="M419" s="26" t="str">
        <f>IF(B419="", "",'Lighting Inventory'!D427)</f>
        <v/>
      </c>
      <c r="N419" s="26" t="str">
        <f>IF(B419="", "",'Lighting Inventory'!E427)</f>
        <v/>
      </c>
      <c r="O419" s="26" t="str">
        <f>IF(B419="", "", 'Lighting Inventory'!F427)</f>
        <v/>
      </c>
      <c r="P419" s="26" t="str">
        <f>IF(B419="", "", 'Lighting Inventory'!G427)</f>
        <v/>
      </c>
      <c r="Q419" s="26" t="str">
        <f>IF(B419="", "", 'Lighting Inventory'!H427)</f>
        <v/>
      </c>
      <c r="R419" s="26" t="str">
        <f>IF(B419="", "", 'Lighting Inventory'!I427)</f>
        <v/>
      </c>
      <c r="S419" s="26" t="str">
        <f>IF(B419="", "", 'Lighting Inventory'!J427)</f>
        <v/>
      </c>
      <c r="T419" s="26" t="str">
        <f>IFERROR(IF(B419="","",VLOOKUP(S419,'Fixture Identities'!$A$7:$G$1023,5,FALSE)), "New Construction")</f>
        <v/>
      </c>
      <c r="U419" s="26" t="str">
        <f>IFERROR(IF(B419="", "", IF(K419="New Construction", "NC", IF(VLOOKUP(S419, 'Fixture Identities'!$A$7:$I$1023,3, FALSE)="T12 Linear Fluorescent", VLOOKUP(S419, 'Fixture Identities'!$A$7:$K$1012, 11, FALSE), S419))), "")</f>
        <v/>
      </c>
      <c r="V419" s="26" t="str">
        <f>IFERROR(IF(OR(B419="", U419=0), "", VLOOKUP(U419, 'Fixture Identities'!$A$7:$G$1023, 5, FALSE)), "")</f>
        <v/>
      </c>
      <c r="W419" s="26" t="str">
        <f>IF(B419="", "",'Lighting Inventory'!K427)</f>
        <v/>
      </c>
      <c r="X419" s="65" t="str">
        <f>IF(B419="", "", 'Lighting Inventory'!L427)</f>
        <v/>
      </c>
      <c r="Y419" s="26" t="str">
        <f>IF(B419="", "", IF('Lighting Inventory'!M427="", "Light Switch",'Lighting Inventory'!M427))</f>
        <v/>
      </c>
      <c r="Z419" s="26" t="str">
        <f>IF(OR(K419="Retrofit", B419=""), "", 'Lighting Inventory'!N427)</f>
        <v/>
      </c>
      <c r="AA419" s="26" t="str">
        <f>IF(OR(Z419="",B419=""), "", 'Lighting Inventory'!O427)</f>
        <v/>
      </c>
      <c r="AB419" s="26" t="str">
        <f>IF(B419="", "", 'Lighting Inventory'!P427)</f>
        <v/>
      </c>
      <c r="AC419" s="96" t="str">
        <f>IF(B419="", "", 'Lighting Inventory'!R427)</f>
        <v/>
      </c>
      <c r="AD419" s="26" t="str">
        <f>IF(B419="", "", 'Lighting Inventory'!S427)</f>
        <v/>
      </c>
      <c r="AE419" s="26" t="str">
        <f>IF(B419="", "", 'Lighting Inventory'!V427)</f>
        <v/>
      </c>
      <c r="AF419" s="26" t="str">
        <f>IF(B419="", "", 'Lighting Inventory'!W427)</f>
        <v/>
      </c>
      <c r="AG419" s="26" t="str">
        <f>IF(OR(AF419="", B419=""), "", IF(AE419="Custom", "0", VLOOKUP(AF419, 'Lookup Tables'!$AI$6:$AP$102, 8, FALSE)))</f>
        <v/>
      </c>
      <c r="AH419" s="26" t="str">
        <f>IF(B419="", "", 'Lighting Inventory'!AD427)</f>
        <v/>
      </c>
      <c r="AI419" s="26" t="str">
        <f>IF(OR('Lighting Inventory'!AK427="", B419=""), "", 'Lighting Inventory'!AK427)</f>
        <v/>
      </c>
      <c r="AJ419" s="66" t="str">
        <f>IF(B419="", "", 'Lighting Inventory'!AL427)</f>
        <v/>
      </c>
      <c r="AK419" s="65" t="str">
        <f>IF(B419="", "", 'Lighting Inventory'!AM427)</f>
        <v/>
      </c>
      <c r="AL419" s="26" t="str">
        <f>IF(B419="", "", 'Lighting Inventory'!AN427)</f>
        <v/>
      </c>
      <c r="AM419" s="26" t="str">
        <f t="shared" si="21"/>
        <v/>
      </c>
      <c r="AN419" s="26" t="str">
        <f>IF(B419="","",IF('Lighting Inventory'!AV427="","Prescribed",'Lighting Inventory'!AV427))</f>
        <v/>
      </c>
      <c r="AO419" s="66" t="str">
        <f>IF(B419="", "", 'Lighting Inventory'!AX427)</f>
        <v/>
      </c>
      <c r="AP419" s="67" t="str">
        <f>IF(B419="", "", 'Lighting Inventory'!AZ427)</f>
        <v/>
      </c>
      <c r="AQ419" s="67" t="str">
        <f>IF(B419="", "", 'Lighting Inventory'!BA427)</f>
        <v/>
      </c>
      <c r="AR419" s="67" t="str">
        <f>IF(B419="", "", 'Lighting Inventory'!BB427)</f>
        <v/>
      </c>
      <c r="AS419" s="67" t="str">
        <f>IF(B419="", "", 'Lighting Inventory'!BC427)</f>
        <v/>
      </c>
      <c r="AT419" s="67" t="str">
        <f>IF(B419="", "", 'Lighting Inventory'!BD427)</f>
        <v/>
      </c>
      <c r="AU419" s="67" t="str">
        <f>IF(B419="", "", 'Lighting Inventory'!BE427)</f>
        <v/>
      </c>
      <c r="AV419" s="67" t="str">
        <f>IF(B419="", "", 'Lighting Inventory'!BE427)</f>
        <v/>
      </c>
      <c r="AW419" s="67" t="str">
        <f>IF(B419="", "", 'Lighting Inventory'!BF427)</f>
        <v/>
      </c>
      <c r="AX419" s="67" t="str">
        <f>IF(B419="", "", 'Lighting Inventory'!BF427)</f>
        <v/>
      </c>
      <c r="AY419" s="65" t="str">
        <f t="shared" si="22"/>
        <v/>
      </c>
      <c r="AZ419" s="65" t="str">
        <f>IF(B419="", "", 'Lighting Inventory'!BJ427)</f>
        <v/>
      </c>
      <c r="BA419" s="65" t="str">
        <f>IF(B419="", "", 'Lighting Inventory'!BM427)</f>
        <v/>
      </c>
      <c r="BB419" s="65" t="str">
        <f>IF(B419="","",SUM('Lighting Inventory'!BP427:BP427))</f>
        <v/>
      </c>
      <c r="BC419" s="67" t="str">
        <f>IF(OR(AE419="", B419=""),"", 'Lighting Inventory'!GR427)</f>
        <v/>
      </c>
      <c r="BD419" s="67" t="str">
        <f>IFERROR(IF(B419="", "", 'Lighting Inventory'!AF427)*AD419," ")</f>
        <v xml:space="preserve"> </v>
      </c>
      <c r="BE419" s="67"/>
      <c r="BF419" s="67"/>
    </row>
    <row r="420" spans="1:58" x14ac:dyDescent="0.25">
      <c r="A420" s="26" t="str">
        <f>IF(B420="", "", 'Lookup Tables'!AW421)</f>
        <v/>
      </c>
      <c r="B420" s="26" t="str">
        <f>IF(OR('Lighting Inventory'!Y428="", 'Lighting Inventory'!V428="No Change"),"", 'Lighting Inventory'!Y428)</f>
        <v/>
      </c>
      <c r="C420" s="26" t="str">
        <f>IF(B420="", "", IF('Lighting Inventory'!Y428='Lookup Tables'!$Y$32, 'Lighting Inventory'!AJ428, IF(AD420=0, R420, AD420)))</f>
        <v/>
      </c>
      <c r="D420" s="26" t="str">
        <f>IF(B420="", "", 'General Information'!$F$14)</f>
        <v/>
      </c>
      <c r="E420" s="26" t="str">
        <f t="shared" si="20"/>
        <v/>
      </c>
      <c r="F420" s="26" t="str">
        <f>IF(B420="", "", CONCATENATE('General Information'!$F$9, " - ", 'General Information'!$F$14))</f>
        <v/>
      </c>
      <c r="G420" s="26" t="str">
        <f>IF(B420="", "", 'General Information'!$F$15)</f>
        <v/>
      </c>
      <c r="H420" s="26" t="str">
        <f>IF(B420="", "", IF(VLOOKUP(B420, 'Lookup Tables'!$Y$18:$AA$34, 2, FALSE)="Traffic", VLOOKUP('Lighting Inventory'!W428, 'Lookup Tables'!#REF!, 11, FALSE), VLOOKUP(B420, 'Lookup Tables'!$Y$18:$AA$34, 2, FALSE)))</f>
        <v/>
      </c>
      <c r="I420" s="26" t="str">
        <f>IF(B420="", "", CONCATENATE(D420, 'Data Export'!A420))</f>
        <v/>
      </c>
      <c r="J420" s="26" t="str">
        <f>IF(B420="", "", 'Lookup Tables'!$B$1)</f>
        <v/>
      </c>
      <c r="K420" s="26" t="str">
        <f>IF(B420="", "", 'Lighting Inventory'!B428)</f>
        <v/>
      </c>
      <c r="L420" s="26" t="str">
        <f>IF(B420="", "", 'Lighting Inventory'!C428)</f>
        <v/>
      </c>
      <c r="M420" s="26" t="str">
        <f>IF(B420="", "",'Lighting Inventory'!D428)</f>
        <v/>
      </c>
      <c r="N420" s="26" t="str">
        <f>IF(B420="", "",'Lighting Inventory'!E428)</f>
        <v/>
      </c>
      <c r="O420" s="26" t="str">
        <f>IF(B420="", "", 'Lighting Inventory'!F428)</f>
        <v/>
      </c>
      <c r="P420" s="26" t="str">
        <f>IF(B420="", "", 'Lighting Inventory'!G428)</f>
        <v/>
      </c>
      <c r="Q420" s="26" t="str">
        <f>IF(B420="", "", 'Lighting Inventory'!H428)</f>
        <v/>
      </c>
      <c r="R420" s="26" t="str">
        <f>IF(B420="", "", 'Lighting Inventory'!I428)</f>
        <v/>
      </c>
      <c r="S420" s="26" t="str">
        <f>IF(B420="", "", 'Lighting Inventory'!J428)</f>
        <v/>
      </c>
      <c r="T420" s="26" t="str">
        <f>IFERROR(IF(B420="","",VLOOKUP(S420,'Fixture Identities'!$A$7:$G$1023,5,FALSE)), "New Construction")</f>
        <v/>
      </c>
      <c r="U420" s="26" t="str">
        <f>IFERROR(IF(B420="", "", IF(K420="New Construction", "NC", IF(VLOOKUP(S420, 'Fixture Identities'!$A$7:$I$1023,3, FALSE)="T12 Linear Fluorescent", VLOOKUP(S420, 'Fixture Identities'!$A$7:$K$1012, 11, FALSE), S420))), "")</f>
        <v/>
      </c>
      <c r="V420" s="26" t="str">
        <f>IFERROR(IF(OR(B420="", U420=0), "", VLOOKUP(U420, 'Fixture Identities'!$A$7:$G$1023, 5, FALSE)), "")</f>
        <v/>
      </c>
      <c r="W420" s="26" t="str">
        <f>IF(B420="", "",'Lighting Inventory'!K428)</f>
        <v/>
      </c>
      <c r="X420" s="65" t="str">
        <f>IF(B420="", "", 'Lighting Inventory'!L428)</f>
        <v/>
      </c>
      <c r="Y420" s="26" t="str">
        <f>IF(B420="", "", IF('Lighting Inventory'!M428="", "Light Switch",'Lighting Inventory'!M428))</f>
        <v/>
      </c>
      <c r="Z420" s="26" t="str">
        <f>IF(OR(K420="Retrofit", B420=""), "", 'Lighting Inventory'!N428)</f>
        <v/>
      </c>
      <c r="AA420" s="26" t="str">
        <f>IF(OR(Z420="",B420=""), "", 'Lighting Inventory'!O428)</f>
        <v/>
      </c>
      <c r="AB420" s="26" t="str">
        <f>IF(B420="", "", 'Lighting Inventory'!P428)</f>
        <v/>
      </c>
      <c r="AC420" s="96" t="str">
        <f>IF(B420="", "", 'Lighting Inventory'!R428)</f>
        <v/>
      </c>
      <c r="AD420" s="26" t="str">
        <f>IF(B420="", "", 'Lighting Inventory'!S428)</f>
        <v/>
      </c>
      <c r="AE420" s="26" t="str">
        <f>IF(B420="", "", 'Lighting Inventory'!V428)</f>
        <v/>
      </c>
      <c r="AF420" s="26" t="str">
        <f>IF(B420="", "", 'Lighting Inventory'!W428)</f>
        <v/>
      </c>
      <c r="AG420" s="26" t="str">
        <f>IF(OR(AF420="", B420=""), "", IF(AE420="Custom", "0", VLOOKUP(AF420, 'Lookup Tables'!$AI$6:$AP$102, 8, FALSE)))</f>
        <v/>
      </c>
      <c r="AH420" s="26" t="str">
        <f>IF(B420="", "", 'Lighting Inventory'!AD428)</f>
        <v/>
      </c>
      <c r="AI420" s="26" t="str">
        <f>IF(OR('Lighting Inventory'!AK428="", B420=""), "", 'Lighting Inventory'!AK428)</f>
        <v/>
      </c>
      <c r="AJ420" s="66" t="str">
        <f>IF(B420="", "", 'Lighting Inventory'!AL428)</f>
        <v/>
      </c>
      <c r="AK420" s="65" t="str">
        <f>IF(B420="", "", 'Lighting Inventory'!AM428)</f>
        <v/>
      </c>
      <c r="AL420" s="26" t="str">
        <f>IF(B420="", "", 'Lighting Inventory'!AN428)</f>
        <v/>
      </c>
      <c r="AM420" s="26" t="str">
        <f t="shared" si="21"/>
        <v/>
      </c>
      <c r="AN420" s="26" t="str">
        <f>IF(B420="","",IF('Lighting Inventory'!AV428="","Prescribed",'Lighting Inventory'!AV428))</f>
        <v/>
      </c>
      <c r="AO420" s="66" t="str">
        <f>IF(B420="", "", 'Lighting Inventory'!AX428)</f>
        <v/>
      </c>
      <c r="AP420" s="67" t="str">
        <f>IF(B420="", "", 'Lighting Inventory'!AZ428)</f>
        <v/>
      </c>
      <c r="AQ420" s="67" t="str">
        <f>IF(B420="", "", 'Lighting Inventory'!BA428)</f>
        <v/>
      </c>
      <c r="AR420" s="67" t="str">
        <f>IF(B420="", "", 'Lighting Inventory'!BB428)</f>
        <v/>
      </c>
      <c r="AS420" s="67" t="str">
        <f>IF(B420="", "", 'Lighting Inventory'!BC428)</f>
        <v/>
      </c>
      <c r="AT420" s="67" t="str">
        <f>IF(B420="", "", 'Lighting Inventory'!BD428)</f>
        <v/>
      </c>
      <c r="AU420" s="67" t="str">
        <f>IF(B420="", "", 'Lighting Inventory'!BE428)</f>
        <v/>
      </c>
      <c r="AV420" s="67" t="str">
        <f>IF(B420="", "", 'Lighting Inventory'!BE428)</f>
        <v/>
      </c>
      <c r="AW420" s="67" t="str">
        <f>IF(B420="", "", 'Lighting Inventory'!BF428)</f>
        <v/>
      </c>
      <c r="AX420" s="67" t="str">
        <f>IF(B420="", "", 'Lighting Inventory'!BF428)</f>
        <v/>
      </c>
      <c r="AY420" s="65" t="str">
        <f t="shared" si="22"/>
        <v/>
      </c>
      <c r="AZ420" s="65" t="str">
        <f>IF(B420="", "", 'Lighting Inventory'!BJ428)</f>
        <v/>
      </c>
      <c r="BA420" s="65" t="str">
        <f>IF(B420="", "", 'Lighting Inventory'!BM428)</f>
        <v/>
      </c>
      <c r="BB420" s="65" t="str">
        <f>IF(B420="","",SUM('Lighting Inventory'!BP428:BP428))</f>
        <v/>
      </c>
      <c r="BC420" s="67" t="str">
        <f>IF(OR(AE420="", B420=""),"", 'Lighting Inventory'!GR428)</f>
        <v/>
      </c>
      <c r="BD420" s="67" t="str">
        <f>IFERROR(IF(B420="", "", 'Lighting Inventory'!AF428)*AD420," ")</f>
        <v xml:space="preserve"> </v>
      </c>
      <c r="BE420" s="67"/>
      <c r="BF420" s="67"/>
    </row>
    <row r="421" spans="1:58" x14ac:dyDescent="0.25">
      <c r="A421" s="26" t="str">
        <f>IF(B421="", "", 'Lookup Tables'!AW422)</f>
        <v/>
      </c>
      <c r="B421" s="26" t="str">
        <f>IF(OR('Lighting Inventory'!Y429="", 'Lighting Inventory'!V429="No Change"),"", 'Lighting Inventory'!Y429)</f>
        <v/>
      </c>
      <c r="C421" s="26" t="str">
        <f>IF(B421="", "", IF('Lighting Inventory'!Y429='Lookup Tables'!$Y$32, 'Lighting Inventory'!AJ429, IF(AD421=0, R421, AD421)))</f>
        <v/>
      </c>
      <c r="D421" s="26" t="str">
        <f>IF(B421="", "", 'General Information'!$F$14)</f>
        <v/>
      </c>
      <c r="E421" s="26" t="str">
        <f t="shared" si="20"/>
        <v/>
      </c>
      <c r="F421" s="26" t="str">
        <f>IF(B421="", "", CONCATENATE('General Information'!$F$9, " - ", 'General Information'!$F$14))</f>
        <v/>
      </c>
      <c r="G421" s="26" t="str">
        <f>IF(B421="", "", 'General Information'!$F$15)</f>
        <v/>
      </c>
      <c r="H421" s="26" t="str">
        <f>IF(B421="", "", IF(VLOOKUP(B421, 'Lookup Tables'!$Y$18:$AA$34, 2, FALSE)="Traffic", VLOOKUP('Lighting Inventory'!W429, 'Lookup Tables'!#REF!, 11, FALSE), VLOOKUP(B421, 'Lookup Tables'!$Y$18:$AA$34, 2, FALSE)))</f>
        <v/>
      </c>
      <c r="I421" s="26" t="str">
        <f>IF(B421="", "", CONCATENATE(D421, 'Data Export'!A421))</f>
        <v/>
      </c>
      <c r="J421" s="26" t="str">
        <f>IF(B421="", "", 'Lookup Tables'!$B$1)</f>
        <v/>
      </c>
      <c r="K421" s="26" t="str">
        <f>IF(B421="", "", 'Lighting Inventory'!B429)</f>
        <v/>
      </c>
      <c r="L421" s="26" t="str">
        <f>IF(B421="", "", 'Lighting Inventory'!C429)</f>
        <v/>
      </c>
      <c r="M421" s="26" t="str">
        <f>IF(B421="", "",'Lighting Inventory'!D429)</f>
        <v/>
      </c>
      <c r="N421" s="26" t="str">
        <f>IF(B421="", "",'Lighting Inventory'!E429)</f>
        <v/>
      </c>
      <c r="O421" s="26" t="str">
        <f>IF(B421="", "", 'Lighting Inventory'!F429)</f>
        <v/>
      </c>
      <c r="P421" s="26" t="str">
        <f>IF(B421="", "", 'Lighting Inventory'!G429)</f>
        <v/>
      </c>
      <c r="Q421" s="26" t="str">
        <f>IF(B421="", "", 'Lighting Inventory'!H429)</f>
        <v/>
      </c>
      <c r="R421" s="26" t="str">
        <f>IF(B421="", "", 'Lighting Inventory'!I429)</f>
        <v/>
      </c>
      <c r="S421" s="26" t="str">
        <f>IF(B421="", "", 'Lighting Inventory'!J429)</f>
        <v/>
      </c>
      <c r="T421" s="26" t="str">
        <f>IFERROR(IF(B421="","",VLOOKUP(S421,'Fixture Identities'!$A$7:$G$1023,5,FALSE)), "New Construction")</f>
        <v/>
      </c>
      <c r="U421" s="26" t="str">
        <f>IFERROR(IF(B421="", "", IF(K421="New Construction", "NC", IF(VLOOKUP(S421, 'Fixture Identities'!$A$7:$I$1023,3, FALSE)="T12 Linear Fluorescent", VLOOKUP(S421, 'Fixture Identities'!$A$7:$K$1012, 11, FALSE), S421))), "")</f>
        <v/>
      </c>
      <c r="V421" s="26" t="str">
        <f>IFERROR(IF(OR(B421="", U421=0), "", VLOOKUP(U421, 'Fixture Identities'!$A$7:$G$1023, 5, FALSE)), "")</f>
        <v/>
      </c>
      <c r="W421" s="26" t="str">
        <f>IF(B421="", "",'Lighting Inventory'!K429)</f>
        <v/>
      </c>
      <c r="X421" s="65" t="str">
        <f>IF(B421="", "", 'Lighting Inventory'!L429)</f>
        <v/>
      </c>
      <c r="Y421" s="26" t="str">
        <f>IF(B421="", "", IF('Lighting Inventory'!M429="", "Light Switch",'Lighting Inventory'!M429))</f>
        <v/>
      </c>
      <c r="Z421" s="26" t="str">
        <f>IF(OR(K421="Retrofit", B421=""), "", 'Lighting Inventory'!N429)</f>
        <v/>
      </c>
      <c r="AA421" s="26" t="str">
        <f>IF(OR(Z421="",B421=""), "", 'Lighting Inventory'!O429)</f>
        <v/>
      </c>
      <c r="AB421" s="26" t="str">
        <f>IF(B421="", "", 'Lighting Inventory'!P429)</f>
        <v/>
      </c>
      <c r="AC421" s="96" t="str">
        <f>IF(B421="", "", 'Lighting Inventory'!R429)</f>
        <v/>
      </c>
      <c r="AD421" s="26" t="str">
        <f>IF(B421="", "", 'Lighting Inventory'!S429)</f>
        <v/>
      </c>
      <c r="AE421" s="26" t="str">
        <f>IF(B421="", "", 'Lighting Inventory'!V429)</f>
        <v/>
      </c>
      <c r="AF421" s="26" t="str">
        <f>IF(B421="", "", 'Lighting Inventory'!W429)</f>
        <v/>
      </c>
      <c r="AG421" s="26" t="str">
        <f>IF(OR(AF421="", B421=""), "", IF(AE421="Custom", "0", VLOOKUP(AF421, 'Lookup Tables'!$AI$6:$AP$102, 8, FALSE)))</f>
        <v/>
      </c>
      <c r="AH421" s="26" t="str">
        <f>IF(B421="", "", 'Lighting Inventory'!AD429)</f>
        <v/>
      </c>
      <c r="AI421" s="26" t="str">
        <f>IF(OR('Lighting Inventory'!AK429="", B421=""), "", 'Lighting Inventory'!AK429)</f>
        <v/>
      </c>
      <c r="AJ421" s="66" t="str">
        <f>IF(B421="", "", 'Lighting Inventory'!AL429)</f>
        <v/>
      </c>
      <c r="AK421" s="65" t="str">
        <f>IF(B421="", "", 'Lighting Inventory'!AM429)</f>
        <v/>
      </c>
      <c r="AL421" s="26" t="str">
        <f>IF(B421="", "", 'Lighting Inventory'!AN429)</f>
        <v/>
      </c>
      <c r="AM421" s="26" t="str">
        <f t="shared" si="21"/>
        <v/>
      </c>
      <c r="AN421" s="26" t="str">
        <f>IF(B421="","",IF('Lighting Inventory'!AV429="","Prescribed",'Lighting Inventory'!AV429))</f>
        <v/>
      </c>
      <c r="AO421" s="66" t="str">
        <f>IF(B421="", "", 'Lighting Inventory'!AX429)</f>
        <v/>
      </c>
      <c r="AP421" s="67" t="str">
        <f>IF(B421="", "", 'Lighting Inventory'!AZ429)</f>
        <v/>
      </c>
      <c r="AQ421" s="67" t="str">
        <f>IF(B421="", "", 'Lighting Inventory'!BA429)</f>
        <v/>
      </c>
      <c r="AR421" s="67" t="str">
        <f>IF(B421="", "", 'Lighting Inventory'!BB429)</f>
        <v/>
      </c>
      <c r="AS421" s="67" t="str">
        <f>IF(B421="", "", 'Lighting Inventory'!BC429)</f>
        <v/>
      </c>
      <c r="AT421" s="67" t="str">
        <f>IF(B421="", "", 'Lighting Inventory'!BD429)</f>
        <v/>
      </c>
      <c r="AU421" s="67" t="str">
        <f>IF(B421="", "", 'Lighting Inventory'!BE429)</f>
        <v/>
      </c>
      <c r="AV421" s="67" t="str">
        <f>IF(B421="", "", 'Lighting Inventory'!BE429)</f>
        <v/>
      </c>
      <c r="AW421" s="67" t="str">
        <f>IF(B421="", "", 'Lighting Inventory'!BF429)</f>
        <v/>
      </c>
      <c r="AX421" s="67" t="str">
        <f>IF(B421="", "", 'Lighting Inventory'!BF429)</f>
        <v/>
      </c>
      <c r="AY421" s="65" t="str">
        <f t="shared" si="22"/>
        <v/>
      </c>
      <c r="AZ421" s="65" t="str">
        <f>IF(B421="", "", 'Lighting Inventory'!BJ429)</f>
        <v/>
      </c>
      <c r="BA421" s="65" t="str">
        <f>IF(B421="", "", 'Lighting Inventory'!BM429)</f>
        <v/>
      </c>
      <c r="BB421" s="65" t="str">
        <f>IF(B421="","",SUM('Lighting Inventory'!BP429:BP429))</f>
        <v/>
      </c>
      <c r="BC421" s="67" t="str">
        <f>IF(OR(AE421="", B421=""),"", 'Lighting Inventory'!GR429)</f>
        <v/>
      </c>
      <c r="BD421" s="67" t="str">
        <f>IFERROR(IF(B421="", "", 'Lighting Inventory'!AF429)*AD421," ")</f>
        <v xml:space="preserve"> </v>
      </c>
      <c r="BE421" s="67"/>
      <c r="BF421" s="67"/>
    </row>
    <row r="422" spans="1:58" x14ac:dyDescent="0.25">
      <c r="A422" s="26" t="str">
        <f>IF(B422="", "", 'Lookup Tables'!AW423)</f>
        <v/>
      </c>
      <c r="B422" s="26" t="str">
        <f>IF(OR('Lighting Inventory'!Y430="", 'Lighting Inventory'!V430="No Change"),"", 'Lighting Inventory'!Y430)</f>
        <v/>
      </c>
      <c r="C422" s="26" t="str">
        <f>IF(B422="", "", IF('Lighting Inventory'!Y430='Lookup Tables'!$Y$32, 'Lighting Inventory'!AJ430, IF(AD422=0, R422, AD422)))</f>
        <v/>
      </c>
      <c r="D422" s="26" t="str">
        <f>IF(B422="", "", 'General Information'!$F$14)</f>
        <v/>
      </c>
      <c r="E422" s="26" t="str">
        <f t="shared" si="20"/>
        <v/>
      </c>
      <c r="F422" s="26" t="str">
        <f>IF(B422="", "", CONCATENATE('General Information'!$F$9, " - ", 'General Information'!$F$14))</f>
        <v/>
      </c>
      <c r="G422" s="26" t="str">
        <f>IF(B422="", "", 'General Information'!$F$15)</f>
        <v/>
      </c>
      <c r="H422" s="26" t="str">
        <f>IF(B422="", "", IF(VLOOKUP(B422, 'Lookup Tables'!$Y$18:$AA$34, 2, FALSE)="Traffic", VLOOKUP('Lighting Inventory'!W430, 'Lookup Tables'!#REF!, 11, FALSE), VLOOKUP(B422, 'Lookup Tables'!$Y$18:$AA$34, 2, FALSE)))</f>
        <v/>
      </c>
      <c r="I422" s="26" t="str">
        <f>IF(B422="", "", CONCATENATE(D422, 'Data Export'!A422))</f>
        <v/>
      </c>
      <c r="J422" s="26" t="str">
        <f>IF(B422="", "", 'Lookup Tables'!$B$1)</f>
        <v/>
      </c>
      <c r="K422" s="26" t="str">
        <f>IF(B422="", "", 'Lighting Inventory'!B430)</f>
        <v/>
      </c>
      <c r="L422" s="26" t="str">
        <f>IF(B422="", "", 'Lighting Inventory'!C430)</f>
        <v/>
      </c>
      <c r="M422" s="26" t="str">
        <f>IF(B422="", "",'Lighting Inventory'!D430)</f>
        <v/>
      </c>
      <c r="N422" s="26" t="str">
        <f>IF(B422="", "",'Lighting Inventory'!E430)</f>
        <v/>
      </c>
      <c r="O422" s="26" t="str">
        <f>IF(B422="", "", 'Lighting Inventory'!F430)</f>
        <v/>
      </c>
      <c r="P422" s="26" t="str">
        <f>IF(B422="", "", 'Lighting Inventory'!G430)</f>
        <v/>
      </c>
      <c r="Q422" s="26" t="str">
        <f>IF(B422="", "", 'Lighting Inventory'!H430)</f>
        <v/>
      </c>
      <c r="R422" s="26" t="str">
        <f>IF(B422="", "", 'Lighting Inventory'!I430)</f>
        <v/>
      </c>
      <c r="S422" s="26" t="str">
        <f>IF(B422="", "", 'Lighting Inventory'!J430)</f>
        <v/>
      </c>
      <c r="T422" s="26" t="str">
        <f>IFERROR(IF(B422="","",VLOOKUP(S422,'Fixture Identities'!$A$7:$G$1023,5,FALSE)), "New Construction")</f>
        <v/>
      </c>
      <c r="U422" s="26" t="str">
        <f>IFERROR(IF(B422="", "", IF(K422="New Construction", "NC", IF(VLOOKUP(S422, 'Fixture Identities'!$A$7:$I$1023,3, FALSE)="T12 Linear Fluorescent", VLOOKUP(S422, 'Fixture Identities'!$A$7:$K$1012, 11, FALSE), S422))), "")</f>
        <v/>
      </c>
      <c r="V422" s="26" t="str">
        <f>IFERROR(IF(OR(B422="", U422=0), "", VLOOKUP(U422, 'Fixture Identities'!$A$7:$G$1023, 5, FALSE)), "")</f>
        <v/>
      </c>
      <c r="W422" s="26" t="str">
        <f>IF(B422="", "",'Lighting Inventory'!K430)</f>
        <v/>
      </c>
      <c r="X422" s="65" t="str">
        <f>IF(B422="", "", 'Lighting Inventory'!L430)</f>
        <v/>
      </c>
      <c r="Y422" s="26" t="str">
        <f>IF(B422="", "", IF('Lighting Inventory'!M430="", "Light Switch",'Lighting Inventory'!M430))</f>
        <v/>
      </c>
      <c r="Z422" s="26" t="str">
        <f>IF(OR(K422="Retrofit", B422=""), "", 'Lighting Inventory'!N430)</f>
        <v/>
      </c>
      <c r="AA422" s="26" t="str">
        <f>IF(OR(Z422="",B422=""), "", 'Lighting Inventory'!O430)</f>
        <v/>
      </c>
      <c r="AB422" s="26" t="str">
        <f>IF(B422="", "", 'Lighting Inventory'!P430)</f>
        <v/>
      </c>
      <c r="AC422" s="96" t="str">
        <f>IF(B422="", "", 'Lighting Inventory'!R430)</f>
        <v/>
      </c>
      <c r="AD422" s="26" t="str">
        <f>IF(B422="", "", 'Lighting Inventory'!S430)</f>
        <v/>
      </c>
      <c r="AE422" s="26" t="str">
        <f>IF(B422="", "", 'Lighting Inventory'!V430)</f>
        <v/>
      </c>
      <c r="AF422" s="26" t="str">
        <f>IF(B422="", "", 'Lighting Inventory'!W430)</f>
        <v/>
      </c>
      <c r="AG422" s="26" t="str">
        <f>IF(OR(AF422="", B422=""), "", IF(AE422="Custom", "0", VLOOKUP(AF422, 'Lookup Tables'!$AI$6:$AP$102, 8, FALSE)))</f>
        <v/>
      </c>
      <c r="AH422" s="26" t="str">
        <f>IF(B422="", "", 'Lighting Inventory'!AD430)</f>
        <v/>
      </c>
      <c r="AI422" s="26" t="str">
        <f>IF(OR('Lighting Inventory'!AK430="", B422=""), "", 'Lighting Inventory'!AK430)</f>
        <v/>
      </c>
      <c r="AJ422" s="66" t="str">
        <f>IF(B422="", "", 'Lighting Inventory'!AL430)</f>
        <v/>
      </c>
      <c r="AK422" s="65" t="str">
        <f>IF(B422="", "", 'Lighting Inventory'!AM430)</f>
        <v/>
      </c>
      <c r="AL422" s="26" t="str">
        <f>IF(B422="", "", 'Lighting Inventory'!AN430)</f>
        <v/>
      </c>
      <c r="AM422" s="26" t="str">
        <f t="shared" si="21"/>
        <v/>
      </c>
      <c r="AN422" s="26" t="str">
        <f>IF(B422="","",IF('Lighting Inventory'!AV430="","Prescribed",'Lighting Inventory'!AV430))</f>
        <v/>
      </c>
      <c r="AO422" s="66" t="str">
        <f>IF(B422="", "", 'Lighting Inventory'!AX430)</f>
        <v/>
      </c>
      <c r="AP422" s="67" t="str">
        <f>IF(B422="", "", 'Lighting Inventory'!AZ430)</f>
        <v/>
      </c>
      <c r="AQ422" s="67" t="str">
        <f>IF(B422="", "", 'Lighting Inventory'!BA430)</f>
        <v/>
      </c>
      <c r="AR422" s="67" t="str">
        <f>IF(B422="", "", 'Lighting Inventory'!BB430)</f>
        <v/>
      </c>
      <c r="AS422" s="67" t="str">
        <f>IF(B422="", "", 'Lighting Inventory'!BC430)</f>
        <v/>
      </c>
      <c r="AT422" s="67" t="str">
        <f>IF(B422="", "", 'Lighting Inventory'!BD430)</f>
        <v/>
      </c>
      <c r="AU422" s="67" t="str">
        <f>IF(B422="", "", 'Lighting Inventory'!BE430)</f>
        <v/>
      </c>
      <c r="AV422" s="67" t="str">
        <f>IF(B422="", "", 'Lighting Inventory'!BE430)</f>
        <v/>
      </c>
      <c r="AW422" s="67" t="str">
        <f>IF(B422="", "", 'Lighting Inventory'!BF430)</f>
        <v/>
      </c>
      <c r="AX422" s="67" t="str">
        <f>IF(B422="", "", 'Lighting Inventory'!BF430)</f>
        <v/>
      </c>
      <c r="AY422" s="65" t="str">
        <f t="shared" si="22"/>
        <v/>
      </c>
      <c r="AZ422" s="65" t="str">
        <f>IF(B422="", "", 'Lighting Inventory'!BJ430)</f>
        <v/>
      </c>
      <c r="BA422" s="65" t="str">
        <f>IF(B422="", "", 'Lighting Inventory'!BM430)</f>
        <v/>
      </c>
      <c r="BB422" s="65" t="str">
        <f>IF(B422="","",SUM('Lighting Inventory'!BP430:BP430))</f>
        <v/>
      </c>
      <c r="BC422" s="67" t="str">
        <f>IF(OR(AE422="", B422=""),"", 'Lighting Inventory'!GR430)</f>
        <v/>
      </c>
      <c r="BD422" s="67" t="str">
        <f>IFERROR(IF(B422="", "", 'Lighting Inventory'!AF430)*AD422," ")</f>
        <v xml:space="preserve"> </v>
      </c>
      <c r="BE422" s="67"/>
      <c r="BF422" s="67"/>
    </row>
    <row r="423" spans="1:58" x14ac:dyDescent="0.25">
      <c r="A423" s="26" t="str">
        <f>IF(B423="", "", 'Lookup Tables'!AW424)</f>
        <v/>
      </c>
      <c r="B423" s="26" t="str">
        <f>IF(OR('Lighting Inventory'!Y431="", 'Lighting Inventory'!V431="No Change"),"", 'Lighting Inventory'!Y431)</f>
        <v/>
      </c>
      <c r="C423" s="26" t="str">
        <f>IF(B423="", "", IF('Lighting Inventory'!Y431='Lookup Tables'!$Y$32, 'Lighting Inventory'!AJ431, IF(AD423=0, R423, AD423)))</f>
        <v/>
      </c>
      <c r="D423" s="26" t="str">
        <f>IF(B423="", "", 'General Information'!$F$14)</f>
        <v/>
      </c>
      <c r="E423" s="26" t="str">
        <f t="shared" si="20"/>
        <v/>
      </c>
      <c r="F423" s="26" t="str">
        <f>IF(B423="", "", CONCATENATE('General Information'!$F$9, " - ", 'General Information'!$F$14))</f>
        <v/>
      </c>
      <c r="G423" s="26" t="str">
        <f>IF(B423="", "", 'General Information'!$F$15)</f>
        <v/>
      </c>
      <c r="H423" s="26" t="str">
        <f>IF(B423="", "", IF(VLOOKUP(B423, 'Lookup Tables'!$Y$18:$AA$34, 2, FALSE)="Traffic", VLOOKUP('Lighting Inventory'!W431, 'Lookup Tables'!#REF!, 11, FALSE), VLOOKUP(B423, 'Lookup Tables'!$Y$18:$AA$34, 2, FALSE)))</f>
        <v/>
      </c>
      <c r="I423" s="26" t="str">
        <f>IF(B423="", "", CONCATENATE(D423, 'Data Export'!A423))</f>
        <v/>
      </c>
      <c r="J423" s="26" t="str">
        <f>IF(B423="", "", 'Lookup Tables'!$B$1)</f>
        <v/>
      </c>
      <c r="K423" s="26" t="str">
        <f>IF(B423="", "", 'Lighting Inventory'!B431)</f>
        <v/>
      </c>
      <c r="L423" s="26" t="str">
        <f>IF(B423="", "", 'Lighting Inventory'!C431)</f>
        <v/>
      </c>
      <c r="M423" s="26" t="str">
        <f>IF(B423="", "",'Lighting Inventory'!D431)</f>
        <v/>
      </c>
      <c r="N423" s="26" t="str">
        <f>IF(B423="", "",'Lighting Inventory'!E431)</f>
        <v/>
      </c>
      <c r="O423" s="26" t="str">
        <f>IF(B423="", "", 'Lighting Inventory'!F431)</f>
        <v/>
      </c>
      <c r="P423" s="26" t="str">
        <f>IF(B423="", "", 'Lighting Inventory'!G431)</f>
        <v/>
      </c>
      <c r="Q423" s="26" t="str">
        <f>IF(B423="", "", 'Lighting Inventory'!H431)</f>
        <v/>
      </c>
      <c r="R423" s="26" t="str">
        <f>IF(B423="", "", 'Lighting Inventory'!I431)</f>
        <v/>
      </c>
      <c r="S423" s="26" t="str">
        <f>IF(B423="", "", 'Lighting Inventory'!J431)</f>
        <v/>
      </c>
      <c r="T423" s="26" t="str">
        <f>IFERROR(IF(B423="","",VLOOKUP(S423,'Fixture Identities'!$A$7:$G$1023,5,FALSE)), "New Construction")</f>
        <v/>
      </c>
      <c r="U423" s="26" t="str">
        <f>IFERROR(IF(B423="", "", IF(K423="New Construction", "NC", IF(VLOOKUP(S423, 'Fixture Identities'!$A$7:$I$1023,3, FALSE)="T12 Linear Fluorescent", VLOOKUP(S423, 'Fixture Identities'!$A$7:$K$1012, 11, FALSE), S423))), "")</f>
        <v/>
      </c>
      <c r="V423" s="26" t="str">
        <f>IFERROR(IF(OR(B423="", U423=0), "", VLOOKUP(U423, 'Fixture Identities'!$A$7:$G$1023, 5, FALSE)), "")</f>
        <v/>
      </c>
      <c r="W423" s="26" t="str">
        <f>IF(B423="", "",'Lighting Inventory'!K431)</f>
        <v/>
      </c>
      <c r="X423" s="65" t="str">
        <f>IF(B423="", "", 'Lighting Inventory'!L431)</f>
        <v/>
      </c>
      <c r="Y423" s="26" t="str">
        <f>IF(B423="", "", IF('Lighting Inventory'!M431="", "Light Switch",'Lighting Inventory'!M431))</f>
        <v/>
      </c>
      <c r="Z423" s="26" t="str">
        <f>IF(OR(K423="Retrofit", B423=""), "", 'Lighting Inventory'!N431)</f>
        <v/>
      </c>
      <c r="AA423" s="26" t="str">
        <f>IF(OR(Z423="",B423=""), "", 'Lighting Inventory'!O431)</f>
        <v/>
      </c>
      <c r="AB423" s="26" t="str">
        <f>IF(B423="", "", 'Lighting Inventory'!P431)</f>
        <v/>
      </c>
      <c r="AC423" s="96" t="str">
        <f>IF(B423="", "", 'Lighting Inventory'!R431)</f>
        <v/>
      </c>
      <c r="AD423" s="26" t="str">
        <f>IF(B423="", "", 'Lighting Inventory'!S431)</f>
        <v/>
      </c>
      <c r="AE423" s="26" t="str">
        <f>IF(B423="", "", 'Lighting Inventory'!V431)</f>
        <v/>
      </c>
      <c r="AF423" s="26" t="str">
        <f>IF(B423="", "", 'Lighting Inventory'!W431)</f>
        <v/>
      </c>
      <c r="AG423" s="26" t="str">
        <f>IF(OR(AF423="", B423=""), "", IF(AE423="Custom", "0", VLOOKUP(AF423, 'Lookup Tables'!$AI$6:$AP$102, 8, FALSE)))</f>
        <v/>
      </c>
      <c r="AH423" s="26" t="str">
        <f>IF(B423="", "", 'Lighting Inventory'!AD431)</f>
        <v/>
      </c>
      <c r="AI423" s="26" t="str">
        <f>IF(OR('Lighting Inventory'!AK431="", B423=""), "", 'Lighting Inventory'!AK431)</f>
        <v/>
      </c>
      <c r="AJ423" s="66" t="str">
        <f>IF(B423="", "", 'Lighting Inventory'!AL431)</f>
        <v/>
      </c>
      <c r="AK423" s="65" t="str">
        <f>IF(B423="", "", 'Lighting Inventory'!AM431)</f>
        <v/>
      </c>
      <c r="AL423" s="26" t="str">
        <f>IF(B423="", "", 'Lighting Inventory'!AN431)</f>
        <v/>
      </c>
      <c r="AM423" s="26" t="str">
        <f t="shared" si="21"/>
        <v/>
      </c>
      <c r="AN423" s="26" t="str">
        <f>IF(B423="","",IF('Lighting Inventory'!AV431="","Prescribed",'Lighting Inventory'!AV431))</f>
        <v/>
      </c>
      <c r="AO423" s="66" t="str">
        <f>IF(B423="", "", 'Lighting Inventory'!AX431)</f>
        <v/>
      </c>
      <c r="AP423" s="67" t="str">
        <f>IF(B423="", "", 'Lighting Inventory'!AZ431)</f>
        <v/>
      </c>
      <c r="AQ423" s="67" t="str">
        <f>IF(B423="", "", 'Lighting Inventory'!BA431)</f>
        <v/>
      </c>
      <c r="AR423" s="67" t="str">
        <f>IF(B423="", "", 'Lighting Inventory'!BB431)</f>
        <v/>
      </c>
      <c r="AS423" s="67" t="str">
        <f>IF(B423="", "", 'Lighting Inventory'!BC431)</f>
        <v/>
      </c>
      <c r="AT423" s="67" t="str">
        <f>IF(B423="", "", 'Lighting Inventory'!BD431)</f>
        <v/>
      </c>
      <c r="AU423" s="67" t="str">
        <f>IF(B423="", "", 'Lighting Inventory'!BE431)</f>
        <v/>
      </c>
      <c r="AV423" s="67" t="str">
        <f>IF(B423="", "", 'Lighting Inventory'!BE431)</f>
        <v/>
      </c>
      <c r="AW423" s="67" t="str">
        <f>IF(B423="", "", 'Lighting Inventory'!BF431)</f>
        <v/>
      </c>
      <c r="AX423" s="67" t="str">
        <f>IF(B423="", "", 'Lighting Inventory'!BF431)</f>
        <v/>
      </c>
      <c r="AY423" s="65" t="str">
        <f t="shared" si="22"/>
        <v/>
      </c>
      <c r="AZ423" s="65" t="str">
        <f>IF(B423="", "", 'Lighting Inventory'!BJ431)</f>
        <v/>
      </c>
      <c r="BA423" s="65" t="str">
        <f>IF(B423="", "", 'Lighting Inventory'!BM431)</f>
        <v/>
      </c>
      <c r="BB423" s="65" t="str">
        <f>IF(B423="","",SUM('Lighting Inventory'!BP431:BP431))</f>
        <v/>
      </c>
      <c r="BC423" s="67" t="str">
        <f>IF(OR(AE423="", B423=""),"", 'Lighting Inventory'!GR431)</f>
        <v/>
      </c>
      <c r="BD423" s="67" t="str">
        <f>IFERROR(IF(B423="", "", 'Lighting Inventory'!AF431)*AD423," ")</f>
        <v xml:space="preserve"> </v>
      </c>
      <c r="BE423" s="67"/>
      <c r="BF423" s="67"/>
    </row>
    <row r="424" spans="1:58" x14ac:dyDescent="0.25">
      <c r="A424" s="26" t="str">
        <f>IF(B424="", "", 'Lookup Tables'!AW425)</f>
        <v/>
      </c>
      <c r="B424" s="26" t="str">
        <f>IF(OR('Lighting Inventory'!Y432="", 'Lighting Inventory'!V432="No Change"),"", 'Lighting Inventory'!Y432)</f>
        <v/>
      </c>
      <c r="C424" s="26" t="str">
        <f>IF(B424="", "", IF('Lighting Inventory'!Y432='Lookup Tables'!$Y$32, 'Lighting Inventory'!AJ432, IF(AD424=0, R424, AD424)))</f>
        <v/>
      </c>
      <c r="D424" s="26" t="str">
        <f>IF(B424="", "", 'General Information'!$F$14)</f>
        <v/>
      </c>
      <c r="E424" s="26" t="str">
        <f t="shared" si="20"/>
        <v/>
      </c>
      <c r="F424" s="26" t="str">
        <f>IF(B424="", "", CONCATENATE('General Information'!$F$9, " - ", 'General Information'!$F$14))</f>
        <v/>
      </c>
      <c r="G424" s="26" t="str">
        <f>IF(B424="", "", 'General Information'!$F$15)</f>
        <v/>
      </c>
      <c r="H424" s="26" t="str">
        <f>IF(B424="", "", IF(VLOOKUP(B424, 'Lookup Tables'!$Y$18:$AA$34, 2, FALSE)="Traffic", VLOOKUP('Lighting Inventory'!W432, 'Lookup Tables'!#REF!, 11, FALSE), VLOOKUP(B424, 'Lookup Tables'!$Y$18:$AA$34, 2, FALSE)))</f>
        <v/>
      </c>
      <c r="I424" s="26" t="str">
        <f>IF(B424="", "", CONCATENATE(D424, 'Data Export'!A424))</f>
        <v/>
      </c>
      <c r="J424" s="26" t="str">
        <f>IF(B424="", "", 'Lookup Tables'!$B$1)</f>
        <v/>
      </c>
      <c r="K424" s="26" t="str">
        <f>IF(B424="", "", 'Lighting Inventory'!B432)</f>
        <v/>
      </c>
      <c r="L424" s="26" t="str">
        <f>IF(B424="", "", 'Lighting Inventory'!C432)</f>
        <v/>
      </c>
      <c r="M424" s="26" t="str">
        <f>IF(B424="", "",'Lighting Inventory'!D432)</f>
        <v/>
      </c>
      <c r="N424" s="26" t="str">
        <f>IF(B424="", "",'Lighting Inventory'!E432)</f>
        <v/>
      </c>
      <c r="O424" s="26" t="str">
        <f>IF(B424="", "", 'Lighting Inventory'!F432)</f>
        <v/>
      </c>
      <c r="P424" s="26" t="str">
        <f>IF(B424="", "", 'Lighting Inventory'!G432)</f>
        <v/>
      </c>
      <c r="Q424" s="26" t="str">
        <f>IF(B424="", "", 'Lighting Inventory'!H432)</f>
        <v/>
      </c>
      <c r="R424" s="26" t="str">
        <f>IF(B424="", "", 'Lighting Inventory'!I432)</f>
        <v/>
      </c>
      <c r="S424" s="26" t="str">
        <f>IF(B424="", "", 'Lighting Inventory'!J432)</f>
        <v/>
      </c>
      <c r="T424" s="26" t="str">
        <f>IFERROR(IF(B424="","",VLOOKUP(S424,'Fixture Identities'!$A$7:$G$1023,5,FALSE)), "New Construction")</f>
        <v/>
      </c>
      <c r="U424" s="26" t="str">
        <f>IFERROR(IF(B424="", "", IF(K424="New Construction", "NC", IF(VLOOKUP(S424, 'Fixture Identities'!$A$7:$I$1023,3, FALSE)="T12 Linear Fluorescent", VLOOKUP(S424, 'Fixture Identities'!$A$7:$K$1012, 11, FALSE), S424))), "")</f>
        <v/>
      </c>
      <c r="V424" s="26" t="str">
        <f>IFERROR(IF(OR(B424="", U424=0), "", VLOOKUP(U424, 'Fixture Identities'!$A$7:$G$1023, 5, FALSE)), "")</f>
        <v/>
      </c>
      <c r="W424" s="26" t="str">
        <f>IF(B424="", "",'Lighting Inventory'!K432)</f>
        <v/>
      </c>
      <c r="X424" s="65" t="str">
        <f>IF(B424="", "", 'Lighting Inventory'!L432)</f>
        <v/>
      </c>
      <c r="Y424" s="26" t="str">
        <f>IF(B424="", "", IF('Lighting Inventory'!M432="", "Light Switch",'Lighting Inventory'!M432))</f>
        <v/>
      </c>
      <c r="Z424" s="26" t="str">
        <f>IF(OR(K424="Retrofit", B424=""), "", 'Lighting Inventory'!N432)</f>
        <v/>
      </c>
      <c r="AA424" s="26" t="str">
        <f>IF(OR(Z424="",B424=""), "", 'Lighting Inventory'!O432)</f>
        <v/>
      </c>
      <c r="AB424" s="26" t="str">
        <f>IF(B424="", "", 'Lighting Inventory'!P432)</f>
        <v/>
      </c>
      <c r="AC424" s="96" t="str">
        <f>IF(B424="", "", 'Lighting Inventory'!R432)</f>
        <v/>
      </c>
      <c r="AD424" s="26" t="str">
        <f>IF(B424="", "", 'Lighting Inventory'!S432)</f>
        <v/>
      </c>
      <c r="AE424" s="26" t="str">
        <f>IF(B424="", "", 'Lighting Inventory'!V432)</f>
        <v/>
      </c>
      <c r="AF424" s="26" t="str">
        <f>IF(B424="", "", 'Lighting Inventory'!W432)</f>
        <v/>
      </c>
      <c r="AG424" s="26" t="str">
        <f>IF(OR(AF424="", B424=""), "", IF(AE424="Custom", "0", VLOOKUP(AF424, 'Lookup Tables'!$AI$6:$AP$102, 8, FALSE)))</f>
        <v/>
      </c>
      <c r="AH424" s="26" t="str">
        <f>IF(B424="", "", 'Lighting Inventory'!AD432)</f>
        <v/>
      </c>
      <c r="AI424" s="26" t="str">
        <f>IF(OR('Lighting Inventory'!AK432="", B424=""), "", 'Lighting Inventory'!AK432)</f>
        <v/>
      </c>
      <c r="AJ424" s="66" t="str">
        <f>IF(B424="", "", 'Lighting Inventory'!AL432)</f>
        <v/>
      </c>
      <c r="AK424" s="65" t="str">
        <f>IF(B424="", "", 'Lighting Inventory'!AM432)</f>
        <v/>
      </c>
      <c r="AL424" s="26" t="str">
        <f>IF(B424="", "", 'Lighting Inventory'!AN432)</f>
        <v/>
      </c>
      <c r="AM424" s="26" t="str">
        <f t="shared" si="21"/>
        <v/>
      </c>
      <c r="AN424" s="26" t="str">
        <f>IF(B424="","",IF('Lighting Inventory'!AV432="","Prescribed",'Lighting Inventory'!AV432))</f>
        <v/>
      </c>
      <c r="AO424" s="66" t="str">
        <f>IF(B424="", "", 'Lighting Inventory'!AX432)</f>
        <v/>
      </c>
      <c r="AP424" s="67" t="str">
        <f>IF(B424="", "", 'Lighting Inventory'!AZ432)</f>
        <v/>
      </c>
      <c r="AQ424" s="67" t="str">
        <f>IF(B424="", "", 'Lighting Inventory'!BA432)</f>
        <v/>
      </c>
      <c r="AR424" s="67" t="str">
        <f>IF(B424="", "", 'Lighting Inventory'!BB432)</f>
        <v/>
      </c>
      <c r="AS424" s="67" t="str">
        <f>IF(B424="", "", 'Lighting Inventory'!BC432)</f>
        <v/>
      </c>
      <c r="AT424" s="67" t="str">
        <f>IF(B424="", "", 'Lighting Inventory'!BD432)</f>
        <v/>
      </c>
      <c r="AU424" s="67" t="str">
        <f>IF(B424="", "", 'Lighting Inventory'!BE432)</f>
        <v/>
      </c>
      <c r="AV424" s="67" t="str">
        <f>IF(B424="", "", 'Lighting Inventory'!BE432)</f>
        <v/>
      </c>
      <c r="AW424" s="67" t="str">
        <f>IF(B424="", "", 'Lighting Inventory'!BF432)</f>
        <v/>
      </c>
      <c r="AX424" s="67" t="str">
        <f>IF(B424="", "", 'Lighting Inventory'!BF432)</f>
        <v/>
      </c>
      <c r="AY424" s="65" t="str">
        <f t="shared" si="22"/>
        <v/>
      </c>
      <c r="AZ424" s="65" t="str">
        <f>IF(B424="", "", 'Lighting Inventory'!BJ432)</f>
        <v/>
      </c>
      <c r="BA424" s="65" t="str">
        <f>IF(B424="", "", 'Lighting Inventory'!BM432)</f>
        <v/>
      </c>
      <c r="BB424" s="65" t="str">
        <f>IF(B424="","",SUM('Lighting Inventory'!BP432:BP432))</f>
        <v/>
      </c>
      <c r="BC424" s="67" t="str">
        <f>IF(OR(AE424="", B424=""),"", 'Lighting Inventory'!GR432)</f>
        <v/>
      </c>
      <c r="BD424" s="67" t="str">
        <f>IFERROR(IF(B424="", "", 'Lighting Inventory'!AF432)*AD424," ")</f>
        <v xml:space="preserve"> </v>
      </c>
      <c r="BE424" s="67"/>
      <c r="BF424" s="67"/>
    </row>
    <row r="425" spans="1:58" x14ac:dyDescent="0.25">
      <c r="A425" s="26" t="str">
        <f>IF(B425="", "", 'Lookup Tables'!AW426)</f>
        <v/>
      </c>
      <c r="B425" s="26" t="str">
        <f>IF(OR('Lighting Inventory'!Y433="", 'Lighting Inventory'!V433="No Change"),"", 'Lighting Inventory'!Y433)</f>
        <v/>
      </c>
      <c r="C425" s="26" t="str">
        <f>IF(B425="", "", IF('Lighting Inventory'!Y433='Lookup Tables'!$Y$32, 'Lighting Inventory'!AJ433, IF(AD425=0, R425, AD425)))</f>
        <v/>
      </c>
      <c r="D425" s="26" t="str">
        <f>IF(B425="", "", 'General Information'!$F$14)</f>
        <v/>
      </c>
      <c r="E425" s="26" t="str">
        <f t="shared" si="20"/>
        <v/>
      </c>
      <c r="F425" s="26" t="str">
        <f>IF(B425="", "", CONCATENATE('General Information'!$F$9, " - ", 'General Information'!$F$14))</f>
        <v/>
      </c>
      <c r="G425" s="26" t="str">
        <f>IF(B425="", "", 'General Information'!$F$15)</f>
        <v/>
      </c>
      <c r="H425" s="26" t="str">
        <f>IF(B425="", "", IF(VLOOKUP(B425, 'Lookup Tables'!$Y$18:$AA$34, 2, FALSE)="Traffic", VLOOKUP('Lighting Inventory'!W433, 'Lookup Tables'!#REF!, 11, FALSE), VLOOKUP(B425, 'Lookup Tables'!$Y$18:$AA$34, 2, FALSE)))</f>
        <v/>
      </c>
      <c r="I425" s="26" t="str">
        <f>IF(B425="", "", CONCATENATE(D425, 'Data Export'!A425))</f>
        <v/>
      </c>
      <c r="J425" s="26" t="str">
        <f>IF(B425="", "", 'Lookup Tables'!$B$1)</f>
        <v/>
      </c>
      <c r="K425" s="26" t="str">
        <f>IF(B425="", "", 'Lighting Inventory'!B433)</f>
        <v/>
      </c>
      <c r="L425" s="26" t="str">
        <f>IF(B425="", "", 'Lighting Inventory'!C433)</f>
        <v/>
      </c>
      <c r="M425" s="26" t="str">
        <f>IF(B425="", "",'Lighting Inventory'!D433)</f>
        <v/>
      </c>
      <c r="N425" s="26" t="str">
        <f>IF(B425="", "",'Lighting Inventory'!E433)</f>
        <v/>
      </c>
      <c r="O425" s="26" t="str">
        <f>IF(B425="", "", 'Lighting Inventory'!F433)</f>
        <v/>
      </c>
      <c r="P425" s="26" t="str">
        <f>IF(B425="", "", 'Lighting Inventory'!G433)</f>
        <v/>
      </c>
      <c r="Q425" s="26" t="str">
        <f>IF(B425="", "", 'Lighting Inventory'!H433)</f>
        <v/>
      </c>
      <c r="R425" s="26" t="str">
        <f>IF(B425="", "", 'Lighting Inventory'!I433)</f>
        <v/>
      </c>
      <c r="S425" s="26" t="str">
        <f>IF(B425="", "", 'Lighting Inventory'!J433)</f>
        <v/>
      </c>
      <c r="T425" s="26" t="str">
        <f>IFERROR(IF(B425="","",VLOOKUP(S425,'Fixture Identities'!$A$7:$G$1023,5,FALSE)), "New Construction")</f>
        <v/>
      </c>
      <c r="U425" s="26" t="str">
        <f>IFERROR(IF(B425="", "", IF(K425="New Construction", "NC", IF(VLOOKUP(S425, 'Fixture Identities'!$A$7:$I$1023,3, FALSE)="T12 Linear Fluorescent", VLOOKUP(S425, 'Fixture Identities'!$A$7:$K$1012, 11, FALSE), S425))), "")</f>
        <v/>
      </c>
      <c r="V425" s="26" t="str">
        <f>IFERROR(IF(OR(B425="", U425=0), "", VLOOKUP(U425, 'Fixture Identities'!$A$7:$G$1023, 5, FALSE)), "")</f>
        <v/>
      </c>
      <c r="W425" s="26" t="str">
        <f>IF(B425="", "",'Lighting Inventory'!K433)</f>
        <v/>
      </c>
      <c r="X425" s="65" t="str">
        <f>IF(B425="", "", 'Lighting Inventory'!L433)</f>
        <v/>
      </c>
      <c r="Y425" s="26" t="str">
        <f>IF(B425="", "", IF('Lighting Inventory'!M433="", "Light Switch",'Lighting Inventory'!M433))</f>
        <v/>
      </c>
      <c r="Z425" s="26" t="str">
        <f>IF(OR(K425="Retrofit", B425=""), "", 'Lighting Inventory'!N433)</f>
        <v/>
      </c>
      <c r="AA425" s="26" t="str">
        <f>IF(OR(Z425="",B425=""), "", 'Lighting Inventory'!O433)</f>
        <v/>
      </c>
      <c r="AB425" s="26" t="str">
        <f>IF(B425="", "", 'Lighting Inventory'!P433)</f>
        <v/>
      </c>
      <c r="AC425" s="96" t="str">
        <f>IF(B425="", "", 'Lighting Inventory'!R433)</f>
        <v/>
      </c>
      <c r="AD425" s="26" t="str">
        <f>IF(B425="", "", 'Lighting Inventory'!S433)</f>
        <v/>
      </c>
      <c r="AE425" s="26" t="str">
        <f>IF(B425="", "", 'Lighting Inventory'!V433)</f>
        <v/>
      </c>
      <c r="AF425" s="26" t="str">
        <f>IF(B425="", "", 'Lighting Inventory'!W433)</f>
        <v/>
      </c>
      <c r="AG425" s="26" t="str">
        <f>IF(OR(AF425="", B425=""), "", IF(AE425="Custom", "0", VLOOKUP(AF425, 'Lookup Tables'!$AI$6:$AP$102, 8, FALSE)))</f>
        <v/>
      </c>
      <c r="AH425" s="26" t="str">
        <f>IF(B425="", "", 'Lighting Inventory'!AD433)</f>
        <v/>
      </c>
      <c r="AI425" s="26" t="str">
        <f>IF(OR('Lighting Inventory'!AK433="", B425=""), "", 'Lighting Inventory'!AK433)</f>
        <v/>
      </c>
      <c r="AJ425" s="66" t="str">
        <f>IF(B425="", "", 'Lighting Inventory'!AL433)</f>
        <v/>
      </c>
      <c r="AK425" s="65" t="str">
        <f>IF(B425="", "", 'Lighting Inventory'!AM433)</f>
        <v/>
      </c>
      <c r="AL425" s="26" t="str">
        <f>IF(B425="", "", 'Lighting Inventory'!AN433)</f>
        <v/>
      </c>
      <c r="AM425" s="26" t="str">
        <f t="shared" si="21"/>
        <v/>
      </c>
      <c r="AN425" s="26" t="str">
        <f>IF(B425="","",IF('Lighting Inventory'!AV433="","Prescribed",'Lighting Inventory'!AV433))</f>
        <v/>
      </c>
      <c r="AO425" s="66" t="str">
        <f>IF(B425="", "", 'Lighting Inventory'!AX433)</f>
        <v/>
      </c>
      <c r="AP425" s="67" t="str">
        <f>IF(B425="", "", 'Lighting Inventory'!AZ433)</f>
        <v/>
      </c>
      <c r="AQ425" s="67" t="str">
        <f>IF(B425="", "", 'Lighting Inventory'!BA433)</f>
        <v/>
      </c>
      <c r="AR425" s="67" t="str">
        <f>IF(B425="", "", 'Lighting Inventory'!BB433)</f>
        <v/>
      </c>
      <c r="AS425" s="67" t="str">
        <f>IF(B425="", "", 'Lighting Inventory'!BC433)</f>
        <v/>
      </c>
      <c r="AT425" s="67" t="str">
        <f>IF(B425="", "", 'Lighting Inventory'!BD433)</f>
        <v/>
      </c>
      <c r="AU425" s="67" t="str">
        <f>IF(B425="", "", 'Lighting Inventory'!BE433)</f>
        <v/>
      </c>
      <c r="AV425" s="67" t="str">
        <f>IF(B425="", "", 'Lighting Inventory'!BE433)</f>
        <v/>
      </c>
      <c r="AW425" s="67" t="str">
        <f>IF(B425="", "", 'Lighting Inventory'!BF433)</f>
        <v/>
      </c>
      <c r="AX425" s="67" t="str">
        <f>IF(B425="", "", 'Lighting Inventory'!BF433)</f>
        <v/>
      </c>
      <c r="AY425" s="65" t="str">
        <f t="shared" si="22"/>
        <v/>
      </c>
      <c r="AZ425" s="65" t="str">
        <f>IF(B425="", "", 'Lighting Inventory'!BJ433)</f>
        <v/>
      </c>
      <c r="BA425" s="65" t="str">
        <f>IF(B425="", "", 'Lighting Inventory'!BM433)</f>
        <v/>
      </c>
      <c r="BB425" s="65" t="str">
        <f>IF(B425="","",SUM('Lighting Inventory'!BP433:BP433))</f>
        <v/>
      </c>
      <c r="BC425" s="67" t="str">
        <f>IF(OR(AE425="", B425=""),"", 'Lighting Inventory'!GR433)</f>
        <v/>
      </c>
      <c r="BD425" s="67" t="str">
        <f>IFERROR(IF(B425="", "", 'Lighting Inventory'!AF433)*AD425," ")</f>
        <v xml:space="preserve"> </v>
      </c>
      <c r="BE425" s="67"/>
      <c r="BF425" s="67"/>
    </row>
    <row r="426" spans="1:58" x14ac:dyDescent="0.25">
      <c r="A426" s="26" t="str">
        <f>IF(B426="", "", 'Lookup Tables'!AW427)</f>
        <v/>
      </c>
      <c r="B426" s="26" t="str">
        <f>IF(OR('Lighting Inventory'!Y434="", 'Lighting Inventory'!V434="No Change"),"", 'Lighting Inventory'!Y434)</f>
        <v/>
      </c>
      <c r="C426" s="26" t="str">
        <f>IF(B426="", "", IF('Lighting Inventory'!Y434='Lookup Tables'!$Y$32, 'Lighting Inventory'!AJ434, IF(AD426=0, R426, AD426)))</f>
        <v/>
      </c>
      <c r="D426" s="26" t="str">
        <f>IF(B426="", "", 'General Information'!$F$14)</f>
        <v/>
      </c>
      <c r="E426" s="26" t="str">
        <f t="shared" si="20"/>
        <v/>
      </c>
      <c r="F426" s="26" t="str">
        <f>IF(B426="", "", CONCATENATE('General Information'!$F$9, " - ", 'General Information'!$F$14))</f>
        <v/>
      </c>
      <c r="G426" s="26" t="str">
        <f>IF(B426="", "", 'General Information'!$F$15)</f>
        <v/>
      </c>
      <c r="H426" s="26" t="str">
        <f>IF(B426="", "", IF(VLOOKUP(B426, 'Lookup Tables'!$Y$18:$AA$34, 2, FALSE)="Traffic", VLOOKUP('Lighting Inventory'!W434, 'Lookup Tables'!#REF!, 11, FALSE), VLOOKUP(B426, 'Lookup Tables'!$Y$18:$AA$34, 2, FALSE)))</f>
        <v/>
      </c>
      <c r="I426" s="26" t="str">
        <f>IF(B426="", "", CONCATENATE(D426, 'Data Export'!A426))</f>
        <v/>
      </c>
      <c r="J426" s="26" t="str">
        <f>IF(B426="", "", 'Lookup Tables'!$B$1)</f>
        <v/>
      </c>
      <c r="K426" s="26" t="str">
        <f>IF(B426="", "", 'Lighting Inventory'!B434)</f>
        <v/>
      </c>
      <c r="L426" s="26" t="str">
        <f>IF(B426="", "", 'Lighting Inventory'!C434)</f>
        <v/>
      </c>
      <c r="M426" s="26" t="str">
        <f>IF(B426="", "",'Lighting Inventory'!D434)</f>
        <v/>
      </c>
      <c r="N426" s="26" t="str">
        <f>IF(B426="", "",'Lighting Inventory'!E434)</f>
        <v/>
      </c>
      <c r="O426" s="26" t="str">
        <f>IF(B426="", "", 'Lighting Inventory'!F434)</f>
        <v/>
      </c>
      <c r="P426" s="26" t="str">
        <f>IF(B426="", "", 'Lighting Inventory'!G434)</f>
        <v/>
      </c>
      <c r="Q426" s="26" t="str">
        <f>IF(B426="", "", 'Lighting Inventory'!H434)</f>
        <v/>
      </c>
      <c r="R426" s="26" t="str">
        <f>IF(B426="", "", 'Lighting Inventory'!I434)</f>
        <v/>
      </c>
      <c r="S426" s="26" t="str">
        <f>IF(B426="", "", 'Lighting Inventory'!J434)</f>
        <v/>
      </c>
      <c r="T426" s="26" t="str">
        <f>IFERROR(IF(B426="","",VLOOKUP(S426,'Fixture Identities'!$A$7:$G$1023,5,FALSE)), "New Construction")</f>
        <v/>
      </c>
      <c r="U426" s="26" t="str">
        <f>IFERROR(IF(B426="", "", IF(K426="New Construction", "NC", IF(VLOOKUP(S426, 'Fixture Identities'!$A$7:$I$1023,3, FALSE)="T12 Linear Fluorescent", VLOOKUP(S426, 'Fixture Identities'!$A$7:$K$1012, 11, FALSE), S426))), "")</f>
        <v/>
      </c>
      <c r="V426" s="26" t="str">
        <f>IFERROR(IF(OR(B426="", U426=0), "", VLOOKUP(U426, 'Fixture Identities'!$A$7:$G$1023, 5, FALSE)), "")</f>
        <v/>
      </c>
      <c r="W426" s="26" t="str">
        <f>IF(B426="", "",'Lighting Inventory'!K434)</f>
        <v/>
      </c>
      <c r="X426" s="65" t="str">
        <f>IF(B426="", "", 'Lighting Inventory'!L434)</f>
        <v/>
      </c>
      <c r="Y426" s="26" t="str">
        <f>IF(B426="", "", IF('Lighting Inventory'!M434="", "Light Switch",'Lighting Inventory'!M434))</f>
        <v/>
      </c>
      <c r="Z426" s="26" t="str">
        <f>IF(OR(K426="Retrofit", B426=""), "", 'Lighting Inventory'!N434)</f>
        <v/>
      </c>
      <c r="AA426" s="26" t="str">
        <f>IF(OR(Z426="",B426=""), "", 'Lighting Inventory'!O434)</f>
        <v/>
      </c>
      <c r="AB426" s="26" t="str">
        <f>IF(B426="", "", 'Lighting Inventory'!P434)</f>
        <v/>
      </c>
      <c r="AC426" s="96" t="str">
        <f>IF(B426="", "", 'Lighting Inventory'!R434)</f>
        <v/>
      </c>
      <c r="AD426" s="26" t="str">
        <f>IF(B426="", "", 'Lighting Inventory'!S434)</f>
        <v/>
      </c>
      <c r="AE426" s="26" t="str">
        <f>IF(B426="", "", 'Lighting Inventory'!V434)</f>
        <v/>
      </c>
      <c r="AF426" s="26" t="str">
        <f>IF(B426="", "", 'Lighting Inventory'!W434)</f>
        <v/>
      </c>
      <c r="AG426" s="26" t="str">
        <f>IF(OR(AF426="", B426=""), "", IF(AE426="Custom", "0", VLOOKUP(AF426, 'Lookup Tables'!$AI$6:$AP$102, 8, FALSE)))</f>
        <v/>
      </c>
      <c r="AH426" s="26" t="str">
        <f>IF(B426="", "", 'Lighting Inventory'!AD434)</f>
        <v/>
      </c>
      <c r="AI426" s="26" t="str">
        <f>IF(OR('Lighting Inventory'!AK434="", B426=""), "", 'Lighting Inventory'!AK434)</f>
        <v/>
      </c>
      <c r="AJ426" s="66" t="str">
        <f>IF(B426="", "", 'Lighting Inventory'!AL434)</f>
        <v/>
      </c>
      <c r="AK426" s="65" t="str">
        <f>IF(B426="", "", 'Lighting Inventory'!AM434)</f>
        <v/>
      </c>
      <c r="AL426" s="26" t="str">
        <f>IF(B426="", "", 'Lighting Inventory'!AN434)</f>
        <v/>
      </c>
      <c r="AM426" s="26" t="str">
        <f t="shared" si="21"/>
        <v/>
      </c>
      <c r="AN426" s="26" t="str">
        <f>IF(B426="","",IF('Lighting Inventory'!AV434="","Prescribed",'Lighting Inventory'!AV434))</f>
        <v/>
      </c>
      <c r="AO426" s="66" t="str">
        <f>IF(B426="", "", 'Lighting Inventory'!AX434)</f>
        <v/>
      </c>
      <c r="AP426" s="67" t="str">
        <f>IF(B426="", "", 'Lighting Inventory'!AZ434)</f>
        <v/>
      </c>
      <c r="AQ426" s="67" t="str">
        <f>IF(B426="", "", 'Lighting Inventory'!BA434)</f>
        <v/>
      </c>
      <c r="AR426" s="67" t="str">
        <f>IF(B426="", "", 'Lighting Inventory'!BB434)</f>
        <v/>
      </c>
      <c r="AS426" s="67" t="str">
        <f>IF(B426="", "", 'Lighting Inventory'!BC434)</f>
        <v/>
      </c>
      <c r="AT426" s="67" t="str">
        <f>IF(B426="", "", 'Lighting Inventory'!BD434)</f>
        <v/>
      </c>
      <c r="AU426" s="67" t="str">
        <f>IF(B426="", "", 'Lighting Inventory'!BE434)</f>
        <v/>
      </c>
      <c r="AV426" s="67" t="str">
        <f>IF(B426="", "", 'Lighting Inventory'!BE434)</f>
        <v/>
      </c>
      <c r="AW426" s="67" t="str">
        <f>IF(B426="", "", 'Lighting Inventory'!BF434)</f>
        <v/>
      </c>
      <c r="AX426" s="67" t="str">
        <f>IF(B426="", "", 'Lighting Inventory'!BF434)</f>
        <v/>
      </c>
      <c r="AY426" s="65" t="str">
        <f t="shared" si="22"/>
        <v/>
      </c>
      <c r="AZ426" s="65" t="str">
        <f>IF(B426="", "", 'Lighting Inventory'!BJ434)</f>
        <v/>
      </c>
      <c r="BA426" s="65" t="str">
        <f>IF(B426="", "", 'Lighting Inventory'!BM434)</f>
        <v/>
      </c>
      <c r="BB426" s="65" t="str">
        <f>IF(B426="","",SUM('Lighting Inventory'!BP434:BP434))</f>
        <v/>
      </c>
      <c r="BC426" s="67" t="str">
        <f>IF(OR(AE426="", B426=""),"", 'Lighting Inventory'!GR434)</f>
        <v/>
      </c>
      <c r="BD426" s="67" t="str">
        <f>IFERROR(IF(B426="", "", 'Lighting Inventory'!AF434)*AD426," ")</f>
        <v xml:space="preserve"> </v>
      </c>
      <c r="BE426" s="67"/>
      <c r="BF426" s="67"/>
    </row>
    <row r="427" spans="1:58" x14ac:dyDescent="0.25">
      <c r="A427" s="26" t="str">
        <f>IF(B427="", "", 'Lookup Tables'!AW428)</f>
        <v/>
      </c>
      <c r="B427" s="26" t="str">
        <f>IF(OR('Lighting Inventory'!Y435="", 'Lighting Inventory'!V435="No Change"),"", 'Lighting Inventory'!Y435)</f>
        <v/>
      </c>
      <c r="C427" s="26" t="str">
        <f>IF(B427="", "", IF('Lighting Inventory'!Y435='Lookup Tables'!$Y$32, 'Lighting Inventory'!AJ435, IF(AD427=0, R427, AD427)))</f>
        <v/>
      </c>
      <c r="D427" s="26" t="str">
        <f>IF(B427="", "", 'General Information'!$F$14)</f>
        <v/>
      </c>
      <c r="E427" s="26" t="str">
        <f t="shared" si="20"/>
        <v/>
      </c>
      <c r="F427" s="26" t="str">
        <f>IF(B427="", "", CONCATENATE('General Information'!$F$9, " - ", 'General Information'!$F$14))</f>
        <v/>
      </c>
      <c r="G427" s="26" t="str">
        <f>IF(B427="", "", 'General Information'!$F$15)</f>
        <v/>
      </c>
      <c r="H427" s="26" t="str">
        <f>IF(B427="", "", IF(VLOOKUP(B427, 'Lookup Tables'!$Y$18:$AA$34, 2, FALSE)="Traffic", VLOOKUP('Lighting Inventory'!W435, 'Lookup Tables'!#REF!, 11, FALSE), VLOOKUP(B427, 'Lookup Tables'!$Y$18:$AA$34, 2, FALSE)))</f>
        <v/>
      </c>
      <c r="I427" s="26" t="str">
        <f>IF(B427="", "", CONCATENATE(D427, 'Data Export'!A427))</f>
        <v/>
      </c>
      <c r="J427" s="26" t="str">
        <f>IF(B427="", "", 'Lookup Tables'!$B$1)</f>
        <v/>
      </c>
      <c r="K427" s="26" t="str">
        <f>IF(B427="", "", 'Lighting Inventory'!B435)</f>
        <v/>
      </c>
      <c r="L427" s="26" t="str">
        <f>IF(B427="", "", 'Lighting Inventory'!C435)</f>
        <v/>
      </c>
      <c r="M427" s="26" t="str">
        <f>IF(B427="", "",'Lighting Inventory'!D435)</f>
        <v/>
      </c>
      <c r="N427" s="26" t="str">
        <f>IF(B427="", "",'Lighting Inventory'!E435)</f>
        <v/>
      </c>
      <c r="O427" s="26" t="str">
        <f>IF(B427="", "", 'Lighting Inventory'!F435)</f>
        <v/>
      </c>
      <c r="P427" s="26" t="str">
        <f>IF(B427="", "", 'Lighting Inventory'!G435)</f>
        <v/>
      </c>
      <c r="Q427" s="26" t="str">
        <f>IF(B427="", "", 'Lighting Inventory'!H435)</f>
        <v/>
      </c>
      <c r="R427" s="26" t="str">
        <f>IF(B427="", "", 'Lighting Inventory'!I435)</f>
        <v/>
      </c>
      <c r="S427" s="26" t="str">
        <f>IF(B427="", "", 'Lighting Inventory'!J435)</f>
        <v/>
      </c>
      <c r="T427" s="26" t="str">
        <f>IFERROR(IF(B427="","",VLOOKUP(S427,'Fixture Identities'!$A$7:$G$1023,5,FALSE)), "New Construction")</f>
        <v/>
      </c>
      <c r="U427" s="26" t="str">
        <f>IFERROR(IF(B427="", "", IF(K427="New Construction", "NC", IF(VLOOKUP(S427, 'Fixture Identities'!$A$7:$I$1023,3, FALSE)="T12 Linear Fluorescent", VLOOKUP(S427, 'Fixture Identities'!$A$7:$K$1012, 11, FALSE), S427))), "")</f>
        <v/>
      </c>
      <c r="V427" s="26" t="str">
        <f>IFERROR(IF(OR(B427="", U427=0), "", VLOOKUP(U427, 'Fixture Identities'!$A$7:$G$1023, 5, FALSE)), "")</f>
        <v/>
      </c>
      <c r="W427" s="26" t="str">
        <f>IF(B427="", "",'Lighting Inventory'!K435)</f>
        <v/>
      </c>
      <c r="X427" s="65" t="str">
        <f>IF(B427="", "", 'Lighting Inventory'!L435)</f>
        <v/>
      </c>
      <c r="Y427" s="26" t="str">
        <f>IF(B427="", "", IF('Lighting Inventory'!M435="", "Light Switch",'Lighting Inventory'!M435))</f>
        <v/>
      </c>
      <c r="Z427" s="26" t="str">
        <f>IF(OR(K427="Retrofit", B427=""), "", 'Lighting Inventory'!N435)</f>
        <v/>
      </c>
      <c r="AA427" s="26" t="str">
        <f>IF(OR(Z427="",B427=""), "", 'Lighting Inventory'!O435)</f>
        <v/>
      </c>
      <c r="AB427" s="26" t="str">
        <f>IF(B427="", "", 'Lighting Inventory'!P435)</f>
        <v/>
      </c>
      <c r="AC427" s="96" t="str">
        <f>IF(B427="", "", 'Lighting Inventory'!R435)</f>
        <v/>
      </c>
      <c r="AD427" s="26" t="str">
        <f>IF(B427="", "", 'Lighting Inventory'!S435)</f>
        <v/>
      </c>
      <c r="AE427" s="26" t="str">
        <f>IF(B427="", "", 'Lighting Inventory'!V435)</f>
        <v/>
      </c>
      <c r="AF427" s="26" t="str">
        <f>IF(B427="", "", 'Lighting Inventory'!W435)</f>
        <v/>
      </c>
      <c r="AG427" s="26" t="str">
        <f>IF(OR(AF427="", B427=""), "", IF(AE427="Custom", "0", VLOOKUP(AF427, 'Lookup Tables'!$AI$6:$AP$102, 8, FALSE)))</f>
        <v/>
      </c>
      <c r="AH427" s="26" t="str">
        <f>IF(B427="", "", 'Lighting Inventory'!AD435)</f>
        <v/>
      </c>
      <c r="AI427" s="26" t="str">
        <f>IF(OR('Lighting Inventory'!AK435="", B427=""), "", 'Lighting Inventory'!AK435)</f>
        <v/>
      </c>
      <c r="AJ427" s="66" t="str">
        <f>IF(B427="", "", 'Lighting Inventory'!AL435)</f>
        <v/>
      </c>
      <c r="AK427" s="65" t="str">
        <f>IF(B427="", "", 'Lighting Inventory'!AM435)</f>
        <v/>
      </c>
      <c r="AL427" s="26" t="str">
        <f>IF(B427="", "", 'Lighting Inventory'!AN435)</f>
        <v/>
      </c>
      <c r="AM427" s="26" t="str">
        <f t="shared" si="21"/>
        <v/>
      </c>
      <c r="AN427" s="26" t="str">
        <f>IF(B427="","",IF('Lighting Inventory'!AV435="","Prescribed",'Lighting Inventory'!AV435))</f>
        <v/>
      </c>
      <c r="AO427" s="66" t="str">
        <f>IF(B427="", "", 'Lighting Inventory'!AX435)</f>
        <v/>
      </c>
      <c r="AP427" s="67" t="str">
        <f>IF(B427="", "", 'Lighting Inventory'!AZ435)</f>
        <v/>
      </c>
      <c r="AQ427" s="67" t="str">
        <f>IF(B427="", "", 'Lighting Inventory'!BA435)</f>
        <v/>
      </c>
      <c r="AR427" s="67" t="str">
        <f>IF(B427="", "", 'Lighting Inventory'!BB435)</f>
        <v/>
      </c>
      <c r="AS427" s="67" t="str">
        <f>IF(B427="", "", 'Lighting Inventory'!BC435)</f>
        <v/>
      </c>
      <c r="AT427" s="67" t="str">
        <f>IF(B427="", "", 'Lighting Inventory'!BD435)</f>
        <v/>
      </c>
      <c r="AU427" s="67" t="str">
        <f>IF(B427="", "", 'Lighting Inventory'!BE435)</f>
        <v/>
      </c>
      <c r="AV427" s="67" t="str">
        <f>IF(B427="", "", 'Lighting Inventory'!BE435)</f>
        <v/>
      </c>
      <c r="AW427" s="67" t="str">
        <f>IF(B427="", "", 'Lighting Inventory'!BF435)</f>
        <v/>
      </c>
      <c r="AX427" s="67" t="str">
        <f>IF(B427="", "", 'Lighting Inventory'!BF435)</f>
        <v/>
      </c>
      <c r="AY427" s="65" t="str">
        <f t="shared" si="22"/>
        <v/>
      </c>
      <c r="AZ427" s="65" t="str">
        <f>IF(B427="", "", 'Lighting Inventory'!BJ435)</f>
        <v/>
      </c>
      <c r="BA427" s="65" t="str">
        <f>IF(B427="", "", 'Lighting Inventory'!BM435)</f>
        <v/>
      </c>
      <c r="BB427" s="65" t="str">
        <f>IF(B427="","",SUM('Lighting Inventory'!BP435:BP435))</f>
        <v/>
      </c>
      <c r="BC427" s="67" t="str">
        <f>IF(OR(AE427="", B427=""),"", 'Lighting Inventory'!GR435)</f>
        <v/>
      </c>
      <c r="BD427" s="67" t="str">
        <f>IFERROR(IF(B427="", "", 'Lighting Inventory'!AF435)*AD427," ")</f>
        <v xml:space="preserve"> </v>
      </c>
      <c r="BE427" s="67"/>
      <c r="BF427" s="67"/>
    </row>
    <row r="428" spans="1:58" x14ac:dyDescent="0.25">
      <c r="A428" s="26" t="str">
        <f>IF(B428="", "", 'Lookup Tables'!AW429)</f>
        <v/>
      </c>
      <c r="B428" s="26" t="str">
        <f>IF(OR('Lighting Inventory'!Y436="", 'Lighting Inventory'!V436="No Change"),"", 'Lighting Inventory'!Y436)</f>
        <v/>
      </c>
      <c r="C428" s="26" t="str">
        <f>IF(B428="", "", IF('Lighting Inventory'!Y436='Lookup Tables'!$Y$32, 'Lighting Inventory'!AJ436, IF(AD428=0, R428, AD428)))</f>
        <v/>
      </c>
      <c r="D428" s="26" t="str">
        <f>IF(B428="", "", 'General Information'!$F$14)</f>
        <v/>
      </c>
      <c r="E428" s="26" t="str">
        <f t="shared" si="20"/>
        <v/>
      </c>
      <c r="F428" s="26" t="str">
        <f>IF(B428="", "", CONCATENATE('General Information'!$F$9, " - ", 'General Information'!$F$14))</f>
        <v/>
      </c>
      <c r="G428" s="26" t="str">
        <f>IF(B428="", "", 'General Information'!$F$15)</f>
        <v/>
      </c>
      <c r="H428" s="26" t="str">
        <f>IF(B428="", "", IF(VLOOKUP(B428, 'Lookup Tables'!$Y$18:$AA$34, 2, FALSE)="Traffic", VLOOKUP('Lighting Inventory'!W436, 'Lookup Tables'!#REF!, 11, FALSE), VLOOKUP(B428, 'Lookup Tables'!$Y$18:$AA$34, 2, FALSE)))</f>
        <v/>
      </c>
      <c r="I428" s="26" t="str">
        <f>IF(B428="", "", CONCATENATE(D428, 'Data Export'!A428))</f>
        <v/>
      </c>
      <c r="J428" s="26" t="str">
        <f>IF(B428="", "", 'Lookup Tables'!$B$1)</f>
        <v/>
      </c>
      <c r="K428" s="26" t="str">
        <f>IF(B428="", "", 'Lighting Inventory'!B436)</f>
        <v/>
      </c>
      <c r="L428" s="26" t="str">
        <f>IF(B428="", "", 'Lighting Inventory'!C436)</f>
        <v/>
      </c>
      <c r="M428" s="26" t="str">
        <f>IF(B428="", "",'Lighting Inventory'!D436)</f>
        <v/>
      </c>
      <c r="N428" s="26" t="str">
        <f>IF(B428="", "",'Lighting Inventory'!E436)</f>
        <v/>
      </c>
      <c r="O428" s="26" t="str">
        <f>IF(B428="", "", 'Lighting Inventory'!F436)</f>
        <v/>
      </c>
      <c r="P428" s="26" t="str">
        <f>IF(B428="", "", 'Lighting Inventory'!G436)</f>
        <v/>
      </c>
      <c r="Q428" s="26" t="str">
        <f>IF(B428="", "", 'Lighting Inventory'!H436)</f>
        <v/>
      </c>
      <c r="R428" s="26" t="str">
        <f>IF(B428="", "", 'Lighting Inventory'!I436)</f>
        <v/>
      </c>
      <c r="S428" s="26" t="str">
        <f>IF(B428="", "", 'Lighting Inventory'!J436)</f>
        <v/>
      </c>
      <c r="T428" s="26" t="str">
        <f>IFERROR(IF(B428="","",VLOOKUP(S428,'Fixture Identities'!$A$7:$G$1023,5,FALSE)), "New Construction")</f>
        <v/>
      </c>
      <c r="U428" s="26" t="str">
        <f>IFERROR(IF(B428="", "", IF(K428="New Construction", "NC", IF(VLOOKUP(S428, 'Fixture Identities'!$A$7:$I$1023,3, FALSE)="T12 Linear Fluorescent", VLOOKUP(S428, 'Fixture Identities'!$A$7:$K$1012, 11, FALSE), S428))), "")</f>
        <v/>
      </c>
      <c r="V428" s="26" t="str">
        <f>IFERROR(IF(OR(B428="", U428=0), "", VLOOKUP(U428, 'Fixture Identities'!$A$7:$G$1023, 5, FALSE)), "")</f>
        <v/>
      </c>
      <c r="W428" s="26" t="str">
        <f>IF(B428="", "",'Lighting Inventory'!K436)</f>
        <v/>
      </c>
      <c r="X428" s="65" t="str">
        <f>IF(B428="", "", 'Lighting Inventory'!L436)</f>
        <v/>
      </c>
      <c r="Y428" s="26" t="str">
        <f>IF(B428="", "", IF('Lighting Inventory'!M436="", "Light Switch",'Lighting Inventory'!M436))</f>
        <v/>
      </c>
      <c r="Z428" s="26" t="str">
        <f>IF(OR(K428="Retrofit", B428=""), "", 'Lighting Inventory'!N436)</f>
        <v/>
      </c>
      <c r="AA428" s="26" t="str">
        <f>IF(OR(Z428="",B428=""), "", 'Lighting Inventory'!O436)</f>
        <v/>
      </c>
      <c r="AB428" s="26" t="str">
        <f>IF(B428="", "", 'Lighting Inventory'!P436)</f>
        <v/>
      </c>
      <c r="AC428" s="96" t="str">
        <f>IF(B428="", "", 'Lighting Inventory'!R436)</f>
        <v/>
      </c>
      <c r="AD428" s="26" t="str">
        <f>IF(B428="", "", 'Lighting Inventory'!S436)</f>
        <v/>
      </c>
      <c r="AE428" s="26" t="str">
        <f>IF(B428="", "", 'Lighting Inventory'!V436)</f>
        <v/>
      </c>
      <c r="AF428" s="26" t="str">
        <f>IF(B428="", "", 'Lighting Inventory'!W436)</f>
        <v/>
      </c>
      <c r="AG428" s="26" t="str">
        <f>IF(OR(AF428="", B428=""), "", IF(AE428="Custom", "0", VLOOKUP(AF428, 'Lookup Tables'!$AI$6:$AP$102, 8, FALSE)))</f>
        <v/>
      </c>
      <c r="AH428" s="26" t="str">
        <f>IF(B428="", "", 'Lighting Inventory'!AD436)</f>
        <v/>
      </c>
      <c r="AI428" s="26" t="str">
        <f>IF(OR('Lighting Inventory'!AK436="", B428=""), "", 'Lighting Inventory'!AK436)</f>
        <v/>
      </c>
      <c r="AJ428" s="66" t="str">
        <f>IF(B428="", "", 'Lighting Inventory'!AL436)</f>
        <v/>
      </c>
      <c r="AK428" s="65" t="str">
        <f>IF(B428="", "", 'Lighting Inventory'!AM436)</f>
        <v/>
      </c>
      <c r="AL428" s="26" t="str">
        <f>IF(B428="", "", 'Lighting Inventory'!AN436)</f>
        <v/>
      </c>
      <c r="AM428" s="26" t="str">
        <f t="shared" si="21"/>
        <v/>
      </c>
      <c r="AN428" s="26" t="str">
        <f>IF(B428="","",IF('Lighting Inventory'!AV436="","Prescribed",'Lighting Inventory'!AV436))</f>
        <v/>
      </c>
      <c r="AO428" s="66" t="str">
        <f>IF(B428="", "", 'Lighting Inventory'!AX436)</f>
        <v/>
      </c>
      <c r="AP428" s="67" t="str">
        <f>IF(B428="", "", 'Lighting Inventory'!AZ436)</f>
        <v/>
      </c>
      <c r="AQ428" s="67" t="str">
        <f>IF(B428="", "", 'Lighting Inventory'!BA436)</f>
        <v/>
      </c>
      <c r="AR428" s="67" t="str">
        <f>IF(B428="", "", 'Lighting Inventory'!BB436)</f>
        <v/>
      </c>
      <c r="AS428" s="67" t="str">
        <f>IF(B428="", "", 'Lighting Inventory'!BC436)</f>
        <v/>
      </c>
      <c r="AT428" s="67" t="str">
        <f>IF(B428="", "", 'Lighting Inventory'!BD436)</f>
        <v/>
      </c>
      <c r="AU428" s="67" t="str">
        <f>IF(B428="", "", 'Lighting Inventory'!BE436)</f>
        <v/>
      </c>
      <c r="AV428" s="67" t="str">
        <f>IF(B428="", "", 'Lighting Inventory'!BE436)</f>
        <v/>
      </c>
      <c r="AW428" s="67" t="str">
        <f>IF(B428="", "", 'Lighting Inventory'!BF436)</f>
        <v/>
      </c>
      <c r="AX428" s="67" t="str">
        <f>IF(B428="", "", 'Lighting Inventory'!BF436)</f>
        <v/>
      </c>
      <c r="AY428" s="65" t="str">
        <f t="shared" si="22"/>
        <v/>
      </c>
      <c r="AZ428" s="65" t="str">
        <f>IF(B428="", "", 'Lighting Inventory'!BJ436)</f>
        <v/>
      </c>
      <c r="BA428" s="65" t="str">
        <f>IF(B428="", "", 'Lighting Inventory'!BM436)</f>
        <v/>
      </c>
      <c r="BB428" s="65" t="str">
        <f>IF(B428="","",SUM('Lighting Inventory'!BP436:BP436))</f>
        <v/>
      </c>
      <c r="BC428" s="67" t="str">
        <f>IF(OR(AE428="", B428=""),"", 'Lighting Inventory'!GR436)</f>
        <v/>
      </c>
      <c r="BD428" s="67" t="str">
        <f>IFERROR(IF(B428="", "", 'Lighting Inventory'!AF436)*AD428," ")</f>
        <v xml:space="preserve"> </v>
      </c>
      <c r="BE428" s="67"/>
      <c r="BF428" s="67"/>
    </row>
    <row r="429" spans="1:58" x14ac:dyDescent="0.25">
      <c r="A429" s="26" t="str">
        <f>IF(B429="", "", 'Lookup Tables'!AW430)</f>
        <v/>
      </c>
      <c r="B429" s="26" t="str">
        <f>IF(OR('Lighting Inventory'!Y437="", 'Lighting Inventory'!V437="No Change"),"", 'Lighting Inventory'!Y437)</f>
        <v/>
      </c>
      <c r="C429" s="26" t="str">
        <f>IF(B429="", "", IF('Lighting Inventory'!Y437='Lookup Tables'!$Y$32, 'Lighting Inventory'!AJ437, IF(AD429=0, R429, AD429)))</f>
        <v/>
      </c>
      <c r="D429" s="26" t="str">
        <f>IF(B429="", "", 'General Information'!$F$14)</f>
        <v/>
      </c>
      <c r="E429" s="26" t="str">
        <f t="shared" si="20"/>
        <v/>
      </c>
      <c r="F429" s="26" t="str">
        <f>IF(B429="", "", CONCATENATE('General Information'!$F$9, " - ", 'General Information'!$F$14))</f>
        <v/>
      </c>
      <c r="G429" s="26" t="str">
        <f>IF(B429="", "", 'General Information'!$F$15)</f>
        <v/>
      </c>
      <c r="H429" s="26" t="str">
        <f>IF(B429="", "", IF(VLOOKUP(B429, 'Lookup Tables'!$Y$18:$AA$34, 2, FALSE)="Traffic", VLOOKUP('Lighting Inventory'!W437, 'Lookup Tables'!#REF!, 11, FALSE), VLOOKUP(B429, 'Lookup Tables'!$Y$18:$AA$34, 2, FALSE)))</f>
        <v/>
      </c>
      <c r="I429" s="26" t="str">
        <f>IF(B429="", "", CONCATENATE(D429, 'Data Export'!A429))</f>
        <v/>
      </c>
      <c r="J429" s="26" t="str">
        <f>IF(B429="", "", 'Lookup Tables'!$B$1)</f>
        <v/>
      </c>
      <c r="K429" s="26" t="str">
        <f>IF(B429="", "", 'Lighting Inventory'!B437)</f>
        <v/>
      </c>
      <c r="L429" s="26" t="str">
        <f>IF(B429="", "", 'Lighting Inventory'!C437)</f>
        <v/>
      </c>
      <c r="M429" s="26" t="str">
        <f>IF(B429="", "",'Lighting Inventory'!D437)</f>
        <v/>
      </c>
      <c r="N429" s="26" t="str">
        <f>IF(B429="", "",'Lighting Inventory'!E437)</f>
        <v/>
      </c>
      <c r="O429" s="26" t="str">
        <f>IF(B429="", "", 'Lighting Inventory'!F437)</f>
        <v/>
      </c>
      <c r="P429" s="26" t="str">
        <f>IF(B429="", "", 'Lighting Inventory'!G437)</f>
        <v/>
      </c>
      <c r="Q429" s="26" t="str">
        <f>IF(B429="", "", 'Lighting Inventory'!H437)</f>
        <v/>
      </c>
      <c r="R429" s="26" t="str">
        <f>IF(B429="", "", 'Lighting Inventory'!I437)</f>
        <v/>
      </c>
      <c r="S429" s="26" t="str">
        <f>IF(B429="", "", 'Lighting Inventory'!J437)</f>
        <v/>
      </c>
      <c r="T429" s="26" t="str">
        <f>IFERROR(IF(B429="","",VLOOKUP(S429,'Fixture Identities'!$A$7:$G$1023,5,FALSE)), "New Construction")</f>
        <v/>
      </c>
      <c r="U429" s="26" t="str">
        <f>IFERROR(IF(B429="", "", IF(K429="New Construction", "NC", IF(VLOOKUP(S429, 'Fixture Identities'!$A$7:$I$1023,3, FALSE)="T12 Linear Fluorescent", VLOOKUP(S429, 'Fixture Identities'!$A$7:$K$1012, 11, FALSE), S429))), "")</f>
        <v/>
      </c>
      <c r="V429" s="26" t="str">
        <f>IFERROR(IF(OR(B429="", U429=0), "", VLOOKUP(U429, 'Fixture Identities'!$A$7:$G$1023, 5, FALSE)), "")</f>
        <v/>
      </c>
      <c r="W429" s="26" t="str">
        <f>IF(B429="", "",'Lighting Inventory'!K437)</f>
        <v/>
      </c>
      <c r="X429" s="65" t="str">
        <f>IF(B429="", "", 'Lighting Inventory'!L437)</f>
        <v/>
      </c>
      <c r="Y429" s="26" t="str">
        <f>IF(B429="", "", IF('Lighting Inventory'!M437="", "Light Switch",'Lighting Inventory'!M437))</f>
        <v/>
      </c>
      <c r="Z429" s="26" t="str">
        <f>IF(OR(K429="Retrofit", B429=""), "", 'Lighting Inventory'!N437)</f>
        <v/>
      </c>
      <c r="AA429" s="26" t="str">
        <f>IF(OR(Z429="",B429=""), "", 'Lighting Inventory'!O437)</f>
        <v/>
      </c>
      <c r="AB429" s="26" t="str">
        <f>IF(B429="", "", 'Lighting Inventory'!P437)</f>
        <v/>
      </c>
      <c r="AC429" s="96" t="str">
        <f>IF(B429="", "", 'Lighting Inventory'!R437)</f>
        <v/>
      </c>
      <c r="AD429" s="26" t="str">
        <f>IF(B429="", "", 'Lighting Inventory'!S437)</f>
        <v/>
      </c>
      <c r="AE429" s="26" t="str">
        <f>IF(B429="", "", 'Lighting Inventory'!V437)</f>
        <v/>
      </c>
      <c r="AF429" s="26" t="str">
        <f>IF(B429="", "", 'Lighting Inventory'!W437)</f>
        <v/>
      </c>
      <c r="AG429" s="26" t="str">
        <f>IF(OR(AF429="", B429=""), "", IF(AE429="Custom", "0", VLOOKUP(AF429, 'Lookup Tables'!$AI$6:$AP$102, 8, FALSE)))</f>
        <v/>
      </c>
      <c r="AH429" s="26" t="str">
        <f>IF(B429="", "", 'Lighting Inventory'!AD437)</f>
        <v/>
      </c>
      <c r="AI429" s="26" t="str">
        <f>IF(OR('Lighting Inventory'!AK437="", B429=""), "", 'Lighting Inventory'!AK437)</f>
        <v/>
      </c>
      <c r="AJ429" s="66" t="str">
        <f>IF(B429="", "", 'Lighting Inventory'!AL437)</f>
        <v/>
      </c>
      <c r="AK429" s="65" t="str">
        <f>IF(B429="", "", 'Lighting Inventory'!AM437)</f>
        <v/>
      </c>
      <c r="AL429" s="26" t="str">
        <f>IF(B429="", "", 'Lighting Inventory'!AN437)</f>
        <v/>
      </c>
      <c r="AM429" s="26" t="str">
        <f t="shared" si="21"/>
        <v/>
      </c>
      <c r="AN429" s="26" t="str">
        <f>IF(B429="","",IF('Lighting Inventory'!AV437="","Prescribed",'Lighting Inventory'!AV437))</f>
        <v/>
      </c>
      <c r="AO429" s="66" t="str">
        <f>IF(B429="", "", 'Lighting Inventory'!AX437)</f>
        <v/>
      </c>
      <c r="AP429" s="67" t="str">
        <f>IF(B429="", "", 'Lighting Inventory'!AZ437)</f>
        <v/>
      </c>
      <c r="AQ429" s="67" t="str">
        <f>IF(B429="", "", 'Lighting Inventory'!BA437)</f>
        <v/>
      </c>
      <c r="AR429" s="67" t="str">
        <f>IF(B429="", "", 'Lighting Inventory'!BB437)</f>
        <v/>
      </c>
      <c r="AS429" s="67" t="str">
        <f>IF(B429="", "", 'Lighting Inventory'!BC437)</f>
        <v/>
      </c>
      <c r="AT429" s="67" t="str">
        <f>IF(B429="", "", 'Lighting Inventory'!BD437)</f>
        <v/>
      </c>
      <c r="AU429" s="67" t="str">
        <f>IF(B429="", "", 'Lighting Inventory'!BE437)</f>
        <v/>
      </c>
      <c r="AV429" s="67" t="str">
        <f>IF(B429="", "", 'Lighting Inventory'!BE437)</f>
        <v/>
      </c>
      <c r="AW429" s="67" t="str">
        <f>IF(B429="", "", 'Lighting Inventory'!BF437)</f>
        <v/>
      </c>
      <c r="AX429" s="67" t="str">
        <f>IF(B429="", "", 'Lighting Inventory'!BF437)</f>
        <v/>
      </c>
      <c r="AY429" s="65" t="str">
        <f t="shared" si="22"/>
        <v/>
      </c>
      <c r="AZ429" s="65" t="str">
        <f>IF(B429="", "", 'Lighting Inventory'!BJ437)</f>
        <v/>
      </c>
      <c r="BA429" s="65" t="str">
        <f>IF(B429="", "", 'Lighting Inventory'!BM437)</f>
        <v/>
      </c>
      <c r="BB429" s="65" t="str">
        <f>IF(B429="","",SUM('Lighting Inventory'!BP437:BP437))</f>
        <v/>
      </c>
      <c r="BC429" s="67" t="str">
        <f>IF(OR(AE429="", B429=""),"", 'Lighting Inventory'!GR437)</f>
        <v/>
      </c>
      <c r="BD429" s="67" t="str">
        <f>IFERROR(IF(B429="", "", 'Lighting Inventory'!AF437)*AD429," ")</f>
        <v xml:space="preserve"> </v>
      </c>
      <c r="BE429" s="67"/>
      <c r="BF429" s="67"/>
    </row>
    <row r="430" spans="1:58" x14ac:dyDescent="0.25">
      <c r="A430" s="26" t="str">
        <f>IF(B430="", "", 'Lookup Tables'!AW431)</f>
        <v/>
      </c>
      <c r="B430" s="26" t="str">
        <f>IF(OR('Lighting Inventory'!Y438="", 'Lighting Inventory'!V438="No Change"),"", 'Lighting Inventory'!Y438)</f>
        <v/>
      </c>
      <c r="C430" s="26" t="str">
        <f>IF(B430="", "", IF('Lighting Inventory'!Y438='Lookup Tables'!$Y$32, 'Lighting Inventory'!AJ438, IF(AD430=0, R430, AD430)))</f>
        <v/>
      </c>
      <c r="D430" s="26" t="str">
        <f>IF(B430="", "", 'General Information'!$F$14)</f>
        <v/>
      </c>
      <c r="E430" s="26" t="str">
        <f t="shared" si="20"/>
        <v/>
      </c>
      <c r="F430" s="26" t="str">
        <f>IF(B430="", "", CONCATENATE('General Information'!$F$9, " - ", 'General Information'!$F$14))</f>
        <v/>
      </c>
      <c r="G430" s="26" t="str">
        <f>IF(B430="", "", 'General Information'!$F$15)</f>
        <v/>
      </c>
      <c r="H430" s="26" t="str">
        <f>IF(B430="", "", IF(VLOOKUP(B430, 'Lookup Tables'!$Y$18:$AA$34, 2, FALSE)="Traffic", VLOOKUP('Lighting Inventory'!W438, 'Lookup Tables'!#REF!, 11, FALSE), VLOOKUP(B430, 'Lookup Tables'!$Y$18:$AA$34, 2, FALSE)))</f>
        <v/>
      </c>
      <c r="I430" s="26" t="str">
        <f>IF(B430="", "", CONCATENATE(D430, 'Data Export'!A430))</f>
        <v/>
      </c>
      <c r="J430" s="26" t="str">
        <f>IF(B430="", "", 'Lookup Tables'!$B$1)</f>
        <v/>
      </c>
      <c r="K430" s="26" t="str">
        <f>IF(B430="", "", 'Lighting Inventory'!B438)</f>
        <v/>
      </c>
      <c r="L430" s="26" t="str">
        <f>IF(B430="", "", 'Lighting Inventory'!C438)</f>
        <v/>
      </c>
      <c r="M430" s="26" t="str">
        <f>IF(B430="", "",'Lighting Inventory'!D438)</f>
        <v/>
      </c>
      <c r="N430" s="26" t="str">
        <f>IF(B430="", "",'Lighting Inventory'!E438)</f>
        <v/>
      </c>
      <c r="O430" s="26" t="str">
        <f>IF(B430="", "", 'Lighting Inventory'!F438)</f>
        <v/>
      </c>
      <c r="P430" s="26" t="str">
        <f>IF(B430="", "", 'Lighting Inventory'!G438)</f>
        <v/>
      </c>
      <c r="Q430" s="26" t="str">
        <f>IF(B430="", "", 'Lighting Inventory'!H438)</f>
        <v/>
      </c>
      <c r="R430" s="26" t="str">
        <f>IF(B430="", "", 'Lighting Inventory'!I438)</f>
        <v/>
      </c>
      <c r="S430" s="26" t="str">
        <f>IF(B430="", "", 'Lighting Inventory'!J438)</f>
        <v/>
      </c>
      <c r="T430" s="26" t="str">
        <f>IFERROR(IF(B430="","",VLOOKUP(S430,'Fixture Identities'!$A$7:$G$1023,5,FALSE)), "New Construction")</f>
        <v/>
      </c>
      <c r="U430" s="26" t="str">
        <f>IFERROR(IF(B430="", "", IF(K430="New Construction", "NC", IF(VLOOKUP(S430, 'Fixture Identities'!$A$7:$I$1023,3, FALSE)="T12 Linear Fluorescent", VLOOKUP(S430, 'Fixture Identities'!$A$7:$K$1012, 11, FALSE), S430))), "")</f>
        <v/>
      </c>
      <c r="V430" s="26" t="str">
        <f>IFERROR(IF(OR(B430="", U430=0), "", VLOOKUP(U430, 'Fixture Identities'!$A$7:$G$1023, 5, FALSE)), "")</f>
        <v/>
      </c>
      <c r="W430" s="26" t="str">
        <f>IF(B430="", "",'Lighting Inventory'!K438)</f>
        <v/>
      </c>
      <c r="X430" s="65" t="str">
        <f>IF(B430="", "", 'Lighting Inventory'!L438)</f>
        <v/>
      </c>
      <c r="Y430" s="26" t="str">
        <f>IF(B430="", "", IF('Lighting Inventory'!M438="", "Light Switch",'Lighting Inventory'!M438))</f>
        <v/>
      </c>
      <c r="Z430" s="26" t="str">
        <f>IF(OR(K430="Retrofit", B430=""), "", 'Lighting Inventory'!N438)</f>
        <v/>
      </c>
      <c r="AA430" s="26" t="str">
        <f>IF(OR(Z430="",B430=""), "", 'Lighting Inventory'!O438)</f>
        <v/>
      </c>
      <c r="AB430" s="26" t="str">
        <f>IF(B430="", "", 'Lighting Inventory'!P438)</f>
        <v/>
      </c>
      <c r="AC430" s="96" t="str">
        <f>IF(B430="", "", 'Lighting Inventory'!R438)</f>
        <v/>
      </c>
      <c r="AD430" s="26" t="str">
        <f>IF(B430="", "", 'Lighting Inventory'!S438)</f>
        <v/>
      </c>
      <c r="AE430" s="26" t="str">
        <f>IF(B430="", "", 'Lighting Inventory'!V438)</f>
        <v/>
      </c>
      <c r="AF430" s="26" t="str">
        <f>IF(B430="", "", 'Lighting Inventory'!W438)</f>
        <v/>
      </c>
      <c r="AG430" s="26" t="str">
        <f>IF(OR(AF430="", B430=""), "", IF(AE430="Custom", "0", VLOOKUP(AF430, 'Lookup Tables'!$AI$6:$AP$102, 8, FALSE)))</f>
        <v/>
      </c>
      <c r="AH430" s="26" t="str">
        <f>IF(B430="", "", 'Lighting Inventory'!AD438)</f>
        <v/>
      </c>
      <c r="AI430" s="26" t="str">
        <f>IF(OR('Lighting Inventory'!AK438="", B430=""), "", 'Lighting Inventory'!AK438)</f>
        <v/>
      </c>
      <c r="AJ430" s="66" t="str">
        <f>IF(B430="", "", 'Lighting Inventory'!AL438)</f>
        <v/>
      </c>
      <c r="AK430" s="65" t="str">
        <f>IF(B430="", "", 'Lighting Inventory'!AM438)</f>
        <v/>
      </c>
      <c r="AL430" s="26" t="str">
        <f>IF(B430="", "", 'Lighting Inventory'!AN438)</f>
        <v/>
      </c>
      <c r="AM430" s="26" t="str">
        <f t="shared" si="21"/>
        <v/>
      </c>
      <c r="AN430" s="26" t="str">
        <f>IF(B430="","",IF('Lighting Inventory'!AV438="","Prescribed",'Lighting Inventory'!AV438))</f>
        <v/>
      </c>
      <c r="AO430" s="66" t="str">
        <f>IF(B430="", "", 'Lighting Inventory'!AX438)</f>
        <v/>
      </c>
      <c r="AP430" s="67" t="str">
        <f>IF(B430="", "", 'Lighting Inventory'!AZ438)</f>
        <v/>
      </c>
      <c r="AQ430" s="67" t="str">
        <f>IF(B430="", "", 'Lighting Inventory'!BA438)</f>
        <v/>
      </c>
      <c r="AR430" s="67" t="str">
        <f>IF(B430="", "", 'Lighting Inventory'!BB438)</f>
        <v/>
      </c>
      <c r="AS430" s="67" t="str">
        <f>IF(B430="", "", 'Lighting Inventory'!BC438)</f>
        <v/>
      </c>
      <c r="AT430" s="67" t="str">
        <f>IF(B430="", "", 'Lighting Inventory'!BD438)</f>
        <v/>
      </c>
      <c r="AU430" s="67" t="str">
        <f>IF(B430="", "", 'Lighting Inventory'!BE438)</f>
        <v/>
      </c>
      <c r="AV430" s="67" t="str">
        <f>IF(B430="", "", 'Lighting Inventory'!BE438)</f>
        <v/>
      </c>
      <c r="AW430" s="67" t="str">
        <f>IF(B430="", "", 'Lighting Inventory'!BF438)</f>
        <v/>
      </c>
      <c r="AX430" s="67" t="str">
        <f>IF(B430="", "", 'Lighting Inventory'!BF438)</f>
        <v/>
      </c>
      <c r="AY430" s="65" t="str">
        <f t="shared" si="22"/>
        <v/>
      </c>
      <c r="AZ430" s="65" t="str">
        <f>IF(B430="", "", 'Lighting Inventory'!BJ438)</f>
        <v/>
      </c>
      <c r="BA430" s="65" t="str">
        <f>IF(B430="", "", 'Lighting Inventory'!BM438)</f>
        <v/>
      </c>
      <c r="BB430" s="65" t="str">
        <f>IF(B430="","",SUM('Lighting Inventory'!BP438:BP438))</f>
        <v/>
      </c>
      <c r="BC430" s="67" t="str">
        <f>IF(OR(AE430="", B430=""),"", 'Lighting Inventory'!GR438)</f>
        <v/>
      </c>
      <c r="BD430" s="67" t="str">
        <f>IFERROR(IF(B430="", "", 'Lighting Inventory'!AF438)*AD430," ")</f>
        <v xml:space="preserve"> </v>
      </c>
      <c r="BE430" s="67"/>
      <c r="BF430" s="67"/>
    </row>
    <row r="431" spans="1:58" x14ac:dyDescent="0.25">
      <c r="A431" s="26" t="str">
        <f>IF(B431="", "", 'Lookup Tables'!AW432)</f>
        <v/>
      </c>
      <c r="B431" s="26" t="str">
        <f>IF(OR('Lighting Inventory'!Y439="", 'Lighting Inventory'!V439="No Change"),"", 'Lighting Inventory'!Y439)</f>
        <v/>
      </c>
      <c r="C431" s="26" t="str">
        <f>IF(B431="", "", IF('Lighting Inventory'!Y439='Lookup Tables'!$Y$32, 'Lighting Inventory'!AJ439, IF(AD431=0, R431, AD431)))</f>
        <v/>
      </c>
      <c r="D431" s="26" t="str">
        <f>IF(B431="", "", 'General Information'!$F$14)</f>
        <v/>
      </c>
      <c r="E431" s="26" t="str">
        <f t="shared" si="20"/>
        <v/>
      </c>
      <c r="F431" s="26" t="str">
        <f>IF(B431="", "", CONCATENATE('General Information'!$F$9, " - ", 'General Information'!$F$14))</f>
        <v/>
      </c>
      <c r="G431" s="26" t="str">
        <f>IF(B431="", "", 'General Information'!$F$15)</f>
        <v/>
      </c>
      <c r="H431" s="26" t="str">
        <f>IF(B431="", "", IF(VLOOKUP(B431, 'Lookup Tables'!$Y$18:$AA$34, 2, FALSE)="Traffic", VLOOKUP('Lighting Inventory'!W439, 'Lookup Tables'!#REF!, 11, FALSE), VLOOKUP(B431, 'Lookup Tables'!$Y$18:$AA$34, 2, FALSE)))</f>
        <v/>
      </c>
      <c r="I431" s="26" t="str">
        <f>IF(B431="", "", CONCATENATE(D431, 'Data Export'!A431))</f>
        <v/>
      </c>
      <c r="J431" s="26" t="str">
        <f>IF(B431="", "", 'Lookup Tables'!$B$1)</f>
        <v/>
      </c>
      <c r="K431" s="26" t="str">
        <f>IF(B431="", "", 'Lighting Inventory'!B439)</f>
        <v/>
      </c>
      <c r="L431" s="26" t="str">
        <f>IF(B431="", "", 'Lighting Inventory'!C439)</f>
        <v/>
      </c>
      <c r="M431" s="26" t="str">
        <f>IF(B431="", "",'Lighting Inventory'!D439)</f>
        <v/>
      </c>
      <c r="N431" s="26" t="str">
        <f>IF(B431="", "",'Lighting Inventory'!E439)</f>
        <v/>
      </c>
      <c r="O431" s="26" t="str">
        <f>IF(B431="", "", 'Lighting Inventory'!F439)</f>
        <v/>
      </c>
      <c r="P431" s="26" t="str">
        <f>IF(B431="", "", 'Lighting Inventory'!G439)</f>
        <v/>
      </c>
      <c r="Q431" s="26" t="str">
        <f>IF(B431="", "", 'Lighting Inventory'!H439)</f>
        <v/>
      </c>
      <c r="R431" s="26" t="str">
        <f>IF(B431="", "", 'Lighting Inventory'!I439)</f>
        <v/>
      </c>
      <c r="S431" s="26" t="str">
        <f>IF(B431="", "", 'Lighting Inventory'!J439)</f>
        <v/>
      </c>
      <c r="T431" s="26" t="str">
        <f>IFERROR(IF(B431="","",VLOOKUP(S431,'Fixture Identities'!$A$7:$G$1023,5,FALSE)), "New Construction")</f>
        <v/>
      </c>
      <c r="U431" s="26" t="str">
        <f>IFERROR(IF(B431="", "", IF(K431="New Construction", "NC", IF(VLOOKUP(S431, 'Fixture Identities'!$A$7:$I$1023,3, FALSE)="T12 Linear Fluorescent", VLOOKUP(S431, 'Fixture Identities'!$A$7:$K$1012, 11, FALSE), S431))), "")</f>
        <v/>
      </c>
      <c r="V431" s="26" t="str">
        <f>IFERROR(IF(OR(B431="", U431=0), "", VLOOKUP(U431, 'Fixture Identities'!$A$7:$G$1023, 5, FALSE)), "")</f>
        <v/>
      </c>
      <c r="W431" s="26" t="str">
        <f>IF(B431="", "",'Lighting Inventory'!K439)</f>
        <v/>
      </c>
      <c r="X431" s="65" t="str">
        <f>IF(B431="", "", 'Lighting Inventory'!L439)</f>
        <v/>
      </c>
      <c r="Y431" s="26" t="str">
        <f>IF(B431="", "", IF('Lighting Inventory'!M439="", "Light Switch",'Lighting Inventory'!M439))</f>
        <v/>
      </c>
      <c r="Z431" s="26" t="str">
        <f>IF(OR(K431="Retrofit", B431=""), "", 'Lighting Inventory'!N439)</f>
        <v/>
      </c>
      <c r="AA431" s="26" t="str">
        <f>IF(OR(Z431="",B431=""), "", 'Lighting Inventory'!O439)</f>
        <v/>
      </c>
      <c r="AB431" s="26" t="str">
        <f>IF(B431="", "", 'Lighting Inventory'!P439)</f>
        <v/>
      </c>
      <c r="AC431" s="96" t="str">
        <f>IF(B431="", "", 'Lighting Inventory'!R439)</f>
        <v/>
      </c>
      <c r="AD431" s="26" t="str">
        <f>IF(B431="", "", 'Lighting Inventory'!S439)</f>
        <v/>
      </c>
      <c r="AE431" s="26" t="str">
        <f>IF(B431="", "", 'Lighting Inventory'!V439)</f>
        <v/>
      </c>
      <c r="AF431" s="26" t="str">
        <f>IF(B431="", "", 'Lighting Inventory'!W439)</f>
        <v/>
      </c>
      <c r="AG431" s="26" t="str">
        <f>IF(OR(AF431="", B431=""), "", IF(AE431="Custom", "0", VLOOKUP(AF431, 'Lookup Tables'!$AI$6:$AP$102, 8, FALSE)))</f>
        <v/>
      </c>
      <c r="AH431" s="26" t="str">
        <f>IF(B431="", "", 'Lighting Inventory'!AD439)</f>
        <v/>
      </c>
      <c r="AI431" s="26" t="str">
        <f>IF(OR('Lighting Inventory'!AK439="", B431=""), "", 'Lighting Inventory'!AK439)</f>
        <v/>
      </c>
      <c r="AJ431" s="66" t="str">
        <f>IF(B431="", "", 'Lighting Inventory'!AL439)</f>
        <v/>
      </c>
      <c r="AK431" s="65" t="str">
        <f>IF(B431="", "", 'Lighting Inventory'!AM439)</f>
        <v/>
      </c>
      <c r="AL431" s="26" t="str">
        <f>IF(B431="", "", 'Lighting Inventory'!AN439)</f>
        <v/>
      </c>
      <c r="AM431" s="26" t="str">
        <f t="shared" si="21"/>
        <v/>
      </c>
      <c r="AN431" s="26" t="str">
        <f>IF(B431="","",IF('Lighting Inventory'!AV439="","Prescribed",'Lighting Inventory'!AV439))</f>
        <v/>
      </c>
      <c r="AO431" s="66" t="str">
        <f>IF(B431="", "", 'Lighting Inventory'!AX439)</f>
        <v/>
      </c>
      <c r="AP431" s="67" t="str">
        <f>IF(B431="", "", 'Lighting Inventory'!AZ439)</f>
        <v/>
      </c>
      <c r="AQ431" s="67" t="str">
        <f>IF(B431="", "", 'Lighting Inventory'!BA439)</f>
        <v/>
      </c>
      <c r="AR431" s="67" t="str">
        <f>IF(B431="", "", 'Lighting Inventory'!BB439)</f>
        <v/>
      </c>
      <c r="AS431" s="67" t="str">
        <f>IF(B431="", "", 'Lighting Inventory'!BC439)</f>
        <v/>
      </c>
      <c r="AT431" s="67" t="str">
        <f>IF(B431="", "", 'Lighting Inventory'!BD439)</f>
        <v/>
      </c>
      <c r="AU431" s="67" t="str">
        <f>IF(B431="", "", 'Lighting Inventory'!BE439)</f>
        <v/>
      </c>
      <c r="AV431" s="67" t="str">
        <f>IF(B431="", "", 'Lighting Inventory'!BE439)</f>
        <v/>
      </c>
      <c r="AW431" s="67" t="str">
        <f>IF(B431="", "", 'Lighting Inventory'!BF439)</f>
        <v/>
      </c>
      <c r="AX431" s="67" t="str">
        <f>IF(B431="", "", 'Lighting Inventory'!BF439)</f>
        <v/>
      </c>
      <c r="AY431" s="65" t="str">
        <f t="shared" si="22"/>
        <v/>
      </c>
      <c r="AZ431" s="65" t="str">
        <f>IF(B431="", "", 'Lighting Inventory'!BJ439)</f>
        <v/>
      </c>
      <c r="BA431" s="65" t="str">
        <f>IF(B431="", "", 'Lighting Inventory'!BM439)</f>
        <v/>
      </c>
      <c r="BB431" s="65" t="str">
        <f>IF(B431="","",SUM('Lighting Inventory'!BP439:BP439))</f>
        <v/>
      </c>
      <c r="BC431" s="67" t="str">
        <f>IF(OR(AE431="", B431=""),"", 'Lighting Inventory'!GR439)</f>
        <v/>
      </c>
      <c r="BD431" s="67" t="str">
        <f>IFERROR(IF(B431="", "", 'Lighting Inventory'!AF439)*AD431," ")</f>
        <v xml:space="preserve"> </v>
      </c>
      <c r="BE431" s="67"/>
      <c r="BF431" s="67"/>
    </row>
    <row r="432" spans="1:58" x14ac:dyDescent="0.25">
      <c r="A432" s="26" t="str">
        <f>IF(B432="", "", 'Lookup Tables'!AW433)</f>
        <v/>
      </c>
      <c r="B432" s="26" t="str">
        <f>IF(OR('Lighting Inventory'!Y440="", 'Lighting Inventory'!V440="No Change"),"", 'Lighting Inventory'!Y440)</f>
        <v/>
      </c>
      <c r="C432" s="26" t="str">
        <f>IF(B432="", "", IF('Lighting Inventory'!Y440='Lookup Tables'!$Y$32, 'Lighting Inventory'!AJ440, IF(AD432=0, R432, AD432)))</f>
        <v/>
      </c>
      <c r="D432" s="26" t="str">
        <f>IF(B432="", "", 'General Information'!$F$14)</f>
        <v/>
      </c>
      <c r="E432" s="26" t="str">
        <f t="shared" si="20"/>
        <v/>
      </c>
      <c r="F432" s="26" t="str">
        <f>IF(B432="", "", CONCATENATE('General Information'!$F$9, " - ", 'General Information'!$F$14))</f>
        <v/>
      </c>
      <c r="G432" s="26" t="str">
        <f>IF(B432="", "", 'General Information'!$F$15)</f>
        <v/>
      </c>
      <c r="H432" s="26" t="str">
        <f>IF(B432="", "", IF(VLOOKUP(B432, 'Lookup Tables'!$Y$18:$AA$34, 2, FALSE)="Traffic", VLOOKUP('Lighting Inventory'!W440, 'Lookup Tables'!#REF!, 11, FALSE), VLOOKUP(B432, 'Lookup Tables'!$Y$18:$AA$34, 2, FALSE)))</f>
        <v/>
      </c>
      <c r="I432" s="26" t="str">
        <f>IF(B432="", "", CONCATENATE(D432, 'Data Export'!A432))</f>
        <v/>
      </c>
      <c r="J432" s="26" t="str">
        <f>IF(B432="", "", 'Lookup Tables'!$B$1)</f>
        <v/>
      </c>
      <c r="K432" s="26" t="str">
        <f>IF(B432="", "", 'Lighting Inventory'!B440)</f>
        <v/>
      </c>
      <c r="L432" s="26" t="str">
        <f>IF(B432="", "", 'Lighting Inventory'!C440)</f>
        <v/>
      </c>
      <c r="M432" s="26" t="str">
        <f>IF(B432="", "",'Lighting Inventory'!D440)</f>
        <v/>
      </c>
      <c r="N432" s="26" t="str">
        <f>IF(B432="", "",'Lighting Inventory'!E440)</f>
        <v/>
      </c>
      <c r="O432" s="26" t="str">
        <f>IF(B432="", "", 'Lighting Inventory'!F440)</f>
        <v/>
      </c>
      <c r="P432" s="26" t="str">
        <f>IF(B432="", "", 'Lighting Inventory'!G440)</f>
        <v/>
      </c>
      <c r="Q432" s="26" t="str">
        <f>IF(B432="", "", 'Lighting Inventory'!H440)</f>
        <v/>
      </c>
      <c r="R432" s="26" t="str">
        <f>IF(B432="", "", 'Lighting Inventory'!I440)</f>
        <v/>
      </c>
      <c r="S432" s="26" t="str">
        <f>IF(B432="", "", 'Lighting Inventory'!J440)</f>
        <v/>
      </c>
      <c r="T432" s="26" t="str">
        <f>IFERROR(IF(B432="","",VLOOKUP(S432,'Fixture Identities'!$A$7:$G$1023,5,FALSE)), "New Construction")</f>
        <v/>
      </c>
      <c r="U432" s="26" t="str">
        <f>IFERROR(IF(B432="", "", IF(K432="New Construction", "NC", IF(VLOOKUP(S432, 'Fixture Identities'!$A$7:$I$1023,3, FALSE)="T12 Linear Fluorescent", VLOOKUP(S432, 'Fixture Identities'!$A$7:$K$1012, 11, FALSE), S432))), "")</f>
        <v/>
      </c>
      <c r="V432" s="26" t="str">
        <f>IFERROR(IF(OR(B432="", U432=0), "", VLOOKUP(U432, 'Fixture Identities'!$A$7:$G$1023, 5, FALSE)), "")</f>
        <v/>
      </c>
      <c r="W432" s="26" t="str">
        <f>IF(B432="", "",'Lighting Inventory'!K440)</f>
        <v/>
      </c>
      <c r="X432" s="65" t="str">
        <f>IF(B432="", "", 'Lighting Inventory'!L440)</f>
        <v/>
      </c>
      <c r="Y432" s="26" t="str">
        <f>IF(B432="", "", IF('Lighting Inventory'!M440="", "Light Switch",'Lighting Inventory'!M440))</f>
        <v/>
      </c>
      <c r="Z432" s="26" t="str">
        <f>IF(OR(K432="Retrofit", B432=""), "", 'Lighting Inventory'!N440)</f>
        <v/>
      </c>
      <c r="AA432" s="26" t="str">
        <f>IF(OR(Z432="",B432=""), "", 'Lighting Inventory'!O440)</f>
        <v/>
      </c>
      <c r="AB432" s="26" t="str">
        <f>IF(B432="", "", 'Lighting Inventory'!P440)</f>
        <v/>
      </c>
      <c r="AC432" s="96" t="str">
        <f>IF(B432="", "", 'Lighting Inventory'!R440)</f>
        <v/>
      </c>
      <c r="AD432" s="26" t="str">
        <f>IF(B432="", "", 'Lighting Inventory'!S440)</f>
        <v/>
      </c>
      <c r="AE432" s="26" t="str">
        <f>IF(B432="", "", 'Lighting Inventory'!V440)</f>
        <v/>
      </c>
      <c r="AF432" s="26" t="str">
        <f>IF(B432="", "", 'Lighting Inventory'!W440)</f>
        <v/>
      </c>
      <c r="AG432" s="26" t="str">
        <f>IF(OR(AF432="", B432=""), "", IF(AE432="Custom", "0", VLOOKUP(AF432, 'Lookup Tables'!$AI$6:$AP$102, 8, FALSE)))</f>
        <v/>
      </c>
      <c r="AH432" s="26" t="str">
        <f>IF(B432="", "", 'Lighting Inventory'!AD440)</f>
        <v/>
      </c>
      <c r="AI432" s="26" t="str">
        <f>IF(OR('Lighting Inventory'!AK440="", B432=""), "", 'Lighting Inventory'!AK440)</f>
        <v/>
      </c>
      <c r="AJ432" s="66" t="str">
        <f>IF(B432="", "", 'Lighting Inventory'!AL440)</f>
        <v/>
      </c>
      <c r="AK432" s="65" t="str">
        <f>IF(B432="", "", 'Lighting Inventory'!AM440)</f>
        <v/>
      </c>
      <c r="AL432" s="26" t="str">
        <f>IF(B432="", "", 'Lighting Inventory'!AN440)</f>
        <v/>
      </c>
      <c r="AM432" s="26" t="str">
        <f t="shared" si="21"/>
        <v/>
      </c>
      <c r="AN432" s="26" t="str">
        <f>IF(B432="","",IF('Lighting Inventory'!AV440="","Prescribed",'Lighting Inventory'!AV440))</f>
        <v/>
      </c>
      <c r="AO432" s="66" t="str">
        <f>IF(B432="", "", 'Lighting Inventory'!AX440)</f>
        <v/>
      </c>
      <c r="AP432" s="67" t="str">
        <f>IF(B432="", "", 'Lighting Inventory'!AZ440)</f>
        <v/>
      </c>
      <c r="AQ432" s="67" t="str">
        <f>IF(B432="", "", 'Lighting Inventory'!BA440)</f>
        <v/>
      </c>
      <c r="AR432" s="67" t="str">
        <f>IF(B432="", "", 'Lighting Inventory'!BB440)</f>
        <v/>
      </c>
      <c r="AS432" s="67" t="str">
        <f>IF(B432="", "", 'Lighting Inventory'!BC440)</f>
        <v/>
      </c>
      <c r="AT432" s="67" t="str">
        <f>IF(B432="", "", 'Lighting Inventory'!BD440)</f>
        <v/>
      </c>
      <c r="AU432" s="67" t="str">
        <f>IF(B432="", "", 'Lighting Inventory'!BE440)</f>
        <v/>
      </c>
      <c r="AV432" s="67" t="str">
        <f>IF(B432="", "", 'Lighting Inventory'!BE440)</f>
        <v/>
      </c>
      <c r="AW432" s="67" t="str">
        <f>IF(B432="", "", 'Lighting Inventory'!BF440)</f>
        <v/>
      </c>
      <c r="AX432" s="67" t="str">
        <f>IF(B432="", "", 'Lighting Inventory'!BF440)</f>
        <v/>
      </c>
      <c r="AY432" s="65" t="str">
        <f t="shared" si="22"/>
        <v/>
      </c>
      <c r="AZ432" s="65" t="str">
        <f>IF(B432="", "", 'Lighting Inventory'!BJ440)</f>
        <v/>
      </c>
      <c r="BA432" s="65" t="str">
        <f>IF(B432="", "", 'Lighting Inventory'!BM440)</f>
        <v/>
      </c>
      <c r="BB432" s="65" t="str">
        <f>IF(B432="","",SUM('Lighting Inventory'!BP440:BP440))</f>
        <v/>
      </c>
      <c r="BC432" s="67" t="str">
        <f>IF(OR(AE432="", B432=""),"", 'Lighting Inventory'!GR440)</f>
        <v/>
      </c>
      <c r="BD432" s="67" t="str">
        <f>IFERROR(IF(B432="", "", 'Lighting Inventory'!AF440)*AD432," ")</f>
        <v xml:space="preserve"> </v>
      </c>
      <c r="BE432" s="67"/>
      <c r="BF432" s="67"/>
    </row>
    <row r="433" spans="1:58" x14ac:dyDescent="0.25">
      <c r="A433" s="26" t="str">
        <f>IF(B433="", "", 'Lookup Tables'!AW434)</f>
        <v/>
      </c>
      <c r="B433" s="26" t="str">
        <f>IF(OR('Lighting Inventory'!Y441="", 'Lighting Inventory'!V441="No Change"),"", 'Lighting Inventory'!Y441)</f>
        <v/>
      </c>
      <c r="C433" s="26" t="str">
        <f>IF(B433="", "", IF('Lighting Inventory'!Y441='Lookup Tables'!$Y$32, 'Lighting Inventory'!AJ441, IF(AD433=0, R433, AD433)))</f>
        <v/>
      </c>
      <c r="D433" s="26" t="str">
        <f>IF(B433="", "", 'General Information'!$F$14)</f>
        <v/>
      </c>
      <c r="E433" s="26" t="str">
        <f t="shared" si="20"/>
        <v/>
      </c>
      <c r="F433" s="26" t="str">
        <f>IF(B433="", "", CONCATENATE('General Information'!$F$9, " - ", 'General Information'!$F$14))</f>
        <v/>
      </c>
      <c r="G433" s="26" t="str">
        <f>IF(B433="", "", 'General Information'!$F$15)</f>
        <v/>
      </c>
      <c r="H433" s="26" t="str">
        <f>IF(B433="", "", IF(VLOOKUP(B433, 'Lookup Tables'!$Y$18:$AA$34, 2, FALSE)="Traffic", VLOOKUP('Lighting Inventory'!W441, 'Lookup Tables'!#REF!, 11, FALSE), VLOOKUP(B433, 'Lookup Tables'!$Y$18:$AA$34, 2, FALSE)))</f>
        <v/>
      </c>
      <c r="I433" s="26" t="str">
        <f>IF(B433="", "", CONCATENATE(D433, 'Data Export'!A433))</f>
        <v/>
      </c>
      <c r="J433" s="26" t="str">
        <f>IF(B433="", "", 'Lookup Tables'!$B$1)</f>
        <v/>
      </c>
      <c r="K433" s="26" t="str">
        <f>IF(B433="", "", 'Lighting Inventory'!B441)</f>
        <v/>
      </c>
      <c r="L433" s="26" t="str">
        <f>IF(B433="", "", 'Lighting Inventory'!C441)</f>
        <v/>
      </c>
      <c r="M433" s="26" t="str">
        <f>IF(B433="", "",'Lighting Inventory'!D441)</f>
        <v/>
      </c>
      <c r="N433" s="26" t="str">
        <f>IF(B433="", "",'Lighting Inventory'!E441)</f>
        <v/>
      </c>
      <c r="O433" s="26" t="str">
        <f>IF(B433="", "", 'Lighting Inventory'!F441)</f>
        <v/>
      </c>
      <c r="P433" s="26" t="str">
        <f>IF(B433="", "", 'Lighting Inventory'!G441)</f>
        <v/>
      </c>
      <c r="Q433" s="26" t="str">
        <f>IF(B433="", "", 'Lighting Inventory'!H441)</f>
        <v/>
      </c>
      <c r="R433" s="26" t="str">
        <f>IF(B433="", "", 'Lighting Inventory'!I441)</f>
        <v/>
      </c>
      <c r="S433" s="26" t="str">
        <f>IF(B433="", "", 'Lighting Inventory'!J441)</f>
        <v/>
      </c>
      <c r="T433" s="26" t="str">
        <f>IFERROR(IF(B433="","",VLOOKUP(S433,'Fixture Identities'!$A$7:$G$1023,5,FALSE)), "New Construction")</f>
        <v/>
      </c>
      <c r="U433" s="26" t="str">
        <f>IFERROR(IF(B433="", "", IF(K433="New Construction", "NC", IF(VLOOKUP(S433, 'Fixture Identities'!$A$7:$I$1023,3, FALSE)="T12 Linear Fluorescent", VLOOKUP(S433, 'Fixture Identities'!$A$7:$K$1012, 11, FALSE), S433))), "")</f>
        <v/>
      </c>
      <c r="V433" s="26" t="str">
        <f>IFERROR(IF(OR(B433="", U433=0), "", VLOOKUP(U433, 'Fixture Identities'!$A$7:$G$1023, 5, FALSE)), "")</f>
        <v/>
      </c>
      <c r="W433" s="26" t="str">
        <f>IF(B433="", "",'Lighting Inventory'!K441)</f>
        <v/>
      </c>
      <c r="X433" s="65" t="str">
        <f>IF(B433="", "", 'Lighting Inventory'!L441)</f>
        <v/>
      </c>
      <c r="Y433" s="26" t="str">
        <f>IF(B433="", "", IF('Lighting Inventory'!M441="", "Light Switch",'Lighting Inventory'!M441))</f>
        <v/>
      </c>
      <c r="Z433" s="26" t="str">
        <f>IF(OR(K433="Retrofit", B433=""), "", 'Lighting Inventory'!N441)</f>
        <v/>
      </c>
      <c r="AA433" s="26" t="str">
        <f>IF(OR(Z433="",B433=""), "", 'Lighting Inventory'!O441)</f>
        <v/>
      </c>
      <c r="AB433" s="26" t="str">
        <f>IF(B433="", "", 'Lighting Inventory'!P441)</f>
        <v/>
      </c>
      <c r="AC433" s="96" t="str">
        <f>IF(B433="", "", 'Lighting Inventory'!R441)</f>
        <v/>
      </c>
      <c r="AD433" s="26" t="str">
        <f>IF(B433="", "", 'Lighting Inventory'!S441)</f>
        <v/>
      </c>
      <c r="AE433" s="26" t="str">
        <f>IF(B433="", "", 'Lighting Inventory'!V441)</f>
        <v/>
      </c>
      <c r="AF433" s="26" t="str">
        <f>IF(B433="", "", 'Lighting Inventory'!W441)</f>
        <v/>
      </c>
      <c r="AG433" s="26" t="str">
        <f>IF(OR(AF433="", B433=""), "", IF(AE433="Custom", "0", VLOOKUP(AF433, 'Lookup Tables'!$AI$6:$AP$102, 8, FALSE)))</f>
        <v/>
      </c>
      <c r="AH433" s="26" t="str">
        <f>IF(B433="", "", 'Lighting Inventory'!AD441)</f>
        <v/>
      </c>
      <c r="AI433" s="26" t="str">
        <f>IF(OR('Lighting Inventory'!AK441="", B433=""), "", 'Lighting Inventory'!AK441)</f>
        <v/>
      </c>
      <c r="AJ433" s="66" t="str">
        <f>IF(B433="", "", 'Lighting Inventory'!AL441)</f>
        <v/>
      </c>
      <c r="AK433" s="65" t="str">
        <f>IF(B433="", "", 'Lighting Inventory'!AM441)</f>
        <v/>
      </c>
      <c r="AL433" s="26" t="str">
        <f>IF(B433="", "", 'Lighting Inventory'!AN441)</f>
        <v/>
      </c>
      <c r="AM433" s="26" t="str">
        <f t="shared" si="21"/>
        <v/>
      </c>
      <c r="AN433" s="26" t="str">
        <f>IF(B433="","",IF('Lighting Inventory'!AV441="","Prescribed",'Lighting Inventory'!AV441))</f>
        <v/>
      </c>
      <c r="AO433" s="66" t="str">
        <f>IF(B433="", "", 'Lighting Inventory'!AX441)</f>
        <v/>
      </c>
      <c r="AP433" s="67" t="str">
        <f>IF(B433="", "", 'Lighting Inventory'!AZ441)</f>
        <v/>
      </c>
      <c r="AQ433" s="67" t="str">
        <f>IF(B433="", "", 'Lighting Inventory'!BA441)</f>
        <v/>
      </c>
      <c r="AR433" s="67" t="str">
        <f>IF(B433="", "", 'Lighting Inventory'!BB441)</f>
        <v/>
      </c>
      <c r="AS433" s="67" t="str">
        <f>IF(B433="", "", 'Lighting Inventory'!BC441)</f>
        <v/>
      </c>
      <c r="AT433" s="67" t="str">
        <f>IF(B433="", "", 'Lighting Inventory'!BD441)</f>
        <v/>
      </c>
      <c r="AU433" s="67" t="str">
        <f>IF(B433="", "", 'Lighting Inventory'!BE441)</f>
        <v/>
      </c>
      <c r="AV433" s="67" t="str">
        <f>IF(B433="", "", 'Lighting Inventory'!BE441)</f>
        <v/>
      </c>
      <c r="AW433" s="67" t="str">
        <f>IF(B433="", "", 'Lighting Inventory'!BF441)</f>
        <v/>
      </c>
      <c r="AX433" s="67" t="str">
        <f>IF(B433="", "", 'Lighting Inventory'!BF441)</f>
        <v/>
      </c>
      <c r="AY433" s="65" t="str">
        <f t="shared" si="22"/>
        <v/>
      </c>
      <c r="AZ433" s="65" t="str">
        <f>IF(B433="", "", 'Lighting Inventory'!BJ441)</f>
        <v/>
      </c>
      <c r="BA433" s="65" t="str">
        <f>IF(B433="", "", 'Lighting Inventory'!BM441)</f>
        <v/>
      </c>
      <c r="BB433" s="65" t="str">
        <f>IF(B433="","",SUM('Lighting Inventory'!BP441:BP441))</f>
        <v/>
      </c>
      <c r="BC433" s="67" t="str">
        <f>IF(OR(AE433="", B433=""),"", 'Lighting Inventory'!GR441)</f>
        <v/>
      </c>
      <c r="BD433" s="67" t="str">
        <f>IFERROR(IF(B433="", "", 'Lighting Inventory'!AF441)*AD433," ")</f>
        <v xml:space="preserve"> </v>
      </c>
      <c r="BE433" s="67"/>
      <c r="BF433" s="67"/>
    </row>
    <row r="434" spans="1:58" x14ac:dyDescent="0.25">
      <c r="A434" s="26" t="str">
        <f>IF(B434="", "", 'Lookup Tables'!AW435)</f>
        <v/>
      </c>
      <c r="B434" s="26" t="str">
        <f>IF(OR('Lighting Inventory'!Y442="", 'Lighting Inventory'!V442="No Change"),"", 'Lighting Inventory'!Y442)</f>
        <v/>
      </c>
      <c r="C434" s="26" t="str">
        <f>IF(B434="", "", IF('Lighting Inventory'!Y442='Lookup Tables'!$Y$32, 'Lighting Inventory'!AJ442, IF(AD434=0, R434, AD434)))</f>
        <v/>
      </c>
      <c r="D434" s="26" t="str">
        <f>IF(B434="", "", 'General Information'!$F$14)</f>
        <v/>
      </c>
      <c r="E434" s="26" t="str">
        <f t="shared" si="20"/>
        <v/>
      </c>
      <c r="F434" s="26" t="str">
        <f>IF(B434="", "", CONCATENATE('General Information'!$F$9, " - ", 'General Information'!$F$14))</f>
        <v/>
      </c>
      <c r="G434" s="26" t="str">
        <f>IF(B434="", "", 'General Information'!$F$15)</f>
        <v/>
      </c>
      <c r="H434" s="26" t="str">
        <f>IF(B434="", "", IF(VLOOKUP(B434, 'Lookup Tables'!$Y$18:$AA$34, 2, FALSE)="Traffic", VLOOKUP('Lighting Inventory'!W442, 'Lookup Tables'!#REF!, 11, FALSE), VLOOKUP(B434, 'Lookup Tables'!$Y$18:$AA$34, 2, FALSE)))</f>
        <v/>
      </c>
      <c r="I434" s="26" t="str">
        <f>IF(B434="", "", CONCATENATE(D434, 'Data Export'!A434))</f>
        <v/>
      </c>
      <c r="J434" s="26" t="str">
        <f>IF(B434="", "", 'Lookup Tables'!$B$1)</f>
        <v/>
      </c>
      <c r="K434" s="26" t="str">
        <f>IF(B434="", "", 'Lighting Inventory'!B442)</f>
        <v/>
      </c>
      <c r="L434" s="26" t="str">
        <f>IF(B434="", "", 'Lighting Inventory'!C442)</f>
        <v/>
      </c>
      <c r="M434" s="26" t="str">
        <f>IF(B434="", "",'Lighting Inventory'!D442)</f>
        <v/>
      </c>
      <c r="N434" s="26" t="str">
        <f>IF(B434="", "",'Lighting Inventory'!E442)</f>
        <v/>
      </c>
      <c r="O434" s="26" t="str">
        <f>IF(B434="", "", 'Lighting Inventory'!F442)</f>
        <v/>
      </c>
      <c r="P434" s="26" t="str">
        <f>IF(B434="", "", 'Lighting Inventory'!G442)</f>
        <v/>
      </c>
      <c r="Q434" s="26" t="str">
        <f>IF(B434="", "", 'Lighting Inventory'!H442)</f>
        <v/>
      </c>
      <c r="R434" s="26" t="str">
        <f>IF(B434="", "", 'Lighting Inventory'!I442)</f>
        <v/>
      </c>
      <c r="S434" s="26" t="str">
        <f>IF(B434="", "", 'Lighting Inventory'!J442)</f>
        <v/>
      </c>
      <c r="T434" s="26" t="str">
        <f>IFERROR(IF(B434="","",VLOOKUP(S434,'Fixture Identities'!$A$7:$G$1023,5,FALSE)), "New Construction")</f>
        <v/>
      </c>
      <c r="U434" s="26" t="str">
        <f>IFERROR(IF(B434="", "", IF(K434="New Construction", "NC", IF(VLOOKUP(S434, 'Fixture Identities'!$A$7:$I$1023,3, FALSE)="T12 Linear Fluorescent", VLOOKUP(S434, 'Fixture Identities'!$A$7:$K$1012, 11, FALSE), S434))), "")</f>
        <v/>
      </c>
      <c r="V434" s="26" t="str">
        <f>IFERROR(IF(OR(B434="", U434=0), "", VLOOKUP(U434, 'Fixture Identities'!$A$7:$G$1023, 5, FALSE)), "")</f>
        <v/>
      </c>
      <c r="W434" s="26" t="str">
        <f>IF(B434="", "",'Lighting Inventory'!K442)</f>
        <v/>
      </c>
      <c r="X434" s="65" t="str">
        <f>IF(B434="", "", 'Lighting Inventory'!L442)</f>
        <v/>
      </c>
      <c r="Y434" s="26" t="str">
        <f>IF(B434="", "", IF('Lighting Inventory'!M442="", "Light Switch",'Lighting Inventory'!M442))</f>
        <v/>
      </c>
      <c r="Z434" s="26" t="str">
        <f>IF(OR(K434="Retrofit", B434=""), "", 'Lighting Inventory'!N442)</f>
        <v/>
      </c>
      <c r="AA434" s="26" t="str">
        <f>IF(OR(Z434="",B434=""), "", 'Lighting Inventory'!O442)</f>
        <v/>
      </c>
      <c r="AB434" s="26" t="str">
        <f>IF(B434="", "", 'Lighting Inventory'!P442)</f>
        <v/>
      </c>
      <c r="AC434" s="96" t="str">
        <f>IF(B434="", "", 'Lighting Inventory'!R442)</f>
        <v/>
      </c>
      <c r="AD434" s="26" t="str">
        <f>IF(B434="", "", 'Lighting Inventory'!S442)</f>
        <v/>
      </c>
      <c r="AE434" s="26" t="str">
        <f>IF(B434="", "", 'Lighting Inventory'!V442)</f>
        <v/>
      </c>
      <c r="AF434" s="26" t="str">
        <f>IF(B434="", "", 'Lighting Inventory'!W442)</f>
        <v/>
      </c>
      <c r="AG434" s="26" t="str">
        <f>IF(OR(AF434="", B434=""), "", IF(AE434="Custom", "0", VLOOKUP(AF434, 'Lookup Tables'!$AI$6:$AP$102, 8, FALSE)))</f>
        <v/>
      </c>
      <c r="AH434" s="26" t="str">
        <f>IF(B434="", "", 'Lighting Inventory'!AD442)</f>
        <v/>
      </c>
      <c r="AI434" s="26" t="str">
        <f>IF(OR('Lighting Inventory'!AK442="", B434=""), "", 'Lighting Inventory'!AK442)</f>
        <v/>
      </c>
      <c r="AJ434" s="66" t="str">
        <f>IF(B434="", "", 'Lighting Inventory'!AL442)</f>
        <v/>
      </c>
      <c r="AK434" s="65" t="str">
        <f>IF(B434="", "", 'Lighting Inventory'!AM442)</f>
        <v/>
      </c>
      <c r="AL434" s="26" t="str">
        <f>IF(B434="", "", 'Lighting Inventory'!AN442)</f>
        <v/>
      </c>
      <c r="AM434" s="26" t="str">
        <f t="shared" si="21"/>
        <v/>
      </c>
      <c r="AN434" s="26" t="str">
        <f>IF(B434="","",IF('Lighting Inventory'!AV442="","Prescribed",'Lighting Inventory'!AV442))</f>
        <v/>
      </c>
      <c r="AO434" s="66" t="str">
        <f>IF(B434="", "", 'Lighting Inventory'!AX442)</f>
        <v/>
      </c>
      <c r="AP434" s="67" t="str">
        <f>IF(B434="", "", 'Lighting Inventory'!AZ442)</f>
        <v/>
      </c>
      <c r="AQ434" s="67" t="str">
        <f>IF(B434="", "", 'Lighting Inventory'!BA442)</f>
        <v/>
      </c>
      <c r="AR434" s="67" t="str">
        <f>IF(B434="", "", 'Lighting Inventory'!BB442)</f>
        <v/>
      </c>
      <c r="AS434" s="67" t="str">
        <f>IF(B434="", "", 'Lighting Inventory'!BC442)</f>
        <v/>
      </c>
      <c r="AT434" s="67" t="str">
        <f>IF(B434="", "", 'Lighting Inventory'!BD442)</f>
        <v/>
      </c>
      <c r="AU434" s="67" t="str">
        <f>IF(B434="", "", 'Lighting Inventory'!BE442)</f>
        <v/>
      </c>
      <c r="AV434" s="67" t="str">
        <f>IF(B434="", "", 'Lighting Inventory'!BE442)</f>
        <v/>
      </c>
      <c r="AW434" s="67" t="str">
        <f>IF(B434="", "", 'Lighting Inventory'!BF442)</f>
        <v/>
      </c>
      <c r="AX434" s="67" t="str">
        <f>IF(B434="", "", 'Lighting Inventory'!BF442)</f>
        <v/>
      </c>
      <c r="AY434" s="65" t="str">
        <f t="shared" si="22"/>
        <v/>
      </c>
      <c r="AZ434" s="65" t="str">
        <f>IF(B434="", "", 'Lighting Inventory'!BJ442)</f>
        <v/>
      </c>
      <c r="BA434" s="65" t="str">
        <f>IF(B434="", "", 'Lighting Inventory'!BM442)</f>
        <v/>
      </c>
      <c r="BB434" s="65" t="str">
        <f>IF(B434="","",SUM('Lighting Inventory'!BP442:BP442))</f>
        <v/>
      </c>
      <c r="BC434" s="67" t="str">
        <f>IF(OR(AE434="", B434=""),"", 'Lighting Inventory'!GR442)</f>
        <v/>
      </c>
      <c r="BD434" s="67" t="str">
        <f>IFERROR(IF(B434="", "", 'Lighting Inventory'!AF442)*AD434," ")</f>
        <v xml:space="preserve"> </v>
      </c>
      <c r="BE434" s="67"/>
      <c r="BF434" s="67"/>
    </row>
    <row r="435" spans="1:58" x14ac:dyDescent="0.25">
      <c r="A435" s="26" t="str">
        <f>IF(B435="", "", 'Lookup Tables'!AW436)</f>
        <v/>
      </c>
      <c r="B435" s="26" t="str">
        <f>IF(OR('Lighting Inventory'!Y443="", 'Lighting Inventory'!V443="No Change"),"", 'Lighting Inventory'!Y443)</f>
        <v/>
      </c>
      <c r="C435" s="26" t="str">
        <f>IF(B435="", "", IF('Lighting Inventory'!Y443='Lookup Tables'!$Y$32, 'Lighting Inventory'!AJ443, IF(AD435=0, R435, AD435)))</f>
        <v/>
      </c>
      <c r="D435" s="26" t="str">
        <f>IF(B435="", "", 'General Information'!$F$14)</f>
        <v/>
      </c>
      <c r="E435" s="26" t="str">
        <f t="shared" si="20"/>
        <v/>
      </c>
      <c r="F435" s="26" t="str">
        <f>IF(B435="", "", CONCATENATE('General Information'!$F$9, " - ", 'General Information'!$F$14))</f>
        <v/>
      </c>
      <c r="G435" s="26" t="str">
        <f>IF(B435="", "", 'General Information'!$F$15)</f>
        <v/>
      </c>
      <c r="H435" s="26" t="str">
        <f>IF(B435="", "", IF(VLOOKUP(B435, 'Lookup Tables'!$Y$18:$AA$34, 2, FALSE)="Traffic", VLOOKUP('Lighting Inventory'!W443, 'Lookup Tables'!#REF!, 11, FALSE), VLOOKUP(B435, 'Lookup Tables'!$Y$18:$AA$34, 2, FALSE)))</f>
        <v/>
      </c>
      <c r="I435" s="26" t="str">
        <f>IF(B435="", "", CONCATENATE(D435, 'Data Export'!A435))</f>
        <v/>
      </c>
      <c r="J435" s="26" t="str">
        <f>IF(B435="", "", 'Lookup Tables'!$B$1)</f>
        <v/>
      </c>
      <c r="K435" s="26" t="str">
        <f>IF(B435="", "", 'Lighting Inventory'!B443)</f>
        <v/>
      </c>
      <c r="L435" s="26" t="str">
        <f>IF(B435="", "", 'Lighting Inventory'!C443)</f>
        <v/>
      </c>
      <c r="M435" s="26" t="str">
        <f>IF(B435="", "",'Lighting Inventory'!D443)</f>
        <v/>
      </c>
      <c r="N435" s="26" t="str">
        <f>IF(B435="", "",'Lighting Inventory'!E443)</f>
        <v/>
      </c>
      <c r="O435" s="26" t="str">
        <f>IF(B435="", "", 'Lighting Inventory'!F443)</f>
        <v/>
      </c>
      <c r="P435" s="26" t="str">
        <f>IF(B435="", "", 'Lighting Inventory'!G443)</f>
        <v/>
      </c>
      <c r="Q435" s="26" t="str">
        <f>IF(B435="", "", 'Lighting Inventory'!H443)</f>
        <v/>
      </c>
      <c r="R435" s="26" t="str">
        <f>IF(B435="", "", 'Lighting Inventory'!I443)</f>
        <v/>
      </c>
      <c r="S435" s="26" t="str">
        <f>IF(B435="", "", 'Lighting Inventory'!J443)</f>
        <v/>
      </c>
      <c r="T435" s="26" t="str">
        <f>IFERROR(IF(B435="","",VLOOKUP(S435,'Fixture Identities'!$A$7:$G$1023,5,FALSE)), "New Construction")</f>
        <v/>
      </c>
      <c r="U435" s="26" t="str">
        <f>IFERROR(IF(B435="", "", IF(K435="New Construction", "NC", IF(VLOOKUP(S435, 'Fixture Identities'!$A$7:$I$1023,3, FALSE)="T12 Linear Fluorescent", VLOOKUP(S435, 'Fixture Identities'!$A$7:$K$1012, 11, FALSE), S435))), "")</f>
        <v/>
      </c>
      <c r="V435" s="26" t="str">
        <f>IFERROR(IF(OR(B435="", U435=0), "", VLOOKUP(U435, 'Fixture Identities'!$A$7:$G$1023, 5, FALSE)), "")</f>
        <v/>
      </c>
      <c r="W435" s="26" t="str">
        <f>IF(B435="", "",'Lighting Inventory'!K443)</f>
        <v/>
      </c>
      <c r="X435" s="65" t="str">
        <f>IF(B435="", "", 'Lighting Inventory'!L443)</f>
        <v/>
      </c>
      <c r="Y435" s="26" t="str">
        <f>IF(B435="", "", IF('Lighting Inventory'!M443="", "Light Switch",'Lighting Inventory'!M443))</f>
        <v/>
      </c>
      <c r="Z435" s="26" t="str">
        <f>IF(OR(K435="Retrofit", B435=""), "", 'Lighting Inventory'!N443)</f>
        <v/>
      </c>
      <c r="AA435" s="26" t="str">
        <f>IF(OR(Z435="",B435=""), "", 'Lighting Inventory'!O443)</f>
        <v/>
      </c>
      <c r="AB435" s="26" t="str">
        <f>IF(B435="", "", 'Lighting Inventory'!P443)</f>
        <v/>
      </c>
      <c r="AC435" s="96" t="str">
        <f>IF(B435="", "", 'Lighting Inventory'!R443)</f>
        <v/>
      </c>
      <c r="AD435" s="26" t="str">
        <f>IF(B435="", "", 'Lighting Inventory'!S443)</f>
        <v/>
      </c>
      <c r="AE435" s="26" t="str">
        <f>IF(B435="", "", 'Lighting Inventory'!V443)</f>
        <v/>
      </c>
      <c r="AF435" s="26" t="str">
        <f>IF(B435="", "", 'Lighting Inventory'!W443)</f>
        <v/>
      </c>
      <c r="AG435" s="26" t="str">
        <f>IF(OR(AF435="", B435=""), "", IF(AE435="Custom", "0", VLOOKUP(AF435, 'Lookup Tables'!$AI$6:$AP$102, 8, FALSE)))</f>
        <v/>
      </c>
      <c r="AH435" s="26" t="str">
        <f>IF(B435="", "", 'Lighting Inventory'!AD443)</f>
        <v/>
      </c>
      <c r="AI435" s="26" t="str">
        <f>IF(OR('Lighting Inventory'!AK443="", B435=""), "", 'Lighting Inventory'!AK443)</f>
        <v/>
      </c>
      <c r="AJ435" s="66" t="str">
        <f>IF(B435="", "", 'Lighting Inventory'!AL443)</f>
        <v/>
      </c>
      <c r="AK435" s="65" t="str">
        <f>IF(B435="", "", 'Lighting Inventory'!AM443)</f>
        <v/>
      </c>
      <c r="AL435" s="26" t="str">
        <f>IF(B435="", "", 'Lighting Inventory'!AN443)</f>
        <v/>
      </c>
      <c r="AM435" s="26" t="str">
        <f t="shared" si="21"/>
        <v/>
      </c>
      <c r="AN435" s="26" t="str">
        <f>IF(B435="","",IF('Lighting Inventory'!AV443="","Prescribed",'Lighting Inventory'!AV443))</f>
        <v/>
      </c>
      <c r="AO435" s="66" t="str">
        <f>IF(B435="", "", 'Lighting Inventory'!AX443)</f>
        <v/>
      </c>
      <c r="AP435" s="67" t="str">
        <f>IF(B435="", "", 'Lighting Inventory'!AZ443)</f>
        <v/>
      </c>
      <c r="AQ435" s="67" t="str">
        <f>IF(B435="", "", 'Lighting Inventory'!BA443)</f>
        <v/>
      </c>
      <c r="AR435" s="67" t="str">
        <f>IF(B435="", "", 'Lighting Inventory'!BB443)</f>
        <v/>
      </c>
      <c r="AS435" s="67" t="str">
        <f>IF(B435="", "", 'Lighting Inventory'!BC443)</f>
        <v/>
      </c>
      <c r="AT435" s="67" t="str">
        <f>IF(B435="", "", 'Lighting Inventory'!BD443)</f>
        <v/>
      </c>
      <c r="AU435" s="67" t="str">
        <f>IF(B435="", "", 'Lighting Inventory'!BE443)</f>
        <v/>
      </c>
      <c r="AV435" s="67" t="str">
        <f>IF(B435="", "", 'Lighting Inventory'!BE443)</f>
        <v/>
      </c>
      <c r="AW435" s="67" t="str">
        <f>IF(B435="", "", 'Lighting Inventory'!BF443)</f>
        <v/>
      </c>
      <c r="AX435" s="67" t="str">
        <f>IF(B435="", "", 'Lighting Inventory'!BF443)</f>
        <v/>
      </c>
      <c r="AY435" s="65" t="str">
        <f t="shared" si="22"/>
        <v/>
      </c>
      <c r="AZ435" s="65" t="str">
        <f>IF(B435="", "", 'Lighting Inventory'!BJ443)</f>
        <v/>
      </c>
      <c r="BA435" s="65" t="str">
        <f>IF(B435="", "", 'Lighting Inventory'!BM443)</f>
        <v/>
      </c>
      <c r="BB435" s="65" t="str">
        <f>IF(B435="","",SUM('Lighting Inventory'!BP443:BP443))</f>
        <v/>
      </c>
      <c r="BC435" s="67" t="str">
        <f>IF(OR(AE435="", B435=""),"", 'Lighting Inventory'!GR443)</f>
        <v/>
      </c>
      <c r="BD435" s="67" t="str">
        <f>IFERROR(IF(B435="", "", 'Lighting Inventory'!AF443)*AD435," ")</f>
        <v xml:space="preserve"> </v>
      </c>
      <c r="BE435" s="67"/>
      <c r="BF435" s="67"/>
    </row>
    <row r="436" spans="1:58" x14ac:dyDescent="0.25">
      <c r="A436" s="26" t="str">
        <f>IF(B436="", "", 'Lookup Tables'!AW437)</f>
        <v/>
      </c>
      <c r="B436" s="26" t="str">
        <f>IF(OR('Lighting Inventory'!Y444="", 'Lighting Inventory'!V444="No Change"),"", 'Lighting Inventory'!Y444)</f>
        <v/>
      </c>
      <c r="C436" s="26" t="str">
        <f>IF(B436="", "", IF('Lighting Inventory'!Y444='Lookup Tables'!$Y$32, 'Lighting Inventory'!AJ444, IF(AD436=0, R436, AD436)))</f>
        <v/>
      </c>
      <c r="D436" s="26" t="str">
        <f>IF(B436="", "", 'General Information'!$F$14)</f>
        <v/>
      </c>
      <c r="E436" s="26" t="str">
        <f t="shared" si="20"/>
        <v/>
      </c>
      <c r="F436" s="26" t="str">
        <f>IF(B436="", "", CONCATENATE('General Information'!$F$9, " - ", 'General Information'!$F$14))</f>
        <v/>
      </c>
      <c r="G436" s="26" t="str">
        <f>IF(B436="", "", 'General Information'!$F$15)</f>
        <v/>
      </c>
      <c r="H436" s="26" t="str">
        <f>IF(B436="", "", IF(VLOOKUP(B436, 'Lookup Tables'!$Y$18:$AA$34, 2, FALSE)="Traffic", VLOOKUP('Lighting Inventory'!W444, 'Lookup Tables'!#REF!, 11, FALSE), VLOOKUP(B436, 'Lookup Tables'!$Y$18:$AA$34, 2, FALSE)))</f>
        <v/>
      </c>
      <c r="I436" s="26" t="str">
        <f>IF(B436="", "", CONCATENATE(D436, 'Data Export'!A436))</f>
        <v/>
      </c>
      <c r="J436" s="26" t="str">
        <f>IF(B436="", "", 'Lookup Tables'!$B$1)</f>
        <v/>
      </c>
      <c r="K436" s="26" t="str">
        <f>IF(B436="", "", 'Lighting Inventory'!B444)</f>
        <v/>
      </c>
      <c r="L436" s="26" t="str">
        <f>IF(B436="", "", 'Lighting Inventory'!C444)</f>
        <v/>
      </c>
      <c r="M436" s="26" t="str">
        <f>IF(B436="", "",'Lighting Inventory'!D444)</f>
        <v/>
      </c>
      <c r="N436" s="26" t="str">
        <f>IF(B436="", "",'Lighting Inventory'!E444)</f>
        <v/>
      </c>
      <c r="O436" s="26" t="str">
        <f>IF(B436="", "", 'Lighting Inventory'!F444)</f>
        <v/>
      </c>
      <c r="P436" s="26" t="str">
        <f>IF(B436="", "", 'Lighting Inventory'!G444)</f>
        <v/>
      </c>
      <c r="Q436" s="26" t="str">
        <f>IF(B436="", "", 'Lighting Inventory'!H444)</f>
        <v/>
      </c>
      <c r="R436" s="26" t="str">
        <f>IF(B436="", "", 'Lighting Inventory'!I444)</f>
        <v/>
      </c>
      <c r="S436" s="26" t="str">
        <f>IF(B436="", "", 'Lighting Inventory'!J444)</f>
        <v/>
      </c>
      <c r="T436" s="26" t="str">
        <f>IFERROR(IF(B436="","",VLOOKUP(S436,'Fixture Identities'!$A$7:$G$1023,5,FALSE)), "New Construction")</f>
        <v/>
      </c>
      <c r="U436" s="26" t="str">
        <f>IFERROR(IF(B436="", "", IF(K436="New Construction", "NC", IF(VLOOKUP(S436, 'Fixture Identities'!$A$7:$I$1023,3, FALSE)="T12 Linear Fluorescent", VLOOKUP(S436, 'Fixture Identities'!$A$7:$K$1012, 11, FALSE), S436))), "")</f>
        <v/>
      </c>
      <c r="V436" s="26" t="str">
        <f>IFERROR(IF(OR(B436="", U436=0), "", VLOOKUP(U436, 'Fixture Identities'!$A$7:$G$1023, 5, FALSE)), "")</f>
        <v/>
      </c>
      <c r="W436" s="26" t="str">
        <f>IF(B436="", "",'Lighting Inventory'!K444)</f>
        <v/>
      </c>
      <c r="X436" s="65" t="str">
        <f>IF(B436="", "", 'Lighting Inventory'!L444)</f>
        <v/>
      </c>
      <c r="Y436" s="26" t="str">
        <f>IF(B436="", "", IF('Lighting Inventory'!M444="", "Light Switch",'Lighting Inventory'!M444))</f>
        <v/>
      </c>
      <c r="Z436" s="26" t="str">
        <f>IF(OR(K436="Retrofit", B436=""), "", 'Lighting Inventory'!N444)</f>
        <v/>
      </c>
      <c r="AA436" s="26" t="str">
        <f>IF(OR(Z436="",B436=""), "", 'Lighting Inventory'!O444)</f>
        <v/>
      </c>
      <c r="AB436" s="26" t="str">
        <f>IF(B436="", "", 'Lighting Inventory'!P444)</f>
        <v/>
      </c>
      <c r="AC436" s="96" t="str">
        <f>IF(B436="", "", 'Lighting Inventory'!R444)</f>
        <v/>
      </c>
      <c r="AD436" s="26" t="str">
        <f>IF(B436="", "", 'Lighting Inventory'!S444)</f>
        <v/>
      </c>
      <c r="AE436" s="26" t="str">
        <f>IF(B436="", "", 'Lighting Inventory'!V444)</f>
        <v/>
      </c>
      <c r="AF436" s="26" t="str">
        <f>IF(B436="", "", 'Lighting Inventory'!W444)</f>
        <v/>
      </c>
      <c r="AG436" s="26" t="str">
        <f>IF(OR(AF436="", B436=""), "", IF(AE436="Custom", "0", VLOOKUP(AF436, 'Lookup Tables'!$AI$6:$AP$102, 8, FALSE)))</f>
        <v/>
      </c>
      <c r="AH436" s="26" t="str">
        <f>IF(B436="", "", 'Lighting Inventory'!AD444)</f>
        <v/>
      </c>
      <c r="AI436" s="26" t="str">
        <f>IF(OR('Lighting Inventory'!AK444="", B436=""), "", 'Lighting Inventory'!AK444)</f>
        <v/>
      </c>
      <c r="AJ436" s="66" t="str">
        <f>IF(B436="", "", 'Lighting Inventory'!AL444)</f>
        <v/>
      </c>
      <c r="AK436" s="65" t="str">
        <f>IF(B436="", "", 'Lighting Inventory'!AM444)</f>
        <v/>
      </c>
      <c r="AL436" s="26" t="str">
        <f>IF(B436="", "", 'Lighting Inventory'!AN444)</f>
        <v/>
      </c>
      <c r="AM436" s="26" t="str">
        <f t="shared" si="21"/>
        <v/>
      </c>
      <c r="AN436" s="26" t="str">
        <f>IF(B436="","",IF('Lighting Inventory'!AV444="","Prescribed",'Lighting Inventory'!AV444))</f>
        <v/>
      </c>
      <c r="AO436" s="66" t="str">
        <f>IF(B436="", "", 'Lighting Inventory'!AX444)</f>
        <v/>
      </c>
      <c r="AP436" s="67" t="str">
        <f>IF(B436="", "", 'Lighting Inventory'!AZ444)</f>
        <v/>
      </c>
      <c r="AQ436" s="67" t="str">
        <f>IF(B436="", "", 'Lighting Inventory'!BA444)</f>
        <v/>
      </c>
      <c r="AR436" s="67" t="str">
        <f>IF(B436="", "", 'Lighting Inventory'!BB444)</f>
        <v/>
      </c>
      <c r="AS436" s="67" t="str">
        <f>IF(B436="", "", 'Lighting Inventory'!BC444)</f>
        <v/>
      </c>
      <c r="AT436" s="67" t="str">
        <f>IF(B436="", "", 'Lighting Inventory'!BD444)</f>
        <v/>
      </c>
      <c r="AU436" s="67" t="str">
        <f>IF(B436="", "", 'Lighting Inventory'!BE444)</f>
        <v/>
      </c>
      <c r="AV436" s="67" t="str">
        <f>IF(B436="", "", 'Lighting Inventory'!BE444)</f>
        <v/>
      </c>
      <c r="AW436" s="67" t="str">
        <f>IF(B436="", "", 'Lighting Inventory'!BF444)</f>
        <v/>
      </c>
      <c r="AX436" s="67" t="str">
        <f>IF(B436="", "", 'Lighting Inventory'!BF444)</f>
        <v/>
      </c>
      <c r="AY436" s="65" t="str">
        <f t="shared" si="22"/>
        <v/>
      </c>
      <c r="AZ436" s="65" t="str">
        <f>IF(B436="", "", 'Lighting Inventory'!BJ444)</f>
        <v/>
      </c>
      <c r="BA436" s="65" t="str">
        <f>IF(B436="", "", 'Lighting Inventory'!BM444)</f>
        <v/>
      </c>
      <c r="BB436" s="65" t="str">
        <f>IF(B436="","",SUM('Lighting Inventory'!BP444:BP444))</f>
        <v/>
      </c>
      <c r="BC436" s="67" t="str">
        <f>IF(OR(AE436="", B436=""),"", 'Lighting Inventory'!GR444)</f>
        <v/>
      </c>
      <c r="BD436" s="67" t="str">
        <f>IFERROR(IF(B436="", "", 'Lighting Inventory'!AF444)*AD436," ")</f>
        <v xml:space="preserve"> </v>
      </c>
      <c r="BE436" s="67"/>
      <c r="BF436" s="67"/>
    </row>
    <row r="437" spans="1:58" x14ac:dyDescent="0.25">
      <c r="A437" s="26" t="str">
        <f>IF(B437="", "", 'Lookup Tables'!AW438)</f>
        <v/>
      </c>
      <c r="B437" s="26" t="str">
        <f>IF(OR('Lighting Inventory'!Y445="", 'Lighting Inventory'!V445="No Change"),"", 'Lighting Inventory'!Y445)</f>
        <v/>
      </c>
      <c r="C437" s="26" t="str">
        <f>IF(B437="", "", IF('Lighting Inventory'!Y445='Lookup Tables'!$Y$32, 'Lighting Inventory'!AJ445, IF(AD437=0, R437, AD437)))</f>
        <v/>
      </c>
      <c r="D437" s="26" t="str">
        <f>IF(B437="", "", 'General Information'!$F$14)</f>
        <v/>
      </c>
      <c r="E437" s="26" t="str">
        <f t="shared" si="20"/>
        <v/>
      </c>
      <c r="F437" s="26" t="str">
        <f>IF(B437="", "", CONCATENATE('General Information'!$F$9, " - ", 'General Information'!$F$14))</f>
        <v/>
      </c>
      <c r="G437" s="26" t="str">
        <f>IF(B437="", "", 'General Information'!$F$15)</f>
        <v/>
      </c>
      <c r="H437" s="26" t="str">
        <f>IF(B437="", "", IF(VLOOKUP(B437, 'Lookup Tables'!$Y$18:$AA$34, 2, FALSE)="Traffic", VLOOKUP('Lighting Inventory'!W445, 'Lookup Tables'!#REF!, 11, FALSE), VLOOKUP(B437, 'Lookup Tables'!$Y$18:$AA$34, 2, FALSE)))</f>
        <v/>
      </c>
      <c r="I437" s="26" t="str">
        <f>IF(B437="", "", CONCATENATE(D437, 'Data Export'!A437))</f>
        <v/>
      </c>
      <c r="J437" s="26" t="str">
        <f>IF(B437="", "", 'Lookup Tables'!$B$1)</f>
        <v/>
      </c>
      <c r="K437" s="26" t="str">
        <f>IF(B437="", "", 'Lighting Inventory'!B445)</f>
        <v/>
      </c>
      <c r="L437" s="26" t="str">
        <f>IF(B437="", "", 'Lighting Inventory'!C445)</f>
        <v/>
      </c>
      <c r="M437" s="26" t="str">
        <f>IF(B437="", "",'Lighting Inventory'!D445)</f>
        <v/>
      </c>
      <c r="N437" s="26" t="str">
        <f>IF(B437="", "",'Lighting Inventory'!E445)</f>
        <v/>
      </c>
      <c r="O437" s="26" t="str">
        <f>IF(B437="", "", 'Lighting Inventory'!F445)</f>
        <v/>
      </c>
      <c r="P437" s="26" t="str">
        <f>IF(B437="", "", 'Lighting Inventory'!G445)</f>
        <v/>
      </c>
      <c r="Q437" s="26" t="str">
        <f>IF(B437="", "", 'Lighting Inventory'!H445)</f>
        <v/>
      </c>
      <c r="R437" s="26" t="str">
        <f>IF(B437="", "", 'Lighting Inventory'!I445)</f>
        <v/>
      </c>
      <c r="S437" s="26" t="str">
        <f>IF(B437="", "", 'Lighting Inventory'!J445)</f>
        <v/>
      </c>
      <c r="T437" s="26" t="str">
        <f>IFERROR(IF(B437="","",VLOOKUP(S437,'Fixture Identities'!$A$7:$G$1023,5,FALSE)), "New Construction")</f>
        <v/>
      </c>
      <c r="U437" s="26" t="str">
        <f>IFERROR(IF(B437="", "", IF(K437="New Construction", "NC", IF(VLOOKUP(S437, 'Fixture Identities'!$A$7:$I$1023,3, FALSE)="T12 Linear Fluorescent", VLOOKUP(S437, 'Fixture Identities'!$A$7:$K$1012, 11, FALSE), S437))), "")</f>
        <v/>
      </c>
      <c r="V437" s="26" t="str">
        <f>IFERROR(IF(OR(B437="", U437=0), "", VLOOKUP(U437, 'Fixture Identities'!$A$7:$G$1023, 5, FALSE)), "")</f>
        <v/>
      </c>
      <c r="W437" s="26" t="str">
        <f>IF(B437="", "",'Lighting Inventory'!K445)</f>
        <v/>
      </c>
      <c r="X437" s="65" t="str">
        <f>IF(B437="", "", 'Lighting Inventory'!L445)</f>
        <v/>
      </c>
      <c r="Y437" s="26" t="str">
        <f>IF(B437="", "", IF('Lighting Inventory'!M445="", "Light Switch",'Lighting Inventory'!M445))</f>
        <v/>
      </c>
      <c r="Z437" s="26" t="str">
        <f>IF(OR(K437="Retrofit", B437=""), "", 'Lighting Inventory'!N445)</f>
        <v/>
      </c>
      <c r="AA437" s="26" t="str">
        <f>IF(OR(Z437="",B437=""), "", 'Lighting Inventory'!O445)</f>
        <v/>
      </c>
      <c r="AB437" s="26" t="str">
        <f>IF(B437="", "", 'Lighting Inventory'!P445)</f>
        <v/>
      </c>
      <c r="AC437" s="96" t="str">
        <f>IF(B437="", "", 'Lighting Inventory'!R445)</f>
        <v/>
      </c>
      <c r="AD437" s="26" t="str">
        <f>IF(B437="", "", 'Lighting Inventory'!S445)</f>
        <v/>
      </c>
      <c r="AE437" s="26" t="str">
        <f>IF(B437="", "", 'Lighting Inventory'!V445)</f>
        <v/>
      </c>
      <c r="AF437" s="26" t="str">
        <f>IF(B437="", "", 'Lighting Inventory'!W445)</f>
        <v/>
      </c>
      <c r="AG437" s="26" t="str">
        <f>IF(OR(AF437="", B437=""), "", IF(AE437="Custom", "0", VLOOKUP(AF437, 'Lookup Tables'!$AI$6:$AP$102, 8, FALSE)))</f>
        <v/>
      </c>
      <c r="AH437" s="26" t="str">
        <f>IF(B437="", "", 'Lighting Inventory'!AD445)</f>
        <v/>
      </c>
      <c r="AI437" s="26" t="str">
        <f>IF(OR('Lighting Inventory'!AK445="", B437=""), "", 'Lighting Inventory'!AK445)</f>
        <v/>
      </c>
      <c r="AJ437" s="66" t="str">
        <f>IF(B437="", "", 'Lighting Inventory'!AL445)</f>
        <v/>
      </c>
      <c r="AK437" s="65" t="str">
        <f>IF(B437="", "", 'Lighting Inventory'!AM445)</f>
        <v/>
      </c>
      <c r="AL437" s="26" t="str">
        <f>IF(B437="", "", 'Lighting Inventory'!AN445)</f>
        <v/>
      </c>
      <c r="AM437" s="26" t="str">
        <f t="shared" si="21"/>
        <v/>
      </c>
      <c r="AN437" s="26" t="str">
        <f>IF(B437="","",IF('Lighting Inventory'!AV445="","Prescribed",'Lighting Inventory'!AV445))</f>
        <v/>
      </c>
      <c r="AO437" s="66" t="str">
        <f>IF(B437="", "", 'Lighting Inventory'!AX445)</f>
        <v/>
      </c>
      <c r="AP437" s="67" t="str">
        <f>IF(B437="", "", 'Lighting Inventory'!AZ445)</f>
        <v/>
      </c>
      <c r="AQ437" s="67" t="str">
        <f>IF(B437="", "", 'Lighting Inventory'!BA445)</f>
        <v/>
      </c>
      <c r="AR437" s="67" t="str">
        <f>IF(B437="", "", 'Lighting Inventory'!BB445)</f>
        <v/>
      </c>
      <c r="AS437" s="67" t="str">
        <f>IF(B437="", "", 'Lighting Inventory'!BC445)</f>
        <v/>
      </c>
      <c r="AT437" s="67" t="str">
        <f>IF(B437="", "", 'Lighting Inventory'!BD445)</f>
        <v/>
      </c>
      <c r="AU437" s="67" t="str">
        <f>IF(B437="", "", 'Lighting Inventory'!BE445)</f>
        <v/>
      </c>
      <c r="AV437" s="67" t="str">
        <f>IF(B437="", "", 'Lighting Inventory'!BE445)</f>
        <v/>
      </c>
      <c r="AW437" s="67" t="str">
        <f>IF(B437="", "", 'Lighting Inventory'!BF445)</f>
        <v/>
      </c>
      <c r="AX437" s="67" t="str">
        <f>IF(B437="", "", 'Lighting Inventory'!BF445)</f>
        <v/>
      </c>
      <c r="AY437" s="65" t="str">
        <f t="shared" si="22"/>
        <v/>
      </c>
      <c r="AZ437" s="65" t="str">
        <f>IF(B437="", "", 'Lighting Inventory'!BJ445)</f>
        <v/>
      </c>
      <c r="BA437" s="65" t="str">
        <f>IF(B437="", "", 'Lighting Inventory'!BM445)</f>
        <v/>
      </c>
      <c r="BB437" s="65" t="str">
        <f>IF(B437="","",SUM('Lighting Inventory'!BP445:BP445))</f>
        <v/>
      </c>
      <c r="BC437" s="67" t="str">
        <f>IF(OR(AE437="", B437=""),"", 'Lighting Inventory'!GR445)</f>
        <v/>
      </c>
      <c r="BD437" s="67" t="str">
        <f>IFERROR(IF(B437="", "", 'Lighting Inventory'!AF445)*AD437," ")</f>
        <v xml:space="preserve"> </v>
      </c>
      <c r="BE437" s="67"/>
      <c r="BF437" s="67"/>
    </row>
    <row r="438" spans="1:58" x14ac:dyDescent="0.25">
      <c r="A438" s="26" t="str">
        <f>IF(B438="", "", 'Lookup Tables'!AW439)</f>
        <v/>
      </c>
      <c r="B438" s="26" t="str">
        <f>IF(OR('Lighting Inventory'!Y446="", 'Lighting Inventory'!V446="No Change"),"", 'Lighting Inventory'!Y446)</f>
        <v/>
      </c>
      <c r="C438" s="26" t="str">
        <f>IF(B438="", "", IF('Lighting Inventory'!Y446='Lookup Tables'!$Y$32, 'Lighting Inventory'!AJ446, IF(AD438=0, R438, AD438)))</f>
        <v/>
      </c>
      <c r="D438" s="26" t="str">
        <f>IF(B438="", "", 'General Information'!$F$14)</f>
        <v/>
      </c>
      <c r="E438" s="26" t="str">
        <f t="shared" si="20"/>
        <v/>
      </c>
      <c r="F438" s="26" t="str">
        <f>IF(B438="", "", CONCATENATE('General Information'!$F$9, " - ", 'General Information'!$F$14))</f>
        <v/>
      </c>
      <c r="G438" s="26" t="str">
        <f>IF(B438="", "", 'General Information'!$F$15)</f>
        <v/>
      </c>
      <c r="H438" s="26" t="str">
        <f>IF(B438="", "", IF(VLOOKUP(B438, 'Lookup Tables'!$Y$18:$AA$34, 2, FALSE)="Traffic", VLOOKUP('Lighting Inventory'!W446, 'Lookup Tables'!#REF!, 11, FALSE), VLOOKUP(B438, 'Lookup Tables'!$Y$18:$AA$34, 2, FALSE)))</f>
        <v/>
      </c>
      <c r="I438" s="26" t="str">
        <f>IF(B438="", "", CONCATENATE(D438, 'Data Export'!A438))</f>
        <v/>
      </c>
      <c r="J438" s="26" t="str">
        <f>IF(B438="", "", 'Lookup Tables'!$B$1)</f>
        <v/>
      </c>
      <c r="K438" s="26" t="str">
        <f>IF(B438="", "", 'Lighting Inventory'!B446)</f>
        <v/>
      </c>
      <c r="L438" s="26" t="str">
        <f>IF(B438="", "", 'Lighting Inventory'!C446)</f>
        <v/>
      </c>
      <c r="M438" s="26" t="str">
        <f>IF(B438="", "",'Lighting Inventory'!D446)</f>
        <v/>
      </c>
      <c r="N438" s="26" t="str">
        <f>IF(B438="", "",'Lighting Inventory'!E446)</f>
        <v/>
      </c>
      <c r="O438" s="26" t="str">
        <f>IF(B438="", "", 'Lighting Inventory'!F446)</f>
        <v/>
      </c>
      <c r="P438" s="26" t="str">
        <f>IF(B438="", "", 'Lighting Inventory'!G446)</f>
        <v/>
      </c>
      <c r="Q438" s="26" t="str">
        <f>IF(B438="", "", 'Lighting Inventory'!H446)</f>
        <v/>
      </c>
      <c r="R438" s="26" t="str">
        <f>IF(B438="", "", 'Lighting Inventory'!I446)</f>
        <v/>
      </c>
      <c r="S438" s="26" t="str">
        <f>IF(B438="", "", 'Lighting Inventory'!J446)</f>
        <v/>
      </c>
      <c r="T438" s="26" t="str">
        <f>IFERROR(IF(B438="","",VLOOKUP(S438,'Fixture Identities'!$A$7:$G$1023,5,FALSE)), "New Construction")</f>
        <v/>
      </c>
      <c r="U438" s="26" t="str">
        <f>IFERROR(IF(B438="", "", IF(K438="New Construction", "NC", IF(VLOOKUP(S438, 'Fixture Identities'!$A$7:$I$1023,3, FALSE)="T12 Linear Fluorescent", VLOOKUP(S438, 'Fixture Identities'!$A$7:$K$1012, 11, FALSE), S438))), "")</f>
        <v/>
      </c>
      <c r="V438" s="26" t="str">
        <f>IFERROR(IF(OR(B438="", U438=0), "", VLOOKUP(U438, 'Fixture Identities'!$A$7:$G$1023, 5, FALSE)), "")</f>
        <v/>
      </c>
      <c r="W438" s="26" t="str">
        <f>IF(B438="", "",'Lighting Inventory'!K446)</f>
        <v/>
      </c>
      <c r="X438" s="65" t="str">
        <f>IF(B438="", "", 'Lighting Inventory'!L446)</f>
        <v/>
      </c>
      <c r="Y438" s="26" t="str">
        <f>IF(B438="", "", IF('Lighting Inventory'!M446="", "Light Switch",'Lighting Inventory'!M446))</f>
        <v/>
      </c>
      <c r="Z438" s="26" t="str">
        <f>IF(OR(K438="Retrofit", B438=""), "", 'Lighting Inventory'!N446)</f>
        <v/>
      </c>
      <c r="AA438" s="26" t="str">
        <f>IF(OR(Z438="",B438=""), "", 'Lighting Inventory'!O446)</f>
        <v/>
      </c>
      <c r="AB438" s="26" t="str">
        <f>IF(B438="", "", 'Lighting Inventory'!P446)</f>
        <v/>
      </c>
      <c r="AC438" s="96" t="str">
        <f>IF(B438="", "", 'Lighting Inventory'!R446)</f>
        <v/>
      </c>
      <c r="AD438" s="26" t="str">
        <f>IF(B438="", "", 'Lighting Inventory'!S446)</f>
        <v/>
      </c>
      <c r="AE438" s="26" t="str">
        <f>IF(B438="", "", 'Lighting Inventory'!V446)</f>
        <v/>
      </c>
      <c r="AF438" s="26" t="str">
        <f>IF(B438="", "", 'Lighting Inventory'!W446)</f>
        <v/>
      </c>
      <c r="AG438" s="26" t="str">
        <f>IF(OR(AF438="", B438=""), "", IF(AE438="Custom", "0", VLOOKUP(AF438, 'Lookup Tables'!$AI$6:$AP$102, 8, FALSE)))</f>
        <v/>
      </c>
      <c r="AH438" s="26" t="str">
        <f>IF(B438="", "", 'Lighting Inventory'!AD446)</f>
        <v/>
      </c>
      <c r="AI438" s="26" t="str">
        <f>IF(OR('Lighting Inventory'!AK446="", B438=""), "", 'Lighting Inventory'!AK446)</f>
        <v/>
      </c>
      <c r="AJ438" s="66" t="str">
        <f>IF(B438="", "", 'Lighting Inventory'!AL446)</f>
        <v/>
      </c>
      <c r="AK438" s="65" t="str">
        <f>IF(B438="", "", 'Lighting Inventory'!AM446)</f>
        <v/>
      </c>
      <c r="AL438" s="26" t="str">
        <f>IF(B438="", "", 'Lighting Inventory'!AN446)</f>
        <v/>
      </c>
      <c r="AM438" s="26" t="str">
        <f t="shared" si="21"/>
        <v/>
      </c>
      <c r="AN438" s="26" t="str">
        <f>IF(B438="","",IF('Lighting Inventory'!AV446="","Prescribed",'Lighting Inventory'!AV446))</f>
        <v/>
      </c>
      <c r="AO438" s="66" t="str">
        <f>IF(B438="", "", 'Lighting Inventory'!AX446)</f>
        <v/>
      </c>
      <c r="AP438" s="67" t="str">
        <f>IF(B438="", "", 'Lighting Inventory'!AZ446)</f>
        <v/>
      </c>
      <c r="AQ438" s="67" t="str">
        <f>IF(B438="", "", 'Lighting Inventory'!BA446)</f>
        <v/>
      </c>
      <c r="AR438" s="67" t="str">
        <f>IF(B438="", "", 'Lighting Inventory'!BB446)</f>
        <v/>
      </c>
      <c r="AS438" s="67" t="str">
        <f>IF(B438="", "", 'Lighting Inventory'!BC446)</f>
        <v/>
      </c>
      <c r="AT438" s="67" t="str">
        <f>IF(B438="", "", 'Lighting Inventory'!BD446)</f>
        <v/>
      </c>
      <c r="AU438" s="67" t="str">
        <f>IF(B438="", "", 'Lighting Inventory'!BE446)</f>
        <v/>
      </c>
      <c r="AV438" s="67" t="str">
        <f>IF(B438="", "", 'Lighting Inventory'!BE446)</f>
        <v/>
      </c>
      <c r="AW438" s="67" t="str">
        <f>IF(B438="", "", 'Lighting Inventory'!BF446)</f>
        <v/>
      </c>
      <c r="AX438" s="67" t="str">
        <f>IF(B438="", "", 'Lighting Inventory'!BF446)</f>
        <v/>
      </c>
      <c r="AY438" s="65" t="str">
        <f t="shared" si="22"/>
        <v/>
      </c>
      <c r="AZ438" s="65" t="str">
        <f>IF(B438="", "", 'Lighting Inventory'!BJ446)</f>
        <v/>
      </c>
      <c r="BA438" s="65" t="str">
        <f>IF(B438="", "", 'Lighting Inventory'!BM446)</f>
        <v/>
      </c>
      <c r="BB438" s="65" t="str">
        <f>IF(B438="","",SUM('Lighting Inventory'!BP446:BP446))</f>
        <v/>
      </c>
      <c r="BC438" s="67" t="str">
        <f>IF(OR(AE438="", B438=""),"", 'Lighting Inventory'!GR446)</f>
        <v/>
      </c>
      <c r="BD438" s="67" t="str">
        <f>IFERROR(IF(B438="", "", 'Lighting Inventory'!AF446)*AD438," ")</f>
        <v xml:space="preserve"> </v>
      </c>
      <c r="BE438" s="67"/>
      <c r="BF438" s="67"/>
    </row>
    <row r="439" spans="1:58" x14ac:dyDescent="0.25">
      <c r="A439" s="26" t="str">
        <f>IF(B439="", "", 'Lookup Tables'!AW440)</f>
        <v/>
      </c>
      <c r="B439" s="26" t="str">
        <f>IF(OR('Lighting Inventory'!Y447="", 'Lighting Inventory'!V447="No Change"),"", 'Lighting Inventory'!Y447)</f>
        <v/>
      </c>
      <c r="C439" s="26" t="str">
        <f>IF(B439="", "", IF('Lighting Inventory'!Y447='Lookup Tables'!$Y$32, 'Lighting Inventory'!AJ447, IF(AD439=0, R439, AD439)))</f>
        <v/>
      </c>
      <c r="D439" s="26" t="str">
        <f>IF(B439="", "", 'General Information'!$F$14)</f>
        <v/>
      </c>
      <c r="E439" s="26" t="str">
        <f t="shared" si="20"/>
        <v/>
      </c>
      <c r="F439" s="26" t="str">
        <f>IF(B439="", "", CONCATENATE('General Information'!$F$9, " - ", 'General Information'!$F$14))</f>
        <v/>
      </c>
      <c r="G439" s="26" t="str">
        <f>IF(B439="", "", 'General Information'!$F$15)</f>
        <v/>
      </c>
      <c r="H439" s="26" t="str">
        <f>IF(B439="", "", IF(VLOOKUP(B439, 'Lookup Tables'!$Y$18:$AA$34, 2, FALSE)="Traffic", VLOOKUP('Lighting Inventory'!W447, 'Lookup Tables'!#REF!, 11, FALSE), VLOOKUP(B439, 'Lookup Tables'!$Y$18:$AA$34, 2, FALSE)))</f>
        <v/>
      </c>
      <c r="I439" s="26" t="str">
        <f>IF(B439="", "", CONCATENATE(D439, 'Data Export'!A439))</f>
        <v/>
      </c>
      <c r="J439" s="26" t="str">
        <f>IF(B439="", "", 'Lookup Tables'!$B$1)</f>
        <v/>
      </c>
      <c r="K439" s="26" t="str">
        <f>IF(B439="", "", 'Lighting Inventory'!B447)</f>
        <v/>
      </c>
      <c r="L439" s="26" t="str">
        <f>IF(B439="", "", 'Lighting Inventory'!C447)</f>
        <v/>
      </c>
      <c r="M439" s="26" t="str">
        <f>IF(B439="", "",'Lighting Inventory'!D447)</f>
        <v/>
      </c>
      <c r="N439" s="26" t="str">
        <f>IF(B439="", "",'Lighting Inventory'!E447)</f>
        <v/>
      </c>
      <c r="O439" s="26" t="str">
        <f>IF(B439="", "", 'Lighting Inventory'!F447)</f>
        <v/>
      </c>
      <c r="P439" s="26" t="str">
        <f>IF(B439="", "", 'Lighting Inventory'!G447)</f>
        <v/>
      </c>
      <c r="Q439" s="26" t="str">
        <f>IF(B439="", "", 'Lighting Inventory'!H447)</f>
        <v/>
      </c>
      <c r="R439" s="26" t="str">
        <f>IF(B439="", "", 'Lighting Inventory'!I447)</f>
        <v/>
      </c>
      <c r="S439" s="26" t="str">
        <f>IF(B439="", "", 'Lighting Inventory'!J447)</f>
        <v/>
      </c>
      <c r="T439" s="26" t="str">
        <f>IFERROR(IF(B439="","",VLOOKUP(S439,'Fixture Identities'!$A$7:$G$1023,5,FALSE)), "New Construction")</f>
        <v/>
      </c>
      <c r="U439" s="26" t="str">
        <f>IFERROR(IF(B439="", "", IF(K439="New Construction", "NC", IF(VLOOKUP(S439, 'Fixture Identities'!$A$7:$I$1023,3, FALSE)="T12 Linear Fluorescent", VLOOKUP(S439, 'Fixture Identities'!$A$7:$K$1012, 11, FALSE), S439))), "")</f>
        <v/>
      </c>
      <c r="V439" s="26" t="str">
        <f>IFERROR(IF(OR(B439="", U439=0), "", VLOOKUP(U439, 'Fixture Identities'!$A$7:$G$1023, 5, FALSE)), "")</f>
        <v/>
      </c>
      <c r="W439" s="26" t="str">
        <f>IF(B439="", "",'Lighting Inventory'!K447)</f>
        <v/>
      </c>
      <c r="X439" s="65" t="str">
        <f>IF(B439="", "", 'Lighting Inventory'!L447)</f>
        <v/>
      </c>
      <c r="Y439" s="26" t="str">
        <f>IF(B439="", "", IF('Lighting Inventory'!M447="", "Light Switch",'Lighting Inventory'!M447))</f>
        <v/>
      </c>
      <c r="Z439" s="26" t="str">
        <f>IF(OR(K439="Retrofit", B439=""), "", 'Lighting Inventory'!N447)</f>
        <v/>
      </c>
      <c r="AA439" s="26" t="str">
        <f>IF(OR(Z439="",B439=""), "", 'Lighting Inventory'!O447)</f>
        <v/>
      </c>
      <c r="AB439" s="26" t="str">
        <f>IF(B439="", "", 'Lighting Inventory'!P447)</f>
        <v/>
      </c>
      <c r="AC439" s="96" t="str">
        <f>IF(B439="", "", 'Lighting Inventory'!R447)</f>
        <v/>
      </c>
      <c r="AD439" s="26" t="str">
        <f>IF(B439="", "", 'Lighting Inventory'!S447)</f>
        <v/>
      </c>
      <c r="AE439" s="26" t="str">
        <f>IF(B439="", "", 'Lighting Inventory'!V447)</f>
        <v/>
      </c>
      <c r="AF439" s="26" t="str">
        <f>IF(B439="", "", 'Lighting Inventory'!W447)</f>
        <v/>
      </c>
      <c r="AG439" s="26" t="str">
        <f>IF(OR(AF439="", B439=""), "", IF(AE439="Custom", "0", VLOOKUP(AF439, 'Lookup Tables'!$AI$6:$AP$102, 8, FALSE)))</f>
        <v/>
      </c>
      <c r="AH439" s="26" t="str">
        <f>IF(B439="", "", 'Lighting Inventory'!AD447)</f>
        <v/>
      </c>
      <c r="AI439" s="26" t="str">
        <f>IF(OR('Lighting Inventory'!AK447="", B439=""), "", 'Lighting Inventory'!AK447)</f>
        <v/>
      </c>
      <c r="AJ439" s="66" t="str">
        <f>IF(B439="", "", 'Lighting Inventory'!AL447)</f>
        <v/>
      </c>
      <c r="AK439" s="65" t="str">
        <f>IF(B439="", "", 'Lighting Inventory'!AM447)</f>
        <v/>
      </c>
      <c r="AL439" s="26" t="str">
        <f>IF(B439="", "", 'Lighting Inventory'!AN447)</f>
        <v/>
      </c>
      <c r="AM439" s="26" t="str">
        <f t="shared" si="21"/>
        <v/>
      </c>
      <c r="AN439" s="26" t="str">
        <f>IF(B439="","",IF('Lighting Inventory'!AV447="","Prescribed",'Lighting Inventory'!AV447))</f>
        <v/>
      </c>
      <c r="AO439" s="66" t="str">
        <f>IF(B439="", "", 'Lighting Inventory'!AX447)</f>
        <v/>
      </c>
      <c r="AP439" s="67" t="str">
        <f>IF(B439="", "", 'Lighting Inventory'!AZ447)</f>
        <v/>
      </c>
      <c r="AQ439" s="67" t="str">
        <f>IF(B439="", "", 'Lighting Inventory'!BA447)</f>
        <v/>
      </c>
      <c r="AR439" s="67" t="str">
        <f>IF(B439="", "", 'Lighting Inventory'!BB447)</f>
        <v/>
      </c>
      <c r="AS439" s="67" t="str">
        <f>IF(B439="", "", 'Lighting Inventory'!BC447)</f>
        <v/>
      </c>
      <c r="AT439" s="67" t="str">
        <f>IF(B439="", "", 'Lighting Inventory'!BD447)</f>
        <v/>
      </c>
      <c r="AU439" s="67" t="str">
        <f>IF(B439="", "", 'Lighting Inventory'!BE447)</f>
        <v/>
      </c>
      <c r="AV439" s="67" t="str">
        <f>IF(B439="", "", 'Lighting Inventory'!BE447)</f>
        <v/>
      </c>
      <c r="AW439" s="67" t="str">
        <f>IF(B439="", "", 'Lighting Inventory'!BF447)</f>
        <v/>
      </c>
      <c r="AX439" s="67" t="str">
        <f>IF(B439="", "", 'Lighting Inventory'!BF447)</f>
        <v/>
      </c>
      <c r="AY439" s="65" t="str">
        <f t="shared" si="22"/>
        <v/>
      </c>
      <c r="AZ439" s="65" t="str">
        <f>IF(B439="", "", 'Lighting Inventory'!BJ447)</f>
        <v/>
      </c>
      <c r="BA439" s="65" t="str">
        <f>IF(B439="", "", 'Lighting Inventory'!BM447)</f>
        <v/>
      </c>
      <c r="BB439" s="65" t="str">
        <f>IF(B439="","",SUM('Lighting Inventory'!BP447:BP447))</f>
        <v/>
      </c>
      <c r="BC439" s="67" t="str">
        <f>IF(OR(AE439="", B439=""),"", 'Lighting Inventory'!GR447)</f>
        <v/>
      </c>
      <c r="BD439" s="67" t="str">
        <f>IFERROR(IF(B439="", "", 'Lighting Inventory'!AF447)*AD439," ")</f>
        <v xml:space="preserve"> </v>
      </c>
      <c r="BE439" s="67"/>
      <c r="BF439" s="67"/>
    </row>
    <row r="440" spans="1:58" x14ac:dyDescent="0.25">
      <c r="A440" s="26" t="str">
        <f>IF(B440="", "", 'Lookup Tables'!AW441)</f>
        <v/>
      </c>
      <c r="B440" s="26" t="str">
        <f>IF(OR('Lighting Inventory'!Y448="", 'Lighting Inventory'!V448="No Change"),"", 'Lighting Inventory'!Y448)</f>
        <v/>
      </c>
      <c r="C440" s="26" t="str">
        <f>IF(B440="", "", IF('Lighting Inventory'!Y448='Lookup Tables'!$Y$32, 'Lighting Inventory'!AJ448, IF(AD440=0, R440, AD440)))</f>
        <v/>
      </c>
      <c r="D440" s="26" t="str">
        <f>IF(B440="", "", 'General Information'!$F$14)</f>
        <v/>
      </c>
      <c r="E440" s="26" t="str">
        <f t="shared" si="20"/>
        <v/>
      </c>
      <c r="F440" s="26" t="str">
        <f>IF(B440="", "", CONCATENATE('General Information'!$F$9, " - ", 'General Information'!$F$14))</f>
        <v/>
      </c>
      <c r="G440" s="26" t="str">
        <f>IF(B440="", "", 'General Information'!$F$15)</f>
        <v/>
      </c>
      <c r="H440" s="26" t="str">
        <f>IF(B440="", "", IF(VLOOKUP(B440, 'Lookup Tables'!$Y$18:$AA$34, 2, FALSE)="Traffic", VLOOKUP('Lighting Inventory'!W448, 'Lookup Tables'!#REF!, 11, FALSE), VLOOKUP(B440, 'Lookup Tables'!$Y$18:$AA$34, 2, FALSE)))</f>
        <v/>
      </c>
      <c r="I440" s="26" t="str">
        <f>IF(B440="", "", CONCATENATE(D440, 'Data Export'!A440))</f>
        <v/>
      </c>
      <c r="J440" s="26" t="str">
        <f>IF(B440="", "", 'Lookup Tables'!$B$1)</f>
        <v/>
      </c>
      <c r="K440" s="26" t="str">
        <f>IF(B440="", "", 'Lighting Inventory'!B448)</f>
        <v/>
      </c>
      <c r="L440" s="26" t="str">
        <f>IF(B440="", "", 'Lighting Inventory'!C448)</f>
        <v/>
      </c>
      <c r="M440" s="26" t="str">
        <f>IF(B440="", "",'Lighting Inventory'!D448)</f>
        <v/>
      </c>
      <c r="N440" s="26" t="str">
        <f>IF(B440="", "",'Lighting Inventory'!E448)</f>
        <v/>
      </c>
      <c r="O440" s="26" t="str">
        <f>IF(B440="", "", 'Lighting Inventory'!F448)</f>
        <v/>
      </c>
      <c r="P440" s="26" t="str">
        <f>IF(B440="", "", 'Lighting Inventory'!G448)</f>
        <v/>
      </c>
      <c r="Q440" s="26" t="str">
        <f>IF(B440="", "", 'Lighting Inventory'!H448)</f>
        <v/>
      </c>
      <c r="R440" s="26" t="str">
        <f>IF(B440="", "", 'Lighting Inventory'!I448)</f>
        <v/>
      </c>
      <c r="S440" s="26" t="str">
        <f>IF(B440="", "", 'Lighting Inventory'!J448)</f>
        <v/>
      </c>
      <c r="T440" s="26" t="str">
        <f>IFERROR(IF(B440="","",VLOOKUP(S440,'Fixture Identities'!$A$7:$G$1023,5,FALSE)), "New Construction")</f>
        <v/>
      </c>
      <c r="U440" s="26" t="str">
        <f>IFERROR(IF(B440="", "", IF(K440="New Construction", "NC", IF(VLOOKUP(S440, 'Fixture Identities'!$A$7:$I$1023,3, FALSE)="T12 Linear Fluorescent", VLOOKUP(S440, 'Fixture Identities'!$A$7:$K$1012, 11, FALSE), S440))), "")</f>
        <v/>
      </c>
      <c r="V440" s="26" t="str">
        <f>IFERROR(IF(OR(B440="", U440=0), "", VLOOKUP(U440, 'Fixture Identities'!$A$7:$G$1023, 5, FALSE)), "")</f>
        <v/>
      </c>
      <c r="W440" s="26" t="str">
        <f>IF(B440="", "",'Lighting Inventory'!K448)</f>
        <v/>
      </c>
      <c r="X440" s="65" t="str">
        <f>IF(B440="", "", 'Lighting Inventory'!L448)</f>
        <v/>
      </c>
      <c r="Y440" s="26" t="str">
        <f>IF(B440="", "", IF('Lighting Inventory'!M448="", "Light Switch",'Lighting Inventory'!M448))</f>
        <v/>
      </c>
      <c r="Z440" s="26" t="str">
        <f>IF(OR(K440="Retrofit", B440=""), "", 'Lighting Inventory'!N448)</f>
        <v/>
      </c>
      <c r="AA440" s="26" t="str">
        <f>IF(OR(Z440="",B440=""), "", 'Lighting Inventory'!O448)</f>
        <v/>
      </c>
      <c r="AB440" s="26" t="str">
        <f>IF(B440="", "", 'Lighting Inventory'!P448)</f>
        <v/>
      </c>
      <c r="AC440" s="96" t="str">
        <f>IF(B440="", "", 'Lighting Inventory'!R448)</f>
        <v/>
      </c>
      <c r="AD440" s="26" t="str">
        <f>IF(B440="", "", 'Lighting Inventory'!S448)</f>
        <v/>
      </c>
      <c r="AE440" s="26" t="str">
        <f>IF(B440="", "", 'Lighting Inventory'!V448)</f>
        <v/>
      </c>
      <c r="AF440" s="26" t="str">
        <f>IF(B440="", "", 'Lighting Inventory'!W448)</f>
        <v/>
      </c>
      <c r="AG440" s="26" t="str">
        <f>IF(OR(AF440="", B440=""), "", IF(AE440="Custom", "0", VLOOKUP(AF440, 'Lookup Tables'!$AI$6:$AP$102, 8, FALSE)))</f>
        <v/>
      </c>
      <c r="AH440" s="26" t="str">
        <f>IF(B440="", "", 'Lighting Inventory'!AD448)</f>
        <v/>
      </c>
      <c r="AI440" s="26" t="str">
        <f>IF(OR('Lighting Inventory'!AK448="", B440=""), "", 'Lighting Inventory'!AK448)</f>
        <v/>
      </c>
      <c r="AJ440" s="66" t="str">
        <f>IF(B440="", "", 'Lighting Inventory'!AL448)</f>
        <v/>
      </c>
      <c r="AK440" s="65" t="str">
        <f>IF(B440="", "", 'Lighting Inventory'!AM448)</f>
        <v/>
      </c>
      <c r="AL440" s="26" t="str">
        <f>IF(B440="", "", 'Lighting Inventory'!AN448)</f>
        <v/>
      </c>
      <c r="AM440" s="26" t="str">
        <f t="shared" si="21"/>
        <v/>
      </c>
      <c r="AN440" s="26" t="str">
        <f>IF(B440="","",IF('Lighting Inventory'!AV448="","Prescribed",'Lighting Inventory'!AV448))</f>
        <v/>
      </c>
      <c r="AO440" s="66" t="str">
        <f>IF(B440="", "", 'Lighting Inventory'!AX448)</f>
        <v/>
      </c>
      <c r="AP440" s="67" t="str">
        <f>IF(B440="", "", 'Lighting Inventory'!AZ448)</f>
        <v/>
      </c>
      <c r="AQ440" s="67" t="str">
        <f>IF(B440="", "", 'Lighting Inventory'!BA448)</f>
        <v/>
      </c>
      <c r="AR440" s="67" t="str">
        <f>IF(B440="", "", 'Lighting Inventory'!BB448)</f>
        <v/>
      </c>
      <c r="AS440" s="67" t="str">
        <f>IF(B440="", "", 'Lighting Inventory'!BC448)</f>
        <v/>
      </c>
      <c r="AT440" s="67" t="str">
        <f>IF(B440="", "", 'Lighting Inventory'!BD448)</f>
        <v/>
      </c>
      <c r="AU440" s="67" t="str">
        <f>IF(B440="", "", 'Lighting Inventory'!BE448)</f>
        <v/>
      </c>
      <c r="AV440" s="67" t="str">
        <f>IF(B440="", "", 'Lighting Inventory'!BE448)</f>
        <v/>
      </c>
      <c r="AW440" s="67" t="str">
        <f>IF(B440="", "", 'Lighting Inventory'!BF448)</f>
        <v/>
      </c>
      <c r="AX440" s="67" t="str">
        <f>IF(B440="", "", 'Lighting Inventory'!BF448)</f>
        <v/>
      </c>
      <c r="AY440" s="65" t="str">
        <f t="shared" si="22"/>
        <v/>
      </c>
      <c r="AZ440" s="65" t="str">
        <f>IF(B440="", "", 'Lighting Inventory'!BJ448)</f>
        <v/>
      </c>
      <c r="BA440" s="65" t="str">
        <f>IF(B440="", "", 'Lighting Inventory'!BM448)</f>
        <v/>
      </c>
      <c r="BB440" s="65" t="str">
        <f>IF(B440="","",SUM('Lighting Inventory'!BP448:BP448))</f>
        <v/>
      </c>
      <c r="BC440" s="67" t="str">
        <f>IF(OR(AE440="", B440=""),"", 'Lighting Inventory'!GR448)</f>
        <v/>
      </c>
      <c r="BD440" s="67" t="str">
        <f>IFERROR(IF(B440="", "", 'Lighting Inventory'!AF448)*AD440," ")</f>
        <v xml:space="preserve"> </v>
      </c>
      <c r="BE440" s="67"/>
      <c r="BF440" s="67"/>
    </row>
    <row r="441" spans="1:58" x14ac:dyDescent="0.25">
      <c r="A441" s="26" t="str">
        <f>IF(B441="", "", 'Lookup Tables'!AW442)</f>
        <v/>
      </c>
      <c r="B441" s="26" t="str">
        <f>IF(OR('Lighting Inventory'!Y449="", 'Lighting Inventory'!V449="No Change"),"", 'Lighting Inventory'!Y449)</f>
        <v/>
      </c>
      <c r="C441" s="26" t="str">
        <f>IF(B441="", "", IF('Lighting Inventory'!Y449='Lookup Tables'!$Y$32, 'Lighting Inventory'!AJ449, IF(AD441=0, R441, AD441)))</f>
        <v/>
      </c>
      <c r="D441" s="26" t="str">
        <f>IF(B441="", "", 'General Information'!$F$14)</f>
        <v/>
      </c>
      <c r="E441" s="26" t="str">
        <f t="shared" si="20"/>
        <v/>
      </c>
      <c r="F441" s="26" t="str">
        <f>IF(B441="", "", CONCATENATE('General Information'!$F$9, " - ", 'General Information'!$F$14))</f>
        <v/>
      </c>
      <c r="G441" s="26" t="str">
        <f>IF(B441="", "", 'General Information'!$F$15)</f>
        <v/>
      </c>
      <c r="H441" s="26" t="str">
        <f>IF(B441="", "", IF(VLOOKUP(B441, 'Lookup Tables'!$Y$18:$AA$34, 2, FALSE)="Traffic", VLOOKUP('Lighting Inventory'!W449, 'Lookup Tables'!#REF!, 11, FALSE), VLOOKUP(B441, 'Lookup Tables'!$Y$18:$AA$34, 2, FALSE)))</f>
        <v/>
      </c>
      <c r="I441" s="26" t="str">
        <f>IF(B441="", "", CONCATENATE(D441, 'Data Export'!A441))</f>
        <v/>
      </c>
      <c r="J441" s="26" t="str">
        <f>IF(B441="", "", 'Lookup Tables'!$B$1)</f>
        <v/>
      </c>
      <c r="K441" s="26" t="str">
        <f>IF(B441="", "", 'Lighting Inventory'!B449)</f>
        <v/>
      </c>
      <c r="L441" s="26" t="str">
        <f>IF(B441="", "", 'Lighting Inventory'!C449)</f>
        <v/>
      </c>
      <c r="M441" s="26" t="str">
        <f>IF(B441="", "",'Lighting Inventory'!D449)</f>
        <v/>
      </c>
      <c r="N441" s="26" t="str">
        <f>IF(B441="", "",'Lighting Inventory'!E449)</f>
        <v/>
      </c>
      <c r="O441" s="26" t="str">
        <f>IF(B441="", "", 'Lighting Inventory'!F449)</f>
        <v/>
      </c>
      <c r="P441" s="26" t="str">
        <f>IF(B441="", "", 'Lighting Inventory'!G449)</f>
        <v/>
      </c>
      <c r="Q441" s="26" t="str">
        <f>IF(B441="", "", 'Lighting Inventory'!H449)</f>
        <v/>
      </c>
      <c r="R441" s="26" t="str">
        <f>IF(B441="", "", 'Lighting Inventory'!I449)</f>
        <v/>
      </c>
      <c r="S441" s="26" t="str">
        <f>IF(B441="", "", 'Lighting Inventory'!J449)</f>
        <v/>
      </c>
      <c r="T441" s="26" t="str">
        <f>IFERROR(IF(B441="","",VLOOKUP(S441,'Fixture Identities'!$A$7:$G$1023,5,FALSE)), "New Construction")</f>
        <v/>
      </c>
      <c r="U441" s="26" t="str">
        <f>IFERROR(IF(B441="", "", IF(K441="New Construction", "NC", IF(VLOOKUP(S441, 'Fixture Identities'!$A$7:$I$1023,3, FALSE)="T12 Linear Fluorescent", VLOOKUP(S441, 'Fixture Identities'!$A$7:$K$1012, 11, FALSE), S441))), "")</f>
        <v/>
      </c>
      <c r="V441" s="26" t="str">
        <f>IFERROR(IF(OR(B441="", U441=0), "", VLOOKUP(U441, 'Fixture Identities'!$A$7:$G$1023, 5, FALSE)), "")</f>
        <v/>
      </c>
      <c r="W441" s="26" t="str">
        <f>IF(B441="", "",'Lighting Inventory'!K449)</f>
        <v/>
      </c>
      <c r="X441" s="65" t="str">
        <f>IF(B441="", "", 'Lighting Inventory'!L449)</f>
        <v/>
      </c>
      <c r="Y441" s="26" t="str">
        <f>IF(B441="", "", IF('Lighting Inventory'!M449="", "Light Switch",'Lighting Inventory'!M449))</f>
        <v/>
      </c>
      <c r="Z441" s="26" t="str">
        <f>IF(OR(K441="Retrofit", B441=""), "", 'Lighting Inventory'!N449)</f>
        <v/>
      </c>
      <c r="AA441" s="26" t="str">
        <f>IF(OR(Z441="",B441=""), "", 'Lighting Inventory'!O449)</f>
        <v/>
      </c>
      <c r="AB441" s="26" t="str">
        <f>IF(B441="", "", 'Lighting Inventory'!P449)</f>
        <v/>
      </c>
      <c r="AC441" s="96" t="str">
        <f>IF(B441="", "", 'Lighting Inventory'!R449)</f>
        <v/>
      </c>
      <c r="AD441" s="26" t="str">
        <f>IF(B441="", "", 'Lighting Inventory'!S449)</f>
        <v/>
      </c>
      <c r="AE441" s="26" t="str">
        <f>IF(B441="", "", 'Lighting Inventory'!V449)</f>
        <v/>
      </c>
      <c r="AF441" s="26" t="str">
        <f>IF(B441="", "", 'Lighting Inventory'!W449)</f>
        <v/>
      </c>
      <c r="AG441" s="26" t="str">
        <f>IF(OR(AF441="", B441=""), "", IF(AE441="Custom", "0", VLOOKUP(AF441, 'Lookup Tables'!$AI$6:$AP$102, 8, FALSE)))</f>
        <v/>
      </c>
      <c r="AH441" s="26" t="str">
        <f>IF(B441="", "", 'Lighting Inventory'!AD449)</f>
        <v/>
      </c>
      <c r="AI441" s="26" t="str">
        <f>IF(OR('Lighting Inventory'!AK449="", B441=""), "", 'Lighting Inventory'!AK449)</f>
        <v/>
      </c>
      <c r="AJ441" s="66" t="str">
        <f>IF(B441="", "", 'Lighting Inventory'!AL449)</f>
        <v/>
      </c>
      <c r="AK441" s="65" t="str">
        <f>IF(B441="", "", 'Lighting Inventory'!AM449)</f>
        <v/>
      </c>
      <c r="AL441" s="26" t="str">
        <f>IF(B441="", "", 'Lighting Inventory'!AN449)</f>
        <v/>
      </c>
      <c r="AM441" s="26" t="str">
        <f t="shared" si="21"/>
        <v/>
      </c>
      <c r="AN441" s="26" t="str">
        <f>IF(B441="","",IF('Lighting Inventory'!AV449="","Prescribed",'Lighting Inventory'!AV449))</f>
        <v/>
      </c>
      <c r="AO441" s="66" t="str">
        <f>IF(B441="", "", 'Lighting Inventory'!AX449)</f>
        <v/>
      </c>
      <c r="AP441" s="67" t="str">
        <f>IF(B441="", "", 'Lighting Inventory'!AZ449)</f>
        <v/>
      </c>
      <c r="AQ441" s="67" t="str">
        <f>IF(B441="", "", 'Lighting Inventory'!BA449)</f>
        <v/>
      </c>
      <c r="AR441" s="67" t="str">
        <f>IF(B441="", "", 'Lighting Inventory'!BB449)</f>
        <v/>
      </c>
      <c r="AS441" s="67" t="str">
        <f>IF(B441="", "", 'Lighting Inventory'!BC449)</f>
        <v/>
      </c>
      <c r="AT441" s="67" t="str">
        <f>IF(B441="", "", 'Lighting Inventory'!BD449)</f>
        <v/>
      </c>
      <c r="AU441" s="67" t="str">
        <f>IF(B441="", "", 'Lighting Inventory'!BE449)</f>
        <v/>
      </c>
      <c r="AV441" s="67" t="str">
        <f>IF(B441="", "", 'Lighting Inventory'!BE449)</f>
        <v/>
      </c>
      <c r="AW441" s="67" t="str">
        <f>IF(B441="", "", 'Lighting Inventory'!BF449)</f>
        <v/>
      </c>
      <c r="AX441" s="67" t="str">
        <f>IF(B441="", "", 'Lighting Inventory'!BF449)</f>
        <v/>
      </c>
      <c r="AY441" s="65" t="str">
        <f t="shared" si="22"/>
        <v/>
      </c>
      <c r="AZ441" s="65" t="str">
        <f>IF(B441="", "", 'Lighting Inventory'!BJ449)</f>
        <v/>
      </c>
      <c r="BA441" s="65" t="str">
        <f>IF(B441="", "", 'Lighting Inventory'!BM449)</f>
        <v/>
      </c>
      <c r="BB441" s="65" t="str">
        <f>IF(B441="","",SUM('Lighting Inventory'!BP449:BP449))</f>
        <v/>
      </c>
      <c r="BC441" s="67" t="str">
        <f>IF(OR(AE441="", B441=""),"", 'Lighting Inventory'!GR449)</f>
        <v/>
      </c>
      <c r="BD441" s="67" t="str">
        <f>IFERROR(IF(B441="", "", 'Lighting Inventory'!AF449)*AD441," ")</f>
        <v xml:space="preserve"> </v>
      </c>
      <c r="BE441" s="67"/>
      <c r="BF441" s="67"/>
    </row>
    <row r="442" spans="1:58" x14ac:dyDescent="0.25">
      <c r="A442" s="26" t="str">
        <f>IF(B442="", "", 'Lookup Tables'!AW443)</f>
        <v/>
      </c>
      <c r="B442" s="26" t="str">
        <f>IF(OR('Lighting Inventory'!Y450="", 'Lighting Inventory'!V450="No Change"),"", 'Lighting Inventory'!Y450)</f>
        <v/>
      </c>
      <c r="C442" s="26" t="str">
        <f>IF(B442="", "", IF('Lighting Inventory'!Y450='Lookup Tables'!$Y$32, 'Lighting Inventory'!AJ450, IF(AD442=0, R442, AD442)))</f>
        <v/>
      </c>
      <c r="D442" s="26" t="str">
        <f>IF(B442="", "", 'General Information'!$F$14)</f>
        <v/>
      </c>
      <c r="E442" s="26" t="str">
        <f t="shared" si="20"/>
        <v/>
      </c>
      <c r="F442" s="26" t="str">
        <f>IF(B442="", "", CONCATENATE('General Information'!$F$9, " - ", 'General Information'!$F$14))</f>
        <v/>
      </c>
      <c r="G442" s="26" t="str">
        <f>IF(B442="", "", 'General Information'!$F$15)</f>
        <v/>
      </c>
      <c r="H442" s="26" t="str">
        <f>IF(B442="", "", IF(VLOOKUP(B442, 'Lookup Tables'!$Y$18:$AA$34, 2, FALSE)="Traffic", VLOOKUP('Lighting Inventory'!W450, 'Lookup Tables'!#REF!, 11, FALSE), VLOOKUP(B442, 'Lookup Tables'!$Y$18:$AA$34, 2, FALSE)))</f>
        <v/>
      </c>
      <c r="I442" s="26" t="str">
        <f>IF(B442="", "", CONCATENATE(D442, 'Data Export'!A442))</f>
        <v/>
      </c>
      <c r="J442" s="26" t="str">
        <f>IF(B442="", "", 'Lookup Tables'!$B$1)</f>
        <v/>
      </c>
      <c r="K442" s="26" t="str">
        <f>IF(B442="", "", 'Lighting Inventory'!B450)</f>
        <v/>
      </c>
      <c r="L442" s="26" t="str">
        <f>IF(B442="", "", 'Lighting Inventory'!C450)</f>
        <v/>
      </c>
      <c r="M442" s="26" t="str">
        <f>IF(B442="", "",'Lighting Inventory'!D450)</f>
        <v/>
      </c>
      <c r="N442" s="26" t="str">
        <f>IF(B442="", "",'Lighting Inventory'!E450)</f>
        <v/>
      </c>
      <c r="O442" s="26" t="str">
        <f>IF(B442="", "", 'Lighting Inventory'!F450)</f>
        <v/>
      </c>
      <c r="P442" s="26" t="str">
        <f>IF(B442="", "", 'Lighting Inventory'!G450)</f>
        <v/>
      </c>
      <c r="Q442" s="26" t="str">
        <f>IF(B442="", "", 'Lighting Inventory'!H450)</f>
        <v/>
      </c>
      <c r="R442" s="26" t="str">
        <f>IF(B442="", "", 'Lighting Inventory'!I450)</f>
        <v/>
      </c>
      <c r="S442" s="26" t="str">
        <f>IF(B442="", "", 'Lighting Inventory'!J450)</f>
        <v/>
      </c>
      <c r="T442" s="26" t="str">
        <f>IFERROR(IF(B442="","",VLOOKUP(S442,'Fixture Identities'!$A$7:$G$1023,5,FALSE)), "New Construction")</f>
        <v/>
      </c>
      <c r="U442" s="26" t="str">
        <f>IFERROR(IF(B442="", "", IF(K442="New Construction", "NC", IF(VLOOKUP(S442, 'Fixture Identities'!$A$7:$I$1023,3, FALSE)="T12 Linear Fluorescent", VLOOKUP(S442, 'Fixture Identities'!$A$7:$K$1012, 11, FALSE), S442))), "")</f>
        <v/>
      </c>
      <c r="V442" s="26" t="str">
        <f>IFERROR(IF(OR(B442="", U442=0), "", VLOOKUP(U442, 'Fixture Identities'!$A$7:$G$1023, 5, FALSE)), "")</f>
        <v/>
      </c>
      <c r="W442" s="26" t="str">
        <f>IF(B442="", "",'Lighting Inventory'!K450)</f>
        <v/>
      </c>
      <c r="X442" s="65" t="str">
        <f>IF(B442="", "", 'Lighting Inventory'!L450)</f>
        <v/>
      </c>
      <c r="Y442" s="26" t="str">
        <f>IF(B442="", "", IF('Lighting Inventory'!M450="", "Light Switch",'Lighting Inventory'!M450))</f>
        <v/>
      </c>
      <c r="Z442" s="26" t="str">
        <f>IF(OR(K442="Retrofit", B442=""), "", 'Lighting Inventory'!N450)</f>
        <v/>
      </c>
      <c r="AA442" s="26" t="str">
        <f>IF(OR(Z442="",B442=""), "", 'Lighting Inventory'!O450)</f>
        <v/>
      </c>
      <c r="AB442" s="26" t="str">
        <f>IF(B442="", "", 'Lighting Inventory'!P450)</f>
        <v/>
      </c>
      <c r="AC442" s="96" t="str">
        <f>IF(B442="", "", 'Lighting Inventory'!R450)</f>
        <v/>
      </c>
      <c r="AD442" s="26" t="str">
        <f>IF(B442="", "", 'Lighting Inventory'!S450)</f>
        <v/>
      </c>
      <c r="AE442" s="26" t="str">
        <f>IF(B442="", "", 'Lighting Inventory'!V450)</f>
        <v/>
      </c>
      <c r="AF442" s="26" t="str">
        <f>IF(B442="", "", 'Lighting Inventory'!W450)</f>
        <v/>
      </c>
      <c r="AG442" s="26" t="str">
        <f>IF(OR(AF442="", B442=""), "", IF(AE442="Custom", "0", VLOOKUP(AF442, 'Lookup Tables'!$AI$6:$AP$102, 8, FALSE)))</f>
        <v/>
      </c>
      <c r="AH442" s="26" t="str">
        <f>IF(B442="", "", 'Lighting Inventory'!AD450)</f>
        <v/>
      </c>
      <c r="AI442" s="26" t="str">
        <f>IF(OR('Lighting Inventory'!AK450="", B442=""), "", 'Lighting Inventory'!AK450)</f>
        <v/>
      </c>
      <c r="AJ442" s="66" t="str">
        <f>IF(B442="", "", 'Lighting Inventory'!AL450)</f>
        <v/>
      </c>
      <c r="AK442" s="65" t="str">
        <f>IF(B442="", "", 'Lighting Inventory'!AM450)</f>
        <v/>
      </c>
      <c r="AL442" s="26" t="str">
        <f>IF(B442="", "", 'Lighting Inventory'!AN450)</f>
        <v/>
      </c>
      <c r="AM442" s="26" t="str">
        <f t="shared" si="21"/>
        <v/>
      </c>
      <c r="AN442" s="26" t="str">
        <f>IF(B442="","",IF('Lighting Inventory'!AV450="","Prescribed",'Lighting Inventory'!AV450))</f>
        <v/>
      </c>
      <c r="AO442" s="66" t="str">
        <f>IF(B442="", "", 'Lighting Inventory'!AX450)</f>
        <v/>
      </c>
      <c r="AP442" s="67" t="str">
        <f>IF(B442="", "", 'Lighting Inventory'!AZ450)</f>
        <v/>
      </c>
      <c r="AQ442" s="67" t="str">
        <f>IF(B442="", "", 'Lighting Inventory'!BA450)</f>
        <v/>
      </c>
      <c r="AR442" s="67" t="str">
        <f>IF(B442="", "", 'Lighting Inventory'!BB450)</f>
        <v/>
      </c>
      <c r="AS442" s="67" t="str">
        <f>IF(B442="", "", 'Lighting Inventory'!BC450)</f>
        <v/>
      </c>
      <c r="AT442" s="67" t="str">
        <f>IF(B442="", "", 'Lighting Inventory'!BD450)</f>
        <v/>
      </c>
      <c r="AU442" s="67" t="str">
        <f>IF(B442="", "", 'Lighting Inventory'!BE450)</f>
        <v/>
      </c>
      <c r="AV442" s="67" t="str">
        <f>IF(B442="", "", 'Lighting Inventory'!BE450)</f>
        <v/>
      </c>
      <c r="AW442" s="67" t="str">
        <f>IF(B442="", "", 'Lighting Inventory'!BF450)</f>
        <v/>
      </c>
      <c r="AX442" s="67" t="str">
        <f>IF(B442="", "", 'Lighting Inventory'!BF450)</f>
        <v/>
      </c>
      <c r="AY442" s="65" t="str">
        <f t="shared" si="22"/>
        <v/>
      </c>
      <c r="AZ442" s="65" t="str">
        <f>IF(B442="", "", 'Lighting Inventory'!BJ450)</f>
        <v/>
      </c>
      <c r="BA442" s="65" t="str">
        <f>IF(B442="", "", 'Lighting Inventory'!BM450)</f>
        <v/>
      </c>
      <c r="BB442" s="65" t="str">
        <f>IF(B442="","",SUM('Lighting Inventory'!BP450:BP450))</f>
        <v/>
      </c>
      <c r="BC442" s="67" t="str">
        <f>IF(OR(AE442="", B442=""),"", 'Lighting Inventory'!GR450)</f>
        <v/>
      </c>
      <c r="BD442" s="67" t="str">
        <f>IFERROR(IF(B442="", "", 'Lighting Inventory'!AF450)*AD442," ")</f>
        <v xml:space="preserve"> </v>
      </c>
      <c r="BE442" s="67"/>
      <c r="BF442" s="67"/>
    </row>
    <row r="443" spans="1:58" x14ac:dyDescent="0.25">
      <c r="A443" s="26" t="str">
        <f>IF(B443="", "", 'Lookup Tables'!AW444)</f>
        <v/>
      </c>
      <c r="B443" s="26" t="str">
        <f>IF(OR('Lighting Inventory'!Y451="", 'Lighting Inventory'!V451="No Change"),"", 'Lighting Inventory'!Y451)</f>
        <v/>
      </c>
      <c r="C443" s="26" t="str">
        <f>IF(B443="", "", IF('Lighting Inventory'!Y451='Lookup Tables'!$Y$32, 'Lighting Inventory'!AJ451, IF(AD443=0, R443, AD443)))</f>
        <v/>
      </c>
      <c r="D443" s="26" t="str">
        <f>IF(B443="", "", 'General Information'!$F$14)</f>
        <v/>
      </c>
      <c r="E443" s="26" t="str">
        <f t="shared" ref="E443:E500" si="23">IF(B443="", "", "FPPLPR")</f>
        <v/>
      </c>
      <c r="F443" s="26" t="str">
        <f>IF(B443="", "", CONCATENATE('General Information'!$F$9, " - ", 'General Information'!$F$14))</f>
        <v/>
      </c>
      <c r="G443" s="26" t="str">
        <f>IF(B443="", "", 'General Information'!$F$15)</f>
        <v/>
      </c>
      <c r="H443" s="26" t="str">
        <f>IF(B443="", "", IF(VLOOKUP(B443, 'Lookup Tables'!$Y$18:$AA$34, 2, FALSE)="Traffic", VLOOKUP('Lighting Inventory'!W451, 'Lookup Tables'!#REF!, 11, FALSE), VLOOKUP(B443, 'Lookup Tables'!$Y$18:$AA$34, 2, FALSE)))</f>
        <v/>
      </c>
      <c r="I443" s="26" t="str">
        <f>IF(B443="", "", CONCATENATE(D443, 'Data Export'!A443))</f>
        <v/>
      </c>
      <c r="J443" s="26" t="str">
        <f>IF(B443="", "", 'Lookup Tables'!$B$1)</f>
        <v/>
      </c>
      <c r="K443" s="26" t="str">
        <f>IF(B443="", "", 'Lighting Inventory'!B451)</f>
        <v/>
      </c>
      <c r="L443" s="26" t="str">
        <f>IF(B443="", "", 'Lighting Inventory'!C451)</f>
        <v/>
      </c>
      <c r="M443" s="26" t="str">
        <f>IF(B443="", "",'Lighting Inventory'!D451)</f>
        <v/>
      </c>
      <c r="N443" s="26" t="str">
        <f>IF(B443="", "",'Lighting Inventory'!E451)</f>
        <v/>
      </c>
      <c r="O443" s="26" t="str">
        <f>IF(B443="", "", 'Lighting Inventory'!F451)</f>
        <v/>
      </c>
      <c r="P443" s="26" t="str">
        <f>IF(B443="", "", 'Lighting Inventory'!G451)</f>
        <v/>
      </c>
      <c r="Q443" s="26" t="str">
        <f>IF(B443="", "", 'Lighting Inventory'!H451)</f>
        <v/>
      </c>
      <c r="R443" s="26" t="str">
        <f>IF(B443="", "", 'Lighting Inventory'!I451)</f>
        <v/>
      </c>
      <c r="S443" s="26" t="str">
        <f>IF(B443="", "", 'Lighting Inventory'!J451)</f>
        <v/>
      </c>
      <c r="T443" s="26" t="str">
        <f>IFERROR(IF(B443="","",VLOOKUP(S443,'Fixture Identities'!$A$7:$G$1023,5,FALSE)), "New Construction")</f>
        <v/>
      </c>
      <c r="U443" s="26" t="str">
        <f>IFERROR(IF(B443="", "", IF(K443="New Construction", "NC", IF(VLOOKUP(S443, 'Fixture Identities'!$A$7:$I$1023,3, FALSE)="T12 Linear Fluorescent", VLOOKUP(S443, 'Fixture Identities'!$A$7:$K$1012, 11, FALSE), S443))), "")</f>
        <v/>
      </c>
      <c r="V443" s="26" t="str">
        <f>IFERROR(IF(OR(B443="", U443=0), "", VLOOKUP(U443, 'Fixture Identities'!$A$7:$G$1023, 5, FALSE)), "")</f>
        <v/>
      </c>
      <c r="W443" s="26" t="str">
        <f>IF(B443="", "",'Lighting Inventory'!K451)</f>
        <v/>
      </c>
      <c r="X443" s="65" t="str">
        <f>IF(B443="", "", 'Lighting Inventory'!L451)</f>
        <v/>
      </c>
      <c r="Y443" s="26" t="str">
        <f>IF(B443="", "", IF('Lighting Inventory'!M451="", "Light Switch",'Lighting Inventory'!M451))</f>
        <v/>
      </c>
      <c r="Z443" s="26" t="str">
        <f>IF(OR(K443="Retrofit", B443=""), "", 'Lighting Inventory'!N451)</f>
        <v/>
      </c>
      <c r="AA443" s="26" t="str">
        <f>IF(OR(Z443="",B443=""), "", 'Lighting Inventory'!O451)</f>
        <v/>
      </c>
      <c r="AB443" s="26" t="str">
        <f>IF(B443="", "", 'Lighting Inventory'!P451)</f>
        <v/>
      </c>
      <c r="AC443" s="96" t="str">
        <f>IF(B443="", "", 'Lighting Inventory'!R451)</f>
        <v/>
      </c>
      <c r="AD443" s="26" t="str">
        <f>IF(B443="", "", 'Lighting Inventory'!S451)</f>
        <v/>
      </c>
      <c r="AE443" s="26" t="str">
        <f>IF(B443="", "", 'Lighting Inventory'!V451)</f>
        <v/>
      </c>
      <c r="AF443" s="26" t="str">
        <f>IF(B443="", "", 'Lighting Inventory'!W451)</f>
        <v/>
      </c>
      <c r="AG443" s="26" t="str">
        <f>IF(OR(AF443="", B443=""), "", IF(AE443="Custom", "0", VLOOKUP(AF443, 'Lookup Tables'!$AI$6:$AP$102, 8, FALSE)))</f>
        <v/>
      </c>
      <c r="AH443" s="26" t="str">
        <f>IF(B443="", "", 'Lighting Inventory'!AD451)</f>
        <v/>
      </c>
      <c r="AI443" s="26" t="str">
        <f>IF(OR('Lighting Inventory'!AK451="", B443=""), "", 'Lighting Inventory'!AK451)</f>
        <v/>
      </c>
      <c r="AJ443" s="66" t="str">
        <f>IF(B443="", "", 'Lighting Inventory'!AL451)</f>
        <v/>
      </c>
      <c r="AK443" s="65" t="str">
        <f>IF(B443="", "", 'Lighting Inventory'!AM451)</f>
        <v/>
      </c>
      <c r="AL443" s="26" t="str">
        <f>IF(B443="", "", 'Lighting Inventory'!AN451)</f>
        <v/>
      </c>
      <c r="AM443" s="26" t="str">
        <f t="shared" ref="AM443:AM500" si="24">IF(B443="", "", 8)</f>
        <v/>
      </c>
      <c r="AN443" s="26" t="str">
        <f>IF(B443="","",IF('Lighting Inventory'!AV451="","Prescribed",'Lighting Inventory'!AV451))</f>
        <v/>
      </c>
      <c r="AO443" s="66" t="str">
        <f>IF(B443="", "", 'Lighting Inventory'!AX451)</f>
        <v/>
      </c>
      <c r="AP443" s="67" t="str">
        <f>IF(B443="", "", 'Lighting Inventory'!AZ451)</f>
        <v/>
      </c>
      <c r="AQ443" s="67" t="str">
        <f>IF(B443="", "", 'Lighting Inventory'!BA451)</f>
        <v/>
      </c>
      <c r="AR443" s="67" t="str">
        <f>IF(B443="", "", 'Lighting Inventory'!BB451)</f>
        <v/>
      </c>
      <c r="AS443" s="67" t="str">
        <f>IF(B443="", "", 'Lighting Inventory'!BC451)</f>
        <v/>
      </c>
      <c r="AT443" s="67" t="str">
        <f>IF(B443="", "", 'Lighting Inventory'!BD451)</f>
        <v/>
      </c>
      <c r="AU443" s="67" t="str">
        <f>IF(B443="", "", 'Lighting Inventory'!BE451)</f>
        <v/>
      </c>
      <c r="AV443" s="67" t="str">
        <f>IF(B443="", "", 'Lighting Inventory'!BE451)</f>
        <v/>
      </c>
      <c r="AW443" s="67" t="str">
        <f>IF(B443="", "", 'Lighting Inventory'!BF451)</f>
        <v/>
      </c>
      <c r="AX443" s="67" t="str">
        <f>IF(B443="", "", 'Lighting Inventory'!BF451)</f>
        <v/>
      </c>
      <c r="AY443" s="65" t="str">
        <f t="shared" ref="AY443:AY500" si="25">AZ443</f>
        <v/>
      </c>
      <c r="AZ443" s="65" t="str">
        <f>IF(B443="", "", 'Lighting Inventory'!BJ451)</f>
        <v/>
      </c>
      <c r="BA443" s="65" t="str">
        <f>IF(B443="", "", 'Lighting Inventory'!BM451)</f>
        <v/>
      </c>
      <c r="BB443" s="65" t="str">
        <f>IF(B443="","",SUM('Lighting Inventory'!BP451:BP451))</f>
        <v/>
      </c>
      <c r="BC443" s="67" t="str">
        <f>IF(OR(AE443="", B443=""),"", 'Lighting Inventory'!GR451)</f>
        <v/>
      </c>
      <c r="BD443" s="67" t="str">
        <f>IFERROR(IF(B443="", "", 'Lighting Inventory'!AF451)*AD443," ")</f>
        <v xml:space="preserve"> </v>
      </c>
      <c r="BE443" s="67"/>
      <c r="BF443" s="67"/>
    </row>
    <row r="444" spans="1:58" x14ac:dyDescent="0.25">
      <c r="A444" s="26" t="str">
        <f>IF(B444="", "", 'Lookup Tables'!AW445)</f>
        <v/>
      </c>
      <c r="B444" s="26" t="str">
        <f>IF(OR('Lighting Inventory'!Y452="", 'Lighting Inventory'!V452="No Change"),"", 'Lighting Inventory'!Y452)</f>
        <v/>
      </c>
      <c r="C444" s="26" t="str">
        <f>IF(B444="", "", IF('Lighting Inventory'!Y452='Lookup Tables'!$Y$32, 'Lighting Inventory'!AJ452, IF(AD444=0, R444, AD444)))</f>
        <v/>
      </c>
      <c r="D444" s="26" t="str">
        <f>IF(B444="", "", 'General Information'!$F$14)</f>
        <v/>
      </c>
      <c r="E444" s="26" t="str">
        <f t="shared" si="23"/>
        <v/>
      </c>
      <c r="F444" s="26" t="str">
        <f>IF(B444="", "", CONCATENATE('General Information'!$F$9, " - ", 'General Information'!$F$14))</f>
        <v/>
      </c>
      <c r="G444" s="26" t="str">
        <f>IF(B444="", "", 'General Information'!$F$15)</f>
        <v/>
      </c>
      <c r="H444" s="26" t="str">
        <f>IF(B444="", "", IF(VLOOKUP(B444, 'Lookup Tables'!$Y$18:$AA$34, 2, FALSE)="Traffic", VLOOKUP('Lighting Inventory'!W452, 'Lookup Tables'!#REF!, 11, FALSE), VLOOKUP(B444, 'Lookup Tables'!$Y$18:$AA$34, 2, FALSE)))</f>
        <v/>
      </c>
      <c r="I444" s="26" t="str">
        <f>IF(B444="", "", CONCATENATE(D444, 'Data Export'!A444))</f>
        <v/>
      </c>
      <c r="J444" s="26" t="str">
        <f>IF(B444="", "", 'Lookup Tables'!$B$1)</f>
        <v/>
      </c>
      <c r="K444" s="26" t="str">
        <f>IF(B444="", "", 'Lighting Inventory'!B452)</f>
        <v/>
      </c>
      <c r="L444" s="26" t="str">
        <f>IF(B444="", "", 'Lighting Inventory'!C452)</f>
        <v/>
      </c>
      <c r="M444" s="26" t="str">
        <f>IF(B444="", "",'Lighting Inventory'!D452)</f>
        <v/>
      </c>
      <c r="N444" s="26" t="str">
        <f>IF(B444="", "",'Lighting Inventory'!E452)</f>
        <v/>
      </c>
      <c r="O444" s="26" t="str">
        <f>IF(B444="", "", 'Lighting Inventory'!F452)</f>
        <v/>
      </c>
      <c r="P444" s="26" t="str">
        <f>IF(B444="", "", 'Lighting Inventory'!G452)</f>
        <v/>
      </c>
      <c r="Q444" s="26" t="str">
        <f>IF(B444="", "", 'Lighting Inventory'!H452)</f>
        <v/>
      </c>
      <c r="R444" s="26" t="str">
        <f>IF(B444="", "", 'Lighting Inventory'!I452)</f>
        <v/>
      </c>
      <c r="S444" s="26" t="str">
        <f>IF(B444="", "", 'Lighting Inventory'!J452)</f>
        <v/>
      </c>
      <c r="T444" s="26" t="str">
        <f>IFERROR(IF(B444="","",VLOOKUP(S444,'Fixture Identities'!$A$7:$G$1023,5,FALSE)), "New Construction")</f>
        <v/>
      </c>
      <c r="U444" s="26" t="str">
        <f>IFERROR(IF(B444="", "", IF(K444="New Construction", "NC", IF(VLOOKUP(S444, 'Fixture Identities'!$A$7:$I$1023,3, FALSE)="T12 Linear Fluorescent", VLOOKUP(S444, 'Fixture Identities'!$A$7:$K$1012, 11, FALSE), S444))), "")</f>
        <v/>
      </c>
      <c r="V444" s="26" t="str">
        <f>IFERROR(IF(OR(B444="", U444=0), "", VLOOKUP(U444, 'Fixture Identities'!$A$7:$G$1023, 5, FALSE)), "")</f>
        <v/>
      </c>
      <c r="W444" s="26" t="str">
        <f>IF(B444="", "",'Lighting Inventory'!K452)</f>
        <v/>
      </c>
      <c r="X444" s="65" t="str">
        <f>IF(B444="", "", 'Lighting Inventory'!L452)</f>
        <v/>
      </c>
      <c r="Y444" s="26" t="str">
        <f>IF(B444="", "", IF('Lighting Inventory'!M452="", "Light Switch",'Lighting Inventory'!M452))</f>
        <v/>
      </c>
      <c r="Z444" s="26" t="str">
        <f>IF(OR(K444="Retrofit", B444=""), "", 'Lighting Inventory'!N452)</f>
        <v/>
      </c>
      <c r="AA444" s="26" t="str">
        <f>IF(OR(Z444="",B444=""), "", 'Lighting Inventory'!O452)</f>
        <v/>
      </c>
      <c r="AB444" s="26" t="str">
        <f>IF(B444="", "", 'Lighting Inventory'!P452)</f>
        <v/>
      </c>
      <c r="AC444" s="96" t="str">
        <f>IF(B444="", "", 'Lighting Inventory'!R452)</f>
        <v/>
      </c>
      <c r="AD444" s="26" t="str">
        <f>IF(B444="", "", 'Lighting Inventory'!S452)</f>
        <v/>
      </c>
      <c r="AE444" s="26" t="str">
        <f>IF(B444="", "", 'Lighting Inventory'!V452)</f>
        <v/>
      </c>
      <c r="AF444" s="26" t="str">
        <f>IF(B444="", "", 'Lighting Inventory'!W452)</f>
        <v/>
      </c>
      <c r="AG444" s="26" t="str">
        <f>IF(OR(AF444="", B444=""), "", IF(AE444="Custom", "0", VLOOKUP(AF444, 'Lookup Tables'!$AI$6:$AP$102, 8, FALSE)))</f>
        <v/>
      </c>
      <c r="AH444" s="26" t="str">
        <f>IF(B444="", "", 'Lighting Inventory'!AD452)</f>
        <v/>
      </c>
      <c r="AI444" s="26" t="str">
        <f>IF(OR('Lighting Inventory'!AK452="", B444=""), "", 'Lighting Inventory'!AK452)</f>
        <v/>
      </c>
      <c r="AJ444" s="66" t="str">
        <f>IF(B444="", "", 'Lighting Inventory'!AL452)</f>
        <v/>
      </c>
      <c r="AK444" s="65" t="str">
        <f>IF(B444="", "", 'Lighting Inventory'!AM452)</f>
        <v/>
      </c>
      <c r="AL444" s="26" t="str">
        <f>IF(B444="", "", 'Lighting Inventory'!AN452)</f>
        <v/>
      </c>
      <c r="AM444" s="26" t="str">
        <f t="shared" si="24"/>
        <v/>
      </c>
      <c r="AN444" s="26" t="str">
        <f>IF(B444="","",IF('Lighting Inventory'!AV452="","Prescribed",'Lighting Inventory'!AV452))</f>
        <v/>
      </c>
      <c r="AO444" s="66" t="str">
        <f>IF(B444="", "", 'Lighting Inventory'!AX452)</f>
        <v/>
      </c>
      <c r="AP444" s="67" t="str">
        <f>IF(B444="", "", 'Lighting Inventory'!AZ452)</f>
        <v/>
      </c>
      <c r="AQ444" s="67" t="str">
        <f>IF(B444="", "", 'Lighting Inventory'!BA452)</f>
        <v/>
      </c>
      <c r="AR444" s="67" t="str">
        <f>IF(B444="", "", 'Lighting Inventory'!BB452)</f>
        <v/>
      </c>
      <c r="AS444" s="67" t="str">
        <f>IF(B444="", "", 'Lighting Inventory'!BC452)</f>
        <v/>
      </c>
      <c r="AT444" s="67" t="str">
        <f>IF(B444="", "", 'Lighting Inventory'!BD452)</f>
        <v/>
      </c>
      <c r="AU444" s="67" t="str">
        <f>IF(B444="", "", 'Lighting Inventory'!BE452)</f>
        <v/>
      </c>
      <c r="AV444" s="67" t="str">
        <f>IF(B444="", "", 'Lighting Inventory'!BE452)</f>
        <v/>
      </c>
      <c r="AW444" s="67" t="str">
        <f>IF(B444="", "", 'Lighting Inventory'!BF452)</f>
        <v/>
      </c>
      <c r="AX444" s="67" t="str">
        <f>IF(B444="", "", 'Lighting Inventory'!BF452)</f>
        <v/>
      </c>
      <c r="AY444" s="65" t="str">
        <f t="shared" si="25"/>
        <v/>
      </c>
      <c r="AZ444" s="65" t="str">
        <f>IF(B444="", "", 'Lighting Inventory'!BJ452)</f>
        <v/>
      </c>
      <c r="BA444" s="65" t="str">
        <f>IF(B444="", "", 'Lighting Inventory'!BM452)</f>
        <v/>
      </c>
      <c r="BB444" s="65" t="str">
        <f>IF(B444="","",SUM('Lighting Inventory'!BP452:BP452))</f>
        <v/>
      </c>
      <c r="BC444" s="67" t="str">
        <f>IF(OR(AE444="", B444=""),"", 'Lighting Inventory'!GR452)</f>
        <v/>
      </c>
      <c r="BD444" s="67" t="str">
        <f>IFERROR(IF(B444="", "", 'Lighting Inventory'!AF452)*AD444," ")</f>
        <v xml:space="preserve"> </v>
      </c>
      <c r="BE444" s="67"/>
      <c r="BF444" s="67"/>
    </row>
    <row r="445" spans="1:58" x14ac:dyDescent="0.25">
      <c r="A445" s="26" t="str">
        <f>IF(B445="", "", 'Lookup Tables'!AW446)</f>
        <v/>
      </c>
      <c r="B445" s="26" t="str">
        <f>IF(OR('Lighting Inventory'!Y453="", 'Lighting Inventory'!V453="No Change"),"", 'Lighting Inventory'!Y453)</f>
        <v/>
      </c>
      <c r="C445" s="26" t="str">
        <f>IF(B445="", "", IF('Lighting Inventory'!Y453='Lookup Tables'!$Y$32, 'Lighting Inventory'!AJ453, IF(AD445=0, R445, AD445)))</f>
        <v/>
      </c>
      <c r="D445" s="26" t="str">
        <f>IF(B445="", "", 'General Information'!$F$14)</f>
        <v/>
      </c>
      <c r="E445" s="26" t="str">
        <f t="shared" si="23"/>
        <v/>
      </c>
      <c r="F445" s="26" t="str">
        <f>IF(B445="", "", CONCATENATE('General Information'!$F$9, " - ", 'General Information'!$F$14))</f>
        <v/>
      </c>
      <c r="G445" s="26" t="str">
        <f>IF(B445="", "", 'General Information'!$F$15)</f>
        <v/>
      </c>
      <c r="H445" s="26" t="str">
        <f>IF(B445="", "", IF(VLOOKUP(B445, 'Lookup Tables'!$Y$18:$AA$34, 2, FALSE)="Traffic", VLOOKUP('Lighting Inventory'!W453, 'Lookup Tables'!#REF!, 11, FALSE), VLOOKUP(B445, 'Lookup Tables'!$Y$18:$AA$34, 2, FALSE)))</f>
        <v/>
      </c>
      <c r="I445" s="26" t="str">
        <f>IF(B445="", "", CONCATENATE(D445, 'Data Export'!A445))</f>
        <v/>
      </c>
      <c r="J445" s="26" t="str">
        <f>IF(B445="", "", 'Lookup Tables'!$B$1)</f>
        <v/>
      </c>
      <c r="K445" s="26" t="str">
        <f>IF(B445="", "", 'Lighting Inventory'!B453)</f>
        <v/>
      </c>
      <c r="L445" s="26" t="str">
        <f>IF(B445="", "", 'Lighting Inventory'!C453)</f>
        <v/>
      </c>
      <c r="M445" s="26" t="str">
        <f>IF(B445="", "",'Lighting Inventory'!D453)</f>
        <v/>
      </c>
      <c r="N445" s="26" t="str">
        <f>IF(B445="", "",'Lighting Inventory'!E453)</f>
        <v/>
      </c>
      <c r="O445" s="26" t="str">
        <f>IF(B445="", "", 'Lighting Inventory'!F453)</f>
        <v/>
      </c>
      <c r="P445" s="26" t="str">
        <f>IF(B445="", "", 'Lighting Inventory'!G453)</f>
        <v/>
      </c>
      <c r="Q445" s="26" t="str">
        <f>IF(B445="", "", 'Lighting Inventory'!H453)</f>
        <v/>
      </c>
      <c r="R445" s="26" t="str">
        <f>IF(B445="", "", 'Lighting Inventory'!I453)</f>
        <v/>
      </c>
      <c r="S445" s="26" t="str">
        <f>IF(B445="", "", 'Lighting Inventory'!J453)</f>
        <v/>
      </c>
      <c r="T445" s="26" t="str">
        <f>IFERROR(IF(B445="","",VLOOKUP(S445,'Fixture Identities'!$A$7:$G$1023,5,FALSE)), "New Construction")</f>
        <v/>
      </c>
      <c r="U445" s="26" t="str">
        <f>IFERROR(IF(B445="", "", IF(K445="New Construction", "NC", IF(VLOOKUP(S445, 'Fixture Identities'!$A$7:$I$1023,3, FALSE)="T12 Linear Fluorescent", VLOOKUP(S445, 'Fixture Identities'!$A$7:$K$1012, 11, FALSE), S445))), "")</f>
        <v/>
      </c>
      <c r="V445" s="26" t="str">
        <f>IFERROR(IF(OR(B445="", U445=0), "", VLOOKUP(U445, 'Fixture Identities'!$A$7:$G$1023, 5, FALSE)), "")</f>
        <v/>
      </c>
      <c r="W445" s="26" t="str">
        <f>IF(B445="", "",'Lighting Inventory'!K453)</f>
        <v/>
      </c>
      <c r="X445" s="65" t="str">
        <f>IF(B445="", "", 'Lighting Inventory'!L453)</f>
        <v/>
      </c>
      <c r="Y445" s="26" t="str">
        <f>IF(B445="", "", IF('Lighting Inventory'!M453="", "Light Switch",'Lighting Inventory'!M453))</f>
        <v/>
      </c>
      <c r="Z445" s="26" t="str">
        <f>IF(OR(K445="Retrofit", B445=""), "", 'Lighting Inventory'!N453)</f>
        <v/>
      </c>
      <c r="AA445" s="26" t="str">
        <f>IF(OR(Z445="",B445=""), "", 'Lighting Inventory'!O453)</f>
        <v/>
      </c>
      <c r="AB445" s="26" t="str">
        <f>IF(B445="", "", 'Lighting Inventory'!P453)</f>
        <v/>
      </c>
      <c r="AC445" s="96" t="str">
        <f>IF(B445="", "", 'Lighting Inventory'!R453)</f>
        <v/>
      </c>
      <c r="AD445" s="26" t="str">
        <f>IF(B445="", "", 'Lighting Inventory'!S453)</f>
        <v/>
      </c>
      <c r="AE445" s="26" t="str">
        <f>IF(B445="", "", 'Lighting Inventory'!V453)</f>
        <v/>
      </c>
      <c r="AF445" s="26" t="str">
        <f>IF(B445="", "", 'Lighting Inventory'!W453)</f>
        <v/>
      </c>
      <c r="AG445" s="26" t="str">
        <f>IF(OR(AF445="", B445=""), "", IF(AE445="Custom", "0", VLOOKUP(AF445, 'Lookup Tables'!$AI$6:$AP$102, 8, FALSE)))</f>
        <v/>
      </c>
      <c r="AH445" s="26" t="str">
        <f>IF(B445="", "", 'Lighting Inventory'!AD453)</f>
        <v/>
      </c>
      <c r="AI445" s="26" t="str">
        <f>IF(OR('Lighting Inventory'!AK453="", B445=""), "", 'Lighting Inventory'!AK453)</f>
        <v/>
      </c>
      <c r="AJ445" s="66" t="str">
        <f>IF(B445="", "", 'Lighting Inventory'!AL453)</f>
        <v/>
      </c>
      <c r="AK445" s="65" t="str">
        <f>IF(B445="", "", 'Lighting Inventory'!AM453)</f>
        <v/>
      </c>
      <c r="AL445" s="26" t="str">
        <f>IF(B445="", "", 'Lighting Inventory'!AN453)</f>
        <v/>
      </c>
      <c r="AM445" s="26" t="str">
        <f t="shared" si="24"/>
        <v/>
      </c>
      <c r="AN445" s="26" t="str">
        <f>IF(B445="","",IF('Lighting Inventory'!AV453="","Prescribed",'Lighting Inventory'!AV453))</f>
        <v/>
      </c>
      <c r="AO445" s="66" t="str">
        <f>IF(B445="", "", 'Lighting Inventory'!AX453)</f>
        <v/>
      </c>
      <c r="AP445" s="67" t="str">
        <f>IF(B445="", "", 'Lighting Inventory'!AZ453)</f>
        <v/>
      </c>
      <c r="AQ445" s="67" t="str">
        <f>IF(B445="", "", 'Lighting Inventory'!BA453)</f>
        <v/>
      </c>
      <c r="AR445" s="67" t="str">
        <f>IF(B445="", "", 'Lighting Inventory'!BB453)</f>
        <v/>
      </c>
      <c r="AS445" s="67" t="str">
        <f>IF(B445="", "", 'Lighting Inventory'!BC453)</f>
        <v/>
      </c>
      <c r="AT445" s="67" t="str">
        <f>IF(B445="", "", 'Lighting Inventory'!BD453)</f>
        <v/>
      </c>
      <c r="AU445" s="67" t="str">
        <f>IF(B445="", "", 'Lighting Inventory'!BE453)</f>
        <v/>
      </c>
      <c r="AV445" s="67" t="str">
        <f>IF(B445="", "", 'Lighting Inventory'!BE453)</f>
        <v/>
      </c>
      <c r="AW445" s="67" t="str">
        <f>IF(B445="", "", 'Lighting Inventory'!BF453)</f>
        <v/>
      </c>
      <c r="AX445" s="67" t="str">
        <f>IF(B445="", "", 'Lighting Inventory'!BF453)</f>
        <v/>
      </c>
      <c r="AY445" s="65" t="str">
        <f t="shared" si="25"/>
        <v/>
      </c>
      <c r="AZ445" s="65" t="str">
        <f>IF(B445="", "", 'Lighting Inventory'!BJ453)</f>
        <v/>
      </c>
      <c r="BA445" s="65" t="str">
        <f>IF(B445="", "", 'Lighting Inventory'!BM453)</f>
        <v/>
      </c>
      <c r="BB445" s="65" t="str">
        <f>IF(B445="","",SUM('Lighting Inventory'!BP453:BP453))</f>
        <v/>
      </c>
      <c r="BC445" s="67" t="str">
        <f>IF(OR(AE445="", B445=""),"", 'Lighting Inventory'!GR453)</f>
        <v/>
      </c>
      <c r="BD445" s="67" t="str">
        <f>IFERROR(IF(B445="", "", 'Lighting Inventory'!AF453)*AD445," ")</f>
        <v xml:space="preserve"> </v>
      </c>
      <c r="BE445" s="67"/>
      <c r="BF445" s="67"/>
    </row>
    <row r="446" spans="1:58" x14ac:dyDescent="0.25">
      <c r="A446" s="26" t="str">
        <f>IF(B446="", "", 'Lookup Tables'!AW447)</f>
        <v/>
      </c>
      <c r="B446" s="26" t="str">
        <f>IF(OR('Lighting Inventory'!Y454="", 'Lighting Inventory'!V454="No Change"),"", 'Lighting Inventory'!Y454)</f>
        <v/>
      </c>
      <c r="C446" s="26" t="str">
        <f>IF(B446="", "", IF('Lighting Inventory'!Y454='Lookup Tables'!$Y$32, 'Lighting Inventory'!AJ454, IF(AD446=0, R446, AD446)))</f>
        <v/>
      </c>
      <c r="D446" s="26" t="str">
        <f>IF(B446="", "", 'General Information'!$F$14)</f>
        <v/>
      </c>
      <c r="E446" s="26" t="str">
        <f t="shared" si="23"/>
        <v/>
      </c>
      <c r="F446" s="26" t="str">
        <f>IF(B446="", "", CONCATENATE('General Information'!$F$9, " - ", 'General Information'!$F$14))</f>
        <v/>
      </c>
      <c r="G446" s="26" t="str">
        <f>IF(B446="", "", 'General Information'!$F$15)</f>
        <v/>
      </c>
      <c r="H446" s="26" t="str">
        <f>IF(B446="", "", IF(VLOOKUP(B446, 'Lookup Tables'!$Y$18:$AA$34, 2, FALSE)="Traffic", VLOOKUP('Lighting Inventory'!W454, 'Lookup Tables'!#REF!, 11, FALSE), VLOOKUP(B446, 'Lookup Tables'!$Y$18:$AA$34, 2, FALSE)))</f>
        <v/>
      </c>
      <c r="I446" s="26" t="str">
        <f>IF(B446="", "", CONCATENATE(D446, 'Data Export'!A446))</f>
        <v/>
      </c>
      <c r="J446" s="26" t="str">
        <f>IF(B446="", "", 'Lookup Tables'!$B$1)</f>
        <v/>
      </c>
      <c r="K446" s="26" t="str">
        <f>IF(B446="", "", 'Lighting Inventory'!B454)</f>
        <v/>
      </c>
      <c r="L446" s="26" t="str">
        <f>IF(B446="", "", 'Lighting Inventory'!C454)</f>
        <v/>
      </c>
      <c r="M446" s="26" t="str">
        <f>IF(B446="", "",'Lighting Inventory'!D454)</f>
        <v/>
      </c>
      <c r="N446" s="26" t="str">
        <f>IF(B446="", "",'Lighting Inventory'!E454)</f>
        <v/>
      </c>
      <c r="O446" s="26" t="str">
        <f>IF(B446="", "", 'Lighting Inventory'!F454)</f>
        <v/>
      </c>
      <c r="P446" s="26" t="str">
        <f>IF(B446="", "", 'Lighting Inventory'!G454)</f>
        <v/>
      </c>
      <c r="Q446" s="26" t="str">
        <f>IF(B446="", "", 'Lighting Inventory'!H454)</f>
        <v/>
      </c>
      <c r="R446" s="26" t="str">
        <f>IF(B446="", "", 'Lighting Inventory'!I454)</f>
        <v/>
      </c>
      <c r="S446" s="26" t="str">
        <f>IF(B446="", "", 'Lighting Inventory'!J454)</f>
        <v/>
      </c>
      <c r="T446" s="26" t="str">
        <f>IFERROR(IF(B446="","",VLOOKUP(S446,'Fixture Identities'!$A$7:$G$1023,5,FALSE)), "New Construction")</f>
        <v/>
      </c>
      <c r="U446" s="26" t="str">
        <f>IFERROR(IF(B446="", "", IF(K446="New Construction", "NC", IF(VLOOKUP(S446, 'Fixture Identities'!$A$7:$I$1023,3, FALSE)="T12 Linear Fluorescent", VLOOKUP(S446, 'Fixture Identities'!$A$7:$K$1012, 11, FALSE), S446))), "")</f>
        <v/>
      </c>
      <c r="V446" s="26" t="str">
        <f>IFERROR(IF(OR(B446="", U446=0), "", VLOOKUP(U446, 'Fixture Identities'!$A$7:$G$1023, 5, FALSE)), "")</f>
        <v/>
      </c>
      <c r="W446" s="26" t="str">
        <f>IF(B446="", "",'Lighting Inventory'!K454)</f>
        <v/>
      </c>
      <c r="X446" s="65" t="str">
        <f>IF(B446="", "", 'Lighting Inventory'!L454)</f>
        <v/>
      </c>
      <c r="Y446" s="26" t="str">
        <f>IF(B446="", "", IF('Lighting Inventory'!M454="", "Light Switch",'Lighting Inventory'!M454))</f>
        <v/>
      </c>
      <c r="Z446" s="26" t="str">
        <f>IF(OR(K446="Retrofit", B446=""), "", 'Lighting Inventory'!N454)</f>
        <v/>
      </c>
      <c r="AA446" s="26" t="str">
        <f>IF(OR(Z446="",B446=""), "", 'Lighting Inventory'!O454)</f>
        <v/>
      </c>
      <c r="AB446" s="26" t="str">
        <f>IF(B446="", "", 'Lighting Inventory'!P454)</f>
        <v/>
      </c>
      <c r="AC446" s="96" t="str">
        <f>IF(B446="", "", 'Lighting Inventory'!R454)</f>
        <v/>
      </c>
      <c r="AD446" s="26" t="str">
        <f>IF(B446="", "", 'Lighting Inventory'!S454)</f>
        <v/>
      </c>
      <c r="AE446" s="26" t="str">
        <f>IF(B446="", "", 'Lighting Inventory'!V454)</f>
        <v/>
      </c>
      <c r="AF446" s="26" t="str">
        <f>IF(B446="", "", 'Lighting Inventory'!W454)</f>
        <v/>
      </c>
      <c r="AG446" s="26" t="str">
        <f>IF(OR(AF446="", B446=""), "", IF(AE446="Custom", "0", VLOOKUP(AF446, 'Lookup Tables'!$AI$6:$AP$102, 8, FALSE)))</f>
        <v/>
      </c>
      <c r="AH446" s="26" t="str">
        <f>IF(B446="", "", 'Lighting Inventory'!AD454)</f>
        <v/>
      </c>
      <c r="AI446" s="26" t="str">
        <f>IF(OR('Lighting Inventory'!AK454="", B446=""), "", 'Lighting Inventory'!AK454)</f>
        <v/>
      </c>
      <c r="AJ446" s="66" t="str">
        <f>IF(B446="", "", 'Lighting Inventory'!AL454)</f>
        <v/>
      </c>
      <c r="AK446" s="65" t="str">
        <f>IF(B446="", "", 'Lighting Inventory'!AM454)</f>
        <v/>
      </c>
      <c r="AL446" s="26" t="str">
        <f>IF(B446="", "", 'Lighting Inventory'!AN454)</f>
        <v/>
      </c>
      <c r="AM446" s="26" t="str">
        <f t="shared" si="24"/>
        <v/>
      </c>
      <c r="AN446" s="26" t="str">
        <f>IF(B446="","",IF('Lighting Inventory'!AV454="","Prescribed",'Lighting Inventory'!AV454))</f>
        <v/>
      </c>
      <c r="AO446" s="66" t="str">
        <f>IF(B446="", "", 'Lighting Inventory'!AX454)</f>
        <v/>
      </c>
      <c r="AP446" s="67" t="str">
        <f>IF(B446="", "", 'Lighting Inventory'!AZ454)</f>
        <v/>
      </c>
      <c r="AQ446" s="67" t="str">
        <f>IF(B446="", "", 'Lighting Inventory'!BA454)</f>
        <v/>
      </c>
      <c r="AR446" s="67" t="str">
        <f>IF(B446="", "", 'Lighting Inventory'!BB454)</f>
        <v/>
      </c>
      <c r="AS446" s="67" t="str">
        <f>IF(B446="", "", 'Lighting Inventory'!BC454)</f>
        <v/>
      </c>
      <c r="AT446" s="67" t="str">
        <f>IF(B446="", "", 'Lighting Inventory'!BD454)</f>
        <v/>
      </c>
      <c r="AU446" s="67" t="str">
        <f>IF(B446="", "", 'Lighting Inventory'!BE454)</f>
        <v/>
      </c>
      <c r="AV446" s="67" t="str">
        <f>IF(B446="", "", 'Lighting Inventory'!BE454)</f>
        <v/>
      </c>
      <c r="AW446" s="67" t="str">
        <f>IF(B446="", "", 'Lighting Inventory'!BF454)</f>
        <v/>
      </c>
      <c r="AX446" s="67" t="str">
        <f>IF(B446="", "", 'Lighting Inventory'!BF454)</f>
        <v/>
      </c>
      <c r="AY446" s="65" t="str">
        <f t="shared" si="25"/>
        <v/>
      </c>
      <c r="AZ446" s="65" t="str">
        <f>IF(B446="", "", 'Lighting Inventory'!BJ454)</f>
        <v/>
      </c>
      <c r="BA446" s="65" t="str">
        <f>IF(B446="", "", 'Lighting Inventory'!BM454)</f>
        <v/>
      </c>
      <c r="BB446" s="65" t="str">
        <f>IF(B446="","",SUM('Lighting Inventory'!BP454:BP454))</f>
        <v/>
      </c>
      <c r="BC446" s="67" t="str">
        <f>IF(OR(AE446="", B446=""),"", 'Lighting Inventory'!GR454)</f>
        <v/>
      </c>
      <c r="BD446" s="67" t="str">
        <f>IFERROR(IF(B446="", "", 'Lighting Inventory'!AF454)*AD446," ")</f>
        <v xml:space="preserve"> </v>
      </c>
      <c r="BE446" s="67"/>
      <c r="BF446" s="67"/>
    </row>
    <row r="447" spans="1:58" x14ac:dyDescent="0.25">
      <c r="A447" s="26" t="str">
        <f>IF(B447="", "", 'Lookup Tables'!AW448)</f>
        <v/>
      </c>
      <c r="B447" s="26" t="str">
        <f>IF(OR('Lighting Inventory'!Y455="", 'Lighting Inventory'!V455="No Change"),"", 'Lighting Inventory'!Y455)</f>
        <v/>
      </c>
      <c r="C447" s="26" t="str">
        <f>IF(B447="", "", IF('Lighting Inventory'!Y455='Lookup Tables'!$Y$32, 'Lighting Inventory'!AJ455, IF(AD447=0, R447, AD447)))</f>
        <v/>
      </c>
      <c r="D447" s="26" t="str">
        <f>IF(B447="", "", 'General Information'!$F$14)</f>
        <v/>
      </c>
      <c r="E447" s="26" t="str">
        <f t="shared" si="23"/>
        <v/>
      </c>
      <c r="F447" s="26" t="str">
        <f>IF(B447="", "", CONCATENATE('General Information'!$F$9, " - ", 'General Information'!$F$14))</f>
        <v/>
      </c>
      <c r="G447" s="26" t="str">
        <f>IF(B447="", "", 'General Information'!$F$15)</f>
        <v/>
      </c>
      <c r="H447" s="26" t="str">
        <f>IF(B447="", "", IF(VLOOKUP(B447, 'Lookup Tables'!$Y$18:$AA$34, 2, FALSE)="Traffic", VLOOKUP('Lighting Inventory'!W455, 'Lookup Tables'!#REF!, 11, FALSE), VLOOKUP(B447, 'Lookup Tables'!$Y$18:$AA$34, 2, FALSE)))</f>
        <v/>
      </c>
      <c r="I447" s="26" t="str">
        <f>IF(B447="", "", CONCATENATE(D447, 'Data Export'!A447))</f>
        <v/>
      </c>
      <c r="J447" s="26" t="str">
        <f>IF(B447="", "", 'Lookup Tables'!$B$1)</f>
        <v/>
      </c>
      <c r="K447" s="26" t="str">
        <f>IF(B447="", "", 'Lighting Inventory'!B455)</f>
        <v/>
      </c>
      <c r="L447" s="26" t="str">
        <f>IF(B447="", "", 'Lighting Inventory'!C455)</f>
        <v/>
      </c>
      <c r="M447" s="26" t="str">
        <f>IF(B447="", "",'Lighting Inventory'!D455)</f>
        <v/>
      </c>
      <c r="N447" s="26" t="str">
        <f>IF(B447="", "",'Lighting Inventory'!E455)</f>
        <v/>
      </c>
      <c r="O447" s="26" t="str">
        <f>IF(B447="", "", 'Lighting Inventory'!F455)</f>
        <v/>
      </c>
      <c r="P447" s="26" t="str">
        <f>IF(B447="", "", 'Lighting Inventory'!G455)</f>
        <v/>
      </c>
      <c r="Q447" s="26" t="str">
        <f>IF(B447="", "", 'Lighting Inventory'!H455)</f>
        <v/>
      </c>
      <c r="R447" s="26" t="str">
        <f>IF(B447="", "", 'Lighting Inventory'!I455)</f>
        <v/>
      </c>
      <c r="S447" s="26" t="str">
        <f>IF(B447="", "", 'Lighting Inventory'!J455)</f>
        <v/>
      </c>
      <c r="T447" s="26" t="str">
        <f>IFERROR(IF(B447="","",VLOOKUP(S447,'Fixture Identities'!$A$7:$G$1023,5,FALSE)), "New Construction")</f>
        <v/>
      </c>
      <c r="U447" s="26" t="str">
        <f>IFERROR(IF(B447="", "", IF(K447="New Construction", "NC", IF(VLOOKUP(S447, 'Fixture Identities'!$A$7:$I$1023,3, FALSE)="T12 Linear Fluorescent", VLOOKUP(S447, 'Fixture Identities'!$A$7:$K$1012, 11, FALSE), S447))), "")</f>
        <v/>
      </c>
      <c r="V447" s="26" t="str">
        <f>IFERROR(IF(OR(B447="", U447=0), "", VLOOKUP(U447, 'Fixture Identities'!$A$7:$G$1023, 5, FALSE)), "")</f>
        <v/>
      </c>
      <c r="W447" s="26" t="str">
        <f>IF(B447="", "",'Lighting Inventory'!K455)</f>
        <v/>
      </c>
      <c r="X447" s="65" t="str">
        <f>IF(B447="", "", 'Lighting Inventory'!L455)</f>
        <v/>
      </c>
      <c r="Y447" s="26" t="str">
        <f>IF(B447="", "", IF('Lighting Inventory'!M455="", "Light Switch",'Lighting Inventory'!M455))</f>
        <v/>
      </c>
      <c r="Z447" s="26" t="str">
        <f>IF(OR(K447="Retrofit", B447=""), "", 'Lighting Inventory'!N455)</f>
        <v/>
      </c>
      <c r="AA447" s="26" t="str">
        <f>IF(OR(Z447="",B447=""), "", 'Lighting Inventory'!O455)</f>
        <v/>
      </c>
      <c r="AB447" s="26" t="str">
        <f>IF(B447="", "", 'Lighting Inventory'!P455)</f>
        <v/>
      </c>
      <c r="AC447" s="96" t="str">
        <f>IF(B447="", "", 'Lighting Inventory'!R455)</f>
        <v/>
      </c>
      <c r="AD447" s="26" t="str">
        <f>IF(B447="", "", 'Lighting Inventory'!S455)</f>
        <v/>
      </c>
      <c r="AE447" s="26" t="str">
        <f>IF(B447="", "", 'Lighting Inventory'!V455)</f>
        <v/>
      </c>
      <c r="AF447" s="26" t="str">
        <f>IF(B447="", "", 'Lighting Inventory'!W455)</f>
        <v/>
      </c>
      <c r="AG447" s="26" t="str">
        <f>IF(OR(AF447="", B447=""), "", IF(AE447="Custom", "0", VLOOKUP(AF447, 'Lookup Tables'!$AI$6:$AP$102, 8, FALSE)))</f>
        <v/>
      </c>
      <c r="AH447" s="26" t="str">
        <f>IF(B447="", "", 'Lighting Inventory'!AD455)</f>
        <v/>
      </c>
      <c r="AI447" s="26" t="str">
        <f>IF(OR('Lighting Inventory'!AK455="", B447=""), "", 'Lighting Inventory'!AK455)</f>
        <v/>
      </c>
      <c r="AJ447" s="66" t="str">
        <f>IF(B447="", "", 'Lighting Inventory'!AL455)</f>
        <v/>
      </c>
      <c r="AK447" s="65" t="str">
        <f>IF(B447="", "", 'Lighting Inventory'!AM455)</f>
        <v/>
      </c>
      <c r="AL447" s="26" t="str">
        <f>IF(B447="", "", 'Lighting Inventory'!AN455)</f>
        <v/>
      </c>
      <c r="AM447" s="26" t="str">
        <f t="shared" si="24"/>
        <v/>
      </c>
      <c r="AN447" s="26" t="str">
        <f>IF(B447="","",IF('Lighting Inventory'!AV455="","Prescribed",'Lighting Inventory'!AV455))</f>
        <v/>
      </c>
      <c r="AO447" s="66" t="str">
        <f>IF(B447="", "", 'Lighting Inventory'!AX455)</f>
        <v/>
      </c>
      <c r="AP447" s="67" t="str">
        <f>IF(B447="", "", 'Lighting Inventory'!AZ455)</f>
        <v/>
      </c>
      <c r="AQ447" s="67" t="str">
        <f>IF(B447="", "", 'Lighting Inventory'!BA455)</f>
        <v/>
      </c>
      <c r="AR447" s="67" t="str">
        <f>IF(B447="", "", 'Lighting Inventory'!BB455)</f>
        <v/>
      </c>
      <c r="AS447" s="67" t="str">
        <f>IF(B447="", "", 'Lighting Inventory'!BC455)</f>
        <v/>
      </c>
      <c r="AT447" s="67" t="str">
        <f>IF(B447="", "", 'Lighting Inventory'!BD455)</f>
        <v/>
      </c>
      <c r="AU447" s="67" t="str">
        <f>IF(B447="", "", 'Lighting Inventory'!BE455)</f>
        <v/>
      </c>
      <c r="AV447" s="67" t="str">
        <f>IF(B447="", "", 'Lighting Inventory'!BE455)</f>
        <v/>
      </c>
      <c r="AW447" s="67" t="str">
        <f>IF(B447="", "", 'Lighting Inventory'!BF455)</f>
        <v/>
      </c>
      <c r="AX447" s="67" t="str">
        <f>IF(B447="", "", 'Lighting Inventory'!BF455)</f>
        <v/>
      </c>
      <c r="AY447" s="65" t="str">
        <f t="shared" si="25"/>
        <v/>
      </c>
      <c r="AZ447" s="65" t="str">
        <f>IF(B447="", "", 'Lighting Inventory'!BJ455)</f>
        <v/>
      </c>
      <c r="BA447" s="65" t="str">
        <f>IF(B447="", "", 'Lighting Inventory'!BM455)</f>
        <v/>
      </c>
      <c r="BB447" s="65" t="str">
        <f>IF(B447="","",SUM('Lighting Inventory'!BP455:BP455))</f>
        <v/>
      </c>
      <c r="BC447" s="67" t="str">
        <f>IF(OR(AE447="", B447=""),"", 'Lighting Inventory'!GR455)</f>
        <v/>
      </c>
      <c r="BD447" s="67" t="str">
        <f>IFERROR(IF(B447="", "", 'Lighting Inventory'!AF455)*AD447," ")</f>
        <v xml:space="preserve"> </v>
      </c>
      <c r="BE447" s="67"/>
      <c r="BF447" s="67"/>
    </row>
    <row r="448" spans="1:58" x14ac:dyDescent="0.25">
      <c r="A448" s="26" t="str">
        <f>IF(B448="", "", 'Lookup Tables'!AW449)</f>
        <v/>
      </c>
      <c r="B448" s="26" t="str">
        <f>IF(OR('Lighting Inventory'!Y456="", 'Lighting Inventory'!V456="No Change"),"", 'Lighting Inventory'!Y456)</f>
        <v/>
      </c>
      <c r="C448" s="26" t="str">
        <f>IF(B448="", "", IF('Lighting Inventory'!Y456='Lookup Tables'!$Y$32, 'Lighting Inventory'!AJ456, IF(AD448=0, R448, AD448)))</f>
        <v/>
      </c>
      <c r="D448" s="26" t="str">
        <f>IF(B448="", "", 'General Information'!$F$14)</f>
        <v/>
      </c>
      <c r="E448" s="26" t="str">
        <f t="shared" si="23"/>
        <v/>
      </c>
      <c r="F448" s="26" t="str">
        <f>IF(B448="", "", CONCATENATE('General Information'!$F$9, " - ", 'General Information'!$F$14))</f>
        <v/>
      </c>
      <c r="G448" s="26" t="str">
        <f>IF(B448="", "", 'General Information'!$F$15)</f>
        <v/>
      </c>
      <c r="H448" s="26" t="str">
        <f>IF(B448="", "", IF(VLOOKUP(B448, 'Lookup Tables'!$Y$18:$AA$34, 2, FALSE)="Traffic", VLOOKUP('Lighting Inventory'!W456, 'Lookup Tables'!#REF!, 11, FALSE), VLOOKUP(B448, 'Lookup Tables'!$Y$18:$AA$34, 2, FALSE)))</f>
        <v/>
      </c>
      <c r="I448" s="26" t="str">
        <f>IF(B448="", "", CONCATENATE(D448, 'Data Export'!A448))</f>
        <v/>
      </c>
      <c r="J448" s="26" t="str">
        <f>IF(B448="", "", 'Lookup Tables'!$B$1)</f>
        <v/>
      </c>
      <c r="K448" s="26" t="str">
        <f>IF(B448="", "", 'Lighting Inventory'!B456)</f>
        <v/>
      </c>
      <c r="L448" s="26" t="str">
        <f>IF(B448="", "", 'Lighting Inventory'!C456)</f>
        <v/>
      </c>
      <c r="M448" s="26" t="str">
        <f>IF(B448="", "",'Lighting Inventory'!D456)</f>
        <v/>
      </c>
      <c r="N448" s="26" t="str">
        <f>IF(B448="", "",'Lighting Inventory'!E456)</f>
        <v/>
      </c>
      <c r="O448" s="26" t="str">
        <f>IF(B448="", "", 'Lighting Inventory'!F456)</f>
        <v/>
      </c>
      <c r="P448" s="26" t="str">
        <f>IF(B448="", "", 'Lighting Inventory'!G456)</f>
        <v/>
      </c>
      <c r="Q448" s="26" t="str">
        <f>IF(B448="", "", 'Lighting Inventory'!H456)</f>
        <v/>
      </c>
      <c r="R448" s="26" t="str">
        <f>IF(B448="", "", 'Lighting Inventory'!I456)</f>
        <v/>
      </c>
      <c r="S448" s="26" t="str">
        <f>IF(B448="", "", 'Lighting Inventory'!J456)</f>
        <v/>
      </c>
      <c r="T448" s="26" t="str">
        <f>IFERROR(IF(B448="","",VLOOKUP(S448,'Fixture Identities'!$A$7:$G$1023,5,FALSE)), "New Construction")</f>
        <v/>
      </c>
      <c r="U448" s="26" t="str">
        <f>IFERROR(IF(B448="", "", IF(K448="New Construction", "NC", IF(VLOOKUP(S448, 'Fixture Identities'!$A$7:$I$1023,3, FALSE)="T12 Linear Fluorescent", VLOOKUP(S448, 'Fixture Identities'!$A$7:$K$1012, 11, FALSE), S448))), "")</f>
        <v/>
      </c>
      <c r="V448" s="26" t="str">
        <f>IFERROR(IF(OR(B448="", U448=0), "", VLOOKUP(U448, 'Fixture Identities'!$A$7:$G$1023, 5, FALSE)), "")</f>
        <v/>
      </c>
      <c r="W448" s="26" t="str">
        <f>IF(B448="", "",'Lighting Inventory'!K456)</f>
        <v/>
      </c>
      <c r="X448" s="65" t="str">
        <f>IF(B448="", "", 'Lighting Inventory'!L456)</f>
        <v/>
      </c>
      <c r="Y448" s="26" t="str">
        <f>IF(B448="", "", IF('Lighting Inventory'!M456="", "Light Switch",'Lighting Inventory'!M456))</f>
        <v/>
      </c>
      <c r="Z448" s="26" t="str">
        <f>IF(OR(K448="Retrofit", B448=""), "", 'Lighting Inventory'!N456)</f>
        <v/>
      </c>
      <c r="AA448" s="26" t="str">
        <f>IF(OR(Z448="",B448=""), "", 'Lighting Inventory'!O456)</f>
        <v/>
      </c>
      <c r="AB448" s="26" t="str">
        <f>IF(B448="", "", 'Lighting Inventory'!P456)</f>
        <v/>
      </c>
      <c r="AC448" s="96" t="str">
        <f>IF(B448="", "", 'Lighting Inventory'!R456)</f>
        <v/>
      </c>
      <c r="AD448" s="26" t="str">
        <f>IF(B448="", "", 'Lighting Inventory'!S456)</f>
        <v/>
      </c>
      <c r="AE448" s="26" t="str">
        <f>IF(B448="", "", 'Lighting Inventory'!V456)</f>
        <v/>
      </c>
      <c r="AF448" s="26" t="str">
        <f>IF(B448="", "", 'Lighting Inventory'!W456)</f>
        <v/>
      </c>
      <c r="AG448" s="26" t="str">
        <f>IF(OR(AF448="", B448=""), "", IF(AE448="Custom", "0", VLOOKUP(AF448, 'Lookup Tables'!$AI$6:$AP$102, 8, FALSE)))</f>
        <v/>
      </c>
      <c r="AH448" s="26" t="str">
        <f>IF(B448="", "", 'Lighting Inventory'!AD456)</f>
        <v/>
      </c>
      <c r="AI448" s="26" t="str">
        <f>IF(OR('Lighting Inventory'!AK456="", B448=""), "", 'Lighting Inventory'!AK456)</f>
        <v/>
      </c>
      <c r="AJ448" s="66" t="str">
        <f>IF(B448="", "", 'Lighting Inventory'!AL456)</f>
        <v/>
      </c>
      <c r="AK448" s="65" t="str">
        <f>IF(B448="", "", 'Lighting Inventory'!AM456)</f>
        <v/>
      </c>
      <c r="AL448" s="26" t="str">
        <f>IF(B448="", "", 'Lighting Inventory'!AN456)</f>
        <v/>
      </c>
      <c r="AM448" s="26" t="str">
        <f t="shared" si="24"/>
        <v/>
      </c>
      <c r="AN448" s="26" t="str">
        <f>IF(B448="","",IF('Lighting Inventory'!AV456="","Prescribed",'Lighting Inventory'!AV456))</f>
        <v/>
      </c>
      <c r="AO448" s="66" t="str">
        <f>IF(B448="", "", 'Lighting Inventory'!AX456)</f>
        <v/>
      </c>
      <c r="AP448" s="67" t="str">
        <f>IF(B448="", "", 'Lighting Inventory'!AZ456)</f>
        <v/>
      </c>
      <c r="AQ448" s="67" t="str">
        <f>IF(B448="", "", 'Lighting Inventory'!BA456)</f>
        <v/>
      </c>
      <c r="AR448" s="67" t="str">
        <f>IF(B448="", "", 'Lighting Inventory'!BB456)</f>
        <v/>
      </c>
      <c r="AS448" s="67" t="str">
        <f>IF(B448="", "", 'Lighting Inventory'!BC456)</f>
        <v/>
      </c>
      <c r="AT448" s="67" t="str">
        <f>IF(B448="", "", 'Lighting Inventory'!BD456)</f>
        <v/>
      </c>
      <c r="AU448" s="67" t="str">
        <f>IF(B448="", "", 'Lighting Inventory'!BE456)</f>
        <v/>
      </c>
      <c r="AV448" s="67" t="str">
        <f>IF(B448="", "", 'Lighting Inventory'!BE456)</f>
        <v/>
      </c>
      <c r="AW448" s="67" t="str">
        <f>IF(B448="", "", 'Lighting Inventory'!BF456)</f>
        <v/>
      </c>
      <c r="AX448" s="67" t="str">
        <f>IF(B448="", "", 'Lighting Inventory'!BF456)</f>
        <v/>
      </c>
      <c r="AY448" s="65" t="str">
        <f t="shared" si="25"/>
        <v/>
      </c>
      <c r="AZ448" s="65" t="str">
        <f>IF(B448="", "", 'Lighting Inventory'!BJ456)</f>
        <v/>
      </c>
      <c r="BA448" s="65" t="str">
        <f>IF(B448="", "", 'Lighting Inventory'!BM456)</f>
        <v/>
      </c>
      <c r="BB448" s="65" t="str">
        <f>IF(B448="","",SUM('Lighting Inventory'!BP456:BP456))</f>
        <v/>
      </c>
      <c r="BC448" s="67" t="str">
        <f>IF(OR(AE448="", B448=""),"", 'Lighting Inventory'!GR456)</f>
        <v/>
      </c>
      <c r="BD448" s="67" t="str">
        <f>IFERROR(IF(B448="", "", 'Lighting Inventory'!AF456)*AD448," ")</f>
        <v xml:space="preserve"> </v>
      </c>
      <c r="BE448" s="67"/>
      <c r="BF448" s="67"/>
    </row>
    <row r="449" spans="1:58" x14ac:dyDescent="0.25">
      <c r="A449" s="26" t="str">
        <f>IF(B449="", "", 'Lookup Tables'!AW450)</f>
        <v/>
      </c>
      <c r="B449" s="26" t="str">
        <f>IF(OR('Lighting Inventory'!Y457="", 'Lighting Inventory'!V457="No Change"),"", 'Lighting Inventory'!Y457)</f>
        <v/>
      </c>
      <c r="C449" s="26" t="str">
        <f>IF(B449="", "", IF('Lighting Inventory'!Y457='Lookup Tables'!$Y$32, 'Lighting Inventory'!AJ457, IF(AD449=0, R449, AD449)))</f>
        <v/>
      </c>
      <c r="D449" s="26" t="str">
        <f>IF(B449="", "", 'General Information'!$F$14)</f>
        <v/>
      </c>
      <c r="E449" s="26" t="str">
        <f t="shared" si="23"/>
        <v/>
      </c>
      <c r="F449" s="26" t="str">
        <f>IF(B449="", "", CONCATENATE('General Information'!$F$9, " - ", 'General Information'!$F$14))</f>
        <v/>
      </c>
      <c r="G449" s="26" t="str">
        <f>IF(B449="", "", 'General Information'!$F$15)</f>
        <v/>
      </c>
      <c r="H449" s="26" t="str">
        <f>IF(B449="", "", IF(VLOOKUP(B449, 'Lookup Tables'!$Y$18:$AA$34, 2, FALSE)="Traffic", VLOOKUP('Lighting Inventory'!W457, 'Lookup Tables'!#REF!, 11, FALSE), VLOOKUP(B449, 'Lookup Tables'!$Y$18:$AA$34, 2, FALSE)))</f>
        <v/>
      </c>
      <c r="I449" s="26" t="str">
        <f>IF(B449="", "", CONCATENATE(D449, 'Data Export'!A449))</f>
        <v/>
      </c>
      <c r="J449" s="26" t="str">
        <f>IF(B449="", "", 'Lookup Tables'!$B$1)</f>
        <v/>
      </c>
      <c r="K449" s="26" t="str">
        <f>IF(B449="", "", 'Lighting Inventory'!B457)</f>
        <v/>
      </c>
      <c r="L449" s="26" t="str">
        <f>IF(B449="", "", 'Lighting Inventory'!C457)</f>
        <v/>
      </c>
      <c r="M449" s="26" t="str">
        <f>IF(B449="", "",'Lighting Inventory'!D457)</f>
        <v/>
      </c>
      <c r="N449" s="26" t="str">
        <f>IF(B449="", "",'Lighting Inventory'!E457)</f>
        <v/>
      </c>
      <c r="O449" s="26" t="str">
        <f>IF(B449="", "", 'Lighting Inventory'!F457)</f>
        <v/>
      </c>
      <c r="P449" s="26" t="str">
        <f>IF(B449="", "", 'Lighting Inventory'!G457)</f>
        <v/>
      </c>
      <c r="Q449" s="26" t="str">
        <f>IF(B449="", "", 'Lighting Inventory'!H457)</f>
        <v/>
      </c>
      <c r="R449" s="26" t="str">
        <f>IF(B449="", "", 'Lighting Inventory'!I457)</f>
        <v/>
      </c>
      <c r="S449" s="26" t="str">
        <f>IF(B449="", "", 'Lighting Inventory'!J457)</f>
        <v/>
      </c>
      <c r="T449" s="26" t="str">
        <f>IFERROR(IF(B449="","",VLOOKUP(S449,'Fixture Identities'!$A$7:$G$1023,5,FALSE)), "New Construction")</f>
        <v/>
      </c>
      <c r="U449" s="26" t="str">
        <f>IFERROR(IF(B449="", "", IF(K449="New Construction", "NC", IF(VLOOKUP(S449, 'Fixture Identities'!$A$7:$I$1023,3, FALSE)="T12 Linear Fluorescent", VLOOKUP(S449, 'Fixture Identities'!$A$7:$K$1012, 11, FALSE), S449))), "")</f>
        <v/>
      </c>
      <c r="V449" s="26" t="str">
        <f>IFERROR(IF(OR(B449="", U449=0), "", VLOOKUP(U449, 'Fixture Identities'!$A$7:$G$1023, 5, FALSE)), "")</f>
        <v/>
      </c>
      <c r="W449" s="26" t="str">
        <f>IF(B449="", "",'Lighting Inventory'!K457)</f>
        <v/>
      </c>
      <c r="X449" s="65" t="str">
        <f>IF(B449="", "", 'Lighting Inventory'!L457)</f>
        <v/>
      </c>
      <c r="Y449" s="26" t="str">
        <f>IF(B449="", "", IF('Lighting Inventory'!M457="", "Light Switch",'Lighting Inventory'!M457))</f>
        <v/>
      </c>
      <c r="Z449" s="26" t="str">
        <f>IF(OR(K449="Retrofit", B449=""), "", 'Lighting Inventory'!N457)</f>
        <v/>
      </c>
      <c r="AA449" s="26" t="str">
        <f>IF(OR(Z449="",B449=""), "", 'Lighting Inventory'!O457)</f>
        <v/>
      </c>
      <c r="AB449" s="26" t="str">
        <f>IF(B449="", "", 'Lighting Inventory'!P457)</f>
        <v/>
      </c>
      <c r="AC449" s="96" t="str">
        <f>IF(B449="", "", 'Lighting Inventory'!R457)</f>
        <v/>
      </c>
      <c r="AD449" s="26" t="str">
        <f>IF(B449="", "", 'Lighting Inventory'!S457)</f>
        <v/>
      </c>
      <c r="AE449" s="26" t="str">
        <f>IF(B449="", "", 'Lighting Inventory'!V457)</f>
        <v/>
      </c>
      <c r="AF449" s="26" t="str">
        <f>IF(B449="", "", 'Lighting Inventory'!W457)</f>
        <v/>
      </c>
      <c r="AG449" s="26" t="str">
        <f>IF(OR(AF449="", B449=""), "", IF(AE449="Custom", "0", VLOOKUP(AF449, 'Lookup Tables'!$AI$6:$AP$102, 8, FALSE)))</f>
        <v/>
      </c>
      <c r="AH449" s="26" t="str">
        <f>IF(B449="", "", 'Lighting Inventory'!AD457)</f>
        <v/>
      </c>
      <c r="AI449" s="26" t="str">
        <f>IF(OR('Lighting Inventory'!AK457="", B449=""), "", 'Lighting Inventory'!AK457)</f>
        <v/>
      </c>
      <c r="AJ449" s="66" t="str">
        <f>IF(B449="", "", 'Lighting Inventory'!AL457)</f>
        <v/>
      </c>
      <c r="AK449" s="65" t="str">
        <f>IF(B449="", "", 'Lighting Inventory'!AM457)</f>
        <v/>
      </c>
      <c r="AL449" s="26" t="str">
        <f>IF(B449="", "", 'Lighting Inventory'!AN457)</f>
        <v/>
      </c>
      <c r="AM449" s="26" t="str">
        <f t="shared" si="24"/>
        <v/>
      </c>
      <c r="AN449" s="26" t="str">
        <f>IF(B449="","",IF('Lighting Inventory'!AV457="","Prescribed",'Lighting Inventory'!AV457))</f>
        <v/>
      </c>
      <c r="AO449" s="66" t="str">
        <f>IF(B449="", "", 'Lighting Inventory'!AX457)</f>
        <v/>
      </c>
      <c r="AP449" s="67" t="str">
        <f>IF(B449="", "", 'Lighting Inventory'!AZ457)</f>
        <v/>
      </c>
      <c r="AQ449" s="67" t="str">
        <f>IF(B449="", "", 'Lighting Inventory'!BA457)</f>
        <v/>
      </c>
      <c r="AR449" s="67" t="str">
        <f>IF(B449="", "", 'Lighting Inventory'!BB457)</f>
        <v/>
      </c>
      <c r="AS449" s="67" t="str">
        <f>IF(B449="", "", 'Lighting Inventory'!BC457)</f>
        <v/>
      </c>
      <c r="AT449" s="67" t="str">
        <f>IF(B449="", "", 'Lighting Inventory'!BD457)</f>
        <v/>
      </c>
      <c r="AU449" s="67" t="str">
        <f>IF(B449="", "", 'Lighting Inventory'!BE457)</f>
        <v/>
      </c>
      <c r="AV449" s="67" t="str">
        <f>IF(B449="", "", 'Lighting Inventory'!BE457)</f>
        <v/>
      </c>
      <c r="AW449" s="67" t="str">
        <f>IF(B449="", "", 'Lighting Inventory'!BF457)</f>
        <v/>
      </c>
      <c r="AX449" s="67" t="str">
        <f>IF(B449="", "", 'Lighting Inventory'!BF457)</f>
        <v/>
      </c>
      <c r="AY449" s="65" t="str">
        <f t="shared" si="25"/>
        <v/>
      </c>
      <c r="AZ449" s="65" t="str">
        <f>IF(B449="", "", 'Lighting Inventory'!BJ457)</f>
        <v/>
      </c>
      <c r="BA449" s="65" t="str">
        <f>IF(B449="", "", 'Lighting Inventory'!BM457)</f>
        <v/>
      </c>
      <c r="BB449" s="65" t="str">
        <f>IF(B449="","",SUM('Lighting Inventory'!BP457:BP457))</f>
        <v/>
      </c>
      <c r="BC449" s="67" t="str">
        <f>IF(OR(AE449="", B449=""),"", 'Lighting Inventory'!GR457)</f>
        <v/>
      </c>
      <c r="BD449" s="67" t="str">
        <f>IFERROR(IF(B449="", "", 'Lighting Inventory'!AF457)*AD449," ")</f>
        <v xml:space="preserve"> </v>
      </c>
      <c r="BE449" s="67"/>
      <c r="BF449" s="67"/>
    </row>
    <row r="450" spans="1:58" x14ac:dyDescent="0.25">
      <c r="A450" s="26" t="str">
        <f>IF(B450="", "", 'Lookup Tables'!AW451)</f>
        <v/>
      </c>
      <c r="B450" s="26" t="str">
        <f>IF(OR('Lighting Inventory'!Y458="", 'Lighting Inventory'!V458="No Change"),"", 'Lighting Inventory'!Y458)</f>
        <v/>
      </c>
      <c r="C450" s="26" t="str">
        <f>IF(B450="", "", IF('Lighting Inventory'!Y458='Lookup Tables'!$Y$32, 'Lighting Inventory'!AJ458, IF(AD450=0, R450, AD450)))</f>
        <v/>
      </c>
      <c r="D450" s="26" t="str">
        <f>IF(B450="", "", 'General Information'!$F$14)</f>
        <v/>
      </c>
      <c r="E450" s="26" t="str">
        <f t="shared" si="23"/>
        <v/>
      </c>
      <c r="F450" s="26" t="str">
        <f>IF(B450="", "", CONCATENATE('General Information'!$F$9, " - ", 'General Information'!$F$14))</f>
        <v/>
      </c>
      <c r="G450" s="26" t="str">
        <f>IF(B450="", "", 'General Information'!$F$15)</f>
        <v/>
      </c>
      <c r="H450" s="26" t="str">
        <f>IF(B450="", "", IF(VLOOKUP(B450, 'Lookup Tables'!$Y$18:$AA$34, 2, FALSE)="Traffic", VLOOKUP('Lighting Inventory'!W458, 'Lookup Tables'!#REF!, 11, FALSE), VLOOKUP(B450, 'Lookup Tables'!$Y$18:$AA$34, 2, FALSE)))</f>
        <v/>
      </c>
      <c r="I450" s="26" t="str">
        <f>IF(B450="", "", CONCATENATE(D450, 'Data Export'!A450))</f>
        <v/>
      </c>
      <c r="J450" s="26" t="str">
        <f>IF(B450="", "", 'Lookup Tables'!$B$1)</f>
        <v/>
      </c>
      <c r="K450" s="26" t="str">
        <f>IF(B450="", "", 'Lighting Inventory'!B458)</f>
        <v/>
      </c>
      <c r="L450" s="26" t="str">
        <f>IF(B450="", "", 'Lighting Inventory'!C458)</f>
        <v/>
      </c>
      <c r="M450" s="26" t="str">
        <f>IF(B450="", "",'Lighting Inventory'!D458)</f>
        <v/>
      </c>
      <c r="N450" s="26" t="str">
        <f>IF(B450="", "",'Lighting Inventory'!E458)</f>
        <v/>
      </c>
      <c r="O450" s="26" t="str">
        <f>IF(B450="", "", 'Lighting Inventory'!F458)</f>
        <v/>
      </c>
      <c r="P450" s="26" t="str">
        <f>IF(B450="", "", 'Lighting Inventory'!G458)</f>
        <v/>
      </c>
      <c r="Q450" s="26" t="str">
        <f>IF(B450="", "", 'Lighting Inventory'!H458)</f>
        <v/>
      </c>
      <c r="R450" s="26" t="str">
        <f>IF(B450="", "", 'Lighting Inventory'!I458)</f>
        <v/>
      </c>
      <c r="S450" s="26" t="str">
        <f>IF(B450="", "", 'Lighting Inventory'!J458)</f>
        <v/>
      </c>
      <c r="T450" s="26" t="str">
        <f>IFERROR(IF(B450="","",VLOOKUP(S450,'Fixture Identities'!$A$7:$G$1023,5,FALSE)), "New Construction")</f>
        <v/>
      </c>
      <c r="U450" s="26" t="str">
        <f>IFERROR(IF(B450="", "", IF(K450="New Construction", "NC", IF(VLOOKUP(S450, 'Fixture Identities'!$A$7:$I$1023,3, FALSE)="T12 Linear Fluorescent", VLOOKUP(S450, 'Fixture Identities'!$A$7:$K$1012, 11, FALSE), S450))), "")</f>
        <v/>
      </c>
      <c r="V450" s="26" t="str">
        <f>IFERROR(IF(OR(B450="", U450=0), "", VLOOKUP(U450, 'Fixture Identities'!$A$7:$G$1023, 5, FALSE)), "")</f>
        <v/>
      </c>
      <c r="W450" s="26" t="str">
        <f>IF(B450="", "",'Lighting Inventory'!K458)</f>
        <v/>
      </c>
      <c r="X450" s="65" t="str">
        <f>IF(B450="", "", 'Lighting Inventory'!L458)</f>
        <v/>
      </c>
      <c r="Y450" s="26" t="str">
        <f>IF(B450="", "", IF('Lighting Inventory'!M458="", "Light Switch",'Lighting Inventory'!M458))</f>
        <v/>
      </c>
      <c r="Z450" s="26" t="str">
        <f>IF(OR(K450="Retrofit", B450=""), "", 'Lighting Inventory'!N458)</f>
        <v/>
      </c>
      <c r="AA450" s="26" t="str">
        <f>IF(OR(Z450="",B450=""), "", 'Lighting Inventory'!O458)</f>
        <v/>
      </c>
      <c r="AB450" s="26" t="str">
        <f>IF(B450="", "", 'Lighting Inventory'!P458)</f>
        <v/>
      </c>
      <c r="AC450" s="96" t="str">
        <f>IF(B450="", "", 'Lighting Inventory'!R458)</f>
        <v/>
      </c>
      <c r="AD450" s="26" t="str">
        <f>IF(B450="", "", 'Lighting Inventory'!S458)</f>
        <v/>
      </c>
      <c r="AE450" s="26" t="str">
        <f>IF(B450="", "", 'Lighting Inventory'!V458)</f>
        <v/>
      </c>
      <c r="AF450" s="26" t="str">
        <f>IF(B450="", "", 'Lighting Inventory'!W458)</f>
        <v/>
      </c>
      <c r="AG450" s="26" t="str">
        <f>IF(OR(AF450="", B450=""), "", IF(AE450="Custom", "0", VLOOKUP(AF450, 'Lookup Tables'!$AI$6:$AP$102, 8, FALSE)))</f>
        <v/>
      </c>
      <c r="AH450" s="26" t="str">
        <f>IF(B450="", "", 'Lighting Inventory'!AD458)</f>
        <v/>
      </c>
      <c r="AI450" s="26" t="str">
        <f>IF(OR('Lighting Inventory'!AK458="", B450=""), "", 'Lighting Inventory'!AK458)</f>
        <v/>
      </c>
      <c r="AJ450" s="66" t="str">
        <f>IF(B450="", "", 'Lighting Inventory'!AL458)</f>
        <v/>
      </c>
      <c r="AK450" s="65" t="str">
        <f>IF(B450="", "", 'Lighting Inventory'!AM458)</f>
        <v/>
      </c>
      <c r="AL450" s="26" t="str">
        <f>IF(B450="", "", 'Lighting Inventory'!AN458)</f>
        <v/>
      </c>
      <c r="AM450" s="26" t="str">
        <f t="shared" si="24"/>
        <v/>
      </c>
      <c r="AN450" s="26" t="str">
        <f>IF(B450="","",IF('Lighting Inventory'!AV458="","Prescribed",'Lighting Inventory'!AV458))</f>
        <v/>
      </c>
      <c r="AO450" s="66" t="str">
        <f>IF(B450="", "", 'Lighting Inventory'!AX458)</f>
        <v/>
      </c>
      <c r="AP450" s="67" t="str">
        <f>IF(B450="", "", 'Lighting Inventory'!AZ458)</f>
        <v/>
      </c>
      <c r="AQ450" s="67" t="str">
        <f>IF(B450="", "", 'Lighting Inventory'!BA458)</f>
        <v/>
      </c>
      <c r="AR450" s="67" t="str">
        <f>IF(B450="", "", 'Lighting Inventory'!BB458)</f>
        <v/>
      </c>
      <c r="AS450" s="67" t="str">
        <f>IF(B450="", "", 'Lighting Inventory'!BC458)</f>
        <v/>
      </c>
      <c r="AT450" s="67" t="str">
        <f>IF(B450="", "", 'Lighting Inventory'!BD458)</f>
        <v/>
      </c>
      <c r="AU450" s="67" t="str">
        <f>IF(B450="", "", 'Lighting Inventory'!BE458)</f>
        <v/>
      </c>
      <c r="AV450" s="67" t="str">
        <f>IF(B450="", "", 'Lighting Inventory'!BE458)</f>
        <v/>
      </c>
      <c r="AW450" s="67" t="str">
        <f>IF(B450="", "", 'Lighting Inventory'!BF458)</f>
        <v/>
      </c>
      <c r="AX450" s="67" t="str">
        <f>IF(B450="", "", 'Lighting Inventory'!BF458)</f>
        <v/>
      </c>
      <c r="AY450" s="65" t="str">
        <f t="shared" si="25"/>
        <v/>
      </c>
      <c r="AZ450" s="65" t="str">
        <f>IF(B450="", "", 'Lighting Inventory'!BJ458)</f>
        <v/>
      </c>
      <c r="BA450" s="65" t="str">
        <f>IF(B450="", "", 'Lighting Inventory'!BM458)</f>
        <v/>
      </c>
      <c r="BB450" s="65" t="str">
        <f>IF(B450="","",SUM('Lighting Inventory'!BP458:BP458))</f>
        <v/>
      </c>
      <c r="BC450" s="67" t="str">
        <f>IF(OR(AE450="", B450=""),"", 'Lighting Inventory'!GR458)</f>
        <v/>
      </c>
      <c r="BD450" s="67" t="str">
        <f>IFERROR(IF(B450="", "", 'Lighting Inventory'!AF458)*AD450," ")</f>
        <v xml:space="preserve"> </v>
      </c>
      <c r="BE450" s="67"/>
      <c r="BF450" s="67"/>
    </row>
    <row r="451" spans="1:58" x14ac:dyDescent="0.25">
      <c r="A451" s="26" t="str">
        <f>IF(B451="", "", 'Lookup Tables'!AW452)</f>
        <v/>
      </c>
      <c r="B451" s="26" t="str">
        <f>IF(OR('Lighting Inventory'!Y459="", 'Lighting Inventory'!V459="No Change"),"", 'Lighting Inventory'!Y459)</f>
        <v/>
      </c>
      <c r="C451" s="26" t="str">
        <f>IF(B451="", "", IF('Lighting Inventory'!Y459='Lookup Tables'!$Y$32, 'Lighting Inventory'!AJ459, IF(AD451=0, R451, AD451)))</f>
        <v/>
      </c>
      <c r="D451" s="26" t="str">
        <f>IF(B451="", "", 'General Information'!$F$14)</f>
        <v/>
      </c>
      <c r="E451" s="26" t="str">
        <f t="shared" si="23"/>
        <v/>
      </c>
      <c r="F451" s="26" t="str">
        <f>IF(B451="", "", CONCATENATE('General Information'!$F$9, " - ", 'General Information'!$F$14))</f>
        <v/>
      </c>
      <c r="G451" s="26" t="str">
        <f>IF(B451="", "", 'General Information'!$F$15)</f>
        <v/>
      </c>
      <c r="H451" s="26" t="str">
        <f>IF(B451="", "", IF(VLOOKUP(B451, 'Lookup Tables'!$Y$18:$AA$34, 2, FALSE)="Traffic", VLOOKUP('Lighting Inventory'!W459, 'Lookup Tables'!#REF!, 11, FALSE), VLOOKUP(B451, 'Lookup Tables'!$Y$18:$AA$34, 2, FALSE)))</f>
        <v/>
      </c>
      <c r="I451" s="26" t="str">
        <f>IF(B451="", "", CONCATENATE(D451, 'Data Export'!A451))</f>
        <v/>
      </c>
      <c r="J451" s="26" t="str">
        <f>IF(B451="", "", 'Lookup Tables'!$B$1)</f>
        <v/>
      </c>
      <c r="K451" s="26" t="str">
        <f>IF(B451="", "", 'Lighting Inventory'!B459)</f>
        <v/>
      </c>
      <c r="L451" s="26" t="str">
        <f>IF(B451="", "", 'Lighting Inventory'!C459)</f>
        <v/>
      </c>
      <c r="M451" s="26" t="str">
        <f>IF(B451="", "",'Lighting Inventory'!D459)</f>
        <v/>
      </c>
      <c r="N451" s="26" t="str">
        <f>IF(B451="", "",'Lighting Inventory'!E459)</f>
        <v/>
      </c>
      <c r="O451" s="26" t="str">
        <f>IF(B451="", "", 'Lighting Inventory'!F459)</f>
        <v/>
      </c>
      <c r="P451" s="26" t="str">
        <f>IF(B451="", "", 'Lighting Inventory'!G459)</f>
        <v/>
      </c>
      <c r="Q451" s="26" t="str">
        <f>IF(B451="", "", 'Lighting Inventory'!H459)</f>
        <v/>
      </c>
      <c r="R451" s="26" t="str">
        <f>IF(B451="", "", 'Lighting Inventory'!I459)</f>
        <v/>
      </c>
      <c r="S451" s="26" t="str">
        <f>IF(B451="", "", 'Lighting Inventory'!J459)</f>
        <v/>
      </c>
      <c r="T451" s="26" t="str">
        <f>IFERROR(IF(B451="","",VLOOKUP(S451,'Fixture Identities'!$A$7:$G$1023,5,FALSE)), "New Construction")</f>
        <v/>
      </c>
      <c r="U451" s="26" t="str">
        <f>IFERROR(IF(B451="", "", IF(K451="New Construction", "NC", IF(VLOOKUP(S451, 'Fixture Identities'!$A$7:$I$1023,3, FALSE)="T12 Linear Fluorescent", VLOOKUP(S451, 'Fixture Identities'!$A$7:$K$1012, 11, FALSE), S451))), "")</f>
        <v/>
      </c>
      <c r="V451" s="26" t="str">
        <f>IFERROR(IF(OR(B451="", U451=0), "", VLOOKUP(U451, 'Fixture Identities'!$A$7:$G$1023, 5, FALSE)), "")</f>
        <v/>
      </c>
      <c r="W451" s="26" t="str">
        <f>IF(B451="", "",'Lighting Inventory'!K459)</f>
        <v/>
      </c>
      <c r="X451" s="65" t="str">
        <f>IF(B451="", "", 'Lighting Inventory'!L459)</f>
        <v/>
      </c>
      <c r="Y451" s="26" t="str">
        <f>IF(B451="", "", IF('Lighting Inventory'!M459="", "Light Switch",'Lighting Inventory'!M459))</f>
        <v/>
      </c>
      <c r="Z451" s="26" t="str">
        <f>IF(OR(K451="Retrofit", B451=""), "", 'Lighting Inventory'!N459)</f>
        <v/>
      </c>
      <c r="AA451" s="26" t="str">
        <f>IF(OR(Z451="",B451=""), "", 'Lighting Inventory'!O459)</f>
        <v/>
      </c>
      <c r="AB451" s="26" t="str">
        <f>IF(B451="", "", 'Lighting Inventory'!P459)</f>
        <v/>
      </c>
      <c r="AC451" s="96" t="str">
        <f>IF(B451="", "", 'Lighting Inventory'!R459)</f>
        <v/>
      </c>
      <c r="AD451" s="26" t="str">
        <f>IF(B451="", "", 'Lighting Inventory'!S459)</f>
        <v/>
      </c>
      <c r="AE451" s="26" t="str">
        <f>IF(B451="", "", 'Lighting Inventory'!V459)</f>
        <v/>
      </c>
      <c r="AF451" s="26" t="str">
        <f>IF(B451="", "", 'Lighting Inventory'!W459)</f>
        <v/>
      </c>
      <c r="AG451" s="26" t="str">
        <f>IF(OR(AF451="", B451=""), "", IF(AE451="Custom", "0", VLOOKUP(AF451, 'Lookup Tables'!$AI$6:$AP$102, 8, FALSE)))</f>
        <v/>
      </c>
      <c r="AH451" s="26" t="str">
        <f>IF(B451="", "", 'Lighting Inventory'!AD459)</f>
        <v/>
      </c>
      <c r="AI451" s="26" t="str">
        <f>IF(OR('Lighting Inventory'!AK459="", B451=""), "", 'Lighting Inventory'!AK459)</f>
        <v/>
      </c>
      <c r="AJ451" s="66" t="str">
        <f>IF(B451="", "", 'Lighting Inventory'!AL459)</f>
        <v/>
      </c>
      <c r="AK451" s="65" t="str">
        <f>IF(B451="", "", 'Lighting Inventory'!AM459)</f>
        <v/>
      </c>
      <c r="AL451" s="26" t="str">
        <f>IF(B451="", "", 'Lighting Inventory'!AN459)</f>
        <v/>
      </c>
      <c r="AM451" s="26" t="str">
        <f t="shared" si="24"/>
        <v/>
      </c>
      <c r="AN451" s="26" t="str">
        <f>IF(B451="","",IF('Lighting Inventory'!AV459="","Prescribed",'Lighting Inventory'!AV459))</f>
        <v/>
      </c>
      <c r="AO451" s="66" t="str">
        <f>IF(B451="", "", 'Lighting Inventory'!AX459)</f>
        <v/>
      </c>
      <c r="AP451" s="67" t="str">
        <f>IF(B451="", "", 'Lighting Inventory'!AZ459)</f>
        <v/>
      </c>
      <c r="AQ451" s="67" t="str">
        <f>IF(B451="", "", 'Lighting Inventory'!BA459)</f>
        <v/>
      </c>
      <c r="AR451" s="67" t="str">
        <f>IF(B451="", "", 'Lighting Inventory'!BB459)</f>
        <v/>
      </c>
      <c r="AS451" s="67" t="str">
        <f>IF(B451="", "", 'Lighting Inventory'!BC459)</f>
        <v/>
      </c>
      <c r="AT451" s="67" t="str">
        <f>IF(B451="", "", 'Lighting Inventory'!BD459)</f>
        <v/>
      </c>
      <c r="AU451" s="67" t="str">
        <f>IF(B451="", "", 'Lighting Inventory'!BE459)</f>
        <v/>
      </c>
      <c r="AV451" s="67" t="str">
        <f>IF(B451="", "", 'Lighting Inventory'!BE459)</f>
        <v/>
      </c>
      <c r="AW451" s="67" t="str">
        <f>IF(B451="", "", 'Lighting Inventory'!BF459)</f>
        <v/>
      </c>
      <c r="AX451" s="67" t="str">
        <f>IF(B451="", "", 'Lighting Inventory'!BF459)</f>
        <v/>
      </c>
      <c r="AY451" s="65" t="str">
        <f t="shared" si="25"/>
        <v/>
      </c>
      <c r="AZ451" s="65" t="str">
        <f>IF(B451="", "", 'Lighting Inventory'!BJ459)</f>
        <v/>
      </c>
      <c r="BA451" s="65" t="str">
        <f>IF(B451="", "", 'Lighting Inventory'!BM459)</f>
        <v/>
      </c>
      <c r="BB451" s="65" t="str">
        <f>IF(B451="","",SUM('Lighting Inventory'!BP459:BP459))</f>
        <v/>
      </c>
      <c r="BC451" s="67" t="str">
        <f>IF(OR(AE451="", B451=""),"", 'Lighting Inventory'!GR459)</f>
        <v/>
      </c>
      <c r="BD451" s="67" t="str">
        <f>IFERROR(IF(B451="", "", 'Lighting Inventory'!AF459)*AD451," ")</f>
        <v xml:space="preserve"> </v>
      </c>
      <c r="BE451" s="67"/>
      <c r="BF451" s="67"/>
    </row>
    <row r="452" spans="1:58" x14ac:dyDescent="0.25">
      <c r="A452" s="26" t="str">
        <f>IF(B452="", "", 'Lookup Tables'!AW453)</f>
        <v/>
      </c>
      <c r="B452" s="26" t="str">
        <f>IF(OR('Lighting Inventory'!Y460="", 'Lighting Inventory'!V460="No Change"),"", 'Lighting Inventory'!Y460)</f>
        <v/>
      </c>
      <c r="C452" s="26" t="str">
        <f>IF(B452="", "", IF('Lighting Inventory'!Y460='Lookup Tables'!$Y$32, 'Lighting Inventory'!AJ460, IF(AD452=0, R452, AD452)))</f>
        <v/>
      </c>
      <c r="D452" s="26" t="str">
        <f>IF(B452="", "", 'General Information'!$F$14)</f>
        <v/>
      </c>
      <c r="E452" s="26" t="str">
        <f t="shared" si="23"/>
        <v/>
      </c>
      <c r="F452" s="26" t="str">
        <f>IF(B452="", "", CONCATENATE('General Information'!$F$9, " - ", 'General Information'!$F$14))</f>
        <v/>
      </c>
      <c r="G452" s="26" t="str">
        <f>IF(B452="", "", 'General Information'!$F$15)</f>
        <v/>
      </c>
      <c r="H452" s="26" t="str">
        <f>IF(B452="", "", IF(VLOOKUP(B452, 'Lookup Tables'!$Y$18:$AA$34, 2, FALSE)="Traffic", VLOOKUP('Lighting Inventory'!W460, 'Lookup Tables'!#REF!, 11, FALSE), VLOOKUP(B452, 'Lookup Tables'!$Y$18:$AA$34, 2, FALSE)))</f>
        <v/>
      </c>
      <c r="I452" s="26" t="str">
        <f>IF(B452="", "", CONCATENATE(D452, 'Data Export'!A452))</f>
        <v/>
      </c>
      <c r="J452" s="26" t="str">
        <f>IF(B452="", "", 'Lookup Tables'!$B$1)</f>
        <v/>
      </c>
      <c r="K452" s="26" t="str">
        <f>IF(B452="", "", 'Lighting Inventory'!B460)</f>
        <v/>
      </c>
      <c r="L452" s="26" t="str">
        <f>IF(B452="", "", 'Lighting Inventory'!C460)</f>
        <v/>
      </c>
      <c r="M452" s="26" t="str">
        <f>IF(B452="", "",'Lighting Inventory'!D460)</f>
        <v/>
      </c>
      <c r="N452" s="26" t="str">
        <f>IF(B452="", "",'Lighting Inventory'!E460)</f>
        <v/>
      </c>
      <c r="O452" s="26" t="str">
        <f>IF(B452="", "", 'Lighting Inventory'!F460)</f>
        <v/>
      </c>
      <c r="P452" s="26" t="str">
        <f>IF(B452="", "", 'Lighting Inventory'!G460)</f>
        <v/>
      </c>
      <c r="Q452" s="26" t="str">
        <f>IF(B452="", "", 'Lighting Inventory'!H460)</f>
        <v/>
      </c>
      <c r="R452" s="26" t="str">
        <f>IF(B452="", "", 'Lighting Inventory'!I460)</f>
        <v/>
      </c>
      <c r="S452" s="26" t="str">
        <f>IF(B452="", "", 'Lighting Inventory'!J460)</f>
        <v/>
      </c>
      <c r="T452" s="26" t="str">
        <f>IFERROR(IF(B452="","",VLOOKUP(S452,'Fixture Identities'!$A$7:$G$1023,5,FALSE)), "New Construction")</f>
        <v/>
      </c>
      <c r="U452" s="26" t="str">
        <f>IFERROR(IF(B452="", "", IF(K452="New Construction", "NC", IF(VLOOKUP(S452, 'Fixture Identities'!$A$7:$I$1023,3, FALSE)="T12 Linear Fluorescent", VLOOKUP(S452, 'Fixture Identities'!$A$7:$K$1012, 11, FALSE), S452))), "")</f>
        <v/>
      </c>
      <c r="V452" s="26" t="str">
        <f>IFERROR(IF(OR(B452="", U452=0), "", VLOOKUP(U452, 'Fixture Identities'!$A$7:$G$1023, 5, FALSE)), "")</f>
        <v/>
      </c>
      <c r="W452" s="26" t="str">
        <f>IF(B452="", "",'Lighting Inventory'!K460)</f>
        <v/>
      </c>
      <c r="X452" s="65" t="str">
        <f>IF(B452="", "", 'Lighting Inventory'!L460)</f>
        <v/>
      </c>
      <c r="Y452" s="26" t="str">
        <f>IF(B452="", "", IF('Lighting Inventory'!M460="", "Light Switch",'Lighting Inventory'!M460))</f>
        <v/>
      </c>
      <c r="Z452" s="26" t="str">
        <f>IF(OR(K452="Retrofit", B452=""), "", 'Lighting Inventory'!N460)</f>
        <v/>
      </c>
      <c r="AA452" s="26" t="str">
        <f>IF(OR(Z452="",B452=""), "", 'Lighting Inventory'!O460)</f>
        <v/>
      </c>
      <c r="AB452" s="26" t="str">
        <f>IF(B452="", "", 'Lighting Inventory'!P460)</f>
        <v/>
      </c>
      <c r="AC452" s="96" t="str">
        <f>IF(B452="", "", 'Lighting Inventory'!R460)</f>
        <v/>
      </c>
      <c r="AD452" s="26" t="str">
        <f>IF(B452="", "", 'Lighting Inventory'!S460)</f>
        <v/>
      </c>
      <c r="AE452" s="26" t="str">
        <f>IF(B452="", "", 'Lighting Inventory'!V460)</f>
        <v/>
      </c>
      <c r="AF452" s="26" t="str">
        <f>IF(B452="", "", 'Lighting Inventory'!W460)</f>
        <v/>
      </c>
      <c r="AG452" s="26" t="str">
        <f>IF(OR(AF452="", B452=""), "", IF(AE452="Custom", "0", VLOOKUP(AF452, 'Lookup Tables'!$AI$6:$AP$102, 8, FALSE)))</f>
        <v/>
      </c>
      <c r="AH452" s="26" t="str">
        <f>IF(B452="", "", 'Lighting Inventory'!AD460)</f>
        <v/>
      </c>
      <c r="AI452" s="26" t="str">
        <f>IF(OR('Lighting Inventory'!AK460="", B452=""), "", 'Lighting Inventory'!AK460)</f>
        <v/>
      </c>
      <c r="AJ452" s="66" t="str">
        <f>IF(B452="", "", 'Lighting Inventory'!AL460)</f>
        <v/>
      </c>
      <c r="AK452" s="65" t="str">
        <f>IF(B452="", "", 'Lighting Inventory'!AM460)</f>
        <v/>
      </c>
      <c r="AL452" s="26" t="str">
        <f>IF(B452="", "", 'Lighting Inventory'!AN460)</f>
        <v/>
      </c>
      <c r="AM452" s="26" t="str">
        <f t="shared" si="24"/>
        <v/>
      </c>
      <c r="AN452" s="26" t="str">
        <f>IF(B452="","",IF('Lighting Inventory'!AV460="","Prescribed",'Lighting Inventory'!AV460))</f>
        <v/>
      </c>
      <c r="AO452" s="66" t="str">
        <f>IF(B452="", "", 'Lighting Inventory'!AX460)</f>
        <v/>
      </c>
      <c r="AP452" s="67" t="str">
        <f>IF(B452="", "", 'Lighting Inventory'!AZ460)</f>
        <v/>
      </c>
      <c r="AQ452" s="67" t="str">
        <f>IF(B452="", "", 'Lighting Inventory'!BA460)</f>
        <v/>
      </c>
      <c r="AR452" s="67" t="str">
        <f>IF(B452="", "", 'Lighting Inventory'!BB460)</f>
        <v/>
      </c>
      <c r="AS452" s="67" t="str">
        <f>IF(B452="", "", 'Lighting Inventory'!BC460)</f>
        <v/>
      </c>
      <c r="AT452" s="67" t="str">
        <f>IF(B452="", "", 'Lighting Inventory'!BD460)</f>
        <v/>
      </c>
      <c r="AU452" s="67" t="str">
        <f>IF(B452="", "", 'Lighting Inventory'!BE460)</f>
        <v/>
      </c>
      <c r="AV452" s="67" t="str">
        <f>IF(B452="", "", 'Lighting Inventory'!BE460)</f>
        <v/>
      </c>
      <c r="AW452" s="67" t="str">
        <f>IF(B452="", "", 'Lighting Inventory'!BF460)</f>
        <v/>
      </c>
      <c r="AX452" s="67" t="str">
        <f>IF(B452="", "", 'Lighting Inventory'!BF460)</f>
        <v/>
      </c>
      <c r="AY452" s="65" t="str">
        <f t="shared" si="25"/>
        <v/>
      </c>
      <c r="AZ452" s="65" t="str">
        <f>IF(B452="", "", 'Lighting Inventory'!BJ460)</f>
        <v/>
      </c>
      <c r="BA452" s="65" t="str">
        <f>IF(B452="", "", 'Lighting Inventory'!BM460)</f>
        <v/>
      </c>
      <c r="BB452" s="65" t="str">
        <f>IF(B452="","",SUM('Lighting Inventory'!BP460:BP460))</f>
        <v/>
      </c>
      <c r="BC452" s="67" t="str">
        <f>IF(OR(AE452="", B452=""),"", 'Lighting Inventory'!GR460)</f>
        <v/>
      </c>
      <c r="BD452" s="67" t="str">
        <f>IFERROR(IF(B452="", "", 'Lighting Inventory'!AF460)*AD452," ")</f>
        <v xml:space="preserve"> </v>
      </c>
      <c r="BE452" s="67"/>
      <c r="BF452" s="67"/>
    </row>
    <row r="453" spans="1:58" x14ac:dyDescent="0.25">
      <c r="A453" s="26" t="str">
        <f>IF(B453="", "", 'Lookup Tables'!AW454)</f>
        <v/>
      </c>
      <c r="B453" s="26" t="str">
        <f>IF(OR('Lighting Inventory'!Y461="", 'Lighting Inventory'!V461="No Change"),"", 'Lighting Inventory'!Y461)</f>
        <v/>
      </c>
      <c r="C453" s="26" t="str">
        <f>IF(B453="", "", IF('Lighting Inventory'!Y461='Lookup Tables'!$Y$32, 'Lighting Inventory'!AJ461, IF(AD453=0, R453, AD453)))</f>
        <v/>
      </c>
      <c r="D453" s="26" t="str">
        <f>IF(B453="", "", 'General Information'!$F$14)</f>
        <v/>
      </c>
      <c r="E453" s="26" t="str">
        <f t="shared" si="23"/>
        <v/>
      </c>
      <c r="F453" s="26" t="str">
        <f>IF(B453="", "", CONCATENATE('General Information'!$F$9, " - ", 'General Information'!$F$14))</f>
        <v/>
      </c>
      <c r="G453" s="26" t="str">
        <f>IF(B453="", "", 'General Information'!$F$15)</f>
        <v/>
      </c>
      <c r="H453" s="26" t="str">
        <f>IF(B453="", "", IF(VLOOKUP(B453, 'Lookup Tables'!$Y$18:$AA$34, 2, FALSE)="Traffic", VLOOKUP('Lighting Inventory'!W461, 'Lookup Tables'!#REF!, 11, FALSE), VLOOKUP(B453, 'Lookup Tables'!$Y$18:$AA$34, 2, FALSE)))</f>
        <v/>
      </c>
      <c r="I453" s="26" t="str">
        <f>IF(B453="", "", CONCATENATE(D453, 'Data Export'!A453))</f>
        <v/>
      </c>
      <c r="J453" s="26" t="str">
        <f>IF(B453="", "", 'Lookup Tables'!$B$1)</f>
        <v/>
      </c>
      <c r="K453" s="26" t="str">
        <f>IF(B453="", "", 'Lighting Inventory'!B461)</f>
        <v/>
      </c>
      <c r="L453" s="26" t="str">
        <f>IF(B453="", "", 'Lighting Inventory'!C461)</f>
        <v/>
      </c>
      <c r="M453" s="26" t="str">
        <f>IF(B453="", "",'Lighting Inventory'!D461)</f>
        <v/>
      </c>
      <c r="N453" s="26" t="str">
        <f>IF(B453="", "",'Lighting Inventory'!E461)</f>
        <v/>
      </c>
      <c r="O453" s="26" t="str">
        <f>IF(B453="", "", 'Lighting Inventory'!F461)</f>
        <v/>
      </c>
      <c r="P453" s="26" t="str">
        <f>IF(B453="", "", 'Lighting Inventory'!G461)</f>
        <v/>
      </c>
      <c r="Q453" s="26" t="str">
        <f>IF(B453="", "", 'Lighting Inventory'!H461)</f>
        <v/>
      </c>
      <c r="R453" s="26" t="str">
        <f>IF(B453="", "", 'Lighting Inventory'!I461)</f>
        <v/>
      </c>
      <c r="S453" s="26" t="str">
        <f>IF(B453="", "", 'Lighting Inventory'!J461)</f>
        <v/>
      </c>
      <c r="T453" s="26" t="str">
        <f>IFERROR(IF(B453="","",VLOOKUP(S453,'Fixture Identities'!$A$7:$G$1023,5,FALSE)), "New Construction")</f>
        <v/>
      </c>
      <c r="U453" s="26" t="str">
        <f>IFERROR(IF(B453="", "", IF(K453="New Construction", "NC", IF(VLOOKUP(S453, 'Fixture Identities'!$A$7:$I$1023,3, FALSE)="T12 Linear Fluorescent", VLOOKUP(S453, 'Fixture Identities'!$A$7:$K$1012, 11, FALSE), S453))), "")</f>
        <v/>
      </c>
      <c r="V453" s="26" t="str">
        <f>IFERROR(IF(OR(B453="", U453=0), "", VLOOKUP(U453, 'Fixture Identities'!$A$7:$G$1023, 5, FALSE)), "")</f>
        <v/>
      </c>
      <c r="W453" s="26" t="str">
        <f>IF(B453="", "",'Lighting Inventory'!K461)</f>
        <v/>
      </c>
      <c r="X453" s="65" t="str">
        <f>IF(B453="", "", 'Lighting Inventory'!L461)</f>
        <v/>
      </c>
      <c r="Y453" s="26" t="str">
        <f>IF(B453="", "", IF('Lighting Inventory'!M461="", "Light Switch",'Lighting Inventory'!M461))</f>
        <v/>
      </c>
      <c r="Z453" s="26" t="str">
        <f>IF(OR(K453="Retrofit", B453=""), "", 'Lighting Inventory'!N461)</f>
        <v/>
      </c>
      <c r="AA453" s="26" t="str">
        <f>IF(OR(Z453="",B453=""), "", 'Lighting Inventory'!O461)</f>
        <v/>
      </c>
      <c r="AB453" s="26" t="str">
        <f>IF(B453="", "", 'Lighting Inventory'!P461)</f>
        <v/>
      </c>
      <c r="AC453" s="96" t="str">
        <f>IF(B453="", "", 'Lighting Inventory'!R461)</f>
        <v/>
      </c>
      <c r="AD453" s="26" t="str">
        <f>IF(B453="", "", 'Lighting Inventory'!S461)</f>
        <v/>
      </c>
      <c r="AE453" s="26" t="str">
        <f>IF(B453="", "", 'Lighting Inventory'!V461)</f>
        <v/>
      </c>
      <c r="AF453" s="26" t="str">
        <f>IF(B453="", "", 'Lighting Inventory'!W461)</f>
        <v/>
      </c>
      <c r="AG453" s="26" t="str">
        <f>IF(OR(AF453="", B453=""), "", IF(AE453="Custom", "0", VLOOKUP(AF453, 'Lookup Tables'!$AI$6:$AP$102, 8, FALSE)))</f>
        <v/>
      </c>
      <c r="AH453" s="26" t="str">
        <f>IF(B453="", "", 'Lighting Inventory'!AD461)</f>
        <v/>
      </c>
      <c r="AI453" s="26" t="str">
        <f>IF(OR('Lighting Inventory'!AK461="", B453=""), "", 'Lighting Inventory'!AK461)</f>
        <v/>
      </c>
      <c r="AJ453" s="66" t="str">
        <f>IF(B453="", "", 'Lighting Inventory'!AL461)</f>
        <v/>
      </c>
      <c r="AK453" s="65" t="str">
        <f>IF(B453="", "", 'Lighting Inventory'!AM461)</f>
        <v/>
      </c>
      <c r="AL453" s="26" t="str">
        <f>IF(B453="", "", 'Lighting Inventory'!AN461)</f>
        <v/>
      </c>
      <c r="AM453" s="26" t="str">
        <f t="shared" si="24"/>
        <v/>
      </c>
      <c r="AN453" s="26" t="str">
        <f>IF(B453="","",IF('Lighting Inventory'!AV461="","Prescribed",'Lighting Inventory'!AV461))</f>
        <v/>
      </c>
      <c r="AO453" s="66" t="str">
        <f>IF(B453="", "", 'Lighting Inventory'!AX461)</f>
        <v/>
      </c>
      <c r="AP453" s="67" t="str">
        <f>IF(B453="", "", 'Lighting Inventory'!AZ461)</f>
        <v/>
      </c>
      <c r="AQ453" s="67" t="str">
        <f>IF(B453="", "", 'Lighting Inventory'!BA461)</f>
        <v/>
      </c>
      <c r="AR453" s="67" t="str">
        <f>IF(B453="", "", 'Lighting Inventory'!BB461)</f>
        <v/>
      </c>
      <c r="AS453" s="67" t="str">
        <f>IF(B453="", "", 'Lighting Inventory'!BC461)</f>
        <v/>
      </c>
      <c r="AT453" s="67" t="str">
        <f>IF(B453="", "", 'Lighting Inventory'!BD461)</f>
        <v/>
      </c>
      <c r="AU453" s="67" t="str">
        <f>IF(B453="", "", 'Lighting Inventory'!BE461)</f>
        <v/>
      </c>
      <c r="AV453" s="67" t="str">
        <f>IF(B453="", "", 'Lighting Inventory'!BE461)</f>
        <v/>
      </c>
      <c r="AW453" s="67" t="str">
        <f>IF(B453="", "", 'Lighting Inventory'!BF461)</f>
        <v/>
      </c>
      <c r="AX453" s="67" t="str">
        <f>IF(B453="", "", 'Lighting Inventory'!BF461)</f>
        <v/>
      </c>
      <c r="AY453" s="65" t="str">
        <f t="shared" si="25"/>
        <v/>
      </c>
      <c r="AZ453" s="65" t="str">
        <f>IF(B453="", "", 'Lighting Inventory'!BJ461)</f>
        <v/>
      </c>
      <c r="BA453" s="65" t="str">
        <f>IF(B453="", "", 'Lighting Inventory'!BM461)</f>
        <v/>
      </c>
      <c r="BB453" s="65" t="str">
        <f>IF(B453="","",SUM('Lighting Inventory'!BP461:BP461))</f>
        <v/>
      </c>
      <c r="BC453" s="67" t="str">
        <f>IF(OR(AE453="", B453=""),"", 'Lighting Inventory'!GR461)</f>
        <v/>
      </c>
      <c r="BD453" s="67" t="str">
        <f>IFERROR(IF(B453="", "", 'Lighting Inventory'!AF461)*AD453," ")</f>
        <v xml:space="preserve"> </v>
      </c>
      <c r="BE453" s="67"/>
      <c r="BF453" s="67"/>
    </row>
    <row r="454" spans="1:58" x14ac:dyDescent="0.25">
      <c r="A454" s="26" t="str">
        <f>IF(B454="", "", 'Lookup Tables'!AW455)</f>
        <v/>
      </c>
      <c r="B454" s="26" t="str">
        <f>IF(OR('Lighting Inventory'!Y462="", 'Lighting Inventory'!V462="No Change"),"", 'Lighting Inventory'!Y462)</f>
        <v/>
      </c>
      <c r="C454" s="26" t="str">
        <f>IF(B454="", "", IF('Lighting Inventory'!Y462='Lookup Tables'!$Y$32, 'Lighting Inventory'!AJ462, IF(AD454=0, R454, AD454)))</f>
        <v/>
      </c>
      <c r="D454" s="26" t="str">
        <f>IF(B454="", "", 'General Information'!$F$14)</f>
        <v/>
      </c>
      <c r="E454" s="26" t="str">
        <f t="shared" si="23"/>
        <v/>
      </c>
      <c r="F454" s="26" t="str">
        <f>IF(B454="", "", CONCATENATE('General Information'!$F$9, " - ", 'General Information'!$F$14))</f>
        <v/>
      </c>
      <c r="G454" s="26" t="str">
        <f>IF(B454="", "", 'General Information'!$F$15)</f>
        <v/>
      </c>
      <c r="H454" s="26" t="str">
        <f>IF(B454="", "", IF(VLOOKUP(B454, 'Lookup Tables'!$Y$18:$AA$34, 2, FALSE)="Traffic", VLOOKUP('Lighting Inventory'!W462, 'Lookup Tables'!#REF!, 11, FALSE), VLOOKUP(B454, 'Lookup Tables'!$Y$18:$AA$34, 2, FALSE)))</f>
        <v/>
      </c>
      <c r="I454" s="26" t="str">
        <f>IF(B454="", "", CONCATENATE(D454, 'Data Export'!A454))</f>
        <v/>
      </c>
      <c r="J454" s="26" t="str">
        <f>IF(B454="", "", 'Lookup Tables'!$B$1)</f>
        <v/>
      </c>
      <c r="K454" s="26" t="str">
        <f>IF(B454="", "", 'Lighting Inventory'!B462)</f>
        <v/>
      </c>
      <c r="L454" s="26" t="str">
        <f>IF(B454="", "", 'Lighting Inventory'!C462)</f>
        <v/>
      </c>
      <c r="M454" s="26" t="str">
        <f>IF(B454="", "",'Lighting Inventory'!D462)</f>
        <v/>
      </c>
      <c r="N454" s="26" t="str">
        <f>IF(B454="", "",'Lighting Inventory'!E462)</f>
        <v/>
      </c>
      <c r="O454" s="26" t="str">
        <f>IF(B454="", "", 'Lighting Inventory'!F462)</f>
        <v/>
      </c>
      <c r="P454" s="26" t="str">
        <f>IF(B454="", "", 'Lighting Inventory'!G462)</f>
        <v/>
      </c>
      <c r="Q454" s="26" t="str">
        <f>IF(B454="", "", 'Lighting Inventory'!H462)</f>
        <v/>
      </c>
      <c r="R454" s="26" t="str">
        <f>IF(B454="", "", 'Lighting Inventory'!I462)</f>
        <v/>
      </c>
      <c r="S454" s="26" t="str">
        <f>IF(B454="", "", 'Lighting Inventory'!J462)</f>
        <v/>
      </c>
      <c r="T454" s="26" t="str">
        <f>IFERROR(IF(B454="","",VLOOKUP(S454,'Fixture Identities'!$A$7:$G$1023,5,FALSE)), "New Construction")</f>
        <v/>
      </c>
      <c r="U454" s="26" t="str">
        <f>IFERROR(IF(B454="", "", IF(K454="New Construction", "NC", IF(VLOOKUP(S454, 'Fixture Identities'!$A$7:$I$1023,3, FALSE)="T12 Linear Fluorescent", VLOOKUP(S454, 'Fixture Identities'!$A$7:$K$1012, 11, FALSE), S454))), "")</f>
        <v/>
      </c>
      <c r="V454" s="26" t="str">
        <f>IFERROR(IF(OR(B454="", U454=0), "", VLOOKUP(U454, 'Fixture Identities'!$A$7:$G$1023, 5, FALSE)), "")</f>
        <v/>
      </c>
      <c r="W454" s="26" t="str">
        <f>IF(B454="", "",'Lighting Inventory'!K462)</f>
        <v/>
      </c>
      <c r="X454" s="65" t="str">
        <f>IF(B454="", "", 'Lighting Inventory'!L462)</f>
        <v/>
      </c>
      <c r="Y454" s="26" t="str">
        <f>IF(B454="", "", IF('Lighting Inventory'!M462="", "Light Switch",'Lighting Inventory'!M462))</f>
        <v/>
      </c>
      <c r="Z454" s="26" t="str">
        <f>IF(OR(K454="Retrofit", B454=""), "", 'Lighting Inventory'!N462)</f>
        <v/>
      </c>
      <c r="AA454" s="26" t="str">
        <f>IF(OR(Z454="",B454=""), "", 'Lighting Inventory'!O462)</f>
        <v/>
      </c>
      <c r="AB454" s="26" t="str">
        <f>IF(B454="", "", 'Lighting Inventory'!P462)</f>
        <v/>
      </c>
      <c r="AC454" s="96" t="str">
        <f>IF(B454="", "", 'Lighting Inventory'!R462)</f>
        <v/>
      </c>
      <c r="AD454" s="26" t="str">
        <f>IF(B454="", "", 'Lighting Inventory'!S462)</f>
        <v/>
      </c>
      <c r="AE454" s="26" t="str">
        <f>IF(B454="", "", 'Lighting Inventory'!V462)</f>
        <v/>
      </c>
      <c r="AF454" s="26" t="str">
        <f>IF(B454="", "", 'Lighting Inventory'!W462)</f>
        <v/>
      </c>
      <c r="AG454" s="26" t="str">
        <f>IF(OR(AF454="", B454=""), "", IF(AE454="Custom", "0", VLOOKUP(AF454, 'Lookup Tables'!$AI$6:$AP$102, 8, FALSE)))</f>
        <v/>
      </c>
      <c r="AH454" s="26" t="str">
        <f>IF(B454="", "", 'Lighting Inventory'!AD462)</f>
        <v/>
      </c>
      <c r="AI454" s="26" t="str">
        <f>IF(OR('Lighting Inventory'!AK462="", B454=""), "", 'Lighting Inventory'!AK462)</f>
        <v/>
      </c>
      <c r="AJ454" s="66" t="str">
        <f>IF(B454="", "", 'Lighting Inventory'!AL462)</f>
        <v/>
      </c>
      <c r="AK454" s="65" t="str">
        <f>IF(B454="", "", 'Lighting Inventory'!AM462)</f>
        <v/>
      </c>
      <c r="AL454" s="26" t="str">
        <f>IF(B454="", "", 'Lighting Inventory'!AN462)</f>
        <v/>
      </c>
      <c r="AM454" s="26" t="str">
        <f t="shared" si="24"/>
        <v/>
      </c>
      <c r="AN454" s="26" t="str">
        <f>IF(B454="","",IF('Lighting Inventory'!AV462="","Prescribed",'Lighting Inventory'!AV462))</f>
        <v/>
      </c>
      <c r="AO454" s="66" t="str">
        <f>IF(B454="", "", 'Lighting Inventory'!AX462)</f>
        <v/>
      </c>
      <c r="AP454" s="67" t="str">
        <f>IF(B454="", "", 'Lighting Inventory'!AZ462)</f>
        <v/>
      </c>
      <c r="AQ454" s="67" t="str">
        <f>IF(B454="", "", 'Lighting Inventory'!BA462)</f>
        <v/>
      </c>
      <c r="AR454" s="67" t="str">
        <f>IF(B454="", "", 'Lighting Inventory'!BB462)</f>
        <v/>
      </c>
      <c r="AS454" s="67" t="str">
        <f>IF(B454="", "", 'Lighting Inventory'!BC462)</f>
        <v/>
      </c>
      <c r="AT454" s="67" t="str">
        <f>IF(B454="", "", 'Lighting Inventory'!BD462)</f>
        <v/>
      </c>
      <c r="AU454" s="67" t="str">
        <f>IF(B454="", "", 'Lighting Inventory'!BE462)</f>
        <v/>
      </c>
      <c r="AV454" s="67" t="str">
        <f>IF(B454="", "", 'Lighting Inventory'!BE462)</f>
        <v/>
      </c>
      <c r="AW454" s="67" t="str">
        <f>IF(B454="", "", 'Lighting Inventory'!BF462)</f>
        <v/>
      </c>
      <c r="AX454" s="67" t="str">
        <f>IF(B454="", "", 'Lighting Inventory'!BF462)</f>
        <v/>
      </c>
      <c r="AY454" s="65" t="str">
        <f t="shared" si="25"/>
        <v/>
      </c>
      <c r="AZ454" s="65" t="str">
        <f>IF(B454="", "", 'Lighting Inventory'!BJ462)</f>
        <v/>
      </c>
      <c r="BA454" s="65" t="str">
        <f>IF(B454="", "", 'Lighting Inventory'!BM462)</f>
        <v/>
      </c>
      <c r="BB454" s="65" t="str">
        <f>IF(B454="","",SUM('Lighting Inventory'!BP462:BP462))</f>
        <v/>
      </c>
      <c r="BC454" s="67" t="str">
        <f>IF(OR(AE454="", B454=""),"", 'Lighting Inventory'!GR462)</f>
        <v/>
      </c>
      <c r="BD454" s="67" t="str">
        <f>IFERROR(IF(B454="", "", 'Lighting Inventory'!AF462)*AD454," ")</f>
        <v xml:space="preserve"> </v>
      </c>
      <c r="BE454" s="67"/>
      <c r="BF454" s="67"/>
    </row>
    <row r="455" spans="1:58" x14ac:dyDescent="0.25">
      <c r="A455" s="26" t="str">
        <f>IF(B455="", "", 'Lookup Tables'!AW456)</f>
        <v/>
      </c>
      <c r="B455" s="26" t="str">
        <f>IF(OR('Lighting Inventory'!Y463="", 'Lighting Inventory'!V463="No Change"),"", 'Lighting Inventory'!Y463)</f>
        <v/>
      </c>
      <c r="C455" s="26" t="str">
        <f>IF(B455="", "", IF('Lighting Inventory'!Y463='Lookup Tables'!$Y$32, 'Lighting Inventory'!AJ463, IF(AD455=0, R455, AD455)))</f>
        <v/>
      </c>
      <c r="D455" s="26" t="str">
        <f>IF(B455="", "", 'General Information'!$F$14)</f>
        <v/>
      </c>
      <c r="E455" s="26" t="str">
        <f t="shared" si="23"/>
        <v/>
      </c>
      <c r="F455" s="26" t="str">
        <f>IF(B455="", "", CONCATENATE('General Information'!$F$9, " - ", 'General Information'!$F$14))</f>
        <v/>
      </c>
      <c r="G455" s="26" t="str">
        <f>IF(B455="", "", 'General Information'!$F$15)</f>
        <v/>
      </c>
      <c r="H455" s="26" t="str">
        <f>IF(B455="", "", IF(VLOOKUP(B455, 'Lookup Tables'!$Y$18:$AA$34, 2, FALSE)="Traffic", VLOOKUP('Lighting Inventory'!W463, 'Lookup Tables'!#REF!, 11, FALSE), VLOOKUP(B455, 'Lookup Tables'!$Y$18:$AA$34, 2, FALSE)))</f>
        <v/>
      </c>
      <c r="I455" s="26" t="str">
        <f>IF(B455="", "", CONCATENATE(D455, 'Data Export'!A455))</f>
        <v/>
      </c>
      <c r="J455" s="26" t="str">
        <f>IF(B455="", "", 'Lookup Tables'!$B$1)</f>
        <v/>
      </c>
      <c r="K455" s="26" t="str">
        <f>IF(B455="", "", 'Lighting Inventory'!B463)</f>
        <v/>
      </c>
      <c r="L455" s="26" t="str">
        <f>IF(B455="", "", 'Lighting Inventory'!C463)</f>
        <v/>
      </c>
      <c r="M455" s="26" t="str">
        <f>IF(B455="", "",'Lighting Inventory'!D463)</f>
        <v/>
      </c>
      <c r="N455" s="26" t="str">
        <f>IF(B455="", "",'Lighting Inventory'!E463)</f>
        <v/>
      </c>
      <c r="O455" s="26" t="str">
        <f>IF(B455="", "", 'Lighting Inventory'!F463)</f>
        <v/>
      </c>
      <c r="P455" s="26" t="str">
        <f>IF(B455="", "", 'Lighting Inventory'!G463)</f>
        <v/>
      </c>
      <c r="Q455" s="26" t="str">
        <f>IF(B455="", "", 'Lighting Inventory'!H463)</f>
        <v/>
      </c>
      <c r="R455" s="26" t="str">
        <f>IF(B455="", "", 'Lighting Inventory'!I463)</f>
        <v/>
      </c>
      <c r="S455" s="26" t="str">
        <f>IF(B455="", "", 'Lighting Inventory'!J463)</f>
        <v/>
      </c>
      <c r="T455" s="26" t="str">
        <f>IFERROR(IF(B455="","",VLOOKUP(S455,'Fixture Identities'!$A$7:$G$1023,5,FALSE)), "New Construction")</f>
        <v/>
      </c>
      <c r="U455" s="26" t="str">
        <f>IFERROR(IF(B455="", "", IF(K455="New Construction", "NC", IF(VLOOKUP(S455, 'Fixture Identities'!$A$7:$I$1023,3, FALSE)="T12 Linear Fluorescent", VLOOKUP(S455, 'Fixture Identities'!$A$7:$K$1012, 11, FALSE), S455))), "")</f>
        <v/>
      </c>
      <c r="V455" s="26" t="str">
        <f>IFERROR(IF(OR(B455="", U455=0), "", VLOOKUP(U455, 'Fixture Identities'!$A$7:$G$1023, 5, FALSE)), "")</f>
        <v/>
      </c>
      <c r="W455" s="26" t="str">
        <f>IF(B455="", "",'Lighting Inventory'!K463)</f>
        <v/>
      </c>
      <c r="X455" s="65" t="str">
        <f>IF(B455="", "", 'Lighting Inventory'!L463)</f>
        <v/>
      </c>
      <c r="Y455" s="26" t="str">
        <f>IF(B455="", "", IF('Lighting Inventory'!M463="", "Light Switch",'Lighting Inventory'!M463))</f>
        <v/>
      </c>
      <c r="Z455" s="26" t="str">
        <f>IF(OR(K455="Retrofit", B455=""), "", 'Lighting Inventory'!N463)</f>
        <v/>
      </c>
      <c r="AA455" s="26" t="str">
        <f>IF(OR(Z455="",B455=""), "", 'Lighting Inventory'!O463)</f>
        <v/>
      </c>
      <c r="AB455" s="26" t="str">
        <f>IF(B455="", "", 'Lighting Inventory'!P463)</f>
        <v/>
      </c>
      <c r="AC455" s="96" t="str">
        <f>IF(B455="", "", 'Lighting Inventory'!R463)</f>
        <v/>
      </c>
      <c r="AD455" s="26" t="str">
        <f>IF(B455="", "", 'Lighting Inventory'!S463)</f>
        <v/>
      </c>
      <c r="AE455" s="26" t="str">
        <f>IF(B455="", "", 'Lighting Inventory'!V463)</f>
        <v/>
      </c>
      <c r="AF455" s="26" t="str">
        <f>IF(B455="", "", 'Lighting Inventory'!W463)</f>
        <v/>
      </c>
      <c r="AG455" s="26" t="str">
        <f>IF(OR(AF455="", B455=""), "", IF(AE455="Custom", "0", VLOOKUP(AF455, 'Lookup Tables'!$AI$6:$AP$102, 8, FALSE)))</f>
        <v/>
      </c>
      <c r="AH455" s="26" t="str">
        <f>IF(B455="", "", 'Lighting Inventory'!AD463)</f>
        <v/>
      </c>
      <c r="AI455" s="26" t="str">
        <f>IF(OR('Lighting Inventory'!AK463="", B455=""), "", 'Lighting Inventory'!AK463)</f>
        <v/>
      </c>
      <c r="AJ455" s="66" t="str">
        <f>IF(B455="", "", 'Lighting Inventory'!AL463)</f>
        <v/>
      </c>
      <c r="AK455" s="65" t="str">
        <f>IF(B455="", "", 'Lighting Inventory'!AM463)</f>
        <v/>
      </c>
      <c r="AL455" s="26" t="str">
        <f>IF(B455="", "", 'Lighting Inventory'!AN463)</f>
        <v/>
      </c>
      <c r="AM455" s="26" t="str">
        <f t="shared" si="24"/>
        <v/>
      </c>
      <c r="AN455" s="26" t="str">
        <f>IF(B455="","",IF('Lighting Inventory'!AV463="","Prescribed",'Lighting Inventory'!AV463))</f>
        <v/>
      </c>
      <c r="AO455" s="66" t="str">
        <f>IF(B455="", "", 'Lighting Inventory'!AX463)</f>
        <v/>
      </c>
      <c r="AP455" s="67" t="str">
        <f>IF(B455="", "", 'Lighting Inventory'!AZ463)</f>
        <v/>
      </c>
      <c r="AQ455" s="67" t="str">
        <f>IF(B455="", "", 'Lighting Inventory'!BA463)</f>
        <v/>
      </c>
      <c r="AR455" s="67" t="str">
        <f>IF(B455="", "", 'Lighting Inventory'!BB463)</f>
        <v/>
      </c>
      <c r="AS455" s="67" t="str">
        <f>IF(B455="", "", 'Lighting Inventory'!BC463)</f>
        <v/>
      </c>
      <c r="AT455" s="67" t="str">
        <f>IF(B455="", "", 'Lighting Inventory'!BD463)</f>
        <v/>
      </c>
      <c r="AU455" s="67" t="str">
        <f>IF(B455="", "", 'Lighting Inventory'!BE463)</f>
        <v/>
      </c>
      <c r="AV455" s="67" t="str">
        <f>IF(B455="", "", 'Lighting Inventory'!BE463)</f>
        <v/>
      </c>
      <c r="AW455" s="67" t="str">
        <f>IF(B455="", "", 'Lighting Inventory'!BF463)</f>
        <v/>
      </c>
      <c r="AX455" s="67" t="str">
        <f>IF(B455="", "", 'Lighting Inventory'!BF463)</f>
        <v/>
      </c>
      <c r="AY455" s="65" t="str">
        <f t="shared" si="25"/>
        <v/>
      </c>
      <c r="AZ455" s="65" t="str">
        <f>IF(B455="", "", 'Lighting Inventory'!BJ463)</f>
        <v/>
      </c>
      <c r="BA455" s="65" t="str">
        <f>IF(B455="", "", 'Lighting Inventory'!BM463)</f>
        <v/>
      </c>
      <c r="BB455" s="65" t="str">
        <f>IF(B455="","",SUM('Lighting Inventory'!BP463:BP463))</f>
        <v/>
      </c>
      <c r="BC455" s="67" t="str">
        <f>IF(OR(AE455="", B455=""),"", 'Lighting Inventory'!GR463)</f>
        <v/>
      </c>
      <c r="BD455" s="67" t="str">
        <f>IFERROR(IF(B455="", "", 'Lighting Inventory'!AF463)*AD455," ")</f>
        <v xml:space="preserve"> </v>
      </c>
      <c r="BE455" s="67"/>
      <c r="BF455" s="67"/>
    </row>
    <row r="456" spans="1:58" x14ac:dyDescent="0.25">
      <c r="A456" s="26" t="str">
        <f>IF(B456="", "", 'Lookup Tables'!AW457)</f>
        <v/>
      </c>
      <c r="B456" s="26" t="str">
        <f>IF(OR('Lighting Inventory'!Y464="", 'Lighting Inventory'!V464="No Change"),"", 'Lighting Inventory'!Y464)</f>
        <v/>
      </c>
      <c r="C456" s="26" t="str">
        <f>IF(B456="", "", IF('Lighting Inventory'!Y464='Lookup Tables'!$Y$32, 'Lighting Inventory'!AJ464, IF(AD456=0, R456, AD456)))</f>
        <v/>
      </c>
      <c r="D456" s="26" t="str">
        <f>IF(B456="", "", 'General Information'!$F$14)</f>
        <v/>
      </c>
      <c r="E456" s="26" t="str">
        <f t="shared" si="23"/>
        <v/>
      </c>
      <c r="F456" s="26" t="str">
        <f>IF(B456="", "", CONCATENATE('General Information'!$F$9, " - ", 'General Information'!$F$14))</f>
        <v/>
      </c>
      <c r="G456" s="26" t="str">
        <f>IF(B456="", "", 'General Information'!$F$15)</f>
        <v/>
      </c>
      <c r="H456" s="26" t="str">
        <f>IF(B456="", "", IF(VLOOKUP(B456, 'Lookup Tables'!$Y$18:$AA$34, 2, FALSE)="Traffic", VLOOKUP('Lighting Inventory'!W464, 'Lookup Tables'!#REF!, 11, FALSE), VLOOKUP(B456, 'Lookup Tables'!$Y$18:$AA$34, 2, FALSE)))</f>
        <v/>
      </c>
      <c r="I456" s="26" t="str">
        <f>IF(B456="", "", CONCATENATE(D456, 'Data Export'!A456))</f>
        <v/>
      </c>
      <c r="J456" s="26" t="str">
        <f>IF(B456="", "", 'Lookup Tables'!$B$1)</f>
        <v/>
      </c>
      <c r="K456" s="26" t="str">
        <f>IF(B456="", "", 'Lighting Inventory'!B464)</f>
        <v/>
      </c>
      <c r="L456" s="26" t="str">
        <f>IF(B456="", "", 'Lighting Inventory'!C464)</f>
        <v/>
      </c>
      <c r="M456" s="26" t="str">
        <f>IF(B456="", "",'Lighting Inventory'!D464)</f>
        <v/>
      </c>
      <c r="N456" s="26" t="str">
        <f>IF(B456="", "",'Lighting Inventory'!E464)</f>
        <v/>
      </c>
      <c r="O456" s="26" t="str">
        <f>IF(B456="", "", 'Lighting Inventory'!F464)</f>
        <v/>
      </c>
      <c r="P456" s="26" t="str">
        <f>IF(B456="", "", 'Lighting Inventory'!G464)</f>
        <v/>
      </c>
      <c r="Q456" s="26" t="str">
        <f>IF(B456="", "", 'Lighting Inventory'!H464)</f>
        <v/>
      </c>
      <c r="R456" s="26" t="str">
        <f>IF(B456="", "", 'Lighting Inventory'!I464)</f>
        <v/>
      </c>
      <c r="S456" s="26" t="str">
        <f>IF(B456="", "", 'Lighting Inventory'!J464)</f>
        <v/>
      </c>
      <c r="T456" s="26" t="str">
        <f>IFERROR(IF(B456="","",VLOOKUP(S456,'Fixture Identities'!$A$7:$G$1023,5,FALSE)), "New Construction")</f>
        <v/>
      </c>
      <c r="U456" s="26" t="str">
        <f>IFERROR(IF(B456="", "", IF(K456="New Construction", "NC", IF(VLOOKUP(S456, 'Fixture Identities'!$A$7:$I$1023,3, FALSE)="T12 Linear Fluorescent", VLOOKUP(S456, 'Fixture Identities'!$A$7:$K$1012, 11, FALSE), S456))), "")</f>
        <v/>
      </c>
      <c r="V456" s="26" t="str">
        <f>IFERROR(IF(OR(B456="", U456=0), "", VLOOKUP(U456, 'Fixture Identities'!$A$7:$G$1023, 5, FALSE)), "")</f>
        <v/>
      </c>
      <c r="W456" s="26" t="str">
        <f>IF(B456="", "",'Lighting Inventory'!K464)</f>
        <v/>
      </c>
      <c r="X456" s="65" t="str">
        <f>IF(B456="", "", 'Lighting Inventory'!L464)</f>
        <v/>
      </c>
      <c r="Y456" s="26" t="str">
        <f>IF(B456="", "", IF('Lighting Inventory'!M464="", "Light Switch",'Lighting Inventory'!M464))</f>
        <v/>
      </c>
      <c r="Z456" s="26" t="str">
        <f>IF(OR(K456="Retrofit", B456=""), "", 'Lighting Inventory'!N464)</f>
        <v/>
      </c>
      <c r="AA456" s="26" t="str">
        <f>IF(OR(Z456="",B456=""), "", 'Lighting Inventory'!O464)</f>
        <v/>
      </c>
      <c r="AB456" s="26" t="str">
        <f>IF(B456="", "", 'Lighting Inventory'!P464)</f>
        <v/>
      </c>
      <c r="AC456" s="96" t="str">
        <f>IF(B456="", "", 'Lighting Inventory'!R464)</f>
        <v/>
      </c>
      <c r="AD456" s="26" t="str">
        <f>IF(B456="", "", 'Lighting Inventory'!S464)</f>
        <v/>
      </c>
      <c r="AE456" s="26" t="str">
        <f>IF(B456="", "", 'Lighting Inventory'!V464)</f>
        <v/>
      </c>
      <c r="AF456" s="26" t="str">
        <f>IF(B456="", "", 'Lighting Inventory'!W464)</f>
        <v/>
      </c>
      <c r="AG456" s="26" t="str">
        <f>IF(OR(AF456="", B456=""), "", IF(AE456="Custom", "0", VLOOKUP(AF456, 'Lookup Tables'!$AI$6:$AP$102, 8, FALSE)))</f>
        <v/>
      </c>
      <c r="AH456" s="26" t="str">
        <f>IF(B456="", "", 'Lighting Inventory'!AD464)</f>
        <v/>
      </c>
      <c r="AI456" s="26" t="str">
        <f>IF(OR('Lighting Inventory'!AK464="", B456=""), "", 'Lighting Inventory'!AK464)</f>
        <v/>
      </c>
      <c r="AJ456" s="66" t="str">
        <f>IF(B456="", "", 'Lighting Inventory'!AL464)</f>
        <v/>
      </c>
      <c r="AK456" s="65" t="str">
        <f>IF(B456="", "", 'Lighting Inventory'!AM464)</f>
        <v/>
      </c>
      <c r="AL456" s="26" t="str">
        <f>IF(B456="", "", 'Lighting Inventory'!AN464)</f>
        <v/>
      </c>
      <c r="AM456" s="26" t="str">
        <f t="shared" si="24"/>
        <v/>
      </c>
      <c r="AN456" s="26" t="str">
        <f>IF(B456="","",IF('Lighting Inventory'!AV464="","Prescribed",'Lighting Inventory'!AV464))</f>
        <v/>
      </c>
      <c r="AO456" s="66" t="str">
        <f>IF(B456="", "", 'Lighting Inventory'!AX464)</f>
        <v/>
      </c>
      <c r="AP456" s="67" t="str">
        <f>IF(B456="", "", 'Lighting Inventory'!AZ464)</f>
        <v/>
      </c>
      <c r="AQ456" s="67" t="str">
        <f>IF(B456="", "", 'Lighting Inventory'!BA464)</f>
        <v/>
      </c>
      <c r="AR456" s="67" t="str">
        <f>IF(B456="", "", 'Lighting Inventory'!BB464)</f>
        <v/>
      </c>
      <c r="AS456" s="67" t="str">
        <f>IF(B456="", "", 'Lighting Inventory'!BC464)</f>
        <v/>
      </c>
      <c r="AT456" s="67" t="str">
        <f>IF(B456="", "", 'Lighting Inventory'!BD464)</f>
        <v/>
      </c>
      <c r="AU456" s="67" t="str">
        <f>IF(B456="", "", 'Lighting Inventory'!BE464)</f>
        <v/>
      </c>
      <c r="AV456" s="67" t="str">
        <f>IF(B456="", "", 'Lighting Inventory'!BE464)</f>
        <v/>
      </c>
      <c r="AW456" s="67" t="str">
        <f>IF(B456="", "", 'Lighting Inventory'!BF464)</f>
        <v/>
      </c>
      <c r="AX456" s="67" t="str">
        <f>IF(B456="", "", 'Lighting Inventory'!BF464)</f>
        <v/>
      </c>
      <c r="AY456" s="65" t="str">
        <f t="shared" si="25"/>
        <v/>
      </c>
      <c r="AZ456" s="65" t="str">
        <f>IF(B456="", "", 'Lighting Inventory'!BJ464)</f>
        <v/>
      </c>
      <c r="BA456" s="65" t="str">
        <f>IF(B456="", "", 'Lighting Inventory'!BM464)</f>
        <v/>
      </c>
      <c r="BB456" s="65" t="str">
        <f>IF(B456="","",SUM('Lighting Inventory'!BP464:BP464))</f>
        <v/>
      </c>
      <c r="BC456" s="67" t="str">
        <f>IF(OR(AE456="", B456=""),"", 'Lighting Inventory'!GR464)</f>
        <v/>
      </c>
      <c r="BD456" s="67" t="str">
        <f>IFERROR(IF(B456="", "", 'Lighting Inventory'!AF464)*AD456," ")</f>
        <v xml:space="preserve"> </v>
      </c>
      <c r="BE456" s="67"/>
      <c r="BF456" s="67"/>
    </row>
    <row r="457" spans="1:58" x14ac:dyDescent="0.25">
      <c r="A457" s="26" t="str">
        <f>IF(B457="", "", 'Lookup Tables'!AW458)</f>
        <v/>
      </c>
      <c r="B457" s="26" t="str">
        <f>IF(OR('Lighting Inventory'!Y465="", 'Lighting Inventory'!V465="No Change"),"", 'Lighting Inventory'!Y465)</f>
        <v/>
      </c>
      <c r="C457" s="26" t="str">
        <f>IF(B457="", "", IF('Lighting Inventory'!Y465='Lookup Tables'!$Y$32, 'Lighting Inventory'!AJ465, IF(AD457=0, R457, AD457)))</f>
        <v/>
      </c>
      <c r="D457" s="26" t="str">
        <f>IF(B457="", "", 'General Information'!$F$14)</f>
        <v/>
      </c>
      <c r="E457" s="26" t="str">
        <f t="shared" si="23"/>
        <v/>
      </c>
      <c r="F457" s="26" t="str">
        <f>IF(B457="", "", CONCATENATE('General Information'!$F$9, " - ", 'General Information'!$F$14))</f>
        <v/>
      </c>
      <c r="G457" s="26" t="str">
        <f>IF(B457="", "", 'General Information'!$F$15)</f>
        <v/>
      </c>
      <c r="H457" s="26" t="str">
        <f>IF(B457="", "", IF(VLOOKUP(B457, 'Lookup Tables'!$Y$18:$AA$34, 2, FALSE)="Traffic", VLOOKUP('Lighting Inventory'!W465, 'Lookup Tables'!#REF!, 11, FALSE), VLOOKUP(B457, 'Lookup Tables'!$Y$18:$AA$34, 2, FALSE)))</f>
        <v/>
      </c>
      <c r="I457" s="26" t="str">
        <f>IF(B457="", "", CONCATENATE(D457, 'Data Export'!A457))</f>
        <v/>
      </c>
      <c r="J457" s="26" t="str">
        <f>IF(B457="", "", 'Lookup Tables'!$B$1)</f>
        <v/>
      </c>
      <c r="K457" s="26" t="str">
        <f>IF(B457="", "", 'Lighting Inventory'!B465)</f>
        <v/>
      </c>
      <c r="L457" s="26" t="str">
        <f>IF(B457="", "", 'Lighting Inventory'!C465)</f>
        <v/>
      </c>
      <c r="M457" s="26" t="str">
        <f>IF(B457="", "",'Lighting Inventory'!D465)</f>
        <v/>
      </c>
      <c r="N457" s="26" t="str">
        <f>IF(B457="", "",'Lighting Inventory'!E465)</f>
        <v/>
      </c>
      <c r="O457" s="26" t="str">
        <f>IF(B457="", "", 'Lighting Inventory'!F465)</f>
        <v/>
      </c>
      <c r="P457" s="26" t="str">
        <f>IF(B457="", "", 'Lighting Inventory'!G465)</f>
        <v/>
      </c>
      <c r="Q457" s="26" t="str">
        <f>IF(B457="", "", 'Lighting Inventory'!H465)</f>
        <v/>
      </c>
      <c r="R457" s="26" t="str">
        <f>IF(B457="", "", 'Lighting Inventory'!I465)</f>
        <v/>
      </c>
      <c r="S457" s="26" t="str">
        <f>IF(B457="", "", 'Lighting Inventory'!J465)</f>
        <v/>
      </c>
      <c r="T457" s="26" t="str">
        <f>IFERROR(IF(B457="","",VLOOKUP(S457,'Fixture Identities'!$A$7:$G$1023,5,FALSE)), "New Construction")</f>
        <v/>
      </c>
      <c r="U457" s="26" t="str">
        <f>IFERROR(IF(B457="", "", IF(K457="New Construction", "NC", IF(VLOOKUP(S457, 'Fixture Identities'!$A$7:$I$1023,3, FALSE)="T12 Linear Fluorescent", VLOOKUP(S457, 'Fixture Identities'!$A$7:$K$1012, 11, FALSE), S457))), "")</f>
        <v/>
      </c>
      <c r="V457" s="26" t="str">
        <f>IFERROR(IF(OR(B457="", U457=0), "", VLOOKUP(U457, 'Fixture Identities'!$A$7:$G$1023, 5, FALSE)), "")</f>
        <v/>
      </c>
      <c r="W457" s="26" t="str">
        <f>IF(B457="", "",'Lighting Inventory'!K465)</f>
        <v/>
      </c>
      <c r="X457" s="65" t="str">
        <f>IF(B457="", "", 'Lighting Inventory'!L465)</f>
        <v/>
      </c>
      <c r="Y457" s="26" t="str">
        <f>IF(B457="", "", IF('Lighting Inventory'!M465="", "Light Switch",'Lighting Inventory'!M465))</f>
        <v/>
      </c>
      <c r="Z457" s="26" t="str">
        <f>IF(OR(K457="Retrofit", B457=""), "", 'Lighting Inventory'!N465)</f>
        <v/>
      </c>
      <c r="AA457" s="26" t="str">
        <f>IF(OR(Z457="",B457=""), "", 'Lighting Inventory'!O465)</f>
        <v/>
      </c>
      <c r="AB457" s="26" t="str">
        <f>IF(B457="", "", 'Lighting Inventory'!P465)</f>
        <v/>
      </c>
      <c r="AC457" s="96" t="str">
        <f>IF(B457="", "", 'Lighting Inventory'!R465)</f>
        <v/>
      </c>
      <c r="AD457" s="26" t="str">
        <f>IF(B457="", "", 'Lighting Inventory'!S465)</f>
        <v/>
      </c>
      <c r="AE457" s="26" t="str">
        <f>IF(B457="", "", 'Lighting Inventory'!V465)</f>
        <v/>
      </c>
      <c r="AF457" s="26" t="str">
        <f>IF(B457="", "", 'Lighting Inventory'!W465)</f>
        <v/>
      </c>
      <c r="AG457" s="26" t="str">
        <f>IF(OR(AF457="", B457=""), "", IF(AE457="Custom", "0", VLOOKUP(AF457, 'Lookup Tables'!$AI$6:$AP$102, 8, FALSE)))</f>
        <v/>
      </c>
      <c r="AH457" s="26" t="str">
        <f>IF(B457="", "", 'Lighting Inventory'!AD465)</f>
        <v/>
      </c>
      <c r="AI457" s="26" t="str">
        <f>IF(OR('Lighting Inventory'!AK465="", B457=""), "", 'Lighting Inventory'!AK465)</f>
        <v/>
      </c>
      <c r="AJ457" s="66" t="str">
        <f>IF(B457="", "", 'Lighting Inventory'!AL465)</f>
        <v/>
      </c>
      <c r="AK457" s="65" t="str">
        <f>IF(B457="", "", 'Lighting Inventory'!AM465)</f>
        <v/>
      </c>
      <c r="AL457" s="26" t="str">
        <f>IF(B457="", "", 'Lighting Inventory'!AN465)</f>
        <v/>
      </c>
      <c r="AM457" s="26" t="str">
        <f t="shared" si="24"/>
        <v/>
      </c>
      <c r="AN457" s="26" t="str">
        <f>IF(B457="","",IF('Lighting Inventory'!AV465="","Prescribed",'Lighting Inventory'!AV465))</f>
        <v/>
      </c>
      <c r="AO457" s="66" t="str">
        <f>IF(B457="", "", 'Lighting Inventory'!AX465)</f>
        <v/>
      </c>
      <c r="AP457" s="67" t="str">
        <f>IF(B457="", "", 'Lighting Inventory'!AZ465)</f>
        <v/>
      </c>
      <c r="AQ457" s="67" t="str">
        <f>IF(B457="", "", 'Lighting Inventory'!BA465)</f>
        <v/>
      </c>
      <c r="AR457" s="67" t="str">
        <f>IF(B457="", "", 'Lighting Inventory'!BB465)</f>
        <v/>
      </c>
      <c r="AS457" s="67" t="str">
        <f>IF(B457="", "", 'Lighting Inventory'!BC465)</f>
        <v/>
      </c>
      <c r="AT457" s="67" t="str">
        <f>IF(B457="", "", 'Lighting Inventory'!BD465)</f>
        <v/>
      </c>
      <c r="AU457" s="67" t="str">
        <f>IF(B457="", "", 'Lighting Inventory'!BE465)</f>
        <v/>
      </c>
      <c r="AV457" s="67" t="str">
        <f>IF(B457="", "", 'Lighting Inventory'!BE465)</f>
        <v/>
      </c>
      <c r="AW457" s="67" t="str">
        <f>IF(B457="", "", 'Lighting Inventory'!BF465)</f>
        <v/>
      </c>
      <c r="AX457" s="67" t="str">
        <f>IF(B457="", "", 'Lighting Inventory'!BF465)</f>
        <v/>
      </c>
      <c r="AY457" s="65" t="str">
        <f t="shared" si="25"/>
        <v/>
      </c>
      <c r="AZ457" s="65" t="str">
        <f>IF(B457="", "", 'Lighting Inventory'!BJ465)</f>
        <v/>
      </c>
      <c r="BA457" s="65" t="str">
        <f>IF(B457="", "", 'Lighting Inventory'!BM465)</f>
        <v/>
      </c>
      <c r="BB457" s="65" t="str">
        <f>IF(B457="","",SUM('Lighting Inventory'!BP465:BP465))</f>
        <v/>
      </c>
      <c r="BC457" s="67" t="str">
        <f>IF(OR(AE457="", B457=""),"", 'Lighting Inventory'!GR465)</f>
        <v/>
      </c>
      <c r="BD457" s="67" t="str">
        <f>IFERROR(IF(B457="", "", 'Lighting Inventory'!AF465)*AD457," ")</f>
        <v xml:space="preserve"> </v>
      </c>
      <c r="BE457" s="67"/>
      <c r="BF457" s="67"/>
    </row>
    <row r="458" spans="1:58" x14ac:dyDescent="0.25">
      <c r="A458" s="26" t="str">
        <f>IF(B458="", "", 'Lookup Tables'!AW459)</f>
        <v/>
      </c>
      <c r="B458" s="26" t="str">
        <f>IF(OR('Lighting Inventory'!Y466="", 'Lighting Inventory'!V466="No Change"),"", 'Lighting Inventory'!Y466)</f>
        <v/>
      </c>
      <c r="C458" s="26" t="str">
        <f>IF(B458="", "", IF('Lighting Inventory'!Y466='Lookup Tables'!$Y$32, 'Lighting Inventory'!AJ466, IF(AD458=0, R458, AD458)))</f>
        <v/>
      </c>
      <c r="D458" s="26" t="str">
        <f>IF(B458="", "", 'General Information'!$F$14)</f>
        <v/>
      </c>
      <c r="E458" s="26" t="str">
        <f t="shared" si="23"/>
        <v/>
      </c>
      <c r="F458" s="26" t="str">
        <f>IF(B458="", "", CONCATENATE('General Information'!$F$9, " - ", 'General Information'!$F$14))</f>
        <v/>
      </c>
      <c r="G458" s="26" t="str">
        <f>IF(B458="", "", 'General Information'!$F$15)</f>
        <v/>
      </c>
      <c r="H458" s="26" t="str">
        <f>IF(B458="", "", IF(VLOOKUP(B458, 'Lookup Tables'!$Y$18:$AA$34, 2, FALSE)="Traffic", VLOOKUP('Lighting Inventory'!W466, 'Lookup Tables'!#REF!, 11, FALSE), VLOOKUP(B458, 'Lookup Tables'!$Y$18:$AA$34, 2, FALSE)))</f>
        <v/>
      </c>
      <c r="I458" s="26" t="str">
        <f>IF(B458="", "", CONCATENATE(D458, 'Data Export'!A458))</f>
        <v/>
      </c>
      <c r="J458" s="26" t="str">
        <f>IF(B458="", "", 'Lookup Tables'!$B$1)</f>
        <v/>
      </c>
      <c r="K458" s="26" t="str">
        <f>IF(B458="", "", 'Lighting Inventory'!B466)</f>
        <v/>
      </c>
      <c r="L458" s="26" t="str">
        <f>IF(B458="", "", 'Lighting Inventory'!C466)</f>
        <v/>
      </c>
      <c r="M458" s="26" t="str">
        <f>IF(B458="", "",'Lighting Inventory'!D466)</f>
        <v/>
      </c>
      <c r="N458" s="26" t="str">
        <f>IF(B458="", "",'Lighting Inventory'!E466)</f>
        <v/>
      </c>
      <c r="O458" s="26" t="str">
        <f>IF(B458="", "", 'Lighting Inventory'!F466)</f>
        <v/>
      </c>
      <c r="P458" s="26" t="str">
        <f>IF(B458="", "", 'Lighting Inventory'!G466)</f>
        <v/>
      </c>
      <c r="Q458" s="26" t="str">
        <f>IF(B458="", "", 'Lighting Inventory'!H466)</f>
        <v/>
      </c>
      <c r="R458" s="26" t="str">
        <f>IF(B458="", "", 'Lighting Inventory'!I466)</f>
        <v/>
      </c>
      <c r="S458" s="26" t="str">
        <f>IF(B458="", "", 'Lighting Inventory'!J466)</f>
        <v/>
      </c>
      <c r="T458" s="26" t="str">
        <f>IFERROR(IF(B458="","",VLOOKUP(S458,'Fixture Identities'!$A$7:$G$1023,5,FALSE)), "New Construction")</f>
        <v/>
      </c>
      <c r="U458" s="26" t="str">
        <f>IFERROR(IF(B458="", "", IF(K458="New Construction", "NC", IF(VLOOKUP(S458, 'Fixture Identities'!$A$7:$I$1023,3, FALSE)="T12 Linear Fluorescent", VLOOKUP(S458, 'Fixture Identities'!$A$7:$K$1012, 11, FALSE), S458))), "")</f>
        <v/>
      </c>
      <c r="V458" s="26" t="str">
        <f>IFERROR(IF(OR(B458="", U458=0), "", VLOOKUP(U458, 'Fixture Identities'!$A$7:$G$1023, 5, FALSE)), "")</f>
        <v/>
      </c>
      <c r="W458" s="26" t="str">
        <f>IF(B458="", "",'Lighting Inventory'!K466)</f>
        <v/>
      </c>
      <c r="X458" s="65" t="str">
        <f>IF(B458="", "", 'Lighting Inventory'!L466)</f>
        <v/>
      </c>
      <c r="Y458" s="26" t="str">
        <f>IF(B458="", "", IF('Lighting Inventory'!M466="", "Light Switch",'Lighting Inventory'!M466))</f>
        <v/>
      </c>
      <c r="Z458" s="26" t="str">
        <f>IF(OR(K458="Retrofit", B458=""), "", 'Lighting Inventory'!N466)</f>
        <v/>
      </c>
      <c r="AA458" s="26" t="str">
        <f>IF(OR(Z458="",B458=""), "", 'Lighting Inventory'!O466)</f>
        <v/>
      </c>
      <c r="AB458" s="26" t="str">
        <f>IF(B458="", "", 'Lighting Inventory'!P466)</f>
        <v/>
      </c>
      <c r="AC458" s="96" t="str">
        <f>IF(B458="", "", 'Lighting Inventory'!R466)</f>
        <v/>
      </c>
      <c r="AD458" s="26" t="str">
        <f>IF(B458="", "", 'Lighting Inventory'!S466)</f>
        <v/>
      </c>
      <c r="AE458" s="26" t="str">
        <f>IF(B458="", "", 'Lighting Inventory'!V466)</f>
        <v/>
      </c>
      <c r="AF458" s="26" t="str">
        <f>IF(B458="", "", 'Lighting Inventory'!W466)</f>
        <v/>
      </c>
      <c r="AG458" s="26" t="str">
        <f>IF(OR(AF458="", B458=""), "", IF(AE458="Custom", "0", VLOOKUP(AF458, 'Lookup Tables'!$AI$6:$AP$102, 8, FALSE)))</f>
        <v/>
      </c>
      <c r="AH458" s="26" t="str">
        <f>IF(B458="", "", 'Lighting Inventory'!AD466)</f>
        <v/>
      </c>
      <c r="AI458" s="26" t="str">
        <f>IF(OR('Lighting Inventory'!AK466="", B458=""), "", 'Lighting Inventory'!AK466)</f>
        <v/>
      </c>
      <c r="AJ458" s="66" t="str">
        <f>IF(B458="", "", 'Lighting Inventory'!AL466)</f>
        <v/>
      </c>
      <c r="AK458" s="65" t="str">
        <f>IF(B458="", "", 'Lighting Inventory'!AM466)</f>
        <v/>
      </c>
      <c r="AL458" s="26" t="str">
        <f>IF(B458="", "", 'Lighting Inventory'!AN466)</f>
        <v/>
      </c>
      <c r="AM458" s="26" t="str">
        <f t="shared" si="24"/>
        <v/>
      </c>
      <c r="AN458" s="26" t="str">
        <f>IF(B458="","",IF('Lighting Inventory'!AV466="","Prescribed",'Lighting Inventory'!AV466))</f>
        <v/>
      </c>
      <c r="AO458" s="66" t="str">
        <f>IF(B458="", "", 'Lighting Inventory'!AX466)</f>
        <v/>
      </c>
      <c r="AP458" s="67" t="str">
        <f>IF(B458="", "", 'Lighting Inventory'!AZ466)</f>
        <v/>
      </c>
      <c r="AQ458" s="67" t="str">
        <f>IF(B458="", "", 'Lighting Inventory'!BA466)</f>
        <v/>
      </c>
      <c r="AR458" s="67" t="str">
        <f>IF(B458="", "", 'Lighting Inventory'!BB466)</f>
        <v/>
      </c>
      <c r="AS458" s="67" t="str">
        <f>IF(B458="", "", 'Lighting Inventory'!BC466)</f>
        <v/>
      </c>
      <c r="AT458" s="67" t="str">
        <f>IF(B458="", "", 'Lighting Inventory'!BD466)</f>
        <v/>
      </c>
      <c r="AU458" s="67" t="str">
        <f>IF(B458="", "", 'Lighting Inventory'!BE466)</f>
        <v/>
      </c>
      <c r="AV458" s="67" t="str">
        <f>IF(B458="", "", 'Lighting Inventory'!BE466)</f>
        <v/>
      </c>
      <c r="AW458" s="67" t="str">
        <f>IF(B458="", "", 'Lighting Inventory'!BF466)</f>
        <v/>
      </c>
      <c r="AX458" s="67" t="str">
        <f>IF(B458="", "", 'Lighting Inventory'!BF466)</f>
        <v/>
      </c>
      <c r="AY458" s="65" t="str">
        <f t="shared" si="25"/>
        <v/>
      </c>
      <c r="AZ458" s="65" t="str">
        <f>IF(B458="", "", 'Lighting Inventory'!BJ466)</f>
        <v/>
      </c>
      <c r="BA458" s="65" t="str">
        <f>IF(B458="", "", 'Lighting Inventory'!BM466)</f>
        <v/>
      </c>
      <c r="BB458" s="65" t="str">
        <f>IF(B458="","",SUM('Lighting Inventory'!BP466:BP466))</f>
        <v/>
      </c>
      <c r="BC458" s="67" t="str">
        <f>IF(OR(AE458="", B458=""),"", 'Lighting Inventory'!GR466)</f>
        <v/>
      </c>
      <c r="BD458" s="67" t="str">
        <f>IFERROR(IF(B458="", "", 'Lighting Inventory'!AF466)*AD458," ")</f>
        <v xml:space="preserve"> </v>
      </c>
      <c r="BE458" s="67"/>
      <c r="BF458" s="67"/>
    </row>
    <row r="459" spans="1:58" x14ac:dyDescent="0.25">
      <c r="A459" s="26" t="str">
        <f>IF(B459="", "", 'Lookup Tables'!AW460)</f>
        <v/>
      </c>
      <c r="B459" s="26" t="str">
        <f>IF(OR('Lighting Inventory'!Y467="", 'Lighting Inventory'!V467="No Change"),"", 'Lighting Inventory'!Y467)</f>
        <v/>
      </c>
      <c r="C459" s="26" t="str">
        <f>IF(B459="", "", IF('Lighting Inventory'!Y467='Lookup Tables'!$Y$32, 'Lighting Inventory'!AJ467, IF(AD459=0, R459, AD459)))</f>
        <v/>
      </c>
      <c r="D459" s="26" t="str">
        <f>IF(B459="", "", 'General Information'!$F$14)</f>
        <v/>
      </c>
      <c r="E459" s="26" t="str">
        <f t="shared" si="23"/>
        <v/>
      </c>
      <c r="F459" s="26" t="str">
        <f>IF(B459="", "", CONCATENATE('General Information'!$F$9, " - ", 'General Information'!$F$14))</f>
        <v/>
      </c>
      <c r="G459" s="26" t="str">
        <f>IF(B459="", "", 'General Information'!$F$15)</f>
        <v/>
      </c>
      <c r="H459" s="26" t="str">
        <f>IF(B459="", "", IF(VLOOKUP(B459, 'Lookup Tables'!$Y$18:$AA$34, 2, FALSE)="Traffic", VLOOKUP('Lighting Inventory'!W467, 'Lookup Tables'!#REF!, 11, FALSE), VLOOKUP(B459, 'Lookup Tables'!$Y$18:$AA$34, 2, FALSE)))</f>
        <v/>
      </c>
      <c r="I459" s="26" t="str">
        <f>IF(B459="", "", CONCATENATE(D459, 'Data Export'!A459))</f>
        <v/>
      </c>
      <c r="J459" s="26" t="str">
        <f>IF(B459="", "", 'Lookup Tables'!$B$1)</f>
        <v/>
      </c>
      <c r="K459" s="26" t="str">
        <f>IF(B459="", "", 'Lighting Inventory'!B467)</f>
        <v/>
      </c>
      <c r="L459" s="26" t="str">
        <f>IF(B459="", "", 'Lighting Inventory'!C467)</f>
        <v/>
      </c>
      <c r="M459" s="26" t="str">
        <f>IF(B459="", "",'Lighting Inventory'!D467)</f>
        <v/>
      </c>
      <c r="N459" s="26" t="str">
        <f>IF(B459="", "",'Lighting Inventory'!E467)</f>
        <v/>
      </c>
      <c r="O459" s="26" t="str">
        <f>IF(B459="", "", 'Lighting Inventory'!F467)</f>
        <v/>
      </c>
      <c r="P459" s="26" t="str">
        <f>IF(B459="", "", 'Lighting Inventory'!G467)</f>
        <v/>
      </c>
      <c r="Q459" s="26" t="str">
        <f>IF(B459="", "", 'Lighting Inventory'!H467)</f>
        <v/>
      </c>
      <c r="R459" s="26" t="str">
        <f>IF(B459="", "", 'Lighting Inventory'!I467)</f>
        <v/>
      </c>
      <c r="S459" s="26" t="str">
        <f>IF(B459="", "", 'Lighting Inventory'!J467)</f>
        <v/>
      </c>
      <c r="T459" s="26" t="str">
        <f>IFERROR(IF(B459="","",VLOOKUP(S459,'Fixture Identities'!$A$7:$G$1023,5,FALSE)), "New Construction")</f>
        <v/>
      </c>
      <c r="U459" s="26" t="str">
        <f>IFERROR(IF(B459="", "", IF(K459="New Construction", "NC", IF(VLOOKUP(S459, 'Fixture Identities'!$A$7:$I$1023,3, FALSE)="T12 Linear Fluorescent", VLOOKUP(S459, 'Fixture Identities'!$A$7:$K$1012, 11, FALSE), S459))), "")</f>
        <v/>
      </c>
      <c r="V459" s="26" t="str">
        <f>IFERROR(IF(OR(B459="", U459=0), "", VLOOKUP(U459, 'Fixture Identities'!$A$7:$G$1023, 5, FALSE)), "")</f>
        <v/>
      </c>
      <c r="W459" s="26" t="str">
        <f>IF(B459="", "",'Lighting Inventory'!K467)</f>
        <v/>
      </c>
      <c r="X459" s="65" t="str">
        <f>IF(B459="", "", 'Lighting Inventory'!L467)</f>
        <v/>
      </c>
      <c r="Y459" s="26" t="str">
        <f>IF(B459="", "", IF('Lighting Inventory'!M467="", "Light Switch",'Lighting Inventory'!M467))</f>
        <v/>
      </c>
      <c r="Z459" s="26" t="str">
        <f>IF(OR(K459="Retrofit", B459=""), "", 'Lighting Inventory'!N467)</f>
        <v/>
      </c>
      <c r="AA459" s="26" t="str">
        <f>IF(OR(Z459="",B459=""), "", 'Lighting Inventory'!O467)</f>
        <v/>
      </c>
      <c r="AB459" s="26" t="str">
        <f>IF(B459="", "", 'Lighting Inventory'!P467)</f>
        <v/>
      </c>
      <c r="AC459" s="96" t="str">
        <f>IF(B459="", "", 'Lighting Inventory'!R467)</f>
        <v/>
      </c>
      <c r="AD459" s="26" t="str">
        <f>IF(B459="", "", 'Lighting Inventory'!S467)</f>
        <v/>
      </c>
      <c r="AE459" s="26" t="str">
        <f>IF(B459="", "", 'Lighting Inventory'!V467)</f>
        <v/>
      </c>
      <c r="AF459" s="26" t="str">
        <f>IF(B459="", "", 'Lighting Inventory'!W467)</f>
        <v/>
      </c>
      <c r="AG459" s="26" t="str">
        <f>IF(OR(AF459="", B459=""), "", IF(AE459="Custom", "0", VLOOKUP(AF459, 'Lookup Tables'!$AI$6:$AP$102, 8, FALSE)))</f>
        <v/>
      </c>
      <c r="AH459" s="26" t="str">
        <f>IF(B459="", "", 'Lighting Inventory'!AD467)</f>
        <v/>
      </c>
      <c r="AI459" s="26" t="str">
        <f>IF(OR('Lighting Inventory'!AK467="", B459=""), "", 'Lighting Inventory'!AK467)</f>
        <v/>
      </c>
      <c r="AJ459" s="66" t="str">
        <f>IF(B459="", "", 'Lighting Inventory'!AL467)</f>
        <v/>
      </c>
      <c r="AK459" s="65" t="str">
        <f>IF(B459="", "", 'Lighting Inventory'!AM467)</f>
        <v/>
      </c>
      <c r="AL459" s="26" t="str">
        <f>IF(B459="", "", 'Lighting Inventory'!AN467)</f>
        <v/>
      </c>
      <c r="AM459" s="26" t="str">
        <f t="shared" si="24"/>
        <v/>
      </c>
      <c r="AN459" s="26" t="str">
        <f>IF(B459="","",IF('Lighting Inventory'!AV467="","Prescribed",'Lighting Inventory'!AV467))</f>
        <v/>
      </c>
      <c r="AO459" s="66" t="str">
        <f>IF(B459="", "", 'Lighting Inventory'!AX467)</f>
        <v/>
      </c>
      <c r="AP459" s="67" t="str">
        <f>IF(B459="", "", 'Lighting Inventory'!AZ467)</f>
        <v/>
      </c>
      <c r="AQ459" s="67" t="str">
        <f>IF(B459="", "", 'Lighting Inventory'!BA467)</f>
        <v/>
      </c>
      <c r="AR459" s="67" t="str">
        <f>IF(B459="", "", 'Lighting Inventory'!BB467)</f>
        <v/>
      </c>
      <c r="AS459" s="67" t="str">
        <f>IF(B459="", "", 'Lighting Inventory'!BC467)</f>
        <v/>
      </c>
      <c r="AT459" s="67" t="str">
        <f>IF(B459="", "", 'Lighting Inventory'!BD467)</f>
        <v/>
      </c>
      <c r="AU459" s="67" t="str">
        <f>IF(B459="", "", 'Lighting Inventory'!BE467)</f>
        <v/>
      </c>
      <c r="AV459" s="67" t="str">
        <f>IF(B459="", "", 'Lighting Inventory'!BE467)</f>
        <v/>
      </c>
      <c r="AW459" s="67" t="str">
        <f>IF(B459="", "", 'Lighting Inventory'!BF467)</f>
        <v/>
      </c>
      <c r="AX459" s="67" t="str">
        <f>IF(B459="", "", 'Lighting Inventory'!BF467)</f>
        <v/>
      </c>
      <c r="AY459" s="65" t="str">
        <f t="shared" si="25"/>
        <v/>
      </c>
      <c r="AZ459" s="65" t="str">
        <f>IF(B459="", "", 'Lighting Inventory'!BJ467)</f>
        <v/>
      </c>
      <c r="BA459" s="65" t="str">
        <f>IF(B459="", "", 'Lighting Inventory'!BM467)</f>
        <v/>
      </c>
      <c r="BB459" s="65" t="str">
        <f>IF(B459="","",SUM('Lighting Inventory'!BP467:BP467))</f>
        <v/>
      </c>
      <c r="BC459" s="67" t="str">
        <f>IF(OR(AE459="", B459=""),"", 'Lighting Inventory'!GR467)</f>
        <v/>
      </c>
      <c r="BD459" s="67" t="str">
        <f>IFERROR(IF(B459="", "", 'Lighting Inventory'!AF467)*AD459," ")</f>
        <v xml:space="preserve"> </v>
      </c>
      <c r="BE459" s="67"/>
      <c r="BF459" s="67"/>
    </row>
    <row r="460" spans="1:58" x14ac:dyDescent="0.25">
      <c r="A460" s="26" t="str">
        <f>IF(B460="", "", 'Lookup Tables'!AW461)</f>
        <v/>
      </c>
      <c r="B460" s="26" t="str">
        <f>IF(OR('Lighting Inventory'!Y468="", 'Lighting Inventory'!V468="No Change"),"", 'Lighting Inventory'!Y468)</f>
        <v/>
      </c>
      <c r="C460" s="26" t="str">
        <f>IF(B460="", "", IF('Lighting Inventory'!Y468='Lookup Tables'!$Y$32, 'Lighting Inventory'!AJ468, IF(AD460=0, R460, AD460)))</f>
        <v/>
      </c>
      <c r="D460" s="26" t="str">
        <f>IF(B460="", "", 'General Information'!$F$14)</f>
        <v/>
      </c>
      <c r="E460" s="26" t="str">
        <f t="shared" si="23"/>
        <v/>
      </c>
      <c r="F460" s="26" t="str">
        <f>IF(B460="", "", CONCATENATE('General Information'!$F$9, " - ", 'General Information'!$F$14))</f>
        <v/>
      </c>
      <c r="G460" s="26" t="str">
        <f>IF(B460="", "", 'General Information'!$F$15)</f>
        <v/>
      </c>
      <c r="H460" s="26" t="str">
        <f>IF(B460="", "", IF(VLOOKUP(B460, 'Lookup Tables'!$Y$18:$AA$34, 2, FALSE)="Traffic", VLOOKUP('Lighting Inventory'!W468, 'Lookup Tables'!#REF!, 11, FALSE), VLOOKUP(B460, 'Lookup Tables'!$Y$18:$AA$34, 2, FALSE)))</f>
        <v/>
      </c>
      <c r="I460" s="26" t="str">
        <f>IF(B460="", "", CONCATENATE(D460, 'Data Export'!A460))</f>
        <v/>
      </c>
      <c r="J460" s="26" t="str">
        <f>IF(B460="", "", 'Lookup Tables'!$B$1)</f>
        <v/>
      </c>
      <c r="K460" s="26" t="str">
        <f>IF(B460="", "", 'Lighting Inventory'!B468)</f>
        <v/>
      </c>
      <c r="L460" s="26" t="str">
        <f>IF(B460="", "", 'Lighting Inventory'!C468)</f>
        <v/>
      </c>
      <c r="M460" s="26" t="str">
        <f>IF(B460="", "",'Lighting Inventory'!D468)</f>
        <v/>
      </c>
      <c r="N460" s="26" t="str">
        <f>IF(B460="", "",'Lighting Inventory'!E468)</f>
        <v/>
      </c>
      <c r="O460" s="26" t="str">
        <f>IF(B460="", "", 'Lighting Inventory'!F468)</f>
        <v/>
      </c>
      <c r="P460" s="26" t="str">
        <f>IF(B460="", "", 'Lighting Inventory'!G468)</f>
        <v/>
      </c>
      <c r="Q460" s="26" t="str">
        <f>IF(B460="", "", 'Lighting Inventory'!H468)</f>
        <v/>
      </c>
      <c r="R460" s="26" t="str">
        <f>IF(B460="", "", 'Lighting Inventory'!I468)</f>
        <v/>
      </c>
      <c r="S460" s="26" t="str">
        <f>IF(B460="", "", 'Lighting Inventory'!J468)</f>
        <v/>
      </c>
      <c r="T460" s="26" t="str">
        <f>IFERROR(IF(B460="","",VLOOKUP(S460,'Fixture Identities'!$A$7:$G$1023,5,FALSE)), "New Construction")</f>
        <v/>
      </c>
      <c r="U460" s="26" t="str">
        <f>IFERROR(IF(B460="", "", IF(K460="New Construction", "NC", IF(VLOOKUP(S460, 'Fixture Identities'!$A$7:$I$1023,3, FALSE)="T12 Linear Fluorescent", VLOOKUP(S460, 'Fixture Identities'!$A$7:$K$1012, 11, FALSE), S460))), "")</f>
        <v/>
      </c>
      <c r="V460" s="26" t="str">
        <f>IFERROR(IF(OR(B460="", U460=0), "", VLOOKUP(U460, 'Fixture Identities'!$A$7:$G$1023, 5, FALSE)), "")</f>
        <v/>
      </c>
      <c r="W460" s="26" t="str">
        <f>IF(B460="", "",'Lighting Inventory'!K468)</f>
        <v/>
      </c>
      <c r="X460" s="65" t="str">
        <f>IF(B460="", "", 'Lighting Inventory'!L468)</f>
        <v/>
      </c>
      <c r="Y460" s="26" t="str">
        <f>IF(B460="", "", IF('Lighting Inventory'!M468="", "Light Switch",'Lighting Inventory'!M468))</f>
        <v/>
      </c>
      <c r="Z460" s="26" t="str">
        <f>IF(OR(K460="Retrofit", B460=""), "", 'Lighting Inventory'!N468)</f>
        <v/>
      </c>
      <c r="AA460" s="26" t="str">
        <f>IF(OR(Z460="",B460=""), "", 'Lighting Inventory'!O468)</f>
        <v/>
      </c>
      <c r="AB460" s="26" t="str">
        <f>IF(B460="", "", 'Lighting Inventory'!P468)</f>
        <v/>
      </c>
      <c r="AC460" s="96" t="str">
        <f>IF(B460="", "", 'Lighting Inventory'!R468)</f>
        <v/>
      </c>
      <c r="AD460" s="26" t="str">
        <f>IF(B460="", "", 'Lighting Inventory'!S468)</f>
        <v/>
      </c>
      <c r="AE460" s="26" t="str">
        <f>IF(B460="", "", 'Lighting Inventory'!V468)</f>
        <v/>
      </c>
      <c r="AF460" s="26" t="str">
        <f>IF(B460="", "", 'Lighting Inventory'!W468)</f>
        <v/>
      </c>
      <c r="AG460" s="26" t="str">
        <f>IF(OR(AF460="", B460=""), "", IF(AE460="Custom", "0", VLOOKUP(AF460, 'Lookup Tables'!$AI$6:$AP$102, 8, FALSE)))</f>
        <v/>
      </c>
      <c r="AH460" s="26" t="str">
        <f>IF(B460="", "", 'Lighting Inventory'!AD468)</f>
        <v/>
      </c>
      <c r="AI460" s="26" t="str">
        <f>IF(OR('Lighting Inventory'!AK468="", B460=""), "", 'Lighting Inventory'!AK468)</f>
        <v/>
      </c>
      <c r="AJ460" s="66" t="str">
        <f>IF(B460="", "", 'Lighting Inventory'!AL468)</f>
        <v/>
      </c>
      <c r="AK460" s="65" t="str">
        <f>IF(B460="", "", 'Lighting Inventory'!AM468)</f>
        <v/>
      </c>
      <c r="AL460" s="26" t="str">
        <f>IF(B460="", "", 'Lighting Inventory'!AN468)</f>
        <v/>
      </c>
      <c r="AM460" s="26" t="str">
        <f t="shared" si="24"/>
        <v/>
      </c>
      <c r="AN460" s="26" t="str">
        <f>IF(B460="","",IF('Lighting Inventory'!AV468="","Prescribed",'Lighting Inventory'!AV468))</f>
        <v/>
      </c>
      <c r="AO460" s="66" t="str">
        <f>IF(B460="", "", 'Lighting Inventory'!AX468)</f>
        <v/>
      </c>
      <c r="AP460" s="67" t="str">
        <f>IF(B460="", "", 'Lighting Inventory'!AZ468)</f>
        <v/>
      </c>
      <c r="AQ460" s="67" t="str">
        <f>IF(B460="", "", 'Lighting Inventory'!BA468)</f>
        <v/>
      </c>
      <c r="AR460" s="67" t="str">
        <f>IF(B460="", "", 'Lighting Inventory'!BB468)</f>
        <v/>
      </c>
      <c r="AS460" s="67" t="str">
        <f>IF(B460="", "", 'Lighting Inventory'!BC468)</f>
        <v/>
      </c>
      <c r="AT460" s="67" t="str">
        <f>IF(B460="", "", 'Lighting Inventory'!BD468)</f>
        <v/>
      </c>
      <c r="AU460" s="67" t="str">
        <f>IF(B460="", "", 'Lighting Inventory'!BE468)</f>
        <v/>
      </c>
      <c r="AV460" s="67" t="str">
        <f>IF(B460="", "", 'Lighting Inventory'!BE468)</f>
        <v/>
      </c>
      <c r="AW460" s="67" t="str">
        <f>IF(B460="", "", 'Lighting Inventory'!BF468)</f>
        <v/>
      </c>
      <c r="AX460" s="67" t="str">
        <f>IF(B460="", "", 'Lighting Inventory'!BF468)</f>
        <v/>
      </c>
      <c r="AY460" s="65" t="str">
        <f t="shared" si="25"/>
        <v/>
      </c>
      <c r="AZ460" s="65" t="str">
        <f>IF(B460="", "", 'Lighting Inventory'!BJ468)</f>
        <v/>
      </c>
      <c r="BA460" s="65" t="str">
        <f>IF(B460="", "", 'Lighting Inventory'!BM468)</f>
        <v/>
      </c>
      <c r="BB460" s="65" t="str">
        <f>IF(B460="","",SUM('Lighting Inventory'!BP468:BP468))</f>
        <v/>
      </c>
      <c r="BC460" s="67" t="str">
        <f>IF(OR(AE460="", B460=""),"", 'Lighting Inventory'!GR468)</f>
        <v/>
      </c>
      <c r="BD460" s="67" t="str">
        <f>IFERROR(IF(B460="", "", 'Lighting Inventory'!AF468)*AD460," ")</f>
        <v xml:space="preserve"> </v>
      </c>
      <c r="BE460" s="67"/>
      <c r="BF460" s="67"/>
    </row>
    <row r="461" spans="1:58" x14ac:dyDescent="0.25">
      <c r="A461" s="26" t="str">
        <f>IF(B461="", "", 'Lookup Tables'!AW462)</f>
        <v/>
      </c>
      <c r="B461" s="26" t="str">
        <f>IF(OR('Lighting Inventory'!Y469="", 'Lighting Inventory'!V469="No Change"),"", 'Lighting Inventory'!Y469)</f>
        <v/>
      </c>
      <c r="C461" s="26" t="str">
        <f>IF(B461="", "", IF('Lighting Inventory'!Y469='Lookup Tables'!$Y$32, 'Lighting Inventory'!AJ469, IF(AD461=0, R461, AD461)))</f>
        <v/>
      </c>
      <c r="D461" s="26" t="str">
        <f>IF(B461="", "", 'General Information'!$F$14)</f>
        <v/>
      </c>
      <c r="E461" s="26" t="str">
        <f t="shared" si="23"/>
        <v/>
      </c>
      <c r="F461" s="26" t="str">
        <f>IF(B461="", "", CONCATENATE('General Information'!$F$9, " - ", 'General Information'!$F$14))</f>
        <v/>
      </c>
      <c r="G461" s="26" t="str">
        <f>IF(B461="", "", 'General Information'!$F$15)</f>
        <v/>
      </c>
      <c r="H461" s="26" t="str">
        <f>IF(B461="", "", IF(VLOOKUP(B461, 'Lookup Tables'!$Y$18:$AA$34, 2, FALSE)="Traffic", VLOOKUP('Lighting Inventory'!W469, 'Lookup Tables'!#REF!, 11, FALSE), VLOOKUP(B461, 'Lookup Tables'!$Y$18:$AA$34, 2, FALSE)))</f>
        <v/>
      </c>
      <c r="I461" s="26" t="str">
        <f>IF(B461="", "", CONCATENATE(D461, 'Data Export'!A461))</f>
        <v/>
      </c>
      <c r="J461" s="26" t="str">
        <f>IF(B461="", "", 'Lookup Tables'!$B$1)</f>
        <v/>
      </c>
      <c r="K461" s="26" t="str">
        <f>IF(B461="", "", 'Lighting Inventory'!B469)</f>
        <v/>
      </c>
      <c r="L461" s="26" t="str">
        <f>IF(B461="", "", 'Lighting Inventory'!C469)</f>
        <v/>
      </c>
      <c r="M461" s="26" t="str">
        <f>IF(B461="", "",'Lighting Inventory'!D469)</f>
        <v/>
      </c>
      <c r="N461" s="26" t="str">
        <f>IF(B461="", "",'Lighting Inventory'!E469)</f>
        <v/>
      </c>
      <c r="O461" s="26" t="str">
        <f>IF(B461="", "", 'Lighting Inventory'!F469)</f>
        <v/>
      </c>
      <c r="P461" s="26" t="str">
        <f>IF(B461="", "", 'Lighting Inventory'!G469)</f>
        <v/>
      </c>
      <c r="Q461" s="26" t="str">
        <f>IF(B461="", "", 'Lighting Inventory'!H469)</f>
        <v/>
      </c>
      <c r="R461" s="26" t="str">
        <f>IF(B461="", "", 'Lighting Inventory'!I469)</f>
        <v/>
      </c>
      <c r="S461" s="26" t="str">
        <f>IF(B461="", "", 'Lighting Inventory'!J469)</f>
        <v/>
      </c>
      <c r="T461" s="26" t="str">
        <f>IFERROR(IF(B461="","",VLOOKUP(S461,'Fixture Identities'!$A$7:$G$1023,5,FALSE)), "New Construction")</f>
        <v/>
      </c>
      <c r="U461" s="26" t="str">
        <f>IFERROR(IF(B461="", "", IF(K461="New Construction", "NC", IF(VLOOKUP(S461, 'Fixture Identities'!$A$7:$I$1023,3, FALSE)="T12 Linear Fluorescent", VLOOKUP(S461, 'Fixture Identities'!$A$7:$K$1012, 11, FALSE), S461))), "")</f>
        <v/>
      </c>
      <c r="V461" s="26" t="str">
        <f>IFERROR(IF(OR(B461="", U461=0), "", VLOOKUP(U461, 'Fixture Identities'!$A$7:$G$1023, 5, FALSE)), "")</f>
        <v/>
      </c>
      <c r="W461" s="26" t="str">
        <f>IF(B461="", "",'Lighting Inventory'!K469)</f>
        <v/>
      </c>
      <c r="X461" s="65" t="str">
        <f>IF(B461="", "", 'Lighting Inventory'!L469)</f>
        <v/>
      </c>
      <c r="Y461" s="26" t="str">
        <f>IF(B461="", "", IF('Lighting Inventory'!M469="", "Light Switch",'Lighting Inventory'!M469))</f>
        <v/>
      </c>
      <c r="Z461" s="26" t="str">
        <f>IF(OR(K461="Retrofit", B461=""), "", 'Lighting Inventory'!N469)</f>
        <v/>
      </c>
      <c r="AA461" s="26" t="str">
        <f>IF(OR(Z461="",B461=""), "", 'Lighting Inventory'!O469)</f>
        <v/>
      </c>
      <c r="AB461" s="26" t="str">
        <f>IF(B461="", "", 'Lighting Inventory'!P469)</f>
        <v/>
      </c>
      <c r="AC461" s="96" t="str">
        <f>IF(B461="", "", 'Lighting Inventory'!R469)</f>
        <v/>
      </c>
      <c r="AD461" s="26" t="str">
        <f>IF(B461="", "", 'Lighting Inventory'!S469)</f>
        <v/>
      </c>
      <c r="AE461" s="26" t="str">
        <f>IF(B461="", "", 'Lighting Inventory'!V469)</f>
        <v/>
      </c>
      <c r="AF461" s="26" t="str">
        <f>IF(B461="", "", 'Lighting Inventory'!W469)</f>
        <v/>
      </c>
      <c r="AG461" s="26" t="str">
        <f>IF(OR(AF461="", B461=""), "", IF(AE461="Custom", "0", VLOOKUP(AF461, 'Lookup Tables'!$AI$6:$AP$102, 8, FALSE)))</f>
        <v/>
      </c>
      <c r="AH461" s="26" t="str">
        <f>IF(B461="", "", 'Lighting Inventory'!AD469)</f>
        <v/>
      </c>
      <c r="AI461" s="26" t="str">
        <f>IF(OR('Lighting Inventory'!AK469="", B461=""), "", 'Lighting Inventory'!AK469)</f>
        <v/>
      </c>
      <c r="AJ461" s="66" t="str">
        <f>IF(B461="", "", 'Lighting Inventory'!AL469)</f>
        <v/>
      </c>
      <c r="AK461" s="65" t="str">
        <f>IF(B461="", "", 'Lighting Inventory'!AM469)</f>
        <v/>
      </c>
      <c r="AL461" s="26" t="str">
        <f>IF(B461="", "", 'Lighting Inventory'!AN469)</f>
        <v/>
      </c>
      <c r="AM461" s="26" t="str">
        <f t="shared" si="24"/>
        <v/>
      </c>
      <c r="AN461" s="26" t="str">
        <f>IF(B461="","",IF('Lighting Inventory'!AV469="","Prescribed",'Lighting Inventory'!AV469))</f>
        <v/>
      </c>
      <c r="AO461" s="66" t="str">
        <f>IF(B461="", "", 'Lighting Inventory'!AX469)</f>
        <v/>
      </c>
      <c r="AP461" s="67" t="str">
        <f>IF(B461="", "", 'Lighting Inventory'!AZ469)</f>
        <v/>
      </c>
      <c r="AQ461" s="67" t="str">
        <f>IF(B461="", "", 'Lighting Inventory'!BA469)</f>
        <v/>
      </c>
      <c r="AR461" s="67" t="str">
        <f>IF(B461="", "", 'Lighting Inventory'!BB469)</f>
        <v/>
      </c>
      <c r="AS461" s="67" t="str">
        <f>IF(B461="", "", 'Lighting Inventory'!BC469)</f>
        <v/>
      </c>
      <c r="AT461" s="67" t="str">
        <f>IF(B461="", "", 'Lighting Inventory'!BD469)</f>
        <v/>
      </c>
      <c r="AU461" s="67" t="str">
        <f>IF(B461="", "", 'Lighting Inventory'!BE469)</f>
        <v/>
      </c>
      <c r="AV461" s="67" t="str">
        <f>IF(B461="", "", 'Lighting Inventory'!BE469)</f>
        <v/>
      </c>
      <c r="AW461" s="67" t="str">
        <f>IF(B461="", "", 'Lighting Inventory'!BF469)</f>
        <v/>
      </c>
      <c r="AX461" s="67" t="str">
        <f>IF(B461="", "", 'Lighting Inventory'!BF469)</f>
        <v/>
      </c>
      <c r="AY461" s="65" t="str">
        <f t="shared" si="25"/>
        <v/>
      </c>
      <c r="AZ461" s="65" t="str">
        <f>IF(B461="", "", 'Lighting Inventory'!BJ469)</f>
        <v/>
      </c>
      <c r="BA461" s="65" t="str">
        <f>IF(B461="", "", 'Lighting Inventory'!BM469)</f>
        <v/>
      </c>
      <c r="BB461" s="65" t="str">
        <f>IF(B461="","",SUM('Lighting Inventory'!BP469:BP469))</f>
        <v/>
      </c>
      <c r="BC461" s="67" t="str">
        <f>IF(OR(AE461="", B461=""),"", 'Lighting Inventory'!GR469)</f>
        <v/>
      </c>
      <c r="BD461" s="67" t="str">
        <f>IFERROR(IF(B461="", "", 'Lighting Inventory'!AF469)*AD461," ")</f>
        <v xml:space="preserve"> </v>
      </c>
      <c r="BE461" s="67"/>
      <c r="BF461" s="67"/>
    </row>
    <row r="462" spans="1:58" x14ac:dyDescent="0.25">
      <c r="A462" s="26" t="str">
        <f>IF(B462="", "", 'Lookup Tables'!AW463)</f>
        <v/>
      </c>
      <c r="B462" s="26" t="str">
        <f>IF(OR('Lighting Inventory'!Y470="", 'Lighting Inventory'!V470="No Change"),"", 'Lighting Inventory'!Y470)</f>
        <v/>
      </c>
      <c r="C462" s="26" t="str">
        <f>IF(B462="", "", IF('Lighting Inventory'!Y470='Lookup Tables'!$Y$32, 'Lighting Inventory'!AJ470, IF(AD462=0, R462, AD462)))</f>
        <v/>
      </c>
      <c r="D462" s="26" t="str">
        <f>IF(B462="", "", 'General Information'!$F$14)</f>
        <v/>
      </c>
      <c r="E462" s="26" t="str">
        <f t="shared" si="23"/>
        <v/>
      </c>
      <c r="F462" s="26" t="str">
        <f>IF(B462="", "", CONCATENATE('General Information'!$F$9, " - ", 'General Information'!$F$14))</f>
        <v/>
      </c>
      <c r="G462" s="26" t="str">
        <f>IF(B462="", "", 'General Information'!$F$15)</f>
        <v/>
      </c>
      <c r="H462" s="26" t="str">
        <f>IF(B462="", "", IF(VLOOKUP(B462, 'Lookup Tables'!$Y$18:$AA$34, 2, FALSE)="Traffic", VLOOKUP('Lighting Inventory'!W470, 'Lookup Tables'!#REF!, 11, FALSE), VLOOKUP(B462, 'Lookup Tables'!$Y$18:$AA$34, 2, FALSE)))</f>
        <v/>
      </c>
      <c r="I462" s="26" t="str">
        <f>IF(B462="", "", CONCATENATE(D462, 'Data Export'!A462))</f>
        <v/>
      </c>
      <c r="J462" s="26" t="str">
        <f>IF(B462="", "", 'Lookup Tables'!$B$1)</f>
        <v/>
      </c>
      <c r="K462" s="26" t="str">
        <f>IF(B462="", "", 'Lighting Inventory'!B470)</f>
        <v/>
      </c>
      <c r="L462" s="26" t="str">
        <f>IF(B462="", "", 'Lighting Inventory'!C470)</f>
        <v/>
      </c>
      <c r="M462" s="26" t="str">
        <f>IF(B462="", "",'Lighting Inventory'!D470)</f>
        <v/>
      </c>
      <c r="N462" s="26" t="str">
        <f>IF(B462="", "",'Lighting Inventory'!E470)</f>
        <v/>
      </c>
      <c r="O462" s="26" t="str">
        <f>IF(B462="", "", 'Lighting Inventory'!F470)</f>
        <v/>
      </c>
      <c r="P462" s="26" t="str">
        <f>IF(B462="", "", 'Lighting Inventory'!G470)</f>
        <v/>
      </c>
      <c r="Q462" s="26" t="str">
        <f>IF(B462="", "", 'Lighting Inventory'!H470)</f>
        <v/>
      </c>
      <c r="R462" s="26" t="str">
        <f>IF(B462="", "", 'Lighting Inventory'!I470)</f>
        <v/>
      </c>
      <c r="S462" s="26" t="str">
        <f>IF(B462="", "", 'Lighting Inventory'!J470)</f>
        <v/>
      </c>
      <c r="T462" s="26" t="str">
        <f>IFERROR(IF(B462="","",VLOOKUP(S462,'Fixture Identities'!$A$7:$G$1023,5,FALSE)), "New Construction")</f>
        <v/>
      </c>
      <c r="U462" s="26" t="str">
        <f>IFERROR(IF(B462="", "", IF(K462="New Construction", "NC", IF(VLOOKUP(S462, 'Fixture Identities'!$A$7:$I$1023,3, FALSE)="T12 Linear Fluorescent", VLOOKUP(S462, 'Fixture Identities'!$A$7:$K$1012, 11, FALSE), S462))), "")</f>
        <v/>
      </c>
      <c r="V462" s="26" t="str">
        <f>IFERROR(IF(OR(B462="", U462=0), "", VLOOKUP(U462, 'Fixture Identities'!$A$7:$G$1023, 5, FALSE)), "")</f>
        <v/>
      </c>
      <c r="W462" s="26" t="str">
        <f>IF(B462="", "",'Lighting Inventory'!K470)</f>
        <v/>
      </c>
      <c r="X462" s="65" t="str">
        <f>IF(B462="", "", 'Lighting Inventory'!L470)</f>
        <v/>
      </c>
      <c r="Y462" s="26" t="str">
        <f>IF(B462="", "", IF('Lighting Inventory'!M470="", "Light Switch",'Lighting Inventory'!M470))</f>
        <v/>
      </c>
      <c r="Z462" s="26" t="str">
        <f>IF(OR(K462="Retrofit", B462=""), "", 'Lighting Inventory'!N470)</f>
        <v/>
      </c>
      <c r="AA462" s="26" t="str">
        <f>IF(OR(Z462="",B462=""), "", 'Lighting Inventory'!O470)</f>
        <v/>
      </c>
      <c r="AB462" s="26" t="str">
        <f>IF(B462="", "", 'Lighting Inventory'!P470)</f>
        <v/>
      </c>
      <c r="AC462" s="96" t="str">
        <f>IF(B462="", "", 'Lighting Inventory'!R470)</f>
        <v/>
      </c>
      <c r="AD462" s="26" t="str">
        <f>IF(B462="", "", 'Lighting Inventory'!S470)</f>
        <v/>
      </c>
      <c r="AE462" s="26" t="str">
        <f>IF(B462="", "", 'Lighting Inventory'!V470)</f>
        <v/>
      </c>
      <c r="AF462" s="26" t="str">
        <f>IF(B462="", "", 'Lighting Inventory'!W470)</f>
        <v/>
      </c>
      <c r="AG462" s="26" t="str">
        <f>IF(OR(AF462="", B462=""), "", IF(AE462="Custom", "0", VLOOKUP(AF462, 'Lookup Tables'!$AI$6:$AP$102, 8, FALSE)))</f>
        <v/>
      </c>
      <c r="AH462" s="26" t="str">
        <f>IF(B462="", "", 'Lighting Inventory'!AD470)</f>
        <v/>
      </c>
      <c r="AI462" s="26" t="str">
        <f>IF(OR('Lighting Inventory'!AK470="", B462=""), "", 'Lighting Inventory'!AK470)</f>
        <v/>
      </c>
      <c r="AJ462" s="66" t="str">
        <f>IF(B462="", "", 'Lighting Inventory'!AL470)</f>
        <v/>
      </c>
      <c r="AK462" s="65" t="str">
        <f>IF(B462="", "", 'Lighting Inventory'!AM470)</f>
        <v/>
      </c>
      <c r="AL462" s="26" t="str">
        <f>IF(B462="", "", 'Lighting Inventory'!AN470)</f>
        <v/>
      </c>
      <c r="AM462" s="26" t="str">
        <f t="shared" si="24"/>
        <v/>
      </c>
      <c r="AN462" s="26" t="str">
        <f>IF(B462="","",IF('Lighting Inventory'!AV470="","Prescribed",'Lighting Inventory'!AV470))</f>
        <v/>
      </c>
      <c r="AO462" s="66" t="str">
        <f>IF(B462="", "", 'Lighting Inventory'!AX470)</f>
        <v/>
      </c>
      <c r="AP462" s="67" t="str">
        <f>IF(B462="", "", 'Lighting Inventory'!AZ470)</f>
        <v/>
      </c>
      <c r="AQ462" s="67" t="str">
        <f>IF(B462="", "", 'Lighting Inventory'!BA470)</f>
        <v/>
      </c>
      <c r="AR462" s="67" t="str">
        <f>IF(B462="", "", 'Lighting Inventory'!BB470)</f>
        <v/>
      </c>
      <c r="AS462" s="67" t="str">
        <f>IF(B462="", "", 'Lighting Inventory'!BC470)</f>
        <v/>
      </c>
      <c r="AT462" s="67" t="str">
        <f>IF(B462="", "", 'Lighting Inventory'!BD470)</f>
        <v/>
      </c>
      <c r="AU462" s="67" t="str">
        <f>IF(B462="", "", 'Lighting Inventory'!BE470)</f>
        <v/>
      </c>
      <c r="AV462" s="67" t="str">
        <f>IF(B462="", "", 'Lighting Inventory'!BE470)</f>
        <v/>
      </c>
      <c r="AW462" s="67" t="str">
        <f>IF(B462="", "", 'Lighting Inventory'!BF470)</f>
        <v/>
      </c>
      <c r="AX462" s="67" t="str">
        <f>IF(B462="", "", 'Lighting Inventory'!BF470)</f>
        <v/>
      </c>
      <c r="AY462" s="65" t="str">
        <f t="shared" si="25"/>
        <v/>
      </c>
      <c r="AZ462" s="65" t="str">
        <f>IF(B462="", "", 'Lighting Inventory'!BJ470)</f>
        <v/>
      </c>
      <c r="BA462" s="65" t="str">
        <f>IF(B462="", "", 'Lighting Inventory'!BM470)</f>
        <v/>
      </c>
      <c r="BB462" s="65" t="str">
        <f>IF(B462="","",SUM('Lighting Inventory'!BP470:BP470))</f>
        <v/>
      </c>
      <c r="BC462" s="67" t="str">
        <f>IF(OR(AE462="", B462=""),"", 'Lighting Inventory'!GR470)</f>
        <v/>
      </c>
      <c r="BD462" s="67" t="str">
        <f>IFERROR(IF(B462="", "", 'Lighting Inventory'!AF470)*AD462," ")</f>
        <v xml:space="preserve"> </v>
      </c>
      <c r="BE462" s="67"/>
      <c r="BF462" s="67"/>
    </row>
    <row r="463" spans="1:58" x14ac:dyDescent="0.25">
      <c r="A463" s="26" t="str">
        <f>IF(B463="", "", 'Lookup Tables'!AW464)</f>
        <v/>
      </c>
      <c r="B463" s="26" t="str">
        <f>IF(OR('Lighting Inventory'!Y471="", 'Lighting Inventory'!V471="No Change"),"", 'Lighting Inventory'!Y471)</f>
        <v/>
      </c>
      <c r="C463" s="26" t="str">
        <f>IF(B463="", "", IF('Lighting Inventory'!Y471='Lookup Tables'!$Y$32, 'Lighting Inventory'!AJ471, IF(AD463=0, R463, AD463)))</f>
        <v/>
      </c>
      <c r="D463" s="26" t="str">
        <f>IF(B463="", "", 'General Information'!$F$14)</f>
        <v/>
      </c>
      <c r="E463" s="26" t="str">
        <f t="shared" si="23"/>
        <v/>
      </c>
      <c r="F463" s="26" t="str">
        <f>IF(B463="", "", CONCATENATE('General Information'!$F$9, " - ", 'General Information'!$F$14))</f>
        <v/>
      </c>
      <c r="G463" s="26" t="str">
        <f>IF(B463="", "", 'General Information'!$F$15)</f>
        <v/>
      </c>
      <c r="H463" s="26" t="str">
        <f>IF(B463="", "", IF(VLOOKUP(B463, 'Lookup Tables'!$Y$18:$AA$34, 2, FALSE)="Traffic", VLOOKUP('Lighting Inventory'!W471, 'Lookup Tables'!#REF!, 11, FALSE), VLOOKUP(B463, 'Lookup Tables'!$Y$18:$AA$34, 2, FALSE)))</f>
        <v/>
      </c>
      <c r="I463" s="26" t="str">
        <f>IF(B463="", "", CONCATENATE(D463, 'Data Export'!A463))</f>
        <v/>
      </c>
      <c r="J463" s="26" t="str">
        <f>IF(B463="", "", 'Lookup Tables'!$B$1)</f>
        <v/>
      </c>
      <c r="K463" s="26" t="str">
        <f>IF(B463="", "", 'Lighting Inventory'!B471)</f>
        <v/>
      </c>
      <c r="L463" s="26" t="str">
        <f>IF(B463="", "", 'Lighting Inventory'!C471)</f>
        <v/>
      </c>
      <c r="M463" s="26" t="str">
        <f>IF(B463="", "",'Lighting Inventory'!D471)</f>
        <v/>
      </c>
      <c r="N463" s="26" t="str">
        <f>IF(B463="", "",'Lighting Inventory'!E471)</f>
        <v/>
      </c>
      <c r="O463" s="26" t="str">
        <f>IF(B463="", "", 'Lighting Inventory'!F471)</f>
        <v/>
      </c>
      <c r="P463" s="26" t="str">
        <f>IF(B463="", "", 'Lighting Inventory'!G471)</f>
        <v/>
      </c>
      <c r="Q463" s="26" t="str">
        <f>IF(B463="", "", 'Lighting Inventory'!H471)</f>
        <v/>
      </c>
      <c r="R463" s="26" t="str">
        <f>IF(B463="", "", 'Lighting Inventory'!I471)</f>
        <v/>
      </c>
      <c r="S463" s="26" t="str">
        <f>IF(B463="", "", 'Lighting Inventory'!J471)</f>
        <v/>
      </c>
      <c r="T463" s="26" t="str">
        <f>IFERROR(IF(B463="","",VLOOKUP(S463,'Fixture Identities'!$A$7:$G$1023,5,FALSE)), "New Construction")</f>
        <v/>
      </c>
      <c r="U463" s="26" t="str">
        <f>IFERROR(IF(B463="", "", IF(K463="New Construction", "NC", IF(VLOOKUP(S463, 'Fixture Identities'!$A$7:$I$1023,3, FALSE)="T12 Linear Fluorescent", VLOOKUP(S463, 'Fixture Identities'!$A$7:$K$1012, 11, FALSE), S463))), "")</f>
        <v/>
      </c>
      <c r="V463" s="26" t="str">
        <f>IFERROR(IF(OR(B463="", U463=0), "", VLOOKUP(U463, 'Fixture Identities'!$A$7:$G$1023, 5, FALSE)), "")</f>
        <v/>
      </c>
      <c r="W463" s="26" t="str">
        <f>IF(B463="", "",'Lighting Inventory'!K471)</f>
        <v/>
      </c>
      <c r="X463" s="65" t="str">
        <f>IF(B463="", "", 'Lighting Inventory'!L471)</f>
        <v/>
      </c>
      <c r="Y463" s="26" t="str">
        <f>IF(B463="", "", IF('Lighting Inventory'!M471="", "Light Switch",'Lighting Inventory'!M471))</f>
        <v/>
      </c>
      <c r="Z463" s="26" t="str">
        <f>IF(OR(K463="Retrofit", B463=""), "", 'Lighting Inventory'!N471)</f>
        <v/>
      </c>
      <c r="AA463" s="26" t="str">
        <f>IF(OR(Z463="",B463=""), "", 'Lighting Inventory'!O471)</f>
        <v/>
      </c>
      <c r="AB463" s="26" t="str">
        <f>IF(B463="", "", 'Lighting Inventory'!P471)</f>
        <v/>
      </c>
      <c r="AC463" s="96" t="str">
        <f>IF(B463="", "", 'Lighting Inventory'!R471)</f>
        <v/>
      </c>
      <c r="AD463" s="26" t="str">
        <f>IF(B463="", "", 'Lighting Inventory'!S471)</f>
        <v/>
      </c>
      <c r="AE463" s="26" t="str">
        <f>IF(B463="", "", 'Lighting Inventory'!V471)</f>
        <v/>
      </c>
      <c r="AF463" s="26" t="str">
        <f>IF(B463="", "", 'Lighting Inventory'!W471)</f>
        <v/>
      </c>
      <c r="AG463" s="26" t="str">
        <f>IF(OR(AF463="", B463=""), "", IF(AE463="Custom", "0", VLOOKUP(AF463, 'Lookup Tables'!$AI$6:$AP$102, 8, FALSE)))</f>
        <v/>
      </c>
      <c r="AH463" s="26" t="str">
        <f>IF(B463="", "", 'Lighting Inventory'!AD471)</f>
        <v/>
      </c>
      <c r="AI463" s="26" t="str">
        <f>IF(OR('Lighting Inventory'!AK471="", B463=""), "", 'Lighting Inventory'!AK471)</f>
        <v/>
      </c>
      <c r="AJ463" s="66" t="str">
        <f>IF(B463="", "", 'Lighting Inventory'!AL471)</f>
        <v/>
      </c>
      <c r="AK463" s="65" t="str">
        <f>IF(B463="", "", 'Lighting Inventory'!AM471)</f>
        <v/>
      </c>
      <c r="AL463" s="26" t="str">
        <f>IF(B463="", "", 'Lighting Inventory'!AN471)</f>
        <v/>
      </c>
      <c r="AM463" s="26" t="str">
        <f t="shared" si="24"/>
        <v/>
      </c>
      <c r="AN463" s="26" t="str">
        <f>IF(B463="","",IF('Lighting Inventory'!AV471="","Prescribed",'Lighting Inventory'!AV471))</f>
        <v/>
      </c>
      <c r="AO463" s="66" t="str">
        <f>IF(B463="", "", 'Lighting Inventory'!AX471)</f>
        <v/>
      </c>
      <c r="AP463" s="67" t="str">
        <f>IF(B463="", "", 'Lighting Inventory'!AZ471)</f>
        <v/>
      </c>
      <c r="AQ463" s="67" t="str">
        <f>IF(B463="", "", 'Lighting Inventory'!BA471)</f>
        <v/>
      </c>
      <c r="AR463" s="67" t="str">
        <f>IF(B463="", "", 'Lighting Inventory'!BB471)</f>
        <v/>
      </c>
      <c r="AS463" s="67" t="str">
        <f>IF(B463="", "", 'Lighting Inventory'!BC471)</f>
        <v/>
      </c>
      <c r="AT463" s="67" t="str">
        <f>IF(B463="", "", 'Lighting Inventory'!BD471)</f>
        <v/>
      </c>
      <c r="AU463" s="67" t="str">
        <f>IF(B463="", "", 'Lighting Inventory'!BE471)</f>
        <v/>
      </c>
      <c r="AV463" s="67" t="str">
        <f>IF(B463="", "", 'Lighting Inventory'!BE471)</f>
        <v/>
      </c>
      <c r="AW463" s="67" t="str">
        <f>IF(B463="", "", 'Lighting Inventory'!BF471)</f>
        <v/>
      </c>
      <c r="AX463" s="67" t="str">
        <f>IF(B463="", "", 'Lighting Inventory'!BF471)</f>
        <v/>
      </c>
      <c r="AY463" s="65" t="str">
        <f t="shared" si="25"/>
        <v/>
      </c>
      <c r="AZ463" s="65" t="str">
        <f>IF(B463="", "", 'Lighting Inventory'!BJ471)</f>
        <v/>
      </c>
      <c r="BA463" s="65" t="str">
        <f>IF(B463="", "", 'Lighting Inventory'!BM471)</f>
        <v/>
      </c>
      <c r="BB463" s="65" t="str">
        <f>IF(B463="","",SUM('Lighting Inventory'!BP471:BP471))</f>
        <v/>
      </c>
      <c r="BC463" s="67" t="str">
        <f>IF(OR(AE463="", B463=""),"", 'Lighting Inventory'!GR471)</f>
        <v/>
      </c>
      <c r="BD463" s="67" t="str">
        <f>IFERROR(IF(B463="", "", 'Lighting Inventory'!AF471)*AD463," ")</f>
        <v xml:space="preserve"> </v>
      </c>
      <c r="BE463" s="67"/>
      <c r="BF463" s="67"/>
    </row>
    <row r="464" spans="1:58" x14ac:dyDescent="0.25">
      <c r="A464" s="26" t="str">
        <f>IF(B464="", "", 'Lookup Tables'!AW465)</f>
        <v/>
      </c>
      <c r="B464" s="26" t="str">
        <f>IF(OR('Lighting Inventory'!Y472="", 'Lighting Inventory'!V472="No Change"),"", 'Lighting Inventory'!Y472)</f>
        <v/>
      </c>
      <c r="C464" s="26" t="str">
        <f>IF(B464="", "", IF('Lighting Inventory'!Y472='Lookup Tables'!$Y$32, 'Lighting Inventory'!AJ472, IF(AD464=0, R464, AD464)))</f>
        <v/>
      </c>
      <c r="D464" s="26" t="str">
        <f>IF(B464="", "", 'General Information'!$F$14)</f>
        <v/>
      </c>
      <c r="E464" s="26" t="str">
        <f t="shared" si="23"/>
        <v/>
      </c>
      <c r="F464" s="26" t="str">
        <f>IF(B464="", "", CONCATENATE('General Information'!$F$9, " - ", 'General Information'!$F$14))</f>
        <v/>
      </c>
      <c r="G464" s="26" t="str">
        <f>IF(B464="", "", 'General Information'!$F$15)</f>
        <v/>
      </c>
      <c r="H464" s="26" t="str">
        <f>IF(B464="", "", IF(VLOOKUP(B464, 'Lookup Tables'!$Y$18:$AA$34, 2, FALSE)="Traffic", VLOOKUP('Lighting Inventory'!W472, 'Lookup Tables'!#REF!, 11, FALSE), VLOOKUP(B464, 'Lookup Tables'!$Y$18:$AA$34, 2, FALSE)))</f>
        <v/>
      </c>
      <c r="I464" s="26" t="str">
        <f>IF(B464="", "", CONCATENATE(D464, 'Data Export'!A464))</f>
        <v/>
      </c>
      <c r="J464" s="26" t="str">
        <f>IF(B464="", "", 'Lookup Tables'!$B$1)</f>
        <v/>
      </c>
      <c r="K464" s="26" t="str">
        <f>IF(B464="", "", 'Lighting Inventory'!B472)</f>
        <v/>
      </c>
      <c r="L464" s="26" t="str">
        <f>IF(B464="", "", 'Lighting Inventory'!C472)</f>
        <v/>
      </c>
      <c r="M464" s="26" t="str">
        <f>IF(B464="", "",'Lighting Inventory'!D472)</f>
        <v/>
      </c>
      <c r="N464" s="26" t="str">
        <f>IF(B464="", "",'Lighting Inventory'!E472)</f>
        <v/>
      </c>
      <c r="O464" s="26" t="str">
        <f>IF(B464="", "", 'Lighting Inventory'!F472)</f>
        <v/>
      </c>
      <c r="P464" s="26" t="str">
        <f>IF(B464="", "", 'Lighting Inventory'!G472)</f>
        <v/>
      </c>
      <c r="Q464" s="26" t="str">
        <f>IF(B464="", "", 'Lighting Inventory'!H472)</f>
        <v/>
      </c>
      <c r="R464" s="26" t="str">
        <f>IF(B464="", "", 'Lighting Inventory'!I472)</f>
        <v/>
      </c>
      <c r="S464" s="26" t="str">
        <f>IF(B464="", "", 'Lighting Inventory'!J472)</f>
        <v/>
      </c>
      <c r="T464" s="26" t="str">
        <f>IFERROR(IF(B464="","",VLOOKUP(S464,'Fixture Identities'!$A$7:$G$1023,5,FALSE)), "New Construction")</f>
        <v/>
      </c>
      <c r="U464" s="26" t="str">
        <f>IFERROR(IF(B464="", "", IF(K464="New Construction", "NC", IF(VLOOKUP(S464, 'Fixture Identities'!$A$7:$I$1023,3, FALSE)="T12 Linear Fluorescent", VLOOKUP(S464, 'Fixture Identities'!$A$7:$K$1012, 11, FALSE), S464))), "")</f>
        <v/>
      </c>
      <c r="V464" s="26" t="str">
        <f>IFERROR(IF(OR(B464="", U464=0), "", VLOOKUP(U464, 'Fixture Identities'!$A$7:$G$1023, 5, FALSE)), "")</f>
        <v/>
      </c>
      <c r="W464" s="26" t="str">
        <f>IF(B464="", "",'Lighting Inventory'!K472)</f>
        <v/>
      </c>
      <c r="X464" s="65" t="str">
        <f>IF(B464="", "", 'Lighting Inventory'!L472)</f>
        <v/>
      </c>
      <c r="Y464" s="26" t="str">
        <f>IF(B464="", "", IF('Lighting Inventory'!M472="", "Light Switch",'Lighting Inventory'!M472))</f>
        <v/>
      </c>
      <c r="Z464" s="26" t="str">
        <f>IF(OR(K464="Retrofit", B464=""), "", 'Lighting Inventory'!N472)</f>
        <v/>
      </c>
      <c r="AA464" s="26" t="str">
        <f>IF(OR(Z464="",B464=""), "", 'Lighting Inventory'!O472)</f>
        <v/>
      </c>
      <c r="AB464" s="26" t="str">
        <f>IF(B464="", "", 'Lighting Inventory'!P472)</f>
        <v/>
      </c>
      <c r="AC464" s="96" t="str">
        <f>IF(B464="", "", 'Lighting Inventory'!R472)</f>
        <v/>
      </c>
      <c r="AD464" s="26" t="str">
        <f>IF(B464="", "", 'Lighting Inventory'!S472)</f>
        <v/>
      </c>
      <c r="AE464" s="26" t="str">
        <f>IF(B464="", "", 'Lighting Inventory'!V472)</f>
        <v/>
      </c>
      <c r="AF464" s="26" t="str">
        <f>IF(B464="", "", 'Lighting Inventory'!W472)</f>
        <v/>
      </c>
      <c r="AG464" s="26" t="str">
        <f>IF(OR(AF464="", B464=""), "", IF(AE464="Custom", "0", VLOOKUP(AF464, 'Lookup Tables'!$AI$6:$AP$102, 8, FALSE)))</f>
        <v/>
      </c>
      <c r="AH464" s="26" t="str">
        <f>IF(B464="", "", 'Lighting Inventory'!AD472)</f>
        <v/>
      </c>
      <c r="AI464" s="26" t="str">
        <f>IF(OR('Lighting Inventory'!AK472="", B464=""), "", 'Lighting Inventory'!AK472)</f>
        <v/>
      </c>
      <c r="AJ464" s="66" t="str">
        <f>IF(B464="", "", 'Lighting Inventory'!AL472)</f>
        <v/>
      </c>
      <c r="AK464" s="65" t="str">
        <f>IF(B464="", "", 'Lighting Inventory'!AM472)</f>
        <v/>
      </c>
      <c r="AL464" s="26" t="str">
        <f>IF(B464="", "", 'Lighting Inventory'!AN472)</f>
        <v/>
      </c>
      <c r="AM464" s="26" t="str">
        <f t="shared" si="24"/>
        <v/>
      </c>
      <c r="AN464" s="26" t="str">
        <f>IF(B464="","",IF('Lighting Inventory'!AV472="","Prescribed",'Lighting Inventory'!AV472))</f>
        <v/>
      </c>
      <c r="AO464" s="66" t="str">
        <f>IF(B464="", "", 'Lighting Inventory'!AX472)</f>
        <v/>
      </c>
      <c r="AP464" s="67" t="str">
        <f>IF(B464="", "", 'Lighting Inventory'!AZ472)</f>
        <v/>
      </c>
      <c r="AQ464" s="67" t="str">
        <f>IF(B464="", "", 'Lighting Inventory'!BA472)</f>
        <v/>
      </c>
      <c r="AR464" s="67" t="str">
        <f>IF(B464="", "", 'Lighting Inventory'!BB472)</f>
        <v/>
      </c>
      <c r="AS464" s="67" t="str">
        <f>IF(B464="", "", 'Lighting Inventory'!BC472)</f>
        <v/>
      </c>
      <c r="AT464" s="67" t="str">
        <f>IF(B464="", "", 'Lighting Inventory'!BD472)</f>
        <v/>
      </c>
      <c r="AU464" s="67" t="str">
        <f>IF(B464="", "", 'Lighting Inventory'!BE472)</f>
        <v/>
      </c>
      <c r="AV464" s="67" t="str">
        <f>IF(B464="", "", 'Lighting Inventory'!BE472)</f>
        <v/>
      </c>
      <c r="AW464" s="67" t="str">
        <f>IF(B464="", "", 'Lighting Inventory'!BF472)</f>
        <v/>
      </c>
      <c r="AX464" s="67" t="str">
        <f>IF(B464="", "", 'Lighting Inventory'!BF472)</f>
        <v/>
      </c>
      <c r="AY464" s="65" t="str">
        <f t="shared" si="25"/>
        <v/>
      </c>
      <c r="AZ464" s="65" t="str">
        <f>IF(B464="", "", 'Lighting Inventory'!BJ472)</f>
        <v/>
      </c>
      <c r="BA464" s="65" t="str">
        <f>IF(B464="", "", 'Lighting Inventory'!BM472)</f>
        <v/>
      </c>
      <c r="BB464" s="65" t="str">
        <f>IF(B464="","",SUM('Lighting Inventory'!BP472:BP472))</f>
        <v/>
      </c>
      <c r="BC464" s="67" t="str">
        <f>IF(OR(AE464="", B464=""),"", 'Lighting Inventory'!GR472)</f>
        <v/>
      </c>
      <c r="BD464" s="67" t="str">
        <f>IFERROR(IF(B464="", "", 'Lighting Inventory'!AF472)*AD464," ")</f>
        <v xml:space="preserve"> </v>
      </c>
      <c r="BE464" s="67"/>
      <c r="BF464" s="67"/>
    </row>
    <row r="465" spans="1:58" x14ac:dyDescent="0.25">
      <c r="A465" s="26" t="str">
        <f>IF(B465="", "", 'Lookup Tables'!AW466)</f>
        <v/>
      </c>
      <c r="B465" s="26" t="str">
        <f>IF(OR('Lighting Inventory'!Y473="", 'Lighting Inventory'!V473="No Change"),"", 'Lighting Inventory'!Y473)</f>
        <v/>
      </c>
      <c r="C465" s="26" t="str">
        <f>IF(B465="", "", IF('Lighting Inventory'!Y473='Lookup Tables'!$Y$32, 'Lighting Inventory'!AJ473, IF(AD465=0, R465, AD465)))</f>
        <v/>
      </c>
      <c r="D465" s="26" t="str">
        <f>IF(B465="", "", 'General Information'!$F$14)</f>
        <v/>
      </c>
      <c r="E465" s="26" t="str">
        <f t="shared" si="23"/>
        <v/>
      </c>
      <c r="F465" s="26" t="str">
        <f>IF(B465="", "", CONCATENATE('General Information'!$F$9, " - ", 'General Information'!$F$14))</f>
        <v/>
      </c>
      <c r="G465" s="26" t="str">
        <f>IF(B465="", "", 'General Information'!$F$15)</f>
        <v/>
      </c>
      <c r="H465" s="26" t="str">
        <f>IF(B465="", "", IF(VLOOKUP(B465, 'Lookup Tables'!$Y$18:$AA$34, 2, FALSE)="Traffic", VLOOKUP('Lighting Inventory'!W473, 'Lookup Tables'!#REF!, 11, FALSE), VLOOKUP(B465, 'Lookup Tables'!$Y$18:$AA$34, 2, FALSE)))</f>
        <v/>
      </c>
      <c r="I465" s="26" t="str">
        <f>IF(B465="", "", CONCATENATE(D465, 'Data Export'!A465))</f>
        <v/>
      </c>
      <c r="J465" s="26" t="str">
        <f>IF(B465="", "", 'Lookup Tables'!$B$1)</f>
        <v/>
      </c>
      <c r="K465" s="26" t="str">
        <f>IF(B465="", "", 'Lighting Inventory'!B473)</f>
        <v/>
      </c>
      <c r="L465" s="26" t="str">
        <f>IF(B465="", "", 'Lighting Inventory'!C473)</f>
        <v/>
      </c>
      <c r="M465" s="26" t="str">
        <f>IF(B465="", "",'Lighting Inventory'!D473)</f>
        <v/>
      </c>
      <c r="N465" s="26" t="str">
        <f>IF(B465="", "",'Lighting Inventory'!E473)</f>
        <v/>
      </c>
      <c r="O465" s="26" t="str">
        <f>IF(B465="", "", 'Lighting Inventory'!F473)</f>
        <v/>
      </c>
      <c r="P465" s="26" t="str">
        <f>IF(B465="", "", 'Lighting Inventory'!G473)</f>
        <v/>
      </c>
      <c r="Q465" s="26" t="str">
        <f>IF(B465="", "", 'Lighting Inventory'!H473)</f>
        <v/>
      </c>
      <c r="R465" s="26" t="str">
        <f>IF(B465="", "", 'Lighting Inventory'!I473)</f>
        <v/>
      </c>
      <c r="S465" s="26" t="str">
        <f>IF(B465="", "", 'Lighting Inventory'!J473)</f>
        <v/>
      </c>
      <c r="T465" s="26" t="str">
        <f>IFERROR(IF(B465="","",VLOOKUP(S465,'Fixture Identities'!$A$7:$G$1023,5,FALSE)), "New Construction")</f>
        <v/>
      </c>
      <c r="U465" s="26" t="str">
        <f>IFERROR(IF(B465="", "", IF(K465="New Construction", "NC", IF(VLOOKUP(S465, 'Fixture Identities'!$A$7:$I$1023,3, FALSE)="T12 Linear Fluorescent", VLOOKUP(S465, 'Fixture Identities'!$A$7:$K$1012, 11, FALSE), S465))), "")</f>
        <v/>
      </c>
      <c r="V465" s="26" t="str">
        <f>IFERROR(IF(OR(B465="", U465=0), "", VLOOKUP(U465, 'Fixture Identities'!$A$7:$G$1023, 5, FALSE)), "")</f>
        <v/>
      </c>
      <c r="W465" s="26" t="str">
        <f>IF(B465="", "",'Lighting Inventory'!K473)</f>
        <v/>
      </c>
      <c r="X465" s="65" t="str">
        <f>IF(B465="", "", 'Lighting Inventory'!L473)</f>
        <v/>
      </c>
      <c r="Y465" s="26" t="str">
        <f>IF(B465="", "", IF('Lighting Inventory'!M473="", "Light Switch",'Lighting Inventory'!M473))</f>
        <v/>
      </c>
      <c r="Z465" s="26" t="str">
        <f>IF(OR(K465="Retrofit", B465=""), "", 'Lighting Inventory'!N473)</f>
        <v/>
      </c>
      <c r="AA465" s="26" t="str">
        <f>IF(OR(Z465="",B465=""), "", 'Lighting Inventory'!O473)</f>
        <v/>
      </c>
      <c r="AB465" s="26" t="str">
        <f>IF(B465="", "", 'Lighting Inventory'!P473)</f>
        <v/>
      </c>
      <c r="AC465" s="96" t="str">
        <f>IF(B465="", "", 'Lighting Inventory'!R473)</f>
        <v/>
      </c>
      <c r="AD465" s="26" t="str">
        <f>IF(B465="", "", 'Lighting Inventory'!S473)</f>
        <v/>
      </c>
      <c r="AE465" s="26" t="str">
        <f>IF(B465="", "", 'Lighting Inventory'!V473)</f>
        <v/>
      </c>
      <c r="AF465" s="26" t="str">
        <f>IF(B465="", "", 'Lighting Inventory'!W473)</f>
        <v/>
      </c>
      <c r="AG465" s="26" t="str">
        <f>IF(OR(AF465="", B465=""), "", IF(AE465="Custom", "0", VLOOKUP(AF465, 'Lookup Tables'!$AI$6:$AP$102, 8, FALSE)))</f>
        <v/>
      </c>
      <c r="AH465" s="26" t="str">
        <f>IF(B465="", "", 'Lighting Inventory'!AD473)</f>
        <v/>
      </c>
      <c r="AI465" s="26" t="str">
        <f>IF(OR('Lighting Inventory'!AK473="", B465=""), "", 'Lighting Inventory'!AK473)</f>
        <v/>
      </c>
      <c r="AJ465" s="66" t="str">
        <f>IF(B465="", "", 'Lighting Inventory'!AL473)</f>
        <v/>
      </c>
      <c r="AK465" s="65" t="str">
        <f>IF(B465="", "", 'Lighting Inventory'!AM473)</f>
        <v/>
      </c>
      <c r="AL465" s="26" t="str">
        <f>IF(B465="", "", 'Lighting Inventory'!AN473)</f>
        <v/>
      </c>
      <c r="AM465" s="26" t="str">
        <f t="shared" si="24"/>
        <v/>
      </c>
      <c r="AN465" s="26" t="str">
        <f>IF(B465="","",IF('Lighting Inventory'!AV473="","Prescribed",'Lighting Inventory'!AV473))</f>
        <v/>
      </c>
      <c r="AO465" s="66" t="str">
        <f>IF(B465="", "", 'Lighting Inventory'!AX473)</f>
        <v/>
      </c>
      <c r="AP465" s="67" t="str">
        <f>IF(B465="", "", 'Lighting Inventory'!AZ473)</f>
        <v/>
      </c>
      <c r="AQ465" s="67" t="str">
        <f>IF(B465="", "", 'Lighting Inventory'!BA473)</f>
        <v/>
      </c>
      <c r="AR465" s="67" t="str">
        <f>IF(B465="", "", 'Lighting Inventory'!BB473)</f>
        <v/>
      </c>
      <c r="AS465" s="67" t="str">
        <f>IF(B465="", "", 'Lighting Inventory'!BC473)</f>
        <v/>
      </c>
      <c r="AT465" s="67" t="str">
        <f>IF(B465="", "", 'Lighting Inventory'!BD473)</f>
        <v/>
      </c>
      <c r="AU465" s="67" t="str">
        <f>IF(B465="", "", 'Lighting Inventory'!BE473)</f>
        <v/>
      </c>
      <c r="AV465" s="67" t="str">
        <f>IF(B465="", "", 'Lighting Inventory'!BE473)</f>
        <v/>
      </c>
      <c r="AW465" s="67" t="str">
        <f>IF(B465="", "", 'Lighting Inventory'!BF473)</f>
        <v/>
      </c>
      <c r="AX465" s="67" t="str">
        <f>IF(B465="", "", 'Lighting Inventory'!BF473)</f>
        <v/>
      </c>
      <c r="AY465" s="65" t="str">
        <f t="shared" si="25"/>
        <v/>
      </c>
      <c r="AZ465" s="65" t="str">
        <f>IF(B465="", "", 'Lighting Inventory'!BJ473)</f>
        <v/>
      </c>
      <c r="BA465" s="65" t="str">
        <f>IF(B465="", "", 'Lighting Inventory'!BM473)</f>
        <v/>
      </c>
      <c r="BB465" s="65" t="str">
        <f>IF(B465="","",SUM('Lighting Inventory'!BP473:BP473))</f>
        <v/>
      </c>
      <c r="BC465" s="67" t="str">
        <f>IF(OR(AE465="", B465=""),"", 'Lighting Inventory'!GR473)</f>
        <v/>
      </c>
      <c r="BD465" s="67" t="str">
        <f>IFERROR(IF(B465="", "", 'Lighting Inventory'!AF473)*AD465," ")</f>
        <v xml:space="preserve"> </v>
      </c>
      <c r="BE465" s="67"/>
      <c r="BF465" s="67"/>
    </row>
    <row r="466" spans="1:58" x14ac:dyDescent="0.25">
      <c r="A466" s="26" t="str">
        <f>IF(B466="", "", 'Lookup Tables'!AW467)</f>
        <v/>
      </c>
      <c r="B466" s="26" t="str">
        <f>IF(OR('Lighting Inventory'!Y474="", 'Lighting Inventory'!V474="No Change"),"", 'Lighting Inventory'!Y474)</f>
        <v/>
      </c>
      <c r="C466" s="26" t="str">
        <f>IF(B466="", "", IF('Lighting Inventory'!Y474='Lookup Tables'!$Y$32, 'Lighting Inventory'!AJ474, IF(AD466=0, R466, AD466)))</f>
        <v/>
      </c>
      <c r="D466" s="26" t="str">
        <f>IF(B466="", "", 'General Information'!$F$14)</f>
        <v/>
      </c>
      <c r="E466" s="26" t="str">
        <f t="shared" si="23"/>
        <v/>
      </c>
      <c r="F466" s="26" t="str">
        <f>IF(B466="", "", CONCATENATE('General Information'!$F$9, " - ", 'General Information'!$F$14))</f>
        <v/>
      </c>
      <c r="G466" s="26" t="str">
        <f>IF(B466="", "", 'General Information'!$F$15)</f>
        <v/>
      </c>
      <c r="H466" s="26" t="str">
        <f>IF(B466="", "", IF(VLOOKUP(B466, 'Lookup Tables'!$Y$18:$AA$34, 2, FALSE)="Traffic", VLOOKUP('Lighting Inventory'!W474, 'Lookup Tables'!#REF!, 11, FALSE), VLOOKUP(B466, 'Lookup Tables'!$Y$18:$AA$34, 2, FALSE)))</f>
        <v/>
      </c>
      <c r="I466" s="26" t="str">
        <f>IF(B466="", "", CONCATENATE(D466, 'Data Export'!A466))</f>
        <v/>
      </c>
      <c r="J466" s="26" t="str">
        <f>IF(B466="", "", 'Lookup Tables'!$B$1)</f>
        <v/>
      </c>
      <c r="K466" s="26" t="str">
        <f>IF(B466="", "", 'Lighting Inventory'!B474)</f>
        <v/>
      </c>
      <c r="L466" s="26" t="str">
        <f>IF(B466="", "", 'Lighting Inventory'!C474)</f>
        <v/>
      </c>
      <c r="M466" s="26" t="str">
        <f>IF(B466="", "",'Lighting Inventory'!D474)</f>
        <v/>
      </c>
      <c r="N466" s="26" t="str">
        <f>IF(B466="", "",'Lighting Inventory'!E474)</f>
        <v/>
      </c>
      <c r="O466" s="26" t="str">
        <f>IF(B466="", "", 'Lighting Inventory'!F474)</f>
        <v/>
      </c>
      <c r="P466" s="26" t="str">
        <f>IF(B466="", "", 'Lighting Inventory'!G474)</f>
        <v/>
      </c>
      <c r="Q466" s="26" t="str">
        <f>IF(B466="", "", 'Lighting Inventory'!H474)</f>
        <v/>
      </c>
      <c r="R466" s="26" t="str">
        <f>IF(B466="", "", 'Lighting Inventory'!I474)</f>
        <v/>
      </c>
      <c r="S466" s="26" t="str">
        <f>IF(B466="", "", 'Lighting Inventory'!J474)</f>
        <v/>
      </c>
      <c r="T466" s="26" t="str">
        <f>IFERROR(IF(B466="","",VLOOKUP(S466,'Fixture Identities'!$A$7:$G$1023,5,FALSE)), "New Construction")</f>
        <v/>
      </c>
      <c r="U466" s="26" t="str">
        <f>IFERROR(IF(B466="", "", IF(K466="New Construction", "NC", IF(VLOOKUP(S466, 'Fixture Identities'!$A$7:$I$1023,3, FALSE)="T12 Linear Fluorescent", VLOOKUP(S466, 'Fixture Identities'!$A$7:$K$1012, 11, FALSE), S466))), "")</f>
        <v/>
      </c>
      <c r="V466" s="26" t="str">
        <f>IFERROR(IF(OR(B466="", U466=0), "", VLOOKUP(U466, 'Fixture Identities'!$A$7:$G$1023, 5, FALSE)), "")</f>
        <v/>
      </c>
      <c r="W466" s="26" t="str">
        <f>IF(B466="", "",'Lighting Inventory'!K474)</f>
        <v/>
      </c>
      <c r="X466" s="65" t="str">
        <f>IF(B466="", "", 'Lighting Inventory'!L474)</f>
        <v/>
      </c>
      <c r="Y466" s="26" t="str">
        <f>IF(B466="", "", IF('Lighting Inventory'!M474="", "Light Switch",'Lighting Inventory'!M474))</f>
        <v/>
      </c>
      <c r="Z466" s="26" t="str">
        <f>IF(OR(K466="Retrofit", B466=""), "", 'Lighting Inventory'!N474)</f>
        <v/>
      </c>
      <c r="AA466" s="26" t="str">
        <f>IF(OR(Z466="",B466=""), "", 'Lighting Inventory'!O474)</f>
        <v/>
      </c>
      <c r="AB466" s="26" t="str">
        <f>IF(B466="", "", 'Lighting Inventory'!P474)</f>
        <v/>
      </c>
      <c r="AC466" s="96" t="str">
        <f>IF(B466="", "", 'Lighting Inventory'!R474)</f>
        <v/>
      </c>
      <c r="AD466" s="26" t="str">
        <f>IF(B466="", "", 'Lighting Inventory'!S474)</f>
        <v/>
      </c>
      <c r="AE466" s="26" t="str">
        <f>IF(B466="", "", 'Lighting Inventory'!V474)</f>
        <v/>
      </c>
      <c r="AF466" s="26" t="str">
        <f>IF(B466="", "", 'Lighting Inventory'!W474)</f>
        <v/>
      </c>
      <c r="AG466" s="26" t="str">
        <f>IF(OR(AF466="", B466=""), "", IF(AE466="Custom", "0", VLOOKUP(AF466, 'Lookup Tables'!$AI$6:$AP$102, 8, FALSE)))</f>
        <v/>
      </c>
      <c r="AH466" s="26" t="str">
        <f>IF(B466="", "", 'Lighting Inventory'!AD474)</f>
        <v/>
      </c>
      <c r="AI466" s="26" t="str">
        <f>IF(OR('Lighting Inventory'!AK474="", B466=""), "", 'Lighting Inventory'!AK474)</f>
        <v/>
      </c>
      <c r="AJ466" s="66" t="str">
        <f>IF(B466="", "", 'Lighting Inventory'!AL474)</f>
        <v/>
      </c>
      <c r="AK466" s="65" t="str">
        <f>IF(B466="", "", 'Lighting Inventory'!AM474)</f>
        <v/>
      </c>
      <c r="AL466" s="26" t="str">
        <f>IF(B466="", "", 'Lighting Inventory'!AN474)</f>
        <v/>
      </c>
      <c r="AM466" s="26" t="str">
        <f t="shared" si="24"/>
        <v/>
      </c>
      <c r="AN466" s="26" t="str">
        <f>IF(B466="","",IF('Lighting Inventory'!AV474="","Prescribed",'Lighting Inventory'!AV474))</f>
        <v/>
      </c>
      <c r="AO466" s="66" t="str">
        <f>IF(B466="", "", 'Lighting Inventory'!AX474)</f>
        <v/>
      </c>
      <c r="AP466" s="67" t="str">
        <f>IF(B466="", "", 'Lighting Inventory'!AZ474)</f>
        <v/>
      </c>
      <c r="AQ466" s="67" t="str">
        <f>IF(B466="", "", 'Lighting Inventory'!BA474)</f>
        <v/>
      </c>
      <c r="AR466" s="67" t="str">
        <f>IF(B466="", "", 'Lighting Inventory'!BB474)</f>
        <v/>
      </c>
      <c r="AS466" s="67" t="str">
        <f>IF(B466="", "", 'Lighting Inventory'!BC474)</f>
        <v/>
      </c>
      <c r="AT466" s="67" t="str">
        <f>IF(B466="", "", 'Lighting Inventory'!BD474)</f>
        <v/>
      </c>
      <c r="AU466" s="67" t="str">
        <f>IF(B466="", "", 'Lighting Inventory'!BE474)</f>
        <v/>
      </c>
      <c r="AV466" s="67" t="str">
        <f>IF(B466="", "", 'Lighting Inventory'!BE474)</f>
        <v/>
      </c>
      <c r="AW466" s="67" t="str">
        <f>IF(B466="", "", 'Lighting Inventory'!BF474)</f>
        <v/>
      </c>
      <c r="AX466" s="67" t="str">
        <f>IF(B466="", "", 'Lighting Inventory'!BF474)</f>
        <v/>
      </c>
      <c r="AY466" s="65" t="str">
        <f t="shared" si="25"/>
        <v/>
      </c>
      <c r="AZ466" s="65" t="str">
        <f>IF(B466="", "", 'Lighting Inventory'!BJ474)</f>
        <v/>
      </c>
      <c r="BA466" s="65" t="str">
        <f>IF(B466="", "", 'Lighting Inventory'!BM474)</f>
        <v/>
      </c>
      <c r="BB466" s="65" t="str">
        <f>IF(B466="","",SUM('Lighting Inventory'!BP474:BP474))</f>
        <v/>
      </c>
      <c r="BC466" s="67" t="str">
        <f>IF(OR(AE466="", B466=""),"", 'Lighting Inventory'!GR474)</f>
        <v/>
      </c>
      <c r="BD466" s="67" t="str">
        <f>IFERROR(IF(B466="", "", 'Lighting Inventory'!AF474)*AD466," ")</f>
        <v xml:space="preserve"> </v>
      </c>
      <c r="BE466" s="67"/>
      <c r="BF466" s="67"/>
    </row>
    <row r="467" spans="1:58" x14ac:dyDescent="0.25">
      <c r="A467" s="26" t="str">
        <f>IF(B467="", "", 'Lookup Tables'!AW468)</f>
        <v/>
      </c>
      <c r="B467" s="26" t="str">
        <f>IF(OR('Lighting Inventory'!Y475="", 'Lighting Inventory'!V475="No Change"),"", 'Lighting Inventory'!Y475)</f>
        <v/>
      </c>
      <c r="C467" s="26" t="str">
        <f>IF(B467="", "", IF('Lighting Inventory'!Y475='Lookup Tables'!$Y$32, 'Lighting Inventory'!AJ475, IF(AD467=0, R467, AD467)))</f>
        <v/>
      </c>
      <c r="D467" s="26" t="str">
        <f>IF(B467="", "", 'General Information'!$F$14)</f>
        <v/>
      </c>
      <c r="E467" s="26" t="str">
        <f t="shared" si="23"/>
        <v/>
      </c>
      <c r="F467" s="26" t="str">
        <f>IF(B467="", "", CONCATENATE('General Information'!$F$9, " - ", 'General Information'!$F$14))</f>
        <v/>
      </c>
      <c r="G467" s="26" t="str">
        <f>IF(B467="", "", 'General Information'!$F$15)</f>
        <v/>
      </c>
      <c r="H467" s="26" t="str">
        <f>IF(B467="", "", IF(VLOOKUP(B467, 'Lookup Tables'!$Y$18:$AA$34, 2, FALSE)="Traffic", VLOOKUP('Lighting Inventory'!W475, 'Lookup Tables'!#REF!, 11, FALSE), VLOOKUP(B467, 'Lookup Tables'!$Y$18:$AA$34, 2, FALSE)))</f>
        <v/>
      </c>
      <c r="I467" s="26" t="str">
        <f>IF(B467="", "", CONCATENATE(D467, 'Data Export'!A467))</f>
        <v/>
      </c>
      <c r="J467" s="26" t="str">
        <f>IF(B467="", "", 'Lookup Tables'!$B$1)</f>
        <v/>
      </c>
      <c r="K467" s="26" t="str">
        <f>IF(B467="", "", 'Lighting Inventory'!B475)</f>
        <v/>
      </c>
      <c r="L467" s="26" t="str">
        <f>IF(B467="", "", 'Lighting Inventory'!C475)</f>
        <v/>
      </c>
      <c r="M467" s="26" t="str">
        <f>IF(B467="", "",'Lighting Inventory'!D475)</f>
        <v/>
      </c>
      <c r="N467" s="26" t="str">
        <f>IF(B467="", "",'Lighting Inventory'!E475)</f>
        <v/>
      </c>
      <c r="O467" s="26" t="str">
        <f>IF(B467="", "", 'Lighting Inventory'!F475)</f>
        <v/>
      </c>
      <c r="P467" s="26" t="str">
        <f>IF(B467="", "", 'Lighting Inventory'!G475)</f>
        <v/>
      </c>
      <c r="Q467" s="26" t="str">
        <f>IF(B467="", "", 'Lighting Inventory'!H475)</f>
        <v/>
      </c>
      <c r="R467" s="26" t="str">
        <f>IF(B467="", "", 'Lighting Inventory'!I475)</f>
        <v/>
      </c>
      <c r="S467" s="26" t="str">
        <f>IF(B467="", "", 'Lighting Inventory'!J475)</f>
        <v/>
      </c>
      <c r="T467" s="26" t="str">
        <f>IFERROR(IF(B467="","",VLOOKUP(S467,'Fixture Identities'!$A$7:$G$1023,5,FALSE)), "New Construction")</f>
        <v/>
      </c>
      <c r="U467" s="26" t="str">
        <f>IFERROR(IF(B467="", "", IF(K467="New Construction", "NC", IF(VLOOKUP(S467, 'Fixture Identities'!$A$7:$I$1023,3, FALSE)="T12 Linear Fluorescent", VLOOKUP(S467, 'Fixture Identities'!$A$7:$K$1012, 11, FALSE), S467))), "")</f>
        <v/>
      </c>
      <c r="V467" s="26" t="str">
        <f>IFERROR(IF(OR(B467="", U467=0), "", VLOOKUP(U467, 'Fixture Identities'!$A$7:$G$1023, 5, FALSE)), "")</f>
        <v/>
      </c>
      <c r="W467" s="26" t="str">
        <f>IF(B467="", "",'Lighting Inventory'!K475)</f>
        <v/>
      </c>
      <c r="X467" s="65" t="str">
        <f>IF(B467="", "", 'Lighting Inventory'!L475)</f>
        <v/>
      </c>
      <c r="Y467" s="26" t="str">
        <f>IF(B467="", "", IF('Lighting Inventory'!M475="", "Light Switch",'Lighting Inventory'!M475))</f>
        <v/>
      </c>
      <c r="Z467" s="26" t="str">
        <f>IF(OR(K467="Retrofit", B467=""), "", 'Lighting Inventory'!N475)</f>
        <v/>
      </c>
      <c r="AA467" s="26" t="str">
        <f>IF(OR(Z467="",B467=""), "", 'Lighting Inventory'!O475)</f>
        <v/>
      </c>
      <c r="AB467" s="26" t="str">
        <f>IF(B467="", "", 'Lighting Inventory'!P475)</f>
        <v/>
      </c>
      <c r="AC467" s="96" t="str">
        <f>IF(B467="", "", 'Lighting Inventory'!R475)</f>
        <v/>
      </c>
      <c r="AD467" s="26" t="str">
        <f>IF(B467="", "", 'Lighting Inventory'!S475)</f>
        <v/>
      </c>
      <c r="AE467" s="26" t="str">
        <f>IF(B467="", "", 'Lighting Inventory'!V475)</f>
        <v/>
      </c>
      <c r="AF467" s="26" t="str">
        <f>IF(B467="", "", 'Lighting Inventory'!W475)</f>
        <v/>
      </c>
      <c r="AG467" s="26" t="str">
        <f>IF(OR(AF467="", B467=""), "", IF(AE467="Custom", "0", VLOOKUP(AF467, 'Lookup Tables'!$AI$6:$AP$102, 8, FALSE)))</f>
        <v/>
      </c>
      <c r="AH467" s="26" t="str">
        <f>IF(B467="", "", 'Lighting Inventory'!AD475)</f>
        <v/>
      </c>
      <c r="AI467" s="26" t="str">
        <f>IF(OR('Lighting Inventory'!AK475="", B467=""), "", 'Lighting Inventory'!AK475)</f>
        <v/>
      </c>
      <c r="AJ467" s="66" t="str">
        <f>IF(B467="", "", 'Lighting Inventory'!AL475)</f>
        <v/>
      </c>
      <c r="AK467" s="65" t="str">
        <f>IF(B467="", "", 'Lighting Inventory'!AM475)</f>
        <v/>
      </c>
      <c r="AL467" s="26" t="str">
        <f>IF(B467="", "", 'Lighting Inventory'!AN475)</f>
        <v/>
      </c>
      <c r="AM467" s="26" t="str">
        <f t="shared" si="24"/>
        <v/>
      </c>
      <c r="AN467" s="26" t="str">
        <f>IF(B467="","",IF('Lighting Inventory'!AV475="","Prescribed",'Lighting Inventory'!AV475))</f>
        <v/>
      </c>
      <c r="AO467" s="66" t="str">
        <f>IF(B467="", "", 'Lighting Inventory'!AX475)</f>
        <v/>
      </c>
      <c r="AP467" s="67" t="str">
        <f>IF(B467="", "", 'Lighting Inventory'!AZ475)</f>
        <v/>
      </c>
      <c r="AQ467" s="67" t="str">
        <f>IF(B467="", "", 'Lighting Inventory'!BA475)</f>
        <v/>
      </c>
      <c r="AR467" s="67" t="str">
        <f>IF(B467="", "", 'Lighting Inventory'!BB475)</f>
        <v/>
      </c>
      <c r="AS467" s="67" t="str">
        <f>IF(B467="", "", 'Lighting Inventory'!BC475)</f>
        <v/>
      </c>
      <c r="AT467" s="67" t="str">
        <f>IF(B467="", "", 'Lighting Inventory'!BD475)</f>
        <v/>
      </c>
      <c r="AU467" s="67" t="str">
        <f>IF(B467="", "", 'Lighting Inventory'!BE475)</f>
        <v/>
      </c>
      <c r="AV467" s="67" t="str">
        <f>IF(B467="", "", 'Lighting Inventory'!BE475)</f>
        <v/>
      </c>
      <c r="AW467" s="67" t="str">
        <f>IF(B467="", "", 'Lighting Inventory'!BF475)</f>
        <v/>
      </c>
      <c r="AX467" s="67" t="str">
        <f>IF(B467="", "", 'Lighting Inventory'!BF475)</f>
        <v/>
      </c>
      <c r="AY467" s="65" t="str">
        <f t="shared" si="25"/>
        <v/>
      </c>
      <c r="AZ467" s="65" t="str">
        <f>IF(B467="", "", 'Lighting Inventory'!BJ475)</f>
        <v/>
      </c>
      <c r="BA467" s="65" t="str">
        <f>IF(B467="", "", 'Lighting Inventory'!BM475)</f>
        <v/>
      </c>
      <c r="BB467" s="65" t="str">
        <f>IF(B467="","",SUM('Lighting Inventory'!BP475:BP475))</f>
        <v/>
      </c>
      <c r="BC467" s="67" t="str">
        <f>IF(OR(AE467="", B467=""),"", 'Lighting Inventory'!GR475)</f>
        <v/>
      </c>
      <c r="BD467" s="67" t="str">
        <f>IFERROR(IF(B467="", "", 'Lighting Inventory'!AF475)*AD467," ")</f>
        <v xml:space="preserve"> </v>
      </c>
      <c r="BE467" s="67"/>
      <c r="BF467" s="67"/>
    </row>
    <row r="468" spans="1:58" x14ac:dyDescent="0.25">
      <c r="A468" s="26" t="str">
        <f>IF(B468="", "", 'Lookup Tables'!AW469)</f>
        <v/>
      </c>
      <c r="B468" s="26" t="str">
        <f>IF(OR('Lighting Inventory'!Y476="", 'Lighting Inventory'!V476="No Change"),"", 'Lighting Inventory'!Y476)</f>
        <v/>
      </c>
      <c r="C468" s="26" t="str">
        <f>IF(B468="", "", IF('Lighting Inventory'!Y476='Lookup Tables'!$Y$32, 'Lighting Inventory'!AJ476, IF(AD468=0, R468, AD468)))</f>
        <v/>
      </c>
      <c r="D468" s="26" t="str">
        <f>IF(B468="", "", 'General Information'!$F$14)</f>
        <v/>
      </c>
      <c r="E468" s="26" t="str">
        <f t="shared" si="23"/>
        <v/>
      </c>
      <c r="F468" s="26" t="str">
        <f>IF(B468="", "", CONCATENATE('General Information'!$F$9, " - ", 'General Information'!$F$14))</f>
        <v/>
      </c>
      <c r="G468" s="26" t="str">
        <f>IF(B468="", "", 'General Information'!$F$15)</f>
        <v/>
      </c>
      <c r="H468" s="26" t="str">
        <f>IF(B468="", "", IF(VLOOKUP(B468, 'Lookup Tables'!$Y$18:$AA$34, 2, FALSE)="Traffic", VLOOKUP('Lighting Inventory'!W476, 'Lookup Tables'!#REF!, 11, FALSE), VLOOKUP(B468, 'Lookup Tables'!$Y$18:$AA$34, 2, FALSE)))</f>
        <v/>
      </c>
      <c r="I468" s="26" t="str">
        <f>IF(B468="", "", CONCATENATE(D468, 'Data Export'!A468))</f>
        <v/>
      </c>
      <c r="J468" s="26" t="str">
        <f>IF(B468="", "", 'Lookup Tables'!$B$1)</f>
        <v/>
      </c>
      <c r="K468" s="26" t="str">
        <f>IF(B468="", "", 'Lighting Inventory'!B476)</f>
        <v/>
      </c>
      <c r="L468" s="26" t="str">
        <f>IF(B468="", "", 'Lighting Inventory'!C476)</f>
        <v/>
      </c>
      <c r="M468" s="26" t="str">
        <f>IF(B468="", "",'Lighting Inventory'!D476)</f>
        <v/>
      </c>
      <c r="N468" s="26" t="str">
        <f>IF(B468="", "",'Lighting Inventory'!E476)</f>
        <v/>
      </c>
      <c r="O468" s="26" t="str">
        <f>IF(B468="", "", 'Lighting Inventory'!F476)</f>
        <v/>
      </c>
      <c r="P468" s="26" t="str">
        <f>IF(B468="", "", 'Lighting Inventory'!G476)</f>
        <v/>
      </c>
      <c r="Q468" s="26" t="str">
        <f>IF(B468="", "", 'Lighting Inventory'!H476)</f>
        <v/>
      </c>
      <c r="R468" s="26" t="str">
        <f>IF(B468="", "", 'Lighting Inventory'!I476)</f>
        <v/>
      </c>
      <c r="S468" s="26" t="str">
        <f>IF(B468="", "", 'Lighting Inventory'!J476)</f>
        <v/>
      </c>
      <c r="T468" s="26" t="str">
        <f>IFERROR(IF(B468="","",VLOOKUP(S468,'Fixture Identities'!$A$7:$G$1023,5,FALSE)), "New Construction")</f>
        <v/>
      </c>
      <c r="U468" s="26" t="str">
        <f>IFERROR(IF(B468="", "", IF(K468="New Construction", "NC", IF(VLOOKUP(S468, 'Fixture Identities'!$A$7:$I$1023,3, FALSE)="T12 Linear Fluorescent", VLOOKUP(S468, 'Fixture Identities'!$A$7:$K$1012, 11, FALSE), S468))), "")</f>
        <v/>
      </c>
      <c r="V468" s="26" t="str">
        <f>IFERROR(IF(OR(B468="", U468=0), "", VLOOKUP(U468, 'Fixture Identities'!$A$7:$G$1023, 5, FALSE)), "")</f>
        <v/>
      </c>
      <c r="W468" s="26" t="str">
        <f>IF(B468="", "",'Lighting Inventory'!K476)</f>
        <v/>
      </c>
      <c r="X468" s="65" t="str">
        <f>IF(B468="", "", 'Lighting Inventory'!L476)</f>
        <v/>
      </c>
      <c r="Y468" s="26" t="str">
        <f>IF(B468="", "", IF('Lighting Inventory'!M476="", "Light Switch",'Lighting Inventory'!M476))</f>
        <v/>
      </c>
      <c r="Z468" s="26" t="str">
        <f>IF(OR(K468="Retrofit", B468=""), "", 'Lighting Inventory'!N476)</f>
        <v/>
      </c>
      <c r="AA468" s="26" t="str">
        <f>IF(OR(Z468="",B468=""), "", 'Lighting Inventory'!O476)</f>
        <v/>
      </c>
      <c r="AB468" s="26" t="str">
        <f>IF(B468="", "", 'Lighting Inventory'!P476)</f>
        <v/>
      </c>
      <c r="AC468" s="96" t="str">
        <f>IF(B468="", "", 'Lighting Inventory'!R476)</f>
        <v/>
      </c>
      <c r="AD468" s="26" t="str">
        <f>IF(B468="", "", 'Lighting Inventory'!S476)</f>
        <v/>
      </c>
      <c r="AE468" s="26" t="str">
        <f>IF(B468="", "", 'Lighting Inventory'!V476)</f>
        <v/>
      </c>
      <c r="AF468" s="26" t="str">
        <f>IF(B468="", "", 'Lighting Inventory'!W476)</f>
        <v/>
      </c>
      <c r="AG468" s="26" t="str">
        <f>IF(OR(AF468="", B468=""), "", IF(AE468="Custom", "0", VLOOKUP(AF468, 'Lookup Tables'!$AI$6:$AP$102, 8, FALSE)))</f>
        <v/>
      </c>
      <c r="AH468" s="26" t="str">
        <f>IF(B468="", "", 'Lighting Inventory'!AD476)</f>
        <v/>
      </c>
      <c r="AI468" s="26" t="str">
        <f>IF(OR('Lighting Inventory'!AK476="", B468=""), "", 'Lighting Inventory'!AK476)</f>
        <v/>
      </c>
      <c r="AJ468" s="66" t="str">
        <f>IF(B468="", "", 'Lighting Inventory'!AL476)</f>
        <v/>
      </c>
      <c r="AK468" s="65" t="str">
        <f>IF(B468="", "", 'Lighting Inventory'!AM476)</f>
        <v/>
      </c>
      <c r="AL468" s="26" t="str">
        <f>IF(B468="", "", 'Lighting Inventory'!AN476)</f>
        <v/>
      </c>
      <c r="AM468" s="26" t="str">
        <f t="shared" si="24"/>
        <v/>
      </c>
      <c r="AN468" s="26" t="str">
        <f>IF(B468="","",IF('Lighting Inventory'!AV476="","Prescribed",'Lighting Inventory'!AV476))</f>
        <v/>
      </c>
      <c r="AO468" s="66" t="str">
        <f>IF(B468="", "", 'Lighting Inventory'!AX476)</f>
        <v/>
      </c>
      <c r="AP468" s="67" t="str">
        <f>IF(B468="", "", 'Lighting Inventory'!AZ476)</f>
        <v/>
      </c>
      <c r="AQ468" s="67" t="str">
        <f>IF(B468="", "", 'Lighting Inventory'!BA476)</f>
        <v/>
      </c>
      <c r="AR468" s="67" t="str">
        <f>IF(B468="", "", 'Lighting Inventory'!BB476)</f>
        <v/>
      </c>
      <c r="AS468" s="67" t="str">
        <f>IF(B468="", "", 'Lighting Inventory'!BC476)</f>
        <v/>
      </c>
      <c r="AT468" s="67" t="str">
        <f>IF(B468="", "", 'Lighting Inventory'!BD476)</f>
        <v/>
      </c>
      <c r="AU468" s="67" t="str">
        <f>IF(B468="", "", 'Lighting Inventory'!BE476)</f>
        <v/>
      </c>
      <c r="AV468" s="67" t="str">
        <f>IF(B468="", "", 'Lighting Inventory'!BE476)</f>
        <v/>
      </c>
      <c r="AW468" s="67" t="str">
        <f>IF(B468="", "", 'Lighting Inventory'!BF476)</f>
        <v/>
      </c>
      <c r="AX468" s="67" t="str">
        <f>IF(B468="", "", 'Lighting Inventory'!BF476)</f>
        <v/>
      </c>
      <c r="AY468" s="65" t="str">
        <f t="shared" si="25"/>
        <v/>
      </c>
      <c r="AZ468" s="65" t="str">
        <f>IF(B468="", "", 'Lighting Inventory'!BJ476)</f>
        <v/>
      </c>
      <c r="BA468" s="65" t="str">
        <f>IF(B468="", "", 'Lighting Inventory'!BM476)</f>
        <v/>
      </c>
      <c r="BB468" s="65" t="str">
        <f>IF(B468="","",SUM('Lighting Inventory'!BP476:BP476))</f>
        <v/>
      </c>
      <c r="BC468" s="67" t="str">
        <f>IF(OR(AE468="", B468=""),"", 'Lighting Inventory'!GR476)</f>
        <v/>
      </c>
      <c r="BD468" s="67" t="str">
        <f>IFERROR(IF(B468="", "", 'Lighting Inventory'!AF476)*AD468," ")</f>
        <v xml:space="preserve"> </v>
      </c>
      <c r="BE468" s="67"/>
      <c r="BF468" s="67"/>
    </row>
    <row r="469" spans="1:58" x14ac:dyDescent="0.25">
      <c r="A469" s="26" t="str">
        <f>IF(B469="", "", 'Lookup Tables'!AW470)</f>
        <v/>
      </c>
      <c r="B469" s="26" t="str">
        <f>IF(OR('Lighting Inventory'!Y477="", 'Lighting Inventory'!V477="No Change"),"", 'Lighting Inventory'!Y477)</f>
        <v/>
      </c>
      <c r="C469" s="26" t="str">
        <f>IF(B469="", "", IF('Lighting Inventory'!Y477='Lookup Tables'!$Y$32, 'Lighting Inventory'!AJ477, IF(AD469=0, R469, AD469)))</f>
        <v/>
      </c>
      <c r="D469" s="26" t="str">
        <f>IF(B469="", "", 'General Information'!$F$14)</f>
        <v/>
      </c>
      <c r="E469" s="26" t="str">
        <f t="shared" si="23"/>
        <v/>
      </c>
      <c r="F469" s="26" t="str">
        <f>IF(B469="", "", CONCATENATE('General Information'!$F$9, " - ", 'General Information'!$F$14))</f>
        <v/>
      </c>
      <c r="G469" s="26" t="str">
        <f>IF(B469="", "", 'General Information'!$F$15)</f>
        <v/>
      </c>
      <c r="H469" s="26" t="str">
        <f>IF(B469="", "", IF(VLOOKUP(B469, 'Lookup Tables'!$Y$18:$AA$34, 2, FALSE)="Traffic", VLOOKUP('Lighting Inventory'!W477, 'Lookup Tables'!#REF!, 11, FALSE), VLOOKUP(B469, 'Lookup Tables'!$Y$18:$AA$34, 2, FALSE)))</f>
        <v/>
      </c>
      <c r="I469" s="26" t="str">
        <f>IF(B469="", "", CONCATENATE(D469, 'Data Export'!A469))</f>
        <v/>
      </c>
      <c r="J469" s="26" t="str">
        <f>IF(B469="", "", 'Lookup Tables'!$B$1)</f>
        <v/>
      </c>
      <c r="K469" s="26" t="str">
        <f>IF(B469="", "", 'Lighting Inventory'!B477)</f>
        <v/>
      </c>
      <c r="L469" s="26" t="str">
        <f>IF(B469="", "", 'Lighting Inventory'!C477)</f>
        <v/>
      </c>
      <c r="M469" s="26" t="str">
        <f>IF(B469="", "",'Lighting Inventory'!D477)</f>
        <v/>
      </c>
      <c r="N469" s="26" t="str">
        <f>IF(B469="", "",'Lighting Inventory'!E477)</f>
        <v/>
      </c>
      <c r="O469" s="26" t="str">
        <f>IF(B469="", "", 'Lighting Inventory'!F477)</f>
        <v/>
      </c>
      <c r="P469" s="26" t="str">
        <f>IF(B469="", "", 'Lighting Inventory'!G477)</f>
        <v/>
      </c>
      <c r="Q469" s="26" t="str">
        <f>IF(B469="", "", 'Lighting Inventory'!H477)</f>
        <v/>
      </c>
      <c r="R469" s="26" t="str">
        <f>IF(B469="", "", 'Lighting Inventory'!I477)</f>
        <v/>
      </c>
      <c r="S469" s="26" t="str">
        <f>IF(B469="", "", 'Lighting Inventory'!J477)</f>
        <v/>
      </c>
      <c r="T469" s="26" t="str">
        <f>IFERROR(IF(B469="","",VLOOKUP(S469,'Fixture Identities'!$A$7:$G$1023,5,FALSE)), "New Construction")</f>
        <v/>
      </c>
      <c r="U469" s="26" t="str">
        <f>IFERROR(IF(B469="", "", IF(K469="New Construction", "NC", IF(VLOOKUP(S469, 'Fixture Identities'!$A$7:$I$1023,3, FALSE)="T12 Linear Fluorescent", VLOOKUP(S469, 'Fixture Identities'!$A$7:$K$1012, 11, FALSE), S469))), "")</f>
        <v/>
      </c>
      <c r="V469" s="26" t="str">
        <f>IFERROR(IF(OR(B469="", U469=0), "", VLOOKUP(U469, 'Fixture Identities'!$A$7:$G$1023, 5, FALSE)), "")</f>
        <v/>
      </c>
      <c r="W469" s="26" t="str">
        <f>IF(B469="", "",'Lighting Inventory'!K477)</f>
        <v/>
      </c>
      <c r="X469" s="65" t="str">
        <f>IF(B469="", "", 'Lighting Inventory'!L477)</f>
        <v/>
      </c>
      <c r="Y469" s="26" t="str">
        <f>IF(B469="", "", IF('Lighting Inventory'!M477="", "Light Switch",'Lighting Inventory'!M477))</f>
        <v/>
      </c>
      <c r="Z469" s="26" t="str">
        <f>IF(OR(K469="Retrofit", B469=""), "", 'Lighting Inventory'!N477)</f>
        <v/>
      </c>
      <c r="AA469" s="26" t="str">
        <f>IF(OR(Z469="",B469=""), "", 'Lighting Inventory'!O477)</f>
        <v/>
      </c>
      <c r="AB469" s="26" t="str">
        <f>IF(B469="", "", 'Lighting Inventory'!P477)</f>
        <v/>
      </c>
      <c r="AC469" s="96" t="str">
        <f>IF(B469="", "", 'Lighting Inventory'!R477)</f>
        <v/>
      </c>
      <c r="AD469" s="26" t="str">
        <f>IF(B469="", "", 'Lighting Inventory'!S477)</f>
        <v/>
      </c>
      <c r="AE469" s="26" t="str">
        <f>IF(B469="", "", 'Lighting Inventory'!V477)</f>
        <v/>
      </c>
      <c r="AF469" s="26" t="str">
        <f>IF(B469="", "", 'Lighting Inventory'!W477)</f>
        <v/>
      </c>
      <c r="AG469" s="26" t="str">
        <f>IF(OR(AF469="", B469=""), "", IF(AE469="Custom", "0", VLOOKUP(AF469, 'Lookup Tables'!$AI$6:$AP$102, 8, FALSE)))</f>
        <v/>
      </c>
      <c r="AH469" s="26" t="str">
        <f>IF(B469="", "", 'Lighting Inventory'!AD477)</f>
        <v/>
      </c>
      <c r="AI469" s="26" t="str">
        <f>IF(OR('Lighting Inventory'!AK477="", B469=""), "", 'Lighting Inventory'!AK477)</f>
        <v/>
      </c>
      <c r="AJ469" s="66" t="str">
        <f>IF(B469="", "", 'Lighting Inventory'!AL477)</f>
        <v/>
      </c>
      <c r="AK469" s="65" t="str">
        <f>IF(B469="", "", 'Lighting Inventory'!AM477)</f>
        <v/>
      </c>
      <c r="AL469" s="26" t="str">
        <f>IF(B469="", "", 'Lighting Inventory'!AN477)</f>
        <v/>
      </c>
      <c r="AM469" s="26" t="str">
        <f t="shared" si="24"/>
        <v/>
      </c>
      <c r="AN469" s="26" t="str">
        <f>IF(B469="","",IF('Lighting Inventory'!AV477="","Prescribed",'Lighting Inventory'!AV477))</f>
        <v/>
      </c>
      <c r="AO469" s="66" t="str">
        <f>IF(B469="", "", 'Lighting Inventory'!AX477)</f>
        <v/>
      </c>
      <c r="AP469" s="67" t="str">
        <f>IF(B469="", "", 'Lighting Inventory'!AZ477)</f>
        <v/>
      </c>
      <c r="AQ469" s="67" t="str">
        <f>IF(B469="", "", 'Lighting Inventory'!BA477)</f>
        <v/>
      </c>
      <c r="AR469" s="67" t="str">
        <f>IF(B469="", "", 'Lighting Inventory'!BB477)</f>
        <v/>
      </c>
      <c r="AS469" s="67" t="str">
        <f>IF(B469="", "", 'Lighting Inventory'!BC477)</f>
        <v/>
      </c>
      <c r="AT469" s="67" t="str">
        <f>IF(B469="", "", 'Lighting Inventory'!BD477)</f>
        <v/>
      </c>
      <c r="AU469" s="67" t="str">
        <f>IF(B469="", "", 'Lighting Inventory'!BE477)</f>
        <v/>
      </c>
      <c r="AV469" s="67" t="str">
        <f>IF(B469="", "", 'Lighting Inventory'!BE477)</f>
        <v/>
      </c>
      <c r="AW469" s="67" t="str">
        <f>IF(B469="", "", 'Lighting Inventory'!BF477)</f>
        <v/>
      </c>
      <c r="AX469" s="67" t="str">
        <f>IF(B469="", "", 'Lighting Inventory'!BF477)</f>
        <v/>
      </c>
      <c r="AY469" s="65" t="str">
        <f t="shared" si="25"/>
        <v/>
      </c>
      <c r="AZ469" s="65" t="str">
        <f>IF(B469="", "", 'Lighting Inventory'!BJ477)</f>
        <v/>
      </c>
      <c r="BA469" s="65" t="str">
        <f>IF(B469="", "", 'Lighting Inventory'!BM477)</f>
        <v/>
      </c>
      <c r="BB469" s="65" t="str">
        <f>IF(B469="","",SUM('Lighting Inventory'!BP477:BP477))</f>
        <v/>
      </c>
      <c r="BC469" s="67" t="str">
        <f>IF(OR(AE469="", B469=""),"", 'Lighting Inventory'!GR477)</f>
        <v/>
      </c>
      <c r="BD469" s="67" t="str">
        <f>IFERROR(IF(B469="", "", 'Lighting Inventory'!AF477)*AD469," ")</f>
        <v xml:space="preserve"> </v>
      </c>
      <c r="BE469" s="67"/>
      <c r="BF469" s="67"/>
    </row>
    <row r="470" spans="1:58" x14ac:dyDescent="0.25">
      <c r="A470" s="26" t="str">
        <f>IF(B470="", "", 'Lookup Tables'!AW471)</f>
        <v/>
      </c>
      <c r="B470" s="26" t="str">
        <f>IF(OR('Lighting Inventory'!Y478="", 'Lighting Inventory'!V478="No Change"),"", 'Lighting Inventory'!Y478)</f>
        <v/>
      </c>
      <c r="C470" s="26" t="str">
        <f>IF(B470="", "", IF('Lighting Inventory'!Y478='Lookup Tables'!$Y$32, 'Lighting Inventory'!AJ478, IF(AD470=0, R470, AD470)))</f>
        <v/>
      </c>
      <c r="D470" s="26" t="str">
        <f>IF(B470="", "", 'General Information'!$F$14)</f>
        <v/>
      </c>
      <c r="E470" s="26" t="str">
        <f t="shared" si="23"/>
        <v/>
      </c>
      <c r="F470" s="26" t="str">
        <f>IF(B470="", "", CONCATENATE('General Information'!$F$9, " - ", 'General Information'!$F$14))</f>
        <v/>
      </c>
      <c r="G470" s="26" t="str">
        <f>IF(B470="", "", 'General Information'!$F$15)</f>
        <v/>
      </c>
      <c r="H470" s="26" t="str">
        <f>IF(B470="", "", IF(VLOOKUP(B470, 'Lookup Tables'!$Y$18:$AA$34, 2, FALSE)="Traffic", VLOOKUP('Lighting Inventory'!W478, 'Lookup Tables'!#REF!, 11, FALSE), VLOOKUP(B470, 'Lookup Tables'!$Y$18:$AA$34, 2, FALSE)))</f>
        <v/>
      </c>
      <c r="I470" s="26" t="str">
        <f>IF(B470="", "", CONCATENATE(D470, 'Data Export'!A470))</f>
        <v/>
      </c>
      <c r="J470" s="26" t="str">
        <f>IF(B470="", "", 'Lookup Tables'!$B$1)</f>
        <v/>
      </c>
      <c r="K470" s="26" t="str">
        <f>IF(B470="", "", 'Lighting Inventory'!B478)</f>
        <v/>
      </c>
      <c r="L470" s="26" t="str">
        <f>IF(B470="", "", 'Lighting Inventory'!C478)</f>
        <v/>
      </c>
      <c r="M470" s="26" t="str">
        <f>IF(B470="", "",'Lighting Inventory'!D478)</f>
        <v/>
      </c>
      <c r="N470" s="26" t="str">
        <f>IF(B470="", "",'Lighting Inventory'!E478)</f>
        <v/>
      </c>
      <c r="O470" s="26" t="str">
        <f>IF(B470="", "", 'Lighting Inventory'!F478)</f>
        <v/>
      </c>
      <c r="P470" s="26" t="str">
        <f>IF(B470="", "", 'Lighting Inventory'!G478)</f>
        <v/>
      </c>
      <c r="Q470" s="26" t="str">
        <f>IF(B470="", "", 'Lighting Inventory'!H478)</f>
        <v/>
      </c>
      <c r="R470" s="26" t="str">
        <f>IF(B470="", "", 'Lighting Inventory'!I478)</f>
        <v/>
      </c>
      <c r="S470" s="26" t="str">
        <f>IF(B470="", "", 'Lighting Inventory'!J478)</f>
        <v/>
      </c>
      <c r="T470" s="26" t="str">
        <f>IFERROR(IF(B470="","",VLOOKUP(S470,'Fixture Identities'!$A$7:$G$1023,5,FALSE)), "New Construction")</f>
        <v/>
      </c>
      <c r="U470" s="26" t="str">
        <f>IFERROR(IF(B470="", "", IF(K470="New Construction", "NC", IF(VLOOKUP(S470, 'Fixture Identities'!$A$7:$I$1023,3, FALSE)="T12 Linear Fluorescent", VLOOKUP(S470, 'Fixture Identities'!$A$7:$K$1012, 11, FALSE), S470))), "")</f>
        <v/>
      </c>
      <c r="V470" s="26" t="str">
        <f>IFERROR(IF(OR(B470="", U470=0), "", VLOOKUP(U470, 'Fixture Identities'!$A$7:$G$1023, 5, FALSE)), "")</f>
        <v/>
      </c>
      <c r="W470" s="26" t="str">
        <f>IF(B470="", "",'Lighting Inventory'!K478)</f>
        <v/>
      </c>
      <c r="X470" s="65" t="str">
        <f>IF(B470="", "", 'Lighting Inventory'!L478)</f>
        <v/>
      </c>
      <c r="Y470" s="26" t="str">
        <f>IF(B470="", "", IF('Lighting Inventory'!M478="", "Light Switch",'Lighting Inventory'!M478))</f>
        <v/>
      </c>
      <c r="Z470" s="26" t="str">
        <f>IF(OR(K470="Retrofit", B470=""), "", 'Lighting Inventory'!N478)</f>
        <v/>
      </c>
      <c r="AA470" s="26" t="str">
        <f>IF(OR(Z470="",B470=""), "", 'Lighting Inventory'!O478)</f>
        <v/>
      </c>
      <c r="AB470" s="26" t="str">
        <f>IF(B470="", "", 'Lighting Inventory'!P478)</f>
        <v/>
      </c>
      <c r="AC470" s="96" t="str">
        <f>IF(B470="", "", 'Lighting Inventory'!R478)</f>
        <v/>
      </c>
      <c r="AD470" s="26" t="str">
        <f>IF(B470="", "", 'Lighting Inventory'!S478)</f>
        <v/>
      </c>
      <c r="AE470" s="26" t="str">
        <f>IF(B470="", "", 'Lighting Inventory'!V478)</f>
        <v/>
      </c>
      <c r="AF470" s="26" t="str">
        <f>IF(B470="", "", 'Lighting Inventory'!W478)</f>
        <v/>
      </c>
      <c r="AG470" s="26" t="str">
        <f>IF(OR(AF470="", B470=""), "", IF(AE470="Custom", "0", VLOOKUP(AF470, 'Lookup Tables'!$AI$6:$AP$102, 8, FALSE)))</f>
        <v/>
      </c>
      <c r="AH470" s="26" t="str">
        <f>IF(B470="", "", 'Lighting Inventory'!AD478)</f>
        <v/>
      </c>
      <c r="AI470" s="26" t="str">
        <f>IF(OR('Lighting Inventory'!AK478="", B470=""), "", 'Lighting Inventory'!AK478)</f>
        <v/>
      </c>
      <c r="AJ470" s="66" t="str">
        <f>IF(B470="", "", 'Lighting Inventory'!AL478)</f>
        <v/>
      </c>
      <c r="AK470" s="65" t="str">
        <f>IF(B470="", "", 'Lighting Inventory'!AM478)</f>
        <v/>
      </c>
      <c r="AL470" s="26" t="str">
        <f>IF(B470="", "", 'Lighting Inventory'!AN478)</f>
        <v/>
      </c>
      <c r="AM470" s="26" t="str">
        <f t="shared" si="24"/>
        <v/>
      </c>
      <c r="AN470" s="26" t="str">
        <f>IF(B470="","",IF('Lighting Inventory'!AV478="","Prescribed",'Lighting Inventory'!AV478))</f>
        <v/>
      </c>
      <c r="AO470" s="66" t="str">
        <f>IF(B470="", "", 'Lighting Inventory'!AX478)</f>
        <v/>
      </c>
      <c r="AP470" s="67" t="str">
        <f>IF(B470="", "", 'Lighting Inventory'!AZ478)</f>
        <v/>
      </c>
      <c r="AQ470" s="67" t="str">
        <f>IF(B470="", "", 'Lighting Inventory'!BA478)</f>
        <v/>
      </c>
      <c r="AR470" s="67" t="str">
        <f>IF(B470="", "", 'Lighting Inventory'!BB478)</f>
        <v/>
      </c>
      <c r="AS470" s="67" t="str">
        <f>IF(B470="", "", 'Lighting Inventory'!BC478)</f>
        <v/>
      </c>
      <c r="AT470" s="67" t="str">
        <f>IF(B470="", "", 'Lighting Inventory'!BD478)</f>
        <v/>
      </c>
      <c r="AU470" s="67" t="str">
        <f>IF(B470="", "", 'Lighting Inventory'!BE478)</f>
        <v/>
      </c>
      <c r="AV470" s="67" t="str">
        <f>IF(B470="", "", 'Lighting Inventory'!BE478)</f>
        <v/>
      </c>
      <c r="AW470" s="67" t="str">
        <f>IF(B470="", "", 'Lighting Inventory'!BF478)</f>
        <v/>
      </c>
      <c r="AX470" s="67" t="str">
        <f>IF(B470="", "", 'Lighting Inventory'!BF478)</f>
        <v/>
      </c>
      <c r="AY470" s="65" t="str">
        <f t="shared" si="25"/>
        <v/>
      </c>
      <c r="AZ470" s="65" t="str">
        <f>IF(B470="", "", 'Lighting Inventory'!BJ478)</f>
        <v/>
      </c>
      <c r="BA470" s="65" t="str">
        <f>IF(B470="", "", 'Lighting Inventory'!BM478)</f>
        <v/>
      </c>
      <c r="BB470" s="65" t="str">
        <f>IF(B470="","",SUM('Lighting Inventory'!BP478:BP478))</f>
        <v/>
      </c>
      <c r="BC470" s="67" t="str">
        <f>IF(OR(AE470="", B470=""),"", 'Lighting Inventory'!GR478)</f>
        <v/>
      </c>
      <c r="BD470" s="67" t="str">
        <f>IFERROR(IF(B470="", "", 'Lighting Inventory'!AF478)*AD470," ")</f>
        <v xml:space="preserve"> </v>
      </c>
      <c r="BE470" s="67"/>
      <c r="BF470" s="67"/>
    </row>
    <row r="471" spans="1:58" x14ac:dyDescent="0.25">
      <c r="A471" s="26" t="str">
        <f>IF(B471="", "", 'Lookup Tables'!AW472)</f>
        <v/>
      </c>
      <c r="B471" s="26" t="str">
        <f>IF(OR('Lighting Inventory'!Y479="", 'Lighting Inventory'!V479="No Change"),"", 'Lighting Inventory'!Y479)</f>
        <v/>
      </c>
      <c r="C471" s="26" t="str">
        <f>IF(B471="", "", IF('Lighting Inventory'!Y479='Lookup Tables'!$Y$32, 'Lighting Inventory'!AJ479, IF(AD471=0, R471, AD471)))</f>
        <v/>
      </c>
      <c r="D471" s="26" t="str">
        <f>IF(B471="", "", 'General Information'!$F$14)</f>
        <v/>
      </c>
      <c r="E471" s="26" t="str">
        <f t="shared" si="23"/>
        <v/>
      </c>
      <c r="F471" s="26" t="str">
        <f>IF(B471="", "", CONCATENATE('General Information'!$F$9, " - ", 'General Information'!$F$14))</f>
        <v/>
      </c>
      <c r="G471" s="26" t="str">
        <f>IF(B471="", "", 'General Information'!$F$15)</f>
        <v/>
      </c>
      <c r="H471" s="26" t="str">
        <f>IF(B471="", "", IF(VLOOKUP(B471, 'Lookup Tables'!$Y$18:$AA$34, 2, FALSE)="Traffic", VLOOKUP('Lighting Inventory'!W479, 'Lookup Tables'!#REF!, 11, FALSE), VLOOKUP(B471, 'Lookup Tables'!$Y$18:$AA$34, 2, FALSE)))</f>
        <v/>
      </c>
      <c r="I471" s="26" t="str">
        <f>IF(B471="", "", CONCATENATE(D471, 'Data Export'!A471))</f>
        <v/>
      </c>
      <c r="J471" s="26" t="str">
        <f>IF(B471="", "", 'Lookup Tables'!$B$1)</f>
        <v/>
      </c>
      <c r="K471" s="26" t="str">
        <f>IF(B471="", "", 'Lighting Inventory'!B479)</f>
        <v/>
      </c>
      <c r="L471" s="26" t="str">
        <f>IF(B471="", "", 'Lighting Inventory'!C479)</f>
        <v/>
      </c>
      <c r="M471" s="26" t="str">
        <f>IF(B471="", "",'Lighting Inventory'!D479)</f>
        <v/>
      </c>
      <c r="N471" s="26" t="str">
        <f>IF(B471="", "",'Lighting Inventory'!E479)</f>
        <v/>
      </c>
      <c r="O471" s="26" t="str">
        <f>IF(B471="", "", 'Lighting Inventory'!F479)</f>
        <v/>
      </c>
      <c r="P471" s="26" t="str">
        <f>IF(B471="", "", 'Lighting Inventory'!G479)</f>
        <v/>
      </c>
      <c r="Q471" s="26" t="str">
        <f>IF(B471="", "", 'Lighting Inventory'!H479)</f>
        <v/>
      </c>
      <c r="R471" s="26" t="str">
        <f>IF(B471="", "", 'Lighting Inventory'!I479)</f>
        <v/>
      </c>
      <c r="S471" s="26" t="str">
        <f>IF(B471="", "", 'Lighting Inventory'!J479)</f>
        <v/>
      </c>
      <c r="T471" s="26" t="str">
        <f>IFERROR(IF(B471="","",VLOOKUP(S471,'Fixture Identities'!$A$7:$G$1023,5,FALSE)), "New Construction")</f>
        <v/>
      </c>
      <c r="U471" s="26" t="str">
        <f>IFERROR(IF(B471="", "", IF(K471="New Construction", "NC", IF(VLOOKUP(S471, 'Fixture Identities'!$A$7:$I$1023,3, FALSE)="T12 Linear Fluorescent", VLOOKUP(S471, 'Fixture Identities'!$A$7:$K$1012, 11, FALSE), S471))), "")</f>
        <v/>
      </c>
      <c r="V471" s="26" t="str">
        <f>IFERROR(IF(OR(B471="", U471=0), "", VLOOKUP(U471, 'Fixture Identities'!$A$7:$G$1023, 5, FALSE)), "")</f>
        <v/>
      </c>
      <c r="W471" s="26" t="str">
        <f>IF(B471="", "",'Lighting Inventory'!K479)</f>
        <v/>
      </c>
      <c r="X471" s="65" t="str">
        <f>IF(B471="", "", 'Lighting Inventory'!L479)</f>
        <v/>
      </c>
      <c r="Y471" s="26" t="str">
        <f>IF(B471="", "", IF('Lighting Inventory'!M479="", "Light Switch",'Lighting Inventory'!M479))</f>
        <v/>
      </c>
      <c r="Z471" s="26" t="str">
        <f>IF(OR(K471="Retrofit", B471=""), "", 'Lighting Inventory'!N479)</f>
        <v/>
      </c>
      <c r="AA471" s="26" t="str">
        <f>IF(OR(Z471="",B471=""), "", 'Lighting Inventory'!O479)</f>
        <v/>
      </c>
      <c r="AB471" s="26" t="str">
        <f>IF(B471="", "", 'Lighting Inventory'!P479)</f>
        <v/>
      </c>
      <c r="AC471" s="96" t="str">
        <f>IF(B471="", "", 'Lighting Inventory'!R479)</f>
        <v/>
      </c>
      <c r="AD471" s="26" t="str">
        <f>IF(B471="", "", 'Lighting Inventory'!S479)</f>
        <v/>
      </c>
      <c r="AE471" s="26" t="str">
        <f>IF(B471="", "", 'Lighting Inventory'!V479)</f>
        <v/>
      </c>
      <c r="AF471" s="26" t="str">
        <f>IF(B471="", "", 'Lighting Inventory'!W479)</f>
        <v/>
      </c>
      <c r="AG471" s="26" t="str">
        <f>IF(OR(AF471="", B471=""), "", IF(AE471="Custom", "0", VLOOKUP(AF471, 'Lookup Tables'!$AI$6:$AP$102, 8, FALSE)))</f>
        <v/>
      </c>
      <c r="AH471" s="26" t="str">
        <f>IF(B471="", "", 'Lighting Inventory'!AD479)</f>
        <v/>
      </c>
      <c r="AI471" s="26" t="str">
        <f>IF(OR('Lighting Inventory'!AK479="", B471=""), "", 'Lighting Inventory'!AK479)</f>
        <v/>
      </c>
      <c r="AJ471" s="66" t="str">
        <f>IF(B471="", "", 'Lighting Inventory'!AL479)</f>
        <v/>
      </c>
      <c r="AK471" s="65" t="str">
        <f>IF(B471="", "", 'Lighting Inventory'!AM479)</f>
        <v/>
      </c>
      <c r="AL471" s="26" t="str">
        <f>IF(B471="", "", 'Lighting Inventory'!AN479)</f>
        <v/>
      </c>
      <c r="AM471" s="26" t="str">
        <f t="shared" si="24"/>
        <v/>
      </c>
      <c r="AN471" s="26" t="str">
        <f>IF(B471="","",IF('Lighting Inventory'!AV479="","Prescribed",'Lighting Inventory'!AV479))</f>
        <v/>
      </c>
      <c r="AO471" s="66" t="str">
        <f>IF(B471="", "", 'Lighting Inventory'!AX479)</f>
        <v/>
      </c>
      <c r="AP471" s="67" t="str">
        <f>IF(B471="", "", 'Lighting Inventory'!AZ479)</f>
        <v/>
      </c>
      <c r="AQ471" s="67" t="str">
        <f>IF(B471="", "", 'Lighting Inventory'!BA479)</f>
        <v/>
      </c>
      <c r="AR471" s="67" t="str">
        <f>IF(B471="", "", 'Lighting Inventory'!BB479)</f>
        <v/>
      </c>
      <c r="AS471" s="67" t="str">
        <f>IF(B471="", "", 'Lighting Inventory'!BC479)</f>
        <v/>
      </c>
      <c r="AT471" s="67" t="str">
        <f>IF(B471="", "", 'Lighting Inventory'!BD479)</f>
        <v/>
      </c>
      <c r="AU471" s="67" t="str">
        <f>IF(B471="", "", 'Lighting Inventory'!BE479)</f>
        <v/>
      </c>
      <c r="AV471" s="67" t="str">
        <f>IF(B471="", "", 'Lighting Inventory'!BE479)</f>
        <v/>
      </c>
      <c r="AW471" s="67" t="str">
        <f>IF(B471="", "", 'Lighting Inventory'!BF479)</f>
        <v/>
      </c>
      <c r="AX471" s="67" t="str">
        <f>IF(B471="", "", 'Lighting Inventory'!BF479)</f>
        <v/>
      </c>
      <c r="AY471" s="65" t="str">
        <f t="shared" si="25"/>
        <v/>
      </c>
      <c r="AZ471" s="65" t="str">
        <f>IF(B471="", "", 'Lighting Inventory'!BJ479)</f>
        <v/>
      </c>
      <c r="BA471" s="65" t="str">
        <f>IF(B471="", "", 'Lighting Inventory'!BM479)</f>
        <v/>
      </c>
      <c r="BB471" s="65" t="str">
        <f>IF(B471="","",SUM('Lighting Inventory'!BP479:BP479))</f>
        <v/>
      </c>
      <c r="BC471" s="67" t="str">
        <f>IF(OR(AE471="", B471=""),"", 'Lighting Inventory'!GR479)</f>
        <v/>
      </c>
      <c r="BD471" s="67" t="str">
        <f>IFERROR(IF(B471="", "", 'Lighting Inventory'!AF479)*AD471," ")</f>
        <v xml:space="preserve"> </v>
      </c>
      <c r="BE471" s="67"/>
      <c r="BF471" s="67"/>
    </row>
    <row r="472" spans="1:58" x14ac:dyDescent="0.25">
      <c r="A472" s="26" t="str">
        <f>IF(B472="", "", 'Lookup Tables'!AW473)</f>
        <v/>
      </c>
      <c r="B472" s="26" t="str">
        <f>IF(OR('Lighting Inventory'!Y480="", 'Lighting Inventory'!V480="No Change"),"", 'Lighting Inventory'!Y480)</f>
        <v/>
      </c>
      <c r="C472" s="26" t="str">
        <f>IF(B472="", "", IF('Lighting Inventory'!Y480='Lookup Tables'!$Y$32, 'Lighting Inventory'!AJ480, IF(AD472=0, R472, AD472)))</f>
        <v/>
      </c>
      <c r="D472" s="26" t="str">
        <f>IF(B472="", "", 'General Information'!$F$14)</f>
        <v/>
      </c>
      <c r="E472" s="26" t="str">
        <f t="shared" si="23"/>
        <v/>
      </c>
      <c r="F472" s="26" t="str">
        <f>IF(B472="", "", CONCATENATE('General Information'!$F$9, " - ", 'General Information'!$F$14))</f>
        <v/>
      </c>
      <c r="G472" s="26" t="str">
        <f>IF(B472="", "", 'General Information'!$F$15)</f>
        <v/>
      </c>
      <c r="H472" s="26" t="str">
        <f>IF(B472="", "", IF(VLOOKUP(B472, 'Lookup Tables'!$Y$18:$AA$34, 2, FALSE)="Traffic", VLOOKUP('Lighting Inventory'!W480, 'Lookup Tables'!#REF!, 11, FALSE), VLOOKUP(B472, 'Lookup Tables'!$Y$18:$AA$34, 2, FALSE)))</f>
        <v/>
      </c>
      <c r="I472" s="26" t="str">
        <f>IF(B472="", "", CONCATENATE(D472, 'Data Export'!A472))</f>
        <v/>
      </c>
      <c r="J472" s="26" t="str">
        <f>IF(B472="", "", 'Lookup Tables'!$B$1)</f>
        <v/>
      </c>
      <c r="K472" s="26" t="str">
        <f>IF(B472="", "", 'Lighting Inventory'!B480)</f>
        <v/>
      </c>
      <c r="L472" s="26" t="str">
        <f>IF(B472="", "", 'Lighting Inventory'!C480)</f>
        <v/>
      </c>
      <c r="M472" s="26" t="str">
        <f>IF(B472="", "",'Lighting Inventory'!D480)</f>
        <v/>
      </c>
      <c r="N472" s="26" t="str">
        <f>IF(B472="", "",'Lighting Inventory'!E480)</f>
        <v/>
      </c>
      <c r="O472" s="26" t="str">
        <f>IF(B472="", "", 'Lighting Inventory'!F480)</f>
        <v/>
      </c>
      <c r="P472" s="26" t="str">
        <f>IF(B472="", "", 'Lighting Inventory'!G480)</f>
        <v/>
      </c>
      <c r="Q472" s="26" t="str">
        <f>IF(B472="", "", 'Lighting Inventory'!H480)</f>
        <v/>
      </c>
      <c r="R472" s="26" t="str">
        <f>IF(B472="", "", 'Lighting Inventory'!I480)</f>
        <v/>
      </c>
      <c r="S472" s="26" t="str">
        <f>IF(B472="", "", 'Lighting Inventory'!J480)</f>
        <v/>
      </c>
      <c r="T472" s="26" t="str">
        <f>IFERROR(IF(B472="","",VLOOKUP(S472,'Fixture Identities'!$A$7:$G$1023,5,FALSE)), "New Construction")</f>
        <v/>
      </c>
      <c r="U472" s="26" t="str">
        <f>IFERROR(IF(B472="", "", IF(K472="New Construction", "NC", IF(VLOOKUP(S472, 'Fixture Identities'!$A$7:$I$1023,3, FALSE)="T12 Linear Fluorescent", VLOOKUP(S472, 'Fixture Identities'!$A$7:$K$1012, 11, FALSE), S472))), "")</f>
        <v/>
      </c>
      <c r="V472" s="26" t="str">
        <f>IFERROR(IF(OR(B472="", U472=0), "", VLOOKUP(U472, 'Fixture Identities'!$A$7:$G$1023, 5, FALSE)), "")</f>
        <v/>
      </c>
      <c r="W472" s="26" t="str">
        <f>IF(B472="", "",'Lighting Inventory'!K480)</f>
        <v/>
      </c>
      <c r="X472" s="65" t="str">
        <f>IF(B472="", "", 'Lighting Inventory'!L480)</f>
        <v/>
      </c>
      <c r="Y472" s="26" t="str">
        <f>IF(B472="", "", IF('Lighting Inventory'!M480="", "Light Switch",'Lighting Inventory'!M480))</f>
        <v/>
      </c>
      <c r="Z472" s="26" t="str">
        <f>IF(OR(K472="Retrofit", B472=""), "", 'Lighting Inventory'!N480)</f>
        <v/>
      </c>
      <c r="AA472" s="26" t="str">
        <f>IF(OR(Z472="",B472=""), "", 'Lighting Inventory'!O480)</f>
        <v/>
      </c>
      <c r="AB472" s="26" t="str">
        <f>IF(B472="", "", 'Lighting Inventory'!P480)</f>
        <v/>
      </c>
      <c r="AC472" s="96" t="str">
        <f>IF(B472="", "", 'Lighting Inventory'!R480)</f>
        <v/>
      </c>
      <c r="AD472" s="26" t="str">
        <f>IF(B472="", "", 'Lighting Inventory'!S480)</f>
        <v/>
      </c>
      <c r="AE472" s="26" t="str">
        <f>IF(B472="", "", 'Lighting Inventory'!V480)</f>
        <v/>
      </c>
      <c r="AF472" s="26" t="str">
        <f>IF(B472="", "", 'Lighting Inventory'!W480)</f>
        <v/>
      </c>
      <c r="AG472" s="26" t="str">
        <f>IF(OR(AF472="", B472=""), "", IF(AE472="Custom", "0", VLOOKUP(AF472, 'Lookup Tables'!$AI$6:$AP$102, 8, FALSE)))</f>
        <v/>
      </c>
      <c r="AH472" s="26" t="str">
        <f>IF(B472="", "", 'Lighting Inventory'!AD480)</f>
        <v/>
      </c>
      <c r="AI472" s="26" t="str">
        <f>IF(OR('Lighting Inventory'!AK480="", B472=""), "", 'Lighting Inventory'!AK480)</f>
        <v/>
      </c>
      <c r="AJ472" s="66" t="str">
        <f>IF(B472="", "", 'Lighting Inventory'!AL480)</f>
        <v/>
      </c>
      <c r="AK472" s="65" t="str">
        <f>IF(B472="", "", 'Lighting Inventory'!AM480)</f>
        <v/>
      </c>
      <c r="AL472" s="26" t="str">
        <f>IF(B472="", "", 'Lighting Inventory'!AN480)</f>
        <v/>
      </c>
      <c r="AM472" s="26" t="str">
        <f t="shared" si="24"/>
        <v/>
      </c>
      <c r="AN472" s="26" t="str">
        <f>IF(B472="","",IF('Lighting Inventory'!AV480="","Prescribed",'Lighting Inventory'!AV480))</f>
        <v/>
      </c>
      <c r="AO472" s="66" t="str">
        <f>IF(B472="", "", 'Lighting Inventory'!AX480)</f>
        <v/>
      </c>
      <c r="AP472" s="67" t="str">
        <f>IF(B472="", "", 'Lighting Inventory'!AZ480)</f>
        <v/>
      </c>
      <c r="AQ472" s="67" t="str">
        <f>IF(B472="", "", 'Lighting Inventory'!BA480)</f>
        <v/>
      </c>
      <c r="AR472" s="67" t="str">
        <f>IF(B472="", "", 'Lighting Inventory'!BB480)</f>
        <v/>
      </c>
      <c r="AS472" s="67" t="str">
        <f>IF(B472="", "", 'Lighting Inventory'!BC480)</f>
        <v/>
      </c>
      <c r="AT472" s="67" t="str">
        <f>IF(B472="", "", 'Lighting Inventory'!BD480)</f>
        <v/>
      </c>
      <c r="AU472" s="67" t="str">
        <f>IF(B472="", "", 'Lighting Inventory'!BE480)</f>
        <v/>
      </c>
      <c r="AV472" s="67" t="str">
        <f>IF(B472="", "", 'Lighting Inventory'!BE480)</f>
        <v/>
      </c>
      <c r="AW472" s="67" t="str">
        <f>IF(B472="", "", 'Lighting Inventory'!BF480)</f>
        <v/>
      </c>
      <c r="AX472" s="67" t="str">
        <f>IF(B472="", "", 'Lighting Inventory'!BF480)</f>
        <v/>
      </c>
      <c r="AY472" s="65" t="str">
        <f t="shared" si="25"/>
        <v/>
      </c>
      <c r="AZ472" s="65" t="str">
        <f>IF(B472="", "", 'Lighting Inventory'!BJ480)</f>
        <v/>
      </c>
      <c r="BA472" s="65" t="str">
        <f>IF(B472="", "", 'Lighting Inventory'!BM480)</f>
        <v/>
      </c>
      <c r="BB472" s="65" t="str">
        <f>IF(B472="","",SUM('Lighting Inventory'!BP480:BP480))</f>
        <v/>
      </c>
      <c r="BC472" s="67" t="str">
        <f>IF(OR(AE472="", B472=""),"", 'Lighting Inventory'!GR480)</f>
        <v/>
      </c>
      <c r="BD472" s="67" t="str">
        <f>IFERROR(IF(B472="", "", 'Lighting Inventory'!AF480)*AD472," ")</f>
        <v xml:space="preserve"> </v>
      </c>
      <c r="BE472" s="67"/>
      <c r="BF472" s="67"/>
    </row>
    <row r="473" spans="1:58" x14ac:dyDescent="0.25">
      <c r="A473" s="26" t="str">
        <f>IF(B473="", "", 'Lookup Tables'!AW474)</f>
        <v/>
      </c>
      <c r="B473" s="26" t="str">
        <f>IF(OR('Lighting Inventory'!Y481="", 'Lighting Inventory'!V481="No Change"),"", 'Lighting Inventory'!Y481)</f>
        <v/>
      </c>
      <c r="C473" s="26" t="str">
        <f>IF(B473="", "", IF('Lighting Inventory'!Y481='Lookup Tables'!$Y$32, 'Lighting Inventory'!AJ481, IF(AD473=0, R473, AD473)))</f>
        <v/>
      </c>
      <c r="D473" s="26" t="str">
        <f>IF(B473="", "", 'General Information'!$F$14)</f>
        <v/>
      </c>
      <c r="E473" s="26" t="str">
        <f t="shared" si="23"/>
        <v/>
      </c>
      <c r="F473" s="26" t="str">
        <f>IF(B473="", "", CONCATENATE('General Information'!$F$9, " - ", 'General Information'!$F$14))</f>
        <v/>
      </c>
      <c r="G473" s="26" t="str">
        <f>IF(B473="", "", 'General Information'!$F$15)</f>
        <v/>
      </c>
      <c r="H473" s="26" t="str">
        <f>IF(B473="", "", IF(VLOOKUP(B473, 'Lookup Tables'!$Y$18:$AA$34, 2, FALSE)="Traffic", VLOOKUP('Lighting Inventory'!W481, 'Lookup Tables'!#REF!, 11, FALSE), VLOOKUP(B473, 'Lookup Tables'!$Y$18:$AA$34, 2, FALSE)))</f>
        <v/>
      </c>
      <c r="I473" s="26" t="str">
        <f>IF(B473="", "", CONCATENATE(D473, 'Data Export'!A473))</f>
        <v/>
      </c>
      <c r="J473" s="26" t="str">
        <f>IF(B473="", "", 'Lookup Tables'!$B$1)</f>
        <v/>
      </c>
      <c r="K473" s="26" t="str">
        <f>IF(B473="", "", 'Lighting Inventory'!B481)</f>
        <v/>
      </c>
      <c r="L473" s="26" t="str">
        <f>IF(B473="", "", 'Lighting Inventory'!C481)</f>
        <v/>
      </c>
      <c r="M473" s="26" t="str">
        <f>IF(B473="", "",'Lighting Inventory'!D481)</f>
        <v/>
      </c>
      <c r="N473" s="26" t="str">
        <f>IF(B473="", "",'Lighting Inventory'!E481)</f>
        <v/>
      </c>
      <c r="O473" s="26" t="str">
        <f>IF(B473="", "", 'Lighting Inventory'!F481)</f>
        <v/>
      </c>
      <c r="P473" s="26" t="str">
        <f>IF(B473="", "", 'Lighting Inventory'!G481)</f>
        <v/>
      </c>
      <c r="Q473" s="26" t="str">
        <f>IF(B473="", "", 'Lighting Inventory'!H481)</f>
        <v/>
      </c>
      <c r="R473" s="26" t="str">
        <f>IF(B473="", "", 'Lighting Inventory'!I481)</f>
        <v/>
      </c>
      <c r="S473" s="26" t="str">
        <f>IF(B473="", "", 'Lighting Inventory'!J481)</f>
        <v/>
      </c>
      <c r="T473" s="26" t="str">
        <f>IFERROR(IF(B473="","",VLOOKUP(S473,'Fixture Identities'!$A$7:$G$1023,5,FALSE)), "New Construction")</f>
        <v/>
      </c>
      <c r="U473" s="26" t="str">
        <f>IFERROR(IF(B473="", "", IF(K473="New Construction", "NC", IF(VLOOKUP(S473, 'Fixture Identities'!$A$7:$I$1023,3, FALSE)="T12 Linear Fluorescent", VLOOKUP(S473, 'Fixture Identities'!$A$7:$K$1012, 11, FALSE), S473))), "")</f>
        <v/>
      </c>
      <c r="V473" s="26" t="str">
        <f>IFERROR(IF(OR(B473="", U473=0), "", VLOOKUP(U473, 'Fixture Identities'!$A$7:$G$1023, 5, FALSE)), "")</f>
        <v/>
      </c>
      <c r="W473" s="26" t="str">
        <f>IF(B473="", "",'Lighting Inventory'!K481)</f>
        <v/>
      </c>
      <c r="X473" s="65" t="str">
        <f>IF(B473="", "", 'Lighting Inventory'!L481)</f>
        <v/>
      </c>
      <c r="Y473" s="26" t="str">
        <f>IF(B473="", "", IF('Lighting Inventory'!M481="", "Light Switch",'Lighting Inventory'!M481))</f>
        <v/>
      </c>
      <c r="Z473" s="26" t="str">
        <f>IF(OR(K473="Retrofit", B473=""), "", 'Lighting Inventory'!N481)</f>
        <v/>
      </c>
      <c r="AA473" s="26" t="str">
        <f>IF(OR(Z473="",B473=""), "", 'Lighting Inventory'!O481)</f>
        <v/>
      </c>
      <c r="AB473" s="26" t="str">
        <f>IF(B473="", "", 'Lighting Inventory'!P481)</f>
        <v/>
      </c>
      <c r="AC473" s="96" t="str">
        <f>IF(B473="", "", 'Lighting Inventory'!R481)</f>
        <v/>
      </c>
      <c r="AD473" s="26" t="str">
        <f>IF(B473="", "", 'Lighting Inventory'!S481)</f>
        <v/>
      </c>
      <c r="AE473" s="26" t="str">
        <f>IF(B473="", "", 'Lighting Inventory'!V481)</f>
        <v/>
      </c>
      <c r="AF473" s="26" t="str">
        <f>IF(B473="", "", 'Lighting Inventory'!W481)</f>
        <v/>
      </c>
      <c r="AG473" s="26" t="str">
        <f>IF(OR(AF473="", B473=""), "", IF(AE473="Custom", "0", VLOOKUP(AF473, 'Lookup Tables'!$AI$6:$AP$102, 8, FALSE)))</f>
        <v/>
      </c>
      <c r="AH473" s="26" t="str">
        <f>IF(B473="", "", 'Lighting Inventory'!AD481)</f>
        <v/>
      </c>
      <c r="AI473" s="26" t="str">
        <f>IF(OR('Lighting Inventory'!AK481="", B473=""), "", 'Lighting Inventory'!AK481)</f>
        <v/>
      </c>
      <c r="AJ473" s="66" t="str">
        <f>IF(B473="", "", 'Lighting Inventory'!AL481)</f>
        <v/>
      </c>
      <c r="AK473" s="65" t="str">
        <f>IF(B473="", "", 'Lighting Inventory'!AM481)</f>
        <v/>
      </c>
      <c r="AL473" s="26" t="str">
        <f>IF(B473="", "", 'Lighting Inventory'!AN481)</f>
        <v/>
      </c>
      <c r="AM473" s="26" t="str">
        <f t="shared" si="24"/>
        <v/>
      </c>
      <c r="AN473" s="26" t="str">
        <f>IF(B473="","",IF('Lighting Inventory'!AV481="","Prescribed",'Lighting Inventory'!AV481))</f>
        <v/>
      </c>
      <c r="AO473" s="66" t="str">
        <f>IF(B473="", "", 'Lighting Inventory'!AX481)</f>
        <v/>
      </c>
      <c r="AP473" s="67" t="str">
        <f>IF(B473="", "", 'Lighting Inventory'!AZ481)</f>
        <v/>
      </c>
      <c r="AQ473" s="67" t="str">
        <f>IF(B473="", "", 'Lighting Inventory'!BA481)</f>
        <v/>
      </c>
      <c r="AR473" s="67" t="str">
        <f>IF(B473="", "", 'Lighting Inventory'!BB481)</f>
        <v/>
      </c>
      <c r="AS473" s="67" t="str">
        <f>IF(B473="", "", 'Lighting Inventory'!BC481)</f>
        <v/>
      </c>
      <c r="AT473" s="67" t="str">
        <f>IF(B473="", "", 'Lighting Inventory'!BD481)</f>
        <v/>
      </c>
      <c r="AU473" s="67" t="str">
        <f>IF(B473="", "", 'Lighting Inventory'!BE481)</f>
        <v/>
      </c>
      <c r="AV473" s="67" t="str">
        <f>IF(B473="", "", 'Lighting Inventory'!BE481)</f>
        <v/>
      </c>
      <c r="AW473" s="67" t="str">
        <f>IF(B473="", "", 'Lighting Inventory'!BF481)</f>
        <v/>
      </c>
      <c r="AX473" s="67" t="str">
        <f>IF(B473="", "", 'Lighting Inventory'!BF481)</f>
        <v/>
      </c>
      <c r="AY473" s="65" t="str">
        <f t="shared" si="25"/>
        <v/>
      </c>
      <c r="AZ473" s="65" t="str">
        <f>IF(B473="", "", 'Lighting Inventory'!BJ481)</f>
        <v/>
      </c>
      <c r="BA473" s="65" t="str">
        <f>IF(B473="", "", 'Lighting Inventory'!BM481)</f>
        <v/>
      </c>
      <c r="BB473" s="65" t="str">
        <f>IF(B473="","",SUM('Lighting Inventory'!BP481:BP481))</f>
        <v/>
      </c>
      <c r="BC473" s="67" t="str">
        <f>IF(OR(AE473="", B473=""),"", 'Lighting Inventory'!GR481)</f>
        <v/>
      </c>
      <c r="BD473" s="67" t="str">
        <f>IFERROR(IF(B473="", "", 'Lighting Inventory'!AF481)*AD473," ")</f>
        <v xml:space="preserve"> </v>
      </c>
      <c r="BE473" s="67"/>
      <c r="BF473" s="67"/>
    </row>
    <row r="474" spans="1:58" x14ac:dyDescent="0.25">
      <c r="A474" s="26" t="str">
        <f>IF(B474="", "", 'Lookup Tables'!AW475)</f>
        <v/>
      </c>
      <c r="B474" s="26" t="str">
        <f>IF(OR('Lighting Inventory'!Y482="", 'Lighting Inventory'!V482="No Change"),"", 'Lighting Inventory'!Y482)</f>
        <v/>
      </c>
      <c r="C474" s="26" t="str">
        <f>IF(B474="", "", IF('Lighting Inventory'!Y482='Lookup Tables'!$Y$32, 'Lighting Inventory'!AJ482, IF(AD474=0, R474, AD474)))</f>
        <v/>
      </c>
      <c r="D474" s="26" t="str">
        <f>IF(B474="", "", 'General Information'!$F$14)</f>
        <v/>
      </c>
      <c r="E474" s="26" t="str">
        <f t="shared" si="23"/>
        <v/>
      </c>
      <c r="F474" s="26" t="str">
        <f>IF(B474="", "", CONCATENATE('General Information'!$F$9, " - ", 'General Information'!$F$14))</f>
        <v/>
      </c>
      <c r="G474" s="26" t="str">
        <f>IF(B474="", "", 'General Information'!$F$15)</f>
        <v/>
      </c>
      <c r="H474" s="26" t="str">
        <f>IF(B474="", "", IF(VLOOKUP(B474, 'Lookup Tables'!$Y$18:$AA$34, 2, FALSE)="Traffic", VLOOKUP('Lighting Inventory'!W482, 'Lookup Tables'!#REF!, 11, FALSE), VLOOKUP(B474, 'Lookup Tables'!$Y$18:$AA$34, 2, FALSE)))</f>
        <v/>
      </c>
      <c r="I474" s="26" t="str">
        <f>IF(B474="", "", CONCATENATE(D474, 'Data Export'!A474))</f>
        <v/>
      </c>
      <c r="J474" s="26" t="str">
        <f>IF(B474="", "", 'Lookup Tables'!$B$1)</f>
        <v/>
      </c>
      <c r="K474" s="26" t="str">
        <f>IF(B474="", "", 'Lighting Inventory'!B482)</f>
        <v/>
      </c>
      <c r="L474" s="26" t="str">
        <f>IF(B474="", "", 'Lighting Inventory'!C482)</f>
        <v/>
      </c>
      <c r="M474" s="26" t="str">
        <f>IF(B474="", "",'Lighting Inventory'!D482)</f>
        <v/>
      </c>
      <c r="N474" s="26" t="str">
        <f>IF(B474="", "",'Lighting Inventory'!E482)</f>
        <v/>
      </c>
      <c r="O474" s="26" t="str">
        <f>IF(B474="", "", 'Lighting Inventory'!F482)</f>
        <v/>
      </c>
      <c r="P474" s="26" t="str">
        <f>IF(B474="", "", 'Lighting Inventory'!G482)</f>
        <v/>
      </c>
      <c r="Q474" s="26" t="str">
        <f>IF(B474="", "", 'Lighting Inventory'!H482)</f>
        <v/>
      </c>
      <c r="R474" s="26" t="str">
        <f>IF(B474="", "", 'Lighting Inventory'!I482)</f>
        <v/>
      </c>
      <c r="S474" s="26" t="str">
        <f>IF(B474="", "", 'Lighting Inventory'!J482)</f>
        <v/>
      </c>
      <c r="T474" s="26" t="str">
        <f>IFERROR(IF(B474="","",VLOOKUP(S474,'Fixture Identities'!$A$7:$G$1023,5,FALSE)), "New Construction")</f>
        <v/>
      </c>
      <c r="U474" s="26" t="str">
        <f>IFERROR(IF(B474="", "", IF(K474="New Construction", "NC", IF(VLOOKUP(S474, 'Fixture Identities'!$A$7:$I$1023,3, FALSE)="T12 Linear Fluorescent", VLOOKUP(S474, 'Fixture Identities'!$A$7:$K$1012, 11, FALSE), S474))), "")</f>
        <v/>
      </c>
      <c r="V474" s="26" t="str">
        <f>IFERROR(IF(OR(B474="", U474=0), "", VLOOKUP(U474, 'Fixture Identities'!$A$7:$G$1023, 5, FALSE)), "")</f>
        <v/>
      </c>
      <c r="W474" s="26" t="str">
        <f>IF(B474="", "",'Lighting Inventory'!K482)</f>
        <v/>
      </c>
      <c r="X474" s="65" t="str">
        <f>IF(B474="", "", 'Lighting Inventory'!L482)</f>
        <v/>
      </c>
      <c r="Y474" s="26" t="str">
        <f>IF(B474="", "", IF('Lighting Inventory'!M482="", "Light Switch",'Lighting Inventory'!M482))</f>
        <v/>
      </c>
      <c r="Z474" s="26" t="str">
        <f>IF(OR(K474="Retrofit", B474=""), "", 'Lighting Inventory'!N482)</f>
        <v/>
      </c>
      <c r="AA474" s="26" t="str">
        <f>IF(OR(Z474="",B474=""), "", 'Lighting Inventory'!O482)</f>
        <v/>
      </c>
      <c r="AB474" s="26" t="str">
        <f>IF(B474="", "", 'Lighting Inventory'!P482)</f>
        <v/>
      </c>
      <c r="AC474" s="96" t="str">
        <f>IF(B474="", "", 'Lighting Inventory'!R482)</f>
        <v/>
      </c>
      <c r="AD474" s="26" t="str">
        <f>IF(B474="", "", 'Lighting Inventory'!S482)</f>
        <v/>
      </c>
      <c r="AE474" s="26" t="str">
        <f>IF(B474="", "", 'Lighting Inventory'!V482)</f>
        <v/>
      </c>
      <c r="AF474" s="26" t="str">
        <f>IF(B474="", "", 'Lighting Inventory'!W482)</f>
        <v/>
      </c>
      <c r="AG474" s="26" t="str">
        <f>IF(OR(AF474="", B474=""), "", IF(AE474="Custom", "0", VLOOKUP(AF474, 'Lookup Tables'!$AI$6:$AP$102, 8, FALSE)))</f>
        <v/>
      </c>
      <c r="AH474" s="26" t="str">
        <f>IF(B474="", "", 'Lighting Inventory'!AD482)</f>
        <v/>
      </c>
      <c r="AI474" s="26" t="str">
        <f>IF(OR('Lighting Inventory'!AK482="", B474=""), "", 'Lighting Inventory'!AK482)</f>
        <v/>
      </c>
      <c r="AJ474" s="66" t="str">
        <f>IF(B474="", "", 'Lighting Inventory'!AL482)</f>
        <v/>
      </c>
      <c r="AK474" s="65" t="str">
        <f>IF(B474="", "", 'Lighting Inventory'!AM482)</f>
        <v/>
      </c>
      <c r="AL474" s="26" t="str">
        <f>IF(B474="", "", 'Lighting Inventory'!AN482)</f>
        <v/>
      </c>
      <c r="AM474" s="26" t="str">
        <f t="shared" si="24"/>
        <v/>
      </c>
      <c r="AN474" s="26" t="str">
        <f>IF(B474="","",IF('Lighting Inventory'!AV482="","Prescribed",'Lighting Inventory'!AV482))</f>
        <v/>
      </c>
      <c r="AO474" s="66" t="str">
        <f>IF(B474="", "", 'Lighting Inventory'!AX482)</f>
        <v/>
      </c>
      <c r="AP474" s="67" t="str">
        <f>IF(B474="", "", 'Lighting Inventory'!AZ482)</f>
        <v/>
      </c>
      <c r="AQ474" s="67" t="str">
        <f>IF(B474="", "", 'Lighting Inventory'!BA482)</f>
        <v/>
      </c>
      <c r="AR474" s="67" t="str">
        <f>IF(B474="", "", 'Lighting Inventory'!BB482)</f>
        <v/>
      </c>
      <c r="AS474" s="67" t="str">
        <f>IF(B474="", "", 'Lighting Inventory'!BC482)</f>
        <v/>
      </c>
      <c r="AT474" s="67" t="str">
        <f>IF(B474="", "", 'Lighting Inventory'!BD482)</f>
        <v/>
      </c>
      <c r="AU474" s="67" t="str">
        <f>IF(B474="", "", 'Lighting Inventory'!BE482)</f>
        <v/>
      </c>
      <c r="AV474" s="67" t="str">
        <f>IF(B474="", "", 'Lighting Inventory'!BE482)</f>
        <v/>
      </c>
      <c r="AW474" s="67" t="str">
        <f>IF(B474="", "", 'Lighting Inventory'!BF482)</f>
        <v/>
      </c>
      <c r="AX474" s="67" t="str">
        <f>IF(B474="", "", 'Lighting Inventory'!BF482)</f>
        <v/>
      </c>
      <c r="AY474" s="65" t="str">
        <f t="shared" si="25"/>
        <v/>
      </c>
      <c r="AZ474" s="65" t="str">
        <f>IF(B474="", "", 'Lighting Inventory'!BJ482)</f>
        <v/>
      </c>
      <c r="BA474" s="65" t="str">
        <f>IF(B474="", "", 'Lighting Inventory'!BM482)</f>
        <v/>
      </c>
      <c r="BB474" s="65" t="str">
        <f>IF(B474="","",SUM('Lighting Inventory'!BP482:BP482))</f>
        <v/>
      </c>
      <c r="BC474" s="67" t="str">
        <f>IF(OR(AE474="", B474=""),"", 'Lighting Inventory'!GR482)</f>
        <v/>
      </c>
      <c r="BD474" s="67" t="str">
        <f>IFERROR(IF(B474="", "", 'Lighting Inventory'!AF482)*AD474," ")</f>
        <v xml:space="preserve"> </v>
      </c>
      <c r="BE474" s="67"/>
      <c r="BF474" s="67"/>
    </row>
    <row r="475" spans="1:58" x14ac:dyDescent="0.25">
      <c r="A475" s="26" t="str">
        <f>IF(B475="", "", 'Lookup Tables'!AW476)</f>
        <v/>
      </c>
      <c r="B475" s="26" t="str">
        <f>IF(OR('Lighting Inventory'!Y483="", 'Lighting Inventory'!V483="No Change"),"", 'Lighting Inventory'!Y483)</f>
        <v/>
      </c>
      <c r="C475" s="26" t="str">
        <f>IF(B475="", "", IF('Lighting Inventory'!Y483='Lookup Tables'!$Y$32, 'Lighting Inventory'!AJ483, IF(AD475=0, R475, AD475)))</f>
        <v/>
      </c>
      <c r="D475" s="26" t="str">
        <f>IF(B475="", "", 'General Information'!$F$14)</f>
        <v/>
      </c>
      <c r="E475" s="26" t="str">
        <f t="shared" si="23"/>
        <v/>
      </c>
      <c r="F475" s="26" t="str">
        <f>IF(B475="", "", CONCATENATE('General Information'!$F$9, " - ", 'General Information'!$F$14))</f>
        <v/>
      </c>
      <c r="G475" s="26" t="str">
        <f>IF(B475="", "", 'General Information'!$F$15)</f>
        <v/>
      </c>
      <c r="H475" s="26" t="str">
        <f>IF(B475="", "", IF(VLOOKUP(B475, 'Lookup Tables'!$Y$18:$AA$34, 2, FALSE)="Traffic", VLOOKUP('Lighting Inventory'!W483, 'Lookup Tables'!#REF!, 11, FALSE), VLOOKUP(B475, 'Lookup Tables'!$Y$18:$AA$34, 2, FALSE)))</f>
        <v/>
      </c>
      <c r="I475" s="26" t="str">
        <f>IF(B475="", "", CONCATENATE(D475, 'Data Export'!A475))</f>
        <v/>
      </c>
      <c r="J475" s="26" t="str">
        <f>IF(B475="", "", 'Lookup Tables'!$B$1)</f>
        <v/>
      </c>
      <c r="K475" s="26" t="str">
        <f>IF(B475="", "", 'Lighting Inventory'!B483)</f>
        <v/>
      </c>
      <c r="L475" s="26" t="str">
        <f>IF(B475="", "", 'Lighting Inventory'!C483)</f>
        <v/>
      </c>
      <c r="M475" s="26" t="str">
        <f>IF(B475="", "",'Lighting Inventory'!D483)</f>
        <v/>
      </c>
      <c r="N475" s="26" t="str">
        <f>IF(B475="", "",'Lighting Inventory'!E483)</f>
        <v/>
      </c>
      <c r="O475" s="26" t="str">
        <f>IF(B475="", "", 'Lighting Inventory'!F483)</f>
        <v/>
      </c>
      <c r="P475" s="26" t="str">
        <f>IF(B475="", "", 'Lighting Inventory'!G483)</f>
        <v/>
      </c>
      <c r="Q475" s="26" t="str">
        <f>IF(B475="", "", 'Lighting Inventory'!H483)</f>
        <v/>
      </c>
      <c r="R475" s="26" t="str">
        <f>IF(B475="", "", 'Lighting Inventory'!I483)</f>
        <v/>
      </c>
      <c r="S475" s="26" t="str">
        <f>IF(B475="", "", 'Lighting Inventory'!J483)</f>
        <v/>
      </c>
      <c r="T475" s="26" t="str">
        <f>IFERROR(IF(B475="","",VLOOKUP(S475,'Fixture Identities'!$A$7:$G$1023,5,FALSE)), "New Construction")</f>
        <v/>
      </c>
      <c r="U475" s="26" t="str">
        <f>IFERROR(IF(B475="", "", IF(K475="New Construction", "NC", IF(VLOOKUP(S475, 'Fixture Identities'!$A$7:$I$1023,3, FALSE)="T12 Linear Fluorescent", VLOOKUP(S475, 'Fixture Identities'!$A$7:$K$1012, 11, FALSE), S475))), "")</f>
        <v/>
      </c>
      <c r="V475" s="26" t="str">
        <f>IFERROR(IF(OR(B475="", U475=0), "", VLOOKUP(U475, 'Fixture Identities'!$A$7:$G$1023, 5, FALSE)), "")</f>
        <v/>
      </c>
      <c r="W475" s="26" t="str">
        <f>IF(B475="", "",'Lighting Inventory'!K483)</f>
        <v/>
      </c>
      <c r="X475" s="65" t="str">
        <f>IF(B475="", "", 'Lighting Inventory'!L483)</f>
        <v/>
      </c>
      <c r="Y475" s="26" t="str">
        <f>IF(B475="", "", IF('Lighting Inventory'!M483="", "Light Switch",'Lighting Inventory'!M483))</f>
        <v/>
      </c>
      <c r="Z475" s="26" t="str">
        <f>IF(OR(K475="Retrofit", B475=""), "", 'Lighting Inventory'!N483)</f>
        <v/>
      </c>
      <c r="AA475" s="26" t="str">
        <f>IF(OR(Z475="",B475=""), "", 'Lighting Inventory'!O483)</f>
        <v/>
      </c>
      <c r="AB475" s="26" t="str">
        <f>IF(B475="", "", 'Lighting Inventory'!P483)</f>
        <v/>
      </c>
      <c r="AC475" s="96" t="str">
        <f>IF(B475="", "", 'Lighting Inventory'!R483)</f>
        <v/>
      </c>
      <c r="AD475" s="26" t="str">
        <f>IF(B475="", "", 'Lighting Inventory'!S483)</f>
        <v/>
      </c>
      <c r="AE475" s="26" t="str">
        <f>IF(B475="", "", 'Lighting Inventory'!V483)</f>
        <v/>
      </c>
      <c r="AF475" s="26" t="str">
        <f>IF(B475="", "", 'Lighting Inventory'!W483)</f>
        <v/>
      </c>
      <c r="AG475" s="26" t="str">
        <f>IF(OR(AF475="", B475=""), "", IF(AE475="Custom", "0", VLOOKUP(AF475, 'Lookup Tables'!$AI$6:$AP$102, 8, FALSE)))</f>
        <v/>
      </c>
      <c r="AH475" s="26" t="str">
        <f>IF(B475="", "", 'Lighting Inventory'!AD483)</f>
        <v/>
      </c>
      <c r="AI475" s="26" t="str">
        <f>IF(OR('Lighting Inventory'!AK483="", B475=""), "", 'Lighting Inventory'!AK483)</f>
        <v/>
      </c>
      <c r="AJ475" s="66" t="str">
        <f>IF(B475="", "", 'Lighting Inventory'!AL483)</f>
        <v/>
      </c>
      <c r="AK475" s="65" t="str">
        <f>IF(B475="", "", 'Lighting Inventory'!AM483)</f>
        <v/>
      </c>
      <c r="AL475" s="26" t="str">
        <f>IF(B475="", "", 'Lighting Inventory'!AN483)</f>
        <v/>
      </c>
      <c r="AM475" s="26" t="str">
        <f t="shared" si="24"/>
        <v/>
      </c>
      <c r="AN475" s="26" t="str">
        <f>IF(B475="","",IF('Lighting Inventory'!AV483="","Prescribed",'Lighting Inventory'!AV483))</f>
        <v/>
      </c>
      <c r="AO475" s="66" t="str">
        <f>IF(B475="", "", 'Lighting Inventory'!AX483)</f>
        <v/>
      </c>
      <c r="AP475" s="67" t="str">
        <f>IF(B475="", "", 'Lighting Inventory'!AZ483)</f>
        <v/>
      </c>
      <c r="AQ475" s="67" t="str">
        <f>IF(B475="", "", 'Lighting Inventory'!BA483)</f>
        <v/>
      </c>
      <c r="AR475" s="67" t="str">
        <f>IF(B475="", "", 'Lighting Inventory'!BB483)</f>
        <v/>
      </c>
      <c r="AS475" s="67" t="str">
        <f>IF(B475="", "", 'Lighting Inventory'!BC483)</f>
        <v/>
      </c>
      <c r="AT475" s="67" t="str">
        <f>IF(B475="", "", 'Lighting Inventory'!BD483)</f>
        <v/>
      </c>
      <c r="AU475" s="67" t="str">
        <f>IF(B475="", "", 'Lighting Inventory'!BE483)</f>
        <v/>
      </c>
      <c r="AV475" s="67" t="str">
        <f>IF(B475="", "", 'Lighting Inventory'!BE483)</f>
        <v/>
      </c>
      <c r="AW475" s="67" t="str">
        <f>IF(B475="", "", 'Lighting Inventory'!BF483)</f>
        <v/>
      </c>
      <c r="AX475" s="67" t="str">
        <f>IF(B475="", "", 'Lighting Inventory'!BF483)</f>
        <v/>
      </c>
      <c r="AY475" s="65" t="str">
        <f t="shared" si="25"/>
        <v/>
      </c>
      <c r="AZ475" s="65" t="str">
        <f>IF(B475="", "", 'Lighting Inventory'!BJ483)</f>
        <v/>
      </c>
      <c r="BA475" s="65" t="str">
        <f>IF(B475="", "", 'Lighting Inventory'!BM483)</f>
        <v/>
      </c>
      <c r="BB475" s="65" t="str">
        <f>IF(B475="","",SUM('Lighting Inventory'!BP483:BP483))</f>
        <v/>
      </c>
      <c r="BC475" s="67" t="str">
        <f>IF(OR(AE475="", B475=""),"", 'Lighting Inventory'!GR483)</f>
        <v/>
      </c>
      <c r="BD475" s="67" t="str">
        <f>IFERROR(IF(B475="", "", 'Lighting Inventory'!AF483)*AD475," ")</f>
        <v xml:space="preserve"> </v>
      </c>
      <c r="BE475" s="67"/>
      <c r="BF475" s="67"/>
    </row>
    <row r="476" spans="1:58" x14ac:dyDescent="0.25">
      <c r="A476" s="26" t="str">
        <f>IF(B476="", "", 'Lookup Tables'!AW477)</f>
        <v/>
      </c>
      <c r="B476" s="26" t="str">
        <f>IF(OR('Lighting Inventory'!Y484="", 'Lighting Inventory'!V484="No Change"),"", 'Lighting Inventory'!Y484)</f>
        <v/>
      </c>
      <c r="C476" s="26" t="str">
        <f>IF(B476="", "", IF('Lighting Inventory'!Y484='Lookup Tables'!$Y$32, 'Lighting Inventory'!AJ484, IF(AD476=0, R476, AD476)))</f>
        <v/>
      </c>
      <c r="D476" s="26" t="str">
        <f>IF(B476="", "", 'General Information'!$F$14)</f>
        <v/>
      </c>
      <c r="E476" s="26" t="str">
        <f t="shared" si="23"/>
        <v/>
      </c>
      <c r="F476" s="26" t="str">
        <f>IF(B476="", "", CONCATENATE('General Information'!$F$9, " - ", 'General Information'!$F$14))</f>
        <v/>
      </c>
      <c r="G476" s="26" t="str">
        <f>IF(B476="", "", 'General Information'!$F$15)</f>
        <v/>
      </c>
      <c r="H476" s="26" t="str">
        <f>IF(B476="", "", IF(VLOOKUP(B476, 'Lookup Tables'!$Y$18:$AA$34, 2, FALSE)="Traffic", VLOOKUP('Lighting Inventory'!W484, 'Lookup Tables'!#REF!, 11, FALSE), VLOOKUP(B476, 'Lookup Tables'!$Y$18:$AA$34, 2, FALSE)))</f>
        <v/>
      </c>
      <c r="I476" s="26" t="str">
        <f>IF(B476="", "", CONCATENATE(D476, 'Data Export'!A476))</f>
        <v/>
      </c>
      <c r="J476" s="26" t="str">
        <f>IF(B476="", "", 'Lookup Tables'!$B$1)</f>
        <v/>
      </c>
      <c r="K476" s="26" t="str">
        <f>IF(B476="", "", 'Lighting Inventory'!B484)</f>
        <v/>
      </c>
      <c r="L476" s="26" t="str">
        <f>IF(B476="", "", 'Lighting Inventory'!C484)</f>
        <v/>
      </c>
      <c r="M476" s="26" t="str">
        <f>IF(B476="", "",'Lighting Inventory'!D484)</f>
        <v/>
      </c>
      <c r="N476" s="26" t="str">
        <f>IF(B476="", "",'Lighting Inventory'!E484)</f>
        <v/>
      </c>
      <c r="O476" s="26" t="str">
        <f>IF(B476="", "", 'Lighting Inventory'!F484)</f>
        <v/>
      </c>
      <c r="P476" s="26" t="str">
        <f>IF(B476="", "", 'Lighting Inventory'!G484)</f>
        <v/>
      </c>
      <c r="Q476" s="26" t="str">
        <f>IF(B476="", "", 'Lighting Inventory'!H484)</f>
        <v/>
      </c>
      <c r="R476" s="26" t="str">
        <f>IF(B476="", "", 'Lighting Inventory'!I484)</f>
        <v/>
      </c>
      <c r="S476" s="26" t="str">
        <f>IF(B476="", "", 'Lighting Inventory'!J484)</f>
        <v/>
      </c>
      <c r="T476" s="26" t="str">
        <f>IFERROR(IF(B476="","",VLOOKUP(S476,'Fixture Identities'!$A$7:$G$1023,5,FALSE)), "New Construction")</f>
        <v/>
      </c>
      <c r="U476" s="26" t="str">
        <f>IFERROR(IF(B476="", "", IF(K476="New Construction", "NC", IF(VLOOKUP(S476, 'Fixture Identities'!$A$7:$I$1023,3, FALSE)="T12 Linear Fluorescent", VLOOKUP(S476, 'Fixture Identities'!$A$7:$K$1012, 11, FALSE), S476))), "")</f>
        <v/>
      </c>
      <c r="V476" s="26" t="str">
        <f>IFERROR(IF(OR(B476="", U476=0), "", VLOOKUP(U476, 'Fixture Identities'!$A$7:$G$1023, 5, FALSE)), "")</f>
        <v/>
      </c>
      <c r="W476" s="26" t="str">
        <f>IF(B476="", "",'Lighting Inventory'!K484)</f>
        <v/>
      </c>
      <c r="X476" s="65" t="str">
        <f>IF(B476="", "", 'Lighting Inventory'!L484)</f>
        <v/>
      </c>
      <c r="Y476" s="26" t="str">
        <f>IF(B476="", "", IF('Lighting Inventory'!M484="", "Light Switch",'Lighting Inventory'!M484))</f>
        <v/>
      </c>
      <c r="Z476" s="26" t="str">
        <f>IF(OR(K476="Retrofit", B476=""), "", 'Lighting Inventory'!N484)</f>
        <v/>
      </c>
      <c r="AA476" s="26" t="str">
        <f>IF(OR(Z476="",B476=""), "", 'Lighting Inventory'!O484)</f>
        <v/>
      </c>
      <c r="AB476" s="26" t="str">
        <f>IF(B476="", "", 'Lighting Inventory'!P484)</f>
        <v/>
      </c>
      <c r="AC476" s="96" t="str">
        <f>IF(B476="", "", 'Lighting Inventory'!R484)</f>
        <v/>
      </c>
      <c r="AD476" s="26" t="str">
        <f>IF(B476="", "", 'Lighting Inventory'!S484)</f>
        <v/>
      </c>
      <c r="AE476" s="26" t="str">
        <f>IF(B476="", "", 'Lighting Inventory'!V484)</f>
        <v/>
      </c>
      <c r="AF476" s="26" t="str">
        <f>IF(B476="", "", 'Lighting Inventory'!W484)</f>
        <v/>
      </c>
      <c r="AG476" s="26" t="str">
        <f>IF(OR(AF476="", B476=""), "", IF(AE476="Custom", "0", VLOOKUP(AF476, 'Lookup Tables'!$AI$6:$AP$102, 8, FALSE)))</f>
        <v/>
      </c>
      <c r="AH476" s="26" t="str">
        <f>IF(B476="", "", 'Lighting Inventory'!AD484)</f>
        <v/>
      </c>
      <c r="AI476" s="26" t="str">
        <f>IF(OR('Lighting Inventory'!AK484="", B476=""), "", 'Lighting Inventory'!AK484)</f>
        <v/>
      </c>
      <c r="AJ476" s="66" t="str">
        <f>IF(B476="", "", 'Lighting Inventory'!AL484)</f>
        <v/>
      </c>
      <c r="AK476" s="65" t="str">
        <f>IF(B476="", "", 'Lighting Inventory'!AM484)</f>
        <v/>
      </c>
      <c r="AL476" s="26" t="str">
        <f>IF(B476="", "", 'Lighting Inventory'!AN484)</f>
        <v/>
      </c>
      <c r="AM476" s="26" t="str">
        <f t="shared" si="24"/>
        <v/>
      </c>
      <c r="AN476" s="26" t="str">
        <f>IF(B476="","",IF('Lighting Inventory'!AV484="","Prescribed",'Lighting Inventory'!AV484))</f>
        <v/>
      </c>
      <c r="AO476" s="66" t="str">
        <f>IF(B476="", "", 'Lighting Inventory'!AX484)</f>
        <v/>
      </c>
      <c r="AP476" s="67" t="str">
        <f>IF(B476="", "", 'Lighting Inventory'!AZ484)</f>
        <v/>
      </c>
      <c r="AQ476" s="67" t="str">
        <f>IF(B476="", "", 'Lighting Inventory'!BA484)</f>
        <v/>
      </c>
      <c r="AR476" s="67" t="str">
        <f>IF(B476="", "", 'Lighting Inventory'!BB484)</f>
        <v/>
      </c>
      <c r="AS476" s="67" t="str">
        <f>IF(B476="", "", 'Lighting Inventory'!BC484)</f>
        <v/>
      </c>
      <c r="AT476" s="67" t="str">
        <f>IF(B476="", "", 'Lighting Inventory'!BD484)</f>
        <v/>
      </c>
      <c r="AU476" s="67" t="str">
        <f>IF(B476="", "", 'Lighting Inventory'!BE484)</f>
        <v/>
      </c>
      <c r="AV476" s="67" t="str">
        <f>IF(B476="", "", 'Lighting Inventory'!BE484)</f>
        <v/>
      </c>
      <c r="AW476" s="67" t="str">
        <f>IF(B476="", "", 'Lighting Inventory'!BF484)</f>
        <v/>
      </c>
      <c r="AX476" s="67" t="str">
        <f>IF(B476="", "", 'Lighting Inventory'!BF484)</f>
        <v/>
      </c>
      <c r="AY476" s="65" t="str">
        <f t="shared" si="25"/>
        <v/>
      </c>
      <c r="AZ476" s="65" t="str">
        <f>IF(B476="", "", 'Lighting Inventory'!BJ484)</f>
        <v/>
      </c>
      <c r="BA476" s="65" t="str">
        <f>IF(B476="", "", 'Lighting Inventory'!BM484)</f>
        <v/>
      </c>
      <c r="BB476" s="65" t="str">
        <f>IF(B476="","",SUM('Lighting Inventory'!BP484:BP484))</f>
        <v/>
      </c>
      <c r="BC476" s="67" t="str">
        <f>IF(OR(AE476="", B476=""),"", 'Lighting Inventory'!GR484)</f>
        <v/>
      </c>
      <c r="BD476" s="67" t="str">
        <f>IFERROR(IF(B476="", "", 'Lighting Inventory'!AF484)*AD476," ")</f>
        <v xml:space="preserve"> </v>
      </c>
      <c r="BE476" s="67"/>
      <c r="BF476" s="67"/>
    </row>
    <row r="477" spans="1:58" x14ac:dyDescent="0.25">
      <c r="A477" s="26" t="str">
        <f>IF(B477="", "", 'Lookup Tables'!AW478)</f>
        <v/>
      </c>
      <c r="B477" s="26" t="str">
        <f>IF(OR('Lighting Inventory'!Y485="", 'Lighting Inventory'!V485="No Change"),"", 'Lighting Inventory'!Y485)</f>
        <v/>
      </c>
      <c r="C477" s="26" t="str">
        <f>IF(B477="", "", IF('Lighting Inventory'!Y485='Lookup Tables'!$Y$32, 'Lighting Inventory'!AJ485, IF(AD477=0, R477, AD477)))</f>
        <v/>
      </c>
      <c r="D477" s="26" t="str">
        <f>IF(B477="", "", 'General Information'!$F$14)</f>
        <v/>
      </c>
      <c r="E477" s="26" t="str">
        <f t="shared" si="23"/>
        <v/>
      </c>
      <c r="F477" s="26" t="str">
        <f>IF(B477="", "", CONCATENATE('General Information'!$F$9, " - ", 'General Information'!$F$14))</f>
        <v/>
      </c>
      <c r="G477" s="26" t="str">
        <f>IF(B477="", "", 'General Information'!$F$15)</f>
        <v/>
      </c>
      <c r="H477" s="26" t="str">
        <f>IF(B477="", "", IF(VLOOKUP(B477, 'Lookup Tables'!$Y$18:$AA$34, 2, FALSE)="Traffic", VLOOKUP('Lighting Inventory'!W485, 'Lookup Tables'!#REF!, 11, FALSE), VLOOKUP(B477, 'Lookup Tables'!$Y$18:$AA$34, 2, FALSE)))</f>
        <v/>
      </c>
      <c r="I477" s="26" t="str">
        <f>IF(B477="", "", CONCATENATE(D477, 'Data Export'!A477))</f>
        <v/>
      </c>
      <c r="J477" s="26" t="str">
        <f>IF(B477="", "", 'Lookup Tables'!$B$1)</f>
        <v/>
      </c>
      <c r="K477" s="26" t="str">
        <f>IF(B477="", "", 'Lighting Inventory'!B485)</f>
        <v/>
      </c>
      <c r="L477" s="26" t="str">
        <f>IF(B477="", "", 'Lighting Inventory'!C485)</f>
        <v/>
      </c>
      <c r="M477" s="26" t="str">
        <f>IF(B477="", "",'Lighting Inventory'!D485)</f>
        <v/>
      </c>
      <c r="N477" s="26" t="str">
        <f>IF(B477="", "",'Lighting Inventory'!E485)</f>
        <v/>
      </c>
      <c r="O477" s="26" t="str">
        <f>IF(B477="", "", 'Lighting Inventory'!F485)</f>
        <v/>
      </c>
      <c r="P477" s="26" t="str">
        <f>IF(B477="", "", 'Lighting Inventory'!G485)</f>
        <v/>
      </c>
      <c r="Q477" s="26" t="str">
        <f>IF(B477="", "", 'Lighting Inventory'!H485)</f>
        <v/>
      </c>
      <c r="R477" s="26" t="str">
        <f>IF(B477="", "", 'Lighting Inventory'!I485)</f>
        <v/>
      </c>
      <c r="S477" s="26" t="str">
        <f>IF(B477="", "", 'Lighting Inventory'!J485)</f>
        <v/>
      </c>
      <c r="T477" s="26" t="str">
        <f>IFERROR(IF(B477="","",VLOOKUP(S477,'Fixture Identities'!$A$7:$G$1023,5,FALSE)), "New Construction")</f>
        <v/>
      </c>
      <c r="U477" s="26" t="str">
        <f>IFERROR(IF(B477="", "", IF(K477="New Construction", "NC", IF(VLOOKUP(S477, 'Fixture Identities'!$A$7:$I$1023,3, FALSE)="T12 Linear Fluorescent", VLOOKUP(S477, 'Fixture Identities'!$A$7:$K$1012, 11, FALSE), S477))), "")</f>
        <v/>
      </c>
      <c r="V477" s="26" t="str">
        <f>IFERROR(IF(OR(B477="", U477=0), "", VLOOKUP(U477, 'Fixture Identities'!$A$7:$G$1023, 5, FALSE)), "")</f>
        <v/>
      </c>
      <c r="W477" s="26" t="str">
        <f>IF(B477="", "",'Lighting Inventory'!K485)</f>
        <v/>
      </c>
      <c r="X477" s="65" t="str">
        <f>IF(B477="", "", 'Lighting Inventory'!L485)</f>
        <v/>
      </c>
      <c r="Y477" s="26" t="str">
        <f>IF(B477="", "", IF('Lighting Inventory'!M485="", "Light Switch",'Lighting Inventory'!M485))</f>
        <v/>
      </c>
      <c r="Z477" s="26" t="str">
        <f>IF(OR(K477="Retrofit", B477=""), "", 'Lighting Inventory'!N485)</f>
        <v/>
      </c>
      <c r="AA477" s="26" t="str">
        <f>IF(OR(Z477="",B477=""), "", 'Lighting Inventory'!O485)</f>
        <v/>
      </c>
      <c r="AB477" s="26" t="str">
        <f>IF(B477="", "", 'Lighting Inventory'!P485)</f>
        <v/>
      </c>
      <c r="AC477" s="96" t="str">
        <f>IF(B477="", "", 'Lighting Inventory'!R485)</f>
        <v/>
      </c>
      <c r="AD477" s="26" t="str">
        <f>IF(B477="", "", 'Lighting Inventory'!S485)</f>
        <v/>
      </c>
      <c r="AE477" s="26" t="str">
        <f>IF(B477="", "", 'Lighting Inventory'!V485)</f>
        <v/>
      </c>
      <c r="AF477" s="26" t="str">
        <f>IF(B477="", "", 'Lighting Inventory'!W485)</f>
        <v/>
      </c>
      <c r="AG477" s="26" t="str">
        <f>IF(OR(AF477="", B477=""), "", IF(AE477="Custom", "0", VLOOKUP(AF477, 'Lookup Tables'!$AI$6:$AP$102, 8, FALSE)))</f>
        <v/>
      </c>
      <c r="AH477" s="26" t="str">
        <f>IF(B477="", "", 'Lighting Inventory'!AD485)</f>
        <v/>
      </c>
      <c r="AI477" s="26" t="str">
        <f>IF(OR('Lighting Inventory'!AK485="", B477=""), "", 'Lighting Inventory'!AK485)</f>
        <v/>
      </c>
      <c r="AJ477" s="66" t="str">
        <f>IF(B477="", "", 'Lighting Inventory'!AL485)</f>
        <v/>
      </c>
      <c r="AK477" s="65" t="str">
        <f>IF(B477="", "", 'Lighting Inventory'!AM485)</f>
        <v/>
      </c>
      <c r="AL477" s="26" t="str">
        <f>IF(B477="", "", 'Lighting Inventory'!AN485)</f>
        <v/>
      </c>
      <c r="AM477" s="26" t="str">
        <f t="shared" si="24"/>
        <v/>
      </c>
      <c r="AN477" s="26" t="str">
        <f>IF(B477="","",IF('Lighting Inventory'!AV485="","Prescribed",'Lighting Inventory'!AV485))</f>
        <v/>
      </c>
      <c r="AO477" s="66" t="str">
        <f>IF(B477="", "", 'Lighting Inventory'!AX485)</f>
        <v/>
      </c>
      <c r="AP477" s="67" t="str">
        <f>IF(B477="", "", 'Lighting Inventory'!AZ485)</f>
        <v/>
      </c>
      <c r="AQ477" s="67" t="str">
        <f>IF(B477="", "", 'Lighting Inventory'!BA485)</f>
        <v/>
      </c>
      <c r="AR477" s="67" t="str">
        <f>IF(B477="", "", 'Lighting Inventory'!BB485)</f>
        <v/>
      </c>
      <c r="AS477" s="67" t="str">
        <f>IF(B477="", "", 'Lighting Inventory'!BC485)</f>
        <v/>
      </c>
      <c r="AT477" s="67" t="str">
        <f>IF(B477="", "", 'Lighting Inventory'!BD485)</f>
        <v/>
      </c>
      <c r="AU477" s="67" t="str">
        <f>IF(B477="", "", 'Lighting Inventory'!BE485)</f>
        <v/>
      </c>
      <c r="AV477" s="67" t="str">
        <f>IF(B477="", "", 'Lighting Inventory'!BE485)</f>
        <v/>
      </c>
      <c r="AW477" s="67" t="str">
        <f>IF(B477="", "", 'Lighting Inventory'!BF485)</f>
        <v/>
      </c>
      <c r="AX477" s="67" t="str">
        <f>IF(B477="", "", 'Lighting Inventory'!BF485)</f>
        <v/>
      </c>
      <c r="AY477" s="65" t="str">
        <f t="shared" si="25"/>
        <v/>
      </c>
      <c r="AZ477" s="65" t="str">
        <f>IF(B477="", "", 'Lighting Inventory'!BJ485)</f>
        <v/>
      </c>
      <c r="BA477" s="65" t="str">
        <f>IF(B477="", "", 'Lighting Inventory'!BM485)</f>
        <v/>
      </c>
      <c r="BB477" s="65" t="str">
        <f>IF(B477="","",SUM('Lighting Inventory'!BP485:BP485))</f>
        <v/>
      </c>
      <c r="BC477" s="67" t="str">
        <f>IF(OR(AE477="", B477=""),"", 'Lighting Inventory'!GR485)</f>
        <v/>
      </c>
      <c r="BD477" s="67" t="str">
        <f>IFERROR(IF(B477="", "", 'Lighting Inventory'!AF485)*AD477," ")</f>
        <v xml:space="preserve"> </v>
      </c>
      <c r="BE477" s="67"/>
      <c r="BF477" s="67"/>
    </row>
    <row r="478" spans="1:58" x14ac:dyDescent="0.25">
      <c r="A478" s="26" t="str">
        <f>IF(B478="", "", 'Lookup Tables'!AW479)</f>
        <v/>
      </c>
      <c r="B478" s="26" t="str">
        <f>IF(OR('Lighting Inventory'!Y486="", 'Lighting Inventory'!V486="No Change"),"", 'Lighting Inventory'!Y486)</f>
        <v/>
      </c>
      <c r="C478" s="26" t="str">
        <f>IF(B478="", "", IF('Lighting Inventory'!Y486='Lookup Tables'!$Y$32, 'Lighting Inventory'!AJ486, IF(AD478=0, R478, AD478)))</f>
        <v/>
      </c>
      <c r="D478" s="26" t="str">
        <f>IF(B478="", "", 'General Information'!$F$14)</f>
        <v/>
      </c>
      <c r="E478" s="26" t="str">
        <f t="shared" si="23"/>
        <v/>
      </c>
      <c r="F478" s="26" t="str">
        <f>IF(B478="", "", CONCATENATE('General Information'!$F$9, " - ", 'General Information'!$F$14))</f>
        <v/>
      </c>
      <c r="G478" s="26" t="str">
        <f>IF(B478="", "", 'General Information'!$F$15)</f>
        <v/>
      </c>
      <c r="H478" s="26" t="str">
        <f>IF(B478="", "", IF(VLOOKUP(B478, 'Lookup Tables'!$Y$18:$AA$34, 2, FALSE)="Traffic", VLOOKUP('Lighting Inventory'!W486, 'Lookup Tables'!#REF!, 11, FALSE), VLOOKUP(B478, 'Lookup Tables'!$Y$18:$AA$34, 2, FALSE)))</f>
        <v/>
      </c>
      <c r="I478" s="26" t="str">
        <f>IF(B478="", "", CONCATENATE(D478, 'Data Export'!A478))</f>
        <v/>
      </c>
      <c r="J478" s="26" t="str">
        <f>IF(B478="", "", 'Lookup Tables'!$B$1)</f>
        <v/>
      </c>
      <c r="K478" s="26" t="str">
        <f>IF(B478="", "", 'Lighting Inventory'!B486)</f>
        <v/>
      </c>
      <c r="L478" s="26" t="str">
        <f>IF(B478="", "", 'Lighting Inventory'!C486)</f>
        <v/>
      </c>
      <c r="M478" s="26" t="str">
        <f>IF(B478="", "",'Lighting Inventory'!D486)</f>
        <v/>
      </c>
      <c r="N478" s="26" t="str">
        <f>IF(B478="", "",'Lighting Inventory'!E486)</f>
        <v/>
      </c>
      <c r="O478" s="26" t="str">
        <f>IF(B478="", "", 'Lighting Inventory'!F486)</f>
        <v/>
      </c>
      <c r="P478" s="26" t="str">
        <f>IF(B478="", "", 'Lighting Inventory'!G486)</f>
        <v/>
      </c>
      <c r="Q478" s="26" t="str">
        <f>IF(B478="", "", 'Lighting Inventory'!H486)</f>
        <v/>
      </c>
      <c r="R478" s="26" t="str">
        <f>IF(B478="", "", 'Lighting Inventory'!I486)</f>
        <v/>
      </c>
      <c r="S478" s="26" t="str">
        <f>IF(B478="", "", 'Lighting Inventory'!J486)</f>
        <v/>
      </c>
      <c r="T478" s="26" t="str">
        <f>IFERROR(IF(B478="","",VLOOKUP(S478,'Fixture Identities'!$A$7:$G$1023,5,FALSE)), "New Construction")</f>
        <v/>
      </c>
      <c r="U478" s="26" t="str">
        <f>IFERROR(IF(B478="", "", IF(K478="New Construction", "NC", IF(VLOOKUP(S478, 'Fixture Identities'!$A$7:$I$1023,3, FALSE)="T12 Linear Fluorescent", VLOOKUP(S478, 'Fixture Identities'!$A$7:$K$1012, 11, FALSE), S478))), "")</f>
        <v/>
      </c>
      <c r="V478" s="26" t="str">
        <f>IFERROR(IF(OR(B478="", U478=0), "", VLOOKUP(U478, 'Fixture Identities'!$A$7:$G$1023, 5, FALSE)), "")</f>
        <v/>
      </c>
      <c r="W478" s="26" t="str">
        <f>IF(B478="", "",'Lighting Inventory'!K486)</f>
        <v/>
      </c>
      <c r="X478" s="65" t="str">
        <f>IF(B478="", "", 'Lighting Inventory'!L486)</f>
        <v/>
      </c>
      <c r="Y478" s="26" t="str">
        <f>IF(B478="", "", IF('Lighting Inventory'!M486="", "Light Switch",'Lighting Inventory'!M486))</f>
        <v/>
      </c>
      <c r="Z478" s="26" t="str">
        <f>IF(OR(K478="Retrofit", B478=""), "", 'Lighting Inventory'!N486)</f>
        <v/>
      </c>
      <c r="AA478" s="26" t="str">
        <f>IF(OR(Z478="",B478=""), "", 'Lighting Inventory'!O486)</f>
        <v/>
      </c>
      <c r="AB478" s="26" t="str">
        <f>IF(B478="", "", 'Lighting Inventory'!P486)</f>
        <v/>
      </c>
      <c r="AC478" s="96" t="str">
        <f>IF(B478="", "", 'Lighting Inventory'!R486)</f>
        <v/>
      </c>
      <c r="AD478" s="26" t="str">
        <f>IF(B478="", "", 'Lighting Inventory'!S486)</f>
        <v/>
      </c>
      <c r="AE478" s="26" t="str">
        <f>IF(B478="", "", 'Lighting Inventory'!V486)</f>
        <v/>
      </c>
      <c r="AF478" s="26" t="str">
        <f>IF(B478="", "", 'Lighting Inventory'!W486)</f>
        <v/>
      </c>
      <c r="AG478" s="26" t="str">
        <f>IF(OR(AF478="", B478=""), "", IF(AE478="Custom", "0", VLOOKUP(AF478, 'Lookup Tables'!$AI$6:$AP$102, 8, FALSE)))</f>
        <v/>
      </c>
      <c r="AH478" s="26" t="str">
        <f>IF(B478="", "", 'Lighting Inventory'!AD486)</f>
        <v/>
      </c>
      <c r="AI478" s="26" t="str">
        <f>IF(OR('Lighting Inventory'!AK486="", B478=""), "", 'Lighting Inventory'!AK486)</f>
        <v/>
      </c>
      <c r="AJ478" s="66" t="str">
        <f>IF(B478="", "", 'Lighting Inventory'!AL486)</f>
        <v/>
      </c>
      <c r="AK478" s="65" t="str">
        <f>IF(B478="", "", 'Lighting Inventory'!AM486)</f>
        <v/>
      </c>
      <c r="AL478" s="26" t="str">
        <f>IF(B478="", "", 'Lighting Inventory'!AN486)</f>
        <v/>
      </c>
      <c r="AM478" s="26" t="str">
        <f t="shared" si="24"/>
        <v/>
      </c>
      <c r="AN478" s="26" t="str">
        <f>IF(B478="","",IF('Lighting Inventory'!AV486="","Prescribed",'Lighting Inventory'!AV486))</f>
        <v/>
      </c>
      <c r="AO478" s="66" t="str">
        <f>IF(B478="", "", 'Lighting Inventory'!AX486)</f>
        <v/>
      </c>
      <c r="AP478" s="67" t="str">
        <f>IF(B478="", "", 'Lighting Inventory'!AZ486)</f>
        <v/>
      </c>
      <c r="AQ478" s="67" t="str">
        <f>IF(B478="", "", 'Lighting Inventory'!BA486)</f>
        <v/>
      </c>
      <c r="AR478" s="67" t="str">
        <f>IF(B478="", "", 'Lighting Inventory'!BB486)</f>
        <v/>
      </c>
      <c r="AS478" s="67" t="str">
        <f>IF(B478="", "", 'Lighting Inventory'!BC486)</f>
        <v/>
      </c>
      <c r="AT478" s="67" t="str">
        <f>IF(B478="", "", 'Lighting Inventory'!BD486)</f>
        <v/>
      </c>
      <c r="AU478" s="67" t="str">
        <f>IF(B478="", "", 'Lighting Inventory'!BE486)</f>
        <v/>
      </c>
      <c r="AV478" s="67" t="str">
        <f>IF(B478="", "", 'Lighting Inventory'!BE486)</f>
        <v/>
      </c>
      <c r="AW478" s="67" t="str">
        <f>IF(B478="", "", 'Lighting Inventory'!BF486)</f>
        <v/>
      </c>
      <c r="AX478" s="67" t="str">
        <f>IF(B478="", "", 'Lighting Inventory'!BF486)</f>
        <v/>
      </c>
      <c r="AY478" s="65" t="str">
        <f t="shared" si="25"/>
        <v/>
      </c>
      <c r="AZ478" s="65" t="str">
        <f>IF(B478="", "", 'Lighting Inventory'!BJ486)</f>
        <v/>
      </c>
      <c r="BA478" s="65" t="str">
        <f>IF(B478="", "", 'Lighting Inventory'!BM486)</f>
        <v/>
      </c>
      <c r="BB478" s="65" t="str">
        <f>IF(B478="","",SUM('Lighting Inventory'!BP486:BP486))</f>
        <v/>
      </c>
      <c r="BC478" s="67" t="str">
        <f>IF(OR(AE478="", B478=""),"", 'Lighting Inventory'!GR486)</f>
        <v/>
      </c>
      <c r="BD478" s="67" t="str">
        <f>IFERROR(IF(B478="", "", 'Lighting Inventory'!AF486)*AD478," ")</f>
        <v xml:space="preserve"> </v>
      </c>
      <c r="BE478" s="67"/>
      <c r="BF478" s="67"/>
    </row>
    <row r="479" spans="1:58" x14ac:dyDescent="0.25">
      <c r="A479" s="26" t="str">
        <f>IF(B479="", "", 'Lookup Tables'!AW480)</f>
        <v/>
      </c>
      <c r="B479" s="26" t="str">
        <f>IF(OR('Lighting Inventory'!Y487="", 'Lighting Inventory'!V487="No Change"),"", 'Lighting Inventory'!Y487)</f>
        <v/>
      </c>
      <c r="C479" s="26" t="str">
        <f>IF(B479="", "", IF('Lighting Inventory'!Y487='Lookup Tables'!$Y$32, 'Lighting Inventory'!AJ487, IF(AD479=0, R479, AD479)))</f>
        <v/>
      </c>
      <c r="D479" s="26" t="str">
        <f>IF(B479="", "", 'General Information'!$F$14)</f>
        <v/>
      </c>
      <c r="E479" s="26" t="str">
        <f t="shared" si="23"/>
        <v/>
      </c>
      <c r="F479" s="26" t="str">
        <f>IF(B479="", "", CONCATENATE('General Information'!$F$9, " - ", 'General Information'!$F$14))</f>
        <v/>
      </c>
      <c r="G479" s="26" t="str">
        <f>IF(B479="", "", 'General Information'!$F$15)</f>
        <v/>
      </c>
      <c r="H479" s="26" t="str">
        <f>IF(B479="", "", IF(VLOOKUP(B479, 'Lookup Tables'!$Y$18:$AA$34, 2, FALSE)="Traffic", VLOOKUP('Lighting Inventory'!W487, 'Lookup Tables'!#REF!, 11, FALSE), VLOOKUP(B479, 'Lookup Tables'!$Y$18:$AA$34, 2, FALSE)))</f>
        <v/>
      </c>
      <c r="I479" s="26" t="str">
        <f>IF(B479="", "", CONCATENATE(D479, 'Data Export'!A479))</f>
        <v/>
      </c>
      <c r="J479" s="26" t="str">
        <f>IF(B479="", "", 'Lookup Tables'!$B$1)</f>
        <v/>
      </c>
      <c r="K479" s="26" t="str">
        <f>IF(B479="", "", 'Lighting Inventory'!B487)</f>
        <v/>
      </c>
      <c r="L479" s="26" t="str">
        <f>IF(B479="", "", 'Lighting Inventory'!C487)</f>
        <v/>
      </c>
      <c r="M479" s="26" t="str">
        <f>IF(B479="", "",'Lighting Inventory'!D487)</f>
        <v/>
      </c>
      <c r="N479" s="26" t="str">
        <f>IF(B479="", "",'Lighting Inventory'!E487)</f>
        <v/>
      </c>
      <c r="O479" s="26" t="str">
        <f>IF(B479="", "", 'Lighting Inventory'!F487)</f>
        <v/>
      </c>
      <c r="P479" s="26" t="str">
        <f>IF(B479="", "", 'Lighting Inventory'!G487)</f>
        <v/>
      </c>
      <c r="Q479" s="26" t="str">
        <f>IF(B479="", "", 'Lighting Inventory'!H487)</f>
        <v/>
      </c>
      <c r="R479" s="26" t="str">
        <f>IF(B479="", "", 'Lighting Inventory'!I487)</f>
        <v/>
      </c>
      <c r="S479" s="26" t="str">
        <f>IF(B479="", "", 'Lighting Inventory'!J487)</f>
        <v/>
      </c>
      <c r="T479" s="26" t="str">
        <f>IFERROR(IF(B479="","",VLOOKUP(S479,'Fixture Identities'!$A$7:$G$1023,5,FALSE)), "New Construction")</f>
        <v/>
      </c>
      <c r="U479" s="26" t="str">
        <f>IFERROR(IF(B479="", "", IF(K479="New Construction", "NC", IF(VLOOKUP(S479, 'Fixture Identities'!$A$7:$I$1023,3, FALSE)="T12 Linear Fluorescent", VLOOKUP(S479, 'Fixture Identities'!$A$7:$K$1012, 11, FALSE), S479))), "")</f>
        <v/>
      </c>
      <c r="V479" s="26" t="str">
        <f>IFERROR(IF(OR(B479="", U479=0), "", VLOOKUP(U479, 'Fixture Identities'!$A$7:$G$1023, 5, FALSE)), "")</f>
        <v/>
      </c>
      <c r="W479" s="26" t="str">
        <f>IF(B479="", "",'Lighting Inventory'!K487)</f>
        <v/>
      </c>
      <c r="X479" s="65" t="str">
        <f>IF(B479="", "", 'Lighting Inventory'!L487)</f>
        <v/>
      </c>
      <c r="Y479" s="26" t="str">
        <f>IF(B479="", "", IF('Lighting Inventory'!M487="", "Light Switch",'Lighting Inventory'!M487))</f>
        <v/>
      </c>
      <c r="Z479" s="26" t="str">
        <f>IF(OR(K479="Retrofit", B479=""), "", 'Lighting Inventory'!N487)</f>
        <v/>
      </c>
      <c r="AA479" s="26" t="str">
        <f>IF(OR(Z479="",B479=""), "", 'Lighting Inventory'!O487)</f>
        <v/>
      </c>
      <c r="AB479" s="26" t="str">
        <f>IF(B479="", "", 'Lighting Inventory'!P487)</f>
        <v/>
      </c>
      <c r="AC479" s="96" t="str">
        <f>IF(B479="", "", 'Lighting Inventory'!R487)</f>
        <v/>
      </c>
      <c r="AD479" s="26" t="str">
        <f>IF(B479="", "", 'Lighting Inventory'!S487)</f>
        <v/>
      </c>
      <c r="AE479" s="26" t="str">
        <f>IF(B479="", "", 'Lighting Inventory'!V487)</f>
        <v/>
      </c>
      <c r="AF479" s="26" t="str">
        <f>IF(B479="", "", 'Lighting Inventory'!W487)</f>
        <v/>
      </c>
      <c r="AG479" s="26" t="str">
        <f>IF(OR(AF479="", B479=""), "", IF(AE479="Custom", "0", VLOOKUP(AF479, 'Lookup Tables'!$AI$6:$AP$102, 8, FALSE)))</f>
        <v/>
      </c>
      <c r="AH479" s="26" t="str">
        <f>IF(B479="", "", 'Lighting Inventory'!AD487)</f>
        <v/>
      </c>
      <c r="AI479" s="26" t="str">
        <f>IF(OR('Lighting Inventory'!AK487="", B479=""), "", 'Lighting Inventory'!AK487)</f>
        <v/>
      </c>
      <c r="AJ479" s="66" t="str">
        <f>IF(B479="", "", 'Lighting Inventory'!AL487)</f>
        <v/>
      </c>
      <c r="AK479" s="65" t="str">
        <f>IF(B479="", "", 'Lighting Inventory'!AM487)</f>
        <v/>
      </c>
      <c r="AL479" s="26" t="str">
        <f>IF(B479="", "", 'Lighting Inventory'!AN487)</f>
        <v/>
      </c>
      <c r="AM479" s="26" t="str">
        <f t="shared" si="24"/>
        <v/>
      </c>
      <c r="AN479" s="26" t="str">
        <f>IF(B479="","",IF('Lighting Inventory'!AV487="","Prescribed",'Lighting Inventory'!AV487))</f>
        <v/>
      </c>
      <c r="AO479" s="66" t="str">
        <f>IF(B479="", "", 'Lighting Inventory'!AX487)</f>
        <v/>
      </c>
      <c r="AP479" s="67" t="str">
        <f>IF(B479="", "", 'Lighting Inventory'!AZ487)</f>
        <v/>
      </c>
      <c r="AQ479" s="67" t="str">
        <f>IF(B479="", "", 'Lighting Inventory'!BA487)</f>
        <v/>
      </c>
      <c r="AR479" s="67" t="str">
        <f>IF(B479="", "", 'Lighting Inventory'!BB487)</f>
        <v/>
      </c>
      <c r="AS479" s="67" t="str">
        <f>IF(B479="", "", 'Lighting Inventory'!BC487)</f>
        <v/>
      </c>
      <c r="AT479" s="67" t="str">
        <f>IF(B479="", "", 'Lighting Inventory'!BD487)</f>
        <v/>
      </c>
      <c r="AU479" s="67" t="str">
        <f>IF(B479="", "", 'Lighting Inventory'!BE487)</f>
        <v/>
      </c>
      <c r="AV479" s="67" t="str">
        <f>IF(B479="", "", 'Lighting Inventory'!BE487)</f>
        <v/>
      </c>
      <c r="AW479" s="67" t="str">
        <f>IF(B479="", "", 'Lighting Inventory'!BF487)</f>
        <v/>
      </c>
      <c r="AX479" s="67" t="str">
        <f>IF(B479="", "", 'Lighting Inventory'!BF487)</f>
        <v/>
      </c>
      <c r="AY479" s="65" t="str">
        <f t="shared" si="25"/>
        <v/>
      </c>
      <c r="AZ479" s="65" t="str">
        <f>IF(B479="", "", 'Lighting Inventory'!BJ487)</f>
        <v/>
      </c>
      <c r="BA479" s="65" t="str">
        <f>IF(B479="", "", 'Lighting Inventory'!BM487)</f>
        <v/>
      </c>
      <c r="BB479" s="65" t="str">
        <f>IF(B479="","",SUM('Lighting Inventory'!BP487:BP487))</f>
        <v/>
      </c>
      <c r="BC479" s="67" t="str">
        <f>IF(OR(AE479="", B479=""),"", 'Lighting Inventory'!GR487)</f>
        <v/>
      </c>
      <c r="BD479" s="67" t="str">
        <f>IFERROR(IF(B479="", "", 'Lighting Inventory'!AF487)*AD479," ")</f>
        <v xml:space="preserve"> </v>
      </c>
      <c r="BE479" s="67"/>
      <c r="BF479" s="67"/>
    </row>
    <row r="480" spans="1:58" x14ac:dyDescent="0.25">
      <c r="A480" s="26" t="str">
        <f>IF(B480="", "", 'Lookup Tables'!AW481)</f>
        <v/>
      </c>
      <c r="B480" s="26" t="str">
        <f>IF(OR('Lighting Inventory'!Y488="", 'Lighting Inventory'!V488="No Change"),"", 'Lighting Inventory'!Y488)</f>
        <v/>
      </c>
      <c r="C480" s="26" t="str">
        <f>IF(B480="", "", IF('Lighting Inventory'!Y488='Lookup Tables'!$Y$32, 'Lighting Inventory'!AJ488, IF(AD480=0, R480, AD480)))</f>
        <v/>
      </c>
      <c r="D480" s="26" t="str">
        <f>IF(B480="", "", 'General Information'!$F$14)</f>
        <v/>
      </c>
      <c r="E480" s="26" t="str">
        <f t="shared" si="23"/>
        <v/>
      </c>
      <c r="F480" s="26" t="str">
        <f>IF(B480="", "", CONCATENATE('General Information'!$F$9, " - ", 'General Information'!$F$14))</f>
        <v/>
      </c>
      <c r="G480" s="26" t="str">
        <f>IF(B480="", "", 'General Information'!$F$15)</f>
        <v/>
      </c>
      <c r="H480" s="26" t="str">
        <f>IF(B480="", "", IF(VLOOKUP(B480, 'Lookup Tables'!$Y$18:$AA$34, 2, FALSE)="Traffic", VLOOKUP('Lighting Inventory'!W488, 'Lookup Tables'!#REF!, 11, FALSE), VLOOKUP(B480, 'Lookup Tables'!$Y$18:$AA$34, 2, FALSE)))</f>
        <v/>
      </c>
      <c r="I480" s="26" t="str">
        <f>IF(B480="", "", CONCATENATE(D480, 'Data Export'!A480))</f>
        <v/>
      </c>
      <c r="J480" s="26" t="str">
        <f>IF(B480="", "", 'Lookup Tables'!$B$1)</f>
        <v/>
      </c>
      <c r="K480" s="26" t="str">
        <f>IF(B480="", "", 'Lighting Inventory'!B488)</f>
        <v/>
      </c>
      <c r="L480" s="26" t="str">
        <f>IF(B480="", "", 'Lighting Inventory'!C488)</f>
        <v/>
      </c>
      <c r="M480" s="26" t="str">
        <f>IF(B480="", "",'Lighting Inventory'!D488)</f>
        <v/>
      </c>
      <c r="N480" s="26" t="str">
        <f>IF(B480="", "",'Lighting Inventory'!E488)</f>
        <v/>
      </c>
      <c r="O480" s="26" t="str">
        <f>IF(B480="", "", 'Lighting Inventory'!F488)</f>
        <v/>
      </c>
      <c r="P480" s="26" t="str">
        <f>IF(B480="", "", 'Lighting Inventory'!G488)</f>
        <v/>
      </c>
      <c r="Q480" s="26" t="str">
        <f>IF(B480="", "", 'Lighting Inventory'!H488)</f>
        <v/>
      </c>
      <c r="R480" s="26" t="str">
        <f>IF(B480="", "", 'Lighting Inventory'!I488)</f>
        <v/>
      </c>
      <c r="S480" s="26" t="str">
        <f>IF(B480="", "", 'Lighting Inventory'!J488)</f>
        <v/>
      </c>
      <c r="T480" s="26" t="str">
        <f>IFERROR(IF(B480="","",VLOOKUP(S480,'Fixture Identities'!$A$7:$G$1023,5,FALSE)), "New Construction")</f>
        <v/>
      </c>
      <c r="U480" s="26" t="str">
        <f>IFERROR(IF(B480="", "", IF(K480="New Construction", "NC", IF(VLOOKUP(S480, 'Fixture Identities'!$A$7:$I$1023,3, FALSE)="T12 Linear Fluorescent", VLOOKUP(S480, 'Fixture Identities'!$A$7:$K$1012, 11, FALSE), S480))), "")</f>
        <v/>
      </c>
      <c r="V480" s="26" t="str">
        <f>IFERROR(IF(OR(B480="", U480=0), "", VLOOKUP(U480, 'Fixture Identities'!$A$7:$G$1023, 5, FALSE)), "")</f>
        <v/>
      </c>
      <c r="W480" s="26" t="str">
        <f>IF(B480="", "",'Lighting Inventory'!K488)</f>
        <v/>
      </c>
      <c r="X480" s="65" t="str">
        <f>IF(B480="", "", 'Lighting Inventory'!L488)</f>
        <v/>
      </c>
      <c r="Y480" s="26" t="str">
        <f>IF(B480="", "", IF('Lighting Inventory'!M488="", "Light Switch",'Lighting Inventory'!M488))</f>
        <v/>
      </c>
      <c r="Z480" s="26" t="str">
        <f>IF(OR(K480="Retrofit", B480=""), "", 'Lighting Inventory'!N488)</f>
        <v/>
      </c>
      <c r="AA480" s="26" t="str">
        <f>IF(OR(Z480="",B480=""), "", 'Lighting Inventory'!O488)</f>
        <v/>
      </c>
      <c r="AB480" s="26" t="str">
        <f>IF(B480="", "", 'Lighting Inventory'!P488)</f>
        <v/>
      </c>
      <c r="AC480" s="96" t="str">
        <f>IF(B480="", "", 'Lighting Inventory'!R488)</f>
        <v/>
      </c>
      <c r="AD480" s="26" t="str">
        <f>IF(B480="", "", 'Lighting Inventory'!S488)</f>
        <v/>
      </c>
      <c r="AE480" s="26" t="str">
        <f>IF(B480="", "", 'Lighting Inventory'!V488)</f>
        <v/>
      </c>
      <c r="AF480" s="26" t="str">
        <f>IF(B480="", "", 'Lighting Inventory'!W488)</f>
        <v/>
      </c>
      <c r="AG480" s="26" t="str">
        <f>IF(OR(AF480="", B480=""), "", IF(AE480="Custom", "0", VLOOKUP(AF480, 'Lookup Tables'!$AI$6:$AP$102, 8, FALSE)))</f>
        <v/>
      </c>
      <c r="AH480" s="26" t="str">
        <f>IF(B480="", "", 'Lighting Inventory'!AD488)</f>
        <v/>
      </c>
      <c r="AI480" s="26" t="str">
        <f>IF(OR('Lighting Inventory'!AK488="", B480=""), "", 'Lighting Inventory'!AK488)</f>
        <v/>
      </c>
      <c r="AJ480" s="66" t="str">
        <f>IF(B480="", "", 'Lighting Inventory'!AL488)</f>
        <v/>
      </c>
      <c r="AK480" s="65" t="str">
        <f>IF(B480="", "", 'Lighting Inventory'!AM488)</f>
        <v/>
      </c>
      <c r="AL480" s="26" t="str">
        <f>IF(B480="", "", 'Lighting Inventory'!AN488)</f>
        <v/>
      </c>
      <c r="AM480" s="26" t="str">
        <f t="shared" si="24"/>
        <v/>
      </c>
      <c r="AN480" s="26" t="str">
        <f>IF(B480="","",IF('Lighting Inventory'!AV488="","Prescribed",'Lighting Inventory'!AV488))</f>
        <v/>
      </c>
      <c r="AO480" s="66" t="str">
        <f>IF(B480="", "", 'Lighting Inventory'!AX488)</f>
        <v/>
      </c>
      <c r="AP480" s="67" t="str">
        <f>IF(B480="", "", 'Lighting Inventory'!AZ488)</f>
        <v/>
      </c>
      <c r="AQ480" s="67" t="str">
        <f>IF(B480="", "", 'Lighting Inventory'!BA488)</f>
        <v/>
      </c>
      <c r="AR480" s="67" t="str">
        <f>IF(B480="", "", 'Lighting Inventory'!BB488)</f>
        <v/>
      </c>
      <c r="AS480" s="67" t="str">
        <f>IF(B480="", "", 'Lighting Inventory'!BC488)</f>
        <v/>
      </c>
      <c r="AT480" s="67" t="str">
        <f>IF(B480="", "", 'Lighting Inventory'!BD488)</f>
        <v/>
      </c>
      <c r="AU480" s="67" t="str">
        <f>IF(B480="", "", 'Lighting Inventory'!BE488)</f>
        <v/>
      </c>
      <c r="AV480" s="67" t="str">
        <f>IF(B480="", "", 'Lighting Inventory'!BE488)</f>
        <v/>
      </c>
      <c r="AW480" s="67" t="str">
        <f>IF(B480="", "", 'Lighting Inventory'!BF488)</f>
        <v/>
      </c>
      <c r="AX480" s="67" t="str">
        <f>IF(B480="", "", 'Lighting Inventory'!BF488)</f>
        <v/>
      </c>
      <c r="AY480" s="65" t="str">
        <f t="shared" si="25"/>
        <v/>
      </c>
      <c r="AZ480" s="65" t="str">
        <f>IF(B480="", "", 'Lighting Inventory'!BJ488)</f>
        <v/>
      </c>
      <c r="BA480" s="65" t="str">
        <f>IF(B480="", "", 'Lighting Inventory'!BM488)</f>
        <v/>
      </c>
      <c r="BB480" s="65" t="str">
        <f>IF(B480="","",SUM('Lighting Inventory'!BP488:BP488))</f>
        <v/>
      </c>
      <c r="BC480" s="67" t="str">
        <f>IF(OR(AE480="", B480=""),"", 'Lighting Inventory'!GR488)</f>
        <v/>
      </c>
      <c r="BD480" s="67" t="str">
        <f>IFERROR(IF(B480="", "", 'Lighting Inventory'!AF488)*AD480," ")</f>
        <v xml:space="preserve"> </v>
      </c>
      <c r="BE480" s="67"/>
      <c r="BF480" s="67"/>
    </row>
    <row r="481" spans="1:58" x14ac:dyDescent="0.25">
      <c r="A481" s="26" t="str">
        <f>IF(B481="", "", 'Lookup Tables'!AW482)</f>
        <v/>
      </c>
      <c r="B481" s="26" t="str">
        <f>IF(OR('Lighting Inventory'!Y489="", 'Lighting Inventory'!V489="No Change"),"", 'Lighting Inventory'!Y489)</f>
        <v/>
      </c>
      <c r="C481" s="26" t="str">
        <f>IF(B481="", "", IF('Lighting Inventory'!Y489='Lookup Tables'!$Y$32, 'Lighting Inventory'!AJ489, IF(AD481=0, R481, AD481)))</f>
        <v/>
      </c>
      <c r="D481" s="26" t="str">
        <f>IF(B481="", "", 'General Information'!$F$14)</f>
        <v/>
      </c>
      <c r="E481" s="26" t="str">
        <f t="shared" si="23"/>
        <v/>
      </c>
      <c r="F481" s="26" t="str">
        <f>IF(B481="", "", CONCATENATE('General Information'!$F$9, " - ", 'General Information'!$F$14))</f>
        <v/>
      </c>
      <c r="G481" s="26" t="str">
        <f>IF(B481="", "", 'General Information'!$F$15)</f>
        <v/>
      </c>
      <c r="H481" s="26" t="str">
        <f>IF(B481="", "", IF(VLOOKUP(B481, 'Lookup Tables'!$Y$18:$AA$34, 2, FALSE)="Traffic", VLOOKUP('Lighting Inventory'!W489, 'Lookup Tables'!#REF!, 11, FALSE), VLOOKUP(B481, 'Lookup Tables'!$Y$18:$AA$34, 2, FALSE)))</f>
        <v/>
      </c>
      <c r="I481" s="26" t="str">
        <f>IF(B481="", "", CONCATENATE(D481, 'Data Export'!A481))</f>
        <v/>
      </c>
      <c r="J481" s="26" t="str">
        <f>IF(B481="", "", 'Lookup Tables'!$B$1)</f>
        <v/>
      </c>
      <c r="K481" s="26" t="str">
        <f>IF(B481="", "", 'Lighting Inventory'!B489)</f>
        <v/>
      </c>
      <c r="L481" s="26" t="str">
        <f>IF(B481="", "", 'Lighting Inventory'!C489)</f>
        <v/>
      </c>
      <c r="M481" s="26" t="str">
        <f>IF(B481="", "",'Lighting Inventory'!D489)</f>
        <v/>
      </c>
      <c r="N481" s="26" t="str">
        <f>IF(B481="", "",'Lighting Inventory'!E489)</f>
        <v/>
      </c>
      <c r="O481" s="26" t="str">
        <f>IF(B481="", "", 'Lighting Inventory'!F489)</f>
        <v/>
      </c>
      <c r="P481" s="26" t="str">
        <f>IF(B481="", "", 'Lighting Inventory'!G489)</f>
        <v/>
      </c>
      <c r="Q481" s="26" t="str">
        <f>IF(B481="", "", 'Lighting Inventory'!H489)</f>
        <v/>
      </c>
      <c r="R481" s="26" t="str">
        <f>IF(B481="", "", 'Lighting Inventory'!I489)</f>
        <v/>
      </c>
      <c r="S481" s="26" t="str">
        <f>IF(B481="", "", 'Lighting Inventory'!J489)</f>
        <v/>
      </c>
      <c r="T481" s="26" t="str">
        <f>IFERROR(IF(B481="","",VLOOKUP(S481,'Fixture Identities'!$A$7:$G$1023,5,FALSE)), "New Construction")</f>
        <v/>
      </c>
      <c r="U481" s="26" t="str">
        <f>IFERROR(IF(B481="", "", IF(K481="New Construction", "NC", IF(VLOOKUP(S481, 'Fixture Identities'!$A$7:$I$1023,3, FALSE)="T12 Linear Fluorescent", VLOOKUP(S481, 'Fixture Identities'!$A$7:$K$1012, 11, FALSE), S481))), "")</f>
        <v/>
      </c>
      <c r="V481" s="26" t="str">
        <f>IFERROR(IF(OR(B481="", U481=0), "", VLOOKUP(U481, 'Fixture Identities'!$A$7:$G$1023, 5, FALSE)), "")</f>
        <v/>
      </c>
      <c r="W481" s="26" t="str">
        <f>IF(B481="", "",'Lighting Inventory'!K489)</f>
        <v/>
      </c>
      <c r="X481" s="65" t="str">
        <f>IF(B481="", "", 'Lighting Inventory'!L489)</f>
        <v/>
      </c>
      <c r="Y481" s="26" t="str">
        <f>IF(B481="", "", IF('Lighting Inventory'!M489="", "Light Switch",'Lighting Inventory'!M489))</f>
        <v/>
      </c>
      <c r="Z481" s="26" t="str">
        <f>IF(OR(K481="Retrofit", B481=""), "", 'Lighting Inventory'!N489)</f>
        <v/>
      </c>
      <c r="AA481" s="26" t="str">
        <f>IF(OR(Z481="",B481=""), "", 'Lighting Inventory'!O489)</f>
        <v/>
      </c>
      <c r="AB481" s="26" t="str">
        <f>IF(B481="", "", 'Lighting Inventory'!P489)</f>
        <v/>
      </c>
      <c r="AC481" s="96" t="str">
        <f>IF(B481="", "", 'Lighting Inventory'!R489)</f>
        <v/>
      </c>
      <c r="AD481" s="26" t="str">
        <f>IF(B481="", "", 'Lighting Inventory'!S489)</f>
        <v/>
      </c>
      <c r="AE481" s="26" t="str">
        <f>IF(B481="", "", 'Lighting Inventory'!V489)</f>
        <v/>
      </c>
      <c r="AF481" s="26" t="str">
        <f>IF(B481="", "", 'Lighting Inventory'!W489)</f>
        <v/>
      </c>
      <c r="AG481" s="26" t="str">
        <f>IF(OR(AF481="", B481=""), "", IF(AE481="Custom", "0", VLOOKUP(AF481, 'Lookup Tables'!$AI$6:$AP$102, 8, FALSE)))</f>
        <v/>
      </c>
      <c r="AH481" s="26" t="str">
        <f>IF(B481="", "", 'Lighting Inventory'!AD489)</f>
        <v/>
      </c>
      <c r="AI481" s="26" t="str">
        <f>IF(OR('Lighting Inventory'!AK489="", B481=""), "", 'Lighting Inventory'!AK489)</f>
        <v/>
      </c>
      <c r="AJ481" s="66" t="str">
        <f>IF(B481="", "", 'Lighting Inventory'!AL489)</f>
        <v/>
      </c>
      <c r="AK481" s="65" t="str">
        <f>IF(B481="", "", 'Lighting Inventory'!AM489)</f>
        <v/>
      </c>
      <c r="AL481" s="26" t="str">
        <f>IF(B481="", "", 'Lighting Inventory'!AN489)</f>
        <v/>
      </c>
      <c r="AM481" s="26" t="str">
        <f t="shared" si="24"/>
        <v/>
      </c>
      <c r="AN481" s="26" t="str">
        <f>IF(B481="","",IF('Lighting Inventory'!AV489="","Prescribed",'Lighting Inventory'!AV489))</f>
        <v/>
      </c>
      <c r="AO481" s="66" t="str">
        <f>IF(B481="", "", 'Lighting Inventory'!AX489)</f>
        <v/>
      </c>
      <c r="AP481" s="67" t="str">
        <f>IF(B481="", "", 'Lighting Inventory'!AZ489)</f>
        <v/>
      </c>
      <c r="AQ481" s="67" t="str">
        <f>IF(B481="", "", 'Lighting Inventory'!BA489)</f>
        <v/>
      </c>
      <c r="AR481" s="67" t="str">
        <f>IF(B481="", "", 'Lighting Inventory'!BB489)</f>
        <v/>
      </c>
      <c r="AS481" s="67" t="str">
        <f>IF(B481="", "", 'Lighting Inventory'!BC489)</f>
        <v/>
      </c>
      <c r="AT481" s="67" t="str">
        <f>IF(B481="", "", 'Lighting Inventory'!BD489)</f>
        <v/>
      </c>
      <c r="AU481" s="67" t="str">
        <f>IF(B481="", "", 'Lighting Inventory'!BE489)</f>
        <v/>
      </c>
      <c r="AV481" s="67" t="str">
        <f>IF(B481="", "", 'Lighting Inventory'!BE489)</f>
        <v/>
      </c>
      <c r="AW481" s="67" t="str">
        <f>IF(B481="", "", 'Lighting Inventory'!BF489)</f>
        <v/>
      </c>
      <c r="AX481" s="67" t="str">
        <f>IF(B481="", "", 'Lighting Inventory'!BF489)</f>
        <v/>
      </c>
      <c r="AY481" s="65" t="str">
        <f t="shared" si="25"/>
        <v/>
      </c>
      <c r="AZ481" s="65" t="str">
        <f>IF(B481="", "", 'Lighting Inventory'!BJ489)</f>
        <v/>
      </c>
      <c r="BA481" s="65" t="str">
        <f>IF(B481="", "", 'Lighting Inventory'!BM489)</f>
        <v/>
      </c>
      <c r="BB481" s="65" t="str">
        <f>IF(B481="","",SUM('Lighting Inventory'!BP489:BP489))</f>
        <v/>
      </c>
      <c r="BC481" s="67" t="str">
        <f>IF(OR(AE481="", B481=""),"", 'Lighting Inventory'!GR489)</f>
        <v/>
      </c>
      <c r="BD481" s="67" t="str">
        <f>IFERROR(IF(B481="", "", 'Lighting Inventory'!AF489)*AD481," ")</f>
        <v xml:space="preserve"> </v>
      </c>
      <c r="BE481" s="67"/>
      <c r="BF481" s="67"/>
    </row>
    <row r="482" spans="1:58" x14ac:dyDescent="0.25">
      <c r="A482" s="26" t="str">
        <f>IF(B482="", "", 'Lookup Tables'!AW483)</f>
        <v/>
      </c>
      <c r="B482" s="26" t="str">
        <f>IF(OR('Lighting Inventory'!Y490="", 'Lighting Inventory'!V490="No Change"),"", 'Lighting Inventory'!Y490)</f>
        <v/>
      </c>
      <c r="C482" s="26" t="str">
        <f>IF(B482="", "", IF('Lighting Inventory'!Y490='Lookup Tables'!$Y$32, 'Lighting Inventory'!AJ490, IF(AD482=0, R482, AD482)))</f>
        <v/>
      </c>
      <c r="D482" s="26" t="str">
        <f>IF(B482="", "", 'General Information'!$F$14)</f>
        <v/>
      </c>
      <c r="E482" s="26" t="str">
        <f t="shared" si="23"/>
        <v/>
      </c>
      <c r="F482" s="26" t="str">
        <f>IF(B482="", "", CONCATENATE('General Information'!$F$9, " - ", 'General Information'!$F$14))</f>
        <v/>
      </c>
      <c r="G482" s="26" t="str">
        <f>IF(B482="", "", 'General Information'!$F$15)</f>
        <v/>
      </c>
      <c r="H482" s="26" t="str">
        <f>IF(B482="", "", IF(VLOOKUP(B482, 'Lookup Tables'!$Y$18:$AA$34, 2, FALSE)="Traffic", VLOOKUP('Lighting Inventory'!W490, 'Lookup Tables'!#REF!, 11, FALSE), VLOOKUP(B482, 'Lookup Tables'!$Y$18:$AA$34, 2, FALSE)))</f>
        <v/>
      </c>
      <c r="I482" s="26" t="str">
        <f>IF(B482="", "", CONCATENATE(D482, 'Data Export'!A482))</f>
        <v/>
      </c>
      <c r="J482" s="26" t="str">
        <f>IF(B482="", "", 'Lookup Tables'!$B$1)</f>
        <v/>
      </c>
      <c r="K482" s="26" t="str">
        <f>IF(B482="", "", 'Lighting Inventory'!B490)</f>
        <v/>
      </c>
      <c r="L482" s="26" t="str">
        <f>IF(B482="", "", 'Lighting Inventory'!C490)</f>
        <v/>
      </c>
      <c r="M482" s="26" t="str">
        <f>IF(B482="", "",'Lighting Inventory'!D490)</f>
        <v/>
      </c>
      <c r="N482" s="26" t="str">
        <f>IF(B482="", "",'Lighting Inventory'!E490)</f>
        <v/>
      </c>
      <c r="O482" s="26" t="str">
        <f>IF(B482="", "", 'Lighting Inventory'!F490)</f>
        <v/>
      </c>
      <c r="P482" s="26" t="str">
        <f>IF(B482="", "", 'Lighting Inventory'!G490)</f>
        <v/>
      </c>
      <c r="Q482" s="26" t="str">
        <f>IF(B482="", "", 'Lighting Inventory'!H490)</f>
        <v/>
      </c>
      <c r="R482" s="26" t="str">
        <f>IF(B482="", "", 'Lighting Inventory'!I490)</f>
        <v/>
      </c>
      <c r="S482" s="26" t="str">
        <f>IF(B482="", "", 'Lighting Inventory'!J490)</f>
        <v/>
      </c>
      <c r="T482" s="26" t="str">
        <f>IFERROR(IF(B482="","",VLOOKUP(S482,'Fixture Identities'!$A$7:$G$1023,5,FALSE)), "New Construction")</f>
        <v/>
      </c>
      <c r="U482" s="26" t="str">
        <f>IFERROR(IF(B482="", "", IF(K482="New Construction", "NC", IF(VLOOKUP(S482, 'Fixture Identities'!$A$7:$I$1023,3, FALSE)="T12 Linear Fluorescent", VLOOKUP(S482, 'Fixture Identities'!$A$7:$K$1012, 11, FALSE), S482))), "")</f>
        <v/>
      </c>
      <c r="V482" s="26" t="str">
        <f>IFERROR(IF(OR(B482="", U482=0), "", VLOOKUP(U482, 'Fixture Identities'!$A$7:$G$1023, 5, FALSE)), "")</f>
        <v/>
      </c>
      <c r="W482" s="26" t="str">
        <f>IF(B482="", "",'Lighting Inventory'!K490)</f>
        <v/>
      </c>
      <c r="X482" s="65" t="str">
        <f>IF(B482="", "", 'Lighting Inventory'!L490)</f>
        <v/>
      </c>
      <c r="Y482" s="26" t="str">
        <f>IF(B482="", "", IF('Lighting Inventory'!M490="", "Light Switch",'Lighting Inventory'!M490))</f>
        <v/>
      </c>
      <c r="Z482" s="26" t="str">
        <f>IF(OR(K482="Retrofit", B482=""), "", 'Lighting Inventory'!N490)</f>
        <v/>
      </c>
      <c r="AA482" s="26" t="str">
        <f>IF(OR(Z482="",B482=""), "", 'Lighting Inventory'!O490)</f>
        <v/>
      </c>
      <c r="AB482" s="26" t="str">
        <f>IF(B482="", "", 'Lighting Inventory'!P490)</f>
        <v/>
      </c>
      <c r="AC482" s="96" t="str">
        <f>IF(B482="", "", 'Lighting Inventory'!R490)</f>
        <v/>
      </c>
      <c r="AD482" s="26" t="str">
        <f>IF(B482="", "", 'Lighting Inventory'!S490)</f>
        <v/>
      </c>
      <c r="AE482" s="26" t="str">
        <f>IF(B482="", "", 'Lighting Inventory'!V490)</f>
        <v/>
      </c>
      <c r="AF482" s="26" t="str">
        <f>IF(B482="", "", 'Lighting Inventory'!W490)</f>
        <v/>
      </c>
      <c r="AG482" s="26" t="str">
        <f>IF(OR(AF482="", B482=""), "", IF(AE482="Custom", "0", VLOOKUP(AF482, 'Lookup Tables'!$AI$6:$AP$102, 8, FALSE)))</f>
        <v/>
      </c>
      <c r="AH482" s="26" t="str">
        <f>IF(B482="", "", 'Lighting Inventory'!AD490)</f>
        <v/>
      </c>
      <c r="AI482" s="26" t="str">
        <f>IF(OR('Lighting Inventory'!AK490="", B482=""), "", 'Lighting Inventory'!AK490)</f>
        <v/>
      </c>
      <c r="AJ482" s="66" t="str">
        <f>IF(B482="", "", 'Lighting Inventory'!AL490)</f>
        <v/>
      </c>
      <c r="AK482" s="65" t="str">
        <f>IF(B482="", "", 'Lighting Inventory'!AM490)</f>
        <v/>
      </c>
      <c r="AL482" s="26" t="str">
        <f>IF(B482="", "", 'Lighting Inventory'!AN490)</f>
        <v/>
      </c>
      <c r="AM482" s="26" t="str">
        <f t="shared" si="24"/>
        <v/>
      </c>
      <c r="AN482" s="26" t="str">
        <f>IF(B482="","",IF('Lighting Inventory'!AV490="","Prescribed",'Lighting Inventory'!AV490))</f>
        <v/>
      </c>
      <c r="AO482" s="66" t="str">
        <f>IF(B482="", "", 'Lighting Inventory'!AX490)</f>
        <v/>
      </c>
      <c r="AP482" s="67" t="str">
        <f>IF(B482="", "", 'Lighting Inventory'!AZ490)</f>
        <v/>
      </c>
      <c r="AQ482" s="67" t="str">
        <f>IF(B482="", "", 'Lighting Inventory'!BA490)</f>
        <v/>
      </c>
      <c r="AR482" s="67" t="str">
        <f>IF(B482="", "", 'Lighting Inventory'!BB490)</f>
        <v/>
      </c>
      <c r="AS482" s="67" t="str">
        <f>IF(B482="", "", 'Lighting Inventory'!BC490)</f>
        <v/>
      </c>
      <c r="AT482" s="67" t="str">
        <f>IF(B482="", "", 'Lighting Inventory'!BD490)</f>
        <v/>
      </c>
      <c r="AU482" s="67" t="str">
        <f>IF(B482="", "", 'Lighting Inventory'!BE490)</f>
        <v/>
      </c>
      <c r="AV482" s="67" t="str">
        <f>IF(B482="", "", 'Lighting Inventory'!BE490)</f>
        <v/>
      </c>
      <c r="AW482" s="67" t="str">
        <f>IF(B482="", "", 'Lighting Inventory'!BF490)</f>
        <v/>
      </c>
      <c r="AX482" s="67" t="str">
        <f>IF(B482="", "", 'Lighting Inventory'!BF490)</f>
        <v/>
      </c>
      <c r="AY482" s="65" t="str">
        <f t="shared" si="25"/>
        <v/>
      </c>
      <c r="AZ482" s="65" t="str">
        <f>IF(B482="", "", 'Lighting Inventory'!BJ490)</f>
        <v/>
      </c>
      <c r="BA482" s="65" t="str">
        <f>IF(B482="", "", 'Lighting Inventory'!BM490)</f>
        <v/>
      </c>
      <c r="BB482" s="65" t="str">
        <f>IF(B482="","",SUM('Lighting Inventory'!BP490:BP490))</f>
        <v/>
      </c>
      <c r="BC482" s="67" t="str">
        <f>IF(OR(AE482="", B482=""),"", 'Lighting Inventory'!GR490)</f>
        <v/>
      </c>
      <c r="BD482" s="67" t="str">
        <f>IFERROR(IF(B482="", "", 'Lighting Inventory'!AF490)*AD482," ")</f>
        <v xml:space="preserve"> </v>
      </c>
      <c r="BE482" s="67"/>
      <c r="BF482" s="67"/>
    </row>
    <row r="483" spans="1:58" x14ac:dyDescent="0.25">
      <c r="A483" s="26" t="str">
        <f>IF(B483="", "", 'Lookup Tables'!AW484)</f>
        <v/>
      </c>
      <c r="B483" s="26" t="str">
        <f>IF(OR('Lighting Inventory'!Y491="", 'Lighting Inventory'!V491="No Change"),"", 'Lighting Inventory'!Y491)</f>
        <v/>
      </c>
      <c r="C483" s="26" t="str">
        <f>IF(B483="", "", IF('Lighting Inventory'!Y491='Lookup Tables'!$Y$32, 'Lighting Inventory'!AJ491, IF(AD483=0, R483, AD483)))</f>
        <v/>
      </c>
      <c r="D483" s="26" t="str">
        <f>IF(B483="", "", 'General Information'!$F$14)</f>
        <v/>
      </c>
      <c r="E483" s="26" t="str">
        <f t="shared" si="23"/>
        <v/>
      </c>
      <c r="F483" s="26" t="str">
        <f>IF(B483="", "", CONCATENATE('General Information'!$F$9, " - ", 'General Information'!$F$14))</f>
        <v/>
      </c>
      <c r="G483" s="26" t="str">
        <f>IF(B483="", "", 'General Information'!$F$15)</f>
        <v/>
      </c>
      <c r="H483" s="26" t="str">
        <f>IF(B483="", "", IF(VLOOKUP(B483, 'Lookup Tables'!$Y$18:$AA$34, 2, FALSE)="Traffic", VLOOKUP('Lighting Inventory'!W491, 'Lookup Tables'!#REF!, 11, FALSE), VLOOKUP(B483, 'Lookup Tables'!$Y$18:$AA$34, 2, FALSE)))</f>
        <v/>
      </c>
      <c r="I483" s="26" t="str">
        <f>IF(B483="", "", CONCATENATE(D483, 'Data Export'!A483))</f>
        <v/>
      </c>
      <c r="J483" s="26" t="str">
        <f>IF(B483="", "", 'Lookup Tables'!$B$1)</f>
        <v/>
      </c>
      <c r="K483" s="26" t="str">
        <f>IF(B483="", "", 'Lighting Inventory'!B491)</f>
        <v/>
      </c>
      <c r="L483" s="26" t="str">
        <f>IF(B483="", "", 'Lighting Inventory'!C491)</f>
        <v/>
      </c>
      <c r="M483" s="26" t="str">
        <f>IF(B483="", "",'Lighting Inventory'!D491)</f>
        <v/>
      </c>
      <c r="N483" s="26" t="str">
        <f>IF(B483="", "",'Lighting Inventory'!E491)</f>
        <v/>
      </c>
      <c r="O483" s="26" t="str">
        <f>IF(B483="", "", 'Lighting Inventory'!F491)</f>
        <v/>
      </c>
      <c r="P483" s="26" t="str">
        <f>IF(B483="", "", 'Lighting Inventory'!G491)</f>
        <v/>
      </c>
      <c r="Q483" s="26" t="str">
        <f>IF(B483="", "", 'Lighting Inventory'!H491)</f>
        <v/>
      </c>
      <c r="R483" s="26" t="str">
        <f>IF(B483="", "", 'Lighting Inventory'!I491)</f>
        <v/>
      </c>
      <c r="S483" s="26" t="str">
        <f>IF(B483="", "", 'Lighting Inventory'!J491)</f>
        <v/>
      </c>
      <c r="T483" s="26" t="str">
        <f>IFERROR(IF(B483="","",VLOOKUP(S483,'Fixture Identities'!$A$7:$G$1023,5,FALSE)), "New Construction")</f>
        <v/>
      </c>
      <c r="U483" s="26" t="str">
        <f>IFERROR(IF(B483="", "", IF(K483="New Construction", "NC", IF(VLOOKUP(S483, 'Fixture Identities'!$A$7:$I$1023,3, FALSE)="T12 Linear Fluorescent", VLOOKUP(S483, 'Fixture Identities'!$A$7:$K$1012, 11, FALSE), S483))), "")</f>
        <v/>
      </c>
      <c r="V483" s="26" t="str">
        <f>IFERROR(IF(OR(B483="", U483=0), "", VLOOKUP(U483, 'Fixture Identities'!$A$7:$G$1023, 5, FALSE)), "")</f>
        <v/>
      </c>
      <c r="W483" s="26" t="str">
        <f>IF(B483="", "",'Lighting Inventory'!K491)</f>
        <v/>
      </c>
      <c r="X483" s="65" t="str">
        <f>IF(B483="", "", 'Lighting Inventory'!L491)</f>
        <v/>
      </c>
      <c r="Y483" s="26" t="str">
        <f>IF(B483="", "", IF('Lighting Inventory'!M491="", "Light Switch",'Lighting Inventory'!M491))</f>
        <v/>
      </c>
      <c r="Z483" s="26" t="str">
        <f>IF(OR(K483="Retrofit", B483=""), "", 'Lighting Inventory'!N491)</f>
        <v/>
      </c>
      <c r="AA483" s="26" t="str">
        <f>IF(OR(Z483="",B483=""), "", 'Lighting Inventory'!O491)</f>
        <v/>
      </c>
      <c r="AB483" s="26" t="str">
        <f>IF(B483="", "", 'Lighting Inventory'!P491)</f>
        <v/>
      </c>
      <c r="AC483" s="96" t="str">
        <f>IF(B483="", "", 'Lighting Inventory'!R491)</f>
        <v/>
      </c>
      <c r="AD483" s="26" t="str">
        <f>IF(B483="", "", 'Lighting Inventory'!S491)</f>
        <v/>
      </c>
      <c r="AE483" s="26" t="str">
        <f>IF(B483="", "", 'Lighting Inventory'!V491)</f>
        <v/>
      </c>
      <c r="AF483" s="26" t="str">
        <f>IF(B483="", "", 'Lighting Inventory'!W491)</f>
        <v/>
      </c>
      <c r="AG483" s="26" t="str">
        <f>IF(OR(AF483="", B483=""), "", IF(AE483="Custom", "0", VLOOKUP(AF483, 'Lookup Tables'!$AI$6:$AP$102, 8, FALSE)))</f>
        <v/>
      </c>
      <c r="AH483" s="26" t="str">
        <f>IF(B483="", "", 'Lighting Inventory'!AD491)</f>
        <v/>
      </c>
      <c r="AI483" s="26" t="str">
        <f>IF(OR('Lighting Inventory'!AK491="", B483=""), "", 'Lighting Inventory'!AK491)</f>
        <v/>
      </c>
      <c r="AJ483" s="66" t="str">
        <f>IF(B483="", "", 'Lighting Inventory'!AL491)</f>
        <v/>
      </c>
      <c r="AK483" s="65" t="str">
        <f>IF(B483="", "", 'Lighting Inventory'!AM491)</f>
        <v/>
      </c>
      <c r="AL483" s="26" t="str">
        <f>IF(B483="", "", 'Lighting Inventory'!AN491)</f>
        <v/>
      </c>
      <c r="AM483" s="26" t="str">
        <f t="shared" si="24"/>
        <v/>
      </c>
      <c r="AN483" s="26" t="str">
        <f>IF(B483="","",IF('Lighting Inventory'!AV491="","Prescribed",'Lighting Inventory'!AV491))</f>
        <v/>
      </c>
      <c r="AO483" s="66" t="str">
        <f>IF(B483="", "", 'Lighting Inventory'!AX491)</f>
        <v/>
      </c>
      <c r="AP483" s="67" t="str">
        <f>IF(B483="", "", 'Lighting Inventory'!AZ491)</f>
        <v/>
      </c>
      <c r="AQ483" s="67" t="str">
        <f>IF(B483="", "", 'Lighting Inventory'!BA491)</f>
        <v/>
      </c>
      <c r="AR483" s="67" t="str">
        <f>IF(B483="", "", 'Lighting Inventory'!BB491)</f>
        <v/>
      </c>
      <c r="AS483" s="67" t="str">
        <f>IF(B483="", "", 'Lighting Inventory'!BC491)</f>
        <v/>
      </c>
      <c r="AT483" s="67" t="str">
        <f>IF(B483="", "", 'Lighting Inventory'!BD491)</f>
        <v/>
      </c>
      <c r="AU483" s="67" t="str">
        <f>IF(B483="", "", 'Lighting Inventory'!BE491)</f>
        <v/>
      </c>
      <c r="AV483" s="67" t="str">
        <f>IF(B483="", "", 'Lighting Inventory'!BE491)</f>
        <v/>
      </c>
      <c r="AW483" s="67" t="str">
        <f>IF(B483="", "", 'Lighting Inventory'!BF491)</f>
        <v/>
      </c>
      <c r="AX483" s="67" t="str">
        <f>IF(B483="", "", 'Lighting Inventory'!BF491)</f>
        <v/>
      </c>
      <c r="AY483" s="65" t="str">
        <f t="shared" si="25"/>
        <v/>
      </c>
      <c r="AZ483" s="65" t="str">
        <f>IF(B483="", "", 'Lighting Inventory'!BJ491)</f>
        <v/>
      </c>
      <c r="BA483" s="65" t="str">
        <f>IF(B483="", "", 'Lighting Inventory'!BM491)</f>
        <v/>
      </c>
      <c r="BB483" s="65" t="str">
        <f>IF(B483="","",SUM('Lighting Inventory'!BP491:BP491))</f>
        <v/>
      </c>
      <c r="BC483" s="67" t="str">
        <f>IF(OR(AE483="", B483=""),"", 'Lighting Inventory'!GR491)</f>
        <v/>
      </c>
      <c r="BD483" s="67" t="str">
        <f>IFERROR(IF(B483="", "", 'Lighting Inventory'!AF491)*AD483," ")</f>
        <v xml:space="preserve"> </v>
      </c>
      <c r="BE483" s="67"/>
      <c r="BF483" s="67"/>
    </row>
    <row r="484" spans="1:58" x14ac:dyDescent="0.25">
      <c r="A484" s="26" t="str">
        <f>IF(B484="", "", 'Lookup Tables'!AW485)</f>
        <v/>
      </c>
      <c r="B484" s="26" t="str">
        <f>IF(OR('Lighting Inventory'!Y492="", 'Lighting Inventory'!V492="No Change"),"", 'Lighting Inventory'!Y492)</f>
        <v/>
      </c>
      <c r="C484" s="26" t="str">
        <f>IF(B484="", "", IF('Lighting Inventory'!Y492='Lookup Tables'!$Y$32, 'Lighting Inventory'!AJ492, IF(AD484=0, R484, AD484)))</f>
        <v/>
      </c>
      <c r="D484" s="26" t="str">
        <f>IF(B484="", "", 'General Information'!$F$14)</f>
        <v/>
      </c>
      <c r="E484" s="26" t="str">
        <f t="shared" si="23"/>
        <v/>
      </c>
      <c r="F484" s="26" t="str">
        <f>IF(B484="", "", CONCATENATE('General Information'!$F$9, " - ", 'General Information'!$F$14))</f>
        <v/>
      </c>
      <c r="G484" s="26" t="str">
        <f>IF(B484="", "", 'General Information'!$F$15)</f>
        <v/>
      </c>
      <c r="H484" s="26" t="str">
        <f>IF(B484="", "", IF(VLOOKUP(B484, 'Lookup Tables'!$Y$18:$AA$34, 2, FALSE)="Traffic", VLOOKUP('Lighting Inventory'!W492, 'Lookup Tables'!#REF!, 11, FALSE), VLOOKUP(B484, 'Lookup Tables'!$Y$18:$AA$34, 2, FALSE)))</f>
        <v/>
      </c>
      <c r="I484" s="26" t="str">
        <f>IF(B484="", "", CONCATENATE(D484, 'Data Export'!A484))</f>
        <v/>
      </c>
      <c r="J484" s="26" t="str">
        <f>IF(B484="", "", 'Lookup Tables'!$B$1)</f>
        <v/>
      </c>
      <c r="K484" s="26" t="str">
        <f>IF(B484="", "", 'Lighting Inventory'!B492)</f>
        <v/>
      </c>
      <c r="L484" s="26" t="str">
        <f>IF(B484="", "", 'Lighting Inventory'!C492)</f>
        <v/>
      </c>
      <c r="M484" s="26" t="str">
        <f>IF(B484="", "",'Lighting Inventory'!D492)</f>
        <v/>
      </c>
      <c r="N484" s="26" t="str">
        <f>IF(B484="", "",'Lighting Inventory'!E492)</f>
        <v/>
      </c>
      <c r="O484" s="26" t="str">
        <f>IF(B484="", "", 'Lighting Inventory'!F492)</f>
        <v/>
      </c>
      <c r="P484" s="26" t="str">
        <f>IF(B484="", "", 'Lighting Inventory'!G492)</f>
        <v/>
      </c>
      <c r="Q484" s="26" t="str">
        <f>IF(B484="", "", 'Lighting Inventory'!H492)</f>
        <v/>
      </c>
      <c r="R484" s="26" t="str">
        <f>IF(B484="", "", 'Lighting Inventory'!I492)</f>
        <v/>
      </c>
      <c r="S484" s="26" t="str">
        <f>IF(B484="", "", 'Lighting Inventory'!J492)</f>
        <v/>
      </c>
      <c r="T484" s="26" t="str">
        <f>IFERROR(IF(B484="","",VLOOKUP(S484,'Fixture Identities'!$A$7:$G$1023,5,FALSE)), "New Construction")</f>
        <v/>
      </c>
      <c r="U484" s="26" t="str">
        <f>IFERROR(IF(B484="", "", IF(K484="New Construction", "NC", IF(VLOOKUP(S484, 'Fixture Identities'!$A$7:$I$1023,3, FALSE)="T12 Linear Fluorescent", VLOOKUP(S484, 'Fixture Identities'!$A$7:$K$1012, 11, FALSE), S484))), "")</f>
        <v/>
      </c>
      <c r="V484" s="26" t="str">
        <f>IFERROR(IF(OR(B484="", U484=0), "", VLOOKUP(U484, 'Fixture Identities'!$A$7:$G$1023, 5, FALSE)), "")</f>
        <v/>
      </c>
      <c r="W484" s="26" t="str">
        <f>IF(B484="", "",'Lighting Inventory'!K492)</f>
        <v/>
      </c>
      <c r="X484" s="65" t="str">
        <f>IF(B484="", "", 'Lighting Inventory'!L492)</f>
        <v/>
      </c>
      <c r="Y484" s="26" t="str">
        <f>IF(B484="", "", IF('Lighting Inventory'!M492="", "Light Switch",'Lighting Inventory'!M492))</f>
        <v/>
      </c>
      <c r="Z484" s="26" t="str">
        <f>IF(OR(K484="Retrofit", B484=""), "", 'Lighting Inventory'!N492)</f>
        <v/>
      </c>
      <c r="AA484" s="26" t="str">
        <f>IF(OR(Z484="",B484=""), "", 'Lighting Inventory'!O492)</f>
        <v/>
      </c>
      <c r="AB484" s="26" t="str">
        <f>IF(B484="", "", 'Lighting Inventory'!P492)</f>
        <v/>
      </c>
      <c r="AC484" s="96" t="str">
        <f>IF(B484="", "", 'Lighting Inventory'!R492)</f>
        <v/>
      </c>
      <c r="AD484" s="26" t="str">
        <f>IF(B484="", "", 'Lighting Inventory'!S492)</f>
        <v/>
      </c>
      <c r="AE484" s="26" t="str">
        <f>IF(B484="", "", 'Lighting Inventory'!V492)</f>
        <v/>
      </c>
      <c r="AF484" s="26" t="str">
        <f>IF(B484="", "", 'Lighting Inventory'!W492)</f>
        <v/>
      </c>
      <c r="AG484" s="26" t="str">
        <f>IF(OR(AF484="", B484=""), "", IF(AE484="Custom", "0", VLOOKUP(AF484, 'Lookup Tables'!$AI$6:$AP$102, 8, FALSE)))</f>
        <v/>
      </c>
      <c r="AH484" s="26" t="str">
        <f>IF(B484="", "", 'Lighting Inventory'!AD492)</f>
        <v/>
      </c>
      <c r="AI484" s="26" t="str">
        <f>IF(OR('Lighting Inventory'!AK492="", B484=""), "", 'Lighting Inventory'!AK492)</f>
        <v/>
      </c>
      <c r="AJ484" s="66" t="str">
        <f>IF(B484="", "", 'Lighting Inventory'!AL492)</f>
        <v/>
      </c>
      <c r="AK484" s="65" t="str">
        <f>IF(B484="", "", 'Lighting Inventory'!AM492)</f>
        <v/>
      </c>
      <c r="AL484" s="26" t="str">
        <f>IF(B484="", "", 'Lighting Inventory'!AN492)</f>
        <v/>
      </c>
      <c r="AM484" s="26" t="str">
        <f t="shared" si="24"/>
        <v/>
      </c>
      <c r="AN484" s="26" t="str">
        <f>IF(B484="","",IF('Lighting Inventory'!AV492="","Prescribed",'Lighting Inventory'!AV492))</f>
        <v/>
      </c>
      <c r="AO484" s="66" t="str">
        <f>IF(B484="", "", 'Lighting Inventory'!AX492)</f>
        <v/>
      </c>
      <c r="AP484" s="67" t="str">
        <f>IF(B484="", "", 'Lighting Inventory'!AZ492)</f>
        <v/>
      </c>
      <c r="AQ484" s="67" t="str">
        <f>IF(B484="", "", 'Lighting Inventory'!BA492)</f>
        <v/>
      </c>
      <c r="AR484" s="67" t="str">
        <f>IF(B484="", "", 'Lighting Inventory'!BB492)</f>
        <v/>
      </c>
      <c r="AS484" s="67" t="str">
        <f>IF(B484="", "", 'Lighting Inventory'!BC492)</f>
        <v/>
      </c>
      <c r="AT484" s="67" t="str">
        <f>IF(B484="", "", 'Lighting Inventory'!BD492)</f>
        <v/>
      </c>
      <c r="AU484" s="67" t="str">
        <f>IF(B484="", "", 'Lighting Inventory'!BE492)</f>
        <v/>
      </c>
      <c r="AV484" s="67" t="str">
        <f>IF(B484="", "", 'Lighting Inventory'!BE492)</f>
        <v/>
      </c>
      <c r="AW484" s="67" t="str">
        <f>IF(B484="", "", 'Lighting Inventory'!BF492)</f>
        <v/>
      </c>
      <c r="AX484" s="67" t="str">
        <f>IF(B484="", "", 'Lighting Inventory'!BF492)</f>
        <v/>
      </c>
      <c r="AY484" s="65" t="str">
        <f t="shared" si="25"/>
        <v/>
      </c>
      <c r="AZ484" s="65" t="str">
        <f>IF(B484="", "", 'Lighting Inventory'!BJ492)</f>
        <v/>
      </c>
      <c r="BA484" s="65" t="str">
        <f>IF(B484="", "", 'Lighting Inventory'!BM492)</f>
        <v/>
      </c>
      <c r="BB484" s="65" t="str">
        <f>IF(B484="","",SUM('Lighting Inventory'!BP492:BP492))</f>
        <v/>
      </c>
      <c r="BC484" s="67" t="str">
        <f>IF(OR(AE484="", B484=""),"", 'Lighting Inventory'!GR492)</f>
        <v/>
      </c>
      <c r="BD484" s="67" t="str">
        <f>IFERROR(IF(B484="", "", 'Lighting Inventory'!AF492)*AD484," ")</f>
        <v xml:space="preserve"> </v>
      </c>
      <c r="BE484" s="67"/>
      <c r="BF484" s="67"/>
    </row>
    <row r="485" spans="1:58" x14ac:dyDescent="0.25">
      <c r="A485" s="26" t="str">
        <f>IF(B485="", "", 'Lookup Tables'!AW486)</f>
        <v/>
      </c>
      <c r="B485" s="26" t="str">
        <f>IF(OR('Lighting Inventory'!Y493="", 'Lighting Inventory'!V493="No Change"),"", 'Lighting Inventory'!Y493)</f>
        <v/>
      </c>
      <c r="C485" s="26" t="str">
        <f>IF(B485="", "", IF('Lighting Inventory'!Y493='Lookup Tables'!$Y$32, 'Lighting Inventory'!AJ493, IF(AD485=0, R485, AD485)))</f>
        <v/>
      </c>
      <c r="D485" s="26" t="str">
        <f>IF(B485="", "", 'General Information'!$F$14)</f>
        <v/>
      </c>
      <c r="E485" s="26" t="str">
        <f t="shared" si="23"/>
        <v/>
      </c>
      <c r="F485" s="26" t="str">
        <f>IF(B485="", "", CONCATENATE('General Information'!$F$9, " - ", 'General Information'!$F$14))</f>
        <v/>
      </c>
      <c r="G485" s="26" t="str">
        <f>IF(B485="", "", 'General Information'!$F$15)</f>
        <v/>
      </c>
      <c r="H485" s="26" t="str">
        <f>IF(B485="", "", IF(VLOOKUP(B485, 'Lookup Tables'!$Y$18:$AA$34, 2, FALSE)="Traffic", VLOOKUP('Lighting Inventory'!W493, 'Lookup Tables'!#REF!, 11, FALSE), VLOOKUP(B485, 'Lookup Tables'!$Y$18:$AA$34, 2, FALSE)))</f>
        <v/>
      </c>
      <c r="I485" s="26" t="str">
        <f>IF(B485="", "", CONCATENATE(D485, 'Data Export'!A485))</f>
        <v/>
      </c>
      <c r="J485" s="26" t="str">
        <f>IF(B485="", "", 'Lookup Tables'!$B$1)</f>
        <v/>
      </c>
      <c r="K485" s="26" t="str">
        <f>IF(B485="", "", 'Lighting Inventory'!B493)</f>
        <v/>
      </c>
      <c r="L485" s="26" t="str">
        <f>IF(B485="", "", 'Lighting Inventory'!C493)</f>
        <v/>
      </c>
      <c r="M485" s="26" t="str">
        <f>IF(B485="", "",'Lighting Inventory'!D493)</f>
        <v/>
      </c>
      <c r="N485" s="26" t="str">
        <f>IF(B485="", "",'Lighting Inventory'!E493)</f>
        <v/>
      </c>
      <c r="O485" s="26" t="str">
        <f>IF(B485="", "", 'Lighting Inventory'!F493)</f>
        <v/>
      </c>
      <c r="P485" s="26" t="str">
        <f>IF(B485="", "", 'Lighting Inventory'!G493)</f>
        <v/>
      </c>
      <c r="Q485" s="26" t="str">
        <f>IF(B485="", "", 'Lighting Inventory'!H493)</f>
        <v/>
      </c>
      <c r="R485" s="26" t="str">
        <f>IF(B485="", "", 'Lighting Inventory'!I493)</f>
        <v/>
      </c>
      <c r="S485" s="26" t="str">
        <f>IF(B485="", "", 'Lighting Inventory'!J493)</f>
        <v/>
      </c>
      <c r="T485" s="26" t="str">
        <f>IFERROR(IF(B485="","",VLOOKUP(S485,'Fixture Identities'!$A$7:$G$1023,5,FALSE)), "New Construction")</f>
        <v/>
      </c>
      <c r="U485" s="26" t="str">
        <f>IFERROR(IF(B485="", "", IF(K485="New Construction", "NC", IF(VLOOKUP(S485, 'Fixture Identities'!$A$7:$I$1023,3, FALSE)="T12 Linear Fluorescent", VLOOKUP(S485, 'Fixture Identities'!$A$7:$K$1012, 11, FALSE), S485))), "")</f>
        <v/>
      </c>
      <c r="V485" s="26" t="str">
        <f>IFERROR(IF(OR(B485="", U485=0), "", VLOOKUP(U485, 'Fixture Identities'!$A$7:$G$1023, 5, FALSE)), "")</f>
        <v/>
      </c>
      <c r="W485" s="26" t="str">
        <f>IF(B485="", "",'Lighting Inventory'!K493)</f>
        <v/>
      </c>
      <c r="X485" s="65" t="str">
        <f>IF(B485="", "", 'Lighting Inventory'!L493)</f>
        <v/>
      </c>
      <c r="Y485" s="26" t="str">
        <f>IF(B485="", "", IF('Lighting Inventory'!M493="", "Light Switch",'Lighting Inventory'!M493))</f>
        <v/>
      </c>
      <c r="Z485" s="26" t="str">
        <f>IF(OR(K485="Retrofit", B485=""), "", 'Lighting Inventory'!N493)</f>
        <v/>
      </c>
      <c r="AA485" s="26" t="str">
        <f>IF(OR(Z485="",B485=""), "", 'Lighting Inventory'!O493)</f>
        <v/>
      </c>
      <c r="AB485" s="26" t="str">
        <f>IF(B485="", "", 'Lighting Inventory'!P493)</f>
        <v/>
      </c>
      <c r="AC485" s="96" t="str">
        <f>IF(B485="", "", 'Lighting Inventory'!R493)</f>
        <v/>
      </c>
      <c r="AD485" s="26" t="str">
        <f>IF(B485="", "", 'Lighting Inventory'!S493)</f>
        <v/>
      </c>
      <c r="AE485" s="26" t="str">
        <f>IF(B485="", "", 'Lighting Inventory'!V493)</f>
        <v/>
      </c>
      <c r="AF485" s="26" t="str">
        <f>IF(B485="", "", 'Lighting Inventory'!W493)</f>
        <v/>
      </c>
      <c r="AG485" s="26" t="str">
        <f>IF(OR(AF485="", B485=""), "", IF(AE485="Custom", "0", VLOOKUP(AF485, 'Lookup Tables'!$AI$6:$AP$102, 8, FALSE)))</f>
        <v/>
      </c>
      <c r="AH485" s="26" t="str">
        <f>IF(B485="", "", 'Lighting Inventory'!AD493)</f>
        <v/>
      </c>
      <c r="AI485" s="26" t="str">
        <f>IF(OR('Lighting Inventory'!AK493="", B485=""), "", 'Lighting Inventory'!AK493)</f>
        <v/>
      </c>
      <c r="AJ485" s="66" t="str">
        <f>IF(B485="", "", 'Lighting Inventory'!AL493)</f>
        <v/>
      </c>
      <c r="AK485" s="65" t="str">
        <f>IF(B485="", "", 'Lighting Inventory'!AM493)</f>
        <v/>
      </c>
      <c r="AL485" s="26" t="str">
        <f>IF(B485="", "", 'Lighting Inventory'!AN493)</f>
        <v/>
      </c>
      <c r="AM485" s="26" t="str">
        <f t="shared" si="24"/>
        <v/>
      </c>
      <c r="AN485" s="26" t="str">
        <f>IF(B485="","",IF('Lighting Inventory'!AV493="","Prescribed",'Lighting Inventory'!AV493))</f>
        <v/>
      </c>
      <c r="AO485" s="66" t="str">
        <f>IF(B485="", "", 'Lighting Inventory'!AX493)</f>
        <v/>
      </c>
      <c r="AP485" s="67" t="str">
        <f>IF(B485="", "", 'Lighting Inventory'!AZ493)</f>
        <v/>
      </c>
      <c r="AQ485" s="67" t="str">
        <f>IF(B485="", "", 'Lighting Inventory'!BA493)</f>
        <v/>
      </c>
      <c r="AR485" s="67" t="str">
        <f>IF(B485="", "", 'Lighting Inventory'!BB493)</f>
        <v/>
      </c>
      <c r="AS485" s="67" t="str">
        <f>IF(B485="", "", 'Lighting Inventory'!BC493)</f>
        <v/>
      </c>
      <c r="AT485" s="67" t="str">
        <f>IF(B485="", "", 'Lighting Inventory'!BD493)</f>
        <v/>
      </c>
      <c r="AU485" s="67" t="str">
        <f>IF(B485="", "", 'Lighting Inventory'!BE493)</f>
        <v/>
      </c>
      <c r="AV485" s="67" t="str">
        <f>IF(B485="", "", 'Lighting Inventory'!BE493)</f>
        <v/>
      </c>
      <c r="AW485" s="67" t="str">
        <f>IF(B485="", "", 'Lighting Inventory'!BF493)</f>
        <v/>
      </c>
      <c r="AX485" s="67" t="str">
        <f>IF(B485="", "", 'Lighting Inventory'!BF493)</f>
        <v/>
      </c>
      <c r="AY485" s="65" t="str">
        <f t="shared" si="25"/>
        <v/>
      </c>
      <c r="AZ485" s="65" t="str">
        <f>IF(B485="", "", 'Lighting Inventory'!BJ493)</f>
        <v/>
      </c>
      <c r="BA485" s="65" t="str">
        <f>IF(B485="", "", 'Lighting Inventory'!BM493)</f>
        <v/>
      </c>
      <c r="BB485" s="65" t="str">
        <f>IF(B485="","",SUM('Lighting Inventory'!BP493:BP493))</f>
        <v/>
      </c>
      <c r="BC485" s="67" t="str">
        <f>IF(OR(AE485="", B485=""),"", 'Lighting Inventory'!GR493)</f>
        <v/>
      </c>
      <c r="BD485" s="67" t="str">
        <f>IFERROR(IF(B485="", "", 'Lighting Inventory'!AF493)*AD485," ")</f>
        <v xml:space="preserve"> </v>
      </c>
      <c r="BE485" s="67"/>
      <c r="BF485" s="67"/>
    </row>
    <row r="486" spans="1:58" x14ac:dyDescent="0.25">
      <c r="A486" s="26" t="str">
        <f>IF(B486="", "", 'Lookup Tables'!AW487)</f>
        <v/>
      </c>
      <c r="B486" s="26" t="str">
        <f>IF(OR('Lighting Inventory'!Y494="", 'Lighting Inventory'!V494="No Change"),"", 'Lighting Inventory'!Y494)</f>
        <v/>
      </c>
      <c r="C486" s="26" t="str">
        <f>IF(B486="", "", IF('Lighting Inventory'!Y494='Lookup Tables'!$Y$32, 'Lighting Inventory'!AJ494, IF(AD486=0, R486, AD486)))</f>
        <v/>
      </c>
      <c r="D486" s="26" t="str">
        <f>IF(B486="", "", 'General Information'!$F$14)</f>
        <v/>
      </c>
      <c r="E486" s="26" t="str">
        <f t="shared" si="23"/>
        <v/>
      </c>
      <c r="F486" s="26" t="str">
        <f>IF(B486="", "", CONCATENATE('General Information'!$F$9, " - ", 'General Information'!$F$14))</f>
        <v/>
      </c>
      <c r="G486" s="26" t="str">
        <f>IF(B486="", "", 'General Information'!$F$15)</f>
        <v/>
      </c>
      <c r="H486" s="26" t="str">
        <f>IF(B486="", "", IF(VLOOKUP(B486, 'Lookup Tables'!$Y$18:$AA$34, 2, FALSE)="Traffic", VLOOKUP('Lighting Inventory'!W494, 'Lookup Tables'!#REF!, 11, FALSE), VLOOKUP(B486, 'Lookup Tables'!$Y$18:$AA$34, 2, FALSE)))</f>
        <v/>
      </c>
      <c r="I486" s="26" t="str">
        <f>IF(B486="", "", CONCATENATE(D486, 'Data Export'!A486))</f>
        <v/>
      </c>
      <c r="J486" s="26" t="str">
        <f>IF(B486="", "", 'Lookup Tables'!$B$1)</f>
        <v/>
      </c>
      <c r="K486" s="26" t="str">
        <f>IF(B486="", "", 'Lighting Inventory'!B494)</f>
        <v/>
      </c>
      <c r="L486" s="26" t="str">
        <f>IF(B486="", "", 'Lighting Inventory'!C494)</f>
        <v/>
      </c>
      <c r="M486" s="26" t="str">
        <f>IF(B486="", "",'Lighting Inventory'!D494)</f>
        <v/>
      </c>
      <c r="N486" s="26" t="str">
        <f>IF(B486="", "",'Lighting Inventory'!E494)</f>
        <v/>
      </c>
      <c r="O486" s="26" t="str">
        <f>IF(B486="", "", 'Lighting Inventory'!F494)</f>
        <v/>
      </c>
      <c r="P486" s="26" t="str">
        <f>IF(B486="", "", 'Lighting Inventory'!G494)</f>
        <v/>
      </c>
      <c r="Q486" s="26" t="str">
        <f>IF(B486="", "", 'Lighting Inventory'!H494)</f>
        <v/>
      </c>
      <c r="R486" s="26" t="str">
        <f>IF(B486="", "", 'Lighting Inventory'!I494)</f>
        <v/>
      </c>
      <c r="S486" s="26" t="str">
        <f>IF(B486="", "", 'Lighting Inventory'!J494)</f>
        <v/>
      </c>
      <c r="T486" s="26" t="str">
        <f>IFERROR(IF(B486="","",VLOOKUP(S486,'Fixture Identities'!$A$7:$G$1023,5,FALSE)), "New Construction")</f>
        <v/>
      </c>
      <c r="U486" s="26" t="str">
        <f>IFERROR(IF(B486="", "", IF(K486="New Construction", "NC", IF(VLOOKUP(S486, 'Fixture Identities'!$A$7:$I$1023,3, FALSE)="T12 Linear Fluorescent", VLOOKUP(S486, 'Fixture Identities'!$A$7:$K$1012, 11, FALSE), S486))), "")</f>
        <v/>
      </c>
      <c r="V486" s="26" t="str">
        <f>IFERROR(IF(OR(B486="", U486=0), "", VLOOKUP(U486, 'Fixture Identities'!$A$7:$G$1023, 5, FALSE)), "")</f>
        <v/>
      </c>
      <c r="W486" s="26" t="str">
        <f>IF(B486="", "",'Lighting Inventory'!K494)</f>
        <v/>
      </c>
      <c r="X486" s="65" t="str">
        <f>IF(B486="", "", 'Lighting Inventory'!L494)</f>
        <v/>
      </c>
      <c r="Y486" s="26" t="str">
        <f>IF(B486="", "", IF('Lighting Inventory'!M494="", "Light Switch",'Lighting Inventory'!M494))</f>
        <v/>
      </c>
      <c r="Z486" s="26" t="str">
        <f>IF(OR(K486="Retrofit", B486=""), "", 'Lighting Inventory'!N494)</f>
        <v/>
      </c>
      <c r="AA486" s="26" t="str">
        <f>IF(OR(Z486="",B486=""), "", 'Lighting Inventory'!O494)</f>
        <v/>
      </c>
      <c r="AB486" s="26" t="str">
        <f>IF(B486="", "", 'Lighting Inventory'!P494)</f>
        <v/>
      </c>
      <c r="AC486" s="96" t="str">
        <f>IF(B486="", "", 'Lighting Inventory'!R494)</f>
        <v/>
      </c>
      <c r="AD486" s="26" t="str">
        <f>IF(B486="", "", 'Lighting Inventory'!S494)</f>
        <v/>
      </c>
      <c r="AE486" s="26" t="str">
        <f>IF(B486="", "", 'Lighting Inventory'!V494)</f>
        <v/>
      </c>
      <c r="AF486" s="26" t="str">
        <f>IF(B486="", "", 'Lighting Inventory'!W494)</f>
        <v/>
      </c>
      <c r="AG486" s="26" t="str">
        <f>IF(OR(AF486="", B486=""), "", IF(AE486="Custom", "0", VLOOKUP(AF486, 'Lookup Tables'!$AI$6:$AP$102, 8, FALSE)))</f>
        <v/>
      </c>
      <c r="AH486" s="26" t="str">
        <f>IF(B486="", "", 'Lighting Inventory'!AD494)</f>
        <v/>
      </c>
      <c r="AI486" s="26" t="str">
        <f>IF(OR('Lighting Inventory'!AK494="", B486=""), "", 'Lighting Inventory'!AK494)</f>
        <v/>
      </c>
      <c r="AJ486" s="66" t="str">
        <f>IF(B486="", "", 'Lighting Inventory'!AL494)</f>
        <v/>
      </c>
      <c r="AK486" s="65" t="str">
        <f>IF(B486="", "", 'Lighting Inventory'!AM494)</f>
        <v/>
      </c>
      <c r="AL486" s="26" t="str">
        <f>IF(B486="", "", 'Lighting Inventory'!AN494)</f>
        <v/>
      </c>
      <c r="AM486" s="26" t="str">
        <f t="shared" si="24"/>
        <v/>
      </c>
      <c r="AN486" s="26" t="str">
        <f>IF(B486="","",IF('Lighting Inventory'!AV494="","Prescribed",'Lighting Inventory'!AV494))</f>
        <v/>
      </c>
      <c r="AO486" s="66" t="str">
        <f>IF(B486="", "", 'Lighting Inventory'!AX494)</f>
        <v/>
      </c>
      <c r="AP486" s="67" t="str">
        <f>IF(B486="", "", 'Lighting Inventory'!AZ494)</f>
        <v/>
      </c>
      <c r="AQ486" s="67" t="str">
        <f>IF(B486="", "", 'Lighting Inventory'!BA494)</f>
        <v/>
      </c>
      <c r="AR486" s="67" t="str">
        <f>IF(B486="", "", 'Lighting Inventory'!BB494)</f>
        <v/>
      </c>
      <c r="AS486" s="67" t="str">
        <f>IF(B486="", "", 'Lighting Inventory'!BC494)</f>
        <v/>
      </c>
      <c r="AT486" s="67" t="str">
        <f>IF(B486="", "", 'Lighting Inventory'!BD494)</f>
        <v/>
      </c>
      <c r="AU486" s="67" t="str">
        <f>IF(B486="", "", 'Lighting Inventory'!BE494)</f>
        <v/>
      </c>
      <c r="AV486" s="67" t="str">
        <f>IF(B486="", "", 'Lighting Inventory'!BE494)</f>
        <v/>
      </c>
      <c r="AW486" s="67" t="str">
        <f>IF(B486="", "", 'Lighting Inventory'!BF494)</f>
        <v/>
      </c>
      <c r="AX486" s="67" t="str">
        <f>IF(B486="", "", 'Lighting Inventory'!BF494)</f>
        <v/>
      </c>
      <c r="AY486" s="65" t="str">
        <f t="shared" si="25"/>
        <v/>
      </c>
      <c r="AZ486" s="65" t="str">
        <f>IF(B486="", "", 'Lighting Inventory'!BJ494)</f>
        <v/>
      </c>
      <c r="BA486" s="65" t="str">
        <f>IF(B486="", "", 'Lighting Inventory'!BM494)</f>
        <v/>
      </c>
      <c r="BB486" s="65" t="str">
        <f>IF(B486="","",SUM('Lighting Inventory'!BP494:BP494))</f>
        <v/>
      </c>
      <c r="BC486" s="67" t="str">
        <f>IF(OR(AE486="", B486=""),"", 'Lighting Inventory'!GR494)</f>
        <v/>
      </c>
      <c r="BD486" s="67" t="str">
        <f>IFERROR(IF(B486="", "", 'Lighting Inventory'!AF494)*AD486," ")</f>
        <v xml:space="preserve"> </v>
      </c>
      <c r="BE486" s="67"/>
      <c r="BF486" s="67"/>
    </row>
    <row r="487" spans="1:58" x14ac:dyDescent="0.25">
      <c r="A487" s="26" t="str">
        <f>IF(B487="", "", 'Lookup Tables'!AW488)</f>
        <v/>
      </c>
      <c r="B487" s="26" t="str">
        <f>IF(OR('Lighting Inventory'!Y495="", 'Lighting Inventory'!V495="No Change"),"", 'Lighting Inventory'!Y495)</f>
        <v/>
      </c>
      <c r="C487" s="26" t="str">
        <f>IF(B487="", "", IF('Lighting Inventory'!Y495='Lookup Tables'!$Y$32, 'Lighting Inventory'!AJ495, IF(AD487=0, R487, AD487)))</f>
        <v/>
      </c>
      <c r="D487" s="26" t="str">
        <f>IF(B487="", "", 'General Information'!$F$14)</f>
        <v/>
      </c>
      <c r="E487" s="26" t="str">
        <f t="shared" si="23"/>
        <v/>
      </c>
      <c r="F487" s="26" t="str">
        <f>IF(B487="", "", CONCATENATE('General Information'!$F$9, " - ", 'General Information'!$F$14))</f>
        <v/>
      </c>
      <c r="G487" s="26" t="str">
        <f>IF(B487="", "", 'General Information'!$F$15)</f>
        <v/>
      </c>
      <c r="H487" s="26" t="str">
        <f>IF(B487="", "", IF(VLOOKUP(B487, 'Lookup Tables'!$Y$18:$AA$34, 2, FALSE)="Traffic", VLOOKUP('Lighting Inventory'!W495, 'Lookup Tables'!#REF!, 11, FALSE), VLOOKUP(B487, 'Lookup Tables'!$Y$18:$AA$34, 2, FALSE)))</f>
        <v/>
      </c>
      <c r="I487" s="26" t="str">
        <f>IF(B487="", "", CONCATENATE(D487, 'Data Export'!A487))</f>
        <v/>
      </c>
      <c r="J487" s="26" t="str">
        <f>IF(B487="", "", 'Lookup Tables'!$B$1)</f>
        <v/>
      </c>
      <c r="K487" s="26" t="str">
        <f>IF(B487="", "", 'Lighting Inventory'!B495)</f>
        <v/>
      </c>
      <c r="L487" s="26" t="str">
        <f>IF(B487="", "", 'Lighting Inventory'!C495)</f>
        <v/>
      </c>
      <c r="M487" s="26" t="str">
        <f>IF(B487="", "",'Lighting Inventory'!D495)</f>
        <v/>
      </c>
      <c r="N487" s="26" t="str">
        <f>IF(B487="", "",'Lighting Inventory'!E495)</f>
        <v/>
      </c>
      <c r="O487" s="26" t="str">
        <f>IF(B487="", "", 'Lighting Inventory'!F495)</f>
        <v/>
      </c>
      <c r="P487" s="26" t="str">
        <f>IF(B487="", "", 'Lighting Inventory'!G495)</f>
        <v/>
      </c>
      <c r="Q487" s="26" t="str">
        <f>IF(B487="", "", 'Lighting Inventory'!H495)</f>
        <v/>
      </c>
      <c r="R487" s="26" t="str">
        <f>IF(B487="", "", 'Lighting Inventory'!I495)</f>
        <v/>
      </c>
      <c r="S487" s="26" t="str">
        <f>IF(B487="", "", 'Lighting Inventory'!J495)</f>
        <v/>
      </c>
      <c r="T487" s="26" t="str">
        <f>IFERROR(IF(B487="","",VLOOKUP(S487,'Fixture Identities'!$A$7:$G$1023,5,FALSE)), "New Construction")</f>
        <v/>
      </c>
      <c r="U487" s="26" t="str">
        <f>IFERROR(IF(B487="", "", IF(K487="New Construction", "NC", IF(VLOOKUP(S487, 'Fixture Identities'!$A$7:$I$1023,3, FALSE)="T12 Linear Fluorescent", VLOOKUP(S487, 'Fixture Identities'!$A$7:$K$1012, 11, FALSE), S487))), "")</f>
        <v/>
      </c>
      <c r="V487" s="26" t="str">
        <f>IFERROR(IF(OR(B487="", U487=0), "", VLOOKUP(U487, 'Fixture Identities'!$A$7:$G$1023, 5, FALSE)), "")</f>
        <v/>
      </c>
      <c r="W487" s="26" t="str">
        <f>IF(B487="", "",'Lighting Inventory'!K495)</f>
        <v/>
      </c>
      <c r="X487" s="65" t="str">
        <f>IF(B487="", "", 'Lighting Inventory'!L495)</f>
        <v/>
      </c>
      <c r="Y487" s="26" t="str">
        <f>IF(B487="", "", IF('Lighting Inventory'!M495="", "Light Switch",'Lighting Inventory'!M495))</f>
        <v/>
      </c>
      <c r="Z487" s="26" t="str">
        <f>IF(OR(K487="Retrofit", B487=""), "", 'Lighting Inventory'!N495)</f>
        <v/>
      </c>
      <c r="AA487" s="26" t="str">
        <f>IF(OR(Z487="",B487=""), "", 'Lighting Inventory'!O495)</f>
        <v/>
      </c>
      <c r="AB487" s="26" t="str">
        <f>IF(B487="", "", 'Lighting Inventory'!P495)</f>
        <v/>
      </c>
      <c r="AC487" s="96" t="str">
        <f>IF(B487="", "", 'Lighting Inventory'!R495)</f>
        <v/>
      </c>
      <c r="AD487" s="26" t="str">
        <f>IF(B487="", "", 'Lighting Inventory'!S495)</f>
        <v/>
      </c>
      <c r="AE487" s="26" t="str">
        <f>IF(B487="", "", 'Lighting Inventory'!V495)</f>
        <v/>
      </c>
      <c r="AF487" s="26" t="str">
        <f>IF(B487="", "", 'Lighting Inventory'!W495)</f>
        <v/>
      </c>
      <c r="AG487" s="26" t="str">
        <f>IF(OR(AF487="", B487=""), "", IF(AE487="Custom", "0", VLOOKUP(AF487, 'Lookup Tables'!$AI$6:$AP$102, 8, FALSE)))</f>
        <v/>
      </c>
      <c r="AH487" s="26" t="str">
        <f>IF(B487="", "", 'Lighting Inventory'!AD495)</f>
        <v/>
      </c>
      <c r="AI487" s="26" t="str">
        <f>IF(OR('Lighting Inventory'!AK495="", B487=""), "", 'Lighting Inventory'!AK495)</f>
        <v/>
      </c>
      <c r="AJ487" s="66" t="str">
        <f>IF(B487="", "", 'Lighting Inventory'!AL495)</f>
        <v/>
      </c>
      <c r="AK487" s="65" t="str">
        <f>IF(B487="", "", 'Lighting Inventory'!AM495)</f>
        <v/>
      </c>
      <c r="AL487" s="26" t="str">
        <f>IF(B487="", "", 'Lighting Inventory'!AN495)</f>
        <v/>
      </c>
      <c r="AM487" s="26" t="str">
        <f t="shared" si="24"/>
        <v/>
      </c>
      <c r="AN487" s="26" t="str">
        <f>IF(B487="","",IF('Lighting Inventory'!AV495="","Prescribed",'Lighting Inventory'!AV495))</f>
        <v/>
      </c>
      <c r="AO487" s="66" t="str">
        <f>IF(B487="", "", 'Lighting Inventory'!AX495)</f>
        <v/>
      </c>
      <c r="AP487" s="67" t="str">
        <f>IF(B487="", "", 'Lighting Inventory'!AZ495)</f>
        <v/>
      </c>
      <c r="AQ487" s="67" t="str">
        <f>IF(B487="", "", 'Lighting Inventory'!BA495)</f>
        <v/>
      </c>
      <c r="AR487" s="67" t="str">
        <f>IF(B487="", "", 'Lighting Inventory'!BB495)</f>
        <v/>
      </c>
      <c r="AS487" s="67" t="str">
        <f>IF(B487="", "", 'Lighting Inventory'!BC495)</f>
        <v/>
      </c>
      <c r="AT487" s="67" t="str">
        <f>IF(B487="", "", 'Lighting Inventory'!BD495)</f>
        <v/>
      </c>
      <c r="AU487" s="67" t="str">
        <f>IF(B487="", "", 'Lighting Inventory'!BE495)</f>
        <v/>
      </c>
      <c r="AV487" s="67" t="str">
        <f>IF(B487="", "", 'Lighting Inventory'!BE495)</f>
        <v/>
      </c>
      <c r="AW487" s="67" t="str">
        <f>IF(B487="", "", 'Lighting Inventory'!BF495)</f>
        <v/>
      </c>
      <c r="AX487" s="67" t="str">
        <f>IF(B487="", "", 'Lighting Inventory'!BF495)</f>
        <v/>
      </c>
      <c r="AY487" s="65" t="str">
        <f t="shared" si="25"/>
        <v/>
      </c>
      <c r="AZ487" s="65" t="str">
        <f>IF(B487="", "", 'Lighting Inventory'!BJ495)</f>
        <v/>
      </c>
      <c r="BA487" s="65" t="str">
        <f>IF(B487="", "", 'Lighting Inventory'!BM495)</f>
        <v/>
      </c>
      <c r="BB487" s="65" t="str">
        <f>IF(B487="","",SUM('Lighting Inventory'!BP495:BP495))</f>
        <v/>
      </c>
      <c r="BC487" s="67" t="str">
        <f>IF(OR(AE487="", B487=""),"", 'Lighting Inventory'!GR495)</f>
        <v/>
      </c>
      <c r="BD487" s="67" t="str">
        <f>IFERROR(IF(B487="", "", 'Lighting Inventory'!AF495)*AD487," ")</f>
        <v xml:space="preserve"> </v>
      </c>
      <c r="BE487" s="67"/>
      <c r="BF487" s="67"/>
    </row>
    <row r="488" spans="1:58" x14ac:dyDescent="0.25">
      <c r="A488" s="26" t="str">
        <f>IF(B488="", "", 'Lookup Tables'!AW489)</f>
        <v/>
      </c>
      <c r="B488" s="26" t="str">
        <f>IF(OR('Lighting Inventory'!Y496="", 'Lighting Inventory'!V496="No Change"),"", 'Lighting Inventory'!Y496)</f>
        <v/>
      </c>
      <c r="C488" s="26" t="str">
        <f>IF(B488="", "", IF('Lighting Inventory'!Y496='Lookup Tables'!$Y$32, 'Lighting Inventory'!AJ496, IF(AD488=0, R488, AD488)))</f>
        <v/>
      </c>
      <c r="D488" s="26" t="str">
        <f>IF(B488="", "", 'General Information'!$F$14)</f>
        <v/>
      </c>
      <c r="E488" s="26" t="str">
        <f t="shared" si="23"/>
        <v/>
      </c>
      <c r="F488" s="26" t="str">
        <f>IF(B488="", "", CONCATENATE('General Information'!$F$9, " - ", 'General Information'!$F$14))</f>
        <v/>
      </c>
      <c r="G488" s="26" t="str">
        <f>IF(B488="", "", 'General Information'!$F$15)</f>
        <v/>
      </c>
      <c r="H488" s="26" t="str">
        <f>IF(B488="", "", IF(VLOOKUP(B488, 'Lookup Tables'!$Y$18:$AA$34, 2, FALSE)="Traffic", VLOOKUP('Lighting Inventory'!W496, 'Lookup Tables'!#REF!, 11, FALSE), VLOOKUP(B488, 'Lookup Tables'!$Y$18:$AA$34, 2, FALSE)))</f>
        <v/>
      </c>
      <c r="I488" s="26" t="str">
        <f>IF(B488="", "", CONCATENATE(D488, 'Data Export'!A488))</f>
        <v/>
      </c>
      <c r="J488" s="26" t="str">
        <f>IF(B488="", "", 'Lookup Tables'!$B$1)</f>
        <v/>
      </c>
      <c r="K488" s="26" t="str">
        <f>IF(B488="", "", 'Lighting Inventory'!B496)</f>
        <v/>
      </c>
      <c r="L488" s="26" t="str">
        <f>IF(B488="", "", 'Lighting Inventory'!C496)</f>
        <v/>
      </c>
      <c r="M488" s="26" t="str">
        <f>IF(B488="", "",'Lighting Inventory'!D496)</f>
        <v/>
      </c>
      <c r="N488" s="26" t="str">
        <f>IF(B488="", "",'Lighting Inventory'!E496)</f>
        <v/>
      </c>
      <c r="O488" s="26" t="str">
        <f>IF(B488="", "", 'Lighting Inventory'!F496)</f>
        <v/>
      </c>
      <c r="P488" s="26" t="str">
        <f>IF(B488="", "", 'Lighting Inventory'!G496)</f>
        <v/>
      </c>
      <c r="Q488" s="26" t="str">
        <f>IF(B488="", "", 'Lighting Inventory'!H496)</f>
        <v/>
      </c>
      <c r="R488" s="26" t="str">
        <f>IF(B488="", "", 'Lighting Inventory'!I496)</f>
        <v/>
      </c>
      <c r="S488" s="26" t="str">
        <f>IF(B488="", "", 'Lighting Inventory'!J496)</f>
        <v/>
      </c>
      <c r="T488" s="26" t="str">
        <f>IFERROR(IF(B488="","",VLOOKUP(S488,'Fixture Identities'!$A$7:$G$1023,5,FALSE)), "New Construction")</f>
        <v/>
      </c>
      <c r="U488" s="26" t="str">
        <f>IFERROR(IF(B488="", "", IF(K488="New Construction", "NC", IF(VLOOKUP(S488, 'Fixture Identities'!$A$7:$I$1023,3, FALSE)="T12 Linear Fluorescent", VLOOKUP(S488, 'Fixture Identities'!$A$7:$K$1012, 11, FALSE), S488))), "")</f>
        <v/>
      </c>
      <c r="V488" s="26" t="str">
        <f>IFERROR(IF(OR(B488="", U488=0), "", VLOOKUP(U488, 'Fixture Identities'!$A$7:$G$1023, 5, FALSE)), "")</f>
        <v/>
      </c>
      <c r="W488" s="26" t="str">
        <f>IF(B488="", "",'Lighting Inventory'!K496)</f>
        <v/>
      </c>
      <c r="X488" s="65" t="str">
        <f>IF(B488="", "", 'Lighting Inventory'!L496)</f>
        <v/>
      </c>
      <c r="Y488" s="26" t="str">
        <f>IF(B488="", "", IF('Lighting Inventory'!M496="", "Light Switch",'Lighting Inventory'!M496))</f>
        <v/>
      </c>
      <c r="Z488" s="26" t="str">
        <f>IF(OR(K488="Retrofit", B488=""), "", 'Lighting Inventory'!N496)</f>
        <v/>
      </c>
      <c r="AA488" s="26" t="str">
        <f>IF(OR(Z488="",B488=""), "", 'Lighting Inventory'!O496)</f>
        <v/>
      </c>
      <c r="AB488" s="26" t="str">
        <f>IF(B488="", "", 'Lighting Inventory'!P496)</f>
        <v/>
      </c>
      <c r="AC488" s="96" t="str">
        <f>IF(B488="", "", 'Lighting Inventory'!R496)</f>
        <v/>
      </c>
      <c r="AD488" s="26" t="str">
        <f>IF(B488="", "", 'Lighting Inventory'!S496)</f>
        <v/>
      </c>
      <c r="AE488" s="26" t="str">
        <f>IF(B488="", "", 'Lighting Inventory'!V496)</f>
        <v/>
      </c>
      <c r="AF488" s="26" t="str">
        <f>IF(B488="", "", 'Lighting Inventory'!W496)</f>
        <v/>
      </c>
      <c r="AG488" s="26" t="str">
        <f>IF(OR(AF488="", B488=""), "", IF(AE488="Custom", "0", VLOOKUP(AF488, 'Lookup Tables'!$AI$6:$AP$102, 8, FALSE)))</f>
        <v/>
      </c>
      <c r="AH488" s="26" t="str">
        <f>IF(B488="", "", 'Lighting Inventory'!AD496)</f>
        <v/>
      </c>
      <c r="AI488" s="26" t="str">
        <f>IF(OR('Lighting Inventory'!AK496="", B488=""), "", 'Lighting Inventory'!AK496)</f>
        <v/>
      </c>
      <c r="AJ488" s="66" t="str">
        <f>IF(B488="", "", 'Lighting Inventory'!AL496)</f>
        <v/>
      </c>
      <c r="AK488" s="65" t="str">
        <f>IF(B488="", "", 'Lighting Inventory'!AM496)</f>
        <v/>
      </c>
      <c r="AL488" s="26" t="str">
        <f>IF(B488="", "", 'Lighting Inventory'!AN496)</f>
        <v/>
      </c>
      <c r="AM488" s="26" t="str">
        <f t="shared" si="24"/>
        <v/>
      </c>
      <c r="AN488" s="26" t="str">
        <f>IF(B488="","",IF('Lighting Inventory'!AV496="","Prescribed",'Lighting Inventory'!AV496))</f>
        <v/>
      </c>
      <c r="AO488" s="66" t="str">
        <f>IF(B488="", "", 'Lighting Inventory'!AX496)</f>
        <v/>
      </c>
      <c r="AP488" s="67" t="str">
        <f>IF(B488="", "", 'Lighting Inventory'!AZ496)</f>
        <v/>
      </c>
      <c r="AQ488" s="67" t="str">
        <f>IF(B488="", "", 'Lighting Inventory'!BA496)</f>
        <v/>
      </c>
      <c r="AR488" s="67" t="str">
        <f>IF(B488="", "", 'Lighting Inventory'!BB496)</f>
        <v/>
      </c>
      <c r="AS488" s="67" t="str">
        <f>IF(B488="", "", 'Lighting Inventory'!BC496)</f>
        <v/>
      </c>
      <c r="AT488" s="67" t="str">
        <f>IF(B488="", "", 'Lighting Inventory'!BD496)</f>
        <v/>
      </c>
      <c r="AU488" s="67" t="str">
        <f>IF(B488="", "", 'Lighting Inventory'!BE496)</f>
        <v/>
      </c>
      <c r="AV488" s="67" t="str">
        <f>IF(B488="", "", 'Lighting Inventory'!BE496)</f>
        <v/>
      </c>
      <c r="AW488" s="67" t="str">
        <f>IF(B488="", "", 'Lighting Inventory'!BF496)</f>
        <v/>
      </c>
      <c r="AX488" s="67" t="str">
        <f>IF(B488="", "", 'Lighting Inventory'!BF496)</f>
        <v/>
      </c>
      <c r="AY488" s="65" t="str">
        <f t="shared" si="25"/>
        <v/>
      </c>
      <c r="AZ488" s="65" t="str">
        <f>IF(B488="", "", 'Lighting Inventory'!BJ496)</f>
        <v/>
      </c>
      <c r="BA488" s="65" t="str">
        <f>IF(B488="", "", 'Lighting Inventory'!BM496)</f>
        <v/>
      </c>
      <c r="BB488" s="65" t="str">
        <f>IF(B488="","",SUM('Lighting Inventory'!BP496:BP496))</f>
        <v/>
      </c>
      <c r="BC488" s="67" t="str">
        <f>IF(OR(AE488="", B488=""),"", 'Lighting Inventory'!GR496)</f>
        <v/>
      </c>
      <c r="BD488" s="67" t="str">
        <f>IFERROR(IF(B488="", "", 'Lighting Inventory'!AF496)*AD488," ")</f>
        <v xml:space="preserve"> </v>
      </c>
      <c r="BE488" s="67"/>
      <c r="BF488" s="67"/>
    </row>
    <row r="489" spans="1:58" x14ac:dyDescent="0.25">
      <c r="A489" s="26" t="str">
        <f>IF(B489="", "", 'Lookup Tables'!AW490)</f>
        <v/>
      </c>
      <c r="B489" s="26" t="str">
        <f>IF(OR('Lighting Inventory'!Y497="", 'Lighting Inventory'!V497="No Change"),"", 'Lighting Inventory'!Y497)</f>
        <v/>
      </c>
      <c r="C489" s="26" t="str">
        <f>IF(B489="", "", IF('Lighting Inventory'!Y497='Lookup Tables'!$Y$32, 'Lighting Inventory'!AJ497, IF(AD489=0, R489, AD489)))</f>
        <v/>
      </c>
      <c r="D489" s="26" t="str">
        <f>IF(B489="", "", 'General Information'!$F$14)</f>
        <v/>
      </c>
      <c r="E489" s="26" t="str">
        <f t="shared" si="23"/>
        <v/>
      </c>
      <c r="F489" s="26" t="str">
        <f>IF(B489="", "", CONCATENATE('General Information'!$F$9, " - ", 'General Information'!$F$14))</f>
        <v/>
      </c>
      <c r="G489" s="26" t="str">
        <f>IF(B489="", "", 'General Information'!$F$15)</f>
        <v/>
      </c>
      <c r="H489" s="26" t="str">
        <f>IF(B489="", "", IF(VLOOKUP(B489, 'Lookup Tables'!$Y$18:$AA$34, 2, FALSE)="Traffic", VLOOKUP('Lighting Inventory'!W497, 'Lookup Tables'!#REF!, 11, FALSE), VLOOKUP(B489, 'Lookup Tables'!$Y$18:$AA$34, 2, FALSE)))</f>
        <v/>
      </c>
      <c r="I489" s="26" t="str">
        <f>IF(B489="", "", CONCATENATE(D489, 'Data Export'!A489))</f>
        <v/>
      </c>
      <c r="J489" s="26" t="str">
        <f>IF(B489="", "", 'Lookup Tables'!$B$1)</f>
        <v/>
      </c>
      <c r="K489" s="26" t="str">
        <f>IF(B489="", "", 'Lighting Inventory'!B497)</f>
        <v/>
      </c>
      <c r="L489" s="26" t="str">
        <f>IF(B489="", "", 'Lighting Inventory'!C497)</f>
        <v/>
      </c>
      <c r="M489" s="26" t="str">
        <f>IF(B489="", "",'Lighting Inventory'!D497)</f>
        <v/>
      </c>
      <c r="N489" s="26" t="str">
        <f>IF(B489="", "",'Lighting Inventory'!E497)</f>
        <v/>
      </c>
      <c r="O489" s="26" t="str">
        <f>IF(B489="", "", 'Lighting Inventory'!F497)</f>
        <v/>
      </c>
      <c r="P489" s="26" t="str">
        <f>IF(B489="", "", 'Lighting Inventory'!G497)</f>
        <v/>
      </c>
      <c r="Q489" s="26" t="str">
        <f>IF(B489="", "", 'Lighting Inventory'!H497)</f>
        <v/>
      </c>
      <c r="R489" s="26" t="str">
        <f>IF(B489="", "", 'Lighting Inventory'!I497)</f>
        <v/>
      </c>
      <c r="S489" s="26" t="str">
        <f>IF(B489="", "", 'Lighting Inventory'!J497)</f>
        <v/>
      </c>
      <c r="T489" s="26" t="str">
        <f>IFERROR(IF(B489="","",VLOOKUP(S489,'Fixture Identities'!$A$7:$G$1023,5,FALSE)), "New Construction")</f>
        <v/>
      </c>
      <c r="U489" s="26" t="str">
        <f>IFERROR(IF(B489="", "", IF(K489="New Construction", "NC", IF(VLOOKUP(S489, 'Fixture Identities'!$A$7:$I$1023,3, FALSE)="T12 Linear Fluorescent", VLOOKUP(S489, 'Fixture Identities'!$A$7:$K$1012, 11, FALSE), S489))), "")</f>
        <v/>
      </c>
      <c r="V489" s="26" t="str">
        <f>IFERROR(IF(OR(B489="", U489=0), "", VLOOKUP(U489, 'Fixture Identities'!$A$7:$G$1023, 5, FALSE)), "")</f>
        <v/>
      </c>
      <c r="W489" s="26" t="str">
        <f>IF(B489="", "",'Lighting Inventory'!K497)</f>
        <v/>
      </c>
      <c r="X489" s="65" t="str">
        <f>IF(B489="", "", 'Lighting Inventory'!L497)</f>
        <v/>
      </c>
      <c r="Y489" s="26" t="str">
        <f>IF(B489="", "", IF('Lighting Inventory'!M497="", "Light Switch",'Lighting Inventory'!M497))</f>
        <v/>
      </c>
      <c r="Z489" s="26" t="str">
        <f>IF(OR(K489="Retrofit", B489=""), "", 'Lighting Inventory'!N497)</f>
        <v/>
      </c>
      <c r="AA489" s="26" t="str">
        <f>IF(OR(Z489="",B489=""), "", 'Lighting Inventory'!O497)</f>
        <v/>
      </c>
      <c r="AB489" s="26" t="str">
        <f>IF(B489="", "", 'Lighting Inventory'!P497)</f>
        <v/>
      </c>
      <c r="AC489" s="96" t="str">
        <f>IF(B489="", "", 'Lighting Inventory'!R497)</f>
        <v/>
      </c>
      <c r="AD489" s="26" t="str">
        <f>IF(B489="", "", 'Lighting Inventory'!S497)</f>
        <v/>
      </c>
      <c r="AE489" s="26" t="str">
        <f>IF(B489="", "", 'Lighting Inventory'!V497)</f>
        <v/>
      </c>
      <c r="AF489" s="26" t="str">
        <f>IF(B489="", "", 'Lighting Inventory'!W497)</f>
        <v/>
      </c>
      <c r="AG489" s="26" t="str">
        <f>IF(OR(AF489="", B489=""), "", IF(AE489="Custom", "0", VLOOKUP(AF489, 'Lookup Tables'!$AI$6:$AP$102, 8, FALSE)))</f>
        <v/>
      </c>
      <c r="AH489" s="26" t="str">
        <f>IF(B489="", "", 'Lighting Inventory'!AD497)</f>
        <v/>
      </c>
      <c r="AI489" s="26" t="str">
        <f>IF(OR('Lighting Inventory'!AK497="", B489=""), "", 'Lighting Inventory'!AK497)</f>
        <v/>
      </c>
      <c r="AJ489" s="66" t="str">
        <f>IF(B489="", "", 'Lighting Inventory'!AL497)</f>
        <v/>
      </c>
      <c r="AK489" s="65" t="str">
        <f>IF(B489="", "", 'Lighting Inventory'!AM497)</f>
        <v/>
      </c>
      <c r="AL489" s="26" t="str">
        <f>IF(B489="", "", 'Lighting Inventory'!AN497)</f>
        <v/>
      </c>
      <c r="AM489" s="26" t="str">
        <f t="shared" si="24"/>
        <v/>
      </c>
      <c r="AN489" s="26" t="str">
        <f>IF(B489="","",IF('Lighting Inventory'!AV497="","Prescribed",'Lighting Inventory'!AV497))</f>
        <v/>
      </c>
      <c r="AO489" s="66" t="str">
        <f>IF(B489="", "", 'Lighting Inventory'!AX497)</f>
        <v/>
      </c>
      <c r="AP489" s="67" t="str">
        <f>IF(B489="", "", 'Lighting Inventory'!AZ497)</f>
        <v/>
      </c>
      <c r="AQ489" s="67" t="str">
        <f>IF(B489="", "", 'Lighting Inventory'!BA497)</f>
        <v/>
      </c>
      <c r="AR489" s="67" t="str">
        <f>IF(B489="", "", 'Lighting Inventory'!BB497)</f>
        <v/>
      </c>
      <c r="AS489" s="67" t="str">
        <f>IF(B489="", "", 'Lighting Inventory'!BC497)</f>
        <v/>
      </c>
      <c r="AT489" s="67" t="str">
        <f>IF(B489="", "", 'Lighting Inventory'!BD497)</f>
        <v/>
      </c>
      <c r="AU489" s="67" t="str">
        <f>IF(B489="", "", 'Lighting Inventory'!BE497)</f>
        <v/>
      </c>
      <c r="AV489" s="67" t="str">
        <f>IF(B489="", "", 'Lighting Inventory'!BE497)</f>
        <v/>
      </c>
      <c r="AW489" s="67" t="str">
        <f>IF(B489="", "", 'Lighting Inventory'!BF497)</f>
        <v/>
      </c>
      <c r="AX489" s="67" t="str">
        <f>IF(B489="", "", 'Lighting Inventory'!BF497)</f>
        <v/>
      </c>
      <c r="AY489" s="65" t="str">
        <f t="shared" si="25"/>
        <v/>
      </c>
      <c r="AZ489" s="65" t="str">
        <f>IF(B489="", "", 'Lighting Inventory'!BJ497)</f>
        <v/>
      </c>
      <c r="BA489" s="65" t="str">
        <f>IF(B489="", "", 'Lighting Inventory'!BM497)</f>
        <v/>
      </c>
      <c r="BB489" s="65" t="str">
        <f>IF(B489="","",SUM('Lighting Inventory'!BP497:BP497))</f>
        <v/>
      </c>
      <c r="BC489" s="67" t="str">
        <f>IF(OR(AE489="", B489=""),"", 'Lighting Inventory'!GR497)</f>
        <v/>
      </c>
      <c r="BD489" s="67" t="str">
        <f>IFERROR(IF(B489="", "", 'Lighting Inventory'!AF497)*AD489," ")</f>
        <v xml:space="preserve"> </v>
      </c>
      <c r="BE489" s="67"/>
      <c r="BF489" s="67"/>
    </row>
    <row r="490" spans="1:58" x14ac:dyDescent="0.25">
      <c r="A490" s="26" t="str">
        <f>IF(B490="", "", 'Lookup Tables'!AW491)</f>
        <v/>
      </c>
      <c r="B490" s="26" t="str">
        <f>IF(OR('Lighting Inventory'!Y498="", 'Lighting Inventory'!V498="No Change"),"", 'Lighting Inventory'!Y498)</f>
        <v/>
      </c>
      <c r="C490" s="26" t="str">
        <f>IF(B490="", "", IF('Lighting Inventory'!Y498='Lookup Tables'!$Y$32, 'Lighting Inventory'!AJ498, IF(AD490=0, R490, AD490)))</f>
        <v/>
      </c>
      <c r="D490" s="26" t="str">
        <f>IF(B490="", "", 'General Information'!$F$14)</f>
        <v/>
      </c>
      <c r="E490" s="26" t="str">
        <f t="shared" si="23"/>
        <v/>
      </c>
      <c r="F490" s="26" t="str">
        <f>IF(B490="", "", CONCATENATE('General Information'!$F$9, " - ", 'General Information'!$F$14))</f>
        <v/>
      </c>
      <c r="G490" s="26" t="str">
        <f>IF(B490="", "", 'General Information'!$F$15)</f>
        <v/>
      </c>
      <c r="H490" s="26" t="str">
        <f>IF(B490="", "", IF(VLOOKUP(B490, 'Lookup Tables'!$Y$18:$AA$34, 2, FALSE)="Traffic", VLOOKUP('Lighting Inventory'!W498, 'Lookup Tables'!#REF!, 11, FALSE), VLOOKUP(B490, 'Lookup Tables'!$Y$18:$AA$34, 2, FALSE)))</f>
        <v/>
      </c>
      <c r="I490" s="26" t="str">
        <f>IF(B490="", "", CONCATENATE(D490, 'Data Export'!A490))</f>
        <v/>
      </c>
      <c r="J490" s="26" t="str">
        <f>IF(B490="", "", 'Lookup Tables'!$B$1)</f>
        <v/>
      </c>
      <c r="K490" s="26" t="str">
        <f>IF(B490="", "", 'Lighting Inventory'!B498)</f>
        <v/>
      </c>
      <c r="L490" s="26" t="str">
        <f>IF(B490="", "", 'Lighting Inventory'!C498)</f>
        <v/>
      </c>
      <c r="M490" s="26" t="str">
        <f>IF(B490="", "",'Lighting Inventory'!D498)</f>
        <v/>
      </c>
      <c r="N490" s="26" t="str">
        <f>IF(B490="", "",'Lighting Inventory'!E498)</f>
        <v/>
      </c>
      <c r="O490" s="26" t="str">
        <f>IF(B490="", "", 'Lighting Inventory'!F498)</f>
        <v/>
      </c>
      <c r="P490" s="26" t="str">
        <f>IF(B490="", "", 'Lighting Inventory'!G498)</f>
        <v/>
      </c>
      <c r="Q490" s="26" t="str">
        <f>IF(B490="", "", 'Lighting Inventory'!H498)</f>
        <v/>
      </c>
      <c r="R490" s="26" t="str">
        <f>IF(B490="", "", 'Lighting Inventory'!I498)</f>
        <v/>
      </c>
      <c r="S490" s="26" t="str">
        <f>IF(B490="", "", 'Lighting Inventory'!J498)</f>
        <v/>
      </c>
      <c r="T490" s="26" t="str">
        <f>IFERROR(IF(B490="","",VLOOKUP(S490,'Fixture Identities'!$A$7:$G$1023,5,FALSE)), "New Construction")</f>
        <v/>
      </c>
      <c r="U490" s="26" t="str">
        <f>IFERROR(IF(B490="", "", IF(K490="New Construction", "NC", IF(VLOOKUP(S490, 'Fixture Identities'!$A$7:$I$1023,3, FALSE)="T12 Linear Fluorescent", VLOOKUP(S490, 'Fixture Identities'!$A$7:$K$1012, 11, FALSE), S490))), "")</f>
        <v/>
      </c>
      <c r="V490" s="26" t="str">
        <f>IFERROR(IF(OR(B490="", U490=0), "", VLOOKUP(U490, 'Fixture Identities'!$A$7:$G$1023, 5, FALSE)), "")</f>
        <v/>
      </c>
      <c r="W490" s="26" t="str">
        <f>IF(B490="", "",'Lighting Inventory'!K498)</f>
        <v/>
      </c>
      <c r="X490" s="65" t="str">
        <f>IF(B490="", "", 'Lighting Inventory'!L498)</f>
        <v/>
      </c>
      <c r="Y490" s="26" t="str">
        <f>IF(B490="", "", IF('Lighting Inventory'!M498="", "Light Switch",'Lighting Inventory'!M498))</f>
        <v/>
      </c>
      <c r="Z490" s="26" t="str">
        <f>IF(OR(K490="Retrofit", B490=""), "", 'Lighting Inventory'!N498)</f>
        <v/>
      </c>
      <c r="AA490" s="26" t="str">
        <f>IF(OR(Z490="",B490=""), "", 'Lighting Inventory'!O498)</f>
        <v/>
      </c>
      <c r="AB490" s="26" t="str">
        <f>IF(B490="", "", 'Lighting Inventory'!P498)</f>
        <v/>
      </c>
      <c r="AC490" s="96" t="str">
        <f>IF(B490="", "", 'Lighting Inventory'!R498)</f>
        <v/>
      </c>
      <c r="AD490" s="26" t="str">
        <f>IF(B490="", "", 'Lighting Inventory'!S498)</f>
        <v/>
      </c>
      <c r="AE490" s="26" t="str">
        <f>IF(B490="", "", 'Lighting Inventory'!V498)</f>
        <v/>
      </c>
      <c r="AF490" s="26" t="str">
        <f>IF(B490="", "", 'Lighting Inventory'!W498)</f>
        <v/>
      </c>
      <c r="AG490" s="26" t="str">
        <f>IF(OR(AF490="", B490=""), "", IF(AE490="Custom", "0", VLOOKUP(AF490, 'Lookup Tables'!$AI$6:$AP$102, 8, FALSE)))</f>
        <v/>
      </c>
      <c r="AH490" s="26" t="str">
        <f>IF(B490="", "", 'Lighting Inventory'!AD498)</f>
        <v/>
      </c>
      <c r="AI490" s="26" t="str">
        <f>IF(OR('Lighting Inventory'!AK498="", B490=""), "", 'Lighting Inventory'!AK498)</f>
        <v/>
      </c>
      <c r="AJ490" s="66" t="str">
        <f>IF(B490="", "", 'Lighting Inventory'!AL498)</f>
        <v/>
      </c>
      <c r="AK490" s="65" t="str">
        <f>IF(B490="", "", 'Lighting Inventory'!AM498)</f>
        <v/>
      </c>
      <c r="AL490" s="26" t="str">
        <f>IF(B490="", "", 'Lighting Inventory'!AN498)</f>
        <v/>
      </c>
      <c r="AM490" s="26" t="str">
        <f t="shared" si="24"/>
        <v/>
      </c>
      <c r="AN490" s="26" t="str">
        <f>IF(B490="","",IF('Lighting Inventory'!AV498="","Prescribed",'Lighting Inventory'!AV498))</f>
        <v/>
      </c>
      <c r="AO490" s="66" t="str">
        <f>IF(B490="", "", 'Lighting Inventory'!AX498)</f>
        <v/>
      </c>
      <c r="AP490" s="67" t="str">
        <f>IF(B490="", "", 'Lighting Inventory'!AZ498)</f>
        <v/>
      </c>
      <c r="AQ490" s="67" t="str">
        <f>IF(B490="", "", 'Lighting Inventory'!BA498)</f>
        <v/>
      </c>
      <c r="AR490" s="67" t="str">
        <f>IF(B490="", "", 'Lighting Inventory'!BB498)</f>
        <v/>
      </c>
      <c r="AS490" s="67" t="str">
        <f>IF(B490="", "", 'Lighting Inventory'!BC498)</f>
        <v/>
      </c>
      <c r="AT490" s="67" t="str">
        <f>IF(B490="", "", 'Lighting Inventory'!BD498)</f>
        <v/>
      </c>
      <c r="AU490" s="67" t="str">
        <f>IF(B490="", "", 'Lighting Inventory'!BE498)</f>
        <v/>
      </c>
      <c r="AV490" s="67" t="str">
        <f>IF(B490="", "", 'Lighting Inventory'!BE498)</f>
        <v/>
      </c>
      <c r="AW490" s="67" t="str">
        <f>IF(B490="", "", 'Lighting Inventory'!BF498)</f>
        <v/>
      </c>
      <c r="AX490" s="67" t="str">
        <f>IF(B490="", "", 'Lighting Inventory'!BF498)</f>
        <v/>
      </c>
      <c r="AY490" s="65" t="str">
        <f t="shared" si="25"/>
        <v/>
      </c>
      <c r="AZ490" s="65" t="str">
        <f>IF(B490="", "", 'Lighting Inventory'!BJ498)</f>
        <v/>
      </c>
      <c r="BA490" s="65" t="str">
        <f>IF(B490="", "", 'Lighting Inventory'!BM498)</f>
        <v/>
      </c>
      <c r="BB490" s="65" t="str">
        <f>IF(B490="","",SUM('Lighting Inventory'!BP498:BP498))</f>
        <v/>
      </c>
      <c r="BC490" s="67" t="str">
        <f>IF(OR(AE490="", B490=""),"", 'Lighting Inventory'!GR498)</f>
        <v/>
      </c>
      <c r="BD490" s="67" t="str">
        <f>IFERROR(IF(B490="", "", 'Lighting Inventory'!AF498)*AD490," ")</f>
        <v xml:space="preserve"> </v>
      </c>
      <c r="BE490" s="67"/>
      <c r="BF490" s="67"/>
    </row>
    <row r="491" spans="1:58" x14ac:dyDescent="0.25">
      <c r="A491" s="26" t="str">
        <f>IF(B491="", "", 'Lookup Tables'!AW492)</f>
        <v/>
      </c>
      <c r="B491" s="26" t="str">
        <f>IF(OR('Lighting Inventory'!Y499="", 'Lighting Inventory'!V499="No Change"),"", 'Lighting Inventory'!Y499)</f>
        <v/>
      </c>
      <c r="C491" s="26" t="str">
        <f>IF(B491="", "", IF('Lighting Inventory'!Y499='Lookup Tables'!$Y$32, 'Lighting Inventory'!AJ499, IF(AD491=0, R491, AD491)))</f>
        <v/>
      </c>
      <c r="D491" s="26" t="str">
        <f>IF(B491="", "", 'General Information'!$F$14)</f>
        <v/>
      </c>
      <c r="E491" s="26" t="str">
        <f t="shared" si="23"/>
        <v/>
      </c>
      <c r="F491" s="26" t="str">
        <f>IF(B491="", "", CONCATENATE('General Information'!$F$9, " - ", 'General Information'!$F$14))</f>
        <v/>
      </c>
      <c r="G491" s="26" t="str">
        <f>IF(B491="", "", 'General Information'!$F$15)</f>
        <v/>
      </c>
      <c r="H491" s="26" t="str">
        <f>IF(B491="", "", IF(VLOOKUP(B491, 'Lookup Tables'!$Y$18:$AA$34, 2, FALSE)="Traffic", VLOOKUP('Lighting Inventory'!W499, 'Lookup Tables'!#REF!, 11, FALSE), VLOOKUP(B491, 'Lookup Tables'!$Y$18:$AA$34, 2, FALSE)))</f>
        <v/>
      </c>
      <c r="I491" s="26" t="str">
        <f>IF(B491="", "", CONCATENATE(D491, 'Data Export'!A491))</f>
        <v/>
      </c>
      <c r="J491" s="26" t="str">
        <f>IF(B491="", "", 'Lookup Tables'!$B$1)</f>
        <v/>
      </c>
      <c r="K491" s="26" t="str">
        <f>IF(B491="", "", 'Lighting Inventory'!B499)</f>
        <v/>
      </c>
      <c r="L491" s="26" t="str">
        <f>IF(B491="", "", 'Lighting Inventory'!C499)</f>
        <v/>
      </c>
      <c r="M491" s="26" t="str">
        <f>IF(B491="", "",'Lighting Inventory'!D499)</f>
        <v/>
      </c>
      <c r="N491" s="26" t="str">
        <f>IF(B491="", "",'Lighting Inventory'!E499)</f>
        <v/>
      </c>
      <c r="O491" s="26" t="str">
        <f>IF(B491="", "", 'Lighting Inventory'!F499)</f>
        <v/>
      </c>
      <c r="P491" s="26" t="str">
        <f>IF(B491="", "", 'Lighting Inventory'!G499)</f>
        <v/>
      </c>
      <c r="Q491" s="26" t="str">
        <f>IF(B491="", "", 'Lighting Inventory'!H499)</f>
        <v/>
      </c>
      <c r="R491" s="26" t="str">
        <f>IF(B491="", "", 'Lighting Inventory'!I499)</f>
        <v/>
      </c>
      <c r="S491" s="26" t="str">
        <f>IF(B491="", "", 'Lighting Inventory'!J499)</f>
        <v/>
      </c>
      <c r="T491" s="26" t="str">
        <f>IFERROR(IF(B491="","",VLOOKUP(S491,'Fixture Identities'!$A$7:$G$1023,5,FALSE)), "New Construction")</f>
        <v/>
      </c>
      <c r="U491" s="26" t="str">
        <f>IFERROR(IF(B491="", "", IF(K491="New Construction", "NC", IF(VLOOKUP(S491, 'Fixture Identities'!$A$7:$I$1023,3, FALSE)="T12 Linear Fluorescent", VLOOKUP(S491, 'Fixture Identities'!$A$7:$K$1012, 11, FALSE), S491))), "")</f>
        <v/>
      </c>
      <c r="V491" s="26" t="str">
        <f>IFERROR(IF(OR(B491="", U491=0), "", VLOOKUP(U491, 'Fixture Identities'!$A$7:$G$1023, 5, FALSE)), "")</f>
        <v/>
      </c>
      <c r="W491" s="26" t="str">
        <f>IF(B491="", "",'Lighting Inventory'!K499)</f>
        <v/>
      </c>
      <c r="X491" s="65" t="str">
        <f>IF(B491="", "", 'Lighting Inventory'!L499)</f>
        <v/>
      </c>
      <c r="Y491" s="26" t="str">
        <f>IF(B491="", "", IF('Lighting Inventory'!M499="", "Light Switch",'Lighting Inventory'!M499))</f>
        <v/>
      </c>
      <c r="Z491" s="26" t="str">
        <f>IF(OR(K491="Retrofit", B491=""), "", 'Lighting Inventory'!N499)</f>
        <v/>
      </c>
      <c r="AA491" s="26" t="str">
        <f>IF(OR(Z491="",B491=""), "", 'Lighting Inventory'!O499)</f>
        <v/>
      </c>
      <c r="AB491" s="26" t="str">
        <f>IF(B491="", "", 'Lighting Inventory'!P499)</f>
        <v/>
      </c>
      <c r="AC491" s="96" t="str">
        <f>IF(B491="", "", 'Lighting Inventory'!R499)</f>
        <v/>
      </c>
      <c r="AD491" s="26" t="str">
        <f>IF(B491="", "", 'Lighting Inventory'!S499)</f>
        <v/>
      </c>
      <c r="AE491" s="26" t="str">
        <f>IF(B491="", "", 'Lighting Inventory'!V499)</f>
        <v/>
      </c>
      <c r="AF491" s="26" t="str">
        <f>IF(B491="", "", 'Lighting Inventory'!W499)</f>
        <v/>
      </c>
      <c r="AG491" s="26" t="str">
        <f>IF(OR(AF491="", B491=""), "", IF(AE491="Custom", "0", VLOOKUP(AF491, 'Lookup Tables'!$AI$6:$AP$102, 8, FALSE)))</f>
        <v/>
      </c>
      <c r="AH491" s="26" t="str">
        <f>IF(B491="", "", 'Lighting Inventory'!AD499)</f>
        <v/>
      </c>
      <c r="AI491" s="26" t="str">
        <f>IF(OR('Lighting Inventory'!AK499="", B491=""), "", 'Lighting Inventory'!AK499)</f>
        <v/>
      </c>
      <c r="AJ491" s="66" t="str">
        <f>IF(B491="", "", 'Lighting Inventory'!AL499)</f>
        <v/>
      </c>
      <c r="AK491" s="65" t="str">
        <f>IF(B491="", "", 'Lighting Inventory'!AM499)</f>
        <v/>
      </c>
      <c r="AL491" s="26" t="str">
        <f>IF(B491="", "", 'Lighting Inventory'!AN499)</f>
        <v/>
      </c>
      <c r="AM491" s="26" t="str">
        <f t="shared" si="24"/>
        <v/>
      </c>
      <c r="AN491" s="26" t="str">
        <f>IF(B491="","",IF('Lighting Inventory'!AV499="","Prescribed",'Lighting Inventory'!AV499))</f>
        <v/>
      </c>
      <c r="AO491" s="66" t="str">
        <f>IF(B491="", "", 'Lighting Inventory'!AX499)</f>
        <v/>
      </c>
      <c r="AP491" s="67" t="str">
        <f>IF(B491="", "", 'Lighting Inventory'!AZ499)</f>
        <v/>
      </c>
      <c r="AQ491" s="67" t="str">
        <f>IF(B491="", "", 'Lighting Inventory'!BA499)</f>
        <v/>
      </c>
      <c r="AR491" s="67" t="str">
        <f>IF(B491="", "", 'Lighting Inventory'!BB499)</f>
        <v/>
      </c>
      <c r="AS491" s="67" t="str">
        <f>IF(B491="", "", 'Lighting Inventory'!BC499)</f>
        <v/>
      </c>
      <c r="AT491" s="67" t="str">
        <f>IF(B491="", "", 'Lighting Inventory'!BD499)</f>
        <v/>
      </c>
      <c r="AU491" s="67" t="str">
        <f>IF(B491="", "", 'Lighting Inventory'!BE499)</f>
        <v/>
      </c>
      <c r="AV491" s="67" t="str">
        <f>IF(B491="", "", 'Lighting Inventory'!BE499)</f>
        <v/>
      </c>
      <c r="AW491" s="67" t="str">
        <f>IF(B491="", "", 'Lighting Inventory'!BF499)</f>
        <v/>
      </c>
      <c r="AX491" s="67" t="str">
        <f>IF(B491="", "", 'Lighting Inventory'!BF499)</f>
        <v/>
      </c>
      <c r="AY491" s="65" t="str">
        <f t="shared" si="25"/>
        <v/>
      </c>
      <c r="AZ491" s="65" t="str">
        <f>IF(B491="", "", 'Lighting Inventory'!BJ499)</f>
        <v/>
      </c>
      <c r="BA491" s="65" t="str">
        <f>IF(B491="", "", 'Lighting Inventory'!BM499)</f>
        <v/>
      </c>
      <c r="BB491" s="65" t="str">
        <f>IF(B491="","",SUM('Lighting Inventory'!BP499:BP499))</f>
        <v/>
      </c>
      <c r="BC491" s="67" t="str">
        <f>IF(OR(AE491="", B491=""),"", 'Lighting Inventory'!GR499)</f>
        <v/>
      </c>
      <c r="BD491" s="67" t="str">
        <f>IFERROR(IF(B491="", "", 'Lighting Inventory'!AF499)*AD491," ")</f>
        <v xml:space="preserve"> </v>
      </c>
      <c r="BE491" s="67"/>
      <c r="BF491" s="67"/>
    </row>
    <row r="492" spans="1:58" x14ac:dyDescent="0.25">
      <c r="A492" s="26" t="str">
        <f>IF(B492="", "", 'Lookup Tables'!AW493)</f>
        <v/>
      </c>
      <c r="B492" s="26" t="str">
        <f>IF(OR('Lighting Inventory'!Y500="", 'Lighting Inventory'!V500="No Change"),"", 'Lighting Inventory'!Y500)</f>
        <v/>
      </c>
      <c r="C492" s="26" t="str">
        <f>IF(B492="", "", IF('Lighting Inventory'!Y500='Lookup Tables'!$Y$32, 'Lighting Inventory'!AJ500, IF(AD492=0, R492, AD492)))</f>
        <v/>
      </c>
      <c r="D492" s="26" t="str">
        <f>IF(B492="", "", 'General Information'!$F$14)</f>
        <v/>
      </c>
      <c r="E492" s="26" t="str">
        <f t="shared" si="23"/>
        <v/>
      </c>
      <c r="F492" s="26" t="str">
        <f>IF(B492="", "", CONCATENATE('General Information'!$F$9, " - ", 'General Information'!$F$14))</f>
        <v/>
      </c>
      <c r="G492" s="26" t="str">
        <f>IF(B492="", "", 'General Information'!$F$15)</f>
        <v/>
      </c>
      <c r="H492" s="26" t="str">
        <f>IF(B492="", "", IF(VLOOKUP(B492, 'Lookup Tables'!$Y$18:$AA$34, 2, FALSE)="Traffic", VLOOKUP('Lighting Inventory'!W500, 'Lookup Tables'!#REF!, 11, FALSE), VLOOKUP(B492, 'Lookup Tables'!$Y$18:$AA$34, 2, FALSE)))</f>
        <v/>
      </c>
      <c r="I492" s="26" t="str">
        <f>IF(B492="", "", CONCATENATE(D492, 'Data Export'!A492))</f>
        <v/>
      </c>
      <c r="J492" s="26" t="str">
        <f>IF(B492="", "", 'Lookup Tables'!$B$1)</f>
        <v/>
      </c>
      <c r="K492" s="26" t="str">
        <f>IF(B492="", "", 'Lighting Inventory'!B500)</f>
        <v/>
      </c>
      <c r="L492" s="26" t="str">
        <f>IF(B492="", "", 'Lighting Inventory'!C500)</f>
        <v/>
      </c>
      <c r="M492" s="26" t="str">
        <f>IF(B492="", "",'Lighting Inventory'!D500)</f>
        <v/>
      </c>
      <c r="N492" s="26" t="str">
        <f>IF(B492="", "",'Lighting Inventory'!E500)</f>
        <v/>
      </c>
      <c r="O492" s="26" t="str">
        <f>IF(B492="", "", 'Lighting Inventory'!F500)</f>
        <v/>
      </c>
      <c r="P492" s="26" t="str">
        <f>IF(B492="", "", 'Lighting Inventory'!G500)</f>
        <v/>
      </c>
      <c r="Q492" s="26" t="str">
        <f>IF(B492="", "", 'Lighting Inventory'!H500)</f>
        <v/>
      </c>
      <c r="R492" s="26" t="str">
        <f>IF(B492="", "", 'Lighting Inventory'!I500)</f>
        <v/>
      </c>
      <c r="S492" s="26" t="str">
        <f>IF(B492="", "", 'Lighting Inventory'!J500)</f>
        <v/>
      </c>
      <c r="T492" s="26" t="str">
        <f>IFERROR(IF(B492="","",VLOOKUP(S492,'Fixture Identities'!$A$7:$G$1023,5,FALSE)), "New Construction")</f>
        <v/>
      </c>
      <c r="U492" s="26" t="str">
        <f>IFERROR(IF(B492="", "", IF(K492="New Construction", "NC", IF(VLOOKUP(S492, 'Fixture Identities'!$A$7:$I$1023,3, FALSE)="T12 Linear Fluorescent", VLOOKUP(S492, 'Fixture Identities'!$A$7:$K$1012, 11, FALSE), S492))), "")</f>
        <v/>
      </c>
      <c r="V492" s="26" t="str">
        <f>IFERROR(IF(OR(B492="", U492=0), "", VLOOKUP(U492, 'Fixture Identities'!$A$7:$G$1023, 5, FALSE)), "")</f>
        <v/>
      </c>
      <c r="W492" s="26" t="str">
        <f>IF(B492="", "",'Lighting Inventory'!K500)</f>
        <v/>
      </c>
      <c r="X492" s="65" t="str">
        <f>IF(B492="", "", 'Lighting Inventory'!L500)</f>
        <v/>
      </c>
      <c r="Y492" s="26" t="str">
        <f>IF(B492="", "", IF('Lighting Inventory'!M500="", "Light Switch",'Lighting Inventory'!M500))</f>
        <v/>
      </c>
      <c r="Z492" s="26" t="str">
        <f>IF(OR(K492="Retrofit", B492=""), "", 'Lighting Inventory'!N500)</f>
        <v/>
      </c>
      <c r="AA492" s="26" t="str">
        <f>IF(OR(Z492="",B492=""), "", 'Lighting Inventory'!O500)</f>
        <v/>
      </c>
      <c r="AB492" s="26" t="str">
        <f>IF(B492="", "", 'Lighting Inventory'!P500)</f>
        <v/>
      </c>
      <c r="AC492" s="96" t="str">
        <f>IF(B492="", "", 'Lighting Inventory'!R500)</f>
        <v/>
      </c>
      <c r="AD492" s="26" t="str">
        <f>IF(B492="", "", 'Lighting Inventory'!S500)</f>
        <v/>
      </c>
      <c r="AE492" s="26" t="str">
        <f>IF(B492="", "", 'Lighting Inventory'!V500)</f>
        <v/>
      </c>
      <c r="AF492" s="26" t="str">
        <f>IF(B492="", "", 'Lighting Inventory'!W500)</f>
        <v/>
      </c>
      <c r="AG492" s="26" t="str">
        <f>IF(OR(AF492="", B492=""), "", IF(AE492="Custom", "0", VLOOKUP(AF492, 'Lookup Tables'!$AI$6:$AP$102, 8, FALSE)))</f>
        <v/>
      </c>
      <c r="AH492" s="26" t="str">
        <f>IF(B492="", "", 'Lighting Inventory'!AD500)</f>
        <v/>
      </c>
      <c r="AI492" s="26" t="str">
        <f>IF(OR('Lighting Inventory'!AK500="", B492=""), "", 'Lighting Inventory'!AK500)</f>
        <v/>
      </c>
      <c r="AJ492" s="66" t="str">
        <f>IF(B492="", "", 'Lighting Inventory'!AL500)</f>
        <v/>
      </c>
      <c r="AK492" s="65" t="str">
        <f>IF(B492="", "", 'Lighting Inventory'!AM500)</f>
        <v/>
      </c>
      <c r="AL492" s="26" t="str">
        <f>IF(B492="", "", 'Lighting Inventory'!AN500)</f>
        <v/>
      </c>
      <c r="AM492" s="26" t="str">
        <f t="shared" si="24"/>
        <v/>
      </c>
      <c r="AN492" s="26" t="str">
        <f>IF(B492="","",IF('Lighting Inventory'!AV500="","Prescribed",'Lighting Inventory'!AV500))</f>
        <v/>
      </c>
      <c r="AO492" s="66" t="str">
        <f>IF(B492="", "", 'Lighting Inventory'!AX500)</f>
        <v/>
      </c>
      <c r="AP492" s="67" t="str">
        <f>IF(B492="", "", 'Lighting Inventory'!AZ500)</f>
        <v/>
      </c>
      <c r="AQ492" s="67" t="str">
        <f>IF(B492="", "", 'Lighting Inventory'!BA500)</f>
        <v/>
      </c>
      <c r="AR492" s="67" t="str">
        <f>IF(B492="", "", 'Lighting Inventory'!BB500)</f>
        <v/>
      </c>
      <c r="AS492" s="67" t="str">
        <f>IF(B492="", "", 'Lighting Inventory'!BC500)</f>
        <v/>
      </c>
      <c r="AT492" s="67" t="str">
        <f>IF(B492="", "", 'Lighting Inventory'!BD500)</f>
        <v/>
      </c>
      <c r="AU492" s="67" t="str">
        <f>IF(B492="", "", 'Lighting Inventory'!BE500)</f>
        <v/>
      </c>
      <c r="AV492" s="67" t="str">
        <f>IF(B492="", "", 'Lighting Inventory'!BE500)</f>
        <v/>
      </c>
      <c r="AW492" s="67" t="str">
        <f>IF(B492="", "", 'Lighting Inventory'!BF500)</f>
        <v/>
      </c>
      <c r="AX492" s="67" t="str">
        <f>IF(B492="", "", 'Lighting Inventory'!BF500)</f>
        <v/>
      </c>
      <c r="AY492" s="65" t="str">
        <f t="shared" si="25"/>
        <v/>
      </c>
      <c r="AZ492" s="65" t="str">
        <f>IF(B492="", "", 'Lighting Inventory'!BJ500)</f>
        <v/>
      </c>
      <c r="BA492" s="65" t="str">
        <f>IF(B492="", "", 'Lighting Inventory'!BM500)</f>
        <v/>
      </c>
      <c r="BB492" s="65" t="str">
        <f>IF(B492="","",SUM('Lighting Inventory'!BP500:BP500))</f>
        <v/>
      </c>
      <c r="BC492" s="67" t="str">
        <f>IF(OR(AE492="", B492=""),"", 'Lighting Inventory'!GR500)</f>
        <v/>
      </c>
      <c r="BD492" s="67" t="str">
        <f>IFERROR(IF(B492="", "", 'Lighting Inventory'!AF500)*AD492," ")</f>
        <v xml:space="preserve"> </v>
      </c>
      <c r="BE492" s="67"/>
      <c r="BF492" s="67"/>
    </row>
    <row r="493" spans="1:58" x14ac:dyDescent="0.25">
      <c r="A493" s="26" t="str">
        <f>IF(B493="", "", 'Lookup Tables'!AW494)</f>
        <v/>
      </c>
      <c r="B493" s="26" t="str">
        <f>IF(OR('Lighting Inventory'!Y501="", 'Lighting Inventory'!V501="No Change"),"", 'Lighting Inventory'!Y501)</f>
        <v/>
      </c>
      <c r="C493" s="26" t="str">
        <f>IF(B493="", "", IF('Lighting Inventory'!Y501='Lookup Tables'!$Y$32, 'Lighting Inventory'!AJ501, IF(AD493=0, R493, AD493)))</f>
        <v/>
      </c>
      <c r="D493" s="26" t="str">
        <f>IF(B493="", "", 'General Information'!$F$14)</f>
        <v/>
      </c>
      <c r="E493" s="26" t="str">
        <f t="shared" si="23"/>
        <v/>
      </c>
      <c r="F493" s="26" t="str">
        <f>IF(B493="", "", CONCATENATE('General Information'!$F$9, " - ", 'General Information'!$F$14))</f>
        <v/>
      </c>
      <c r="G493" s="26" t="str">
        <f>IF(B493="", "", 'General Information'!$F$15)</f>
        <v/>
      </c>
      <c r="H493" s="26" t="str">
        <f>IF(B493="", "", IF(VLOOKUP(B493, 'Lookup Tables'!$Y$18:$AA$34, 2, FALSE)="Traffic", VLOOKUP('Lighting Inventory'!W501, 'Lookup Tables'!#REF!, 11, FALSE), VLOOKUP(B493, 'Lookup Tables'!$Y$18:$AA$34, 2, FALSE)))</f>
        <v/>
      </c>
      <c r="I493" s="26" t="str">
        <f>IF(B493="", "", CONCATENATE(D493, 'Data Export'!A493))</f>
        <v/>
      </c>
      <c r="J493" s="26" t="str">
        <f>IF(B493="", "", 'Lookup Tables'!$B$1)</f>
        <v/>
      </c>
      <c r="K493" s="26" t="str">
        <f>IF(B493="", "", 'Lighting Inventory'!B501)</f>
        <v/>
      </c>
      <c r="L493" s="26" t="str">
        <f>IF(B493="", "", 'Lighting Inventory'!C501)</f>
        <v/>
      </c>
      <c r="M493" s="26" t="str">
        <f>IF(B493="", "",'Lighting Inventory'!D501)</f>
        <v/>
      </c>
      <c r="N493" s="26" t="str">
        <f>IF(B493="", "",'Lighting Inventory'!E501)</f>
        <v/>
      </c>
      <c r="O493" s="26" t="str">
        <f>IF(B493="", "", 'Lighting Inventory'!F501)</f>
        <v/>
      </c>
      <c r="P493" s="26" t="str">
        <f>IF(B493="", "", 'Lighting Inventory'!G501)</f>
        <v/>
      </c>
      <c r="Q493" s="26" t="str">
        <f>IF(B493="", "", 'Lighting Inventory'!H501)</f>
        <v/>
      </c>
      <c r="R493" s="26" t="str">
        <f>IF(B493="", "", 'Lighting Inventory'!I501)</f>
        <v/>
      </c>
      <c r="S493" s="26" t="str">
        <f>IF(B493="", "", 'Lighting Inventory'!J501)</f>
        <v/>
      </c>
      <c r="T493" s="26" t="str">
        <f>IFERROR(IF(B493="","",VLOOKUP(S493,'Fixture Identities'!$A$7:$G$1023,5,FALSE)), "New Construction")</f>
        <v/>
      </c>
      <c r="U493" s="26" t="str">
        <f>IFERROR(IF(B493="", "", IF(K493="New Construction", "NC", IF(VLOOKUP(S493, 'Fixture Identities'!$A$7:$I$1023,3, FALSE)="T12 Linear Fluorescent", VLOOKUP(S493, 'Fixture Identities'!$A$7:$K$1012, 11, FALSE), S493))), "")</f>
        <v/>
      </c>
      <c r="V493" s="26" t="str">
        <f>IFERROR(IF(OR(B493="", U493=0), "", VLOOKUP(U493, 'Fixture Identities'!$A$7:$G$1023, 5, FALSE)), "")</f>
        <v/>
      </c>
      <c r="W493" s="26" t="str">
        <f>IF(B493="", "",'Lighting Inventory'!K501)</f>
        <v/>
      </c>
      <c r="X493" s="65" t="str">
        <f>IF(B493="", "", 'Lighting Inventory'!L501)</f>
        <v/>
      </c>
      <c r="Y493" s="26" t="str">
        <f>IF(B493="", "", IF('Lighting Inventory'!M501="", "Light Switch",'Lighting Inventory'!M501))</f>
        <v/>
      </c>
      <c r="Z493" s="26" t="str">
        <f>IF(OR(K493="Retrofit", B493=""), "", 'Lighting Inventory'!N501)</f>
        <v/>
      </c>
      <c r="AA493" s="26" t="str">
        <f>IF(OR(Z493="",B493=""), "", 'Lighting Inventory'!O501)</f>
        <v/>
      </c>
      <c r="AB493" s="26" t="str">
        <f>IF(B493="", "", 'Lighting Inventory'!P501)</f>
        <v/>
      </c>
      <c r="AC493" s="96" t="str">
        <f>IF(B493="", "", 'Lighting Inventory'!R501)</f>
        <v/>
      </c>
      <c r="AD493" s="26" t="str">
        <f>IF(B493="", "", 'Lighting Inventory'!S501)</f>
        <v/>
      </c>
      <c r="AE493" s="26" t="str">
        <f>IF(B493="", "", 'Lighting Inventory'!V501)</f>
        <v/>
      </c>
      <c r="AF493" s="26" t="str">
        <f>IF(B493="", "", 'Lighting Inventory'!W501)</f>
        <v/>
      </c>
      <c r="AG493" s="26" t="str">
        <f>IF(OR(AF493="", B493=""), "", IF(AE493="Custom", "0", VLOOKUP(AF493, 'Lookup Tables'!$AI$6:$AP$102, 8, FALSE)))</f>
        <v/>
      </c>
      <c r="AH493" s="26" t="str">
        <f>IF(B493="", "", 'Lighting Inventory'!AD501)</f>
        <v/>
      </c>
      <c r="AI493" s="26" t="str">
        <f>IF(OR('Lighting Inventory'!AK501="", B493=""), "", 'Lighting Inventory'!AK501)</f>
        <v/>
      </c>
      <c r="AJ493" s="66" t="str">
        <f>IF(B493="", "", 'Lighting Inventory'!AL501)</f>
        <v/>
      </c>
      <c r="AK493" s="65" t="str">
        <f>IF(B493="", "", 'Lighting Inventory'!AM501)</f>
        <v/>
      </c>
      <c r="AL493" s="26" t="str">
        <f>IF(B493="", "", 'Lighting Inventory'!AN501)</f>
        <v/>
      </c>
      <c r="AM493" s="26" t="str">
        <f t="shared" si="24"/>
        <v/>
      </c>
      <c r="AN493" s="26" t="str">
        <f>IF(B493="","",IF('Lighting Inventory'!AV501="","Prescribed",'Lighting Inventory'!AV501))</f>
        <v/>
      </c>
      <c r="AO493" s="66" t="str">
        <f>IF(B493="", "", 'Lighting Inventory'!AX501)</f>
        <v/>
      </c>
      <c r="AP493" s="67" t="str">
        <f>IF(B493="", "", 'Lighting Inventory'!AZ501)</f>
        <v/>
      </c>
      <c r="AQ493" s="67" t="str">
        <f>IF(B493="", "", 'Lighting Inventory'!BA501)</f>
        <v/>
      </c>
      <c r="AR493" s="67" t="str">
        <f>IF(B493="", "", 'Lighting Inventory'!BB501)</f>
        <v/>
      </c>
      <c r="AS493" s="67" t="str">
        <f>IF(B493="", "", 'Lighting Inventory'!BC501)</f>
        <v/>
      </c>
      <c r="AT493" s="67" t="str">
        <f>IF(B493="", "", 'Lighting Inventory'!BD501)</f>
        <v/>
      </c>
      <c r="AU493" s="67" t="str">
        <f>IF(B493="", "", 'Lighting Inventory'!BE501)</f>
        <v/>
      </c>
      <c r="AV493" s="67" t="str">
        <f>IF(B493="", "", 'Lighting Inventory'!BE501)</f>
        <v/>
      </c>
      <c r="AW493" s="67" t="str">
        <f>IF(B493="", "", 'Lighting Inventory'!BF501)</f>
        <v/>
      </c>
      <c r="AX493" s="67" t="str">
        <f>IF(B493="", "", 'Lighting Inventory'!BF501)</f>
        <v/>
      </c>
      <c r="AY493" s="65" t="str">
        <f t="shared" si="25"/>
        <v/>
      </c>
      <c r="AZ493" s="65" t="str">
        <f>IF(B493="", "", 'Lighting Inventory'!BJ501)</f>
        <v/>
      </c>
      <c r="BA493" s="65" t="str">
        <f>IF(B493="", "", 'Lighting Inventory'!BM501)</f>
        <v/>
      </c>
      <c r="BB493" s="65" t="str">
        <f>IF(B493="","",SUM('Lighting Inventory'!BP501:BP501))</f>
        <v/>
      </c>
      <c r="BC493" s="67" t="str">
        <f>IF(OR(AE493="", B493=""),"", 'Lighting Inventory'!GR501)</f>
        <v/>
      </c>
      <c r="BD493" s="67" t="str">
        <f>IFERROR(IF(B493="", "", 'Lighting Inventory'!AF501)*AD493," ")</f>
        <v xml:space="preserve"> </v>
      </c>
      <c r="BE493" s="67"/>
      <c r="BF493" s="67"/>
    </row>
    <row r="494" spans="1:58" x14ac:dyDescent="0.25">
      <c r="A494" s="26" t="str">
        <f>IF(B494="", "", 'Lookup Tables'!AW495)</f>
        <v/>
      </c>
      <c r="B494" s="26" t="str">
        <f>IF(OR('Lighting Inventory'!Y502="", 'Lighting Inventory'!V502="No Change"),"", 'Lighting Inventory'!Y502)</f>
        <v/>
      </c>
      <c r="C494" s="26" t="str">
        <f>IF(B494="", "", IF('Lighting Inventory'!Y502='Lookup Tables'!$Y$32, 'Lighting Inventory'!AJ502, IF(AD494=0, R494, AD494)))</f>
        <v/>
      </c>
      <c r="D494" s="26" t="str">
        <f>IF(B494="", "", 'General Information'!$F$14)</f>
        <v/>
      </c>
      <c r="E494" s="26" t="str">
        <f t="shared" si="23"/>
        <v/>
      </c>
      <c r="F494" s="26" t="str">
        <f>IF(B494="", "", CONCATENATE('General Information'!$F$9, " - ", 'General Information'!$F$14))</f>
        <v/>
      </c>
      <c r="G494" s="26" t="str">
        <f>IF(B494="", "", 'General Information'!$F$15)</f>
        <v/>
      </c>
      <c r="H494" s="26" t="str">
        <f>IF(B494="", "", IF(VLOOKUP(B494, 'Lookup Tables'!$Y$18:$AA$34, 2, FALSE)="Traffic", VLOOKUP('Lighting Inventory'!W502, 'Lookup Tables'!#REF!, 11, FALSE), VLOOKUP(B494, 'Lookup Tables'!$Y$18:$AA$34, 2, FALSE)))</f>
        <v/>
      </c>
      <c r="I494" s="26" t="str">
        <f>IF(B494="", "", CONCATENATE(D494, 'Data Export'!A494))</f>
        <v/>
      </c>
      <c r="J494" s="26" t="str">
        <f>IF(B494="", "", 'Lookup Tables'!$B$1)</f>
        <v/>
      </c>
      <c r="K494" s="26" t="str">
        <f>IF(B494="", "", 'Lighting Inventory'!B502)</f>
        <v/>
      </c>
      <c r="L494" s="26" t="str">
        <f>IF(B494="", "", 'Lighting Inventory'!C502)</f>
        <v/>
      </c>
      <c r="M494" s="26" t="str">
        <f>IF(B494="", "",'Lighting Inventory'!D502)</f>
        <v/>
      </c>
      <c r="N494" s="26" t="str">
        <f>IF(B494="", "",'Lighting Inventory'!E502)</f>
        <v/>
      </c>
      <c r="O494" s="26" t="str">
        <f>IF(B494="", "", 'Lighting Inventory'!F502)</f>
        <v/>
      </c>
      <c r="P494" s="26" t="str">
        <f>IF(B494="", "", 'Lighting Inventory'!G502)</f>
        <v/>
      </c>
      <c r="Q494" s="26" t="str">
        <f>IF(B494="", "", 'Lighting Inventory'!H502)</f>
        <v/>
      </c>
      <c r="R494" s="26" t="str">
        <f>IF(B494="", "", 'Lighting Inventory'!I502)</f>
        <v/>
      </c>
      <c r="S494" s="26" t="str">
        <f>IF(B494="", "", 'Lighting Inventory'!J502)</f>
        <v/>
      </c>
      <c r="T494" s="26" t="str">
        <f>IFERROR(IF(B494="","",VLOOKUP(S494,'Fixture Identities'!$A$7:$G$1023,5,FALSE)), "New Construction")</f>
        <v/>
      </c>
      <c r="U494" s="26" t="str">
        <f>IFERROR(IF(B494="", "", IF(K494="New Construction", "NC", IF(VLOOKUP(S494, 'Fixture Identities'!$A$7:$I$1023,3, FALSE)="T12 Linear Fluorescent", VLOOKUP(S494, 'Fixture Identities'!$A$7:$K$1012, 11, FALSE), S494))), "")</f>
        <v/>
      </c>
      <c r="V494" s="26" t="str">
        <f>IFERROR(IF(OR(B494="", U494=0), "", VLOOKUP(U494, 'Fixture Identities'!$A$7:$G$1023, 5, FALSE)), "")</f>
        <v/>
      </c>
      <c r="W494" s="26" t="str">
        <f>IF(B494="", "",'Lighting Inventory'!K502)</f>
        <v/>
      </c>
      <c r="X494" s="65" t="str">
        <f>IF(B494="", "", 'Lighting Inventory'!L502)</f>
        <v/>
      </c>
      <c r="Y494" s="26" t="str">
        <f>IF(B494="", "", IF('Lighting Inventory'!M502="", "Light Switch",'Lighting Inventory'!M502))</f>
        <v/>
      </c>
      <c r="Z494" s="26" t="str">
        <f>IF(OR(K494="Retrofit", B494=""), "", 'Lighting Inventory'!N502)</f>
        <v/>
      </c>
      <c r="AA494" s="26" t="str">
        <f>IF(OR(Z494="",B494=""), "", 'Lighting Inventory'!O502)</f>
        <v/>
      </c>
      <c r="AB494" s="26" t="str">
        <f>IF(B494="", "", 'Lighting Inventory'!P502)</f>
        <v/>
      </c>
      <c r="AC494" s="96" t="str">
        <f>IF(B494="", "", 'Lighting Inventory'!R502)</f>
        <v/>
      </c>
      <c r="AD494" s="26" t="str">
        <f>IF(B494="", "", 'Lighting Inventory'!S502)</f>
        <v/>
      </c>
      <c r="AE494" s="26" t="str">
        <f>IF(B494="", "", 'Lighting Inventory'!V502)</f>
        <v/>
      </c>
      <c r="AF494" s="26" t="str">
        <f>IF(B494="", "", 'Lighting Inventory'!W502)</f>
        <v/>
      </c>
      <c r="AG494" s="26" t="str">
        <f>IF(OR(AF494="", B494=""), "", IF(AE494="Custom", "0", VLOOKUP(AF494, 'Lookup Tables'!$AI$6:$AP$102, 8, FALSE)))</f>
        <v/>
      </c>
      <c r="AH494" s="26" t="str">
        <f>IF(B494="", "", 'Lighting Inventory'!AD502)</f>
        <v/>
      </c>
      <c r="AI494" s="26" t="str">
        <f>IF(OR('Lighting Inventory'!AK502="", B494=""), "", 'Lighting Inventory'!AK502)</f>
        <v/>
      </c>
      <c r="AJ494" s="66" t="str">
        <f>IF(B494="", "", 'Lighting Inventory'!AL502)</f>
        <v/>
      </c>
      <c r="AK494" s="65" t="str">
        <f>IF(B494="", "", 'Lighting Inventory'!AM502)</f>
        <v/>
      </c>
      <c r="AL494" s="26" t="str">
        <f>IF(B494="", "", 'Lighting Inventory'!AN502)</f>
        <v/>
      </c>
      <c r="AM494" s="26" t="str">
        <f t="shared" si="24"/>
        <v/>
      </c>
      <c r="AN494" s="26" t="str">
        <f>IF(B494="","",IF('Lighting Inventory'!AV502="","Prescribed",'Lighting Inventory'!AV502))</f>
        <v/>
      </c>
      <c r="AO494" s="66" t="str">
        <f>IF(B494="", "", 'Lighting Inventory'!AX502)</f>
        <v/>
      </c>
      <c r="AP494" s="67" t="str">
        <f>IF(B494="", "", 'Lighting Inventory'!AZ502)</f>
        <v/>
      </c>
      <c r="AQ494" s="67" t="str">
        <f>IF(B494="", "", 'Lighting Inventory'!BA502)</f>
        <v/>
      </c>
      <c r="AR494" s="67" t="str">
        <f>IF(B494="", "", 'Lighting Inventory'!BB502)</f>
        <v/>
      </c>
      <c r="AS494" s="67" t="str">
        <f>IF(B494="", "", 'Lighting Inventory'!BC502)</f>
        <v/>
      </c>
      <c r="AT494" s="67" t="str">
        <f>IF(B494="", "", 'Lighting Inventory'!BD502)</f>
        <v/>
      </c>
      <c r="AU494" s="67" t="str">
        <f>IF(B494="", "", 'Lighting Inventory'!BE502)</f>
        <v/>
      </c>
      <c r="AV494" s="67" t="str">
        <f>IF(B494="", "", 'Lighting Inventory'!BE502)</f>
        <v/>
      </c>
      <c r="AW494" s="67" t="str">
        <f>IF(B494="", "", 'Lighting Inventory'!BF502)</f>
        <v/>
      </c>
      <c r="AX494" s="67" t="str">
        <f>IF(B494="", "", 'Lighting Inventory'!BF502)</f>
        <v/>
      </c>
      <c r="AY494" s="65" t="str">
        <f t="shared" si="25"/>
        <v/>
      </c>
      <c r="AZ494" s="65" t="str">
        <f>IF(B494="", "", 'Lighting Inventory'!BJ502)</f>
        <v/>
      </c>
      <c r="BA494" s="65" t="str">
        <f>IF(B494="", "", 'Lighting Inventory'!BM502)</f>
        <v/>
      </c>
      <c r="BB494" s="65" t="str">
        <f>IF(B494="","",SUM('Lighting Inventory'!BP502:BP502))</f>
        <v/>
      </c>
      <c r="BC494" s="67" t="str">
        <f>IF(OR(AE494="", B494=""),"", 'Lighting Inventory'!GR502)</f>
        <v/>
      </c>
      <c r="BD494" s="67" t="str">
        <f>IFERROR(IF(B494="", "", 'Lighting Inventory'!AF502)*AD494," ")</f>
        <v xml:space="preserve"> </v>
      </c>
      <c r="BE494" s="67"/>
      <c r="BF494" s="67"/>
    </row>
    <row r="495" spans="1:58" x14ac:dyDescent="0.25">
      <c r="A495" s="26" t="str">
        <f>IF(B495="", "", 'Lookup Tables'!AW496)</f>
        <v/>
      </c>
      <c r="B495" s="26" t="str">
        <f>IF(OR('Lighting Inventory'!Y503="", 'Lighting Inventory'!V503="No Change"),"", 'Lighting Inventory'!Y503)</f>
        <v/>
      </c>
      <c r="C495" s="26" t="str">
        <f>IF(B495="", "", IF('Lighting Inventory'!Y503='Lookup Tables'!$Y$32, 'Lighting Inventory'!AJ503, IF(AD495=0, R495, AD495)))</f>
        <v/>
      </c>
      <c r="D495" s="26" t="str">
        <f>IF(B495="", "", 'General Information'!$F$14)</f>
        <v/>
      </c>
      <c r="E495" s="26" t="str">
        <f t="shared" si="23"/>
        <v/>
      </c>
      <c r="F495" s="26" t="str">
        <f>IF(B495="", "", CONCATENATE('General Information'!$F$9, " - ", 'General Information'!$F$14))</f>
        <v/>
      </c>
      <c r="G495" s="26" t="str">
        <f>IF(B495="", "", 'General Information'!$F$15)</f>
        <v/>
      </c>
      <c r="H495" s="26" t="str">
        <f>IF(B495="", "", IF(VLOOKUP(B495, 'Lookup Tables'!$Y$18:$AA$34, 2, FALSE)="Traffic", VLOOKUP('Lighting Inventory'!W503, 'Lookup Tables'!#REF!, 11, FALSE), VLOOKUP(B495, 'Lookup Tables'!$Y$18:$AA$34, 2, FALSE)))</f>
        <v/>
      </c>
      <c r="I495" s="26" t="str">
        <f>IF(B495="", "", CONCATENATE(D495, 'Data Export'!A495))</f>
        <v/>
      </c>
      <c r="J495" s="26" t="str">
        <f>IF(B495="", "", 'Lookup Tables'!$B$1)</f>
        <v/>
      </c>
      <c r="K495" s="26" t="str">
        <f>IF(B495="", "", 'Lighting Inventory'!B503)</f>
        <v/>
      </c>
      <c r="L495" s="26" t="str">
        <f>IF(B495="", "", 'Lighting Inventory'!C503)</f>
        <v/>
      </c>
      <c r="M495" s="26" t="str">
        <f>IF(B495="", "",'Lighting Inventory'!D503)</f>
        <v/>
      </c>
      <c r="N495" s="26" t="str">
        <f>IF(B495="", "",'Lighting Inventory'!E503)</f>
        <v/>
      </c>
      <c r="O495" s="26" t="str">
        <f>IF(B495="", "", 'Lighting Inventory'!F503)</f>
        <v/>
      </c>
      <c r="P495" s="26" t="str">
        <f>IF(B495="", "", 'Lighting Inventory'!G503)</f>
        <v/>
      </c>
      <c r="Q495" s="26" t="str">
        <f>IF(B495="", "", 'Lighting Inventory'!H503)</f>
        <v/>
      </c>
      <c r="R495" s="26" t="str">
        <f>IF(B495="", "", 'Lighting Inventory'!I503)</f>
        <v/>
      </c>
      <c r="S495" s="26" t="str">
        <f>IF(B495="", "", 'Lighting Inventory'!J503)</f>
        <v/>
      </c>
      <c r="T495" s="26" t="str">
        <f>IFERROR(IF(B495="","",VLOOKUP(S495,'Fixture Identities'!$A$7:$G$1023,5,FALSE)), "New Construction")</f>
        <v/>
      </c>
      <c r="U495" s="26" t="str">
        <f>IFERROR(IF(B495="", "", IF(K495="New Construction", "NC", IF(VLOOKUP(S495, 'Fixture Identities'!$A$7:$I$1023,3, FALSE)="T12 Linear Fluorescent", VLOOKUP(S495, 'Fixture Identities'!$A$7:$K$1012, 11, FALSE), S495))), "")</f>
        <v/>
      </c>
      <c r="V495" s="26" t="str">
        <f>IFERROR(IF(OR(B495="", U495=0), "", VLOOKUP(U495, 'Fixture Identities'!$A$7:$G$1023, 5, FALSE)), "")</f>
        <v/>
      </c>
      <c r="W495" s="26" t="str">
        <f>IF(B495="", "",'Lighting Inventory'!K503)</f>
        <v/>
      </c>
      <c r="X495" s="65" t="str">
        <f>IF(B495="", "", 'Lighting Inventory'!L503)</f>
        <v/>
      </c>
      <c r="Y495" s="26" t="str">
        <f>IF(B495="", "", IF('Lighting Inventory'!M503="", "Light Switch",'Lighting Inventory'!M503))</f>
        <v/>
      </c>
      <c r="Z495" s="26" t="str">
        <f>IF(OR(K495="Retrofit", B495=""), "", 'Lighting Inventory'!N503)</f>
        <v/>
      </c>
      <c r="AA495" s="26" t="str">
        <f>IF(OR(Z495="",B495=""), "", 'Lighting Inventory'!O503)</f>
        <v/>
      </c>
      <c r="AB495" s="26" t="str">
        <f>IF(B495="", "", 'Lighting Inventory'!P503)</f>
        <v/>
      </c>
      <c r="AC495" s="96" t="str">
        <f>IF(B495="", "", 'Lighting Inventory'!R503)</f>
        <v/>
      </c>
      <c r="AD495" s="26" t="str">
        <f>IF(B495="", "", 'Lighting Inventory'!S503)</f>
        <v/>
      </c>
      <c r="AE495" s="26" t="str">
        <f>IF(B495="", "", 'Lighting Inventory'!V503)</f>
        <v/>
      </c>
      <c r="AF495" s="26" t="str">
        <f>IF(B495="", "", 'Lighting Inventory'!W503)</f>
        <v/>
      </c>
      <c r="AG495" s="26" t="str">
        <f>IF(OR(AF495="", B495=""), "", IF(AE495="Custom", "0", VLOOKUP(AF495, 'Lookup Tables'!$AI$6:$AP$102, 8, FALSE)))</f>
        <v/>
      </c>
      <c r="AH495" s="26" t="str">
        <f>IF(B495="", "", 'Lighting Inventory'!AD503)</f>
        <v/>
      </c>
      <c r="AI495" s="26" t="str">
        <f>IF(OR('Lighting Inventory'!AK503="", B495=""), "", 'Lighting Inventory'!AK503)</f>
        <v/>
      </c>
      <c r="AJ495" s="66" t="str">
        <f>IF(B495="", "", 'Lighting Inventory'!AL503)</f>
        <v/>
      </c>
      <c r="AK495" s="65" t="str">
        <f>IF(B495="", "", 'Lighting Inventory'!AM503)</f>
        <v/>
      </c>
      <c r="AL495" s="26" t="str">
        <f>IF(B495="", "", 'Lighting Inventory'!AN503)</f>
        <v/>
      </c>
      <c r="AM495" s="26" t="str">
        <f t="shared" si="24"/>
        <v/>
      </c>
      <c r="AN495" s="26" t="str">
        <f>IF(B495="","",IF('Lighting Inventory'!AV503="","Prescribed",'Lighting Inventory'!AV503))</f>
        <v/>
      </c>
      <c r="AO495" s="66" t="str">
        <f>IF(B495="", "", 'Lighting Inventory'!AX503)</f>
        <v/>
      </c>
      <c r="AP495" s="67" t="str">
        <f>IF(B495="", "", 'Lighting Inventory'!AZ503)</f>
        <v/>
      </c>
      <c r="AQ495" s="67" t="str">
        <f>IF(B495="", "", 'Lighting Inventory'!BA503)</f>
        <v/>
      </c>
      <c r="AR495" s="67" t="str">
        <f>IF(B495="", "", 'Lighting Inventory'!BB503)</f>
        <v/>
      </c>
      <c r="AS495" s="67" t="str">
        <f>IF(B495="", "", 'Lighting Inventory'!BC503)</f>
        <v/>
      </c>
      <c r="AT495" s="67" t="str">
        <f>IF(B495="", "", 'Lighting Inventory'!BD503)</f>
        <v/>
      </c>
      <c r="AU495" s="67" t="str">
        <f>IF(B495="", "", 'Lighting Inventory'!BE503)</f>
        <v/>
      </c>
      <c r="AV495" s="67" t="str">
        <f>IF(B495="", "", 'Lighting Inventory'!BE503)</f>
        <v/>
      </c>
      <c r="AW495" s="67" t="str">
        <f>IF(B495="", "", 'Lighting Inventory'!BF503)</f>
        <v/>
      </c>
      <c r="AX495" s="67" t="str">
        <f>IF(B495="", "", 'Lighting Inventory'!BF503)</f>
        <v/>
      </c>
      <c r="AY495" s="65" t="str">
        <f t="shared" si="25"/>
        <v/>
      </c>
      <c r="AZ495" s="65" t="str">
        <f>IF(B495="", "", 'Lighting Inventory'!BJ503)</f>
        <v/>
      </c>
      <c r="BA495" s="65" t="str">
        <f>IF(B495="", "", 'Lighting Inventory'!BM503)</f>
        <v/>
      </c>
      <c r="BB495" s="65" t="str">
        <f>IF(B495="","",SUM('Lighting Inventory'!BP503:BP503))</f>
        <v/>
      </c>
      <c r="BC495" s="67" t="str">
        <f>IF(OR(AE495="", B495=""),"", 'Lighting Inventory'!GR503)</f>
        <v/>
      </c>
      <c r="BD495" s="67" t="str">
        <f>IFERROR(IF(B495="", "", 'Lighting Inventory'!AF503)*AD495," ")</f>
        <v xml:space="preserve"> </v>
      </c>
      <c r="BE495" s="67"/>
      <c r="BF495" s="67"/>
    </row>
    <row r="496" spans="1:58" x14ac:dyDescent="0.25">
      <c r="A496" s="26" t="str">
        <f>IF(B496="", "", 'Lookup Tables'!AW497)</f>
        <v/>
      </c>
      <c r="B496" s="26" t="str">
        <f>IF(OR('Lighting Inventory'!Y504="", 'Lighting Inventory'!V504="No Change"),"", 'Lighting Inventory'!Y504)</f>
        <v/>
      </c>
      <c r="C496" s="26" t="str">
        <f>IF(B496="", "", IF('Lighting Inventory'!Y504='Lookup Tables'!$Y$32, 'Lighting Inventory'!AJ504, IF(AD496=0, R496, AD496)))</f>
        <v/>
      </c>
      <c r="D496" s="26" t="str">
        <f>IF(B496="", "", 'General Information'!$F$14)</f>
        <v/>
      </c>
      <c r="E496" s="26" t="str">
        <f t="shared" si="23"/>
        <v/>
      </c>
      <c r="F496" s="26" t="str">
        <f>IF(B496="", "", CONCATENATE('General Information'!$F$9, " - ", 'General Information'!$F$14))</f>
        <v/>
      </c>
      <c r="G496" s="26" t="str">
        <f>IF(B496="", "", 'General Information'!$F$15)</f>
        <v/>
      </c>
      <c r="H496" s="26" t="str">
        <f>IF(B496="", "", IF(VLOOKUP(B496, 'Lookup Tables'!$Y$18:$AA$34, 2, FALSE)="Traffic", VLOOKUP('Lighting Inventory'!W504, 'Lookup Tables'!#REF!, 11, FALSE), VLOOKUP(B496, 'Lookup Tables'!$Y$18:$AA$34, 2, FALSE)))</f>
        <v/>
      </c>
      <c r="I496" s="26" t="str">
        <f>IF(B496="", "", CONCATENATE(D496, 'Data Export'!A496))</f>
        <v/>
      </c>
      <c r="J496" s="26" t="str">
        <f>IF(B496="", "", 'Lookup Tables'!$B$1)</f>
        <v/>
      </c>
      <c r="K496" s="26" t="str">
        <f>IF(B496="", "", 'Lighting Inventory'!B504)</f>
        <v/>
      </c>
      <c r="L496" s="26" t="str">
        <f>IF(B496="", "", 'Lighting Inventory'!C504)</f>
        <v/>
      </c>
      <c r="M496" s="26" t="str">
        <f>IF(B496="", "",'Lighting Inventory'!D504)</f>
        <v/>
      </c>
      <c r="N496" s="26" t="str">
        <f>IF(B496="", "",'Lighting Inventory'!E504)</f>
        <v/>
      </c>
      <c r="O496" s="26" t="str">
        <f>IF(B496="", "", 'Lighting Inventory'!F504)</f>
        <v/>
      </c>
      <c r="P496" s="26" t="str">
        <f>IF(B496="", "", 'Lighting Inventory'!G504)</f>
        <v/>
      </c>
      <c r="Q496" s="26" t="str">
        <f>IF(B496="", "", 'Lighting Inventory'!H504)</f>
        <v/>
      </c>
      <c r="R496" s="26" t="str">
        <f>IF(B496="", "", 'Lighting Inventory'!I504)</f>
        <v/>
      </c>
      <c r="S496" s="26" t="str">
        <f>IF(B496="", "", 'Lighting Inventory'!J504)</f>
        <v/>
      </c>
      <c r="T496" s="26" t="str">
        <f>IFERROR(IF(B496="","",VLOOKUP(S496,'Fixture Identities'!$A$7:$G$1023,5,FALSE)), "New Construction")</f>
        <v/>
      </c>
      <c r="U496" s="26" t="str">
        <f>IFERROR(IF(B496="", "", IF(K496="New Construction", "NC", IF(VLOOKUP(S496, 'Fixture Identities'!$A$7:$I$1023,3, FALSE)="T12 Linear Fluorescent", VLOOKUP(S496, 'Fixture Identities'!$A$7:$K$1012, 11, FALSE), S496))), "")</f>
        <v/>
      </c>
      <c r="V496" s="26" t="str">
        <f>IFERROR(IF(OR(B496="", U496=0), "", VLOOKUP(U496, 'Fixture Identities'!$A$7:$G$1023, 5, FALSE)), "")</f>
        <v/>
      </c>
      <c r="W496" s="26" t="str">
        <f>IF(B496="", "",'Lighting Inventory'!K504)</f>
        <v/>
      </c>
      <c r="X496" s="65" t="str">
        <f>IF(B496="", "", 'Lighting Inventory'!L504)</f>
        <v/>
      </c>
      <c r="Y496" s="26" t="str">
        <f>IF(B496="", "", IF('Lighting Inventory'!M504="", "Light Switch",'Lighting Inventory'!M504))</f>
        <v/>
      </c>
      <c r="Z496" s="26" t="str">
        <f>IF(OR(K496="Retrofit", B496=""), "", 'Lighting Inventory'!N504)</f>
        <v/>
      </c>
      <c r="AA496" s="26" t="str">
        <f>IF(OR(Z496="",B496=""), "", 'Lighting Inventory'!O504)</f>
        <v/>
      </c>
      <c r="AB496" s="26" t="str">
        <f>IF(B496="", "", 'Lighting Inventory'!P504)</f>
        <v/>
      </c>
      <c r="AC496" s="96" t="str">
        <f>IF(B496="", "", 'Lighting Inventory'!R504)</f>
        <v/>
      </c>
      <c r="AD496" s="26" t="str">
        <f>IF(B496="", "", 'Lighting Inventory'!S504)</f>
        <v/>
      </c>
      <c r="AE496" s="26" t="str">
        <f>IF(B496="", "", 'Lighting Inventory'!V504)</f>
        <v/>
      </c>
      <c r="AF496" s="26" t="str">
        <f>IF(B496="", "", 'Lighting Inventory'!W504)</f>
        <v/>
      </c>
      <c r="AG496" s="26" t="str">
        <f>IF(OR(AF496="", B496=""), "", IF(AE496="Custom", "0", VLOOKUP(AF496, 'Lookup Tables'!$AI$6:$AP$102, 8, FALSE)))</f>
        <v/>
      </c>
      <c r="AH496" s="26" t="str">
        <f>IF(B496="", "", 'Lighting Inventory'!AD504)</f>
        <v/>
      </c>
      <c r="AI496" s="26" t="str">
        <f>IF(OR('Lighting Inventory'!AK504="", B496=""), "", 'Lighting Inventory'!AK504)</f>
        <v/>
      </c>
      <c r="AJ496" s="66" t="str">
        <f>IF(B496="", "", 'Lighting Inventory'!AL504)</f>
        <v/>
      </c>
      <c r="AK496" s="65" t="str">
        <f>IF(B496="", "", 'Lighting Inventory'!AM504)</f>
        <v/>
      </c>
      <c r="AL496" s="26" t="str">
        <f>IF(B496="", "", 'Lighting Inventory'!AN504)</f>
        <v/>
      </c>
      <c r="AM496" s="26" t="str">
        <f t="shared" si="24"/>
        <v/>
      </c>
      <c r="AN496" s="26" t="str">
        <f>IF(B496="","",IF('Lighting Inventory'!AV504="","Prescribed",'Lighting Inventory'!AV504))</f>
        <v/>
      </c>
      <c r="AO496" s="66" t="str">
        <f>IF(B496="", "", 'Lighting Inventory'!AX504)</f>
        <v/>
      </c>
      <c r="AP496" s="67" t="str">
        <f>IF(B496="", "", 'Lighting Inventory'!AZ504)</f>
        <v/>
      </c>
      <c r="AQ496" s="67" t="str">
        <f>IF(B496="", "", 'Lighting Inventory'!BA504)</f>
        <v/>
      </c>
      <c r="AR496" s="67" t="str">
        <f>IF(B496="", "", 'Lighting Inventory'!BB504)</f>
        <v/>
      </c>
      <c r="AS496" s="67" t="str">
        <f>IF(B496="", "", 'Lighting Inventory'!BC504)</f>
        <v/>
      </c>
      <c r="AT496" s="67" t="str">
        <f>IF(B496="", "", 'Lighting Inventory'!BD504)</f>
        <v/>
      </c>
      <c r="AU496" s="67" t="str">
        <f>IF(B496="", "", 'Lighting Inventory'!BE504)</f>
        <v/>
      </c>
      <c r="AV496" s="67" t="str">
        <f>IF(B496="", "", 'Lighting Inventory'!BE504)</f>
        <v/>
      </c>
      <c r="AW496" s="67" t="str">
        <f>IF(B496="", "", 'Lighting Inventory'!BF504)</f>
        <v/>
      </c>
      <c r="AX496" s="67" t="str">
        <f>IF(B496="", "", 'Lighting Inventory'!BF504)</f>
        <v/>
      </c>
      <c r="AY496" s="65" t="str">
        <f t="shared" si="25"/>
        <v/>
      </c>
      <c r="AZ496" s="65" t="str">
        <f>IF(B496="", "", 'Lighting Inventory'!BJ504)</f>
        <v/>
      </c>
      <c r="BA496" s="65" t="str">
        <f>IF(B496="", "", 'Lighting Inventory'!BM504)</f>
        <v/>
      </c>
      <c r="BB496" s="65" t="str">
        <f>IF(B496="","",SUM('Lighting Inventory'!BP504:BP504))</f>
        <v/>
      </c>
      <c r="BC496" s="67" t="str">
        <f>IF(OR(AE496="", B496=""),"", 'Lighting Inventory'!GR504)</f>
        <v/>
      </c>
      <c r="BD496" s="67" t="str">
        <f>IFERROR(IF(B496="", "", 'Lighting Inventory'!AF504)*AD496," ")</f>
        <v xml:space="preserve"> </v>
      </c>
      <c r="BE496" s="67"/>
      <c r="BF496" s="67"/>
    </row>
    <row r="497" spans="1:58" x14ac:dyDescent="0.25">
      <c r="A497" s="26" t="str">
        <f>IF(B497="", "", 'Lookup Tables'!AW498)</f>
        <v/>
      </c>
      <c r="B497" s="26" t="str">
        <f>IF(OR('Lighting Inventory'!Y505="", 'Lighting Inventory'!V505="No Change"),"", 'Lighting Inventory'!Y505)</f>
        <v/>
      </c>
      <c r="C497" s="26" t="str">
        <f>IF(B497="", "", IF('Lighting Inventory'!Y505='Lookup Tables'!$Y$32, 'Lighting Inventory'!AJ505, IF(AD497=0, R497, AD497)))</f>
        <v/>
      </c>
      <c r="D497" s="26" t="str">
        <f>IF(B497="", "", 'General Information'!$F$14)</f>
        <v/>
      </c>
      <c r="E497" s="26" t="str">
        <f t="shared" si="23"/>
        <v/>
      </c>
      <c r="F497" s="26" t="str">
        <f>IF(B497="", "", CONCATENATE('General Information'!$F$9, " - ", 'General Information'!$F$14))</f>
        <v/>
      </c>
      <c r="G497" s="26" t="str">
        <f>IF(B497="", "", 'General Information'!$F$15)</f>
        <v/>
      </c>
      <c r="H497" s="26" t="str">
        <f>IF(B497="", "", IF(VLOOKUP(B497, 'Lookup Tables'!$Y$18:$AA$34, 2, FALSE)="Traffic", VLOOKUP('Lighting Inventory'!W505, 'Lookup Tables'!#REF!, 11, FALSE), VLOOKUP(B497, 'Lookup Tables'!$Y$18:$AA$34, 2, FALSE)))</f>
        <v/>
      </c>
      <c r="I497" s="26" t="str">
        <f>IF(B497="", "", CONCATENATE(D497, 'Data Export'!A497))</f>
        <v/>
      </c>
      <c r="J497" s="26" t="str">
        <f>IF(B497="", "", 'Lookup Tables'!$B$1)</f>
        <v/>
      </c>
      <c r="K497" s="26" t="str">
        <f>IF(B497="", "", 'Lighting Inventory'!B505)</f>
        <v/>
      </c>
      <c r="L497" s="26" t="str">
        <f>IF(B497="", "", 'Lighting Inventory'!C505)</f>
        <v/>
      </c>
      <c r="M497" s="26" t="str">
        <f>IF(B497="", "",'Lighting Inventory'!D505)</f>
        <v/>
      </c>
      <c r="N497" s="26" t="str">
        <f>IF(B497="", "",'Lighting Inventory'!E505)</f>
        <v/>
      </c>
      <c r="O497" s="26" t="str">
        <f>IF(B497="", "", 'Lighting Inventory'!F505)</f>
        <v/>
      </c>
      <c r="P497" s="26" t="str">
        <f>IF(B497="", "", 'Lighting Inventory'!G505)</f>
        <v/>
      </c>
      <c r="Q497" s="26" t="str">
        <f>IF(B497="", "", 'Lighting Inventory'!H505)</f>
        <v/>
      </c>
      <c r="R497" s="26" t="str">
        <f>IF(B497="", "", 'Lighting Inventory'!I505)</f>
        <v/>
      </c>
      <c r="S497" s="26" t="str">
        <f>IF(B497="", "", 'Lighting Inventory'!J505)</f>
        <v/>
      </c>
      <c r="T497" s="26" t="str">
        <f>IFERROR(IF(B497="","",VLOOKUP(S497,'Fixture Identities'!$A$7:$G$1023,5,FALSE)), "New Construction")</f>
        <v/>
      </c>
      <c r="U497" s="26" t="str">
        <f>IFERROR(IF(B497="", "", IF(K497="New Construction", "NC", IF(VLOOKUP(S497, 'Fixture Identities'!$A$7:$I$1023,3, FALSE)="T12 Linear Fluorescent", VLOOKUP(S497, 'Fixture Identities'!$A$7:$K$1012, 11, FALSE), S497))), "")</f>
        <v/>
      </c>
      <c r="V497" s="26" t="str">
        <f>IFERROR(IF(OR(B497="", U497=0), "", VLOOKUP(U497, 'Fixture Identities'!$A$7:$G$1023, 5, FALSE)), "")</f>
        <v/>
      </c>
      <c r="W497" s="26" t="str">
        <f>IF(B497="", "",'Lighting Inventory'!K505)</f>
        <v/>
      </c>
      <c r="X497" s="65" t="str">
        <f>IF(B497="", "", 'Lighting Inventory'!L505)</f>
        <v/>
      </c>
      <c r="Y497" s="26" t="str">
        <f>IF(B497="", "", IF('Lighting Inventory'!M505="", "Light Switch",'Lighting Inventory'!M505))</f>
        <v/>
      </c>
      <c r="Z497" s="26" t="str">
        <f>IF(OR(K497="Retrofit", B497=""), "", 'Lighting Inventory'!N505)</f>
        <v/>
      </c>
      <c r="AA497" s="26" t="str">
        <f>IF(OR(Z497="",B497=""), "", 'Lighting Inventory'!O505)</f>
        <v/>
      </c>
      <c r="AB497" s="26" t="str">
        <f>IF(B497="", "", 'Lighting Inventory'!P505)</f>
        <v/>
      </c>
      <c r="AC497" s="96" t="str">
        <f>IF(B497="", "", 'Lighting Inventory'!R505)</f>
        <v/>
      </c>
      <c r="AD497" s="26" t="str">
        <f>IF(B497="", "", 'Lighting Inventory'!S505)</f>
        <v/>
      </c>
      <c r="AE497" s="26" t="str">
        <f>IF(B497="", "", 'Lighting Inventory'!V505)</f>
        <v/>
      </c>
      <c r="AF497" s="26" t="str">
        <f>IF(B497="", "", 'Lighting Inventory'!W505)</f>
        <v/>
      </c>
      <c r="AG497" s="26" t="str">
        <f>IF(OR(AF497="", B497=""), "", IF(AE497="Custom", "0", VLOOKUP(AF497, 'Lookup Tables'!$AI$6:$AP$102, 8, FALSE)))</f>
        <v/>
      </c>
      <c r="AH497" s="26" t="str">
        <f>IF(B497="", "", 'Lighting Inventory'!AD505)</f>
        <v/>
      </c>
      <c r="AI497" s="26" t="str">
        <f>IF(OR('Lighting Inventory'!AK505="", B497=""), "", 'Lighting Inventory'!AK505)</f>
        <v/>
      </c>
      <c r="AJ497" s="66" t="str">
        <f>IF(B497="", "", 'Lighting Inventory'!AL505)</f>
        <v/>
      </c>
      <c r="AK497" s="65" t="str">
        <f>IF(B497="", "", 'Lighting Inventory'!AM505)</f>
        <v/>
      </c>
      <c r="AL497" s="26" t="str">
        <f>IF(B497="", "", 'Lighting Inventory'!AN505)</f>
        <v/>
      </c>
      <c r="AM497" s="26" t="str">
        <f t="shared" si="24"/>
        <v/>
      </c>
      <c r="AN497" s="26" t="str">
        <f>IF(B497="","",IF('Lighting Inventory'!AV505="","Prescribed",'Lighting Inventory'!AV505))</f>
        <v/>
      </c>
      <c r="AO497" s="66" t="str">
        <f>IF(B497="", "", 'Lighting Inventory'!AX505)</f>
        <v/>
      </c>
      <c r="AP497" s="67" t="str">
        <f>IF(B497="", "", 'Lighting Inventory'!AZ505)</f>
        <v/>
      </c>
      <c r="AQ497" s="67" t="str">
        <f>IF(B497="", "", 'Lighting Inventory'!BA505)</f>
        <v/>
      </c>
      <c r="AR497" s="67" t="str">
        <f>IF(B497="", "", 'Lighting Inventory'!BB505)</f>
        <v/>
      </c>
      <c r="AS497" s="67" t="str">
        <f>IF(B497="", "", 'Lighting Inventory'!BC505)</f>
        <v/>
      </c>
      <c r="AT497" s="67" t="str">
        <f>IF(B497="", "", 'Lighting Inventory'!BD505)</f>
        <v/>
      </c>
      <c r="AU497" s="67" t="str">
        <f>IF(B497="", "", 'Lighting Inventory'!BE505)</f>
        <v/>
      </c>
      <c r="AV497" s="67" t="str">
        <f>IF(B497="", "", 'Lighting Inventory'!BE505)</f>
        <v/>
      </c>
      <c r="AW497" s="67" t="str">
        <f>IF(B497="", "", 'Lighting Inventory'!BF505)</f>
        <v/>
      </c>
      <c r="AX497" s="67" t="str">
        <f>IF(B497="", "", 'Lighting Inventory'!BF505)</f>
        <v/>
      </c>
      <c r="AY497" s="65" t="str">
        <f t="shared" si="25"/>
        <v/>
      </c>
      <c r="AZ497" s="65" t="str">
        <f>IF(B497="", "", 'Lighting Inventory'!BJ505)</f>
        <v/>
      </c>
      <c r="BA497" s="65" t="str">
        <f>IF(B497="", "", 'Lighting Inventory'!BM505)</f>
        <v/>
      </c>
      <c r="BB497" s="65" t="str">
        <f>IF(B497="","",SUM('Lighting Inventory'!BP505:BP505))</f>
        <v/>
      </c>
      <c r="BC497" s="67" t="str">
        <f>IF(OR(AE497="", B497=""),"", 'Lighting Inventory'!GR505)</f>
        <v/>
      </c>
      <c r="BD497" s="67" t="str">
        <f>IFERROR(IF(B497="", "", 'Lighting Inventory'!AF505)*AD497," ")</f>
        <v xml:space="preserve"> </v>
      </c>
      <c r="BE497" s="67"/>
      <c r="BF497" s="67"/>
    </row>
    <row r="498" spans="1:58" x14ac:dyDescent="0.25">
      <c r="A498" s="26" t="str">
        <f>IF(B498="", "", 'Lookup Tables'!AW499)</f>
        <v/>
      </c>
      <c r="B498" s="26" t="str">
        <f>IF(OR('Lighting Inventory'!Y506="", 'Lighting Inventory'!V506="No Change"),"", 'Lighting Inventory'!Y506)</f>
        <v/>
      </c>
      <c r="C498" s="26" t="str">
        <f>IF(B498="", "", IF('Lighting Inventory'!Y506='Lookup Tables'!$Y$32, 'Lighting Inventory'!AJ506, IF(AD498=0, R498, AD498)))</f>
        <v/>
      </c>
      <c r="D498" s="26" t="str">
        <f>IF(B498="", "", 'General Information'!$F$14)</f>
        <v/>
      </c>
      <c r="E498" s="26" t="str">
        <f t="shared" si="23"/>
        <v/>
      </c>
      <c r="F498" s="26" t="str">
        <f>IF(B498="", "", CONCATENATE('General Information'!$F$9, " - ", 'General Information'!$F$14))</f>
        <v/>
      </c>
      <c r="G498" s="26" t="str">
        <f>IF(B498="", "", 'General Information'!$F$15)</f>
        <v/>
      </c>
      <c r="H498" s="26" t="str">
        <f>IF(B498="", "", IF(VLOOKUP(B498, 'Lookup Tables'!$Y$18:$AA$34, 2, FALSE)="Traffic", VLOOKUP('Lighting Inventory'!W506, 'Lookup Tables'!#REF!, 11, FALSE), VLOOKUP(B498, 'Lookup Tables'!$Y$18:$AA$34, 2, FALSE)))</f>
        <v/>
      </c>
      <c r="I498" s="26" t="str">
        <f>IF(B498="", "", CONCATENATE(D498, 'Data Export'!A498))</f>
        <v/>
      </c>
      <c r="J498" s="26" t="str">
        <f>IF(B498="", "", 'Lookup Tables'!$B$1)</f>
        <v/>
      </c>
      <c r="K498" s="26" t="str">
        <f>IF(B498="", "", 'Lighting Inventory'!B506)</f>
        <v/>
      </c>
      <c r="L498" s="26" t="str">
        <f>IF(B498="", "", 'Lighting Inventory'!C506)</f>
        <v/>
      </c>
      <c r="M498" s="26" t="str">
        <f>IF(B498="", "",'Lighting Inventory'!D506)</f>
        <v/>
      </c>
      <c r="N498" s="26" t="str">
        <f>IF(B498="", "",'Lighting Inventory'!E506)</f>
        <v/>
      </c>
      <c r="O498" s="26" t="str">
        <f>IF(B498="", "", 'Lighting Inventory'!F506)</f>
        <v/>
      </c>
      <c r="P498" s="26" t="str">
        <f>IF(B498="", "", 'Lighting Inventory'!G506)</f>
        <v/>
      </c>
      <c r="Q498" s="26" t="str">
        <f>IF(B498="", "", 'Lighting Inventory'!H506)</f>
        <v/>
      </c>
      <c r="R498" s="26" t="str">
        <f>IF(B498="", "", 'Lighting Inventory'!I506)</f>
        <v/>
      </c>
      <c r="S498" s="26" t="str">
        <f>IF(B498="", "", 'Lighting Inventory'!J506)</f>
        <v/>
      </c>
      <c r="T498" s="26" t="str">
        <f>IFERROR(IF(B498="","",VLOOKUP(S498,'Fixture Identities'!$A$7:$G$1023,5,FALSE)), "New Construction")</f>
        <v/>
      </c>
      <c r="U498" s="26" t="str">
        <f>IFERROR(IF(B498="", "", IF(K498="New Construction", "NC", IF(VLOOKUP(S498, 'Fixture Identities'!$A$7:$I$1023,3, FALSE)="T12 Linear Fluorescent", VLOOKUP(S498, 'Fixture Identities'!$A$7:$K$1012, 11, FALSE), S498))), "")</f>
        <v/>
      </c>
      <c r="V498" s="26" t="str">
        <f>IFERROR(IF(OR(B498="", U498=0), "", VLOOKUP(U498, 'Fixture Identities'!$A$7:$G$1023, 5, FALSE)), "")</f>
        <v/>
      </c>
      <c r="W498" s="26" t="str">
        <f>IF(B498="", "",'Lighting Inventory'!K506)</f>
        <v/>
      </c>
      <c r="X498" s="65" t="str">
        <f>IF(B498="", "", 'Lighting Inventory'!L506)</f>
        <v/>
      </c>
      <c r="Y498" s="26" t="str">
        <f>IF(B498="", "", IF('Lighting Inventory'!M506="", "Light Switch",'Lighting Inventory'!M506))</f>
        <v/>
      </c>
      <c r="Z498" s="26" t="str">
        <f>IF(OR(K498="Retrofit", B498=""), "", 'Lighting Inventory'!N506)</f>
        <v/>
      </c>
      <c r="AA498" s="26" t="str">
        <f>IF(OR(Z498="",B498=""), "", 'Lighting Inventory'!O506)</f>
        <v/>
      </c>
      <c r="AB498" s="26" t="str">
        <f>IF(B498="", "", 'Lighting Inventory'!P506)</f>
        <v/>
      </c>
      <c r="AC498" s="96" t="str">
        <f>IF(B498="", "", 'Lighting Inventory'!R506)</f>
        <v/>
      </c>
      <c r="AD498" s="26" t="str">
        <f>IF(B498="", "", 'Lighting Inventory'!S506)</f>
        <v/>
      </c>
      <c r="AE498" s="26" t="str">
        <f>IF(B498="", "", 'Lighting Inventory'!V506)</f>
        <v/>
      </c>
      <c r="AF498" s="26" t="str">
        <f>IF(B498="", "", 'Lighting Inventory'!W506)</f>
        <v/>
      </c>
      <c r="AG498" s="26" t="str">
        <f>IF(OR(AF498="", B498=""), "", IF(AE498="Custom", "0", VLOOKUP(AF498, 'Lookup Tables'!$AI$6:$AP$102, 8, FALSE)))</f>
        <v/>
      </c>
      <c r="AH498" s="26" t="str">
        <f>IF(B498="", "", 'Lighting Inventory'!AD506)</f>
        <v/>
      </c>
      <c r="AI498" s="26" t="str">
        <f>IF(OR('Lighting Inventory'!AK506="", B498=""), "", 'Lighting Inventory'!AK506)</f>
        <v/>
      </c>
      <c r="AJ498" s="66" t="str">
        <f>IF(B498="", "", 'Lighting Inventory'!AL506)</f>
        <v/>
      </c>
      <c r="AK498" s="65" t="str">
        <f>IF(B498="", "", 'Lighting Inventory'!AM506)</f>
        <v/>
      </c>
      <c r="AL498" s="26" t="str">
        <f>IF(B498="", "", 'Lighting Inventory'!AN506)</f>
        <v/>
      </c>
      <c r="AM498" s="26" t="str">
        <f t="shared" si="24"/>
        <v/>
      </c>
      <c r="AN498" s="26" t="str">
        <f>IF(B498="","",IF('Lighting Inventory'!AV506="","Prescribed",'Lighting Inventory'!AV506))</f>
        <v/>
      </c>
      <c r="AO498" s="66" t="str">
        <f>IF(B498="", "", 'Lighting Inventory'!AX506)</f>
        <v/>
      </c>
      <c r="AP498" s="67" t="str">
        <f>IF(B498="", "", 'Lighting Inventory'!AZ506)</f>
        <v/>
      </c>
      <c r="AQ498" s="67" t="str">
        <f>IF(B498="", "", 'Lighting Inventory'!BA506)</f>
        <v/>
      </c>
      <c r="AR498" s="67" t="str">
        <f>IF(B498="", "", 'Lighting Inventory'!BB506)</f>
        <v/>
      </c>
      <c r="AS498" s="67" t="str">
        <f>IF(B498="", "", 'Lighting Inventory'!BC506)</f>
        <v/>
      </c>
      <c r="AT498" s="67" t="str">
        <f>IF(B498="", "", 'Lighting Inventory'!BD506)</f>
        <v/>
      </c>
      <c r="AU498" s="67" t="str">
        <f>IF(B498="", "", 'Lighting Inventory'!BE506)</f>
        <v/>
      </c>
      <c r="AV498" s="67" t="str">
        <f>IF(B498="", "", 'Lighting Inventory'!BE506)</f>
        <v/>
      </c>
      <c r="AW498" s="67" t="str">
        <f>IF(B498="", "", 'Lighting Inventory'!BF506)</f>
        <v/>
      </c>
      <c r="AX498" s="67" t="str">
        <f>IF(B498="", "", 'Lighting Inventory'!BF506)</f>
        <v/>
      </c>
      <c r="AY498" s="65" t="str">
        <f t="shared" si="25"/>
        <v/>
      </c>
      <c r="AZ498" s="65" t="str">
        <f>IF(B498="", "", 'Lighting Inventory'!BJ506)</f>
        <v/>
      </c>
      <c r="BA498" s="65" t="str">
        <f>IF(B498="", "", 'Lighting Inventory'!BM506)</f>
        <v/>
      </c>
      <c r="BB498" s="65" t="str">
        <f>IF(B498="","",SUM('Lighting Inventory'!BP506:BP506))</f>
        <v/>
      </c>
      <c r="BC498" s="67" t="str">
        <f>IF(OR(AE498="", B498=""),"", 'Lighting Inventory'!GR506)</f>
        <v/>
      </c>
      <c r="BD498" s="67" t="str">
        <f>IFERROR(IF(B498="", "", 'Lighting Inventory'!AF506)*AD498," ")</f>
        <v xml:space="preserve"> </v>
      </c>
      <c r="BE498" s="67"/>
      <c r="BF498" s="67"/>
    </row>
    <row r="499" spans="1:58" x14ac:dyDescent="0.25">
      <c r="A499" s="26" t="str">
        <f>IF(B499="", "", 'Lookup Tables'!AW500)</f>
        <v/>
      </c>
      <c r="B499" s="26" t="str">
        <f>IF(OR('Lighting Inventory'!Y507="", 'Lighting Inventory'!V507="No Change"),"", 'Lighting Inventory'!Y507)</f>
        <v/>
      </c>
      <c r="C499" s="26" t="str">
        <f>IF(B499="", "", IF('Lighting Inventory'!Y507='Lookup Tables'!$Y$32, 'Lighting Inventory'!AJ507, IF(AD499=0, R499, AD499)))</f>
        <v/>
      </c>
      <c r="D499" s="26" t="str">
        <f>IF(B499="", "", 'General Information'!$F$14)</f>
        <v/>
      </c>
      <c r="E499" s="26" t="str">
        <f t="shared" si="23"/>
        <v/>
      </c>
      <c r="F499" s="26" t="str">
        <f>IF(B499="", "", CONCATENATE('General Information'!$F$9, " - ", 'General Information'!$F$14))</f>
        <v/>
      </c>
      <c r="G499" s="26" t="str">
        <f>IF(B499="", "", 'General Information'!$F$15)</f>
        <v/>
      </c>
      <c r="H499" s="26" t="str">
        <f>IF(B499="", "", IF(VLOOKUP(B499, 'Lookup Tables'!$Y$18:$AA$34, 2, FALSE)="Traffic", VLOOKUP('Lighting Inventory'!W507, 'Lookup Tables'!#REF!, 11, FALSE), VLOOKUP(B499, 'Lookup Tables'!$Y$18:$AA$34, 2, FALSE)))</f>
        <v/>
      </c>
      <c r="I499" s="26" t="str">
        <f>IF(B499="", "", CONCATENATE(D499, 'Data Export'!A499))</f>
        <v/>
      </c>
      <c r="J499" s="26" t="str">
        <f>IF(B499="", "", 'Lookup Tables'!$B$1)</f>
        <v/>
      </c>
      <c r="K499" s="26" t="str">
        <f>IF(B499="", "", 'Lighting Inventory'!B507)</f>
        <v/>
      </c>
      <c r="L499" s="26" t="str">
        <f>IF(B499="", "", 'Lighting Inventory'!C507)</f>
        <v/>
      </c>
      <c r="M499" s="26" t="str">
        <f>IF(B499="", "",'Lighting Inventory'!D507)</f>
        <v/>
      </c>
      <c r="N499" s="26" t="str">
        <f>IF(B499="", "",'Lighting Inventory'!E507)</f>
        <v/>
      </c>
      <c r="O499" s="26" t="str">
        <f>IF(B499="", "", 'Lighting Inventory'!F507)</f>
        <v/>
      </c>
      <c r="P499" s="26" t="str">
        <f>IF(B499="", "", 'Lighting Inventory'!G507)</f>
        <v/>
      </c>
      <c r="Q499" s="26" t="str">
        <f>IF(B499="", "", 'Lighting Inventory'!H507)</f>
        <v/>
      </c>
      <c r="R499" s="26" t="str">
        <f>IF(B499="", "", 'Lighting Inventory'!I507)</f>
        <v/>
      </c>
      <c r="S499" s="26" t="str">
        <f>IF(B499="", "", 'Lighting Inventory'!J507)</f>
        <v/>
      </c>
      <c r="T499" s="26" t="str">
        <f>IFERROR(IF(B499="","",VLOOKUP(S499,'Fixture Identities'!$A$7:$G$1023,5,FALSE)), "New Construction")</f>
        <v/>
      </c>
      <c r="U499" s="26" t="str">
        <f>IFERROR(IF(B499="", "", IF(K499="New Construction", "NC", IF(VLOOKUP(S499, 'Fixture Identities'!$A$7:$I$1023,3, FALSE)="T12 Linear Fluorescent", VLOOKUP(S499, 'Fixture Identities'!$A$7:$K$1012, 11, FALSE), S499))), "")</f>
        <v/>
      </c>
      <c r="V499" s="26" t="str">
        <f>IFERROR(IF(OR(B499="", U499=0), "", VLOOKUP(U499, 'Fixture Identities'!$A$7:$G$1023, 5, FALSE)), "")</f>
        <v/>
      </c>
      <c r="W499" s="26" t="str">
        <f>IF(B499="", "",'Lighting Inventory'!K507)</f>
        <v/>
      </c>
      <c r="X499" s="65" t="str">
        <f>IF(B499="", "", 'Lighting Inventory'!L507)</f>
        <v/>
      </c>
      <c r="Y499" s="26" t="str">
        <f>IF(B499="", "", IF('Lighting Inventory'!M507="", "Light Switch",'Lighting Inventory'!M507))</f>
        <v/>
      </c>
      <c r="Z499" s="26" t="str">
        <f>IF(OR(K499="Retrofit", B499=""), "", 'Lighting Inventory'!N507)</f>
        <v/>
      </c>
      <c r="AA499" s="26" t="str">
        <f>IF(OR(Z499="",B499=""), "", 'Lighting Inventory'!O507)</f>
        <v/>
      </c>
      <c r="AB499" s="26" t="str">
        <f>IF(B499="", "", 'Lighting Inventory'!P507)</f>
        <v/>
      </c>
      <c r="AC499" s="96" t="str">
        <f>IF(B499="", "", 'Lighting Inventory'!R507)</f>
        <v/>
      </c>
      <c r="AD499" s="26" t="str">
        <f>IF(B499="", "", 'Lighting Inventory'!S507)</f>
        <v/>
      </c>
      <c r="AE499" s="26" t="str">
        <f>IF(B499="", "", 'Lighting Inventory'!V507)</f>
        <v/>
      </c>
      <c r="AF499" s="26" t="str">
        <f>IF(B499="", "", 'Lighting Inventory'!W507)</f>
        <v/>
      </c>
      <c r="AG499" s="26" t="str">
        <f>IF(OR(AF499="", B499=""), "", IF(AE499="Custom", "0", VLOOKUP(AF499, 'Lookup Tables'!$AI$6:$AP$102, 8, FALSE)))</f>
        <v/>
      </c>
      <c r="AH499" s="26" t="str">
        <f>IF(B499="", "", 'Lighting Inventory'!AD507)</f>
        <v/>
      </c>
      <c r="AI499" s="26" t="str">
        <f>IF(OR('Lighting Inventory'!AK507="", B499=""), "", 'Lighting Inventory'!AK507)</f>
        <v/>
      </c>
      <c r="AJ499" s="66" t="str">
        <f>IF(B499="", "", 'Lighting Inventory'!AL507)</f>
        <v/>
      </c>
      <c r="AK499" s="65" t="str">
        <f>IF(B499="", "", 'Lighting Inventory'!AM507)</f>
        <v/>
      </c>
      <c r="AL499" s="26" t="str">
        <f>IF(B499="", "", 'Lighting Inventory'!AN507)</f>
        <v/>
      </c>
      <c r="AM499" s="26" t="str">
        <f t="shared" si="24"/>
        <v/>
      </c>
      <c r="AN499" s="26" t="str">
        <f>IF(B499="","",IF('Lighting Inventory'!AV507="","Prescribed",'Lighting Inventory'!AV507))</f>
        <v/>
      </c>
      <c r="AO499" s="66" t="str">
        <f>IF(B499="", "", 'Lighting Inventory'!AX507)</f>
        <v/>
      </c>
      <c r="AP499" s="67" t="str">
        <f>IF(B499="", "", 'Lighting Inventory'!AZ507)</f>
        <v/>
      </c>
      <c r="AQ499" s="67" t="str">
        <f>IF(B499="", "", 'Lighting Inventory'!BA507)</f>
        <v/>
      </c>
      <c r="AR499" s="67" t="str">
        <f>IF(B499="", "", 'Lighting Inventory'!BB507)</f>
        <v/>
      </c>
      <c r="AS499" s="67" t="str">
        <f>IF(B499="", "", 'Lighting Inventory'!BC507)</f>
        <v/>
      </c>
      <c r="AT499" s="67" t="str">
        <f>IF(B499="", "", 'Lighting Inventory'!BD507)</f>
        <v/>
      </c>
      <c r="AU499" s="67" t="str">
        <f>IF(B499="", "", 'Lighting Inventory'!BE507)</f>
        <v/>
      </c>
      <c r="AV499" s="67" t="str">
        <f>IF(B499="", "", 'Lighting Inventory'!BE507)</f>
        <v/>
      </c>
      <c r="AW499" s="67" t="str">
        <f>IF(B499="", "", 'Lighting Inventory'!BF507)</f>
        <v/>
      </c>
      <c r="AX499" s="67" t="str">
        <f>IF(B499="", "", 'Lighting Inventory'!BF507)</f>
        <v/>
      </c>
      <c r="AY499" s="65" t="str">
        <f t="shared" si="25"/>
        <v/>
      </c>
      <c r="AZ499" s="65" t="str">
        <f>IF(B499="", "", 'Lighting Inventory'!BJ507)</f>
        <v/>
      </c>
      <c r="BA499" s="65" t="str">
        <f>IF(B499="", "", 'Lighting Inventory'!BM507)</f>
        <v/>
      </c>
      <c r="BB499" s="65" t="str">
        <f>IF(B499="","",SUM('Lighting Inventory'!BP507:BP507))</f>
        <v/>
      </c>
      <c r="BC499" s="67" t="str">
        <f>IF(OR(AE499="", B499=""),"", 'Lighting Inventory'!GR507)</f>
        <v/>
      </c>
      <c r="BD499" s="67" t="str">
        <f>IFERROR(IF(B499="", "", 'Lighting Inventory'!AF507)*AD499," ")</f>
        <v xml:space="preserve"> </v>
      </c>
      <c r="BE499" s="67"/>
      <c r="BF499" s="67"/>
    </row>
    <row r="500" spans="1:58" x14ac:dyDescent="0.25">
      <c r="A500" s="26" t="str">
        <f>IF(B500="", "", 'Lookup Tables'!AW501)</f>
        <v/>
      </c>
      <c r="B500" s="26" t="str">
        <f>IF(OR('Lighting Inventory'!Y508="", 'Lighting Inventory'!V508="No Change"),"", 'Lighting Inventory'!Y508)</f>
        <v/>
      </c>
      <c r="C500" s="26" t="str">
        <f>IF(B500="", "", IF('Lighting Inventory'!Y508='Lookup Tables'!$Y$32, 'Lighting Inventory'!AJ508, IF(AD500=0, R500, AD500)))</f>
        <v/>
      </c>
      <c r="D500" s="26" t="str">
        <f>IF(B500="", "", 'General Information'!$F$14)</f>
        <v/>
      </c>
      <c r="E500" s="26" t="str">
        <f t="shared" si="23"/>
        <v/>
      </c>
      <c r="F500" s="26" t="str">
        <f>IF(B500="", "", CONCATENATE('General Information'!$F$9, " - ", 'General Information'!$F$14))</f>
        <v/>
      </c>
      <c r="G500" s="26" t="str">
        <f>IF(B500="", "", 'General Information'!$F$15)</f>
        <v/>
      </c>
      <c r="H500" s="26" t="str">
        <f>IF(B500="", "", IF(VLOOKUP(B500, 'Lookup Tables'!$Y$18:$AA$34, 2, FALSE)="Traffic", VLOOKUP('Lighting Inventory'!W508, 'Lookup Tables'!#REF!, 11, FALSE), VLOOKUP(B500, 'Lookup Tables'!$Y$18:$AA$34, 2, FALSE)))</f>
        <v/>
      </c>
      <c r="I500" s="26" t="str">
        <f>IF(B500="", "", CONCATENATE(D500, 'Data Export'!A500))</f>
        <v/>
      </c>
      <c r="J500" s="26" t="str">
        <f>IF(B500="", "", 'Lookup Tables'!$B$1)</f>
        <v/>
      </c>
      <c r="K500" s="26" t="str">
        <f>IF(B500="", "", 'Lighting Inventory'!B508)</f>
        <v/>
      </c>
      <c r="L500" s="26" t="str">
        <f>IF(B500="", "", 'Lighting Inventory'!C508)</f>
        <v/>
      </c>
      <c r="M500" s="26" t="str">
        <f>IF(B500="", "",'Lighting Inventory'!D508)</f>
        <v/>
      </c>
      <c r="N500" s="26" t="str">
        <f>IF(B500="", "",'Lighting Inventory'!E508)</f>
        <v/>
      </c>
      <c r="O500" s="26" t="str">
        <f>IF(B500="", "", 'Lighting Inventory'!F508)</f>
        <v/>
      </c>
      <c r="P500" s="26" t="str">
        <f>IF(B500="", "", 'Lighting Inventory'!G508)</f>
        <v/>
      </c>
      <c r="Q500" s="26" t="str">
        <f>IF(B500="", "", 'Lighting Inventory'!H508)</f>
        <v/>
      </c>
      <c r="R500" s="26" t="str">
        <f>IF(B500="", "", 'Lighting Inventory'!I508)</f>
        <v/>
      </c>
      <c r="S500" s="26" t="str">
        <f>IF(B500="", "", 'Lighting Inventory'!J508)</f>
        <v/>
      </c>
      <c r="T500" s="26" t="str">
        <f>IFERROR(IF(B500="","",VLOOKUP(S500,'Fixture Identities'!$A$7:$G$1023,5,FALSE)), "New Construction")</f>
        <v/>
      </c>
      <c r="U500" s="26" t="str">
        <f>IFERROR(IF(B500="", "", IF(K500="New Construction", "NC", IF(VLOOKUP(S500, 'Fixture Identities'!$A$7:$I$1023,3, FALSE)="T12 Linear Fluorescent", VLOOKUP(S500, 'Fixture Identities'!$A$7:$K$1012, 11, FALSE), S500))), "")</f>
        <v/>
      </c>
      <c r="V500" s="26" t="str">
        <f>IFERROR(IF(OR(B500="", U500=0), "", VLOOKUP(U500, 'Fixture Identities'!$A$7:$G$1023, 5, FALSE)), "")</f>
        <v/>
      </c>
      <c r="W500" s="26" t="str">
        <f>IF(B500="", "",'Lighting Inventory'!K508)</f>
        <v/>
      </c>
      <c r="X500" s="65" t="str">
        <f>IF(B500="", "", 'Lighting Inventory'!L508)</f>
        <v/>
      </c>
      <c r="Y500" s="26" t="str">
        <f>IF(B500="", "", IF('Lighting Inventory'!M508="", "Light Switch",'Lighting Inventory'!M508))</f>
        <v/>
      </c>
      <c r="Z500" s="26" t="str">
        <f>IF(OR(K500="Retrofit", B500=""), "", 'Lighting Inventory'!N508)</f>
        <v/>
      </c>
      <c r="AA500" s="26" t="str">
        <f>IF(OR(Z500="",B500=""), "", 'Lighting Inventory'!O508)</f>
        <v/>
      </c>
      <c r="AB500" s="26" t="str">
        <f>IF(B500="", "", 'Lighting Inventory'!P508)</f>
        <v/>
      </c>
      <c r="AC500" s="96" t="str">
        <f>IF(B500="", "", 'Lighting Inventory'!R508)</f>
        <v/>
      </c>
      <c r="AD500" s="26" t="str">
        <f>IF(B500="", "", 'Lighting Inventory'!S508)</f>
        <v/>
      </c>
      <c r="AE500" s="26" t="str">
        <f>IF(B500="", "", 'Lighting Inventory'!V508)</f>
        <v/>
      </c>
      <c r="AF500" s="26" t="str">
        <f>IF(B500="", "", 'Lighting Inventory'!W508)</f>
        <v/>
      </c>
      <c r="AG500" s="26" t="str">
        <f>IF(OR(AF500="", B500=""), "", IF(AE500="Custom", "0", VLOOKUP(AF500, 'Lookup Tables'!$AI$6:$AP$102, 8, FALSE)))</f>
        <v/>
      </c>
      <c r="AH500" s="26" t="str">
        <f>IF(B500="", "", 'Lighting Inventory'!AD508)</f>
        <v/>
      </c>
      <c r="AI500" s="26" t="str">
        <f>IF(OR('Lighting Inventory'!AK508="", B500=""), "", 'Lighting Inventory'!AK508)</f>
        <v/>
      </c>
      <c r="AJ500" s="66" t="str">
        <f>IF(B500="", "", 'Lighting Inventory'!AL508)</f>
        <v/>
      </c>
      <c r="AK500" s="65" t="str">
        <f>IF(B500="", "", 'Lighting Inventory'!AM508)</f>
        <v/>
      </c>
      <c r="AL500" s="26" t="str">
        <f>IF(B500="", "", 'Lighting Inventory'!AN508)</f>
        <v/>
      </c>
      <c r="AM500" s="26" t="str">
        <f t="shared" si="24"/>
        <v/>
      </c>
      <c r="AN500" s="26" t="str">
        <f>IF(B500="","",IF('Lighting Inventory'!AV508="","Prescribed",'Lighting Inventory'!AV508))</f>
        <v/>
      </c>
      <c r="AO500" s="66" t="str">
        <f>IF(B500="", "", 'Lighting Inventory'!AX508)</f>
        <v/>
      </c>
      <c r="AP500" s="67" t="str">
        <f>IF(B500="", "", 'Lighting Inventory'!AZ508)</f>
        <v/>
      </c>
      <c r="AQ500" s="67" t="str">
        <f>IF(B500="", "", 'Lighting Inventory'!BA508)</f>
        <v/>
      </c>
      <c r="AR500" s="67" t="str">
        <f>IF(B500="", "", 'Lighting Inventory'!BB508)</f>
        <v/>
      </c>
      <c r="AS500" s="67" t="str">
        <f>IF(B500="", "", 'Lighting Inventory'!BC508)</f>
        <v/>
      </c>
      <c r="AT500" s="67" t="str">
        <f>IF(B500="", "", 'Lighting Inventory'!BD508)</f>
        <v/>
      </c>
      <c r="AU500" s="67" t="str">
        <f>IF(B500="", "", 'Lighting Inventory'!BE508)</f>
        <v/>
      </c>
      <c r="AV500" s="67" t="str">
        <f>IF(B500="", "", 'Lighting Inventory'!BE508)</f>
        <v/>
      </c>
      <c r="AW500" s="67" t="str">
        <f>IF(B500="", "", 'Lighting Inventory'!BF508)</f>
        <v/>
      </c>
      <c r="AX500" s="67" t="str">
        <f>IF(B500="", "", 'Lighting Inventory'!BF508)</f>
        <v/>
      </c>
      <c r="AY500" s="65" t="str">
        <f t="shared" si="25"/>
        <v/>
      </c>
      <c r="AZ500" s="65" t="str">
        <f>IF(B500="", "", 'Lighting Inventory'!BJ508)</f>
        <v/>
      </c>
      <c r="BA500" s="65" t="str">
        <f>IF(B500="", "", 'Lighting Inventory'!BM508)</f>
        <v/>
      </c>
      <c r="BB500" s="65" t="str">
        <f>IF(B500="","",SUM('Lighting Inventory'!BP508:BP508))</f>
        <v/>
      </c>
      <c r="BC500" s="67" t="str">
        <f>IF(OR(AE500="", B500=""),"", 'Lighting Inventory'!GR508)</f>
        <v/>
      </c>
      <c r="BD500" s="67" t="str">
        <f>IFERROR(IF(B500="", "", 'Lighting Inventory'!AF508)*AD500," ")</f>
        <v xml:space="preserve"> </v>
      </c>
      <c r="BE500" s="67"/>
      <c r="BF500" s="67"/>
    </row>
    <row r="501" spans="1:58" x14ac:dyDescent="0.25">
      <c r="A501" s="26" t="str">
        <f>IF(B501="", "", 'Lookup Tables'!AW252)</f>
        <v/>
      </c>
      <c r="B501" s="26" t="str">
        <f>IF(OR('Lighting Inventory'!BQ259="", 'Lighting Inventory'!BQ259=0), "", "Lighting Controls")</f>
        <v/>
      </c>
      <c r="C501" s="26" t="str">
        <f>IF(B501="", "", 'Lighting Inventory'!S259)</f>
        <v/>
      </c>
      <c r="D501" s="26" t="str">
        <f>IF(B501="", "", 'General Information'!$F$14)</f>
        <v/>
      </c>
      <c r="E501" s="26" t="str">
        <f t="shared" ref="E501:E502" si="26">IF(B501="", "", "FPPLPR")</f>
        <v/>
      </c>
      <c r="F501" s="26" t="str">
        <f>IF(B501="", "", CONCATENATE('General Information'!$F$9, " - ", 'General Information'!$F$14))</f>
        <v/>
      </c>
      <c r="G501" s="26" t="str">
        <f>IF(B501="", "", 'General Information'!$F$15)</f>
        <v/>
      </c>
      <c r="H501" s="26" t="str">
        <f>IF(B501="", "", VLOOKUP(B501, 'Lookup Tables'!$Y$18:$AA$34, 2, FALSE))</f>
        <v/>
      </c>
      <c r="I501" s="26" t="str">
        <f>IF(B501="", "", CONCATENATE(D501, 'Lookup Tables'!AW502))</f>
        <v/>
      </c>
      <c r="J501" s="26" t="str">
        <f>IF(B501="", "", 'Lookup Tables'!$B$1)</f>
        <v/>
      </c>
      <c r="K501" s="26" t="str">
        <f>IF(B501="", "", 'Lighting Inventory'!B259)</f>
        <v/>
      </c>
      <c r="L501" s="26" t="str">
        <f>IF(B501="", "", 'Lighting Inventory'!C259)</f>
        <v/>
      </c>
      <c r="M501" s="26" t="str">
        <f>IF(B501="", "",'Lighting Inventory'!D259)</f>
        <v/>
      </c>
      <c r="N501" s="26" t="str">
        <f>IF(B501="", "",'Lighting Inventory'!E259)</f>
        <v/>
      </c>
      <c r="O501" s="26" t="str">
        <f>IF(B501="", "", 'Lighting Inventory'!F259)</f>
        <v/>
      </c>
      <c r="P501" s="26" t="str">
        <f>IF(B501="", "", 'Lighting Inventory'!G259)</f>
        <v/>
      </c>
      <c r="Q501" s="26" t="str">
        <f>IF(B501="", "", 'Lighting Inventory'!H259)</f>
        <v/>
      </c>
      <c r="R501" s="26" t="str">
        <f>IF(B501="", "", 'Lighting Inventory'!I259)</f>
        <v/>
      </c>
      <c r="S501" s="26" t="str">
        <f>IF(B501="", "", 'Lighting Inventory'!J259)</f>
        <v/>
      </c>
      <c r="T501" s="26" t="str">
        <f>IFERROR(IF(B501="","",VLOOKUP(S501,'Fixture Identities'!$A$7:$E$1023,5,FALSE)), "New Construction")</f>
        <v/>
      </c>
      <c r="U501" s="26" t="str">
        <f>IFERROR(IF(B501="", "", IF(K501="New Construction", "NC", IF(VLOOKUP(S501, 'Fixture Identities'!$A$7:$I$1023, 3, FALSE)="T12 Linear Fluorescent", VLOOKUP(S501, 'Fixture Identities'!$A$7:$K$1012, 11, FALSE), S501))), "")</f>
        <v/>
      </c>
      <c r="V501" s="26" t="str">
        <f>IF(OR(B501="", U501=0),"", IFERROR(VLOOKUP(U501, 'Fixture Identities'!$A$7:$E$1023, 5, FALSE), ""))</f>
        <v/>
      </c>
      <c r="W501" s="26" t="str">
        <f>IF(B501="", "",'Lighting Inventory'!K259)</f>
        <v/>
      </c>
      <c r="X501" s="65" t="str">
        <f>IF(B501="", "",'Lighting Inventory'!K259)</f>
        <v/>
      </c>
      <c r="Y501" s="26" t="str">
        <f>IF(B501="", "", IF('Lighting Inventory'!M259="", "Light Switch",'Lighting Inventory'!M259))</f>
        <v/>
      </c>
      <c r="AC501" s="96"/>
      <c r="AD501" s="26" t="str">
        <f>IF(B501="", "", IF('Lighting Inventory'!S259=0, 1, 'Lighting Inventory'!S259))</f>
        <v/>
      </c>
      <c r="AG501" s="26" t="str">
        <f>IF(OR(AF501="", B501=""), "", IF(AE501="Custom", "0", VLOOKUP(AF501, 'Lookup Tables'!$AI$6:$AP$102, 8, FALSE)))</f>
        <v/>
      </c>
      <c r="AJ501" s="66"/>
      <c r="AK501" s="65" t="str">
        <f>IF(B501="", "", 'Lighting Inventory'!AM259)</f>
        <v/>
      </c>
      <c r="AL501" s="26" t="str">
        <f>IF(OR('Lighting Inventory'!AN259="", B501=""),"", IF('Lighting Inventory'!AN259="Exterior Controls Not Eligible", "", 'Lighting Inventory'!AN259))</f>
        <v/>
      </c>
      <c r="AM501" s="26" t="str">
        <f t="shared" ref="AM501:AM502" si="27">IF(OR(AL501="", B501=""),"", "8")</f>
        <v/>
      </c>
      <c r="AN501" s="26" t="str">
        <f>IF(B501="","",IF('Lighting Inventory'!AV259="","Prescribed",'Lighting Inventory'!AV259))</f>
        <v/>
      </c>
      <c r="AO501" s="66" t="str">
        <f>IF(B501="", "", 'Lighting Inventory'!AX259)</f>
        <v/>
      </c>
      <c r="AP501" s="67" t="str">
        <f>IF(B501="", "", 'Lighting Inventory'!BA259)</f>
        <v/>
      </c>
      <c r="AQ501" s="67"/>
      <c r="AR501" s="67" t="str">
        <f>IF(B501="", "", 'Lighting Inventory'!BB259)</f>
        <v/>
      </c>
      <c r="AS501" s="67" t="str">
        <f>IF(B501="", "", 'Lighting Inventory'!BC259)</f>
        <v/>
      </c>
      <c r="AT501" s="67"/>
      <c r="AU501" s="67" t="str">
        <f>IF(B501="", "", 'Lighting Inventory'!BE259)</f>
        <v/>
      </c>
      <c r="AV501" s="67" t="str">
        <f>IF(B501="", "", 'Lighting Inventory'!BE259)</f>
        <v/>
      </c>
      <c r="AW501" s="67" t="str">
        <f>IF(B501="", "", 'Lighting Inventory'!BF259)</f>
        <v/>
      </c>
      <c r="AX501" s="67" t="str">
        <f>IF(B501="", "", 'Lighting Inventory'!BF259)</f>
        <v/>
      </c>
      <c r="AY501" s="65" t="str">
        <f t="shared" ref="AY501:AY502" si="28">AZ501</f>
        <v/>
      </c>
      <c r="AZ501" s="65" t="str">
        <f>IF(B501="", "", IF(AND('Lighting Inventory'!V259="No Change", 'Lighting Inventory'!Y259='Lighting Inventory'!$DM$7), SUM('Lighting Inventory'!BK259:BK259), 'Lighting Inventory'!BK259))</f>
        <v/>
      </c>
      <c r="BA501" s="65" t="str">
        <f>IF(B501="", "", 'Lighting Inventory'!BN259)</f>
        <v/>
      </c>
      <c r="BB501" s="65" t="str">
        <f>IF(B501="", "", IF(AND('Lighting Inventory'!V259="No Change", 'Lighting Inventory'!Y259='Lighting Inventory'!$DM$7), SUM('Lighting Inventory'!BQ259:BQ259), 'Lighting Inventory'!BQ259))</f>
        <v/>
      </c>
      <c r="BC501" s="67" t="str">
        <f>IF(BB501="","", 'Lighting Inventory'!GQ259)</f>
        <v/>
      </c>
      <c r="BD501" s="67" t="str">
        <f>IFERROR(IF(B501="", "", 'Lighting Inventory'!AF509)*AD501," ")</f>
        <v xml:space="preserve"> </v>
      </c>
      <c r="BE501" s="67"/>
      <c r="BF501" s="67"/>
    </row>
    <row r="502" spans="1:58" ht="15.75" thickBot="1" x14ac:dyDescent="0.3">
      <c r="A502" s="74" t="str">
        <f>IF(B502="", "", 'Lookup Tables'!AW253)</f>
        <v/>
      </c>
      <c r="B502" s="74" t="str">
        <f>IF(OR('Lighting Inventory'!BQ260="", 'Lighting Inventory'!BQ260=0), "", "Lighting Controls")</f>
        <v/>
      </c>
      <c r="C502" s="74" t="str">
        <f>IF(B502="", "", 'Lighting Inventory'!S260)</f>
        <v/>
      </c>
      <c r="D502" s="74" t="str">
        <f>IF(B502="", "", 'General Information'!$F$14)</f>
        <v/>
      </c>
      <c r="E502" s="74" t="str">
        <f t="shared" si="26"/>
        <v/>
      </c>
      <c r="F502" s="74" t="str">
        <f>IF(B502="", "", CONCATENATE('General Information'!$F$9, " - ", 'General Information'!$F$14))</f>
        <v/>
      </c>
      <c r="G502" s="74" t="str">
        <f>IF(B502="", "", 'General Information'!$F$15)</f>
        <v/>
      </c>
      <c r="H502" s="74" t="str">
        <f>IF(B502="", "", VLOOKUP(B502, 'Lookup Tables'!$Y$18:$AA$34, 2, FALSE))</f>
        <v/>
      </c>
      <c r="I502" s="74" t="str">
        <f>IF(B502="", "", CONCATENATE(D502, 'Lookup Tables'!AW503))</f>
        <v/>
      </c>
      <c r="J502" s="74" t="str">
        <f>IF(B502="", "", 'Lookup Tables'!$B$1)</f>
        <v/>
      </c>
      <c r="K502" s="74" t="str">
        <f>IF(B502="", "", 'Lighting Inventory'!B260)</f>
        <v/>
      </c>
      <c r="L502" s="74" t="str">
        <f>IF(B502="", "", 'Lighting Inventory'!C260)</f>
        <v/>
      </c>
      <c r="M502" s="74" t="str">
        <f>IF(B502="", "",'Lighting Inventory'!D260)</f>
        <v/>
      </c>
      <c r="N502" s="74" t="str">
        <f>IF(B502="", "",'Lighting Inventory'!E260)</f>
        <v/>
      </c>
      <c r="O502" s="74" t="str">
        <f>IF(B502="", "", 'Lighting Inventory'!F260)</f>
        <v/>
      </c>
      <c r="P502" s="74" t="str">
        <f>IF(B502="", "", 'Lighting Inventory'!G260)</f>
        <v/>
      </c>
      <c r="Q502" s="74" t="str">
        <f>IF(B502="", "", 'Lighting Inventory'!H260)</f>
        <v/>
      </c>
      <c r="R502" s="74" t="str">
        <f>IF(B502="", "", 'Lighting Inventory'!I260)</f>
        <v/>
      </c>
      <c r="S502" s="74" t="str">
        <f>IF(B502="", "", 'Lighting Inventory'!J260)</f>
        <v/>
      </c>
      <c r="T502" s="74" t="str">
        <f>IFERROR(IF(B502="","",VLOOKUP(S502,'Fixture Identities'!$A$7:$E$1023,5,FALSE)), "New Construction")</f>
        <v/>
      </c>
      <c r="U502" s="74" t="str">
        <f>IFERROR(IF(B502="", "", IF(K502="New Construction", "NC", IF(VLOOKUP(S502, 'Fixture Identities'!$A$7:$I$1023, 3, FALSE)="T12 Linear Fluorescent", VLOOKUP(S502, 'Fixture Identities'!$A$7:$K$1012, 11, FALSE), S502))), "")</f>
        <v/>
      </c>
      <c r="V502" s="74" t="str">
        <f>IF(OR(B502="", U502=0),"", IFERROR(VLOOKUP(U502, 'Fixture Identities'!$A$7:$E$1023, 5, FALSE), ""))</f>
        <v/>
      </c>
      <c r="W502" s="74" t="str">
        <f>IF(B502="", "",'Lighting Inventory'!K260)</f>
        <v/>
      </c>
      <c r="X502" s="75" t="str">
        <f>IF(B502="", "",'Lighting Inventory'!K260)</f>
        <v/>
      </c>
      <c r="Y502" s="74" t="str">
        <f>IF(B502="", "", IF('Lighting Inventory'!M260="", "Light Switch",'Lighting Inventory'!M260))</f>
        <v/>
      </c>
      <c r="Z502" s="74"/>
      <c r="AA502" s="74"/>
      <c r="AB502" s="74"/>
      <c r="AC502" s="97"/>
      <c r="AD502" s="74" t="str">
        <f>IF(B502="", "", IF('Lighting Inventory'!S260=0, 1, 'Lighting Inventory'!S260))</f>
        <v/>
      </c>
      <c r="AE502" s="74"/>
      <c r="AF502" s="74"/>
      <c r="AG502" s="74" t="str">
        <f>IF(OR(AF502="", B502=""), "", IF(AE502="Custom", "0", VLOOKUP(AF502, 'Lookup Tables'!$AI$6:$AP$102, 8, FALSE)))</f>
        <v/>
      </c>
      <c r="AH502" s="74"/>
      <c r="AI502" s="74"/>
      <c r="AJ502" s="76"/>
      <c r="AK502" s="75" t="str">
        <f>IF(B502="", "", 'Lighting Inventory'!AM260)</f>
        <v/>
      </c>
      <c r="AL502" s="74" t="str">
        <f>IF(OR('Lighting Inventory'!AN260="", B502=""),"", IF('Lighting Inventory'!AN260="Exterior Controls Not Eligible", "", 'Lighting Inventory'!AN260))</f>
        <v/>
      </c>
      <c r="AM502" s="74" t="str">
        <f t="shared" si="27"/>
        <v/>
      </c>
      <c r="AN502" s="74" t="str">
        <f>IF(B502="","",IF('Lighting Inventory'!AV260="","Prescribed",'Lighting Inventory'!AV260))</f>
        <v/>
      </c>
      <c r="AO502" s="76" t="str">
        <f>IF(B502="", "", 'Lighting Inventory'!AX260)</f>
        <v/>
      </c>
      <c r="AP502" s="77" t="str">
        <f>IF(B502="", "", 'Lighting Inventory'!BA260)</f>
        <v/>
      </c>
      <c r="AQ502" s="77"/>
      <c r="AR502" s="77" t="str">
        <f>IF(B502="", "", 'Lighting Inventory'!BB260)</f>
        <v/>
      </c>
      <c r="AS502" s="77" t="str">
        <f>IF(B502="", "", 'Lighting Inventory'!BC260)</f>
        <v/>
      </c>
      <c r="AT502" s="77"/>
      <c r="AU502" s="77" t="str">
        <f>IF(B502="", "", 'Lighting Inventory'!BE260)</f>
        <v/>
      </c>
      <c r="AV502" s="77" t="str">
        <f>IF(B502="", "", 'Lighting Inventory'!BE260)</f>
        <v/>
      </c>
      <c r="AW502" s="77" t="str">
        <f>IF(B502="", "", 'Lighting Inventory'!BF260)</f>
        <v/>
      </c>
      <c r="AX502" s="77" t="str">
        <f>IF(B502="", "", 'Lighting Inventory'!BF260)</f>
        <v/>
      </c>
      <c r="AY502" s="75" t="str">
        <f t="shared" si="28"/>
        <v/>
      </c>
      <c r="AZ502" s="75" t="str">
        <f>IF(B502="", "", IF(AND('Lighting Inventory'!V260="No Change", 'Lighting Inventory'!Y260='Lighting Inventory'!$DM$7), SUM('Lighting Inventory'!BK260:BK260), 'Lighting Inventory'!BK260))</f>
        <v/>
      </c>
      <c r="BA502" s="75" t="str">
        <f>IF(B502="", "", 'Lighting Inventory'!BN260)</f>
        <v/>
      </c>
      <c r="BB502" s="75" t="str">
        <f>IF(B502="", "", IF(AND('Lighting Inventory'!V260="No Change", 'Lighting Inventory'!Y260='Lighting Inventory'!$DM$7), SUM('Lighting Inventory'!BQ260:BQ260), 'Lighting Inventory'!BQ260))</f>
        <v/>
      </c>
      <c r="BC502" s="67" t="str">
        <f>IF(BB502="","", 'Lighting Inventory'!GQ260)</f>
        <v/>
      </c>
      <c r="BD502" s="67" t="str">
        <f>IFERROR(IF(B502="", "", 'Lighting Inventory'!AF510)*AD502," ")</f>
        <v xml:space="preserve"> </v>
      </c>
      <c r="BE502" s="67"/>
      <c r="BF502" s="67"/>
    </row>
  </sheetData>
  <sheetProtection algorithmName="SHA-512" hashValue="o8f4wO4zcAl2pbsZIMs/aOpNRWulM8ye4X3JRpqzjRBmj73hHDTnGpUuice+7yLyD1dMnM6aQQbJFmqeX9Ui6A==" saltValue="IlH06IlsvnYSEpvV1WdO3A==" spinCount="100000" sheet="1" objects="1" scenarios="1"/>
  <pageMargins left="0.7" right="0.7" top="0.75" bottom="0.75" header="0.3" footer="0.3"/>
  <pageSetup orientation="portrait" horizontalDpi="1200" verticalDpi="1200"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autoPageBreaks="0"/>
  </sheetPr>
  <dimension ref="A1:BM251"/>
  <sheetViews>
    <sheetView workbookViewId="0"/>
  </sheetViews>
  <sheetFormatPr defaultRowHeight="15" x14ac:dyDescent="0.25"/>
  <cols>
    <col min="1" max="1" width="6.140625" customWidth="1"/>
    <col min="2" max="2" width="32.28515625" customWidth="1"/>
    <col min="3" max="4" width="29.85546875" customWidth="1"/>
    <col min="5" max="5" width="15.7109375" customWidth="1"/>
    <col min="6" max="6" width="17" customWidth="1"/>
    <col min="7" max="7" width="20" customWidth="1"/>
    <col min="8" max="8" width="21.85546875" customWidth="1"/>
    <col min="9" max="9" width="19" customWidth="1"/>
    <col min="10" max="10" width="45.5703125" customWidth="1"/>
    <col min="11" max="11" width="44.7109375" customWidth="1"/>
    <col min="12" max="12" width="20.5703125" customWidth="1"/>
    <col min="13" max="14" width="16.140625" customWidth="1"/>
    <col min="15" max="15" width="26" customWidth="1"/>
    <col min="16" max="16" width="8.85546875" style="188" customWidth="1"/>
    <col min="17" max="21" width="8.85546875" customWidth="1"/>
    <col min="22" max="22" width="5" bestFit="1" customWidth="1"/>
    <col min="23" max="35" width="3.5703125" customWidth="1"/>
    <col min="36" max="42" width="3.42578125" customWidth="1"/>
    <col min="43" max="44" width="8.5703125" customWidth="1"/>
    <col min="45" max="48" width="5.85546875" customWidth="1"/>
    <col min="49" max="52" width="4.5703125" customWidth="1"/>
    <col min="53" max="54" width="7.42578125" customWidth="1"/>
    <col min="55" max="56" width="6.5703125" customWidth="1"/>
    <col min="57" max="58" width="9.28515625" customWidth="1"/>
    <col min="59" max="60" width="7.140625" customWidth="1"/>
    <col min="61" max="64" width="5.7109375" customWidth="1"/>
    <col min="65" max="65" width="15.28515625" style="186" customWidth="1"/>
  </cols>
  <sheetData>
    <row r="1" spans="1:65" s="190" customFormat="1" ht="29.25" customHeight="1" x14ac:dyDescent="0.25">
      <c r="A1" s="393" t="s">
        <v>4465</v>
      </c>
      <c r="B1" s="393" t="s">
        <v>4510</v>
      </c>
      <c r="C1" s="393" t="s">
        <v>4511</v>
      </c>
      <c r="D1" s="393" t="s">
        <v>78</v>
      </c>
      <c r="E1" s="393" t="s">
        <v>76</v>
      </c>
      <c r="F1" s="393" t="s">
        <v>4512</v>
      </c>
      <c r="G1" s="393" t="s">
        <v>4513</v>
      </c>
      <c r="H1" s="393" t="s">
        <v>4514</v>
      </c>
      <c r="I1" s="393" t="s">
        <v>2865</v>
      </c>
      <c r="J1" s="236" t="s">
        <v>98</v>
      </c>
      <c r="K1" s="393" t="s">
        <v>4515</v>
      </c>
      <c r="L1" s="237" t="s">
        <v>4516</v>
      </c>
      <c r="M1" s="393" t="s">
        <v>4517</v>
      </c>
      <c r="N1" s="393" t="s">
        <v>94</v>
      </c>
      <c r="O1" s="393" t="s">
        <v>4518</v>
      </c>
      <c r="P1" s="191" t="s">
        <v>2972</v>
      </c>
      <c r="Q1" s="393" t="s">
        <v>181</v>
      </c>
      <c r="R1" s="393" t="s">
        <v>4519</v>
      </c>
      <c r="S1" s="393" t="s">
        <v>4520</v>
      </c>
      <c r="T1" s="393" t="s">
        <v>3324</v>
      </c>
      <c r="U1" s="393" t="s">
        <v>4521</v>
      </c>
      <c r="V1" s="1227" t="s">
        <v>4522</v>
      </c>
      <c r="W1" s="1227"/>
      <c r="X1" s="1227"/>
      <c r="Y1" s="1227"/>
      <c r="Z1" s="1227"/>
      <c r="AA1" s="1227"/>
      <c r="AB1" s="1227"/>
      <c r="AC1" s="1227" t="s">
        <v>4523</v>
      </c>
      <c r="AD1" s="1227"/>
      <c r="AE1" s="1227"/>
      <c r="AF1" s="1227"/>
      <c r="AG1" s="1227"/>
      <c r="AH1" s="1227"/>
      <c r="AI1" s="1227"/>
      <c r="AJ1" s="1227" t="s">
        <v>14</v>
      </c>
      <c r="AK1" s="1227"/>
      <c r="AL1" s="1227"/>
      <c r="AM1" s="1227"/>
      <c r="AN1" s="1227"/>
      <c r="AO1" s="1227"/>
      <c r="AP1" s="1227"/>
      <c r="AQ1" s="1227" t="s">
        <v>4524</v>
      </c>
      <c r="AR1" s="1227"/>
      <c r="AS1" s="1227" t="s">
        <v>67</v>
      </c>
      <c r="AT1" s="1227"/>
      <c r="AU1" s="1227"/>
      <c r="AV1" s="1227"/>
      <c r="AW1" s="1227" t="s">
        <v>4525</v>
      </c>
      <c r="AX1" s="1227"/>
      <c r="AY1" s="1227"/>
      <c r="AZ1" s="1227"/>
      <c r="BA1" s="1227" t="s">
        <v>4526</v>
      </c>
      <c r="BB1" s="1227"/>
      <c r="BC1" s="1227" t="s">
        <v>4527</v>
      </c>
      <c r="BD1" s="1227"/>
      <c r="BE1" s="1227" t="s">
        <v>4528</v>
      </c>
      <c r="BF1" s="1227"/>
      <c r="BG1" s="1227" t="s">
        <v>4529</v>
      </c>
      <c r="BH1" s="1227"/>
      <c r="BI1" s="1227" t="s">
        <v>24</v>
      </c>
      <c r="BJ1" s="1227"/>
      <c r="BK1" s="1227"/>
      <c r="BL1" s="1227"/>
      <c r="BM1" s="393" t="s">
        <v>4530</v>
      </c>
    </row>
    <row r="2" spans="1:65" x14ac:dyDescent="0.25">
      <c r="A2" s="189">
        <v>1</v>
      </c>
      <c r="B2" s="186" t="str">
        <f>IF('Lighting Inventory'!F11="", "", 'Lighting Inventory'!F11)</f>
        <v/>
      </c>
      <c r="C2" s="26" t="str">
        <f>IF(B2="", "", CONCATENATE("Area: ", 'Lighting Inventory'!D11, ", ", IF('Lighting Inventory'!C11="", "", "Floor: "), 'Lighting Inventory'!C11))</f>
        <v/>
      </c>
      <c r="D2" s="186" t="str">
        <f>IF(B2="", "", IF('Lighting Inventory'!B11="New Construction",CONCATENATE("Cut Sheet ", 250+'Appendix C'!A2), IF(ISNUMBER(SEARCH("cut sheet", 'Lighting Inventory'!J11)), CONCATENATE("Cut Sheet ", 'Lookup Tables'!AX4), 'Lighting Inventory'!J11)))</f>
        <v/>
      </c>
      <c r="E2" s="26" t="str">
        <f>IF(B2="", "", IF('Lighting Inventory'!B11="New Construction", 1, 'Lighting Inventory'!I11))</f>
        <v/>
      </c>
      <c r="F2" s="26" t="str">
        <f>IF(B2="", "", IF('Lighting Inventory'!B11="New Construction", 'Lighting Inventory'!R11*1000, 'Lighting Inventory'!K11))</f>
        <v/>
      </c>
      <c r="G2" s="26" t="str">
        <f>IF(B2="", "", IF('Lighting Inventory'!M11="", "S_LS", VLOOKUP('Lighting Inventory'!M11, 'Lookup Tables'!$B$142:$D$148, 3, FALSE)))</f>
        <v/>
      </c>
      <c r="H2" s="26" t="str">
        <f>IF(OR('Lighting Inventory'!V11="", 'Lighting Inventory'!W11=""), "", IF('Lighting Inventory'!W11="No Change", 'Lighting Inventory'!J11, CONCATENATE("Cut Sheet ", 'Appendix C'!A2)))</f>
        <v/>
      </c>
      <c r="I2" s="26" t="str">
        <f>IF(H2="", "", IF('Lighting Inventory'!AB11="Yes", "Screw-In", "General"))</f>
        <v/>
      </c>
      <c r="J2" s="26" t="str">
        <f>IF(B2="", "", CONCATENATE('Lighting Inventory'!W11, ", ", 'Lighting Inventory'!AL11, " W"))</f>
        <v/>
      </c>
      <c r="K2" s="26" t="str">
        <f>IF(OR(B2="",'Lighting Inventory'!B11="Retrofit"),"",IF('General Information'!$F$16="Space-by-Space",CONCATENATE('Lighting Inventory'!N11,", ",'Lighting Inventory'!O11," ",'Lighting Inventory'!P11," LPD"," at ",'Lighting Inventory'!Q11,", ",'Lighting Inventory'!R11," kW"),CONCATENATE(B2,", ",'Lighting Inventory'!O11," ",'Lighting Inventory'!P11," LPD"," at ",'Lighting Inventory'!Q11,", ",'Lighting Inventory'!R11," kW")))</f>
        <v/>
      </c>
      <c r="L2" s="26" t="str">
        <f>IF(H2="","",IF('Lighting Inventory'!AK11="","",'Lighting Inventory'!AK11))</f>
        <v/>
      </c>
      <c r="M2" s="26" t="str">
        <f>IF(H2="", "", 'Lighting Inventory'!AL11)</f>
        <v/>
      </c>
      <c r="N2" s="26" t="str">
        <f>IF('Lighting Inventory'!S11="", "", IF('Lighting Inventory'!W11="No Change", 'Lighting Inventory'!I11, 'Lighting Inventory'!S11))</f>
        <v/>
      </c>
      <c r="O2" s="26" t="str">
        <f>IF('Lighting Inventory'!AN11="", "", VLOOKUP('Lighting Inventory'!AN11, 'Lookup Tables'!$B$142:$D$148, 3, FALSE))</f>
        <v/>
      </c>
      <c r="P2" s="66" t="str">
        <f>IF(B2="", "", 'Lighting Inventory'!AX11)</f>
        <v/>
      </c>
      <c r="Q2" s="67" t="str">
        <f>IF(B2="", "", 'Lighting Inventory'!AZ11)</f>
        <v/>
      </c>
      <c r="R2" s="187" t="str">
        <f>IF(OR('Lighting Inventory'!G11="", 'Lighting Inventory'!H11=""), "", 'Lighting Inventory'!BD11)</f>
        <v/>
      </c>
      <c r="S2" s="187" t="str">
        <f>IF(OR('Lighting Inventory'!G11="", 'Lighting Inventory'!H11=""), "",'Lighting Inventory'!BB11)</f>
        <v/>
      </c>
      <c r="T2" s="67" t="str">
        <f>IF(B2="", "", 'Lighting Inventory'!BE11)</f>
        <v/>
      </c>
      <c r="U2" s="67" t="str">
        <f>IF(B2="", "", 'Lighting Inventory'!BF11)</f>
        <v/>
      </c>
      <c r="V2" s="1226" t="str">
        <f>IF('General Information'!$F$9="", "", 'General Information'!$F$9)</f>
        <v/>
      </c>
      <c r="W2" s="1226"/>
      <c r="X2" s="1226"/>
      <c r="Y2" s="1226"/>
      <c r="Z2" s="1226"/>
      <c r="AA2" s="1226"/>
      <c r="AB2" s="1226"/>
      <c r="AC2" s="1226" t="str">
        <f>IF('General Information'!$F$10="", "", 'General Information'!$F$10)</f>
        <v/>
      </c>
      <c r="AD2" s="1226"/>
      <c r="AE2" s="1226"/>
      <c r="AF2" s="1226"/>
      <c r="AG2" s="1226"/>
      <c r="AH2" s="1226"/>
      <c r="AI2" s="1226"/>
      <c r="AJ2" s="1226" t="str">
        <f>IF('General Information'!$F$11="", "", 'General Information'!$F$11)</f>
        <v/>
      </c>
      <c r="AK2" s="1226"/>
      <c r="AL2" s="1226"/>
      <c r="AM2" s="1226"/>
      <c r="AN2" s="1226"/>
      <c r="AO2" s="1226"/>
      <c r="AP2" s="1226"/>
      <c r="AQ2" s="1226" t="str">
        <f>IF('General Information'!$F$12="","",IF('General Information'!$F$12="West Penn Power","W. Penn Power",'General Information'!$F$12))</f>
        <v/>
      </c>
      <c r="AR2" s="1226"/>
      <c r="AS2" s="1226" t="str">
        <f>IFERROR(AL4, "")</f>
        <v/>
      </c>
      <c r="AT2" s="1226"/>
      <c r="AU2" s="1226"/>
      <c r="AV2" s="1226"/>
      <c r="AW2" s="1226" t="s">
        <v>3207</v>
      </c>
      <c r="AX2" s="1226"/>
      <c r="AY2" s="1226"/>
      <c r="AZ2" s="1226"/>
      <c r="BA2" s="1226">
        <f>IFERROR(SUM('Lighting Inventory'!O11:O260), "")</f>
        <v>0</v>
      </c>
      <c r="BB2" s="1226"/>
      <c r="BC2" s="1225">
        <f>IF('General Information'!$F$19="", "", 'General Information'!$F$19)</f>
        <v>0</v>
      </c>
      <c r="BD2" s="1225"/>
      <c r="BE2" s="1226" t="str">
        <f>IFERROR(BE4, "")</f>
        <v/>
      </c>
      <c r="BF2" s="1226"/>
      <c r="BG2" s="1226" t="str">
        <f>IF(B2="", "", "Deemed")</f>
        <v/>
      </c>
      <c r="BH2" s="1226"/>
      <c r="BI2" s="1226" t="str">
        <f>IF(OR('General Information'!$F$16="", 'General Information'!$F$16="Not Applicable"), "", IF('General Information'!$F$16="Building Area", "Building Area Method", IF('General Information'!$F$16="Space-by-Space", "Space by Space Method")))</f>
        <v/>
      </c>
      <c r="BJ2" s="1226"/>
      <c r="BK2" s="1226"/>
      <c r="BL2" s="1226"/>
      <c r="BM2" s="186" t="str">
        <f>IF(ISNUMBER(SEARCH("cut sheet", D2, 1)),D2, "-")</f>
        <v>-</v>
      </c>
    </row>
    <row r="3" spans="1:65" x14ac:dyDescent="0.25">
      <c r="A3" s="189">
        <v>2</v>
      </c>
      <c r="B3" s="186" t="str">
        <f>IF('Lighting Inventory'!F12="", "", 'Lighting Inventory'!F12)</f>
        <v/>
      </c>
      <c r="C3" s="26" t="str">
        <f>IF(B3="", "", CONCATENATE("Area: ", 'Lighting Inventory'!D12, ", ", IF('Lighting Inventory'!C12="", "", "Floor: "), 'Lighting Inventory'!C12))</f>
        <v/>
      </c>
      <c r="D3" s="186" t="str">
        <f>IF(B3="", "", IF('Lighting Inventory'!B12="New Construction",CONCATENATE("Cut Sheet ", 250+'Appendix C'!A3), IF(ISNUMBER(SEARCH("cut sheet", 'Lighting Inventory'!J12)), CONCATENATE("Cut Sheet ", 'Lookup Tables'!AX5), 'Lighting Inventory'!J12)))</f>
        <v/>
      </c>
      <c r="E3" s="26" t="str">
        <f>IF(B3="", "", IF('Lighting Inventory'!B12="New Construction", 1, 'Lighting Inventory'!I12))</f>
        <v/>
      </c>
      <c r="F3" s="26" t="str">
        <f>IF(B3="", "", IF('Lighting Inventory'!B12="New Construction", 'Lighting Inventory'!R12*1000, 'Lighting Inventory'!K12))</f>
        <v/>
      </c>
      <c r="G3" s="26" t="str">
        <f>IF(B3="", "", IF('Lighting Inventory'!M12="", "S_LS", VLOOKUP('Lighting Inventory'!M12, 'Lookup Tables'!$B$142:$D$148, 3, FALSE)))</f>
        <v/>
      </c>
      <c r="H3" s="26" t="str">
        <f>IF(OR('Lighting Inventory'!V12="", 'Lighting Inventory'!W12=""), "", IF('Lighting Inventory'!W12="No Change", 'Lighting Inventory'!J12, CONCATENATE("Cut Sheet ", 'Appendix C'!A3)))</f>
        <v/>
      </c>
      <c r="I3" s="26" t="str">
        <f>IF(H3="", "", IF('Lighting Inventory'!AB12="Yes", "Screw-In", "General"))</f>
        <v/>
      </c>
      <c r="J3" s="26" t="str">
        <f>IF(B3="", "", CONCATENATE('Lighting Inventory'!W12, ", ", 'Lighting Inventory'!AL12, " W"))</f>
        <v/>
      </c>
      <c r="K3" s="26" t="str">
        <f>IF(OR(B3="",'Lighting Inventory'!B12="Retrofit"),"",IF('General Information'!$F$16="Space-by-Space",CONCATENATE('Lighting Inventory'!N12,", ",'Lighting Inventory'!O12," ",'Lighting Inventory'!P12," LPD"," at ",'Lighting Inventory'!Q12,", ",'Lighting Inventory'!R12," kW"),CONCATENATE(B3,", ",'Lighting Inventory'!O12," ",'Lighting Inventory'!P12," LPD"," at ",'Lighting Inventory'!Q12,", ",'Lighting Inventory'!R12," kW")))</f>
        <v/>
      </c>
      <c r="L3" s="26" t="str">
        <f>IF(H3="","",IF('Lighting Inventory'!AK12="","",'Lighting Inventory'!AK12))</f>
        <v/>
      </c>
      <c r="M3" s="26" t="str">
        <f>IF(H3="", "", 'Lighting Inventory'!AL12)</f>
        <v/>
      </c>
      <c r="N3" s="26" t="str">
        <f>IF('Lighting Inventory'!S12="", "", IF('Lighting Inventory'!W12="No Change", 'Lighting Inventory'!I12, 'Lighting Inventory'!S12))</f>
        <v/>
      </c>
      <c r="O3" s="26" t="str">
        <f>IF('Lighting Inventory'!AN12="", "", VLOOKUP('Lighting Inventory'!AN12, 'Lookup Tables'!$B$142:$D$148, 3, FALSE))</f>
        <v/>
      </c>
      <c r="P3" s="66" t="str">
        <f>IF(B3="", "", 'Lighting Inventory'!AX12)</f>
        <v/>
      </c>
      <c r="Q3" s="67" t="str">
        <f>IF(B3="", "", 'Lighting Inventory'!AZ12)</f>
        <v/>
      </c>
      <c r="R3" s="187" t="str">
        <f>IF(OR('Lighting Inventory'!G12="", 'Lighting Inventory'!H12=""), "", 'Lighting Inventory'!BD12)</f>
        <v/>
      </c>
      <c r="S3" s="187" t="str">
        <f>IF(OR('Lighting Inventory'!G12="", 'Lighting Inventory'!H12=""), "",'Lighting Inventory'!BB12)</f>
        <v/>
      </c>
      <c r="T3" s="67" t="str">
        <f>IF(B3="", "", 'Lighting Inventory'!BE12)</f>
        <v/>
      </c>
      <c r="U3" s="67" t="str">
        <f>IF(B3="", "", 'Lighting Inventory'!BF12)</f>
        <v/>
      </c>
      <c r="BM3" s="186" t="str">
        <f t="shared" ref="BM3:BM66" si="0">IF(ISNUMBER(SEARCH("cut sheet", D3, 1)),D3, "-")</f>
        <v>-</v>
      </c>
    </row>
    <row r="4" spans="1:65" x14ac:dyDescent="0.25">
      <c r="A4" s="189">
        <v>3</v>
      </c>
      <c r="B4" s="186" t="str">
        <f>IF('Lighting Inventory'!F13="", "", 'Lighting Inventory'!F13)</f>
        <v/>
      </c>
      <c r="C4" s="26" t="str">
        <f>IF(B4="", "", CONCATENATE("Area: ", 'Lighting Inventory'!D13, ", ", IF('Lighting Inventory'!C13="", "", "Floor: "), 'Lighting Inventory'!C13))</f>
        <v/>
      </c>
      <c r="D4" s="186" t="str">
        <f>IF(B4="", "", IF('Lighting Inventory'!B13="New Construction",CONCATENATE("Cut Sheet ", 250+'Appendix C'!A4), IF(ISNUMBER(SEARCH("cut sheet", 'Lighting Inventory'!J13)), CONCATENATE("Cut Sheet ", 'Lookup Tables'!AX6), 'Lighting Inventory'!J13)))</f>
        <v/>
      </c>
      <c r="E4" s="26" t="str">
        <f>IF(B4="", "", IF('Lighting Inventory'!B13="New Construction", 1, 'Lighting Inventory'!I13))</f>
        <v/>
      </c>
      <c r="F4" s="26" t="str">
        <f>IF(B4="", "", IF('Lighting Inventory'!B13="New Construction", 'Lighting Inventory'!R13*1000, 'Lighting Inventory'!K13))</f>
        <v/>
      </c>
      <c r="G4" s="26" t="str">
        <f>IF(B4="", "", IF('Lighting Inventory'!M13="", "S_LS", VLOOKUP('Lighting Inventory'!M13, 'Lookup Tables'!$B$142:$D$148, 3, FALSE)))</f>
        <v/>
      </c>
      <c r="H4" s="26" t="str">
        <f>IF(OR('Lighting Inventory'!V13="", 'Lighting Inventory'!W13=""), "", IF('Lighting Inventory'!W13="No Change", 'Lighting Inventory'!J13, CONCATENATE("Cut Sheet ", 'Appendix C'!A4)))</f>
        <v/>
      </c>
      <c r="I4" s="26" t="str">
        <f>IF(H4="", "", IF('Lighting Inventory'!AB13="Yes", "Screw-In", "General"))</f>
        <v/>
      </c>
      <c r="J4" s="26" t="str">
        <f>IF(B4="", "", CONCATENATE('Lighting Inventory'!W13, ", ", 'Lighting Inventory'!AL13, " W"))</f>
        <v/>
      </c>
      <c r="K4" s="26" t="str">
        <f>IF(OR(B4="",'Lighting Inventory'!B13="Retrofit"),"",IF('General Information'!$F$16="Space-by-Space",CONCATENATE('Lighting Inventory'!N13,", ",'Lighting Inventory'!O13," ",'Lighting Inventory'!P13," LPD"," at ",'Lighting Inventory'!Q13,", ",'Lighting Inventory'!R13," kW"),CONCATENATE(B4,", ",'Lighting Inventory'!O13," ",'Lighting Inventory'!P13," LPD"," at ",'Lighting Inventory'!Q13,", ",'Lighting Inventory'!R13," kW")))</f>
        <v/>
      </c>
      <c r="L4" s="26" t="str">
        <f>IF(H4="","",IF('Lighting Inventory'!AK13="","",'Lighting Inventory'!AK13))</f>
        <v/>
      </c>
      <c r="M4" s="26" t="str">
        <f>IF(H4="", "", 'Lighting Inventory'!AL13)</f>
        <v/>
      </c>
      <c r="N4" s="26" t="str">
        <f>IF('Lighting Inventory'!S13="", "", IF('Lighting Inventory'!W13="No Change", 'Lighting Inventory'!I13, 'Lighting Inventory'!S13))</f>
        <v/>
      </c>
      <c r="O4" s="26" t="str">
        <f>IF('Lighting Inventory'!AN13="", "", VLOOKUP('Lighting Inventory'!AN13, 'Lookup Tables'!$B$142:$D$148, 3, FALSE))</f>
        <v/>
      </c>
      <c r="P4" s="66" t="str">
        <f>IF(B4="", "", 'Lighting Inventory'!AX13)</f>
        <v/>
      </c>
      <c r="Q4" s="67" t="str">
        <f>IF(B4="", "", 'Lighting Inventory'!AZ13)</f>
        <v/>
      </c>
      <c r="R4" s="187" t="str">
        <f>IF(OR('Lighting Inventory'!G13="", 'Lighting Inventory'!H13=""), "", 'Lighting Inventory'!BD13)</f>
        <v/>
      </c>
      <c r="S4" s="187" t="str">
        <f>IF(OR('Lighting Inventory'!G13="", 'Lighting Inventory'!H13=""), "",'Lighting Inventory'!BB13)</f>
        <v/>
      </c>
      <c r="T4" s="67" t="str">
        <f>IF(B4="", "", 'Lighting Inventory'!BE13)</f>
        <v/>
      </c>
      <c r="U4" s="67" t="str">
        <f>IF(B4="", "", 'Lighting Inventory'!BF13)</f>
        <v/>
      </c>
      <c r="AL4" s="354" t="e">
        <f t="array" ref="AL4">VLOOKUP(INDEX($B$2:$B$251,0,MODE(IF($B$2:$B$251&lt;&gt;"",MATCH($B$2:$B$251,$B$2:$B$251,0)))), 'Lookup Tables'!$A$6:$L$59, 12, FALSE)</f>
        <v>#N/A</v>
      </c>
      <c r="AM4" s="354"/>
      <c r="AN4" s="354"/>
      <c r="AO4" s="354"/>
      <c r="AP4" s="354"/>
      <c r="AQ4" s="354"/>
      <c r="AR4" s="354"/>
      <c r="AS4" s="354"/>
      <c r="AT4" s="354"/>
      <c r="AU4" s="354"/>
      <c r="AV4" s="354"/>
      <c r="AW4" s="354"/>
      <c r="AX4" s="354"/>
      <c r="AY4" s="354"/>
      <c r="AZ4" s="354"/>
      <c r="BA4" s="354"/>
      <c r="BE4" s="354" t="e">
        <f t="array" ref="BE4">VLOOKUP(INDEX('Lighting Inventory'!$H$11:$H$260,0,MODE(IF('Lighting Inventory'!$H$11:$H$260&lt;&gt;"",MATCH('Lighting Inventory'!$H$11:$H$260,'Lighting Inventory'!$H$11:$H$260,0)))), 'Lookup Tables'!$R$6:$V$8, 5, FALSE)</f>
        <v>#N/A</v>
      </c>
      <c r="BM4" s="186" t="str">
        <f t="shared" si="0"/>
        <v>-</v>
      </c>
    </row>
    <row r="5" spans="1:65" x14ac:dyDescent="0.25">
      <c r="A5" s="189">
        <v>4</v>
      </c>
      <c r="B5" s="186" t="str">
        <f>IF('Lighting Inventory'!F14="", "", 'Lighting Inventory'!F14)</f>
        <v/>
      </c>
      <c r="C5" s="26" t="str">
        <f>IF(B5="", "", CONCATENATE("Area: ", 'Lighting Inventory'!D14, ", ", IF('Lighting Inventory'!C14="", "", "Floor: "), 'Lighting Inventory'!C14))</f>
        <v/>
      </c>
      <c r="D5" s="186" t="str">
        <f>IF(B5="", "", IF('Lighting Inventory'!B14="New Construction",CONCATENATE("Cut Sheet ", 250+'Appendix C'!A5), IF(ISNUMBER(SEARCH("cut sheet", 'Lighting Inventory'!J14)), CONCATENATE("Cut Sheet ", 'Lookup Tables'!AX7), 'Lighting Inventory'!J14)))</f>
        <v/>
      </c>
      <c r="E5" s="26" t="str">
        <f>IF(B5="", "", IF('Lighting Inventory'!B14="New Construction", 1, 'Lighting Inventory'!I14))</f>
        <v/>
      </c>
      <c r="F5" s="26" t="str">
        <f>IF(B5="", "", IF('Lighting Inventory'!B14="New Construction", 'Lighting Inventory'!R14*1000, 'Lighting Inventory'!K14))</f>
        <v/>
      </c>
      <c r="G5" s="26" t="str">
        <f>IF(B5="", "", IF('Lighting Inventory'!M14="", "S_LS", VLOOKUP('Lighting Inventory'!M14, 'Lookup Tables'!$B$142:$D$148, 3, FALSE)))</f>
        <v/>
      </c>
      <c r="H5" s="26" t="str">
        <f>IF(OR('Lighting Inventory'!V14="", 'Lighting Inventory'!W14=""), "", IF('Lighting Inventory'!W14="No Change", 'Lighting Inventory'!J14, CONCATENATE("Cut Sheet ", 'Appendix C'!A5)))</f>
        <v/>
      </c>
      <c r="I5" s="26" t="str">
        <f>IF(H5="", "", IF('Lighting Inventory'!AB14="Yes", "Screw-In", "General"))</f>
        <v/>
      </c>
      <c r="J5" s="26" t="str">
        <f>IF(B5="", "", CONCATENATE('Lighting Inventory'!W14, ", ", 'Lighting Inventory'!AL14, " W"))</f>
        <v/>
      </c>
      <c r="K5" s="26" t="str">
        <f>IF(OR(B5="",'Lighting Inventory'!B14="Retrofit"),"",IF('General Information'!$F$16="Space-by-Space",CONCATENATE('Lighting Inventory'!N14,", ",'Lighting Inventory'!O14," ",'Lighting Inventory'!P14," LPD"," at ",'Lighting Inventory'!Q14,", ",'Lighting Inventory'!R14," kW"),CONCATENATE(B5,", ",'Lighting Inventory'!O14," ",'Lighting Inventory'!P14," LPD"," at ",'Lighting Inventory'!Q14,", ",'Lighting Inventory'!R14," kW")))</f>
        <v/>
      </c>
      <c r="L5" s="26" t="str">
        <f>IF(H5="","",IF('Lighting Inventory'!AK14="","",'Lighting Inventory'!AK14))</f>
        <v/>
      </c>
      <c r="M5" s="26" t="str">
        <f>IF(H5="", "", 'Lighting Inventory'!AL14)</f>
        <v/>
      </c>
      <c r="N5" s="26" t="str">
        <f>IF('Lighting Inventory'!S14="", "", IF('Lighting Inventory'!W14="No Change", 'Lighting Inventory'!I14, 'Lighting Inventory'!S14))</f>
        <v/>
      </c>
      <c r="O5" s="26" t="str">
        <f>IF('Lighting Inventory'!AN14="", "", VLOOKUP('Lighting Inventory'!AN14, 'Lookup Tables'!$B$142:$D$148, 3, FALSE))</f>
        <v/>
      </c>
      <c r="P5" s="66" t="str">
        <f>IF(B5="", "", 'Lighting Inventory'!AX14)</f>
        <v/>
      </c>
      <c r="Q5" s="67" t="str">
        <f>IF(B5="", "", 'Lighting Inventory'!AZ14)</f>
        <v/>
      </c>
      <c r="R5" s="187" t="str">
        <f>IF(OR('Lighting Inventory'!G14="", 'Lighting Inventory'!H14=""), "", 'Lighting Inventory'!BD14)</f>
        <v/>
      </c>
      <c r="S5" s="187" t="str">
        <f>IF(OR('Lighting Inventory'!G14="", 'Lighting Inventory'!H14=""), "",'Lighting Inventory'!BB14)</f>
        <v/>
      </c>
      <c r="T5" s="67" t="str">
        <f>IF(B5="", "", 'Lighting Inventory'!BE14)</f>
        <v/>
      </c>
      <c r="U5" s="67" t="str">
        <f>IF(B5="", "", 'Lighting Inventory'!BF14)</f>
        <v/>
      </c>
      <c r="AL5" s="354"/>
      <c r="AM5" s="354"/>
      <c r="AN5" s="354"/>
      <c r="AO5" s="354"/>
      <c r="AP5" s="354"/>
      <c r="AQ5" s="354"/>
      <c r="AR5" s="354"/>
      <c r="AS5" s="354"/>
      <c r="AT5" s="354"/>
      <c r="AU5" s="354"/>
      <c r="AV5" s="354"/>
      <c r="AW5" s="354"/>
      <c r="AX5" s="354"/>
      <c r="AY5" s="354"/>
      <c r="AZ5" s="354"/>
      <c r="BA5" s="354"/>
      <c r="BM5" s="186" t="str">
        <f t="shared" si="0"/>
        <v>-</v>
      </c>
    </row>
    <row r="6" spans="1:65" x14ac:dyDescent="0.25">
      <c r="A6" s="189">
        <v>5</v>
      </c>
      <c r="B6" s="186" t="str">
        <f>IF('Lighting Inventory'!F15="", "", 'Lighting Inventory'!F15)</f>
        <v/>
      </c>
      <c r="C6" s="26" t="str">
        <f>IF(B6="", "", CONCATENATE("Area: ", 'Lighting Inventory'!D15, ", ", IF('Lighting Inventory'!C15="", "", "Floor: "), 'Lighting Inventory'!C15))</f>
        <v/>
      </c>
      <c r="D6" s="186" t="str">
        <f>IF(B6="", "", IF('Lighting Inventory'!B15="New Construction",CONCATENATE("Cut Sheet ", 250+'Appendix C'!A6), IF(ISNUMBER(SEARCH("cut sheet", 'Lighting Inventory'!J15)), CONCATENATE("Cut Sheet ", 'Lookup Tables'!AX8), 'Lighting Inventory'!J15)))</f>
        <v/>
      </c>
      <c r="E6" s="26" t="str">
        <f>IF(B6="", "", IF('Lighting Inventory'!B15="New Construction", 1, 'Lighting Inventory'!I15))</f>
        <v/>
      </c>
      <c r="F6" s="26" t="str">
        <f>IF(B6="", "", IF('Lighting Inventory'!B15="New Construction", 'Lighting Inventory'!R15*1000, 'Lighting Inventory'!K15))</f>
        <v/>
      </c>
      <c r="G6" s="26" t="str">
        <f>IF(B6="", "", IF('Lighting Inventory'!M15="", "S_LS", VLOOKUP('Lighting Inventory'!M15, 'Lookup Tables'!$B$142:$D$148, 3, FALSE)))</f>
        <v/>
      </c>
      <c r="H6" s="26" t="str">
        <f>IF(OR('Lighting Inventory'!V15="", 'Lighting Inventory'!W15=""), "", IF('Lighting Inventory'!W15="No Change", 'Lighting Inventory'!J15, CONCATENATE("Cut Sheet ", 'Appendix C'!A6)))</f>
        <v/>
      </c>
      <c r="I6" s="26" t="str">
        <f>IF(H6="", "", IF('Lighting Inventory'!AB15="Yes", "Screw-In", "General"))</f>
        <v/>
      </c>
      <c r="J6" s="26" t="str">
        <f>IF(B6="", "", CONCATENATE('Lighting Inventory'!W15, ", ", 'Lighting Inventory'!AL15, " W"))</f>
        <v/>
      </c>
      <c r="K6" s="26" t="str">
        <f>IF(OR(B6="",'Lighting Inventory'!B15="Retrofit"),"",IF('General Information'!$F$16="Space-by-Space",CONCATENATE('Lighting Inventory'!N15,", ",'Lighting Inventory'!O15," ",'Lighting Inventory'!P15," LPD"," at ",'Lighting Inventory'!Q15,", ",'Lighting Inventory'!R15," kW"),CONCATENATE(B6,", ",'Lighting Inventory'!O15," ",'Lighting Inventory'!P15," LPD"," at ",'Lighting Inventory'!Q15,", ",'Lighting Inventory'!R15," kW")))</f>
        <v/>
      </c>
      <c r="L6" s="26" t="str">
        <f>IF(H6="","",IF('Lighting Inventory'!AK15="","",'Lighting Inventory'!AK15))</f>
        <v/>
      </c>
      <c r="M6" s="26" t="str">
        <f>IF(H6="", "", 'Lighting Inventory'!AL15)</f>
        <v/>
      </c>
      <c r="N6" s="26" t="str">
        <f>IF('Lighting Inventory'!S15="", "", IF('Lighting Inventory'!W15="No Change", 'Lighting Inventory'!I15, 'Lighting Inventory'!S15))</f>
        <v/>
      </c>
      <c r="O6" s="26" t="str">
        <f>IF('Lighting Inventory'!AN15="", "", VLOOKUP('Lighting Inventory'!AN15, 'Lookup Tables'!$B$142:$D$148, 3, FALSE))</f>
        <v/>
      </c>
      <c r="P6" s="66" t="str">
        <f>IF(B6="", "", 'Lighting Inventory'!AX15)</f>
        <v/>
      </c>
      <c r="Q6" s="67" t="str">
        <f>IF(B6="", "", 'Lighting Inventory'!AZ15)</f>
        <v/>
      </c>
      <c r="R6" s="187" t="str">
        <f>IF(OR('Lighting Inventory'!G15="", 'Lighting Inventory'!H15=""), "", 'Lighting Inventory'!BD15)</f>
        <v/>
      </c>
      <c r="S6" s="187" t="str">
        <f>IF(OR('Lighting Inventory'!G15="", 'Lighting Inventory'!H15=""), "",'Lighting Inventory'!BB15)</f>
        <v/>
      </c>
      <c r="T6" s="67" t="str">
        <f>IF(B6="", "", 'Lighting Inventory'!BE15)</f>
        <v/>
      </c>
      <c r="U6" s="67" t="str">
        <f>IF(B6="", "", 'Lighting Inventory'!BF15)</f>
        <v/>
      </c>
      <c r="AN6" s="354"/>
      <c r="AO6" s="354"/>
      <c r="AP6" s="354"/>
      <c r="AQ6" s="354"/>
      <c r="AR6" s="354"/>
      <c r="AS6" s="354"/>
      <c r="AT6" s="354"/>
      <c r="AU6" s="354"/>
      <c r="AV6" s="354"/>
      <c r="AW6" s="354"/>
      <c r="AX6" s="354"/>
      <c r="AY6" s="354"/>
      <c r="AZ6" s="354"/>
      <c r="BA6" s="354"/>
      <c r="BM6" s="186" t="str">
        <f t="shared" si="0"/>
        <v>-</v>
      </c>
    </row>
    <row r="7" spans="1:65" x14ac:dyDescent="0.25">
      <c r="A7" s="189">
        <v>6</v>
      </c>
      <c r="B7" s="186" t="str">
        <f>IF('Lighting Inventory'!F16="", "", 'Lighting Inventory'!F16)</f>
        <v/>
      </c>
      <c r="C7" s="26" t="str">
        <f>IF(B7="", "", CONCATENATE("Area: ", 'Lighting Inventory'!D16, ", ", IF('Lighting Inventory'!C16="", "", "Floor: "), 'Lighting Inventory'!C16))</f>
        <v/>
      </c>
      <c r="D7" s="186" t="str">
        <f>IF(B7="", "", IF('Lighting Inventory'!B16="New Construction",CONCATENATE("Cut Sheet ", 250+'Appendix C'!A7), IF(ISNUMBER(SEARCH("cut sheet", 'Lighting Inventory'!J16)), CONCATENATE("Cut Sheet ", 'Lookup Tables'!AX9), 'Lighting Inventory'!J16)))</f>
        <v/>
      </c>
      <c r="E7" s="26" t="str">
        <f>IF(B7="", "", IF('Lighting Inventory'!B16="New Construction", 1, 'Lighting Inventory'!I16))</f>
        <v/>
      </c>
      <c r="F7" s="26" t="str">
        <f>IF(B7="", "", IF('Lighting Inventory'!B16="New Construction", 'Lighting Inventory'!R16*1000, 'Lighting Inventory'!K16))</f>
        <v/>
      </c>
      <c r="G7" s="26" t="str">
        <f>IF(B7="", "", IF('Lighting Inventory'!M16="", "S_LS", VLOOKUP('Lighting Inventory'!M16, 'Lookup Tables'!$B$142:$D$148, 3, FALSE)))</f>
        <v/>
      </c>
      <c r="H7" s="26" t="str">
        <f>IF(OR('Lighting Inventory'!V16="", 'Lighting Inventory'!W16=""), "", IF('Lighting Inventory'!W16="No Change", 'Lighting Inventory'!J16, CONCATENATE("Cut Sheet ", 'Appendix C'!A7)))</f>
        <v/>
      </c>
      <c r="I7" s="26" t="str">
        <f>IF(H7="", "", IF('Lighting Inventory'!AB16="Yes", "Screw-In", "General"))</f>
        <v/>
      </c>
      <c r="J7" s="26" t="str">
        <f>IF(B7="", "", CONCATENATE('Lighting Inventory'!W16, ", ", 'Lighting Inventory'!AL16, " W"))</f>
        <v/>
      </c>
      <c r="K7" s="26" t="str">
        <f>IF(OR(B7="",'Lighting Inventory'!B16="Retrofit"),"",IF('General Information'!$F$16="Space-by-Space",CONCATENATE('Lighting Inventory'!N16,", ",'Lighting Inventory'!O16," ",'Lighting Inventory'!P16," LPD"," at ",'Lighting Inventory'!Q16,", ",'Lighting Inventory'!R16," kW"),CONCATENATE(B7,", ",'Lighting Inventory'!O16," ",'Lighting Inventory'!P16," LPD"," at ",'Lighting Inventory'!Q16,", ",'Lighting Inventory'!R16," kW")))</f>
        <v/>
      </c>
      <c r="L7" s="26" t="str">
        <f>IF(H7="","",IF('Lighting Inventory'!AK16="","",'Lighting Inventory'!AK16))</f>
        <v/>
      </c>
      <c r="M7" s="26" t="str">
        <f>IF(H7="", "", 'Lighting Inventory'!AL16)</f>
        <v/>
      </c>
      <c r="N7" s="26" t="str">
        <f>IF('Lighting Inventory'!S16="", "", IF('Lighting Inventory'!W16="No Change", 'Lighting Inventory'!I16, 'Lighting Inventory'!S16))</f>
        <v/>
      </c>
      <c r="O7" s="26" t="str">
        <f>IF('Lighting Inventory'!AN16="", "", VLOOKUP('Lighting Inventory'!AN16, 'Lookup Tables'!$B$142:$D$148, 3, FALSE))</f>
        <v/>
      </c>
      <c r="P7" s="66" t="str">
        <f>IF(B7="", "", 'Lighting Inventory'!AX16)</f>
        <v/>
      </c>
      <c r="Q7" s="67" t="str">
        <f>IF(B7="", "", 'Lighting Inventory'!AZ16)</f>
        <v/>
      </c>
      <c r="R7" s="187" t="str">
        <f>IF(OR('Lighting Inventory'!G16="", 'Lighting Inventory'!H16=""), "", 'Lighting Inventory'!BD16)</f>
        <v/>
      </c>
      <c r="S7" s="187" t="str">
        <f>IF(OR('Lighting Inventory'!G16="", 'Lighting Inventory'!H16=""), "",'Lighting Inventory'!BB16)</f>
        <v/>
      </c>
      <c r="T7" s="67" t="str">
        <f>IF(B7="", "", 'Lighting Inventory'!BE16)</f>
        <v/>
      </c>
      <c r="U7" s="67" t="str">
        <f>IF(B7="", "", 'Lighting Inventory'!BF16)</f>
        <v/>
      </c>
      <c r="AN7" s="354"/>
      <c r="AO7" s="354"/>
      <c r="AP7" s="354"/>
      <c r="AQ7" s="354"/>
      <c r="AR7" s="354"/>
      <c r="AS7" s="354"/>
      <c r="AT7" s="354"/>
      <c r="AU7" s="354"/>
      <c r="AV7" s="354"/>
      <c r="AW7" s="354"/>
      <c r="AX7" s="354"/>
      <c r="AY7" s="354"/>
      <c r="AZ7" s="354"/>
      <c r="BA7" s="354"/>
      <c r="BM7" s="186" t="str">
        <f t="shared" si="0"/>
        <v>-</v>
      </c>
    </row>
    <row r="8" spans="1:65" x14ac:dyDescent="0.25">
      <c r="A8" s="189">
        <v>7</v>
      </c>
      <c r="B8" s="186" t="str">
        <f>IF('Lighting Inventory'!F17="", "", 'Lighting Inventory'!F17)</f>
        <v/>
      </c>
      <c r="C8" s="26" t="str">
        <f>IF(B8="", "", CONCATENATE("Area: ", 'Lighting Inventory'!D17, ", ", IF('Lighting Inventory'!C17="", "", "Floor: "), 'Lighting Inventory'!C17))</f>
        <v/>
      </c>
      <c r="D8" s="186" t="str">
        <f>IF(B8="", "", IF('Lighting Inventory'!B17="New Construction",CONCATENATE("Cut Sheet ", 250+'Appendix C'!A8), IF(ISNUMBER(SEARCH("cut sheet", 'Lighting Inventory'!J17)), CONCATENATE("Cut Sheet ", 'Lookup Tables'!AX10), 'Lighting Inventory'!J17)))</f>
        <v/>
      </c>
      <c r="E8" s="26" t="str">
        <f>IF(B8="", "", IF('Lighting Inventory'!B17="New Construction", 1, 'Lighting Inventory'!I17))</f>
        <v/>
      </c>
      <c r="F8" s="26" t="str">
        <f>IF(B8="", "", IF('Lighting Inventory'!B17="New Construction", 'Lighting Inventory'!R17*1000, 'Lighting Inventory'!K17))</f>
        <v/>
      </c>
      <c r="G8" s="26" t="str">
        <f>IF(B8="", "", IF('Lighting Inventory'!M17="", "S_LS", VLOOKUP('Lighting Inventory'!M17, 'Lookup Tables'!$B$142:$D$148, 3, FALSE)))</f>
        <v/>
      </c>
      <c r="H8" s="26" t="str">
        <f>IF(OR('Lighting Inventory'!V17="", 'Lighting Inventory'!W17=""), "", IF('Lighting Inventory'!W17="No Change", 'Lighting Inventory'!J17, CONCATENATE("Cut Sheet ", 'Appendix C'!A8)))</f>
        <v/>
      </c>
      <c r="I8" s="26" t="str">
        <f>IF(H8="", "", IF('Lighting Inventory'!AB17="Yes", "Screw-In", "General"))</f>
        <v/>
      </c>
      <c r="J8" s="26" t="str">
        <f>IF(B8="", "", CONCATENATE('Lighting Inventory'!W17, ", ", 'Lighting Inventory'!AL17, " W"))</f>
        <v/>
      </c>
      <c r="K8" s="26" t="str">
        <f>IF(OR(B8="",'Lighting Inventory'!B17="Retrofit"),"",IF('General Information'!$F$16="Space-by-Space",CONCATENATE('Lighting Inventory'!N17,", ",'Lighting Inventory'!O17," ",'Lighting Inventory'!P17," LPD"," at ",'Lighting Inventory'!Q17,", ",'Lighting Inventory'!R17," kW"),CONCATENATE(B8,", ",'Lighting Inventory'!O17," ",'Lighting Inventory'!P17," LPD"," at ",'Lighting Inventory'!Q17,", ",'Lighting Inventory'!R17," kW")))</f>
        <v/>
      </c>
      <c r="L8" s="26" t="str">
        <f>IF(H8="","",IF('Lighting Inventory'!AK17="","",'Lighting Inventory'!AK17))</f>
        <v/>
      </c>
      <c r="M8" s="26" t="str">
        <f>IF(H8="", "", 'Lighting Inventory'!AL17)</f>
        <v/>
      </c>
      <c r="N8" s="26" t="str">
        <f>IF('Lighting Inventory'!S17="", "", IF('Lighting Inventory'!W17="No Change", 'Lighting Inventory'!I17, 'Lighting Inventory'!S17))</f>
        <v/>
      </c>
      <c r="O8" s="26" t="str">
        <f>IF('Lighting Inventory'!AN17="", "", VLOOKUP('Lighting Inventory'!AN17, 'Lookup Tables'!$B$142:$D$148, 3, FALSE))</f>
        <v/>
      </c>
      <c r="P8" s="66" t="str">
        <f>IF(B8="", "", 'Lighting Inventory'!AX17)</f>
        <v/>
      </c>
      <c r="Q8" s="67" t="str">
        <f>IF(B8="", "", 'Lighting Inventory'!AZ17)</f>
        <v/>
      </c>
      <c r="R8" s="187" t="str">
        <f>IF(OR('Lighting Inventory'!G17="", 'Lighting Inventory'!H17=""), "", 'Lighting Inventory'!BD17)</f>
        <v/>
      </c>
      <c r="S8" s="187" t="str">
        <f>IF(OR('Lighting Inventory'!G17="", 'Lighting Inventory'!H17=""), "",'Lighting Inventory'!BB17)</f>
        <v/>
      </c>
      <c r="T8" s="67" t="str">
        <f>IF(B8="", "", 'Lighting Inventory'!BE17)</f>
        <v/>
      </c>
      <c r="U8" s="67" t="str">
        <f>IF(B8="", "", 'Lighting Inventory'!BF17)</f>
        <v/>
      </c>
      <c r="AN8" s="354"/>
      <c r="AO8" s="354"/>
      <c r="AP8" s="354"/>
      <c r="AQ8" s="354"/>
      <c r="AR8" s="354"/>
      <c r="AS8" s="354"/>
      <c r="AT8" s="354"/>
      <c r="AU8" s="354"/>
      <c r="AV8" s="354"/>
      <c r="AW8" s="354"/>
      <c r="AX8" s="354"/>
      <c r="AY8" s="354"/>
      <c r="AZ8" s="354"/>
      <c r="BA8" s="354"/>
      <c r="BM8" s="186" t="str">
        <f t="shared" si="0"/>
        <v>-</v>
      </c>
    </row>
    <row r="9" spans="1:65" x14ac:dyDescent="0.25">
      <c r="A9" s="189">
        <v>8</v>
      </c>
      <c r="B9" s="186" t="str">
        <f>IF('Lighting Inventory'!F18="", "", 'Lighting Inventory'!F18)</f>
        <v/>
      </c>
      <c r="C9" s="26" t="str">
        <f>IF(B9="", "", CONCATENATE("Area: ", 'Lighting Inventory'!D18, ", ", IF('Lighting Inventory'!C18="", "", "Floor: "), 'Lighting Inventory'!C18))</f>
        <v/>
      </c>
      <c r="D9" s="186" t="str">
        <f>IF(B9="", "", IF('Lighting Inventory'!B18="New Construction",CONCATENATE("Cut Sheet ", 250+'Appendix C'!A9), IF(ISNUMBER(SEARCH("cut sheet", 'Lighting Inventory'!J18)), CONCATENATE("Cut Sheet ", 'Lookup Tables'!AX11), 'Lighting Inventory'!J18)))</f>
        <v/>
      </c>
      <c r="E9" s="26" t="str">
        <f>IF(B9="", "", IF('Lighting Inventory'!B18="New Construction", 1, 'Lighting Inventory'!I18))</f>
        <v/>
      </c>
      <c r="F9" s="26" t="str">
        <f>IF(B9="", "", IF('Lighting Inventory'!B18="New Construction", 'Lighting Inventory'!R18*1000, 'Lighting Inventory'!K18))</f>
        <v/>
      </c>
      <c r="G9" s="26" t="str">
        <f>IF(B9="", "", IF('Lighting Inventory'!M18="", "S_LS", VLOOKUP('Lighting Inventory'!M18, 'Lookup Tables'!$B$142:$D$148, 3, FALSE)))</f>
        <v/>
      </c>
      <c r="H9" s="26" t="str">
        <f>IF(OR('Lighting Inventory'!V18="", 'Lighting Inventory'!W18=""), "", IF('Lighting Inventory'!W18="No Change", 'Lighting Inventory'!J18, CONCATENATE("Cut Sheet ", 'Appendix C'!A9)))</f>
        <v/>
      </c>
      <c r="I9" s="26" t="str">
        <f>IF(H9="", "", IF('Lighting Inventory'!AB18="Yes", "Screw-In", "General"))</f>
        <v/>
      </c>
      <c r="J9" s="26" t="str">
        <f>IF(B9="", "", CONCATENATE('Lighting Inventory'!W18, ", ", 'Lighting Inventory'!AL18, " W"))</f>
        <v/>
      </c>
      <c r="K9" s="26" t="str">
        <f>IF(OR(B9="",'Lighting Inventory'!B18="Retrofit"),"",IF('General Information'!$F$16="Space-by-Space",CONCATENATE('Lighting Inventory'!N18,", ",'Lighting Inventory'!O18," ",'Lighting Inventory'!P18," LPD"," at ",'Lighting Inventory'!Q18,", ",'Lighting Inventory'!R18," kW"),CONCATENATE(B9,", ",'Lighting Inventory'!O18," ",'Lighting Inventory'!P18," LPD"," at ",'Lighting Inventory'!Q18,", ",'Lighting Inventory'!R18," kW")))</f>
        <v/>
      </c>
      <c r="L9" s="26" t="str">
        <f>IF(H9="","",IF('Lighting Inventory'!AK18="","",'Lighting Inventory'!AK18))</f>
        <v/>
      </c>
      <c r="M9" s="26" t="str">
        <f>IF(H9="", "", 'Lighting Inventory'!AL18)</f>
        <v/>
      </c>
      <c r="N9" s="26" t="str">
        <f>IF('Lighting Inventory'!S18="", "", IF('Lighting Inventory'!W18="No Change", 'Lighting Inventory'!I18, 'Lighting Inventory'!S18))</f>
        <v/>
      </c>
      <c r="O9" s="26" t="str">
        <f>IF('Lighting Inventory'!AN18="", "", VLOOKUP('Lighting Inventory'!AN18, 'Lookup Tables'!$B$142:$D$148, 3, FALSE))</f>
        <v/>
      </c>
      <c r="P9" s="66" t="str">
        <f>IF(B9="", "", 'Lighting Inventory'!AX18)</f>
        <v/>
      </c>
      <c r="Q9" s="67" t="str">
        <f>IF(B9="", "", 'Lighting Inventory'!AZ18)</f>
        <v/>
      </c>
      <c r="R9" s="187" t="str">
        <f>IF(OR('Lighting Inventory'!G18="", 'Lighting Inventory'!H18=""), "", 'Lighting Inventory'!BD18)</f>
        <v/>
      </c>
      <c r="S9" s="187" t="str">
        <f>IF(OR('Lighting Inventory'!G18="", 'Lighting Inventory'!H18=""), "",'Lighting Inventory'!BB18)</f>
        <v/>
      </c>
      <c r="T9" s="67" t="str">
        <f>IF(B9="", "", 'Lighting Inventory'!BE18)</f>
        <v/>
      </c>
      <c r="U9" s="67" t="str">
        <f>IF(B9="", "", 'Lighting Inventory'!BF18)</f>
        <v/>
      </c>
      <c r="AN9" s="354"/>
      <c r="AO9" s="354"/>
      <c r="AP9" s="354"/>
      <c r="AQ9" s="354"/>
      <c r="AR9" s="354"/>
      <c r="AS9" s="354"/>
      <c r="AT9" s="354"/>
      <c r="AU9" s="354"/>
      <c r="AV9" s="354"/>
      <c r="AW9" s="354"/>
      <c r="AX9" s="354"/>
      <c r="AY9" s="354"/>
      <c r="AZ9" s="354"/>
      <c r="BA9" s="354"/>
      <c r="BM9" s="186" t="str">
        <f t="shared" si="0"/>
        <v>-</v>
      </c>
    </row>
    <row r="10" spans="1:65" x14ac:dyDescent="0.25">
      <c r="A10" s="189">
        <v>9</v>
      </c>
      <c r="B10" s="186" t="str">
        <f>IF('Lighting Inventory'!F19="", "", 'Lighting Inventory'!F19)</f>
        <v/>
      </c>
      <c r="C10" s="26" t="str">
        <f>IF(B10="", "", CONCATENATE("Area: ", 'Lighting Inventory'!D19, ", ", IF('Lighting Inventory'!C19="", "", "Floor: "), 'Lighting Inventory'!C19))</f>
        <v/>
      </c>
      <c r="D10" s="186" t="str">
        <f>IF(B10="", "", IF('Lighting Inventory'!B19="New Construction",CONCATENATE("Cut Sheet ", 250+'Appendix C'!A10), IF(ISNUMBER(SEARCH("cut sheet", 'Lighting Inventory'!J19)), CONCATENATE("Cut Sheet ", 'Lookup Tables'!AX12), 'Lighting Inventory'!J19)))</f>
        <v/>
      </c>
      <c r="E10" s="26" t="str">
        <f>IF(B10="", "", IF('Lighting Inventory'!B19="New Construction", 1, 'Lighting Inventory'!I19))</f>
        <v/>
      </c>
      <c r="F10" s="26" t="str">
        <f>IF(B10="", "", IF('Lighting Inventory'!B19="New Construction", 'Lighting Inventory'!R19*1000, 'Lighting Inventory'!K19))</f>
        <v/>
      </c>
      <c r="G10" s="26" t="str">
        <f>IF(B10="", "", IF('Lighting Inventory'!M19="", "S_LS", VLOOKUP('Lighting Inventory'!M19, 'Lookup Tables'!$B$142:$D$148, 3, FALSE)))</f>
        <v/>
      </c>
      <c r="H10" s="26" t="str">
        <f>IF(OR('Lighting Inventory'!V19="", 'Lighting Inventory'!W19=""), "", IF('Lighting Inventory'!W19="No Change", 'Lighting Inventory'!J19, CONCATENATE("Cut Sheet ", 'Appendix C'!A10)))</f>
        <v/>
      </c>
      <c r="I10" s="26" t="str">
        <f>IF(H10="", "", IF('Lighting Inventory'!AB19="Yes", "Screw-In", "General"))</f>
        <v/>
      </c>
      <c r="J10" s="26" t="str">
        <f>IF(B10="", "", CONCATENATE('Lighting Inventory'!W19, ", ", 'Lighting Inventory'!AL19, " W"))</f>
        <v/>
      </c>
      <c r="K10" s="26" t="str">
        <f>IF(OR(B10="",'Lighting Inventory'!B19="Retrofit"),"",IF('General Information'!$F$16="Space-by-Space",CONCATENATE('Lighting Inventory'!N19,", ",'Lighting Inventory'!O19," ",'Lighting Inventory'!P19," LPD"," at ",'Lighting Inventory'!Q19,", ",'Lighting Inventory'!R19," kW"),CONCATENATE(B10,", ",'Lighting Inventory'!O19," ",'Lighting Inventory'!P19," LPD"," at ",'Lighting Inventory'!Q19,", ",'Lighting Inventory'!R19," kW")))</f>
        <v/>
      </c>
      <c r="L10" s="26" t="str">
        <f>IF(H10="","",IF('Lighting Inventory'!AK19="","",'Lighting Inventory'!AK19))</f>
        <v/>
      </c>
      <c r="M10" s="26" t="str">
        <f>IF(H10="", "", 'Lighting Inventory'!AL19)</f>
        <v/>
      </c>
      <c r="N10" s="26" t="str">
        <f>IF('Lighting Inventory'!S19="", "", IF('Lighting Inventory'!W19="No Change", 'Lighting Inventory'!I19, 'Lighting Inventory'!S19))</f>
        <v/>
      </c>
      <c r="O10" s="26" t="str">
        <f>IF('Lighting Inventory'!AN19="", "", VLOOKUP('Lighting Inventory'!AN19, 'Lookup Tables'!$B$142:$D$148, 3, FALSE))</f>
        <v/>
      </c>
      <c r="P10" s="66" t="str">
        <f>IF(B10="", "", 'Lighting Inventory'!AX19)</f>
        <v/>
      </c>
      <c r="Q10" s="67" t="str">
        <f>IF(B10="", "", 'Lighting Inventory'!AZ19)</f>
        <v/>
      </c>
      <c r="R10" s="187" t="str">
        <f>IF(OR('Lighting Inventory'!G19="", 'Lighting Inventory'!H19=""), "", 'Lighting Inventory'!BD19)</f>
        <v/>
      </c>
      <c r="S10" s="187" t="str">
        <f>IF(OR('Lighting Inventory'!G19="", 'Lighting Inventory'!H19=""), "",'Lighting Inventory'!BB19)</f>
        <v/>
      </c>
      <c r="T10" s="67" t="str">
        <f>IF(B10="", "", 'Lighting Inventory'!BE19)</f>
        <v/>
      </c>
      <c r="U10" s="67" t="str">
        <f>IF(B10="", "", 'Lighting Inventory'!BF19)</f>
        <v/>
      </c>
      <c r="AN10" s="354"/>
      <c r="AO10" s="354"/>
      <c r="AP10" s="354"/>
      <c r="AQ10" s="354"/>
      <c r="AR10" s="354"/>
      <c r="AS10" s="354"/>
      <c r="AT10" s="354"/>
      <c r="AU10" s="354"/>
      <c r="AV10" s="354"/>
      <c r="AW10" s="354"/>
      <c r="AX10" s="354"/>
      <c r="AY10" s="354"/>
      <c r="AZ10" s="354"/>
      <c r="BA10" s="354"/>
      <c r="BM10" s="186" t="str">
        <f t="shared" si="0"/>
        <v>-</v>
      </c>
    </row>
    <row r="11" spans="1:65" x14ac:dyDescent="0.25">
      <c r="A11" s="189">
        <v>10</v>
      </c>
      <c r="B11" s="186" t="str">
        <f>IF('Lighting Inventory'!F20="", "", 'Lighting Inventory'!F20)</f>
        <v/>
      </c>
      <c r="C11" s="26" t="str">
        <f>IF(B11="", "", CONCATENATE("Area: ", 'Lighting Inventory'!D20, ", ", IF('Lighting Inventory'!C20="", "", "Floor: "), 'Lighting Inventory'!C20))</f>
        <v/>
      </c>
      <c r="D11" s="186" t="str">
        <f>IF(B11="", "", IF('Lighting Inventory'!B20="New Construction",CONCATENATE("Cut Sheet ", 250+'Appendix C'!A11), IF(ISNUMBER(SEARCH("cut sheet", 'Lighting Inventory'!J20)), CONCATENATE("Cut Sheet ", 'Lookup Tables'!AX13), 'Lighting Inventory'!J20)))</f>
        <v/>
      </c>
      <c r="E11" s="26" t="str">
        <f>IF(B11="", "", IF('Lighting Inventory'!B20="New Construction", 1, 'Lighting Inventory'!I20))</f>
        <v/>
      </c>
      <c r="F11" s="26" t="str">
        <f>IF(B11="", "", IF('Lighting Inventory'!B20="New Construction", 'Lighting Inventory'!R20*1000, 'Lighting Inventory'!K20))</f>
        <v/>
      </c>
      <c r="G11" s="26" t="str">
        <f>IF(B11="", "", IF('Lighting Inventory'!M20="", "S_LS", VLOOKUP('Lighting Inventory'!M20, 'Lookup Tables'!$B$142:$D$148, 3, FALSE)))</f>
        <v/>
      </c>
      <c r="H11" s="26" t="str">
        <f>IF(OR('Lighting Inventory'!V20="", 'Lighting Inventory'!W20=""), "", IF('Lighting Inventory'!W20="No Change", 'Lighting Inventory'!J20, CONCATENATE("Cut Sheet ", 'Appendix C'!A11)))</f>
        <v/>
      </c>
      <c r="I11" s="26" t="str">
        <f>IF(H11="", "", IF('Lighting Inventory'!AB20="Yes", "Screw-In", "General"))</f>
        <v/>
      </c>
      <c r="J11" s="26" t="str">
        <f>IF(B11="", "", CONCATENATE('Lighting Inventory'!W20, ", ", 'Lighting Inventory'!AL20, " W"))</f>
        <v/>
      </c>
      <c r="K11" s="26" t="str">
        <f>IF(OR(B11="",'Lighting Inventory'!B20="Retrofit"),"",IF('General Information'!$F$16="Space-by-Space",CONCATENATE('Lighting Inventory'!N20,", ",'Lighting Inventory'!O20," ",'Lighting Inventory'!P20," LPD"," at ",'Lighting Inventory'!Q20,", ",'Lighting Inventory'!R20," kW"),CONCATENATE(B11,", ",'Lighting Inventory'!O20," ",'Lighting Inventory'!P20," LPD"," at ",'Lighting Inventory'!Q20,", ",'Lighting Inventory'!R20," kW")))</f>
        <v/>
      </c>
      <c r="L11" s="26" t="str">
        <f>IF(H11="","",IF('Lighting Inventory'!AK20="","",'Lighting Inventory'!AK20))</f>
        <v/>
      </c>
      <c r="M11" s="26" t="str">
        <f>IF(H11="", "", 'Lighting Inventory'!AL20)</f>
        <v/>
      </c>
      <c r="N11" s="26" t="str">
        <f>IF('Lighting Inventory'!S20="", "", IF('Lighting Inventory'!W20="No Change", 'Lighting Inventory'!I20, 'Lighting Inventory'!S20))</f>
        <v/>
      </c>
      <c r="O11" s="26" t="str">
        <f>IF('Lighting Inventory'!AN20="", "", VLOOKUP('Lighting Inventory'!AN20, 'Lookup Tables'!$B$142:$D$148, 3, FALSE))</f>
        <v/>
      </c>
      <c r="P11" s="66" t="str">
        <f>IF(B11="", "", 'Lighting Inventory'!AX20)</f>
        <v/>
      </c>
      <c r="Q11" s="67" t="str">
        <f>IF(B11="", "", 'Lighting Inventory'!AZ20)</f>
        <v/>
      </c>
      <c r="R11" s="187" t="str">
        <f>IF(OR('Lighting Inventory'!G20="", 'Lighting Inventory'!H20=""), "", 'Lighting Inventory'!BD20)</f>
        <v/>
      </c>
      <c r="S11" s="187" t="str">
        <f>IF(OR('Lighting Inventory'!G20="", 'Lighting Inventory'!H20=""), "",'Lighting Inventory'!BB20)</f>
        <v/>
      </c>
      <c r="T11" s="67" t="str">
        <f>IF(B11="", "", 'Lighting Inventory'!BE20)</f>
        <v/>
      </c>
      <c r="U11" s="67" t="str">
        <f>IF(B11="", "", 'Lighting Inventory'!BF20)</f>
        <v/>
      </c>
      <c r="AN11" s="354"/>
      <c r="AO11" s="354"/>
      <c r="AP11" s="354"/>
      <c r="AQ11" s="354"/>
      <c r="AR11" s="354"/>
      <c r="AS11" s="354"/>
      <c r="AT11" s="354"/>
      <c r="AU11" s="354"/>
      <c r="AV11" s="354"/>
      <c r="AW11" s="354"/>
      <c r="AX11" s="354"/>
      <c r="AY11" s="354"/>
      <c r="AZ11" s="354"/>
      <c r="BA11" s="354"/>
      <c r="BM11" s="186" t="str">
        <f t="shared" si="0"/>
        <v>-</v>
      </c>
    </row>
    <row r="12" spans="1:65" x14ac:dyDescent="0.25">
      <c r="A12" s="189">
        <v>11</v>
      </c>
      <c r="B12" s="186" t="str">
        <f>IF('Lighting Inventory'!F21="", "", 'Lighting Inventory'!F21)</f>
        <v/>
      </c>
      <c r="C12" s="26" t="str">
        <f>IF(B12="", "", CONCATENATE("Area: ", 'Lighting Inventory'!D21, ", ", IF('Lighting Inventory'!C21="", "", "Floor: "), 'Lighting Inventory'!C21))</f>
        <v/>
      </c>
      <c r="D12" s="186" t="str">
        <f>IF(B12="", "", IF('Lighting Inventory'!B21="New Construction",CONCATENATE("Cut Sheet ", 250+'Appendix C'!A12), IF(ISNUMBER(SEARCH("cut sheet", 'Lighting Inventory'!J21)), CONCATENATE("Cut Sheet ", 'Lookup Tables'!AX14), 'Lighting Inventory'!J21)))</f>
        <v/>
      </c>
      <c r="E12" s="26" t="str">
        <f>IF(B12="", "", IF('Lighting Inventory'!B21="New Construction", 1, 'Lighting Inventory'!I21))</f>
        <v/>
      </c>
      <c r="F12" s="26" t="str">
        <f>IF(B12="", "", IF('Lighting Inventory'!B21="New Construction", 'Lighting Inventory'!R21*1000, 'Lighting Inventory'!K21))</f>
        <v/>
      </c>
      <c r="G12" s="26" t="str">
        <f>IF(B12="", "", IF('Lighting Inventory'!M21="", "S_LS", VLOOKUP('Lighting Inventory'!M21, 'Lookup Tables'!$B$142:$D$148, 3, FALSE)))</f>
        <v/>
      </c>
      <c r="H12" s="26" t="str">
        <f>IF(OR('Lighting Inventory'!V21="", 'Lighting Inventory'!W21=""), "", IF('Lighting Inventory'!W21="No Change", 'Lighting Inventory'!J21, CONCATENATE("Cut Sheet ", 'Appendix C'!A12)))</f>
        <v/>
      </c>
      <c r="I12" s="26" t="str">
        <f>IF(H12="", "", IF('Lighting Inventory'!AB21="Yes", "Screw-In", "General"))</f>
        <v/>
      </c>
      <c r="J12" s="26" t="str">
        <f>IF(B12="", "", CONCATENATE('Lighting Inventory'!W21, ", ", 'Lighting Inventory'!AL21, " W"))</f>
        <v/>
      </c>
      <c r="K12" s="26" t="str">
        <f>IF(OR(B12="",'Lighting Inventory'!B21="Retrofit"),"",IF('General Information'!$F$16="Space-by-Space",CONCATENATE('Lighting Inventory'!N21,", ",'Lighting Inventory'!O21," ",'Lighting Inventory'!P21," LPD"," at ",'Lighting Inventory'!Q21,", ",'Lighting Inventory'!R21," kW"),CONCATENATE(B12,", ",'Lighting Inventory'!O21," ",'Lighting Inventory'!P21," LPD"," at ",'Lighting Inventory'!Q21,", ",'Lighting Inventory'!R21," kW")))</f>
        <v/>
      </c>
      <c r="L12" s="26" t="str">
        <f>IF(H12="","",IF('Lighting Inventory'!AK21="","",'Lighting Inventory'!AK21))</f>
        <v/>
      </c>
      <c r="M12" s="26" t="str">
        <f>IF(H12="", "", 'Lighting Inventory'!AL21)</f>
        <v/>
      </c>
      <c r="N12" s="26" t="str">
        <f>IF('Lighting Inventory'!S21="", "", IF('Lighting Inventory'!W21="No Change", 'Lighting Inventory'!I21, 'Lighting Inventory'!S21))</f>
        <v/>
      </c>
      <c r="O12" s="26" t="str">
        <f>IF('Lighting Inventory'!AN21="", "", VLOOKUP('Lighting Inventory'!AN21, 'Lookup Tables'!$B$142:$D$148, 3, FALSE))</f>
        <v/>
      </c>
      <c r="P12" s="66" t="str">
        <f>IF(B12="", "", 'Lighting Inventory'!AX21)</f>
        <v/>
      </c>
      <c r="Q12" s="67" t="str">
        <f>IF(B12="", "", 'Lighting Inventory'!AZ21)</f>
        <v/>
      </c>
      <c r="R12" s="187" t="str">
        <f>IF(OR('Lighting Inventory'!G21="", 'Lighting Inventory'!H21=""), "", 'Lighting Inventory'!BD21)</f>
        <v/>
      </c>
      <c r="S12" s="187" t="str">
        <f>IF(OR('Lighting Inventory'!G21="", 'Lighting Inventory'!H21=""), "",'Lighting Inventory'!BB21)</f>
        <v/>
      </c>
      <c r="T12" s="67" t="str">
        <f>IF(B12="", "", 'Lighting Inventory'!BE21)</f>
        <v/>
      </c>
      <c r="U12" s="67" t="str">
        <f>IF(B12="", "", 'Lighting Inventory'!BF21)</f>
        <v/>
      </c>
      <c r="AN12" s="354"/>
      <c r="AO12" s="354"/>
      <c r="AP12" s="354"/>
      <c r="AQ12" s="354"/>
      <c r="AR12" s="354"/>
      <c r="AS12" s="354"/>
      <c r="AT12" s="354"/>
      <c r="AU12" s="354"/>
      <c r="AV12" s="354"/>
      <c r="AW12" s="354"/>
      <c r="AX12" s="354"/>
      <c r="AY12" s="354"/>
      <c r="AZ12" s="354"/>
      <c r="BA12" s="354"/>
      <c r="BM12" s="186" t="str">
        <f t="shared" si="0"/>
        <v>-</v>
      </c>
    </row>
    <row r="13" spans="1:65" x14ac:dyDescent="0.25">
      <c r="A13" s="189">
        <v>12</v>
      </c>
      <c r="B13" s="186" t="str">
        <f>IF('Lighting Inventory'!F22="", "", 'Lighting Inventory'!F22)</f>
        <v/>
      </c>
      <c r="C13" s="26" t="str">
        <f>IF(B13="", "", CONCATENATE("Area: ", 'Lighting Inventory'!D22, ", ", IF('Lighting Inventory'!C22="", "", "Floor: "), 'Lighting Inventory'!C22))</f>
        <v/>
      </c>
      <c r="D13" s="186" t="str">
        <f>IF(B13="", "", IF('Lighting Inventory'!B22="New Construction",CONCATENATE("Cut Sheet ", 250+'Appendix C'!A13), IF(ISNUMBER(SEARCH("cut sheet", 'Lighting Inventory'!J22)), CONCATENATE("Cut Sheet ", 'Lookup Tables'!AX15), 'Lighting Inventory'!J22)))</f>
        <v/>
      </c>
      <c r="E13" s="26" t="str">
        <f>IF(B13="", "", IF('Lighting Inventory'!B22="New Construction", 1, 'Lighting Inventory'!I22))</f>
        <v/>
      </c>
      <c r="F13" s="26" t="str">
        <f>IF(B13="", "", IF('Lighting Inventory'!B22="New Construction", 'Lighting Inventory'!R22*1000, 'Lighting Inventory'!K22))</f>
        <v/>
      </c>
      <c r="G13" s="26" t="str">
        <f>IF(B13="", "", IF('Lighting Inventory'!M22="", "S_LS", VLOOKUP('Lighting Inventory'!M22, 'Lookup Tables'!$B$142:$D$148, 3, FALSE)))</f>
        <v/>
      </c>
      <c r="H13" s="26" t="str">
        <f>IF(OR('Lighting Inventory'!V22="", 'Lighting Inventory'!W22=""), "", IF('Lighting Inventory'!W22="No Change", 'Lighting Inventory'!J22, CONCATENATE("Cut Sheet ", 'Appendix C'!A13)))</f>
        <v/>
      </c>
      <c r="I13" s="26" t="str">
        <f>IF(H13="", "", IF('Lighting Inventory'!AB22="Yes", "Screw-In", "General"))</f>
        <v/>
      </c>
      <c r="J13" s="26" t="str">
        <f>IF(B13="", "", CONCATENATE('Lighting Inventory'!W22, ", ", 'Lighting Inventory'!AL22, " W"))</f>
        <v/>
      </c>
      <c r="K13" s="26" t="str">
        <f>IF(OR(B13="",'Lighting Inventory'!B22="Retrofit"),"",IF('General Information'!$F$16="Space-by-Space",CONCATENATE('Lighting Inventory'!N22,", ",'Lighting Inventory'!O22," ",'Lighting Inventory'!P22," LPD"," at ",'Lighting Inventory'!Q22,", ",'Lighting Inventory'!R22," kW"),CONCATENATE(B13,", ",'Lighting Inventory'!O22," ",'Lighting Inventory'!P22," LPD"," at ",'Lighting Inventory'!Q22,", ",'Lighting Inventory'!R22," kW")))</f>
        <v/>
      </c>
      <c r="L13" s="26" t="str">
        <f>IF(H13="","",IF('Lighting Inventory'!AK22="","",'Lighting Inventory'!AK22))</f>
        <v/>
      </c>
      <c r="M13" s="26" t="str">
        <f>IF(H13="", "", 'Lighting Inventory'!AL22)</f>
        <v/>
      </c>
      <c r="N13" s="26" t="str">
        <f>IF('Lighting Inventory'!S22="", "", IF('Lighting Inventory'!W22="No Change", 'Lighting Inventory'!I22, 'Lighting Inventory'!S22))</f>
        <v/>
      </c>
      <c r="O13" s="26" t="str">
        <f>IF('Lighting Inventory'!AN22="", "", VLOOKUP('Lighting Inventory'!AN22, 'Lookup Tables'!$B$142:$D$148, 3, FALSE))</f>
        <v/>
      </c>
      <c r="P13" s="66" t="str">
        <f>IF(B13="", "", 'Lighting Inventory'!AX22)</f>
        <v/>
      </c>
      <c r="Q13" s="67" t="str">
        <f>IF(B13="", "", 'Lighting Inventory'!AZ22)</f>
        <v/>
      </c>
      <c r="R13" s="187" t="str">
        <f>IF(OR('Lighting Inventory'!G22="", 'Lighting Inventory'!H22=""), "", 'Lighting Inventory'!BD22)</f>
        <v/>
      </c>
      <c r="S13" s="187" t="str">
        <f>IF(OR('Lighting Inventory'!G22="", 'Lighting Inventory'!H22=""), "",'Lighting Inventory'!BB22)</f>
        <v/>
      </c>
      <c r="T13" s="67" t="str">
        <f>IF(B13="", "", 'Lighting Inventory'!BE22)</f>
        <v/>
      </c>
      <c r="U13" s="67" t="str">
        <f>IF(B13="", "", 'Lighting Inventory'!BF22)</f>
        <v/>
      </c>
      <c r="AN13" s="354"/>
      <c r="AO13" s="354"/>
      <c r="AP13" s="354"/>
      <c r="AQ13" s="354"/>
      <c r="AR13" s="354"/>
      <c r="AS13" s="354"/>
      <c r="AT13" s="354"/>
      <c r="AU13" s="354"/>
      <c r="AV13" s="354"/>
      <c r="AW13" s="354"/>
      <c r="AX13" s="354"/>
      <c r="AY13" s="354"/>
      <c r="AZ13" s="354"/>
      <c r="BA13" s="354"/>
      <c r="BM13" s="186" t="str">
        <f t="shared" si="0"/>
        <v>-</v>
      </c>
    </row>
    <row r="14" spans="1:65" x14ac:dyDescent="0.25">
      <c r="A14" s="189">
        <v>13</v>
      </c>
      <c r="B14" s="186" t="str">
        <f>IF('Lighting Inventory'!F23="", "", 'Lighting Inventory'!F23)</f>
        <v/>
      </c>
      <c r="C14" s="26" t="str">
        <f>IF(B14="", "", CONCATENATE("Area: ", 'Lighting Inventory'!D23, ", ", IF('Lighting Inventory'!C23="", "", "Floor: "), 'Lighting Inventory'!C23))</f>
        <v/>
      </c>
      <c r="D14" s="186" t="str">
        <f>IF(B14="", "", IF('Lighting Inventory'!B23="New Construction",CONCATENATE("Cut Sheet ", 250+'Appendix C'!A14), IF(ISNUMBER(SEARCH("cut sheet", 'Lighting Inventory'!J23)), CONCATENATE("Cut Sheet ", 'Lookup Tables'!AX16), 'Lighting Inventory'!J23)))</f>
        <v/>
      </c>
      <c r="E14" s="26" t="str">
        <f>IF(B14="", "", IF('Lighting Inventory'!B23="New Construction", 1, 'Lighting Inventory'!I23))</f>
        <v/>
      </c>
      <c r="F14" s="26" t="str">
        <f>IF(B14="", "", IF('Lighting Inventory'!B23="New Construction", 'Lighting Inventory'!R23*1000, 'Lighting Inventory'!K23))</f>
        <v/>
      </c>
      <c r="G14" s="26" t="str">
        <f>IF(B14="", "", IF('Lighting Inventory'!M23="", "S_LS", VLOOKUP('Lighting Inventory'!M23, 'Lookup Tables'!$B$142:$D$148, 3, FALSE)))</f>
        <v/>
      </c>
      <c r="H14" s="26" t="str">
        <f>IF(OR('Lighting Inventory'!V23="", 'Lighting Inventory'!W23=""), "", IF('Lighting Inventory'!W23="No Change", 'Lighting Inventory'!J23, CONCATENATE("Cut Sheet ", 'Appendix C'!A14)))</f>
        <v/>
      </c>
      <c r="I14" s="26" t="str">
        <f>IF(H14="", "", IF('Lighting Inventory'!AB23="Yes", "Screw-In", "General"))</f>
        <v/>
      </c>
      <c r="J14" s="26" t="str">
        <f>IF(B14="", "", CONCATENATE('Lighting Inventory'!W23, ", ", 'Lighting Inventory'!AL23, " W"))</f>
        <v/>
      </c>
      <c r="K14" s="26" t="str">
        <f>IF(OR(B14="",'Lighting Inventory'!B23="Retrofit"),"",IF('General Information'!$F$16="Space-by-Space",CONCATENATE('Lighting Inventory'!N23,", ",'Lighting Inventory'!O23," ",'Lighting Inventory'!P23," LPD"," at ",'Lighting Inventory'!Q23,", ",'Lighting Inventory'!R23," kW"),CONCATENATE(B14,", ",'Lighting Inventory'!O23," ",'Lighting Inventory'!P23," LPD"," at ",'Lighting Inventory'!Q23,", ",'Lighting Inventory'!R23," kW")))</f>
        <v/>
      </c>
      <c r="L14" s="26" t="str">
        <f>IF(H14="","",IF('Lighting Inventory'!AK23="","",'Lighting Inventory'!AK23))</f>
        <v/>
      </c>
      <c r="M14" s="26" t="str">
        <f>IF(H14="", "", 'Lighting Inventory'!AL23)</f>
        <v/>
      </c>
      <c r="N14" s="26" t="str">
        <f>IF('Lighting Inventory'!S23="", "", IF('Lighting Inventory'!W23="No Change", 'Lighting Inventory'!I23, 'Lighting Inventory'!S23))</f>
        <v/>
      </c>
      <c r="O14" s="26" t="str">
        <f>IF('Lighting Inventory'!AN23="", "", VLOOKUP('Lighting Inventory'!AN23, 'Lookup Tables'!$B$142:$D$148, 3, FALSE))</f>
        <v/>
      </c>
      <c r="P14" s="66" t="str">
        <f>IF(B14="", "", 'Lighting Inventory'!AX23)</f>
        <v/>
      </c>
      <c r="Q14" s="67" t="str">
        <f>IF(B14="", "", 'Lighting Inventory'!AZ23)</f>
        <v/>
      </c>
      <c r="R14" s="187" t="str">
        <f>IF(OR('Lighting Inventory'!G23="", 'Lighting Inventory'!H23=""), "", 'Lighting Inventory'!BD23)</f>
        <v/>
      </c>
      <c r="S14" s="187" t="str">
        <f>IF(OR('Lighting Inventory'!G23="", 'Lighting Inventory'!H23=""), "",'Lighting Inventory'!BB23)</f>
        <v/>
      </c>
      <c r="T14" s="67" t="str">
        <f>IF(B14="", "", 'Lighting Inventory'!BE23)</f>
        <v/>
      </c>
      <c r="U14" s="67" t="str">
        <f>IF(B14="", "", 'Lighting Inventory'!BF23)</f>
        <v/>
      </c>
      <c r="AN14" s="354"/>
      <c r="AO14" s="354"/>
      <c r="AP14" s="354"/>
      <c r="AQ14" s="354"/>
      <c r="AR14" s="354"/>
      <c r="AS14" s="354"/>
      <c r="AT14" s="354"/>
      <c r="AU14" s="354"/>
      <c r="AV14" s="354"/>
      <c r="AW14" s="354"/>
      <c r="AX14" s="354"/>
      <c r="AY14" s="354"/>
      <c r="AZ14" s="354"/>
      <c r="BA14" s="354"/>
      <c r="BM14" s="186" t="str">
        <f t="shared" si="0"/>
        <v>-</v>
      </c>
    </row>
    <row r="15" spans="1:65" x14ac:dyDescent="0.25">
      <c r="A15" s="189">
        <v>14</v>
      </c>
      <c r="B15" s="186" t="str">
        <f>IF('Lighting Inventory'!F24="", "", 'Lighting Inventory'!F24)</f>
        <v/>
      </c>
      <c r="C15" s="26" t="str">
        <f>IF(B15="", "", CONCATENATE("Area: ", 'Lighting Inventory'!D24, ", ", IF('Lighting Inventory'!C24="", "", "Floor: "), 'Lighting Inventory'!C24))</f>
        <v/>
      </c>
      <c r="D15" s="186" t="str">
        <f>IF(B15="", "", IF('Lighting Inventory'!B24="New Construction",CONCATENATE("Cut Sheet ", 250+'Appendix C'!A15), IF(ISNUMBER(SEARCH("cut sheet", 'Lighting Inventory'!J24)), CONCATENATE("Cut Sheet ", 'Lookup Tables'!AX17), 'Lighting Inventory'!J24)))</f>
        <v/>
      </c>
      <c r="E15" s="26" t="str">
        <f>IF(B15="", "", IF('Lighting Inventory'!B24="New Construction", 1, 'Lighting Inventory'!I24))</f>
        <v/>
      </c>
      <c r="F15" s="26" t="str">
        <f>IF(B15="", "", IF('Lighting Inventory'!B24="New Construction", 'Lighting Inventory'!R24*1000, 'Lighting Inventory'!K24))</f>
        <v/>
      </c>
      <c r="G15" s="26" t="str">
        <f>IF(B15="", "", IF('Lighting Inventory'!M24="", "S_LS", VLOOKUP('Lighting Inventory'!M24, 'Lookup Tables'!$B$142:$D$148, 3, FALSE)))</f>
        <v/>
      </c>
      <c r="H15" s="26" t="str">
        <f>IF(OR('Lighting Inventory'!V24="", 'Lighting Inventory'!W24=""), "", IF('Lighting Inventory'!W24="No Change", 'Lighting Inventory'!J24, CONCATENATE("Cut Sheet ", 'Appendix C'!A15)))</f>
        <v/>
      </c>
      <c r="I15" s="26" t="str">
        <f>IF(H15="", "", IF('Lighting Inventory'!AB24="Yes", "Screw-In", "General"))</f>
        <v/>
      </c>
      <c r="J15" s="26" t="str">
        <f>IF(B15="", "", CONCATENATE('Lighting Inventory'!W24, ", ", 'Lighting Inventory'!AL24, " W"))</f>
        <v/>
      </c>
      <c r="K15" s="26" t="str">
        <f>IF(OR(B15="",'Lighting Inventory'!B24="Retrofit"),"",IF('General Information'!$F$16="Space-by-Space",CONCATENATE('Lighting Inventory'!N24,", ",'Lighting Inventory'!O24," ",'Lighting Inventory'!P24," LPD"," at ",'Lighting Inventory'!Q24,", ",'Lighting Inventory'!R24," kW"),CONCATENATE(B15,", ",'Lighting Inventory'!O24," ",'Lighting Inventory'!P24," LPD"," at ",'Lighting Inventory'!Q24,", ",'Lighting Inventory'!R24," kW")))</f>
        <v/>
      </c>
      <c r="L15" s="26" t="str">
        <f>IF(H15="","",IF('Lighting Inventory'!AK24="","",'Lighting Inventory'!AK24))</f>
        <v/>
      </c>
      <c r="M15" s="26" t="str">
        <f>IF(H15="", "", 'Lighting Inventory'!AL24)</f>
        <v/>
      </c>
      <c r="N15" s="26" t="str">
        <f>IF('Lighting Inventory'!S24="", "", IF('Lighting Inventory'!W24="No Change", 'Lighting Inventory'!I24, 'Lighting Inventory'!S24))</f>
        <v/>
      </c>
      <c r="O15" s="26" t="e">
        <f>IF('Lighting Inventory'!#REF!="", "", VLOOKUP('Lighting Inventory'!#REF!, 'Lookup Tables'!$B$142:$D$148, 3, FALSE))</f>
        <v>#REF!</v>
      </c>
      <c r="P15" s="66" t="str">
        <f>IF(B15="", "", 'Lighting Inventory'!AX24)</f>
        <v/>
      </c>
      <c r="Q15" s="67" t="str">
        <f>IF(B15="", "", 'Lighting Inventory'!AZ24)</f>
        <v/>
      </c>
      <c r="R15" s="187" t="str">
        <f>IF(OR('Lighting Inventory'!G24="", 'Lighting Inventory'!H24=""), "", 'Lighting Inventory'!BD24)</f>
        <v/>
      </c>
      <c r="S15" s="187" t="str">
        <f>IF(OR('Lighting Inventory'!G24="", 'Lighting Inventory'!H24=""), "",'Lighting Inventory'!BB24)</f>
        <v/>
      </c>
      <c r="T15" s="67" t="str">
        <f>IF(B15="", "", 'Lighting Inventory'!BE24)</f>
        <v/>
      </c>
      <c r="U15" s="67" t="str">
        <f>IF(B15="", "", 'Lighting Inventory'!BF24)</f>
        <v/>
      </c>
      <c r="AN15" s="354"/>
      <c r="AO15" s="354"/>
      <c r="AP15" s="354"/>
      <c r="AQ15" s="354"/>
      <c r="AR15" s="354"/>
      <c r="AS15" s="354"/>
      <c r="AT15" s="354"/>
      <c r="AU15" s="354"/>
      <c r="AV15" s="354"/>
      <c r="AW15" s="354"/>
      <c r="AX15" s="354"/>
      <c r="AY15" s="354"/>
      <c r="AZ15" s="354"/>
      <c r="BA15" s="354"/>
      <c r="BM15" s="186" t="str">
        <f t="shared" si="0"/>
        <v>-</v>
      </c>
    </row>
    <row r="16" spans="1:65" x14ac:dyDescent="0.25">
      <c r="A16" s="189">
        <v>15</v>
      </c>
      <c r="B16" s="186" t="str">
        <f>IF('Lighting Inventory'!F25="", "", 'Lighting Inventory'!F25)</f>
        <v/>
      </c>
      <c r="C16" s="26" t="str">
        <f>IF(B16="", "", CONCATENATE("Area: ", 'Lighting Inventory'!D25, ", ", IF('Lighting Inventory'!C25="", "", "Floor: "), 'Lighting Inventory'!C25))</f>
        <v/>
      </c>
      <c r="D16" s="186" t="str">
        <f>IF(B16="", "", IF('Lighting Inventory'!B25="New Construction",CONCATENATE("Cut Sheet ", 250+'Appendix C'!A16), IF(ISNUMBER(SEARCH("cut sheet", 'Lighting Inventory'!J25)), CONCATENATE("Cut Sheet ", 'Lookup Tables'!AX18), 'Lighting Inventory'!J25)))</f>
        <v/>
      </c>
      <c r="E16" s="26" t="str">
        <f>IF(B16="", "", IF('Lighting Inventory'!B25="New Construction", 1, 'Lighting Inventory'!I25))</f>
        <v/>
      </c>
      <c r="F16" s="26" t="str">
        <f>IF(B16="", "", IF('Lighting Inventory'!B25="New Construction", 'Lighting Inventory'!R25*1000, 'Lighting Inventory'!K25))</f>
        <v/>
      </c>
      <c r="G16" s="26" t="str">
        <f>IF(B16="", "", IF('Lighting Inventory'!M25="", "S_LS", VLOOKUP('Lighting Inventory'!M25, 'Lookup Tables'!$B$142:$D$148, 3, FALSE)))</f>
        <v/>
      </c>
      <c r="H16" s="26" t="str">
        <f>IF(OR('Lighting Inventory'!V25="", 'Lighting Inventory'!W25=""), "", IF('Lighting Inventory'!W25="No Change", 'Lighting Inventory'!J25, CONCATENATE("Cut Sheet ", 'Appendix C'!A16)))</f>
        <v/>
      </c>
      <c r="I16" s="26" t="str">
        <f>IF(H16="", "", IF('Lighting Inventory'!AB25="Yes", "Screw-In", "General"))</f>
        <v/>
      </c>
      <c r="J16" s="26" t="str">
        <f>IF(B16="", "", CONCATENATE('Lighting Inventory'!W25, ", ", 'Lighting Inventory'!AL25, " W"))</f>
        <v/>
      </c>
      <c r="K16" s="26" t="str">
        <f>IF(OR(B16="",'Lighting Inventory'!B25="Retrofit"),"",IF('General Information'!$F$16="Space-by-Space",CONCATENATE('Lighting Inventory'!N25,", ",'Lighting Inventory'!O25," ",'Lighting Inventory'!P25," LPD"," at ",'Lighting Inventory'!Q25,", ",'Lighting Inventory'!R25," kW"),CONCATENATE(B16,", ",'Lighting Inventory'!O25," ",'Lighting Inventory'!P25," LPD"," at ",'Lighting Inventory'!Q25,", ",'Lighting Inventory'!R25," kW")))</f>
        <v/>
      </c>
      <c r="L16" s="26" t="str">
        <f>IF(H16="","",IF('Lighting Inventory'!AK25="","",'Lighting Inventory'!AK25))</f>
        <v/>
      </c>
      <c r="M16" s="26" t="str">
        <f>IF(H16="", "", 'Lighting Inventory'!AL25)</f>
        <v/>
      </c>
      <c r="N16" s="26" t="str">
        <f>IF('Lighting Inventory'!S25="", "", IF('Lighting Inventory'!W25="No Change", 'Lighting Inventory'!I25, 'Lighting Inventory'!S25))</f>
        <v/>
      </c>
      <c r="O16" s="26" t="str">
        <f>IF('Lighting Inventory'!AN24="", "", VLOOKUP('Lighting Inventory'!AN24, 'Lookup Tables'!$B$142:$D$148, 3, FALSE))</f>
        <v/>
      </c>
      <c r="P16" s="66" t="str">
        <f>IF(B16="", "", 'Lighting Inventory'!AX25)</f>
        <v/>
      </c>
      <c r="Q16" s="67" t="str">
        <f>IF(B16="", "", 'Lighting Inventory'!AZ25)</f>
        <v/>
      </c>
      <c r="R16" s="187" t="str">
        <f>IF(OR('Lighting Inventory'!G25="", 'Lighting Inventory'!H25=""), "", 'Lighting Inventory'!BD25)</f>
        <v/>
      </c>
      <c r="S16" s="187" t="str">
        <f>IF(OR('Lighting Inventory'!G25="", 'Lighting Inventory'!H25=""), "",'Lighting Inventory'!BB25)</f>
        <v/>
      </c>
      <c r="T16" s="67" t="str">
        <f>IF(B16="", "", 'Lighting Inventory'!BE25)</f>
        <v/>
      </c>
      <c r="U16" s="67" t="str">
        <f>IF(B16="", "", 'Lighting Inventory'!BF25)</f>
        <v/>
      </c>
      <c r="BM16" s="186" t="str">
        <f t="shared" si="0"/>
        <v>-</v>
      </c>
    </row>
    <row r="17" spans="1:65" x14ac:dyDescent="0.25">
      <c r="A17" s="189">
        <v>16</v>
      </c>
      <c r="B17" s="186" t="str">
        <f>IF('Lighting Inventory'!F26="", "", 'Lighting Inventory'!F26)</f>
        <v/>
      </c>
      <c r="C17" s="26" t="str">
        <f>IF(B17="", "", CONCATENATE("Area: ", 'Lighting Inventory'!D26, ", ", IF('Lighting Inventory'!C26="", "", "Floor: "), 'Lighting Inventory'!C26))</f>
        <v/>
      </c>
      <c r="D17" s="186" t="str">
        <f>IF(B17="", "", IF('Lighting Inventory'!B26="New Construction",CONCATENATE("Cut Sheet ", 250+'Appendix C'!A17), IF(ISNUMBER(SEARCH("cut sheet", 'Lighting Inventory'!J26)), CONCATENATE("Cut Sheet ", 'Lookup Tables'!AX19), 'Lighting Inventory'!J26)))</f>
        <v/>
      </c>
      <c r="E17" s="26" t="str">
        <f>IF(B17="", "", IF('Lighting Inventory'!B26="New Construction", 1, 'Lighting Inventory'!I26))</f>
        <v/>
      </c>
      <c r="F17" s="26" t="str">
        <f>IF(B17="", "", IF('Lighting Inventory'!B26="New Construction", 'Lighting Inventory'!R26*1000, 'Lighting Inventory'!K26))</f>
        <v/>
      </c>
      <c r="G17" s="26" t="str">
        <f>IF(B17="", "", IF('Lighting Inventory'!M26="", "S_LS", VLOOKUP('Lighting Inventory'!M26, 'Lookup Tables'!$B$142:$D$148, 3, FALSE)))</f>
        <v/>
      </c>
      <c r="H17" s="26" t="str">
        <f>IF(OR('Lighting Inventory'!V26="", 'Lighting Inventory'!W26=""), "", IF('Lighting Inventory'!W26="No Change", 'Lighting Inventory'!J26, CONCATENATE("Cut Sheet ", 'Appendix C'!A17)))</f>
        <v/>
      </c>
      <c r="I17" s="26" t="str">
        <f>IF(H17="", "", IF('Lighting Inventory'!AB26="Yes", "Screw-In", "General"))</f>
        <v/>
      </c>
      <c r="J17" s="26" t="str">
        <f>IF(B17="", "", CONCATENATE('Lighting Inventory'!W26, ", ", 'Lighting Inventory'!AL26, " W"))</f>
        <v/>
      </c>
      <c r="K17" s="26" t="str">
        <f>IF(OR(B17="",'Lighting Inventory'!B26="Retrofit"),"",IF('General Information'!$F$16="Space-by-Space",CONCATENATE('Lighting Inventory'!N26,", ",'Lighting Inventory'!O26," ",'Lighting Inventory'!P26," LPD"," at ",'Lighting Inventory'!Q26,", ",'Lighting Inventory'!R26," kW"),CONCATENATE(B17,", ",'Lighting Inventory'!O26," ",'Lighting Inventory'!P26," LPD"," at ",'Lighting Inventory'!Q26,", ",'Lighting Inventory'!R26," kW")))</f>
        <v/>
      </c>
      <c r="L17" s="26" t="str">
        <f>IF(H17="","",IF('Lighting Inventory'!AK26="","",'Lighting Inventory'!AK26))</f>
        <v/>
      </c>
      <c r="M17" s="26" t="str">
        <f>IF(H17="", "", 'Lighting Inventory'!AL26)</f>
        <v/>
      </c>
      <c r="N17" s="26" t="str">
        <f>IF('Lighting Inventory'!S26="", "", IF('Lighting Inventory'!W26="No Change", 'Lighting Inventory'!I26, 'Lighting Inventory'!S26))</f>
        <v/>
      </c>
      <c r="O17" s="26" t="str">
        <f>IF('Lighting Inventory'!AN26="", "", VLOOKUP('Lighting Inventory'!AN26, 'Lookup Tables'!$B$142:$D$148, 3, FALSE))</f>
        <v/>
      </c>
      <c r="P17" s="66" t="str">
        <f>IF(B17="", "", 'Lighting Inventory'!AX26)</f>
        <v/>
      </c>
      <c r="Q17" s="67" t="str">
        <f>IF(B17="", "", 'Lighting Inventory'!AZ26)</f>
        <v/>
      </c>
      <c r="R17" s="187" t="str">
        <f>IF(OR('Lighting Inventory'!G26="", 'Lighting Inventory'!H26=""), "", 'Lighting Inventory'!BD26)</f>
        <v/>
      </c>
      <c r="S17" s="187" t="str">
        <f>IF(OR('Lighting Inventory'!G26="", 'Lighting Inventory'!H26=""), "",'Lighting Inventory'!BB26)</f>
        <v/>
      </c>
      <c r="T17" s="67" t="str">
        <f>IF(B17="", "", 'Lighting Inventory'!BE26)</f>
        <v/>
      </c>
      <c r="U17" s="67" t="str">
        <f>IF(B17="", "", 'Lighting Inventory'!BF26)</f>
        <v/>
      </c>
      <c r="BM17" s="186" t="str">
        <f t="shared" si="0"/>
        <v>-</v>
      </c>
    </row>
    <row r="18" spans="1:65" x14ac:dyDescent="0.25">
      <c r="A18" s="189">
        <v>17</v>
      </c>
      <c r="B18" s="186" t="str">
        <f>IF('Lighting Inventory'!F27="", "", 'Lighting Inventory'!F27)</f>
        <v/>
      </c>
      <c r="C18" s="26" t="str">
        <f>IF(B18="", "", CONCATENATE("Area: ", 'Lighting Inventory'!D27, ", ", IF('Lighting Inventory'!C27="", "", "Floor: "), 'Lighting Inventory'!C27))</f>
        <v/>
      </c>
      <c r="D18" s="186" t="str">
        <f>IF(B18="", "", IF('Lighting Inventory'!B27="New Construction",CONCATENATE("Cut Sheet ", 250+'Appendix C'!A18), IF(ISNUMBER(SEARCH("cut sheet", 'Lighting Inventory'!J27)), CONCATENATE("Cut Sheet ", 'Lookup Tables'!AX20), 'Lighting Inventory'!J27)))</f>
        <v/>
      </c>
      <c r="E18" s="26" t="str">
        <f>IF(B18="", "", IF('Lighting Inventory'!B27="New Construction", 1, 'Lighting Inventory'!I27))</f>
        <v/>
      </c>
      <c r="F18" s="26" t="str">
        <f>IF(B18="", "", IF('Lighting Inventory'!B27="New Construction", 'Lighting Inventory'!R27*1000, 'Lighting Inventory'!K27))</f>
        <v/>
      </c>
      <c r="G18" s="26" t="str">
        <f>IF(B18="", "", IF('Lighting Inventory'!M27="", "S_LS", VLOOKUP('Lighting Inventory'!M27, 'Lookup Tables'!$B$142:$D$148, 3, FALSE)))</f>
        <v/>
      </c>
      <c r="H18" s="26" t="str">
        <f>IF(OR('Lighting Inventory'!V27="", 'Lighting Inventory'!W27=""), "", IF('Lighting Inventory'!W27="No Change", 'Lighting Inventory'!J27, CONCATENATE("Cut Sheet ", 'Appendix C'!A18)))</f>
        <v/>
      </c>
      <c r="I18" s="26" t="str">
        <f>IF(H18="", "", IF('Lighting Inventory'!AB27="Yes", "Screw-In", "General"))</f>
        <v/>
      </c>
      <c r="J18" s="26" t="str">
        <f>IF(B18="", "", CONCATENATE('Lighting Inventory'!W27, ", ", 'Lighting Inventory'!AL27, " W"))</f>
        <v/>
      </c>
      <c r="K18" s="26" t="str">
        <f>IF(OR(B18="",'Lighting Inventory'!B27="Retrofit"),"",IF('General Information'!$F$16="Space-by-Space",CONCATENATE('Lighting Inventory'!N27,", ",'Lighting Inventory'!O27," ",'Lighting Inventory'!P27," LPD"," at ",'Lighting Inventory'!Q27,", ",'Lighting Inventory'!R27," kW"),CONCATENATE(B18,", ",'Lighting Inventory'!O27," ",'Lighting Inventory'!P27," LPD"," at ",'Lighting Inventory'!Q27,", ",'Lighting Inventory'!R27," kW")))</f>
        <v/>
      </c>
      <c r="L18" s="26" t="str">
        <f>IF(H18="","",IF('Lighting Inventory'!AK27="","",'Lighting Inventory'!AK27))</f>
        <v/>
      </c>
      <c r="M18" s="26" t="str">
        <f>IF(H18="", "", 'Lighting Inventory'!AL27)</f>
        <v/>
      </c>
      <c r="N18" s="26" t="str">
        <f>IF('Lighting Inventory'!S27="", "", IF('Lighting Inventory'!W27="No Change", 'Lighting Inventory'!I27, 'Lighting Inventory'!S27))</f>
        <v/>
      </c>
      <c r="O18" s="26" t="str">
        <f>IF('Lighting Inventory'!AN27="", "", VLOOKUP('Lighting Inventory'!AN27, 'Lookup Tables'!$B$142:$D$148, 3, FALSE))</f>
        <v/>
      </c>
      <c r="P18" s="66" t="str">
        <f>IF(B18="", "", 'Lighting Inventory'!AX27)</f>
        <v/>
      </c>
      <c r="Q18" s="67" t="str">
        <f>IF(B18="", "", 'Lighting Inventory'!AZ27)</f>
        <v/>
      </c>
      <c r="R18" s="187" t="str">
        <f>IF(OR('Lighting Inventory'!G27="", 'Lighting Inventory'!H27=""), "", 'Lighting Inventory'!BD27)</f>
        <v/>
      </c>
      <c r="S18" s="187" t="str">
        <f>IF(OR('Lighting Inventory'!G27="", 'Lighting Inventory'!H27=""), "",'Lighting Inventory'!BB27)</f>
        <v/>
      </c>
      <c r="T18" s="67" t="str">
        <f>IF(B18="", "", 'Lighting Inventory'!BE27)</f>
        <v/>
      </c>
      <c r="U18" s="67" t="str">
        <f>IF(B18="", "", 'Lighting Inventory'!BF27)</f>
        <v/>
      </c>
      <c r="BM18" s="186" t="str">
        <f t="shared" si="0"/>
        <v>-</v>
      </c>
    </row>
    <row r="19" spans="1:65" x14ac:dyDescent="0.25">
      <c r="A19" s="189">
        <v>18</v>
      </c>
      <c r="B19" s="186" t="str">
        <f>IF('Lighting Inventory'!F28="", "", 'Lighting Inventory'!F28)</f>
        <v/>
      </c>
      <c r="C19" s="26" t="str">
        <f>IF(B19="", "", CONCATENATE("Area: ", 'Lighting Inventory'!D28, ", ", IF('Lighting Inventory'!C28="", "", "Floor: "), 'Lighting Inventory'!C28))</f>
        <v/>
      </c>
      <c r="D19" s="186" t="str">
        <f>IF(B19="", "", IF('Lighting Inventory'!B28="New Construction",CONCATENATE("Cut Sheet ", 250+'Appendix C'!A19), IF(ISNUMBER(SEARCH("cut sheet", 'Lighting Inventory'!J28)), CONCATENATE("Cut Sheet ", 'Lookup Tables'!AX21), 'Lighting Inventory'!J28)))</f>
        <v/>
      </c>
      <c r="E19" s="26" t="str">
        <f>IF(B19="", "", IF('Lighting Inventory'!B28="New Construction", 1, 'Lighting Inventory'!I28))</f>
        <v/>
      </c>
      <c r="F19" s="26" t="str">
        <f>IF(B19="", "", IF('Lighting Inventory'!B28="New Construction", 'Lighting Inventory'!R28*1000, 'Lighting Inventory'!K28))</f>
        <v/>
      </c>
      <c r="G19" s="26" t="str">
        <f>IF(B19="", "", IF('Lighting Inventory'!M28="", "S_LS", VLOOKUP('Lighting Inventory'!M28, 'Lookup Tables'!$B$142:$D$148, 3, FALSE)))</f>
        <v/>
      </c>
      <c r="H19" s="26" t="str">
        <f>IF(OR('Lighting Inventory'!V28="", 'Lighting Inventory'!W28=""), "", IF('Lighting Inventory'!W28="No Change", 'Lighting Inventory'!J28, CONCATENATE("Cut Sheet ", 'Appendix C'!A19)))</f>
        <v/>
      </c>
      <c r="I19" s="26" t="str">
        <f>IF(H19="", "", IF('Lighting Inventory'!AB28="Yes", "Screw-In", "General"))</f>
        <v/>
      </c>
      <c r="J19" s="26" t="str">
        <f>IF(B19="", "", CONCATENATE('Lighting Inventory'!W28, ", ", 'Lighting Inventory'!AL28, " W"))</f>
        <v/>
      </c>
      <c r="K19" s="26" t="str">
        <f>IF(OR(B19="",'Lighting Inventory'!B28="Retrofit"),"",IF('General Information'!$F$16="Space-by-Space",CONCATENATE('Lighting Inventory'!N28,", ",'Lighting Inventory'!O28," ",'Lighting Inventory'!P28," LPD"," at ",'Lighting Inventory'!Q28,", ",'Lighting Inventory'!R28," kW"),CONCATENATE(B19,", ",'Lighting Inventory'!O28," ",'Lighting Inventory'!P28," LPD"," at ",'Lighting Inventory'!Q28,", ",'Lighting Inventory'!R28," kW")))</f>
        <v/>
      </c>
      <c r="L19" s="26" t="str">
        <f>IF(H19="","",IF('Lighting Inventory'!AK28="","",'Lighting Inventory'!AK28))</f>
        <v/>
      </c>
      <c r="M19" s="26" t="str">
        <f>IF(H19="", "", 'Lighting Inventory'!AL28)</f>
        <v/>
      </c>
      <c r="N19" s="26" t="str">
        <f>IF('Lighting Inventory'!S28="", "", IF('Lighting Inventory'!W28="No Change", 'Lighting Inventory'!I28, 'Lighting Inventory'!S28))</f>
        <v/>
      </c>
      <c r="O19" s="26" t="str">
        <f>IF('Lighting Inventory'!AN28="", "", VLOOKUP('Lighting Inventory'!AN28, 'Lookup Tables'!$B$142:$D$148, 3, FALSE))</f>
        <v/>
      </c>
      <c r="P19" s="66" t="str">
        <f>IF(B19="", "", 'Lighting Inventory'!AX28)</f>
        <v/>
      </c>
      <c r="Q19" s="67" t="str">
        <f>IF(B19="", "", 'Lighting Inventory'!AZ28)</f>
        <v/>
      </c>
      <c r="R19" s="187" t="str">
        <f>IF(OR('Lighting Inventory'!G28="", 'Lighting Inventory'!H28=""), "", 'Lighting Inventory'!BD28)</f>
        <v/>
      </c>
      <c r="S19" s="187" t="str">
        <f>IF(OR('Lighting Inventory'!G28="", 'Lighting Inventory'!H28=""), "",'Lighting Inventory'!BB28)</f>
        <v/>
      </c>
      <c r="T19" s="67" t="str">
        <f>IF(B19="", "", 'Lighting Inventory'!BE28)</f>
        <v/>
      </c>
      <c r="U19" s="67" t="str">
        <f>IF(B19="", "", 'Lighting Inventory'!BF28)</f>
        <v/>
      </c>
      <c r="BM19" s="186" t="str">
        <f t="shared" si="0"/>
        <v>-</v>
      </c>
    </row>
    <row r="20" spans="1:65" x14ac:dyDescent="0.25">
      <c r="A20" s="189">
        <v>19</v>
      </c>
      <c r="B20" s="186" t="str">
        <f>IF('Lighting Inventory'!F29="", "", 'Lighting Inventory'!F29)</f>
        <v/>
      </c>
      <c r="C20" s="26" t="str">
        <f>IF(B20="", "", CONCATENATE("Area: ", 'Lighting Inventory'!D29, ", ", IF('Lighting Inventory'!C29="", "", "Floor: "), 'Lighting Inventory'!C29))</f>
        <v/>
      </c>
      <c r="D20" s="186" t="str">
        <f>IF(B20="", "", IF('Lighting Inventory'!B29="New Construction",CONCATENATE("Cut Sheet ", 250+'Appendix C'!A20), IF(ISNUMBER(SEARCH("cut sheet", 'Lighting Inventory'!J29)), CONCATENATE("Cut Sheet ", 'Lookup Tables'!AX22), 'Lighting Inventory'!J29)))</f>
        <v/>
      </c>
      <c r="E20" s="26" t="str">
        <f>IF(B20="", "", IF('Lighting Inventory'!B29="New Construction", 1, 'Lighting Inventory'!I29))</f>
        <v/>
      </c>
      <c r="F20" s="26" t="str">
        <f>IF(B20="", "", IF('Lighting Inventory'!B29="New Construction", 'Lighting Inventory'!R29*1000, 'Lighting Inventory'!K29))</f>
        <v/>
      </c>
      <c r="G20" s="26" t="str">
        <f>IF(B20="", "", IF('Lighting Inventory'!M29="", "S_LS", VLOOKUP('Lighting Inventory'!M29, 'Lookup Tables'!$B$142:$D$148, 3, FALSE)))</f>
        <v/>
      </c>
      <c r="H20" s="26" t="str">
        <f>IF(OR('Lighting Inventory'!V29="", 'Lighting Inventory'!W29=""), "", IF('Lighting Inventory'!W29="No Change", 'Lighting Inventory'!J29, CONCATENATE("Cut Sheet ", 'Appendix C'!A20)))</f>
        <v/>
      </c>
      <c r="I20" s="26" t="str">
        <f>IF(H20="", "", IF('Lighting Inventory'!AB29="Yes", "Screw-In", "General"))</f>
        <v/>
      </c>
      <c r="J20" s="26" t="str">
        <f>IF(B20="", "", CONCATENATE('Lighting Inventory'!W29, ", ", 'Lighting Inventory'!AL29, " W"))</f>
        <v/>
      </c>
      <c r="K20" s="26" t="str">
        <f>IF(OR(B20="",'Lighting Inventory'!B29="Retrofit"),"",IF('General Information'!$F$16="Space-by-Space",CONCATENATE('Lighting Inventory'!N29,", ",'Lighting Inventory'!O29," ",'Lighting Inventory'!P29," LPD"," at ",'Lighting Inventory'!Q29,", ",'Lighting Inventory'!R29," kW"),CONCATENATE(B20,", ",'Lighting Inventory'!O29," ",'Lighting Inventory'!P29," LPD"," at ",'Lighting Inventory'!Q29,", ",'Lighting Inventory'!R29," kW")))</f>
        <v/>
      </c>
      <c r="L20" s="26" t="str">
        <f>IF(H20="","",IF('Lighting Inventory'!AK29="","",'Lighting Inventory'!AK29))</f>
        <v/>
      </c>
      <c r="M20" s="26" t="str">
        <f>IF(H20="", "", 'Lighting Inventory'!AL29)</f>
        <v/>
      </c>
      <c r="N20" s="26" t="str">
        <f>IF('Lighting Inventory'!S29="", "", IF('Lighting Inventory'!W29="No Change", 'Lighting Inventory'!I29, 'Lighting Inventory'!S29))</f>
        <v/>
      </c>
      <c r="O20" s="26" t="str">
        <f>IF('Lighting Inventory'!AN29="", "", VLOOKUP('Lighting Inventory'!AN29, 'Lookup Tables'!$B$142:$D$148, 3, FALSE))</f>
        <v/>
      </c>
      <c r="P20" s="66" t="str">
        <f>IF(B20="", "", 'Lighting Inventory'!AX29)</f>
        <v/>
      </c>
      <c r="Q20" s="67" t="str">
        <f>IF(B20="", "", 'Lighting Inventory'!AZ29)</f>
        <v/>
      </c>
      <c r="R20" s="187" t="str">
        <f>IF(OR('Lighting Inventory'!G29="", 'Lighting Inventory'!H29=""), "", 'Lighting Inventory'!BD29)</f>
        <v/>
      </c>
      <c r="S20" s="187" t="str">
        <f>IF(OR('Lighting Inventory'!G29="", 'Lighting Inventory'!H29=""), "",'Lighting Inventory'!BB29)</f>
        <v/>
      </c>
      <c r="T20" s="67" t="str">
        <f>IF(B20="", "", 'Lighting Inventory'!BE29)</f>
        <v/>
      </c>
      <c r="U20" s="67" t="str">
        <f>IF(B20="", "", 'Lighting Inventory'!BF29)</f>
        <v/>
      </c>
      <c r="BM20" s="186" t="str">
        <f t="shared" si="0"/>
        <v>-</v>
      </c>
    </row>
    <row r="21" spans="1:65" x14ac:dyDescent="0.25">
      <c r="A21" s="189">
        <v>20</v>
      </c>
      <c r="B21" s="186" t="str">
        <f>IF('Lighting Inventory'!F30="", "", 'Lighting Inventory'!F30)</f>
        <v/>
      </c>
      <c r="C21" s="26" t="str">
        <f>IF(B21="", "", CONCATENATE("Area: ", 'Lighting Inventory'!D30, ", ", IF('Lighting Inventory'!C30="", "", "Floor: "), 'Lighting Inventory'!C30))</f>
        <v/>
      </c>
      <c r="D21" s="186" t="str">
        <f>IF(B21="", "", IF('Lighting Inventory'!B30="New Construction",CONCATENATE("Cut Sheet ", 250+'Appendix C'!A21), IF(ISNUMBER(SEARCH("cut sheet", 'Lighting Inventory'!J30)), CONCATENATE("Cut Sheet ", 'Lookup Tables'!AX23), 'Lighting Inventory'!J30)))</f>
        <v/>
      </c>
      <c r="E21" s="26" t="str">
        <f>IF(B21="", "", IF('Lighting Inventory'!B30="New Construction", 1, 'Lighting Inventory'!I30))</f>
        <v/>
      </c>
      <c r="F21" s="26" t="str">
        <f>IF(B21="", "", IF('Lighting Inventory'!B30="New Construction", 'Lighting Inventory'!R30*1000, 'Lighting Inventory'!K30))</f>
        <v/>
      </c>
      <c r="G21" s="26" t="str">
        <f>IF(B21="", "", IF('Lighting Inventory'!M30="", "S_LS", VLOOKUP('Lighting Inventory'!M30, 'Lookup Tables'!$B$142:$D$148, 3, FALSE)))</f>
        <v/>
      </c>
      <c r="H21" s="26" t="str">
        <f>IF(OR('Lighting Inventory'!V30="", 'Lighting Inventory'!W30=""), "", IF('Lighting Inventory'!W30="No Change", 'Lighting Inventory'!J30, CONCATENATE("Cut Sheet ", 'Appendix C'!A21)))</f>
        <v/>
      </c>
      <c r="I21" s="26" t="str">
        <f>IF(H21="", "", IF('Lighting Inventory'!AB30="Yes", "Screw-In", "General"))</f>
        <v/>
      </c>
      <c r="J21" s="26" t="str">
        <f>IF(B21="", "", CONCATENATE('Lighting Inventory'!W30, ", ", 'Lighting Inventory'!AL30, " W"))</f>
        <v/>
      </c>
      <c r="K21" s="26" t="str">
        <f>IF(OR(B21="",'Lighting Inventory'!B30="Retrofit"),"",IF('General Information'!$F$16="Space-by-Space",CONCATENATE('Lighting Inventory'!N30,", ",'Lighting Inventory'!O30," ",'Lighting Inventory'!P30," LPD"," at ",'Lighting Inventory'!Q30,", ",'Lighting Inventory'!R30," kW"),CONCATENATE(B21,", ",'Lighting Inventory'!O30," ",'Lighting Inventory'!P30," LPD"," at ",'Lighting Inventory'!Q30,", ",'Lighting Inventory'!R30," kW")))</f>
        <v/>
      </c>
      <c r="L21" s="26" t="str">
        <f>IF(H21="","",IF('Lighting Inventory'!AK30="","",'Lighting Inventory'!AK30))</f>
        <v/>
      </c>
      <c r="M21" s="26" t="str">
        <f>IF(H21="", "", 'Lighting Inventory'!AL30)</f>
        <v/>
      </c>
      <c r="N21" s="26" t="str">
        <f>IF('Lighting Inventory'!S30="", "", IF('Lighting Inventory'!W30="No Change", 'Lighting Inventory'!I30, 'Lighting Inventory'!S30))</f>
        <v/>
      </c>
      <c r="O21" s="26" t="str">
        <f>IF('Lighting Inventory'!AN30="", "", VLOOKUP('Lighting Inventory'!AN30, 'Lookup Tables'!$B$142:$D$148, 3, FALSE))</f>
        <v/>
      </c>
      <c r="P21" s="66" t="str">
        <f>IF(B21="", "", 'Lighting Inventory'!AX30)</f>
        <v/>
      </c>
      <c r="Q21" s="67" t="str">
        <f>IF(B21="", "", 'Lighting Inventory'!AZ30)</f>
        <v/>
      </c>
      <c r="R21" s="187" t="str">
        <f>IF(OR('Lighting Inventory'!G30="", 'Lighting Inventory'!H30=""), "", 'Lighting Inventory'!BD30)</f>
        <v/>
      </c>
      <c r="S21" s="187" t="str">
        <f>IF(OR('Lighting Inventory'!G30="", 'Lighting Inventory'!H30=""), "",'Lighting Inventory'!BB30)</f>
        <v/>
      </c>
      <c r="T21" s="67" t="str">
        <f>IF(B21="", "", 'Lighting Inventory'!BE30)</f>
        <v/>
      </c>
      <c r="U21" s="67" t="str">
        <f>IF(B21="", "", 'Lighting Inventory'!BF30)</f>
        <v/>
      </c>
      <c r="BM21" s="186" t="str">
        <f t="shared" si="0"/>
        <v>-</v>
      </c>
    </row>
    <row r="22" spans="1:65" x14ac:dyDescent="0.25">
      <c r="A22" s="189">
        <v>21</v>
      </c>
      <c r="B22" s="186" t="str">
        <f>IF('Lighting Inventory'!F31="", "", 'Lighting Inventory'!F31)</f>
        <v/>
      </c>
      <c r="C22" s="26" t="str">
        <f>IF(B22="", "", CONCATENATE("Area: ", 'Lighting Inventory'!D31, ", ", IF('Lighting Inventory'!C31="", "", "Floor: "), 'Lighting Inventory'!C31))</f>
        <v/>
      </c>
      <c r="D22" s="186" t="str">
        <f>IF(B22="", "", IF('Lighting Inventory'!B31="New Construction",CONCATENATE("Cut Sheet ", 250+'Appendix C'!A22), IF(ISNUMBER(SEARCH("cut sheet", 'Lighting Inventory'!J31)), CONCATENATE("Cut Sheet ", 'Lookup Tables'!AX24), 'Lighting Inventory'!J31)))</f>
        <v/>
      </c>
      <c r="E22" s="26" t="str">
        <f>IF(B22="", "", IF('Lighting Inventory'!B31="New Construction", 1, 'Lighting Inventory'!I31))</f>
        <v/>
      </c>
      <c r="F22" s="26" t="str">
        <f>IF(B22="", "", IF('Lighting Inventory'!B31="New Construction", 'Lighting Inventory'!R31*1000, 'Lighting Inventory'!K31))</f>
        <v/>
      </c>
      <c r="G22" s="26" t="str">
        <f>IF(B22="", "", IF('Lighting Inventory'!M31="", "S_LS", VLOOKUP('Lighting Inventory'!M31, 'Lookup Tables'!$B$142:$D$148, 3, FALSE)))</f>
        <v/>
      </c>
      <c r="H22" s="26" t="str">
        <f>IF(OR('Lighting Inventory'!V31="", 'Lighting Inventory'!W31=""), "", IF('Lighting Inventory'!W31="No Change", 'Lighting Inventory'!J31, CONCATENATE("Cut Sheet ", 'Appendix C'!A22)))</f>
        <v/>
      </c>
      <c r="I22" s="26" t="str">
        <f>IF(H22="", "", IF('Lighting Inventory'!AB31="Yes", "Screw-In", "General"))</f>
        <v/>
      </c>
      <c r="J22" s="26" t="str">
        <f>IF(B22="", "", CONCATENATE('Lighting Inventory'!W31, ", ", 'Lighting Inventory'!AL31, " W"))</f>
        <v/>
      </c>
      <c r="K22" s="26" t="str">
        <f>IF(OR(B22="",'Lighting Inventory'!B31="Retrofit"),"",IF('General Information'!$F$16="Space-by-Space",CONCATENATE('Lighting Inventory'!N31,", ",'Lighting Inventory'!O31," ",'Lighting Inventory'!P31," LPD"," at ",'Lighting Inventory'!Q31,", ",'Lighting Inventory'!R31," kW"),CONCATENATE(B22,", ",'Lighting Inventory'!O31," ",'Lighting Inventory'!P31," LPD"," at ",'Lighting Inventory'!Q31,", ",'Lighting Inventory'!R31," kW")))</f>
        <v/>
      </c>
      <c r="L22" s="26" t="str">
        <f>IF(H22="","",IF('Lighting Inventory'!AK31="","",'Lighting Inventory'!AK31))</f>
        <v/>
      </c>
      <c r="M22" s="26" t="str">
        <f>IF(H22="", "", 'Lighting Inventory'!AL31)</f>
        <v/>
      </c>
      <c r="N22" s="26" t="str">
        <f>IF('Lighting Inventory'!S31="", "", IF('Lighting Inventory'!W31="No Change", 'Lighting Inventory'!I31, 'Lighting Inventory'!S31))</f>
        <v/>
      </c>
      <c r="O22" s="26" t="str">
        <f>IF('Lighting Inventory'!AN31="", "", VLOOKUP('Lighting Inventory'!AN31, 'Lookup Tables'!$B$142:$D$148, 3, FALSE))</f>
        <v/>
      </c>
      <c r="P22" s="66" t="str">
        <f>IF(B22="", "", 'Lighting Inventory'!AX31)</f>
        <v/>
      </c>
      <c r="Q22" s="67" t="str">
        <f>IF(B22="", "", 'Lighting Inventory'!AZ31)</f>
        <v/>
      </c>
      <c r="R22" s="187" t="str">
        <f>IF(OR('Lighting Inventory'!G31="", 'Lighting Inventory'!H31=""), "", 'Lighting Inventory'!BD31)</f>
        <v/>
      </c>
      <c r="S22" s="187" t="str">
        <f>IF(OR('Lighting Inventory'!G31="", 'Lighting Inventory'!H31=""), "",'Lighting Inventory'!BB31)</f>
        <v/>
      </c>
      <c r="T22" s="67" t="str">
        <f>IF(B22="", "", 'Lighting Inventory'!BE31)</f>
        <v/>
      </c>
      <c r="U22" s="67" t="str">
        <f>IF(B22="", "", 'Lighting Inventory'!BF31)</f>
        <v/>
      </c>
      <c r="BM22" s="186" t="str">
        <f t="shared" si="0"/>
        <v>-</v>
      </c>
    </row>
    <row r="23" spans="1:65" x14ac:dyDescent="0.25">
      <c r="A23" s="189">
        <v>22</v>
      </c>
      <c r="B23" s="186" t="str">
        <f>IF('Lighting Inventory'!F32="", "", 'Lighting Inventory'!F32)</f>
        <v/>
      </c>
      <c r="C23" s="26" t="str">
        <f>IF(B23="", "", CONCATENATE("Area: ", 'Lighting Inventory'!D32, ", ", IF('Lighting Inventory'!C32="", "", "Floor: "), 'Lighting Inventory'!C32))</f>
        <v/>
      </c>
      <c r="D23" s="186" t="str">
        <f>IF(B23="", "", IF('Lighting Inventory'!B32="New Construction",CONCATENATE("Cut Sheet ", 250+'Appendix C'!A23), IF(ISNUMBER(SEARCH("cut sheet", 'Lighting Inventory'!J32)), CONCATENATE("Cut Sheet ", 'Lookup Tables'!AX25), 'Lighting Inventory'!J32)))</f>
        <v/>
      </c>
      <c r="E23" s="26" t="str">
        <f>IF(B23="", "", IF('Lighting Inventory'!B32="New Construction", 1, 'Lighting Inventory'!I32))</f>
        <v/>
      </c>
      <c r="F23" s="26" t="str">
        <f>IF(B23="", "", IF('Lighting Inventory'!B32="New Construction", 'Lighting Inventory'!R32*1000, 'Lighting Inventory'!K32))</f>
        <v/>
      </c>
      <c r="G23" s="26" t="str">
        <f>IF(B23="", "", IF('Lighting Inventory'!M32="", "S_LS", VLOOKUP('Lighting Inventory'!M32, 'Lookup Tables'!$B$142:$D$148, 3, FALSE)))</f>
        <v/>
      </c>
      <c r="H23" s="26" t="str">
        <f>IF(OR('Lighting Inventory'!V32="", 'Lighting Inventory'!W32=""), "", IF('Lighting Inventory'!W32="No Change", 'Lighting Inventory'!J32, CONCATENATE("Cut Sheet ", 'Appendix C'!A23)))</f>
        <v/>
      </c>
      <c r="I23" s="26" t="str">
        <f>IF(H23="", "", IF('Lighting Inventory'!AB32="Yes", "Screw-In", "General"))</f>
        <v/>
      </c>
      <c r="J23" s="26" t="str">
        <f>IF(B23="", "", CONCATENATE('Lighting Inventory'!W32, ", ", 'Lighting Inventory'!AL32, " W"))</f>
        <v/>
      </c>
      <c r="K23" s="26" t="str">
        <f>IF(OR(B23="",'Lighting Inventory'!B32="Retrofit"),"",IF('General Information'!$F$16="Space-by-Space",CONCATENATE('Lighting Inventory'!N32,", ",'Lighting Inventory'!O32," ",'Lighting Inventory'!P32," LPD"," at ",'Lighting Inventory'!Q32,", ",'Lighting Inventory'!R32," kW"),CONCATENATE(B23,", ",'Lighting Inventory'!O32," ",'Lighting Inventory'!P32," LPD"," at ",'Lighting Inventory'!Q32,", ",'Lighting Inventory'!R32," kW")))</f>
        <v/>
      </c>
      <c r="L23" s="26" t="str">
        <f>IF(H23="","",IF('Lighting Inventory'!AK32="","",'Lighting Inventory'!AK32))</f>
        <v/>
      </c>
      <c r="M23" s="26" t="str">
        <f>IF(H23="", "", 'Lighting Inventory'!AL32)</f>
        <v/>
      </c>
      <c r="N23" s="26" t="str">
        <f>IF('Lighting Inventory'!S32="", "", IF('Lighting Inventory'!W32="No Change", 'Lighting Inventory'!I32, 'Lighting Inventory'!S32))</f>
        <v/>
      </c>
      <c r="O23" s="26" t="str">
        <f>IF('Lighting Inventory'!AN32="", "", VLOOKUP('Lighting Inventory'!AN32, 'Lookup Tables'!$B$142:$D$148, 3, FALSE))</f>
        <v/>
      </c>
      <c r="P23" s="66" t="str">
        <f>IF(B23="", "", 'Lighting Inventory'!AX32)</f>
        <v/>
      </c>
      <c r="Q23" s="67" t="str">
        <f>IF(B23="", "", 'Lighting Inventory'!AZ32)</f>
        <v/>
      </c>
      <c r="R23" s="187" t="str">
        <f>IF(OR('Lighting Inventory'!G32="", 'Lighting Inventory'!H32=""), "", 'Lighting Inventory'!BD32)</f>
        <v/>
      </c>
      <c r="S23" s="187" t="str">
        <f>IF(OR('Lighting Inventory'!G32="", 'Lighting Inventory'!H32=""), "",'Lighting Inventory'!BB32)</f>
        <v/>
      </c>
      <c r="T23" s="67" t="str">
        <f>IF(B23="", "", 'Lighting Inventory'!BE32)</f>
        <v/>
      </c>
      <c r="U23" s="67" t="str">
        <f>IF(B23="", "", 'Lighting Inventory'!BF32)</f>
        <v/>
      </c>
      <c r="BM23" s="186" t="str">
        <f t="shared" si="0"/>
        <v>-</v>
      </c>
    </row>
    <row r="24" spans="1:65" x14ac:dyDescent="0.25">
      <c r="A24" s="189">
        <v>23</v>
      </c>
      <c r="B24" s="186" t="str">
        <f>IF('Lighting Inventory'!F33="", "", 'Lighting Inventory'!F33)</f>
        <v/>
      </c>
      <c r="C24" s="26" t="str">
        <f>IF(B24="", "", CONCATENATE("Area: ", 'Lighting Inventory'!D33, ", ", IF('Lighting Inventory'!C33="", "", "Floor: "), 'Lighting Inventory'!C33))</f>
        <v/>
      </c>
      <c r="D24" s="186" t="str">
        <f>IF(B24="", "", IF('Lighting Inventory'!B33="New Construction",CONCATENATE("Cut Sheet ", 250+'Appendix C'!A24), IF(ISNUMBER(SEARCH("cut sheet", 'Lighting Inventory'!J33)), CONCATENATE("Cut Sheet ", 'Lookup Tables'!AX26), 'Lighting Inventory'!J33)))</f>
        <v/>
      </c>
      <c r="E24" s="26" t="str">
        <f>IF(B24="", "", IF('Lighting Inventory'!B33="New Construction", 1, 'Lighting Inventory'!I33))</f>
        <v/>
      </c>
      <c r="F24" s="26" t="str">
        <f>IF(B24="", "", IF('Lighting Inventory'!B33="New Construction", 'Lighting Inventory'!R33*1000, 'Lighting Inventory'!K33))</f>
        <v/>
      </c>
      <c r="G24" s="26" t="str">
        <f>IF(B24="", "", IF('Lighting Inventory'!M33="", "S_LS", VLOOKUP('Lighting Inventory'!M33, 'Lookup Tables'!$B$142:$D$148, 3, FALSE)))</f>
        <v/>
      </c>
      <c r="H24" s="26" t="str">
        <f>IF(OR('Lighting Inventory'!V33="", 'Lighting Inventory'!W33=""), "", IF('Lighting Inventory'!W33="No Change", 'Lighting Inventory'!J33, CONCATENATE("Cut Sheet ", 'Appendix C'!A24)))</f>
        <v/>
      </c>
      <c r="I24" s="26" t="str">
        <f>IF(H24="", "", IF('Lighting Inventory'!AB33="Yes", "Screw-In", "General"))</f>
        <v/>
      </c>
      <c r="J24" s="26" t="str">
        <f>IF(B24="", "", CONCATENATE('Lighting Inventory'!W33, ", ", 'Lighting Inventory'!AL33, " W"))</f>
        <v/>
      </c>
      <c r="K24" s="26" t="str">
        <f>IF(OR(B24="",'Lighting Inventory'!B33="Retrofit"),"",IF('General Information'!$F$16="Space-by-Space",CONCATENATE('Lighting Inventory'!N33,", ",'Lighting Inventory'!O33," ",'Lighting Inventory'!P33," LPD"," at ",'Lighting Inventory'!Q33,", ",'Lighting Inventory'!R33," kW"),CONCATENATE(B24,", ",'Lighting Inventory'!O33," ",'Lighting Inventory'!P33," LPD"," at ",'Lighting Inventory'!Q33,", ",'Lighting Inventory'!R33," kW")))</f>
        <v/>
      </c>
      <c r="L24" s="26" t="str">
        <f>IF(H24="","",IF('Lighting Inventory'!AK33="","",'Lighting Inventory'!AK33))</f>
        <v/>
      </c>
      <c r="M24" s="26" t="str">
        <f>IF(H24="", "", 'Lighting Inventory'!AL33)</f>
        <v/>
      </c>
      <c r="N24" s="26" t="str">
        <f>IF('Lighting Inventory'!S33="", "", IF('Lighting Inventory'!W33="No Change", 'Lighting Inventory'!I33, 'Lighting Inventory'!S33))</f>
        <v/>
      </c>
      <c r="O24" s="26" t="str">
        <f>IF('Lighting Inventory'!AN33="", "", VLOOKUP('Lighting Inventory'!AN33, 'Lookup Tables'!$B$142:$D$148, 3, FALSE))</f>
        <v/>
      </c>
      <c r="P24" s="66" t="str">
        <f>IF(B24="", "", 'Lighting Inventory'!AX33)</f>
        <v/>
      </c>
      <c r="Q24" s="67" t="str">
        <f>IF(B24="", "", 'Lighting Inventory'!AZ33)</f>
        <v/>
      </c>
      <c r="R24" s="187" t="str">
        <f>IF(OR('Lighting Inventory'!G33="", 'Lighting Inventory'!H33=""), "", 'Lighting Inventory'!BD33)</f>
        <v/>
      </c>
      <c r="S24" s="187" t="str">
        <f>IF(OR('Lighting Inventory'!G33="", 'Lighting Inventory'!H33=""), "",'Lighting Inventory'!BB33)</f>
        <v/>
      </c>
      <c r="T24" s="67" t="str">
        <f>IF(B24="", "", 'Lighting Inventory'!BE33)</f>
        <v/>
      </c>
      <c r="U24" s="67" t="str">
        <f>IF(B24="", "", 'Lighting Inventory'!BF33)</f>
        <v/>
      </c>
      <c r="BM24" s="186" t="str">
        <f t="shared" si="0"/>
        <v>-</v>
      </c>
    </row>
    <row r="25" spans="1:65" x14ac:dyDescent="0.25">
      <c r="A25" s="189">
        <v>24</v>
      </c>
      <c r="B25" s="186" t="str">
        <f>IF('Lighting Inventory'!F34="", "", 'Lighting Inventory'!F34)</f>
        <v/>
      </c>
      <c r="C25" s="26" t="str">
        <f>IF(B25="", "", CONCATENATE("Area: ", 'Lighting Inventory'!D34, ", ", IF('Lighting Inventory'!C34="", "", "Floor: "), 'Lighting Inventory'!C34))</f>
        <v/>
      </c>
      <c r="D25" s="186" t="str">
        <f>IF(B25="", "", IF('Lighting Inventory'!B34="New Construction",CONCATENATE("Cut Sheet ", 250+'Appendix C'!A25), IF(ISNUMBER(SEARCH("cut sheet", 'Lighting Inventory'!J34)), CONCATENATE("Cut Sheet ", 'Lookup Tables'!AX27), 'Lighting Inventory'!J34)))</f>
        <v/>
      </c>
      <c r="E25" s="26" t="str">
        <f>IF(B25="", "", IF('Lighting Inventory'!B34="New Construction", 1, 'Lighting Inventory'!I34))</f>
        <v/>
      </c>
      <c r="F25" s="26" t="str">
        <f>IF(B25="", "", IF('Lighting Inventory'!B34="New Construction", 'Lighting Inventory'!R34*1000, 'Lighting Inventory'!K34))</f>
        <v/>
      </c>
      <c r="G25" s="26" t="str">
        <f>IF(B25="", "", IF('Lighting Inventory'!M34="", "S_LS", VLOOKUP('Lighting Inventory'!M34, 'Lookup Tables'!$B$142:$D$148, 3, FALSE)))</f>
        <v/>
      </c>
      <c r="H25" s="26" t="str">
        <f>IF(OR('Lighting Inventory'!V34="", 'Lighting Inventory'!W34=""), "", IF('Lighting Inventory'!W34="No Change", 'Lighting Inventory'!J34, CONCATENATE("Cut Sheet ", 'Appendix C'!A25)))</f>
        <v/>
      </c>
      <c r="I25" s="26" t="str">
        <f>IF(H25="", "", IF('Lighting Inventory'!AB34="Yes", "Screw-In", "General"))</f>
        <v/>
      </c>
      <c r="J25" s="26" t="str">
        <f>IF(B25="", "", CONCATENATE('Lighting Inventory'!W34, ", ", 'Lighting Inventory'!AL34, " W"))</f>
        <v/>
      </c>
      <c r="K25" s="26" t="str">
        <f>IF(OR(B25="",'Lighting Inventory'!B34="Retrofit"),"",IF('General Information'!$F$16="Space-by-Space",CONCATENATE('Lighting Inventory'!N34,", ",'Lighting Inventory'!O34," ",'Lighting Inventory'!P34," LPD"," at ",'Lighting Inventory'!Q34,", ",'Lighting Inventory'!R34," kW"),CONCATENATE(B25,", ",'Lighting Inventory'!O34," ",'Lighting Inventory'!P34," LPD"," at ",'Lighting Inventory'!Q34,", ",'Lighting Inventory'!R34," kW")))</f>
        <v/>
      </c>
      <c r="L25" s="26" t="str">
        <f>IF(H25="","",IF('Lighting Inventory'!AK34="","",'Lighting Inventory'!AK34))</f>
        <v/>
      </c>
      <c r="M25" s="26" t="str">
        <f>IF(H25="", "", 'Lighting Inventory'!AL34)</f>
        <v/>
      </c>
      <c r="N25" s="26" t="str">
        <f>IF('Lighting Inventory'!S34="", "", IF('Lighting Inventory'!W34="No Change", 'Lighting Inventory'!I34, 'Lighting Inventory'!S34))</f>
        <v/>
      </c>
      <c r="O25" s="26" t="str">
        <f>IF('Lighting Inventory'!AN34="", "", VLOOKUP('Lighting Inventory'!AN34, 'Lookup Tables'!$B$142:$D$148, 3, FALSE))</f>
        <v/>
      </c>
      <c r="P25" s="66" t="str">
        <f>IF(B25="", "", 'Lighting Inventory'!AX34)</f>
        <v/>
      </c>
      <c r="Q25" s="67" t="str">
        <f>IF(B25="", "", 'Lighting Inventory'!AZ34)</f>
        <v/>
      </c>
      <c r="R25" s="187" t="str">
        <f>IF(OR('Lighting Inventory'!G34="", 'Lighting Inventory'!H34=""), "", 'Lighting Inventory'!BD34)</f>
        <v/>
      </c>
      <c r="S25" s="187" t="str">
        <f>IF(OR('Lighting Inventory'!G34="", 'Lighting Inventory'!H34=""), "",'Lighting Inventory'!BB34)</f>
        <v/>
      </c>
      <c r="T25" s="67" t="str">
        <f>IF(B25="", "", 'Lighting Inventory'!BE34)</f>
        <v/>
      </c>
      <c r="U25" s="67" t="str">
        <f>IF(B25="", "", 'Lighting Inventory'!BF34)</f>
        <v/>
      </c>
      <c r="BM25" s="186" t="str">
        <f t="shared" si="0"/>
        <v>-</v>
      </c>
    </row>
    <row r="26" spans="1:65" x14ac:dyDescent="0.25">
      <c r="A26" s="189">
        <v>25</v>
      </c>
      <c r="B26" s="186" t="str">
        <f>IF('Lighting Inventory'!F35="", "", 'Lighting Inventory'!F35)</f>
        <v/>
      </c>
      <c r="C26" s="26" t="str">
        <f>IF(B26="", "", CONCATENATE("Area: ", 'Lighting Inventory'!D35, ", ", IF('Lighting Inventory'!C35="", "", "Floor: "), 'Lighting Inventory'!C35))</f>
        <v/>
      </c>
      <c r="D26" s="186" t="str">
        <f>IF(B26="", "", IF('Lighting Inventory'!B35="New Construction",CONCATENATE("Cut Sheet ", 250+'Appendix C'!A26), IF(ISNUMBER(SEARCH("cut sheet", 'Lighting Inventory'!J35)), CONCATENATE("Cut Sheet ", 'Lookup Tables'!AX28), 'Lighting Inventory'!J35)))</f>
        <v/>
      </c>
      <c r="E26" s="26" t="str">
        <f>IF(B26="", "", IF('Lighting Inventory'!B35="New Construction", 1, 'Lighting Inventory'!I35))</f>
        <v/>
      </c>
      <c r="F26" s="26" t="str">
        <f>IF(B26="", "", IF('Lighting Inventory'!B35="New Construction", 'Lighting Inventory'!R35*1000, 'Lighting Inventory'!K35))</f>
        <v/>
      </c>
      <c r="G26" s="26" t="str">
        <f>IF(B26="", "", IF('Lighting Inventory'!M35="", "S_LS", VLOOKUP('Lighting Inventory'!M35, 'Lookup Tables'!$B$142:$D$148, 3, FALSE)))</f>
        <v/>
      </c>
      <c r="H26" s="26" t="str">
        <f>IF(OR('Lighting Inventory'!V35="", 'Lighting Inventory'!W35=""), "", IF('Lighting Inventory'!W35="No Change", 'Lighting Inventory'!J35, CONCATENATE("Cut Sheet ", 'Appendix C'!A26)))</f>
        <v/>
      </c>
      <c r="I26" s="26" t="str">
        <f>IF(H26="", "", IF('Lighting Inventory'!AB35="Yes", "Screw-In", "General"))</f>
        <v/>
      </c>
      <c r="J26" s="26" t="str">
        <f>IF(B26="", "", CONCATENATE('Lighting Inventory'!W35, ", ", 'Lighting Inventory'!AL35, " W"))</f>
        <v/>
      </c>
      <c r="K26" s="26" t="str">
        <f>IF(OR(B26="",'Lighting Inventory'!B35="Retrofit"),"",IF('General Information'!$F$16="Space-by-Space",CONCATENATE('Lighting Inventory'!N35,", ",'Lighting Inventory'!O35," ",'Lighting Inventory'!P35," LPD"," at ",'Lighting Inventory'!Q35,", ",'Lighting Inventory'!R35," kW"),CONCATENATE(B26,", ",'Lighting Inventory'!O35," ",'Lighting Inventory'!P35," LPD"," at ",'Lighting Inventory'!Q35,", ",'Lighting Inventory'!R35," kW")))</f>
        <v/>
      </c>
      <c r="L26" s="26" t="str">
        <f>IF(H26="","",IF('Lighting Inventory'!AK35="","",'Lighting Inventory'!AK35))</f>
        <v/>
      </c>
      <c r="M26" s="26" t="str">
        <f>IF(H26="", "", 'Lighting Inventory'!AL35)</f>
        <v/>
      </c>
      <c r="N26" s="26" t="str">
        <f>IF('Lighting Inventory'!S35="", "", IF('Lighting Inventory'!W35="No Change", 'Lighting Inventory'!I35, 'Lighting Inventory'!S35))</f>
        <v/>
      </c>
      <c r="O26" s="26" t="str">
        <f>IF('Lighting Inventory'!AN35="", "", VLOOKUP('Lighting Inventory'!AN35, 'Lookup Tables'!$B$142:$D$148, 3, FALSE))</f>
        <v/>
      </c>
      <c r="P26" s="66" t="str">
        <f>IF(B26="", "", 'Lighting Inventory'!AX35)</f>
        <v/>
      </c>
      <c r="Q26" s="67" t="str">
        <f>IF(B26="", "", 'Lighting Inventory'!AZ35)</f>
        <v/>
      </c>
      <c r="R26" s="187" t="str">
        <f>IF(OR('Lighting Inventory'!G35="", 'Lighting Inventory'!H35=""), "", 'Lighting Inventory'!BD35)</f>
        <v/>
      </c>
      <c r="S26" s="187" t="str">
        <f>IF(OR('Lighting Inventory'!G35="", 'Lighting Inventory'!H35=""), "",'Lighting Inventory'!BB35)</f>
        <v/>
      </c>
      <c r="T26" s="67" t="str">
        <f>IF(B26="", "", 'Lighting Inventory'!BE35)</f>
        <v/>
      </c>
      <c r="U26" s="67" t="str">
        <f>IF(B26="", "", 'Lighting Inventory'!BF35)</f>
        <v/>
      </c>
      <c r="BM26" s="186" t="str">
        <f t="shared" si="0"/>
        <v>-</v>
      </c>
    </row>
    <row r="27" spans="1:65" x14ac:dyDescent="0.25">
      <c r="A27" s="189">
        <v>26</v>
      </c>
      <c r="B27" s="186" t="str">
        <f>IF('Lighting Inventory'!F36="", "", 'Lighting Inventory'!F36)</f>
        <v/>
      </c>
      <c r="C27" s="26" t="str">
        <f>IF(B27="", "", CONCATENATE("Area: ", 'Lighting Inventory'!D36, ", ", IF('Lighting Inventory'!C36="", "", "Floor: "), 'Lighting Inventory'!C36))</f>
        <v/>
      </c>
      <c r="D27" s="186" t="str">
        <f>IF(B27="", "", IF('Lighting Inventory'!B36="New Construction",CONCATENATE("Cut Sheet ", 250+'Appendix C'!A27), IF(ISNUMBER(SEARCH("cut sheet", 'Lighting Inventory'!J36)), CONCATENATE("Cut Sheet ", 'Lookup Tables'!AX29), 'Lighting Inventory'!J36)))</f>
        <v/>
      </c>
      <c r="E27" s="26" t="str">
        <f>IF(B27="", "", IF('Lighting Inventory'!B36="New Construction", 1, 'Lighting Inventory'!I36))</f>
        <v/>
      </c>
      <c r="F27" s="26" t="str">
        <f>IF(B27="", "", IF('Lighting Inventory'!B36="New Construction", 'Lighting Inventory'!R36*1000, 'Lighting Inventory'!K36))</f>
        <v/>
      </c>
      <c r="G27" s="26" t="str">
        <f>IF(B27="", "", IF('Lighting Inventory'!M36="", "S_LS", VLOOKUP('Lighting Inventory'!M36, 'Lookup Tables'!$B$142:$D$148, 3, FALSE)))</f>
        <v/>
      </c>
      <c r="H27" s="26" t="str">
        <f>IF(OR('Lighting Inventory'!V36="", 'Lighting Inventory'!W36=""), "", IF('Lighting Inventory'!W36="No Change", 'Lighting Inventory'!J36, CONCATENATE("Cut Sheet ", 'Appendix C'!A27)))</f>
        <v/>
      </c>
      <c r="I27" s="26" t="str">
        <f>IF(H27="", "", IF('Lighting Inventory'!AB36="Yes", "Screw-In", "General"))</f>
        <v/>
      </c>
      <c r="J27" s="26" t="str">
        <f>IF(B27="", "", CONCATENATE('Lighting Inventory'!W36, ", ", 'Lighting Inventory'!AL36, " W"))</f>
        <v/>
      </c>
      <c r="K27" s="26" t="str">
        <f>IF(OR(B27="",'Lighting Inventory'!B36="Retrofit"),"",IF('General Information'!$F$16="Space-by-Space",CONCATENATE('Lighting Inventory'!N36,", ",'Lighting Inventory'!O36," ",'Lighting Inventory'!P36," LPD"," at ",'Lighting Inventory'!Q36,", ",'Lighting Inventory'!R36," kW"),CONCATENATE(B27,", ",'Lighting Inventory'!O36," ",'Lighting Inventory'!P36," LPD"," at ",'Lighting Inventory'!Q36,", ",'Lighting Inventory'!R36," kW")))</f>
        <v/>
      </c>
      <c r="L27" s="26" t="str">
        <f>IF(H27="","",IF('Lighting Inventory'!AK36="","",'Lighting Inventory'!AK36))</f>
        <v/>
      </c>
      <c r="M27" s="26" t="str">
        <f>IF(H27="", "", 'Lighting Inventory'!AL36)</f>
        <v/>
      </c>
      <c r="N27" s="26" t="str">
        <f>IF('Lighting Inventory'!S36="", "", IF('Lighting Inventory'!W36="No Change", 'Lighting Inventory'!I36, 'Lighting Inventory'!S36))</f>
        <v/>
      </c>
      <c r="O27" s="26" t="str">
        <f>IF('Lighting Inventory'!AN36="", "", VLOOKUP('Lighting Inventory'!AN36, 'Lookup Tables'!$B$142:$D$148, 3, FALSE))</f>
        <v/>
      </c>
      <c r="P27" s="66" t="str">
        <f>IF(B27="", "", 'Lighting Inventory'!AX36)</f>
        <v/>
      </c>
      <c r="Q27" s="67" t="str">
        <f>IF(B27="", "", 'Lighting Inventory'!AZ36)</f>
        <v/>
      </c>
      <c r="R27" s="187" t="str">
        <f>IF(OR('Lighting Inventory'!G36="", 'Lighting Inventory'!H36=""), "", 'Lighting Inventory'!BD36)</f>
        <v/>
      </c>
      <c r="S27" s="187" t="str">
        <f>IF(OR('Lighting Inventory'!G36="", 'Lighting Inventory'!H36=""), "",'Lighting Inventory'!BB36)</f>
        <v/>
      </c>
      <c r="T27" s="67" t="str">
        <f>IF(B27="", "", 'Lighting Inventory'!BE36)</f>
        <v/>
      </c>
      <c r="U27" s="67" t="str">
        <f>IF(B27="", "", 'Lighting Inventory'!BF36)</f>
        <v/>
      </c>
      <c r="BM27" s="186" t="str">
        <f t="shared" si="0"/>
        <v>-</v>
      </c>
    </row>
    <row r="28" spans="1:65" x14ac:dyDescent="0.25">
      <c r="A28" s="189">
        <v>27</v>
      </c>
      <c r="B28" s="186" t="str">
        <f>IF('Lighting Inventory'!F37="", "", 'Lighting Inventory'!F37)</f>
        <v/>
      </c>
      <c r="C28" s="26" t="str">
        <f>IF(B28="", "", CONCATENATE("Area: ", 'Lighting Inventory'!D37, ", ", IF('Lighting Inventory'!C37="", "", "Floor: "), 'Lighting Inventory'!C37))</f>
        <v/>
      </c>
      <c r="D28" s="186" t="str">
        <f>IF(B28="", "", IF('Lighting Inventory'!B37="New Construction",CONCATENATE("Cut Sheet ", 250+'Appendix C'!A28), IF(ISNUMBER(SEARCH("cut sheet", 'Lighting Inventory'!J37)), CONCATENATE("Cut Sheet ", 'Lookup Tables'!AX30), 'Lighting Inventory'!J37)))</f>
        <v/>
      </c>
      <c r="E28" s="26" t="str">
        <f>IF(B28="", "", IF('Lighting Inventory'!B37="New Construction", 1, 'Lighting Inventory'!I37))</f>
        <v/>
      </c>
      <c r="F28" s="26" t="str">
        <f>IF(B28="", "", IF('Lighting Inventory'!B37="New Construction", 'Lighting Inventory'!R37*1000, 'Lighting Inventory'!K37))</f>
        <v/>
      </c>
      <c r="G28" s="26" t="str">
        <f>IF(B28="", "", IF('Lighting Inventory'!M37="", "S_LS", VLOOKUP('Lighting Inventory'!M37, 'Lookup Tables'!$B$142:$D$148, 3, FALSE)))</f>
        <v/>
      </c>
      <c r="H28" s="26" t="str">
        <f>IF(OR('Lighting Inventory'!V37="", 'Lighting Inventory'!W37=""), "", IF('Lighting Inventory'!W37="No Change", 'Lighting Inventory'!J37, CONCATENATE("Cut Sheet ", 'Appendix C'!A28)))</f>
        <v/>
      </c>
      <c r="I28" s="26" t="str">
        <f>IF(H28="", "", IF('Lighting Inventory'!AB37="Yes", "Screw-In", "General"))</f>
        <v/>
      </c>
      <c r="J28" s="26" t="str">
        <f>IF(B28="", "", CONCATENATE('Lighting Inventory'!W37, ", ", 'Lighting Inventory'!AL37, " W"))</f>
        <v/>
      </c>
      <c r="K28" s="26" t="str">
        <f>IF(OR(B28="",'Lighting Inventory'!B37="Retrofit"),"",IF('General Information'!$F$16="Space-by-Space",CONCATENATE('Lighting Inventory'!N37,", ",'Lighting Inventory'!O37," ",'Lighting Inventory'!P37," LPD"," at ",'Lighting Inventory'!Q37,", ",'Lighting Inventory'!R37," kW"),CONCATENATE(B28,", ",'Lighting Inventory'!O37," ",'Lighting Inventory'!P37," LPD"," at ",'Lighting Inventory'!Q37,", ",'Lighting Inventory'!R37," kW")))</f>
        <v/>
      </c>
      <c r="L28" s="26" t="str">
        <f>IF(H28="","",IF('Lighting Inventory'!AK37="","",'Lighting Inventory'!AK37))</f>
        <v/>
      </c>
      <c r="M28" s="26" t="str">
        <f>IF(H28="", "", 'Lighting Inventory'!AL37)</f>
        <v/>
      </c>
      <c r="N28" s="26" t="str">
        <f>IF('Lighting Inventory'!S37="", "", IF('Lighting Inventory'!W37="No Change", 'Lighting Inventory'!I37, 'Lighting Inventory'!S37))</f>
        <v/>
      </c>
      <c r="O28" s="26" t="str">
        <f>IF('Lighting Inventory'!AN37="", "", VLOOKUP('Lighting Inventory'!AN37, 'Lookup Tables'!$B$142:$D$148, 3, FALSE))</f>
        <v/>
      </c>
      <c r="P28" s="66" t="str">
        <f>IF(B28="", "", 'Lighting Inventory'!AX37)</f>
        <v/>
      </c>
      <c r="Q28" s="67" t="str">
        <f>IF(B28="", "", 'Lighting Inventory'!AZ37)</f>
        <v/>
      </c>
      <c r="R28" s="187" t="str">
        <f>IF(OR('Lighting Inventory'!G37="", 'Lighting Inventory'!H37=""), "", 'Lighting Inventory'!BD37)</f>
        <v/>
      </c>
      <c r="S28" s="187" t="str">
        <f>IF(OR('Lighting Inventory'!G37="", 'Lighting Inventory'!H37=""), "",'Lighting Inventory'!BB37)</f>
        <v/>
      </c>
      <c r="T28" s="67" t="str">
        <f>IF(B28="", "", 'Lighting Inventory'!BE37)</f>
        <v/>
      </c>
      <c r="U28" s="67" t="str">
        <f>IF(B28="", "", 'Lighting Inventory'!BF37)</f>
        <v/>
      </c>
      <c r="BM28" s="186" t="str">
        <f t="shared" si="0"/>
        <v>-</v>
      </c>
    </row>
    <row r="29" spans="1:65" x14ac:dyDescent="0.25">
      <c r="A29" s="189">
        <v>28</v>
      </c>
      <c r="B29" s="186" t="str">
        <f>IF('Lighting Inventory'!F38="", "", 'Lighting Inventory'!F38)</f>
        <v/>
      </c>
      <c r="C29" s="26" t="str">
        <f>IF(B29="", "", CONCATENATE("Area: ", 'Lighting Inventory'!D38, ", ", IF('Lighting Inventory'!C38="", "", "Floor: "), 'Lighting Inventory'!C38))</f>
        <v/>
      </c>
      <c r="D29" s="186" t="str">
        <f>IF(B29="", "", IF('Lighting Inventory'!B38="New Construction",CONCATENATE("Cut Sheet ", 250+'Appendix C'!A29), IF(ISNUMBER(SEARCH("cut sheet", 'Lighting Inventory'!J38)), CONCATENATE("Cut Sheet ", 'Lookup Tables'!AX31), 'Lighting Inventory'!J38)))</f>
        <v/>
      </c>
      <c r="E29" s="26" t="str">
        <f>IF(B29="", "", IF('Lighting Inventory'!B38="New Construction", 1, 'Lighting Inventory'!I38))</f>
        <v/>
      </c>
      <c r="F29" s="26" t="str">
        <f>IF(B29="", "", IF('Lighting Inventory'!B38="New Construction", 'Lighting Inventory'!R38*1000, 'Lighting Inventory'!K38))</f>
        <v/>
      </c>
      <c r="G29" s="26" t="str">
        <f>IF(B29="", "", IF('Lighting Inventory'!M38="", "S_LS", VLOOKUP('Lighting Inventory'!M38, 'Lookup Tables'!$B$142:$D$148, 3, FALSE)))</f>
        <v/>
      </c>
      <c r="H29" s="26" t="str">
        <f>IF(OR('Lighting Inventory'!V38="", 'Lighting Inventory'!W38=""), "", IF('Lighting Inventory'!W38="No Change", 'Lighting Inventory'!J38, CONCATENATE("Cut Sheet ", 'Appendix C'!A29)))</f>
        <v/>
      </c>
      <c r="I29" s="26" t="str">
        <f>IF(H29="", "", IF('Lighting Inventory'!AB38="Yes", "Screw-In", "General"))</f>
        <v/>
      </c>
      <c r="J29" s="26" t="str">
        <f>IF(B29="", "", CONCATENATE('Lighting Inventory'!W38, ", ", 'Lighting Inventory'!AL38, " W"))</f>
        <v/>
      </c>
      <c r="K29" s="26" t="str">
        <f>IF(OR(B29="",'Lighting Inventory'!B38="Retrofit"),"",IF('General Information'!$F$16="Space-by-Space",CONCATENATE('Lighting Inventory'!N38,", ",'Lighting Inventory'!O38," ",'Lighting Inventory'!P38," LPD"," at ",'Lighting Inventory'!Q38,", ",'Lighting Inventory'!R38," kW"),CONCATENATE(B29,", ",'Lighting Inventory'!O38," ",'Lighting Inventory'!P38," LPD"," at ",'Lighting Inventory'!Q38,", ",'Lighting Inventory'!R38," kW")))</f>
        <v/>
      </c>
      <c r="L29" s="26" t="str">
        <f>IF(H29="","",IF('Lighting Inventory'!AK38="","",'Lighting Inventory'!AK38))</f>
        <v/>
      </c>
      <c r="M29" s="26" t="str">
        <f>IF(H29="", "", 'Lighting Inventory'!AL38)</f>
        <v/>
      </c>
      <c r="N29" s="26" t="str">
        <f>IF('Lighting Inventory'!S38="", "", IF('Lighting Inventory'!W38="No Change", 'Lighting Inventory'!I38, 'Lighting Inventory'!S38))</f>
        <v/>
      </c>
      <c r="O29" s="26" t="str">
        <f>IF('Lighting Inventory'!AN38="", "", VLOOKUP('Lighting Inventory'!AN38, 'Lookup Tables'!$B$142:$D$148, 3, FALSE))</f>
        <v/>
      </c>
      <c r="P29" s="66" t="str">
        <f>IF(B29="", "", 'Lighting Inventory'!AX38)</f>
        <v/>
      </c>
      <c r="Q29" s="67" t="str">
        <f>IF(B29="", "", 'Lighting Inventory'!AZ38)</f>
        <v/>
      </c>
      <c r="R29" s="187" t="str">
        <f>IF(OR('Lighting Inventory'!G38="", 'Lighting Inventory'!H38=""), "", 'Lighting Inventory'!BD38)</f>
        <v/>
      </c>
      <c r="S29" s="187" t="str">
        <f>IF(OR('Lighting Inventory'!G38="", 'Lighting Inventory'!H38=""), "",'Lighting Inventory'!BB38)</f>
        <v/>
      </c>
      <c r="T29" s="67" t="str">
        <f>IF(B29="", "", 'Lighting Inventory'!BE38)</f>
        <v/>
      </c>
      <c r="U29" s="67" t="str">
        <f>IF(B29="", "", 'Lighting Inventory'!BF38)</f>
        <v/>
      </c>
      <c r="BM29" s="186" t="str">
        <f t="shared" si="0"/>
        <v>-</v>
      </c>
    </row>
    <row r="30" spans="1:65" x14ac:dyDescent="0.25">
      <c r="A30" s="189">
        <v>29</v>
      </c>
      <c r="B30" s="186" t="str">
        <f>IF('Lighting Inventory'!F39="", "", 'Lighting Inventory'!F39)</f>
        <v/>
      </c>
      <c r="C30" s="26" t="str">
        <f>IF(B30="", "", CONCATENATE("Area: ", 'Lighting Inventory'!D39, ", ", IF('Lighting Inventory'!C39="", "", "Floor: "), 'Lighting Inventory'!C39))</f>
        <v/>
      </c>
      <c r="D30" s="186" t="str">
        <f>IF(B30="", "", IF('Lighting Inventory'!B39="New Construction",CONCATENATE("Cut Sheet ", 250+'Appendix C'!A30), IF(ISNUMBER(SEARCH("cut sheet", 'Lighting Inventory'!J39)), CONCATENATE("Cut Sheet ", 'Lookup Tables'!AX32), 'Lighting Inventory'!J39)))</f>
        <v/>
      </c>
      <c r="E30" s="26" t="str">
        <f>IF(B30="", "", IF('Lighting Inventory'!B39="New Construction", 1, 'Lighting Inventory'!I39))</f>
        <v/>
      </c>
      <c r="F30" s="26" t="str">
        <f>IF(B30="", "", IF('Lighting Inventory'!B39="New Construction", 'Lighting Inventory'!R39*1000, 'Lighting Inventory'!K39))</f>
        <v/>
      </c>
      <c r="G30" s="26" t="str">
        <f>IF(B30="", "", IF('Lighting Inventory'!M39="", "S_LS", VLOOKUP('Lighting Inventory'!M39, 'Lookup Tables'!$B$142:$D$148, 3, FALSE)))</f>
        <v/>
      </c>
      <c r="H30" s="26" t="str">
        <f>IF(OR('Lighting Inventory'!V39="", 'Lighting Inventory'!W39=""), "", IF('Lighting Inventory'!W39="No Change", 'Lighting Inventory'!J39, CONCATENATE("Cut Sheet ", 'Appendix C'!A30)))</f>
        <v/>
      </c>
      <c r="I30" s="26" t="str">
        <f>IF(H30="", "", IF('Lighting Inventory'!AB39="Yes", "Screw-In", "General"))</f>
        <v/>
      </c>
      <c r="J30" s="26" t="str">
        <f>IF(B30="", "", CONCATENATE('Lighting Inventory'!W39, ", ", 'Lighting Inventory'!AL39, " W"))</f>
        <v/>
      </c>
      <c r="K30" s="26" t="str">
        <f>IF(OR(B30="",'Lighting Inventory'!B39="Retrofit"),"",IF('General Information'!$F$16="Space-by-Space",CONCATENATE('Lighting Inventory'!N39,", ",'Lighting Inventory'!O39," ",'Lighting Inventory'!P39," LPD"," at ",'Lighting Inventory'!Q39,", ",'Lighting Inventory'!R39," kW"),CONCATENATE(B30,", ",'Lighting Inventory'!O39," ",'Lighting Inventory'!P39," LPD"," at ",'Lighting Inventory'!Q39,", ",'Lighting Inventory'!R39," kW")))</f>
        <v/>
      </c>
      <c r="L30" s="26" t="str">
        <f>IF(H30="","",IF('Lighting Inventory'!AK39="","",'Lighting Inventory'!AK39))</f>
        <v/>
      </c>
      <c r="M30" s="26" t="str">
        <f>IF(H30="", "", 'Lighting Inventory'!AL39)</f>
        <v/>
      </c>
      <c r="N30" s="26" t="str">
        <f>IF('Lighting Inventory'!S39="", "", IF('Lighting Inventory'!W39="No Change", 'Lighting Inventory'!I39, 'Lighting Inventory'!S39))</f>
        <v/>
      </c>
      <c r="O30" s="26" t="str">
        <f>IF('Lighting Inventory'!AN39="", "", VLOOKUP('Lighting Inventory'!AN39, 'Lookup Tables'!$B$142:$D$148, 3, FALSE))</f>
        <v/>
      </c>
      <c r="P30" s="66" t="str">
        <f>IF(B30="", "", 'Lighting Inventory'!AX39)</f>
        <v/>
      </c>
      <c r="Q30" s="67" t="str">
        <f>IF(B30="", "", 'Lighting Inventory'!AZ39)</f>
        <v/>
      </c>
      <c r="R30" s="187" t="str">
        <f>IF(OR('Lighting Inventory'!G39="", 'Lighting Inventory'!H39=""), "", 'Lighting Inventory'!BD39)</f>
        <v/>
      </c>
      <c r="S30" s="187" t="str">
        <f>IF(OR('Lighting Inventory'!G39="", 'Lighting Inventory'!H39=""), "",'Lighting Inventory'!BB39)</f>
        <v/>
      </c>
      <c r="T30" s="67" t="str">
        <f>IF(B30="", "", 'Lighting Inventory'!BE39)</f>
        <v/>
      </c>
      <c r="U30" s="67" t="str">
        <f>IF(B30="", "", 'Lighting Inventory'!BF39)</f>
        <v/>
      </c>
      <c r="BM30" s="186" t="str">
        <f t="shared" si="0"/>
        <v>-</v>
      </c>
    </row>
    <row r="31" spans="1:65" x14ac:dyDescent="0.25">
      <c r="A31" s="189">
        <v>30</v>
      </c>
      <c r="B31" s="186" t="str">
        <f>IF('Lighting Inventory'!F40="", "", 'Lighting Inventory'!F40)</f>
        <v/>
      </c>
      <c r="C31" s="26" t="str">
        <f>IF(B31="", "", CONCATENATE("Area: ", 'Lighting Inventory'!D40, ", ", IF('Lighting Inventory'!C40="", "", "Floor: "), 'Lighting Inventory'!C40))</f>
        <v/>
      </c>
      <c r="D31" s="186" t="str">
        <f>IF(B31="", "", IF('Lighting Inventory'!B40="New Construction",CONCATENATE("Cut Sheet ", 250+'Appendix C'!A31), IF(ISNUMBER(SEARCH("cut sheet", 'Lighting Inventory'!J40)), CONCATENATE("Cut Sheet ", 'Lookup Tables'!AX33), 'Lighting Inventory'!J40)))</f>
        <v/>
      </c>
      <c r="E31" s="26" t="str">
        <f>IF(B31="", "", IF('Lighting Inventory'!B40="New Construction", 1, 'Lighting Inventory'!I40))</f>
        <v/>
      </c>
      <c r="F31" s="26" t="str">
        <f>IF(B31="", "", IF('Lighting Inventory'!B40="New Construction", 'Lighting Inventory'!R40*1000, 'Lighting Inventory'!K40))</f>
        <v/>
      </c>
      <c r="G31" s="26" t="str">
        <f>IF(B31="", "", IF('Lighting Inventory'!M40="", "S_LS", VLOOKUP('Lighting Inventory'!M40, 'Lookup Tables'!$B$142:$D$148, 3, FALSE)))</f>
        <v/>
      </c>
      <c r="H31" s="26" t="str">
        <f>IF(OR('Lighting Inventory'!V40="", 'Lighting Inventory'!W40=""), "", IF('Lighting Inventory'!W40="No Change", 'Lighting Inventory'!J40, CONCATENATE("Cut Sheet ", 'Appendix C'!A31)))</f>
        <v/>
      </c>
      <c r="I31" s="26" t="str">
        <f>IF(H31="", "", IF('Lighting Inventory'!AB40="Yes", "Screw-In", "General"))</f>
        <v/>
      </c>
      <c r="J31" s="26" t="str">
        <f>IF(B31="", "", CONCATENATE('Lighting Inventory'!W40, ", ", 'Lighting Inventory'!AL40, " W"))</f>
        <v/>
      </c>
      <c r="K31" s="26" t="str">
        <f>IF(OR(B31="",'Lighting Inventory'!B40="Retrofit"),"",IF('General Information'!$F$16="Space-by-Space",CONCATENATE('Lighting Inventory'!N40,", ",'Lighting Inventory'!O40," ",'Lighting Inventory'!P40," LPD"," at ",'Lighting Inventory'!Q40,", ",'Lighting Inventory'!R40," kW"),CONCATENATE(B31,", ",'Lighting Inventory'!O40," ",'Lighting Inventory'!P40," LPD"," at ",'Lighting Inventory'!Q40,", ",'Lighting Inventory'!R40," kW")))</f>
        <v/>
      </c>
      <c r="L31" s="26" t="str">
        <f>IF(H31="","",IF('Lighting Inventory'!AK40="","",'Lighting Inventory'!AK40))</f>
        <v/>
      </c>
      <c r="M31" s="26" t="str">
        <f>IF(H31="", "", 'Lighting Inventory'!AL40)</f>
        <v/>
      </c>
      <c r="N31" s="26" t="str">
        <f>IF('Lighting Inventory'!S40="", "", IF('Lighting Inventory'!W40="No Change", 'Lighting Inventory'!I40, 'Lighting Inventory'!S40))</f>
        <v/>
      </c>
      <c r="O31" s="26" t="str">
        <f>IF('Lighting Inventory'!AN40="", "", VLOOKUP('Lighting Inventory'!AN40, 'Lookup Tables'!$B$142:$D$148, 3, FALSE))</f>
        <v/>
      </c>
      <c r="P31" s="66" t="str">
        <f>IF(B31="", "", 'Lighting Inventory'!AX40)</f>
        <v/>
      </c>
      <c r="Q31" s="67" t="str">
        <f>IF(B31="", "", 'Lighting Inventory'!AZ40)</f>
        <v/>
      </c>
      <c r="R31" s="187" t="str">
        <f>IF(OR('Lighting Inventory'!G40="", 'Lighting Inventory'!H40=""), "", 'Lighting Inventory'!BD40)</f>
        <v/>
      </c>
      <c r="S31" s="187" t="str">
        <f>IF(OR('Lighting Inventory'!G40="", 'Lighting Inventory'!H40=""), "",'Lighting Inventory'!BB40)</f>
        <v/>
      </c>
      <c r="T31" s="67" t="str">
        <f>IF(B31="", "", 'Lighting Inventory'!BE40)</f>
        <v/>
      </c>
      <c r="U31" s="67" t="str">
        <f>IF(B31="", "", 'Lighting Inventory'!BF40)</f>
        <v/>
      </c>
      <c r="BM31" s="186" t="str">
        <f t="shared" si="0"/>
        <v>-</v>
      </c>
    </row>
    <row r="32" spans="1:65" x14ac:dyDescent="0.25">
      <c r="A32" s="189">
        <v>31</v>
      </c>
      <c r="B32" s="186" t="str">
        <f>IF('Lighting Inventory'!F41="", "", 'Lighting Inventory'!F41)</f>
        <v/>
      </c>
      <c r="C32" s="26" t="str">
        <f>IF(B32="", "", CONCATENATE("Area: ", 'Lighting Inventory'!D41, ", ", IF('Lighting Inventory'!C41="", "", "Floor: "), 'Lighting Inventory'!C41))</f>
        <v/>
      </c>
      <c r="D32" s="186" t="str">
        <f>IF(B32="", "", IF('Lighting Inventory'!B41="New Construction",CONCATENATE("Cut Sheet ", 250+'Appendix C'!A32), IF(ISNUMBER(SEARCH("cut sheet", 'Lighting Inventory'!J41)), CONCATENATE("Cut Sheet ", 'Lookup Tables'!AX34), 'Lighting Inventory'!J41)))</f>
        <v/>
      </c>
      <c r="E32" s="26" t="str">
        <f>IF(B32="", "", IF('Lighting Inventory'!B41="New Construction", 1, 'Lighting Inventory'!I41))</f>
        <v/>
      </c>
      <c r="F32" s="26" t="str">
        <f>IF(B32="", "", IF('Lighting Inventory'!B41="New Construction", 'Lighting Inventory'!R41*1000, 'Lighting Inventory'!K41))</f>
        <v/>
      </c>
      <c r="G32" s="26" t="str">
        <f>IF(B32="", "", IF('Lighting Inventory'!M41="", "S_LS", VLOOKUP('Lighting Inventory'!M41, 'Lookup Tables'!$B$142:$D$148, 3, FALSE)))</f>
        <v/>
      </c>
      <c r="H32" s="26" t="str">
        <f>IF(OR('Lighting Inventory'!V41="", 'Lighting Inventory'!W41=""), "", IF('Lighting Inventory'!W41="No Change", 'Lighting Inventory'!J41, CONCATENATE("Cut Sheet ", 'Appendix C'!A32)))</f>
        <v/>
      </c>
      <c r="I32" s="26" t="str">
        <f>IF(H32="", "", IF('Lighting Inventory'!AB41="Yes", "Screw-In", "General"))</f>
        <v/>
      </c>
      <c r="J32" s="26" t="str">
        <f>IF(B32="", "", CONCATENATE('Lighting Inventory'!W41, ", ", 'Lighting Inventory'!AL41, " W"))</f>
        <v/>
      </c>
      <c r="K32" s="26" t="str">
        <f>IF(OR(B32="",'Lighting Inventory'!B41="Retrofit"),"",IF('General Information'!$F$16="Space-by-Space",CONCATENATE('Lighting Inventory'!N41,", ",'Lighting Inventory'!O41," ",'Lighting Inventory'!P41," LPD"," at ",'Lighting Inventory'!Q41,", ",'Lighting Inventory'!R41," kW"),CONCATENATE(B32,", ",'Lighting Inventory'!O41," ",'Lighting Inventory'!P41," LPD"," at ",'Lighting Inventory'!Q41,", ",'Lighting Inventory'!R41," kW")))</f>
        <v/>
      </c>
      <c r="L32" s="26" t="str">
        <f>IF(H32="","",IF('Lighting Inventory'!AK41="","",'Lighting Inventory'!AK41))</f>
        <v/>
      </c>
      <c r="M32" s="26" t="str">
        <f>IF(H32="", "", 'Lighting Inventory'!AL41)</f>
        <v/>
      </c>
      <c r="N32" s="26" t="str">
        <f>IF('Lighting Inventory'!S41="", "", IF('Lighting Inventory'!W41="No Change", 'Lighting Inventory'!I41, 'Lighting Inventory'!S41))</f>
        <v/>
      </c>
      <c r="O32" s="26" t="str">
        <f>IF('Lighting Inventory'!AN41="", "", VLOOKUP('Lighting Inventory'!AN41, 'Lookup Tables'!$B$142:$D$148, 3, FALSE))</f>
        <v/>
      </c>
      <c r="P32" s="66" t="str">
        <f>IF(B32="", "", 'Lighting Inventory'!AX41)</f>
        <v/>
      </c>
      <c r="Q32" s="67" t="str">
        <f>IF(B32="", "", 'Lighting Inventory'!AZ41)</f>
        <v/>
      </c>
      <c r="R32" s="187" t="str">
        <f>IF(OR('Lighting Inventory'!G41="", 'Lighting Inventory'!H41=""), "", 'Lighting Inventory'!BD41)</f>
        <v/>
      </c>
      <c r="S32" s="187" t="str">
        <f>IF(OR('Lighting Inventory'!G41="", 'Lighting Inventory'!H41=""), "",'Lighting Inventory'!BB41)</f>
        <v/>
      </c>
      <c r="T32" s="67" t="str">
        <f>IF(B32="", "", 'Lighting Inventory'!BE41)</f>
        <v/>
      </c>
      <c r="U32" s="67" t="str">
        <f>IF(B32="", "", 'Lighting Inventory'!BF41)</f>
        <v/>
      </c>
      <c r="BM32" s="186" t="str">
        <f t="shared" si="0"/>
        <v>-</v>
      </c>
    </row>
    <row r="33" spans="1:65" x14ac:dyDescent="0.25">
      <c r="A33" s="189">
        <v>32</v>
      </c>
      <c r="B33" s="186" t="str">
        <f>IF('Lighting Inventory'!F42="", "", 'Lighting Inventory'!F42)</f>
        <v/>
      </c>
      <c r="C33" s="26" t="str">
        <f>IF(B33="", "", CONCATENATE("Area: ", 'Lighting Inventory'!D42, ", ", IF('Lighting Inventory'!C42="", "", "Floor: "), 'Lighting Inventory'!C42))</f>
        <v/>
      </c>
      <c r="D33" s="186" t="str">
        <f>IF(B33="", "", IF('Lighting Inventory'!B42="New Construction",CONCATENATE("Cut Sheet ", 250+'Appendix C'!A33), IF(ISNUMBER(SEARCH("cut sheet", 'Lighting Inventory'!J42)), CONCATENATE("Cut Sheet ", 'Lookup Tables'!AX35), 'Lighting Inventory'!J42)))</f>
        <v/>
      </c>
      <c r="E33" s="26" t="str">
        <f>IF(B33="", "", IF('Lighting Inventory'!B42="New Construction", 1, 'Lighting Inventory'!I42))</f>
        <v/>
      </c>
      <c r="F33" s="26" t="str">
        <f>IF(B33="", "", IF('Lighting Inventory'!B42="New Construction", 'Lighting Inventory'!R42*1000, 'Lighting Inventory'!K42))</f>
        <v/>
      </c>
      <c r="G33" s="26" t="str">
        <f>IF(B33="", "", IF('Lighting Inventory'!M42="", "S_LS", VLOOKUP('Lighting Inventory'!M42, 'Lookup Tables'!$B$142:$D$148, 3, FALSE)))</f>
        <v/>
      </c>
      <c r="H33" s="26" t="str">
        <f>IF(OR('Lighting Inventory'!V42="", 'Lighting Inventory'!W42=""), "", IF('Lighting Inventory'!W42="No Change", 'Lighting Inventory'!J42, CONCATENATE("Cut Sheet ", 'Appendix C'!A33)))</f>
        <v/>
      </c>
      <c r="I33" s="26" t="str">
        <f>IF(H33="", "", IF('Lighting Inventory'!AB42="Yes", "Screw-In", "General"))</f>
        <v/>
      </c>
      <c r="J33" s="26" t="str">
        <f>IF(B33="", "", CONCATENATE('Lighting Inventory'!W42, ", ", 'Lighting Inventory'!AL42, " W"))</f>
        <v/>
      </c>
      <c r="K33" s="26" t="str">
        <f>IF(OR(B33="",'Lighting Inventory'!B42="Retrofit"),"",IF('General Information'!$F$16="Space-by-Space",CONCATENATE('Lighting Inventory'!N42,", ",'Lighting Inventory'!O42," ",'Lighting Inventory'!P42," LPD"," at ",'Lighting Inventory'!Q42,", ",'Lighting Inventory'!R42," kW"),CONCATENATE(B33,", ",'Lighting Inventory'!O42," ",'Lighting Inventory'!P42," LPD"," at ",'Lighting Inventory'!Q42,", ",'Lighting Inventory'!R42," kW")))</f>
        <v/>
      </c>
      <c r="L33" s="26" t="str">
        <f>IF(H33="","",IF('Lighting Inventory'!AK42="","",'Lighting Inventory'!AK42))</f>
        <v/>
      </c>
      <c r="M33" s="26" t="str">
        <f>IF(H33="", "", 'Lighting Inventory'!AL42)</f>
        <v/>
      </c>
      <c r="N33" s="26" t="str">
        <f>IF('Lighting Inventory'!S42="", "", IF('Lighting Inventory'!W42="No Change", 'Lighting Inventory'!I42, 'Lighting Inventory'!S42))</f>
        <v/>
      </c>
      <c r="O33" s="26" t="str">
        <f>IF('Lighting Inventory'!AN42="", "", VLOOKUP('Lighting Inventory'!AN42, 'Lookup Tables'!$B$142:$D$148, 3, FALSE))</f>
        <v/>
      </c>
      <c r="P33" s="66" t="str">
        <f>IF(B33="", "", 'Lighting Inventory'!AX42)</f>
        <v/>
      </c>
      <c r="Q33" s="67" t="str">
        <f>IF(B33="", "", 'Lighting Inventory'!AZ42)</f>
        <v/>
      </c>
      <c r="R33" s="187" t="str">
        <f>IF(OR('Lighting Inventory'!G42="", 'Lighting Inventory'!H42=""), "", 'Lighting Inventory'!BD42)</f>
        <v/>
      </c>
      <c r="S33" s="187" t="str">
        <f>IF(OR('Lighting Inventory'!G42="", 'Lighting Inventory'!H42=""), "",'Lighting Inventory'!BB42)</f>
        <v/>
      </c>
      <c r="T33" s="67" t="str">
        <f>IF(B33="", "", 'Lighting Inventory'!BE42)</f>
        <v/>
      </c>
      <c r="U33" s="67" t="str">
        <f>IF(B33="", "", 'Lighting Inventory'!BF42)</f>
        <v/>
      </c>
      <c r="BM33" s="186" t="str">
        <f t="shared" si="0"/>
        <v>-</v>
      </c>
    </row>
    <row r="34" spans="1:65" x14ac:dyDescent="0.25">
      <c r="A34" s="189">
        <v>33</v>
      </c>
      <c r="B34" s="186" t="str">
        <f>IF('Lighting Inventory'!F43="", "", 'Lighting Inventory'!F43)</f>
        <v/>
      </c>
      <c r="C34" s="26" t="str">
        <f>IF(B34="", "", CONCATENATE("Area: ", 'Lighting Inventory'!D43, ", ", IF('Lighting Inventory'!C43="", "", "Floor: "), 'Lighting Inventory'!C43))</f>
        <v/>
      </c>
      <c r="D34" s="186" t="str">
        <f>IF(B34="", "", IF('Lighting Inventory'!B43="New Construction",CONCATENATE("Cut Sheet ", 250+'Appendix C'!A34), IF(ISNUMBER(SEARCH("cut sheet", 'Lighting Inventory'!J43)), CONCATENATE("Cut Sheet ", 'Lookup Tables'!AX36), 'Lighting Inventory'!J43)))</f>
        <v/>
      </c>
      <c r="E34" s="26" t="str">
        <f>IF(B34="", "", IF('Lighting Inventory'!B43="New Construction", 1, 'Lighting Inventory'!I43))</f>
        <v/>
      </c>
      <c r="F34" s="26" t="str">
        <f>IF(B34="", "", IF('Lighting Inventory'!B43="New Construction", 'Lighting Inventory'!R43*1000, 'Lighting Inventory'!K43))</f>
        <v/>
      </c>
      <c r="G34" s="26" t="str">
        <f>IF(B34="", "", IF('Lighting Inventory'!M43="", "S_LS", VLOOKUP('Lighting Inventory'!M43, 'Lookup Tables'!$B$142:$D$148, 3, FALSE)))</f>
        <v/>
      </c>
      <c r="H34" s="26" t="str">
        <f>IF(OR('Lighting Inventory'!V43="", 'Lighting Inventory'!W43=""), "", IF('Lighting Inventory'!W43="No Change", 'Lighting Inventory'!J43, CONCATENATE("Cut Sheet ", 'Appendix C'!A34)))</f>
        <v/>
      </c>
      <c r="I34" s="26" t="str">
        <f>IF(H34="", "", IF('Lighting Inventory'!AB43="Yes", "Screw-In", "General"))</f>
        <v/>
      </c>
      <c r="J34" s="26" t="str">
        <f>IF(B34="", "", CONCATENATE('Lighting Inventory'!W43, ", ", 'Lighting Inventory'!AL43, " W"))</f>
        <v/>
      </c>
      <c r="K34" s="26" t="str">
        <f>IF(OR(B34="",'Lighting Inventory'!B43="Retrofit"),"",IF('General Information'!$F$16="Space-by-Space",CONCATENATE('Lighting Inventory'!N43,", ",'Lighting Inventory'!O43," ",'Lighting Inventory'!P43," LPD"," at ",'Lighting Inventory'!Q43,", ",'Lighting Inventory'!R43," kW"),CONCATENATE(B34,", ",'Lighting Inventory'!O43," ",'Lighting Inventory'!P43," LPD"," at ",'Lighting Inventory'!Q43,", ",'Lighting Inventory'!R43," kW")))</f>
        <v/>
      </c>
      <c r="L34" s="26" t="str">
        <f>IF(H34="","",IF('Lighting Inventory'!AK43="","",'Lighting Inventory'!AK43))</f>
        <v/>
      </c>
      <c r="M34" s="26" t="str">
        <f>IF(H34="", "", 'Lighting Inventory'!AL43)</f>
        <v/>
      </c>
      <c r="N34" s="26" t="str">
        <f>IF('Lighting Inventory'!S43="", "", IF('Lighting Inventory'!W43="No Change", 'Lighting Inventory'!I43, 'Lighting Inventory'!S43))</f>
        <v/>
      </c>
      <c r="O34" s="26" t="str">
        <f>IF('Lighting Inventory'!AN43="", "", VLOOKUP('Lighting Inventory'!AN43, 'Lookup Tables'!$B$142:$D$148, 3, FALSE))</f>
        <v/>
      </c>
      <c r="P34" s="66" t="str">
        <f>IF(B34="", "", 'Lighting Inventory'!AX43)</f>
        <v/>
      </c>
      <c r="Q34" s="67" t="str">
        <f>IF(B34="", "", 'Lighting Inventory'!AZ43)</f>
        <v/>
      </c>
      <c r="R34" s="187" t="str">
        <f>IF(OR('Lighting Inventory'!G43="", 'Lighting Inventory'!H43=""), "", 'Lighting Inventory'!BD43)</f>
        <v/>
      </c>
      <c r="S34" s="187" t="str">
        <f>IF(OR('Lighting Inventory'!G43="", 'Lighting Inventory'!H43=""), "",'Lighting Inventory'!BB43)</f>
        <v/>
      </c>
      <c r="T34" s="67" t="str">
        <f>IF(B34="", "", 'Lighting Inventory'!BE43)</f>
        <v/>
      </c>
      <c r="U34" s="67" t="str">
        <f>IF(B34="", "", 'Lighting Inventory'!BF43)</f>
        <v/>
      </c>
      <c r="BM34" s="186" t="str">
        <f t="shared" si="0"/>
        <v>-</v>
      </c>
    </row>
    <row r="35" spans="1:65" x14ac:dyDescent="0.25">
      <c r="A35" s="189">
        <v>34</v>
      </c>
      <c r="B35" s="186" t="str">
        <f>IF('Lighting Inventory'!F44="", "", 'Lighting Inventory'!F44)</f>
        <v/>
      </c>
      <c r="C35" s="26" t="str">
        <f>IF(B35="", "", CONCATENATE("Area: ", 'Lighting Inventory'!D44, ", ", IF('Lighting Inventory'!C44="", "", "Floor: "), 'Lighting Inventory'!C44))</f>
        <v/>
      </c>
      <c r="D35" s="186" t="str">
        <f>IF(B35="", "", IF('Lighting Inventory'!B44="New Construction",CONCATENATE("Cut Sheet ", 250+'Appendix C'!A35), IF(ISNUMBER(SEARCH("cut sheet", 'Lighting Inventory'!J44)), CONCATENATE("Cut Sheet ", 'Lookup Tables'!AX37), 'Lighting Inventory'!J44)))</f>
        <v/>
      </c>
      <c r="E35" s="26" t="str">
        <f>IF(B35="", "", IF('Lighting Inventory'!B44="New Construction", 1, 'Lighting Inventory'!I44))</f>
        <v/>
      </c>
      <c r="F35" s="26" t="str">
        <f>IF(B35="", "", IF('Lighting Inventory'!B44="New Construction", 'Lighting Inventory'!R44*1000, 'Lighting Inventory'!K44))</f>
        <v/>
      </c>
      <c r="G35" s="26" t="str">
        <f>IF(B35="", "", IF('Lighting Inventory'!M44="", "S_LS", VLOOKUP('Lighting Inventory'!M44, 'Lookup Tables'!$B$142:$D$148, 3, FALSE)))</f>
        <v/>
      </c>
      <c r="H35" s="26" t="str">
        <f>IF(OR('Lighting Inventory'!V44="", 'Lighting Inventory'!W44=""), "", IF('Lighting Inventory'!W44="No Change", 'Lighting Inventory'!J44, CONCATENATE("Cut Sheet ", 'Appendix C'!A35)))</f>
        <v/>
      </c>
      <c r="I35" s="26" t="str">
        <f>IF(H35="", "", IF('Lighting Inventory'!AB44="Yes", "Screw-In", "General"))</f>
        <v/>
      </c>
      <c r="J35" s="26" t="str">
        <f>IF(B35="", "", CONCATENATE('Lighting Inventory'!W44, ", ", 'Lighting Inventory'!AL44, " W"))</f>
        <v/>
      </c>
      <c r="K35" s="26" t="str">
        <f>IF(OR(B35="",'Lighting Inventory'!B44="Retrofit"),"",IF('General Information'!$F$16="Space-by-Space",CONCATENATE('Lighting Inventory'!N44,", ",'Lighting Inventory'!O44," ",'Lighting Inventory'!P44," LPD"," at ",'Lighting Inventory'!Q44,", ",'Lighting Inventory'!R44," kW"),CONCATENATE(B35,", ",'Lighting Inventory'!O44," ",'Lighting Inventory'!P44," LPD"," at ",'Lighting Inventory'!Q44,", ",'Lighting Inventory'!R44," kW")))</f>
        <v/>
      </c>
      <c r="L35" s="26" t="str">
        <f>IF(H35="","",IF('Lighting Inventory'!AK44="","",'Lighting Inventory'!AK44))</f>
        <v/>
      </c>
      <c r="M35" s="26" t="str">
        <f>IF(H35="", "", 'Lighting Inventory'!AL44)</f>
        <v/>
      </c>
      <c r="N35" s="26" t="str">
        <f>IF('Lighting Inventory'!S44="", "", IF('Lighting Inventory'!W44="No Change", 'Lighting Inventory'!I44, 'Lighting Inventory'!S44))</f>
        <v/>
      </c>
      <c r="O35" s="26" t="str">
        <f>IF('Lighting Inventory'!AN44="", "", VLOOKUP('Lighting Inventory'!AN44, 'Lookup Tables'!$B$142:$D$148, 3, FALSE))</f>
        <v/>
      </c>
      <c r="P35" s="66" t="str">
        <f>IF(B35="", "", 'Lighting Inventory'!AX44)</f>
        <v/>
      </c>
      <c r="Q35" s="67" t="str">
        <f>IF(B35="", "", 'Lighting Inventory'!AZ44)</f>
        <v/>
      </c>
      <c r="R35" s="187" t="str">
        <f>IF(OR('Lighting Inventory'!G44="", 'Lighting Inventory'!H44=""), "", 'Lighting Inventory'!BD44)</f>
        <v/>
      </c>
      <c r="S35" s="187" t="str">
        <f>IF(OR('Lighting Inventory'!G44="", 'Lighting Inventory'!H44=""), "",'Lighting Inventory'!BB44)</f>
        <v/>
      </c>
      <c r="T35" s="67" t="str">
        <f>IF(B35="", "", 'Lighting Inventory'!BE44)</f>
        <v/>
      </c>
      <c r="U35" s="67" t="str">
        <f>IF(B35="", "", 'Lighting Inventory'!BF44)</f>
        <v/>
      </c>
      <c r="BM35" s="186" t="str">
        <f t="shared" si="0"/>
        <v>-</v>
      </c>
    </row>
    <row r="36" spans="1:65" x14ac:dyDescent="0.25">
      <c r="A36" s="189">
        <v>35</v>
      </c>
      <c r="B36" s="186" t="str">
        <f>IF('Lighting Inventory'!F45="", "", 'Lighting Inventory'!F45)</f>
        <v/>
      </c>
      <c r="C36" s="26" t="str">
        <f>IF(B36="", "", CONCATENATE("Area: ", 'Lighting Inventory'!D45, ", ", IF('Lighting Inventory'!C45="", "", "Floor: "), 'Lighting Inventory'!C45))</f>
        <v/>
      </c>
      <c r="D36" s="186" t="str">
        <f>IF(B36="", "", IF('Lighting Inventory'!B45="New Construction",CONCATENATE("Cut Sheet ", 250+'Appendix C'!A36), IF(ISNUMBER(SEARCH("cut sheet", 'Lighting Inventory'!J45)), CONCATENATE("Cut Sheet ", 'Lookup Tables'!AX38), 'Lighting Inventory'!J45)))</f>
        <v/>
      </c>
      <c r="E36" s="26" t="str">
        <f>IF(B36="", "", IF('Lighting Inventory'!B45="New Construction", 1, 'Lighting Inventory'!I45))</f>
        <v/>
      </c>
      <c r="F36" s="26" t="str">
        <f>IF(B36="", "", IF('Lighting Inventory'!B45="New Construction", 'Lighting Inventory'!R45*1000, 'Lighting Inventory'!K45))</f>
        <v/>
      </c>
      <c r="G36" s="26" t="str">
        <f>IF(B36="", "", IF('Lighting Inventory'!M45="", "S_LS", VLOOKUP('Lighting Inventory'!M45, 'Lookup Tables'!$B$142:$D$148, 3, FALSE)))</f>
        <v/>
      </c>
      <c r="H36" s="26" t="str">
        <f>IF(OR('Lighting Inventory'!V45="", 'Lighting Inventory'!W45=""), "", IF('Lighting Inventory'!W45="No Change", 'Lighting Inventory'!J45, CONCATENATE("Cut Sheet ", 'Appendix C'!A36)))</f>
        <v/>
      </c>
      <c r="I36" s="26" t="str">
        <f>IF(H36="", "", IF('Lighting Inventory'!AB45="Yes", "Screw-In", "General"))</f>
        <v/>
      </c>
      <c r="J36" s="26" t="str">
        <f>IF(B36="", "", CONCATENATE('Lighting Inventory'!W45, ", ", 'Lighting Inventory'!AL45, " W"))</f>
        <v/>
      </c>
      <c r="K36" s="26" t="str">
        <f>IF(OR(B36="",'Lighting Inventory'!B45="Retrofit"),"",IF('General Information'!$F$16="Space-by-Space",CONCATENATE('Lighting Inventory'!N45,", ",'Lighting Inventory'!O45," ",'Lighting Inventory'!P45," LPD"," at ",'Lighting Inventory'!Q45,", ",'Lighting Inventory'!R45," kW"),CONCATENATE(B36,", ",'Lighting Inventory'!O45," ",'Lighting Inventory'!P45," LPD"," at ",'Lighting Inventory'!Q45,", ",'Lighting Inventory'!R45," kW")))</f>
        <v/>
      </c>
      <c r="L36" s="26" t="str">
        <f>IF(H36="","",IF('Lighting Inventory'!AK45="","",'Lighting Inventory'!AK45))</f>
        <v/>
      </c>
      <c r="M36" s="26" t="str">
        <f>IF(H36="", "", 'Lighting Inventory'!AL45)</f>
        <v/>
      </c>
      <c r="N36" s="26" t="str">
        <f>IF('Lighting Inventory'!S45="", "", IF('Lighting Inventory'!W45="No Change", 'Lighting Inventory'!I45, 'Lighting Inventory'!S45))</f>
        <v/>
      </c>
      <c r="O36" s="26" t="str">
        <f>IF('Lighting Inventory'!AN45="", "", VLOOKUP('Lighting Inventory'!AN45, 'Lookup Tables'!$B$142:$D$148, 3, FALSE))</f>
        <v/>
      </c>
      <c r="P36" s="66" t="str">
        <f>IF(B36="", "", 'Lighting Inventory'!AX45)</f>
        <v/>
      </c>
      <c r="Q36" s="67" t="str">
        <f>IF(B36="", "", 'Lighting Inventory'!AZ45)</f>
        <v/>
      </c>
      <c r="R36" s="187" t="str">
        <f>IF(OR('Lighting Inventory'!G45="", 'Lighting Inventory'!H45=""), "", 'Lighting Inventory'!BD45)</f>
        <v/>
      </c>
      <c r="S36" s="187" t="str">
        <f>IF(OR('Lighting Inventory'!G45="", 'Lighting Inventory'!H45=""), "",'Lighting Inventory'!BB45)</f>
        <v/>
      </c>
      <c r="T36" s="67" t="str">
        <f>IF(B36="", "", 'Lighting Inventory'!BE45)</f>
        <v/>
      </c>
      <c r="U36" s="67" t="str">
        <f>IF(B36="", "", 'Lighting Inventory'!BF45)</f>
        <v/>
      </c>
      <c r="BM36" s="186" t="str">
        <f t="shared" si="0"/>
        <v>-</v>
      </c>
    </row>
    <row r="37" spans="1:65" x14ac:dyDescent="0.25">
      <c r="A37" s="189">
        <v>36</v>
      </c>
      <c r="B37" s="186" t="str">
        <f>IF('Lighting Inventory'!F46="", "", 'Lighting Inventory'!F46)</f>
        <v/>
      </c>
      <c r="C37" s="26" t="str">
        <f>IF(B37="", "", CONCATENATE("Area: ", 'Lighting Inventory'!D46, ", ", IF('Lighting Inventory'!C46="", "", "Floor: "), 'Lighting Inventory'!C46))</f>
        <v/>
      </c>
      <c r="D37" s="186" t="str">
        <f>IF(B37="", "", IF('Lighting Inventory'!B46="New Construction",CONCATENATE("Cut Sheet ", 250+'Appendix C'!A37), IF(ISNUMBER(SEARCH("cut sheet", 'Lighting Inventory'!J46)), CONCATENATE("Cut Sheet ", 'Lookup Tables'!AX39), 'Lighting Inventory'!J46)))</f>
        <v/>
      </c>
      <c r="E37" s="26" t="str">
        <f>IF(B37="", "", IF('Lighting Inventory'!B46="New Construction", 1, 'Lighting Inventory'!I46))</f>
        <v/>
      </c>
      <c r="F37" s="26" t="str">
        <f>IF(B37="", "", IF('Lighting Inventory'!B46="New Construction", 'Lighting Inventory'!R46*1000, 'Lighting Inventory'!K46))</f>
        <v/>
      </c>
      <c r="G37" s="26" t="str">
        <f>IF(B37="", "", IF('Lighting Inventory'!M46="", "S_LS", VLOOKUP('Lighting Inventory'!M46, 'Lookup Tables'!$B$142:$D$148, 3, FALSE)))</f>
        <v/>
      </c>
      <c r="H37" s="26" t="str">
        <f>IF(OR('Lighting Inventory'!V46="", 'Lighting Inventory'!W46=""), "", IF('Lighting Inventory'!W46="No Change", 'Lighting Inventory'!J46, CONCATENATE("Cut Sheet ", 'Appendix C'!A37)))</f>
        <v/>
      </c>
      <c r="I37" s="26" t="str">
        <f>IF(H37="", "", IF('Lighting Inventory'!AB46="Yes", "Screw-In", "General"))</f>
        <v/>
      </c>
      <c r="J37" s="26" t="str">
        <f>IF(B37="", "", CONCATENATE('Lighting Inventory'!W46, ", ", 'Lighting Inventory'!AL46, " W"))</f>
        <v/>
      </c>
      <c r="K37" s="26" t="str">
        <f>IF(OR(B37="",'Lighting Inventory'!B46="Retrofit"),"",IF('General Information'!$F$16="Space-by-Space",CONCATENATE('Lighting Inventory'!N46,", ",'Lighting Inventory'!O46," ",'Lighting Inventory'!P46," LPD"," at ",'Lighting Inventory'!Q46,", ",'Lighting Inventory'!R46," kW"),CONCATENATE(B37,", ",'Lighting Inventory'!O46," ",'Lighting Inventory'!P46," LPD"," at ",'Lighting Inventory'!Q46,", ",'Lighting Inventory'!R46," kW")))</f>
        <v/>
      </c>
      <c r="L37" s="26" t="str">
        <f>IF(H37="","",IF('Lighting Inventory'!AK46="","",'Lighting Inventory'!AK46))</f>
        <v/>
      </c>
      <c r="M37" s="26" t="str">
        <f>IF(H37="", "", 'Lighting Inventory'!AL46)</f>
        <v/>
      </c>
      <c r="N37" s="26" t="str">
        <f>IF('Lighting Inventory'!S46="", "", IF('Lighting Inventory'!W46="No Change", 'Lighting Inventory'!I46, 'Lighting Inventory'!S46))</f>
        <v/>
      </c>
      <c r="O37" s="26" t="str">
        <f>IF('Lighting Inventory'!AN46="", "", VLOOKUP('Lighting Inventory'!AN46, 'Lookup Tables'!$B$142:$D$148, 3, FALSE))</f>
        <v/>
      </c>
      <c r="P37" s="66" t="str">
        <f>IF(B37="", "", 'Lighting Inventory'!AX46)</f>
        <v/>
      </c>
      <c r="Q37" s="67" t="str">
        <f>IF(B37="", "", 'Lighting Inventory'!AZ46)</f>
        <v/>
      </c>
      <c r="R37" s="187" t="str">
        <f>IF(OR('Lighting Inventory'!G46="", 'Lighting Inventory'!H46=""), "", 'Lighting Inventory'!BD46)</f>
        <v/>
      </c>
      <c r="S37" s="187" t="str">
        <f>IF(OR('Lighting Inventory'!G46="", 'Lighting Inventory'!H46=""), "",'Lighting Inventory'!BB46)</f>
        <v/>
      </c>
      <c r="T37" s="67" t="str">
        <f>IF(B37="", "", 'Lighting Inventory'!BE46)</f>
        <v/>
      </c>
      <c r="U37" s="67" t="str">
        <f>IF(B37="", "", 'Lighting Inventory'!BF46)</f>
        <v/>
      </c>
      <c r="BM37" s="186" t="str">
        <f t="shared" si="0"/>
        <v>-</v>
      </c>
    </row>
    <row r="38" spans="1:65" x14ac:dyDescent="0.25">
      <c r="A38" s="189">
        <v>37</v>
      </c>
      <c r="B38" s="186" t="str">
        <f>IF('Lighting Inventory'!F47="", "", 'Lighting Inventory'!F47)</f>
        <v/>
      </c>
      <c r="C38" s="26" t="str">
        <f>IF(B38="", "", CONCATENATE("Area: ", 'Lighting Inventory'!D47, ", ", IF('Lighting Inventory'!C47="", "", "Floor: "), 'Lighting Inventory'!C47))</f>
        <v/>
      </c>
      <c r="D38" s="186" t="str">
        <f>IF(B38="", "", IF('Lighting Inventory'!B47="New Construction",CONCATENATE("Cut Sheet ", 250+'Appendix C'!A38), IF(ISNUMBER(SEARCH("cut sheet", 'Lighting Inventory'!J47)), CONCATENATE("Cut Sheet ", 'Lookup Tables'!AX40), 'Lighting Inventory'!J47)))</f>
        <v/>
      </c>
      <c r="E38" s="26" t="str">
        <f>IF(B38="", "", IF('Lighting Inventory'!B47="New Construction", 1, 'Lighting Inventory'!I47))</f>
        <v/>
      </c>
      <c r="F38" s="26" t="str">
        <f>IF(B38="", "", IF('Lighting Inventory'!B47="New Construction", 'Lighting Inventory'!R47*1000, 'Lighting Inventory'!K47))</f>
        <v/>
      </c>
      <c r="G38" s="26" t="str">
        <f>IF(B38="", "", IF('Lighting Inventory'!M47="", "S_LS", VLOOKUP('Lighting Inventory'!M47, 'Lookup Tables'!$B$142:$D$148, 3, FALSE)))</f>
        <v/>
      </c>
      <c r="H38" s="26" t="str">
        <f>IF(OR('Lighting Inventory'!V47="", 'Lighting Inventory'!W47=""), "", IF('Lighting Inventory'!W47="No Change", 'Lighting Inventory'!J47, CONCATENATE("Cut Sheet ", 'Appendix C'!A38)))</f>
        <v/>
      </c>
      <c r="I38" s="26" t="str">
        <f>IF(H38="", "", IF('Lighting Inventory'!AB47="Yes", "Screw-In", "General"))</f>
        <v/>
      </c>
      <c r="J38" s="26" t="str">
        <f>IF(B38="", "", CONCATENATE('Lighting Inventory'!W47, ", ", 'Lighting Inventory'!AL47, " W"))</f>
        <v/>
      </c>
      <c r="K38" s="26" t="str">
        <f>IF(OR(B38="",'Lighting Inventory'!B47="Retrofit"),"",IF('General Information'!$F$16="Space-by-Space",CONCATENATE('Lighting Inventory'!N47,", ",'Lighting Inventory'!O47," ",'Lighting Inventory'!P47," LPD"," at ",'Lighting Inventory'!Q47,", ",'Lighting Inventory'!R47," kW"),CONCATENATE(B38,", ",'Lighting Inventory'!O47," ",'Lighting Inventory'!P47," LPD"," at ",'Lighting Inventory'!Q47,", ",'Lighting Inventory'!R47," kW")))</f>
        <v/>
      </c>
      <c r="L38" s="26" t="str">
        <f>IF(H38="","",IF('Lighting Inventory'!AK47="","",'Lighting Inventory'!AK47))</f>
        <v/>
      </c>
      <c r="M38" s="26" t="str">
        <f>IF(H38="", "", 'Lighting Inventory'!AL47)</f>
        <v/>
      </c>
      <c r="N38" s="26" t="str">
        <f>IF('Lighting Inventory'!S47="", "", IF('Lighting Inventory'!W47="No Change", 'Lighting Inventory'!I47, 'Lighting Inventory'!S47))</f>
        <v/>
      </c>
      <c r="O38" s="26" t="str">
        <f>IF('Lighting Inventory'!AN47="", "", VLOOKUP('Lighting Inventory'!AN47, 'Lookup Tables'!$B$142:$D$148, 3, FALSE))</f>
        <v/>
      </c>
      <c r="P38" s="66" t="str">
        <f>IF(B38="", "", 'Lighting Inventory'!AX47)</f>
        <v/>
      </c>
      <c r="Q38" s="67" t="str">
        <f>IF(B38="", "", 'Lighting Inventory'!AZ47)</f>
        <v/>
      </c>
      <c r="R38" s="187" t="str">
        <f>IF(OR('Lighting Inventory'!G47="", 'Lighting Inventory'!H47=""), "", 'Lighting Inventory'!BD47)</f>
        <v/>
      </c>
      <c r="S38" s="187" t="str">
        <f>IF(OR('Lighting Inventory'!G47="", 'Lighting Inventory'!H47=""), "",'Lighting Inventory'!BB47)</f>
        <v/>
      </c>
      <c r="T38" s="67" t="str">
        <f>IF(B38="", "", 'Lighting Inventory'!BE47)</f>
        <v/>
      </c>
      <c r="U38" s="67" t="str">
        <f>IF(B38="", "", 'Lighting Inventory'!BF47)</f>
        <v/>
      </c>
      <c r="BM38" s="186" t="str">
        <f t="shared" si="0"/>
        <v>-</v>
      </c>
    </row>
    <row r="39" spans="1:65" x14ac:dyDescent="0.25">
      <c r="A39" s="189">
        <v>38</v>
      </c>
      <c r="B39" s="186" t="str">
        <f>IF('Lighting Inventory'!F48="", "", 'Lighting Inventory'!F48)</f>
        <v/>
      </c>
      <c r="C39" s="26" t="str">
        <f>IF(B39="", "", CONCATENATE("Area: ", 'Lighting Inventory'!D48, ", ", IF('Lighting Inventory'!C48="", "", "Floor: "), 'Lighting Inventory'!C48))</f>
        <v/>
      </c>
      <c r="D39" s="186" t="str">
        <f>IF(B39="", "", IF('Lighting Inventory'!B48="New Construction",CONCATENATE("Cut Sheet ", 250+'Appendix C'!A39), IF(ISNUMBER(SEARCH("cut sheet", 'Lighting Inventory'!J48)), CONCATENATE("Cut Sheet ", 'Lookup Tables'!AX41), 'Lighting Inventory'!J48)))</f>
        <v/>
      </c>
      <c r="E39" s="26" t="str">
        <f>IF(B39="", "", IF('Lighting Inventory'!B48="New Construction", 1, 'Lighting Inventory'!I48))</f>
        <v/>
      </c>
      <c r="F39" s="26" t="str">
        <f>IF(B39="", "", IF('Lighting Inventory'!B48="New Construction", 'Lighting Inventory'!R48*1000, 'Lighting Inventory'!K48))</f>
        <v/>
      </c>
      <c r="G39" s="26" t="str">
        <f>IF(B39="", "", IF('Lighting Inventory'!M48="", "S_LS", VLOOKUP('Lighting Inventory'!M48, 'Lookup Tables'!$B$142:$D$148, 3, FALSE)))</f>
        <v/>
      </c>
      <c r="H39" s="26" t="str">
        <f>IF(OR('Lighting Inventory'!V48="", 'Lighting Inventory'!W48=""), "", IF('Lighting Inventory'!W48="No Change", 'Lighting Inventory'!J48, CONCATENATE("Cut Sheet ", 'Appendix C'!A39)))</f>
        <v/>
      </c>
      <c r="I39" s="26" t="str">
        <f>IF(H39="", "", IF('Lighting Inventory'!AB48="Yes", "Screw-In", "General"))</f>
        <v/>
      </c>
      <c r="J39" s="26" t="str">
        <f>IF(B39="", "", CONCATENATE('Lighting Inventory'!W48, ", ", 'Lighting Inventory'!AL48, " W"))</f>
        <v/>
      </c>
      <c r="K39" s="26" t="str">
        <f>IF(OR(B39="",'Lighting Inventory'!B48="Retrofit"),"",IF('General Information'!$F$16="Space-by-Space",CONCATENATE('Lighting Inventory'!N48,", ",'Lighting Inventory'!O48," ",'Lighting Inventory'!P48," LPD"," at ",'Lighting Inventory'!Q48,", ",'Lighting Inventory'!R48," kW"),CONCATENATE(B39,", ",'Lighting Inventory'!O48," ",'Lighting Inventory'!P48," LPD"," at ",'Lighting Inventory'!Q48,", ",'Lighting Inventory'!R48," kW")))</f>
        <v/>
      </c>
      <c r="L39" s="26" t="str">
        <f>IF(H39="","",IF('Lighting Inventory'!AK48="","",'Lighting Inventory'!AK48))</f>
        <v/>
      </c>
      <c r="M39" s="26" t="str">
        <f>IF(H39="", "", 'Lighting Inventory'!AL48)</f>
        <v/>
      </c>
      <c r="N39" s="26" t="str">
        <f>IF('Lighting Inventory'!S48="", "", IF('Lighting Inventory'!W48="No Change", 'Lighting Inventory'!I48, 'Lighting Inventory'!S48))</f>
        <v/>
      </c>
      <c r="O39" s="26" t="str">
        <f>IF('Lighting Inventory'!AN48="", "", VLOOKUP('Lighting Inventory'!AN48, 'Lookup Tables'!$B$142:$D$148, 3, FALSE))</f>
        <v/>
      </c>
      <c r="P39" s="66" t="str">
        <f>IF(B39="", "", 'Lighting Inventory'!AX48)</f>
        <v/>
      </c>
      <c r="Q39" s="67" t="str">
        <f>IF(B39="", "", 'Lighting Inventory'!AZ48)</f>
        <v/>
      </c>
      <c r="R39" s="187" t="str">
        <f>IF(OR('Lighting Inventory'!G48="", 'Lighting Inventory'!H48=""), "", 'Lighting Inventory'!BD48)</f>
        <v/>
      </c>
      <c r="S39" s="187" t="str">
        <f>IF(OR('Lighting Inventory'!G48="", 'Lighting Inventory'!H48=""), "",'Lighting Inventory'!BB48)</f>
        <v/>
      </c>
      <c r="T39" s="67" t="str">
        <f>IF(B39="", "", 'Lighting Inventory'!BE48)</f>
        <v/>
      </c>
      <c r="U39" s="67" t="str">
        <f>IF(B39="", "", 'Lighting Inventory'!BF48)</f>
        <v/>
      </c>
      <c r="BM39" s="186" t="str">
        <f t="shared" si="0"/>
        <v>-</v>
      </c>
    </row>
    <row r="40" spans="1:65" x14ac:dyDescent="0.25">
      <c r="A40" s="189">
        <v>39</v>
      </c>
      <c r="B40" s="186" t="str">
        <f>IF('Lighting Inventory'!F49="", "", 'Lighting Inventory'!F49)</f>
        <v/>
      </c>
      <c r="C40" s="26" t="str">
        <f>IF(B40="", "", CONCATENATE("Area: ", 'Lighting Inventory'!D49, ", ", IF('Lighting Inventory'!C49="", "", "Floor: "), 'Lighting Inventory'!C49))</f>
        <v/>
      </c>
      <c r="D40" s="186" t="str">
        <f>IF(B40="", "", IF('Lighting Inventory'!B49="New Construction",CONCATENATE("Cut Sheet ", 250+'Appendix C'!A40), IF(ISNUMBER(SEARCH("cut sheet", 'Lighting Inventory'!J49)), CONCATENATE("Cut Sheet ", 'Lookup Tables'!AX42), 'Lighting Inventory'!J49)))</f>
        <v/>
      </c>
      <c r="E40" s="26" t="str">
        <f>IF(B40="", "", IF('Lighting Inventory'!B49="New Construction", 1, 'Lighting Inventory'!I49))</f>
        <v/>
      </c>
      <c r="F40" s="26" t="str">
        <f>IF(B40="", "", IF('Lighting Inventory'!B49="New Construction", 'Lighting Inventory'!R49*1000, 'Lighting Inventory'!K49))</f>
        <v/>
      </c>
      <c r="G40" s="26" t="str">
        <f>IF(B40="", "", IF('Lighting Inventory'!M49="", "S_LS", VLOOKUP('Lighting Inventory'!M49, 'Lookup Tables'!$B$142:$D$148, 3, FALSE)))</f>
        <v/>
      </c>
      <c r="H40" s="26" t="str">
        <f>IF(OR('Lighting Inventory'!V49="", 'Lighting Inventory'!W49=""), "", IF('Lighting Inventory'!W49="No Change", 'Lighting Inventory'!J49, CONCATENATE("Cut Sheet ", 'Appendix C'!A40)))</f>
        <v/>
      </c>
      <c r="I40" s="26" t="str">
        <f>IF(H40="", "", IF('Lighting Inventory'!AB49="Yes", "Screw-In", "General"))</f>
        <v/>
      </c>
      <c r="J40" s="26" t="str">
        <f>IF(B40="", "", CONCATENATE('Lighting Inventory'!W49, ", ", 'Lighting Inventory'!AL49, " W"))</f>
        <v/>
      </c>
      <c r="K40" s="26" t="str">
        <f>IF(OR(B40="",'Lighting Inventory'!B49="Retrofit"),"",IF('General Information'!$F$16="Space-by-Space",CONCATENATE('Lighting Inventory'!N49,", ",'Lighting Inventory'!O49," ",'Lighting Inventory'!P49," LPD"," at ",'Lighting Inventory'!Q49,", ",'Lighting Inventory'!R49," kW"),CONCATENATE(B40,", ",'Lighting Inventory'!O49," ",'Lighting Inventory'!P49," LPD"," at ",'Lighting Inventory'!Q49,", ",'Lighting Inventory'!R49," kW")))</f>
        <v/>
      </c>
      <c r="L40" s="26" t="str">
        <f>IF(H40="","",IF('Lighting Inventory'!AK49="","",'Lighting Inventory'!AK49))</f>
        <v/>
      </c>
      <c r="M40" s="26" t="str">
        <f>IF(H40="", "", 'Lighting Inventory'!AL49)</f>
        <v/>
      </c>
      <c r="N40" s="26" t="str">
        <f>IF('Lighting Inventory'!S49="", "", IF('Lighting Inventory'!W49="No Change", 'Lighting Inventory'!I49, 'Lighting Inventory'!S49))</f>
        <v/>
      </c>
      <c r="O40" s="26" t="str">
        <f>IF('Lighting Inventory'!AN49="", "", VLOOKUP('Lighting Inventory'!AN49, 'Lookup Tables'!$B$142:$D$148, 3, FALSE))</f>
        <v/>
      </c>
      <c r="P40" s="66" t="str">
        <f>IF(B40="", "", 'Lighting Inventory'!AX49)</f>
        <v/>
      </c>
      <c r="Q40" s="67" t="str">
        <f>IF(B40="", "", 'Lighting Inventory'!AZ49)</f>
        <v/>
      </c>
      <c r="R40" s="187" t="str">
        <f>IF(OR('Lighting Inventory'!G49="", 'Lighting Inventory'!H49=""), "", 'Lighting Inventory'!BD49)</f>
        <v/>
      </c>
      <c r="S40" s="187" t="str">
        <f>IF(OR('Lighting Inventory'!G49="", 'Lighting Inventory'!H49=""), "",'Lighting Inventory'!BB49)</f>
        <v/>
      </c>
      <c r="T40" s="67" t="str">
        <f>IF(B40="", "", 'Lighting Inventory'!BE49)</f>
        <v/>
      </c>
      <c r="U40" s="67" t="str">
        <f>IF(B40="", "", 'Lighting Inventory'!BF49)</f>
        <v/>
      </c>
      <c r="BM40" s="186" t="str">
        <f t="shared" si="0"/>
        <v>-</v>
      </c>
    </row>
    <row r="41" spans="1:65" x14ac:dyDescent="0.25">
      <c r="A41" s="189">
        <v>40</v>
      </c>
      <c r="B41" s="186" t="str">
        <f>IF('Lighting Inventory'!F50="", "", 'Lighting Inventory'!F50)</f>
        <v/>
      </c>
      <c r="C41" s="26" t="str">
        <f>IF(B41="", "", CONCATENATE("Area: ", 'Lighting Inventory'!D50, ", ", IF('Lighting Inventory'!C50="", "", "Floor: "), 'Lighting Inventory'!C50))</f>
        <v/>
      </c>
      <c r="D41" s="186" t="str">
        <f>IF(B41="", "", IF('Lighting Inventory'!B50="New Construction",CONCATENATE("Cut Sheet ", 250+'Appendix C'!A41), IF(ISNUMBER(SEARCH("cut sheet", 'Lighting Inventory'!J50)), CONCATENATE("Cut Sheet ", 'Lookup Tables'!AX43), 'Lighting Inventory'!J50)))</f>
        <v/>
      </c>
      <c r="E41" s="26" t="str">
        <f>IF(B41="", "", IF('Lighting Inventory'!B50="New Construction", 1, 'Lighting Inventory'!I50))</f>
        <v/>
      </c>
      <c r="F41" s="26" t="str">
        <f>IF(B41="", "", IF('Lighting Inventory'!B50="New Construction", 'Lighting Inventory'!R50*1000, 'Lighting Inventory'!K50))</f>
        <v/>
      </c>
      <c r="G41" s="26" t="str">
        <f>IF(B41="", "", IF('Lighting Inventory'!M50="", "S_LS", VLOOKUP('Lighting Inventory'!M50, 'Lookup Tables'!$B$142:$D$148, 3, FALSE)))</f>
        <v/>
      </c>
      <c r="H41" s="26" t="str">
        <f>IF(OR('Lighting Inventory'!V50="", 'Lighting Inventory'!W50=""), "", IF('Lighting Inventory'!W50="No Change", 'Lighting Inventory'!J50, CONCATENATE("Cut Sheet ", 'Appendix C'!A41)))</f>
        <v/>
      </c>
      <c r="I41" s="26" t="str">
        <f>IF(H41="", "", IF('Lighting Inventory'!AB50="Yes", "Screw-In", "General"))</f>
        <v/>
      </c>
      <c r="J41" s="26" t="str">
        <f>IF(B41="", "", CONCATENATE('Lighting Inventory'!W50, ", ", 'Lighting Inventory'!AL50, " W"))</f>
        <v/>
      </c>
      <c r="K41" s="26" t="str">
        <f>IF(OR(B41="",'Lighting Inventory'!B50="Retrofit"),"",IF('General Information'!$F$16="Space-by-Space",CONCATENATE('Lighting Inventory'!N50,", ",'Lighting Inventory'!O50," ",'Lighting Inventory'!P50," LPD"," at ",'Lighting Inventory'!Q50,", ",'Lighting Inventory'!R50," kW"),CONCATENATE(B41,", ",'Lighting Inventory'!O50," ",'Lighting Inventory'!P50," LPD"," at ",'Lighting Inventory'!Q50,", ",'Lighting Inventory'!R50," kW")))</f>
        <v/>
      </c>
      <c r="L41" s="26" t="str">
        <f>IF(H41="","",IF('Lighting Inventory'!AK50="","",'Lighting Inventory'!AK50))</f>
        <v/>
      </c>
      <c r="M41" s="26" t="str">
        <f>IF(H41="", "", 'Lighting Inventory'!AL50)</f>
        <v/>
      </c>
      <c r="N41" s="26" t="str">
        <f>IF('Lighting Inventory'!S50="", "", IF('Lighting Inventory'!W50="No Change", 'Lighting Inventory'!I50, 'Lighting Inventory'!S50))</f>
        <v/>
      </c>
      <c r="O41" s="26" t="str">
        <f>IF('Lighting Inventory'!AN50="", "", VLOOKUP('Lighting Inventory'!AN50, 'Lookup Tables'!$B$142:$D$148, 3, FALSE))</f>
        <v/>
      </c>
      <c r="P41" s="66" t="str">
        <f>IF(B41="", "", 'Lighting Inventory'!AX50)</f>
        <v/>
      </c>
      <c r="Q41" s="67" t="str">
        <f>IF(B41="", "", 'Lighting Inventory'!AZ50)</f>
        <v/>
      </c>
      <c r="R41" s="187" t="str">
        <f>IF(OR('Lighting Inventory'!G50="", 'Lighting Inventory'!H50=""), "", 'Lighting Inventory'!BD50)</f>
        <v/>
      </c>
      <c r="S41" s="187" t="str">
        <f>IF(OR('Lighting Inventory'!G50="", 'Lighting Inventory'!H50=""), "",'Lighting Inventory'!BB50)</f>
        <v/>
      </c>
      <c r="T41" s="67" t="str">
        <f>IF(B41="", "", 'Lighting Inventory'!BE50)</f>
        <v/>
      </c>
      <c r="U41" s="67" t="str">
        <f>IF(B41="", "", 'Lighting Inventory'!BF50)</f>
        <v/>
      </c>
      <c r="BM41" s="186" t="str">
        <f t="shared" si="0"/>
        <v>-</v>
      </c>
    </row>
    <row r="42" spans="1:65" x14ac:dyDescent="0.25">
      <c r="A42" s="189">
        <v>41</v>
      </c>
      <c r="B42" s="186" t="str">
        <f>IF('Lighting Inventory'!F51="", "", 'Lighting Inventory'!F51)</f>
        <v/>
      </c>
      <c r="C42" s="26" t="str">
        <f>IF(B42="", "", CONCATENATE("Area: ", 'Lighting Inventory'!D51, ", ", IF('Lighting Inventory'!C51="", "", "Floor: "), 'Lighting Inventory'!C51))</f>
        <v/>
      </c>
      <c r="D42" s="186" t="str">
        <f>IF(B42="", "", IF('Lighting Inventory'!B51="New Construction",CONCATENATE("Cut Sheet ", 250+'Appendix C'!A42), IF(ISNUMBER(SEARCH("cut sheet", 'Lighting Inventory'!J51)), CONCATENATE("Cut Sheet ", 'Lookup Tables'!AX44), 'Lighting Inventory'!J51)))</f>
        <v/>
      </c>
      <c r="E42" s="26" t="str">
        <f>IF(B42="", "", IF('Lighting Inventory'!B51="New Construction", 1, 'Lighting Inventory'!I51))</f>
        <v/>
      </c>
      <c r="F42" s="26" t="str">
        <f>IF(B42="", "", IF('Lighting Inventory'!B51="New Construction", 'Lighting Inventory'!R51*1000, 'Lighting Inventory'!K51))</f>
        <v/>
      </c>
      <c r="G42" s="26" t="str">
        <f>IF(B42="", "", IF('Lighting Inventory'!M51="", "S_LS", VLOOKUP('Lighting Inventory'!M51, 'Lookup Tables'!$B$142:$D$148, 3, FALSE)))</f>
        <v/>
      </c>
      <c r="H42" s="26" t="str">
        <f>IF(OR('Lighting Inventory'!V51="", 'Lighting Inventory'!W51=""), "", IF('Lighting Inventory'!W51="No Change", 'Lighting Inventory'!J51, CONCATENATE("Cut Sheet ", 'Appendix C'!A42)))</f>
        <v/>
      </c>
      <c r="I42" s="26" t="str">
        <f>IF(H42="", "", IF('Lighting Inventory'!AB51="Yes", "Screw-In", "General"))</f>
        <v/>
      </c>
      <c r="J42" s="26" t="str">
        <f>IF(B42="", "", CONCATENATE('Lighting Inventory'!W51, ", ", 'Lighting Inventory'!AL51, " W"))</f>
        <v/>
      </c>
      <c r="K42" s="26" t="str">
        <f>IF(OR(B42="",'Lighting Inventory'!B51="Retrofit"),"",IF('General Information'!$F$16="Space-by-Space",CONCATENATE('Lighting Inventory'!N51,", ",'Lighting Inventory'!O51," ",'Lighting Inventory'!P51," LPD"," at ",'Lighting Inventory'!Q51,", ",'Lighting Inventory'!R51," kW"),CONCATENATE(B42,", ",'Lighting Inventory'!O51," ",'Lighting Inventory'!P51," LPD"," at ",'Lighting Inventory'!Q51,", ",'Lighting Inventory'!R51," kW")))</f>
        <v/>
      </c>
      <c r="L42" s="26" t="str">
        <f>IF(H42="","",IF('Lighting Inventory'!AK51="","",'Lighting Inventory'!AK51))</f>
        <v/>
      </c>
      <c r="M42" s="26" t="str">
        <f>IF(H42="", "", 'Lighting Inventory'!AL51)</f>
        <v/>
      </c>
      <c r="N42" s="26" t="str">
        <f>IF('Lighting Inventory'!S51="", "", IF('Lighting Inventory'!W51="No Change", 'Lighting Inventory'!I51, 'Lighting Inventory'!S51))</f>
        <v/>
      </c>
      <c r="O42" s="26" t="str">
        <f>IF('Lighting Inventory'!AN51="", "", VLOOKUP('Lighting Inventory'!AN51, 'Lookup Tables'!$B$142:$D$148, 3, FALSE))</f>
        <v/>
      </c>
      <c r="P42" s="66" t="str">
        <f>IF(B42="", "", 'Lighting Inventory'!AX51)</f>
        <v/>
      </c>
      <c r="Q42" s="67" t="str">
        <f>IF(B42="", "", 'Lighting Inventory'!AZ51)</f>
        <v/>
      </c>
      <c r="R42" s="187" t="str">
        <f>IF(OR('Lighting Inventory'!G51="", 'Lighting Inventory'!H51=""), "", 'Lighting Inventory'!BD51)</f>
        <v/>
      </c>
      <c r="S42" s="187" t="str">
        <f>IF(OR('Lighting Inventory'!G51="", 'Lighting Inventory'!H51=""), "",'Lighting Inventory'!BB51)</f>
        <v/>
      </c>
      <c r="T42" s="67" t="str">
        <f>IF(B42="", "", 'Lighting Inventory'!BE51)</f>
        <v/>
      </c>
      <c r="U42" s="67" t="str">
        <f>IF(B42="", "", 'Lighting Inventory'!BF51)</f>
        <v/>
      </c>
      <c r="BM42" s="186" t="str">
        <f t="shared" si="0"/>
        <v>-</v>
      </c>
    </row>
    <row r="43" spans="1:65" x14ac:dyDescent="0.25">
      <c r="A43" s="189">
        <v>42</v>
      </c>
      <c r="B43" s="186" t="str">
        <f>IF('Lighting Inventory'!F52="", "", 'Lighting Inventory'!F52)</f>
        <v/>
      </c>
      <c r="C43" s="26" t="str">
        <f>IF(B43="", "", CONCATENATE("Area: ", 'Lighting Inventory'!D52, ", ", IF('Lighting Inventory'!C52="", "", "Floor: "), 'Lighting Inventory'!C52))</f>
        <v/>
      </c>
      <c r="D43" s="186" t="str">
        <f>IF(B43="", "", IF('Lighting Inventory'!B52="New Construction",CONCATENATE("Cut Sheet ", 250+'Appendix C'!A43), IF(ISNUMBER(SEARCH("cut sheet", 'Lighting Inventory'!J52)), CONCATENATE("Cut Sheet ", 'Lookup Tables'!AX45), 'Lighting Inventory'!J52)))</f>
        <v/>
      </c>
      <c r="E43" s="26" t="str">
        <f>IF(B43="", "", IF('Lighting Inventory'!B52="New Construction", 1, 'Lighting Inventory'!I52))</f>
        <v/>
      </c>
      <c r="F43" s="26" t="str">
        <f>IF(B43="", "", IF('Lighting Inventory'!B52="New Construction", 'Lighting Inventory'!R52*1000, 'Lighting Inventory'!K52))</f>
        <v/>
      </c>
      <c r="G43" s="26" t="str">
        <f>IF(B43="", "", IF('Lighting Inventory'!M52="", "S_LS", VLOOKUP('Lighting Inventory'!M52, 'Lookup Tables'!$B$142:$D$148, 3, FALSE)))</f>
        <v/>
      </c>
      <c r="H43" s="26" t="str">
        <f>IF(OR('Lighting Inventory'!V52="", 'Lighting Inventory'!W52=""), "", IF('Lighting Inventory'!W52="No Change", 'Lighting Inventory'!J52, CONCATENATE("Cut Sheet ", 'Appendix C'!A43)))</f>
        <v/>
      </c>
      <c r="I43" s="26" t="str">
        <f>IF(H43="", "", IF('Lighting Inventory'!AB52="Yes", "Screw-In", "General"))</f>
        <v/>
      </c>
      <c r="J43" s="26" t="str">
        <f>IF(B43="", "", CONCATENATE('Lighting Inventory'!W52, ", ", 'Lighting Inventory'!AL52, " W"))</f>
        <v/>
      </c>
      <c r="K43" s="26" t="str">
        <f>IF(OR(B43="",'Lighting Inventory'!B52="Retrofit"),"",IF('General Information'!$F$16="Space-by-Space",CONCATENATE('Lighting Inventory'!N52,", ",'Lighting Inventory'!O52," ",'Lighting Inventory'!P52," LPD"," at ",'Lighting Inventory'!Q52,", ",'Lighting Inventory'!R52," kW"),CONCATENATE(B43,", ",'Lighting Inventory'!O52," ",'Lighting Inventory'!P52," LPD"," at ",'Lighting Inventory'!Q52,", ",'Lighting Inventory'!R52," kW")))</f>
        <v/>
      </c>
      <c r="L43" s="26" t="str">
        <f>IF(H43="","",IF('Lighting Inventory'!AK52="","",'Lighting Inventory'!AK52))</f>
        <v/>
      </c>
      <c r="M43" s="26" t="str">
        <f>IF(H43="", "", 'Lighting Inventory'!AL52)</f>
        <v/>
      </c>
      <c r="N43" s="26" t="str">
        <f>IF('Lighting Inventory'!S52="", "", IF('Lighting Inventory'!W52="No Change", 'Lighting Inventory'!I52, 'Lighting Inventory'!S52))</f>
        <v/>
      </c>
      <c r="O43" s="26" t="str">
        <f>IF('Lighting Inventory'!AN52="", "", VLOOKUP('Lighting Inventory'!AN52, 'Lookup Tables'!$B$142:$D$148, 3, FALSE))</f>
        <v/>
      </c>
      <c r="P43" s="66" t="str">
        <f>IF(B43="", "", 'Lighting Inventory'!AX52)</f>
        <v/>
      </c>
      <c r="Q43" s="67" t="str">
        <f>IF(B43="", "", 'Lighting Inventory'!AZ52)</f>
        <v/>
      </c>
      <c r="R43" s="187" t="str">
        <f>IF(OR('Lighting Inventory'!G52="", 'Lighting Inventory'!H52=""), "", 'Lighting Inventory'!BD52)</f>
        <v/>
      </c>
      <c r="S43" s="187" t="str">
        <f>IF(OR('Lighting Inventory'!G52="", 'Lighting Inventory'!H52=""), "",'Lighting Inventory'!BB52)</f>
        <v/>
      </c>
      <c r="T43" s="67" t="str">
        <f>IF(B43="", "", 'Lighting Inventory'!BE52)</f>
        <v/>
      </c>
      <c r="U43" s="67" t="str">
        <f>IF(B43="", "", 'Lighting Inventory'!BF52)</f>
        <v/>
      </c>
      <c r="BM43" s="186" t="str">
        <f t="shared" si="0"/>
        <v>-</v>
      </c>
    </row>
    <row r="44" spans="1:65" x14ac:dyDescent="0.25">
      <c r="A44" s="189">
        <v>43</v>
      </c>
      <c r="B44" s="186" t="str">
        <f>IF('Lighting Inventory'!F53="", "", 'Lighting Inventory'!F53)</f>
        <v/>
      </c>
      <c r="C44" s="26" t="str">
        <f>IF(B44="", "", CONCATENATE("Area: ", 'Lighting Inventory'!D53, ", ", IF('Lighting Inventory'!C53="", "", "Floor: "), 'Lighting Inventory'!C53))</f>
        <v/>
      </c>
      <c r="D44" s="186" t="str">
        <f>IF(B44="", "", IF('Lighting Inventory'!B53="New Construction",CONCATENATE("Cut Sheet ", 250+'Appendix C'!A44), IF(ISNUMBER(SEARCH("cut sheet", 'Lighting Inventory'!J53)), CONCATENATE("Cut Sheet ", 'Lookup Tables'!AX46), 'Lighting Inventory'!J53)))</f>
        <v/>
      </c>
      <c r="E44" s="26" t="str">
        <f>IF(B44="", "", IF('Lighting Inventory'!B53="New Construction", 1, 'Lighting Inventory'!I53))</f>
        <v/>
      </c>
      <c r="F44" s="26" t="str">
        <f>IF(B44="", "", IF('Lighting Inventory'!B53="New Construction", 'Lighting Inventory'!R53*1000, 'Lighting Inventory'!K53))</f>
        <v/>
      </c>
      <c r="G44" s="26" t="str">
        <f>IF(B44="", "", IF('Lighting Inventory'!M53="", "S_LS", VLOOKUP('Lighting Inventory'!M53, 'Lookup Tables'!$B$142:$D$148, 3, FALSE)))</f>
        <v/>
      </c>
      <c r="H44" s="26" t="str">
        <f>IF(OR('Lighting Inventory'!V53="", 'Lighting Inventory'!W53=""), "", IF('Lighting Inventory'!W53="No Change", 'Lighting Inventory'!J53, CONCATENATE("Cut Sheet ", 'Appendix C'!A44)))</f>
        <v/>
      </c>
      <c r="I44" s="26" t="str">
        <f>IF(H44="", "", IF('Lighting Inventory'!AB53="Yes", "Screw-In", "General"))</f>
        <v/>
      </c>
      <c r="J44" s="26" t="str">
        <f>IF(B44="", "", CONCATENATE('Lighting Inventory'!W53, ", ", 'Lighting Inventory'!AL53, " W"))</f>
        <v/>
      </c>
      <c r="K44" s="26" t="str">
        <f>IF(OR(B44="",'Lighting Inventory'!B53="Retrofit"),"",IF('General Information'!$F$16="Space-by-Space",CONCATENATE('Lighting Inventory'!N53,", ",'Lighting Inventory'!O53," ",'Lighting Inventory'!P53," LPD"," at ",'Lighting Inventory'!Q53,", ",'Lighting Inventory'!R53," kW"),CONCATENATE(B44,", ",'Lighting Inventory'!O53," ",'Lighting Inventory'!P53," LPD"," at ",'Lighting Inventory'!Q53,", ",'Lighting Inventory'!R53," kW")))</f>
        <v/>
      </c>
      <c r="L44" s="26" t="str">
        <f>IF(H44="","",IF('Lighting Inventory'!AK53="","",'Lighting Inventory'!AK53))</f>
        <v/>
      </c>
      <c r="M44" s="26" t="str">
        <f>IF(H44="", "", 'Lighting Inventory'!AL53)</f>
        <v/>
      </c>
      <c r="N44" s="26" t="str">
        <f>IF('Lighting Inventory'!S53="", "", IF('Lighting Inventory'!W53="No Change", 'Lighting Inventory'!I53, 'Lighting Inventory'!S53))</f>
        <v/>
      </c>
      <c r="O44" s="26" t="str">
        <f>IF('Lighting Inventory'!AN53="", "", VLOOKUP('Lighting Inventory'!AN53, 'Lookup Tables'!$B$142:$D$148, 3, FALSE))</f>
        <v/>
      </c>
      <c r="P44" s="66" t="str">
        <f>IF(B44="", "", 'Lighting Inventory'!AX53)</f>
        <v/>
      </c>
      <c r="Q44" s="67" t="str">
        <f>IF(B44="", "", 'Lighting Inventory'!AZ53)</f>
        <v/>
      </c>
      <c r="R44" s="187" t="str">
        <f>IF(OR('Lighting Inventory'!G53="", 'Lighting Inventory'!H53=""), "", 'Lighting Inventory'!BD53)</f>
        <v/>
      </c>
      <c r="S44" s="187" t="str">
        <f>IF(OR('Lighting Inventory'!G53="", 'Lighting Inventory'!H53=""), "",'Lighting Inventory'!BB53)</f>
        <v/>
      </c>
      <c r="T44" s="67" t="str">
        <f>IF(B44="", "", 'Lighting Inventory'!BE53)</f>
        <v/>
      </c>
      <c r="U44" s="67" t="str">
        <f>IF(B44="", "", 'Lighting Inventory'!BF53)</f>
        <v/>
      </c>
      <c r="BM44" s="186" t="str">
        <f t="shared" si="0"/>
        <v>-</v>
      </c>
    </row>
    <row r="45" spans="1:65" x14ac:dyDescent="0.25">
      <c r="A45" s="189">
        <v>44</v>
      </c>
      <c r="B45" s="186" t="str">
        <f>IF('Lighting Inventory'!F54="", "", 'Lighting Inventory'!F54)</f>
        <v/>
      </c>
      <c r="C45" s="26" t="str">
        <f>IF(B45="", "", CONCATENATE("Area: ", 'Lighting Inventory'!D54, ", ", IF('Lighting Inventory'!C54="", "", "Floor: "), 'Lighting Inventory'!C54))</f>
        <v/>
      </c>
      <c r="D45" s="186" t="str">
        <f>IF(B45="", "", IF('Lighting Inventory'!B54="New Construction",CONCATENATE("Cut Sheet ", 250+'Appendix C'!A45), IF(ISNUMBER(SEARCH("cut sheet", 'Lighting Inventory'!J54)), CONCATENATE("Cut Sheet ", 'Lookup Tables'!AX47), 'Lighting Inventory'!J54)))</f>
        <v/>
      </c>
      <c r="E45" s="26" t="str">
        <f>IF(B45="", "", IF('Lighting Inventory'!B54="New Construction", 1, 'Lighting Inventory'!I54))</f>
        <v/>
      </c>
      <c r="F45" s="26" t="str">
        <f>IF(B45="", "", IF('Lighting Inventory'!B54="New Construction", 'Lighting Inventory'!R54*1000, 'Lighting Inventory'!K54))</f>
        <v/>
      </c>
      <c r="G45" s="26" t="str">
        <f>IF(B45="", "", IF('Lighting Inventory'!M54="", "S_LS", VLOOKUP('Lighting Inventory'!M54, 'Lookup Tables'!$B$142:$D$148, 3, FALSE)))</f>
        <v/>
      </c>
      <c r="H45" s="26" t="str">
        <f>IF(OR('Lighting Inventory'!V54="", 'Lighting Inventory'!W54=""), "", IF('Lighting Inventory'!W54="No Change", 'Lighting Inventory'!J54, CONCATENATE("Cut Sheet ", 'Appendix C'!A45)))</f>
        <v/>
      </c>
      <c r="I45" s="26" t="str">
        <f>IF(H45="", "", IF('Lighting Inventory'!AB54="Yes", "Screw-In", "General"))</f>
        <v/>
      </c>
      <c r="J45" s="26" t="str">
        <f>IF(B45="", "", CONCATENATE('Lighting Inventory'!W54, ", ", 'Lighting Inventory'!AL54, " W"))</f>
        <v/>
      </c>
      <c r="K45" s="26" t="str">
        <f>IF(OR(B45="",'Lighting Inventory'!B54="Retrofit"),"",IF('General Information'!$F$16="Space-by-Space",CONCATENATE('Lighting Inventory'!N54,", ",'Lighting Inventory'!O54," ",'Lighting Inventory'!P54," LPD"," at ",'Lighting Inventory'!Q54,", ",'Lighting Inventory'!R54," kW"),CONCATENATE(B45,", ",'Lighting Inventory'!O54," ",'Lighting Inventory'!P54," LPD"," at ",'Lighting Inventory'!Q54,", ",'Lighting Inventory'!R54," kW")))</f>
        <v/>
      </c>
      <c r="L45" s="26" t="str">
        <f>IF(H45="","",IF('Lighting Inventory'!AK54="","",'Lighting Inventory'!AK54))</f>
        <v/>
      </c>
      <c r="M45" s="26" t="str">
        <f>IF(H45="", "", 'Lighting Inventory'!AL54)</f>
        <v/>
      </c>
      <c r="N45" s="26" t="str">
        <f>IF('Lighting Inventory'!S54="", "", IF('Lighting Inventory'!W54="No Change", 'Lighting Inventory'!I54, 'Lighting Inventory'!S54))</f>
        <v/>
      </c>
      <c r="O45" s="26" t="str">
        <f>IF('Lighting Inventory'!AN54="", "", VLOOKUP('Lighting Inventory'!AN54, 'Lookup Tables'!$B$142:$D$148, 3, FALSE))</f>
        <v/>
      </c>
      <c r="P45" s="66" t="str">
        <f>IF(B45="", "", 'Lighting Inventory'!AX54)</f>
        <v/>
      </c>
      <c r="Q45" s="67" t="str">
        <f>IF(B45="", "", 'Lighting Inventory'!AZ54)</f>
        <v/>
      </c>
      <c r="R45" s="187" t="str">
        <f>IF(OR('Lighting Inventory'!G54="", 'Lighting Inventory'!H54=""), "", 'Lighting Inventory'!BD54)</f>
        <v/>
      </c>
      <c r="S45" s="187" t="str">
        <f>IF(OR('Lighting Inventory'!G54="", 'Lighting Inventory'!H54=""), "",'Lighting Inventory'!BB54)</f>
        <v/>
      </c>
      <c r="T45" s="67" t="str">
        <f>IF(B45="", "", 'Lighting Inventory'!BE54)</f>
        <v/>
      </c>
      <c r="U45" s="67" t="str">
        <f>IF(B45="", "", 'Lighting Inventory'!BF54)</f>
        <v/>
      </c>
      <c r="BM45" s="186" t="str">
        <f t="shared" si="0"/>
        <v>-</v>
      </c>
    </row>
    <row r="46" spans="1:65" x14ac:dyDescent="0.25">
      <c r="A46" s="189">
        <v>45</v>
      </c>
      <c r="B46" s="186" t="str">
        <f>IF('Lighting Inventory'!F55="", "", 'Lighting Inventory'!F55)</f>
        <v/>
      </c>
      <c r="C46" s="26" t="str">
        <f>IF(B46="", "", CONCATENATE("Area: ", 'Lighting Inventory'!D55, ", ", IF('Lighting Inventory'!C55="", "", "Floor: "), 'Lighting Inventory'!C55))</f>
        <v/>
      </c>
      <c r="D46" s="186" t="str">
        <f>IF(B46="", "", IF('Lighting Inventory'!B55="New Construction",CONCATENATE("Cut Sheet ", 250+'Appendix C'!A46), IF(ISNUMBER(SEARCH("cut sheet", 'Lighting Inventory'!J55)), CONCATENATE("Cut Sheet ", 'Lookup Tables'!AX48), 'Lighting Inventory'!J55)))</f>
        <v/>
      </c>
      <c r="E46" s="26" t="str">
        <f>IF(B46="", "", IF('Lighting Inventory'!B55="New Construction", 1, 'Lighting Inventory'!I55))</f>
        <v/>
      </c>
      <c r="F46" s="26" t="str">
        <f>IF(B46="", "", IF('Lighting Inventory'!B55="New Construction", 'Lighting Inventory'!R55*1000, 'Lighting Inventory'!K55))</f>
        <v/>
      </c>
      <c r="G46" s="26" t="str">
        <f>IF(B46="", "", IF('Lighting Inventory'!M55="", "S_LS", VLOOKUP('Lighting Inventory'!M55, 'Lookup Tables'!$B$142:$D$148, 3, FALSE)))</f>
        <v/>
      </c>
      <c r="H46" s="26" t="str">
        <f>IF(OR('Lighting Inventory'!V55="", 'Lighting Inventory'!W55=""), "", IF('Lighting Inventory'!W55="No Change", 'Lighting Inventory'!J55, CONCATENATE("Cut Sheet ", 'Appendix C'!A46)))</f>
        <v/>
      </c>
      <c r="I46" s="26" t="str">
        <f>IF(H46="", "", IF('Lighting Inventory'!AB55="Yes", "Screw-In", "General"))</f>
        <v/>
      </c>
      <c r="J46" s="26" t="str">
        <f>IF(B46="", "", CONCATENATE('Lighting Inventory'!W55, ", ", 'Lighting Inventory'!AL55, " W"))</f>
        <v/>
      </c>
      <c r="K46" s="26" t="str">
        <f>IF(OR(B46="",'Lighting Inventory'!B55="Retrofit"),"",IF('General Information'!$F$16="Space-by-Space",CONCATENATE('Lighting Inventory'!N55,", ",'Lighting Inventory'!O55," ",'Lighting Inventory'!P55," LPD"," at ",'Lighting Inventory'!Q55,", ",'Lighting Inventory'!R55," kW"),CONCATENATE(B46,", ",'Lighting Inventory'!O55," ",'Lighting Inventory'!P55," LPD"," at ",'Lighting Inventory'!Q55,", ",'Lighting Inventory'!R55," kW")))</f>
        <v/>
      </c>
      <c r="L46" s="26" t="str">
        <f>IF(H46="","",IF('Lighting Inventory'!AK55="","",'Lighting Inventory'!AK55))</f>
        <v/>
      </c>
      <c r="M46" s="26" t="str">
        <f>IF(H46="", "", 'Lighting Inventory'!AL55)</f>
        <v/>
      </c>
      <c r="N46" s="26" t="str">
        <f>IF('Lighting Inventory'!S55="", "", IF('Lighting Inventory'!W55="No Change", 'Lighting Inventory'!I55, 'Lighting Inventory'!S55))</f>
        <v/>
      </c>
      <c r="O46" s="26" t="str">
        <f>IF('Lighting Inventory'!AN55="", "", VLOOKUP('Lighting Inventory'!AN55, 'Lookup Tables'!$B$142:$D$148, 3, FALSE))</f>
        <v/>
      </c>
      <c r="P46" s="66" t="str">
        <f>IF(B46="", "", 'Lighting Inventory'!AX55)</f>
        <v/>
      </c>
      <c r="Q46" s="67" t="str">
        <f>IF(B46="", "", 'Lighting Inventory'!AZ55)</f>
        <v/>
      </c>
      <c r="R46" s="187" t="str">
        <f>IF(OR('Lighting Inventory'!G55="", 'Lighting Inventory'!H55=""), "", 'Lighting Inventory'!BD55)</f>
        <v/>
      </c>
      <c r="S46" s="187" t="str">
        <f>IF(OR('Lighting Inventory'!G55="", 'Lighting Inventory'!H55=""), "",'Lighting Inventory'!BB55)</f>
        <v/>
      </c>
      <c r="T46" s="67" t="str">
        <f>IF(B46="", "", 'Lighting Inventory'!BE55)</f>
        <v/>
      </c>
      <c r="U46" s="67" t="str">
        <f>IF(B46="", "", 'Lighting Inventory'!BF55)</f>
        <v/>
      </c>
      <c r="BM46" s="186" t="str">
        <f t="shared" si="0"/>
        <v>-</v>
      </c>
    </row>
    <row r="47" spans="1:65" x14ac:dyDescent="0.25">
      <c r="A47" s="189">
        <v>46</v>
      </c>
      <c r="B47" s="186" t="str">
        <f>IF('Lighting Inventory'!F56="", "", 'Lighting Inventory'!F56)</f>
        <v/>
      </c>
      <c r="C47" s="26" t="str">
        <f>IF(B47="", "", CONCATENATE("Area: ", 'Lighting Inventory'!D56, ", ", IF('Lighting Inventory'!C56="", "", "Floor: "), 'Lighting Inventory'!C56))</f>
        <v/>
      </c>
      <c r="D47" s="186" t="str">
        <f>IF(B47="", "", IF('Lighting Inventory'!B56="New Construction",CONCATENATE("Cut Sheet ", 250+'Appendix C'!A47), IF(ISNUMBER(SEARCH("cut sheet", 'Lighting Inventory'!J56)), CONCATENATE("Cut Sheet ", 'Lookup Tables'!AX49), 'Lighting Inventory'!J56)))</f>
        <v/>
      </c>
      <c r="E47" s="26" t="str">
        <f>IF(B47="", "", IF('Lighting Inventory'!B56="New Construction", 1, 'Lighting Inventory'!I56))</f>
        <v/>
      </c>
      <c r="F47" s="26" t="str">
        <f>IF(B47="", "", IF('Lighting Inventory'!B56="New Construction", 'Lighting Inventory'!R56*1000, 'Lighting Inventory'!K56))</f>
        <v/>
      </c>
      <c r="G47" s="26" t="str">
        <f>IF(B47="", "", IF('Lighting Inventory'!M56="", "S_LS", VLOOKUP('Lighting Inventory'!M56, 'Lookup Tables'!$B$142:$D$148, 3, FALSE)))</f>
        <v/>
      </c>
      <c r="H47" s="26" t="str">
        <f>IF(OR('Lighting Inventory'!V56="", 'Lighting Inventory'!W56=""), "", IF('Lighting Inventory'!W56="No Change", 'Lighting Inventory'!J56, CONCATENATE("Cut Sheet ", 'Appendix C'!A47)))</f>
        <v/>
      </c>
      <c r="I47" s="26" t="str">
        <f>IF(H47="", "", IF('Lighting Inventory'!AB56="Yes", "Screw-In", "General"))</f>
        <v/>
      </c>
      <c r="J47" s="26" t="str">
        <f>IF(B47="", "", CONCATENATE('Lighting Inventory'!W56, ", ", 'Lighting Inventory'!AL56, " W"))</f>
        <v/>
      </c>
      <c r="K47" s="26" t="str">
        <f>IF(OR(B47="",'Lighting Inventory'!B56="Retrofit"),"",IF('General Information'!$F$16="Space-by-Space",CONCATENATE('Lighting Inventory'!N56,", ",'Lighting Inventory'!O56," ",'Lighting Inventory'!P56," LPD"," at ",'Lighting Inventory'!Q56,", ",'Lighting Inventory'!R56," kW"),CONCATENATE(B47,", ",'Lighting Inventory'!O56," ",'Lighting Inventory'!P56," LPD"," at ",'Lighting Inventory'!Q56,", ",'Lighting Inventory'!R56," kW")))</f>
        <v/>
      </c>
      <c r="L47" s="26" t="str">
        <f>IF(H47="","",IF('Lighting Inventory'!AK56="","",'Lighting Inventory'!AK56))</f>
        <v/>
      </c>
      <c r="M47" s="26" t="str">
        <f>IF(H47="", "", 'Lighting Inventory'!AL56)</f>
        <v/>
      </c>
      <c r="N47" s="26" t="str">
        <f>IF('Lighting Inventory'!S56="", "", IF('Lighting Inventory'!W56="No Change", 'Lighting Inventory'!I56, 'Lighting Inventory'!S56))</f>
        <v/>
      </c>
      <c r="O47" s="26" t="str">
        <f>IF('Lighting Inventory'!AN56="", "", VLOOKUP('Lighting Inventory'!AN56, 'Lookup Tables'!$B$142:$D$148, 3, FALSE))</f>
        <v/>
      </c>
      <c r="P47" s="66" t="str">
        <f>IF(B47="", "", 'Lighting Inventory'!AX56)</f>
        <v/>
      </c>
      <c r="Q47" s="67" t="str">
        <f>IF(B47="", "", 'Lighting Inventory'!AZ56)</f>
        <v/>
      </c>
      <c r="R47" s="187" t="str">
        <f>IF(OR('Lighting Inventory'!G56="", 'Lighting Inventory'!H56=""), "", 'Lighting Inventory'!BD56)</f>
        <v/>
      </c>
      <c r="S47" s="187" t="str">
        <f>IF(OR('Lighting Inventory'!G56="", 'Lighting Inventory'!H56=""), "",'Lighting Inventory'!BB56)</f>
        <v/>
      </c>
      <c r="T47" s="67" t="str">
        <f>IF(B47="", "", 'Lighting Inventory'!BE56)</f>
        <v/>
      </c>
      <c r="U47" s="67" t="str">
        <f>IF(B47="", "", 'Lighting Inventory'!BF56)</f>
        <v/>
      </c>
      <c r="BM47" s="186" t="str">
        <f t="shared" si="0"/>
        <v>-</v>
      </c>
    </row>
    <row r="48" spans="1:65" x14ac:dyDescent="0.25">
      <c r="A48" s="189">
        <v>47</v>
      </c>
      <c r="B48" s="186" t="str">
        <f>IF('Lighting Inventory'!F57="", "", 'Lighting Inventory'!F57)</f>
        <v/>
      </c>
      <c r="C48" s="26" t="str">
        <f>IF(B48="", "", CONCATENATE("Area: ", 'Lighting Inventory'!D57, ", ", IF('Lighting Inventory'!C57="", "", "Floor: "), 'Lighting Inventory'!C57))</f>
        <v/>
      </c>
      <c r="D48" s="186" t="str">
        <f>IF(B48="", "", IF('Lighting Inventory'!B57="New Construction",CONCATENATE("Cut Sheet ", 250+'Appendix C'!A48), IF(ISNUMBER(SEARCH("cut sheet", 'Lighting Inventory'!J57)), CONCATENATE("Cut Sheet ", 'Lookup Tables'!AX50), 'Lighting Inventory'!J57)))</f>
        <v/>
      </c>
      <c r="E48" s="26" t="str">
        <f>IF(B48="", "", IF('Lighting Inventory'!B57="New Construction", 1, 'Lighting Inventory'!I57))</f>
        <v/>
      </c>
      <c r="F48" s="26" t="str">
        <f>IF(B48="", "", IF('Lighting Inventory'!B57="New Construction", 'Lighting Inventory'!R57*1000, 'Lighting Inventory'!K57))</f>
        <v/>
      </c>
      <c r="G48" s="26" t="str">
        <f>IF(B48="", "", IF('Lighting Inventory'!M57="", "S_LS", VLOOKUP('Lighting Inventory'!M57, 'Lookup Tables'!$B$142:$D$148, 3, FALSE)))</f>
        <v/>
      </c>
      <c r="H48" s="26" t="str">
        <f>IF(OR('Lighting Inventory'!V57="", 'Lighting Inventory'!W57=""), "", IF('Lighting Inventory'!W57="No Change", 'Lighting Inventory'!J57, CONCATENATE("Cut Sheet ", 'Appendix C'!A48)))</f>
        <v/>
      </c>
      <c r="I48" s="26" t="str">
        <f>IF(H48="", "", IF('Lighting Inventory'!AB57="Yes", "Screw-In", "General"))</f>
        <v/>
      </c>
      <c r="J48" s="26" t="str">
        <f>IF(B48="", "", CONCATENATE('Lighting Inventory'!W57, ", ", 'Lighting Inventory'!AL57, " W"))</f>
        <v/>
      </c>
      <c r="K48" s="26" t="str">
        <f>IF(OR(B48="",'Lighting Inventory'!B57="Retrofit"),"",IF('General Information'!$F$16="Space-by-Space",CONCATENATE('Lighting Inventory'!N57,", ",'Lighting Inventory'!O57," ",'Lighting Inventory'!P57," LPD"," at ",'Lighting Inventory'!Q57,", ",'Lighting Inventory'!R57," kW"),CONCATENATE(B48,", ",'Lighting Inventory'!O57," ",'Lighting Inventory'!P57," LPD"," at ",'Lighting Inventory'!Q57,", ",'Lighting Inventory'!R57," kW")))</f>
        <v/>
      </c>
      <c r="L48" s="26" t="str">
        <f>IF(H48="","",IF('Lighting Inventory'!AK57="","",'Lighting Inventory'!AK57))</f>
        <v/>
      </c>
      <c r="M48" s="26" t="str">
        <f>IF(H48="", "", 'Lighting Inventory'!AL57)</f>
        <v/>
      </c>
      <c r="N48" s="26" t="str">
        <f>IF('Lighting Inventory'!S57="", "", IF('Lighting Inventory'!W57="No Change", 'Lighting Inventory'!I57, 'Lighting Inventory'!S57))</f>
        <v/>
      </c>
      <c r="O48" s="26" t="str">
        <f>IF('Lighting Inventory'!AN57="", "", VLOOKUP('Lighting Inventory'!AN57, 'Lookup Tables'!$B$142:$D$148, 3, FALSE))</f>
        <v/>
      </c>
      <c r="P48" s="66" t="str">
        <f>IF(B48="", "", 'Lighting Inventory'!AX57)</f>
        <v/>
      </c>
      <c r="Q48" s="67" t="str">
        <f>IF(B48="", "", 'Lighting Inventory'!AZ57)</f>
        <v/>
      </c>
      <c r="R48" s="187" t="str">
        <f>IF(OR('Lighting Inventory'!G57="", 'Lighting Inventory'!H57=""), "", 'Lighting Inventory'!BD57)</f>
        <v/>
      </c>
      <c r="S48" s="187" t="str">
        <f>IF(OR('Lighting Inventory'!G57="", 'Lighting Inventory'!H57=""), "",'Lighting Inventory'!BB57)</f>
        <v/>
      </c>
      <c r="T48" s="67" t="str">
        <f>IF(B48="", "", 'Lighting Inventory'!BE57)</f>
        <v/>
      </c>
      <c r="U48" s="67" t="str">
        <f>IF(B48="", "", 'Lighting Inventory'!BF57)</f>
        <v/>
      </c>
      <c r="BM48" s="186" t="str">
        <f t="shared" si="0"/>
        <v>-</v>
      </c>
    </row>
    <row r="49" spans="1:65" x14ac:dyDescent="0.25">
      <c r="A49" s="189">
        <v>48</v>
      </c>
      <c r="B49" s="186" t="str">
        <f>IF('Lighting Inventory'!F58="", "", 'Lighting Inventory'!F58)</f>
        <v/>
      </c>
      <c r="C49" s="26" t="str">
        <f>IF(B49="", "", CONCATENATE("Area: ", 'Lighting Inventory'!D58, ", ", IF('Lighting Inventory'!C58="", "", "Floor: "), 'Lighting Inventory'!C58))</f>
        <v/>
      </c>
      <c r="D49" s="186" t="str">
        <f>IF(B49="", "", IF('Lighting Inventory'!B58="New Construction",CONCATENATE("Cut Sheet ", 250+'Appendix C'!A49), IF(ISNUMBER(SEARCH("cut sheet", 'Lighting Inventory'!J58)), CONCATENATE("Cut Sheet ", 'Lookup Tables'!AX51), 'Lighting Inventory'!J58)))</f>
        <v/>
      </c>
      <c r="E49" s="26" t="str">
        <f>IF(B49="", "", IF('Lighting Inventory'!B58="New Construction", 1, 'Lighting Inventory'!I58))</f>
        <v/>
      </c>
      <c r="F49" s="26" t="str">
        <f>IF(B49="", "", IF('Lighting Inventory'!B58="New Construction", 'Lighting Inventory'!R58*1000, 'Lighting Inventory'!K58))</f>
        <v/>
      </c>
      <c r="G49" s="26" t="str">
        <f>IF(B49="", "", IF('Lighting Inventory'!M58="", "S_LS", VLOOKUP('Lighting Inventory'!M58, 'Lookup Tables'!$B$142:$D$148, 3, FALSE)))</f>
        <v/>
      </c>
      <c r="H49" s="26" t="str">
        <f>IF(OR('Lighting Inventory'!V58="", 'Lighting Inventory'!W58=""), "", IF('Lighting Inventory'!W58="No Change", 'Lighting Inventory'!J58, CONCATENATE("Cut Sheet ", 'Appendix C'!A49)))</f>
        <v/>
      </c>
      <c r="I49" s="26" t="str">
        <f>IF(H49="", "", IF('Lighting Inventory'!AB58="Yes", "Screw-In", "General"))</f>
        <v/>
      </c>
      <c r="J49" s="26" t="str">
        <f>IF(B49="", "", CONCATENATE('Lighting Inventory'!W58, ", ", 'Lighting Inventory'!AL58, " W"))</f>
        <v/>
      </c>
      <c r="K49" s="26" t="str">
        <f>IF(OR(B49="",'Lighting Inventory'!B58="Retrofit"),"",IF('General Information'!$F$16="Space-by-Space",CONCATENATE('Lighting Inventory'!N58,", ",'Lighting Inventory'!O58," ",'Lighting Inventory'!P58," LPD"," at ",'Lighting Inventory'!Q58,", ",'Lighting Inventory'!R58," kW"),CONCATENATE(B49,", ",'Lighting Inventory'!O58," ",'Lighting Inventory'!P58," LPD"," at ",'Lighting Inventory'!Q58,", ",'Lighting Inventory'!R58," kW")))</f>
        <v/>
      </c>
      <c r="L49" s="26" t="str">
        <f>IF(H49="","",IF('Lighting Inventory'!AK58="","",'Lighting Inventory'!AK58))</f>
        <v/>
      </c>
      <c r="M49" s="26" t="str">
        <f>IF(H49="", "", 'Lighting Inventory'!AL58)</f>
        <v/>
      </c>
      <c r="N49" s="26" t="str">
        <f>IF('Lighting Inventory'!S58="", "", IF('Lighting Inventory'!W58="No Change", 'Lighting Inventory'!I58, 'Lighting Inventory'!S58))</f>
        <v/>
      </c>
      <c r="O49" s="26" t="str">
        <f>IF('Lighting Inventory'!AN58="", "", VLOOKUP('Lighting Inventory'!AN58, 'Lookup Tables'!$B$142:$D$148, 3, FALSE))</f>
        <v/>
      </c>
      <c r="P49" s="66" t="str">
        <f>IF(B49="", "", 'Lighting Inventory'!AX58)</f>
        <v/>
      </c>
      <c r="Q49" s="67" t="str">
        <f>IF(B49="", "", 'Lighting Inventory'!AZ58)</f>
        <v/>
      </c>
      <c r="R49" s="187" t="str">
        <f>IF(OR('Lighting Inventory'!G58="", 'Lighting Inventory'!H58=""), "", 'Lighting Inventory'!BD58)</f>
        <v/>
      </c>
      <c r="S49" s="187" t="str">
        <f>IF(OR('Lighting Inventory'!G58="", 'Lighting Inventory'!H58=""), "",'Lighting Inventory'!BB58)</f>
        <v/>
      </c>
      <c r="T49" s="67" t="str">
        <f>IF(B49="", "", 'Lighting Inventory'!BE58)</f>
        <v/>
      </c>
      <c r="U49" s="67" t="str">
        <f>IF(B49="", "", 'Lighting Inventory'!BF58)</f>
        <v/>
      </c>
      <c r="BM49" s="186" t="str">
        <f t="shared" si="0"/>
        <v>-</v>
      </c>
    </row>
    <row r="50" spans="1:65" x14ac:dyDescent="0.25">
      <c r="A50" s="189">
        <v>49</v>
      </c>
      <c r="B50" s="186" t="str">
        <f>IF('Lighting Inventory'!F59="", "", 'Lighting Inventory'!F59)</f>
        <v/>
      </c>
      <c r="C50" s="26" t="str">
        <f>IF(B50="", "", CONCATENATE("Area: ", 'Lighting Inventory'!D59, ", ", IF('Lighting Inventory'!C59="", "", "Floor: "), 'Lighting Inventory'!C59))</f>
        <v/>
      </c>
      <c r="D50" s="186" t="str">
        <f>IF(B50="", "", IF('Lighting Inventory'!B59="New Construction",CONCATENATE("Cut Sheet ", 250+'Appendix C'!A50), IF(ISNUMBER(SEARCH("cut sheet", 'Lighting Inventory'!J59)), CONCATENATE("Cut Sheet ", 'Lookup Tables'!AX52), 'Lighting Inventory'!J59)))</f>
        <v/>
      </c>
      <c r="E50" s="26" t="str">
        <f>IF(B50="", "", IF('Lighting Inventory'!B59="New Construction", 1, 'Lighting Inventory'!I59))</f>
        <v/>
      </c>
      <c r="F50" s="26" t="str">
        <f>IF(B50="", "", IF('Lighting Inventory'!B59="New Construction", 'Lighting Inventory'!R59*1000, 'Lighting Inventory'!K59))</f>
        <v/>
      </c>
      <c r="G50" s="26" t="str">
        <f>IF(B50="", "", IF('Lighting Inventory'!M59="", "S_LS", VLOOKUP('Lighting Inventory'!M59, 'Lookup Tables'!$B$142:$D$148, 3, FALSE)))</f>
        <v/>
      </c>
      <c r="H50" s="26" t="str">
        <f>IF(OR('Lighting Inventory'!V59="", 'Lighting Inventory'!W59=""), "", IF('Lighting Inventory'!W59="No Change", 'Lighting Inventory'!J59, CONCATENATE("Cut Sheet ", 'Appendix C'!A50)))</f>
        <v/>
      </c>
      <c r="I50" s="26" t="str">
        <f>IF(H50="", "", IF('Lighting Inventory'!AB59="Yes", "Screw-In", "General"))</f>
        <v/>
      </c>
      <c r="J50" s="26" t="str">
        <f>IF(B50="", "", CONCATENATE('Lighting Inventory'!W59, ", ", 'Lighting Inventory'!AL59, " W"))</f>
        <v/>
      </c>
      <c r="K50" s="26" t="str">
        <f>IF(OR(B50="",'Lighting Inventory'!B59="Retrofit"),"",IF('General Information'!$F$16="Space-by-Space",CONCATENATE('Lighting Inventory'!N59,", ",'Lighting Inventory'!O59," ",'Lighting Inventory'!P59," LPD"," at ",'Lighting Inventory'!Q59,", ",'Lighting Inventory'!R59," kW"),CONCATENATE(B50,", ",'Lighting Inventory'!O59," ",'Lighting Inventory'!P59," LPD"," at ",'Lighting Inventory'!Q59,", ",'Lighting Inventory'!R59," kW")))</f>
        <v/>
      </c>
      <c r="L50" s="26" t="str">
        <f>IF(H50="","",IF('Lighting Inventory'!AK59="","",'Lighting Inventory'!AK59))</f>
        <v/>
      </c>
      <c r="M50" s="26" t="str">
        <f>IF(H50="", "", 'Lighting Inventory'!AL59)</f>
        <v/>
      </c>
      <c r="N50" s="26" t="str">
        <f>IF('Lighting Inventory'!S59="", "", IF('Lighting Inventory'!W59="No Change", 'Lighting Inventory'!I59, 'Lighting Inventory'!S59))</f>
        <v/>
      </c>
      <c r="O50" s="26" t="str">
        <f>IF('Lighting Inventory'!AN59="", "", VLOOKUP('Lighting Inventory'!AN59, 'Lookup Tables'!$B$142:$D$148, 3, FALSE))</f>
        <v/>
      </c>
      <c r="P50" s="66" t="str">
        <f>IF(B50="", "", 'Lighting Inventory'!AX59)</f>
        <v/>
      </c>
      <c r="Q50" s="67" t="str">
        <f>IF(B50="", "", 'Lighting Inventory'!AZ59)</f>
        <v/>
      </c>
      <c r="R50" s="187" t="str">
        <f>IF(OR('Lighting Inventory'!G59="", 'Lighting Inventory'!H59=""), "", 'Lighting Inventory'!BD59)</f>
        <v/>
      </c>
      <c r="S50" s="187" t="str">
        <f>IF(OR('Lighting Inventory'!G59="", 'Lighting Inventory'!H59=""), "",'Lighting Inventory'!BB59)</f>
        <v/>
      </c>
      <c r="T50" s="67" t="str">
        <f>IF(B50="", "", 'Lighting Inventory'!BE59)</f>
        <v/>
      </c>
      <c r="U50" s="67" t="str">
        <f>IF(B50="", "", 'Lighting Inventory'!BF59)</f>
        <v/>
      </c>
      <c r="BM50" s="186" t="str">
        <f t="shared" si="0"/>
        <v>-</v>
      </c>
    </row>
    <row r="51" spans="1:65" x14ac:dyDescent="0.25">
      <c r="A51" s="189">
        <v>50</v>
      </c>
      <c r="B51" s="186" t="str">
        <f>IF('Lighting Inventory'!F60="", "", 'Lighting Inventory'!F60)</f>
        <v/>
      </c>
      <c r="C51" s="26" t="str">
        <f>IF(B51="", "", CONCATENATE("Area: ", 'Lighting Inventory'!D60, ", ", IF('Lighting Inventory'!C60="", "", "Floor: "), 'Lighting Inventory'!C60))</f>
        <v/>
      </c>
      <c r="D51" s="186" t="str">
        <f>IF(B51="", "", IF('Lighting Inventory'!B60="New Construction",CONCATENATE("Cut Sheet ", 250+'Appendix C'!A51), IF(ISNUMBER(SEARCH("cut sheet", 'Lighting Inventory'!J60)), CONCATENATE("Cut Sheet ", 'Lookup Tables'!AX53), 'Lighting Inventory'!J60)))</f>
        <v/>
      </c>
      <c r="E51" s="26" t="str">
        <f>IF(B51="", "", IF('Lighting Inventory'!B60="New Construction", 1, 'Lighting Inventory'!I60))</f>
        <v/>
      </c>
      <c r="F51" s="26" t="str">
        <f>IF(B51="", "", IF('Lighting Inventory'!B60="New Construction", 'Lighting Inventory'!R60*1000, 'Lighting Inventory'!K60))</f>
        <v/>
      </c>
      <c r="G51" s="26" t="str">
        <f>IF(B51="", "", IF('Lighting Inventory'!M60="", "S_LS", VLOOKUP('Lighting Inventory'!M60, 'Lookup Tables'!$B$142:$D$148, 3, FALSE)))</f>
        <v/>
      </c>
      <c r="H51" s="26" t="str">
        <f>IF(OR('Lighting Inventory'!V60="", 'Lighting Inventory'!W60=""), "", IF('Lighting Inventory'!W60="No Change", 'Lighting Inventory'!J60, CONCATENATE("Cut Sheet ", 'Appendix C'!A51)))</f>
        <v/>
      </c>
      <c r="I51" s="26" t="str">
        <f>IF(H51="", "", IF('Lighting Inventory'!AB60="Yes", "Screw-In", "General"))</f>
        <v/>
      </c>
      <c r="J51" s="26" t="str">
        <f>IF(B51="", "", CONCATENATE('Lighting Inventory'!W60, ", ", 'Lighting Inventory'!AL60, " W"))</f>
        <v/>
      </c>
      <c r="K51" s="26" t="str">
        <f>IF(OR(B51="",'Lighting Inventory'!B60="Retrofit"),"",IF('General Information'!$F$16="Space-by-Space",CONCATENATE('Lighting Inventory'!N60,", ",'Lighting Inventory'!O60," ",'Lighting Inventory'!P60," LPD"," at ",'Lighting Inventory'!Q60,", ",'Lighting Inventory'!R60," kW"),CONCATENATE(B51,", ",'Lighting Inventory'!O60," ",'Lighting Inventory'!P60," LPD"," at ",'Lighting Inventory'!Q60,", ",'Lighting Inventory'!R60," kW")))</f>
        <v/>
      </c>
      <c r="L51" s="26" t="str">
        <f>IF(H51="","",IF('Lighting Inventory'!AK60="","",'Lighting Inventory'!AK60))</f>
        <v/>
      </c>
      <c r="M51" s="26" t="str">
        <f>IF(H51="", "", 'Lighting Inventory'!AL60)</f>
        <v/>
      </c>
      <c r="N51" s="26" t="str">
        <f>IF('Lighting Inventory'!S60="", "", IF('Lighting Inventory'!W60="No Change", 'Lighting Inventory'!I60, 'Lighting Inventory'!S60))</f>
        <v/>
      </c>
      <c r="O51" s="26" t="str">
        <f>IF('Lighting Inventory'!AN60="", "", VLOOKUP('Lighting Inventory'!AN60, 'Lookup Tables'!$B$142:$D$148, 3, FALSE))</f>
        <v/>
      </c>
      <c r="P51" s="66" t="str">
        <f>IF(B51="", "", 'Lighting Inventory'!AX60)</f>
        <v/>
      </c>
      <c r="Q51" s="67" t="str">
        <f>IF(B51="", "", 'Lighting Inventory'!AZ60)</f>
        <v/>
      </c>
      <c r="R51" s="187" t="str">
        <f>IF(OR('Lighting Inventory'!G60="", 'Lighting Inventory'!H60=""), "", 'Lighting Inventory'!BD60)</f>
        <v/>
      </c>
      <c r="S51" s="187" t="str">
        <f>IF(OR('Lighting Inventory'!G60="", 'Lighting Inventory'!H60=""), "",'Lighting Inventory'!BB60)</f>
        <v/>
      </c>
      <c r="T51" s="67" t="str">
        <f>IF(B51="", "", 'Lighting Inventory'!BE60)</f>
        <v/>
      </c>
      <c r="U51" s="67" t="str">
        <f>IF(B51="", "", 'Lighting Inventory'!BF60)</f>
        <v/>
      </c>
      <c r="BM51" s="186" t="str">
        <f t="shared" si="0"/>
        <v>-</v>
      </c>
    </row>
    <row r="52" spans="1:65" x14ac:dyDescent="0.25">
      <c r="A52" s="189">
        <v>51</v>
      </c>
      <c r="B52" s="186" t="str">
        <f>IF('Lighting Inventory'!F61="", "", 'Lighting Inventory'!F61)</f>
        <v/>
      </c>
      <c r="C52" s="26" t="str">
        <f>IF(B52="", "", CONCATENATE("Area: ", 'Lighting Inventory'!D61, ", ", IF('Lighting Inventory'!C61="", "", "Floor: "), 'Lighting Inventory'!C61))</f>
        <v/>
      </c>
      <c r="D52" s="186" t="str">
        <f>IF(B52="", "", IF('Lighting Inventory'!B61="New Construction",CONCATENATE("Cut Sheet ", 250+'Appendix C'!A52), IF(ISNUMBER(SEARCH("cut sheet", 'Lighting Inventory'!J61)), CONCATENATE("Cut Sheet ", 'Lookup Tables'!AX54), 'Lighting Inventory'!J61)))</f>
        <v/>
      </c>
      <c r="E52" s="26" t="str">
        <f>IF(B52="", "", IF('Lighting Inventory'!B61="New Construction", 1, 'Lighting Inventory'!I61))</f>
        <v/>
      </c>
      <c r="F52" s="26" t="str">
        <f>IF(B52="", "", IF('Lighting Inventory'!B61="New Construction", 'Lighting Inventory'!R61*1000, 'Lighting Inventory'!K61))</f>
        <v/>
      </c>
      <c r="G52" s="26" t="str">
        <f>IF(B52="", "", IF('Lighting Inventory'!M61="", "S_LS", VLOOKUP('Lighting Inventory'!M61, 'Lookup Tables'!$B$142:$D$148, 3, FALSE)))</f>
        <v/>
      </c>
      <c r="H52" s="26" t="str">
        <f>IF(OR('Lighting Inventory'!V61="", 'Lighting Inventory'!W61=""), "", IF('Lighting Inventory'!W61="No Change", 'Lighting Inventory'!J61, CONCATENATE("Cut Sheet ", 'Appendix C'!A52)))</f>
        <v/>
      </c>
      <c r="I52" s="26" t="str">
        <f>IF(H52="", "", IF('Lighting Inventory'!AB61="Yes", "Screw-In", "General"))</f>
        <v/>
      </c>
      <c r="J52" s="26" t="str">
        <f>IF(B52="", "", CONCATENATE('Lighting Inventory'!W61, ", ", 'Lighting Inventory'!AL61, " W"))</f>
        <v/>
      </c>
      <c r="K52" s="26" t="str">
        <f>IF(OR(B52="",'Lighting Inventory'!B61="Retrofit"),"",IF('General Information'!$F$16="Space-by-Space",CONCATENATE('Lighting Inventory'!N61,", ",'Lighting Inventory'!O61," ",'Lighting Inventory'!P61," LPD"," at ",'Lighting Inventory'!Q61,", ",'Lighting Inventory'!R61," kW"),CONCATENATE(B52,", ",'Lighting Inventory'!O61," ",'Lighting Inventory'!P61," LPD"," at ",'Lighting Inventory'!Q61,", ",'Lighting Inventory'!R61," kW")))</f>
        <v/>
      </c>
      <c r="L52" s="26" t="str">
        <f>IF(H52="","",IF('Lighting Inventory'!AK61="","",'Lighting Inventory'!AK61))</f>
        <v/>
      </c>
      <c r="M52" s="26" t="str">
        <f>IF(H52="", "", 'Lighting Inventory'!AL61)</f>
        <v/>
      </c>
      <c r="N52" s="26" t="str">
        <f>IF('Lighting Inventory'!S61="", "", IF('Lighting Inventory'!W61="No Change", 'Lighting Inventory'!I61, 'Lighting Inventory'!S61))</f>
        <v/>
      </c>
      <c r="O52" s="26" t="str">
        <f>IF('Lighting Inventory'!AN61="", "", VLOOKUP('Lighting Inventory'!AN61, 'Lookup Tables'!$B$142:$D$148, 3, FALSE))</f>
        <v/>
      </c>
      <c r="P52" s="66" t="str">
        <f>IF(B52="", "", 'Lighting Inventory'!AX61)</f>
        <v/>
      </c>
      <c r="Q52" s="67" t="str">
        <f>IF(B52="", "", 'Lighting Inventory'!AZ61)</f>
        <v/>
      </c>
      <c r="R52" s="187" t="str">
        <f>IF(OR('Lighting Inventory'!G61="", 'Lighting Inventory'!H61=""), "", 'Lighting Inventory'!BD61)</f>
        <v/>
      </c>
      <c r="S52" s="187" t="str">
        <f>IF(OR('Lighting Inventory'!G61="", 'Lighting Inventory'!H61=""), "",'Lighting Inventory'!BB61)</f>
        <v/>
      </c>
      <c r="T52" s="67" t="str">
        <f>IF(B52="", "", 'Lighting Inventory'!BE61)</f>
        <v/>
      </c>
      <c r="U52" s="67" t="str">
        <f>IF(B52="", "", 'Lighting Inventory'!BF61)</f>
        <v/>
      </c>
      <c r="BM52" s="186" t="str">
        <f t="shared" si="0"/>
        <v>-</v>
      </c>
    </row>
    <row r="53" spans="1:65" x14ac:dyDescent="0.25">
      <c r="A53" s="189">
        <v>52</v>
      </c>
      <c r="B53" s="186" t="str">
        <f>IF('Lighting Inventory'!F62="", "", 'Lighting Inventory'!F62)</f>
        <v/>
      </c>
      <c r="C53" s="26" t="str">
        <f>IF(B53="", "", CONCATENATE("Area: ", 'Lighting Inventory'!D62, ", ", IF('Lighting Inventory'!C62="", "", "Floor: "), 'Lighting Inventory'!C62))</f>
        <v/>
      </c>
      <c r="D53" s="186" t="str">
        <f>IF(B53="", "", IF('Lighting Inventory'!B62="New Construction",CONCATENATE("Cut Sheet ", 250+'Appendix C'!A53), IF(ISNUMBER(SEARCH("cut sheet", 'Lighting Inventory'!J62)), CONCATENATE("Cut Sheet ", 'Lookup Tables'!AX55), 'Lighting Inventory'!J62)))</f>
        <v/>
      </c>
      <c r="E53" s="26" t="str">
        <f>IF(B53="", "", IF('Lighting Inventory'!B62="New Construction", 1, 'Lighting Inventory'!I62))</f>
        <v/>
      </c>
      <c r="F53" s="26" t="str">
        <f>IF(B53="", "", IF('Lighting Inventory'!B62="New Construction", 'Lighting Inventory'!R62*1000, 'Lighting Inventory'!K62))</f>
        <v/>
      </c>
      <c r="G53" s="26" t="str">
        <f>IF(B53="", "", IF('Lighting Inventory'!M62="", "S_LS", VLOOKUP('Lighting Inventory'!M62, 'Lookup Tables'!$B$142:$D$148, 3, FALSE)))</f>
        <v/>
      </c>
      <c r="H53" s="26" t="str">
        <f>IF(OR('Lighting Inventory'!V62="", 'Lighting Inventory'!W62=""), "", IF('Lighting Inventory'!W62="No Change", 'Lighting Inventory'!J62, CONCATENATE("Cut Sheet ", 'Appendix C'!A53)))</f>
        <v/>
      </c>
      <c r="I53" s="26" t="str">
        <f>IF(H53="", "", IF('Lighting Inventory'!AB62="Yes", "Screw-In", "General"))</f>
        <v/>
      </c>
      <c r="J53" s="26" t="str">
        <f>IF(B53="", "", CONCATENATE('Lighting Inventory'!W62, ", ", 'Lighting Inventory'!AL62, " W"))</f>
        <v/>
      </c>
      <c r="K53" s="26" t="str">
        <f>IF(OR(B53="",'Lighting Inventory'!B62="Retrofit"),"",IF('General Information'!$F$16="Space-by-Space",CONCATENATE('Lighting Inventory'!N62,", ",'Lighting Inventory'!O62," ",'Lighting Inventory'!P62," LPD"," at ",'Lighting Inventory'!Q62,", ",'Lighting Inventory'!R62," kW"),CONCATENATE(B53,", ",'Lighting Inventory'!O62," ",'Lighting Inventory'!P62," LPD"," at ",'Lighting Inventory'!Q62,", ",'Lighting Inventory'!R62," kW")))</f>
        <v/>
      </c>
      <c r="L53" s="26" t="str">
        <f>IF(H53="","",IF('Lighting Inventory'!AK62="","",'Lighting Inventory'!AK62))</f>
        <v/>
      </c>
      <c r="M53" s="26" t="str">
        <f>IF(H53="", "", 'Lighting Inventory'!AL62)</f>
        <v/>
      </c>
      <c r="N53" s="26" t="str">
        <f>IF('Lighting Inventory'!S62="", "", IF('Lighting Inventory'!W62="No Change", 'Lighting Inventory'!I62, 'Lighting Inventory'!S62))</f>
        <v/>
      </c>
      <c r="O53" s="26" t="str">
        <f>IF('Lighting Inventory'!AN62="", "", VLOOKUP('Lighting Inventory'!AN62, 'Lookup Tables'!$B$142:$D$148, 3, FALSE))</f>
        <v/>
      </c>
      <c r="P53" s="66" t="str">
        <f>IF(B53="", "", 'Lighting Inventory'!AX62)</f>
        <v/>
      </c>
      <c r="Q53" s="67" t="str">
        <f>IF(B53="", "", 'Lighting Inventory'!AZ62)</f>
        <v/>
      </c>
      <c r="R53" s="187" t="str">
        <f>IF(OR('Lighting Inventory'!G62="", 'Lighting Inventory'!H62=""), "", 'Lighting Inventory'!BD62)</f>
        <v/>
      </c>
      <c r="S53" s="187" t="str">
        <f>IF(OR('Lighting Inventory'!G62="", 'Lighting Inventory'!H62=""), "",'Lighting Inventory'!BB62)</f>
        <v/>
      </c>
      <c r="T53" s="67" t="str">
        <f>IF(B53="", "", 'Lighting Inventory'!BE62)</f>
        <v/>
      </c>
      <c r="U53" s="67" t="str">
        <f>IF(B53="", "", 'Lighting Inventory'!BF62)</f>
        <v/>
      </c>
      <c r="BM53" s="186" t="str">
        <f t="shared" si="0"/>
        <v>-</v>
      </c>
    </row>
    <row r="54" spans="1:65" x14ac:dyDescent="0.25">
      <c r="A54" s="189">
        <v>53</v>
      </c>
      <c r="B54" s="186" t="str">
        <f>IF('Lighting Inventory'!F63="", "", 'Lighting Inventory'!F63)</f>
        <v/>
      </c>
      <c r="C54" s="26" t="str">
        <f>IF(B54="", "", CONCATENATE("Area: ", 'Lighting Inventory'!D63, ", ", IF('Lighting Inventory'!C63="", "", "Floor: "), 'Lighting Inventory'!C63))</f>
        <v/>
      </c>
      <c r="D54" s="186" t="str">
        <f>IF(B54="", "", IF('Lighting Inventory'!B63="New Construction",CONCATENATE("Cut Sheet ", 250+'Appendix C'!A54), IF(ISNUMBER(SEARCH("cut sheet", 'Lighting Inventory'!J63)), CONCATENATE("Cut Sheet ", 'Lookup Tables'!AX56), 'Lighting Inventory'!J63)))</f>
        <v/>
      </c>
      <c r="E54" s="26" t="str">
        <f>IF(B54="", "", IF('Lighting Inventory'!B63="New Construction", 1, 'Lighting Inventory'!I63))</f>
        <v/>
      </c>
      <c r="F54" s="26" t="str">
        <f>IF(B54="", "", IF('Lighting Inventory'!B63="New Construction", 'Lighting Inventory'!R63*1000, 'Lighting Inventory'!K63))</f>
        <v/>
      </c>
      <c r="G54" s="26" t="str">
        <f>IF(B54="", "", IF('Lighting Inventory'!M63="", "S_LS", VLOOKUP('Lighting Inventory'!M63, 'Lookup Tables'!$B$142:$D$148, 3, FALSE)))</f>
        <v/>
      </c>
      <c r="H54" s="26" t="str">
        <f>IF(OR('Lighting Inventory'!V63="", 'Lighting Inventory'!W63=""), "", IF('Lighting Inventory'!W63="No Change", 'Lighting Inventory'!J63, CONCATENATE("Cut Sheet ", 'Appendix C'!A54)))</f>
        <v/>
      </c>
      <c r="I54" s="26" t="str">
        <f>IF(H54="", "", IF('Lighting Inventory'!AB63="Yes", "Screw-In", "General"))</f>
        <v/>
      </c>
      <c r="J54" s="26" t="str">
        <f>IF(B54="", "", CONCATENATE('Lighting Inventory'!W63, ", ", 'Lighting Inventory'!AL63, " W"))</f>
        <v/>
      </c>
      <c r="K54" s="26" t="str">
        <f>IF(OR(B54="",'Lighting Inventory'!B63="Retrofit"),"",IF('General Information'!$F$16="Space-by-Space",CONCATENATE('Lighting Inventory'!N63,", ",'Lighting Inventory'!O63," ",'Lighting Inventory'!P63," LPD"," at ",'Lighting Inventory'!Q63,", ",'Lighting Inventory'!R63," kW"),CONCATENATE(B54,", ",'Lighting Inventory'!O63," ",'Lighting Inventory'!P63," LPD"," at ",'Lighting Inventory'!Q63,", ",'Lighting Inventory'!R63," kW")))</f>
        <v/>
      </c>
      <c r="L54" s="26" t="str">
        <f>IF(H54="","",IF('Lighting Inventory'!AK63="","",'Lighting Inventory'!AK63))</f>
        <v/>
      </c>
      <c r="M54" s="26" t="str">
        <f>IF(H54="", "", 'Lighting Inventory'!AL63)</f>
        <v/>
      </c>
      <c r="N54" s="26" t="str">
        <f>IF('Lighting Inventory'!S63="", "", IF('Lighting Inventory'!W63="No Change", 'Lighting Inventory'!I63, 'Lighting Inventory'!S63))</f>
        <v/>
      </c>
      <c r="O54" s="26" t="str">
        <f>IF('Lighting Inventory'!AN63="", "", VLOOKUP('Lighting Inventory'!AN63, 'Lookup Tables'!$B$142:$D$148, 3, FALSE))</f>
        <v/>
      </c>
      <c r="P54" s="66" t="str">
        <f>IF(B54="", "", 'Lighting Inventory'!AX63)</f>
        <v/>
      </c>
      <c r="Q54" s="67" t="str">
        <f>IF(B54="", "", 'Lighting Inventory'!AZ63)</f>
        <v/>
      </c>
      <c r="R54" s="187" t="str">
        <f>IF(OR('Lighting Inventory'!G63="", 'Lighting Inventory'!H63=""), "", 'Lighting Inventory'!BD63)</f>
        <v/>
      </c>
      <c r="S54" s="187" t="str">
        <f>IF(OR('Lighting Inventory'!G63="", 'Lighting Inventory'!H63=""), "",'Lighting Inventory'!BB63)</f>
        <v/>
      </c>
      <c r="T54" s="67" t="str">
        <f>IF(B54="", "", 'Lighting Inventory'!BE63)</f>
        <v/>
      </c>
      <c r="U54" s="67" t="str">
        <f>IF(B54="", "", 'Lighting Inventory'!BF63)</f>
        <v/>
      </c>
      <c r="BM54" s="186" t="str">
        <f t="shared" si="0"/>
        <v>-</v>
      </c>
    </row>
    <row r="55" spans="1:65" x14ac:dyDescent="0.25">
      <c r="A55" s="189">
        <v>54</v>
      </c>
      <c r="B55" s="186" t="str">
        <f>IF('Lighting Inventory'!F64="", "", 'Lighting Inventory'!F64)</f>
        <v/>
      </c>
      <c r="C55" s="26" t="str">
        <f>IF(B55="", "", CONCATENATE("Area: ", 'Lighting Inventory'!D64, ", ", IF('Lighting Inventory'!C64="", "", "Floor: "), 'Lighting Inventory'!C64))</f>
        <v/>
      </c>
      <c r="D55" s="186" t="str">
        <f>IF(B55="", "", IF('Lighting Inventory'!B64="New Construction",CONCATENATE("Cut Sheet ", 250+'Appendix C'!A55), IF(ISNUMBER(SEARCH("cut sheet", 'Lighting Inventory'!J64)), CONCATENATE("Cut Sheet ", 'Lookup Tables'!AX57), 'Lighting Inventory'!J64)))</f>
        <v/>
      </c>
      <c r="E55" s="26" t="str">
        <f>IF(B55="", "", IF('Lighting Inventory'!B64="New Construction", 1, 'Lighting Inventory'!I64))</f>
        <v/>
      </c>
      <c r="F55" s="26" t="str">
        <f>IF(B55="", "", IF('Lighting Inventory'!B64="New Construction", 'Lighting Inventory'!R64*1000, 'Lighting Inventory'!K64))</f>
        <v/>
      </c>
      <c r="G55" s="26" t="str">
        <f>IF(B55="", "", IF('Lighting Inventory'!M64="", "S_LS", VLOOKUP('Lighting Inventory'!M64, 'Lookup Tables'!$B$142:$D$148, 3, FALSE)))</f>
        <v/>
      </c>
      <c r="H55" s="26" t="str">
        <f>IF(OR('Lighting Inventory'!V64="", 'Lighting Inventory'!W64=""), "", IF('Lighting Inventory'!W64="No Change", 'Lighting Inventory'!J64, CONCATENATE("Cut Sheet ", 'Appendix C'!A55)))</f>
        <v/>
      </c>
      <c r="I55" s="26" t="str">
        <f>IF(H55="", "", IF('Lighting Inventory'!AB64="Yes", "Screw-In", "General"))</f>
        <v/>
      </c>
      <c r="J55" s="26" t="str">
        <f>IF(B55="", "", CONCATENATE('Lighting Inventory'!W64, ", ", 'Lighting Inventory'!AL64, " W"))</f>
        <v/>
      </c>
      <c r="K55" s="26" t="str">
        <f>IF(OR(B55="",'Lighting Inventory'!B64="Retrofit"),"",IF('General Information'!$F$16="Space-by-Space",CONCATENATE('Lighting Inventory'!N64,", ",'Lighting Inventory'!O64," ",'Lighting Inventory'!P64," LPD"," at ",'Lighting Inventory'!Q64,", ",'Lighting Inventory'!R64," kW"),CONCATENATE(B55,", ",'Lighting Inventory'!O64," ",'Lighting Inventory'!P64," LPD"," at ",'Lighting Inventory'!Q64,", ",'Lighting Inventory'!R64," kW")))</f>
        <v/>
      </c>
      <c r="L55" s="26" t="str">
        <f>IF(H55="","",IF('Lighting Inventory'!AK64="","",'Lighting Inventory'!AK64))</f>
        <v/>
      </c>
      <c r="M55" s="26" t="str">
        <f>IF(H55="", "", 'Lighting Inventory'!AL64)</f>
        <v/>
      </c>
      <c r="N55" s="26" t="str">
        <f>IF('Lighting Inventory'!S64="", "", IF('Lighting Inventory'!W64="No Change", 'Lighting Inventory'!I64, 'Lighting Inventory'!S64))</f>
        <v/>
      </c>
      <c r="O55" s="26" t="str">
        <f>IF('Lighting Inventory'!AN64="", "", VLOOKUP('Lighting Inventory'!AN64, 'Lookup Tables'!$B$142:$D$148, 3, FALSE))</f>
        <v/>
      </c>
      <c r="P55" s="66" t="str">
        <f>IF(B55="", "", 'Lighting Inventory'!AX64)</f>
        <v/>
      </c>
      <c r="Q55" s="67" t="str">
        <f>IF(B55="", "", 'Lighting Inventory'!AZ64)</f>
        <v/>
      </c>
      <c r="R55" s="187" t="str">
        <f>IF(OR('Lighting Inventory'!G64="", 'Lighting Inventory'!H64=""), "", 'Lighting Inventory'!BD64)</f>
        <v/>
      </c>
      <c r="S55" s="187" t="str">
        <f>IF(OR('Lighting Inventory'!G64="", 'Lighting Inventory'!H64=""), "",'Lighting Inventory'!BB64)</f>
        <v/>
      </c>
      <c r="T55" s="67" t="str">
        <f>IF(B55="", "", 'Lighting Inventory'!BE64)</f>
        <v/>
      </c>
      <c r="U55" s="67" t="str">
        <f>IF(B55="", "", 'Lighting Inventory'!BF64)</f>
        <v/>
      </c>
      <c r="BM55" s="186" t="str">
        <f t="shared" si="0"/>
        <v>-</v>
      </c>
    </row>
    <row r="56" spans="1:65" x14ac:dyDescent="0.25">
      <c r="A56" s="189">
        <v>55</v>
      </c>
      <c r="B56" s="186" t="str">
        <f>IF('Lighting Inventory'!F65="", "", 'Lighting Inventory'!F65)</f>
        <v/>
      </c>
      <c r="C56" s="26" t="str">
        <f>IF(B56="", "", CONCATENATE("Area: ", 'Lighting Inventory'!D65, ", ", IF('Lighting Inventory'!C65="", "", "Floor: "), 'Lighting Inventory'!C65))</f>
        <v/>
      </c>
      <c r="D56" s="186" t="str">
        <f>IF(B56="", "", IF('Lighting Inventory'!B65="New Construction",CONCATENATE("Cut Sheet ", 250+'Appendix C'!A56), IF(ISNUMBER(SEARCH("cut sheet", 'Lighting Inventory'!J65)), CONCATENATE("Cut Sheet ", 'Lookup Tables'!AX58), 'Lighting Inventory'!J65)))</f>
        <v/>
      </c>
      <c r="E56" s="26" t="str">
        <f>IF(B56="", "", IF('Lighting Inventory'!B65="New Construction", 1, 'Lighting Inventory'!I65))</f>
        <v/>
      </c>
      <c r="F56" s="26" t="str">
        <f>IF(B56="", "", IF('Lighting Inventory'!B65="New Construction", 'Lighting Inventory'!R65*1000, 'Lighting Inventory'!K65))</f>
        <v/>
      </c>
      <c r="G56" s="26" t="str">
        <f>IF(B56="", "", IF('Lighting Inventory'!M65="", "S_LS", VLOOKUP('Lighting Inventory'!M65, 'Lookup Tables'!$B$142:$D$148, 3, FALSE)))</f>
        <v/>
      </c>
      <c r="H56" s="26" t="str">
        <f>IF(OR('Lighting Inventory'!V65="", 'Lighting Inventory'!W65=""), "", IF('Lighting Inventory'!W65="No Change", 'Lighting Inventory'!J65, CONCATENATE("Cut Sheet ", 'Appendix C'!A56)))</f>
        <v/>
      </c>
      <c r="I56" s="26" t="str">
        <f>IF(H56="", "", IF('Lighting Inventory'!AB65="Yes", "Screw-In", "General"))</f>
        <v/>
      </c>
      <c r="J56" s="26" t="str">
        <f>IF(B56="", "", CONCATENATE('Lighting Inventory'!W65, ", ", 'Lighting Inventory'!AL65, " W"))</f>
        <v/>
      </c>
      <c r="K56" s="26" t="str">
        <f>IF(OR(B56="",'Lighting Inventory'!B65="Retrofit"),"",IF('General Information'!$F$16="Space-by-Space",CONCATENATE('Lighting Inventory'!N65,", ",'Lighting Inventory'!O65," ",'Lighting Inventory'!P65," LPD"," at ",'Lighting Inventory'!Q65,", ",'Lighting Inventory'!R65," kW"),CONCATENATE(B56,", ",'Lighting Inventory'!O65," ",'Lighting Inventory'!P65," LPD"," at ",'Lighting Inventory'!Q65,", ",'Lighting Inventory'!R65," kW")))</f>
        <v/>
      </c>
      <c r="L56" s="26" t="str">
        <f>IF(H56="","",IF('Lighting Inventory'!AK65="","",'Lighting Inventory'!AK65))</f>
        <v/>
      </c>
      <c r="M56" s="26" t="str">
        <f>IF(H56="", "", 'Lighting Inventory'!AL65)</f>
        <v/>
      </c>
      <c r="N56" s="26" t="str">
        <f>IF('Lighting Inventory'!S65="", "", IF('Lighting Inventory'!W65="No Change", 'Lighting Inventory'!I65, 'Lighting Inventory'!S65))</f>
        <v/>
      </c>
      <c r="O56" s="26" t="str">
        <f>IF('Lighting Inventory'!AN65="", "", VLOOKUP('Lighting Inventory'!AN65, 'Lookup Tables'!$B$142:$D$148, 3, FALSE))</f>
        <v/>
      </c>
      <c r="P56" s="66" t="str">
        <f>IF(B56="", "", 'Lighting Inventory'!AX65)</f>
        <v/>
      </c>
      <c r="Q56" s="67" t="str">
        <f>IF(B56="", "", 'Lighting Inventory'!AZ65)</f>
        <v/>
      </c>
      <c r="R56" s="187" t="str">
        <f>IF(OR('Lighting Inventory'!G65="", 'Lighting Inventory'!H65=""), "", 'Lighting Inventory'!BD65)</f>
        <v/>
      </c>
      <c r="S56" s="187" t="str">
        <f>IF(OR('Lighting Inventory'!G65="", 'Lighting Inventory'!H65=""), "",'Lighting Inventory'!BB65)</f>
        <v/>
      </c>
      <c r="T56" s="67" t="str">
        <f>IF(B56="", "", 'Lighting Inventory'!BE65)</f>
        <v/>
      </c>
      <c r="U56" s="67" t="str">
        <f>IF(B56="", "", 'Lighting Inventory'!BF65)</f>
        <v/>
      </c>
      <c r="BM56" s="186" t="str">
        <f t="shared" si="0"/>
        <v>-</v>
      </c>
    </row>
    <row r="57" spans="1:65" x14ac:dyDescent="0.25">
      <c r="A57" s="189">
        <v>56</v>
      </c>
      <c r="B57" s="186" t="str">
        <f>IF('Lighting Inventory'!F66="", "", 'Lighting Inventory'!F66)</f>
        <v/>
      </c>
      <c r="C57" s="26" t="str">
        <f>IF(B57="", "", CONCATENATE("Area: ", 'Lighting Inventory'!D66, ", ", IF('Lighting Inventory'!C66="", "", "Floor: "), 'Lighting Inventory'!C66))</f>
        <v/>
      </c>
      <c r="D57" s="186" t="str">
        <f>IF(B57="", "", IF('Lighting Inventory'!B66="New Construction",CONCATENATE("Cut Sheet ", 250+'Appendix C'!A57), IF(ISNUMBER(SEARCH("cut sheet", 'Lighting Inventory'!J66)), CONCATENATE("Cut Sheet ", 'Lookup Tables'!AX59), 'Lighting Inventory'!J66)))</f>
        <v/>
      </c>
      <c r="E57" s="26" t="str">
        <f>IF(B57="", "", IF('Lighting Inventory'!B66="New Construction", 1, 'Lighting Inventory'!I66))</f>
        <v/>
      </c>
      <c r="F57" s="26" t="str">
        <f>IF(B57="", "", IF('Lighting Inventory'!B66="New Construction", 'Lighting Inventory'!R66*1000, 'Lighting Inventory'!K66))</f>
        <v/>
      </c>
      <c r="G57" s="26" t="str">
        <f>IF(B57="", "", IF('Lighting Inventory'!M66="", "S_LS", VLOOKUP('Lighting Inventory'!M66, 'Lookup Tables'!$B$142:$D$148, 3, FALSE)))</f>
        <v/>
      </c>
      <c r="H57" s="26" t="str">
        <f>IF(OR('Lighting Inventory'!V66="", 'Lighting Inventory'!W66=""), "", IF('Lighting Inventory'!W66="No Change", 'Lighting Inventory'!J66, CONCATENATE("Cut Sheet ", 'Appendix C'!A57)))</f>
        <v/>
      </c>
      <c r="I57" s="26" t="str">
        <f>IF(H57="", "", IF('Lighting Inventory'!AB66="Yes", "Screw-In", "General"))</f>
        <v/>
      </c>
      <c r="J57" s="26" t="str">
        <f>IF(B57="", "", CONCATENATE('Lighting Inventory'!W66, ", ", 'Lighting Inventory'!AL66, " W"))</f>
        <v/>
      </c>
      <c r="K57" s="26" t="str">
        <f>IF(OR(B57="",'Lighting Inventory'!B66="Retrofit"),"",IF('General Information'!$F$16="Space-by-Space",CONCATENATE('Lighting Inventory'!N66,", ",'Lighting Inventory'!O66," ",'Lighting Inventory'!P66," LPD"," at ",'Lighting Inventory'!Q66,", ",'Lighting Inventory'!R66," kW"),CONCATENATE(B57,", ",'Lighting Inventory'!O66," ",'Lighting Inventory'!P66," LPD"," at ",'Lighting Inventory'!Q66,", ",'Lighting Inventory'!R66," kW")))</f>
        <v/>
      </c>
      <c r="L57" s="26" t="str">
        <f>IF(H57="","",IF('Lighting Inventory'!AK66="","",'Lighting Inventory'!AK66))</f>
        <v/>
      </c>
      <c r="M57" s="26" t="str">
        <f>IF(H57="", "", 'Lighting Inventory'!AL66)</f>
        <v/>
      </c>
      <c r="N57" s="26" t="str">
        <f>IF('Lighting Inventory'!S66="", "", IF('Lighting Inventory'!W66="No Change", 'Lighting Inventory'!I66, 'Lighting Inventory'!S66))</f>
        <v/>
      </c>
      <c r="O57" s="26" t="str">
        <f>IF('Lighting Inventory'!AN66="", "", VLOOKUP('Lighting Inventory'!AN66, 'Lookup Tables'!$B$142:$D$148, 3, FALSE))</f>
        <v/>
      </c>
      <c r="P57" s="66" t="str">
        <f>IF(B57="", "", 'Lighting Inventory'!AX66)</f>
        <v/>
      </c>
      <c r="Q57" s="67" t="str">
        <f>IF(B57="", "", 'Lighting Inventory'!AZ66)</f>
        <v/>
      </c>
      <c r="R57" s="187" t="str">
        <f>IF(OR('Lighting Inventory'!G66="", 'Lighting Inventory'!H66=""), "", 'Lighting Inventory'!BD66)</f>
        <v/>
      </c>
      <c r="S57" s="187" t="str">
        <f>IF(OR('Lighting Inventory'!G66="", 'Lighting Inventory'!H66=""), "",'Lighting Inventory'!BB66)</f>
        <v/>
      </c>
      <c r="T57" s="67" t="str">
        <f>IF(B57="", "", 'Lighting Inventory'!BE66)</f>
        <v/>
      </c>
      <c r="U57" s="67" t="str">
        <f>IF(B57="", "", 'Lighting Inventory'!BF66)</f>
        <v/>
      </c>
      <c r="BM57" s="186" t="str">
        <f t="shared" si="0"/>
        <v>-</v>
      </c>
    </row>
    <row r="58" spans="1:65" x14ac:dyDescent="0.25">
      <c r="A58" s="189">
        <v>57</v>
      </c>
      <c r="B58" s="186" t="str">
        <f>IF('Lighting Inventory'!F67="", "", 'Lighting Inventory'!F67)</f>
        <v/>
      </c>
      <c r="C58" s="26" t="str">
        <f>IF(B58="", "", CONCATENATE("Area: ", 'Lighting Inventory'!D67, ", ", IF('Lighting Inventory'!C67="", "", "Floor: "), 'Lighting Inventory'!C67))</f>
        <v/>
      </c>
      <c r="D58" s="186" t="str">
        <f>IF(B58="", "", IF('Lighting Inventory'!B67="New Construction",CONCATENATE("Cut Sheet ", 250+'Appendix C'!A58), IF(ISNUMBER(SEARCH("cut sheet", 'Lighting Inventory'!J67)), CONCATENATE("Cut Sheet ", 'Lookup Tables'!AX60), 'Lighting Inventory'!J67)))</f>
        <v/>
      </c>
      <c r="E58" s="26" t="str">
        <f>IF(B58="", "", IF('Lighting Inventory'!B67="New Construction", 1, 'Lighting Inventory'!I67))</f>
        <v/>
      </c>
      <c r="F58" s="26" t="str">
        <f>IF(B58="", "", IF('Lighting Inventory'!B67="New Construction", 'Lighting Inventory'!R67*1000, 'Lighting Inventory'!K67))</f>
        <v/>
      </c>
      <c r="G58" s="26" t="str">
        <f>IF(B58="", "", IF('Lighting Inventory'!M67="", "S_LS", VLOOKUP('Lighting Inventory'!M67, 'Lookup Tables'!$B$142:$D$148, 3, FALSE)))</f>
        <v/>
      </c>
      <c r="H58" s="26" t="str">
        <f>IF(OR('Lighting Inventory'!V67="", 'Lighting Inventory'!W67=""), "", IF('Lighting Inventory'!W67="No Change", 'Lighting Inventory'!J67, CONCATENATE("Cut Sheet ", 'Appendix C'!A58)))</f>
        <v/>
      </c>
      <c r="I58" s="26" t="str">
        <f>IF(H58="", "", IF('Lighting Inventory'!AB67="Yes", "Screw-In", "General"))</f>
        <v/>
      </c>
      <c r="J58" s="26" t="str">
        <f>IF(B58="", "", CONCATENATE('Lighting Inventory'!W67, ", ", 'Lighting Inventory'!AL67, " W"))</f>
        <v/>
      </c>
      <c r="K58" s="26" t="str">
        <f>IF(OR(B58="",'Lighting Inventory'!B67="Retrofit"),"",IF('General Information'!$F$16="Space-by-Space",CONCATENATE('Lighting Inventory'!N67,", ",'Lighting Inventory'!O67," ",'Lighting Inventory'!P67," LPD"," at ",'Lighting Inventory'!Q67,", ",'Lighting Inventory'!R67," kW"),CONCATENATE(B58,", ",'Lighting Inventory'!O67," ",'Lighting Inventory'!P67," LPD"," at ",'Lighting Inventory'!Q67,", ",'Lighting Inventory'!R67," kW")))</f>
        <v/>
      </c>
      <c r="L58" s="26" t="str">
        <f>IF(H58="","",IF('Lighting Inventory'!AK67="","",'Lighting Inventory'!AK67))</f>
        <v/>
      </c>
      <c r="M58" s="26" t="str">
        <f>IF(H58="", "", 'Lighting Inventory'!AL67)</f>
        <v/>
      </c>
      <c r="N58" s="26" t="str">
        <f>IF('Lighting Inventory'!S67="", "", IF('Lighting Inventory'!W67="No Change", 'Lighting Inventory'!I67, 'Lighting Inventory'!S67))</f>
        <v/>
      </c>
      <c r="O58" s="26" t="str">
        <f>IF('Lighting Inventory'!AN67="", "", VLOOKUP('Lighting Inventory'!AN67, 'Lookup Tables'!$B$142:$D$148, 3, FALSE))</f>
        <v/>
      </c>
      <c r="P58" s="66" t="str">
        <f>IF(B58="", "", 'Lighting Inventory'!AX67)</f>
        <v/>
      </c>
      <c r="Q58" s="67" t="str">
        <f>IF(B58="", "", 'Lighting Inventory'!AZ67)</f>
        <v/>
      </c>
      <c r="R58" s="187" t="str">
        <f>IF(OR('Lighting Inventory'!G67="", 'Lighting Inventory'!H67=""), "", 'Lighting Inventory'!BD67)</f>
        <v/>
      </c>
      <c r="S58" s="187" t="str">
        <f>IF(OR('Lighting Inventory'!G67="", 'Lighting Inventory'!H67=""), "",'Lighting Inventory'!BB67)</f>
        <v/>
      </c>
      <c r="T58" s="67" t="str">
        <f>IF(B58="", "", 'Lighting Inventory'!BE67)</f>
        <v/>
      </c>
      <c r="U58" s="67" t="str">
        <f>IF(B58="", "", 'Lighting Inventory'!BF67)</f>
        <v/>
      </c>
      <c r="BM58" s="186" t="str">
        <f t="shared" si="0"/>
        <v>-</v>
      </c>
    </row>
    <row r="59" spans="1:65" x14ac:dyDescent="0.25">
      <c r="A59" s="189">
        <v>58</v>
      </c>
      <c r="B59" s="186" t="str">
        <f>IF('Lighting Inventory'!F68="", "", 'Lighting Inventory'!F68)</f>
        <v/>
      </c>
      <c r="C59" s="26" t="str">
        <f>IF(B59="", "", CONCATENATE("Area: ", 'Lighting Inventory'!D68, ", ", IF('Lighting Inventory'!C68="", "", "Floor: "), 'Lighting Inventory'!C68))</f>
        <v/>
      </c>
      <c r="D59" s="186" t="str">
        <f>IF(B59="", "", IF('Lighting Inventory'!B68="New Construction",CONCATENATE("Cut Sheet ", 250+'Appendix C'!A59), IF(ISNUMBER(SEARCH("cut sheet", 'Lighting Inventory'!J68)), CONCATENATE("Cut Sheet ", 'Lookup Tables'!AX61), 'Lighting Inventory'!J68)))</f>
        <v/>
      </c>
      <c r="E59" s="26" t="str">
        <f>IF(B59="", "", IF('Lighting Inventory'!B68="New Construction", 1, 'Lighting Inventory'!I68))</f>
        <v/>
      </c>
      <c r="F59" s="26" t="str">
        <f>IF(B59="", "", IF('Lighting Inventory'!B68="New Construction", 'Lighting Inventory'!R68*1000, 'Lighting Inventory'!K68))</f>
        <v/>
      </c>
      <c r="G59" s="26" t="str">
        <f>IF(B59="", "", IF('Lighting Inventory'!M68="", "S_LS", VLOOKUP('Lighting Inventory'!M68, 'Lookup Tables'!$B$142:$D$148, 3, FALSE)))</f>
        <v/>
      </c>
      <c r="H59" s="26" t="str">
        <f>IF(OR('Lighting Inventory'!V68="", 'Lighting Inventory'!W68=""), "", IF('Lighting Inventory'!W68="No Change", 'Lighting Inventory'!J68, CONCATENATE("Cut Sheet ", 'Appendix C'!A59)))</f>
        <v/>
      </c>
      <c r="I59" s="26" t="str">
        <f>IF(H59="", "", IF('Lighting Inventory'!AB68="Yes", "Screw-In", "General"))</f>
        <v/>
      </c>
      <c r="J59" s="26" t="str">
        <f>IF(B59="", "", CONCATENATE('Lighting Inventory'!W68, ", ", 'Lighting Inventory'!AL68, " W"))</f>
        <v/>
      </c>
      <c r="K59" s="26" t="str">
        <f>IF(OR(B59="",'Lighting Inventory'!B68="Retrofit"),"",IF('General Information'!$F$16="Space-by-Space",CONCATENATE('Lighting Inventory'!N68,", ",'Lighting Inventory'!O68," ",'Lighting Inventory'!P68," LPD"," at ",'Lighting Inventory'!Q68,", ",'Lighting Inventory'!R68," kW"),CONCATENATE(B59,", ",'Lighting Inventory'!O68," ",'Lighting Inventory'!P68," LPD"," at ",'Lighting Inventory'!Q68,", ",'Lighting Inventory'!R68," kW")))</f>
        <v/>
      </c>
      <c r="L59" s="26" t="str">
        <f>IF(H59="","",IF('Lighting Inventory'!AK68="","",'Lighting Inventory'!AK68))</f>
        <v/>
      </c>
      <c r="M59" s="26" t="str">
        <f>IF(H59="", "", 'Lighting Inventory'!AL68)</f>
        <v/>
      </c>
      <c r="N59" s="26" t="str">
        <f>IF('Lighting Inventory'!S68="", "", IF('Lighting Inventory'!W68="No Change", 'Lighting Inventory'!I68, 'Lighting Inventory'!S68))</f>
        <v/>
      </c>
      <c r="O59" s="26" t="str">
        <f>IF('Lighting Inventory'!AN68="", "", VLOOKUP('Lighting Inventory'!AN68, 'Lookup Tables'!$B$142:$D$148, 3, FALSE))</f>
        <v/>
      </c>
      <c r="P59" s="66" t="str">
        <f>IF(B59="", "", 'Lighting Inventory'!AX68)</f>
        <v/>
      </c>
      <c r="Q59" s="67" t="str">
        <f>IF(B59="", "", 'Lighting Inventory'!AZ68)</f>
        <v/>
      </c>
      <c r="R59" s="187" t="str">
        <f>IF(OR('Lighting Inventory'!G68="", 'Lighting Inventory'!H68=""), "", 'Lighting Inventory'!BD68)</f>
        <v/>
      </c>
      <c r="S59" s="187" t="str">
        <f>IF(OR('Lighting Inventory'!G68="", 'Lighting Inventory'!H68=""), "",'Lighting Inventory'!BB68)</f>
        <v/>
      </c>
      <c r="T59" s="67" t="str">
        <f>IF(B59="", "", 'Lighting Inventory'!BE68)</f>
        <v/>
      </c>
      <c r="U59" s="67" t="str">
        <f>IF(B59="", "", 'Lighting Inventory'!BF68)</f>
        <v/>
      </c>
      <c r="BM59" s="186" t="str">
        <f t="shared" si="0"/>
        <v>-</v>
      </c>
    </row>
    <row r="60" spans="1:65" x14ac:dyDescent="0.25">
      <c r="A60" s="189">
        <v>59</v>
      </c>
      <c r="B60" s="186" t="str">
        <f>IF('Lighting Inventory'!F69="", "", 'Lighting Inventory'!F69)</f>
        <v/>
      </c>
      <c r="C60" s="26" t="str">
        <f>IF(B60="", "", CONCATENATE("Area: ", 'Lighting Inventory'!D69, ", ", IF('Lighting Inventory'!C69="", "", "Floor: "), 'Lighting Inventory'!C69))</f>
        <v/>
      </c>
      <c r="D60" s="186" t="str">
        <f>IF(B60="", "", IF('Lighting Inventory'!B69="New Construction",CONCATENATE("Cut Sheet ", 250+'Appendix C'!A60), IF(ISNUMBER(SEARCH("cut sheet", 'Lighting Inventory'!J69)), CONCATENATE("Cut Sheet ", 'Lookup Tables'!AX62), 'Lighting Inventory'!J69)))</f>
        <v/>
      </c>
      <c r="E60" s="26" t="str">
        <f>IF(B60="", "", IF('Lighting Inventory'!B69="New Construction", 1, 'Lighting Inventory'!I69))</f>
        <v/>
      </c>
      <c r="F60" s="26" t="str">
        <f>IF(B60="", "", IF('Lighting Inventory'!B69="New Construction", 'Lighting Inventory'!R69*1000, 'Lighting Inventory'!K69))</f>
        <v/>
      </c>
      <c r="G60" s="26" t="str">
        <f>IF(B60="", "", IF('Lighting Inventory'!M69="", "S_LS", VLOOKUP('Lighting Inventory'!M69, 'Lookup Tables'!$B$142:$D$148, 3, FALSE)))</f>
        <v/>
      </c>
      <c r="H60" s="26" t="str">
        <f>IF(OR('Lighting Inventory'!V69="", 'Lighting Inventory'!W69=""), "", IF('Lighting Inventory'!W69="No Change", 'Lighting Inventory'!J69, CONCATENATE("Cut Sheet ", 'Appendix C'!A60)))</f>
        <v/>
      </c>
      <c r="I60" s="26" t="str">
        <f>IF(H60="", "", IF('Lighting Inventory'!AB69="Yes", "Screw-In", "General"))</f>
        <v/>
      </c>
      <c r="J60" s="26" t="str">
        <f>IF(B60="", "", CONCATENATE('Lighting Inventory'!W69, ", ", 'Lighting Inventory'!AL69, " W"))</f>
        <v/>
      </c>
      <c r="K60" s="26" t="str">
        <f>IF(OR(B60="",'Lighting Inventory'!B69="Retrofit"),"",IF('General Information'!$F$16="Space-by-Space",CONCATENATE('Lighting Inventory'!N69,", ",'Lighting Inventory'!O69," ",'Lighting Inventory'!P69," LPD"," at ",'Lighting Inventory'!Q69,", ",'Lighting Inventory'!R69," kW"),CONCATENATE(B60,", ",'Lighting Inventory'!O69," ",'Lighting Inventory'!P69," LPD"," at ",'Lighting Inventory'!Q69,", ",'Lighting Inventory'!R69," kW")))</f>
        <v/>
      </c>
      <c r="L60" s="26" t="str">
        <f>IF(H60="","",IF('Lighting Inventory'!AK69="","",'Lighting Inventory'!AK69))</f>
        <v/>
      </c>
      <c r="M60" s="26" t="str">
        <f>IF(H60="", "", 'Lighting Inventory'!AL69)</f>
        <v/>
      </c>
      <c r="N60" s="26" t="str">
        <f>IF('Lighting Inventory'!S69="", "", IF('Lighting Inventory'!W69="No Change", 'Lighting Inventory'!I69, 'Lighting Inventory'!S69))</f>
        <v/>
      </c>
      <c r="O60" s="26" t="str">
        <f>IF('Lighting Inventory'!AN69="", "", VLOOKUP('Lighting Inventory'!AN69, 'Lookup Tables'!$B$142:$D$148, 3, FALSE))</f>
        <v/>
      </c>
      <c r="P60" s="66" t="str">
        <f>IF(B60="", "", 'Lighting Inventory'!AX69)</f>
        <v/>
      </c>
      <c r="Q60" s="67" t="str">
        <f>IF(B60="", "", 'Lighting Inventory'!AZ69)</f>
        <v/>
      </c>
      <c r="R60" s="187" t="str">
        <f>IF(OR('Lighting Inventory'!G69="", 'Lighting Inventory'!H69=""), "", 'Lighting Inventory'!BD69)</f>
        <v/>
      </c>
      <c r="S60" s="187" t="str">
        <f>IF(OR('Lighting Inventory'!G69="", 'Lighting Inventory'!H69=""), "",'Lighting Inventory'!BB69)</f>
        <v/>
      </c>
      <c r="T60" s="67" t="str">
        <f>IF(B60="", "", 'Lighting Inventory'!BE69)</f>
        <v/>
      </c>
      <c r="U60" s="67" t="str">
        <f>IF(B60="", "", 'Lighting Inventory'!BF69)</f>
        <v/>
      </c>
      <c r="BM60" s="186" t="str">
        <f t="shared" si="0"/>
        <v>-</v>
      </c>
    </row>
    <row r="61" spans="1:65" x14ac:dyDescent="0.25">
      <c r="A61" s="189">
        <v>60</v>
      </c>
      <c r="B61" s="186" t="str">
        <f>IF('Lighting Inventory'!F70="", "", 'Lighting Inventory'!F70)</f>
        <v/>
      </c>
      <c r="C61" s="26" t="str">
        <f>IF(B61="", "", CONCATENATE("Area: ", 'Lighting Inventory'!D70, ", ", IF('Lighting Inventory'!C70="", "", "Floor: "), 'Lighting Inventory'!C70))</f>
        <v/>
      </c>
      <c r="D61" s="186" t="str">
        <f>IF(B61="", "", IF('Lighting Inventory'!B70="New Construction",CONCATENATE("Cut Sheet ", 250+'Appendix C'!A61), IF(ISNUMBER(SEARCH("cut sheet", 'Lighting Inventory'!J70)), CONCATENATE("Cut Sheet ", 'Lookup Tables'!AX63), 'Lighting Inventory'!J70)))</f>
        <v/>
      </c>
      <c r="E61" s="26" t="str">
        <f>IF(B61="", "", IF('Lighting Inventory'!B70="New Construction", 1, 'Lighting Inventory'!I70))</f>
        <v/>
      </c>
      <c r="F61" s="26" t="str">
        <f>IF(B61="", "", IF('Lighting Inventory'!B70="New Construction", 'Lighting Inventory'!R70*1000, 'Lighting Inventory'!K70))</f>
        <v/>
      </c>
      <c r="G61" s="26" t="str">
        <f>IF(B61="", "", IF('Lighting Inventory'!M70="", "S_LS", VLOOKUP('Lighting Inventory'!M70, 'Lookup Tables'!$B$142:$D$148, 3, FALSE)))</f>
        <v/>
      </c>
      <c r="H61" s="26" t="str">
        <f>IF(OR('Lighting Inventory'!V70="", 'Lighting Inventory'!W70=""), "", IF('Lighting Inventory'!W70="No Change", 'Lighting Inventory'!J70, CONCATENATE("Cut Sheet ", 'Appendix C'!A61)))</f>
        <v/>
      </c>
      <c r="I61" s="26" t="str">
        <f>IF(H61="", "", IF('Lighting Inventory'!AB70="Yes", "Screw-In", "General"))</f>
        <v/>
      </c>
      <c r="J61" s="26" t="str">
        <f>IF(B61="", "", CONCATENATE('Lighting Inventory'!W70, ", ", 'Lighting Inventory'!AL70, " W"))</f>
        <v/>
      </c>
      <c r="K61" s="26" t="str">
        <f>IF(OR(B61="",'Lighting Inventory'!B70="Retrofit"),"",IF('General Information'!$F$16="Space-by-Space",CONCATENATE('Lighting Inventory'!N70,", ",'Lighting Inventory'!O70," ",'Lighting Inventory'!P70," LPD"," at ",'Lighting Inventory'!Q70,", ",'Lighting Inventory'!R70," kW"),CONCATENATE(B61,", ",'Lighting Inventory'!O70," ",'Lighting Inventory'!P70," LPD"," at ",'Lighting Inventory'!Q70,", ",'Lighting Inventory'!R70," kW")))</f>
        <v/>
      </c>
      <c r="L61" s="26" t="str">
        <f>IF(H61="","",IF('Lighting Inventory'!AK70="","",'Lighting Inventory'!AK70))</f>
        <v/>
      </c>
      <c r="M61" s="26" t="str">
        <f>IF(H61="", "", 'Lighting Inventory'!AL70)</f>
        <v/>
      </c>
      <c r="N61" s="26" t="str">
        <f>IF('Lighting Inventory'!S70="", "", IF('Lighting Inventory'!W70="No Change", 'Lighting Inventory'!I70, 'Lighting Inventory'!S70))</f>
        <v/>
      </c>
      <c r="O61" s="26" t="str">
        <f>IF('Lighting Inventory'!AN70="", "", VLOOKUP('Lighting Inventory'!AN70, 'Lookup Tables'!$B$142:$D$148, 3, FALSE))</f>
        <v/>
      </c>
      <c r="P61" s="66" t="str">
        <f>IF(B61="", "", 'Lighting Inventory'!AX70)</f>
        <v/>
      </c>
      <c r="Q61" s="67" t="str">
        <f>IF(B61="", "", 'Lighting Inventory'!AZ70)</f>
        <v/>
      </c>
      <c r="R61" s="187" t="str">
        <f>IF(OR('Lighting Inventory'!G70="", 'Lighting Inventory'!H70=""), "", 'Lighting Inventory'!BD70)</f>
        <v/>
      </c>
      <c r="S61" s="187" t="str">
        <f>IF(OR('Lighting Inventory'!G70="", 'Lighting Inventory'!H70=""), "",'Lighting Inventory'!BB70)</f>
        <v/>
      </c>
      <c r="T61" s="67" t="str">
        <f>IF(B61="", "", 'Lighting Inventory'!BE70)</f>
        <v/>
      </c>
      <c r="U61" s="67" t="str">
        <f>IF(B61="", "", 'Lighting Inventory'!BF70)</f>
        <v/>
      </c>
      <c r="BM61" s="186" t="str">
        <f t="shared" si="0"/>
        <v>-</v>
      </c>
    </row>
    <row r="62" spans="1:65" x14ac:dyDescent="0.25">
      <c r="A62" s="189">
        <v>61</v>
      </c>
      <c r="B62" s="186" t="str">
        <f>IF('Lighting Inventory'!F71="", "", 'Lighting Inventory'!F71)</f>
        <v/>
      </c>
      <c r="C62" s="26" t="str">
        <f>IF(B62="", "", CONCATENATE("Area: ", 'Lighting Inventory'!D71, ", ", IF('Lighting Inventory'!C71="", "", "Floor: "), 'Lighting Inventory'!C71))</f>
        <v/>
      </c>
      <c r="D62" s="186" t="str">
        <f>IF(B62="", "", IF('Lighting Inventory'!B71="New Construction",CONCATENATE("Cut Sheet ", 250+'Appendix C'!A62), IF(ISNUMBER(SEARCH("cut sheet", 'Lighting Inventory'!J71)), CONCATENATE("Cut Sheet ", 'Lookup Tables'!AX64), 'Lighting Inventory'!J71)))</f>
        <v/>
      </c>
      <c r="E62" s="26" t="str">
        <f>IF(B62="", "", IF('Lighting Inventory'!B71="New Construction", 1, 'Lighting Inventory'!I71))</f>
        <v/>
      </c>
      <c r="F62" s="26" t="str">
        <f>IF(B62="", "", IF('Lighting Inventory'!B71="New Construction", 'Lighting Inventory'!R71*1000, 'Lighting Inventory'!K71))</f>
        <v/>
      </c>
      <c r="G62" s="26" t="str">
        <f>IF(B62="", "", IF('Lighting Inventory'!M71="", "S_LS", VLOOKUP('Lighting Inventory'!M71, 'Lookup Tables'!$B$142:$D$148, 3, FALSE)))</f>
        <v/>
      </c>
      <c r="H62" s="26" t="str">
        <f>IF(OR('Lighting Inventory'!V71="", 'Lighting Inventory'!W71=""), "", IF('Lighting Inventory'!W71="No Change", 'Lighting Inventory'!J71, CONCATENATE("Cut Sheet ", 'Appendix C'!A62)))</f>
        <v/>
      </c>
      <c r="I62" s="26" t="str">
        <f>IF(H62="", "", IF('Lighting Inventory'!AB71="Yes", "Screw-In", "General"))</f>
        <v/>
      </c>
      <c r="J62" s="26" t="str">
        <f>IF(B62="", "", CONCATENATE('Lighting Inventory'!W71, ", ", 'Lighting Inventory'!AL71, " W"))</f>
        <v/>
      </c>
      <c r="K62" s="26" t="str">
        <f>IF(OR(B62="",'Lighting Inventory'!B71="Retrofit"),"",IF('General Information'!$F$16="Space-by-Space",CONCATENATE('Lighting Inventory'!N71,", ",'Lighting Inventory'!O71," ",'Lighting Inventory'!P71," LPD"," at ",'Lighting Inventory'!Q71,", ",'Lighting Inventory'!R71," kW"),CONCATENATE(B62,", ",'Lighting Inventory'!O71," ",'Lighting Inventory'!P71," LPD"," at ",'Lighting Inventory'!Q71,", ",'Lighting Inventory'!R71," kW")))</f>
        <v/>
      </c>
      <c r="L62" s="26" t="str">
        <f>IF(H62="","",IF('Lighting Inventory'!AK71="","",'Lighting Inventory'!AK71))</f>
        <v/>
      </c>
      <c r="M62" s="26" t="str">
        <f>IF(H62="", "", 'Lighting Inventory'!AL71)</f>
        <v/>
      </c>
      <c r="N62" s="26" t="str">
        <f>IF('Lighting Inventory'!S71="", "", IF('Lighting Inventory'!W71="No Change", 'Lighting Inventory'!I71, 'Lighting Inventory'!S71))</f>
        <v/>
      </c>
      <c r="O62" s="26" t="str">
        <f>IF('Lighting Inventory'!AN71="", "", VLOOKUP('Lighting Inventory'!AN71, 'Lookup Tables'!$B$142:$D$148, 3, FALSE))</f>
        <v/>
      </c>
      <c r="P62" s="66" t="str">
        <f>IF(B62="", "", 'Lighting Inventory'!AX71)</f>
        <v/>
      </c>
      <c r="Q62" s="67" t="str">
        <f>IF(B62="", "", 'Lighting Inventory'!AZ71)</f>
        <v/>
      </c>
      <c r="R62" s="187" t="str">
        <f>IF(OR('Lighting Inventory'!G71="", 'Lighting Inventory'!H71=""), "", 'Lighting Inventory'!BD71)</f>
        <v/>
      </c>
      <c r="S62" s="187" t="str">
        <f>IF(OR('Lighting Inventory'!G71="", 'Lighting Inventory'!H71=""), "",'Lighting Inventory'!BB71)</f>
        <v/>
      </c>
      <c r="T62" s="67" t="str">
        <f>IF(B62="", "", 'Lighting Inventory'!BE71)</f>
        <v/>
      </c>
      <c r="U62" s="67" t="str">
        <f>IF(B62="", "", 'Lighting Inventory'!BF71)</f>
        <v/>
      </c>
      <c r="BM62" s="186" t="str">
        <f t="shared" si="0"/>
        <v>-</v>
      </c>
    </row>
    <row r="63" spans="1:65" x14ac:dyDescent="0.25">
      <c r="A63" s="189">
        <v>62</v>
      </c>
      <c r="B63" s="186" t="str">
        <f>IF('Lighting Inventory'!F72="", "", 'Lighting Inventory'!F72)</f>
        <v/>
      </c>
      <c r="C63" s="26" t="str">
        <f>IF(B63="", "", CONCATENATE("Area: ", 'Lighting Inventory'!D72, ", ", IF('Lighting Inventory'!C72="", "", "Floor: "), 'Lighting Inventory'!C72))</f>
        <v/>
      </c>
      <c r="D63" s="186" t="str">
        <f>IF(B63="", "", IF('Lighting Inventory'!B72="New Construction",CONCATENATE("Cut Sheet ", 250+'Appendix C'!A63), IF(ISNUMBER(SEARCH("cut sheet", 'Lighting Inventory'!J72)), CONCATENATE("Cut Sheet ", 'Lookup Tables'!AX65), 'Lighting Inventory'!J72)))</f>
        <v/>
      </c>
      <c r="E63" s="26" t="str">
        <f>IF(B63="", "", IF('Lighting Inventory'!B72="New Construction", 1, 'Lighting Inventory'!I72))</f>
        <v/>
      </c>
      <c r="F63" s="26" t="str">
        <f>IF(B63="", "", IF('Lighting Inventory'!B72="New Construction", 'Lighting Inventory'!R72*1000, 'Lighting Inventory'!K72))</f>
        <v/>
      </c>
      <c r="G63" s="26" t="str">
        <f>IF(B63="", "", IF('Lighting Inventory'!M72="", "S_LS", VLOOKUP('Lighting Inventory'!M72, 'Lookup Tables'!$B$142:$D$148, 3, FALSE)))</f>
        <v/>
      </c>
      <c r="H63" s="26" t="str">
        <f>IF(OR('Lighting Inventory'!V72="", 'Lighting Inventory'!W72=""), "", IF('Lighting Inventory'!W72="No Change", 'Lighting Inventory'!J72, CONCATENATE("Cut Sheet ", 'Appendix C'!A63)))</f>
        <v/>
      </c>
      <c r="I63" s="26" t="str">
        <f>IF(H63="", "", IF('Lighting Inventory'!AB72="Yes", "Screw-In", "General"))</f>
        <v/>
      </c>
      <c r="J63" s="26" t="str">
        <f>IF(B63="", "", CONCATENATE('Lighting Inventory'!W72, ", ", 'Lighting Inventory'!AL72, " W"))</f>
        <v/>
      </c>
      <c r="K63" s="26" t="str">
        <f>IF(OR(B63="",'Lighting Inventory'!B72="Retrofit"),"",IF('General Information'!$F$16="Space-by-Space",CONCATENATE('Lighting Inventory'!N72,", ",'Lighting Inventory'!O72," ",'Lighting Inventory'!P72," LPD"," at ",'Lighting Inventory'!Q72,", ",'Lighting Inventory'!R72," kW"),CONCATENATE(B63,", ",'Lighting Inventory'!O72," ",'Lighting Inventory'!P72," LPD"," at ",'Lighting Inventory'!Q72,", ",'Lighting Inventory'!R72," kW")))</f>
        <v/>
      </c>
      <c r="L63" s="26" t="str">
        <f>IF(H63="","",IF('Lighting Inventory'!AK72="","",'Lighting Inventory'!AK72))</f>
        <v/>
      </c>
      <c r="M63" s="26" t="str">
        <f>IF(H63="", "", 'Lighting Inventory'!AL72)</f>
        <v/>
      </c>
      <c r="N63" s="26" t="str">
        <f>IF('Lighting Inventory'!S72="", "", IF('Lighting Inventory'!W72="No Change", 'Lighting Inventory'!I72, 'Lighting Inventory'!S72))</f>
        <v/>
      </c>
      <c r="O63" s="26" t="str">
        <f>IF('Lighting Inventory'!AN72="", "", VLOOKUP('Lighting Inventory'!AN72, 'Lookup Tables'!$B$142:$D$148, 3, FALSE))</f>
        <v/>
      </c>
      <c r="P63" s="66" t="str">
        <f>IF(B63="", "", 'Lighting Inventory'!AX72)</f>
        <v/>
      </c>
      <c r="Q63" s="67" t="str">
        <f>IF(B63="", "", 'Lighting Inventory'!AZ72)</f>
        <v/>
      </c>
      <c r="R63" s="187" t="str">
        <f>IF(OR('Lighting Inventory'!G72="", 'Lighting Inventory'!H72=""), "", 'Lighting Inventory'!BD72)</f>
        <v/>
      </c>
      <c r="S63" s="187" t="str">
        <f>IF(OR('Lighting Inventory'!G72="", 'Lighting Inventory'!H72=""), "",'Lighting Inventory'!BB72)</f>
        <v/>
      </c>
      <c r="T63" s="67" t="str">
        <f>IF(B63="", "", 'Lighting Inventory'!BE72)</f>
        <v/>
      </c>
      <c r="U63" s="67" t="str">
        <f>IF(B63="", "", 'Lighting Inventory'!BF72)</f>
        <v/>
      </c>
      <c r="BM63" s="186" t="str">
        <f t="shared" si="0"/>
        <v>-</v>
      </c>
    </row>
    <row r="64" spans="1:65" x14ac:dyDescent="0.25">
      <c r="A64" s="189">
        <v>63</v>
      </c>
      <c r="B64" s="186" t="str">
        <f>IF('Lighting Inventory'!F73="", "", 'Lighting Inventory'!F73)</f>
        <v/>
      </c>
      <c r="C64" s="26" t="str">
        <f>IF(B64="", "", CONCATENATE("Area: ", 'Lighting Inventory'!D73, ", ", IF('Lighting Inventory'!C73="", "", "Floor: "), 'Lighting Inventory'!C73))</f>
        <v/>
      </c>
      <c r="D64" s="186" t="str">
        <f>IF(B64="", "", IF('Lighting Inventory'!B73="New Construction",CONCATENATE("Cut Sheet ", 250+'Appendix C'!A64), IF(ISNUMBER(SEARCH("cut sheet", 'Lighting Inventory'!J73)), CONCATENATE("Cut Sheet ", 'Lookup Tables'!AX66), 'Lighting Inventory'!J73)))</f>
        <v/>
      </c>
      <c r="E64" s="26" t="str">
        <f>IF(B64="", "", IF('Lighting Inventory'!B73="New Construction", 1, 'Lighting Inventory'!I73))</f>
        <v/>
      </c>
      <c r="F64" s="26" t="str">
        <f>IF(B64="", "", IF('Lighting Inventory'!B73="New Construction", 'Lighting Inventory'!R73*1000, 'Lighting Inventory'!K73))</f>
        <v/>
      </c>
      <c r="G64" s="26" t="str">
        <f>IF(B64="", "", IF('Lighting Inventory'!M73="", "S_LS", VLOOKUP('Lighting Inventory'!M73, 'Lookup Tables'!$B$142:$D$148, 3, FALSE)))</f>
        <v/>
      </c>
      <c r="H64" s="26" t="str">
        <f>IF(OR('Lighting Inventory'!V73="", 'Lighting Inventory'!W73=""), "", IF('Lighting Inventory'!W73="No Change", 'Lighting Inventory'!J73, CONCATENATE("Cut Sheet ", 'Appendix C'!A64)))</f>
        <v/>
      </c>
      <c r="I64" s="26" t="str">
        <f>IF(H64="", "", IF('Lighting Inventory'!AB73="Yes", "Screw-In", "General"))</f>
        <v/>
      </c>
      <c r="J64" s="26" t="str">
        <f>IF(B64="", "", CONCATENATE('Lighting Inventory'!W73, ", ", 'Lighting Inventory'!AL73, " W"))</f>
        <v/>
      </c>
      <c r="K64" s="26" t="str">
        <f>IF(OR(B64="",'Lighting Inventory'!B73="Retrofit"),"",IF('General Information'!$F$16="Space-by-Space",CONCATENATE('Lighting Inventory'!N73,", ",'Lighting Inventory'!O73," ",'Lighting Inventory'!P73," LPD"," at ",'Lighting Inventory'!Q73,", ",'Lighting Inventory'!R73," kW"),CONCATENATE(B64,", ",'Lighting Inventory'!O73," ",'Lighting Inventory'!P73," LPD"," at ",'Lighting Inventory'!Q73,", ",'Lighting Inventory'!R73," kW")))</f>
        <v/>
      </c>
      <c r="L64" s="26" t="str">
        <f>IF(H64="","",IF('Lighting Inventory'!AK73="","",'Lighting Inventory'!AK73))</f>
        <v/>
      </c>
      <c r="M64" s="26" t="str">
        <f>IF(H64="", "", 'Lighting Inventory'!AL73)</f>
        <v/>
      </c>
      <c r="N64" s="26" t="str">
        <f>IF('Lighting Inventory'!S73="", "", IF('Lighting Inventory'!W73="No Change", 'Lighting Inventory'!I73, 'Lighting Inventory'!S73))</f>
        <v/>
      </c>
      <c r="O64" s="26" t="str">
        <f>IF('Lighting Inventory'!AN73="", "", VLOOKUP('Lighting Inventory'!AN73, 'Lookup Tables'!$B$142:$D$148, 3, FALSE))</f>
        <v/>
      </c>
      <c r="P64" s="66" t="str">
        <f>IF(B64="", "", 'Lighting Inventory'!AX73)</f>
        <v/>
      </c>
      <c r="Q64" s="67" t="str">
        <f>IF(B64="", "", 'Lighting Inventory'!AZ73)</f>
        <v/>
      </c>
      <c r="R64" s="187" t="str">
        <f>IF(OR('Lighting Inventory'!G73="", 'Lighting Inventory'!H73=""), "", 'Lighting Inventory'!BD73)</f>
        <v/>
      </c>
      <c r="S64" s="187" t="str">
        <f>IF(OR('Lighting Inventory'!G73="", 'Lighting Inventory'!H73=""), "",'Lighting Inventory'!BB73)</f>
        <v/>
      </c>
      <c r="T64" s="67" t="str">
        <f>IF(B64="", "", 'Lighting Inventory'!BE73)</f>
        <v/>
      </c>
      <c r="U64" s="67" t="str">
        <f>IF(B64="", "", 'Lighting Inventory'!BF73)</f>
        <v/>
      </c>
      <c r="BM64" s="186" t="str">
        <f t="shared" si="0"/>
        <v>-</v>
      </c>
    </row>
    <row r="65" spans="1:65" x14ac:dyDescent="0.25">
      <c r="A65" s="189">
        <v>64</v>
      </c>
      <c r="B65" s="186" t="str">
        <f>IF('Lighting Inventory'!F74="", "", 'Lighting Inventory'!F74)</f>
        <v/>
      </c>
      <c r="C65" s="26" t="str">
        <f>IF(B65="", "", CONCATENATE("Area: ", 'Lighting Inventory'!D74, ", ", IF('Lighting Inventory'!C74="", "", "Floor: "), 'Lighting Inventory'!C74))</f>
        <v/>
      </c>
      <c r="D65" s="186" t="str">
        <f>IF(B65="", "", IF('Lighting Inventory'!B74="New Construction",CONCATENATE("Cut Sheet ", 250+'Appendix C'!A65), IF(ISNUMBER(SEARCH("cut sheet", 'Lighting Inventory'!J74)), CONCATENATE("Cut Sheet ", 'Lookup Tables'!AX67), 'Lighting Inventory'!J74)))</f>
        <v/>
      </c>
      <c r="E65" s="26" t="str">
        <f>IF(B65="", "", IF('Lighting Inventory'!B74="New Construction", 1, 'Lighting Inventory'!I74))</f>
        <v/>
      </c>
      <c r="F65" s="26" t="str">
        <f>IF(B65="", "", IF('Lighting Inventory'!B74="New Construction", 'Lighting Inventory'!R74*1000, 'Lighting Inventory'!K74))</f>
        <v/>
      </c>
      <c r="G65" s="26" t="str">
        <f>IF(B65="", "", IF('Lighting Inventory'!M74="", "S_LS", VLOOKUP('Lighting Inventory'!M74, 'Lookup Tables'!$B$142:$D$148, 3, FALSE)))</f>
        <v/>
      </c>
      <c r="H65" s="26" t="str">
        <f>IF(OR('Lighting Inventory'!V74="", 'Lighting Inventory'!W74=""), "", IF('Lighting Inventory'!W74="No Change", 'Lighting Inventory'!J74, CONCATENATE("Cut Sheet ", 'Appendix C'!A65)))</f>
        <v/>
      </c>
      <c r="I65" s="26" t="str">
        <f>IF(H65="", "", IF('Lighting Inventory'!AB74="Yes", "Screw-In", "General"))</f>
        <v/>
      </c>
      <c r="J65" s="26" t="str">
        <f>IF(B65="", "", CONCATENATE('Lighting Inventory'!W74, ", ", 'Lighting Inventory'!AL74, " W"))</f>
        <v/>
      </c>
      <c r="K65" s="26" t="str">
        <f>IF(OR(B65="",'Lighting Inventory'!B74="Retrofit"),"",IF('General Information'!$F$16="Space-by-Space",CONCATENATE('Lighting Inventory'!N74,", ",'Lighting Inventory'!O74," ",'Lighting Inventory'!P74," LPD"," at ",'Lighting Inventory'!Q74,", ",'Lighting Inventory'!R74," kW"),CONCATENATE(B65,", ",'Lighting Inventory'!O74," ",'Lighting Inventory'!P74," LPD"," at ",'Lighting Inventory'!Q74,", ",'Lighting Inventory'!R74," kW")))</f>
        <v/>
      </c>
      <c r="L65" s="26" t="str">
        <f>IF(H65="","",IF('Lighting Inventory'!AK74="","",'Lighting Inventory'!AK74))</f>
        <v/>
      </c>
      <c r="M65" s="26" t="str">
        <f>IF(H65="", "", 'Lighting Inventory'!AL74)</f>
        <v/>
      </c>
      <c r="N65" s="26" t="str">
        <f>IF('Lighting Inventory'!S74="", "", IF('Lighting Inventory'!W74="No Change", 'Lighting Inventory'!I74, 'Lighting Inventory'!S74))</f>
        <v/>
      </c>
      <c r="O65" s="26" t="str">
        <f>IF('Lighting Inventory'!AN74="", "", VLOOKUP('Lighting Inventory'!AN74, 'Lookup Tables'!$B$142:$D$148, 3, FALSE))</f>
        <v/>
      </c>
      <c r="P65" s="66" t="str">
        <f>IF(B65="", "", 'Lighting Inventory'!AX74)</f>
        <v/>
      </c>
      <c r="Q65" s="67" t="str">
        <f>IF(B65="", "", 'Lighting Inventory'!AZ74)</f>
        <v/>
      </c>
      <c r="R65" s="187" t="str">
        <f>IF(OR('Lighting Inventory'!G74="", 'Lighting Inventory'!H74=""), "", 'Lighting Inventory'!BD74)</f>
        <v/>
      </c>
      <c r="S65" s="187" t="str">
        <f>IF(OR('Lighting Inventory'!G74="", 'Lighting Inventory'!H74=""), "",'Lighting Inventory'!BB74)</f>
        <v/>
      </c>
      <c r="T65" s="67" t="str">
        <f>IF(B65="", "", 'Lighting Inventory'!BE74)</f>
        <v/>
      </c>
      <c r="U65" s="67" t="str">
        <f>IF(B65="", "", 'Lighting Inventory'!BF74)</f>
        <v/>
      </c>
      <c r="BM65" s="186" t="str">
        <f t="shared" si="0"/>
        <v>-</v>
      </c>
    </row>
    <row r="66" spans="1:65" x14ac:dyDescent="0.25">
      <c r="A66" s="189">
        <v>65</v>
      </c>
      <c r="B66" s="186" t="str">
        <f>IF('Lighting Inventory'!F75="", "", 'Lighting Inventory'!F75)</f>
        <v/>
      </c>
      <c r="C66" s="26" t="str">
        <f>IF(B66="", "", CONCATENATE("Area: ", 'Lighting Inventory'!D75, ", ", IF('Lighting Inventory'!C75="", "", "Floor: "), 'Lighting Inventory'!C75))</f>
        <v/>
      </c>
      <c r="D66" s="186" t="str">
        <f>IF(B66="", "", IF('Lighting Inventory'!B75="New Construction",CONCATENATE("Cut Sheet ", 250+'Appendix C'!A66), IF(ISNUMBER(SEARCH("cut sheet", 'Lighting Inventory'!J75)), CONCATENATE("Cut Sheet ", 'Lookup Tables'!AX68), 'Lighting Inventory'!J75)))</f>
        <v/>
      </c>
      <c r="E66" s="26" t="str">
        <f>IF(B66="", "", IF('Lighting Inventory'!B75="New Construction", 1, 'Lighting Inventory'!I75))</f>
        <v/>
      </c>
      <c r="F66" s="26" t="str">
        <f>IF(B66="", "", IF('Lighting Inventory'!B75="New Construction", 'Lighting Inventory'!R75*1000, 'Lighting Inventory'!K75))</f>
        <v/>
      </c>
      <c r="G66" s="26" t="str">
        <f>IF(B66="", "", IF('Lighting Inventory'!M75="", "S_LS", VLOOKUP('Lighting Inventory'!M75, 'Lookup Tables'!$B$142:$D$148, 3, FALSE)))</f>
        <v/>
      </c>
      <c r="H66" s="26" t="str">
        <f>IF(OR('Lighting Inventory'!V75="", 'Lighting Inventory'!W75=""), "", IF('Lighting Inventory'!W75="No Change", 'Lighting Inventory'!J75, CONCATENATE("Cut Sheet ", 'Appendix C'!A66)))</f>
        <v/>
      </c>
      <c r="I66" s="26" t="str">
        <f>IF(H66="", "", IF('Lighting Inventory'!AB75="Yes", "Screw-In", "General"))</f>
        <v/>
      </c>
      <c r="J66" s="26" t="str">
        <f>IF(B66="", "", CONCATENATE('Lighting Inventory'!W75, ", ", 'Lighting Inventory'!AL75, " W"))</f>
        <v/>
      </c>
      <c r="K66" s="26" t="str">
        <f>IF(OR(B66="",'Lighting Inventory'!B75="Retrofit"),"",IF('General Information'!$F$16="Space-by-Space",CONCATENATE('Lighting Inventory'!N75,", ",'Lighting Inventory'!O75," ",'Lighting Inventory'!P75," LPD"," at ",'Lighting Inventory'!Q75,", ",'Lighting Inventory'!R75," kW"),CONCATENATE(B66,", ",'Lighting Inventory'!O75," ",'Lighting Inventory'!P75," LPD"," at ",'Lighting Inventory'!Q75,", ",'Lighting Inventory'!R75," kW")))</f>
        <v/>
      </c>
      <c r="L66" s="26" t="str">
        <f>IF(H66="","",IF('Lighting Inventory'!AK75="","",'Lighting Inventory'!AK75))</f>
        <v/>
      </c>
      <c r="M66" s="26" t="str">
        <f>IF(H66="", "", 'Lighting Inventory'!AL75)</f>
        <v/>
      </c>
      <c r="N66" s="26" t="str">
        <f>IF('Lighting Inventory'!S75="", "", IF('Lighting Inventory'!W75="No Change", 'Lighting Inventory'!I75, 'Lighting Inventory'!S75))</f>
        <v/>
      </c>
      <c r="O66" s="26" t="str">
        <f>IF('Lighting Inventory'!AN75="", "", VLOOKUP('Lighting Inventory'!AN75, 'Lookup Tables'!$B$142:$D$148, 3, FALSE))</f>
        <v/>
      </c>
      <c r="P66" s="66" t="str">
        <f>IF(B66="", "", 'Lighting Inventory'!AX75)</f>
        <v/>
      </c>
      <c r="Q66" s="67" t="str">
        <f>IF(B66="", "", 'Lighting Inventory'!AZ75)</f>
        <v/>
      </c>
      <c r="R66" s="187" t="str">
        <f>IF(OR('Lighting Inventory'!G75="", 'Lighting Inventory'!H75=""), "", 'Lighting Inventory'!BD75)</f>
        <v/>
      </c>
      <c r="S66" s="187" t="str">
        <f>IF(OR('Lighting Inventory'!G75="", 'Lighting Inventory'!H75=""), "",'Lighting Inventory'!BB75)</f>
        <v/>
      </c>
      <c r="T66" s="67" t="str">
        <f>IF(B66="", "", 'Lighting Inventory'!BE75)</f>
        <v/>
      </c>
      <c r="U66" s="67" t="str">
        <f>IF(B66="", "", 'Lighting Inventory'!BF75)</f>
        <v/>
      </c>
      <c r="BM66" s="186" t="str">
        <f t="shared" si="0"/>
        <v>-</v>
      </c>
    </row>
    <row r="67" spans="1:65" x14ac:dyDescent="0.25">
      <c r="A67" s="189">
        <v>66</v>
      </c>
      <c r="B67" s="186" t="str">
        <f>IF('Lighting Inventory'!F76="", "", 'Lighting Inventory'!F76)</f>
        <v/>
      </c>
      <c r="C67" s="26" t="str">
        <f>IF(B67="", "", CONCATENATE("Area: ", 'Lighting Inventory'!D76, ", ", IF('Lighting Inventory'!C76="", "", "Floor: "), 'Lighting Inventory'!C76))</f>
        <v/>
      </c>
      <c r="D67" s="186" t="str">
        <f>IF(B67="", "", IF('Lighting Inventory'!B76="New Construction",CONCATENATE("Cut Sheet ", 250+'Appendix C'!A67), IF(ISNUMBER(SEARCH("cut sheet", 'Lighting Inventory'!J76)), CONCATENATE("Cut Sheet ", 'Lookup Tables'!AX69), 'Lighting Inventory'!J76)))</f>
        <v/>
      </c>
      <c r="E67" s="26" t="str">
        <f>IF(B67="", "", IF('Lighting Inventory'!B76="New Construction", 1, 'Lighting Inventory'!I76))</f>
        <v/>
      </c>
      <c r="F67" s="26" t="str">
        <f>IF(B67="", "", IF('Lighting Inventory'!B76="New Construction", 'Lighting Inventory'!R76*1000, 'Lighting Inventory'!K76))</f>
        <v/>
      </c>
      <c r="G67" s="26" t="str">
        <f>IF(B67="", "", IF('Lighting Inventory'!M76="", "S_LS", VLOOKUP('Lighting Inventory'!M76, 'Lookup Tables'!$B$142:$D$148, 3, FALSE)))</f>
        <v/>
      </c>
      <c r="H67" s="26" t="str">
        <f>IF(OR('Lighting Inventory'!V76="", 'Lighting Inventory'!W76=""), "", IF('Lighting Inventory'!W76="No Change", 'Lighting Inventory'!J76, CONCATENATE("Cut Sheet ", 'Appendix C'!A67)))</f>
        <v/>
      </c>
      <c r="I67" s="26" t="str">
        <f>IF(H67="", "", IF('Lighting Inventory'!AB76="Yes", "Screw-In", "General"))</f>
        <v/>
      </c>
      <c r="J67" s="26" t="str">
        <f>IF(B67="", "", CONCATENATE('Lighting Inventory'!W76, ", ", 'Lighting Inventory'!AL76, " W"))</f>
        <v/>
      </c>
      <c r="K67" s="26" t="str">
        <f>IF(OR(B67="",'Lighting Inventory'!B76="Retrofit"),"",IF('General Information'!$F$16="Space-by-Space",CONCATENATE('Lighting Inventory'!N76,", ",'Lighting Inventory'!O76," ",'Lighting Inventory'!P76," LPD"," at ",'Lighting Inventory'!Q76,", ",'Lighting Inventory'!R76," kW"),CONCATENATE(B67,", ",'Lighting Inventory'!O76," ",'Lighting Inventory'!P76," LPD"," at ",'Lighting Inventory'!Q76,", ",'Lighting Inventory'!R76," kW")))</f>
        <v/>
      </c>
      <c r="L67" s="26" t="str">
        <f>IF(H67="","",IF('Lighting Inventory'!AK76="","",'Lighting Inventory'!AK76))</f>
        <v/>
      </c>
      <c r="M67" s="26" t="str">
        <f>IF(H67="", "", 'Lighting Inventory'!AL76)</f>
        <v/>
      </c>
      <c r="N67" s="26" t="str">
        <f>IF('Lighting Inventory'!S76="", "", IF('Lighting Inventory'!W76="No Change", 'Lighting Inventory'!I76, 'Lighting Inventory'!S76))</f>
        <v/>
      </c>
      <c r="O67" s="26" t="str">
        <f>IF('Lighting Inventory'!AN76="", "", VLOOKUP('Lighting Inventory'!AN76, 'Lookup Tables'!$B$142:$D$148, 3, FALSE))</f>
        <v/>
      </c>
      <c r="P67" s="66" t="str">
        <f>IF(B67="", "", 'Lighting Inventory'!AX76)</f>
        <v/>
      </c>
      <c r="Q67" s="67" t="str">
        <f>IF(B67="", "", 'Lighting Inventory'!AZ76)</f>
        <v/>
      </c>
      <c r="R67" s="187" t="str">
        <f>IF(OR('Lighting Inventory'!G76="", 'Lighting Inventory'!H76=""), "", 'Lighting Inventory'!BD76)</f>
        <v/>
      </c>
      <c r="S67" s="187" t="str">
        <f>IF(OR('Lighting Inventory'!G76="", 'Lighting Inventory'!H76=""), "",'Lighting Inventory'!BB76)</f>
        <v/>
      </c>
      <c r="T67" s="67" t="str">
        <f>IF(B67="", "", 'Lighting Inventory'!BE76)</f>
        <v/>
      </c>
      <c r="U67" s="67" t="str">
        <f>IF(B67="", "", 'Lighting Inventory'!BF76)</f>
        <v/>
      </c>
      <c r="BM67" s="186" t="str">
        <f t="shared" ref="BM67:BM130" si="1">IF(ISNUMBER(SEARCH("cut sheet", D67, 1)),D67, "-")</f>
        <v>-</v>
      </c>
    </row>
    <row r="68" spans="1:65" x14ac:dyDescent="0.25">
      <c r="A68" s="189">
        <v>67</v>
      </c>
      <c r="B68" s="186" t="str">
        <f>IF('Lighting Inventory'!F77="", "", 'Lighting Inventory'!F77)</f>
        <v/>
      </c>
      <c r="C68" s="26" t="str">
        <f>IF(B68="", "", CONCATENATE("Area: ", 'Lighting Inventory'!D77, ", ", IF('Lighting Inventory'!C77="", "", "Floor: "), 'Lighting Inventory'!C77))</f>
        <v/>
      </c>
      <c r="D68" s="186" t="str">
        <f>IF(B68="", "", IF('Lighting Inventory'!B77="New Construction",CONCATENATE("Cut Sheet ", 250+'Appendix C'!A68), IF(ISNUMBER(SEARCH("cut sheet", 'Lighting Inventory'!J77)), CONCATENATE("Cut Sheet ", 'Lookup Tables'!AX70), 'Lighting Inventory'!J77)))</f>
        <v/>
      </c>
      <c r="E68" s="26" t="str">
        <f>IF(B68="", "", IF('Lighting Inventory'!B77="New Construction", 1, 'Lighting Inventory'!I77))</f>
        <v/>
      </c>
      <c r="F68" s="26" t="str">
        <f>IF(B68="", "", IF('Lighting Inventory'!B77="New Construction", 'Lighting Inventory'!R77*1000, 'Lighting Inventory'!K77))</f>
        <v/>
      </c>
      <c r="G68" s="26" t="str">
        <f>IF(B68="", "", IF('Lighting Inventory'!M77="", "S_LS", VLOOKUP('Lighting Inventory'!M77, 'Lookup Tables'!$B$142:$D$148, 3, FALSE)))</f>
        <v/>
      </c>
      <c r="H68" s="26" t="str">
        <f>IF(OR('Lighting Inventory'!V77="", 'Lighting Inventory'!W77=""), "", IF('Lighting Inventory'!W77="No Change", 'Lighting Inventory'!J77, CONCATENATE("Cut Sheet ", 'Appendix C'!A68)))</f>
        <v/>
      </c>
      <c r="I68" s="26" t="str">
        <f>IF(H68="", "", IF('Lighting Inventory'!AB77="Yes", "Screw-In", "General"))</f>
        <v/>
      </c>
      <c r="J68" s="26" t="str">
        <f>IF(B68="", "", CONCATENATE('Lighting Inventory'!W77, ", ", 'Lighting Inventory'!AL77, " W"))</f>
        <v/>
      </c>
      <c r="K68" s="26" t="str">
        <f>IF(OR(B68="",'Lighting Inventory'!B77="Retrofit"),"",IF('General Information'!$F$16="Space-by-Space",CONCATENATE('Lighting Inventory'!N77,", ",'Lighting Inventory'!O77," ",'Lighting Inventory'!P77," LPD"," at ",'Lighting Inventory'!Q77,", ",'Lighting Inventory'!R77," kW"),CONCATENATE(B68,", ",'Lighting Inventory'!O77," ",'Lighting Inventory'!P77," LPD"," at ",'Lighting Inventory'!Q77,", ",'Lighting Inventory'!R77," kW")))</f>
        <v/>
      </c>
      <c r="L68" s="26" t="str">
        <f>IF(H68="","",IF('Lighting Inventory'!AK77="","",'Lighting Inventory'!AK77))</f>
        <v/>
      </c>
      <c r="M68" s="26" t="str">
        <f>IF(H68="", "", 'Lighting Inventory'!AL77)</f>
        <v/>
      </c>
      <c r="N68" s="26" t="str">
        <f>IF('Lighting Inventory'!S77="", "", IF('Lighting Inventory'!W77="No Change", 'Lighting Inventory'!I77, 'Lighting Inventory'!S77))</f>
        <v/>
      </c>
      <c r="O68" s="26" t="str">
        <f>IF('Lighting Inventory'!AN77="", "", VLOOKUP('Lighting Inventory'!AN77, 'Lookup Tables'!$B$142:$D$148, 3, FALSE))</f>
        <v/>
      </c>
      <c r="P68" s="66" t="str">
        <f>IF(B68="", "", 'Lighting Inventory'!AX77)</f>
        <v/>
      </c>
      <c r="Q68" s="67" t="str">
        <f>IF(B68="", "", 'Lighting Inventory'!AZ77)</f>
        <v/>
      </c>
      <c r="R68" s="187" t="str">
        <f>IF(OR('Lighting Inventory'!G77="", 'Lighting Inventory'!H77=""), "", 'Lighting Inventory'!BD77)</f>
        <v/>
      </c>
      <c r="S68" s="187" t="str">
        <f>IF(OR('Lighting Inventory'!G77="", 'Lighting Inventory'!H77=""), "",'Lighting Inventory'!BB77)</f>
        <v/>
      </c>
      <c r="T68" s="67" t="str">
        <f>IF(B68="", "", 'Lighting Inventory'!BE77)</f>
        <v/>
      </c>
      <c r="U68" s="67" t="str">
        <f>IF(B68="", "", 'Lighting Inventory'!BF77)</f>
        <v/>
      </c>
      <c r="BM68" s="186" t="str">
        <f t="shared" si="1"/>
        <v>-</v>
      </c>
    </row>
    <row r="69" spans="1:65" x14ac:dyDescent="0.25">
      <c r="A69" s="189">
        <v>68</v>
      </c>
      <c r="B69" s="186" t="str">
        <f>IF('Lighting Inventory'!F78="", "", 'Lighting Inventory'!F78)</f>
        <v/>
      </c>
      <c r="C69" s="26" t="str">
        <f>IF(B69="", "", CONCATENATE("Area: ", 'Lighting Inventory'!D78, ", ", IF('Lighting Inventory'!C78="", "", "Floor: "), 'Lighting Inventory'!C78))</f>
        <v/>
      </c>
      <c r="D69" s="186" t="str">
        <f>IF(B69="", "", IF('Lighting Inventory'!B78="New Construction",CONCATENATE("Cut Sheet ", 250+'Appendix C'!A69), IF(ISNUMBER(SEARCH("cut sheet", 'Lighting Inventory'!J78)), CONCATENATE("Cut Sheet ", 'Lookup Tables'!AX71), 'Lighting Inventory'!J78)))</f>
        <v/>
      </c>
      <c r="E69" s="26" t="str">
        <f>IF(B69="", "", IF('Lighting Inventory'!B78="New Construction", 1, 'Lighting Inventory'!I78))</f>
        <v/>
      </c>
      <c r="F69" s="26" t="str">
        <f>IF(B69="", "", IF('Lighting Inventory'!B78="New Construction", 'Lighting Inventory'!R78*1000, 'Lighting Inventory'!K78))</f>
        <v/>
      </c>
      <c r="G69" s="26" t="str">
        <f>IF(B69="", "", IF('Lighting Inventory'!M78="", "S_LS", VLOOKUP('Lighting Inventory'!M78, 'Lookup Tables'!$B$142:$D$148, 3, FALSE)))</f>
        <v/>
      </c>
      <c r="H69" s="26" t="str">
        <f>IF(OR('Lighting Inventory'!V78="", 'Lighting Inventory'!W78=""), "", IF('Lighting Inventory'!W78="No Change", 'Lighting Inventory'!J78, CONCATENATE("Cut Sheet ", 'Appendix C'!A69)))</f>
        <v/>
      </c>
      <c r="I69" s="26" t="str">
        <f>IF(H69="", "", IF('Lighting Inventory'!AB78="Yes", "Screw-In", "General"))</f>
        <v/>
      </c>
      <c r="J69" s="26" t="str">
        <f>IF(B69="", "", CONCATENATE('Lighting Inventory'!W78, ", ", 'Lighting Inventory'!AL78, " W"))</f>
        <v/>
      </c>
      <c r="K69" s="26" t="str">
        <f>IF(OR(B69="",'Lighting Inventory'!B78="Retrofit"),"",IF('General Information'!$F$16="Space-by-Space",CONCATENATE('Lighting Inventory'!N78,", ",'Lighting Inventory'!O78," ",'Lighting Inventory'!P78," LPD"," at ",'Lighting Inventory'!Q78,", ",'Lighting Inventory'!R78," kW"),CONCATENATE(B69,", ",'Lighting Inventory'!O78," ",'Lighting Inventory'!P78," LPD"," at ",'Lighting Inventory'!Q78,", ",'Lighting Inventory'!R78," kW")))</f>
        <v/>
      </c>
      <c r="L69" s="26" t="str">
        <f>IF(H69="","",IF('Lighting Inventory'!AK78="","",'Lighting Inventory'!AK78))</f>
        <v/>
      </c>
      <c r="M69" s="26" t="str">
        <f>IF(H69="", "", 'Lighting Inventory'!AL78)</f>
        <v/>
      </c>
      <c r="N69" s="26" t="str">
        <f>IF('Lighting Inventory'!S78="", "", IF('Lighting Inventory'!W78="No Change", 'Lighting Inventory'!I78, 'Lighting Inventory'!S78))</f>
        <v/>
      </c>
      <c r="O69" s="26" t="str">
        <f>IF('Lighting Inventory'!AN78="", "", VLOOKUP('Lighting Inventory'!AN78, 'Lookup Tables'!$B$142:$D$148, 3, FALSE))</f>
        <v/>
      </c>
      <c r="P69" s="66" t="str">
        <f>IF(B69="", "", 'Lighting Inventory'!AX78)</f>
        <v/>
      </c>
      <c r="Q69" s="67" t="str">
        <f>IF(B69="", "", 'Lighting Inventory'!AZ78)</f>
        <v/>
      </c>
      <c r="R69" s="187" t="str">
        <f>IF(OR('Lighting Inventory'!G78="", 'Lighting Inventory'!H78=""), "", 'Lighting Inventory'!BD78)</f>
        <v/>
      </c>
      <c r="S69" s="187" t="str">
        <f>IF(OR('Lighting Inventory'!G78="", 'Lighting Inventory'!H78=""), "",'Lighting Inventory'!BB78)</f>
        <v/>
      </c>
      <c r="T69" s="67" t="str">
        <f>IF(B69="", "", 'Lighting Inventory'!BE78)</f>
        <v/>
      </c>
      <c r="U69" s="67" t="str">
        <f>IF(B69="", "", 'Lighting Inventory'!BF78)</f>
        <v/>
      </c>
      <c r="BM69" s="186" t="str">
        <f t="shared" si="1"/>
        <v>-</v>
      </c>
    </row>
    <row r="70" spans="1:65" x14ac:dyDescent="0.25">
      <c r="A70" s="189">
        <v>69</v>
      </c>
      <c r="B70" s="186" t="str">
        <f>IF('Lighting Inventory'!F79="", "", 'Lighting Inventory'!F79)</f>
        <v/>
      </c>
      <c r="C70" s="26" t="str">
        <f>IF(B70="", "", CONCATENATE("Area: ", 'Lighting Inventory'!D79, ", ", IF('Lighting Inventory'!C79="", "", "Floor: "), 'Lighting Inventory'!C79))</f>
        <v/>
      </c>
      <c r="D70" s="186" t="str">
        <f>IF(B70="", "", IF('Lighting Inventory'!B79="New Construction",CONCATENATE("Cut Sheet ", 250+'Appendix C'!A70), IF(ISNUMBER(SEARCH("cut sheet", 'Lighting Inventory'!J79)), CONCATENATE("Cut Sheet ", 'Lookup Tables'!AX72), 'Lighting Inventory'!J79)))</f>
        <v/>
      </c>
      <c r="E70" s="26" t="str">
        <f>IF(B70="", "", IF('Lighting Inventory'!B79="New Construction", 1, 'Lighting Inventory'!I79))</f>
        <v/>
      </c>
      <c r="F70" s="26" t="str">
        <f>IF(B70="", "", IF('Lighting Inventory'!B79="New Construction", 'Lighting Inventory'!R79*1000, 'Lighting Inventory'!K79))</f>
        <v/>
      </c>
      <c r="G70" s="26" t="str">
        <f>IF(B70="", "", IF('Lighting Inventory'!M79="", "S_LS", VLOOKUP('Lighting Inventory'!M79, 'Lookup Tables'!$B$142:$D$148, 3, FALSE)))</f>
        <v/>
      </c>
      <c r="H70" s="26" t="str">
        <f>IF(OR('Lighting Inventory'!V79="", 'Lighting Inventory'!W79=""), "", IF('Lighting Inventory'!W79="No Change", 'Lighting Inventory'!J79, CONCATENATE("Cut Sheet ", 'Appendix C'!A70)))</f>
        <v/>
      </c>
      <c r="I70" s="26" t="str">
        <f>IF(H70="", "", IF('Lighting Inventory'!AB79="Yes", "Screw-In", "General"))</f>
        <v/>
      </c>
      <c r="J70" s="26" t="str">
        <f>IF(B70="", "", CONCATENATE('Lighting Inventory'!W79, ", ", 'Lighting Inventory'!AL79, " W"))</f>
        <v/>
      </c>
      <c r="K70" s="26" t="str">
        <f>IF(OR(B70="",'Lighting Inventory'!B79="Retrofit"),"",IF('General Information'!$F$16="Space-by-Space",CONCATENATE('Lighting Inventory'!N79,", ",'Lighting Inventory'!O79," ",'Lighting Inventory'!P79," LPD"," at ",'Lighting Inventory'!Q79,", ",'Lighting Inventory'!R79," kW"),CONCATENATE(B70,", ",'Lighting Inventory'!O79," ",'Lighting Inventory'!P79," LPD"," at ",'Lighting Inventory'!Q79,", ",'Lighting Inventory'!R79," kW")))</f>
        <v/>
      </c>
      <c r="L70" s="26" t="str">
        <f>IF(H70="","",IF('Lighting Inventory'!AK79="","",'Lighting Inventory'!AK79))</f>
        <v/>
      </c>
      <c r="M70" s="26" t="str">
        <f>IF(H70="", "", 'Lighting Inventory'!AL79)</f>
        <v/>
      </c>
      <c r="N70" s="26" t="str">
        <f>IF('Lighting Inventory'!S79="", "", IF('Lighting Inventory'!W79="No Change", 'Lighting Inventory'!I79, 'Lighting Inventory'!S79))</f>
        <v/>
      </c>
      <c r="O70" s="26" t="str">
        <f>IF('Lighting Inventory'!AN79="", "", VLOOKUP('Lighting Inventory'!AN79, 'Lookup Tables'!$B$142:$D$148, 3, FALSE))</f>
        <v/>
      </c>
      <c r="P70" s="66" t="str">
        <f>IF(B70="", "", 'Lighting Inventory'!AX79)</f>
        <v/>
      </c>
      <c r="Q70" s="67" t="str">
        <f>IF(B70="", "", 'Lighting Inventory'!AZ79)</f>
        <v/>
      </c>
      <c r="R70" s="187" t="str">
        <f>IF(OR('Lighting Inventory'!G79="", 'Lighting Inventory'!H79=""), "", 'Lighting Inventory'!BD79)</f>
        <v/>
      </c>
      <c r="S70" s="187" t="str">
        <f>IF(OR('Lighting Inventory'!G79="", 'Lighting Inventory'!H79=""), "",'Lighting Inventory'!BB79)</f>
        <v/>
      </c>
      <c r="T70" s="67" t="str">
        <f>IF(B70="", "", 'Lighting Inventory'!BE79)</f>
        <v/>
      </c>
      <c r="U70" s="67" t="str">
        <f>IF(B70="", "", 'Lighting Inventory'!BF79)</f>
        <v/>
      </c>
      <c r="BM70" s="186" t="str">
        <f t="shared" si="1"/>
        <v>-</v>
      </c>
    </row>
    <row r="71" spans="1:65" x14ac:dyDescent="0.25">
      <c r="A71" s="189">
        <v>70</v>
      </c>
      <c r="B71" s="186" t="str">
        <f>IF('Lighting Inventory'!F80="", "", 'Lighting Inventory'!F80)</f>
        <v/>
      </c>
      <c r="C71" s="26" t="str">
        <f>IF(B71="", "", CONCATENATE("Area: ", 'Lighting Inventory'!D80, ", ", IF('Lighting Inventory'!C80="", "", "Floor: "), 'Lighting Inventory'!C80))</f>
        <v/>
      </c>
      <c r="D71" s="186" t="str">
        <f>IF(B71="", "", IF('Lighting Inventory'!B80="New Construction",CONCATENATE("Cut Sheet ", 250+'Appendix C'!A71), IF(ISNUMBER(SEARCH("cut sheet", 'Lighting Inventory'!J80)), CONCATENATE("Cut Sheet ", 'Lookup Tables'!AX73), 'Lighting Inventory'!J80)))</f>
        <v/>
      </c>
      <c r="E71" s="26" t="str">
        <f>IF(B71="", "", IF('Lighting Inventory'!B80="New Construction", 1, 'Lighting Inventory'!I80))</f>
        <v/>
      </c>
      <c r="F71" s="26" t="str">
        <f>IF(B71="", "", IF('Lighting Inventory'!B80="New Construction", 'Lighting Inventory'!R80*1000, 'Lighting Inventory'!K80))</f>
        <v/>
      </c>
      <c r="G71" s="26" t="str">
        <f>IF(B71="", "", IF('Lighting Inventory'!M80="", "S_LS", VLOOKUP('Lighting Inventory'!M80, 'Lookup Tables'!$B$142:$D$148, 3, FALSE)))</f>
        <v/>
      </c>
      <c r="H71" s="26" t="str">
        <f>IF(OR('Lighting Inventory'!V80="", 'Lighting Inventory'!W80=""), "", IF('Lighting Inventory'!W80="No Change", 'Lighting Inventory'!J80, CONCATENATE("Cut Sheet ", 'Appendix C'!A71)))</f>
        <v/>
      </c>
      <c r="I71" s="26" t="str">
        <f>IF(H71="", "", IF('Lighting Inventory'!AB80="Yes", "Screw-In", "General"))</f>
        <v/>
      </c>
      <c r="J71" s="26" t="str">
        <f>IF(B71="", "", CONCATENATE('Lighting Inventory'!W80, ", ", 'Lighting Inventory'!AL80, " W"))</f>
        <v/>
      </c>
      <c r="K71" s="26" t="str">
        <f>IF(OR(B71="",'Lighting Inventory'!B80="Retrofit"),"",IF('General Information'!$F$16="Space-by-Space",CONCATENATE('Lighting Inventory'!N80,", ",'Lighting Inventory'!O80," ",'Lighting Inventory'!P80," LPD"," at ",'Lighting Inventory'!Q80,", ",'Lighting Inventory'!R80," kW"),CONCATENATE(B71,", ",'Lighting Inventory'!O80," ",'Lighting Inventory'!P80," LPD"," at ",'Lighting Inventory'!Q80,", ",'Lighting Inventory'!R80," kW")))</f>
        <v/>
      </c>
      <c r="L71" s="26" t="str">
        <f>IF(H71="","",IF('Lighting Inventory'!AK80="","",'Lighting Inventory'!AK80))</f>
        <v/>
      </c>
      <c r="M71" s="26" t="str">
        <f>IF(H71="", "", 'Lighting Inventory'!AL80)</f>
        <v/>
      </c>
      <c r="N71" s="26" t="str">
        <f>IF('Lighting Inventory'!S80="", "", IF('Lighting Inventory'!W80="No Change", 'Lighting Inventory'!I80, 'Lighting Inventory'!S80))</f>
        <v/>
      </c>
      <c r="O71" s="26" t="str">
        <f>IF('Lighting Inventory'!AN80="", "", VLOOKUP('Lighting Inventory'!AN80, 'Lookup Tables'!$B$142:$D$148, 3, FALSE))</f>
        <v/>
      </c>
      <c r="P71" s="66" t="str">
        <f>IF(B71="", "", 'Lighting Inventory'!AX80)</f>
        <v/>
      </c>
      <c r="Q71" s="67" t="str">
        <f>IF(B71="", "", 'Lighting Inventory'!AZ80)</f>
        <v/>
      </c>
      <c r="R71" s="187" t="str">
        <f>IF(OR('Lighting Inventory'!G80="", 'Lighting Inventory'!H80=""), "", 'Lighting Inventory'!BD80)</f>
        <v/>
      </c>
      <c r="S71" s="187" t="str">
        <f>IF(OR('Lighting Inventory'!G80="", 'Lighting Inventory'!H80=""), "",'Lighting Inventory'!BB80)</f>
        <v/>
      </c>
      <c r="T71" s="67" t="str">
        <f>IF(B71="", "", 'Lighting Inventory'!BE80)</f>
        <v/>
      </c>
      <c r="U71" s="67" t="str">
        <f>IF(B71="", "", 'Lighting Inventory'!BF80)</f>
        <v/>
      </c>
      <c r="BM71" s="186" t="str">
        <f t="shared" si="1"/>
        <v>-</v>
      </c>
    </row>
    <row r="72" spans="1:65" x14ac:dyDescent="0.25">
      <c r="A72" s="189">
        <v>71</v>
      </c>
      <c r="B72" s="186" t="str">
        <f>IF('Lighting Inventory'!F81="", "", 'Lighting Inventory'!F81)</f>
        <v/>
      </c>
      <c r="C72" s="26" t="str">
        <f>IF(B72="", "", CONCATENATE("Area: ", 'Lighting Inventory'!D81, ", ", IF('Lighting Inventory'!C81="", "", "Floor: "), 'Lighting Inventory'!C81))</f>
        <v/>
      </c>
      <c r="D72" s="186" t="str">
        <f>IF(B72="", "", IF('Lighting Inventory'!B81="New Construction",CONCATENATE("Cut Sheet ", 250+'Appendix C'!A72), IF(ISNUMBER(SEARCH("cut sheet", 'Lighting Inventory'!J81)), CONCATENATE("Cut Sheet ", 'Lookup Tables'!AX74), 'Lighting Inventory'!J81)))</f>
        <v/>
      </c>
      <c r="E72" s="26" t="str">
        <f>IF(B72="", "", IF('Lighting Inventory'!B81="New Construction", 1, 'Lighting Inventory'!I81))</f>
        <v/>
      </c>
      <c r="F72" s="26" t="str">
        <f>IF(B72="", "", IF('Lighting Inventory'!B81="New Construction", 'Lighting Inventory'!R81*1000, 'Lighting Inventory'!K81))</f>
        <v/>
      </c>
      <c r="G72" s="26" t="str">
        <f>IF(B72="", "", IF('Lighting Inventory'!M81="", "S_LS", VLOOKUP('Lighting Inventory'!M81, 'Lookup Tables'!$B$142:$D$148, 3, FALSE)))</f>
        <v/>
      </c>
      <c r="H72" s="26" t="str">
        <f>IF(OR('Lighting Inventory'!V81="", 'Lighting Inventory'!W81=""), "", IF('Lighting Inventory'!W81="No Change", 'Lighting Inventory'!J81, CONCATENATE("Cut Sheet ", 'Appendix C'!A72)))</f>
        <v/>
      </c>
      <c r="I72" s="26" t="str">
        <f>IF(H72="", "", IF('Lighting Inventory'!AB81="Yes", "Screw-In", "General"))</f>
        <v/>
      </c>
      <c r="J72" s="26" t="str">
        <f>IF(B72="", "", CONCATENATE('Lighting Inventory'!W81, ", ", 'Lighting Inventory'!AL81, " W"))</f>
        <v/>
      </c>
      <c r="K72" s="26" t="str">
        <f>IF(OR(B72="",'Lighting Inventory'!B81="Retrofit"),"",IF('General Information'!$F$16="Space-by-Space",CONCATENATE('Lighting Inventory'!N81,", ",'Lighting Inventory'!O81," ",'Lighting Inventory'!P81," LPD"," at ",'Lighting Inventory'!Q81,", ",'Lighting Inventory'!R81," kW"),CONCATENATE(B72,", ",'Lighting Inventory'!O81," ",'Lighting Inventory'!P81," LPD"," at ",'Lighting Inventory'!Q81,", ",'Lighting Inventory'!R81," kW")))</f>
        <v/>
      </c>
      <c r="L72" s="26" t="str">
        <f>IF(H72="","",IF('Lighting Inventory'!AK81="","",'Lighting Inventory'!AK81))</f>
        <v/>
      </c>
      <c r="M72" s="26" t="str">
        <f>IF(H72="", "", 'Lighting Inventory'!AL81)</f>
        <v/>
      </c>
      <c r="N72" s="26" t="str">
        <f>IF('Lighting Inventory'!S81="", "", IF('Lighting Inventory'!W81="No Change", 'Lighting Inventory'!I81, 'Lighting Inventory'!S81))</f>
        <v/>
      </c>
      <c r="O72" s="26" t="str">
        <f>IF('Lighting Inventory'!AN81="", "", VLOOKUP('Lighting Inventory'!AN81, 'Lookup Tables'!$B$142:$D$148, 3, FALSE))</f>
        <v/>
      </c>
      <c r="P72" s="66" t="str">
        <f>IF(B72="", "", 'Lighting Inventory'!AX81)</f>
        <v/>
      </c>
      <c r="Q72" s="67" t="str">
        <f>IF(B72="", "", 'Lighting Inventory'!AZ81)</f>
        <v/>
      </c>
      <c r="R72" s="187" t="str">
        <f>IF(OR('Lighting Inventory'!G81="", 'Lighting Inventory'!H81=""), "", 'Lighting Inventory'!BD81)</f>
        <v/>
      </c>
      <c r="S72" s="187" t="str">
        <f>IF(OR('Lighting Inventory'!G81="", 'Lighting Inventory'!H81=""), "",'Lighting Inventory'!BB81)</f>
        <v/>
      </c>
      <c r="T72" s="67" t="str">
        <f>IF(B72="", "", 'Lighting Inventory'!BE81)</f>
        <v/>
      </c>
      <c r="U72" s="67" t="str">
        <f>IF(B72="", "", 'Lighting Inventory'!BF81)</f>
        <v/>
      </c>
      <c r="BM72" s="186" t="str">
        <f t="shared" si="1"/>
        <v>-</v>
      </c>
    </row>
    <row r="73" spans="1:65" x14ac:dyDescent="0.25">
      <c r="A73" s="189">
        <v>72</v>
      </c>
      <c r="B73" s="186" t="str">
        <f>IF('Lighting Inventory'!F82="", "", 'Lighting Inventory'!F82)</f>
        <v/>
      </c>
      <c r="C73" s="26" t="str">
        <f>IF(B73="", "", CONCATENATE("Area: ", 'Lighting Inventory'!D82, ", ", IF('Lighting Inventory'!C82="", "", "Floor: "), 'Lighting Inventory'!C82))</f>
        <v/>
      </c>
      <c r="D73" s="186" t="str">
        <f>IF(B73="", "", IF('Lighting Inventory'!B82="New Construction",CONCATENATE("Cut Sheet ", 250+'Appendix C'!A73), IF(ISNUMBER(SEARCH("cut sheet", 'Lighting Inventory'!J82)), CONCATENATE("Cut Sheet ", 'Lookup Tables'!AX75), 'Lighting Inventory'!J82)))</f>
        <v/>
      </c>
      <c r="E73" s="26" t="str">
        <f>IF(B73="", "", IF('Lighting Inventory'!B82="New Construction", 1, 'Lighting Inventory'!I82))</f>
        <v/>
      </c>
      <c r="F73" s="26" t="str">
        <f>IF(B73="", "", IF('Lighting Inventory'!B82="New Construction", 'Lighting Inventory'!R82*1000, 'Lighting Inventory'!K82))</f>
        <v/>
      </c>
      <c r="G73" s="26" t="str">
        <f>IF(B73="", "", IF('Lighting Inventory'!M82="", "S_LS", VLOOKUP('Lighting Inventory'!M82, 'Lookup Tables'!$B$142:$D$148, 3, FALSE)))</f>
        <v/>
      </c>
      <c r="H73" s="26" t="str">
        <f>IF(OR('Lighting Inventory'!V82="", 'Lighting Inventory'!W82=""), "", IF('Lighting Inventory'!W82="No Change", 'Lighting Inventory'!J82, CONCATENATE("Cut Sheet ", 'Appendix C'!A73)))</f>
        <v/>
      </c>
      <c r="I73" s="26" t="str">
        <f>IF(H73="", "", IF('Lighting Inventory'!AB82="Yes", "Screw-In", "General"))</f>
        <v/>
      </c>
      <c r="J73" s="26" t="str">
        <f>IF(B73="", "", CONCATENATE('Lighting Inventory'!W82, ", ", 'Lighting Inventory'!AL82, " W"))</f>
        <v/>
      </c>
      <c r="K73" s="26" t="str">
        <f>IF(OR(B73="",'Lighting Inventory'!B82="Retrofit"),"",IF('General Information'!$F$16="Space-by-Space",CONCATENATE('Lighting Inventory'!N82,", ",'Lighting Inventory'!O82," ",'Lighting Inventory'!P82," LPD"," at ",'Lighting Inventory'!Q82,", ",'Lighting Inventory'!R82," kW"),CONCATENATE(B73,", ",'Lighting Inventory'!O82," ",'Lighting Inventory'!P82," LPD"," at ",'Lighting Inventory'!Q82,", ",'Lighting Inventory'!R82," kW")))</f>
        <v/>
      </c>
      <c r="L73" s="26" t="str">
        <f>IF(H73="","",IF('Lighting Inventory'!AK82="","",'Lighting Inventory'!AK82))</f>
        <v/>
      </c>
      <c r="M73" s="26" t="str">
        <f>IF(H73="", "", 'Lighting Inventory'!AL82)</f>
        <v/>
      </c>
      <c r="N73" s="26" t="str">
        <f>IF('Lighting Inventory'!S82="", "", IF('Lighting Inventory'!W82="No Change", 'Lighting Inventory'!I82, 'Lighting Inventory'!S82))</f>
        <v/>
      </c>
      <c r="O73" s="26" t="str">
        <f>IF('Lighting Inventory'!AN82="", "", VLOOKUP('Lighting Inventory'!AN82, 'Lookup Tables'!$B$142:$D$148, 3, FALSE))</f>
        <v/>
      </c>
      <c r="P73" s="66" t="str">
        <f>IF(B73="", "", 'Lighting Inventory'!AX82)</f>
        <v/>
      </c>
      <c r="Q73" s="67" t="str">
        <f>IF(B73="", "", 'Lighting Inventory'!AZ82)</f>
        <v/>
      </c>
      <c r="R73" s="187" t="str">
        <f>IF(OR('Lighting Inventory'!G82="", 'Lighting Inventory'!H82=""), "", 'Lighting Inventory'!BD82)</f>
        <v/>
      </c>
      <c r="S73" s="187" t="str">
        <f>IF(OR('Lighting Inventory'!G82="", 'Lighting Inventory'!H82=""), "",'Lighting Inventory'!BB82)</f>
        <v/>
      </c>
      <c r="T73" s="67" t="str">
        <f>IF(B73="", "", 'Lighting Inventory'!BE82)</f>
        <v/>
      </c>
      <c r="U73" s="67" t="str">
        <f>IF(B73="", "", 'Lighting Inventory'!BF82)</f>
        <v/>
      </c>
      <c r="BM73" s="186" t="str">
        <f t="shared" si="1"/>
        <v>-</v>
      </c>
    </row>
    <row r="74" spans="1:65" x14ac:dyDescent="0.25">
      <c r="A74" s="189">
        <v>73</v>
      </c>
      <c r="B74" s="186" t="str">
        <f>IF('Lighting Inventory'!F83="", "", 'Lighting Inventory'!F83)</f>
        <v/>
      </c>
      <c r="C74" s="26" t="str">
        <f>IF(B74="", "", CONCATENATE("Area: ", 'Lighting Inventory'!D83, ", ", IF('Lighting Inventory'!C83="", "", "Floor: "), 'Lighting Inventory'!C83))</f>
        <v/>
      </c>
      <c r="D74" s="186" t="str">
        <f>IF(B74="", "", IF('Lighting Inventory'!B83="New Construction",CONCATENATE("Cut Sheet ", 250+'Appendix C'!A74), IF(ISNUMBER(SEARCH("cut sheet", 'Lighting Inventory'!J83)), CONCATENATE("Cut Sheet ", 'Lookup Tables'!AX76), 'Lighting Inventory'!J83)))</f>
        <v/>
      </c>
      <c r="E74" s="26" t="str">
        <f>IF(B74="", "", IF('Lighting Inventory'!B83="New Construction", 1, 'Lighting Inventory'!I83))</f>
        <v/>
      </c>
      <c r="F74" s="26" t="str">
        <f>IF(B74="", "", IF('Lighting Inventory'!B83="New Construction", 'Lighting Inventory'!R83*1000, 'Lighting Inventory'!K83))</f>
        <v/>
      </c>
      <c r="G74" s="26" t="str">
        <f>IF(B74="", "", IF('Lighting Inventory'!M83="", "S_LS", VLOOKUP('Lighting Inventory'!M83, 'Lookup Tables'!$B$142:$D$148, 3, FALSE)))</f>
        <v/>
      </c>
      <c r="H74" s="26" t="str">
        <f>IF(OR('Lighting Inventory'!V83="", 'Lighting Inventory'!W83=""), "", IF('Lighting Inventory'!W83="No Change", 'Lighting Inventory'!J83, CONCATENATE("Cut Sheet ", 'Appendix C'!A74)))</f>
        <v/>
      </c>
      <c r="I74" s="26" t="str">
        <f>IF(H74="", "", IF('Lighting Inventory'!AB83="Yes", "Screw-In", "General"))</f>
        <v/>
      </c>
      <c r="J74" s="26" t="str">
        <f>IF(B74="", "", CONCATENATE('Lighting Inventory'!W83, ", ", 'Lighting Inventory'!AL83, " W"))</f>
        <v/>
      </c>
      <c r="K74" s="26" t="str">
        <f>IF(OR(B74="",'Lighting Inventory'!B83="Retrofit"),"",IF('General Information'!$F$16="Space-by-Space",CONCATENATE('Lighting Inventory'!N83,", ",'Lighting Inventory'!O83," ",'Lighting Inventory'!P83," LPD"," at ",'Lighting Inventory'!Q83,", ",'Lighting Inventory'!R83," kW"),CONCATENATE(B74,", ",'Lighting Inventory'!O83," ",'Lighting Inventory'!P83," LPD"," at ",'Lighting Inventory'!Q83,", ",'Lighting Inventory'!R83," kW")))</f>
        <v/>
      </c>
      <c r="L74" s="26" t="str">
        <f>IF(H74="","",IF('Lighting Inventory'!AK83="","",'Lighting Inventory'!AK83))</f>
        <v/>
      </c>
      <c r="M74" s="26" t="str">
        <f>IF(H74="", "", 'Lighting Inventory'!AL83)</f>
        <v/>
      </c>
      <c r="N74" s="26" t="str">
        <f>IF('Lighting Inventory'!S83="", "", IF('Lighting Inventory'!W83="No Change", 'Lighting Inventory'!I83, 'Lighting Inventory'!S83))</f>
        <v/>
      </c>
      <c r="O74" s="26" t="str">
        <f>IF('Lighting Inventory'!AN83="", "", VLOOKUP('Lighting Inventory'!AN83, 'Lookup Tables'!$B$142:$D$148, 3, FALSE))</f>
        <v/>
      </c>
      <c r="P74" s="66" t="str">
        <f>IF(B74="", "", 'Lighting Inventory'!AX83)</f>
        <v/>
      </c>
      <c r="Q74" s="67" t="str">
        <f>IF(B74="", "", 'Lighting Inventory'!AZ83)</f>
        <v/>
      </c>
      <c r="R74" s="187" t="str">
        <f>IF(OR('Lighting Inventory'!G83="", 'Lighting Inventory'!H83=""), "", 'Lighting Inventory'!BD83)</f>
        <v/>
      </c>
      <c r="S74" s="187" t="str">
        <f>IF(OR('Lighting Inventory'!G83="", 'Lighting Inventory'!H83=""), "",'Lighting Inventory'!BB83)</f>
        <v/>
      </c>
      <c r="T74" s="67" t="str">
        <f>IF(B74="", "", 'Lighting Inventory'!BE83)</f>
        <v/>
      </c>
      <c r="U74" s="67" t="str">
        <f>IF(B74="", "", 'Lighting Inventory'!BF83)</f>
        <v/>
      </c>
      <c r="BM74" s="186" t="str">
        <f t="shared" si="1"/>
        <v>-</v>
      </c>
    </row>
    <row r="75" spans="1:65" x14ac:dyDescent="0.25">
      <c r="A75" s="189">
        <v>74</v>
      </c>
      <c r="B75" s="186" t="str">
        <f>IF('Lighting Inventory'!F84="", "", 'Lighting Inventory'!F84)</f>
        <v/>
      </c>
      <c r="C75" s="26" t="str">
        <f>IF(B75="", "", CONCATENATE("Area: ", 'Lighting Inventory'!D84, ", ", IF('Lighting Inventory'!C84="", "", "Floor: "), 'Lighting Inventory'!C84))</f>
        <v/>
      </c>
      <c r="D75" s="186" t="str">
        <f>IF(B75="", "", IF('Lighting Inventory'!B84="New Construction",CONCATENATE("Cut Sheet ", 250+'Appendix C'!A75), IF(ISNUMBER(SEARCH("cut sheet", 'Lighting Inventory'!J84)), CONCATENATE("Cut Sheet ", 'Lookup Tables'!AX77), 'Lighting Inventory'!J84)))</f>
        <v/>
      </c>
      <c r="E75" s="26" t="str">
        <f>IF(B75="", "", IF('Lighting Inventory'!B84="New Construction", 1, 'Lighting Inventory'!I84))</f>
        <v/>
      </c>
      <c r="F75" s="26" t="str">
        <f>IF(B75="", "", IF('Lighting Inventory'!B84="New Construction", 'Lighting Inventory'!R84*1000, 'Lighting Inventory'!K84))</f>
        <v/>
      </c>
      <c r="G75" s="26" t="str">
        <f>IF(B75="", "", IF('Lighting Inventory'!M84="", "S_LS", VLOOKUP('Lighting Inventory'!M84, 'Lookup Tables'!$B$142:$D$148, 3, FALSE)))</f>
        <v/>
      </c>
      <c r="H75" s="26" t="str">
        <f>IF(OR('Lighting Inventory'!V84="", 'Lighting Inventory'!W84=""), "", IF('Lighting Inventory'!W84="No Change", 'Lighting Inventory'!J84, CONCATENATE("Cut Sheet ", 'Appendix C'!A75)))</f>
        <v/>
      </c>
      <c r="I75" s="26" t="str">
        <f>IF(H75="", "", IF('Lighting Inventory'!AB84="Yes", "Screw-In", "General"))</f>
        <v/>
      </c>
      <c r="J75" s="26" t="str">
        <f>IF(B75="", "", CONCATENATE('Lighting Inventory'!W84, ", ", 'Lighting Inventory'!AL84, " W"))</f>
        <v/>
      </c>
      <c r="K75" s="26" t="str">
        <f>IF(OR(B75="",'Lighting Inventory'!B84="Retrofit"),"",IF('General Information'!$F$16="Space-by-Space",CONCATENATE('Lighting Inventory'!N84,", ",'Lighting Inventory'!O84," ",'Lighting Inventory'!P84," LPD"," at ",'Lighting Inventory'!Q84,", ",'Lighting Inventory'!R84," kW"),CONCATENATE(B75,", ",'Lighting Inventory'!O84," ",'Lighting Inventory'!P84," LPD"," at ",'Lighting Inventory'!Q84,", ",'Lighting Inventory'!R84," kW")))</f>
        <v/>
      </c>
      <c r="L75" s="26" t="str">
        <f>IF(H75="","",IF('Lighting Inventory'!AK84="","",'Lighting Inventory'!AK84))</f>
        <v/>
      </c>
      <c r="M75" s="26" t="str">
        <f>IF(H75="", "", 'Lighting Inventory'!AL84)</f>
        <v/>
      </c>
      <c r="N75" s="26" t="str">
        <f>IF('Lighting Inventory'!S84="", "", IF('Lighting Inventory'!W84="No Change", 'Lighting Inventory'!I84, 'Lighting Inventory'!S84))</f>
        <v/>
      </c>
      <c r="O75" s="26" t="str">
        <f>IF('Lighting Inventory'!AN84="", "", VLOOKUP('Lighting Inventory'!AN84, 'Lookup Tables'!$B$142:$D$148, 3, FALSE))</f>
        <v/>
      </c>
      <c r="P75" s="66" t="str">
        <f>IF(B75="", "", 'Lighting Inventory'!AX84)</f>
        <v/>
      </c>
      <c r="Q75" s="67" t="str">
        <f>IF(B75="", "", 'Lighting Inventory'!AZ84)</f>
        <v/>
      </c>
      <c r="R75" s="187" t="str">
        <f>IF(OR('Lighting Inventory'!G84="", 'Lighting Inventory'!H84=""), "", 'Lighting Inventory'!BD84)</f>
        <v/>
      </c>
      <c r="S75" s="187" t="str">
        <f>IF(OR('Lighting Inventory'!G84="", 'Lighting Inventory'!H84=""), "",'Lighting Inventory'!BB84)</f>
        <v/>
      </c>
      <c r="T75" s="67" t="str">
        <f>IF(B75="", "", 'Lighting Inventory'!BE84)</f>
        <v/>
      </c>
      <c r="U75" s="67" t="str">
        <f>IF(B75="", "", 'Lighting Inventory'!BF84)</f>
        <v/>
      </c>
      <c r="BM75" s="186" t="str">
        <f t="shared" si="1"/>
        <v>-</v>
      </c>
    </row>
    <row r="76" spans="1:65" x14ac:dyDescent="0.25">
      <c r="A76" s="189">
        <v>75</v>
      </c>
      <c r="B76" s="186" t="str">
        <f>IF('Lighting Inventory'!F85="", "", 'Lighting Inventory'!F85)</f>
        <v/>
      </c>
      <c r="C76" s="26" t="str">
        <f>IF(B76="", "", CONCATENATE("Area: ", 'Lighting Inventory'!D85, ", ", IF('Lighting Inventory'!C85="", "", "Floor: "), 'Lighting Inventory'!C85))</f>
        <v/>
      </c>
      <c r="D76" s="186" t="str">
        <f>IF(B76="", "", IF('Lighting Inventory'!B85="New Construction",CONCATENATE("Cut Sheet ", 250+'Appendix C'!A76), IF(ISNUMBER(SEARCH("cut sheet", 'Lighting Inventory'!J85)), CONCATENATE("Cut Sheet ", 'Lookup Tables'!AX78), 'Lighting Inventory'!J85)))</f>
        <v/>
      </c>
      <c r="E76" s="26" t="str">
        <f>IF(B76="", "", IF('Lighting Inventory'!B85="New Construction", 1, 'Lighting Inventory'!I85))</f>
        <v/>
      </c>
      <c r="F76" s="26" t="str">
        <f>IF(B76="", "", IF('Lighting Inventory'!B85="New Construction", 'Lighting Inventory'!R85*1000, 'Lighting Inventory'!K85))</f>
        <v/>
      </c>
      <c r="G76" s="26" t="str">
        <f>IF(B76="", "", IF('Lighting Inventory'!M85="", "S_LS", VLOOKUP('Lighting Inventory'!M85, 'Lookup Tables'!$B$142:$D$148, 3, FALSE)))</f>
        <v/>
      </c>
      <c r="H76" s="26" t="str">
        <f>IF(OR('Lighting Inventory'!V85="", 'Lighting Inventory'!W85=""), "", IF('Lighting Inventory'!W85="No Change", 'Lighting Inventory'!J85, CONCATENATE("Cut Sheet ", 'Appendix C'!A76)))</f>
        <v/>
      </c>
      <c r="I76" s="26" t="str">
        <f>IF(H76="", "", IF('Lighting Inventory'!AB85="Yes", "Screw-In", "General"))</f>
        <v/>
      </c>
      <c r="J76" s="26" t="str">
        <f>IF(B76="", "", CONCATENATE('Lighting Inventory'!W85, ", ", 'Lighting Inventory'!AL85, " W"))</f>
        <v/>
      </c>
      <c r="K76" s="26" t="str">
        <f>IF(OR(B76="",'Lighting Inventory'!B85="Retrofit"),"",IF('General Information'!$F$16="Space-by-Space",CONCATENATE('Lighting Inventory'!N85,", ",'Lighting Inventory'!O85," ",'Lighting Inventory'!P85," LPD"," at ",'Lighting Inventory'!Q85,", ",'Lighting Inventory'!R85," kW"),CONCATENATE(B76,", ",'Lighting Inventory'!O85," ",'Lighting Inventory'!P85," LPD"," at ",'Lighting Inventory'!Q85,", ",'Lighting Inventory'!R85," kW")))</f>
        <v/>
      </c>
      <c r="L76" s="26" t="str">
        <f>IF(H76="","",IF('Lighting Inventory'!AK85="","",'Lighting Inventory'!AK85))</f>
        <v/>
      </c>
      <c r="M76" s="26" t="str">
        <f>IF(H76="", "", 'Lighting Inventory'!AL85)</f>
        <v/>
      </c>
      <c r="N76" s="26" t="str">
        <f>IF('Lighting Inventory'!S85="", "", IF('Lighting Inventory'!W85="No Change", 'Lighting Inventory'!I85, 'Lighting Inventory'!S85))</f>
        <v/>
      </c>
      <c r="O76" s="26" t="str">
        <f>IF('Lighting Inventory'!AN85="", "", VLOOKUP('Lighting Inventory'!AN85, 'Lookup Tables'!$B$142:$D$148, 3, FALSE))</f>
        <v/>
      </c>
      <c r="P76" s="66" t="str">
        <f>IF(B76="", "", 'Lighting Inventory'!AX85)</f>
        <v/>
      </c>
      <c r="Q76" s="67" t="str">
        <f>IF(B76="", "", 'Lighting Inventory'!AZ85)</f>
        <v/>
      </c>
      <c r="R76" s="187" t="str">
        <f>IF(OR('Lighting Inventory'!G85="", 'Lighting Inventory'!H85=""), "", 'Lighting Inventory'!BD85)</f>
        <v/>
      </c>
      <c r="S76" s="187" t="str">
        <f>IF(OR('Lighting Inventory'!G85="", 'Lighting Inventory'!H85=""), "",'Lighting Inventory'!BB85)</f>
        <v/>
      </c>
      <c r="T76" s="67" t="str">
        <f>IF(B76="", "", 'Lighting Inventory'!BE85)</f>
        <v/>
      </c>
      <c r="U76" s="67" t="str">
        <f>IF(B76="", "", 'Lighting Inventory'!BF85)</f>
        <v/>
      </c>
      <c r="BM76" s="186" t="str">
        <f t="shared" si="1"/>
        <v>-</v>
      </c>
    </row>
    <row r="77" spans="1:65" x14ac:dyDescent="0.25">
      <c r="A77" s="189">
        <v>76</v>
      </c>
      <c r="B77" s="186" t="str">
        <f>IF('Lighting Inventory'!F86="", "", 'Lighting Inventory'!F86)</f>
        <v/>
      </c>
      <c r="C77" s="26" t="str">
        <f>IF(B77="", "", CONCATENATE("Area: ", 'Lighting Inventory'!D86, ", ", IF('Lighting Inventory'!C86="", "", "Floor: "), 'Lighting Inventory'!C86))</f>
        <v/>
      </c>
      <c r="D77" s="186" t="str">
        <f>IF(B77="", "", IF('Lighting Inventory'!B86="New Construction",CONCATENATE("Cut Sheet ", 250+'Appendix C'!A77), IF(ISNUMBER(SEARCH("cut sheet", 'Lighting Inventory'!J86)), CONCATENATE("Cut Sheet ", 'Lookup Tables'!AX79), 'Lighting Inventory'!J86)))</f>
        <v/>
      </c>
      <c r="E77" s="26" t="str">
        <f>IF(B77="", "", IF('Lighting Inventory'!B86="New Construction", 1, 'Lighting Inventory'!I86))</f>
        <v/>
      </c>
      <c r="F77" s="26" t="str">
        <f>IF(B77="", "", IF('Lighting Inventory'!B86="New Construction", 'Lighting Inventory'!R86*1000, 'Lighting Inventory'!K86))</f>
        <v/>
      </c>
      <c r="G77" s="26" t="str">
        <f>IF(B77="", "", IF('Lighting Inventory'!M86="", "S_LS", VLOOKUP('Lighting Inventory'!M86, 'Lookup Tables'!$B$142:$D$148, 3, FALSE)))</f>
        <v/>
      </c>
      <c r="H77" s="26" t="str">
        <f>IF(OR('Lighting Inventory'!V86="", 'Lighting Inventory'!W86=""), "", IF('Lighting Inventory'!W86="No Change", 'Lighting Inventory'!J86, CONCATENATE("Cut Sheet ", 'Appendix C'!A77)))</f>
        <v/>
      </c>
      <c r="I77" s="26" t="str">
        <f>IF(H77="", "", IF('Lighting Inventory'!AB86="Yes", "Screw-In", "General"))</f>
        <v/>
      </c>
      <c r="J77" s="26" t="str">
        <f>IF(B77="", "", CONCATENATE('Lighting Inventory'!W86, ", ", 'Lighting Inventory'!AL86, " W"))</f>
        <v/>
      </c>
      <c r="K77" s="26" t="str">
        <f>IF(OR(B77="",'Lighting Inventory'!B86="Retrofit"),"",IF('General Information'!$F$16="Space-by-Space",CONCATENATE('Lighting Inventory'!N86,", ",'Lighting Inventory'!O86," ",'Lighting Inventory'!P86," LPD"," at ",'Lighting Inventory'!Q86,", ",'Lighting Inventory'!R86," kW"),CONCATENATE(B77,", ",'Lighting Inventory'!O86," ",'Lighting Inventory'!P86," LPD"," at ",'Lighting Inventory'!Q86,", ",'Lighting Inventory'!R86," kW")))</f>
        <v/>
      </c>
      <c r="L77" s="26" t="str">
        <f>IF(H77="","",IF('Lighting Inventory'!AK86="","",'Lighting Inventory'!AK86))</f>
        <v/>
      </c>
      <c r="M77" s="26" t="str">
        <f>IF(H77="", "", 'Lighting Inventory'!AL86)</f>
        <v/>
      </c>
      <c r="N77" s="26" t="str">
        <f>IF('Lighting Inventory'!S86="", "", IF('Lighting Inventory'!W86="No Change", 'Lighting Inventory'!I86, 'Lighting Inventory'!S86))</f>
        <v/>
      </c>
      <c r="O77" s="26" t="str">
        <f>IF('Lighting Inventory'!AN86="", "", VLOOKUP('Lighting Inventory'!AN86, 'Lookup Tables'!$B$142:$D$148, 3, FALSE))</f>
        <v/>
      </c>
      <c r="P77" s="66" t="str">
        <f>IF(B77="", "", 'Lighting Inventory'!AX86)</f>
        <v/>
      </c>
      <c r="Q77" s="67" t="str">
        <f>IF(B77="", "", 'Lighting Inventory'!AZ86)</f>
        <v/>
      </c>
      <c r="R77" s="187" t="str">
        <f>IF(OR('Lighting Inventory'!G86="", 'Lighting Inventory'!H86=""), "", 'Lighting Inventory'!BD86)</f>
        <v/>
      </c>
      <c r="S77" s="187" t="str">
        <f>IF(OR('Lighting Inventory'!G86="", 'Lighting Inventory'!H86=""), "",'Lighting Inventory'!BB86)</f>
        <v/>
      </c>
      <c r="T77" s="67" t="str">
        <f>IF(B77="", "", 'Lighting Inventory'!BE86)</f>
        <v/>
      </c>
      <c r="U77" s="67" t="str">
        <f>IF(B77="", "", 'Lighting Inventory'!BF86)</f>
        <v/>
      </c>
      <c r="BM77" s="186" t="str">
        <f t="shared" si="1"/>
        <v>-</v>
      </c>
    </row>
    <row r="78" spans="1:65" x14ac:dyDescent="0.25">
      <c r="A78" s="189">
        <v>77</v>
      </c>
      <c r="B78" s="186" t="str">
        <f>IF('Lighting Inventory'!F87="", "", 'Lighting Inventory'!F87)</f>
        <v/>
      </c>
      <c r="C78" s="26" t="str">
        <f>IF(B78="", "", CONCATENATE("Area: ", 'Lighting Inventory'!D87, ", ", IF('Lighting Inventory'!C87="", "", "Floor: "), 'Lighting Inventory'!C87))</f>
        <v/>
      </c>
      <c r="D78" s="186" t="str">
        <f>IF(B78="", "", IF('Lighting Inventory'!B87="New Construction",CONCATENATE("Cut Sheet ", 250+'Appendix C'!A78), IF(ISNUMBER(SEARCH("cut sheet", 'Lighting Inventory'!J87)), CONCATENATE("Cut Sheet ", 'Lookup Tables'!AX80), 'Lighting Inventory'!J87)))</f>
        <v/>
      </c>
      <c r="E78" s="26" t="str">
        <f>IF(B78="", "", IF('Lighting Inventory'!B87="New Construction", 1, 'Lighting Inventory'!I87))</f>
        <v/>
      </c>
      <c r="F78" s="26" t="str">
        <f>IF(B78="", "", IF('Lighting Inventory'!B87="New Construction", 'Lighting Inventory'!R87*1000, 'Lighting Inventory'!K87))</f>
        <v/>
      </c>
      <c r="G78" s="26" t="str">
        <f>IF(B78="", "", IF('Lighting Inventory'!M87="", "S_LS", VLOOKUP('Lighting Inventory'!M87, 'Lookup Tables'!$B$142:$D$148, 3, FALSE)))</f>
        <v/>
      </c>
      <c r="H78" s="26" t="str">
        <f>IF(OR('Lighting Inventory'!V87="", 'Lighting Inventory'!W87=""), "", IF('Lighting Inventory'!W87="No Change", 'Lighting Inventory'!J87, CONCATENATE("Cut Sheet ", 'Appendix C'!A78)))</f>
        <v/>
      </c>
      <c r="I78" s="26" t="str">
        <f>IF(H78="", "", IF('Lighting Inventory'!AB87="Yes", "Screw-In", "General"))</f>
        <v/>
      </c>
      <c r="J78" s="26" t="str">
        <f>IF(B78="", "", CONCATENATE('Lighting Inventory'!W87, ", ", 'Lighting Inventory'!AL87, " W"))</f>
        <v/>
      </c>
      <c r="K78" s="26" t="str">
        <f>IF(OR(B78="",'Lighting Inventory'!B87="Retrofit"),"",IF('General Information'!$F$16="Space-by-Space",CONCATENATE('Lighting Inventory'!N87,", ",'Lighting Inventory'!O87," ",'Lighting Inventory'!P87," LPD"," at ",'Lighting Inventory'!Q87,", ",'Lighting Inventory'!R87," kW"),CONCATENATE(B78,", ",'Lighting Inventory'!O87," ",'Lighting Inventory'!P87," LPD"," at ",'Lighting Inventory'!Q87,", ",'Lighting Inventory'!R87," kW")))</f>
        <v/>
      </c>
      <c r="L78" s="26" t="str">
        <f>IF(H78="","",IF('Lighting Inventory'!AK87="","",'Lighting Inventory'!AK87))</f>
        <v/>
      </c>
      <c r="M78" s="26" t="str">
        <f>IF(H78="", "", 'Lighting Inventory'!AL87)</f>
        <v/>
      </c>
      <c r="N78" s="26" t="str">
        <f>IF('Lighting Inventory'!S87="", "", IF('Lighting Inventory'!W87="No Change", 'Lighting Inventory'!I87, 'Lighting Inventory'!S87))</f>
        <v/>
      </c>
      <c r="O78" s="26" t="str">
        <f>IF('Lighting Inventory'!AN87="", "", VLOOKUP('Lighting Inventory'!AN87, 'Lookup Tables'!$B$142:$D$148, 3, FALSE))</f>
        <v/>
      </c>
      <c r="P78" s="66" t="str">
        <f>IF(B78="", "", 'Lighting Inventory'!AX87)</f>
        <v/>
      </c>
      <c r="Q78" s="67" t="str">
        <f>IF(B78="", "", 'Lighting Inventory'!AZ87)</f>
        <v/>
      </c>
      <c r="R78" s="187" t="str">
        <f>IF(OR('Lighting Inventory'!G87="", 'Lighting Inventory'!H87=""), "", 'Lighting Inventory'!BD87)</f>
        <v/>
      </c>
      <c r="S78" s="187" t="str">
        <f>IF(OR('Lighting Inventory'!G87="", 'Lighting Inventory'!H87=""), "",'Lighting Inventory'!BB87)</f>
        <v/>
      </c>
      <c r="T78" s="67" t="str">
        <f>IF(B78="", "", 'Lighting Inventory'!BE87)</f>
        <v/>
      </c>
      <c r="U78" s="67" t="str">
        <f>IF(B78="", "", 'Lighting Inventory'!BF87)</f>
        <v/>
      </c>
      <c r="BM78" s="186" t="str">
        <f t="shared" si="1"/>
        <v>-</v>
      </c>
    </row>
    <row r="79" spans="1:65" x14ac:dyDescent="0.25">
      <c r="A79" s="189">
        <v>78</v>
      </c>
      <c r="B79" s="186" t="str">
        <f>IF('Lighting Inventory'!F88="", "", 'Lighting Inventory'!F88)</f>
        <v/>
      </c>
      <c r="C79" s="26" t="str">
        <f>IF(B79="", "", CONCATENATE("Area: ", 'Lighting Inventory'!D88, ", ", IF('Lighting Inventory'!C88="", "", "Floor: "), 'Lighting Inventory'!C88))</f>
        <v/>
      </c>
      <c r="D79" s="186" t="str">
        <f>IF(B79="", "", IF('Lighting Inventory'!B88="New Construction",CONCATENATE("Cut Sheet ", 250+'Appendix C'!A79), IF(ISNUMBER(SEARCH("cut sheet", 'Lighting Inventory'!J88)), CONCATENATE("Cut Sheet ", 'Lookup Tables'!AX81), 'Lighting Inventory'!J88)))</f>
        <v/>
      </c>
      <c r="E79" s="26" t="str">
        <f>IF(B79="", "", IF('Lighting Inventory'!B88="New Construction", 1, 'Lighting Inventory'!I88))</f>
        <v/>
      </c>
      <c r="F79" s="26" t="str">
        <f>IF(B79="", "", IF('Lighting Inventory'!B88="New Construction", 'Lighting Inventory'!R88*1000, 'Lighting Inventory'!K88))</f>
        <v/>
      </c>
      <c r="G79" s="26" t="str">
        <f>IF(B79="", "", IF('Lighting Inventory'!M88="", "S_LS", VLOOKUP('Lighting Inventory'!M88, 'Lookup Tables'!$B$142:$D$148, 3, FALSE)))</f>
        <v/>
      </c>
      <c r="H79" s="26" t="str">
        <f>IF(OR('Lighting Inventory'!V88="", 'Lighting Inventory'!W88=""), "", IF('Lighting Inventory'!W88="No Change", 'Lighting Inventory'!J88, CONCATENATE("Cut Sheet ", 'Appendix C'!A79)))</f>
        <v/>
      </c>
      <c r="I79" s="26" t="str">
        <f>IF(H79="", "", IF('Lighting Inventory'!AB88="Yes", "Screw-In", "General"))</f>
        <v/>
      </c>
      <c r="J79" s="26" t="str">
        <f>IF(B79="", "", CONCATENATE('Lighting Inventory'!W88, ", ", 'Lighting Inventory'!AL88, " W"))</f>
        <v/>
      </c>
      <c r="K79" s="26" t="str">
        <f>IF(OR(B79="",'Lighting Inventory'!B88="Retrofit"),"",IF('General Information'!$F$16="Space-by-Space",CONCATENATE('Lighting Inventory'!N88,", ",'Lighting Inventory'!O88," ",'Lighting Inventory'!P88," LPD"," at ",'Lighting Inventory'!Q88,", ",'Lighting Inventory'!R88," kW"),CONCATENATE(B79,", ",'Lighting Inventory'!O88," ",'Lighting Inventory'!P88," LPD"," at ",'Lighting Inventory'!Q88,", ",'Lighting Inventory'!R88," kW")))</f>
        <v/>
      </c>
      <c r="L79" s="26" t="str">
        <f>IF(H79="","",IF('Lighting Inventory'!AK88="","",'Lighting Inventory'!AK88))</f>
        <v/>
      </c>
      <c r="M79" s="26" t="str">
        <f>IF(H79="", "", 'Lighting Inventory'!AL88)</f>
        <v/>
      </c>
      <c r="N79" s="26" t="str">
        <f>IF('Lighting Inventory'!S88="", "", IF('Lighting Inventory'!W88="No Change", 'Lighting Inventory'!I88, 'Lighting Inventory'!S88))</f>
        <v/>
      </c>
      <c r="O79" s="26" t="str">
        <f>IF('Lighting Inventory'!AN88="", "", VLOOKUP('Lighting Inventory'!AN88, 'Lookup Tables'!$B$142:$D$148, 3, FALSE))</f>
        <v/>
      </c>
      <c r="P79" s="66" t="str">
        <f>IF(B79="", "", 'Lighting Inventory'!AX88)</f>
        <v/>
      </c>
      <c r="Q79" s="67" t="str">
        <f>IF(B79="", "", 'Lighting Inventory'!AZ88)</f>
        <v/>
      </c>
      <c r="R79" s="187" t="str">
        <f>IF(OR('Lighting Inventory'!G88="", 'Lighting Inventory'!H88=""), "", 'Lighting Inventory'!BD88)</f>
        <v/>
      </c>
      <c r="S79" s="187" t="str">
        <f>IF(OR('Lighting Inventory'!G88="", 'Lighting Inventory'!H88=""), "",'Lighting Inventory'!BB88)</f>
        <v/>
      </c>
      <c r="T79" s="67" t="str">
        <f>IF(B79="", "", 'Lighting Inventory'!BE88)</f>
        <v/>
      </c>
      <c r="U79" s="67" t="str">
        <f>IF(B79="", "", 'Lighting Inventory'!BF88)</f>
        <v/>
      </c>
      <c r="BM79" s="186" t="str">
        <f t="shared" si="1"/>
        <v>-</v>
      </c>
    </row>
    <row r="80" spans="1:65" x14ac:dyDescent="0.25">
      <c r="A80" s="189">
        <v>79</v>
      </c>
      <c r="B80" s="186" t="str">
        <f>IF('Lighting Inventory'!F89="", "", 'Lighting Inventory'!F89)</f>
        <v/>
      </c>
      <c r="C80" s="26" t="str">
        <f>IF(B80="", "", CONCATENATE("Area: ", 'Lighting Inventory'!D89, ", ", IF('Lighting Inventory'!C89="", "", "Floor: "), 'Lighting Inventory'!C89))</f>
        <v/>
      </c>
      <c r="D80" s="186" t="str">
        <f>IF(B80="", "", IF('Lighting Inventory'!B89="New Construction",CONCATENATE("Cut Sheet ", 250+'Appendix C'!A80), IF(ISNUMBER(SEARCH("cut sheet", 'Lighting Inventory'!J89)), CONCATENATE("Cut Sheet ", 'Lookup Tables'!AX82), 'Lighting Inventory'!J89)))</f>
        <v/>
      </c>
      <c r="E80" s="26" t="str">
        <f>IF(B80="", "", IF('Lighting Inventory'!B89="New Construction", 1, 'Lighting Inventory'!I89))</f>
        <v/>
      </c>
      <c r="F80" s="26" t="str">
        <f>IF(B80="", "", IF('Lighting Inventory'!B89="New Construction", 'Lighting Inventory'!R89*1000, 'Lighting Inventory'!K89))</f>
        <v/>
      </c>
      <c r="G80" s="26" t="str">
        <f>IF(B80="", "", IF('Lighting Inventory'!M89="", "S_LS", VLOOKUP('Lighting Inventory'!M89, 'Lookup Tables'!$B$142:$D$148, 3, FALSE)))</f>
        <v/>
      </c>
      <c r="H80" s="26" t="str">
        <f>IF(OR('Lighting Inventory'!V89="", 'Lighting Inventory'!W89=""), "", IF('Lighting Inventory'!W89="No Change", 'Lighting Inventory'!J89, CONCATENATE("Cut Sheet ", 'Appendix C'!A80)))</f>
        <v/>
      </c>
      <c r="I80" s="26" t="str">
        <f>IF(H80="", "", IF('Lighting Inventory'!AB89="Yes", "Screw-In", "General"))</f>
        <v/>
      </c>
      <c r="J80" s="26" t="str">
        <f>IF(B80="", "", CONCATENATE('Lighting Inventory'!W89, ", ", 'Lighting Inventory'!AL89, " W"))</f>
        <v/>
      </c>
      <c r="K80" s="26" t="str">
        <f>IF(OR(B80="",'Lighting Inventory'!B89="Retrofit"),"",IF('General Information'!$F$16="Space-by-Space",CONCATENATE('Lighting Inventory'!N89,", ",'Lighting Inventory'!O89," ",'Lighting Inventory'!P89," LPD"," at ",'Lighting Inventory'!Q89,", ",'Lighting Inventory'!R89," kW"),CONCATENATE(B80,", ",'Lighting Inventory'!O89," ",'Lighting Inventory'!P89," LPD"," at ",'Lighting Inventory'!Q89,", ",'Lighting Inventory'!R89," kW")))</f>
        <v/>
      </c>
      <c r="L80" s="26" t="str">
        <f>IF(H80="","",IF('Lighting Inventory'!AK89="","",'Lighting Inventory'!AK89))</f>
        <v/>
      </c>
      <c r="M80" s="26" t="str">
        <f>IF(H80="", "", 'Lighting Inventory'!AL89)</f>
        <v/>
      </c>
      <c r="N80" s="26" t="str">
        <f>IF('Lighting Inventory'!S89="", "", IF('Lighting Inventory'!W89="No Change", 'Lighting Inventory'!I89, 'Lighting Inventory'!S89))</f>
        <v/>
      </c>
      <c r="O80" s="26" t="str">
        <f>IF('Lighting Inventory'!AN89="", "", VLOOKUP('Lighting Inventory'!AN89, 'Lookup Tables'!$B$142:$D$148, 3, FALSE))</f>
        <v/>
      </c>
      <c r="P80" s="66" t="str">
        <f>IF(B80="", "", 'Lighting Inventory'!AX89)</f>
        <v/>
      </c>
      <c r="Q80" s="67" t="str">
        <f>IF(B80="", "", 'Lighting Inventory'!AZ89)</f>
        <v/>
      </c>
      <c r="R80" s="187" t="str">
        <f>IF(OR('Lighting Inventory'!G89="", 'Lighting Inventory'!H89=""), "", 'Lighting Inventory'!BD89)</f>
        <v/>
      </c>
      <c r="S80" s="187" t="str">
        <f>IF(OR('Lighting Inventory'!G89="", 'Lighting Inventory'!H89=""), "",'Lighting Inventory'!BB89)</f>
        <v/>
      </c>
      <c r="T80" s="67" t="str">
        <f>IF(B80="", "", 'Lighting Inventory'!BE89)</f>
        <v/>
      </c>
      <c r="U80" s="67" t="str">
        <f>IF(B80="", "", 'Lighting Inventory'!BF89)</f>
        <v/>
      </c>
      <c r="BM80" s="186" t="str">
        <f t="shared" si="1"/>
        <v>-</v>
      </c>
    </row>
    <row r="81" spans="1:65" x14ac:dyDescent="0.25">
      <c r="A81" s="189">
        <v>80</v>
      </c>
      <c r="B81" s="186" t="str">
        <f>IF('Lighting Inventory'!F90="", "", 'Lighting Inventory'!F90)</f>
        <v/>
      </c>
      <c r="C81" s="26" t="str">
        <f>IF(B81="", "", CONCATENATE("Area: ", 'Lighting Inventory'!D90, ", ", IF('Lighting Inventory'!C90="", "", "Floor: "), 'Lighting Inventory'!C90))</f>
        <v/>
      </c>
      <c r="D81" s="186" t="str">
        <f>IF(B81="", "", IF('Lighting Inventory'!B90="New Construction",CONCATENATE("Cut Sheet ", 250+'Appendix C'!A81), IF(ISNUMBER(SEARCH("cut sheet", 'Lighting Inventory'!J90)), CONCATENATE("Cut Sheet ", 'Lookup Tables'!AX83), 'Lighting Inventory'!J90)))</f>
        <v/>
      </c>
      <c r="E81" s="26" t="str">
        <f>IF(B81="", "", IF('Lighting Inventory'!B90="New Construction", 1, 'Lighting Inventory'!I90))</f>
        <v/>
      </c>
      <c r="F81" s="26" t="str">
        <f>IF(B81="", "", IF('Lighting Inventory'!B90="New Construction", 'Lighting Inventory'!R90*1000, 'Lighting Inventory'!K90))</f>
        <v/>
      </c>
      <c r="G81" s="26" t="str">
        <f>IF(B81="", "", IF('Lighting Inventory'!M90="", "S_LS", VLOOKUP('Lighting Inventory'!M90, 'Lookup Tables'!$B$142:$D$148, 3, FALSE)))</f>
        <v/>
      </c>
      <c r="H81" s="26" t="str">
        <f>IF(OR('Lighting Inventory'!V90="", 'Lighting Inventory'!W90=""), "", IF('Lighting Inventory'!W90="No Change", 'Lighting Inventory'!J90, CONCATENATE("Cut Sheet ", 'Appendix C'!A81)))</f>
        <v/>
      </c>
      <c r="I81" s="26" t="str">
        <f>IF(H81="", "", IF('Lighting Inventory'!AB90="Yes", "Screw-In", "General"))</f>
        <v/>
      </c>
      <c r="J81" s="26" t="str">
        <f>IF(B81="", "", CONCATENATE('Lighting Inventory'!W90, ", ", 'Lighting Inventory'!AL90, " W"))</f>
        <v/>
      </c>
      <c r="K81" s="26" t="str">
        <f>IF(OR(B81="",'Lighting Inventory'!B90="Retrofit"),"",IF('General Information'!$F$16="Space-by-Space",CONCATENATE('Lighting Inventory'!N90,", ",'Lighting Inventory'!O90," ",'Lighting Inventory'!P90," LPD"," at ",'Lighting Inventory'!Q90,", ",'Lighting Inventory'!R90," kW"),CONCATENATE(B81,", ",'Lighting Inventory'!O90," ",'Lighting Inventory'!P90," LPD"," at ",'Lighting Inventory'!Q90,", ",'Lighting Inventory'!R90," kW")))</f>
        <v/>
      </c>
      <c r="L81" s="26" t="str">
        <f>IF(H81="","",IF('Lighting Inventory'!AK90="","",'Lighting Inventory'!AK90))</f>
        <v/>
      </c>
      <c r="M81" s="26" t="str">
        <f>IF(H81="", "", 'Lighting Inventory'!AL90)</f>
        <v/>
      </c>
      <c r="N81" s="26" t="str">
        <f>IF('Lighting Inventory'!S90="", "", IF('Lighting Inventory'!W90="No Change", 'Lighting Inventory'!I90, 'Lighting Inventory'!S90))</f>
        <v/>
      </c>
      <c r="O81" s="26" t="str">
        <f>IF('Lighting Inventory'!AN90="", "", VLOOKUP('Lighting Inventory'!AN90, 'Lookup Tables'!$B$142:$D$148, 3, FALSE))</f>
        <v/>
      </c>
      <c r="P81" s="66" t="str">
        <f>IF(B81="", "", 'Lighting Inventory'!AX90)</f>
        <v/>
      </c>
      <c r="Q81" s="67" t="str">
        <f>IF(B81="", "", 'Lighting Inventory'!AZ90)</f>
        <v/>
      </c>
      <c r="R81" s="187" t="str">
        <f>IF(OR('Lighting Inventory'!G90="", 'Lighting Inventory'!H90=""), "", 'Lighting Inventory'!BD90)</f>
        <v/>
      </c>
      <c r="S81" s="187" t="str">
        <f>IF(OR('Lighting Inventory'!G90="", 'Lighting Inventory'!H90=""), "",'Lighting Inventory'!BB90)</f>
        <v/>
      </c>
      <c r="T81" s="67" t="str">
        <f>IF(B81="", "", 'Lighting Inventory'!BE90)</f>
        <v/>
      </c>
      <c r="U81" s="67" t="str">
        <f>IF(B81="", "", 'Lighting Inventory'!BF90)</f>
        <v/>
      </c>
      <c r="BM81" s="186" t="str">
        <f t="shared" si="1"/>
        <v>-</v>
      </c>
    </row>
    <row r="82" spans="1:65" x14ac:dyDescent="0.25">
      <c r="A82" s="189">
        <v>81</v>
      </c>
      <c r="B82" s="186" t="str">
        <f>IF('Lighting Inventory'!F91="", "", 'Lighting Inventory'!F91)</f>
        <v/>
      </c>
      <c r="C82" s="26" t="str">
        <f>IF(B82="", "", CONCATENATE("Area: ", 'Lighting Inventory'!D91, ", ", IF('Lighting Inventory'!C91="", "", "Floor: "), 'Lighting Inventory'!C91))</f>
        <v/>
      </c>
      <c r="D82" s="186" t="str">
        <f>IF(B82="", "", IF('Lighting Inventory'!B91="New Construction",CONCATENATE("Cut Sheet ", 250+'Appendix C'!A82), IF(ISNUMBER(SEARCH("cut sheet", 'Lighting Inventory'!J91)), CONCATENATE("Cut Sheet ", 'Lookup Tables'!AX84), 'Lighting Inventory'!J91)))</f>
        <v/>
      </c>
      <c r="E82" s="26" t="str">
        <f>IF(B82="", "", IF('Lighting Inventory'!B91="New Construction", 1, 'Lighting Inventory'!I91))</f>
        <v/>
      </c>
      <c r="F82" s="26" t="str">
        <f>IF(B82="", "", IF('Lighting Inventory'!B91="New Construction", 'Lighting Inventory'!R91*1000, 'Lighting Inventory'!K91))</f>
        <v/>
      </c>
      <c r="G82" s="26" t="str">
        <f>IF(B82="", "", IF('Lighting Inventory'!M91="", "S_LS", VLOOKUP('Lighting Inventory'!M91, 'Lookup Tables'!$B$142:$D$148, 3, FALSE)))</f>
        <v/>
      </c>
      <c r="H82" s="26" t="str">
        <f>IF(OR('Lighting Inventory'!V91="", 'Lighting Inventory'!W91=""), "", IF('Lighting Inventory'!W91="No Change", 'Lighting Inventory'!J91, CONCATENATE("Cut Sheet ", 'Appendix C'!A82)))</f>
        <v/>
      </c>
      <c r="I82" s="26" t="str">
        <f>IF(H82="", "", IF('Lighting Inventory'!AB91="Yes", "Screw-In", "General"))</f>
        <v/>
      </c>
      <c r="J82" s="26" t="str">
        <f>IF(B82="", "", CONCATENATE('Lighting Inventory'!W91, ", ", 'Lighting Inventory'!AL91, " W"))</f>
        <v/>
      </c>
      <c r="K82" s="26" t="str">
        <f>IF(OR(B82="",'Lighting Inventory'!B91="Retrofit"),"",IF('General Information'!$F$16="Space-by-Space",CONCATENATE('Lighting Inventory'!N91,", ",'Lighting Inventory'!O91," ",'Lighting Inventory'!P91," LPD"," at ",'Lighting Inventory'!Q91,", ",'Lighting Inventory'!R91," kW"),CONCATENATE(B82,", ",'Lighting Inventory'!O91," ",'Lighting Inventory'!P91," LPD"," at ",'Lighting Inventory'!Q91,", ",'Lighting Inventory'!R91," kW")))</f>
        <v/>
      </c>
      <c r="L82" s="26" t="str">
        <f>IF(H82="","",IF('Lighting Inventory'!AK91="","",'Lighting Inventory'!AK91))</f>
        <v/>
      </c>
      <c r="M82" s="26" t="str">
        <f>IF(H82="", "", 'Lighting Inventory'!AL91)</f>
        <v/>
      </c>
      <c r="N82" s="26" t="str">
        <f>IF('Lighting Inventory'!S91="", "", IF('Lighting Inventory'!W91="No Change", 'Lighting Inventory'!I91, 'Lighting Inventory'!S91))</f>
        <v/>
      </c>
      <c r="O82" s="26" t="str">
        <f>IF('Lighting Inventory'!AN91="", "", VLOOKUP('Lighting Inventory'!AN91, 'Lookup Tables'!$B$142:$D$148, 3, FALSE))</f>
        <v/>
      </c>
      <c r="P82" s="66" t="str">
        <f>IF(B82="", "", 'Lighting Inventory'!AX91)</f>
        <v/>
      </c>
      <c r="Q82" s="67" t="str">
        <f>IF(B82="", "", 'Lighting Inventory'!AZ91)</f>
        <v/>
      </c>
      <c r="R82" s="187" t="str">
        <f>IF(OR('Lighting Inventory'!G91="", 'Lighting Inventory'!H91=""), "", 'Lighting Inventory'!BD91)</f>
        <v/>
      </c>
      <c r="S82" s="187" t="str">
        <f>IF(OR('Lighting Inventory'!G91="", 'Lighting Inventory'!H91=""), "",'Lighting Inventory'!BB91)</f>
        <v/>
      </c>
      <c r="T82" s="67" t="str">
        <f>IF(B82="", "", 'Lighting Inventory'!BE91)</f>
        <v/>
      </c>
      <c r="U82" s="67" t="str">
        <f>IF(B82="", "", 'Lighting Inventory'!BF91)</f>
        <v/>
      </c>
      <c r="BM82" s="186" t="str">
        <f t="shared" si="1"/>
        <v>-</v>
      </c>
    </row>
    <row r="83" spans="1:65" x14ac:dyDescent="0.25">
      <c r="A83" s="189">
        <v>82</v>
      </c>
      <c r="B83" s="186" t="str">
        <f>IF('Lighting Inventory'!F92="", "", 'Lighting Inventory'!F92)</f>
        <v/>
      </c>
      <c r="C83" s="26" t="str">
        <f>IF(B83="", "", CONCATENATE("Area: ", 'Lighting Inventory'!D92, ", ", IF('Lighting Inventory'!C92="", "", "Floor: "), 'Lighting Inventory'!C92))</f>
        <v/>
      </c>
      <c r="D83" s="186" t="str">
        <f>IF(B83="", "", IF('Lighting Inventory'!B92="New Construction",CONCATENATE("Cut Sheet ", 250+'Appendix C'!A83), IF(ISNUMBER(SEARCH("cut sheet", 'Lighting Inventory'!J92)), CONCATENATE("Cut Sheet ", 'Lookup Tables'!AX85), 'Lighting Inventory'!J92)))</f>
        <v/>
      </c>
      <c r="E83" s="26" t="str">
        <f>IF(B83="", "", IF('Lighting Inventory'!B92="New Construction", 1, 'Lighting Inventory'!I92))</f>
        <v/>
      </c>
      <c r="F83" s="26" t="str">
        <f>IF(B83="", "", IF('Lighting Inventory'!B92="New Construction", 'Lighting Inventory'!R92*1000, 'Lighting Inventory'!K92))</f>
        <v/>
      </c>
      <c r="G83" s="26" t="str">
        <f>IF(B83="", "", IF('Lighting Inventory'!M92="", "S_LS", VLOOKUP('Lighting Inventory'!M92, 'Lookup Tables'!$B$142:$D$148, 3, FALSE)))</f>
        <v/>
      </c>
      <c r="H83" s="26" t="str">
        <f>IF(OR('Lighting Inventory'!V92="", 'Lighting Inventory'!W92=""), "", IF('Lighting Inventory'!W92="No Change", 'Lighting Inventory'!J92, CONCATENATE("Cut Sheet ", 'Appendix C'!A83)))</f>
        <v/>
      </c>
      <c r="I83" s="26" t="str">
        <f>IF(H83="", "", IF('Lighting Inventory'!AB92="Yes", "Screw-In", "General"))</f>
        <v/>
      </c>
      <c r="J83" s="26" t="str">
        <f>IF(B83="", "", CONCATENATE('Lighting Inventory'!W92, ", ", 'Lighting Inventory'!AL92, " W"))</f>
        <v/>
      </c>
      <c r="K83" s="26" t="str">
        <f>IF(OR(B83="",'Lighting Inventory'!B92="Retrofit"),"",IF('General Information'!$F$16="Space-by-Space",CONCATENATE('Lighting Inventory'!N92,", ",'Lighting Inventory'!O92," ",'Lighting Inventory'!P92," LPD"," at ",'Lighting Inventory'!Q92,", ",'Lighting Inventory'!R92," kW"),CONCATENATE(B83,", ",'Lighting Inventory'!O92," ",'Lighting Inventory'!P92," LPD"," at ",'Lighting Inventory'!Q92,", ",'Lighting Inventory'!R92," kW")))</f>
        <v/>
      </c>
      <c r="L83" s="26" t="str">
        <f>IF(H83="","",IF('Lighting Inventory'!AK92="","",'Lighting Inventory'!AK92))</f>
        <v/>
      </c>
      <c r="M83" s="26" t="str">
        <f>IF(H83="", "", 'Lighting Inventory'!AL92)</f>
        <v/>
      </c>
      <c r="N83" s="26" t="str">
        <f>IF('Lighting Inventory'!S92="", "", IF('Lighting Inventory'!W92="No Change", 'Lighting Inventory'!I92, 'Lighting Inventory'!S92))</f>
        <v/>
      </c>
      <c r="O83" s="26" t="str">
        <f>IF('Lighting Inventory'!AN92="", "", VLOOKUP('Lighting Inventory'!AN92, 'Lookup Tables'!$B$142:$D$148, 3, FALSE))</f>
        <v/>
      </c>
      <c r="P83" s="66" t="str">
        <f>IF(B83="", "", 'Lighting Inventory'!AX92)</f>
        <v/>
      </c>
      <c r="Q83" s="67" t="str">
        <f>IF(B83="", "", 'Lighting Inventory'!AZ92)</f>
        <v/>
      </c>
      <c r="R83" s="187" t="str">
        <f>IF(OR('Lighting Inventory'!G92="", 'Lighting Inventory'!H92=""), "", 'Lighting Inventory'!BD92)</f>
        <v/>
      </c>
      <c r="S83" s="187" t="str">
        <f>IF(OR('Lighting Inventory'!G92="", 'Lighting Inventory'!H92=""), "",'Lighting Inventory'!BB92)</f>
        <v/>
      </c>
      <c r="T83" s="67" t="str">
        <f>IF(B83="", "", 'Lighting Inventory'!BE92)</f>
        <v/>
      </c>
      <c r="U83" s="67" t="str">
        <f>IF(B83="", "", 'Lighting Inventory'!BF92)</f>
        <v/>
      </c>
      <c r="BM83" s="186" t="str">
        <f t="shared" si="1"/>
        <v>-</v>
      </c>
    </row>
    <row r="84" spans="1:65" x14ac:dyDescent="0.25">
      <c r="A84" s="189">
        <v>83</v>
      </c>
      <c r="B84" s="186" t="str">
        <f>IF('Lighting Inventory'!F93="", "", 'Lighting Inventory'!F93)</f>
        <v/>
      </c>
      <c r="C84" s="26" t="str">
        <f>IF(B84="", "", CONCATENATE("Area: ", 'Lighting Inventory'!D93, ", ", IF('Lighting Inventory'!C93="", "", "Floor: "), 'Lighting Inventory'!C93))</f>
        <v/>
      </c>
      <c r="D84" s="186" t="str">
        <f>IF(B84="", "", IF('Lighting Inventory'!B93="New Construction",CONCATENATE("Cut Sheet ", 250+'Appendix C'!A84), IF(ISNUMBER(SEARCH("cut sheet", 'Lighting Inventory'!J93)), CONCATENATE("Cut Sheet ", 'Lookup Tables'!AX86), 'Lighting Inventory'!J93)))</f>
        <v/>
      </c>
      <c r="E84" s="26" t="str">
        <f>IF(B84="", "", IF('Lighting Inventory'!B93="New Construction", 1, 'Lighting Inventory'!I93))</f>
        <v/>
      </c>
      <c r="F84" s="26" t="str">
        <f>IF(B84="", "", IF('Lighting Inventory'!B93="New Construction", 'Lighting Inventory'!R93*1000, 'Lighting Inventory'!K93))</f>
        <v/>
      </c>
      <c r="G84" s="26" t="str">
        <f>IF(B84="", "", IF('Lighting Inventory'!M93="", "S_LS", VLOOKUP('Lighting Inventory'!M93, 'Lookup Tables'!$B$142:$D$148, 3, FALSE)))</f>
        <v/>
      </c>
      <c r="H84" s="26" t="str">
        <f>IF(OR('Lighting Inventory'!V93="", 'Lighting Inventory'!W93=""), "", IF('Lighting Inventory'!W93="No Change", 'Lighting Inventory'!J93, CONCATENATE("Cut Sheet ", 'Appendix C'!A84)))</f>
        <v/>
      </c>
      <c r="I84" s="26" t="str">
        <f>IF(H84="", "", IF('Lighting Inventory'!AB93="Yes", "Screw-In", "General"))</f>
        <v/>
      </c>
      <c r="J84" s="26" t="str">
        <f>IF(B84="", "", CONCATENATE('Lighting Inventory'!W93, ", ", 'Lighting Inventory'!AL93, " W"))</f>
        <v/>
      </c>
      <c r="K84" s="26" t="str">
        <f>IF(OR(B84="",'Lighting Inventory'!B93="Retrofit"),"",IF('General Information'!$F$16="Space-by-Space",CONCATENATE('Lighting Inventory'!N93,", ",'Lighting Inventory'!O93," ",'Lighting Inventory'!P93," LPD"," at ",'Lighting Inventory'!Q93,", ",'Lighting Inventory'!R93," kW"),CONCATENATE(B84,", ",'Lighting Inventory'!O93," ",'Lighting Inventory'!P93," LPD"," at ",'Lighting Inventory'!Q93,", ",'Lighting Inventory'!R93," kW")))</f>
        <v/>
      </c>
      <c r="L84" s="26" t="str">
        <f>IF(H84="","",IF('Lighting Inventory'!AK93="","",'Lighting Inventory'!AK93))</f>
        <v/>
      </c>
      <c r="M84" s="26" t="str">
        <f>IF(H84="", "", 'Lighting Inventory'!AL93)</f>
        <v/>
      </c>
      <c r="N84" s="26" t="str">
        <f>IF('Lighting Inventory'!S93="", "", IF('Lighting Inventory'!W93="No Change", 'Lighting Inventory'!I93, 'Lighting Inventory'!S93))</f>
        <v/>
      </c>
      <c r="O84" s="26" t="str">
        <f>IF('Lighting Inventory'!AN93="", "", VLOOKUP('Lighting Inventory'!AN93, 'Lookup Tables'!$B$142:$D$148, 3, FALSE))</f>
        <v/>
      </c>
      <c r="P84" s="66" t="str">
        <f>IF(B84="", "", 'Lighting Inventory'!AX93)</f>
        <v/>
      </c>
      <c r="Q84" s="67" t="str">
        <f>IF(B84="", "", 'Lighting Inventory'!AZ93)</f>
        <v/>
      </c>
      <c r="R84" s="187" t="str">
        <f>IF(OR('Lighting Inventory'!G93="", 'Lighting Inventory'!H93=""), "", 'Lighting Inventory'!BD93)</f>
        <v/>
      </c>
      <c r="S84" s="187" t="str">
        <f>IF(OR('Lighting Inventory'!G93="", 'Lighting Inventory'!H93=""), "",'Lighting Inventory'!BB93)</f>
        <v/>
      </c>
      <c r="T84" s="67" t="str">
        <f>IF(B84="", "", 'Lighting Inventory'!BE93)</f>
        <v/>
      </c>
      <c r="U84" s="67" t="str">
        <f>IF(B84="", "", 'Lighting Inventory'!BF93)</f>
        <v/>
      </c>
      <c r="BM84" s="186" t="str">
        <f t="shared" si="1"/>
        <v>-</v>
      </c>
    </row>
    <row r="85" spans="1:65" x14ac:dyDescent="0.25">
      <c r="A85" s="189">
        <v>84</v>
      </c>
      <c r="B85" s="186" t="str">
        <f>IF('Lighting Inventory'!F94="", "", 'Lighting Inventory'!F94)</f>
        <v/>
      </c>
      <c r="C85" s="26" t="str">
        <f>IF(B85="", "", CONCATENATE("Area: ", 'Lighting Inventory'!D94, ", ", IF('Lighting Inventory'!C94="", "", "Floor: "), 'Lighting Inventory'!C94))</f>
        <v/>
      </c>
      <c r="D85" s="186" t="str">
        <f>IF(B85="", "", IF('Lighting Inventory'!B94="New Construction",CONCATENATE("Cut Sheet ", 250+'Appendix C'!A85), IF(ISNUMBER(SEARCH("cut sheet", 'Lighting Inventory'!J94)), CONCATENATE("Cut Sheet ", 'Lookup Tables'!AX87), 'Lighting Inventory'!J94)))</f>
        <v/>
      </c>
      <c r="E85" s="26" t="str">
        <f>IF(B85="", "", IF('Lighting Inventory'!B94="New Construction", 1, 'Lighting Inventory'!I94))</f>
        <v/>
      </c>
      <c r="F85" s="26" t="str">
        <f>IF(B85="", "", IF('Lighting Inventory'!B94="New Construction", 'Lighting Inventory'!R94*1000, 'Lighting Inventory'!K94))</f>
        <v/>
      </c>
      <c r="G85" s="26" t="str">
        <f>IF(B85="", "", IF('Lighting Inventory'!M94="", "S_LS", VLOOKUP('Lighting Inventory'!M94, 'Lookup Tables'!$B$142:$D$148, 3, FALSE)))</f>
        <v/>
      </c>
      <c r="H85" s="26" t="str">
        <f>IF(OR('Lighting Inventory'!V94="", 'Lighting Inventory'!W94=""), "", IF('Lighting Inventory'!W94="No Change", 'Lighting Inventory'!J94, CONCATENATE("Cut Sheet ", 'Appendix C'!A85)))</f>
        <v/>
      </c>
      <c r="I85" s="26" t="str">
        <f>IF(H85="", "", IF('Lighting Inventory'!AB94="Yes", "Screw-In", "General"))</f>
        <v/>
      </c>
      <c r="J85" s="26" t="str">
        <f>IF(B85="", "", CONCATENATE('Lighting Inventory'!W94, ", ", 'Lighting Inventory'!AL94, " W"))</f>
        <v/>
      </c>
      <c r="K85" s="26" t="str">
        <f>IF(OR(B85="",'Lighting Inventory'!B94="Retrofit"),"",IF('General Information'!$F$16="Space-by-Space",CONCATENATE('Lighting Inventory'!N94,", ",'Lighting Inventory'!O94," ",'Lighting Inventory'!P94," LPD"," at ",'Lighting Inventory'!Q94,", ",'Lighting Inventory'!R94," kW"),CONCATENATE(B85,", ",'Lighting Inventory'!O94," ",'Lighting Inventory'!P94," LPD"," at ",'Lighting Inventory'!Q94,", ",'Lighting Inventory'!R94," kW")))</f>
        <v/>
      </c>
      <c r="L85" s="26" t="str">
        <f>IF(H85="","",IF('Lighting Inventory'!AK94="","",'Lighting Inventory'!AK94))</f>
        <v/>
      </c>
      <c r="M85" s="26" t="str">
        <f>IF(H85="", "", 'Lighting Inventory'!AL94)</f>
        <v/>
      </c>
      <c r="N85" s="26" t="str">
        <f>IF('Lighting Inventory'!S94="", "", IF('Lighting Inventory'!W94="No Change", 'Lighting Inventory'!I94, 'Lighting Inventory'!S94))</f>
        <v/>
      </c>
      <c r="O85" s="26" t="str">
        <f>IF('Lighting Inventory'!AN94="", "", VLOOKUP('Lighting Inventory'!AN94, 'Lookup Tables'!$B$142:$D$148, 3, FALSE))</f>
        <v/>
      </c>
      <c r="P85" s="66" t="str">
        <f>IF(B85="", "", 'Lighting Inventory'!AX94)</f>
        <v/>
      </c>
      <c r="Q85" s="67" t="str">
        <f>IF(B85="", "", 'Lighting Inventory'!AZ94)</f>
        <v/>
      </c>
      <c r="R85" s="187" t="str">
        <f>IF(OR('Lighting Inventory'!G94="", 'Lighting Inventory'!H94=""), "", 'Lighting Inventory'!BD94)</f>
        <v/>
      </c>
      <c r="S85" s="187" t="str">
        <f>IF(OR('Lighting Inventory'!G94="", 'Lighting Inventory'!H94=""), "",'Lighting Inventory'!BB94)</f>
        <v/>
      </c>
      <c r="T85" s="67" t="str">
        <f>IF(B85="", "", 'Lighting Inventory'!BE94)</f>
        <v/>
      </c>
      <c r="U85" s="67" t="str">
        <f>IF(B85="", "", 'Lighting Inventory'!BF94)</f>
        <v/>
      </c>
      <c r="BM85" s="186" t="str">
        <f t="shared" si="1"/>
        <v>-</v>
      </c>
    </row>
    <row r="86" spans="1:65" x14ac:dyDescent="0.25">
      <c r="A86" s="189">
        <v>85</v>
      </c>
      <c r="B86" s="186" t="str">
        <f>IF('Lighting Inventory'!F95="", "", 'Lighting Inventory'!F95)</f>
        <v/>
      </c>
      <c r="C86" s="26" t="str">
        <f>IF(B86="", "", CONCATENATE("Area: ", 'Lighting Inventory'!D95, ", ", IF('Lighting Inventory'!C95="", "", "Floor: "), 'Lighting Inventory'!C95))</f>
        <v/>
      </c>
      <c r="D86" s="186" t="str">
        <f>IF(B86="", "", IF('Lighting Inventory'!B95="New Construction",CONCATENATE("Cut Sheet ", 250+'Appendix C'!A86), IF(ISNUMBER(SEARCH("cut sheet", 'Lighting Inventory'!J95)), CONCATENATE("Cut Sheet ", 'Lookup Tables'!AX88), 'Lighting Inventory'!J95)))</f>
        <v/>
      </c>
      <c r="E86" s="26" t="str">
        <f>IF(B86="", "", IF('Lighting Inventory'!B95="New Construction", 1, 'Lighting Inventory'!I95))</f>
        <v/>
      </c>
      <c r="F86" s="26" t="str">
        <f>IF(B86="", "", IF('Lighting Inventory'!B95="New Construction", 'Lighting Inventory'!R95*1000, 'Lighting Inventory'!K95))</f>
        <v/>
      </c>
      <c r="G86" s="26" t="str">
        <f>IF(B86="", "", IF('Lighting Inventory'!M95="", "S_LS", VLOOKUP('Lighting Inventory'!M95, 'Lookup Tables'!$B$142:$D$148, 3, FALSE)))</f>
        <v/>
      </c>
      <c r="H86" s="26" t="str">
        <f>IF(OR('Lighting Inventory'!V95="", 'Lighting Inventory'!W95=""), "", IF('Lighting Inventory'!W95="No Change", 'Lighting Inventory'!J95, CONCATENATE("Cut Sheet ", 'Appendix C'!A86)))</f>
        <v/>
      </c>
      <c r="I86" s="26" t="str">
        <f>IF(H86="", "", IF('Lighting Inventory'!AB95="Yes", "Screw-In", "General"))</f>
        <v/>
      </c>
      <c r="J86" s="26" t="str">
        <f>IF(B86="", "", CONCATENATE('Lighting Inventory'!W95, ", ", 'Lighting Inventory'!AL95, " W"))</f>
        <v/>
      </c>
      <c r="K86" s="26" t="str">
        <f>IF(OR(B86="",'Lighting Inventory'!B95="Retrofit"),"",IF('General Information'!$F$16="Space-by-Space",CONCATENATE('Lighting Inventory'!N95,", ",'Lighting Inventory'!O95," ",'Lighting Inventory'!P95," LPD"," at ",'Lighting Inventory'!Q95,", ",'Lighting Inventory'!R95," kW"),CONCATENATE(B86,", ",'Lighting Inventory'!O95," ",'Lighting Inventory'!P95," LPD"," at ",'Lighting Inventory'!Q95,", ",'Lighting Inventory'!R95," kW")))</f>
        <v/>
      </c>
      <c r="L86" s="26" t="str">
        <f>IF(H86="","",IF('Lighting Inventory'!AK95="","",'Lighting Inventory'!AK95))</f>
        <v/>
      </c>
      <c r="M86" s="26" t="str">
        <f>IF(H86="", "", 'Lighting Inventory'!AL95)</f>
        <v/>
      </c>
      <c r="N86" s="26" t="str">
        <f>IF('Lighting Inventory'!S95="", "", IF('Lighting Inventory'!W95="No Change", 'Lighting Inventory'!I95, 'Lighting Inventory'!S95))</f>
        <v/>
      </c>
      <c r="O86" s="26" t="str">
        <f>IF('Lighting Inventory'!AN95="", "", VLOOKUP('Lighting Inventory'!AN95, 'Lookup Tables'!$B$142:$D$148, 3, FALSE))</f>
        <v/>
      </c>
      <c r="P86" s="66" t="str">
        <f>IF(B86="", "", 'Lighting Inventory'!AX95)</f>
        <v/>
      </c>
      <c r="Q86" s="67" t="str">
        <f>IF(B86="", "", 'Lighting Inventory'!AZ95)</f>
        <v/>
      </c>
      <c r="R86" s="187" t="str">
        <f>IF(OR('Lighting Inventory'!G95="", 'Lighting Inventory'!H95=""), "", 'Lighting Inventory'!BD95)</f>
        <v/>
      </c>
      <c r="S86" s="187" t="str">
        <f>IF(OR('Lighting Inventory'!G95="", 'Lighting Inventory'!H95=""), "",'Lighting Inventory'!BB95)</f>
        <v/>
      </c>
      <c r="T86" s="67" t="str">
        <f>IF(B86="", "", 'Lighting Inventory'!BE95)</f>
        <v/>
      </c>
      <c r="U86" s="67" t="str">
        <f>IF(B86="", "", 'Lighting Inventory'!BF95)</f>
        <v/>
      </c>
      <c r="BM86" s="186" t="str">
        <f t="shared" si="1"/>
        <v>-</v>
      </c>
    </row>
    <row r="87" spans="1:65" x14ac:dyDescent="0.25">
      <c r="A87" s="189">
        <v>86</v>
      </c>
      <c r="B87" s="186" t="str">
        <f>IF('Lighting Inventory'!F96="", "", 'Lighting Inventory'!F96)</f>
        <v/>
      </c>
      <c r="C87" s="26" t="str">
        <f>IF(B87="", "", CONCATENATE("Area: ", 'Lighting Inventory'!D96, ", ", IF('Lighting Inventory'!C96="", "", "Floor: "), 'Lighting Inventory'!C96))</f>
        <v/>
      </c>
      <c r="D87" s="186" t="str">
        <f>IF(B87="", "", IF('Lighting Inventory'!B96="New Construction",CONCATENATE("Cut Sheet ", 250+'Appendix C'!A87), IF(ISNUMBER(SEARCH("cut sheet", 'Lighting Inventory'!J96)), CONCATENATE("Cut Sheet ", 'Lookup Tables'!AX89), 'Lighting Inventory'!J96)))</f>
        <v/>
      </c>
      <c r="E87" s="26" t="str">
        <f>IF(B87="", "", IF('Lighting Inventory'!B96="New Construction", 1, 'Lighting Inventory'!I96))</f>
        <v/>
      </c>
      <c r="F87" s="26" t="str">
        <f>IF(B87="", "", IF('Lighting Inventory'!B96="New Construction", 'Lighting Inventory'!R96*1000, 'Lighting Inventory'!K96))</f>
        <v/>
      </c>
      <c r="G87" s="26" t="str">
        <f>IF(B87="", "", IF('Lighting Inventory'!M96="", "S_LS", VLOOKUP('Lighting Inventory'!M96, 'Lookup Tables'!$B$142:$D$148, 3, FALSE)))</f>
        <v/>
      </c>
      <c r="H87" s="26" t="str">
        <f>IF(OR('Lighting Inventory'!V96="", 'Lighting Inventory'!W96=""), "", IF('Lighting Inventory'!W96="No Change", 'Lighting Inventory'!J96, CONCATENATE("Cut Sheet ", 'Appendix C'!A87)))</f>
        <v/>
      </c>
      <c r="I87" s="26" t="str">
        <f>IF(H87="", "", IF('Lighting Inventory'!AB96="Yes", "Screw-In", "General"))</f>
        <v/>
      </c>
      <c r="J87" s="26" t="str">
        <f>IF(B87="", "", CONCATENATE('Lighting Inventory'!W96, ", ", 'Lighting Inventory'!AL96, " W"))</f>
        <v/>
      </c>
      <c r="K87" s="26" t="str">
        <f>IF(OR(B87="",'Lighting Inventory'!B96="Retrofit"),"",IF('General Information'!$F$16="Space-by-Space",CONCATENATE('Lighting Inventory'!N96,", ",'Lighting Inventory'!O96," ",'Lighting Inventory'!P96," LPD"," at ",'Lighting Inventory'!Q96,", ",'Lighting Inventory'!R96," kW"),CONCATENATE(B87,", ",'Lighting Inventory'!O96," ",'Lighting Inventory'!P96," LPD"," at ",'Lighting Inventory'!Q96,", ",'Lighting Inventory'!R96," kW")))</f>
        <v/>
      </c>
      <c r="L87" s="26" t="str">
        <f>IF(H87="","",IF('Lighting Inventory'!AK96="","",'Lighting Inventory'!AK96))</f>
        <v/>
      </c>
      <c r="M87" s="26" t="str">
        <f>IF(H87="", "", 'Lighting Inventory'!AL96)</f>
        <v/>
      </c>
      <c r="N87" s="26" t="str">
        <f>IF('Lighting Inventory'!S96="", "", IF('Lighting Inventory'!W96="No Change", 'Lighting Inventory'!I96, 'Lighting Inventory'!S96))</f>
        <v/>
      </c>
      <c r="O87" s="26" t="str">
        <f>IF('Lighting Inventory'!AN96="", "", VLOOKUP('Lighting Inventory'!AN96, 'Lookup Tables'!$B$142:$D$148, 3, FALSE))</f>
        <v/>
      </c>
      <c r="P87" s="66" t="str">
        <f>IF(B87="", "", 'Lighting Inventory'!AX96)</f>
        <v/>
      </c>
      <c r="Q87" s="67" t="str">
        <f>IF(B87="", "", 'Lighting Inventory'!AZ96)</f>
        <v/>
      </c>
      <c r="R87" s="187" t="str">
        <f>IF(OR('Lighting Inventory'!G96="", 'Lighting Inventory'!H96=""), "", 'Lighting Inventory'!BD96)</f>
        <v/>
      </c>
      <c r="S87" s="187" t="str">
        <f>IF(OR('Lighting Inventory'!G96="", 'Lighting Inventory'!H96=""), "",'Lighting Inventory'!BB96)</f>
        <v/>
      </c>
      <c r="T87" s="67" t="str">
        <f>IF(B87="", "", 'Lighting Inventory'!BE96)</f>
        <v/>
      </c>
      <c r="U87" s="67" t="str">
        <f>IF(B87="", "", 'Lighting Inventory'!BF96)</f>
        <v/>
      </c>
      <c r="BM87" s="186" t="str">
        <f t="shared" si="1"/>
        <v>-</v>
      </c>
    </row>
    <row r="88" spans="1:65" x14ac:dyDescent="0.25">
      <c r="A88" s="189">
        <v>87</v>
      </c>
      <c r="B88" s="186" t="str">
        <f>IF('Lighting Inventory'!F97="", "", 'Lighting Inventory'!F97)</f>
        <v/>
      </c>
      <c r="C88" s="26" t="str">
        <f>IF(B88="", "", CONCATENATE("Area: ", 'Lighting Inventory'!D97, ", ", IF('Lighting Inventory'!C97="", "", "Floor: "), 'Lighting Inventory'!C97))</f>
        <v/>
      </c>
      <c r="D88" s="186" t="str">
        <f>IF(B88="", "", IF('Lighting Inventory'!B97="New Construction",CONCATENATE("Cut Sheet ", 250+'Appendix C'!A88), IF(ISNUMBER(SEARCH("cut sheet", 'Lighting Inventory'!J97)), CONCATENATE("Cut Sheet ", 'Lookup Tables'!AX90), 'Lighting Inventory'!J97)))</f>
        <v/>
      </c>
      <c r="E88" s="26" t="str">
        <f>IF(B88="", "", IF('Lighting Inventory'!B97="New Construction", 1, 'Lighting Inventory'!I97))</f>
        <v/>
      </c>
      <c r="F88" s="26" t="str">
        <f>IF(B88="", "", IF('Lighting Inventory'!B97="New Construction", 'Lighting Inventory'!R97*1000, 'Lighting Inventory'!K97))</f>
        <v/>
      </c>
      <c r="G88" s="26" t="str">
        <f>IF(B88="", "", IF('Lighting Inventory'!M97="", "S_LS", VLOOKUP('Lighting Inventory'!M97, 'Lookup Tables'!$B$142:$D$148, 3, FALSE)))</f>
        <v/>
      </c>
      <c r="H88" s="26" t="str">
        <f>IF(OR('Lighting Inventory'!V97="", 'Lighting Inventory'!W97=""), "", IF('Lighting Inventory'!W97="No Change", 'Lighting Inventory'!J97, CONCATENATE("Cut Sheet ", 'Appendix C'!A88)))</f>
        <v/>
      </c>
      <c r="I88" s="26" t="str">
        <f>IF(H88="", "", IF('Lighting Inventory'!AB97="Yes", "Screw-In", "General"))</f>
        <v/>
      </c>
      <c r="J88" s="26" t="str">
        <f>IF(B88="", "", CONCATENATE('Lighting Inventory'!W97, ", ", 'Lighting Inventory'!AL97, " W"))</f>
        <v/>
      </c>
      <c r="K88" s="26" t="str">
        <f>IF(OR(B88="",'Lighting Inventory'!B97="Retrofit"),"",IF('General Information'!$F$16="Space-by-Space",CONCATENATE('Lighting Inventory'!N97,", ",'Lighting Inventory'!O97," ",'Lighting Inventory'!P97," LPD"," at ",'Lighting Inventory'!Q97,", ",'Lighting Inventory'!R97," kW"),CONCATENATE(B88,", ",'Lighting Inventory'!O97," ",'Lighting Inventory'!P97," LPD"," at ",'Lighting Inventory'!Q97,", ",'Lighting Inventory'!R97," kW")))</f>
        <v/>
      </c>
      <c r="L88" s="26" t="str">
        <f>IF(H88="","",IF('Lighting Inventory'!AK97="","",'Lighting Inventory'!AK97))</f>
        <v/>
      </c>
      <c r="M88" s="26" t="str">
        <f>IF(H88="", "", 'Lighting Inventory'!AL97)</f>
        <v/>
      </c>
      <c r="N88" s="26" t="str">
        <f>IF('Lighting Inventory'!S97="", "", IF('Lighting Inventory'!W97="No Change", 'Lighting Inventory'!I97, 'Lighting Inventory'!S97))</f>
        <v/>
      </c>
      <c r="O88" s="26" t="str">
        <f>IF('Lighting Inventory'!AN97="", "", VLOOKUP('Lighting Inventory'!AN97, 'Lookup Tables'!$B$142:$D$148, 3, FALSE))</f>
        <v/>
      </c>
      <c r="P88" s="66" t="str">
        <f>IF(B88="", "", 'Lighting Inventory'!AX97)</f>
        <v/>
      </c>
      <c r="Q88" s="67" t="str">
        <f>IF(B88="", "", 'Lighting Inventory'!AZ97)</f>
        <v/>
      </c>
      <c r="R88" s="187" t="str">
        <f>IF(OR('Lighting Inventory'!G97="", 'Lighting Inventory'!H97=""), "", 'Lighting Inventory'!BD97)</f>
        <v/>
      </c>
      <c r="S88" s="187" t="str">
        <f>IF(OR('Lighting Inventory'!G97="", 'Lighting Inventory'!H97=""), "",'Lighting Inventory'!BB97)</f>
        <v/>
      </c>
      <c r="T88" s="67" t="str">
        <f>IF(B88="", "", 'Lighting Inventory'!BE97)</f>
        <v/>
      </c>
      <c r="U88" s="67" t="str">
        <f>IF(B88="", "", 'Lighting Inventory'!BF97)</f>
        <v/>
      </c>
      <c r="BM88" s="186" t="str">
        <f t="shared" si="1"/>
        <v>-</v>
      </c>
    </row>
    <row r="89" spans="1:65" x14ac:dyDescent="0.25">
      <c r="A89" s="189">
        <v>88</v>
      </c>
      <c r="B89" s="186" t="str">
        <f>IF('Lighting Inventory'!F98="", "", 'Lighting Inventory'!F98)</f>
        <v/>
      </c>
      <c r="C89" s="26" t="str">
        <f>IF(B89="", "", CONCATENATE("Area: ", 'Lighting Inventory'!D98, ", ", IF('Lighting Inventory'!C98="", "", "Floor: "), 'Lighting Inventory'!C98))</f>
        <v/>
      </c>
      <c r="D89" s="186" t="str">
        <f>IF(B89="", "", IF('Lighting Inventory'!B98="New Construction",CONCATENATE("Cut Sheet ", 250+'Appendix C'!A89), IF(ISNUMBER(SEARCH("cut sheet", 'Lighting Inventory'!J98)), CONCATENATE("Cut Sheet ", 'Lookup Tables'!AX91), 'Lighting Inventory'!J98)))</f>
        <v/>
      </c>
      <c r="E89" s="26" t="str">
        <f>IF(B89="", "", IF('Lighting Inventory'!B98="New Construction", 1, 'Lighting Inventory'!I98))</f>
        <v/>
      </c>
      <c r="F89" s="26" t="str">
        <f>IF(B89="", "", IF('Lighting Inventory'!B98="New Construction", 'Lighting Inventory'!R98*1000, 'Lighting Inventory'!K98))</f>
        <v/>
      </c>
      <c r="G89" s="26" t="str">
        <f>IF(B89="", "", IF('Lighting Inventory'!M98="", "S_LS", VLOOKUP('Lighting Inventory'!M98, 'Lookup Tables'!$B$142:$D$148, 3, FALSE)))</f>
        <v/>
      </c>
      <c r="H89" s="26" t="str">
        <f>IF(OR('Lighting Inventory'!V98="", 'Lighting Inventory'!W98=""), "", IF('Lighting Inventory'!W98="No Change", 'Lighting Inventory'!J98, CONCATENATE("Cut Sheet ", 'Appendix C'!A89)))</f>
        <v/>
      </c>
      <c r="I89" s="26" t="str">
        <f>IF(H89="", "", IF('Lighting Inventory'!AB98="Yes", "Screw-In", "General"))</f>
        <v/>
      </c>
      <c r="J89" s="26" t="str">
        <f>IF(B89="", "", CONCATENATE('Lighting Inventory'!W98, ", ", 'Lighting Inventory'!AL98, " W"))</f>
        <v/>
      </c>
      <c r="K89" s="26" t="str">
        <f>IF(OR(B89="",'Lighting Inventory'!B98="Retrofit"),"",IF('General Information'!$F$16="Space-by-Space",CONCATENATE('Lighting Inventory'!N98,", ",'Lighting Inventory'!O98," ",'Lighting Inventory'!P98," LPD"," at ",'Lighting Inventory'!Q98,", ",'Lighting Inventory'!R98," kW"),CONCATENATE(B89,", ",'Lighting Inventory'!O98," ",'Lighting Inventory'!P98," LPD"," at ",'Lighting Inventory'!Q98,", ",'Lighting Inventory'!R98," kW")))</f>
        <v/>
      </c>
      <c r="L89" s="26" t="str">
        <f>IF(H89="","",IF('Lighting Inventory'!AK98="","",'Lighting Inventory'!AK98))</f>
        <v/>
      </c>
      <c r="M89" s="26" t="str">
        <f>IF(H89="", "", 'Lighting Inventory'!AL98)</f>
        <v/>
      </c>
      <c r="N89" s="26" t="str">
        <f>IF('Lighting Inventory'!S98="", "", IF('Lighting Inventory'!W98="No Change", 'Lighting Inventory'!I98, 'Lighting Inventory'!S98))</f>
        <v/>
      </c>
      <c r="O89" s="26" t="str">
        <f>IF('Lighting Inventory'!AN98="", "", VLOOKUP('Lighting Inventory'!AN98, 'Lookup Tables'!$B$142:$D$148, 3, FALSE))</f>
        <v/>
      </c>
      <c r="P89" s="66" t="str">
        <f>IF(B89="", "", 'Lighting Inventory'!AX98)</f>
        <v/>
      </c>
      <c r="Q89" s="67" t="str">
        <f>IF(B89="", "", 'Lighting Inventory'!AZ98)</f>
        <v/>
      </c>
      <c r="R89" s="187" t="str">
        <f>IF(OR('Lighting Inventory'!G98="", 'Lighting Inventory'!H98=""), "", 'Lighting Inventory'!BD98)</f>
        <v/>
      </c>
      <c r="S89" s="187" t="str">
        <f>IF(OR('Lighting Inventory'!G98="", 'Lighting Inventory'!H98=""), "",'Lighting Inventory'!BB98)</f>
        <v/>
      </c>
      <c r="T89" s="67" t="str">
        <f>IF(B89="", "", 'Lighting Inventory'!BE98)</f>
        <v/>
      </c>
      <c r="U89" s="67" t="str">
        <f>IF(B89="", "", 'Lighting Inventory'!BF98)</f>
        <v/>
      </c>
      <c r="BM89" s="186" t="str">
        <f t="shared" si="1"/>
        <v>-</v>
      </c>
    </row>
    <row r="90" spans="1:65" x14ac:dyDescent="0.25">
      <c r="A90" s="189">
        <v>89</v>
      </c>
      <c r="B90" s="186" t="str">
        <f>IF('Lighting Inventory'!F99="", "", 'Lighting Inventory'!F99)</f>
        <v/>
      </c>
      <c r="C90" s="26" t="str">
        <f>IF(B90="", "", CONCATENATE("Area: ", 'Lighting Inventory'!D99, ", ", IF('Lighting Inventory'!C99="", "", "Floor: "), 'Lighting Inventory'!C99))</f>
        <v/>
      </c>
      <c r="D90" s="186" t="str">
        <f>IF(B90="", "", IF('Lighting Inventory'!B99="New Construction",CONCATENATE("Cut Sheet ", 250+'Appendix C'!A90), IF(ISNUMBER(SEARCH("cut sheet", 'Lighting Inventory'!J99)), CONCATENATE("Cut Sheet ", 'Lookup Tables'!AX92), 'Lighting Inventory'!J99)))</f>
        <v/>
      </c>
      <c r="E90" s="26" t="str">
        <f>IF(B90="", "", IF('Lighting Inventory'!B99="New Construction", 1, 'Lighting Inventory'!I99))</f>
        <v/>
      </c>
      <c r="F90" s="26" t="str">
        <f>IF(B90="", "", IF('Lighting Inventory'!B99="New Construction", 'Lighting Inventory'!R99*1000, 'Lighting Inventory'!K99))</f>
        <v/>
      </c>
      <c r="G90" s="26" t="str">
        <f>IF(B90="", "", IF('Lighting Inventory'!M99="", "S_LS", VLOOKUP('Lighting Inventory'!M99, 'Lookup Tables'!$B$142:$D$148, 3, FALSE)))</f>
        <v/>
      </c>
      <c r="H90" s="26" t="str">
        <f>IF(OR('Lighting Inventory'!V99="", 'Lighting Inventory'!W99=""), "", IF('Lighting Inventory'!W99="No Change", 'Lighting Inventory'!J99, CONCATENATE("Cut Sheet ", 'Appendix C'!A90)))</f>
        <v/>
      </c>
      <c r="I90" s="26" t="str">
        <f>IF(H90="", "", IF('Lighting Inventory'!AB99="Yes", "Screw-In", "General"))</f>
        <v/>
      </c>
      <c r="J90" s="26" t="str">
        <f>IF(B90="", "", CONCATENATE('Lighting Inventory'!W99, ", ", 'Lighting Inventory'!AL99, " W"))</f>
        <v/>
      </c>
      <c r="K90" s="26" t="str">
        <f>IF(OR(B90="",'Lighting Inventory'!B99="Retrofit"),"",IF('General Information'!$F$16="Space-by-Space",CONCATENATE('Lighting Inventory'!N99,", ",'Lighting Inventory'!O99," ",'Lighting Inventory'!P99," LPD"," at ",'Lighting Inventory'!Q99,", ",'Lighting Inventory'!R99," kW"),CONCATENATE(B90,", ",'Lighting Inventory'!O99," ",'Lighting Inventory'!P99," LPD"," at ",'Lighting Inventory'!Q99,", ",'Lighting Inventory'!R99," kW")))</f>
        <v/>
      </c>
      <c r="L90" s="26" t="str">
        <f>IF(H90="","",IF('Lighting Inventory'!AK99="","",'Lighting Inventory'!AK99))</f>
        <v/>
      </c>
      <c r="M90" s="26" t="str">
        <f>IF(H90="", "", 'Lighting Inventory'!AL99)</f>
        <v/>
      </c>
      <c r="N90" s="26" t="str">
        <f>IF('Lighting Inventory'!S99="", "", IF('Lighting Inventory'!W99="No Change", 'Lighting Inventory'!I99, 'Lighting Inventory'!S99))</f>
        <v/>
      </c>
      <c r="O90" s="26" t="str">
        <f>IF('Lighting Inventory'!AN99="", "", VLOOKUP('Lighting Inventory'!AN99, 'Lookup Tables'!$B$142:$D$148, 3, FALSE))</f>
        <v/>
      </c>
      <c r="P90" s="66" t="str">
        <f>IF(B90="", "", 'Lighting Inventory'!AX99)</f>
        <v/>
      </c>
      <c r="Q90" s="67" t="str">
        <f>IF(B90="", "", 'Lighting Inventory'!AZ99)</f>
        <v/>
      </c>
      <c r="R90" s="187" t="str">
        <f>IF(OR('Lighting Inventory'!G99="", 'Lighting Inventory'!H99=""), "", 'Lighting Inventory'!BD99)</f>
        <v/>
      </c>
      <c r="S90" s="187" t="str">
        <f>IF(OR('Lighting Inventory'!G99="", 'Lighting Inventory'!H99=""), "",'Lighting Inventory'!BB99)</f>
        <v/>
      </c>
      <c r="T90" s="67" t="str">
        <f>IF(B90="", "", 'Lighting Inventory'!BE99)</f>
        <v/>
      </c>
      <c r="U90" s="67" t="str">
        <f>IF(B90="", "", 'Lighting Inventory'!BF99)</f>
        <v/>
      </c>
      <c r="BM90" s="186" t="str">
        <f t="shared" si="1"/>
        <v>-</v>
      </c>
    </row>
    <row r="91" spans="1:65" x14ac:dyDescent="0.25">
      <c r="A91" s="189">
        <v>90</v>
      </c>
      <c r="B91" s="186" t="str">
        <f>IF('Lighting Inventory'!F100="", "", 'Lighting Inventory'!F100)</f>
        <v/>
      </c>
      <c r="C91" s="26" t="str">
        <f>IF(B91="", "", CONCATENATE("Area: ", 'Lighting Inventory'!D100, ", ", IF('Lighting Inventory'!C100="", "", "Floor: "), 'Lighting Inventory'!C100))</f>
        <v/>
      </c>
      <c r="D91" s="186" t="str">
        <f>IF(B91="", "", IF('Lighting Inventory'!B100="New Construction",CONCATENATE("Cut Sheet ", 250+'Appendix C'!A91), IF(ISNUMBER(SEARCH("cut sheet", 'Lighting Inventory'!J100)), CONCATENATE("Cut Sheet ", 'Lookup Tables'!AX93), 'Lighting Inventory'!J100)))</f>
        <v/>
      </c>
      <c r="E91" s="26" t="str">
        <f>IF(B91="", "", IF('Lighting Inventory'!B100="New Construction", 1, 'Lighting Inventory'!I100))</f>
        <v/>
      </c>
      <c r="F91" s="26" t="str">
        <f>IF(B91="", "", IF('Lighting Inventory'!B100="New Construction", 'Lighting Inventory'!R100*1000, 'Lighting Inventory'!K100))</f>
        <v/>
      </c>
      <c r="G91" s="26" t="str">
        <f>IF(B91="", "", IF('Lighting Inventory'!M100="", "S_LS", VLOOKUP('Lighting Inventory'!M100, 'Lookup Tables'!$B$142:$D$148, 3, FALSE)))</f>
        <v/>
      </c>
      <c r="H91" s="26" t="str">
        <f>IF(OR('Lighting Inventory'!V100="", 'Lighting Inventory'!W100=""), "", IF('Lighting Inventory'!W100="No Change", 'Lighting Inventory'!J100, CONCATENATE("Cut Sheet ", 'Appendix C'!A91)))</f>
        <v/>
      </c>
      <c r="I91" s="26" t="str">
        <f>IF(H91="", "", IF('Lighting Inventory'!AB100="Yes", "Screw-In", "General"))</f>
        <v/>
      </c>
      <c r="J91" s="26" t="str">
        <f>IF(B91="", "", CONCATENATE('Lighting Inventory'!W100, ", ", 'Lighting Inventory'!AL100, " W"))</f>
        <v/>
      </c>
      <c r="K91" s="26" t="str">
        <f>IF(OR(B91="",'Lighting Inventory'!B100="Retrofit"),"",IF('General Information'!$F$16="Space-by-Space",CONCATENATE('Lighting Inventory'!N100,", ",'Lighting Inventory'!O100," ",'Lighting Inventory'!P100," LPD"," at ",'Lighting Inventory'!Q100,", ",'Lighting Inventory'!R100," kW"),CONCATENATE(B91,", ",'Lighting Inventory'!O100," ",'Lighting Inventory'!P100," LPD"," at ",'Lighting Inventory'!Q100,", ",'Lighting Inventory'!R100," kW")))</f>
        <v/>
      </c>
      <c r="L91" s="26" t="str">
        <f>IF(H91="","",IF('Lighting Inventory'!AK100="","",'Lighting Inventory'!AK100))</f>
        <v/>
      </c>
      <c r="M91" s="26" t="str">
        <f>IF(H91="", "", 'Lighting Inventory'!AL100)</f>
        <v/>
      </c>
      <c r="N91" s="26" t="str">
        <f>IF('Lighting Inventory'!S100="", "", IF('Lighting Inventory'!W100="No Change", 'Lighting Inventory'!I100, 'Lighting Inventory'!S100))</f>
        <v/>
      </c>
      <c r="O91" s="26" t="str">
        <f>IF('Lighting Inventory'!AN100="", "", VLOOKUP('Lighting Inventory'!AN100, 'Lookup Tables'!$B$142:$D$148, 3, FALSE))</f>
        <v/>
      </c>
      <c r="P91" s="66" t="str">
        <f>IF(B91="", "", 'Lighting Inventory'!AX100)</f>
        <v/>
      </c>
      <c r="Q91" s="67" t="str">
        <f>IF(B91="", "", 'Lighting Inventory'!AZ100)</f>
        <v/>
      </c>
      <c r="R91" s="187" t="str">
        <f>IF(OR('Lighting Inventory'!G100="", 'Lighting Inventory'!H100=""), "", 'Lighting Inventory'!BD100)</f>
        <v/>
      </c>
      <c r="S91" s="187" t="str">
        <f>IF(OR('Lighting Inventory'!G100="", 'Lighting Inventory'!H100=""), "",'Lighting Inventory'!BB100)</f>
        <v/>
      </c>
      <c r="T91" s="67" t="str">
        <f>IF(B91="", "", 'Lighting Inventory'!BE100)</f>
        <v/>
      </c>
      <c r="U91" s="67" t="str">
        <f>IF(B91="", "", 'Lighting Inventory'!BF100)</f>
        <v/>
      </c>
      <c r="BM91" s="186" t="str">
        <f t="shared" si="1"/>
        <v>-</v>
      </c>
    </row>
    <row r="92" spans="1:65" x14ac:dyDescent="0.25">
      <c r="A92" s="189">
        <v>91</v>
      </c>
      <c r="B92" s="186" t="str">
        <f>IF('Lighting Inventory'!F101="", "", 'Lighting Inventory'!F101)</f>
        <v/>
      </c>
      <c r="C92" s="26" t="str">
        <f>IF(B92="", "", CONCATENATE("Area: ", 'Lighting Inventory'!D101, ", ", IF('Lighting Inventory'!C101="", "", "Floor: "), 'Lighting Inventory'!C101))</f>
        <v/>
      </c>
      <c r="D92" s="186" t="str">
        <f>IF(B92="", "", IF('Lighting Inventory'!B101="New Construction",CONCATENATE("Cut Sheet ", 250+'Appendix C'!A92), IF(ISNUMBER(SEARCH("cut sheet", 'Lighting Inventory'!J101)), CONCATENATE("Cut Sheet ", 'Lookup Tables'!AX94), 'Lighting Inventory'!J101)))</f>
        <v/>
      </c>
      <c r="E92" s="26" t="str">
        <f>IF(B92="", "", IF('Lighting Inventory'!B101="New Construction", 1, 'Lighting Inventory'!I101))</f>
        <v/>
      </c>
      <c r="F92" s="26" t="str">
        <f>IF(B92="", "", IF('Lighting Inventory'!B101="New Construction", 'Lighting Inventory'!R101*1000, 'Lighting Inventory'!K101))</f>
        <v/>
      </c>
      <c r="G92" s="26" t="str">
        <f>IF(B92="", "", IF('Lighting Inventory'!M101="", "S_LS", VLOOKUP('Lighting Inventory'!M101, 'Lookup Tables'!$B$142:$D$148, 3, FALSE)))</f>
        <v/>
      </c>
      <c r="H92" s="26" t="str">
        <f>IF(OR('Lighting Inventory'!V101="", 'Lighting Inventory'!W101=""), "", IF('Lighting Inventory'!W101="No Change", 'Lighting Inventory'!J101, CONCATENATE("Cut Sheet ", 'Appendix C'!A92)))</f>
        <v/>
      </c>
      <c r="I92" s="26" t="str">
        <f>IF(H92="", "", IF('Lighting Inventory'!AB101="Yes", "Screw-In", "General"))</f>
        <v/>
      </c>
      <c r="J92" s="26" t="str">
        <f>IF(B92="", "", CONCATENATE('Lighting Inventory'!W101, ", ", 'Lighting Inventory'!AL101, " W"))</f>
        <v/>
      </c>
      <c r="K92" s="26" t="str">
        <f>IF(OR(B92="",'Lighting Inventory'!B101="Retrofit"),"",IF('General Information'!$F$16="Space-by-Space",CONCATENATE('Lighting Inventory'!N101,", ",'Lighting Inventory'!O101," ",'Lighting Inventory'!P101," LPD"," at ",'Lighting Inventory'!Q101,", ",'Lighting Inventory'!R101," kW"),CONCATENATE(B92,", ",'Lighting Inventory'!O101," ",'Lighting Inventory'!P101," LPD"," at ",'Lighting Inventory'!Q101,", ",'Lighting Inventory'!R101," kW")))</f>
        <v/>
      </c>
      <c r="L92" s="26" t="str">
        <f>IF(H92="","",IF('Lighting Inventory'!AK101="","",'Lighting Inventory'!AK101))</f>
        <v/>
      </c>
      <c r="M92" s="26" t="str">
        <f>IF(H92="", "", 'Lighting Inventory'!AL101)</f>
        <v/>
      </c>
      <c r="N92" s="26" t="str">
        <f>IF('Lighting Inventory'!S101="", "", IF('Lighting Inventory'!W101="No Change", 'Lighting Inventory'!I101, 'Lighting Inventory'!S101))</f>
        <v/>
      </c>
      <c r="O92" s="26" t="str">
        <f>IF('Lighting Inventory'!AN101="", "", VLOOKUP('Lighting Inventory'!AN101, 'Lookup Tables'!$B$142:$D$148, 3, FALSE))</f>
        <v/>
      </c>
      <c r="P92" s="66" t="str">
        <f>IF(B92="", "", 'Lighting Inventory'!AX101)</f>
        <v/>
      </c>
      <c r="Q92" s="67" t="str">
        <f>IF(B92="", "", 'Lighting Inventory'!AZ101)</f>
        <v/>
      </c>
      <c r="R92" s="187" t="str">
        <f>IF(OR('Lighting Inventory'!G101="", 'Lighting Inventory'!H101=""), "", 'Lighting Inventory'!BD101)</f>
        <v/>
      </c>
      <c r="S92" s="187" t="str">
        <f>IF(OR('Lighting Inventory'!G101="", 'Lighting Inventory'!H101=""), "",'Lighting Inventory'!BB101)</f>
        <v/>
      </c>
      <c r="T92" s="67" t="str">
        <f>IF(B92="", "", 'Lighting Inventory'!BE101)</f>
        <v/>
      </c>
      <c r="U92" s="67" t="str">
        <f>IF(B92="", "", 'Lighting Inventory'!BF101)</f>
        <v/>
      </c>
      <c r="BM92" s="186" t="str">
        <f t="shared" si="1"/>
        <v>-</v>
      </c>
    </row>
    <row r="93" spans="1:65" x14ac:dyDescent="0.25">
      <c r="A93" s="189">
        <v>92</v>
      </c>
      <c r="B93" s="186" t="str">
        <f>IF('Lighting Inventory'!F102="", "", 'Lighting Inventory'!F102)</f>
        <v/>
      </c>
      <c r="C93" s="26" t="str">
        <f>IF(B93="", "", CONCATENATE("Area: ", 'Lighting Inventory'!D102, ", ", IF('Lighting Inventory'!C102="", "", "Floor: "), 'Lighting Inventory'!C102))</f>
        <v/>
      </c>
      <c r="D93" s="186" t="str">
        <f>IF(B93="", "", IF('Lighting Inventory'!B102="New Construction",CONCATENATE("Cut Sheet ", 250+'Appendix C'!A93), IF(ISNUMBER(SEARCH("cut sheet", 'Lighting Inventory'!J102)), CONCATENATE("Cut Sheet ", 'Lookup Tables'!AX95), 'Lighting Inventory'!J102)))</f>
        <v/>
      </c>
      <c r="E93" s="26" t="str">
        <f>IF(B93="", "", IF('Lighting Inventory'!B102="New Construction", 1, 'Lighting Inventory'!I102))</f>
        <v/>
      </c>
      <c r="F93" s="26" t="str">
        <f>IF(B93="", "", IF('Lighting Inventory'!B102="New Construction", 'Lighting Inventory'!R102*1000, 'Lighting Inventory'!K102))</f>
        <v/>
      </c>
      <c r="G93" s="26" t="str">
        <f>IF(B93="", "", IF('Lighting Inventory'!M102="", "S_LS", VLOOKUP('Lighting Inventory'!M102, 'Lookup Tables'!$B$142:$D$148, 3, FALSE)))</f>
        <v/>
      </c>
      <c r="H93" s="26" t="str">
        <f>IF(OR('Lighting Inventory'!V102="", 'Lighting Inventory'!W102=""), "", IF('Lighting Inventory'!W102="No Change", 'Lighting Inventory'!J102, CONCATENATE("Cut Sheet ", 'Appendix C'!A93)))</f>
        <v/>
      </c>
      <c r="I93" s="26" t="str">
        <f>IF(H93="", "", IF('Lighting Inventory'!AB102="Yes", "Screw-In", "General"))</f>
        <v/>
      </c>
      <c r="J93" s="26" t="str">
        <f>IF(B93="", "", CONCATENATE('Lighting Inventory'!W102, ", ", 'Lighting Inventory'!AL102, " W"))</f>
        <v/>
      </c>
      <c r="K93" s="26" t="str">
        <f>IF(OR(B93="",'Lighting Inventory'!B102="Retrofit"),"",IF('General Information'!$F$16="Space-by-Space",CONCATENATE('Lighting Inventory'!N102,", ",'Lighting Inventory'!O102," ",'Lighting Inventory'!P102," LPD"," at ",'Lighting Inventory'!Q102,", ",'Lighting Inventory'!R102," kW"),CONCATENATE(B93,", ",'Lighting Inventory'!O102," ",'Lighting Inventory'!P102," LPD"," at ",'Lighting Inventory'!Q102,", ",'Lighting Inventory'!R102," kW")))</f>
        <v/>
      </c>
      <c r="L93" s="26" t="str">
        <f>IF(H93="","",IF('Lighting Inventory'!AK102="","",'Lighting Inventory'!AK102))</f>
        <v/>
      </c>
      <c r="M93" s="26" t="str">
        <f>IF(H93="", "", 'Lighting Inventory'!AL102)</f>
        <v/>
      </c>
      <c r="N93" s="26" t="str">
        <f>IF('Lighting Inventory'!S102="", "", IF('Lighting Inventory'!W102="No Change", 'Lighting Inventory'!I102, 'Lighting Inventory'!S102))</f>
        <v/>
      </c>
      <c r="O93" s="26" t="str">
        <f>IF('Lighting Inventory'!AN102="", "", VLOOKUP('Lighting Inventory'!AN102, 'Lookup Tables'!$B$142:$D$148, 3, FALSE))</f>
        <v/>
      </c>
      <c r="P93" s="66" t="str">
        <f>IF(B93="", "", 'Lighting Inventory'!AX102)</f>
        <v/>
      </c>
      <c r="Q93" s="67" t="str">
        <f>IF(B93="", "", 'Lighting Inventory'!AZ102)</f>
        <v/>
      </c>
      <c r="R93" s="187" t="str">
        <f>IF(OR('Lighting Inventory'!G102="", 'Lighting Inventory'!H102=""), "", 'Lighting Inventory'!BD102)</f>
        <v/>
      </c>
      <c r="S93" s="187" t="str">
        <f>IF(OR('Lighting Inventory'!G102="", 'Lighting Inventory'!H102=""), "",'Lighting Inventory'!BB102)</f>
        <v/>
      </c>
      <c r="T93" s="67" t="str">
        <f>IF(B93="", "", 'Lighting Inventory'!BE102)</f>
        <v/>
      </c>
      <c r="U93" s="67" t="str">
        <f>IF(B93="", "", 'Lighting Inventory'!BF102)</f>
        <v/>
      </c>
      <c r="BM93" s="186" t="str">
        <f t="shared" si="1"/>
        <v>-</v>
      </c>
    </row>
    <row r="94" spans="1:65" x14ac:dyDescent="0.25">
      <c r="A94" s="189">
        <v>93</v>
      </c>
      <c r="B94" s="186" t="str">
        <f>IF('Lighting Inventory'!F103="", "", 'Lighting Inventory'!F103)</f>
        <v/>
      </c>
      <c r="C94" s="26" t="str">
        <f>IF(B94="", "", CONCATENATE("Area: ", 'Lighting Inventory'!D103, ", ", IF('Lighting Inventory'!C103="", "", "Floor: "), 'Lighting Inventory'!C103))</f>
        <v/>
      </c>
      <c r="D94" s="186" t="str">
        <f>IF(B94="", "", IF('Lighting Inventory'!B103="New Construction",CONCATENATE("Cut Sheet ", 250+'Appendix C'!A94), IF(ISNUMBER(SEARCH("cut sheet", 'Lighting Inventory'!J103)), CONCATENATE("Cut Sheet ", 'Lookup Tables'!AX96), 'Lighting Inventory'!J103)))</f>
        <v/>
      </c>
      <c r="E94" s="26" t="str">
        <f>IF(B94="", "", IF('Lighting Inventory'!B103="New Construction", 1, 'Lighting Inventory'!I103))</f>
        <v/>
      </c>
      <c r="F94" s="26" t="str">
        <f>IF(B94="", "", IF('Lighting Inventory'!B103="New Construction", 'Lighting Inventory'!R103*1000, 'Lighting Inventory'!K103))</f>
        <v/>
      </c>
      <c r="G94" s="26" t="str">
        <f>IF(B94="", "", IF('Lighting Inventory'!M103="", "S_LS", VLOOKUP('Lighting Inventory'!M103, 'Lookup Tables'!$B$142:$D$148, 3, FALSE)))</f>
        <v/>
      </c>
      <c r="H94" s="26" t="str">
        <f>IF(OR('Lighting Inventory'!V103="", 'Lighting Inventory'!W103=""), "", IF('Lighting Inventory'!W103="No Change", 'Lighting Inventory'!J103, CONCATENATE("Cut Sheet ", 'Appendix C'!A94)))</f>
        <v/>
      </c>
      <c r="I94" s="26" t="str">
        <f>IF(H94="", "", IF('Lighting Inventory'!AB103="Yes", "Screw-In", "General"))</f>
        <v/>
      </c>
      <c r="J94" s="26" t="str">
        <f>IF(B94="", "", CONCATENATE('Lighting Inventory'!W103, ", ", 'Lighting Inventory'!AL103, " W"))</f>
        <v/>
      </c>
      <c r="K94" s="26" t="str">
        <f>IF(OR(B94="",'Lighting Inventory'!B103="Retrofit"),"",IF('General Information'!$F$16="Space-by-Space",CONCATENATE('Lighting Inventory'!N103,", ",'Lighting Inventory'!O103," ",'Lighting Inventory'!P103," LPD"," at ",'Lighting Inventory'!Q103,", ",'Lighting Inventory'!R103," kW"),CONCATENATE(B94,", ",'Lighting Inventory'!O103," ",'Lighting Inventory'!P103," LPD"," at ",'Lighting Inventory'!Q103,", ",'Lighting Inventory'!R103," kW")))</f>
        <v/>
      </c>
      <c r="L94" s="26" t="str">
        <f>IF(H94="","",IF('Lighting Inventory'!AK103="","",'Lighting Inventory'!AK103))</f>
        <v/>
      </c>
      <c r="M94" s="26" t="str">
        <f>IF(H94="", "", 'Lighting Inventory'!AL103)</f>
        <v/>
      </c>
      <c r="N94" s="26" t="str">
        <f>IF('Lighting Inventory'!S103="", "", IF('Lighting Inventory'!W103="No Change", 'Lighting Inventory'!I103, 'Lighting Inventory'!S103))</f>
        <v/>
      </c>
      <c r="O94" s="26" t="str">
        <f>IF('Lighting Inventory'!AN103="", "", VLOOKUP('Lighting Inventory'!AN103, 'Lookup Tables'!$B$142:$D$148, 3, FALSE))</f>
        <v/>
      </c>
      <c r="P94" s="66" t="str">
        <f>IF(B94="", "", 'Lighting Inventory'!AX103)</f>
        <v/>
      </c>
      <c r="Q94" s="67" t="str">
        <f>IF(B94="", "", 'Lighting Inventory'!AZ103)</f>
        <v/>
      </c>
      <c r="R94" s="187" t="str">
        <f>IF(OR('Lighting Inventory'!G103="", 'Lighting Inventory'!H103=""), "", 'Lighting Inventory'!BD103)</f>
        <v/>
      </c>
      <c r="S94" s="187" t="str">
        <f>IF(OR('Lighting Inventory'!G103="", 'Lighting Inventory'!H103=""), "",'Lighting Inventory'!BB103)</f>
        <v/>
      </c>
      <c r="T94" s="67" t="str">
        <f>IF(B94="", "", 'Lighting Inventory'!BE103)</f>
        <v/>
      </c>
      <c r="U94" s="67" t="str">
        <f>IF(B94="", "", 'Lighting Inventory'!BF103)</f>
        <v/>
      </c>
      <c r="BM94" s="186" t="str">
        <f t="shared" si="1"/>
        <v>-</v>
      </c>
    </row>
    <row r="95" spans="1:65" x14ac:dyDescent="0.25">
      <c r="A95" s="189">
        <v>94</v>
      </c>
      <c r="B95" s="186" t="str">
        <f>IF('Lighting Inventory'!F104="", "", 'Lighting Inventory'!F104)</f>
        <v/>
      </c>
      <c r="C95" s="26" t="str">
        <f>IF(B95="", "", CONCATENATE("Area: ", 'Lighting Inventory'!D104, ", ", IF('Lighting Inventory'!C104="", "", "Floor: "), 'Lighting Inventory'!C104))</f>
        <v/>
      </c>
      <c r="D95" s="186" t="str">
        <f>IF(B95="", "", IF('Lighting Inventory'!B104="New Construction",CONCATENATE("Cut Sheet ", 250+'Appendix C'!A95), IF(ISNUMBER(SEARCH("cut sheet", 'Lighting Inventory'!J104)), CONCATENATE("Cut Sheet ", 'Lookup Tables'!AX97), 'Lighting Inventory'!J104)))</f>
        <v/>
      </c>
      <c r="E95" s="26" t="str">
        <f>IF(B95="", "", IF('Lighting Inventory'!B104="New Construction", 1, 'Lighting Inventory'!I104))</f>
        <v/>
      </c>
      <c r="F95" s="26" t="str">
        <f>IF(B95="", "", IF('Lighting Inventory'!B104="New Construction", 'Lighting Inventory'!R104*1000, 'Lighting Inventory'!K104))</f>
        <v/>
      </c>
      <c r="G95" s="26" t="str">
        <f>IF(B95="", "", IF('Lighting Inventory'!M104="", "S_LS", VLOOKUP('Lighting Inventory'!M104, 'Lookup Tables'!$B$142:$D$148, 3, FALSE)))</f>
        <v/>
      </c>
      <c r="H95" s="26" t="str">
        <f>IF(OR('Lighting Inventory'!V104="", 'Lighting Inventory'!W104=""), "", IF('Lighting Inventory'!W104="No Change", 'Lighting Inventory'!J104, CONCATENATE("Cut Sheet ", 'Appendix C'!A95)))</f>
        <v/>
      </c>
      <c r="I95" s="26" t="str">
        <f>IF(H95="", "", IF('Lighting Inventory'!AB104="Yes", "Screw-In", "General"))</f>
        <v/>
      </c>
      <c r="J95" s="26" t="str">
        <f>IF(B95="", "", CONCATENATE('Lighting Inventory'!W104, ", ", 'Lighting Inventory'!AL104, " W"))</f>
        <v/>
      </c>
      <c r="K95" s="26" t="str">
        <f>IF(OR(B95="",'Lighting Inventory'!B104="Retrofit"),"",IF('General Information'!$F$16="Space-by-Space",CONCATENATE('Lighting Inventory'!N104,", ",'Lighting Inventory'!O104," ",'Lighting Inventory'!P104," LPD"," at ",'Lighting Inventory'!Q104,", ",'Lighting Inventory'!R104," kW"),CONCATENATE(B95,", ",'Lighting Inventory'!O104," ",'Lighting Inventory'!P104," LPD"," at ",'Lighting Inventory'!Q104,", ",'Lighting Inventory'!R104," kW")))</f>
        <v/>
      </c>
      <c r="L95" s="26" t="str">
        <f>IF(H95="","",IF('Lighting Inventory'!AK104="","",'Lighting Inventory'!AK104))</f>
        <v/>
      </c>
      <c r="M95" s="26" t="str">
        <f>IF(H95="", "", 'Lighting Inventory'!AL104)</f>
        <v/>
      </c>
      <c r="N95" s="26" t="str">
        <f>IF('Lighting Inventory'!S104="", "", IF('Lighting Inventory'!W104="No Change", 'Lighting Inventory'!I104, 'Lighting Inventory'!S104))</f>
        <v/>
      </c>
      <c r="O95" s="26" t="str">
        <f>IF('Lighting Inventory'!AN104="", "", VLOOKUP('Lighting Inventory'!AN104, 'Lookup Tables'!$B$142:$D$148, 3, FALSE))</f>
        <v/>
      </c>
      <c r="P95" s="66" t="str">
        <f>IF(B95="", "", 'Lighting Inventory'!AX104)</f>
        <v/>
      </c>
      <c r="Q95" s="67" t="str">
        <f>IF(B95="", "", 'Lighting Inventory'!AZ104)</f>
        <v/>
      </c>
      <c r="R95" s="187" t="str">
        <f>IF(OR('Lighting Inventory'!G104="", 'Lighting Inventory'!H104=""), "", 'Lighting Inventory'!BD104)</f>
        <v/>
      </c>
      <c r="S95" s="187" t="str">
        <f>IF(OR('Lighting Inventory'!G104="", 'Lighting Inventory'!H104=""), "",'Lighting Inventory'!BB104)</f>
        <v/>
      </c>
      <c r="T95" s="67" t="str">
        <f>IF(B95="", "", 'Lighting Inventory'!BE104)</f>
        <v/>
      </c>
      <c r="U95" s="67" t="str">
        <f>IF(B95="", "", 'Lighting Inventory'!BF104)</f>
        <v/>
      </c>
      <c r="BM95" s="186" t="str">
        <f t="shared" si="1"/>
        <v>-</v>
      </c>
    </row>
    <row r="96" spans="1:65" x14ac:dyDescent="0.25">
      <c r="A96" s="189">
        <v>95</v>
      </c>
      <c r="B96" s="186" t="str">
        <f>IF('Lighting Inventory'!F105="", "", 'Lighting Inventory'!F105)</f>
        <v/>
      </c>
      <c r="C96" s="26" t="str">
        <f>IF(B96="", "", CONCATENATE("Area: ", 'Lighting Inventory'!D105, ", ", IF('Lighting Inventory'!C105="", "", "Floor: "), 'Lighting Inventory'!C105))</f>
        <v/>
      </c>
      <c r="D96" s="186" t="str">
        <f>IF(B96="", "", IF('Lighting Inventory'!B105="New Construction",CONCATENATE("Cut Sheet ", 250+'Appendix C'!A96), IF(ISNUMBER(SEARCH("cut sheet", 'Lighting Inventory'!J105)), CONCATENATE("Cut Sheet ", 'Lookup Tables'!AX98), 'Lighting Inventory'!J105)))</f>
        <v/>
      </c>
      <c r="E96" s="26" t="str">
        <f>IF(B96="", "", IF('Lighting Inventory'!B105="New Construction", 1, 'Lighting Inventory'!I105))</f>
        <v/>
      </c>
      <c r="F96" s="26" t="str">
        <f>IF(B96="", "", IF('Lighting Inventory'!B105="New Construction", 'Lighting Inventory'!R105*1000, 'Lighting Inventory'!K105))</f>
        <v/>
      </c>
      <c r="G96" s="26" t="str">
        <f>IF(B96="", "", IF('Lighting Inventory'!M105="", "S_LS", VLOOKUP('Lighting Inventory'!M105, 'Lookup Tables'!$B$142:$D$148, 3, FALSE)))</f>
        <v/>
      </c>
      <c r="H96" s="26" t="str">
        <f>IF(OR('Lighting Inventory'!V105="", 'Lighting Inventory'!W105=""), "", IF('Lighting Inventory'!W105="No Change", 'Lighting Inventory'!J105, CONCATENATE("Cut Sheet ", 'Appendix C'!A96)))</f>
        <v/>
      </c>
      <c r="I96" s="26" t="str">
        <f>IF(H96="", "", IF('Lighting Inventory'!AB105="Yes", "Screw-In", "General"))</f>
        <v/>
      </c>
      <c r="J96" s="26" t="str">
        <f>IF(B96="", "", CONCATENATE('Lighting Inventory'!W105, ", ", 'Lighting Inventory'!AL105, " W"))</f>
        <v/>
      </c>
      <c r="K96" s="26" t="str">
        <f>IF(OR(B96="",'Lighting Inventory'!B105="Retrofit"),"",IF('General Information'!$F$16="Space-by-Space",CONCATENATE('Lighting Inventory'!N105,", ",'Lighting Inventory'!O105," ",'Lighting Inventory'!P105," LPD"," at ",'Lighting Inventory'!Q105,", ",'Lighting Inventory'!R105," kW"),CONCATENATE(B96,", ",'Lighting Inventory'!O105," ",'Lighting Inventory'!P105," LPD"," at ",'Lighting Inventory'!Q105,", ",'Lighting Inventory'!R105," kW")))</f>
        <v/>
      </c>
      <c r="L96" s="26" t="str">
        <f>IF(H96="","",IF('Lighting Inventory'!AK105="","",'Lighting Inventory'!AK105))</f>
        <v/>
      </c>
      <c r="M96" s="26" t="str">
        <f>IF(H96="", "", 'Lighting Inventory'!AL105)</f>
        <v/>
      </c>
      <c r="N96" s="26" t="str">
        <f>IF('Lighting Inventory'!S105="", "", IF('Lighting Inventory'!W105="No Change", 'Lighting Inventory'!I105, 'Lighting Inventory'!S105))</f>
        <v/>
      </c>
      <c r="O96" s="26" t="str">
        <f>IF('Lighting Inventory'!AN105="", "", VLOOKUP('Lighting Inventory'!AN105, 'Lookup Tables'!$B$142:$D$148, 3, FALSE))</f>
        <v/>
      </c>
      <c r="P96" s="66" t="str">
        <f>IF(B96="", "", 'Lighting Inventory'!AX105)</f>
        <v/>
      </c>
      <c r="Q96" s="67" t="str">
        <f>IF(B96="", "", 'Lighting Inventory'!AZ105)</f>
        <v/>
      </c>
      <c r="R96" s="187" t="str">
        <f>IF(OR('Lighting Inventory'!G105="", 'Lighting Inventory'!H105=""), "", 'Lighting Inventory'!BD105)</f>
        <v/>
      </c>
      <c r="S96" s="187" t="str">
        <f>IF(OR('Lighting Inventory'!G105="", 'Lighting Inventory'!H105=""), "",'Lighting Inventory'!BB105)</f>
        <v/>
      </c>
      <c r="T96" s="67" t="str">
        <f>IF(B96="", "", 'Lighting Inventory'!BE105)</f>
        <v/>
      </c>
      <c r="U96" s="67" t="str">
        <f>IF(B96="", "", 'Lighting Inventory'!BF105)</f>
        <v/>
      </c>
      <c r="BM96" s="186" t="str">
        <f t="shared" si="1"/>
        <v>-</v>
      </c>
    </row>
    <row r="97" spans="1:65" x14ac:dyDescent="0.25">
      <c r="A97" s="189">
        <v>96</v>
      </c>
      <c r="B97" s="186" t="str">
        <f>IF('Lighting Inventory'!F106="", "", 'Lighting Inventory'!F106)</f>
        <v/>
      </c>
      <c r="C97" s="26" t="str">
        <f>IF(B97="", "", CONCATENATE("Area: ", 'Lighting Inventory'!D106, ", ", IF('Lighting Inventory'!C106="", "", "Floor: "), 'Lighting Inventory'!C106))</f>
        <v/>
      </c>
      <c r="D97" s="186" t="str">
        <f>IF(B97="", "", IF('Lighting Inventory'!B106="New Construction",CONCATENATE("Cut Sheet ", 250+'Appendix C'!A97), IF(ISNUMBER(SEARCH("cut sheet", 'Lighting Inventory'!J106)), CONCATENATE("Cut Sheet ", 'Lookup Tables'!AX99), 'Lighting Inventory'!J106)))</f>
        <v/>
      </c>
      <c r="E97" s="26" t="str">
        <f>IF(B97="", "", IF('Lighting Inventory'!B106="New Construction", 1, 'Lighting Inventory'!I106))</f>
        <v/>
      </c>
      <c r="F97" s="26" t="str">
        <f>IF(B97="", "", IF('Lighting Inventory'!B106="New Construction", 'Lighting Inventory'!R106*1000, 'Lighting Inventory'!K106))</f>
        <v/>
      </c>
      <c r="G97" s="26" t="str">
        <f>IF(B97="", "", IF('Lighting Inventory'!M106="", "S_LS", VLOOKUP('Lighting Inventory'!M106, 'Lookup Tables'!$B$142:$D$148, 3, FALSE)))</f>
        <v/>
      </c>
      <c r="H97" s="26" t="str">
        <f>IF(OR('Lighting Inventory'!V106="", 'Lighting Inventory'!W106=""), "", IF('Lighting Inventory'!W106="No Change", 'Lighting Inventory'!J106, CONCATENATE("Cut Sheet ", 'Appendix C'!A97)))</f>
        <v/>
      </c>
      <c r="I97" s="26" t="str">
        <f>IF(H97="", "", IF('Lighting Inventory'!AB106="Yes", "Screw-In", "General"))</f>
        <v/>
      </c>
      <c r="J97" s="26" t="str">
        <f>IF(B97="", "", CONCATENATE('Lighting Inventory'!W106, ", ", 'Lighting Inventory'!AL106, " W"))</f>
        <v/>
      </c>
      <c r="K97" s="26" t="str">
        <f>IF(OR(B97="",'Lighting Inventory'!B106="Retrofit"),"",IF('General Information'!$F$16="Space-by-Space",CONCATENATE('Lighting Inventory'!N106,", ",'Lighting Inventory'!O106," ",'Lighting Inventory'!P106," LPD"," at ",'Lighting Inventory'!Q106,", ",'Lighting Inventory'!R106," kW"),CONCATENATE(B97,", ",'Lighting Inventory'!O106," ",'Lighting Inventory'!P106," LPD"," at ",'Lighting Inventory'!Q106,", ",'Lighting Inventory'!R106," kW")))</f>
        <v/>
      </c>
      <c r="L97" s="26" t="str">
        <f>IF(H97="","",IF('Lighting Inventory'!AK106="","",'Lighting Inventory'!AK106))</f>
        <v/>
      </c>
      <c r="M97" s="26" t="str">
        <f>IF(H97="", "", 'Lighting Inventory'!AL106)</f>
        <v/>
      </c>
      <c r="N97" s="26" t="str">
        <f>IF('Lighting Inventory'!S106="", "", IF('Lighting Inventory'!W106="No Change", 'Lighting Inventory'!I106, 'Lighting Inventory'!S106))</f>
        <v/>
      </c>
      <c r="O97" s="26" t="str">
        <f>IF('Lighting Inventory'!AN106="", "", VLOOKUP('Lighting Inventory'!AN106, 'Lookup Tables'!$B$142:$D$148, 3, FALSE))</f>
        <v/>
      </c>
      <c r="P97" s="66" t="str">
        <f>IF(B97="", "", 'Lighting Inventory'!AX106)</f>
        <v/>
      </c>
      <c r="Q97" s="67" t="str">
        <f>IF(B97="", "", 'Lighting Inventory'!AZ106)</f>
        <v/>
      </c>
      <c r="R97" s="187" t="str">
        <f>IF(OR('Lighting Inventory'!G106="", 'Lighting Inventory'!H106=""), "", 'Lighting Inventory'!BD106)</f>
        <v/>
      </c>
      <c r="S97" s="187" t="str">
        <f>IF(OR('Lighting Inventory'!G106="", 'Lighting Inventory'!H106=""), "",'Lighting Inventory'!BB106)</f>
        <v/>
      </c>
      <c r="T97" s="67" t="str">
        <f>IF(B97="", "", 'Lighting Inventory'!BE106)</f>
        <v/>
      </c>
      <c r="U97" s="67" t="str">
        <f>IF(B97="", "", 'Lighting Inventory'!BF106)</f>
        <v/>
      </c>
      <c r="BM97" s="186" t="str">
        <f t="shared" si="1"/>
        <v>-</v>
      </c>
    </row>
    <row r="98" spans="1:65" x14ac:dyDescent="0.25">
      <c r="A98" s="189">
        <v>97</v>
      </c>
      <c r="B98" s="186" t="str">
        <f>IF('Lighting Inventory'!F107="", "", 'Lighting Inventory'!F107)</f>
        <v/>
      </c>
      <c r="C98" s="26" t="str">
        <f>IF(B98="", "", CONCATENATE("Area: ", 'Lighting Inventory'!D107, ", ", IF('Lighting Inventory'!C107="", "", "Floor: "), 'Lighting Inventory'!C107))</f>
        <v/>
      </c>
      <c r="D98" s="186" t="str">
        <f>IF(B98="", "", IF('Lighting Inventory'!B107="New Construction",CONCATENATE("Cut Sheet ", 250+'Appendix C'!A98), IF(ISNUMBER(SEARCH("cut sheet", 'Lighting Inventory'!J107)), CONCATENATE("Cut Sheet ", 'Lookup Tables'!AX100), 'Lighting Inventory'!J107)))</f>
        <v/>
      </c>
      <c r="E98" s="26" t="str">
        <f>IF(B98="", "", IF('Lighting Inventory'!B107="New Construction", 1, 'Lighting Inventory'!I107))</f>
        <v/>
      </c>
      <c r="F98" s="26" t="str">
        <f>IF(B98="", "", IF('Lighting Inventory'!B107="New Construction", 'Lighting Inventory'!R107*1000, 'Lighting Inventory'!K107))</f>
        <v/>
      </c>
      <c r="G98" s="26" t="str">
        <f>IF(B98="", "", IF('Lighting Inventory'!M107="", "S_LS", VLOOKUP('Lighting Inventory'!M107, 'Lookup Tables'!$B$142:$D$148, 3, FALSE)))</f>
        <v/>
      </c>
      <c r="H98" s="26" t="str">
        <f>IF(OR('Lighting Inventory'!V107="", 'Lighting Inventory'!W107=""), "", IF('Lighting Inventory'!W107="No Change", 'Lighting Inventory'!J107, CONCATENATE("Cut Sheet ", 'Appendix C'!A98)))</f>
        <v/>
      </c>
      <c r="I98" s="26" t="str">
        <f>IF(H98="", "", IF('Lighting Inventory'!AB107="Yes", "Screw-In", "General"))</f>
        <v/>
      </c>
      <c r="J98" s="26" t="str">
        <f>IF(B98="", "", CONCATENATE('Lighting Inventory'!W107, ", ", 'Lighting Inventory'!AL107, " W"))</f>
        <v/>
      </c>
      <c r="K98" s="26" t="str">
        <f>IF(OR(B98="",'Lighting Inventory'!B107="Retrofit"),"",IF('General Information'!$F$16="Space-by-Space",CONCATENATE('Lighting Inventory'!N107,", ",'Lighting Inventory'!O107," ",'Lighting Inventory'!P107," LPD"," at ",'Lighting Inventory'!Q107,", ",'Lighting Inventory'!R107," kW"),CONCATENATE(B98,", ",'Lighting Inventory'!O107," ",'Lighting Inventory'!P107," LPD"," at ",'Lighting Inventory'!Q107,", ",'Lighting Inventory'!R107," kW")))</f>
        <v/>
      </c>
      <c r="L98" s="26" t="str">
        <f>IF(H98="","",IF('Lighting Inventory'!AK107="","",'Lighting Inventory'!AK107))</f>
        <v/>
      </c>
      <c r="M98" s="26" t="str">
        <f>IF(H98="", "", 'Lighting Inventory'!AL107)</f>
        <v/>
      </c>
      <c r="N98" s="26" t="str">
        <f>IF('Lighting Inventory'!S107="", "", IF('Lighting Inventory'!W107="No Change", 'Lighting Inventory'!I107, 'Lighting Inventory'!S107))</f>
        <v/>
      </c>
      <c r="O98" s="26" t="str">
        <f>IF('Lighting Inventory'!AN107="", "", VLOOKUP('Lighting Inventory'!AN107, 'Lookup Tables'!$B$142:$D$148, 3, FALSE))</f>
        <v/>
      </c>
      <c r="P98" s="66" t="str">
        <f>IF(B98="", "", 'Lighting Inventory'!AX107)</f>
        <v/>
      </c>
      <c r="Q98" s="67" t="str">
        <f>IF(B98="", "", 'Lighting Inventory'!AZ107)</f>
        <v/>
      </c>
      <c r="R98" s="187" t="str">
        <f>IF(OR('Lighting Inventory'!G107="", 'Lighting Inventory'!H107=""), "", 'Lighting Inventory'!BD107)</f>
        <v/>
      </c>
      <c r="S98" s="187" t="str">
        <f>IF(OR('Lighting Inventory'!G107="", 'Lighting Inventory'!H107=""), "",'Lighting Inventory'!BB107)</f>
        <v/>
      </c>
      <c r="T98" s="67" t="str">
        <f>IF(B98="", "", 'Lighting Inventory'!BE107)</f>
        <v/>
      </c>
      <c r="U98" s="67" t="str">
        <f>IF(B98="", "", 'Lighting Inventory'!BF107)</f>
        <v/>
      </c>
      <c r="BM98" s="186" t="str">
        <f t="shared" si="1"/>
        <v>-</v>
      </c>
    </row>
    <row r="99" spans="1:65" x14ac:dyDescent="0.25">
      <c r="A99" s="189">
        <v>98</v>
      </c>
      <c r="B99" s="186" t="str">
        <f>IF('Lighting Inventory'!F108="", "", 'Lighting Inventory'!F108)</f>
        <v/>
      </c>
      <c r="C99" s="26" t="str">
        <f>IF(B99="", "", CONCATENATE("Area: ", 'Lighting Inventory'!D108, ", ", IF('Lighting Inventory'!C108="", "", "Floor: "), 'Lighting Inventory'!C108))</f>
        <v/>
      </c>
      <c r="D99" s="186" t="str">
        <f>IF(B99="", "", IF('Lighting Inventory'!B108="New Construction",CONCATENATE("Cut Sheet ", 250+'Appendix C'!A99), IF(ISNUMBER(SEARCH("cut sheet", 'Lighting Inventory'!J108)), CONCATENATE("Cut Sheet ", 'Lookup Tables'!AX101), 'Lighting Inventory'!J108)))</f>
        <v/>
      </c>
      <c r="E99" s="26" t="str">
        <f>IF(B99="", "", IF('Lighting Inventory'!B108="New Construction", 1, 'Lighting Inventory'!I108))</f>
        <v/>
      </c>
      <c r="F99" s="26" t="str">
        <f>IF(B99="", "", IF('Lighting Inventory'!B108="New Construction", 'Lighting Inventory'!R108*1000, 'Lighting Inventory'!K108))</f>
        <v/>
      </c>
      <c r="G99" s="26" t="str">
        <f>IF(B99="", "", IF('Lighting Inventory'!M108="", "S_LS", VLOOKUP('Lighting Inventory'!M108, 'Lookup Tables'!$B$142:$D$148, 3, FALSE)))</f>
        <v/>
      </c>
      <c r="H99" s="26" t="str">
        <f>IF(OR('Lighting Inventory'!V108="", 'Lighting Inventory'!W108=""), "", IF('Lighting Inventory'!W108="No Change", 'Lighting Inventory'!J108, CONCATENATE("Cut Sheet ", 'Appendix C'!A99)))</f>
        <v/>
      </c>
      <c r="I99" s="26" t="str">
        <f>IF(H99="", "", IF('Lighting Inventory'!AB108="Yes", "Screw-In", "General"))</f>
        <v/>
      </c>
      <c r="J99" s="26" t="str">
        <f>IF(B99="", "", CONCATENATE('Lighting Inventory'!W108, ", ", 'Lighting Inventory'!AL108, " W"))</f>
        <v/>
      </c>
      <c r="K99" s="26" t="str">
        <f>IF(OR(B99="",'Lighting Inventory'!B108="Retrofit"),"",IF('General Information'!$F$16="Space-by-Space",CONCATENATE('Lighting Inventory'!N108,", ",'Lighting Inventory'!O108," ",'Lighting Inventory'!P108," LPD"," at ",'Lighting Inventory'!Q108,", ",'Lighting Inventory'!R108," kW"),CONCATENATE(B99,", ",'Lighting Inventory'!O108," ",'Lighting Inventory'!P108," LPD"," at ",'Lighting Inventory'!Q108,", ",'Lighting Inventory'!R108," kW")))</f>
        <v/>
      </c>
      <c r="L99" s="26" t="str">
        <f>IF(H99="","",IF('Lighting Inventory'!AK108="","",'Lighting Inventory'!AK108))</f>
        <v/>
      </c>
      <c r="M99" s="26" t="str">
        <f>IF(H99="", "", 'Lighting Inventory'!AL108)</f>
        <v/>
      </c>
      <c r="N99" s="26" t="str">
        <f>IF('Lighting Inventory'!S108="", "", IF('Lighting Inventory'!W108="No Change", 'Lighting Inventory'!I108, 'Lighting Inventory'!S108))</f>
        <v/>
      </c>
      <c r="O99" s="26" t="str">
        <f>IF('Lighting Inventory'!AN108="", "", VLOOKUP('Lighting Inventory'!AN108, 'Lookup Tables'!$B$142:$D$148, 3, FALSE))</f>
        <v/>
      </c>
      <c r="P99" s="66" t="str">
        <f>IF(B99="", "", 'Lighting Inventory'!AX108)</f>
        <v/>
      </c>
      <c r="Q99" s="67" t="str">
        <f>IF(B99="", "", 'Lighting Inventory'!AZ108)</f>
        <v/>
      </c>
      <c r="R99" s="187" t="str">
        <f>IF(OR('Lighting Inventory'!G108="", 'Lighting Inventory'!H108=""), "", 'Lighting Inventory'!BD108)</f>
        <v/>
      </c>
      <c r="S99" s="187" t="str">
        <f>IF(OR('Lighting Inventory'!G108="", 'Lighting Inventory'!H108=""), "",'Lighting Inventory'!BB108)</f>
        <v/>
      </c>
      <c r="T99" s="67" t="str">
        <f>IF(B99="", "", 'Lighting Inventory'!BE108)</f>
        <v/>
      </c>
      <c r="U99" s="67" t="str">
        <f>IF(B99="", "", 'Lighting Inventory'!BF108)</f>
        <v/>
      </c>
      <c r="BM99" s="186" t="str">
        <f t="shared" si="1"/>
        <v>-</v>
      </c>
    </row>
    <row r="100" spans="1:65" x14ac:dyDescent="0.25">
      <c r="A100" s="189">
        <v>99</v>
      </c>
      <c r="B100" s="186" t="str">
        <f>IF('Lighting Inventory'!F109="", "", 'Lighting Inventory'!F109)</f>
        <v/>
      </c>
      <c r="C100" s="26" t="str">
        <f>IF(B100="", "", CONCATENATE("Area: ", 'Lighting Inventory'!D109, ", ", IF('Lighting Inventory'!C109="", "", "Floor: "), 'Lighting Inventory'!C109))</f>
        <v/>
      </c>
      <c r="D100" s="186" t="str">
        <f>IF(B100="", "", IF('Lighting Inventory'!B109="New Construction",CONCATENATE("Cut Sheet ", 250+'Appendix C'!A100), IF(ISNUMBER(SEARCH("cut sheet", 'Lighting Inventory'!J109)), CONCATENATE("Cut Sheet ", 'Lookup Tables'!AX102), 'Lighting Inventory'!J109)))</f>
        <v/>
      </c>
      <c r="E100" s="26" t="str">
        <f>IF(B100="", "", IF('Lighting Inventory'!B109="New Construction", 1, 'Lighting Inventory'!I109))</f>
        <v/>
      </c>
      <c r="F100" s="26" t="str">
        <f>IF(B100="", "", IF('Lighting Inventory'!B109="New Construction", 'Lighting Inventory'!R109*1000, 'Lighting Inventory'!K109))</f>
        <v/>
      </c>
      <c r="G100" s="26" t="str">
        <f>IF(B100="", "", IF('Lighting Inventory'!M109="", "S_LS", VLOOKUP('Lighting Inventory'!M109, 'Lookup Tables'!$B$142:$D$148, 3, FALSE)))</f>
        <v/>
      </c>
      <c r="H100" s="26" t="str">
        <f>IF(OR('Lighting Inventory'!V109="", 'Lighting Inventory'!W109=""), "", IF('Lighting Inventory'!W109="No Change", 'Lighting Inventory'!J109, CONCATENATE("Cut Sheet ", 'Appendix C'!A100)))</f>
        <v/>
      </c>
      <c r="I100" s="26" t="str">
        <f>IF(H100="", "", IF('Lighting Inventory'!AB109="Yes", "Screw-In", "General"))</f>
        <v/>
      </c>
      <c r="J100" s="26" t="str">
        <f>IF(B100="", "", CONCATENATE('Lighting Inventory'!W109, ", ", 'Lighting Inventory'!AL109, " W"))</f>
        <v/>
      </c>
      <c r="K100" s="26" t="str">
        <f>IF(OR(B100="",'Lighting Inventory'!B109="Retrofit"),"",IF('General Information'!$F$16="Space-by-Space",CONCATENATE('Lighting Inventory'!N109,", ",'Lighting Inventory'!O109," ",'Lighting Inventory'!P109," LPD"," at ",'Lighting Inventory'!Q109,", ",'Lighting Inventory'!R109," kW"),CONCATENATE(B100,", ",'Lighting Inventory'!O109," ",'Lighting Inventory'!P109," LPD"," at ",'Lighting Inventory'!Q109,", ",'Lighting Inventory'!R109," kW")))</f>
        <v/>
      </c>
      <c r="L100" s="26" t="str">
        <f>IF(H100="","",IF('Lighting Inventory'!AK109="","",'Lighting Inventory'!AK109))</f>
        <v/>
      </c>
      <c r="M100" s="26" t="str">
        <f>IF(H100="", "", 'Lighting Inventory'!AL109)</f>
        <v/>
      </c>
      <c r="N100" s="26" t="str">
        <f>IF('Lighting Inventory'!S109="", "", IF('Lighting Inventory'!W109="No Change", 'Lighting Inventory'!I109, 'Lighting Inventory'!S109))</f>
        <v/>
      </c>
      <c r="O100" s="26" t="str">
        <f>IF('Lighting Inventory'!AN109="", "", VLOOKUP('Lighting Inventory'!AN109, 'Lookup Tables'!$B$142:$D$148, 3, FALSE))</f>
        <v/>
      </c>
      <c r="P100" s="66" t="str">
        <f>IF(B100="", "", 'Lighting Inventory'!AX109)</f>
        <v/>
      </c>
      <c r="Q100" s="67" t="str">
        <f>IF(B100="", "", 'Lighting Inventory'!AZ109)</f>
        <v/>
      </c>
      <c r="R100" s="187" t="str">
        <f>IF(OR('Lighting Inventory'!G109="", 'Lighting Inventory'!H109=""), "", 'Lighting Inventory'!BD109)</f>
        <v/>
      </c>
      <c r="S100" s="187" t="str">
        <f>IF(OR('Lighting Inventory'!G109="", 'Lighting Inventory'!H109=""), "",'Lighting Inventory'!BB109)</f>
        <v/>
      </c>
      <c r="T100" s="67" t="str">
        <f>IF(B100="", "", 'Lighting Inventory'!BE109)</f>
        <v/>
      </c>
      <c r="U100" s="67" t="str">
        <f>IF(B100="", "", 'Lighting Inventory'!BF109)</f>
        <v/>
      </c>
      <c r="BM100" s="186" t="str">
        <f t="shared" si="1"/>
        <v>-</v>
      </c>
    </row>
    <row r="101" spans="1:65" x14ac:dyDescent="0.25">
      <c r="A101" s="189">
        <v>100</v>
      </c>
      <c r="B101" s="186" t="str">
        <f>IF('Lighting Inventory'!F110="", "", 'Lighting Inventory'!F110)</f>
        <v/>
      </c>
      <c r="C101" s="26" t="str">
        <f>IF(B101="", "", CONCATENATE("Area: ", 'Lighting Inventory'!D110, ", ", IF('Lighting Inventory'!C110="", "", "Floor: "), 'Lighting Inventory'!C110))</f>
        <v/>
      </c>
      <c r="D101" s="186" t="str">
        <f>IF(B101="", "", IF('Lighting Inventory'!B110="New Construction",CONCATENATE("Cut Sheet ", 250+'Appendix C'!A101), IF(ISNUMBER(SEARCH("cut sheet", 'Lighting Inventory'!J110)), CONCATENATE("Cut Sheet ", 'Lookup Tables'!AX103), 'Lighting Inventory'!J110)))</f>
        <v/>
      </c>
      <c r="E101" s="26" t="str">
        <f>IF(B101="", "", IF('Lighting Inventory'!B110="New Construction", 1, 'Lighting Inventory'!I110))</f>
        <v/>
      </c>
      <c r="F101" s="26" t="str">
        <f>IF(B101="", "", IF('Lighting Inventory'!B110="New Construction", 'Lighting Inventory'!R110*1000, 'Lighting Inventory'!K110))</f>
        <v/>
      </c>
      <c r="G101" s="26" t="str">
        <f>IF(B101="", "", IF('Lighting Inventory'!M110="", "S_LS", VLOOKUP('Lighting Inventory'!M110, 'Lookup Tables'!$B$142:$D$148, 3, FALSE)))</f>
        <v/>
      </c>
      <c r="H101" s="26" t="str">
        <f>IF(OR('Lighting Inventory'!V110="", 'Lighting Inventory'!W110=""), "", IF('Lighting Inventory'!W110="No Change", 'Lighting Inventory'!J110, CONCATENATE("Cut Sheet ", 'Appendix C'!A101)))</f>
        <v/>
      </c>
      <c r="I101" s="26" t="str">
        <f>IF(H101="", "", IF('Lighting Inventory'!AB110="Yes", "Screw-In", "General"))</f>
        <v/>
      </c>
      <c r="J101" s="26" t="str">
        <f>IF(B101="", "", CONCATENATE('Lighting Inventory'!W110, ", ", 'Lighting Inventory'!AL110, " W"))</f>
        <v/>
      </c>
      <c r="K101" s="26" t="str">
        <f>IF(OR(B101="",'Lighting Inventory'!B110="Retrofit"),"",IF('General Information'!$F$16="Space-by-Space",CONCATENATE('Lighting Inventory'!N110,", ",'Lighting Inventory'!O110," ",'Lighting Inventory'!P110," LPD"," at ",'Lighting Inventory'!Q110,", ",'Lighting Inventory'!R110," kW"),CONCATENATE(B101,", ",'Lighting Inventory'!O110," ",'Lighting Inventory'!P110," LPD"," at ",'Lighting Inventory'!Q110,", ",'Lighting Inventory'!R110," kW")))</f>
        <v/>
      </c>
      <c r="L101" s="26" t="str">
        <f>IF(H101="","",IF('Lighting Inventory'!AK110="","",'Lighting Inventory'!AK110))</f>
        <v/>
      </c>
      <c r="M101" s="26" t="str">
        <f>IF(H101="", "", 'Lighting Inventory'!AL110)</f>
        <v/>
      </c>
      <c r="N101" s="26" t="str">
        <f>IF('Lighting Inventory'!S110="", "", IF('Lighting Inventory'!W110="No Change", 'Lighting Inventory'!I110, 'Lighting Inventory'!S110))</f>
        <v/>
      </c>
      <c r="O101" s="26" t="str">
        <f>IF('Lighting Inventory'!AN110="", "", VLOOKUP('Lighting Inventory'!AN110, 'Lookup Tables'!$B$142:$D$148, 3, FALSE))</f>
        <v/>
      </c>
      <c r="P101" s="66" t="str">
        <f>IF(B101="", "", 'Lighting Inventory'!AX110)</f>
        <v/>
      </c>
      <c r="Q101" s="67" t="str">
        <f>IF(B101="", "", 'Lighting Inventory'!AZ110)</f>
        <v/>
      </c>
      <c r="R101" s="187" t="str">
        <f>IF(OR('Lighting Inventory'!G110="", 'Lighting Inventory'!H110=""), "", 'Lighting Inventory'!BD110)</f>
        <v/>
      </c>
      <c r="S101" s="187" t="str">
        <f>IF(OR('Lighting Inventory'!G110="", 'Lighting Inventory'!H110=""), "",'Lighting Inventory'!BB110)</f>
        <v/>
      </c>
      <c r="T101" s="67" t="str">
        <f>IF(B101="", "", 'Lighting Inventory'!BE110)</f>
        <v/>
      </c>
      <c r="U101" s="67" t="str">
        <f>IF(B101="", "", 'Lighting Inventory'!BF110)</f>
        <v/>
      </c>
      <c r="BM101" s="186" t="str">
        <f t="shared" si="1"/>
        <v>-</v>
      </c>
    </row>
    <row r="102" spans="1:65" x14ac:dyDescent="0.25">
      <c r="A102" s="189">
        <v>101</v>
      </c>
      <c r="B102" s="186" t="str">
        <f>IF('Lighting Inventory'!F111="", "", 'Lighting Inventory'!F111)</f>
        <v/>
      </c>
      <c r="C102" s="26" t="str">
        <f>IF(B102="", "", CONCATENATE("Area: ", 'Lighting Inventory'!D111, ", ", IF('Lighting Inventory'!C111="", "", "Floor: "), 'Lighting Inventory'!C111))</f>
        <v/>
      </c>
      <c r="D102" s="186" t="str">
        <f>IF(B102="", "", IF('Lighting Inventory'!B111="New Construction",CONCATENATE("Cut Sheet ", 250+'Appendix C'!A102), IF(ISNUMBER(SEARCH("cut sheet", 'Lighting Inventory'!J111)), CONCATENATE("Cut Sheet ", 'Lookup Tables'!AX104), 'Lighting Inventory'!J111)))</f>
        <v/>
      </c>
      <c r="E102" s="26" t="str">
        <f>IF(B102="", "", IF('Lighting Inventory'!B111="New Construction", 1, 'Lighting Inventory'!I111))</f>
        <v/>
      </c>
      <c r="F102" s="26" t="str">
        <f>IF(B102="", "", IF('Lighting Inventory'!B111="New Construction", 'Lighting Inventory'!R111*1000, 'Lighting Inventory'!K111))</f>
        <v/>
      </c>
      <c r="G102" s="26" t="str">
        <f>IF(B102="", "", IF('Lighting Inventory'!M111="", "S_LS", VLOOKUP('Lighting Inventory'!M111, 'Lookup Tables'!$B$142:$D$148, 3, FALSE)))</f>
        <v/>
      </c>
      <c r="H102" s="26" t="str">
        <f>IF(OR('Lighting Inventory'!V111="", 'Lighting Inventory'!W111=""), "", IF('Lighting Inventory'!W111="No Change", 'Lighting Inventory'!J111, CONCATENATE("Cut Sheet ", 'Appendix C'!A102)))</f>
        <v/>
      </c>
      <c r="I102" s="26" t="str">
        <f>IF(H102="", "", IF('Lighting Inventory'!AB111="Yes", "Screw-In", "General"))</f>
        <v/>
      </c>
      <c r="J102" s="26" t="str">
        <f>IF(B102="", "", CONCATENATE('Lighting Inventory'!W111, ", ", 'Lighting Inventory'!AL111, " W"))</f>
        <v/>
      </c>
      <c r="K102" s="26" t="str">
        <f>IF(OR(B102="",'Lighting Inventory'!B111="Retrofit"),"",IF('General Information'!$F$16="Space-by-Space",CONCATENATE('Lighting Inventory'!N111,", ",'Lighting Inventory'!O111," ",'Lighting Inventory'!P111," LPD"," at ",'Lighting Inventory'!Q111,", ",'Lighting Inventory'!R111," kW"),CONCATENATE(B102,", ",'Lighting Inventory'!O111," ",'Lighting Inventory'!P111," LPD"," at ",'Lighting Inventory'!Q111,", ",'Lighting Inventory'!R111," kW")))</f>
        <v/>
      </c>
      <c r="L102" s="26" t="str">
        <f>IF(H102="","",IF('Lighting Inventory'!AK111="","",'Lighting Inventory'!AK111))</f>
        <v/>
      </c>
      <c r="M102" s="26" t="str">
        <f>IF(H102="", "", 'Lighting Inventory'!AL111)</f>
        <v/>
      </c>
      <c r="N102" s="26" t="str">
        <f>IF('Lighting Inventory'!S111="", "", IF('Lighting Inventory'!W111="No Change", 'Lighting Inventory'!I111, 'Lighting Inventory'!S111))</f>
        <v/>
      </c>
      <c r="O102" s="26" t="str">
        <f>IF('Lighting Inventory'!AN111="", "", VLOOKUP('Lighting Inventory'!AN111, 'Lookup Tables'!$B$142:$D$148, 3, FALSE))</f>
        <v/>
      </c>
      <c r="P102" s="66" t="str">
        <f>IF(B102="", "", 'Lighting Inventory'!AX111)</f>
        <v/>
      </c>
      <c r="Q102" s="67" t="str">
        <f>IF(B102="", "", 'Lighting Inventory'!AZ111)</f>
        <v/>
      </c>
      <c r="R102" s="187" t="str">
        <f>IF(OR('Lighting Inventory'!G111="", 'Lighting Inventory'!H111=""), "", 'Lighting Inventory'!BD111)</f>
        <v/>
      </c>
      <c r="S102" s="187" t="str">
        <f>IF(OR('Lighting Inventory'!G111="", 'Lighting Inventory'!H111=""), "",'Lighting Inventory'!BB111)</f>
        <v/>
      </c>
      <c r="T102" s="67" t="str">
        <f>IF(B102="", "", 'Lighting Inventory'!BE111)</f>
        <v/>
      </c>
      <c r="U102" s="67" t="str">
        <f>IF(B102="", "", 'Lighting Inventory'!BF111)</f>
        <v/>
      </c>
      <c r="BM102" s="186" t="str">
        <f t="shared" si="1"/>
        <v>-</v>
      </c>
    </row>
    <row r="103" spans="1:65" x14ac:dyDescent="0.25">
      <c r="A103" s="189">
        <v>102</v>
      </c>
      <c r="B103" s="186" t="str">
        <f>IF('Lighting Inventory'!F112="", "", 'Lighting Inventory'!F112)</f>
        <v/>
      </c>
      <c r="C103" s="26" t="str">
        <f>IF(B103="", "", CONCATENATE("Area: ", 'Lighting Inventory'!D112, ", ", IF('Lighting Inventory'!C112="", "", "Floor: "), 'Lighting Inventory'!C112))</f>
        <v/>
      </c>
      <c r="D103" s="186" t="str">
        <f>IF(B103="", "", IF('Lighting Inventory'!B112="New Construction",CONCATENATE("Cut Sheet ", 250+'Appendix C'!A103), IF(ISNUMBER(SEARCH("cut sheet", 'Lighting Inventory'!J112)), CONCATENATE("Cut Sheet ", 'Lookup Tables'!AX105), 'Lighting Inventory'!J112)))</f>
        <v/>
      </c>
      <c r="E103" s="26" t="str">
        <f>IF(B103="", "", IF('Lighting Inventory'!B112="New Construction", 1, 'Lighting Inventory'!I112))</f>
        <v/>
      </c>
      <c r="F103" s="26" t="str">
        <f>IF(B103="", "", IF('Lighting Inventory'!B112="New Construction", 'Lighting Inventory'!R112*1000, 'Lighting Inventory'!K112))</f>
        <v/>
      </c>
      <c r="G103" s="26" t="str">
        <f>IF(B103="", "", IF('Lighting Inventory'!M112="", "S_LS", VLOOKUP('Lighting Inventory'!M112, 'Lookup Tables'!$B$142:$D$148, 3, FALSE)))</f>
        <v/>
      </c>
      <c r="H103" s="26" t="str">
        <f>IF(OR('Lighting Inventory'!V112="", 'Lighting Inventory'!W112=""), "", IF('Lighting Inventory'!W112="No Change", 'Lighting Inventory'!J112, CONCATENATE("Cut Sheet ", 'Appendix C'!A103)))</f>
        <v/>
      </c>
      <c r="I103" s="26" t="str">
        <f>IF(H103="", "", IF('Lighting Inventory'!AB112="Yes", "Screw-In", "General"))</f>
        <v/>
      </c>
      <c r="J103" s="26" t="str">
        <f>IF(B103="", "", CONCATENATE('Lighting Inventory'!W112, ", ", 'Lighting Inventory'!AL112, " W"))</f>
        <v/>
      </c>
      <c r="K103" s="26" t="str">
        <f>IF(OR(B103="",'Lighting Inventory'!B112="Retrofit"),"",IF('General Information'!$F$16="Space-by-Space",CONCATENATE('Lighting Inventory'!N112,", ",'Lighting Inventory'!O112," ",'Lighting Inventory'!P112," LPD"," at ",'Lighting Inventory'!Q112,", ",'Lighting Inventory'!R112," kW"),CONCATENATE(B103,", ",'Lighting Inventory'!O112," ",'Lighting Inventory'!P112," LPD"," at ",'Lighting Inventory'!Q112,", ",'Lighting Inventory'!R112," kW")))</f>
        <v/>
      </c>
      <c r="L103" s="26" t="str">
        <f>IF(H103="","",IF('Lighting Inventory'!AK112="","",'Lighting Inventory'!AK112))</f>
        <v/>
      </c>
      <c r="M103" s="26" t="str">
        <f>IF(H103="", "", 'Lighting Inventory'!AL112)</f>
        <v/>
      </c>
      <c r="N103" s="26" t="str">
        <f>IF('Lighting Inventory'!S112="", "", IF('Lighting Inventory'!W112="No Change", 'Lighting Inventory'!I112, 'Lighting Inventory'!S112))</f>
        <v/>
      </c>
      <c r="O103" s="26" t="str">
        <f>IF('Lighting Inventory'!AN112="", "", VLOOKUP('Lighting Inventory'!AN112, 'Lookup Tables'!$B$142:$D$148, 3, FALSE))</f>
        <v/>
      </c>
      <c r="P103" s="66" t="str">
        <f>IF(B103="", "", 'Lighting Inventory'!AX112)</f>
        <v/>
      </c>
      <c r="Q103" s="67" t="str">
        <f>IF(B103="", "", 'Lighting Inventory'!AZ112)</f>
        <v/>
      </c>
      <c r="R103" s="187" t="str">
        <f>IF(OR('Lighting Inventory'!G112="", 'Lighting Inventory'!H112=""), "", 'Lighting Inventory'!BD112)</f>
        <v/>
      </c>
      <c r="S103" s="187" t="str">
        <f>IF(OR('Lighting Inventory'!G112="", 'Lighting Inventory'!H112=""), "",'Lighting Inventory'!BB112)</f>
        <v/>
      </c>
      <c r="T103" s="67" t="str">
        <f>IF(B103="", "", 'Lighting Inventory'!BE112)</f>
        <v/>
      </c>
      <c r="U103" s="67" t="str">
        <f>IF(B103="", "", 'Lighting Inventory'!BF112)</f>
        <v/>
      </c>
      <c r="BM103" s="186" t="str">
        <f t="shared" si="1"/>
        <v>-</v>
      </c>
    </row>
    <row r="104" spans="1:65" x14ac:dyDescent="0.25">
      <c r="A104" s="189">
        <v>103</v>
      </c>
      <c r="B104" s="186" t="str">
        <f>IF('Lighting Inventory'!F113="", "", 'Lighting Inventory'!F113)</f>
        <v/>
      </c>
      <c r="C104" s="26" t="str">
        <f>IF(B104="", "", CONCATENATE("Area: ", 'Lighting Inventory'!D113, ", ", IF('Lighting Inventory'!C113="", "", "Floor: "), 'Lighting Inventory'!C113))</f>
        <v/>
      </c>
      <c r="D104" s="186" t="str">
        <f>IF(B104="", "", IF('Lighting Inventory'!B113="New Construction",CONCATENATE("Cut Sheet ", 250+'Appendix C'!A104), IF(ISNUMBER(SEARCH("cut sheet", 'Lighting Inventory'!J113)), CONCATENATE("Cut Sheet ", 'Lookup Tables'!AX106), 'Lighting Inventory'!J113)))</f>
        <v/>
      </c>
      <c r="E104" s="26" t="str">
        <f>IF(B104="", "", IF('Lighting Inventory'!B113="New Construction", 1, 'Lighting Inventory'!I113))</f>
        <v/>
      </c>
      <c r="F104" s="26" t="str">
        <f>IF(B104="", "", IF('Lighting Inventory'!B113="New Construction", 'Lighting Inventory'!R113*1000, 'Lighting Inventory'!K113))</f>
        <v/>
      </c>
      <c r="G104" s="26" t="str">
        <f>IF(B104="", "", IF('Lighting Inventory'!M113="", "S_LS", VLOOKUP('Lighting Inventory'!M113, 'Lookup Tables'!$B$142:$D$148, 3, FALSE)))</f>
        <v/>
      </c>
      <c r="H104" s="26" t="str">
        <f>IF(OR('Lighting Inventory'!V113="", 'Lighting Inventory'!W113=""), "", IF('Lighting Inventory'!W113="No Change", 'Lighting Inventory'!J113, CONCATENATE("Cut Sheet ", 'Appendix C'!A104)))</f>
        <v/>
      </c>
      <c r="I104" s="26" t="str">
        <f>IF(H104="", "", IF('Lighting Inventory'!AB113="Yes", "Screw-In", "General"))</f>
        <v/>
      </c>
      <c r="J104" s="26" t="str">
        <f>IF(B104="", "", CONCATENATE('Lighting Inventory'!W113, ", ", 'Lighting Inventory'!AL113, " W"))</f>
        <v/>
      </c>
      <c r="K104" s="26" t="str">
        <f>IF(OR(B104="",'Lighting Inventory'!B113="Retrofit"),"",IF('General Information'!$F$16="Space-by-Space",CONCATENATE('Lighting Inventory'!N113,", ",'Lighting Inventory'!O113," ",'Lighting Inventory'!P113," LPD"," at ",'Lighting Inventory'!Q113,", ",'Lighting Inventory'!R113," kW"),CONCATENATE(B104,", ",'Lighting Inventory'!O113," ",'Lighting Inventory'!P113," LPD"," at ",'Lighting Inventory'!Q113,", ",'Lighting Inventory'!R113," kW")))</f>
        <v/>
      </c>
      <c r="L104" s="26" t="str">
        <f>IF(H104="","",IF('Lighting Inventory'!AK113="","",'Lighting Inventory'!AK113))</f>
        <v/>
      </c>
      <c r="M104" s="26" t="str">
        <f>IF(H104="", "", 'Lighting Inventory'!AL113)</f>
        <v/>
      </c>
      <c r="N104" s="26" t="str">
        <f>IF('Lighting Inventory'!S113="", "", IF('Lighting Inventory'!W113="No Change", 'Lighting Inventory'!I113, 'Lighting Inventory'!S113))</f>
        <v/>
      </c>
      <c r="O104" s="26" t="str">
        <f>IF('Lighting Inventory'!AN113="", "", VLOOKUP('Lighting Inventory'!AN113, 'Lookup Tables'!$B$142:$D$148, 3, FALSE))</f>
        <v/>
      </c>
      <c r="P104" s="66" t="str">
        <f>IF(B104="", "", 'Lighting Inventory'!AX113)</f>
        <v/>
      </c>
      <c r="Q104" s="67" t="str">
        <f>IF(B104="", "", 'Lighting Inventory'!AZ113)</f>
        <v/>
      </c>
      <c r="R104" s="187" t="str">
        <f>IF(OR('Lighting Inventory'!G113="", 'Lighting Inventory'!H113=""), "", 'Lighting Inventory'!BD113)</f>
        <v/>
      </c>
      <c r="S104" s="187" t="str">
        <f>IF(OR('Lighting Inventory'!G113="", 'Lighting Inventory'!H113=""), "",'Lighting Inventory'!BB113)</f>
        <v/>
      </c>
      <c r="T104" s="67" t="str">
        <f>IF(B104="", "", 'Lighting Inventory'!BE113)</f>
        <v/>
      </c>
      <c r="U104" s="67" t="str">
        <f>IF(B104="", "", 'Lighting Inventory'!BF113)</f>
        <v/>
      </c>
      <c r="BM104" s="186" t="str">
        <f t="shared" si="1"/>
        <v>-</v>
      </c>
    </row>
    <row r="105" spans="1:65" x14ac:dyDescent="0.25">
      <c r="A105" s="189">
        <v>104</v>
      </c>
      <c r="B105" s="186" t="str">
        <f>IF('Lighting Inventory'!F114="", "", 'Lighting Inventory'!F114)</f>
        <v/>
      </c>
      <c r="C105" s="26" t="str">
        <f>IF(B105="", "", CONCATENATE("Area: ", 'Lighting Inventory'!D114, ", ", IF('Lighting Inventory'!C114="", "", "Floor: "), 'Lighting Inventory'!C114))</f>
        <v/>
      </c>
      <c r="D105" s="186" t="str">
        <f>IF(B105="", "", IF('Lighting Inventory'!B114="New Construction",CONCATENATE("Cut Sheet ", 250+'Appendix C'!A105), IF(ISNUMBER(SEARCH("cut sheet", 'Lighting Inventory'!J114)), CONCATENATE("Cut Sheet ", 'Lookup Tables'!AX107), 'Lighting Inventory'!J114)))</f>
        <v/>
      </c>
      <c r="E105" s="26" t="str">
        <f>IF(B105="", "", IF('Lighting Inventory'!B114="New Construction", 1, 'Lighting Inventory'!I114))</f>
        <v/>
      </c>
      <c r="F105" s="26" t="str">
        <f>IF(B105="", "", IF('Lighting Inventory'!B114="New Construction", 'Lighting Inventory'!R114*1000, 'Lighting Inventory'!K114))</f>
        <v/>
      </c>
      <c r="G105" s="26" t="str">
        <f>IF(B105="", "", IF('Lighting Inventory'!M114="", "S_LS", VLOOKUP('Lighting Inventory'!M114, 'Lookup Tables'!$B$142:$D$148, 3, FALSE)))</f>
        <v/>
      </c>
      <c r="H105" s="26" t="str">
        <f>IF(OR('Lighting Inventory'!V114="", 'Lighting Inventory'!W114=""), "", IF('Lighting Inventory'!W114="No Change", 'Lighting Inventory'!J114, CONCATENATE("Cut Sheet ", 'Appendix C'!A105)))</f>
        <v/>
      </c>
      <c r="I105" s="26" t="str">
        <f>IF(H105="", "", IF('Lighting Inventory'!AB114="Yes", "Screw-In", "General"))</f>
        <v/>
      </c>
      <c r="J105" s="26" t="str">
        <f>IF(B105="", "", CONCATENATE('Lighting Inventory'!W114, ", ", 'Lighting Inventory'!AL114, " W"))</f>
        <v/>
      </c>
      <c r="K105" s="26" t="str">
        <f>IF(OR(B105="",'Lighting Inventory'!B114="Retrofit"),"",IF('General Information'!$F$16="Space-by-Space",CONCATENATE('Lighting Inventory'!N114,", ",'Lighting Inventory'!O114," ",'Lighting Inventory'!P114," LPD"," at ",'Lighting Inventory'!Q114,", ",'Lighting Inventory'!R114," kW"),CONCATENATE(B105,", ",'Lighting Inventory'!O114," ",'Lighting Inventory'!P114," LPD"," at ",'Lighting Inventory'!Q114,", ",'Lighting Inventory'!R114," kW")))</f>
        <v/>
      </c>
      <c r="L105" s="26" t="str">
        <f>IF(H105="","",IF('Lighting Inventory'!AK114="","",'Lighting Inventory'!AK114))</f>
        <v/>
      </c>
      <c r="M105" s="26" t="str">
        <f>IF(H105="", "", 'Lighting Inventory'!AL114)</f>
        <v/>
      </c>
      <c r="N105" s="26" t="str">
        <f>IF('Lighting Inventory'!S114="", "", IF('Lighting Inventory'!W114="No Change", 'Lighting Inventory'!I114, 'Lighting Inventory'!S114))</f>
        <v/>
      </c>
      <c r="O105" s="26" t="str">
        <f>IF('Lighting Inventory'!AN114="", "", VLOOKUP('Lighting Inventory'!AN114, 'Lookup Tables'!$B$142:$D$148, 3, FALSE))</f>
        <v/>
      </c>
      <c r="P105" s="66" t="str">
        <f>IF(B105="", "", 'Lighting Inventory'!AX114)</f>
        <v/>
      </c>
      <c r="Q105" s="67" t="str">
        <f>IF(B105="", "", 'Lighting Inventory'!AZ114)</f>
        <v/>
      </c>
      <c r="R105" s="187" t="str">
        <f>IF(OR('Lighting Inventory'!G114="", 'Lighting Inventory'!H114=""), "", 'Lighting Inventory'!BD114)</f>
        <v/>
      </c>
      <c r="S105" s="187" t="str">
        <f>IF(OR('Lighting Inventory'!G114="", 'Lighting Inventory'!H114=""), "",'Lighting Inventory'!BB114)</f>
        <v/>
      </c>
      <c r="T105" s="67" t="str">
        <f>IF(B105="", "", 'Lighting Inventory'!BE114)</f>
        <v/>
      </c>
      <c r="U105" s="67" t="str">
        <f>IF(B105="", "", 'Lighting Inventory'!BF114)</f>
        <v/>
      </c>
      <c r="BM105" s="186" t="str">
        <f t="shared" si="1"/>
        <v>-</v>
      </c>
    </row>
    <row r="106" spans="1:65" x14ac:dyDescent="0.25">
      <c r="A106" s="189">
        <v>105</v>
      </c>
      <c r="B106" s="186" t="str">
        <f>IF('Lighting Inventory'!F115="", "", 'Lighting Inventory'!F115)</f>
        <v/>
      </c>
      <c r="C106" s="26" t="str">
        <f>IF(B106="", "", CONCATENATE("Area: ", 'Lighting Inventory'!D115, ", ", IF('Lighting Inventory'!C115="", "", "Floor: "), 'Lighting Inventory'!C115))</f>
        <v/>
      </c>
      <c r="D106" s="186" t="str">
        <f>IF(B106="", "", IF('Lighting Inventory'!B115="New Construction",CONCATENATE("Cut Sheet ", 250+'Appendix C'!A106), IF(ISNUMBER(SEARCH("cut sheet", 'Lighting Inventory'!J115)), CONCATENATE("Cut Sheet ", 'Lookup Tables'!AX108), 'Lighting Inventory'!J115)))</f>
        <v/>
      </c>
      <c r="E106" s="26" t="str">
        <f>IF(B106="", "", IF('Lighting Inventory'!B115="New Construction", 1, 'Lighting Inventory'!I115))</f>
        <v/>
      </c>
      <c r="F106" s="26" t="str">
        <f>IF(B106="", "", IF('Lighting Inventory'!B115="New Construction", 'Lighting Inventory'!R115*1000, 'Lighting Inventory'!K115))</f>
        <v/>
      </c>
      <c r="G106" s="26" t="str">
        <f>IF(B106="", "", IF('Lighting Inventory'!M115="", "S_LS", VLOOKUP('Lighting Inventory'!M115, 'Lookup Tables'!$B$142:$D$148, 3, FALSE)))</f>
        <v/>
      </c>
      <c r="H106" s="26" t="str">
        <f>IF(OR('Lighting Inventory'!V115="", 'Lighting Inventory'!W115=""), "", IF('Lighting Inventory'!W115="No Change", 'Lighting Inventory'!J115, CONCATENATE("Cut Sheet ", 'Appendix C'!A106)))</f>
        <v/>
      </c>
      <c r="I106" s="26" t="str">
        <f>IF(H106="", "", IF('Lighting Inventory'!AB115="Yes", "Screw-In", "General"))</f>
        <v/>
      </c>
      <c r="J106" s="26" t="str">
        <f>IF(B106="", "", CONCATENATE('Lighting Inventory'!W115, ", ", 'Lighting Inventory'!AL115, " W"))</f>
        <v/>
      </c>
      <c r="K106" s="26" t="str">
        <f>IF(OR(B106="",'Lighting Inventory'!B115="Retrofit"),"",IF('General Information'!$F$16="Space-by-Space",CONCATENATE('Lighting Inventory'!N115,", ",'Lighting Inventory'!O115," ",'Lighting Inventory'!P115," LPD"," at ",'Lighting Inventory'!Q115,", ",'Lighting Inventory'!R115," kW"),CONCATENATE(B106,", ",'Lighting Inventory'!O115," ",'Lighting Inventory'!P115," LPD"," at ",'Lighting Inventory'!Q115,", ",'Lighting Inventory'!R115," kW")))</f>
        <v/>
      </c>
      <c r="L106" s="26" t="str">
        <f>IF(H106="","",IF('Lighting Inventory'!AK115="","",'Lighting Inventory'!AK115))</f>
        <v/>
      </c>
      <c r="M106" s="26" t="str">
        <f>IF(H106="", "", 'Lighting Inventory'!AL115)</f>
        <v/>
      </c>
      <c r="N106" s="26" t="str">
        <f>IF('Lighting Inventory'!S115="", "", IF('Lighting Inventory'!W115="No Change", 'Lighting Inventory'!I115, 'Lighting Inventory'!S115))</f>
        <v/>
      </c>
      <c r="O106" s="26" t="str">
        <f>IF('Lighting Inventory'!AN115="", "", VLOOKUP('Lighting Inventory'!AN115, 'Lookup Tables'!$B$142:$D$148, 3, FALSE))</f>
        <v/>
      </c>
      <c r="P106" s="66" t="str">
        <f>IF(B106="", "", 'Lighting Inventory'!AX115)</f>
        <v/>
      </c>
      <c r="Q106" s="67" t="str">
        <f>IF(B106="", "", 'Lighting Inventory'!AZ115)</f>
        <v/>
      </c>
      <c r="R106" s="187" t="str">
        <f>IF(OR('Lighting Inventory'!G115="", 'Lighting Inventory'!H115=""), "", 'Lighting Inventory'!BD115)</f>
        <v/>
      </c>
      <c r="S106" s="187" t="str">
        <f>IF(OR('Lighting Inventory'!G115="", 'Lighting Inventory'!H115=""), "",'Lighting Inventory'!BB115)</f>
        <v/>
      </c>
      <c r="T106" s="67" t="str">
        <f>IF(B106="", "", 'Lighting Inventory'!BE115)</f>
        <v/>
      </c>
      <c r="U106" s="67" t="str">
        <f>IF(B106="", "", 'Lighting Inventory'!BF115)</f>
        <v/>
      </c>
      <c r="BM106" s="186" t="str">
        <f t="shared" si="1"/>
        <v>-</v>
      </c>
    </row>
    <row r="107" spans="1:65" x14ac:dyDescent="0.25">
      <c r="A107" s="189">
        <v>106</v>
      </c>
      <c r="B107" s="186" t="str">
        <f>IF('Lighting Inventory'!F116="", "", 'Lighting Inventory'!F116)</f>
        <v/>
      </c>
      <c r="C107" s="26" t="str">
        <f>IF(B107="", "", CONCATENATE("Area: ", 'Lighting Inventory'!D116, ", ", IF('Lighting Inventory'!C116="", "", "Floor: "), 'Lighting Inventory'!C116))</f>
        <v/>
      </c>
      <c r="D107" s="186" t="str">
        <f>IF(B107="", "", IF('Lighting Inventory'!B116="New Construction",CONCATENATE("Cut Sheet ", 250+'Appendix C'!A107), IF(ISNUMBER(SEARCH("cut sheet", 'Lighting Inventory'!J116)), CONCATENATE("Cut Sheet ", 'Lookup Tables'!AX109), 'Lighting Inventory'!J116)))</f>
        <v/>
      </c>
      <c r="E107" s="26" t="str">
        <f>IF(B107="", "", IF('Lighting Inventory'!B116="New Construction", 1, 'Lighting Inventory'!I116))</f>
        <v/>
      </c>
      <c r="F107" s="26" t="str">
        <f>IF(B107="", "", IF('Lighting Inventory'!B116="New Construction", 'Lighting Inventory'!R116*1000, 'Lighting Inventory'!K116))</f>
        <v/>
      </c>
      <c r="G107" s="26" t="str">
        <f>IF(B107="", "", IF('Lighting Inventory'!M116="", "S_LS", VLOOKUP('Lighting Inventory'!M116, 'Lookup Tables'!$B$142:$D$148, 3, FALSE)))</f>
        <v/>
      </c>
      <c r="H107" s="26" t="str">
        <f>IF(OR('Lighting Inventory'!V116="", 'Lighting Inventory'!W116=""), "", IF('Lighting Inventory'!W116="No Change", 'Lighting Inventory'!J116, CONCATENATE("Cut Sheet ", 'Appendix C'!A107)))</f>
        <v/>
      </c>
      <c r="I107" s="26" t="str">
        <f>IF(H107="", "", IF('Lighting Inventory'!AB116="Yes", "Screw-In", "General"))</f>
        <v/>
      </c>
      <c r="J107" s="26" t="str">
        <f>IF(B107="", "", CONCATENATE('Lighting Inventory'!W116, ", ", 'Lighting Inventory'!AL116, " W"))</f>
        <v/>
      </c>
      <c r="K107" s="26" t="str">
        <f>IF(OR(B107="",'Lighting Inventory'!B116="Retrofit"),"",IF('General Information'!$F$16="Space-by-Space",CONCATENATE('Lighting Inventory'!N116,", ",'Lighting Inventory'!O116," ",'Lighting Inventory'!P116," LPD"," at ",'Lighting Inventory'!Q116,", ",'Lighting Inventory'!R116," kW"),CONCATENATE(B107,", ",'Lighting Inventory'!O116," ",'Lighting Inventory'!P116," LPD"," at ",'Lighting Inventory'!Q116,", ",'Lighting Inventory'!R116," kW")))</f>
        <v/>
      </c>
      <c r="L107" s="26" t="str">
        <f>IF(H107="","",IF('Lighting Inventory'!AK116="","",'Lighting Inventory'!AK116))</f>
        <v/>
      </c>
      <c r="M107" s="26" t="str">
        <f>IF(H107="", "", 'Lighting Inventory'!AL116)</f>
        <v/>
      </c>
      <c r="N107" s="26" t="str">
        <f>IF('Lighting Inventory'!S116="", "", IF('Lighting Inventory'!W116="No Change", 'Lighting Inventory'!I116, 'Lighting Inventory'!S116))</f>
        <v/>
      </c>
      <c r="O107" s="26" t="str">
        <f>IF('Lighting Inventory'!AN116="", "", VLOOKUP('Lighting Inventory'!AN116, 'Lookup Tables'!$B$142:$D$148, 3, FALSE))</f>
        <v/>
      </c>
      <c r="P107" s="66" t="str">
        <f>IF(B107="", "", 'Lighting Inventory'!AX116)</f>
        <v/>
      </c>
      <c r="Q107" s="67" t="str">
        <f>IF(B107="", "", 'Lighting Inventory'!AZ116)</f>
        <v/>
      </c>
      <c r="R107" s="187" t="str">
        <f>IF(OR('Lighting Inventory'!G116="", 'Lighting Inventory'!H116=""), "", 'Lighting Inventory'!BD116)</f>
        <v/>
      </c>
      <c r="S107" s="187" t="str">
        <f>IF(OR('Lighting Inventory'!G116="", 'Lighting Inventory'!H116=""), "",'Lighting Inventory'!BB116)</f>
        <v/>
      </c>
      <c r="T107" s="67" t="str">
        <f>IF(B107="", "", 'Lighting Inventory'!BE116)</f>
        <v/>
      </c>
      <c r="U107" s="67" t="str">
        <f>IF(B107="", "", 'Lighting Inventory'!BF116)</f>
        <v/>
      </c>
      <c r="BM107" s="186" t="str">
        <f t="shared" si="1"/>
        <v>-</v>
      </c>
    </row>
    <row r="108" spans="1:65" x14ac:dyDescent="0.25">
      <c r="A108" s="189">
        <v>107</v>
      </c>
      <c r="B108" s="186" t="str">
        <f>IF('Lighting Inventory'!F117="", "", 'Lighting Inventory'!F117)</f>
        <v/>
      </c>
      <c r="C108" s="26" t="str">
        <f>IF(B108="", "", CONCATENATE("Area: ", 'Lighting Inventory'!D117, ", ", IF('Lighting Inventory'!C117="", "", "Floor: "), 'Lighting Inventory'!C117))</f>
        <v/>
      </c>
      <c r="D108" s="186" t="str">
        <f>IF(B108="", "", IF('Lighting Inventory'!B117="New Construction",CONCATENATE("Cut Sheet ", 250+'Appendix C'!A108), IF(ISNUMBER(SEARCH("cut sheet", 'Lighting Inventory'!J117)), CONCATENATE("Cut Sheet ", 'Lookup Tables'!AX110), 'Lighting Inventory'!J117)))</f>
        <v/>
      </c>
      <c r="E108" s="26" t="str">
        <f>IF(B108="", "", IF('Lighting Inventory'!B117="New Construction", 1, 'Lighting Inventory'!I117))</f>
        <v/>
      </c>
      <c r="F108" s="26" t="str">
        <f>IF(B108="", "", IF('Lighting Inventory'!B117="New Construction", 'Lighting Inventory'!R117*1000, 'Lighting Inventory'!K117))</f>
        <v/>
      </c>
      <c r="G108" s="26" t="str">
        <f>IF(B108="", "", IF('Lighting Inventory'!M117="", "S_LS", VLOOKUP('Lighting Inventory'!M117, 'Lookup Tables'!$B$142:$D$148, 3, FALSE)))</f>
        <v/>
      </c>
      <c r="H108" s="26" t="str">
        <f>IF(OR('Lighting Inventory'!V117="", 'Lighting Inventory'!W117=""), "", IF('Lighting Inventory'!W117="No Change", 'Lighting Inventory'!J117, CONCATENATE("Cut Sheet ", 'Appendix C'!A108)))</f>
        <v/>
      </c>
      <c r="I108" s="26" t="str">
        <f>IF(H108="", "", IF('Lighting Inventory'!AB117="Yes", "Screw-In", "General"))</f>
        <v/>
      </c>
      <c r="J108" s="26" t="str">
        <f>IF(B108="", "", CONCATENATE('Lighting Inventory'!W117, ", ", 'Lighting Inventory'!AL117, " W"))</f>
        <v/>
      </c>
      <c r="K108" s="26" t="str">
        <f>IF(OR(B108="",'Lighting Inventory'!B117="Retrofit"),"",IF('General Information'!$F$16="Space-by-Space",CONCATENATE('Lighting Inventory'!N117,", ",'Lighting Inventory'!O117," ",'Lighting Inventory'!P117," LPD"," at ",'Lighting Inventory'!Q117,", ",'Lighting Inventory'!R117," kW"),CONCATENATE(B108,", ",'Lighting Inventory'!O117," ",'Lighting Inventory'!P117," LPD"," at ",'Lighting Inventory'!Q117,", ",'Lighting Inventory'!R117," kW")))</f>
        <v/>
      </c>
      <c r="L108" s="26" t="str">
        <f>IF(H108="","",IF('Lighting Inventory'!AK117="","",'Lighting Inventory'!AK117))</f>
        <v/>
      </c>
      <c r="M108" s="26" t="str">
        <f>IF(H108="", "", 'Lighting Inventory'!AL117)</f>
        <v/>
      </c>
      <c r="N108" s="26" t="str">
        <f>IF('Lighting Inventory'!S117="", "", IF('Lighting Inventory'!W117="No Change", 'Lighting Inventory'!I117, 'Lighting Inventory'!S117))</f>
        <v/>
      </c>
      <c r="O108" s="26" t="str">
        <f>IF('Lighting Inventory'!AN117="", "", VLOOKUP('Lighting Inventory'!AN117, 'Lookup Tables'!$B$142:$D$148, 3, FALSE))</f>
        <v/>
      </c>
      <c r="P108" s="66" t="str">
        <f>IF(B108="", "", 'Lighting Inventory'!AX117)</f>
        <v/>
      </c>
      <c r="Q108" s="67" t="str">
        <f>IF(B108="", "", 'Lighting Inventory'!AZ117)</f>
        <v/>
      </c>
      <c r="R108" s="187" t="str">
        <f>IF(OR('Lighting Inventory'!G117="", 'Lighting Inventory'!H117=""), "", 'Lighting Inventory'!BD117)</f>
        <v/>
      </c>
      <c r="S108" s="187" t="str">
        <f>IF(OR('Lighting Inventory'!G117="", 'Lighting Inventory'!H117=""), "",'Lighting Inventory'!BB117)</f>
        <v/>
      </c>
      <c r="T108" s="67" t="str">
        <f>IF(B108="", "", 'Lighting Inventory'!BE117)</f>
        <v/>
      </c>
      <c r="U108" s="67" t="str">
        <f>IF(B108="", "", 'Lighting Inventory'!BF117)</f>
        <v/>
      </c>
      <c r="BM108" s="186" t="str">
        <f t="shared" si="1"/>
        <v>-</v>
      </c>
    </row>
    <row r="109" spans="1:65" x14ac:dyDescent="0.25">
      <c r="A109" s="189">
        <v>108</v>
      </c>
      <c r="B109" s="186" t="str">
        <f>IF('Lighting Inventory'!F118="", "", 'Lighting Inventory'!F118)</f>
        <v/>
      </c>
      <c r="C109" s="26" t="str">
        <f>IF(B109="", "", CONCATENATE("Area: ", 'Lighting Inventory'!D118, ", ", IF('Lighting Inventory'!C118="", "", "Floor: "), 'Lighting Inventory'!C118))</f>
        <v/>
      </c>
      <c r="D109" s="186" t="str">
        <f>IF(B109="", "", IF('Lighting Inventory'!B118="New Construction",CONCATENATE("Cut Sheet ", 250+'Appendix C'!A109), IF(ISNUMBER(SEARCH("cut sheet", 'Lighting Inventory'!J118)), CONCATENATE("Cut Sheet ", 'Lookup Tables'!AX111), 'Lighting Inventory'!J118)))</f>
        <v/>
      </c>
      <c r="E109" s="26" t="str">
        <f>IF(B109="", "", IF('Lighting Inventory'!B118="New Construction", 1, 'Lighting Inventory'!I118))</f>
        <v/>
      </c>
      <c r="F109" s="26" t="str">
        <f>IF(B109="", "", IF('Lighting Inventory'!B118="New Construction", 'Lighting Inventory'!R118*1000, 'Lighting Inventory'!K118))</f>
        <v/>
      </c>
      <c r="G109" s="26" t="str">
        <f>IF(B109="", "", IF('Lighting Inventory'!M118="", "S_LS", VLOOKUP('Lighting Inventory'!M118, 'Lookup Tables'!$B$142:$D$148, 3, FALSE)))</f>
        <v/>
      </c>
      <c r="H109" s="26" t="str">
        <f>IF(OR('Lighting Inventory'!V118="", 'Lighting Inventory'!W118=""), "", IF('Lighting Inventory'!W118="No Change", 'Lighting Inventory'!J118, CONCATENATE("Cut Sheet ", 'Appendix C'!A109)))</f>
        <v/>
      </c>
      <c r="I109" s="26" t="str">
        <f>IF(H109="", "", IF('Lighting Inventory'!AB118="Yes", "Screw-In", "General"))</f>
        <v/>
      </c>
      <c r="J109" s="26" t="str">
        <f>IF(B109="", "", CONCATENATE('Lighting Inventory'!W118, ", ", 'Lighting Inventory'!AL118, " W"))</f>
        <v/>
      </c>
      <c r="K109" s="26" t="str">
        <f>IF(OR(B109="",'Lighting Inventory'!B118="Retrofit"),"",IF('General Information'!$F$16="Space-by-Space",CONCATENATE('Lighting Inventory'!N118,", ",'Lighting Inventory'!O118," ",'Lighting Inventory'!P118," LPD"," at ",'Lighting Inventory'!Q118,", ",'Lighting Inventory'!R118," kW"),CONCATENATE(B109,", ",'Lighting Inventory'!O118," ",'Lighting Inventory'!P118," LPD"," at ",'Lighting Inventory'!Q118,", ",'Lighting Inventory'!R118," kW")))</f>
        <v/>
      </c>
      <c r="L109" s="26" t="str">
        <f>IF(H109="","",IF('Lighting Inventory'!AK118="","",'Lighting Inventory'!AK118))</f>
        <v/>
      </c>
      <c r="M109" s="26" t="str">
        <f>IF(H109="", "", 'Lighting Inventory'!AL118)</f>
        <v/>
      </c>
      <c r="N109" s="26" t="str">
        <f>IF('Lighting Inventory'!S118="", "", IF('Lighting Inventory'!W118="No Change", 'Lighting Inventory'!I118, 'Lighting Inventory'!S118))</f>
        <v/>
      </c>
      <c r="O109" s="26" t="str">
        <f>IF('Lighting Inventory'!AN118="", "", VLOOKUP('Lighting Inventory'!AN118, 'Lookup Tables'!$B$142:$D$148, 3, FALSE))</f>
        <v/>
      </c>
      <c r="P109" s="66" t="str">
        <f>IF(B109="", "", 'Lighting Inventory'!AX118)</f>
        <v/>
      </c>
      <c r="Q109" s="67" t="str">
        <f>IF(B109="", "", 'Lighting Inventory'!AZ118)</f>
        <v/>
      </c>
      <c r="R109" s="187" t="str">
        <f>IF(OR('Lighting Inventory'!G118="", 'Lighting Inventory'!H118=""), "", 'Lighting Inventory'!BD118)</f>
        <v/>
      </c>
      <c r="S109" s="187" t="str">
        <f>IF(OR('Lighting Inventory'!G118="", 'Lighting Inventory'!H118=""), "",'Lighting Inventory'!BB118)</f>
        <v/>
      </c>
      <c r="T109" s="67" t="str">
        <f>IF(B109="", "", 'Lighting Inventory'!BE118)</f>
        <v/>
      </c>
      <c r="U109" s="67" t="str">
        <f>IF(B109="", "", 'Lighting Inventory'!BF118)</f>
        <v/>
      </c>
      <c r="BM109" s="186" t="str">
        <f t="shared" si="1"/>
        <v>-</v>
      </c>
    </row>
    <row r="110" spans="1:65" x14ac:dyDescent="0.25">
      <c r="A110" s="189">
        <v>109</v>
      </c>
      <c r="B110" s="186" t="str">
        <f>IF('Lighting Inventory'!F119="", "", 'Lighting Inventory'!F119)</f>
        <v/>
      </c>
      <c r="C110" s="26" t="str">
        <f>IF(B110="", "", CONCATENATE("Area: ", 'Lighting Inventory'!D119, ", ", IF('Lighting Inventory'!C119="", "", "Floor: "), 'Lighting Inventory'!C119))</f>
        <v/>
      </c>
      <c r="D110" s="186" t="str">
        <f>IF(B110="", "", IF('Lighting Inventory'!B119="New Construction",CONCATENATE("Cut Sheet ", 250+'Appendix C'!A110), IF(ISNUMBER(SEARCH("cut sheet", 'Lighting Inventory'!J119)), CONCATENATE("Cut Sheet ", 'Lookup Tables'!AX112), 'Lighting Inventory'!J119)))</f>
        <v/>
      </c>
      <c r="E110" s="26" t="str">
        <f>IF(B110="", "", IF('Lighting Inventory'!B119="New Construction", 1, 'Lighting Inventory'!I119))</f>
        <v/>
      </c>
      <c r="F110" s="26" t="str">
        <f>IF(B110="", "", IF('Lighting Inventory'!B119="New Construction", 'Lighting Inventory'!R119*1000, 'Lighting Inventory'!K119))</f>
        <v/>
      </c>
      <c r="G110" s="26" t="str">
        <f>IF(B110="", "", IF('Lighting Inventory'!M119="", "S_LS", VLOOKUP('Lighting Inventory'!M119, 'Lookup Tables'!$B$142:$D$148, 3, FALSE)))</f>
        <v/>
      </c>
      <c r="H110" s="26" t="str">
        <f>IF(OR('Lighting Inventory'!V119="", 'Lighting Inventory'!W119=""), "", IF('Lighting Inventory'!W119="No Change", 'Lighting Inventory'!J119, CONCATENATE("Cut Sheet ", 'Appendix C'!A110)))</f>
        <v/>
      </c>
      <c r="I110" s="26" t="str">
        <f>IF(H110="", "", IF('Lighting Inventory'!AB119="Yes", "Screw-In", "General"))</f>
        <v/>
      </c>
      <c r="J110" s="26" t="str">
        <f>IF(B110="", "", CONCATENATE('Lighting Inventory'!W119, ", ", 'Lighting Inventory'!AL119, " W"))</f>
        <v/>
      </c>
      <c r="K110" s="26" t="str">
        <f>IF(OR(B110="",'Lighting Inventory'!B119="Retrofit"),"",IF('General Information'!$F$16="Space-by-Space",CONCATENATE('Lighting Inventory'!N119,", ",'Lighting Inventory'!O119," ",'Lighting Inventory'!P119," LPD"," at ",'Lighting Inventory'!Q119,", ",'Lighting Inventory'!R119," kW"),CONCATENATE(B110,", ",'Lighting Inventory'!O119," ",'Lighting Inventory'!P119," LPD"," at ",'Lighting Inventory'!Q119,", ",'Lighting Inventory'!R119," kW")))</f>
        <v/>
      </c>
      <c r="L110" s="26" t="str">
        <f>IF(H110="","",IF('Lighting Inventory'!AK119="","",'Lighting Inventory'!AK119))</f>
        <v/>
      </c>
      <c r="M110" s="26" t="str">
        <f>IF(H110="", "", 'Lighting Inventory'!AL119)</f>
        <v/>
      </c>
      <c r="N110" s="26" t="str">
        <f>IF('Lighting Inventory'!S119="", "", IF('Lighting Inventory'!W119="No Change", 'Lighting Inventory'!I119, 'Lighting Inventory'!S119))</f>
        <v/>
      </c>
      <c r="O110" s="26" t="str">
        <f>IF('Lighting Inventory'!AN119="", "", VLOOKUP('Lighting Inventory'!AN119, 'Lookup Tables'!$B$142:$D$148, 3, FALSE))</f>
        <v/>
      </c>
      <c r="P110" s="66" t="str">
        <f>IF(B110="", "", 'Lighting Inventory'!AX119)</f>
        <v/>
      </c>
      <c r="Q110" s="67" t="str">
        <f>IF(B110="", "", 'Lighting Inventory'!AZ119)</f>
        <v/>
      </c>
      <c r="R110" s="187" t="str">
        <f>IF(OR('Lighting Inventory'!G119="", 'Lighting Inventory'!H119=""), "", 'Lighting Inventory'!BD119)</f>
        <v/>
      </c>
      <c r="S110" s="187" t="str">
        <f>IF(OR('Lighting Inventory'!G119="", 'Lighting Inventory'!H119=""), "",'Lighting Inventory'!BB119)</f>
        <v/>
      </c>
      <c r="T110" s="67" t="str">
        <f>IF(B110="", "", 'Lighting Inventory'!BE119)</f>
        <v/>
      </c>
      <c r="U110" s="67" t="str">
        <f>IF(B110="", "", 'Lighting Inventory'!BF119)</f>
        <v/>
      </c>
      <c r="BM110" s="186" t="str">
        <f t="shared" si="1"/>
        <v>-</v>
      </c>
    </row>
    <row r="111" spans="1:65" x14ac:dyDescent="0.25">
      <c r="A111" s="189">
        <v>110</v>
      </c>
      <c r="B111" s="186" t="str">
        <f>IF('Lighting Inventory'!F120="", "", 'Lighting Inventory'!F120)</f>
        <v/>
      </c>
      <c r="C111" s="26" t="str">
        <f>IF(B111="", "", CONCATENATE("Area: ", 'Lighting Inventory'!D120, ", ", IF('Lighting Inventory'!C120="", "", "Floor: "), 'Lighting Inventory'!C120))</f>
        <v/>
      </c>
      <c r="D111" s="186" t="str">
        <f>IF(B111="", "", IF('Lighting Inventory'!B120="New Construction",CONCATENATE("Cut Sheet ", 250+'Appendix C'!A111), IF(ISNUMBER(SEARCH("cut sheet", 'Lighting Inventory'!J120)), CONCATENATE("Cut Sheet ", 'Lookup Tables'!AX113), 'Lighting Inventory'!J120)))</f>
        <v/>
      </c>
      <c r="E111" s="26" t="str">
        <f>IF(B111="", "", IF('Lighting Inventory'!B120="New Construction", 1, 'Lighting Inventory'!I120))</f>
        <v/>
      </c>
      <c r="F111" s="26" t="str">
        <f>IF(B111="", "", IF('Lighting Inventory'!B120="New Construction", 'Lighting Inventory'!R120*1000, 'Lighting Inventory'!K120))</f>
        <v/>
      </c>
      <c r="G111" s="26" t="str">
        <f>IF(B111="", "", IF('Lighting Inventory'!M120="", "S_LS", VLOOKUP('Lighting Inventory'!M120, 'Lookup Tables'!$B$142:$D$148, 3, FALSE)))</f>
        <v/>
      </c>
      <c r="H111" s="26" t="str">
        <f>IF(OR('Lighting Inventory'!V120="", 'Lighting Inventory'!W120=""), "", IF('Lighting Inventory'!W120="No Change", 'Lighting Inventory'!J120, CONCATENATE("Cut Sheet ", 'Appendix C'!A111)))</f>
        <v/>
      </c>
      <c r="I111" s="26" t="str">
        <f>IF(H111="", "", IF('Lighting Inventory'!AB120="Yes", "Screw-In", "General"))</f>
        <v/>
      </c>
      <c r="J111" s="26" t="str">
        <f>IF(B111="", "", CONCATENATE('Lighting Inventory'!W120, ", ", 'Lighting Inventory'!AL120, " W"))</f>
        <v/>
      </c>
      <c r="K111" s="26" t="str">
        <f>IF(OR(B111="",'Lighting Inventory'!B120="Retrofit"),"",IF('General Information'!$F$16="Space-by-Space",CONCATENATE('Lighting Inventory'!N120,", ",'Lighting Inventory'!O120," ",'Lighting Inventory'!P120," LPD"," at ",'Lighting Inventory'!Q120,", ",'Lighting Inventory'!R120," kW"),CONCATENATE(B111,", ",'Lighting Inventory'!O120," ",'Lighting Inventory'!P120," LPD"," at ",'Lighting Inventory'!Q120,", ",'Lighting Inventory'!R120," kW")))</f>
        <v/>
      </c>
      <c r="L111" s="26" t="str">
        <f>IF(H111="","",IF('Lighting Inventory'!AK120="","",'Lighting Inventory'!AK120))</f>
        <v/>
      </c>
      <c r="M111" s="26" t="str">
        <f>IF(H111="", "", 'Lighting Inventory'!AL120)</f>
        <v/>
      </c>
      <c r="N111" s="26" t="str">
        <f>IF('Lighting Inventory'!S120="", "", IF('Lighting Inventory'!W120="No Change", 'Lighting Inventory'!I120, 'Lighting Inventory'!S120))</f>
        <v/>
      </c>
      <c r="O111" s="26" t="str">
        <f>IF('Lighting Inventory'!AN120="", "", VLOOKUP('Lighting Inventory'!AN120, 'Lookup Tables'!$B$142:$D$148, 3, FALSE))</f>
        <v/>
      </c>
      <c r="P111" s="66" t="str">
        <f>IF(B111="", "", 'Lighting Inventory'!AX120)</f>
        <v/>
      </c>
      <c r="Q111" s="67" t="str">
        <f>IF(B111="", "", 'Lighting Inventory'!AZ120)</f>
        <v/>
      </c>
      <c r="R111" s="187" t="str">
        <f>IF(OR('Lighting Inventory'!G120="", 'Lighting Inventory'!H120=""), "", 'Lighting Inventory'!BD120)</f>
        <v/>
      </c>
      <c r="S111" s="187" t="str">
        <f>IF(OR('Lighting Inventory'!G120="", 'Lighting Inventory'!H120=""), "",'Lighting Inventory'!BB120)</f>
        <v/>
      </c>
      <c r="T111" s="67" t="str">
        <f>IF(B111="", "", 'Lighting Inventory'!BE120)</f>
        <v/>
      </c>
      <c r="U111" s="67" t="str">
        <f>IF(B111="", "", 'Lighting Inventory'!BF120)</f>
        <v/>
      </c>
      <c r="BM111" s="186" t="str">
        <f t="shared" si="1"/>
        <v>-</v>
      </c>
    </row>
    <row r="112" spans="1:65" x14ac:dyDescent="0.25">
      <c r="A112" s="189">
        <v>111</v>
      </c>
      <c r="B112" s="186" t="str">
        <f>IF('Lighting Inventory'!F121="", "", 'Lighting Inventory'!F121)</f>
        <v/>
      </c>
      <c r="C112" s="26" t="str">
        <f>IF(B112="", "", CONCATENATE("Area: ", 'Lighting Inventory'!D121, ", ", IF('Lighting Inventory'!C121="", "", "Floor: "), 'Lighting Inventory'!C121))</f>
        <v/>
      </c>
      <c r="D112" s="186" t="str">
        <f>IF(B112="", "", IF('Lighting Inventory'!B121="New Construction",CONCATENATE("Cut Sheet ", 250+'Appendix C'!A112), IF(ISNUMBER(SEARCH("cut sheet", 'Lighting Inventory'!J121)), CONCATENATE("Cut Sheet ", 'Lookup Tables'!AX114), 'Lighting Inventory'!J121)))</f>
        <v/>
      </c>
      <c r="E112" s="26" t="str">
        <f>IF(B112="", "", IF('Lighting Inventory'!B121="New Construction", 1, 'Lighting Inventory'!I121))</f>
        <v/>
      </c>
      <c r="F112" s="26" t="str">
        <f>IF(B112="", "", IF('Lighting Inventory'!B121="New Construction", 'Lighting Inventory'!R121*1000, 'Lighting Inventory'!K121))</f>
        <v/>
      </c>
      <c r="G112" s="26" t="str">
        <f>IF(B112="", "", IF('Lighting Inventory'!M121="", "S_LS", VLOOKUP('Lighting Inventory'!M121, 'Lookup Tables'!$B$142:$D$148, 3, FALSE)))</f>
        <v/>
      </c>
      <c r="H112" s="26" t="str">
        <f>IF(OR('Lighting Inventory'!V121="", 'Lighting Inventory'!W121=""), "", IF('Lighting Inventory'!W121="No Change", 'Lighting Inventory'!J121, CONCATENATE("Cut Sheet ", 'Appendix C'!A112)))</f>
        <v/>
      </c>
      <c r="I112" s="26" t="str">
        <f>IF(H112="", "", IF('Lighting Inventory'!AB121="Yes", "Screw-In", "General"))</f>
        <v/>
      </c>
      <c r="J112" s="26" t="str">
        <f>IF(B112="", "", CONCATENATE('Lighting Inventory'!W121, ", ", 'Lighting Inventory'!AL121, " W"))</f>
        <v/>
      </c>
      <c r="K112" s="26" t="str">
        <f>IF(OR(B112="",'Lighting Inventory'!B121="Retrofit"),"",IF('General Information'!$F$16="Space-by-Space",CONCATENATE('Lighting Inventory'!N121,", ",'Lighting Inventory'!O121," ",'Lighting Inventory'!P121," LPD"," at ",'Lighting Inventory'!Q121,", ",'Lighting Inventory'!R121," kW"),CONCATENATE(B112,", ",'Lighting Inventory'!O121," ",'Lighting Inventory'!P121," LPD"," at ",'Lighting Inventory'!Q121,", ",'Lighting Inventory'!R121," kW")))</f>
        <v/>
      </c>
      <c r="L112" s="26" t="str">
        <f>IF(H112="","",IF('Lighting Inventory'!AK121="","",'Lighting Inventory'!AK121))</f>
        <v/>
      </c>
      <c r="M112" s="26" t="str">
        <f>IF(H112="", "", 'Lighting Inventory'!AL121)</f>
        <v/>
      </c>
      <c r="N112" s="26" t="str">
        <f>IF('Lighting Inventory'!S121="", "", IF('Lighting Inventory'!W121="No Change", 'Lighting Inventory'!I121, 'Lighting Inventory'!S121))</f>
        <v/>
      </c>
      <c r="O112" s="26" t="str">
        <f>IF('Lighting Inventory'!AN121="", "", VLOOKUP('Lighting Inventory'!AN121, 'Lookup Tables'!$B$142:$D$148, 3, FALSE))</f>
        <v/>
      </c>
      <c r="P112" s="66" t="str">
        <f>IF(B112="", "", 'Lighting Inventory'!AX121)</f>
        <v/>
      </c>
      <c r="Q112" s="67" t="str">
        <f>IF(B112="", "", 'Lighting Inventory'!AZ121)</f>
        <v/>
      </c>
      <c r="R112" s="187" t="str">
        <f>IF(OR('Lighting Inventory'!G121="", 'Lighting Inventory'!H121=""), "", 'Lighting Inventory'!BD121)</f>
        <v/>
      </c>
      <c r="S112" s="187" t="str">
        <f>IF(OR('Lighting Inventory'!G121="", 'Lighting Inventory'!H121=""), "",'Lighting Inventory'!BB121)</f>
        <v/>
      </c>
      <c r="T112" s="67" t="str">
        <f>IF(B112="", "", 'Lighting Inventory'!BE121)</f>
        <v/>
      </c>
      <c r="U112" s="67" t="str">
        <f>IF(B112="", "", 'Lighting Inventory'!BF121)</f>
        <v/>
      </c>
      <c r="BM112" s="186" t="str">
        <f t="shared" si="1"/>
        <v>-</v>
      </c>
    </row>
    <row r="113" spans="1:65" x14ac:dyDescent="0.25">
      <c r="A113" s="189">
        <v>112</v>
      </c>
      <c r="B113" s="186" t="str">
        <f>IF('Lighting Inventory'!F122="", "", 'Lighting Inventory'!F122)</f>
        <v/>
      </c>
      <c r="C113" s="26" t="str">
        <f>IF(B113="", "", CONCATENATE("Area: ", 'Lighting Inventory'!D122, ", ", IF('Lighting Inventory'!C122="", "", "Floor: "), 'Lighting Inventory'!C122))</f>
        <v/>
      </c>
      <c r="D113" s="186" t="str">
        <f>IF(B113="", "", IF('Lighting Inventory'!B122="New Construction",CONCATENATE("Cut Sheet ", 250+'Appendix C'!A113), IF(ISNUMBER(SEARCH("cut sheet", 'Lighting Inventory'!J122)), CONCATENATE("Cut Sheet ", 'Lookup Tables'!AX115), 'Lighting Inventory'!J122)))</f>
        <v/>
      </c>
      <c r="E113" s="26" t="str">
        <f>IF(B113="", "", IF('Lighting Inventory'!B122="New Construction", 1, 'Lighting Inventory'!I122))</f>
        <v/>
      </c>
      <c r="F113" s="26" t="str">
        <f>IF(B113="", "", IF('Lighting Inventory'!B122="New Construction", 'Lighting Inventory'!R122*1000, 'Lighting Inventory'!K122))</f>
        <v/>
      </c>
      <c r="G113" s="26" t="str">
        <f>IF(B113="", "", IF('Lighting Inventory'!M122="", "S_LS", VLOOKUP('Lighting Inventory'!M122, 'Lookup Tables'!$B$142:$D$148, 3, FALSE)))</f>
        <v/>
      </c>
      <c r="H113" s="26" t="str">
        <f>IF(OR('Lighting Inventory'!V122="", 'Lighting Inventory'!W122=""), "", IF('Lighting Inventory'!W122="No Change", 'Lighting Inventory'!J122, CONCATENATE("Cut Sheet ", 'Appendix C'!A113)))</f>
        <v/>
      </c>
      <c r="I113" s="26" t="str">
        <f>IF(H113="", "", IF('Lighting Inventory'!AB122="Yes", "Screw-In", "General"))</f>
        <v/>
      </c>
      <c r="J113" s="26" t="str">
        <f>IF(B113="", "", CONCATENATE('Lighting Inventory'!W122, ", ", 'Lighting Inventory'!AL122, " W"))</f>
        <v/>
      </c>
      <c r="K113" s="26" t="str">
        <f>IF(OR(B113="",'Lighting Inventory'!B122="Retrofit"),"",IF('General Information'!$F$16="Space-by-Space",CONCATENATE('Lighting Inventory'!N122,", ",'Lighting Inventory'!O122," ",'Lighting Inventory'!P122," LPD"," at ",'Lighting Inventory'!Q122,", ",'Lighting Inventory'!R122," kW"),CONCATENATE(B113,", ",'Lighting Inventory'!O122," ",'Lighting Inventory'!P122," LPD"," at ",'Lighting Inventory'!Q122,", ",'Lighting Inventory'!R122," kW")))</f>
        <v/>
      </c>
      <c r="L113" s="26" t="str">
        <f>IF(H113="","",IF('Lighting Inventory'!AK122="","",'Lighting Inventory'!AK122))</f>
        <v/>
      </c>
      <c r="M113" s="26" t="str">
        <f>IF(H113="", "", 'Lighting Inventory'!AL122)</f>
        <v/>
      </c>
      <c r="N113" s="26" t="str">
        <f>IF('Lighting Inventory'!S122="", "", IF('Lighting Inventory'!W122="No Change", 'Lighting Inventory'!I122, 'Lighting Inventory'!S122))</f>
        <v/>
      </c>
      <c r="O113" s="26" t="str">
        <f>IF('Lighting Inventory'!AN122="", "", VLOOKUP('Lighting Inventory'!AN122, 'Lookup Tables'!$B$142:$D$148, 3, FALSE))</f>
        <v/>
      </c>
      <c r="P113" s="66" t="str">
        <f>IF(B113="", "", 'Lighting Inventory'!AX122)</f>
        <v/>
      </c>
      <c r="Q113" s="67" t="str">
        <f>IF(B113="", "", 'Lighting Inventory'!AZ122)</f>
        <v/>
      </c>
      <c r="R113" s="187" t="str">
        <f>IF(OR('Lighting Inventory'!G122="", 'Lighting Inventory'!H122=""), "", 'Lighting Inventory'!BD122)</f>
        <v/>
      </c>
      <c r="S113" s="187" t="str">
        <f>IF(OR('Lighting Inventory'!G122="", 'Lighting Inventory'!H122=""), "",'Lighting Inventory'!BB122)</f>
        <v/>
      </c>
      <c r="T113" s="67" t="str">
        <f>IF(B113="", "", 'Lighting Inventory'!BE122)</f>
        <v/>
      </c>
      <c r="U113" s="67" t="str">
        <f>IF(B113="", "", 'Lighting Inventory'!BF122)</f>
        <v/>
      </c>
      <c r="BM113" s="186" t="str">
        <f t="shared" si="1"/>
        <v>-</v>
      </c>
    </row>
    <row r="114" spans="1:65" x14ac:dyDescent="0.25">
      <c r="A114" s="189">
        <v>113</v>
      </c>
      <c r="B114" s="186" t="str">
        <f>IF('Lighting Inventory'!F123="", "", 'Lighting Inventory'!F123)</f>
        <v/>
      </c>
      <c r="C114" s="26" t="str">
        <f>IF(B114="", "", CONCATENATE("Area: ", 'Lighting Inventory'!D123, ", ", IF('Lighting Inventory'!C123="", "", "Floor: "), 'Lighting Inventory'!C123))</f>
        <v/>
      </c>
      <c r="D114" s="186" t="str">
        <f>IF(B114="", "", IF('Lighting Inventory'!B123="New Construction",CONCATENATE("Cut Sheet ", 250+'Appendix C'!A114), IF(ISNUMBER(SEARCH("cut sheet", 'Lighting Inventory'!J123)), CONCATENATE("Cut Sheet ", 'Lookup Tables'!AX116), 'Lighting Inventory'!J123)))</f>
        <v/>
      </c>
      <c r="E114" s="26" t="str">
        <f>IF(B114="", "", IF('Lighting Inventory'!B123="New Construction", 1, 'Lighting Inventory'!I123))</f>
        <v/>
      </c>
      <c r="F114" s="26" t="str">
        <f>IF(B114="", "", IF('Lighting Inventory'!B123="New Construction", 'Lighting Inventory'!R123*1000, 'Lighting Inventory'!K123))</f>
        <v/>
      </c>
      <c r="G114" s="26" t="str">
        <f>IF(B114="", "", IF('Lighting Inventory'!M123="", "S_LS", VLOOKUP('Lighting Inventory'!M123, 'Lookup Tables'!$B$142:$D$148, 3, FALSE)))</f>
        <v/>
      </c>
      <c r="H114" s="26" t="str">
        <f>IF(OR('Lighting Inventory'!V123="", 'Lighting Inventory'!W123=""), "", IF('Lighting Inventory'!W123="No Change", 'Lighting Inventory'!J123, CONCATENATE("Cut Sheet ", 'Appendix C'!A114)))</f>
        <v/>
      </c>
      <c r="I114" s="26" t="str">
        <f>IF(H114="", "", IF('Lighting Inventory'!AB123="Yes", "Screw-In", "General"))</f>
        <v/>
      </c>
      <c r="J114" s="26" t="str">
        <f>IF(B114="", "", CONCATENATE('Lighting Inventory'!W123, ", ", 'Lighting Inventory'!AL123, " W"))</f>
        <v/>
      </c>
      <c r="K114" s="26" t="str">
        <f>IF(OR(B114="",'Lighting Inventory'!B123="Retrofit"),"",IF('General Information'!$F$16="Space-by-Space",CONCATENATE('Lighting Inventory'!N123,", ",'Lighting Inventory'!O123," ",'Lighting Inventory'!P123," LPD"," at ",'Lighting Inventory'!Q123,", ",'Lighting Inventory'!R123," kW"),CONCATENATE(B114,", ",'Lighting Inventory'!O123," ",'Lighting Inventory'!P123," LPD"," at ",'Lighting Inventory'!Q123,", ",'Lighting Inventory'!R123," kW")))</f>
        <v/>
      </c>
      <c r="L114" s="26" t="str">
        <f>IF(H114="","",IF('Lighting Inventory'!AK123="","",'Lighting Inventory'!AK123))</f>
        <v/>
      </c>
      <c r="M114" s="26" t="str">
        <f>IF(H114="", "", 'Lighting Inventory'!AL123)</f>
        <v/>
      </c>
      <c r="N114" s="26" t="str">
        <f>IF('Lighting Inventory'!S123="", "", IF('Lighting Inventory'!W123="No Change", 'Lighting Inventory'!I123, 'Lighting Inventory'!S123))</f>
        <v/>
      </c>
      <c r="O114" s="26" t="str">
        <f>IF('Lighting Inventory'!AN123="", "", VLOOKUP('Lighting Inventory'!AN123, 'Lookup Tables'!$B$142:$D$148, 3, FALSE))</f>
        <v/>
      </c>
      <c r="P114" s="66" t="str">
        <f>IF(B114="", "", 'Lighting Inventory'!AX123)</f>
        <v/>
      </c>
      <c r="Q114" s="67" t="str">
        <f>IF(B114="", "", 'Lighting Inventory'!AZ123)</f>
        <v/>
      </c>
      <c r="R114" s="187" t="str">
        <f>IF(OR('Lighting Inventory'!G123="", 'Lighting Inventory'!H123=""), "", 'Lighting Inventory'!BD123)</f>
        <v/>
      </c>
      <c r="S114" s="187" t="str">
        <f>IF(OR('Lighting Inventory'!G123="", 'Lighting Inventory'!H123=""), "",'Lighting Inventory'!BB123)</f>
        <v/>
      </c>
      <c r="T114" s="67" t="str">
        <f>IF(B114="", "", 'Lighting Inventory'!BE123)</f>
        <v/>
      </c>
      <c r="U114" s="67" t="str">
        <f>IF(B114="", "", 'Lighting Inventory'!BF123)</f>
        <v/>
      </c>
      <c r="BM114" s="186" t="str">
        <f t="shared" si="1"/>
        <v>-</v>
      </c>
    </row>
    <row r="115" spans="1:65" x14ac:dyDescent="0.25">
      <c r="A115" s="189">
        <v>114</v>
      </c>
      <c r="B115" s="186" t="str">
        <f>IF('Lighting Inventory'!F124="", "", 'Lighting Inventory'!F124)</f>
        <v/>
      </c>
      <c r="C115" s="26" t="str">
        <f>IF(B115="", "", CONCATENATE("Area: ", 'Lighting Inventory'!D124, ", ", IF('Lighting Inventory'!C124="", "", "Floor: "), 'Lighting Inventory'!C124))</f>
        <v/>
      </c>
      <c r="D115" s="186" t="str">
        <f>IF(B115="", "", IF('Lighting Inventory'!B124="New Construction",CONCATENATE("Cut Sheet ", 250+'Appendix C'!A115), IF(ISNUMBER(SEARCH("cut sheet", 'Lighting Inventory'!J124)), CONCATENATE("Cut Sheet ", 'Lookup Tables'!AX117), 'Lighting Inventory'!J124)))</f>
        <v/>
      </c>
      <c r="E115" s="26" t="str">
        <f>IF(B115="", "", IF('Lighting Inventory'!B124="New Construction", 1, 'Lighting Inventory'!I124))</f>
        <v/>
      </c>
      <c r="F115" s="26" t="str">
        <f>IF(B115="", "", IF('Lighting Inventory'!B124="New Construction", 'Lighting Inventory'!R124*1000, 'Lighting Inventory'!K124))</f>
        <v/>
      </c>
      <c r="G115" s="26" t="str">
        <f>IF(B115="", "", IF('Lighting Inventory'!M124="", "S_LS", VLOOKUP('Lighting Inventory'!M124, 'Lookup Tables'!$B$142:$D$148, 3, FALSE)))</f>
        <v/>
      </c>
      <c r="H115" s="26" t="str">
        <f>IF(OR('Lighting Inventory'!V124="", 'Lighting Inventory'!W124=""), "", IF('Lighting Inventory'!W124="No Change", 'Lighting Inventory'!J124, CONCATENATE("Cut Sheet ", 'Appendix C'!A115)))</f>
        <v/>
      </c>
      <c r="I115" s="26" t="str">
        <f>IF(H115="", "", IF('Lighting Inventory'!AB124="Yes", "Screw-In", "General"))</f>
        <v/>
      </c>
      <c r="J115" s="26" t="str">
        <f>IF(B115="", "", CONCATENATE('Lighting Inventory'!W124, ", ", 'Lighting Inventory'!AL124, " W"))</f>
        <v/>
      </c>
      <c r="K115" s="26" t="str">
        <f>IF(OR(B115="",'Lighting Inventory'!B124="Retrofit"),"",IF('General Information'!$F$16="Space-by-Space",CONCATENATE('Lighting Inventory'!N124,", ",'Lighting Inventory'!O124," ",'Lighting Inventory'!P124," LPD"," at ",'Lighting Inventory'!Q124,", ",'Lighting Inventory'!R124," kW"),CONCATENATE(B115,", ",'Lighting Inventory'!O124," ",'Lighting Inventory'!P124," LPD"," at ",'Lighting Inventory'!Q124,", ",'Lighting Inventory'!R124," kW")))</f>
        <v/>
      </c>
      <c r="L115" s="26" t="str">
        <f>IF(H115="","",IF('Lighting Inventory'!AK124="","",'Lighting Inventory'!AK124))</f>
        <v/>
      </c>
      <c r="M115" s="26" t="str">
        <f>IF(H115="", "", 'Lighting Inventory'!AL124)</f>
        <v/>
      </c>
      <c r="N115" s="26" t="str">
        <f>IF('Lighting Inventory'!S124="", "", IF('Lighting Inventory'!W124="No Change", 'Lighting Inventory'!I124, 'Lighting Inventory'!S124))</f>
        <v/>
      </c>
      <c r="O115" s="26" t="str">
        <f>IF('Lighting Inventory'!AN124="", "", VLOOKUP('Lighting Inventory'!AN124, 'Lookup Tables'!$B$142:$D$148, 3, FALSE))</f>
        <v/>
      </c>
      <c r="P115" s="66" t="str">
        <f>IF(B115="", "", 'Lighting Inventory'!AX124)</f>
        <v/>
      </c>
      <c r="Q115" s="67" t="str">
        <f>IF(B115="", "", 'Lighting Inventory'!AZ124)</f>
        <v/>
      </c>
      <c r="R115" s="187" t="str">
        <f>IF(OR('Lighting Inventory'!G124="", 'Lighting Inventory'!H124=""), "", 'Lighting Inventory'!BD124)</f>
        <v/>
      </c>
      <c r="S115" s="187" t="str">
        <f>IF(OR('Lighting Inventory'!G124="", 'Lighting Inventory'!H124=""), "",'Lighting Inventory'!BB124)</f>
        <v/>
      </c>
      <c r="T115" s="67" t="str">
        <f>IF(B115="", "", 'Lighting Inventory'!BE124)</f>
        <v/>
      </c>
      <c r="U115" s="67" t="str">
        <f>IF(B115="", "", 'Lighting Inventory'!BF124)</f>
        <v/>
      </c>
      <c r="BM115" s="186" t="str">
        <f t="shared" si="1"/>
        <v>-</v>
      </c>
    </row>
    <row r="116" spans="1:65" x14ac:dyDescent="0.25">
      <c r="A116" s="189">
        <v>115</v>
      </c>
      <c r="B116" s="186" t="str">
        <f>IF('Lighting Inventory'!F125="", "", 'Lighting Inventory'!F125)</f>
        <v/>
      </c>
      <c r="C116" s="26" t="str">
        <f>IF(B116="", "", CONCATENATE("Area: ", 'Lighting Inventory'!D125, ", ", IF('Lighting Inventory'!C125="", "", "Floor: "), 'Lighting Inventory'!C125))</f>
        <v/>
      </c>
      <c r="D116" s="186" t="str">
        <f>IF(B116="", "", IF('Lighting Inventory'!B125="New Construction",CONCATENATE("Cut Sheet ", 250+'Appendix C'!A116), IF(ISNUMBER(SEARCH("cut sheet", 'Lighting Inventory'!J125)), CONCATENATE("Cut Sheet ", 'Lookup Tables'!AX118), 'Lighting Inventory'!J125)))</f>
        <v/>
      </c>
      <c r="E116" s="26" t="str">
        <f>IF(B116="", "", IF('Lighting Inventory'!B125="New Construction", 1, 'Lighting Inventory'!I125))</f>
        <v/>
      </c>
      <c r="F116" s="26" t="str">
        <f>IF(B116="", "", IF('Lighting Inventory'!B125="New Construction", 'Lighting Inventory'!R125*1000, 'Lighting Inventory'!K125))</f>
        <v/>
      </c>
      <c r="G116" s="26" t="str">
        <f>IF(B116="", "", IF('Lighting Inventory'!M125="", "S_LS", VLOOKUP('Lighting Inventory'!M125, 'Lookup Tables'!$B$142:$D$148, 3, FALSE)))</f>
        <v/>
      </c>
      <c r="H116" s="26" t="str">
        <f>IF(OR('Lighting Inventory'!V125="", 'Lighting Inventory'!W125=""), "", IF('Lighting Inventory'!W125="No Change", 'Lighting Inventory'!J125, CONCATENATE("Cut Sheet ", 'Appendix C'!A116)))</f>
        <v/>
      </c>
      <c r="I116" s="26" t="str">
        <f>IF(H116="", "", IF('Lighting Inventory'!AB125="Yes", "Screw-In", "General"))</f>
        <v/>
      </c>
      <c r="J116" s="26" t="str">
        <f>IF(B116="", "", CONCATENATE('Lighting Inventory'!W125, ", ", 'Lighting Inventory'!AL125, " W"))</f>
        <v/>
      </c>
      <c r="K116" s="26" t="str">
        <f>IF(OR(B116="",'Lighting Inventory'!B125="Retrofit"),"",IF('General Information'!$F$16="Space-by-Space",CONCATENATE('Lighting Inventory'!N125,", ",'Lighting Inventory'!O125," ",'Lighting Inventory'!P125," LPD"," at ",'Lighting Inventory'!Q125,", ",'Lighting Inventory'!R125," kW"),CONCATENATE(B116,", ",'Lighting Inventory'!O125," ",'Lighting Inventory'!P125," LPD"," at ",'Lighting Inventory'!Q125,", ",'Lighting Inventory'!R125," kW")))</f>
        <v/>
      </c>
      <c r="L116" s="26" t="str">
        <f>IF(H116="","",IF('Lighting Inventory'!AK125="","",'Lighting Inventory'!AK125))</f>
        <v/>
      </c>
      <c r="M116" s="26" t="str">
        <f>IF(H116="", "", 'Lighting Inventory'!AL125)</f>
        <v/>
      </c>
      <c r="N116" s="26" t="str">
        <f>IF('Lighting Inventory'!S125="", "", IF('Lighting Inventory'!W125="No Change", 'Lighting Inventory'!I125, 'Lighting Inventory'!S125))</f>
        <v/>
      </c>
      <c r="O116" s="26" t="str">
        <f>IF('Lighting Inventory'!AN125="", "", VLOOKUP('Lighting Inventory'!AN125, 'Lookup Tables'!$B$142:$D$148, 3, FALSE))</f>
        <v/>
      </c>
      <c r="P116" s="66" t="str">
        <f>IF(B116="", "", 'Lighting Inventory'!AX125)</f>
        <v/>
      </c>
      <c r="Q116" s="67" t="str">
        <f>IF(B116="", "", 'Lighting Inventory'!AZ125)</f>
        <v/>
      </c>
      <c r="R116" s="187" t="str">
        <f>IF(OR('Lighting Inventory'!G125="", 'Lighting Inventory'!H125=""), "", 'Lighting Inventory'!BD125)</f>
        <v/>
      </c>
      <c r="S116" s="187" t="str">
        <f>IF(OR('Lighting Inventory'!G125="", 'Lighting Inventory'!H125=""), "",'Lighting Inventory'!BB125)</f>
        <v/>
      </c>
      <c r="T116" s="67" t="str">
        <f>IF(B116="", "", 'Lighting Inventory'!BE125)</f>
        <v/>
      </c>
      <c r="U116" s="67" t="str">
        <f>IF(B116="", "", 'Lighting Inventory'!BF125)</f>
        <v/>
      </c>
      <c r="BM116" s="186" t="str">
        <f t="shared" si="1"/>
        <v>-</v>
      </c>
    </row>
    <row r="117" spans="1:65" x14ac:dyDescent="0.25">
      <c r="A117" s="189">
        <v>116</v>
      </c>
      <c r="B117" s="186" t="str">
        <f>IF('Lighting Inventory'!F126="", "", 'Lighting Inventory'!F126)</f>
        <v/>
      </c>
      <c r="C117" s="26" t="str">
        <f>IF(B117="", "", CONCATENATE("Area: ", 'Lighting Inventory'!D126, ", ", IF('Lighting Inventory'!C126="", "", "Floor: "), 'Lighting Inventory'!C126))</f>
        <v/>
      </c>
      <c r="D117" s="186" t="str">
        <f>IF(B117="", "", IF('Lighting Inventory'!B126="New Construction",CONCATENATE("Cut Sheet ", 250+'Appendix C'!A117), IF(ISNUMBER(SEARCH("cut sheet", 'Lighting Inventory'!J126)), CONCATENATE("Cut Sheet ", 'Lookup Tables'!AX119), 'Lighting Inventory'!J126)))</f>
        <v/>
      </c>
      <c r="E117" s="26" t="str">
        <f>IF(B117="", "", IF('Lighting Inventory'!B126="New Construction", 1, 'Lighting Inventory'!I126))</f>
        <v/>
      </c>
      <c r="F117" s="26" t="str">
        <f>IF(B117="", "", IF('Lighting Inventory'!B126="New Construction", 'Lighting Inventory'!R126*1000, 'Lighting Inventory'!K126))</f>
        <v/>
      </c>
      <c r="G117" s="26" t="str">
        <f>IF(B117="", "", IF('Lighting Inventory'!M126="", "S_LS", VLOOKUP('Lighting Inventory'!M126, 'Lookup Tables'!$B$142:$D$148, 3, FALSE)))</f>
        <v/>
      </c>
      <c r="H117" s="26" t="str">
        <f>IF(OR('Lighting Inventory'!V126="", 'Lighting Inventory'!W126=""), "", IF('Lighting Inventory'!W126="No Change", 'Lighting Inventory'!J126, CONCATENATE("Cut Sheet ", 'Appendix C'!A117)))</f>
        <v/>
      </c>
      <c r="I117" s="26" t="str">
        <f>IF(H117="", "", IF('Lighting Inventory'!AB126="Yes", "Screw-In", "General"))</f>
        <v/>
      </c>
      <c r="J117" s="26" t="str">
        <f>IF(B117="", "", CONCATENATE('Lighting Inventory'!W126, ", ", 'Lighting Inventory'!AL126, " W"))</f>
        <v/>
      </c>
      <c r="K117" s="26" t="str">
        <f>IF(OR(B117="",'Lighting Inventory'!B126="Retrofit"),"",IF('General Information'!$F$16="Space-by-Space",CONCATENATE('Lighting Inventory'!N126,", ",'Lighting Inventory'!O126," ",'Lighting Inventory'!P126," LPD"," at ",'Lighting Inventory'!Q126,", ",'Lighting Inventory'!R126," kW"),CONCATENATE(B117,", ",'Lighting Inventory'!O126," ",'Lighting Inventory'!P126," LPD"," at ",'Lighting Inventory'!Q126,", ",'Lighting Inventory'!R126," kW")))</f>
        <v/>
      </c>
      <c r="L117" s="26" t="str">
        <f>IF(H117="","",IF('Lighting Inventory'!AK126="","",'Lighting Inventory'!AK126))</f>
        <v/>
      </c>
      <c r="M117" s="26" t="str">
        <f>IF(H117="", "", 'Lighting Inventory'!AL126)</f>
        <v/>
      </c>
      <c r="N117" s="26" t="str">
        <f>IF('Lighting Inventory'!S126="", "", IF('Lighting Inventory'!W126="No Change", 'Lighting Inventory'!I126, 'Lighting Inventory'!S126))</f>
        <v/>
      </c>
      <c r="O117" s="26" t="str">
        <f>IF('Lighting Inventory'!AN126="", "", VLOOKUP('Lighting Inventory'!AN126, 'Lookup Tables'!$B$142:$D$148, 3, FALSE))</f>
        <v/>
      </c>
      <c r="P117" s="66" t="str">
        <f>IF(B117="", "", 'Lighting Inventory'!AX126)</f>
        <v/>
      </c>
      <c r="Q117" s="67" t="str">
        <f>IF(B117="", "", 'Lighting Inventory'!AZ126)</f>
        <v/>
      </c>
      <c r="R117" s="187" t="str">
        <f>IF(OR('Lighting Inventory'!G126="", 'Lighting Inventory'!H126=""), "", 'Lighting Inventory'!BD126)</f>
        <v/>
      </c>
      <c r="S117" s="187" t="str">
        <f>IF(OR('Lighting Inventory'!G126="", 'Lighting Inventory'!H126=""), "",'Lighting Inventory'!BB126)</f>
        <v/>
      </c>
      <c r="T117" s="67" t="str">
        <f>IF(B117="", "", 'Lighting Inventory'!BE126)</f>
        <v/>
      </c>
      <c r="U117" s="67" t="str">
        <f>IF(B117="", "", 'Lighting Inventory'!BF126)</f>
        <v/>
      </c>
      <c r="BM117" s="186" t="str">
        <f t="shared" si="1"/>
        <v>-</v>
      </c>
    </row>
    <row r="118" spans="1:65" x14ac:dyDescent="0.25">
      <c r="A118" s="189">
        <v>117</v>
      </c>
      <c r="B118" s="186" t="str">
        <f>IF('Lighting Inventory'!F127="", "", 'Lighting Inventory'!F127)</f>
        <v/>
      </c>
      <c r="C118" s="26" t="str">
        <f>IF(B118="", "", CONCATENATE("Area: ", 'Lighting Inventory'!D127, ", ", IF('Lighting Inventory'!C127="", "", "Floor: "), 'Lighting Inventory'!C127))</f>
        <v/>
      </c>
      <c r="D118" s="186" t="str">
        <f>IF(B118="", "", IF('Lighting Inventory'!B127="New Construction",CONCATENATE("Cut Sheet ", 250+'Appendix C'!A118), IF(ISNUMBER(SEARCH("cut sheet", 'Lighting Inventory'!J127)), CONCATENATE("Cut Sheet ", 'Lookup Tables'!AX120), 'Lighting Inventory'!J127)))</f>
        <v/>
      </c>
      <c r="E118" s="26" t="str">
        <f>IF(B118="", "", IF('Lighting Inventory'!B127="New Construction", 1, 'Lighting Inventory'!I127))</f>
        <v/>
      </c>
      <c r="F118" s="26" t="str">
        <f>IF(B118="", "", IF('Lighting Inventory'!B127="New Construction", 'Lighting Inventory'!R127*1000, 'Lighting Inventory'!K127))</f>
        <v/>
      </c>
      <c r="G118" s="26" t="str">
        <f>IF(B118="", "", IF('Lighting Inventory'!M127="", "S_LS", VLOOKUP('Lighting Inventory'!M127, 'Lookup Tables'!$B$142:$D$148, 3, FALSE)))</f>
        <v/>
      </c>
      <c r="H118" s="26" t="str">
        <f>IF(OR('Lighting Inventory'!V127="", 'Lighting Inventory'!W127=""), "", IF('Lighting Inventory'!W127="No Change", 'Lighting Inventory'!J127, CONCATENATE("Cut Sheet ", 'Appendix C'!A118)))</f>
        <v/>
      </c>
      <c r="I118" s="26" t="str">
        <f>IF(H118="", "", IF('Lighting Inventory'!AB127="Yes", "Screw-In", "General"))</f>
        <v/>
      </c>
      <c r="J118" s="26" t="str">
        <f>IF(B118="", "", CONCATENATE('Lighting Inventory'!W127, ", ", 'Lighting Inventory'!AL127, " W"))</f>
        <v/>
      </c>
      <c r="K118" s="26" t="str">
        <f>IF(OR(B118="",'Lighting Inventory'!B127="Retrofit"),"",IF('General Information'!$F$16="Space-by-Space",CONCATENATE('Lighting Inventory'!N127,", ",'Lighting Inventory'!O127," ",'Lighting Inventory'!P127," LPD"," at ",'Lighting Inventory'!Q127,", ",'Lighting Inventory'!R127," kW"),CONCATENATE(B118,", ",'Lighting Inventory'!O127," ",'Lighting Inventory'!P127," LPD"," at ",'Lighting Inventory'!Q127,", ",'Lighting Inventory'!R127," kW")))</f>
        <v/>
      </c>
      <c r="L118" s="26" t="str">
        <f>IF(H118="","",IF('Lighting Inventory'!AK127="","",'Lighting Inventory'!AK127))</f>
        <v/>
      </c>
      <c r="M118" s="26" t="str">
        <f>IF(H118="", "", 'Lighting Inventory'!AL127)</f>
        <v/>
      </c>
      <c r="N118" s="26" t="str">
        <f>IF('Lighting Inventory'!S127="", "", IF('Lighting Inventory'!W127="No Change", 'Lighting Inventory'!I127, 'Lighting Inventory'!S127))</f>
        <v/>
      </c>
      <c r="O118" s="26" t="str">
        <f>IF('Lighting Inventory'!AN127="", "", VLOOKUP('Lighting Inventory'!AN127, 'Lookup Tables'!$B$142:$D$148, 3, FALSE))</f>
        <v/>
      </c>
      <c r="P118" s="66" t="str">
        <f>IF(B118="", "", 'Lighting Inventory'!AX127)</f>
        <v/>
      </c>
      <c r="Q118" s="67" t="str">
        <f>IF(B118="", "", 'Lighting Inventory'!AZ127)</f>
        <v/>
      </c>
      <c r="R118" s="187" t="str">
        <f>IF(OR('Lighting Inventory'!G127="", 'Lighting Inventory'!H127=""), "", 'Lighting Inventory'!BD127)</f>
        <v/>
      </c>
      <c r="S118" s="187" t="str">
        <f>IF(OR('Lighting Inventory'!G127="", 'Lighting Inventory'!H127=""), "",'Lighting Inventory'!BB127)</f>
        <v/>
      </c>
      <c r="T118" s="67" t="str">
        <f>IF(B118="", "", 'Lighting Inventory'!BE127)</f>
        <v/>
      </c>
      <c r="U118" s="67" t="str">
        <f>IF(B118="", "", 'Lighting Inventory'!BF127)</f>
        <v/>
      </c>
      <c r="BM118" s="186" t="str">
        <f t="shared" si="1"/>
        <v>-</v>
      </c>
    </row>
    <row r="119" spans="1:65" x14ac:dyDescent="0.25">
      <c r="A119" s="189">
        <v>118</v>
      </c>
      <c r="B119" s="186" t="str">
        <f>IF('Lighting Inventory'!F128="", "", 'Lighting Inventory'!F128)</f>
        <v/>
      </c>
      <c r="C119" s="26" t="str">
        <f>IF(B119="", "", CONCATENATE("Area: ", 'Lighting Inventory'!D128, ", ", IF('Lighting Inventory'!C128="", "", "Floor: "), 'Lighting Inventory'!C128))</f>
        <v/>
      </c>
      <c r="D119" s="186" t="str">
        <f>IF(B119="", "", IF('Lighting Inventory'!B128="New Construction",CONCATENATE("Cut Sheet ", 250+'Appendix C'!A119), IF(ISNUMBER(SEARCH("cut sheet", 'Lighting Inventory'!J128)), CONCATENATE("Cut Sheet ", 'Lookup Tables'!AX121), 'Lighting Inventory'!J128)))</f>
        <v/>
      </c>
      <c r="E119" s="26" t="str">
        <f>IF(B119="", "", IF('Lighting Inventory'!B128="New Construction", 1, 'Lighting Inventory'!I128))</f>
        <v/>
      </c>
      <c r="F119" s="26" t="str">
        <f>IF(B119="", "", IF('Lighting Inventory'!B128="New Construction", 'Lighting Inventory'!R128*1000, 'Lighting Inventory'!K128))</f>
        <v/>
      </c>
      <c r="G119" s="26" t="str">
        <f>IF(B119="", "", IF('Lighting Inventory'!M128="", "S_LS", VLOOKUP('Lighting Inventory'!M128, 'Lookup Tables'!$B$142:$D$148, 3, FALSE)))</f>
        <v/>
      </c>
      <c r="H119" s="26" t="str">
        <f>IF(OR('Lighting Inventory'!V128="", 'Lighting Inventory'!W128=""), "", IF('Lighting Inventory'!W128="No Change", 'Lighting Inventory'!J128, CONCATENATE("Cut Sheet ", 'Appendix C'!A119)))</f>
        <v/>
      </c>
      <c r="I119" s="26" t="str">
        <f>IF(H119="", "", IF('Lighting Inventory'!AB128="Yes", "Screw-In", "General"))</f>
        <v/>
      </c>
      <c r="J119" s="26" t="str">
        <f>IF(B119="", "", CONCATENATE('Lighting Inventory'!W128, ", ", 'Lighting Inventory'!AL128, " W"))</f>
        <v/>
      </c>
      <c r="K119" s="26" t="str">
        <f>IF(OR(B119="",'Lighting Inventory'!B128="Retrofit"),"",IF('General Information'!$F$16="Space-by-Space",CONCATENATE('Lighting Inventory'!N128,", ",'Lighting Inventory'!O128," ",'Lighting Inventory'!P128," LPD"," at ",'Lighting Inventory'!Q128,", ",'Lighting Inventory'!R128," kW"),CONCATENATE(B119,", ",'Lighting Inventory'!O128," ",'Lighting Inventory'!P128," LPD"," at ",'Lighting Inventory'!Q128,", ",'Lighting Inventory'!R128," kW")))</f>
        <v/>
      </c>
      <c r="L119" s="26" t="str">
        <f>IF(H119="","",IF('Lighting Inventory'!AK128="","",'Lighting Inventory'!AK128))</f>
        <v/>
      </c>
      <c r="M119" s="26" t="str">
        <f>IF(H119="", "", 'Lighting Inventory'!AL128)</f>
        <v/>
      </c>
      <c r="N119" s="26" t="str">
        <f>IF('Lighting Inventory'!S128="", "", IF('Lighting Inventory'!W128="No Change", 'Lighting Inventory'!I128, 'Lighting Inventory'!S128))</f>
        <v/>
      </c>
      <c r="O119" s="26" t="str">
        <f>IF('Lighting Inventory'!AN128="", "", VLOOKUP('Lighting Inventory'!AN128, 'Lookup Tables'!$B$142:$D$148, 3, FALSE))</f>
        <v/>
      </c>
      <c r="P119" s="66" t="str">
        <f>IF(B119="", "", 'Lighting Inventory'!AX128)</f>
        <v/>
      </c>
      <c r="Q119" s="67" t="str">
        <f>IF(B119="", "", 'Lighting Inventory'!AZ128)</f>
        <v/>
      </c>
      <c r="R119" s="187" t="str">
        <f>IF(OR('Lighting Inventory'!G128="", 'Lighting Inventory'!H128=""), "", 'Lighting Inventory'!BD128)</f>
        <v/>
      </c>
      <c r="S119" s="187" t="str">
        <f>IF(OR('Lighting Inventory'!G128="", 'Lighting Inventory'!H128=""), "",'Lighting Inventory'!BB128)</f>
        <v/>
      </c>
      <c r="T119" s="67" t="str">
        <f>IF(B119="", "", 'Lighting Inventory'!BE128)</f>
        <v/>
      </c>
      <c r="U119" s="67" t="str">
        <f>IF(B119="", "", 'Lighting Inventory'!BF128)</f>
        <v/>
      </c>
      <c r="BM119" s="186" t="str">
        <f t="shared" si="1"/>
        <v>-</v>
      </c>
    </row>
    <row r="120" spans="1:65" x14ac:dyDescent="0.25">
      <c r="A120" s="189">
        <v>119</v>
      </c>
      <c r="B120" s="186" t="str">
        <f>IF('Lighting Inventory'!F129="", "", 'Lighting Inventory'!F129)</f>
        <v/>
      </c>
      <c r="C120" s="26" t="str">
        <f>IF(B120="", "", CONCATENATE("Area: ", 'Lighting Inventory'!D129, ", ", IF('Lighting Inventory'!C129="", "", "Floor: "), 'Lighting Inventory'!C129))</f>
        <v/>
      </c>
      <c r="D120" s="186" t="str">
        <f>IF(B120="", "", IF('Lighting Inventory'!B129="New Construction",CONCATENATE("Cut Sheet ", 250+'Appendix C'!A120), IF(ISNUMBER(SEARCH("cut sheet", 'Lighting Inventory'!J129)), CONCATENATE("Cut Sheet ", 'Lookup Tables'!AX122), 'Lighting Inventory'!J129)))</f>
        <v/>
      </c>
      <c r="E120" s="26" t="str">
        <f>IF(B120="", "", IF('Lighting Inventory'!B129="New Construction", 1, 'Lighting Inventory'!I129))</f>
        <v/>
      </c>
      <c r="F120" s="26" t="str">
        <f>IF(B120="", "", IF('Lighting Inventory'!B129="New Construction", 'Lighting Inventory'!R129*1000, 'Lighting Inventory'!K129))</f>
        <v/>
      </c>
      <c r="G120" s="26" t="str">
        <f>IF(B120="", "", IF('Lighting Inventory'!M129="", "S_LS", VLOOKUP('Lighting Inventory'!M129, 'Lookup Tables'!$B$142:$D$148, 3, FALSE)))</f>
        <v/>
      </c>
      <c r="H120" s="26" t="str">
        <f>IF(OR('Lighting Inventory'!V129="", 'Lighting Inventory'!W129=""), "", IF('Lighting Inventory'!W129="No Change", 'Lighting Inventory'!J129, CONCATENATE("Cut Sheet ", 'Appendix C'!A120)))</f>
        <v/>
      </c>
      <c r="I120" s="26" t="str">
        <f>IF(H120="", "", IF('Lighting Inventory'!AB129="Yes", "Screw-In", "General"))</f>
        <v/>
      </c>
      <c r="J120" s="26" t="str">
        <f>IF(B120="", "", CONCATENATE('Lighting Inventory'!W129, ", ", 'Lighting Inventory'!AL129, " W"))</f>
        <v/>
      </c>
      <c r="K120" s="26" t="str">
        <f>IF(OR(B120="",'Lighting Inventory'!B129="Retrofit"),"",IF('General Information'!$F$16="Space-by-Space",CONCATENATE('Lighting Inventory'!N129,", ",'Lighting Inventory'!O129," ",'Lighting Inventory'!P129," LPD"," at ",'Lighting Inventory'!Q129,", ",'Lighting Inventory'!R129," kW"),CONCATENATE(B120,", ",'Lighting Inventory'!O129," ",'Lighting Inventory'!P129," LPD"," at ",'Lighting Inventory'!Q129,", ",'Lighting Inventory'!R129," kW")))</f>
        <v/>
      </c>
      <c r="L120" s="26" t="str">
        <f>IF(H120="","",IF('Lighting Inventory'!AK129="","",'Lighting Inventory'!AK129))</f>
        <v/>
      </c>
      <c r="M120" s="26" t="str">
        <f>IF(H120="", "", 'Lighting Inventory'!AL129)</f>
        <v/>
      </c>
      <c r="N120" s="26" t="str">
        <f>IF('Lighting Inventory'!S129="", "", IF('Lighting Inventory'!W129="No Change", 'Lighting Inventory'!I129, 'Lighting Inventory'!S129))</f>
        <v/>
      </c>
      <c r="O120" s="26" t="str">
        <f>IF('Lighting Inventory'!AN129="", "", VLOOKUP('Lighting Inventory'!AN129, 'Lookup Tables'!$B$142:$D$148, 3, FALSE))</f>
        <v/>
      </c>
      <c r="P120" s="66" t="str">
        <f>IF(B120="", "", 'Lighting Inventory'!AX129)</f>
        <v/>
      </c>
      <c r="Q120" s="67" t="str">
        <f>IF(B120="", "", 'Lighting Inventory'!AZ129)</f>
        <v/>
      </c>
      <c r="R120" s="187" t="str">
        <f>IF(OR('Lighting Inventory'!G129="", 'Lighting Inventory'!H129=""), "", 'Lighting Inventory'!BD129)</f>
        <v/>
      </c>
      <c r="S120" s="187" t="str">
        <f>IF(OR('Lighting Inventory'!G129="", 'Lighting Inventory'!H129=""), "",'Lighting Inventory'!BB129)</f>
        <v/>
      </c>
      <c r="T120" s="67" t="str">
        <f>IF(B120="", "", 'Lighting Inventory'!BE129)</f>
        <v/>
      </c>
      <c r="U120" s="67" t="str">
        <f>IF(B120="", "", 'Lighting Inventory'!BF129)</f>
        <v/>
      </c>
      <c r="BM120" s="186" t="str">
        <f t="shared" si="1"/>
        <v>-</v>
      </c>
    </row>
    <row r="121" spans="1:65" x14ac:dyDescent="0.25">
      <c r="A121" s="189">
        <v>120</v>
      </c>
      <c r="B121" s="186" t="str">
        <f>IF('Lighting Inventory'!F130="", "", 'Lighting Inventory'!F130)</f>
        <v/>
      </c>
      <c r="C121" s="26" t="str">
        <f>IF(B121="", "", CONCATENATE("Area: ", 'Lighting Inventory'!D130, ", ", IF('Lighting Inventory'!C130="", "", "Floor: "), 'Lighting Inventory'!C130))</f>
        <v/>
      </c>
      <c r="D121" s="186" t="str">
        <f>IF(B121="", "", IF('Lighting Inventory'!B130="New Construction",CONCATENATE("Cut Sheet ", 250+'Appendix C'!A121), IF(ISNUMBER(SEARCH("cut sheet", 'Lighting Inventory'!J130)), CONCATENATE("Cut Sheet ", 'Lookup Tables'!AX123), 'Lighting Inventory'!J130)))</f>
        <v/>
      </c>
      <c r="E121" s="26" t="str">
        <f>IF(B121="", "", IF('Lighting Inventory'!B130="New Construction", 1, 'Lighting Inventory'!I130))</f>
        <v/>
      </c>
      <c r="F121" s="26" t="str">
        <f>IF(B121="", "", IF('Lighting Inventory'!B130="New Construction", 'Lighting Inventory'!R130*1000, 'Lighting Inventory'!K130))</f>
        <v/>
      </c>
      <c r="G121" s="26" t="str">
        <f>IF(B121="", "", IF('Lighting Inventory'!M130="", "S_LS", VLOOKUP('Lighting Inventory'!M130, 'Lookup Tables'!$B$142:$D$148, 3, FALSE)))</f>
        <v/>
      </c>
      <c r="H121" s="26" t="str">
        <f>IF(OR('Lighting Inventory'!V130="", 'Lighting Inventory'!W130=""), "", IF('Lighting Inventory'!W130="No Change", 'Lighting Inventory'!J130, CONCATENATE("Cut Sheet ", 'Appendix C'!A121)))</f>
        <v/>
      </c>
      <c r="I121" s="26" t="str">
        <f>IF(H121="", "", IF('Lighting Inventory'!AB130="Yes", "Screw-In", "General"))</f>
        <v/>
      </c>
      <c r="J121" s="26" t="str">
        <f>IF(B121="", "", CONCATENATE('Lighting Inventory'!W130, ", ", 'Lighting Inventory'!AL130, " W"))</f>
        <v/>
      </c>
      <c r="K121" s="26" t="str">
        <f>IF(OR(B121="",'Lighting Inventory'!B130="Retrofit"),"",IF('General Information'!$F$16="Space-by-Space",CONCATENATE('Lighting Inventory'!N130,", ",'Lighting Inventory'!O130," ",'Lighting Inventory'!P130," LPD"," at ",'Lighting Inventory'!Q130,", ",'Lighting Inventory'!R130," kW"),CONCATENATE(B121,", ",'Lighting Inventory'!O130," ",'Lighting Inventory'!P130," LPD"," at ",'Lighting Inventory'!Q130,", ",'Lighting Inventory'!R130," kW")))</f>
        <v/>
      </c>
      <c r="L121" s="26" t="str">
        <f>IF(H121="","",IF('Lighting Inventory'!AK130="","",'Lighting Inventory'!AK130))</f>
        <v/>
      </c>
      <c r="M121" s="26" t="str">
        <f>IF(H121="", "", 'Lighting Inventory'!AL130)</f>
        <v/>
      </c>
      <c r="N121" s="26" t="str">
        <f>IF('Lighting Inventory'!S130="", "", IF('Lighting Inventory'!W130="No Change", 'Lighting Inventory'!I130, 'Lighting Inventory'!S130))</f>
        <v/>
      </c>
      <c r="O121" s="26" t="str">
        <f>IF('Lighting Inventory'!AN130="", "", VLOOKUP('Lighting Inventory'!AN130, 'Lookup Tables'!$B$142:$D$148, 3, FALSE))</f>
        <v/>
      </c>
      <c r="P121" s="66" t="str">
        <f>IF(B121="", "", 'Lighting Inventory'!AX130)</f>
        <v/>
      </c>
      <c r="Q121" s="67" t="str">
        <f>IF(B121="", "", 'Lighting Inventory'!AZ130)</f>
        <v/>
      </c>
      <c r="R121" s="187" t="str">
        <f>IF(OR('Lighting Inventory'!G130="", 'Lighting Inventory'!H130=""), "", 'Lighting Inventory'!BD130)</f>
        <v/>
      </c>
      <c r="S121" s="187" t="str">
        <f>IF(OR('Lighting Inventory'!G130="", 'Lighting Inventory'!H130=""), "",'Lighting Inventory'!BB130)</f>
        <v/>
      </c>
      <c r="T121" s="67" t="str">
        <f>IF(B121="", "", 'Lighting Inventory'!BE130)</f>
        <v/>
      </c>
      <c r="U121" s="67" t="str">
        <f>IF(B121="", "", 'Lighting Inventory'!BF130)</f>
        <v/>
      </c>
      <c r="BM121" s="186" t="str">
        <f t="shared" si="1"/>
        <v>-</v>
      </c>
    </row>
    <row r="122" spans="1:65" x14ac:dyDescent="0.25">
      <c r="A122" s="189">
        <v>121</v>
      </c>
      <c r="B122" s="186" t="str">
        <f>IF('Lighting Inventory'!F131="", "", 'Lighting Inventory'!F131)</f>
        <v/>
      </c>
      <c r="C122" s="26" t="str">
        <f>IF(B122="", "", CONCATENATE("Area: ", 'Lighting Inventory'!D131, ", ", IF('Lighting Inventory'!C131="", "", "Floor: "), 'Lighting Inventory'!C131))</f>
        <v/>
      </c>
      <c r="D122" s="186" t="str">
        <f>IF(B122="", "", IF('Lighting Inventory'!B131="New Construction",CONCATENATE("Cut Sheet ", 250+'Appendix C'!A122), IF(ISNUMBER(SEARCH("cut sheet", 'Lighting Inventory'!J131)), CONCATENATE("Cut Sheet ", 'Lookup Tables'!AX124), 'Lighting Inventory'!J131)))</f>
        <v/>
      </c>
      <c r="E122" s="26" t="str">
        <f>IF(B122="", "", IF('Lighting Inventory'!B131="New Construction", 1, 'Lighting Inventory'!I131))</f>
        <v/>
      </c>
      <c r="F122" s="26" t="str">
        <f>IF(B122="", "", IF('Lighting Inventory'!B131="New Construction", 'Lighting Inventory'!R131*1000, 'Lighting Inventory'!K131))</f>
        <v/>
      </c>
      <c r="G122" s="26" t="str">
        <f>IF(B122="", "", IF('Lighting Inventory'!M131="", "S_LS", VLOOKUP('Lighting Inventory'!M131, 'Lookup Tables'!$B$142:$D$148, 3, FALSE)))</f>
        <v/>
      </c>
      <c r="H122" s="26" t="str">
        <f>IF(OR('Lighting Inventory'!V131="", 'Lighting Inventory'!W131=""), "", IF('Lighting Inventory'!W131="No Change", 'Lighting Inventory'!J131, CONCATENATE("Cut Sheet ", 'Appendix C'!A122)))</f>
        <v/>
      </c>
      <c r="I122" s="26" t="str">
        <f>IF(H122="", "", IF('Lighting Inventory'!AB131="Yes", "Screw-In", "General"))</f>
        <v/>
      </c>
      <c r="J122" s="26" t="str">
        <f>IF(B122="", "", CONCATENATE('Lighting Inventory'!W131, ", ", 'Lighting Inventory'!AL131, " W"))</f>
        <v/>
      </c>
      <c r="K122" s="26" t="str">
        <f>IF(OR(B122="",'Lighting Inventory'!B131="Retrofit"),"",IF('General Information'!$F$16="Space-by-Space",CONCATENATE('Lighting Inventory'!N131,", ",'Lighting Inventory'!O131," ",'Lighting Inventory'!P131," LPD"," at ",'Lighting Inventory'!Q131,", ",'Lighting Inventory'!R131," kW"),CONCATENATE(B122,", ",'Lighting Inventory'!O131," ",'Lighting Inventory'!P131," LPD"," at ",'Lighting Inventory'!Q131,", ",'Lighting Inventory'!R131," kW")))</f>
        <v/>
      </c>
      <c r="L122" s="26" t="str">
        <f>IF(H122="","",IF('Lighting Inventory'!AK131="","",'Lighting Inventory'!AK131))</f>
        <v/>
      </c>
      <c r="M122" s="26" t="str">
        <f>IF(H122="", "", 'Lighting Inventory'!AL131)</f>
        <v/>
      </c>
      <c r="N122" s="26" t="str">
        <f>IF('Lighting Inventory'!S131="", "", IF('Lighting Inventory'!W131="No Change", 'Lighting Inventory'!I131, 'Lighting Inventory'!S131))</f>
        <v/>
      </c>
      <c r="O122" s="26" t="str">
        <f>IF('Lighting Inventory'!AN131="", "", VLOOKUP('Lighting Inventory'!AN131, 'Lookup Tables'!$B$142:$D$148, 3, FALSE))</f>
        <v/>
      </c>
      <c r="P122" s="66" t="str">
        <f>IF(B122="", "", 'Lighting Inventory'!AX131)</f>
        <v/>
      </c>
      <c r="Q122" s="67" t="str">
        <f>IF(B122="", "", 'Lighting Inventory'!AZ131)</f>
        <v/>
      </c>
      <c r="R122" s="187" t="str">
        <f>IF(OR('Lighting Inventory'!G131="", 'Lighting Inventory'!H131=""), "", 'Lighting Inventory'!BD131)</f>
        <v/>
      </c>
      <c r="S122" s="187" t="str">
        <f>IF(OR('Lighting Inventory'!G131="", 'Lighting Inventory'!H131=""), "",'Lighting Inventory'!BB131)</f>
        <v/>
      </c>
      <c r="T122" s="67" t="str">
        <f>IF(B122="", "", 'Lighting Inventory'!BE131)</f>
        <v/>
      </c>
      <c r="U122" s="67" t="str">
        <f>IF(B122="", "", 'Lighting Inventory'!BF131)</f>
        <v/>
      </c>
      <c r="BM122" s="186" t="str">
        <f t="shared" si="1"/>
        <v>-</v>
      </c>
    </row>
    <row r="123" spans="1:65" x14ac:dyDescent="0.25">
      <c r="A123" s="189">
        <v>122</v>
      </c>
      <c r="B123" s="186" t="str">
        <f>IF('Lighting Inventory'!F132="", "", 'Lighting Inventory'!F132)</f>
        <v/>
      </c>
      <c r="C123" s="26" t="str">
        <f>IF(B123="", "", CONCATENATE("Area: ", 'Lighting Inventory'!D132, ", ", IF('Lighting Inventory'!C132="", "", "Floor: "), 'Lighting Inventory'!C132))</f>
        <v/>
      </c>
      <c r="D123" s="186" t="str">
        <f>IF(B123="", "", IF('Lighting Inventory'!B132="New Construction",CONCATENATE("Cut Sheet ", 250+'Appendix C'!A123), IF(ISNUMBER(SEARCH("cut sheet", 'Lighting Inventory'!J132)), CONCATENATE("Cut Sheet ", 'Lookup Tables'!AX125), 'Lighting Inventory'!J132)))</f>
        <v/>
      </c>
      <c r="E123" s="26" t="str">
        <f>IF(B123="", "", IF('Lighting Inventory'!B132="New Construction", 1, 'Lighting Inventory'!I132))</f>
        <v/>
      </c>
      <c r="F123" s="26" t="str">
        <f>IF(B123="", "", IF('Lighting Inventory'!B132="New Construction", 'Lighting Inventory'!R132*1000, 'Lighting Inventory'!K132))</f>
        <v/>
      </c>
      <c r="G123" s="26" t="str">
        <f>IF(B123="", "", IF('Lighting Inventory'!M132="", "S_LS", VLOOKUP('Lighting Inventory'!M132, 'Lookup Tables'!$B$142:$D$148, 3, FALSE)))</f>
        <v/>
      </c>
      <c r="H123" s="26" t="str">
        <f>IF(OR('Lighting Inventory'!V132="", 'Lighting Inventory'!W132=""), "", IF('Lighting Inventory'!W132="No Change", 'Lighting Inventory'!J132, CONCATENATE("Cut Sheet ", 'Appendix C'!A123)))</f>
        <v/>
      </c>
      <c r="I123" s="26" t="str">
        <f>IF(H123="", "", IF('Lighting Inventory'!AB132="Yes", "Screw-In", "General"))</f>
        <v/>
      </c>
      <c r="J123" s="26" t="str">
        <f>IF(B123="", "", CONCATENATE('Lighting Inventory'!W132, ", ", 'Lighting Inventory'!AL132, " W"))</f>
        <v/>
      </c>
      <c r="K123" s="26" t="str">
        <f>IF(OR(B123="",'Lighting Inventory'!B132="Retrofit"),"",IF('General Information'!$F$16="Space-by-Space",CONCATENATE('Lighting Inventory'!N132,", ",'Lighting Inventory'!O132," ",'Lighting Inventory'!P132," LPD"," at ",'Lighting Inventory'!Q132,", ",'Lighting Inventory'!R132," kW"),CONCATENATE(B123,", ",'Lighting Inventory'!O132," ",'Lighting Inventory'!P132," LPD"," at ",'Lighting Inventory'!Q132,", ",'Lighting Inventory'!R132," kW")))</f>
        <v/>
      </c>
      <c r="L123" s="26" t="str">
        <f>IF(H123="","",IF('Lighting Inventory'!AK132="","",'Lighting Inventory'!AK132))</f>
        <v/>
      </c>
      <c r="M123" s="26" t="str">
        <f>IF(H123="", "", 'Lighting Inventory'!AL132)</f>
        <v/>
      </c>
      <c r="N123" s="26" t="str">
        <f>IF('Lighting Inventory'!S132="", "", IF('Lighting Inventory'!W132="No Change", 'Lighting Inventory'!I132, 'Lighting Inventory'!S132))</f>
        <v/>
      </c>
      <c r="O123" s="26" t="str">
        <f>IF('Lighting Inventory'!AN132="", "", VLOOKUP('Lighting Inventory'!AN132, 'Lookup Tables'!$B$142:$D$148, 3, FALSE))</f>
        <v/>
      </c>
      <c r="P123" s="66" t="str">
        <f>IF(B123="", "", 'Lighting Inventory'!AX132)</f>
        <v/>
      </c>
      <c r="Q123" s="67" t="str">
        <f>IF(B123="", "", 'Lighting Inventory'!AZ132)</f>
        <v/>
      </c>
      <c r="R123" s="187" t="str">
        <f>IF(OR('Lighting Inventory'!G132="", 'Lighting Inventory'!H132=""), "", 'Lighting Inventory'!BD132)</f>
        <v/>
      </c>
      <c r="S123" s="187" t="str">
        <f>IF(OR('Lighting Inventory'!G132="", 'Lighting Inventory'!H132=""), "",'Lighting Inventory'!BB132)</f>
        <v/>
      </c>
      <c r="T123" s="67" t="str">
        <f>IF(B123="", "", 'Lighting Inventory'!BE132)</f>
        <v/>
      </c>
      <c r="U123" s="67" t="str">
        <f>IF(B123="", "", 'Lighting Inventory'!BF132)</f>
        <v/>
      </c>
      <c r="BM123" s="186" t="str">
        <f t="shared" si="1"/>
        <v>-</v>
      </c>
    </row>
    <row r="124" spans="1:65" x14ac:dyDescent="0.25">
      <c r="A124" s="189">
        <v>123</v>
      </c>
      <c r="B124" s="186" t="str">
        <f>IF('Lighting Inventory'!F133="", "", 'Lighting Inventory'!F133)</f>
        <v/>
      </c>
      <c r="C124" s="26" t="str">
        <f>IF(B124="", "", CONCATENATE("Area: ", 'Lighting Inventory'!D133, ", ", IF('Lighting Inventory'!C133="", "", "Floor: "), 'Lighting Inventory'!C133))</f>
        <v/>
      </c>
      <c r="D124" s="186" t="str">
        <f>IF(B124="", "", IF('Lighting Inventory'!B133="New Construction",CONCATENATE("Cut Sheet ", 250+'Appendix C'!A124), IF(ISNUMBER(SEARCH("cut sheet", 'Lighting Inventory'!J133)), CONCATENATE("Cut Sheet ", 'Lookup Tables'!AX126), 'Lighting Inventory'!J133)))</f>
        <v/>
      </c>
      <c r="E124" s="26" t="str">
        <f>IF(B124="", "", IF('Lighting Inventory'!B133="New Construction", 1, 'Lighting Inventory'!I133))</f>
        <v/>
      </c>
      <c r="F124" s="26" t="str">
        <f>IF(B124="", "", IF('Lighting Inventory'!B133="New Construction", 'Lighting Inventory'!R133*1000, 'Lighting Inventory'!K133))</f>
        <v/>
      </c>
      <c r="G124" s="26" t="str">
        <f>IF(B124="", "", IF('Lighting Inventory'!M133="", "S_LS", VLOOKUP('Lighting Inventory'!M133, 'Lookup Tables'!$B$142:$D$148, 3, FALSE)))</f>
        <v/>
      </c>
      <c r="H124" s="26" t="str">
        <f>IF(OR('Lighting Inventory'!V133="", 'Lighting Inventory'!W133=""), "", IF('Lighting Inventory'!W133="No Change", 'Lighting Inventory'!J133, CONCATENATE("Cut Sheet ", 'Appendix C'!A124)))</f>
        <v/>
      </c>
      <c r="I124" s="26" t="str">
        <f>IF(H124="", "", IF('Lighting Inventory'!AB133="Yes", "Screw-In", "General"))</f>
        <v/>
      </c>
      <c r="J124" s="26" t="str">
        <f>IF(B124="", "", CONCATENATE('Lighting Inventory'!W133, ", ", 'Lighting Inventory'!AL133, " W"))</f>
        <v/>
      </c>
      <c r="K124" s="26" t="str">
        <f>IF(OR(B124="",'Lighting Inventory'!B133="Retrofit"),"",IF('General Information'!$F$16="Space-by-Space",CONCATENATE('Lighting Inventory'!N133,", ",'Lighting Inventory'!O133," ",'Lighting Inventory'!P133," LPD"," at ",'Lighting Inventory'!Q133,", ",'Lighting Inventory'!R133," kW"),CONCATENATE(B124,", ",'Lighting Inventory'!O133," ",'Lighting Inventory'!P133," LPD"," at ",'Lighting Inventory'!Q133,", ",'Lighting Inventory'!R133," kW")))</f>
        <v/>
      </c>
      <c r="L124" s="26" t="str">
        <f>IF(H124="","",IF('Lighting Inventory'!AK133="","",'Lighting Inventory'!AK133))</f>
        <v/>
      </c>
      <c r="M124" s="26" t="str">
        <f>IF(H124="", "", 'Lighting Inventory'!AL133)</f>
        <v/>
      </c>
      <c r="N124" s="26" t="str">
        <f>IF('Lighting Inventory'!S133="", "", IF('Lighting Inventory'!W133="No Change", 'Lighting Inventory'!I133, 'Lighting Inventory'!S133))</f>
        <v/>
      </c>
      <c r="O124" s="26" t="str">
        <f>IF('Lighting Inventory'!AN133="", "", VLOOKUP('Lighting Inventory'!AN133, 'Lookup Tables'!$B$142:$D$148, 3, FALSE))</f>
        <v/>
      </c>
      <c r="P124" s="66" t="str">
        <f>IF(B124="", "", 'Lighting Inventory'!AX133)</f>
        <v/>
      </c>
      <c r="Q124" s="67" t="str">
        <f>IF(B124="", "", 'Lighting Inventory'!AZ133)</f>
        <v/>
      </c>
      <c r="R124" s="187" t="str">
        <f>IF(OR('Lighting Inventory'!G133="", 'Lighting Inventory'!H133=""), "", 'Lighting Inventory'!BD133)</f>
        <v/>
      </c>
      <c r="S124" s="187" t="str">
        <f>IF(OR('Lighting Inventory'!G133="", 'Lighting Inventory'!H133=""), "",'Lighting Inventory'!BB133)</f>
        <v/>
      </c>
      <c r="T124" s="67" t="str">
        <f>IF(B124="", "", 'Lighting Inventory'!BE133)</f>
        <v/>
      </c>
      <c r="U124" s="67" t="str">
        <f>IF(B124="", "", 'Lighting Inventory'!BF133)</f>
        <v/>
      </c>
      <c r="BM124" s="186" t="str">
        <f t="shared" si="1"/>
        <v>-</v>
      </c>
    </row>
    <row r="125" spans="1:65" x14ac:dyDescent="0.25">
      <c r="A125" s="189">
        <v>124</v>
      </c>
      <c r="B125" s="186" t="str">
        <f>IF('Lighting Inventory'!F134="", "", 'Lighting Inventory'!F134)</f>
        <v/>
      </c>
      <c r="C125" s="26" t="str">
        <f>IF(B125="", "", CONCATENATE("Area: ", 'Lighting Inventory'!D134, ", ", IF('Lighting Inventory'!C134="", "", "Floor: "), 'Lighting Inventory'!C134))</f>
        <v/>
      </c>
      <c r="D125" s="186" t="str">
        <f>IF(B125="", "", IF('Lighting Inventory'!B134="New Construction",CONCATENATE("Cut Sheet ", 250+'Appendix C'!A125), IF(ISNUMBER(SEARCH("cut sheet", 'Lighting Inventory'!J134)), CONCATENATE("Cut Sheet ", 'Lookup Tables'!AX127), 'Lighting Inventory'!J134)))</f>
        <v/>
      </c>
      <c r="E125" s="26" t="str">
        <f>IF(B125="", "", IF('Lighting Inventory'!B134="New Construction", 1, 'Lighting Inventory'!I134))</f>
        <v/>
      </c>
      <c r="F125" s="26" t="str">
        <f>IF(B125="", "", IF('Lighting Inventory'!B134="New Construction", 'Lighting Inventory'!R134*1000, 'Lighting Inventory'!K134))</f>
        <v/>
      </c>
      <c r="G125" s="26" t="str">
        <f>IF(B125="", "", IF('Lighting Inventory'!M134="", "S_LS", VLOOKUP('Lighting Inventory'!M134, 'Lookup Tables'!$B$142:$D$148, 3, FALSE)))</f>
        <v/>
      </c>
      <c r="H125" s="26" t="str">
        <f>IF(OR('Lighting Inventory'!V134="", 'Lighting Inventory'!W134=""), "", IF('Lighting Inventory'!W134="No Change", 'Lighting Inventory'!J134, CONCATENATE("Cut Sheet ", 'Appendix C'!A125)))</f>
        <v/>
      </c>
      <c r="I125" s="26" t="str">
        <f>IF(H125="", "", IF('Lighting Inventory'!AB134="Yes", "Screw-In", "General"))</f>
        <v/>
      </c>
      <c r="J125" s="26" t="str">
        <f>IF(B125="", "", CONCATENATE('Lighting Inventory'!W134, ", ", 'Lighting Inventory'!AL134, " W"))</f>
        <v/>
      </c>
      <c r="K125" s="26" t="str">
        <f>IF(OR(B125="",'Lighting Inventory'!B134="Retrofit"),"",IF('General Information'!$F$16="Space-by-Space",CONCATENATE('Lighting Inventory'!N134,", ",'Lighting Inventory'!O134," ",'Lighting Inventory'!P134," LPD"," at ",'Lighting Inventory'!Q134,", ",'Lighting Inventory'!R134," kW"),CONCATENATE(B125,", ",'Lighting Inventory'!O134," ",'Lighting Inventory'!P134," LPD"," at ",'Lighting Inventory'!Q134,", ",'Lighting Inventory'!R134," kW")))</f>
        <v/>
      </c>
      <c r="L125" s="26" t="str">
        <f>IF(H125="","",IF('Lighting Inventory'!AK134="","",'Lighting Inventory'!AK134))</f>
        <v/>
      </c>
      <c r="M125" s="26" t="str">
        <f>IF(H125="", "", 'Lighting Inventory'!AL134)</f>
        <v/>
      </c>
      <c r="N125" s="26" t="str">
        <f>IF('Lighting Inventory'!S134="", "", IF('Lighting Inventory'!W134="No Change", 'Lighting Inventory'!I134, 'Lighting Inventory'!S134))</f>
        <v/>
      </c>
      <c r="O125" s="26" t="str">
        <f>IF('Lighting Inventory'!AN134="", "", VLOOKUP('Lighting Inventory'!AN134, 'Lookup Tables'!$B$142:$D$148, 3, FALSE))</f>
        <v/>
      </c>
      <c r="P125" s="66" t="str">
        <f>IF(B125="", "", 'Lighting Inventory'!AX134)</f>
        <v/>
      </c>
      <c r="Q125" s="67" t="str">
        <f>IF(B125="", "", 'Lighting Inventory'!AZ134)</f>
        <v/>
      </c>
      <c r="R125" s="187" t="str">
        <f>IF(OR('Lighting Inventory'!G134="", 'Lighting Inventory'!H134=""), "", 'Lighting Inventory'!BD134)</f>
        <v/>
      </c>
      <c r="S125" s="187" t="str">
        <f>IF(OR('Lighting Inventory'!G134="", 'Lighting Inventory'!H134=""), "",'Lighting Inventory'!BB134)</f>
        <v/>
      </c>
      <c r="T125" s="67" t="str">
        <f>IF(B125="", "", 'Lighting Inventory'!BE134)</f>
        <v/>
      </c>
      <c r="U125" s="67" t="str">
        <f>IF(B125="", "", 'Lighting Inventory'!BF134)</f>
        <v/>
      </c>
      <c r="BM125" s="186" t="str">
        <f t="shared" si="1"/>
        <v>-</v>
      </c>
    </row>
    <row r="126" spans="1:65" x14ac:dyDescent="0.25">
      <c r="A126" s="189">
        <v>125</v>
      </c>
      <c r="B126" s="186" t="str">
        <f>IF('Lighting Inventory'!F135="", "", 'Lighting Inventory'!F135)</f>
        <v/>
      </c>
      <c r="C126" s="26" t="str">
        <f>IF(B126="", "", CONCATENATE("Area: ", 'Lighting Inventory'!D135, ", ", IF('Lighting Inventory'!C135="", "", "Floor: "), 'Lighting Inventory'!C135))</f>
        <v/>
      </c>
      <c r="D126" s="186" t="str">
        <f>IF(B126="", "", IF('Lighting Inventory'!B135="New Construction",CONCATENATE("Cut Sheet ", 250+'Appendix C'!A126), IF(ISNUMBER(SEARCH("cut sheet", 'Lighting Inventory'!J135)), CONCATENATE("Cut Sheet ", 'Lookup Tables'!AX128), 'Lighting Inventory'!J135)))</f>
        <v/>
      </c>
      <c r="E126" s="26" t="str">
        <f>IF(B126="", "", IF('Lighting Inventory'!B135="New Construction", 1, 'Lighting Inventory'!I135))</f>
        <v/>
      </c>
      <c r="F126" s="26" t="str">
        <f>IF(B126="", "", IF('Lighting Inventory'!B135="New Construction", 'Lighting Inventory'!R135*1000, 'Lighting Inventory'!K135))</f>
        <v/>
      </c>
      <c r="G126" s="26" t="str">
        <f>IF(B126="", "", IF('Lighting Inventory'!M135="", "S_LS", VLOOKUP('Lighting Inventory'!M135, 'Lookup Tables'!$B$142:$D$148, 3, FALSE)))</f>
        <v/>
      </c>
      <c r="H126" s="26" t="str">
        <f>IF(OR('Lighting Inventory'!V135="", 'Lighting Inventory'!W135=""), "", IF('Lighting Inventory'!W135="No Change", 'Lighting Inventory'!J135, CONCATENATE("Cut Sheet ", 'Appendix C'!A126)))</f>
        <v/>
      </c>
      <c r="I126" s="26" t="str">
        <f>IF(H126="", "", IF('Lighting Inventory'!AB135="Yes", "Screw-In", "General"))</f>
        <v/>
      </c>
      <c r="J126" s="26" t="str">
        <f>IF(B126="", "", CONCATENATE('Lighting Inventory'!W135, ", ", 'Lighting Inventory'!AL135, " W"))</f>
        <v/>
      </c>
      <c r="K126" s="26" t="str">
        <f>IF(OR(B126="",'Lighting Inventory'!B135="Retrofit"),"",IF('General Information'!$F$16="Space-by-Space",CONCATENATE('Lighting Inventory'!N135,", ",'Lighting Inventory'!O135," ",'Lighting Inventory'!P135," LPD"," at ",'Lighting Inventory'!Q135,", ",'Lighting Inventory'!R135," kW"),CONCATENATE(B126,", ",'Lighting Inventory'!O135," ",'Lighting Inventory'!P135," LPD"," at ",'Lighting Inventory'!Q135,", ",'Lighting Inventory'!R135," kW")))</f>
        <v/>
      </c>
      <c r="L126" s="26" t="str">
        <f>IF(H126="","",IF('Lighting Inventory'!AK135="","",'Lighting Inventory'!AK135))</f>
        <v/>
      </c>
      <c r="M126" s="26" t="str">
        <f>IF(H126="", "", 'Lighting Inventory'!AL135)</f>
        <v/>
      </c>
      <c r="N126" s="26" t="str">
        <f>IF('Lighting Inventory'!S135="", "", IF('Lighting Inventory'!W135="No Change", 'Lighting Inventory'!I135, 'Lighting Inventory'!S135))</f>
        <v/>
      </c>
      <c r="O126" s="26" t="str">
        <f>IF('Lighting Inventory'!AN135="", "", VLOOKUP('Lighting Inventory'!AN135, 'Lookup Tables'!$B$142:$D$148, 3, FALSE))</f>
        <v/>
      </c>
      <c r="P126" s="66" t="str">
        <f>IF(B126="", "", 'Lighting Inventory'!AX135)</f>
        <v/>
      </c>
      <c r="Q126" s="67" t="str">
        <f>IF(B126="", "", 'Lighting Inventory'!AZ135)</f>
        <v/>
      </c>
      <c r="R126" s="187" t="str">
        <f>IF(OR('Lighting Inventory'!G135="", 'Lighting Inventory'!H135=""), "", 'Lighting Inventory'!BD135)</f>
        <v/>
      </c>
      <c r="S126" s="187" t="str">
        <f>IF(OR('Lighting Inventory'!G135="", 'Lighting Inventory'!H135=""), "",'Lighting Inventory'!BB135)</f>
        <v/>
      </c>
      <c r="T126" s="67" t="str">
        <f>IF(B126="", "", 'Lighting Inventory'!BE135)</f>
        <v/>
      </c>
      <c r="U126" s="67" t="str">
        <f>IF(B126="", "", 'Lighting Inventory'!BF135)</f>
        <v/>
      </c>
      <c r="BM126" s="186" t="str">
        <f t="shared" si="1"/>
        <v>-</v>
      </c>
    </row>
    <row r="127" spans="1:65" x14ac:dyDescent="0.25">
      <c r="A127" s="189">
        <v>126</v>
      </c>
      <c r="B127" s="186" t="str">
        <f>IF('Lighting Inventory'!F136="", "", 'Lighting Inventory'!F136)</f>
        <v/>
      </c>
      <c r="C127" s="26" t="str">
        <f>IF(B127="", "", CONCATENATE("Area: ", 'Lighting Inventory'!D136, ", ", IF('Lighting Inventory'!C136="", "", "Floor: "), 'Lighting Inventory'!C136))</f>
        <v/>
      </c>
      <c r="D127" s="186" t="str">
        <f>IF(B127="", "", IF('Lighting Inventory'!B136="New Construction",CONCATENATE("Cut Sheet ", 250+'Appendix C'!A127), IF(ISNUMBER(SEARCH("cut sheet", 'Lighting Inventory'!J136)), CONCATENATE("Cut Sheet ", 'Lookup Tables'!AX129), 'Lighting Inventory'!J136)))</f>
        <v/>
      </c>
      <c r="E127" s="26" t="str">
        <f>IF(B127="", "", IF('Lighting Inventory'!B136="New Construction", 1, 'Lighting Inventory'!I136))</f>
        <v/>
      </c>
      <c r="F127" s="26" t="str">
        <f>IF(B127="", "", IF('Lighting Inventory'!B136="New Construction", 'Lighting Inventory'!R136*1000, 'Lighting Inventory'!K136))</f>
        <v/>
      </c>
      <c r="G127" s="26" t="str">
        <f>IF(B127="", "", IF('Lighting Inventory'!M136="", "S_LS", VLOOKUP('Lighting Inventory'!M136, 'Lookup Tables'!$B$142:$D$148, 3, FALSE)))</f>
        <v/>
      </c>
      <c r="H127" s="26" t="str">
        <f>IF(OR('Lighting Inventory'!V136="", 'Lighting Inventory'!W136=""), "", IF('Lighting Inventory'!W136="No Change", 'Lighting Inventory'!J136, CONCATENATE("Cut Sheet ", 'Appendix C'!A127)))</f>
        <v/>
      </c>
      <c r="I127" s="26" t="str">
        <f>IF(H127="", "", IF('Lighting Inventory'!AB136="Yes", "Screw-In", "General"))</f>
        <v/>
      </c>
      <c r="J127" s="26" t="str">
        <f>IF(B127="", "", CONCATENATE('Lighting Inventory'!W136, ", ", 'Lighting Inventory'!AL136, " W"))</f>
        <v/>
      </c>
      <c r="K127" s="26" t="str">
        <f>IF(OR(B127="",'Lighting Inventory'!B136="Retrofit"),"",IF('General Information'!$F$16="Space-by-Space",CONCATENATE('Lighting Inventory'!N136,", ",'Lighting Inventory'!O136," ",'Lighting Inventory'!P136," LPD"," at ",'Lighting Inventory'!Q136,", ",'Lighting Inventory'!R136," kW"),CONCATENATE(B127,", ",'Lighting Inventory'!O136," ",'Lighting Inventory'!P136," LPD"," at ",'Lighting Inventory'!Q136,", ",'Lighting Inventory'!R136," kW")))</f>
        <v/>
      </c>
      <c r="L127" s="26" t="str">
        <f>IF(H127="","",IF('Lighting Inventory'!AK136="","",'Lighting Inventory'!AK136))</f>
        <v/>
      </c>
      <c r="M127" s="26" t="str">
        <f>IF(H127="", "", 'Lighting Inventory'!AL136)</f>
        <v/>
      </c>
      <c r="N127" s="26" t="str">
        <f>IF('Lighting Inventory'!S136="", "", IF('Lighting Inventory'!W136="No Change", 'Lighting Inventory'!I136, 'Lighting Inventory'!S136))</f>
        <v/>
      </c>
      <c r="O127" s="26" t="str">
        <f>IF('Lighting Inventory'!AN136="", "", VLOOKUP('Lighting Inventory'!AN136, 'Lookup Tables'!$B$142:$D$148, 3, FALSE))</f>
        <v/>
      </c>
      <c r="P127" s="66" t="str">
        <f>IF(B127="", "", 'Lighting Inventory'!AX136)</f>
        <v/>
      </c>
      <c r="Q127" s="67" t="str">
        <f>IF(B127="", "", 'Lighting Inventory'!AZ136)</f>
        <v/>
      </c>
      <c r="R127" s="187" t="str">
        <f>IF(OR('Lighting Inventory'!G136="", 'Lighting Inventory'!H136=""), "", 'Lighting Inventory'!BD136)</f>
        <v/>
      </c>
      <c r="S127" s="187" t="str">
        <f>IF(OR('Lighting Inventory'!G136="", 'Lighting Inventory'!H136=""), "",'Lighting Inventory'!BB136)</f>
        <v/>
      </c>
      <c r="T127" s="67" t="str">
        <f>IF(B127="", "", 'Lighting Inventory'!BE136)</f>
        <v/>
      </c>
      <c r="U127" s="67" t="str">
        <f>IF(B127="", "", 'Lighting Inventory'!BF136)</f>
        <v/>
      </c>
      <c r="BM127" s="186" t="str">
        <f t="shared" si="1"/>
        <v>-</v>
      </c>
    </row>
    <row r="128" spans="1:65" x14ac:dyDescent="0.25">
      <c r="A128" s="189">
        <v>127</v>
      </c>
      <c r="B128" s="186" t="str">
        <f>IF('Lighting Inventory'!F137="", "", 'Lighting Inventory'!F137)</f>
        <v/>
      </c>
      <c r="C128" s="26" t="str">
        <f>IF(B128="", "", CONCATENATE("Area: ", 'Lighting Inventory'!D137, ", ", IF('Lighting Inventory'!C137="", "", "Floor: "), 'Lighting Inventory'!C137))</f>
        <v/>
      </c>
      <c r="D128" s="186" t="str">
        <f>IF(B128="", "", IF('Lighting Inventory'!B137="New Construction",CONCATENATE("Cut Sheet ", 250+'Appendix C'!A128), IF(ISNUMBER(SEARCH("cut sheet", 'Lighting Inventory'!J137)), CONCATENATE("Cut Sheet ", 'Lookup Tables'!AX130), 'Lighting Inventory'!J137)))</f>
        <v/>
      </c>
      <c r="E128" s="26" t="str">
        <f>IF(B128="", "", IF('Lighting Inventory'!B137="New Construction", 1, 'Lighting Inventory'!I137))</f>
        <v/>
      </c>
      <c r="F128" s="26" t="str">
        <f>IF(B128="", "", IF('Lighting Inventory'!B137="New Construction", 'Lighting Inventory'!R137*1000, 'Lighting Inventory'!K137))</f>
        <v/>
      </c>
      <c r="G128" s="26" t="str">
        <f>IF(B128="", "", IF('Lighting Inventory'!M137="", "S_LS", VLOOKUP('Lighting Inventory'!M137, 'Lookup Tables'!$B$142:$D$148, 3, FALSE)))</f>
        <v/>
      </c>
      <c r="H128" s="26" t="str">
        <f>IF(OR('Lighting Inventory'!V137="", 'Lighting Inventory'!W137=""), "", IF('Lighting Inventory'!W137="No Change", 'Lighting Inventory'!J137, CONCATENATE("Cut Sheet ", 'Appendix C'!A128)))</f>
        <v/>
      </c>
      <c r="I128" s="26" t="str">
        <f>IF(H128="", "", IF('Lighting Inventory'!AB137="Yes", "Screw-In", "General"))</f>
        <v/>
      </c>
      <c r="J128" s="26" t="str">
        <f>IF(B128="", "", CONCATENATE('Lighting Inventory'!W137, ", ", 'Lighting Inventory'!AL137, " W"))</f>
        <v/>
      </c>
      <c r="K128" s="26" t="str">
        <f>IF(OR(B128="",'Lighting Inventory'!B137="Retrofit"),"",IF('General Information'!$F$16="Space-by-Space",CONCATENATE('Lighting Inventory'!N137,", ",'Lighting Inventory'!O137," ",'Lighting Inventory'!P137," LPD"," at ",'Lighting Inventory'!Q137,", ",'Lighting Inventory'!R137," kW"),CONCATENATE(B128,", ",'Lighting Inventory'!O137," ",'Lighting Inventory'!P137," LPD"," at ",'Lighting Inventory'!Q137,", ",'Lighting Inventory'!R137," kW")))</f>
        <v/>
      </c>
      <c r="L128" s="26" t="str">
        <f>IF(H128="","",IF('Lighting Inventory'!AK137="","",'Lighting Inventory'!AK137))</f>
        <v/>
      </c>
      <c r="M128" s="26" t="str">
        <f>IF(H128="", "", 'Lighting Inventory'!AL137)</f>
        <v/>
      </c>
      <c r="N128" s="26" t="str">
        <f>IF('Lighting Inventory'!S137="", "", IF('Lighting Inventory'!W137="No Change", 'Lighting Inventory'!I137, 'Lighting Inventory'!S137))</f>
        <v/>
      </c>
      <c r="O128" s="26" t="str">
        <f>IF('Lighting Inventory'!AN137="", "", VLOOKUP('Lighting Inventory'!AN137, 'Lookup Tables'!$B$142:$D$148, 3, FALSE))</f>
        <v/>
      </c>
      <c r="P128" s="66" t="str">
        <f>IF(B128="", "", 'Lighting Inventory'!AX137)</f>
        <v/>
      </c>
      <c r="Q128" s="67" t="str">
        <f>IF(B128="", "", 'Lighting Inventory'!AZ137)</f>
        <v/>
      </c>
      <c r="R128" s="187" t="str">
        <f>IF(OR('Lighting Inventory'!G137="", 'Lighting Inventory'!H137=""), "", 'Lighting Inventory'!BD137)</f>
        <v/>
      </c>
      <c r="S128" s="187" t="str">
        <f>IF(OR('Lighting Inventory'!G137="", 'Lighting Inventory'!H137=""), "",'Lighting Inventory'!BB137)</f>
        <v/>
      </c>
      <c r="T128" s="67" t="str">
        <f>IF(B128="", "", 'Lighting Inventory'!BE137)</f>
        <v/>
      </c>
      <c r="U128" s="67" t="str">
        <f>IF(B128="", "", 'Lighting Inventory'!BF137)</f>
        <v/>
      </c>
      <c r="BM128" s="186" t="str">
        <f t="shared" si="1"/>
        <v>-</v>
      </c>
    </row>
    <row r="129" spans="1:65" x14ac:dyDescent="0.25">
      <c r="A129" s="189">
        <v>128</v>
      </c>
      <c r="B129" s="186" t="str">
        <f>IF('Lighting Inventory'!F138="", "", 'Lighting Inventory'!F138)</f>
        <v/>
      </c>
      <c r="C129" s="26" t="str">
        <f>IF(B129="", "", CONCATENATE("Area: ", 'Lighting Inventory'!D138, ", ", IF('Lighting Inventory'!C138="", "", "Floor: "), 'Lighting Inventory'!C138))</f>
        <v/>
      </c>
      <c r="D129" s="186" t="str">
        <f>IF(B129="", "", IF('Lighting Inventory'!B138="New Construction",CONCATENATE("Cut Sheet ", 250+'Appendix C'!A129), IF(ISNUMBER(SEARCH("cut sheet", 'Lighting Inventory'!J138)), CONCATENATE("Cut Sheet ", 'Lookup Tables'!AX131), 'Lighting Inventory'!J138)))</f>
        <v/>
      </c>
      <c r="E129" s="26" t="str">
        <f>IF(B129="", "", IF('Lighting Inventory'!B138="New Construction", 1, 'Lighting Inventory'!I138))</f>
        <v/>
      </c>
      <c r="F129" s="26" t="str">
        <f>IF(B129="", "", IF('Lighting Inventory'!B138="New Construction", 'Lighting Inventory'!R138*1000, 'Lighting Inventory'!K138))</f>
        <v/>
      </c>
      <c r="G129" s="26" t="str">
        <f>IF(B129="", "", IF('Lighting Inventory'!M138="", "S_LS", VLOOKUP('Lighting Inventory'!M138, 'Lookup Tables'!$B$142:$D$148, 3, FALSE)))</f>
        <v/>
      </c>
      <c r="H129" s="26" t="str">
        <f>IF(OR('Lighting Inventory'!V138="", 'Lighting Inventory'!W138=""), "", IF('Lighting Inventory'!W138="No Change", 'Lighting Inventory'!J138, CONCATENATE("Cut Sheet ", 'Appendix C'!A129)))</f>
        <v/>
      </c>
      <c r="I129" s="26" t="str">
        <f>IF(H129="", "", IF('Lighting Inventory'!AB138="Yes", "Screw-In", "General"))</f>
        <v/>
      </c>
      <c r="J129" s="26" t="str">
        <f>IF(B129="", "", CONCATENATE('Lighting Inventory'!W138, ", ", 'Lighting Inventory'!AL138, " W"))</f>
        <v/>
      </c>
      <c r="K129" s="26" t="str">
        <f>IF(OR(B129="",'Lighting Inventory'!B138="Retrofit"),"",IF('General Information'!$F$16="Space-by-Space",CONCATENATE('Lighting Inventory'!N138,", ",'Lighting Inventory'!O138," ",'Lighting Inventory'!P138," LPD"," at ",'Lighting Inventory'!Q138,", ",'Lighting Inventory'!R138," kW"),CONCATENATE(B129,", ",'Lighting Inventory'!O138," ",'Lighting Inventory'!P138," LPD"," at ",'Lighting Inventory'!Q138,", ",'Lighting Inventory'!R138," kW")))</f>
        <v/>
      </c>
      <c r="L129" s="26" t="str">
        <f>IF(H129="","",IF('Lighting Inventory'!AK138="","",'Lighting Inventory'!AK138))</f>
        <v/>
      </c>
      <c r="M129" s="26" t="str">
        <f>IF(H129="", "", 'Lighting Inventory'!AL138)</f>
        <v/>
      </c>
      <c r="N129" s="26" t="str">
        <f>IF('Lighting Inventory'!S138="", "", IF('Lighting Inventory'!W138="No Change", 'Lighting Inventory'!I138, 'Lighting Inventory'!S138))</f>
        <v/>
      </c>
      <c r="O129" s="26" t="str">
        <f>IF('Lighting Inventory'!AN138="", "", VLOOKUP('Lighting Inventory'!AN138, 'Lookup Tables'!$B$142:$D$148, 3, FALSE))</f>
        <v/>
      </c>
      <c r="P129" s="66" t="str">
        <f>IF(B129="", "", 'Lighting Inventory'!AX138)</f>
        <v/>
      </c>
      <c r="Q129" s="67" t="str">
        <f>IF(B129="", "", 'Lighting Inventory'!AZ138)</f>
        <v/>
      </c>
      <c r="R129" s="187" t="str">
        <f>IF(OR('Lighting Inventory'!G138="", 'Lighting Inventory'!H138=""), "", 'Lighting Inventory'!BD138)</f>
        <v/>
      </c>
      <c r="S129" s="187" t="str">
        <f>IF(OR('Lighting Inventory'!G138="", 'Lighting Inventory'!H138=""), "",'Lighting Inventory'!BB138)</f>
        <v/>
      </c>
      <c r="T129" s="67" t="str">
        <f>IF(B129="", "", 'Lighting Inventory'!BE138)</f>
        <v/>
      </c>
      <c r="U129" s="67" t="str">
        <f>IF(B129="", "", 'Lighting Inventory'!BF138)</f>
        <v/>
      </c>
      <c r="BM129" s="186" t="str">
        <f t="shared" si="1"/>
        <v>-</v>
      </c>
    </row>
    <row r="130" spans="1:65" x14ac:dyDescent="0.25">
      <c r="A130" s="189">
        <v>129</v>
      </c>
      <c r="B130" s="186" t="str">
        <f>IF('Lighting Inventory'!F139="", "", 'Lighting Inventory'!F139)</f>
        <v/>
      </c>
      <c r="C130" s="26" t="str">
        <f>IF(B130="", "", CONCATENATE("Area: ", 'Lighting Inventory'!D139, ", ", IF('Lighting Inventory'!C139="", "", "Floor: "), 'Lighting Inventory'!C139))</f>
        <v/>
      </c>
      <c r="D130" s="186" t="str">
        <f>IF(B130="", "", IF('Lighting Inventory'!B139="New Construction",CONCATENATE("Cut Sheet ", 250+'Appendix C'!A130), IF(ISNUMBER(SEARCH("cut sheet", 'Lighting Inventory'!J139)), CONCATENATE("Cut Sheet ", 'Lookup Tables'!AX132), 'Lighting Inventory'!J139)))</f>
        <v/>
      </c>
      <c r="E130" s="26" t="str">
        <f>IF(B130="", "", IF('Lighting Inventory'!B139="New Construction", 1, 'Lighting Inventory'!I139))</f>
        <v/>
      </c>
      <c r="F130" s="26" t="str">
        <f>IF(B130="", "", IF('Lighting Inventory'!B139="New Construction", 'Lighting Inventory'!R139*1000, 'Lighting Inventory'!K139))</f>
        <v/>
      </c>
      <c r="G130" s="26" t="str">
        <f>IF(B130="", "", IF('Lighting Inventory'!M139="", "S_LS", VLOOKUP('Lighting Inventory'!M139, 'Lookup Tables'!$B$142:$D$148, 3, FALSE)))</f>
        <v/>
      </c>
      <c r="H130" s="26" t="str">
        <f>IF(OR('Lighting Inventory'!V139="", 'Lighting Inventory'!W139=""), "", IF('Lighting Inventory'!W139="No Change", 'Lighting Inventory'!J139, CONCATENATE("Cut Sheet ", 'Appendix C'!A130)))</f>
        <v/>
      </c>
      <c r="I130" s="26" t="str">
        <f>IF(H130="", "", IF('Lighting Inventory'!AB139="Yes", "Screw-In", "General"))</f>
        <v/>
      </c>
      <c r="J130" s="26" t="str">
        <f>IF(B130="", "", CONCATENATE('Lighting Inventory'!W139, ", ", 'Lighting Inventory'!AL139, " W"))</f>
        <v/>
      </c>
      <c r="K130" s="26" t="str">
        <f>IF(OR(B130="",'Lighting Inventory'!B139="Retrofit"),"",IF('General Information'!$F$16="Space-by-Space",CONCATENATE('Lighting Inventory'!N139,", ",'Lighting Inventory'!O139," ",'Lighting Inventory'!P139," LPD"," at ",'Lighting Inventory'!Q139,", ",'Lighting Inventory'!R139," kW"),CONCATENATE(B130,", ",'Lighting Inventory'!O139," ",'Lighting Inventory'!P139," LPD"," at ",'Lighting Inventory'!Q139,", ",'Lighting Inventory'!R139," kW")))</f>
        <v/>
      </c>
      <c r="L130" s="26" t="str">
        <f>IF(H130="","",IF('Lighting Inventory'!AK139="","",'Lighting Inventory'!AK139))</f>
        <v/>
      </c>
      <c r="M130" s="26" t="str">
        <f>IF(H130="", "", 'Lighting Inventory'!AL139)</f>
        <v/>
      </c>
      <c r="N130" s="26" t="str">
        <f>IF('Lighting Inventory'!S139="", "", IF('Lighting Inventory'!W139="No Change", 'Lighting Inventory'!I139, 'Lighting Inventory'!S139))</f>
        <v/>
      </c>
      <c r="O130" s="26" t="str">
        <f>IF('Lighting Inventory'!AN139="", "", VLOOKUP('Lighting Inventory'!AN139, 'Lookup Tables'!$B$142:$D$148, 3, FALSE))</f>
        <v/>
      </c>
      <c r="P130" s="66" t="str">
        <f>IF(B130="", "", 'Lighting Inventory'!AX139)</f>
        <v/>
      </c>
      <c r="Q130" s="67" t="str">
        <f>IF(B130="", "", 'Lighting Inventory'!AZ139)</f>
        <v/>
      </c>
      <c r="R130" s="187" t="str">
        <f>IF(OR('Lighting Inventory'!G139="", 'Lighting Inventory'!H139=""), "", 'Lighting Inventory'!BD139)</f>
        <v/>
      </c>
      <c r="S130" s="187" t="str">
        <f>IF(OR('Lighting Inventory'!G139="", 'Lighting Inventory'!H139=""), "",'Lighting Inventory'!BB139)</f>
        <v/>
      </c>
      <c r="T130" s="67" t="str">
        <f>IF(B130="", "", 'Lighting Inventory'!BE139)</f>
        <v/>
      </c>
      <c r="U130" s="67" t="str">
        <f>IF(B130="", "", 'Lighting Inventory'!BF139)</f>
        <v/>
      </c>
      <c r="BM130" s="186" t="str">
        <f t="shared" si="1"/>
        <v>-</v>
      </c>
    </row>
    <row r="131" spans="1:65" x14ac:dyDescent="0.25">
      <c r="A131" s="189">
        <v>130</v>
      </c>
      <c r="B131" s="186" t="str">
        <f>IF('Lighting Inventory'!F140="", "", 'Lighting Inventory'!F140)</f>
        <v/>
      </c>
      <c r="C131" s="26" t="str">
        <f>IF(B131="", "", CONCATENATE("Area: ", 'Lighting Inventory'!D140, ", ", IF('Lighting Inventory'!C140="", "", "Floor: "), 'Lighting Inventory'!C140))</f>
        <v/>
      </c>
      <c r="D131" s="186" t="str">
        <f>IF(B131="", "", IF('Lighting Inventory'!B140="New Construction",CONCATENATE("Cut Sheet ", 250+'Appendix C'!A131), IF(ISNUMBER(SEARCH("cut sheet", 'Lighting Inventory'!J140)), CONCATENATE("Cut Sheet ", 'Lookup Tables'!AX133), 'Lighting Inventory'!J140)))</f>
        <v/>
      </c>
      <c r="E131" s="26" t="str">
        <f>IF(B131="", "", IF('Lighting Inventory'!B140="New Construction", 1, 'Lighting Inventory'!I140))</f>
        <v/>
      </c>
      <c r="F131" s="26" t="str">
        <f>IF(B131="", "", IF('Lighting Inventory'!B140="New Construction", 'Lighting Inventory'!R140*1000, 'Lighting Inventory'!K140))</f>
        <v/>
      </c>
      <c r="G131" s="26" t="str">
        <f>IF(B131="", "", IF('Lighting Inventory'!M140="", "S_LS", VLOOKUP('Lighting Inventory'!M140, 'Lookup Tables'!$B$142:$D$148, 3, FALSE)))</f>
        <v/>
      </c>
      <c r="H131" s="26" t="str">
        <f>IF(OR('Lighting Inventory'!V140="", 'Lighting Inventory'!W140=""), "", IF('Lighting Inventory'!W140="No Change", 'Lighting Inventory'!J140, CONCATENATE("Cut Sheet ", 'Appendix C'!A131)))</f>
        <v/>
      </c>
      <c r="I131" s="26" t="str">
        <f>IF(H131="", "", IF('Lighting Inventory'!AB140="Yes", "Screw-In", "General"))</f>
        <v/>
      </c>
      <c r="J131" s="26" t="str">
        <f>IF(B131="", "", CONCATENATE('Lighting Inventory'!W140, ", ", 'Lighting Inventory'!AL140, " W"))</f>
        <v/>
      </c>
      <c r="K131" s="26" t="str">
        <f>IF(OR(B131="",'Lighting Inventory'!B140="Retrofit"),"",IF('General Information'!$F$16="Space-by-Space",CONCATENATE('Lighting Inventory'!N140,", ",'Lighting Inventory'!O140," ",'Lighting Inventory'!P140," LPD"," at ",'Lighting Inventory'!Q140,", ",'Lighting Inventory'!R140," kW"),CONCATENATE(B131,", ",'Lighting Inventory'!O140," ",'Lighting Inventory'!P140," LPD"," at ",'Lighting Inventory'!Q140,", ",'Lighting Inventory'!R140," kW")))</f>
        <v/>
      </c>
      <c r="L131" s="26" t="str">
        <f>IF(H131="","",IF('Lighting Inventory'!AK140="","",'Lighting Inventory'!AK140))</f>
        <v/>
      </c>
      <c r="M131" s="26" t="str">
        <f>IF(H131="", "", 'Lighting Inventory'!AL140)</f>
        <v/>
      </c>
      <c r="N131" s="26" t="str">
        <f>IF('Lighting Inventory'!S140="", "", IF('Lighting Inventory'!W140="No Change", 'Lighting Inventory'!I140, 'Lighting Inventory'!S140))</f>
        <v/>
      </c>
      <c r="O131" s="26" t="str">
        <f>IF('Lighting Inventory'!AN140="", "", VLOOKUP('Lighting Inventory'!AN140, 'Lookup Tables'!$B$142:$D$148, 3, FALSE))</f>
        <v/>
      </c>
      <c r="P131" s="66" t="str">
        <f>IF(B131="", "", 'Lighting Inventory'!AX140)</f>
        <v/>
      </c>
      <c r="Q131" s="67" t="str">
        <f>IF(B131="", "", 'Lighting Inventory'!AZ140)</f>
        <v/>
      </c>
      <c r="R131" s="187" t="str">
        <f>IF(OR('Lighting Inventory'!G140="", 'Lighting Inventory'!H140=""), "", 'Lighting Inventory'!BD140)</f>
        <v/>
      </c>
      <c r="S131" s="187" t="str">
        <f>IF(OR('Lighting Inventory'!G140="", 'Lighting Inventory'!H140=""), "",'Lighting Inventory'!BB140)</f>
        <v/>
      </c>
      <c r="T131" s="67" t="str">
        <f>IF(B131="", "", 'Lighting Inventory'!BE140)</f>
        <v/>
      </c>
      <c r="U131" s="67" t="str">
        <f>IF(B131="", "", 'Lighting Inventory'!BF140)</f>
        <v/>
      </c>
      <c r="BM131" s="186" t="str">
        <f t="shared" ref="BM131:BM194" si="2">IF(ISNUMBER(SEARCH("cut sheet", D131, 1)),D131, "-")</f>
        <v>-</v>
      </c>
    </row>
    <row r="132" spans="1:65" x14ac:dyDescent="0.25">
      <c r="A132" s="189">
        <v>131</v>
      </c>
      <c r="B132" s="186" t="str">
        <f>IF('Lighting Inventory'!F141="", "", 'Lighting Inventory'!F141)</f>
        <v/>
      </c>
      <c r="C132" s="26" t="str">
        <f>IF(B132="", "", CONCATENATE("Area: ", 'Lighting Inventory'!D141, ", ", IF('Lighting Inventory'!C141="", "", "Floor: "), 'Lighting Inventory'!C141))</f>
        <v/>
      </c>
      <c r="D132" s="186" t="str">
        <f>IF(B132="", "", IF('Lighting Inventory'!B141="New Construction",CONCATENATE("Cut Sheet ", 250+'Appendix C'!A132), IF(ISNUMBER(SEARCH("cut sheet", 'Lighting Inventory'!J141)), CONCATENATE("Cut Sheet ", 'Lookup Tables'!AX134), 'Lighting Inventory'!J141)))</f>
        <v/>
      </c>
      <c r="E132" s="26" t="str">
        <f>IF(B132="", "", IF('Lighting Inventory'!B141="New Construction", 1, 'Lighting Inventory'!I141))</f>
        <v/>
      </c>
      <c r="F132" s="26" t="str">
        <f>IF(B132="", "", IF('Lighting Inventory'!B141="New Construction", 'Lighting Inventory'!R141*1000, 'Lighting Inventory'!K141))</f>
        <v/>
      </c>
      <c r="G132" s="26" t="str">
        <f>IF(B132="", "", IF('Lighting Inventory'!M141="", "S_LS", VLOOKUP('Lighting Inventory'!M141, 'Lookup Tables'!$B$142:$D$148, 3, FALSE)))</f>
        <v/>
      </c>
      <c r="H132" s="26" t="str">
        <f>IF(OR('Lighting Inventory'!V141="", 'Lighting Inventory'!W141=""), "", IF('Lighting Inventory'!W141="No Change", 'Lighting Inventory'!J141, CONCATENATE("Cut Sheet ", 'Appendix C'!A132)))</f>
        <v/>
      </c>
      <c r="I132" s="26" t="str">
        <f>IF(H132="", "", IF('Lighting Inventory'!AB141="Yes", "Screw-In", "General"))</f>
        <v/>
      </c>
      <c r="J132" s="26" t="str">
        <f>IF(B132="", "", CONCATENATE('Lighting Inventory'!W141, ", ", 'Lighting Inventory'!AL141, " W"))</f>
        <v/>
      </c>
      <c r="K132" s="26" t="str">
        <f>IF(OR(B132="",'Lighting Inventory'!B141="Retrofit"),"",IF('General Information'!$F$16="Space-by-Space",CONCATENATE('Lighting Inventory'!N141,", ",'Lighting Inventory'!O141," ",'Lighting Inventory'!P141," LPD"," at ",'Lighting Inventory'!Q141,", ",'Lighting Inventory'!R141," kW"),CONCATENATE(B132,", ",'Lighting Inventory'!O141," ",'Lighting Inventory'!P141," LPD"," at ",'Lighting Inventory'!Q141,", ",'Lighting Inventory'!R141," kW")))</f>
        <v/>
      </c>
      <c r="L132" s="26" t="str">
        <f>IF(H132="","",IF('Lighting Inventory'!AK141="","",'Lighting Inventory'!AK141))</f>
        <v/>
      </c>
      <c r="M132" s="26" t="str">
        <f>IF(H132="", "", 'Lighting Inventory'!AL141)</f>
        <v/>
      </c>
      <c r="N132" s="26" t="str">
        <f>IF('Lighting Inventory'!S141="", "", IF('Lighting Inventory'!W141="No Change", 'Lighting Inventory'!I141, 'Lighting Inventory'!S141))</f>
        <v/>
      </c>
      <c r="O132" s="26" t="str">
        <f>IF('Lighting Inventory'!AN141="", "", VLOOKUP('Lighting Inventory'!AN141, 'Lookup Tables'!$B$142:$D$148, 3, FALSE))</f>
        <v/>
      </c>
      <c r="P132" s="66" t="str">
        <f>IF(B132="", "", 'Lighting Inventory'!AX141)</f>
        <v/>
      </c>
      <c r="Q132" s="67" t="str">
        <f>IF(B132="", "", 'Lighting Inventory'!AZ141)</f>
        <v/>
      </c>
      <c r="R132" s="187" t="str">
        <f>IF(OR('Lighting Inventory'!G141="", 'Lighting Inventory'!H141=""), "", 'Lighting Inventory'!BD141)</f>
        <v/>
      </c>
      <c r="S132" s="187" t="str">
        <f>IF(OR('Lighting Inventory'!G141="", 'Lighting Inventory'!H141=""), "",'Lighting Inventory'!BB141)</f>
        <v/>
      </c>
      <c r="T132" s="67" t="str">
        <f>IF(B132="", "", 'Lighting Inventory'!BE141)</f>
        <v/>
      </c>
      <c r="U132" s="67" t="str">
        <f>IF(B132="", "", 'Lighting Inventory'!BF141)</f>
        <v/>
      </c>
      <c r="BM132" s="186" t="str">
        <f t="shared" si="2"/>
        <v>-</v>
      </c>
    </row>
    <row r="133" spans="1:65" x14ac:dyDescent="0.25">
      <c r="A133" s="189">
        <v>132</v>
      </c>
      <c r="B133" s="186" t="str">
        <f>IF('Lighting Inventory'!F142="", "", 'Lighting Inventory'!F142)</f>
        <v/>
      </c>
      <c r="C133" s="26" t="str">
        <f>IF(B133="", "", CONCATENATE("Area: ", 'Lighting Inventory'!D142, ", ", IF('Lighting Inventory'!C142="", "", "Floor: "), 'Lighting Inventory'!C142))</f>
        <v/>
      </c>
      <c r="D133" s="186" t="str">
        <f>IF(B133="", "", IF('Lighting Inventory'!B142="New Construction",CONCATENATE("Cut Sheet ", 250+'Appendix C'!A133), IF(ISNUMBER(SEARCH("cut sheet", 'Lighting Inventory'!J142)), CONCATENATE("Cut Sheet ", 'Lookup Tables'!AX135), 'Lighting Inventory'!J142)))</f>
        <v/>
      </c>
      <c r="E133" s="26" t="str">
        <f>IF(B133="", "", IF('Lighting Inventory'!B142="New Construction", 1, 'Lighting Inventory'!I142))</f>
        <v/>
      </c>
      <c r="F133" s="26" t="str">
        <f>IF(B133="", "", IF('Lighting Inventory'!B142="New Construction", 'Lighting Inventory'!R142*1000, 'Lighting Inventory'!K142))</f>
        <v/>
      </c>
      <c r="G133" s="26" t="str">
        <f>IF(B133="", "", IF('Lighting Inventory'!M142="", "S_LS", VLOOKUP('Lighting Inventory'!M142, 'Lookup Tables'!$B$142:$D$148, 3, FALSE)))</f>
        <v/>
      </c>
      <c r="H133" s="26" t="str">
        <f>IF(OR('Lighting Inventory'!V142="", 'Lighting Inventory'!W142=""), "", IF('Lighting Inventory'!W142="No Change", 'Lighting Inventory'!J142, CONCATENATE("Cut Sheet ", 'Appendix C'!A133)))</f>
        <v/>
      </c>
      <c r="I133" s="26" t="str">
        <f>IF(H133="", "", IF('Lighting Inventory'!AB142="Yes", "Screw-In", "General"))</f>
        <v/>
      </c>
      <c r="J133" s="26" t="str">
        <f>IF(B133="", "", CONCATENATE('Lighting Inventory'!W142, ", ", 'Lighting Inventory'!AL142, " W"))</f>
        <v/>
      </c>
      <c r="K133" s="26" t="str">
        <f>IF(OR(B133="",'Lighting Inventory'!B142="Retrofit"),"",IF('General Information'!$F$16="Space-by-Space",CONCATENATE('Lighting Inventory'!N142,", ",'Lighting Inventory'!O142," ",'Lighting Inventory'!P142," LPD"," at ",'Lighting Inventory'!Q142,", ",'Lighting Inventory'!R142," kW"),CONCATENATE(B133,", ",'Lighting Inventory'!O142," ",'Lighting Inventory'!P142," LPD"," at ",'Lighting Inventory'!Q142,", ",'Lighting Inventory'!R142," kW")))</f>
        <v/>
      </c>
      <c r="L133" s="26" t="str">
        <f>IF(H133="","",IF('Lighting Inventory'!AK142="","",'Lighting Inventory'!AK142))</f>
        <v/>
      </c>
      <c r="M133" s="26" t="str">
        <f>IF(H133="", "", 'Lighting Inventory'!AL142)</f>
        <v/>
      </c>
      <c r="N133" s="26" t="str">
        <f>IF('Lighting Inventory'!S142="", "", IF('Lighting Inventory'!W142="No Change", 'Lighting Inventory'!I142, 'Lighting Inventory'!S142))</f>
        <v/>
      </c>
      <c r="O133" s="26" t="str">
        <f>IF('Lighting Inventory'!AN142="", "", VLOOKUP('Lighting Inventory'!AN142, 'Lookup Tables'!$B$142:$D$148, 3, FALSE))</f>
        <v/>
      </c>
      <c r="P133" s="66" t="str">
        <f>IF(B133="", "", 'Lighting Inventory'!AX142)</f>
        <v/>
      </c>
      <c r="Q133" s="67" t="str">
        <f>IF(B133="", "", 'Lighting Inventory'!AZ142)</f>
        <v/>
      </c>
      <c r="R133" s="187" t="str">
        <f>IF(OR('Lighting Inventory'!G142="", 'Lighting Inventory'!H142=""), "", 'Lighting Inventory'!BD142)</f>
        <v/>
      </c>
      <c r="S133" s="187" t="str">
        <f>IF(OR('Lighting Inventory'!G142="", 'Lighting Inventory'!H142=""), "",'Lighting Inventory'!BB142)</f>
        <v/>
      </c>
      <c r="T133" s="67" t="str">
        <f>IF(B133="", "", 'Lighting Inventory'!BE142)</f>
        <v/>
      </c>
      <c r="U133" s="67" t="str">
        <f>IF(B133="", "", 'Lighting Inventory'!BF142)</f>
        <v/>
      </c>
      <c r="BM133" s="186" t="str">
        <f t="shared" si="2"/>
        <v>-</v>
      </c>
    </row>
    <row r="134" spans="1:65" x14ac:dyDescent="0.25">
      <c r="A134" s="189">
        <v>133</v>
      </c>
      <c r="B134" s="186" t="str">
        <f>IF('Lighting Inventory'!F143="", "", 'Lighting Inventory'!F143)</f>
        <v/>
      </c>
      <c r="C134" s="26" t="str">
        <f>IF(B134="", "", CONCATENATE("Area: ", 'Lighting Inventory'!D143, ", ", IF('Lighting Inventory'!C143="", "", "Floor: "), 'Lighting Inventory'!C143))</f>
        <v/>
      </c>
      <c r="D134" s="186" t="str">
        <f>IF(B134="", "", IF('Lighting Inventory'!B143="New Construction",CONCATENATE("Cut Sheet ", 250+'Appendix C'!A134), IF(ISNUMBER(SEARCH("cut sheet", 'Lighting Inventory'!J143)), CONCATENATE("Cut Sheet ", 'Lookup Tables'!AX136), 'Lighting Inventory'!J143)))</f>
        <v/>
      </c>
      <c r="E134" s="26" t="str">
        <f>IF(B134="", "", IF('Lighting Inventory'!B143="New Construction", 1, 'Lighting Inventory'!I143))</f>
        <v/>
      </c>
      <c r="F134" s="26" t="str">
        <f>IF(B134="", "", IF('Lighting Inventory'!B143="New Construction", 'Lighting Inventory'!R143*1000, 'Lighting Inventory'!K143))</f>
        <v/>
      </c>
      <c r="G134" s="26" t="str">
        <f>IF(B134="", "", IF('Lighting Inventory'!M143="", "S_LS", VLOOKUP('Lighting Inventory'!M143, 'Lookup Tables'!$B$142:$D$148, 3, FALSE)))</f>
        <v/>
      </c>
      <c r="H134" s="26" t="str">
        <f>IF(OR('Lighting Inventory'!V143="", 'Lighting Inventory'!W143=""), "", IF('Lighting Inventory'!W143="No Change", 'Lighting Inventory'!J143, CONCATENATE("Cut Sheet ", 'Appendix C'!A134)))</f>
        <v/>
      </c>
      <c r="I134" s="26" t="str">
        <f>IF(H134="", "", IF('Lighting Inventory'!AB143="Yes", "Screw-In", "General"))</f>
        <v/>
      </c>
      <c r="J134" s="26" t="str">
        <f>IF(B134="", "", CONCATENATE('Lighting Inventory'!W143, ", ", 'Lighting Inventory'!AL143, " W"))</f>
        <v/>
      </c>
      <c r="K134" s="26" t="str">
        <f>IF(OR(B134="",'Lighting Inventory'!B143="Retrofit"),"",IF('General Information'!$F$16="Space-by-Space",CONCATENATE('Lighting Inventory'!N143,", ",'Lighting Inventory'!O143," ",'Lighting Inventory'!P143," LPD"," at ",'Lighting Inventory'!Q143,", ",'Lighting Inventory'!R143," kW"),CONCATENATE(B134,", ",'Lighting Inventory'!O143," ",'Lighting Inventory'!P143," LPD"," at ",'Lighting Inventory'!Q143,", ",'Lighting Inventory'!R143," kW")))</f>
        <v/>
      </c>
      <c r="L134" s="26" t="str">
        <f>IF(H134="","",IF('Lighting Inventory'!AK143="","",'Lighting Inventory'!AK143))</f>
        <v/>
      </c>
      <c r="M134" s="26" t="str">
        <f>IF(H134="", "", 'Lighting Inventory'!AL143)</f>
        <v/>
      </c>
      <c r="N134" s="26" t="str">
        <f>IF('Lighting Inventory'!S143="", "", IF('Lighting Inventory'!W143="No Change", 'Lighting Inventory'!I143, 'Lighting Inventory'!S143))</f>
        <v/>
      </c>
      <c r="O134" s="26" t="str">
        <f>IF('Lighting Inventory'!AN143="", "", VLOOKUP('Lighting Inventory'!AN143, 'Lookup Tables'!$B$142:$D$148, 3, FALSE))</f>
        <v/>
      </c>
      <c r="P134" s="66" t="str">
        <f>IF(B134="", "", 'Lighting Inventory'!AX143)</f>
        <v/>
      </c>
      <c r="Q134" s="67" t="str">
        <f>IF(B134="", "", 'Lighting Inventory'!AZ143)</f>
        <v/>
      </c>
      <c r="R134" s="187" t="str">
        <f>IF(OR('Lighting Inventory'!G143="", 'Lighting Inventory'!H143=""), "", 'Lighting Inventory'!BD143)</f>
        <v/>
      </c>
      <c r="S134" s="187" t="str">
        <f>IF(OR('Lighting Inventory'!G143="", 'Lighting Inventory'!H143=""), "",'Lighting Inventory'!BB143)</f>
        <v/>
      </c>
      <c r="T134" s="67" t="str">
        <f>IF(B134="", "", 'Lighting Inventory'!BE143)</f>
        <v/>
      </c>
      <c r="U134" s="67" t="str">
        <f>IF(B134="", "", 'Lighting Inventory'!BF143)</f>
        <v/>
      </c>
      <c r="BM134" s="186" t="str">
        <f t="shared" si="2"/>
        <v>-</v>
      </c>
    </row>
    <row r="135" spans="1:65" x14ac:dyDescent="0.25">
      <c r="A135" s="189">
        <v>134</v>
      </c>
      <c r="B135" s="186" t="str">
        <f>IF('Lighting Inventory'!F144="", "", 'Lighting Inventory'!F144)</f>
        <v/>
      </c>
      <c r="C135" s="26" t="str">
        <f>IF(B135="", "", CONCATENATE("Area: ", 'Lighting Inventory'!D144, ", ", IF('Lighting Inventory'!C144="", "", "Floor: "), 'Lighting Inventory'!C144))</f>
        <v/>
      </c>
      <c r="D135" s="186" t="str">
        <f>IF(B135="", "", IF('Lighting Inventory'!B144="New Construction",CONCATENATE("Cut Sheet ", 250+'Appendix C'!A135), IF(ISNUMBER(SEARCH("cut sheet", 'Lighting Inventory'!J144)), CONCATENATE("Cut Sheet ", 'Lookup Tables'!AX137), 'Lighting Inventory'!J144)))</f>
        <v/>
      </c>
      <c r="E135" s="26" t="str">
        <f>IF(B135="", "", IF('Lighting Inventory'!B144="New Construction", 1, 'Lighting Inventory'!I144))</f>
        <v/>
      </c>
      <c r="F135" s="26" t="str">
        <f>IF(B135="", "", IF('Lighting Inventory'!B144="New Construction", 'Lighting Inventory'!R144*1000, 'Lighting Inventory'!K144))</f>
        <v/>
      </c>
      <c r="G135" s="26" t="str">
        <f>IF(B135="", "", IF('Lighting Inventory'!M144="", "S_LS", VLOOKUP('Lighting Inventory'!M144, 'Lookup Tables'!$B$142:$D$148, 3, FALSE)))</f>
        <v/>
      </c>
      <c r="H135" s="26" t="str">
        <f>IF(OR('Lighting Inventory'!V144="", 'Lighting Inventory'!W144=""), "", IF('Lighting Inventory'!W144="No Change", 'Lighting Inventory'!J144, CONCATENATE("Cut Sheet ", 'Appendix C'!A135)))</f>
        <v/>
      </c>
      <c r="I135" s="26" t="str">
        <f>IF(H135="", "", IF('Lighting Inventory'!AB144="Yes", "Screw-In", "General"))</f>
        <v/>
      </c>
      <c r="J135" s="26" t="str">
        <f>IF(B135="", "", CONCATENATE('Lighting Inventory'!W144, ", ", 'Lighting Inventory'!AL144, " W"))</f>
        <v/>
      </c>
      <c r="K135" s="26" t="str">
        <f>IF(OR(B135="",'Lighting Inventory'!B144="Retrofit"),"",IF('General Information'!$F$16="Space-by-Space",CONCATENATE('Lighting Inventory'!N144,", ",'Lighting Inventory'!O144," ",'Lighting Inventory'!P144," LPD"," at ",'Lighting Inventory'!Q144,", ",'Lighting Inventory'!R144," kW"),CONCATENATE(B135,", ",'Lighting Inventory'!O144," ",'Lighting Inventory'!P144," LPD"," at ",'Lighting Inventory'!Q144,", ",'Lighting Inventory'!R144," kW")))</f>
        <v/>
      </c>
      <c r="L135" s="26" t="str">
        <f>IF(H135="","",IF('Lighting Inventory'!AK144="","",'Lighting Inventory'!AK144))</f>
        <v/>
      </c>
      <c r="M135" s="26" t="str">
        <f>IF(H135="", "", 'Lighting Inventory'!AL144)</f>
        <v/>
      </c>
      <c r="N135" s="26" t="str">
        <f>IF('Lighting Inventory'!S144="", "", IF('Lighting Inventory'!W144="No Change", 'Lighting Inventory'!I144, 'Lighting Inventory'!S144))</f>
        <v/>
      </c>
      <c r="O135" s="26" t="str">
        <f>IF('Lighting Inventory'!AN144="", "", VLOOKUP('Lighting Inventory'!AN144, 'Lookup Tables'!$B$142:$D$148, 3, FALSE))</f>
        <v/>
      </c>
      <c r="P135" s="66" t="str">
        <f>IF(B135="", "", 'Lighting Inventory'!AX144)</f>
        <v/>
      </c>
      <c r="Q135" s="67" t="str">
        <f>IF(B135="", "", 'Lighting Inventory'!AZ144)</f>
        <v/>
      </c>
      <c r="R135" s="187" t="str">
        <f>IF(OR('Lighting Inventory'!G144="", 'Lighting Inventory'!H144=""), "", 'Lighting Inventory'!BD144)</f>
        <v/>
      </c>
      <c r="S135" s="187" t="str">
        <f>IF(OR('Lighting Inventory'!G144="", 'Lighting Inventory'!H144=""), "",'Lighting Inventory'!BB144)</f>
        <v/>
      </c>
      <c r="T135" s="67" t="str">
        <f>IF(B135="", "", 'Lighting Inventory'!BE144)</f>
        <v/>
      </c>
      <c r="U135" s="67" t="str">
        <f>IF(B135="", "", 'Lighting Inventory'!BF144)</f>
        <v/>
      </c>
      <c r="BM135" s="186" t="str">
        <f t="shared" si="2"/>
        <v>-</v>
      </c>
    </row>
    <row r="136" spans="1:65" x14ac:dyDescent="0.25">
      <c r="A136" s="189">
        <v>135</v>
      </c>
      <c r="B136" s="186" t="str">
        <f>IF('Lighting Inventory'!F145="", "", 'Lighting Inventory'!F145)</f>
        <v/>
      </c>
      <c r="C136" s="26" t="str">
        <f>IF(B136="", "", CONCATENATE("Area: ", 'Lighting Inventory'!D145, ", ", IF('Lighting Inventory'!C145="", "", "Floor: "), 'Lighting Inventory'!C145))</f>
        <v/>
      </c>
      <c r="D136" s="186" t="str">
        <f>IF(B136="", "", IF('Lighting Inventory'!B145="New Construction",CONCATENATE("Cut Sheet ", 250+'Appendix C'!A136), IF(ISNUMBER(SEARCH("cut sheet", 'Lighting Inventory'!J145)), CONCATENATE("Cut Sheet ", 'Lookup Tables'!AX138), 'Lighting Inventory'!J145)))</f>
        <v/>
      </c>
      <c r="E136" s="26" t="str">
        <f>IF(B136="", "", IF('Lighting Inventory'!B145="New Construction", 1, 'Lighting Inventory'!I145))</f>
        <v/>
      </c>
      <c r="F136" s="26" t="str">
        <f>IF(B136="", "", IF('Lighting Inventory'!B145="New Construction", 'Lighting Inventory'!R145*1000, 'Lighting Inventory'!K145))</f>
        <v/>
      </c>
      <c r="G136" s="26" t="str">
        <f>IF(B136="", "", IF('Lighting Inventory'!M145="", "S_LS", VLOOKUP('Lighting Inventory'!M145, 'Lookup Tables'!$B$142:$D$148, 3, FALSE)))</f>
        <v/>
      </c>
      <c r="H136" s="26" t="str">
        <f>IF(OR('Lighting Inventory'!V145="", 'Lighting Inventory'!W145=""), "", IF('Lighting Inventory'!W145="No Change", 'Lighting Inventory'!J145, CONCATENATE("Cut Sheet ", 'Appendix C'!A136)))</f>
        <v/>
      </c>
      <c r="I136" s="26" t="str">
        <f>IF(H136="", "", IF('Lighting Inventory'!AB145="Yes", "Screw-In", "General"))</f>
        <v/>
      </c>
      <c r="J136" s="26" t="str">
        <f>IF(B136="", "", CONCATENATE('Lighting Inventory'!W145, ", ", 'Lighting Inventory'!AL145, " W"))</f>
        <v/>
      </c>
      <c r="K136" s="26" t="str">
        <f>IF(OR(B136="",'Lighting Inventory'!B145="Retrofit"),"",IF('General Information'!$F$16="Space-by-Space",CONCATENATE('Lighting Inventory'!N145,", ",'Lighting Inventory'!O145," ",'Lighting Inventory'!P145," LPD"," at ",'Lighting Inventory'!Q145,", ",'Lighting Inventory'!R145," kW"),CONCATENATE(B136,", ",'Lighting Inventory'!O145," ",'Lighting Inventory'!P145," LPD"," at ",'Lighting Inventory'!Q145,", ",'Lighting Inventory'!R145," kW")))</f>
        <v/>
      </c>
      <c r="L136" s="26" t="str">
        <f>IF(H136="","",IF('Lighting Inventory'!AK145="","",'Lighting Inventory'!AK145))</f>
        <v/>
      </c>
      <c r="M136" s="26" t="str">
        <f>IF(H136="", "", 'Lighting Inventory'!AL145)</f>
        <v/>
      </c>
      <c r="N136" s="26" t="str">
        <f>IF('Lighting Inventory'!S145="", "", IF('Lighting Inventory'!W145="No Change", 'Lighting Inventory'!I145, 'Lighting Inventory'!S145))</f>
        <v/>
      </c>
      <c r="O136" s="26" t="str">
        <f>IF('Lighting Inventory'!AN145="", "", VLOOKUP('Lighting Inventory'!AN145, 'Lookup Tables'!$B$142:$D$148, 3, FALSE))</f>
        <v/>
      </c>
      <c r="P136" s="66" t="str">
        <f>IF(B136="", "", 'Lighting Inventory'!AX145)</f>
        <v/>
      </c>
      <c r="Q136" s="67" t="str">
        <f>IF(B136="", "", 'Lighting Inventory'!AZ145)</f>
        <v/>
      </c>
      <c r="R136" s="187" t="str">
        <f>IF(OR('Lighting Inventory'!G145="", 'Lighting Inventory'!H145=""), "", 'Lighting Inventory'!BD145)</f>
        <v/>
      </c>
      <c r="S136" s="187" t="str">
        <f>IF(OR('Lighting Inventory'!G145="", 'Lighting Inventory'!H145=""), "",'Lighting Inventory'!BB145)</f>
        <v/>
      </c>
      <c r="T136" s="67" t="str">
        <f>IF(B136="", "", 'Lighting Inventory'!BE145)</f>
        <v/>
      </c>
      <c r="U136" s="67" t="str">
        <f>IF(B136="", "", 'Lighting Inventory'!BF145)</f>
        <v/>
      </c>
      <c r="BM136" s="186" t="str">
        <f t="shared" si="2"/>
        <v>-</v>
      </c>
    </row>
    <row r="137" spans="1:65" x14ac:dyDescent="0.25">
      <c r="A137" s="189">
        <v>136</v>
      </c>
      <c r="B137" s="186" t="str">
        <f>IF('Lighting Inventory'!F146="", "", 'Lighting Inventory'!F146)</f>
        <v/>
      </c>
      <c r="C137" s="26" t="str">
        <f>IF(B137="", "", CONCATENATE("Area: ", 'Lighting Inventory'!D146, ", ", IF('Lighting Inventory'!C146="", "", "Floor: "), 'Lighting Inventory'!C146))</f>
        <v/>
      </c>
      <c r="D137" s="186" t="str">
        <f>IF(B137="", "", IF('Lighting Inventory'!B146="New Construction",CONCATENATE("Cut Sheet ", 250+'Appendix C'!A137), IF(ISNUMBER(SEARCH("cut sheet", 'Lighting Inventory'!J146)), CONCATENATE("Cut Sheet ", 'Lookup Tables'!AX139), 'Lighting Inventory'!J146)))</f>
        <v/>
      </c>
      <c r="E137" s="26" t="str">
        <f>IF(B137="", "", IF('Lighting Inventory'!B146="New Construction", 1, 'Lighting Inventory'!I146))</f>
        <v/>
      </c>
      <c r="F137" s="26" t="str">
        <f>IF(B137="", "", IF('Lighting Inventory'!B146="New Construction", 'Lighting Inventory'!R146*1000, 'Lighting Inventory'!K146))</f>
        <v/>
      </c>
      <c r="G137" s="26" t="str">
        <f>IF(B137="", "", IF('Lighting Inventory'!M146="", "S_LS", VLOOKUP('Lighting Inventory'!M146, 'Lookup Tables'!$B$142:$D$148, 3, FALSE)))</f>
        <v/>
      </c>
      <c r="H137" s="26" t="str">
        <f>IF(OR('Lighting Inventory'!V146="", 'Lighting Inventory'!W146=""), "", IF('Lighting Inventory'!W146="No Change", 'Lighting Inventory'!J146, CONCATENATE("Cut Sheet ", 'Appendix C'!A137)))</f>
        <v/>
      </c>
      <c r="I137" s="26" t="str">
        <f>IF(H137="", "", IF('Lighting Inventory'!AB146="Yes", "Screw-In", "General"))</f>
        <v/>
      </c>
      <c r="J137" s="26" t="str">
        <f>IF(B137="", "", CONCATENATE('Lighting Inventory'!W146, ", ", 'Lighting Inventory'!AL146, " W"))</f>
        <v/>
      </c>
      <c r="K137" s="26" t="str">
        <f>IF(OR(B137="",'Lighting Inventory'!B146="Retrofit"),"",IF('General Information'!$F$16="Space-by-Space",CONCATENATE('Lighting Inventory'!N146,", ",'Lighting Inventory'!O146," ",'Lighting Inventory'!P146," LPD"," at ",'Lighting Inventory'!Q146,", ",'Lighting Inventory'!R146," kW"),CONCATENATE(B137,", ",'Lighting Inventory'!O146," ",'Lighting Inventory'!P146," LPD"," at ",'Lighting Inventory'!Q146,", ",'Lighting Inventory'!R146," kW")))</f>
        <v/>
      </c>
      <c r="L137" s="26" t="str">
        <f>IF(H137="","",IF('Lighting Inventory'!AK146="","",'Lighting Inventory'!AK146))</f>
        <v/>
      </c>
      <c r="M137" s="26" t="str">
        <f>IF(H137="", "", 'Lighting Inventory'!AL146)</f>
        <v/>
      </c>
      <c r="N137" s="26" t="str">
        <f>IF('Lighting Inventory'!S146="", "", IF('Lighting Inventory'!W146="No Change", 'Lighting Inventory'!I146, 'Lighting Inventory'!S146))</f>
        <v/>
      </c>
      <c r="O137" s="26" t="str">
        <f>IF('Lighting Inventory'!AN146="", "", VLOOKUP('Lighting Inventory'!AN146, 'Lookup Tables'!$B$142:$D$148, 3, FALSE))</f>
        <v/>
      </c>
      <c r="P137" s="66" t="str">
        <f>IF(B137="", "", 'Lighting Inventory'!AX146)</f>
        <v/>
      </c>
      <c r="Q137" s="67" t="str">
        <f>IF(B137="", "", 'Lighting Inventory'!AZ146)</f>
        <v/>
      </c>
      <c r="R137" s="187" t="str">
        <f>IF(OR('Lighting Inventory'!G146="", 'Lighting Inventory'!H146=""), "", 'Lighting Inventory'!BD146)</f>
        <v/>
      </c>
      <c r="S137" s="187" t="str">
        <f>IF(OR('Lighting Inventory'!G146="", 'Lighting Inventory'!H146=""), "",'Lighting Inventory'!BB146)</f>
        <v/>
      </c>
      <c r="T137" s="67" t="str">
        <f>IF(B137="", "", 'Lighting Inventory'!BE146)</f>
        <v/>
      </c>
      <c r="U137" s="67" t="str">
        <f>IF(B137="", "", 'Lighting Inventory'!BF146)</f>
        <v/>
      </c>
      <c r="BM137" s="186" t="str">
        <f t="shared" si="2"/>
        <v>-</v>
      </c>
    </row>
    <row r="138" spans="1:65" x14ac:dyDescent="0.25">
      <c r="A138" s="189">
        <v>137</v>
      </c>
      <c r="B138" s="186" t="str">
        <f>IF('Lighting Inventory'!F147="", "", 'Lighting Inventory'!F147)</f>
        <v/>
      </c>
      <c r="C138" s="26" t="str">
        <f>IF(B138="", "", CONCATENATE("Area: ", 'Lighting Inventory'!D147, ", ", IF('Lighting Inventory'!C147="", "", "Floor: "), 'Lighting Inventory'!C147))</f>
        <v/>
      </c>
      <c r="D138" s="186" t="str">
        <f>IF(B138="", "", IF('Lighting Inventory'!B147="New Construction",CONCATENATE("Cut Sheet ", 250+'Appendix C'!A138), IF(ISNUMBER(SEARCH("cut sheet", 'Lighting Inventory'!J147)), CONCATENATE("Cut Sheet ", 'Lookup Tables'!AX140), 'Lighting Inventory'!J147)))</f>
        <v/>
      </c>
      <c r="E138" s="26" t="str">
        <f>IF(B138="", "", IF('Lighting Inventory'!B147="New Construction", 1, 'Lighting Inventory'!I147))</f>
        <v/>
      </c>
      <c r="F138" s="26" t="str">
        <f>IF(B138="", "", IF('Lighting Inventory'!B147="New Construction", 'Lighting Inventory'!R147*1000, 'Lighting Inventory'!K147))</f>
        <v/>
      </c>
      <c r="G138" s="26" t="str">
        <f>IF(B138="", "", IF('Lighting Inventory'!M147="", "S_LS", VLOOKUP('Lighting Inventory'!M147, 'Lookup Tables'!$B$142:$D$148, 3, FALSE)))</f>
        <v/>
      </c>
      <c r="H138" s="26" t="str">
        <f>IF(OR('Lighting Inventory'!V147="", 'Lighting Inventory'!W147=""), "", IF('Lighting Inventory'!W147="No Change", 'Lighting Inventory'!J147, CONCATENATE("Cut Sheet ", 'Appendix C'!A138)))</f>
        <v/>
      </c>
      <c r="I138" s="26" t="str">
        <f>IF(H138="", "", IF('Lighting Inventory'!AB147="Yes", "Screw-In", "General"))</f>
        <v/>
      </c>
      <c r="J138" s="26" t="str">
        <f>IF(B138="", "", CONCATENATE('Lighting Inventory'!W147, ", ", 'Lighting Inventory'!AL147, " W"))</f>
        <v/>
      </c>
      <c r="K138" s="26" t="str">
        <f>IF(OR(B138="",'Lighting Inventory'!B147="Retrofit"),"",IF('General Information'!$F$16="Space-by-Space",CONCATENATE('Lighting Inventory'!N147,", ",'Lighting Inventory'!O147," ",'Lighting Inventory'!P147," LPD"," at ",'Lighting Inventory'!Q147,", ",'Lighting Inventory'!R147," kW"),CONCATENATE(B138,", ",'Lighting Inventory'!O147," ",'Lighting Inventory'!P147," LPD"," at ",'Lighting Inventory'!Q147,", ",'Lighting Inventory'!R147," kW")))</f>
        <v/>
      </c>
      <c r="L138" s="26" t="str">
        <f>IF(H138="","",IF('Lighting Inventory'!AK147="","",'Lighting Inventory'!AK147))</f>
        <v/>
      </c>
      <c r="M138" s="26" t="str">
        <f>IF(H138="", "", 'Lighting Inventory'!AL147)</f>
        <v/>
      </c>
      <c r="N138" s="26" t="str">
        <f>IF('Lighting Inventory'!S147="", "", IF('Lighting Inventory'!W147="No Change", 'Lighting Inventory'!I147, 'Lighting Inventory'!S147))</f>
        <v/>
      </c>
      <c r="O138" s="26" t="str">
        <f>IF('Lighting Inventory'!AN147="", "", VLOOKUP('Lighting Inventory'!AN147, 'Lookup Tables'!$B$142:$D$148, 3, FALSE))</f>
        <v/>
      </c>
      <c r="P138" s="66" t="str">
        <f>IF(B138="", "", 'Lighting Inventory'!AX147)</f>
        <v/>
      </c>
      <c r="Q138" s="67" t="str">
        <f>IF(B138="", "", 'Lighting Inventory'!AZ147)</f>
        <v/>
      </c>
      <c r="R138" s="187" t="str">
        <f>IF(OR('Lighting Inventory'!G147="", 'Lighting Inventory'!H147=""), "", 'Lighting Inventory'!BD147)</f>
        <v/>
      </c>
      <c r="S138" s="187" t="str">
        <f>IF(OR('Lighting Inventory'!G147="", 'Lighting Inventory'!H147=""), "",'Lighting Inventory'!BB147)</f>
        <v/>
      </c>
      <c r="T138" s="67" t="str">
        <f>IF(B138="", "", 'Lighting Inventory'!BE147)</f>
        <v/>
      </c>
      <c r="U138" s="67" t="str">
        <f>IF(B138="", "", 'Lighting Inventory'!BF147)</f>
        <v/>
      </c>
      <c r="BM138" s="186" t="str">
        <f t="shared" si="2"/>
        <v>-</v>
      </c>
    </row>
    <row r="139" spans="1:65" x14ac:dyDescent="0.25">
      <c r="A139" s="189">
        <v>138</v>
      </c>
      <c r="B139" s="186" t="str">
        <f>IF('Lighting Inventory'!F148="", "", 'Lighting Inventory'!F148)</f>
        <v/>
      </c>
      <c r="C139" s="26" t="str">
        <f>IF(B139="", "", CONCATENATE("Area: ", 'Lighting Inventory'!D148, ", ", IF('Lighting Inventory'!C148="", "", "Floor: "), 'Lighting Inventory'!C148))</f>
        <v/>
      </c>
      <c r="D139" s="186" t="str">
        <f>IF(B139="", "", IF('Lighting Inventory'!B148="New Construction",CONCATENATE("Cut Sheet ", 250+'Appendix C'!A139), IF(ISNUMBER(SEARCH("cut sheet", 'Lighting Inventory'!J148)), CONCATENATE("Cut Sheet ", 'Lookup Tables'!AX141), 'Lighting Inventory'!J148)))</f>
        <v/>
      </c>
      <c r="E139" s="26" t="str">
        <f>IF(B139="", "", IF('Lighting Inventory'!B148="New Construction", 1, 'Lighting Inventory'!I148))</f>
        <v/>
      </c>
      <c r="F139" s="26" t="str">
        <f>IF(B139="", "", IF('Lighting Inventory'!B148="New Construction", 'Lighting Inventory'!R148*1000, 'Lighting Inventory'!K148))</f>
        <v/>
      </c>
      <c r="G139" s="26" t="str">
        <f>IF(B139="", "", IF('Lighting Inventory'!M148="", "S_LS", VLOOKUP('Lighting Inventory'!M148, 'Lookup Tables'!$B$142:$D$148, 3, FALSE)))</f>
        <v/>
      </c>
      <c r="H139" s="26" t="str">
        <f>IF(OR('Lighting Inventory'!V148="", 'Lighting Inventory'!W148=""), "", IF('Lighting Inventory'!W148="No Change", 'Lighting Inventory'!J148, CONCATENATE("Cut Sheet ", 'Appendix C'!A139)))</f>
        <v/>
      </c>
      <c r="I139" s="26" t="str">
        <f>IF(H139="", "", IF('Lighting Inventory'!AB148="Yes", "Screw-In", "General"))</f>
        <v/>
      </c>
      <c r="J139" s="26" t="str">
        <f>IF(B139="", "", CONCATENATE('Lighting Inventory'!W148, ", ", 'Lighting Inventory'!AL148, " W"))</f>
        <v/>
      </c>
      <c r="K139" s="26" t="str">
        <f>IF(OR(B139="",'Lighting Inventory'!B148="Retrofit"),"",IF('General Information'!$F$16="Space-by-Space",CONCATENATE('Lighting Inventory'!N148,", ",'Lighting Inventory'!O148," ",'Lighting Inventory'!P148," LPD"," at ",'Lighting Inventory'!Q148,", ",'Lighting Inventory'!R148," kW"),CONCATENATE(B139,", ",'Lighting Inventory'!O148," ",'Lighting Inventory'!P148," LPD"," at ",'Lighting Inventory'!Q148,", ",'Lighting Inventory'!R148," kW")))</f>
        <v/>
      </c>
      <c r="L139" s="26" t="str">
        <f>IF(H139="","",IF('Lighting Inventory'!AK148="","",'Lighting Inventory'!AK148))</f>
        <v/>
      </c>
      <c r="M139" s="26" t="str">
        <f>IF(H139="", "", 'Lighting Inventory'!AL148)</f>
        <v/>
      </c>
      <c r="N139" s="26" t="str">
        <f>IF('Lighting Inventory'!S148="", "", IF('Lighting Inventory'!W148="No Change", 'Lighting Inventory'!I148, 'Lighting Inventory'!S148))</f>
        <v/>
      </c>
      <c r="O139" s="26" t="str">
        <f>IF('Lighting Inventory'!AN148="", "", VLOOKUP('Lighting Inventory'!AN148, 'Lookup Tables'!$B$142:$D$148, 3, FALSE))</f>
        <v/>
      </c>
      <c r="P139" s="66" t="str">
        <f>IF(B139="", "", 'Lighting Inventory'!AX148)</f>
        <v/>
      </c>
      <c r="Q139" s="67" t="str">
        <f>IF(B139="", "", 'Lighting Inventory'!AZ148)</f>
        <v/>
      </c>
      <c r="R139" s="187" t="str">
        <f>IF(OR('Lighting Inventory'!G148="", 'Lighting Inventory'!H148=""), "", 'Lighting Inventory'!BD148)</f>
        <v/>
      </c>
      <c r="S139" s="187" t="str">
        <f>IF(OR('Lighting Inventory'!G148="", 'Lighting Inventory'!H148=""), "",'Lighting Inventory'!BB148)</f>
        <v/>
      </c>
      <c r="T139" s="67" t="str">
        <f>IF(B139="", "", 'Lighting Inventory'!BE148)</f>
        <v/>
      </c>
      <c r="U139" s="67" t="str">
        <f>IF(B139="", "", 'Lighting Inventory'!BF148)</f>
        <v/>
      </c>
      <c r="BM139" s="186" t="str">
        <f t="shared" si="2"/>
        <v>-</v>
      </c>
    </row>
    <row r="140" spans="1:65" x14ac:dyDescent="0.25">
      <c r="A140" s="189">
        <v>139</v>
      </c>
      <c r="B140" s="186" t="str">
        <f>IF('Lighting Inventory'!F149="", "", 'Lighting Inventory'!F149)</f>
        <v/>
      </c>
      <c r="C140" s="26" t="str">
        <f>IF(B140="", "", CONCATENATE("Area: ", 'Lighting Inventory'!D149, ", ", IF('Lighting Inventory'!C149="", "", "Floor: "), 'Lighting Inventory'!C149))</f>
        <v/>
      </c>
      <c r="D140" s="186" t="str">
        <f>IF(B140="", "", IF('Lighting Inventory'!B149="New Construction",CONCATENATE("Cut Sheet ", 250+'Appendix C'!A140), IF(ISNUMBER(SEARCH("cut sheet", 'Lighting Inventory'!J149)), CONCATENATE("Cut Sheet ", 'Lookup Tables'!AX142), 'Lighting Inventory'!J149)))</f>
        <v/>
      </c>
      <c r="E140" s="26" t="str">
        <f>IF(B140="", "", IF('Lighting Inventory'!B149="New Construction", 1, 'Lighting Inventory'!I149))</f>
        <v/>
      </c>
      <c r="F140" s="26" t="str">
        <f>IF(B140="", "", IF('Lighting Inventory'!B149="New Construction", 'Lighting Inventory'!R149*1000, 'Lighting Inventory'!K149))</f>
        <v/>
      </c>
      <c r="G140" s="26" t="str">
        <f>IF(B140="", "", IF('Lighting Inventory'!M149="", "S_LS", VLOOKUP('Lighting Inventory'!M149, 'Lookup Tables'!$B$142:$D$148, 3, FALSE)))</f>
        <v/>
      </c>
      <c r="H140" s="26" t="str">
        <f>IF(OR('Lighting Inventory'!V149="", 'Lighting Inventory'!W149=""), "", IF('Lighting Inventory'!W149="No Change", 'Lighting Inventory'!J149, CONCATENATE("Cut Sheet ", 'Appendix C'!A140)))</f>
        <v/>
      </c>
      <c r="I140" s="26" t="str">
        <f>IF(H140="", "", IF('Lighting Inventory'!AB149="Yes", "Screw-In", "General"))</f>
        <v/>
      </c>
      <c r="J140" s="26" t="str">
        <f>IF(B140="", "", CONCATENATE('Lighting Inventory'!W149, ", ", 'Lighting Inventory'!AL149, " W"))</f>
        <v/>
      </c>
      <c r="K140" s="26" t="str">
        <f>IF(OR(B140="",'Lighting Inventory'!B149="Retrofit"),"",IF('General Information'!$F$16="Space-by-Space",CONCATENATE('Lighting Inventory'!N149,", ",'Lighting Inventory'!O149," ",'Lighting Inventory'!P149," LPD"," at ",'Lighting Inventory'!Q149,", ",'Lighting Inventory'!R149," kW"),CONCATENATE(B140,", ",'Lighting Inventory'!O149," ",'Lighting Inventory'!P149," LPD"," at ",'Lighting Inventory'!Q149,", ",'Lighting Inventory'!R149," kW")))</f>
        <v/>
      </c>
      <c r="L140" s="26" t="str">
        <f>IF(H140="","",IF('Lighting Inventory'!AK149="","",'Lighting Inventory'!AK149))</f>
        <v/>
      </c>
      <c r="M140" s="26" t="str">
        <f>IF(H140="", "", 'Lighting Inventory'!AL149)</f>
        <v/>
      </c>
      <c r="N140" s="26" t="str">
        <f>IF('Lighting Inventory'!S149="", "", IF('Lighting Inventory'!W149="No Change", 'Lighting Inventory'!I149, 'Lighting Inventory'!S149))</f>
        <v/>
      </c>
      <c r="O140" s="26" t="str">
        <f>IF('Lighting Inventory'!AN149="", "", VLOOKUP('Lighting Inventory'!AN149, 'Lookup Tables'!$B$142:$D$148, 3, FALSE))</f>
        <v/>
      </c>
      <c r="P140" s="66" t="str">
        <f>IF(B140="", "", 'Lighting Inventory'!AX149)</f>
        <v/>
      </c>
      <c r="Q140" s="67" t="str">
        <f>IF(B140="", "", 'Lighting Inventory'!AZ149)</f>
        <v/>
      </c>
      <c r="R140" s="187" t="str">
        <f>IF(OR('Lighting Inventory'!G149="", 'Lighting Inventory'!H149=""), "", 'Lighting Inventory'!BD149)</f>
        <v/>
      </c>
      <c r="S140" s="187" t="str">
        <f>IF(OR('Lighting Inventory'!G149="", 'Lighting Inventory'!H149=""), "",'Lighting Inventory'!BB149)</f>
        <v/>
      </c>
      <c r="T140" s="67" t="str">
        <f>IF(B140="", "", 'Lighting Inventory'!BE149)</f>
        <v/>
      </c>
      <c r="U140" s="67" t="str">
        <f>IF(B140="", "", 'Lighting Inventory'!BF149)</f>
        <v/>
      </c>
      <c r="BM140" s="186" t="str">
        <f t="shared" si="2"/>
        <v>-</v>
      </c>
    </row>
    <row r="141" spans="1:65" x14ac:dyDescent="0.25">
      <c r="A141" s="189">
        <v>140</v>
      </c>
      <c r="B141" s="186" t="str">
        <f>IF('Lighting Inventory'!F150="", "", 'Lighting Inventory'!F150)</f>
        <v/>
      </c>
      <c r="C141" s="26" t="str">
        <f>IF(B141="", "", CONCATENATE("Area: ", 'Lighting Inventory'!D150, ", ", IF('Lighting Inventory'!C150="", "", "Floor: "), 'Lighting Inventory'!C150))</f>
        <v/>
      </c>
      <c r="D141" s="186" t="str">
        <f>IF(B141="", "", IF('Lighting Inventory'!B150="New Construction",CONCATENATE("Cut Sheet ", 250+'Appendix C'!A141), IF(ISNUMBER(SEARCH("cut sheet", 'Lighting Inventory'!J150)), CONCATENATE("Cut Sheet ", 'Lookup Tables'!AX143), 'Lighting Inventory'!J150)))</f>
        <v/>
      </c>
      <c r="E141" s="26" t="str">
        <f>IF(B141="", "", IF('Lighting Inventory'!B150="New Construction", 1, 'Lighting Inventory'!I150))</f>
        <v/>
      </c>
      <c r="F141" s="26" t="str">
        <f>IF(B141="", "", IF('Lighting Inventory'!B150="New Construction", 'Lighting Inventory'!R150*1000, 'Lighting Inventory'!K150))</f>
        <v/>
      </c>
      <c r="G141" s="26" t="str">
        <f>IF(B141="", "", IF('Lighting Inventory'!M150="", "S_LS", VLOOKUP('Lighting Inventory'!M150, 'Lookup Tables'!$B$142:$D$148, 3, FALSE)))</f>
        <v/>
      </c>
      <c r="H141" s="26" t="str">
        <f>IF(OR('Lighting Inventory'!V150="", 'Lighting Inventory'!W150=""), "", IF('Lighting Inventory'!W150="No Change", 'Lighting Inventory'!J150, CONCATENATE("Cut Sheet ", 'Appendix C'!A141)))</f>
        <v/>
      </c>
      <c r="I141" s="26" t="str">
        <f>IF(H141="", "", IF('Lighting Inventory'!AB150="Yes", "Screw-In", "General"))</f>
        <v/>
      </c>
      <c r="J141" s="26" t="str">
        <f>IF(B141="", "", CONCATENATE('Lighting Inventory'!W150, ", ", 'Lighting Inventory'!AL150, " W"))</f>
        <v/>
      </c>
      <c r="K141" s="26" t="str">
        <f>IF(OR(B141="",'Lighting Inventory'!B150="Retrofit"),"",IF('General Information'!$F$16="Space-by-Space",CONCATENATE('Lighting Inventory'!N150,", ",'Lighting Inventory'!O150," ",'Lighting Inventory'!P150," LPD"," at ",'Lighting Inventory'!Q150,", ",'Lighting Inventory'!R150," kW"),CONCATENATE(B141,", ",'Lighting Inventory'!O150," ",'Lighting Inventory'!P150," LPD"," at ",'Lighting Inventory'!Q150,", ",'Lighting Inventory'!R150," kW")))</f>
        <v/>
      </c>
      <c r="L141" s="26" t="str">
        <f>IF(H141="","",IF('Lighting Inventory'!AK150="","",'Lighting Inventory'!AK150))</f>
        <v/>
      </c>
      <c r="M141" s="26" t="str">
        <f>IF(H141="", "", 'Lighting Inventory'!AL150)</f>
        <v/>
      </c>
      <c r="N141" s="26" t="str">
        <f>IF('Lighting Inventory'!S150="", "", IF('Lighting Inventory'!W150="No Change", 'Lighting Inventory'!I150, 'Lighting Inventory'!S150))</f>
        <v/>
      </c>
      <c r="O141" s="26" t="str">
        <f>IF('Lighting Inventory'!AN150="", "", VLOOKUP('Lighting Inventory'!AN150, 'Lookup Tables'!$B$142:$D$148, 3, FALSE))</f>
        <v/>
      </c>
      <c r="P141" s="66" t="str">
        <f>IF(B141="", "", 'Lighting Inventory'!AX150)</f>
        <v/>
      </c>
      <c r="Q141" s="67" t="str">
        <f>IF(B141="", "", 'Lighting Inventory'!AZ150)</f>
        <v/>
      </c>
      <c r="R141" s="187" t="str">
        <f>IF(OR('Lighting Inventory'!G150="", 'Lighting Inventory'!H150=""), "", 'Lighting Inventory'!BD150)</f>
        <v/>
      </c>
      <c r="S141" s="187" t="str">
        <f>IF(OR('Lighting Inventory'!G150="", 'Lighting Inventory'!H150=""), "",'Lighting Inventory'!BB150)</f>
        <v/>
      </c>
      <c r="T141" s="67" t="str">
        <f>IF(B141="", "", 'Lighting Inventory'!BE150)</f>
        <v/>
      </c>
      <c r="U141" s="67" t="str">
        <f>IF(B141="", "", 'Lighting Inventory'!BF150)</f>
        <v/>
      </c>
      <c r="BM141" s="186" t="str">
        <f t="shared" si="2"/>
        <v>-</v>
      </c>
    </row>
    <row r="142" spans="1:65" x14ac:dyDescent="0.25">
      <c r="A142" s="189">
        <v>141</v>
      </c>
      <c r="B142" s="186" t="str">
        <f>IF('Lighting Inventory'!F151="", "", 'Lighting Inventory'!F151)</f>
        <v/>
      </c>
      <c r="C142" s="26" t="str">
        <f>IF(B142="", "", CONCATENATE("Area: ", 'Lighting Inventory'!D151, ", ", IF('Lighting Inventory'!C151="", "", "Floor: "), 'Lighting Inventory'!C151))</f>
        <v/>
      </c>
      <c r="D142" s="186" t="str">
        <f>IF(B142="", "", IF('Lighting Inventory'!B151="New Construction",CONCATENATE("Cut Sheet ", 250+'Appendix C'!A142), IF(ISNUMBER(SEARCH("cut sheet", 'Lighting Inventory'!J151)), CONCATENATE("Cut Sheet ", 'Lookup Tables'!AX144), 'Lighting Inventory'!J151)))</f>
        <v/>
      </c>
      <c r="E142" s="26" t="str">
        <f>IF(B142="", "", IF('Lighting Inventory'!B151="New Construction", 1, 'Lighting Inventory'!I151))</f>
        <v/>
      </c>
      <c r="F142" s="26" t="str">
        <f>IF(B142="", "", IF('Lighting Inventory'!B151="New Construction", 'Lighting Inventory'!R151*1000, 'Lighting Inventory'!K151))</f>
        <v/>
      </c>
      <c r="G142" s="26" t="str">
        <f>IF(B142="", "", IF('Lighting Inventory'!M151="", "S_LS", VLOOKUP('Lighting Inventory'!M151, 'Lookup Tables'!$B$142:$D$148, 3, FALSE)))</f>
        <v/>
      </c>
      <c r="H142" s="26" t="str">
        <f>IF(OR('Lighting Inventory'!V151="", 'Lighting Inventory'!W151=""), "", IF('Lighting Inventory'!W151="No Change", 'Lighting Inventory'!J151, CONCATENATE("Cut Sheet ", 'Appendix C'!A142)))</f>
        <v/>
      </c>
      <c r="I142" s="26" t="str">
        <f>IF(H142="", "", IF('Lighting Inventory'!AB151="Yes", "Screw-In", "General"))</f>
        <v/>
      </c>
      <c r="J142" s="26" t="str">
        <f>IF(B142="", "", CONCATENATE('Lighting Inventory'!W151, ", ", 'Lighting Inventory'!AL151, " W"))</f>
        <v/>
      </c>
      <c r="K142" s="26" t="str">
        <f>IF(OR(B142="",'Lighting Inventory'!B151="Retrofit"),"",IF('General Information'!$F$16="Space-by-Space",CONCATENATE('Lighting Inventory'!N151,", ",'Lighting Inventory'!O151," ",'Lighting Inventory'!P151," LPD"," at ",'Lighting Inventory'!Q151,", ",'Lighting Inventory'!R151," kW"),CONCATENATE(B142,", ",'Lighting Inventory'!O151," ",'Lighting Inventory'!P151," LPD"," at ",'Lighting Inventory'!Q151,", ",'Lighting Inventory'!R151," kW")))</f>
        <v/>
      </c>
      <c r="L142" s="26" t="str">
        <f>IF(H142="","",IF('Lighting Inventory'!AK151="","",'Lighting Inventory'!AK151))</f>
        <v/>
      </c>
      <c r="M142" s="26" t="str">
        <f>IF(H142="", "", 'Lighting Inventory'!AL151)</f>
        <v/>
      </c>
      <c r="N142" s="26" t="str">
        <f>IF('Lighting Inventory'!S151="", "", IF('Lighting Inventory'!W151="No Change", 'Lighting Inventory'!I151, 'Lighting Inventory'!S151))</f>
        <v/>
      </c>
      <c r="O142" s="26" t="str">
        <f>IF('Lighting Inventory'!AN151="", "", VLOOKUP('Lighting Inventory'!AN151, 'Lookup Tables'!$B$142:$D$148, 3, FALSE))</f>
        <v/>
      </c>
      <c r="P142" s="66" t="str">
        <f>IF(B142="", "", 'Lighting Inventory'!AX151)</f>
        <v/>
      </c>
      <c r="Q142" s="67" t="str">
        <f>IF(B142="", "", 'Lighting Inventory'!AZ151)</f>
        <v/>
      </c>
      <c r="R142" s="187" t="str">
        <f>IF(OR('Lighting Inventory'!G151="", 'Lighting Inventory'!H151=""), "", 'Lighting Inventory'!BD151)</f>
        <v/>
      </c>
      <c r="S142" s="187" t="str">
        <f>IF(OR('Lighting Inventory'!G151="", 'Lighting Inventory'!H151=""), "",'Lighting Inventory'!BB151)</f>
        <v/>
      </c>
      <c r="T142" s="67" t="str">
        <f>IF(B142="", "", 'Lighting Inventory'!BE151)</f>
        <v/>
      </c>
      <c r="U142" s="67" t="str">
        <f>IF(B142="", "", 'Lighting Inventory'!BF151)</f>
        <v/>
      </c>
      <c r="BM142" s="186" t="str">
        <f t="shared" si="2"/>
        <v>-</v>
      </c>
    </row>
    <row r="143" spans="1:65" x14ac:dyDescent="0.25">
      <c r="A143" s="189">
        <v>142</v>
      </c>
      <c r="B143" s="186" t="str">
        <f>IF('Lighting Inventory'!F152="", "", 'Lighting Inventory'!F152)</f>
        <v/>
      </c>
      <c r="C143" s="26" t="str">
        <f>IF(B143="", "", CONCATENATE("Area: ", 'Lighting Inventory'!D152, ", ", IF('Lighting Inventory'!C152="", "", "Floor: "), 'Lighting Inventory'!C152))</f>
        <v/>
      </c>
      <c r="D143" s="186" t="str">
        <f>IF(B143="", "", IF('Lighting Inventory'!B152="New Construction",CONCATENATE("Cut Sheet ", 250+'Appendix C'!A143), IF(ISNUMBER(SEARCH("cut sheet", 'Lighting Inventory'!J152)), CONCATENATE("Cut Sheet ", 'Lookup Tables'!AX145), 'Lighting Inventory'!J152)))</f>
        <v/>
      </c>
      <c r="E143" s="26" t="str">
        <f>IF(B143="", "", IF('Lighting Inventory'!B152="New Construction", 1, 'Lighting Inventory'!I152))</f>
        <v/>
      </c>
      <c r="F143" s="26" t="str">
        <f>IF(B143="", "", IF('Lighting Inventory'!B152="New Construction", 'Lighting Inventory'!R152*1000, 'Lighting Inventory'!K152))</f>
        <v/>
      </c>
      <c r="G143" s="26" t="str">
        <f>IF(B143="", "", IF('Lighting Inventory'!M152="", "S_LS", VLOOKUP('Lighting Inventory'!M152, 'Lookup Tables'!$B$142:$D$148, 3, FALSE)))</f>
        <v/>
      </c>
      <c r="H143" s="26" t="str">
        <f>IF(OR('Lighting Inventory'!V152="", 'Lighting Inventory'!W152=""), "", IF('Lighting Inventory'!W152="No Change", 'Lighting Inventory'!J152, CONCATENATE("Cut Sheet ", 'Appendix C'!A143)))</f>
        <v/>
      </c>
      <c r="I143" s="26" t="str">
        <f>IF(H143="", "", IF('Lighting Inventory'!AB152="Yes", "Screw-In", "General"))</f>
        <v/>
      </c>
      <c r="J143" s="26" t="str">
        <f>IF(B143="", "", CONCATENATE('Lighting Inventory'!W152, ", ", 'Lighting Inventory'!AL152, " W"))</f>
        <v/>
      </c>
      <c r="K143" s="26" t="str">
        <f>IF(OR(B143="",'Lighting Inventory'!B152="Retrofit"),"",IF('General Information'!$F$16="Space-by-Space",CONCATENATE('Lighting Inventory'!N152,", ",'Lighting Inventory'!O152," ",'Lighting Inventory'!P152," LPD"," at ",'Lighting Inventory'!Q152,", ",'Lighting Inventory'!R152," kW"),CONCATENATE(B143,", ",'Lighting Inventory'!O152," ",'Lighting Inventory'!P152," LPD"," at ",'Lighting Inventory'!Q152,", ",'Lighting Inventory'!R152," kW")))</f>
        <v/>
      </c>
      <c r="L143" s="26" t="str">
        <f>IF(H143="","",IF('Lighting Inventory'!AK152="","",'Lighting Inventory'!AK152))</f>
        <v/>
      </c>
      <c r="M143" s="26" t="str">
        <f>IF(H143="", "", 'Lighting Inventory'!AL152)</f>
        <v/>
      </c>
      <c r="N143" s="26" t="str">
        <f>IF('Lighting Inventory'!S152="", "", IF('Lighting Inventory'!W152="No Change", 'Lighting Inventory'!I152, 'Lighting Inventory'!S152))</f>
        <v/>
      </c>
      <c r="O143" s="26" t="str">
        <f>IF('Lighting Inventory'!AN152="", "", VLOOKUP('Lighting Inventory'!AN152, 'Lookup Tables'!$B$142:$D$148, 3, FALSE))</f>
        <v/>
      </c>
      <c r="P143" s="66" t="str">
        <f>IF(B143="", "", 'Lighting Inventory'!AX152)</f>
        <v/>
      </c>
      <c r="Q143" s="67" t="str">
        <f>IF(B143="", "", 'Lighting Inventory'!AZ152)</f>
        <v/>
      </c>
      <c r="R143" s="187" t="str">
        <f>IF(OR('Lighting Inventory'!G152="", 'Lighting Inventory'!H152=""), "", 'Lighting Inventory'!BD152)</f>
        <v/>
      </c>
      <c r="S143" s="187" t="str">
        <f>IF(OR('Lighting Inventory'!G152="", 'Lighting Inventory'!H152=""), "",'Lighting Inventory'!BB152)</f>
        <v/>
      </c>
      <c r="T143" s="67" t="str">
        <f>IF(B143="", "", 'Lighting Inventory'!BE152)</f>
        <v/>
      </c>
      <c r="U143" s="67" t="str">
        <f>IF(B143="", "", 'Lighting Inventory'!BF152)</f>
        <v/>
      </c>
      <c r="BM143" s="186" t="str">
        <f t="shared" si="2"/>
        <v>-</v>
      </c>
    </row>
    <row r="144" spans="1:65" x14ac:dyDescent="0.25">
      <c r="A144" s="189">
        <v>143</v>
      </c>
      <c r="B144" s="186" t="str">
        <f>IF('Lighting Inventory'!F153="", "", 'Lighting Inventory'!F153)</f>
        <v/>
      </c>
      <c r="C144" s="26" t="str">
        <f>IF(B144="", "", CONCATENATE("Area: ", 'Lighting Inventory'!D153, ", ", IF('Lighting Inventory'!C153="", "", "Floor: "), 'Lighting Inventory'!C153))</f>
        <v/>
      </c>
      <c r="D144" s="186" t="str">
        <f>IF(B144="", "", IF('Lighting Inventory'!B153="New Construction",CONCATENATE("Cut Sheet ", 250+'Appendix C'!A144), IF(ISNUMBER(SEARCH("cut sheet", 'Lighting Inventory'!J153)), CONCATENATE("Cut Sheet ", 'Lookup Tables'!AX146), 'Lighting Inventory'!J153)))</f>
        <v/>
      </c>
      <c r="E144" s="26" t="str">
        <f>IF(B144="", "", IF('Lighting Inventory'!B153="New Construction", 1, 'Lighting Inventory'!I153))</f>
        <v/>
      </c>
      <c r="F144" s="26" t="str">
        <f>IF(B144="", "", IF('Lighting Inventory'!B153="New Construction", 'Lighting Inventory'!R153*1000, 'Lighting Inventory'!K153))</f>
        <v/>
      </c>
      <c r="G144" s="26" t="str">
        <f>IF(B144="", "", IF('Lighting Inventory'!M153="", "S_LS", VLOOKUP('Lighting Inventory'!M153, 'Lookup Tables'!$B$142:$D$148, 3, FALSE)))</f>
        <v/>
      </c>
      <c r="H144" s="26" t="str">
        <f>IF(OR('Lighting Inventory'!V153="", 'Lighting Inventory'!W153=""), "", IF('Lighting Inventory'!W153="No Change", 'Lighting Inventory'!J153, CONCATENATE("Cut Sheet ", 'Appendix C'!A144)))</f>
        <v/>
      </c>
      <c r="I144" s="26" t="str">
        <f>IF(H144="", "", IF('Lighting Inventory'!AB153="Yes", "Screw-In", "General"))</f>
        <v/>
      </c>
      <c r="J144" s="26" t="str">
        <f>IF(B144="", "", CONCATENATE('Lighting Inventory'!W153, ", ", 'Lighting Inventory'!AL153, " W"))</f>
        <v/>
      </c>
      <c r="K144" s="26" t="str">
        <f>IF(OR(B144="",'Lighting Inventory'!B153="Retrofit"),"",IF('General Information'!$F$16="Space-by-Space",CONCATENATE('Lighting Inventory'!N153,", ",'Lighting Inventory'!O153," ",'Lighting Inventory'!P153," LPD"," at ",'Lighting Inventory'!Q153,", ",'Lighting Inventory'!R153," kW"),CONCATENATE(B144,", ",'Lighting Inventory'!O153," ",'Lighting Inventory'!P153," LPD"," at ",'Lighting Inventory'!Q153,", ",'Lighting Inventory'!R153," kW")))</f>
        <v/>
      </c>
      <c r="L144" s="26" t="str">
        <f>IF(H144="","",IF('Lighting Inventory'!AK153="","",'Lighting Inventory'!AK153))</f>
        <v/>
      </c>
      <c r="M144" s="26" t="str">
        <f>IF(H144="", "", 'Lighting Inventory'!AL153)</f>
        <v/>
      </c>
      <c r="N144" s="26" t="str">
        <f>IF('Lighting Inventory'!S153="", "", IF('Lighting Inventory'!W153="No Change", 'Lighting Inventory'!I153, 'Lighting Inventory'!S153))</f>
        <v/>
      </c>
      <c r="O144" s="26" t="str">
        <f>IF('Lighting Inventory'!AN153="", "", VLOOKUP('Lighting Inventory'!AN153, 'Lookup Tables'!$B$142:$D$148, 3, FALSE))</f>
        <v/>
      </c>
      <c r="P144" s="66" t="str">
        <f>IF(B144="", "", 'Lighting Inventory'!AX153)</f>
        <v/>
      </c>
      <c r="Q144" s="67" t="str">
        <f>IF(B144="", "", 'Lighting Inventory'!AZ153)</f>
        <v/>
      </c>
      <c r="R144" s="187" t="str">
        <f>IF(OR('Lighting Inventory'!G153="", 'Lighting Inventory'!H153=""), "", 'Lighting Inventory'!BD153)</f>
        <v/>
      </c>
      <c r="S144" s="187" t="str">
        <f>IF(OR('Lighting Inventory'!G153="", 'Lighting Inventory'!H153=""), "",'Lighting Inventory'!BB153)</f>
        <v/>
      </c>
      <c r="T144" s="67" t="str">
        <f>IF(B144="", "", 'Lighting Inventory'!BE153)</f>
        <v/>
      </c>
      <c r="U144" s="67" t="str">
        <f>IF(B144="", "", 'Lighting Inventory'!BF153)</f>
        <v/>
      </c>
      <c r="BM144" s="186" t="str">
        <f t="shared" si="2"/>
        <v>-</v>
      </c>
    </row>
    <row r="145" spans="1:65" x14ac:dyDescent="0.25">
      <c r="A145" s="189">
        <v>144</v>
      </c>
      <c r="B145" s="186" t="str">
        <f>IF('Lighting Inventory'!F154="", "", 'Lighting Inventory'!F154)</f>
        <v/>
      </c>
      <c r="C145" s="26" t="str">
        <f>IF(B145="", "", CONCATENATE("Area: ", 'Lighting Inventory'!D154, ", ", IF('Lighting Inventory'!C154="", "", "Floor: "), 'Lighting Inventory'!C154))</f>
        <v/>
      </c>
      <c r="D145" s="186" t="str">
        <f>IF(B145="", "", IF('Lighting Inventory'!B154="New Construction",CONCATENATE("Cut Sheet ", 250+'Appendix C'!A145), IF(ISNUMBER(SEARCH("cut sheet", 'Lighting Inventory'!J154)), CONCATENATE("Cut Sheet ", 'Lookup Tables'!AX147), 'Lighting Inventory'!J154)))</f>
        <v/>
      </c>
      <c r="E145" s="26" t="str">
        <f>IF(B145="", "", IF('Lighting Inventory'!B154="New Construction", 1, 'Lighting Inventory'!I154))</f>
        <v/>
      </c>
      <c r="F145" s="26" t="str">
        <f>IF(B145="", "", IF('Lighting Inventory'!B154="New Construction", 'Lighting Inventory'!R154*1000, 'Lighting Inventory'!K154))</f>
        <v/>
      </c>
      <c r="G145" s="26" t="str">
        <f>IF(B145="", "", IF('Lighting Inventory'!M154="", "S_LS", VLOOKUP('Lighting Inventory'!M154, 'Lookup Tables'!$B$142:$D$148, 3, FALSE)))</f>
        <v/>
      </c>
      <c r="H145" s="26" t="str">
        <f>IF(OR('Lighting Inventory'!V154="", 'Lighting Inventory'!W154=""), "", IF('Lighting Inventory'!W154="No Change", 'Lighting Inventory'!J154, CONCATENATE("Cut Sheet ", 'Appendix C'!A145)))</f>
        <v/>
      </c>
      <c r="I145" s="26" t="str">
        <f>IF(H145="", "", IF('Lighting Inventory'!AB154="Yes", "Screw-In", "General"))</f>
        <v/>
      </c>
      <c r="J145" s="26" t="str">
        <f>IF(B145="", "", CONCATENATE('Lighting Inventory'!W154, ", ", 'Lighting Inventory'!AL154, " W"))</f>
        <v/>
      </c>
      <c r="K145" s="26" t="str">
        <f>IF(OR(B145="",'Lighting Inventory'!B154="Retrofit"),"",IF('General Information'!$F$16="Space-by-Space",CONCATENATE('Lighting Inventory'!N154,", ",'Lighting Inventory'!O154," ",'Lighting Inventory'!P154," LPD"," at ",'Lighting Inventory'!Q154,", ",'Lighting Inventory'!R154," kW"),CONCATENATE(B145,", ",'Lighting Inventory'!O154," ",'Lighting Inventory'!P154," LPD"," at ",'Lighting Inventory'!Q154,", ",'Lighting Inventory'!R154," kW")))</f>
        <v/>
      </c>
      <c r="L145" s="26" t="str">
        <f>IF(H145="","",IF('Lighting Inventory'!AK154="","",'Lighting Inventory'!AK154))</f>
        <v/>
      </c>
      <c r="M145" s="26" t="str">
        <f>IF(H145="", "", 'Lighting Inventory'!AL154)</f>
        <v/>
      </c>
      <c r="N145" s="26" t="str">
        <f>IF('Lighting Inventory'!S154="", "", IF('Lighting Inventory'!W154="No Change", 'Lighting Inventory'!I154, 'Lighting Inventory'!S154))</f>
        <v/>
      </c>
      <c r="O145" s="26" t="str">
        <f>IF('Lighting Inventory'!AN154="", "", VLOOKUP('Lighting Inventory'!AN154, 'Lookup Tables'!$B$142:$D$148, 3, FALSE))</f>
        <v/>
      </c>
      <c r="P145" s="66" t="str">
        <f>IF(B145="", "", 'Lighting Inventory'!AX154)</f>
        <v/>
      </c>
      <c r="Q145" s="67" t="str">
        <f>IF(B145="", "", 'Lighting Inventory'!AZ154)</f>
        <v/>
      </c>
      <c r="R145" s="187" t="str">
        <f>IF(OR('Lighting Inventory'!G154="", 'Lighting Inventory'!H154=""), "", 'Lighting Inventory'!BD154)</f>
        <v/>
      </c>
      <c r="S145" s="187" t="str">
        <f>IF(OR('Lighting Inventory'!G154="", 'Lighting Inventory'!H154=""), "",'Lighting Inventory'!BB154)</f>
        <v/>
      </c>
      <c r="T145" s="67" t="str">
        <f>IF(B145="", "", 'Lighting Inventory'!BE154)</f>
        <v/>
      </c>
      <c r="U145" s="67" t="str">
        <f>IF(B145="", "", 'Lighting Inventory'!BF154)</f>
        <v/>
      </c>
      <c r="BM145" s="186" t="str">
        <f t="shared" si="2"/>
        <v>-</v>
      </c>
    </row>
    <row r="146" spans="1:65" x14ac:dyDescent="0.25">
      <c r="A146" s="189">
        <v>145</v>
      </c>
      <c r="B146" s="186" t="str">
        <f>IF('Lighting Inventory'!F155="", "", 'Lighting Inventory'!F155)</f>
        <v/>
      </c>
      <c r="C146" s="26" t="str">
        <f>IF(B146="", "", CONCATENATE("Area: ", 'Lighting Inventory'!D155, ", ", IF('Lighting Inventory'!C155="", "", "Floor: "), 'Lighting Inventory'!C155))</f>
        <v/>
      </c>
      <c r="D146" s="186" t="str">
        <f>IF(B146="", "", IF('Lighting Inventory'!B155="New Construction",CONCATENATE("Cut Sheet ", 250+'Appendix C'!A146), IF(ISNUMBER(SEARCH("cut sheet", 'Lighting Inventory'!J155)), CONCATENATE("Cut Sheet ", 'Lookup Tables'!AX148), 'Lighting Inventory'!J155)))</f>
        <v/>
      </c>
      <c r="E146" s="26" t="str">
        <f>IF(B146="", "", IF('Lighting Inventory'!B155="New Construction", 1, 'Lighting Inventory'!I155))</f>
        <v/>
      </c>
      <c r="F146" s="26" t="str">
        <f>IF(B146="", "", IF('Lighting Inventory'!B155="New Construction", 'Lighting Inventory'!R155*1000, 'Lighting Inventory'!K155))</f>
        <v/>
      </c>
      <c r="G146" s="26" t="str">
        <f>IF(B146="", "", IF('Lighting Inventory'!M155="", "S_LS", VLOOKUP('Lighting Inventory'!M155, 'Lookup Tables'!$B$142:$D$148, 3, FALSE)))</f>
        <v/>
      </c>
      <c r="H146" s="26" t="str">
        <f>IF(OR('Lighting Inventory'!V155="", 'Lighting Inventory'!W155=""), "", IF('Lighting Inventory'!W155="No Change", 'Lighting Inventory'!J155, CONCATENATE("Cut Sheet ", 'Appendix C'!A146)))</f>
        <v/>
      </c>
      <c r="I146" s="26" t="str">
        <f>IF(H146="", "", IF('Lighting Inventory'!AB155="Yes", "Screw-In", "General"))</f>
        <v/>
      </c>
      <c r="J146" s="26" t="str">
        <f>IF(B146="", "", CONCATENATE('Lighting Inventory'!W155, ", ", 'Lighting Inventory'!AL155, " W"))</f>
        <v/>
      </c>
      <c r="K146" s="26" t="str">
        <f>IF(OR(B146="",'Lighting Inventory'!B155="Retrofit"),"",IF('General Information'!$F$16="Space-by-Space",CONCATENATE('Lighting Inventory'!N155,", ",'Lighting Inventory'!O155," ",'Lighting Inventory'!P155," LPD"," at ",'Lighting Inventory'!Q155,", ",'Lighting Inventory'!R155," kW"),CONCATENATE(B146,", ",'Lighting Inventory'!O155," ",'Lighting Inventory'!P155," LPD"," at ",'Lighting Inventory'!Q155,", ",'Lighting Inventory'!R155," kW")))</f>
        <v/>
      </c>
      <c r="L146" s="26" t="str">
        <f>IF(H146="","",IF('Lighting Inventory'!AK155="","",'Lighting Inventory'!AK155))</f>
        <v/>
      </c>
      <c r="M146" s="26" t="str">
        <f>IF(H146="", "", 'Lighting Inventory'!AL155)</f>
        <v/>
      </c>
      <c r="N146" s="26" t="str">
        <f>IF('Lighting Inventory'!S155="", "", IF('Lighting Inventory'!W155="No Change", 'Lighting Inventory'!I155, 'Lighting Inventory'!S155))</f>
        <v/>
      </c>
      <c r="O146" s="26" t="str">
        <f>IF('Lighting Inventory'!AN155="", "", VLOOKUP('Lighting Inventory'!AN155, 'Lookup Tables'!$B$142:$D$148, 3, FALSE))</f>
        <v/>
      </c>
      <c r="P146" s="66" t="str">
        <f>IF(B146="", "", 'Lighting Inventory'!AX155)</f>
        <v/>
      </c>
      <c r="Q146" s="67" t="str">
        <f>IF(B146="", "", 'Lighting Inventory'!AZ155)</f>
        <v/>
      </c>
      <c r="R146" s="187" t="str">
        <f>IF(OR('Lighting Inventory'!G155="", 'Lighting Inventory'!H155=""), "", 'Lighting Inventory'!BD155)</f>
        <v/>
      </c>
      <c r="S146" s="187" t="str">
        <f>IF(OR('Lighting Inventory'!G155="", 'Lighting Inventory'!H155=""), "",'Lighting Inventory'!BB155)</f>
        <v/>
      </c>
      <c r="T146" s="67" t="str">
        <f>IF(B146="", "", 'Lighting Inventory'!BE155)</f>
        <v/>
      </c>
      <c r="U146" s="67" t="str">
        <f>IF(B146="", "", 'Lighting Inventory'!BF155)</f>
        <v/>
      </c>
      <c r="BM146" s="186" t="str">
        <f t="shared" si="2"/>
        <v>-</v>
      </c>
    </row>
    <row r="147" spans="1:65" x14ac:dyDescent="0.25">
      <c r="A147" s="189">
        <v>146</v>
      </c>
      <c r="B147" s="186" t="str">
        <f>IF('Lighting Inventory'!F156="", "", 'Lighting Inventory'!F156)</f>
        <v/>
      </c>
      <c r="C147" s="26" t="str">
        <f>IF(B147="", "", CONCATENATE("Area: ", 'Lighting Inventory'!D156, ", ", IF('Lighting Inventory'!C156="", "", "Floor: "), 'Lighting Inventory'!C156))</f>
        <v/>
      </c>
      <c r="D147" s="186" t="str">
        <f>IF(B147="", "", IF('Lighting Inventory'!B156="New Construction",CONCATENATE("Cut Sheet ", 250+'Appendix C'!A147), IF(ISNUMBER(SEARCH("cut sheet", 'Lighting Inventory'!J156)), CONCATENATE("Cut Sheet ", 'Lookup Tables'!AX149), 'Lighting Inventory'!J156)))</f>
        <v/>
      </c>
      <c r="E147" s="26" t="str">
        <f>IF(B147="", "", IF('Lighting Inventory'!B156="New Construction", 1, 'Lighting Inventory'!I156))</f>
        <v/>
      </c>
      <c r="F147" s="26" t="str">
        <f>IF(B147="", "", IF('Lighting Inventory'!B156="New Construction", 'Lighting Inventory'!R156*1000, 'Lighting Inventory'!K156))</f>
        <v/>
      </c>
      <c r="G147" s="26" t="str">
        <f>IF(B147="", "", IF('Lighting Inventory'!M156="", "S_LS", VLOOKUP('Lighting Inventory'!M156, 'Lookup Tables'!$B$142:$D$148, 3, FALSE)))</f>
        <v/>
      </c>
      <c r="H147" s="26" t="str">
        <f>IF(OR('Lighting Inventory'!V156="", 'Lighting Inventory'!W156=""), "", IF('Lighting Inventory'!W156="No Change", 'Lighting Inventory'!J156, CONCATENATE("Cut Sheet ", 'Appendix C'!A147)))</f>
        <v/>
      </c>
      <c r="I147" s="26" t="str">
        <f>IF(H147="", "", IF('Lighting Inventory'!AB156="Yes", "Screw-In", "General"))</f>
        <v/>
      </c>
      <c r="J147" s="26" t="str">
        <f>IF(B147="", "", CONCATENATE('Lighting Inventory'!W156, ", ", 'Lighting Inventory'!AL156, " W"))</f>
        <v/>
      </c>
      <c r="K147" s="26" t="str">
        <f>IF(OR(B147="",'Lighting Inventory'!B156="Retrofit"),"",IF('General Information'!$F$16="Space-by-Space",CONCATENATE('Lighting Inventory'!N156,", ",'Lighting Inventory'!O156," ",'Lighting Inventory'!P156," LPD"," at ",'Lighting Inventory'!Q156,", ",'Lighting Inventory'!R156," kW"),CONCATENATE(B147,", ",'Lighting Inventory'!O156," ",'Lighting Inventory'!P156," LPD"," at ",'Lighting Inventory'!Q156,", ",'Lighting Inventory'!R156," kW")))</f>
        <v/>
      </c>
      <c r="L147" s="26" t="str">
        <f>IF(H147="","",IF('Lighting Inventory'!AK156="","",'Lighting Inventory'!AK156))</f>
        <v/>
      </c>
      <c r="M147" s="26" t="str">
        <f>IF(H147="", "", 'Lighting Inventory'!AL156)</f>
        <v/>
      </c>
      <c r="N147" s="26" t="str">
        <f>IF('Lighting Inventory'!S156="", "", IF('Lighting Inventory'!W156="No Change", 'Lighting Inventory'!I156, 'Lighting Inventory'!S156))</f>
        <v/>
      </c>
      <c r="O147" s="26" t="str">
        <f>IF('Lighting Inventory'!AN156="", "", VLOOKUP('Lighting Inventory'!AN156, 'Lookup Tables'!$B$142:$D$148, 3, FALSE))</f>
        <v/>
      </c>
      <c r="P147" s="66" t="str">
        <f>IF(B147="", "", 'Lighting Inventory'!AX156)</f>
        <v/>
      </c>
      <c r="Q147" s="67" t="str">
        <f>IF(B147="", "", 'Lighting Inventory'!AZ156)</f>
        <v/>
      </c>
      <c r="R147" s="187" t="str">
        <f>IF(OR('Lighting Inventory'!G156="", 'Lighting Inventory'!H156=""), "", 'Lighting Inventory'!BD156)</f>
        <v/>
      </c>
      <c r="S147" s="187" t="str">
        <f>IF(OR('Lighting Inventory'!G156="", 'Lighting Inventory'!H156=""), "",'Lighting Inventory'!BB156)</f>
        <v/>
      </c>
      <c r="T147" s="67" t="str">
        <f>IF(B147="", "", 'Lighting Inventory'!BE156)</f>
        <v/>
      </c>
      <c r="U147" s="67" t="str">
        <f>IF(B147="", "", 'Lighting Inventory'!BF156)</f>
        <v/>
      </c>
      <c r="BM147" s="186" t="str">
        <f t="shared" si="2"/>
        <v>-</v>
      </c>
    </row>
    <row r="148" spans="1:65" x14ac:dyDescent="0.25">
      <c r="A148" s="189">
        <v>147</v>
      </c>
      <c r="B148" s="186" t="str">
        <f>IF('Lighting Inventory'!F157="", "", 'Lighting Inventory'!F157)</f>
        <v/>
      </c>
      <c r="C148" s="26" t="str">
        <f>IF(B148="", "", CONCATENATE("Area: ", 'Lighting Inventory'!D157, ", ", IF('Lighting Inventory'!C157="", "", "Floor: "), 'Lighting Inventory'!C157))</f>
        <v/>
      </c>
      <c r="D148" s="186" t="str">
        <f>IF(B148="", "", IF('Lighting Inventory'!B157="New Construction",CONCATENATE("Cut Sheet ", 250+'Appendix C'!A148), IF(ISNUMBER(SEARCH("cut sheet", 'Lighting Inventory'!J157)), CONCATENATE("Cut Sheet ", 'Lookup Tables'!AX150), 'Lighting Inventory'!J157)))</f>
        <v/>
      </c>
      <c r="E148" s="26" t="str">
        <f>IF(B148="", "", IF('Lighting Inventory'!B157="New Construction", 1, 'Lighting Inventory'!I157))</f>
        <v/>
      </c>
      <c r="F148" s="26" t="str">
        <f>IF(B148="", "", IF('Lighting Inventory'!B157="New Construction", 'Lighting Inventory'!R157*1000, 'Lighting Inventory'!K157))</f>
        <v/>
      </c>
      <c r="G148" s="26" t="str">
        <f>IF(B148="", "", IF('Lighting Inventory'!M157="", "S_LS", VLOOKUP('Lighting Inventory'!M157, 'Lookup Tables'!$B$142:$D$148, 3, FALSE)))</f>
        <v/>
      </c>
      <c r="H148" s="26" t="str">
        <f>IF(OR('Lighting Inventory'!V157="", 'Lighting Inventory'!W157=""), "", IF('Lighting Inventory'!W157="No Change", 'Lighting Inventory'!J157, CONCATENATE("Cut Sheet ", 'Appendix C'!A148)))</f>
        <v/>
      </c>
      <c r="I148" s="26" t="str">
        <f>IF(H148="", "", IF('Lighting Inventory'!AB157="Yes", "Screw-In", "General"))</f>
        <v/>
      </c>
      <c r="J148" s="26" t="str">
        <f>IF(B148="", "", CONCATENATE('Lighting Inventory'!W157, ", ", 'Lighting Inventory'!AL157, " W"))</f>
        <v/>
      </c>
      <c r="K148" s="26" t="str">
        <f>IF(OR(B148="",'Lighting Inventory'!B157="Retrofit"),"",IF('General Information'!$F$16="Space-by-Space",CONCATENATE('Lighting Inventory'!N157,", ",'Lighting Inventory'!O157," ",'Lighting Inventory'!P157," LPD"," at ",'Lighting Inventory'!Q157,", ",'Lighting Inventory'!R157," kW"),CONCATENATE(B148,", ",'Lighting Inventory'!O157," ",'Lighting Inventory'!P157," LPD"," at ",'Lighting Inventory'!Q157,", ",'Lighting Inventory'!R157," kW")))</f>
        <v/>
      </c>
      <c r="L148" s="26" t="str">
        <f>IF(H148="","",IF('Lighting Inventory'!AK157="","",'Lighting Inventory'!AK157))</f>
        <v/>
      </c>
      <c r="M148" s="26" t="str">
        <f>IF(H148="", "", 'Lighting Inventory'!AL157)</f>
        <v/>
      </c>
      <c r="N148" s="26" t="str">
        <f>IF('Lighting Inventory'!S157="", "", IF('Lighting Inventory'!W157="No Change", 'Lighting Inventory'!I157, 'Lighting Inventory'!S157))</f>
        <v/>
      </c>
      <c r="O148" s="26" t="str">
        <f>IF('Lighting Inventory'!AN157="", "", VLOOKUP('Lighting Inventory'!AN157, 'Lookup Tables'!$B$142:$D$148, 3, FALSE))</f>
        <v/>
      </c>
      <c r="P148" s="66" t="str">
        <f>IF(B148="", "", 'Lighting Inventory'!AX157)</f>
        <v/>
      </c>
      <c r="Q148" s="67" t="str">
        <f>IF(B148="", "", 'Lighting Inventory'!AZ157)</f>
        <v/>
      </c>
      <c r="R148" s="187" t="str">
        <f>IF(OR('Lighting Inventory'!G157="", 'Lighting Inventory'!H157=""), "", 'Lighting Inventory'!BD157)</f>
        <v/>
      </c>
      <c r="S148" s="187" t="str">
        <f>IF(OR('Lighting Inventory'!G157="", 'Lighting Inventory'!H157=""), "",'Lighting Inventory'!BB157)</f>
        <v/>
      </c>
      <c r="T148" s="67" t="str">
        <f>IF(B148="", "", 'Lighting Inventory'!BE157)</f>
        <v/>
      </c>
      <c r="U148" s="67" t="str">
        <f>IF(B148="", "", 'Lighting Inventory'!BF157)</f>
        <v/>
      </c>
      <c r="BM148" s="186" t="str">
        <f t="shared" si="2"/>
        <v>-</v>
      </c>
    </row>
    <row r="149" spans="1:65" x14ac:dyDescent="0.25">
      <c r="A149" s="189">
        <v>148</v>
      </c>
      <c r="B149" s="186" t="str">
        <f>IF('Lighting Inventory'!F158="", "", 'Lighting Inventory'!F158)</f>
        <v/>
      </c>
      <c r="C149" s="26" t="str">
        <f>IF(B149="", "", CONCATENATE("Area: ", 'Lighting Inventory'!D158, ", ", IF('Lighting Inventory'!C158="", "", "Floor: "), 'Lighting Inventory'!C158))</f>
        <v/>
      </c>
      <c r="D149" s="186" t="str">
        <f>IF(B149="", "", IF('Lighting Inventory'!B158="New Construction",CONCATENATE("Cut Sheet ", 250+'Appendix C'!A149), IF(ISNUMBER(SEARCH("cut sheet", 'Lighting Inventory'!J158)), CONCATENATE("Cut Sheet ", 'Lookup Tables'!AX151), 'Lighting Inventory'!J158)))</f>
        <v/>
      </c>
      <c r="E149" s="26" t="str">
        <f>IF(B149="", "", IF('Lighting Inventory'!B158="New Construction", 1, 'Lighting Inventory'!I158))</f>
        <v/>
      </c>
      <c r="F149" s="26" t="str">
        <f>IF(B149="", "", IF('Lighting Inventory'!B158="New Construction", 'Lighting Inventory'!R158*1000, 'Lighting Inventory'!K158))</f>
        <v/>
      </c>
      <c r="G149" s="26" t="str">
        <f>IF(B149="", "", IF('Lighting Inventory'!M158="", "S_LS", VLOOKUP('Lighting Inventory'!M158, 'Lookup Tables'!$B$142:$D$148, 3, FALSE)))</f>
        <v/>
      </c>
      <c r="H149" s="26" t="str">
        <f>IF(OR('Lighting Inventory'!V158="", 'Lighting Inventory'!W158=""), "", IF('Lighting Inventory'!W158="No Change", 'Lighting Inventory'!J158, CONCATENATE("Cut Sheet ", 'Appendix C'!A149)))</f>
        <v/>
      </c>
      <c r="I149" s="26" t="str">
        <f>IF(H149="", "", IF('Lighting Inventory'!AB158="Yes", "Screw-In", "General"))</f>
        <v/>
      </c>
      <c r="J149" s="26" t="str">
        <f>IF(B149="", "", CONCATENATE('Lighting Inventory'!W158, ", ", 'Lighting Inventory'!AL158, " W"))</f>
        <v/>
      </c>
      <c r="K149" s="26" t="str">
        <f>IF(OR(B149="",'Lighting Inventory'!B158="Retrofit"),"",IF('General Information'!$F$16="Space-by-Space",CONCATENATE('Lighting Inventory'!N158,", ",'Lighting Inventory'!O158," ",'Lighting Inventory'!P158," LPD"," at ",'Lighting Inventory'!Q158,", ",'Lighting Inventory'!R158," kW"),CONCATENATE(B149,", ",'Lighting Inventory'!O158," ",'Lighting Inventory'!P158," LPD"," at ",'Lighting Inventory'!Q158,", ",'Lighting Inventory'!R158," kW")))</f>
        <v/>
      </c>
      <c r="L149" s="26" t="str">
        <f>IF(H149="","",IF('Lighting Inventory'!AK158="","",'Lighting Inventory'!AK158))</f>
        <v/>
      </c>
      <c r="M149" s="26" t="str">
        <f>IF(H149="", "", 'Lighting Inventory'!AL158)</f>
        <v/>
      </c>
      <c r="N149" s="26" t="str">
        <f>IF('Lighting Inventory'!S158="", "", IF('Lighting Inventory'!W158="No Change", 'Lighting Inventory'!I158, 'Lighting Inventory'!S158))</f>
        <v/>
      </c>
      <c r="O149" s="26" t="str">
        <f>IF('Lighting Inventory'!AN158="", "", VLOOKUP('Lighting Inventory'!AN158, 'Lookup Tables'!$B$142:$D$148, 3, FALSE))</f>
        <v/>
      </c>
      <c r="P149" s="66" t="str">
        <f>IF(B149="", "", 'Lighting Inventory'!AX158)</f>
        <v/>
      </c>
      <c r="Q149" s="67" t="str">
        <f>IF(B149="", "", 'Lighting Inventory'!AZ158)</f>
        <v/>
      </c>
      <c r="R149" s="187" t="str">
        <f>IF(OR('Lighting Inventory'!G158="", 'Lighting Inventory'!H158=""), "", 'Lighting Inventory'!BD158)</f>
        <v/>
      </c>
      <c r="S149" s="187" t="str">
        <f>IF(OR('Lighting Inventory'!G158="", 'Lighting Inventory'!H158=""), "",'Lighting Inventory'!BB158)</f>
        <v/>
      </c>
      <c r="T149" s="67" t="str">
        <f>IF(B149="", "", 'Lighting Inventory'!BE158)</f>
        <v/>
      </c>
      <c r="U149" s="67" t="str">
        <f>IF(B149="", "", 'Lighting Inventory'!BF158)</f>
        <v/>
      </c>
      <c r="BM149" s="186" t="str">
        <f t="shared" si="2"/>
        <v>-</v>
      </c>
    </row>
    <row r="150" spans="1:65" x14ac:dyDescent="0.25">
      <c r="A150" s="189">
        <v>149</v>
      </c>
      <c r="B150" s="186" t="str">
        <f>IF('Lighting Inventory'!F159="", "", 'Lighting Inventory'!F159)</f>
        <v/>
      </c>
      <c r="C150" s="26" t="str">
        <f>IF(B150="", "", CONCATENATE("Area: ", 'Lighting Inventory'!D159, ", ", IF('Lighting Inventory'!C159="", "", "Floor: "), 'Lighting Inventory'!C159))</f>
        <v/>
      </c>
      <c r="D150" s="186" t="str">
        <f>IF(B150="", "", IF('Lighting Inventory'!B159="New Construction",CONCATENATE("Cut Sheet ", 250+'Appendix C'!A150), IF(ISNUMBER(SEARCH("cut sheet", 'Lighting Inventory'!J159)), CONCATENATE("Cut Sheet ", 'Lookup Tables'!AX152), 'Lighting Inventory'!J159)))</f>
        <v/>
      </c>
      <c r="E150" s="26" t="str">
        <f>IF(B150="", "", IF('Lighting Inventory'!B159="New Construction", 1, 'Lighting Inventory'!I159))</f>
        <v/>
      </c>
      <c r="F150" s="26" t="str">
        <f>IF(B150="", "", IF('Lighting Inventory'!B159="New Construction", 'Lighting Inventory'!R159*1000, 'Lighting Inventory'!K159))</f>
        <v/>
      </c>
      <c r="G150" s="26" t="str">
        <f>IF(B150="", "", IF('Lighting Inventory'!M159="", "S_LS", VLOOKUP('Lighting Inventory'!M159, 'Lookup Tables'!$B$142:$D$148, 3, FALSE)))</f>
        <v/>
      </c>
      <c r="H150" s="26" t="str">
        <f>IF(OR('Lighting Inventory'!V159="", 'Lighting Inventory'!W159=""), "", IF('Lighting Inventory'!W159="No Change", 'Lighting Inventory'!J159, CONCATENATE("Cut Sheet ", 'Appendix C'!A150)))</f>
        <v/>
      </c>
      <c r="I150" s="26" t="str">
        <f>IF(H150="", "", IF('Lighting Inventory'!AB159="Yes", "Screw-In", "General"))</f>
        <v/>
      </c>
      <c r="J150" s="26" t="str">
        <f>IF(B150="", "", CONCATENATE('Lighting Inventory'!W159, ", ", 'Lighting Inventory'!AL159, " W"))</f>
        <v/>
      </c>
      <c r="K150" s="26" t="str">
        <f>IF(OR(B150="",'Lighting Inventory'!B159="Retrofit"),"",IF('General Information'!$F$16="Space-by-Space",CONCATENATE('Lighting Inventory'!N159,", ",'Lighting Inventory'!O159," ",'Lighting Inventory'!P159," LPD"," at ",'Lighting Inventory'!Q159,", ",'Lighting Inventory'!R159," kW"),CONCATENATE(B150,", ",'Lighting Inventory'!O159," ",'Lighting Inventory'!P159," LPD"," at ",'Lighting Inventory'!Q159,", ",'Lighting Inventory'!R159," kW")))</f>
        <v/>
      </c>
      <c r="L150" s="26" t="str">
        <f>IF(H150="","",IF('Lighting Inventory'!AK159="","",'Lighting Inventory'!AK159))</f>
        <v/>
      </c>
      <c r="M150" s="26" t="str">
        <f>IF(H150="", "", 'Lighting Inventory'!AL159)</f>
        <v/>
      </c>
      <c r="N150" s="26" t="str">
        <f>IF('Lighting Inventory'!S159="", "", IF('Lighting Inventory'!W159="No Change", 'Lighting Inventory'!I159, 'Lighting Inventory'!S159))</f>
        <v/>
      </c>
      <c r="O150" s="26" t="str">
        <f>IF('Lighting Inventory'!AN159="", "", VLOOKUP('Lighting Inventory'!AN159, 'Lookup Tables'!$B$142:$D$148, 3, FALSE))</f>
        <v/>
      </c>
      <c r="P150" s="66" t="str">
        <f>IF(B150="", "", 'Lighting Inventory'!AX159)</f>
        <v/>
      </c>
      <c r="Q150" s="67" t="str">
        <f>IF(B150="", "", 'Lighting Inventory'!AZ159)</f>
        <v/>
      </c>
      <c r="R150" s="187" t="str">
        <f>IF(OR('Lighting Inventory'!G159="", 'Lighting Inventory'!H159=""), "", 'Lighting Inventory'!BD159)</f>
        <v/>
      </c>
      <c r="S150" s="187" t="str">
        <f>IF(OR('Lighting Inventory'!G159="", 'Lighting Inventory'!H159=""), "",'Lighting Inventory'!BB159)</f>
        <v/>
      </c>
      <c r="T150" s="67" t="str">
        <f>IF(B150="", "", 'Lighting Inventory'!BE159)</f>
        <v/>
      </c>
      <c r="U150" s="67" t="str">
        <f>IF(B150="", "", 'Lighting Inventory'!BF159)</f>
        <v/>
      </c>
      <c r="BM150" s="186" t="str">
        <f t="shared" si="2"/>
        <v>-</v>
      </c>
    </row>
    <row r="151" spans="1:65" x14ac:dyDescent="0.25">
      <c r="A151" s="189">
        <v>150</v>
      </c>
      <c r="B151" s="186" t="str">
        <f>IF('Lighting Inventory'!F160="", "", 'Lighting Inventory'!F160)</f>
        <v/>
      </c>
      <c r="C151" s="26" t="str">
        <f>IF(B151="", "", CONCATENATE("Area: ", 'Lighting Inventory'!D160, ", ", IF('Lighting Inventory'!C160="", "", "Floor: "), 'Lighting Inventory'!C160))</f>
        <v/>
      </c>
      <c r="D151" s="186" t="str">
        <f>IF(B151="", "", IF('Lighting Inventory'!B160="New Construction",CONCATENATE("Cut Sheet ", 250+'Appendix C'!A151), IF(ISNUMBER(SEARCH("cut sheet", 'Lighting Inventory'!J160)), CONCATENATE("Cut Sheet ", 'Lookup Tables'!AX153), 'Lighting Inventory'!J160)))</f>
        <v/>
      </c>
      <c r="E151" s="26" t="str">
        <f>IF(B151="", "", IF('Lighting Inventory'!B160="New Construction", 1, 'Lighting Inventory'!I160))</f>
        <v/>
      </c>
      <c r="F151" s="26" t="str">
        <f>IF(B151="", "", IF('Lighting Inventory'!B160="New Construction", 'Lighting Inventory'!R160*1000, 'Lighting Inventory'!K160))</f>
        <v/>
      </c>
      <c r="G151" s="26" t="str">
        <f>IF(B151="", "", IF('Lighting Inventory'!M160="", "S_LS", VLOOKUP('Lighting Inventory'!M160, 'Lookup Tables'!$B$142:$D$148, 3, FALSE)))</f>
        <v/>
      </c>
      <c r="H151" s="26" t="str">
        <f>IF(OR('Lighting Inventory'!V160="", 'Lighting Inventory'!W160=""), "", IF('Lighting Inventory'!W160="No Change", 'Lighting Inventory'!J160, CONCATENATE("Cut Sheet ", 'Appendix C'!A151)))</f>
        <v/>
      </c>
      <c r="I151" s="26" t="str">
        <f>IF(H151="", "", IF('Lighting Inventory'!AB160="Yes", "Screw-In", "General"))</f>
        <v/>
      </c>
      <c r="J151" s="26" t="str">
        <f>IF(B151="", "", CONCATENATE('Lighting Inventory'!W160, ", ", 'Lighting Inventory'!AL160, " W"))</f>
        <v/>
      </c>
      <c r="K151" s="26" t="str">
        <f>IF(OR(B151="",'Lighting Inventory'!B160="Retrofit"),"",IF('General Information'!$F$16="Space-by-Space",CONCATENATE('Lighting Inventory'!N160,", ",'Lighting Inventory'!O160," ",'Lighting Inventory'!P160," LPD"," at ",'Lighting Inventory'!Q160,", ",'Lighting Inventory'!R160," kW"),CONCATENATE(B151,", ",'Lighting Inventory'!O160," ",'Lighting Inventory'!P160," LPD"," at ",'Lighting Inventory'!Q160,", ",'Lighting Inventory'!R160," kW")))</f>
        <v/>
      </c>
      <c r="L151" s="26" t="str">
        <f>IF(H151="","",IF('Lighting Inventory'!AK160="","",'Lighting Inventory'!AK160))</f>
        <v/>
      </c>
      <c r="M151" s="26" t="str">
        <f>IF(H151="", "", 'Lighting Inventory'!AL160)</f>
        <v/>
      </c>
      <c r="N151" s="26" t="str">
        <f>IF('Lighting Inventory'!S160="", "", IF('Lighting Inventory'!W160="No Change", 'Lighting Inventory'!I160, 'Lighting Inventory'!S160))</f>
        <v/>
      </c>
      <c r="O151" s="26" t="str">
        <f>IF('Lighting Inventory'!AN160="", "", VLOOKUP('Lighting Inventory'!AN160, 'Lookup Tables'!$B$142:$D$148, 3, FALSE))</f>
        <v/>
      </c>
      <c r="P151" s="66" t="str">
        <f>IF(B151="", "", 'Lighting Inventory'!AX160)</f>
        <v/>
      </c>
      <c r="Q151" s="67" t="str">
        <f>IF(B151="", "", 'Lighting Inventory'!AZ160)</f>
        <v/>
      </c>
      <c r="R151" s="187" t="str">
        <f>IF(OR('Lighting Inventory'!G160="", 'Lighting Inventory'!H160=""), "", 'Lighting Inventory'!BD160)</f>
        <v/>
      </c>
      <c r="S151" s="187" t="str">
        <f>IF(OR('Lighting Inventory'!G160="", 'Lighting Inventory'!H160=""), "",'Lighting Inventory'!BB160)</f>
        <v/>
      </c>
      <c r="T151" s="67" t="str">
        <f>IF(B151="", "", 'Lighting Inventory'!BE160)</f>
        <v/>
      </c>
      <c r="U151" s="67" t="str">
        <f>IF(B151="", "", 'Lighting Inventory'!BF160)</f>
        <v/>
      </c>
      <c r="BM151" s="186" t="str">
        <f t="shared" si="2"/>
        <v>-</v>
      </c>
    </row>
    <row r="152" spans="1:65" x14ac:dyDescent="0.25">
      <c r="A152" s="189">
        <v>151</v>
      </c>
      <c r="B152" s="186" t="str">
        <f>IF('Lighting Inventory'!F161="", "", 'Lighting Inventory'!F161)</f>
        <v/>
      </c>
      <c r="C152" s="26" t="str">
        <f>IF(B152="", "", CONCATENATE("Area: ", 'Lighting Inventory'!D161, ", ", IF('Lighting Inventory'!C161="", "", "Floor: "), 'Lighting Inventory'!C161))</f>
        <v/>
      </c>
      <c r="D152" s="186" t="str">
        <f>IF(B152="", "", IF('Lighting Inventory'!B161="New Construction",CONCATENATE("Cut Sheet ", 250+'Appendix C'!A152), IF(ISNUMBER(SEARCH("cut sheet", 'Lighting Inventory'!J161)), CONCATENATE("Cut Sheet ", 'Lookup Tables'!AX154), 'Lighting Inventory'!J161)))</f>
        <v/>
      </c>
      <c r="E152" s="26" t="str">
        <f>IF(B152="", "", IF('Lighting Inventory'!B161="New Construction", 1, 'Lighting Inventory'!I161))</f>
        <v/>
      </c>
      <c r="F152" s="26" t="str">
        <f>IF(B152="", "", IF('Lighting Inventory'!B161="New Construction", 'Lighting Inventory'!R161*1000, 'Lighting Inventory'!K161))</f>
        <v/>
      </c>
      <c r="G152" s="26" t="str">
        <f>IF(B152="", "", IF('Lighting Inventory'!M161="", "S_LS", VLOOKUP('Lighting Inventory'!M161, 'Lookup Tables'!$B$142:$D$148, 3, FALSE)))</f>
        <v/>
      </c>
      <c r="H152" s="26" t="str">
        <f>IF(OR('Lighting Inventory'!V161="", 'Lighting Inventory'!W161=""), "", IF('Lighting Inventory'!W161="No Change", 'Lighting Inventory'!J161, CONCATENATE("Cut Sheet ", 'Appendix C'!A152)))</f>
        <v/>
      </c>
      <c r="I152" s="26" t="str">
        <f>IF(H152="", "", IF('Lighting Inventory'!AB161="Yes", "Screw-In", "General"))</f>
        <v/>
      </c>
      <c r="J152" s="26" t="str">
        <f>IF(B152="", "", CONCATENATE('Lighting Inventory'!W161, ", ", 'Lighting Inventory'!AL161, " W"))</f>
        <v/>
      </c>
      <c r="K152" s="26" t="str">
        <f>IF(OR(B152="",'Lighting Inventory'!B161="Retrofit"),"",IF('General Information'!$F$16="Space-by-Space",CONCATENATE('Lighting Inventory'!N161,", ",'Lighting Inventory'!O161," ",'Lighting Inventory'!P161," LPD"," at ",'Lighting Inventory'!Q161,", ",'Lighting Inventory'!R161," kW"),CONCATENATE(B152,", ",'Lighting Inventory'!O161," ",'Lighting Inventory'!P161," LPD"," at ",'Lighting Inventory'!Q161,", ",'Lighting Inventory'!R161," kW")))</f>
        <v/>
      </c>
      <c r="L152" s="26" t="str">
        <f>IF(H152="","",IF('Lighting Inventory'!AK161="","",'Lighting Inventory'!AK161))</f>
        <v/>
      </c>
      <c r="M152" s="26" t="str">
        <f>IF(H152="", "", 'Lighting Inventory'!AL161)</f>
        <v/>
      </c>
      <c r="N152" s="26" t="str">
        <f>IF('Lighting Inventory'!S161="", "", IF('Lighting Inventory'!W161="No Change", 'Lighting Inventory'!I161, 'Lighting Inventory'!S161))</f>
        <v/>
      </c>
      <c r="O152" s="26" t="str">
        <f>IF('Lighting Inventory'!AN161="", "", VLOOKUP('Lighting Inventory'!AN161, 'Lookup Tables'!$B$142:$D$148, 3, FALSE))</f>
        <v/>
      </c>
      <c r="P152" s="66" t="str">
        <f>IF(B152="", "", 'Lighting Inventory'!AX161)</f>
        <v/>
      </c>
      <c r="Q152" s="67" t="str">
        <f>IF(B152="", "", 'Lighting Inventory'!AZ161)</f>
        <v/>
      </c>
      <c r="R152" s="187" t="str">
        <f>IF(OR('Lighting Inventory'!G161="", 'Lighting Inventory'!H161=""), "", 'Lighting Inventory'!BD161)</f>
        <v/>
      </c>
      <c r="S152" s="187" t="str">
        <f>IF(OR('Lighting Inventory'!G161="", 'Lighting Inventory'!H161=""), "",'Lighting Inventory'!BB161)</f>
        <v/>
      </c>
      <c r="T152" s="67" t="str">
        <f>IF(B152="", "", 'Lighting Inventory'!BE161)</f>
        <v/>
      </c>
      <c r="U152" s="67" t="str">
        <f>IF(B152="", "", 'Lighting Inventory'!BF161)</f>
        <v/>
      </c>
      <c r="BM152" s="186" t="str">
        <f t="shared" si="2"/>
        <v>-</v>
      </c>
    </row>
    <row r="153" spans="1:65" x14ac:dyDescent="0.25">
      <c r="A153" s="189">
        <v>152</v>
      </c>
      <c r="B153" s="186" t="str">
        <f>IF('Lighting Inventory'!F162="", "", 'Lighting Inventory'!F162)</f>
        <v/>
      </c>
      <c r="C153" s="26" t="str">
        <f>IF(B153="", "", CONCATENATE("Area: ", 'Lighting Inventory'!D162, ", ", IF('Lighting Inventory'!C162="", "", "Floor: "), 'Lighting Inventory'!C162))</f>
        <v/>
      </c>
      <c r="D153" s="186" t="str">
        <f>IF(B153="", "", IF('Lighting Inventory'!B162="New Construction",CONCATENATE("Cut Sheet ", 250+'Appendix C'!A153), IF(ISNUMBER(SEARCH("cut sheet", 'Lighting Inventory'!J162)), CONCATENATE("Cut Sheet ", 'Lookup Tables'!AX155), 'Lighting Inventory'!J162)))</f>
        <v/>
      </c>
      <c r="E153" s="26" t="str">
        <f>IF(B153="", "", IF('Lighting Inventory'!B162="New Construction", 1, 'Lighting Inventory'!I162))</f>
        <v/>
      </c>
      <c r="F153" s="26" t="str">
        <f>IF(B153="", "", IF('Lighting Inventory'!B162="New Construction", 'Lighting Inventory'!R162*1000, 'Lighting Inventory'!K162))</f>
        <v/>
      </c>
      <c r="G153" s="26" t="str">
        <f>IF(B153="", "", IF('Lighting Inventory'!M162="", "S_LS", VLOOKUP('Lighting Inventory'!M162, 'Lookup Tables'!$B$142:$D$148, 3, FALSE)))</f>
        <v/>
      </c>
      <c r="H153" s="26" t="str">
        <f>IF(OR('Lighting Inventory'!V162="", 'Lighting Inventory'!W162=""), "", IF('Lighting Inventory'!W162="No Change", 'Lighting Inventory'!J162, CONCATENATE("Cut Sheet ", 'Appendix C'!A153)))</f>
        <v/>
      </c>
      <c r="I153" s="26" t="str">
        <f>IF(H153="", "", IF('Lighting Inventory'!AB162="Yes", "Screw-In", "General"))</f>
        <v/>
      </c>
      <c r="J153" s="26" t="str">
        <f>IF(B153="", "", CONCATENATE('Lighting Inventory'!W162, ", ", 'Lighting Inventory'!AL162, " W"))</f>
        <v/>
      </c>
      <c r="K153" s="26" t="str">
        <f>IF(OR(B153="",'Lighting Inventory'!B162="Retrofit"),"",IF('General Information'!$F$16="Space-by-Space",CONCATENATE('Lighting Inventory'!N162,", ",'Lighting Inventory'!O162," ",'Lighting Inventory'!P162," LPD"," at ",'Lighting Inventory'!Q162,", ",'Lighting Inventory'!R162," kW"),CONCATENATE(B153,", ",'Lighting Inventory'!O162," ",'Lighting Inventory'!P162," LPD"," at ",'Lighting Inventory'!Q162,", ",'Lighting Inventory'!R162," kW")))</f>
        <v/>
      </c>
      <c r="L153" s="26" t="str">
        <f>IF(H153="","",IF('Lighting Inventory'!AK162="","",'Lighting Inventory'!AK162))</f>
        <v/>
      </c>
      <c r="M153" s="26" t="str">
        <f>IF(H153="", "", 'Lighting Inventory'!AL162)</f>
        <v/>
      </c>
      <c r="N153" s="26" t="str">
        <f>IF('Lighting Inventory'!S162="", "", IF('Lighting Inventory'!W162="No Change", 'Lighting Inventory'!I162, 'Lighting Inventory'!S162))</f>
        <v/>
      </c>
      <c r="O153" s="26" t="str">
        <f>IF('Lighting Inventory'!AN162="", "", VLOOKUP('Lighting Inventory'!AN162, 'Lookup Tables'!$B$142:$D$148, 3, FALSE))</f>
        <v/>
      </c>
      <c r="P153" s="66" t="str">
        <f>IF(B153="", "", 'Lighting Inventory'!AX162)</f>
        <v/>
      </c>
      <c r="Q153" s="67" t="str">
        <f>IF(B153="", "", 'Lighting Inventory'!AZ162)</f>
        <v/>
      </c>
      <c r="R153" s="187" t="str">
        <f>IF(OR('Lighting Inventory'!G162="", 'Lighting Inventory'!H162=""), "", 'Lighting Inventory'!BD162)</f>
        <v/>
      </c>
      <c r="S153" s="187" t="str">
        <f>IF(OR('Lighting Inventory'!G162="", 'Lighting Inventory'!H162=""), "",'Lighting Inventory'!BB162)</f>
        <v/>
      </c>
      <c r="T153" s="67" t="str">
        <f>IF(B153="", "", 'Lighting Inventory'!BE162)</f>
        <v/>
      </c>
      <c r="U153" s="67" t="str">
        <f>IF(B153="", "", 'Lighting Inventory'!BF162)</f>
        <v/>
      </c>
      <c r="BM153" s="186" t="str">
        <f t="shared" si="2"/>
        <v>-</v>
      </c>
    </row>
    <row r="154" spans="1:65" x14ac:dyDescent="0.25">
      <c r="A154" s="189">
        <v>153</v>
      </c>
      <c r="B154" s="186" t="str">
        <f>IF('Lighting Inventory'!F163="", "", 'Lighting Inventory'!F163)</f>
        <v/>
      </c>
      <c r="C154" s="26" t="str">
        <f>IF(B154="", "", CONCATENATE("Area: ", 'Lighting Inventory'!D163, ", ", IF('Lighting Inventory'!C163="", "", "Floor: "), 'Lighting Inventory'!C163))</f>
        <v/>
      </c>
      <c r="D154" s="186" t="str">
        <f>IF(B154="", "", IF('Lighting Inventory'!B163="New Construction",CONCATENATE("Cut Sheet ", 250+'Appendix C'!A154), IF(ISNUMBER(SEARCH("cut sheet", 'Lighting Inventory'!J163)), CONCATENATE("Cut Sheet ", 'Lookup Tables'!AX156), 'Lighting Inventory'!J163)))</f>
        <v/>
      </c>
      <c r="E154" s="26" t="str">
        <f>IF(B154="", "", IF('Lighting Inventory'!B163="New Construction", 1, 'Lighting Inventory'!I163))</f>
        <v/>
      </c>
      <c r="F154" s="26" t="str">
        <f>IF(B154="", "", IF('Lighting Inventory'!B163="New Construction", 'Lighting Inventory'!R163*1000, 'Lighting Inventory'!K163))</f>
        <v/>
      </c>
      <c r="G154" s="26" t="str">
        <f>IF(B154="", "", IF('Lighting Inventory'!M163="", "S_LS", VLOOKUP('Lighting Inventory'!M163, 'Lookup Tables'!$B$142:$D$148, 3, FALSE)))</f>
        <v/>
      </c>
      <c r="H154" s="26" t="str">
        <f>IF(OR('Lighting Inventory'!V163="", 'Lighting Inventory'!W163=""), "", IF('Lighting Inventory'!W163="No Change", 'Lighting Inventory'!J163, CONCATENATE("Cut Sheet ", 'Appendix C'!A154)))</f>
        <v/>
      </c>
      <c r="I154" s="26" t="str">
        <f>IF(H154="", "", IF('Lighting Inventory'!AB163="Yes", "Screw-In", "General"))</f>
        <v/>
      </c>
      <c r="J154" s="26" t="str">
        <f>IF(B154="", "", CONCATENATE('Lighting Inventory'!W163, ", ", 'Lighting Inventory'!AL163, " W"))</f>
        <v/>
      </c>
      <c r="K154" s="26" t="str">
        <f>IF(OR(B154="",'Lighting Inventory'!B163="Retrofit"),"",IF('General Information'!$F$16="Space-by-Space",CONCATENATE('Lighting Inventory'!N163,", ",'Lighting Inventory'!O163," ",'Lighting Inventory'!P163," LPD"," at ",'Lighting Inventory'!Q163,", ",'Lighting Inventory'!R163," kW"),CONCATENATE(B154,", ",'Lighting Inventory'!O163," ",'Lighting Inventory'!P163," LPD"," at ",'Lighting Inventory'!Q163,", ",'Lighting Inventory'!R163," kW")))</f>
        <v/>
      </c>
      <c r="L154" s="26" t="str">
        <f>IF(H154="","",IF('Lighting Inventory'!AK163="","",'Lighting Inventory'!AK163))</f>
        <v/>
      </c>
      <c r="M154" s="26" t="str">
        <f>IF(H154="", "", 'Lighting Inventory'!AL163)</f>
        <v/>
      </c>
      <c r="N154" s="26" t="str">
        <f>IF('Lighting Inventory'!S163="", "", IF('Lighting Inventory'!W163="No Change", 'Lighting Inventory'!I163, 'Lighting Inventory'!S163))</f>
        <v/>
      </c>
      <c r="O154" s="26" t="str">
        <f>IF('Lighting Inventory'!AN163="", "", VLOOKUP('Lighting Inventory'!AN163, 'Lookup Tables'!$B$142:$D$148, 3, FALSE))</f>
        <v/>
      </c>
      <c r="P154" s="66" t="str">
        <f>IF(B154="", "", 'Lighting Inventory'!AX163)</f>
        <v/>
      </c>
      <c r="Q154" s="67" t="str">
        <f>IF(B154="", "", 'Lighting Inventory'!AZ163)</f>
        <v/>
      </c>
      <c r="R154" s="187" t="str">
        <f>IF(OR('Lighting Inventory'!G163="", 'Lighting Inventory'!H163=""), "", 'Lighting Inventory'!BD163)</f>
        <v/>
      </c>
      <c r="S154" s="187" t="str">
        <f>IF(OR('Lighting Inventory'!G163="", 'Lighting Inventory'!H163=""), "",'Lighting Inventory'!BB163)</f>
        <v/>
      </c>
      <c r="T154" s="67" t="str">
        <f>IF(B154="", "", 'Lighting Inventory'!BE163)</f>
        <v/>
      </c>
      <c r="U154" s="67" t="str">
        <f>IF(B154="", "", 'Lighting Inventory'!BF163)</f>
        <v/>
      </c>
      <c r="BM154" s="186" t="str">
        <f t="shared" si="2"/>
        <v>-</v>
      </c>
    </row>
    <row r="155" spans="1:65" x14ac:dyDescent="0.25">
      <c r="A155" s="189">
        <v>154</v>
      </c>
      <c r="B155" s="186" t="str">
        <f>IF('Lighting Inventory'!F164="", "", 'Lighting Inventory'!F164)</f>
        <v/>
      </c>
      <c r="C155" s="26" t="str">
        <f>IF(B155="", "", CONCATENATE("Area: ", 'Lighting Inventory'!D164, ", ", IF('Lighting Inventory'!C164="", "", "Floor: "), 'Lighting Inventory'!C164))</f>
        <v/>
      </c>
      <c r="D155" s="186" t="str">
        <f>IF(B155="", "", IF('Lighting Inventory'!B164="New Construction",CONCATENATE("Cut Sheet ", 250+'Appendix C'!A155), IF(ISNUMBER(SEARCH("cut sheet", 'Lighting Inventory'!J164)), CONCATENATE("Cut Sheet ", 'Lookup Tables'!AX157), 'Lighting Inventory'!J164)))</f>
        <v/>
      </c>
      <c r="E155" s="26" t="str">
        <f>IF(B155="", "", IF('Lighting Inventory'!B164="New Construction", 1, 'Lighting Inventory'!I164))</f>
        <v/>
      </c>
      <c r="F155" s="26" t="str">
        <f>IF(B155="", "", IF('Lighting Inventory'!B164="New Construction", 'Lighting Inventory'!R164*1000, 'Lighting Inventory'!K164))</f>
        <v/>
      </c>
      <c r="G155" s="26" t="str">
        <f>IF(B155="", "", IF('Lighting Inventory'!M164="", "S_LS", VLOOKUP('Lighting Inventory'!M164, 'Lookup Tables'!$B$142:$D$148, 3, FALSE)))</f>
        <v/>
      </c>
      <c r="H155" s="26" t="str">
        <f>IF(OR('Lighting Inventory'!V164="", 'Lighting Inventory'!W164=""), "", IF('Lighting Inventory'!W164="No Change", 'Lighting Inventory'!J164, CONCATENATE("Cut Sheet ", 'Appendix C'!A155)))</f>
        <v/>
      </c>
      <c r="I155" s="26" t="str">
        <f>IF(H155="", "", IF('Lighting Inventory'!AB164="Yes", "Screw-In", "General"))</f>
        <v/>
      </c>
      <c r="J155" s="26" t="str">
        <f>IF(B155="", "", CONCATENATE('Lighting Inventory'!W164, ", ", 'Lighting Inventory'!AL164, " W"))</f>
        <v/>
      </c>
      <c r="K155" s="26" t="str">
        <f>IF(OR(B155="",'Lighting Inventory'!B164="Retrofit"),"",IF('General Information'!$F$16="Space-by-Space",CONCATENATE('Lighting Inventory'!N164,", ",'Lighting Inventory'!O164," ",'Lighting Inventory'!P164," LPD"," at ",'Lighting Inventory'!Q164,", ",'Lighting Inventory'!R164," kW"),CONCATENATE(B155,", ",'Lighting Inventory'!O164," ",'Lighting Inventory'!P164," LPD"," at ",'Lighting Inventory'!Q164,", ",'Lighting Inventory'!R164," kW")))</f>
        <v/>
      </c>
      <c r="L155" s="26" t="str">
        <f>IF(H155="","",IF('Lighting Inventory'!AK164="","",'Lighting Inventory'!AK164))</f>
        <v/>
      </c>
      <c r="M155" s="26" t="str">
        <f>IF(H155="", "", 'Lighting Inventory'!AL164)</f>
        <v/>
      </c>
      <c r="N155" s="26" t="str">
        <f>IF('Lighting Inventory'!S164="", "", IF('Lighting Inventory'!W164="No Change", 'Lighting Inventory'!I164, 'Lighting Inventory'!S164))</f>
        <v/>
      </c>
      <c r="O155" s="26" t="str">
        <f>IF('Lighting Inventory'!AN164="", "", VLOOKUP('Lighting Inventory'!AN164, 'Lookup Tables'!$B$142:$D$148, 3, FALSE))</f>
        <v/>
      </c>
      <c r="P155" s="66" t="str">
        <f>IF(B155="", "", 'Lighting Inventory'!AX164)</f>
        <v/>
      </c>
      <c r="Q155" s="67" t="str">
        <f>IF(B155="", "", 'Lighting Inventory'!AZ164)</f>
        <v/>
      </c>
      <c r="R155" s="187" t="str">
        <f>IF(OR('Lighting Inventory'!G164="", 'Lighting Inventory'!H164=""), "", 'Lighting Inventory'!BD164)</f>
        <v/>
      </c>
      <c r="S155" s="187" t="str">
        <f>IF(OR('Lighting Inventory'!G164="", 'Lighting Inventory'!H164=""), "",'Lighting Inventory'!BB164)</f>
        <v/>
      </c>
      <c r="T155" s="67" t="str">
        <f>IF(B155="", "", 'Lighting Inventory'!BE164)</f>
        <v/>
      </c>
      <c r="U155" s="67" t="str">
        <f>IF(B155="", "", 'Lighting Inventory'!BF164)</f>
        <v/>
      </c>
      <c r="BM155" s="186" t="str">
        <f t="shared" si="2"/>
        <v>-</v>
      </c>
    </row>
    <row r="156" spans="1:65" x14ac:dyDescent="0.25">
      <c r="A156" s="189">
        <v>155</v>
      </c>
      <c r="B156" s="186" t="str">
        <f>IF('Lighting Inventory'!F165="", "", 'Lighting Inventory'!F165)</f>
        <v/>
      </c>
      <c r="C156" s="26" t="str">
        <f>IF(B156="", "", CONCATENATE("Area: ", 'Lighting Inventory'!D165, ", ", IF('Lighting Inventory'!C165="", "", "Floor: "), 'Lighting Inventory'!C165))</f>
        <v/>
      </c>
      <c r="D156" s="186" t="str">
        <f>IF(B156="", "", IF('Lighting Inventory'!B165="New Construction",CONCATENATE("Cut Sheet ", 250+'Appendix C'!A156), IF(ISNUMBER(SEARCH("cut sheet", 'Lighting Inventory'!J165)), CONCATENATE("Cut Sheet ", 'Lookup Tables'!AX158), 'Lighting Inventory'!J165)))</f>
        <v/>
      </c>
      <c r="E156" s="26" t="str">
        <f>IF(B156="", "", IF('Lighting Inventory'!B165="New Construction", 1, 'Lighting Inventory'!I165))</f>
        <v/>
      </c>
      <c r="F156" s="26" t="str">
        <f>IF(B156="", "", IF('Lighting Inventory'!B165="New Construction", 'Lighting Inventory'!R165*1000, 'Lighting Inventory'!K165))</f>
        <v/>
      </c>
      <c r="G156" s="26" t="str">
        <f>IF(B156="", "", IF('Lighting Inventory'!M165="", "S_LS", VLOOKUP('Lighting Inventory'!M165, 'Lookup Tables'!$B$142:$D$148, 3, FALSE)))</f>
        <v/>
      </c>
      <c r="H156" s="26" t="str">
        <f>IF(OR('Lighting Inventory'!V165="", 'Lighting Inventory'!W165=""), "", IF('Lighting Inventory'!W165="No Change", 'Lighting Inventory'!J165, CONCATENATE("Cut Sheet ", 'Appendix C'!A156)))</f>
        <v/>
      </c>
      <c r="I156" s="26" t="str">
        <f>IF(H156="", "", IF('Lighting Inventory'!AB165="Yes", "Screw-In", "General"))</f>
        <v/>
      </c>
      <c r="J156" s="26" t="str">
        <f>IF(B156="", "", CONCATENATE('Lighting Inventory'!W165, ", ", 'Lighting Inventory'!AL165, " W"))</f>
        <v/>
      </c>
      <c r="K156" s="26" t="str">
        <f>IF(OR(B156="",'Lighting Inventory'!B165="Retrofit"),"",IF('General Information'!$F$16="Space-by-Space",CONCATENATE('Lighting Inventory'!N165,", ",'Lighting Inventory'!O165," ",'Lighting Inventory'!P165," LPD"," at ",'Lighting Inventory'!Q165,", ",'Lighting Inventory'!R165," kW"),CONCATENATE(B156,", ",'Lighting Inventory'!O165," ",'Lighting Inventory'!P165," LPD"," at ",'Lighting Inventory'!Q165,", ",'Lighting Inventory'!R165," kW")))</f>
        <v/>
      </c>
      <c r="L156" s="26" t="str">
        <f>IF(H156="","",IF('Lighting Inventory'!AK165="","",'Lighting Inventory'!AK165))</f>
        <v/>
      </c>
      <c r="M156" s="26" t="str">
        <f>IF(H156="", "", 'Lighting Inventory'!AL165)</f>
        <v/>
      </c>
      <c r="N156" s="26" t="str">
        <f>IF('Lighting Inventory'!S165="", "", IF('Lighting Inventory'!W165="No Change", 'Lighting Inventory'!I165, 'Lighting Inventory'!S165))</f>
        <v/>
      </c>
      <c r="O156" s="26" t="str">
        <f>IF('Lighting Inventory'!AN165="", "", VLOOKUP('Lighting Inventory'!AN165, 'Lookup Tables'!$B$142:$D$148, 3, FALSE))</f>
        <v/>
      </c>
      <c r="P156" s="66" t="str">
        <f>IF(B156="", "", 'Lighting Inventory'!AX165)</f>
        <v/>
      </c>
      <c r="Q156" s="67" t="str">
        <f>IF(B156="", "", 'Lighting Inventory'!AZ165)</f>
        <v/>
      </c>
      <c r="R156" s="187" t="str">
        <f>IF(OR('Lighting Inventory'!G165="", 'Lighting Inventory'!H165=""), "", 'Lighting Inventory'!BD165)</f>
        <v/>
      </c>
      <c r="S156" s="187" t="str">
        <f>IF(OR('Lighting Inventory'!G165="", 'Lighting Inventory'!H165=""), "",'Lighting Inventory'!BB165)</f>
        <v/>
      </c>
      <c r="T156" s="67" t="str">
        <f>IF(B156="", "", 'Lighting Inventory'!BE165)</f>
        <v/>
      </c>
      <c r="U156" s="67" t="str">
        <f>IF(B156="", "", 'Lighting Inventory'!BF165)</f>
        <v/>
      </c>
      <c r="BM156" s="186" t="str">
        <f t="shared" si="2"/>
        <v>-</v>
      </c>
    </row>
    <row r="157" spans="1:65" x14ac:dyDescent="0.25">
      <c r="A157" s="189">
        <v>156</v>
      </c>
      <c r="B157" s="186" t="str">
        <f>IF('Lighting Inventory'!F166="", "", 'Lighting Inventory'!F166)</f>
        <v/>
      </c>
      <c r="C157" s="26" t="str">
        <f>IF(B157="", "", CONCATENATE("Area: ", 'Lighting Inventory'!D166, ", ", IF('Lighting Inventory'!C166="", "", "Floor: "), 'Lighting Inventory'!C166))</f>
        <v/>
      </c>
      <c r="D157" s="186" t="str">
        <f>IF(B157="", "", IF('Lighting Inventory'!B166="New Construction",CONCATENATE("Cut Sheet ", 250+'Appendix C'!A157), IF(ISNUMBER(SEARCH("cut sheet", 'Lighting Inventory'!J166)), CONCATENATE("Cut Sheet ", 'Lookup Tables'!AX159), 'Lighting Inventory'!J166)))</f>
        <v/>
      </c>
      <c r="E157" s="26" t="str">
        <f>IF(B157="", "", IF('Lighting Inventory'!B166="New Construction", 1, 'Lighting Inventory'!I166))</f>
        <v/>
      </c>
      <c r="F157" s="26" t="str">
        <f>IF(B157="", "", IF('Lighting Inventory'!B166="New Construction", 'Lighting Inventory'!R166*1000, 'Lighting Inventory'!K166))</f>
        <v/>
      </c>
      <c r="G157" s="26" t="str">
        <f>IF(B157="", "", IF('Lighting Inventory'!M166="", "S_LS", VLOOKUP('Lighting Inventory'!M166, 'Lookup Tables'!$B$142:$D$148, 3, FALSE)))</f>
        <v/>
      </c>
      <c r="H157" s="26" t="str">
        <f>IF(OR('Lighting Inventory'!V166="", 'Lighting Inventory'!W166=""), "", IF('Lighting Inventory'!W166="No Change", 'Lighting Inventory'!J166, CONCATENATE("Cut Sheet ", 'Appendix C'!A157)))</f>
        <v/>
      </c>
      <c r="I157" s="26" t="str">
        <f>IF(H157="", "", IF('Lighting Inventory'!AB166="Yes", "Screw-In", "General"))</f>
        <v/>
      </c>
      <c r="J157" s="26" t="str">
        <f>IF(B157="", "", CONCATENATE('Lighting Inventory'!W166, ", ", 'Lighting Inventory'!AL166, " W"))</f>
        <v/>
      </c>
      <c r="K157" s="26" t="str">
        <f>IF(OR(B157="",'Lighting Inventory'!B166="Retrofit"),"",IF('General Information'!$F$16="Space-by-Space",CONCATENATE('Lighting Inventory'!N166,", ",'Lighting Inventory'!O166," ",'Lighting Inventory'!P166," LPD"," at ",'Lighting Inventory'!Q166,", ",'Lighting Inventory'!R166," kW"),CONCATENATE(B157,", ",'Lighting Inventory'!O166," ",'Lighting Inventory'!P166," LPD"," at ",'Lighting Inventory'!Q166,", ",'Lighting Inventory'!R166," kW")))</f>
        <v/>
      </c>
      <c r="L157" s="26" t="str">
        <f>IF(H157="","",IF('Lighting Inventory'!AK166="","",'Lighting Inventory'!AK166))</f>
        <v/>
      </c>
      <c r="M157" s="26" t="str">
        <f>IF(H157="", "", 'Lighting Inventory'!AL166)</f>
        <v/>
      </c>
      <c r="N157" s="26" t="str">
        <f>IF('Lighting Inventory'!S166="", "", IF('Lighting Inventory'!W166="No Change", 'Lighting Inventory'!I166, 'Lighting Inventory'!S166))</f>
        <v/>
      </c>
      <c r="O157" s="26" t="str">
        <f>IF('Lighting Inventory'!AN166="", "", VLOOKUP('Lighting Inventory'!AN166, 'Lookup Tables'!$B$142:$D$148, 3, FALSE))</f>
        <v/>
      </c>
      <c r="P157" s="66" t="str">
        <f>IF(B157="", "", 'Lighting Inventory'!AX166)</f>
        <v/>
      </c>
      <c r="Q157" s="67" t="str">
        <f>IF(B157="", "", 'Lighting Inventory'!AZ166)</f>
        <v/>
      </c>
      <c r="R157" s="187" t="str">
        <f>IF(OR('Lighting Inventory'!G166="", 'Lighting Inventory'!H166=""), "", 'Lighting Inventory'!BD166)</f>
        <v/>
      </c>
      <c r="S157" s="187" t="str">
        <f>IF(OR('Lighting Inventory'!G166="", 'Lighting Inventory'!H166=""), "",'Lighting Inventory'!BB166)</f>
        <v/>
      </c>
      <c r="T157" s="67" t="str">
        <f>IF(B157="", "", 'Lighting Inventory'!BE166)</f>
        <v/>
      </c>
      <c r="U157" s="67" t="str">
        <f>IF(B157="", "", 'Lighting Inventory'!BF166)</f>
        <v/>
      </c>
      <c r="BM157" s="186" t="str">
        <f t="shared" si="2"/>
        <v>-</v>
      </c>
    </row>
    <row r="158" spans="1:65" x14ac:dyDescent="0.25">
      <c r="A158" s="189">
        <v>157</v>
      </c>
      <c r="B158" s="186" t="str">
        <f>IF('Lighting Inventory'!F167="", "", 'Lighting Inventory'!F167)</f>
        <v/>
      </c>
      <c r="C158" s="26" t="str">
        <f>IF(B158="", "", CONCATENATE("Area: ", 'Lighting Inventory'!D167, ", ", IF('Lighting Inventory'!C167="", "", "Floor: "), 'Lighting Inventory'!C167))</f>
        <v/>
      </c>
      <c r="D158" s="186" t="str">
        <f>IF(B158="", "", IF('Lighting Inventory'!B167="New Construction",CONCATENATE("Cut Sheet ", 250+'Appendix C'!A158), IF(ISNUMBER(SEARCH("cut sheet", 'Lighting Inventory'!J167)), CONCATENATE("Cut Sheet ", 'Lookup Tables'!AX160), 'Lighting Inventory'!J167)))</f>
        <v/>
      </c>
      <c r="E158" s="26" t="str">
        <f>IF(B158="", "", IF('Lighting Inventory'!B167="New Construction", 1, 'Lighting Inventory'!I167))</f>
        <v/>
      </c>
      <c r="F158" s="26" t="str">
        <f>IF(B158="", "", IF('Lighting Inventory'!B167="New Construction", 'Lighting Inventory'!R167*1000, 'Lighting Inventory'!K167))</f>
        <v/>
      </c>
      <c r="G158" s="26" t="str">
        <f>IF(B158="", "", IF('Lighting Inventory'!M167="", "S_LS", VLOOKUP('Lighting Inventory'!M167, 'Lookup Tables'!$B$142:$D$148, 3, FALSE)))</f>
        <v/>
      </c>
      <c r="H158" s="26" t="str">
        <f>IF(OR('Lighting Inventory'!V167="", 'Lighting Inventory'!W167=""), "", IF('Lighting Inventory'!W167="No Change", 'Lighting Inventory'!J167, CONCATENATE("Cut Sheet ", 'Appendix C'!A158)))</f>
        <v/>
      </c>
      <c r="I158" s="26" t="str">
        <f>IF(H158="", "", IF('Lighting Inventory'!AB167="Yes", "Screw-In", "General"))</f>
        <v/>
      </c>
      <c r="J158" s="26" t="str">
        <f>IF(B158="", "", CONCATENATE('Lighting Inventory'!W167, ", ", 'Lighting Inventory'!AL167, " W"))</f>
        <v/>
      </c>
      <c r="K158" s="26" t="str">
        <f>IF(OR(B158="",'Lighting Inventory'!B167="Retrofit"),"",IF('General Information'!$F$16="Space-by-Space",CONCATENATE('Lighting Inventory'!N167,", ",'Lighting Inventory'!O167," ",'Lighting Inventory'!P167," LPD"," at ",'Lighting Inventory'!Q167,", ",'Lighting Inventory'!R167," kW"),CONCATENATE(B158,", ",'Lighting Inventory'!O167," ",'Lighting Inventory'!P167," LPD"," at ",'Lighting Inventory'!Q167,", ",'Lighting Inventory'!R167," kW")))</f>
        <v/>
      </c>
      <c r="L158" s="26" t="str">
        <f>IF(H158="","",IF('Lighting Inventory'!AK167="","",'Lighting Inventory'!AK167))</f>
        <v/>
      </c>
      <c r="M158" s="26" t="str">
        <f>IF(H158="", "", 'Lighting Inventory'!AL167)</f>
        <v/>
      </c>
      <c r="N158" s="26" t="str">
        <f>IF('Lighting Inventory'!S167="", "", IF('Lighting Inventory'!W167="No Change", 'Lighting Inventory'!I167, 'Lighting Inventory'!S167))</f>
        <v/>
      </c>
      <c r="O158" s="26" t="str">
        <f>IF('Lighting Inventory'!AN167="", "", VLOOKUP('Lighting Inventory'!AN167, 'Lookup Tables'!$B$142:$D$148, 3, FALSE))</f>
        <v/>
      </c>
      <c r="P158" s="66" t="str">
        <f>IF(B158="", "", 'Lighting Inventory'!AX167)</f>
        <v/>
      </c>
      <c r="Q158" s="67" t="str">
        <f>IF(B158="", "", 'Lighting Inventory'!AZ167)</f>
        <v/>
      </c>
      <c r="R158" s="187" t="str">
        <f>IF(OR('Lighting Inventory'!G167="", 'Lighting Inventory'!H167=""), "", 'Lighting Inventory'!BD167)</f>
        <v/>
      </c>
      <c r="S158" s="187" t="str">
        <f>IF(OR('Lighting Inventory'!G167="", 'Lighting Inventory'!H167=""), "",'Lighting Inventory'!BB167)</f>
        <v/>
      </c>
      <c r="T158" s="67" t="str">
        <f>IF(B158="", "", 'Lighting Inventory'!BE167)</f>
        <v/>
      </c>
      <c r="U158" s="67" t="str">
        <f>IF(B158="", "", 'Lighting Inventory'!BF167)</f>
        <v/>
      </c>
      <c r="BM158" s="186" t="str">
        <f t="shared" si="2"/>
        <v>-</v>
      </c>
    </row>
    <row r="159" spans="1:65" x14ac:dyDescent="0.25">
      <c r="A159" s="189">
        <v>158</v>
      </c>
      <c r="B159" s="186" t="str">
        <f>IF('Lighting Inventory'!F168="", "", 'Lighting Inventory'!F168)</f>
        <v/>
      </c>
      <c r="C159" s="26" t="str">
        <f>IF(B159="", "", CONCATENATE("Area: ", 'Lighting Inventory'!D168, ", ", IF('Lighting Inventory'!C168="", "", "Floor: "), 'Lighting Inventory'!C168))</f>
        <v/>
      </c>
      <c r="D159" s="186" t="str">
        <f>IF(B159="", "", IF('Lighting Inventory'!B168="New Construction",CONCATENATE("Cut Sheet ", 250+'Appendix C'!A159), IF(ISNUMBER(SEARCH("cut sheet", 'Lighting Inventory'!J168)), CONCATENATE("Cut Sheet ", 'Lookup Tables'!AX161), 'Lighting Inventory'!J168)))</f>
        <v/>
      </c>
      <c r="E159" s="26" t="str">
        <f>IF(B159="", "", IF('Lighting Inventory'!B168="New Construction", 1, 'Lighting Inventory'!I168))</f>
        <v/>
      </c>
      <c r="F159" s="26" t="str">
        <f>IF(B159="", "", IF('Lighting Inventory'!B168="New Construction", 'Lighting Inventory'!R168*1000, 'Lighting Inventory'!K168))</f>
        <v/>
      </c>
      <c r="G159" s="26" t="str">
        <f>IF(B159="", "", IF('Lighting Inventory'!M168="", "S_LS", VLOOKUP('Lighting Inventory'!M168, 'Lookup Tables'!$B$142:$D$148, 3, FALSE)))</f>
        <v/>
      </c>
      <c r="H159" s="26" t="str">
        <f>IF(OR('Lighting Inventory'!V168="", 'Lighting Inventory'!W168=""), "", IF('Lighting Inventory'!W168="No Change", 'Lighting Inventory'!J168, CONCATENATE("Cut Sheet ", 'Appendix C'!A159)))</f>
        <v/>
      </c>
      <c r="I159" s="26" t="str">
        <f>IF(H159="", "", IF('Lighting Inventory'!AB168="Yes", "Screw-In", "General"))</f>
        <v/>
      </c>
      <c r="J159" s="26" t="str">
        <f>IF(B159="", "", CONCATENATE('Lighting Inventory'!W168, ", ", 'Lighting Inventory'!AL168, " W"))</f>
        <v/>
      </c>
      <c r="K159" s="26" t="str">
        <f>IF(OR(B159="",'Lighting Inventory'!B168="Retrofit"),"",IF('General Information'!$F$16="Space-by-Space",CONCATENATE('Lighting Inventory'!N168,", ",'Lighting Inventory'!O168," ",'Lighting Inventory'!P168," LPD"," at ",'Lighting Inventory'!Q168,", ",'Lighting Inventory'!R168," kW"),CONCATENATE(B159,", ",'Lighting Inventory'!O168," ",'Lighting Inventory'!P168," LPD"," at ",'Lighting Inventory'!Q168,", ",'Lighting Inventory'!R168," kW")))</f>
        <v/>
      </c>
      <c r="L159" s="26" t="str">
        <f>IF(H159="","",IF('Lighting Inventory'!AK168="","",'Lighting Inventory'!AK168))</f>
        <v/>
      </c>
      <c r="M159" s="26" t="str">
        <f>IF(H159="", "", 'Lighting Inventory'!AL168)</f>
        <v/>
      </c>
      <c r="N159" s="26" t="str">
        <f>IF('Lighting Inventory'!S168="", "", IF('Lighting Inventory'!W168="No Change", 'Lighting Inventory'!I168, 'Lighting Inventory'!S168))</f>
        <v/>
      </c>
      <c r="O159" s="26" t="str">
        <f>IF('Lighting Inventory'!AN168="", "", VLOOKUP('Lighting Inventory'!AN168, 'Lookup Tables'!$B$142:$D$148, 3, FALSE))</f>
        <v/>
      </c>
      <c r="P159" s="66" t="str">
        <f>IF(B159="", "", 'Lighting Inventory'!AX168)</f>
        <v/>
      </c>
      <c r="Q159" s="67" t="str">
        <f>IF(B159="", "", 'Lighting Inventory'!AZ168)</f>
        <v/>
      </c>
      <c r="R159" s="187" t="str">
        <f>IF(OR('Lighting Inventory'!G168="", 'Lighting Inventory'!H168=""), "", 'Lighting Inventory'!BD168)</f>
        <v/>
      </c>
      <c r="S159" s="187" t="str">
        <f>IF(OR('Lighting Inventory'!G168="", 'Lighting Inventory'!H168=""), "",'Lighting Inventory'!BB168)</f>
        <v/>
      </c>
      <c r="T159" s="67" t="str">
        <f>IF(B159="", "", 'Lighting Inventory'!BE168)</f>
        <v/>
      </c>
      <c r="U159" s="67" t="str">
        <f>IF(B159="", "", 'Lighting Inventory'!BF168)</f>
        <v/>
      </c>
      <c r="BM159" s="186" t="str">
        <f t="shared" si="2"/>
        <v>-</v>
      </c>
    </row>
    <row r="160" spans="1:65" x14ac:dyDescent="0.25">
      <c r="A160" s="189">
        <v>159</v>
      </c>
      <c r="B160" s="186" t="str">
        <f>IF('Lighting Inventory'!F169="", "", 'Lighting Inventory'!F169)</f>
        <v/>
      </c>
      <c r="C160" s="26" t="str">
        <f>IF(B160="", "", CONCATENATE("Area: ", 'Lighting Inventory'!D169, ", ", IF('Lighting Inventory'!C169="", "", "Floor: "), 'Lighting Inventory'!C169))</f>
        <v/>
      </c>
      <c r="D160" s="186" t="str">
        <f>IF(B160="", "", IF('Lighting Inventory'!B169="New Construction",CONCATENATE("Cut Sheet ", 250+'Appendix C'!A160), IF(ISNUMBER(SEARCH("cut sheet", 'Lighting Inventory'!J169)), CONCATENATE("Cut Sheet ", 'Lookup Tables'!AX162), 'Lighting Inventory'!J169)))</f>
        <v/>
      </c>
      <c r="E160" s="26" t="str">
        <f>IF(B160="", "", IF('Lighting Inventory'!B169="New Construction", 1, 'Lighting Inventory'!I169))</f>
        <v/>
      </c>
      <c r="F160" s="26" t="str">
        <f>IF(B160="", "", IF('Lighting Inventory'!B169="New Construction", 'Lighting Inventory'!R169*1000, 'Lighting Inventory'!K169))</f>
        <v/>
      </c>
      <c r="G160" s="26" t="str">
        <f>IF(B160="", "", IF('Lighting Inventory'!M169="", "S_LS", VLOOKUP('Lighting Inventory'!M169, 'Lookup Tables'!$B$142:$D$148, 3, FALSE)))</f>
        <v/>
      </c>
      <c r="H160" s="26" t="str">
        <f>IF(OR('Lighting Inventory'!V169="", 'Lighting Inventory'!W169=""), "", IF('Lighting Inventory'!W169="No Change", 'Lighting Inventory'!J169, CONCATENATE("Cut Sheet ", 'Appendix C'!A160)))</f>
        <v/>
      </c>
      <c r="I160" s="26" t="str">
        <f>IF(H160="", "", IF('Lighting Inventory'!AB169="Yes", "Screw-In", "General"))</f>
        <v/>
      </c>
      <c r="J160" s="26" t="str">
        <f>IF(B160="", "", CONCATENATE('Lighting Inventory'!W169, ", ", 'Lighting Inventory'!AL169, " W"))</f>
        <v/>
      </c>
      <c r="K160" s="26" t="str">
        <f>IF(OR(B160="",'Lighting Inventory'!B169="Retrofit"),"",IF('General Information'!$F$16="Space-by-Space",CONCATENATE('Lighting Inventory'!N169,", ",'Lighting Inventory'!O169," ",'Lighting Inventory'!P169," LPD"," at ",'Lighting Inventory'!Q169,", ",'Lighting Inventory'!R169," kW"),CONCATENATE(B160,", ",'Lighting Inventory'!O169," ",'Lighting Inventory'!P169," LPD"," at ",'Lighting Inventory'!Q169,", ",'Lighting Inventory'!R169," kW")))</f>
        <v/>
      </c>
      <c r="L160" s="26" t="str">
        <f>IF(H160="","",IF('Lighting Inventory'!AK169="","",'Lighting Inventory'!AK169))</f>
        <v/>
      </c>
      <c r="M160" s="26" t="str">
        <f>IF(H160="", "", 'Lighting Inventory'!AL169)</f>
        <v/>
      </c>
      <c r="N160" s="26" t="str">
        <f>IF('Lighting Inventory'!S169="", "", IF('Lighting Inventory'!W169="No Change", 'Lighting Inventory'!I169, 'Lighting Inventory'!S169))</f>
        <v/>
      </c>
      <c r="O160" s="26" t="str">
        <f>IF('Lighting Inventory'!AN169="", "", VLOOKUP('Lighting Inventory'!AN169, 'Lookup Tables'!$B$142:$D$148, 3, FALSE))</f>
        <v/>
      </c>
      <c r="P160" s="66" t="str">
        <f>IF(B160="", "", 'Lighting Inventory'!AX169)</f>
        <v/>
      </c>
      <c r="Q160" s="67" t="str">
        <f>IF(B160="", "", 'Lighting Inventory'!AZ169)</f>
        <v/>
      </c>
      <c r="R160" s="187" t="str">
        <f>IF(OR('Lighting Inventory'!G169="", 'Lighting Inventory'!H169=""), "", 'Lighting Inventory'!BD169)</f>
        <v/>
      </c>
      <c r="S160" s="187" t="str">
        <f>IF(OR('Lighting Inventory'!G169="", 'Lighting Inventory'!H169=""), "",'Lighting Inventory'!BB169)</f>
        <v/>
      </c>
      <c r="T160" s="67" t="str">
        <f>IF(B160="", "", 'Lighting Inventory'!BE169)</f>
        <v/>
      </c>
      <c r="U160" s="67" t="str">
        <f>IF(B160="", "", 'Lighting Inventory'!BF169)</f>
        <v/>
      </c>
      <c r="BM160" s="186" t="str">
        <f t="shared" si="2"/>
        <v>-</v>
      </c>
    </row>
    <row r="161" spans="1:65" x14ac:dyDescent="0.25">
      <c r="A161" s="189">
        <v>160</v>
      </c>
      <c r="B161" s="186" t="str">
        <f>IF('Lighting Inventory'!F170="", "", 'Lighting Inventory'!F170)</f>
        <v/>
      </c>
      <c r="C161" s="26" t="str">
        <f>IF(B161="", "", CONCATENATE("Area: ", 'Lighting Inventory'!D170, ", ", IF('Lighting Inventory'!C170="", "", "Floor: "), 'Lighting Inventory'!C170))</f>
        <v/>
      </c>
      <c r="D161" s="186" t="str">
        <f>IF(B161="", "", IF('Lighting Inventory'!B170="New Construction",CONCATENATE("Cut Sheet ", 250+'Appendix C'!A161), IF(ISNUMBER(SEARCH("cut sheet", 'Lighting Inventory'!J170)), CONCATENATE("Cut Sheet ", 'Lookup Tables'!AX163), 'Lighting Inventory'!J170)))</f>
        <v/>
      </c>
      <c r="E161" s="26" t="str">
        <f>IF(B161="", "", IF('Lighting Inventory'!B170="New Construction", 1, 'Lighting Inventory'!I170))</f>
        <v/>
      </c>
      <c r="F161" s="26" t="str">
        <f>IF(B161="", "", IF('Lighting Inventory'!B170="New Construction", 'Lighting Inventory'!R170*1000, 'Lighting Inventory'!K170))</f>
        <v/>
      </c>
      <c r="G161" s="26" t="str">
        <f>IF(B161="", "", IF('Lighting Inventory'!M170="", "S_LS", VLOOKUP('Lighting Inventory'!M170, 'Lookup Tables'!$B$142:$D$148, 3, FALSE)))</f>
        <v/>
      </c>
      <c r="H161" s="26" t="str">
        <f>IF(OR('Lighting Inventory'!V170="", 'Lighting Inventory'!W170=""), "", IF('Lighting Inventory'!W170="No Change", 'Lighting Inventory'!J170, CONCATENATE("Cut Sheet ", 'Appendix C'!A161)))</f>
        <v/>
      </c>
      <c r="I161" s="26" t="str">
        <f>IF(H161="", "", IF('Lighting Inventory'!AB170="Yes", "Screw-In", "General"))</f>
        <v/>
      </c>
      <c r="J161" s="26" t="str">
        <f>IF(B161="", "", CONCATENATE('Lighting Inventory'!W170, ", ", 'Lighting Inventory'!AL170, " W"))</f>
        <v/>
      </c>
      <c r="K161" s="26" t="str">
        <f>IF(OR(B161="",'Lighting Inventory'!B170="Retrofit"),"",IF('General Information'!$F$16="Space-by-Space",CONCATENATE('Lighting Inventory'!N170,", ",'Lighting Inventory'!O170," ",'Lighting Inventory'!P170," LPD"," at ",'Lighting Inventory'!Q170,", ",'Lighting Inventory'!R170," kW"),CONCATENATE(B161,", ",'Lighting Inventory'!O170," ",'Lighting Inventory'!P170," LPD"," at ",'Lighting Inventory'!Q170,", ",'Lighting Inventory'!R170," kW")))</f>
        <v/>
      </c>
      <c r="L161" s="26" t="str">
        <f>IF(H161="","",IF('Lighting Inventory'!AK170="","",'Lighting Inventory'!AK170))</f>
        <v/>
      </c>
      <c r="M161" s="26" t="str">
        <f>IF(H161="", "", 'Lighting Inventory'!AL170)</f>
        <v/>
      </c>
      <c r="N161" s="26" t="str">
        <f>IF('Lighting Inventory'!S170="", "", IF('Lighting Inventory'!W170="No Change", 'Lighting Inventory'!I170, 'Lighting Inventory'!S170))</f>
        <v/>
      </c>
      <c r="O161" s="26" t="str">
        <f>IF('Lighting Inventory'!AN170="", "", VLOOKUP('Lighting Inventory'!AN170, 'Lookup Tables'!$B$142:$D$148, 3, FALSE))</f>
        <v/>
      </c>
      <c r="P161" s="66" t="str">
        <f>IF(B161="", "", 'Lighting Inventory'!AX170)</f>
        <v/>
      </c>
      <c r="Q161" s="67" t="str">
        <f>IF(B161="", "", 'Lighting Inventory'!AZ170)</f>
        <v/>
      </c>
      <c r="R161" s="187" t="str">
        <f>IF(OR('Lighting Inventory'!G170="", 'Lighting Inventory'!H170=""), "", 'Lighting Inventory'!BD170)</f>
        <v/>
      </c>
      <c r="S161" s="187" t="str">
        <f>IF(OR('Lighting Inventory'!G170="", 'Lighting Inventory'!H170=""), "",'Lighting Inventory'!BB170)</f>
        <v/>
      </c>
      <c r="T161" s="67" t="str">
        <f>IF(B161="", "", 'Lighting Inventory'!BE170)</f>
        <v/>
      </c>
      <c r="U161" s="67" t="str">
        <f>IF(B161="", "", 'Lighting Inventory'!BF170)</f>
        <v/>
      </c>
      <c r="BM161" s="186" t="str">
        <f t="shared" si="2"/>
        <v>-</v>
      </c>
    </row>
    <row r="162" spans="1:65" x14ac:dyDescent="0.25">
      <c r="A162" s="189">
        <v>161</v>
      </c>
      <c r="B162" s="186" t="str">
        <f>IF('Lighting Inventory'!F171="", "", 'Lighting Inventory'!F171)</f>
        <v/>
      </c>
      <c r="C162" s="26" t="str">
        <f>IF(B162="", "", CONCATENATE("Area: ", 'Lighting Inventory'!D171, ", ", IF('Lighting Inventory'!C171="", "", "Floor: "), 'Lighting Inventory'!C171))</f>
        <v/>
      </c>
      <c r="D162" s="186" t="str">
        <f>IF(B162="", "", IF('Lighting Inventory'!B171="New Construction",CONCATENATE("Cut Sheet ", 250+'Appendix C'!A162), IF(ISNUMBER(SEARCH("cut sheet", 'Lighting Inventory'!J171)), CONCATENATE("Cut Sheet ", 'Lookup Tables'!AX164), 'Lighting Inventory'!J171)))</f>
        <v/>
      </c>
      <c r="E162" s="26" t="str">
        <f>IF(B162="", "", IF('Lighting Inventory'!B171="New Construction", 1, 'Lighting Inventory'!I171))</f>
        <v/>
      </c>
      <c r="F162" s="26" t="str">
        <f>IF(B162="", "", IF('Lighting Inventory'!B171="New Construction", 'Lighting Inventory'!R171*1000, 'Lighting Inventory'!K171))</f>
        <v/>
      </c>
      <c r="G162" s="26" t="str">
        <f>IF(B162="", "", IF('Lighting Inventory'!M171="", "S_LS", VLOOKUP('Lighting Inventory'!M171, 'Lookup Tables'!$B$142:$D$148, 3, FALSE)))</f>
        <v/>
      </c>
      <c r="H162" s="26" t="str">
        <f>IF(OR('Lighting Inventory'!V171="", 'Lighting Inventory'!W171=""), "", IF('Lighting Inventory'!W171="No Change", 'Lighting Inventory'!J171, CONCATENATE("Cut Sheet ", 'Appendix C'!A162)))</f>
        <v/>
      </c>
      <c r="I162" s="26" t="str">
        <f>IF(H162="", "", IF('Lighting Inventory'!AB171="Yes", "Screw-In", "General"))</f>
        <v/>
      </c>
      <c r="J162" s="26" t="str">
        <f>IF(B162="", "", CONCATENATE('Lighting Inventory'!W171, ", ", 'Lighting Inventory'!AL171, " W"))</f>
        <v/>
      </c>
      <c r="K162" s="26" t="str">
        <f>IF(OR(B162="",'Lighting Inventory'!B171="Retrofit"),"",IF('General Information'!$F$16="Space-by-Space",CONCATENATE('Lighting Inventory'!N171,", ",'Lighting Inventory'!O171," ",'Lighting Inventory'!P171," LPD"," at ",'Lighting Inventory'!Q171,", ",'Lighting Inventory'!R171," kW"),CONCATENATE(B162,", ",'Lighting Inventory'!O171," ",'Lighting Inventory'!P171," LPD"," at ",'Lighting Inventory'!Q171,", ",'Lighting Inventory'!R171," kW")))</f>
        <v/>
      </c>
      <c r="L162" s="26" t="str">
        <f>IF(H162="","",IF('Lighting Inventory'!AK171="","",'Lighting Inventory'!AK171))</f>
        <v/>
      </c>
      <c r="M162" s="26" t="str">
        <f>IF(H162="", "", 'Lighting Inventory'!AL171)</f>
        <v/>
      </c>
      <c r="N162" s="26" t="str">
        <f>IF('Lighting Inventory'!S171="", "", IF('Lighting Inventory'!W171="No Change", 'Lighting Inventory'!I171, 'Lighting Inventory'!S171))</f>
        <v/>
      </c>
      <c r="O162" s="26" t="str">
        <f>IF('Lighting Inventory'!AN171="", "", VLOOKUP('Lighting Inventory'!AN171, 'Lookup Tables'!$B$142:$D$148, 3, FALSE))</f>
        <v/>
      </c>
      <c r="P162" s="66" t="str">
        <f>IF(B162="", "", 'Lighting Inventory'!AX171)</f>
        <v/>
      </c>
      <c r="Q162" s="67" t="str">
        <f>IF(B162="", "", 'Lighting Inventory'!AZ171)</f>
        <v/>
      </c>
      <c r="R162" s="187" t="str">
        <f>IF(OR('Lighting Inventory'!G171="", 'Lighting Inventory'!H171=""), "", 'Lighting Inventory'!BD171)</f>
        <v/>
      </c>
      <c r="S162" s="187" t="str">
        <f>IF(OR('Lighting Inventory'!G171="", 'Lighting Inventory'!H171=""), "",'Lighting Inventory'!BB171)</f>
        <v/>
      </c>
      <c r="T162" s="67" t="str">
        <f>IF(B162="", "", 'Lighting Inventory'!BE171)</f>
        <v/>
      </c>
      <c r="U162" s="67" t="str">
        <f>IF(B162="", "", 'Lighting Inventory'!BF171)</f>
        <v/>
      </c>
      <c r="BM162" s="186" t="str">
        <f t="shared" si="2"/>
        <v>-</v>
      </c>
    </row>
    <row r="163" spans="1:65" x14ac:dyDescent="0.25">
      <c r="A163" s="189">
        <v>162</v>
      </c>
      <c r="B163" s="186" t="str">
        <f>IF('Lighting Inventory'!F172="", "", 'Lighting Inventory'!F172)</f>
        <v/>
      </c>
      <c r="C163" s="26" t="str">
        <f>IF(B163="", "", CONCATENATE("Area: ", 'Lighting Inventory'!D172, ", ", IF('Lighting Inventory'!C172="", "", "Floor: "), 'Lighting Inventory'!C172))</f>
        <v/>
      </c>
      <c r="D163" s="186" t="str">
        <f>IF(B163="", "", IF('Lighting Inventory'!B172="New Construction",CONCATENATE("Cut Sheet ", 250+'Appendix C'!A163), IF(ISNUMBER(SEARCH("cut sheet", 'Lighting Inventory'!J172)), CONCATENATE("Cut Sheet ", 'Lookup Tables'!AX165), 'Lighting Inventory'!J172)))</f>
        <v/>
      </c>
      <c r="E163" s="26" t="str">
        <f>IF(B163="", "", IF('Lighting Inventory'!B172="New Construction", 1, 'Lighting Inventory'!I172))</f>
        <v/>
      </c>
      <c r="F163" s="26" t="str">
        <f>IF(B163="", "", IF('Lighting Inventory'!B172="New Construction", 'Lighting Inventory'!R172*1000, 'Lighting Inventory'!K172))</f>
        <v/>
      </c>
      <c r="G163" s="26" t="str">
        <f>IF(B163="", "", IF('Lighting Inventory'!M172="", "S_LS", VLOOKUP('Lighting Inventory'!M172, 'Lookup Tables'!$B$142:$D$148, 3, FALSE)))</f>
        <v/>
      </c>
      <c r="H163" s="26" t="str">
        <f>IF(OR('Lighting Inventory'!V172="", 'Lighting Inventory'!W172=""), "", IF('Lighting Inventory'!W172="No Change", 'Lighting Inventory'!J172, CONCATENATE("Cut Sheet ", 'Appendix C'!A163)))</f>
        <v/>
      </c>
      <c r="I163" s="26" t="str">
        <f>IF(H163="", "", IF('Lighting Inventory'!AB172="Yes", "Screw-In", "General"))</f>
        <v/>
      </c>
      <c r="J163" s="26" t="str">
        <f>IF(B163="", "", CONCATENATE('Lighting Inventory'!W172, ", ", 'Lighting Inventory'!AL172, " W"))</f>
        <v/>
      </c>
      <c r="K163" s="26" t="str">
        <f>IF(OR(B163="",'Lighting Inventory'!B172="Retrofit"),"",IF('General Information'!$F$16="Space-by-Space",CONCATENATE('Lighting Inventory'!N172,", ",'Lighting Inventory'!O172," ",'Lighting Inventory'!P172," LPD"," at ",'Lighting Inventory'!Q172,", ",'Lighting Inventory'!R172," kW"),CONCATENATE(B163,", ",'Lighting Inventory'!O172," ",'Lighting Inventory'!P172," LPD"," at ",'Lighting Inventory'!Q172,", ",'Lighting Inventory'!R172," kW")))</f>
        <v/>
      </c>
      <c r="L163" s="26" t="str">
        <f>IF(H163="","",IF('Lighting Inventory'!AK172="","",'Lighting Inventory'!AK172))</f>
        <v/>
      </c>
      <c r="M163" s="26" t="str">
        <f>IF(H163="", "", 'Lighting Inventory'!AL172)</f>
        <v/>
      </c>
      <c r="N163" s="26" t="str">
        <f>IF('Lighting Inventory'!S172="", "", IF('Lighting Inventory'!W172="No Change", 'Lighting Inventory'!I172, 'Lighting Inventory'!S172))</f>
        <v/>
      </c>
      <c r="O163" s="26" t="str">
        <f>IF('Lighting Inventory'!AN172="", "", VLOOKUP('Lighting Inventory'!AN172, 'Lookup Tables'!$B$142:$D$148, 3, FALSE))</f>
        <v/>
      </c>
      <c r="P163" s="66" t="str">
        <f>IF(B163="", "", 'Lighting Inventory'!AX172)</f>
        <v/>
      </c>
      <c r="Q163" s="67" t="str">
        <f>IF(B163="", "", 'Lighting Inventory'!AZ172)</f>
        <v/>
      </c>
      <c r="R163" s="187" t="str">
        <f>IF(OR('Lighting Inventory'!G172="", 'Lighting Inventory'!H172=""), "", 'Lighting Inventory'!BD172)</f>
        <v/>
      </c>
      <c r="S163" s="187" t="str">
        <f>IF(OR('Lighting Inventory'!G172="", 'Lighting Inventory'!H172=""), "",'Lighting Inventory'!BB172)</f>
        <v/>
      </c>
      <c r="T163" s="67" t="str">
        <f>IF(B163="", "", 'Lighting Inventory'!BE172)</f>
        <v/>
      </c>
      <c r="U163" s="67" t="str">
        <f>IF(B163="", "", 'Lighting Inventory'!BF172)</f>
        <v/>
      </c>
      <c r="BM163" s="186" t="str">
        <f t="shared" si="2"/>
        <v>-</v>
      </c>
    </row>
    <row r="164" spans="1:65" x14ac:dyDescent="0.25">
      <c r="A164" s="189">
        <v>163</v>
      </c>
      <c r="B164" s="186" t="str">
        <f>IF('Lighting Inventory'!F173="", "", 'Lighting Inventory'!F173)</f>
        <v/>
      </c>
      <c r="C164" s="26" t="str">
        <f>IF(B164="", "", CONCATENATE("Area: ", 'Lighting Inventory'!D173, ", ", IF('Lighting Inventory'!C173="", "", "Floor: "), 'Lighting Inventory'!C173))</f>
        <v/>
      </c>
      <c r="D164" s="186" t="str">
        <f>IF(B164="", "", IF('Lighting Inventory'!B173="New Construction",CONCATENATE("Cut Sheet ", 250+'Appendix C'!A164), IF(ISNUMBER(SEARCH("cut sheet", 'Lighting Inventory'!J173)), CONCATENATE("Cut Sheet ", 'Lookup Tables'!AX166), 'Lighting Inventory'!J173)))</f>
        <v/>
      </c>
      <c r="E164" s="26" t="str">
        <f>IF(B164="", "", IF('Lighting Inventory'!B173="New Construction", 1, 'Lighting Inventory'!I173))</f>
        <v/>
      </c>
      <c r="F164" s="26" t="str">
        <f>IF(B164="", "", IF('Lighting Inventory'!B173="New Construction", 'Lighting Inventory'!R173*1000, 'Lighting Inventory'!K173))</f>
        <v/>
      </c>
      <c r="G164" s="26" t="str">
        <f>IF(B164="", "", IF('Lighting Inventory'!M173="", "S_LS", VLOOKUP('Lighting Inventory'!M173, 'Lookup Tables'!$B$142:$D$148, 3, FALSE)))</f>
        <v/>
      </c>
      <c r="H164" s="26" t="str">
        <f>IF(OR('Lighting Inventory'!V173="", 'Lighting Inventory'!W173=""), "", IF('Lighting Inventory'!W173="No Change", 'Lighting Inventory'!J173, CONCATENATE("Cut Sheet ", 'Appendix C'!A164)))</f>
        <v/>
      </c>
      <c r="I164" s="26" t="str">
        <f>IF(H164="", "", IF('Lighting Inventory'!AB173="Yes", "Screw-In", "General"))</f>
        <v/>
      </c>
      <c r="J164" s="26" t="str">
        <f>IF(B164="", "", CONCATENATE('Lighting Inventory'!W173, ", ", 'Lighting Inventory'!AL173, " W"))</f>
        <v/>
      </c>
      <c r="K164" s="26" t="str">
        <f>IF(OR(B164="",'Lighting Inventory'!B173="Retrofit"),"",IF('General Information'!$F$16="Space-by-Space",CONCATENATE('Lighting Inventory'!N173,", ",'Lighting Inventory'!O173," ",'Lighting Inventory'!P173," LPD"," at ",'Lighting Inventory'!Q173,", ",'Lighting Inventory'!R173," kW"),CONCATENATE(B164,", ",'Lighting Inventory'!O173," ",'Lighting Inventory'!P173," LPD"," at ",'Lighting Inventory'!Q173,", ",'Lighting Inventory'!R173," kW")))</f>
        <v/>
      </c>
      <c r="L164" s="26" t="str">
        <f>IF(H164="","",IF('Lighting Inventory'!AK173="","",'Lighting Inventory'!AK173))</f>
        <v/>
      </c>
      <c r="M164" s="26" t="str">
        <f>IF(H164="", "", 'Lighting Inventory'!AL173)</f>
        <v/>
      </c>
      <c r="N164" s="26" t="str">
        <f>IF('Lighting Inventory'!S173="", "", IF('Lighting Inventory'!W173="No Change", 'Lighting Inventory'!I173, 'Lighting Inventory'!S173))</f>
        <v/>
      </c>
      <c r="O164" s="26" t="str">
        <f>IF('Lighting Inventory'!AN173="", "", VLOOKUP('Lighting Inventory'!AN173, 'Lookup Tables'!$B$142:$D$148, 3, FALSE))</f>
        <v/>
      </c>
      <c r="P164" s="66" t="str">
        <f>IF(B164="", "", 'Lighting Inventory'!AX173)</f>
        <v/>
      </c>
      <c r="Q164" s="67" t="str">
        <f>IF(B164="", "", 'Lighting Inventory'!AZ173)</f>
        <v/>
      </c>
      <c r="R164" s="187" t="str">
        <f>IF(OR('Lighting Inventory'!G173="", 'Lighting Inventory'!H173=""), "", 'Lighting Inventory'!BD173)</f>
        <v/>
      </c>
      <c r="S164" s="187" t="str">
        <f>IF(OR('Lighting Inventory'!G173="", 'Lighting Inventory'!H173=""), "",'Lighting Inventory'!BB173)</f>
        <v/>
      </c>
      <c r="T164" s="67" t="str">
        <f>IF(B164="", "", 'Lighting Inventory'!BE173)</f>
        <v/>
      </c>
      <c r="U164" s="67" t="str">
        <f>IF(B164="", "", 'Lighting Inventory'!BF173)</f>
        <v/>
      </c>
      <c r="BM164" s="186" t="str">
        <f t="shared" si="2"/>
        <v>-</v>
      </c>
    </row>
    <row r="165" spans="1:65" x14ac:dyDescent="0.25">
      <c r="A165" s="189">
        <v>164</v>
      </c>
      <c r="B165" s="186" t="str">
        <f>IF('Lighting Inventory'!F174="", "", 'Lighting Inventory'!F174)</f>
        <v/>
      </c>
      <c r="C165" s="26" t="str">
        <f>IF(B165="", "", CONCATENATE("Area: ", 'Lighting Inventory'!D174, ", ", IF('Lighting Inventory'!C174="", "", "Floor: "), 'Lighting Inventory'!C174))</f>
        <v/>
      </c>
      <c r="D165" s="186" t="str">
        <f>IF(B165="", "", IF('Lighting Inventory'!B174="New Construction",CONCATENATE("Cut Sheet ", 250+'Appendix C'!A165), IF(ISNUMBER(SEARCH("cut sheet", 'Lighting Inventory'!J174)), CONCATENATE("Cut Sheet ", 'Lookup Tables'!AX167), 'Lighting Inventory'!J174)))</f>
        <v/>
      </c>
      <c r="E165" s="26" t="str">
        <f>IF(B165="", "", IF('Lighting Inventory'!B174="New Construction", 1, 'Lighting Inventory'!I174))</f>
        <v/>
      </c>
      <c r="F165" s="26" t="str">
        <f>IF(B165="", "", IF('Lighting Inventory'!B174="New Construction", 'Lighting Inventory'!R174*1000, 'Lighting Inventory'!K174))</f>
        <v/>
      </c>
      <c r="G165" s="26" t="str">
        <f>IF(B165="", "", IF('Lighting Inventory'!M174="", "S_LS", VLOOKUP('Lighting Inventory'!M174, 'Lookup Tables'!$B$142:$D$148, 3, FALSE)))</f>
        <v/>
      </c>
      <c r="H165" s="26" t="str">
        <f>IF(OR('Lighting Inventory'!V174="", 'Lighting Inventory'!W174=""), "", IF('Lighting Inventory'!W174="No Change", 'Lighting Inventory'!J174, CONCATENATE("Cut Sheet ", 'Appendix C'!A165)))</f>
        <v/>
      </c>
      <c r="I165" s="26" t="str">
        <f>IF(H165="", "", IF('Lighting Inventory'!AB174="Yes", "Screw-In", "General"))</f>
        <v/>
      </c>
      <c r="J165" s="26" t="str">
        <f>IF(B165="", "", CONCATENATE('Lighting Inventory'!W174, ", ", 'Lighting Inventory'!AL174, " W"))</f>
        <v/>
      </c>
      <c r="K165" s="26" t="str">
        <f>IF(OR(B165="",'Lighting Inventory'!B174="Retrofit"),"",IF('General Information'!$F$16="Space-by-Space",CONCATENATE('Lighting Inventory'!N174,", ",'Lighting Inventory'!O174," ",'Lighting Inventory'!P174," LPD"," at ",'Lighting Inventory'!Q174,", ",'Lighting Inventory'!R174," kW"),CONCATENATE(B165,", ",'Lighting Inventory'!O174," ",'Lighting Inventory'!P174," LPD"," at ",'Lighting Inventory'!Q174,", ",'Lighting Inventory'!R174," kW")))</f>
        <v/>
      </c>
      <c r="L165" s="26" t="str">
        <f>IF(H165="","",IF('Lighting Inventory'!AK174="","",'Lighting Inventory'!AK174))</f>
        <v/>
      </c>
      <c r="M165" s="26" t="str">
        <f>IF(H165="", "", 'Lighting Inventory'!AL174)</f>
        <v/>
      </c>
      <c r="N165" s="26" t="str">
        <f>IF('Lighting Inventory'!S174="", "", IF('Lighting Inventory'!W174="No Change", 'Lighting Inventory'!I174, 'Lighting Inventory'!S174))</f>
        <v/>
      </c>
      <c r="O165" s="26" t="str">
        <f>IF('Lighting Inventory'!AN174="", "", VLOOKUP('Lighting Inventory'!AN174, 'Lookup Tables'!$B$142:$D$148, 3, FALSE))</f>
        <v/>
      </c>
      <c r="P165" s="66" t="str">
        <f>IF(B165="", "", 'Lighting Inventory'!AX174)</f>
        <v/>
      </c>
      <c r="Q165" s="67" t="str">
        <f>IF(B165="", "", 'Lighting Inventory'!AZ174)</f>
        <v/>
      </c>
      <c r="R165" s="187" t="str">
        <f>IF(OR('Lighting Inventory'!G174="", 'Lighting Inventory'!H174=""), "", 'Lighting Inventory'!BD174)</f>
        <v/>
      </c>
      <c r="S165" s="187" t="str">
        <f>IF(OR('Lighting Inventory'!G174="", 'Lighting Inventory'!H174=""), "",'Lighting Inventory'!BB174)</f>
        <v/>
      </c>
      <c r="T165" s="67" t="str">
        <f>IF(B165="", "", 'Lighting Inventory'!BE174)</f>
        <v/>
      </c>
      <c r="U165" s="67" t="str">
        <f>IF(B165="", "", 'Lighting Inventory'!BF174)</f>
        <v/>
      </c>
      <c r="BM165" s="186" t="str">
        <f t="shared" si="2"/>
        <v>-</v>
      </c>
    </row>
    <row r="166" spans="1:65" x14ac:dyDescent="0.25">
      <c r="A166" s="189">
        <v>165</v>
      </c>
      <c r="B166" s="186" t="str">
        <f>IF('Lighting Inventory'!F175="", "", 'Lighting Inventory'!F175)</f>
        <v/>
      </c>
      <c r="C166" s="26" t="str">
        <f>IF(B166="", "", CONCATENATE("Area: ", 'Lighting Inventory'!D175, ", ", IF('Lighting Inventory'!C175="", "", "Floor: "), 'Lighting Inventory'!C175))</f>
        <v/>
      </c>
      <c r="D166" s="186" t="str">
        <f>IF(B166="", "", IF('Lighting Inventory'!B175="New Construction",CONCATENATE("Cut Sheet ", 250+'Appendix C'!A166), IF(ISNUMBER(SEARCH("cut sheet", 'Lighting Inventory'!J175)), CONCATENATE("Cut Sheet ", 'Lookup Tables'!AX168), 'Lighting Inventory'!J175)))</f>
        <v/>
      </c>
      <c r="E166" s="26" t="str">
        <f>IF(B166="", "", IF('Lighting Inventory'!B175="New Construction", 1, 'Lighting Inventory'!I175))</f>
        <v/>
      </c>
      <c r="F166" s="26" t="str">
        <f>IF(B166="", "", IF('Lighting Inventory'!B175="New Construction", 'Lighting Inventory'!R175*1000, 'Lighting Inventory'!K175))</f>
        <v/>
      </c>
      <c r="G166" s="26" t="str">
        <f>IF(B166="", "", IF('Lighting Inventory'!M175="", "S_LS", VLOOKUP('Lighting Inventory'!M175, 'Lookup Tables'!$B$142:$D$148, 3, FALSE)))</f>
        <v/>
      </c>
      <c r="H166" s="26" t="str">
        <f>IF(OR('Lighting Inventory'!V175="", 'Lighting Inventory'!W175=""), "", IF('Lighting Inventory'!W175="No Change", 'Lighting Inventory'!J175, CONCATENATE("Cut Sheet ", 'Appendix C'!A166)))</f>
        <v/>
      </c>
      <c r="I166" s="26" t="str">
        <f>IF(H166="", "", IF('Lighting Inventory'!AB175="Yes", "Screw-In", "General"))</f>
        <v/>
      </c>
      <c r="J166" s="26" t="str">
        <f>IF(B166="", "", CONCATENATE('Lighting Inventory'!W175, ", ", 'Lighting Inventory'!AL175, " W"))</f>
        <v/>
      </c>
      <c r="K166" s="26" t="str">
        <f>IF(OR(B166="",'Lighting Inventory'!B175="Retrofit"),"",IF('General Information'!$F$16="Space-by-Space",CONCATENATE('Lighting Inventory'!N175,", ",'Lighting Inventory'!O175," ",'Lighting Inventory'!P175," LPD"," at ",'Lighting Inventory'!Q175,", ",'Lighting Inventory'!R175," kW"),CONCATENATE(B166,", ",'Lighting Inventory'!O175," ",'Lighting Inventory'!P175," LPD"," at ",'Lighting Inventory'!Q175,", ",'Lighting Inventory'!R175," kW")))</f>
        <v/>
      </c>
      <c r="L166" s="26" t="str">
        <f>IF(H166="","",IF('Lighting Inventory'!AK175="","",'Lighting Inventory'!AK175))</f>
        <v/>
      </c>
      <c r="M166" s="26" t="str">
        <f>IF(H166="", "", 'Lighting Inventory'!AL175)</f>
        <v/>
      </c>
      <c r="N166" s="26" t="str">
        <f>IF('Lighting Inventory'!S175="", "", IF('Lighting Inventory'!W175="No Change", 'Lighting Inventory'!I175, 'Lighting Inventory'!S175))</f>
        <v/>
      </c>
      <c r="O166" s="26" t="str">
        <f>IF('Lighting Inventory'!AN175="", "", VLOOKUP('Lighting Inventory'!AN175, 'Lookup Tables'!$B$142:$D$148, 3, FALSE))</f>
        <v/>
      </c>
      <c r="P166" s="66" t="str">
        <f>IF(B166="", "", 'Lighting Inventory'!AX175)</f>
        <v/>
      </c>
      <c r="Q166" s="67" t="str">
        <f>IF(B166="", "", 'Lighting Inventory'!AZ175)</f>
        <v/>
      </c>
      <c r="R166" s="187" t="str">
        <f>IF(OR('Lighting Inventory'!G175="", 'Lighting Inventory'!H175=""), "", 'Lighting Inventory'!BD175)</f>
        <v/>
      </c>
      <c r="S166" s="187" t="str">
        <f>IF(OR('Lighting Inventory'!G175="", 'Lighting Inventory'!H175=""), "",'Lighting Inventory'!BB175)</f>
        <v/>
      </c>
      <c r="T166" s="67" t="str">
        <f>IF(B166="", "", 'Lighting Inventory'!BE175)</f>
        <v/>
      </c>
      <c r="U166" s="67" t="str">
        <f>IF(B166="", "", 'Lighting Inventory'!BF175)</f>
        <v/>
      </c>
      <c r="BM166" s="186" t="str">
        <f t="shared" si="2"/>
        <v>-</v>
      </c>
    </row>
    <row r="167" spans="1:65" x14ac:dyDescent="0.25">
      <c r="A167" s="189">
        <v>166</v>
      </c>
      <c r="B167" s="186" t="str">
        <f>IF('Lighting Inventory'!F176="", "", 'Lighting Inventory'!F176)</f>
        <v/>
      </c>
      <c r="C167" s="26" t="str">
        <f>IF(B167="", "", CONCATENATE("Area: ", 'Lighting Inventory'!D176, ", ", IF('Lighting Inventory'!C176="", "", "Floor: "), 'Lighting Inventory'!C176))</f>
        <v/>
      </c>
      <c r="D167" s="186" t="str">
        <f>IF(B167="", "", IF('Lighting Inventory'!B176="New Construction",CONCATENATE("Cut Sheet ", 250+'Appendix C'!A167), IF(ISNUMBER(SEARCH("cut sheet", 'Lighting Inventory'!J176)), CONCATENATE("Cut Sheet ", 'Lookup Tables'!AX169), 'Lighting Inventory'!J176)))</f>
        <v/>
      </c>
      <c r="E167" s="26" t="str">
        <f>IF(B167="", "", IF('Lighting Inventory'!B176="New Construction", 1, 'Lighting Inventory'!I176))</f>
        <v/>
      </c>
      <c r="F167" s="26" t="str">
        <f>IF(B167="", "", IF('Lighting Inventory'!B176="New Construction", 'Lighting Inventory'!R176*1000, 'Lighting Inventory'!K176))</f>
        <v/>
      </c>
      <c r="G167" s="26" t="str">
        <f>IF(B167="", "", IF('Lighting Inventory'!M176="", "S_LS", VLOOKUP('Lighting Inventory'!M176, 'Lookup Tables'!$B$142:$D$148, 3, FALSE)))</f>
        <v/>
      </c>
      <c r="H167" s="26" t="str">
        <f>IF(OR('Lighting Inventory'!V176="", 'Lighting Inventory'!W176=""), "", IF('Lighting Inventory'!W176="No Change", 'Lighting Inventory'!J176, CONCATENATE("Cut Sheet ", 'Appendix C'!A167)))</f>
        <v/>
      </c>
      <c r="I167" s="26" t="str">
        <f>IF(H167="", "", IF('Lighting Inventory'!AB176="Yes", "Screw-In", "General"))</f>
        <v/>
      </c>
      <c r="J167" s="26" t="str">
        <f>IF(B167="", "", CONCATENATE('Lighting Inventory'!W176, ", ", 'Lighting Inventory'!AL176, " W"))</f>
        <v/>
      </c>
      <c r="K167" s="26" t="str">
        <f>IF(OR(B167="",'Lighting Inventory'!B176="Retrofit"),"",IF('General Information'!$F$16="Space-by-Space",CONCATENATE('Lighting Inventory'!N176,", ",'Lighting Inventory'!O176," ",'Lighting Inventory'!P176," LPD"," at ",'Lighting Inventory'!Q176,", ",'Lighting Inventory'!R176," kW"),CONCATENATE(B167,", ",'Lighting Inventory'!O176," ",'Lighting Inventory'!P176," LPD"," at ",'Lighting Inventory'!Q176,", ",'Lighting Inventory'!R176," kW")))</f>
        <v/>
      </c>
      <c r="L167" s="26" t="str">
        <f>IF(H167="","",IF('Lighting Inventory'!AK176="","",'Lighting Inventory'!AK176))</f>
        <v/>
      </c>
      <c r="M167" s="26" t="str">
        <f>IF(H167="", "", 'Lighting Inventory'!AL176)</f>
        <v/>
      </c>
      <c r="N167" s="26" t="str">
        <f>IF('Lighting Inventory'!S176="", "", IF('Lighting Inventory'!W176="No Change", 'Lighting Inventory'!I176, 'Lighting Inventory'!S176))</f>
        <v/>
      </c>
      <c r="O167" s="26" t="str">
        <f>IF('Lighting Inventory'!AN176="", "", VLOOKUP('Lighting Inventory'!AN176, 'Lookup Tables'!$B$142:$D$148, 3, FALSE))</f>
        <v/>
      </c>
      <c r="P167" s="66" t="str">
        <f>IF(B167="", "", 'Lighting Inventory'!AX176)</f>
        <v/>
      </c>
      <c r="Q167" s="67" t="str">
        <f>IF(B167="", "", 'Lighting Inventory'!AZ176)</f>
        <v/>
      </c>
      <c r="R167" s="187" t="str">
        <f>IF(OR('Lighting Inventory'!G176="", 'Lighting Inventory'!H176=""), "", 'Lighting Inventory'!BD176)</f>
        <v/>
      </c>
      <c r="S167" s="187" t="str">
        <f>IF(OR('Lighting Inventory'!G176="", 'Lighting Inventory'!H176=""), "",'Lighting Inventory'!BB176)</f>
        <v/>
      </c>
      <c r="T167" s="67" t="str">
        <f>IF(B167="", "", 'Lighting Inventory'!BE176)</f>
        <v/>
      </c>
      <c r="U167" s="67" t="str">
        <f>IF(B167="", "", 'Lighting Inventory'!BF176)</f>
        <v/>
      </c>
      <c r="BM167" s="186" t="str">
        <f t="shared" si="2"/>
        <v>-</v>
      </c>
    </row>
    <row r="168" spans="1:65" x14ac:dyDescent="0.25">
      <c r="A168" s="189">
        <v>167</v>
      </c>
      <c r="B168" s="186" t="str">
        <f>IF('Lighting Inventory'!F177="", "", 'Lighting Inventory'!F177)</f>
        <v/>
      </c>
      <c r="C168" s="26" t="str">
        <f>IF(B168="", "", CONCATENATE("Area: ", 'Lighting Inventory'!D177, ", ", IF('Lighting Inventory'!C177="", "", "Floor: "), 'Lighting Inventory'!C177))</f>
        <v/>
      </c>
      <c r="D168" s="186" t="str">
        <f>IF(B168="", "", IF('Lighting Inventory'!B177="New Construction",CONCATENATE("Cut Sheet ", 250+'Appendix C'!A168), IF(ISNUMBER(SEARCH("cut sheet", 'Lighting Inventory'!J177)), CONCATENATE("Cut Sheet ", 'Lookup Tables'!AX170), 'Lighting Inventory'!J177)))</f>
        <v/>
      </c>
      <c r="E168" s="26" t="str">
        <f>IF(B168="", "", IF('Lighting Inventory'!B177="New Construction", 1, 'Lighting Inventory'!I177))</f>
        <v/>
      </c>
      <c r="F168" s="26" t="str">
        <f>IF(B168="", "", IF('Lighting Inventory'!B177="New Construction", 'Lighting Inventory'!R177*1000, 'Lighting Inventory'!K177))</f>
        <v/>
      </c>
      <c r="G168" s="26" t="str">
        <f>IF(B168="", "", IF('Lighting Inventory'!M177="", "S_LS", VLOOKUP('Lighting Inventory'!M177, 'Lookup Tables'!$B$142:$D$148, 3, FALSE)))</f>
        <v/>
      </c>
      <c r="H168" s="26" t="str">
        <f>IF(OR('Lighting Inventory'!V177="", 'Lighting Inventory'!W177=""), "", IF('Lighting Inventory'!W177="No Change", 'Lighting Inventory'!J177, CONCATENATE("Cut Sheet ", 'Appendix C'!A168)))</f>
        <v/>
      </c>
      <c r="I168" s="26" t="str">
        <f>IF(H168="", "", IF('Lighting Inventory'!AB177="Yes", "Screw-In", "General"))</f>
        <v/>
      </c>
      <c r="J168" s="26" t="str">
        <f>IF(B168="", "", CONCATENATE('Lighting Inventory'!W177, ", ", 'Lighting Inventory'!AL177, " W"))</f>
        <v/>
      </c>
      <c r="K168" s="26" t="str">
        <f>IF(OR(B168="",'Lighting Inventory'!B177="Retrofit"),"",IF('General Information'!$F$16="Space-by-Space",CONCATENATE('Lighting Inventory'!N177,", ",'Lighting Inventory'!O177," ",'Lighting Inventory'!P177," LPD"," at ",'Lighting Inventory'!Q177,", ",'Lighting Inventory'!R177," kW"),CONCATENATE(B168,", ",'Lighting Inventory'!O177," ",'Lighting Inventory'!P177," LPD"," at ",'Lighting Inventory'!Q177,", ",'Lighting Inventory'!R177," kW")))</f>
        <v/>
      </c>
      <c r="L168" s="26" t="str">
        <f>IF(H168="","",IF('Lighting Inventory'!AK177="","",'Lighting Inventory'!AK177))</f>
        <v/>
      </c>
      <c r="M168" s="26" t="str">
        <f>IF(H168="", "", 'Lighting Inventory'!AL177)</f>
        <v/>
      </c>
      <c r="N168" s="26" t="str">
        <f>IF('Lighting Inventory'!S177="", "", IF('Lighting Inventory'!W177="No Change", 'Lighting Inventory'!I177, 'Lighting Inventory'!S177))</f>
        <v/>
      </c>
      <c r="O168" s="26" t="str">
        <f>IF('Lighting Inventory'!AN177="", "", VLOOKUP('Lighting Inventory'!AN177, 'Lookup Tables'!$B$142:$D$148, 3, FALSE))</f>
        <v/>
      </c>
      <c r="P168" s="66" t="str">
        <f>IF(B168="", "", 'Lighting Inventory'!AX177)</f>
        <v/>
      </c>
      <c r="Q168" s="67" t="str">
        <f>IF(B168="", "", 'Lighting Inventory'!AZ177)</f>
        <v/>
      </c>
      <c r="R168" s="187" t="str">
        <f>IF(OR('Lighting Inventory'!G177="", 'Lighting Inventory'!H177=""), "", 'Lighting Inventory'!BD177)</f>
        <v/>
      </c>
      <c r="S168" s="187" t="str">
        <f>IF(OR('Lighting Inventory'!G177="", 'Lighting Inventory'!H177=""), "",'Lighting Inventory'!BB177)</f>
        <v/>
      </c>
      <c r="T168" s="67" t="str">
        <f>IF(B168="", "", 'Lighting Inventory'!BE177)</f>
        <v/>
      </c>
      <c r="U168" s="67" t="str">
        <f>IF(B168="", "", 'Lighting Inventory'!BF177)</f>
        <v/>
      </c>
      <c r="BM168" s="186" t="str">
        <f t="shared" si="2"/>
        <v>-</v>
      </c>
    </row>
    <row r="169" spans="1:65" x14ac:dyDescent="0.25">
      <c r="A169" s="189">
        <v>168</v>
      </c>
      <c r="B169" s="186" t="str">
        <f>IF('Lighting Inventory'!F178="", "", 'Lighting Inventory'!F178)</f>
        <v/>
      </c>
      <c r="C169" s="26" t="str">
        <f>IF(B169="", "", CONCATENATE("Area: ", 'Lighting Inventory'!D178, ", ", IF('Lighting Inventory'!C178="", "", "Floor: "), 'Lighting Inventory'!C178))</f>
        <v/>
      </c>
      <c r="D169" s="186" t="str">
        <f>IF(B169="", "", IF('Lighting Inventory'!B178="New Construction",CONCATENATE("Cut Sheet ", 250+'Appendix C'!A169), IF(ISNUMBER(SEARCH("cut sheet", 'Lighting Inventory'!J178)), CONCATENATE("Cut Sheet ", 'Lookup Tables'!AX171), 'Lighting Inventory'!J178)))</f>
        <v/>
      </c>
      <c r="E169" s="26" t="str">
        <f>IF(B169="", "", IF('Lighting Inventory'!B178="New Construction", 1, 'Lighting Inventory'!I178))</f>
        <v/>
      </c>
      <c r="F169" s="26" t="str">
        <f>IF(B169="", "", IF('Lighting Inventory'!B178="New Construction", 'Lighting Inventory'!R178*1000, 'Lighting Inventory'!K178))</f>
        <v/>
      </c>
      <c r="G169" s="26" t="str">
        <f>IF(B169="", "", IF('Lighting Inventory'!M178="", "S_LS", VLOOKUP('Lighting Inventory'!M178, 'Lookup Tables'!$B$142:$D$148, 3, FALSE)))</f>
        <v/>
      </c>
      <c r="H169" s="26" t="str">
        <f>IF(OR('Lighting Inventory'!V178="", 'Lighting Inventory'!W178=""), "", IF('Lighting Inventory'!W178="No Change", 'Lighting Inventory'!J178, CONCATENATE("Cut Sheet ", 'Appendix C'!A169)))</f>
        <v/>
      </c>
      <c r="I169" s="26" t="str">
        <f>IF(H169="", "", IF('Lighting Inventory'!AB178="Yes", "Screw-In", "General"))</f>
        <v/>
      </c>
      <c r="J169" s="26" t="str">
        <f>IF(B169="", "", CONCATENATE('Lighting Inventory'!W178, ", ", 'Lighting Inventory'!AL178, " W"))</f>
        <v/>
      </c>
      <c r="K169" s="26" t="str">
        <f>IF(OR(B169="",'Lighting Inventory'!B178="Retrofit"),"",IF('General Information'!$F$16="Space-by-Space",CONCATENATE('Lighting Inventory'!N178,", ",'Lighting Inventory'!O178," ",'Lighting Inventory'!P178," LPD"," at ",'Lighting Inventory'!Q178,", ",'Lighting Inventory'!R178," kW"),CONCATENATE(B169,", ",'Lighting Inventory'!O178," ",'Lighting Inventory'!P178," LPD"," at ",'Lighting Inventory'!Q178,", ",'Lighting Inventory'!R178," kW")))</f>
        <v/>
      </c>
      <c r="L169" s="26" t="str">
        <f>IF(H169="","",IF('Lighting Inventory'!AK178="","",'Lighting Inventory'!AK178))</f>
        <v/>
      </c>
      <c r="M169" s="26" t="str">
        <f>IF(H169="", "", 'Lighting Inventory'!AL178)</f>
        <v/>
      </c>
      <c r="N169" s="26" t="str">
        <f>IF('Lighting Inventory'!S178="", "", IF('Lighting Inventory'!W178="No Change", 'Lighting Inventory'!I178, 'Lighting Inventory'!S178))</f>
        <v/>
      </c>
      <c r="O169" s="26" t="str">
        <f>IF('Lighting Inventory'!AN178="", "", VLOOKUP('Lighting Inventory'!AN178, 'Lookup Tables'!$B$142:$D$148, 3, FALSE))</f>
        <v/>
      </c>
      <c r="P169" s="66" t="str">
        <f>IF(B169="", "", 'Lighting Inventory'!AX178)</f>
        <v/>
      </c>
      <c r="Q169" s="67" t="str">
        <f>IF(B169="", "", 'Lighting Inventory'!AZ178)</f>
        <v/>
      </c>
      <c r="R169" s="187" t="str">
        <f>IF(OR('Lighting Inventory'!G178="", 'Lighting Inventory'!H178=""), "", 'Lighting Inventory'!BD178)</f>
        <v/>
      </c>
      <c r="S169" s="187" t="str">
        <f>IF(OR('Lighting Inventory'!G178="", 'Lighting Inventory'!H178=""), "",'Lighting Inventory'!BB178)</f>
        <v/>
      </c>
      <c r="T169" s="67" t="str">
        <f>IF(B169="", "", 'Lighting Inventory'!BE178)</f>
        <v/>
      </c>
      <c r="U169" s="67" t="str">
        <f>IF(B169="", "", 'Lighting Inventory'!BF178)</f>
        <v/>
      </c>
      <c r="BM169" s="186" t="str">
        <f t="shared" si="2"/>
        <v>-</v>
      </c>
    </row>
    <row r="170" spans="1:65" x14ac:dyDescent="0.25">
      <c r="A170" s="189">
        <v>169</v>
      </c>
      <c r="B170" s="186" t="str">
        <f>IF('Lighting Inventory'!F179="", "", 'Lighting Inventory'!F179)</f>
        <v/>
      </c>
      <c r="C170" s="26" t="str">
        <f>IF(B170="", "", CONCATENATE("Area: ", 'Lighting Inventory'!D179, ", ", IF('Lighting Inventory'!C179="", "", "Floor: "), 'Lighting Inventory'!C179))</f>
        <v/>
      </c>
      <c r="D170" s="186" t="str">
        <f>IF(B170="", "", IF('Lighting Inventory'!B179="New Construction",CONCATENATE("Cut Sheet ", 250+'Appendix C'!A170), IF(ISNUMBER(SEARCH("cut sheet", 'Lighting Inventory'!J179)), CONCATENATE("Cut Sheet ", 'Lookup Tables'!AX172), 'Lighting Inventory'!J179)))</f>
        <v/>
      </c>
      <c r="E170" s="26" t="str">
        <f>IF(B170="", "", IF('Lighting Inventory'!B179="New Construction", 1, 'Lighting Inventory'!I179))</f>
        <v/>
      </c>
      <c r="F170" s="26" t="str">
        <f>IF(B170="", "", IF('Lighting Inventory'!B179="New Construction", 'Lighting Inventory'!R179*1000, 'Lighting Inventory'!K179))</f>
        <v/>
      </c>
      <c r="G170" s="26" t="str">
        <f>IF(B170="", "", IF('Lighting Inventory'!M179="", "S_LS", VLOOKUP('Lighting Inventory'!M179, 'Lookup Tables'!$B$142:$D$148, 3, FALSE)))</f>
        <v/>
      </c>
      <c r="H170" s="26" t="str">
        <f>IF(OR('Lighting Inventory'!V179="", 'Lighting Inventory'!W179=""), "", IF('Lighting Inventory'!W179="No Change", 'Lighting Inventory'!J179, CONCATENATE("Cut Sheet ", 'Appendix C'!A170)))</f>
        <v/>
      </c>
      <c r="I170" s="26" t="str">
        <f>IF(H170="", "", IF('Lighting Inventory'!AB179="Yes", "Screw-In", "General"))</f>
        <v/>
      </c>
      <c r="J170" s="26" t="str">
        <f>IF(B170="", "", CONCATENATE('Lighting Inventory'!W179, ", ", 'Lighting Inventory'!AL179, " W"))</f>
        <v/>
      </c>
      <c r="K170" s="26" t="str">
        <f>IF(OR(B170="",'Lighting Inventory'!B179="Retrofit"),"",IF('General Information'!$F$16="Space-by-Space",CONCATENATE('Lighting Inventory'!N179,", ",'Lighting Inventory'!O179," ",'Lighting Inventory'!P179," LPD"," at ",'Lighting Inventory'!Q179,", ",'Lighting Inventory'!R179," kW"),CONCATENATE(B170,", ",'Lighting Inventory'!O179," ",'Lighting Inventory'!P179," LPD"," at ",'Lighting Inventory'!Q179,", ",'Lighting Inventory'!R179," kW")))</f>
        <v/>
      </c>
      <c r="L170" s="26" t="str">
        <f>IF(H170="","",IF('Lighting Inventory'!AK179="","",'Lighting Inventory'!AK179))</f>
        <v/>
      </c>
      <c r="M170" s="26" t="str">
        <f>IF(H170="", "", 'Lighting Inventory'!AL179)</f>
        <v/>
      </c>
      <c r="N170" s="26" t="str">
        <f>IF('Lighting Inventory'!S179="", "", IF('Lighting Inventory'!W179="No Change", 'Lighting Inventory'!I179, 'Lighting Inventory'!S179))</f>
        <v/>
      </c>
      <c r="O170" s="26" t="str">
        <f>IF('Lighting Inventory'!AN179="", "", VLOOKUP('Lighting Inventory'!AN179, 'Lookup Tables'!$B$142:$D$148, 3, FALSE))</f>
        <v/>
      </c>
      <c r="P170" s="66" t="str">
        <f>IF(B170="", "", 'Lighting Inventory'!AX179)</f>
        <v/>
      </c>
      <c r="Q170" s="67" t="str">
        <f>IF(B170="", "", 'Lighting Inventory'!AZ179)</f>
        <v/>
      </c>
      <c r="R170" s="187" t="str">
        <f>IF(OR('Lighting Inventory'!G179="", 'Lighting Inventory'!H179=""), "", 'Lighting Inventory'!BD179)</f>
        <v/>
      </c>
      <c r="S170" s="187" t="str">
        <f>IF(OR('Lighting Inventory'!G179="", 'Lighting Inventory'!H179=""), "",'Lighting Inventory'!BB179)</f>
        <v/>
      </c>
      <c r="T170" s="67" t="str">
        <f>IF(B170="", "", 'Lighting Inventory'!BE179)</f>
        <v/>
      </c>
      <c r="U170" s="67" t="str">
        <f>IF(B170="", "", 'Lighting Inventory'!BF179)</f>
        <v/>
      </c>
      <c r="BM170" s="186" t="str">
        <f t="shared" si="2"/>
        <v>-</v>
      </c>
    </row>
    <row r="171" spans="1:65" x14ac:dyDescent="0.25">
      <c r="A171" s="189">
        <v>170</v>
      </c>
      <c r="B171" s="186" t="str">
        <f>IF('Lighting Inventory'!F180="", "", 'Lighting Inventory'!F180)</f>
        <v/>
      </c>
      <c r="C171" s="26" t="str">
        <f>IF(B171="", "", CONCATENATE("Area: ", 'Lighting Inventory'!D180, ", ", IF('Lighting Inventory'!C180="", "", "Floor: "), 'Lighting Inventory'!C180))</f>
        <v/>
      </c>
      <c r="D171" s="186" t="str">
        <f>IF(B171="", "", IF('Lighting Inventory'!B180="New Construction",CONCATENATE("Cut Sheet ", 250+'Appendix C'!A171), IF(ISNUMBER(SEARCH("cut sheet", 'Lighting Inventory'!J180)), CONCATENATE("Cut Sheet ", 'Lookup Tables'!AX173), 'Lighting Inventory'!J180)))</f>
        <v/>
      </c>
      <c r="E171" s="26" t="str">
        <f>IF(B171="", "", IF('Lighting Inventory'!B180="New Construction", 1, 'Lighting Inventory'!I180))</f>
        <v/>
      </c>
      <c r="F171" s="26" t="str">
        <f>IF(B171="", "", IF('Lighting Inventory'!B180="New Construction", 'Lighting Inventory'!R180*1000, 'Lighting Inventory'!K180))</f>
        <v/>
      </c>
      <c r="G171" s="26" t="str">
        <f>IF(B171="", "", IF('Lighting Inventory'!M180="", "S_LS", VLOOKUP('Lighting Inventory'!M180, 'Lookup Tables'!$B$142:$D$148, 3, FALSE)))</f>
        <v/>
      </c>
      <c r="H171" s="26" t="str">
        <f>IF(OR('Lighting Inventory'!V180="", 'Lighting Inventory'!W180=""), "", IF('Lighting Inventory'!W180="No Change", 'Lighting Inventory'!J180, CONCATENATE("Cut Sheet ", 'Appendix C'!A171)))</f>
        <v/>
      </c>
      <c r="I171" s="26" t="str">
        <f>IF(H171="", "", IF('Lighting Inventory'!AB180="Yes", "Screw-In", "General"))</f>
        <v/>
      </c>
      <c r="J171" s="26" t="str">
        <f>IF(B171="", "", CONCATENATE('Lighting Inventory'!W180, ", ", 'Lighting Inventory'!AL180, " W"))</f>
        <v/>
      </c>
      <c r="K171" s="26" t="str">
        <f>IF(OR(B171="",'Lighting Inventory'!B180="Retrofit"),"",IF('General Information'!$F$16="Space-by-Space",CONCATENATE('Lighting Inventory'!N180,", ",'Lighting Inventory'!O180," ",'Lighting Inventory'!P180," LPD"," at ",'Lighting Inventory'!Q180,", ",'Lighting Inventory'!R180," kW"),CONCATENATE(B171,", ",'Lighting Inventory'!O180," ",'Lighting Inventory'!P180," LPD"," at ",'Lighting Inventory'!Q180,", ",'Lighting Inventory'!R180," kW")))</f>
        <v/>
      </c>
      <c r="L171" s="26" t="str">
        <f>IF(H171="","",IF('Lighting Inventory'!AK180="","",'Lighting Inventory'!AK180))</f>
        <v/>
      </c>
      <c r="M171" s="26" t="str">
        <f>IF(H171="", "", 'Lighting Inventory'!AL180)</f>
        <v/>
      </c>
      <c r="N171" s="26" t="str">
        <f>IF('Lighting Inventory'!S180="", "", IF('Lighting Inventory'!W180="No Change", 'Lighting Inventory'!I180, 'Lighting Inventory'!S180))</f>
        <v/>
      </c>
      <c r="O171" s="26" t="str">
        <f>IF('Lighting Inventory'!AN180="", "", VLOOKUP('Lighting Inventory'!AN180, 'Lookup Tables'!$B$142:$D$148, 3, FALSE))</f>
        <v/>
      </c>
      <c r="P171" s="66" t="str">
        <f>IF(B171="", "", 'Lighting Inventory'!AX180)</f>
        <v/>
      </c>
      <c r="Q171" s="67" t="str">
        <f>IF(B171="", "", 'Lighting Inventory'!AZ180)</f>
        <v/>
      </c>
      <c r="R171" s="187" t="str">
        <f>IF(OR('Lighting Inventory'!G180="", 'Lighting Inventory'!H180=""), "", 'Lighting Inventory'!BD180)</f>
        <v/>
      </c>
      <c r="S171" s="187" t="str">
        <f>IF(OR('Lighting Inventory'!G180="", 'Lighting Inventory'!H180=""), "",'Lighting Inventory'!BB180)</f>
        <v/>
      </c>
      <c r="T171" s="67" t="str">
        <f>IF(B171="", "", 'Lighting Inventory'!BE180)</f>
        <v/>
      </c>
      <c r="U171" s="67" t="str">
        <f>IF(B171="", "", 'Lighting Inventory'!BF180)</f>
        <v/>
      </c>
      <c r="BM171" s="186" t="str">
        <f t="shared" si="2"/>
        <v>-</v>
      </c>
    </row>
    <row r="172" spans="1:65" x14ac:dyDescent="0.25">
      <c r="A172" s="189">
        <v>171</v>
      </c>
      <c r="B172" s="186" t="str">
        <f>IF('Lighting Inventory'!F181="", "", 'Lighting Inventory'!F181)</f>
        <v/>
      </c>
      <c r="C172" s="26" t="str">
        <f>IF(B172="", "", CONCATENATE("Area: ", 'Lighting Inventory'!D181, ", ", IF('Lighting Inventory'!C181="", "", "Floor: "), 'Lighting Inventory'!C181))</f>
        <v/>
      </c>
      <c r="D172" s="186" t="str">
        <f>IF(B172="", "", IF('Lighting Inventory'!B181="New Construction",CONCATENATE("Cut Sheet ", 250+'Appendix C'!A172), IF(ISNUMBER(SEARCH("cut sheet", 'Lighting Inventory'!J181)), CONCATENATE("Cut Sheet ", 'Lookup Tables'!AX174), 'Lighting Inventory'!J181)))</f>
        <v/>
      </c>
      <c r="E172" s="26" t="str">
        <f>IF(B172="", "", IF('Lighting Inventory'!B181="New Construction", 1, 'Lighting Inventory'!I181))</f>
        <v/>
      </c>
      <c r="F172" s="26" t="str">
        <f>IF(B172="", "", IF('Lighting Inventory'!B181="New Construction", 'Lighting Inventory'!R181*1000, 'Lighting Inventory'!K181))</f>
        <v/>
      </c>
      <c r="G172" s="26" t="str">
        <f>IF(B172="", "", IF('Lighting Inventory'!M181="", "S_LS", VLOOKUP('Lighting Inventory'!M181, 'Lookup Tables'!$B$142:$D$148, 3, FALSE)))</f>
        <v/>
      </c>
      <c r="H172" s="26" t="str">
        <f>IF(OR('Lighting Inventory'!V181="", 'Lighting Inventory'!W181=""), "", IF('Lighting Inventory'!W181="No Change", 'Lighting Inventory'!J181, CONCATENATE("Cut Sheet ", 'Appendix C'!A172)))</f>
        <v/>
      </c>
      <c r="I172" s="26" t="str">
        <f>IF(H172="", "", IF('Lighting Inventory'!AB181="Yes", "Screw-In", "General"))</f>
        <v/>
      </c>
      <c r="J172" s="26" t="str">
        <f>IF(B172="", "", CONCATENATE('Lighting Inventory'!W181, ", ", 'Lighting Inventory'!AL181, " W"))</f>
        <v/>
      </c>
      <c r="K172" s="26" t="str">
        <f>IF(OR(B172="",'Lighting Inventory'!B181="Retrofit"),"",IF('General Information'!$F$16="Space-by-Space",CONCATENATE('Lighting Inventory'!N181,", ",'Lighting Inventory'!O181," ",'Lighting Inventory'!P181," LPD"," at ",'Lighting Inventory'!Q181,", ",'Lighting Inventory'!R181," kW"),CONCATENATE(B172,", ",'Lighting Inventory'!O181," ",'Lighting Inventory'!P181," LPD"," at ",'Lighting Inventory'!Q181,", ",'Lighting Inventory'!R181," kW")))</f>
        <v/>
      </c>
      <c r="L172" s="26" t="str">
        <f>IF(H172="","",IF('Lighting Inventory'!AK181="","",'Lighting Inventory'!AK181))</f>
        <v/>
      </c>
      <c r="M172" s="26" t="str">
        <f>IF(H172="", "", 'Lighting Inventory'!AL181)</f>
        <v/>
      </c>
      <c r="N172" s="26" t="str">
        <f>IF('Lighting Inventory'!S181="", "", IF('Lighting Inventory'!W181="No Change", 'Lighting Inventory'!I181, 'Lighting Inventory'!S181))</f>
        <v/>
      </c>
      <c r="O172" s="26" t="str">
        <f>IF('Lighting Inventory'!AN181="", "", VLOOKUP('Lighting Inventory'!AN181, 'Lookup Tables'!$B$142:$D$148, 3, FALSE))</f>
        <v/>
      </c>
      <c r="P172" s="66" t="str">
        <f>IF(B172="", "", 'Lighting Inventory'!AX181)</f>
        <v/>
      </c>
      <c r="Q172" s="67" t="str">
        <f>IF(B172="", "", 'Lighting Inventory'!AZ181)</f>
        <v/>
      </c>
      <c r="R172" s="187" t="str">
        <f>IF(OR('Lighting Inventory'!G181="", 'Lighting Inventory'!H181=""), "", 'Lighting Inventory'!BD181)</f>
        <v/>
      </c>
      <c r="S172" s="187" t="str">
        <f>IF(OR('Lighting Inventory'!G181="", 'Lighting Inventory'!H181=""), "",'Lighting Inventory'!BB181)</f>
        <v/>
      </c>
      <c r="T172" s="67" t="str">
        <f>IF(B172="", "", 'Lighting Inventory'!BE181)</f>
        <v/>
      </c>
      <c r="U172" s="67" t="str">
        <f>IF(B172="", "", 'Lighting Inventory'!BF181)</f>
        <v/>
      </c>
      <c r="BM172" s="186" t="str">
        <f t="shared" si="2"/>
        <v>-</v>
      </c>
    </row>
    <row r="173" spans="1:65" x14ac:dyDescent="0.25">
      <c r="A173" s="189">
        <v>172</v>
      </c>
      <c r="B173" s="186" t="str">
        <f>IF('Lighting Inventory'!F182="", "", 'Lighting Inventory'!F182)</f>
        <v/>
      </c>
      <c r="C173" s="26" t="str">
        <f>IF(B173="", "", CONCATENATE("Area: ", 'Lighting Inventory'!D182, ", ", IF('Lighting Inventory'!C182="", "", "Floor: "), 'Lighting Inventory'!C182))</f>
        <v/>
      </c>
      <c r="D173" s="186" t="str">
        <f>IF(B173="", "", IF('Lighting Inventory'!B182="New Construction",CONCATENATE("Cut Sheet ", 250+'Appendix C'!A173), IF(ISNUMBER(SEARCH("cut sheet", 'Lighting Inventory'!J182)), CONCATENATE("Cut Sheet ", 'Lookup Tables'!AX175), 'Lighting Inventory'!J182)))</f>
        <v/>
      </c>
      <c r="E173" s="26" t="str">
        <f>IF(B173="", "", IF('Lighting Inventory'!B182="New Construction", 1, 'Lighting Inventory'!I182))</f>
        <v/>
      </c>
      <c r="F173" s="26" t="str">
        <f>IF(B173="", "", IF('Lighting Inventory'!B182="New Construction", 'Lighting Inventory'!R182*1000, 'Lighting Inventory'!K182))</f>
        <v/>
      </c>
      <c r="G173" s="26" t="str">
        <f>IF(B173="", "", IF('Lighting Inventory'!M182="", "S_LS", VLOOKUP('Lighting Inventory'!M182, 'Lookup Tables'!$B$142:$D$148, 3, FALSE)))</f>
        <v/>
      </c>
      <c r="H173" s="26" t="str">
        <f>IF(OR('Lighting Inventory'!V182="", 'Lighting Inventory'!W182=""), "", IF('Lighting Inventory'!W182="No Change", 'Lighting Inventory'!J182, CONCATENATE("Cut Sheet ", 'Appendix C'!A173)))</f>
        <v/>
      </c>
      <c r="I173" s="26" t="str">
        <f>IF(H173="", "", IF('Lighting Inventory'!AB182="Yes", "Screw-In", "General"))</f>
        <v/>
      </c>
      <c r="J173" s="26" t="str">
        <f>IF(B173="", "", CONCATENATE('Lighting Inventory'!W182, ", ", 'Lighting Inventory'!AL182, " W"))</f>
        <v/>
      </c>
      <c r="K173" s="26" t="str">
        <f>IF(OR(B173="",'Lighting Inventory'!B182="Retrofit"),"",IF('General Information'!$F$16="Space-by-Space",CONCATENATE('Lighting Inventory'!N182,", ",'Lighting Inventory'!O182," ",'Lighting Inventory'!P182," LPD"," at ",'Lighting Inventory'!Q182,", ",'Lighting Inventory'!R182," kW"),CONCATENATE(B173,", ",'Lighting Inventory'!O182," ",'Lighting Inventory'!P182," LPD"," at ",'Lighting Inventory'!Q182,", ",'Lighting Inventory'!R182," kW")))</f>
        <v/>
      </c>
      <c r="L173" s="26" t="str">
        <f>IF(H173="","",IF('Lighting Inventory'!AK182="","",'Lighting Inventory'!AK182))</f>
        <v/>
      </c>
      <c r="M173" s="26" t="str">
        <f>IF(H173="", "", 'Lighting Inventory'!AL182)</f>
        <v/>
      </c>
      <c r="N173" s="26" t="str">
        <f>IF('Lighting Inventory'!S182="", "", IF('Lighting Inventory'!W182="No Change", 'Lighting Inventory'!I182, 'Lighting Inventory'!S182))</f>
        <v/>
      </c>
      <c r="O173" s="26" t="str">
        <f>IF('Lighting Inventory'!AN182="", "", VLOOKUP('Lighting Inventory'!AN182, 'Lookup Tables'!$B$142:$D$148, 3, FALSE))</f>
        <v/>
      </c>
      <c r="P173" s="66" t="str">
        <f>IF(B173="", "", 'Lighting Inventory'!AX182)</f>
        <v/>
      </c>
      <c r="Q173" s="67" t="str">
        <f>IF(B173="", "", 'Lighting Inventory'!AZ182)</f>
        <v/>
      </c>
      <c r="R173" s="187" t="str">
        <f>IF(OR('Lighting Inventory'!G182="", 'Lighting Inventory'!H182=""), "", 'Lighting Inventory'!BD182)</f>
        <v/>
      </c>
      <c r="S173" s="187" t="str">
        <f>IF(OR('Lighting Inventory'!G182="", 'Lighting Inventory'!H182=""), "",'Lighting Inventory'!BB182)</f>
        <v/>
      </c>
      <c r="T173" s="67" t="str">
        <f>IF(B173="", "", 'Lighting Inventory'!BE182)</f>
        <v/>
      </c>
      <c r="U173" s="67" t="str">
        <f>IF(B173="", "", 'Lighting Inventory'!BF182)</f>
        <v/>
      </c>
      <c r="BM173" s="186" t="str">
        <f t="shared" si="2"/>
        <v>-</v>
      </c>
    </row>
    <row r="174" spans="1:65" x14ac:dyDescent="0.25">
      <c r="A174" s="189">
        <v>173</v>
      </c>
      <c r="B174" s="186" t="str">
        <f>IF('Lighting Inventory'!F183="", "", 'Lighting Inventory'!F183)</f>
        <v/>
      </c>
      <c r="C174" s="26" t="str">
        <f>IF(B174="", "", CONCATENATE("Area: ", 'Lighting Inventory'!D183, ", ", IF('Lighting Inventory'!C183="", "", "Floor: "), 'Lighting Inventory'!C183))</f>
        <v/>
      </c>
      <c r="D174" s="186" t="str">
        <f>IF(B174="", "", IF('Lighting Inventory'!B183="New Construction",CONCATENATE("Cut Sheet ", 250+'Appendix C'!A174), IF(ISNUMBER(SEARCH("cut sheet", 'Lighting Inventory'!J183)), CONCATENATE("Cut Sheet ", 'Lookup Tables'!AX176), 'Lighting Inventory'!J183)))</f>
        <v/>
      </c>
      <c r="E174" s="26" t="str">
        <f>IF(B174="", "", IF('Lighting Inventory'!B183="New Construction", 1, 'Lighting Inventory'!I183))</f>
        <v/>
      </c>
      <c r="F174" s="26" t="str">
        <f>IF(B174="", "", IF('Lighting Inventory'!B183="New Construction", 'Lighting Inventory'!R183*1000, 'Lighting Inventory'!K183))</f>
        <v/>
      </c>
      <c r="G174" s="26" t="str">
        <f>IF(B174="", "", IF('Lighting Inventory'!M183="", "S_LS", VLOOKUP('Lighting Inventory'!M183, 'Lookup Tables'!$B$142:$D$148, 3, FALSE)))</f>
        <v/>
      </c>
      <c r="H174" s="26" t="str">
        <f>IF(OR('Lighting Inventory'!V183="", 'Lighting Inventory'!W183=""), "", IF('Lighting Inventory'!W183="No Change", 'Lighting Inventory'!J183, CONCATENATE("Cut Sheet ", 'Appendix C'!A174)))</f>
        <v/>
      </c>
      <c r="I174" s="26" t="str">
        <f>IF(H174="", "", IF('Lighting Inventory'!AB183="Yes", "Screw-In", "General"))</f>
        <v/>
      </c>
      <c r="J174" s="26" t="str">
        <f>IF(B174="", "", CONCATENATE('Lighting Inventory'!W183, ", ", 'Lighting Inventory'!AL183, " W"))</f>
        <v/>
      </c>
      <c r="K174" s="26" t="str">
        <f>IF(OR(B174="",'Lighting Inventory'!B183="Retrofit"),"",IF('General Information'!$F$16="Space-by-Space",CONCATENATE('Lighting Inventory'!N183,", ",'Lighting Inventory'!O183," ",'Lighting Inventory'!P183," LPD"," at ",'Lighting Inventory'!Q183,", ",'Lighting Inventory'!R183," kW"),CONCATENATE(B174,", ",'Lighting Inventory'!O183," ",'Lighting Inventory'!P183," LPD"," at ",'Lighting Inventory'!Q183,", ",'Lighting Inventory'!R183," kW")))</f>
        <v/>
      </c>
      <c r="L174" s="26" t="str">
        <f>IF(H174="","",IF('Lighting Inventory'!AK183="","",'Lighting Inventory'!AK183))</f>
        <v/>
      </c>
      <c r="M174" s="26" t="str">
        <f>IF(H174="", "", 'Lighting Inventory'!AL183)</f>
        <v/>
      </c>
      <c r="N174" s="26" t="str">
        <f>IF('Lighting Inventory'!S183="", "", IF('Lighting Inventory'!W183="No Change", 'Lighting Inventory'!I183, 'Lighting Inventory'!S183))</f>
        <v/>
      </c>
      <c r="O174" s="26" t="str">
        <f>IF('Lighting Inventory'!AN183="", "", VLOOKUP('Lighting Inventory'!AN183, 'Lookup Tables'!$B$142:$D$148, 3, FALSE))</f>
        <v/>
      </c>
      <c r="P174" s="66" t="str">
        <f>IF(B174="", "", 'Lighting Inventory'!AX183)</f>
        <v/>
      </c>
      <c r="Q174" s="67" t="str">
        <f>IF(B174="", "", 'Lighting Inventory'!AZ183)</f>
        <v/>
      </c>
      <c r="R174" s="187" t="str">
        <f>IF(OR('Lighting Inventory'!G183="", 'Lighting Inventory'!H183=""), "", 'Lighting Inventory'!BD183)</f>
        <v/>
      </c>
      <c r="S174" s="187" t="str">
        <f>IF(OR('Lighting Inventory'!G183="", 'Lighting Inventory'!H183=""), "",'Lighting Inventory'!BB183)</f>
        <v/>
      </c>
      <c r="T174" s="67" t="str">
        <f>IF(B174="", "", 'Lighting Inventory'!BE183)</f>
        <v/>
      </c>
      <c r="U174" s="67" t="str">
        <f>IF(B174="", "", 'Lighting Inventory'!BF183)</f>
        <v/>
      </c>
      <c r="BM174" s="186" t="str">
        <f t="shared" si="2"/>
        <v>-</v>
      </c>
    </row>
    <row r="175" spans="1:65" x14ac:dyDescent="0.25">
      <c r="A175" s="189">
        <v>174</v>
      </c>
      <c r="B175" s="186" t="str">
        <f>IF('Lighting Inventory'!F184="", "", 'Lighting Inventory'!F184)</f>
        <v/>
      </c>
      <c r="C175" s="26" t="str">
        <f>IF(B175="", "", CONCATENATE("Area: ", 'Lighting Inventory'!D184, ", ", IF('Lighting Inventory'!C184="", "", "Floor: "), 'Lighting Inventory'!C184))</f>
        <v/>
      </c>
      <c r="D175" s="186" t="str">
        <f>IF(B175="", "", IF('Lighting Inventory'!B184="New Construction",CONCATENATE("Cut Sheet ", 250+'Appendix C'!A175), IF(ISNUMBER(SEARCH("cut sheet", 'Lighting Inventory'!J184)), CONCATENATE("Cut Sheet ", 'Lookup Tables'!AX177), 'Lighting Inventory'!J184)))</f>
        <v/>
      </c>
      <c r="E175" s="26" t="str">
        <f>IF(B175="", "", IF('Lighting Inventory'!B184="New Construction", 1, 'Lighting Inventory'!I184))</f>
        <v/>
      </c>
      <c r="F175" s="26" t="str">
        <f>IF(B175="", "", IF('Lighting Inventory'!B184="New Construction", 'Lighting Inventory'!R184*1000, 'Lighting Inventory'!K184))</f>
        <v/>
      </c>
      <c r="G175" s="26" t="str">
        <f>IF(B175="", "", IF('Lighting Inventory'!M184="", "S_LS", VLOOKUP('Lighting Inventory'!M184, 'Lookup Tables'!$B$142:$D$148, 3, FALSE)))</f>
        <v/>
      </c>
      <c r="H175" s="26" t="str">
        <f>IF(OR('Lighting Inventory'!V184="", 'Lighting Inventory'!W184=""), "", IF('Lighting Inventory'!W184="No Change", 'Lighting Inventory'!J184, CONCATENATE("Cut Sheet ", 'Appendix C'!A175)))</f>
        <v/>
      </c>
      <c r="I175" s="26" t="str">
        <f>IF(H175="", "", IF('Lighting Inventory'!AB184="Yes", "Screw-In", "General"))</f>
        <v/>
      </c>
      <c r="J175" s="26" t="str">
        <f>IF(B175="", "", CONCATENATE('Lighting Inventory'!W184, ", ", 'Lighting Inventory'!AL184, " W"))</f>
        <v/>
      </c>
      <c r="K175" s="26" t="str">
        <f>IF(OR(B175="",'Lighting Inventory'!B184="Retrofit"),"",IF('General Information'!$F$16="Space-by-Space",CONCATENATE('Lighting Inventory'!N184,", ",'Lighting Inventory'!O184," ",'Lighting Inventory'!P184," LPD"," at ",'Lighting Inventory'!Q184,", ",'Lighting Inventory'!R184," kW"),CONCATENATE(B175,", ",'Lighting Inventory'!O184," ",'Lighting Inventory'!P184," LPD"," at ",'Lighting Inventory'!Q184,", ",'Lighting Inventory'!R184," kW")))</f>
        <v/>
      </c>
      <c r="L175" s="26" t="str">
        <f>IF(H175="","",IF('Lighting Inventory'!AK184="","",'Lighting Inventory'!AK184))</f>
        <v/>
      </c>
      <c r="M175" s="26" t="str">
        <f>IF(H175="", "", 'Lighting Inventory'!AL184)</f>
        <v/>
      </c>
      <c r="N175" s="26" t="str">
        <f>IF('Lighting Inventory'!S184="", "", IF('Lighting Inventory'!W184="No Change", 'Lighting Inventory'!I184, 'Lighting Inventory'!S184))</f>
        <v/>
      </c>
      <c r="O175" s="26" t="str">
        <f>IF('Lighting Inventory'!AN184="", "", VLOOKUP('Lighting Inventory'!AN184, 'Lookup Tables'!$B$142:$D$148, 3, FALSE))</f>
        <v/>
      </c>
      <c r="P175" s="66" t="str">
        <f>IF(B175="", "", 'Lighting Inventory'!AX184)</f>
        <v/>
      </c>
      <c r="Q175" s="67" t="str">
        <f>IF(B175="", "", 'Lighting Inventory'!AZ184)</f>
        <v/>
      </c>
      <c r="R175" s="187" t="str">
        <f>IF(OR('Lighting Inventory'!G184="", 'Lighting Inventory'!H184=""), "", 'Lighting Inventory'!BD184)</f>
        <v/>
      </c>
      <c r="S175" s="187" t="str">
        <f>IF(OR('Lighting Inventory'!G184="", 'Lighting Inventory'!H184=""), "",'Lighting Inventory'!BB184)</f>
        <v/>
      </c>
      <c r="T175" s="67" t="str">
        <f>IF(B175="", "", 'Lighting Inventory'!BE184)</f>
        <v/>
      </c>
      <c r="U175" s="67" t="str">
        <f>IF(B175="", "", 'Lighting Inventory'!BF184)</f>
        <v/>
      </c>
      <c r="BM175" s="186" t="str">
        <f t="shared" si="2"/>
        <v>-</v>
      </c>
    </row>
    <row r="176" spans="1:65" x14ac:dyDescent="0.25">
      <c r="A176" s="189">
        <v>175</v>
      </c>
      <c r="B176" s="186" t="str">
        <f>IF('Lighting Inventory'!F185="", "", 'Lighting Inventory'!F185)</f>
        <v/>
      </c>
      <c r="C176" s="26" t="str">
        <f>IF(B176="", "", CONCATENATE("Area: ", 'Lighting Inventory'!D185, ", ", IF('Lighting Inventory'!C185="", "", "Floor: "), 'Lighting Inventory'!C185))</f>
        <v/>
      </c>
      <c r="D176" s="186" t="str">
        <f>IF(B176="", "", IF('Lighting Inventory'!B185="New Construction",CONCATENATE("Cut Sheet ", 250+'Appendix C'!A176), IF(ISNUMBER(SEARCH("cut sheet", 'Lighting Inventory'!J185)), CONCATENATE("Cut Sheet ", 'Lookup Tables'!AX178), 'Lighting Inventory'!J185)))</f>
        <v/>
      </c>
      <c r="E176" s="26" t="str">
        <f>IF(B176="", "", IF('Lighting Inventory'!B185="New Construction", 1, 'Lighting Inventory'!I185))</f>
        <v/>
      </c>
      <c r="F176" s="26" t="str">
        <f>IF(B176="", "", IF('Lighting Inventory'!B185="New Construction", 'Lighting Inventory'!R185*1000, 'Lighting Inventory'!K185))</f>
        <v/>
      </c>
      <c r="G176" s="26" t="str">
        <f>IF(B176="", "", IF('Lighting Inventory'!M185="", "S_LS", VLOOKUP('Lighting Inventory'!M185, 'Lookup Tables'!$B$142:$D$148, 3, FALSE)))</f>
        <v/>
      </c>
      <c r="H176" s="26" t="str">
        <f>IF(OR('Lighting Inventory'!V185="", 'Lighting Inventory'!W185=""), "", IF('Lighting Inventory'!W185="No Change", 'Lighting Inventory'!J185, CONCATENATE("Cut Sheet ", 'Appendix C'!A176)))</f>
        <v/>
      </c>
      <c r="I176" s="26" t="str">
        <f>IF(H176="", "", IF('Lighting Inventory'!AB185="Yes", "Screw-In", "General"))</f>
        <v/>
      </c>
      <c r="J176" s="26" t="str">
        <f>IF(B176="", "", CONCATENATE('Lighting Inventory'!W185, ", ", 'Lighting Inventory'!AL185, " W"))</f>
        <v/>
      </c>
      <c r="K176" s="26" t="str">
        <f>IF(OR(B176="",'Lighting Inventory'!B185="Retrofit"),"",IF('General Information'!$F$16="Space-by-Space",CONCATENATE('Lighting Inventory'!N185,", ",'Lighting Inventory'!O185," ",'Lighting Inventory'!P185," LPD"," at ",'Lighting Inventory'!Q185,", ",'Lighting Inventory'!R185," kW"),CONCATENATE(B176,", ",'Lighting Inventory'!O185," ",'Lighting Inventory'!P185," LPD"," at ",'Lighting Inventory'!Q185,", ",'Lighting Inventory'!R185," kW")))</f>
        <v/>
      </c>
      <c r="L176" s="26" t="str">
        <f>IF(H176="","",IF('Lighting Inventory'!AK185="","",'Lighting Inventory'!AK185))</f>
        <v/>
      </c>
      <c r="M176" s="26" t="str">
        <f>IF(H176="", "", 'Lighting Inventory'!AL185)</f>
        <v/>
      </c>
      <c r="N176" s="26" t="str">
        <f>IF('Lighting Inventory'!S185="", "", IF('Lighting Inventory'!W185="No Change", 'Lighting Inventory'!I185, 'Lighting Inventory'!S185))</f>
        <v/>
      </c>
      <c r="O176" s="26" t="str">
        <f>IF('Lighting Inventory'!AN185="", "", VLOOKUP('Lighting Inventory'!AN185, 'Lookup Tables'!$B$142:$D$148, 3, FALSE))</f>
        <v/>
      </c>
      <c r="P176" s="66" t="str">
        <f>IF(B176="", "", 'Lighting Inventory'!AX185)</f>
        <v/>
      </c>
      <c r="Q176" s="67" t="str">
        <f>IF(B176="", "", 'Lighting Inventory'!AZ185)</f>
        <v/>
      </c>
      <c r="R176" s="187" t="str">
        <f>IF(OR('Lighting Inventory'!G185="", 'Lighting Inventory'!H185=""), "", 'Lighting Inventory'!BD185)</f>
        <v/>
      </c>
      <c r="S176" s="187" t="str">
        <f>IF(OR('Lighting Inventory'!G185="", 'Lighting Inventory'!H185=""), "",'Lighting Inventory'!BB185)</f>
        <v/>
      </c>
      <c r="T176" s="67" t="str">
        <f>IF(B176="", "", 'Lighting Inventory'!BE185)</f>
        <v/>
      </c>
      <c r="U176" s="67" t="str">
        <f>IF(B176="", "", 'Lighting Inventory'!BF185)</f>
        <v/>
      </c>
      <c r="BM176" s="186" t="str">
        <f t="shared" si="2"/>
        <v>-</v>
      </c>
    </row>
    <row r="177" spans="1:65" x14ac:dyDescent="0.25">
      <c r="A177" s="189">
        <v>176</v>
      </c>
      <c r="B177" s="186" t="str">
        <f>IF('Lighting Inventory'!F186="", "", 'Lighting Inventory'!F186)</f>
        <v/>
      </c>
      <c r="C177" s="26" t="str">
        <f>IF(B177="", "", CONCATENATE("Area: ", 'Lighting Inventory'!D186, ", ", IF('Lighting Inventory'!C186="", "", "Floor: "), 'Lighting Inventory'!C186))</f>
        <v/>
      </c>
      <c r="D177" s="186" t="str">
        <f>IF(B177="", "", IF('Lighting Inventory'!B186="New Construction",CONCATENATE("Cut Sheet ", 250+'Appendix C'!A177), IF(ISNUMBER(SEARCH("cut sheet", 'Lighting Inventory'!J186)), CONCATENATE("Cut Sheet ", 'Lookup Tables'!AX179), 'Lighting Inventory'!J186)))</f>
        <v/>
      </c>
      <c r="E177" s="26" t="str">
        <f>IF(B177="", "", IF('Lighting Inventory'!B186="New Construction", 1, 'Lighting Inventory'!I186))</f>
        <v/>
      </c>
      <c r="F177" s="26" t="str">
        <f>IF(B177="", "", IF('Lighting Inventory'!B186="New Construction", 'Lighting Inventory'!R186*1000, 'Lighting Inventory'!K186))</f>
        <v/>
      </c>
      <c r="G177" s="26" t="str">
        <f>IF(B177="", "", IF('Lighting Inventory'!M186="", "S_LS", VLOOKUP('Lighting Inventory'!M186, 'Lookup Tables'!$B$142:$D$148, 3, FALSE)))</f>
        <v/>
      </c>
      <c r="H177" s="26" t="str">
        <f>IF(OR('Lighting Inventory'!V186="", 'Lighting Inventory'!W186=""), "", IF('Lighting Inventory'!W186="No Change", 'Lighting Inventory'!J186, CONCATENATE("Cut Sheet ", 'Appendix C'!A177)))</f>
        <v/>
      </c>
      <c r="I177" s="26" t="str">
        <f>IF(H177="", "", IF('Lighting Inventory'!AB186="Yes", "Screw-In", "General"))</f>
        <v/>
      </c>
      <c r="J177" s="26" t="str">
        <f>IF(B177="", "", CONCATENATE('Lighting Inventory'!W186, ", ", 'Lighting Inventory'!AL186, " W"))</f>
        <v/>
      </c>
      <c r="K177" s="26" t="str">
        <f>IF(OR(B177="",'Lighting Inventory'!B186="Retrofit"),"",IF('General Information'!$F$16="Space-by-Space",CONCATENATE('Lighting Inventory'!N186,", ",'Lighting Inventory'!O186," ",'Lighting Inventory'!P186," LPD"," at ",'Lighting Inventory'!Q186,", ",'Lighting Inventory'!R186," kW"),CONCATENATE(B177,", ",'Lighting Inventory'!O186," ",'Lighting Inventory'!P186," LPD"," at ",'Lighting Inventory'!Q186,", ",'Lighting Inventory'!R186," kW")))</f>
        <v/>
      </c>
      <c r="L177" s="26" t="str">
        <f>IF(H177="","",IF('Lighting Inventory'!AK186="","",'Lighting Inventory'!AK186))</f>
        <v/>
      </c>
      <c r="M177" s="26" t="str">
        <f>IF(H177="", "", 'Lighting Inventory'!AL186)</f>
        <v/>
      </c>
      <c r="N177" s="26" t="str">
        <f>IF('Lighting Inventory'!S186="", "", IF('Lighting Inventory'!W186="No Change", 'Lighting Inventory'!I186, 'Lighting Inventory'!S186))</f>
        <v/>
      </c>
      <c r="O177" s="26" t="str">
        <f>IF('Lighting Inventory'!AN186="", "", VLOOKUP('Lighting Inventory'!AN186, 'Lookup Tables'!$B$142:$D$148, 3, FALSE))</f>
        <v/>
      </c>
      <c r="P177" s="66" t="str">
        <f>IF(B177="", "", 'Lighting Inventory'!AX186)</f>
        <v/>
      </c>
      <c r="Q177" s="67" t="str">
        <f>IF(B177="", "", 'Lighting Inventory'!AZ186)</f>
        <v/>
      </c>
      <c r="R177" s="187" t="str">
        <f>IF(OR('Lighting Inventory'!G186="", 'Lighting Inventory'!H186=""), "", 'Lighting Inventory'!BD186)</f>
        <v/>
      </c>
      <c r="S177" s="187" t="str">
        <f>IF(OR('Lighting Inventory'!G186="", 'Lighting Inventory'!H186=""), "",'Lighting Inventory'!BB186)</f>
        <v/>
      </c>
      <c r="T177" s="67" t="str">
        <f>IF(B177="", "", 'Lighting Inventory'!BE186)</f>
        <v/>
      </c>
      <c r="U177" s="67" t="str">
        <f>IF(B177="", "", 'Lighting Inventory'!BF186)</f>
        <v/>
      </c>
      <c r="BM177" s="186" t="str">
        <f t="shared" si="2"/>
        <v>-</v>
      </c>
    </row>
    <row r="178" spans="1:65" x14ac:dyDescent="0.25">
      <c r="A178" s="189">
        <v>177</v>
      </c>
      <c r="B178" s="186" t="str">
        <f>IF('Lighting Inventory'!F187="", "", 'Lighting Inventory'!F187)</f>
        <v/>
      </c>
      <c r="C178" s="26" t="str">
        <f>IF(B178="", "", CONCATENATE("Area: ", 'Lighting Inventory'!D187, ", ", IF('Lighting Inventory'!C187="", "", "Floor: "), 'Lighting Inventory'!C187))</f>
        <v/>
      </c>
      <c r="D178" s="186" t="str">
        <f>IF(B178="", "", IF('Lighting Inventory'!B187="New Construction",CONCATENATE("Cut Sheet ", 250+'Appendix C'!A178), IF(ISNUMBER(SEARCH("cut sheet", 'Lighting Inventory'!J187)), CONCATENATE("Cut Sheet ", 'Lookup Tables'!AX180), 'Lighting Inventory'!J187)))</f>
        <v/>
      </c>
      <c r="E178" s="26" t="str">
        <f>IF(B178="", "", IF('Lighting Inventory'!B187="New Construction", 1, 'Lighting Inventory'!I187))</f>
        <v/>
      </c>
      <c r="F178" s="26" t="str">
        <f>IF(B178="", "", IF('Lighting Inventory'!B187="New Construction", 'Lighting Inventory'!R187*1000, 'Lighting Inventory'!K187))</f>
        <v/>
      </c>
      <c r="G178" s="26" t="str">
        <f>IF(B178="", "", IF('Lighting Inventory'!M187="", "S_LS", VLOOKUP('Lighting Inventory'!M187, 'Lookup Tables'!$B$142:$D$148, 3, FALSE)))</f>
        <v/>
      </c>
      <c r="H178" s="26" t="str">
        <f>IF(OR('Lighting Inventory'!V187="", 'Lighting Inventory'!W187=""), "", IF('Lighting Inventory'!W187="No Change", 'Lighting Inventory'!J187, CONCATENATE("Cut Sheet ", 'Appendix C'!A178)))</f>
        <v/>
      </c>
      <c r="I178" s="26" t="str">
        <f>IF(H178="", "", IF('Lighting Inventory'!AB187="Yes", "Screw-In", "General"))</f>
        <v/>
      </c>
      <c r="J178" s="26" t="str">
        <f>IF(B178="", "", CONCATENATE('Lighting Inventory'!W187, ", ", 'Lighting Inventory'!AL187, " W"))</f>
        <v/>
      </c>
      <c r="K178" s="26" t="str">
        <f>IF(OR(B178="",'Lighting Inventory'!B187="Retrofit"),"",IF('General Information'!$F$16="Space-by-Space",CONCATENATE('Lighting Inventory'!N187,", ",'Lighting Inventory'!O187," ",'Lighting Inventory'!P187," LPD"," at ",'Lighting Inventory'!Q187,", ",'Lighting Inventory'!R187," kW"),CONCATENATE(B178,", ",'Lighting Inventory'!O187," ",'Lighting Inventory'!P187," LPD"," at ",'Lighting Inventory'!Q187,", ",'Lighting Inventory'!R187," kW")))</f>
        <v/>
      </c>
      <c r="L178" s="26" t="str">
        <f>IF(H178="","",IF('Lighting Inventory'!AK187="","",'Lighting Inventory'!AK187))</f>
        <v/>
      </c>
      <c r="M178" s="26" t="str">
        <f>IF(H178="", "", 'Lighting Inventory'!AL187)</f>
        <v/>
      </c>
      <c r="N178" s="26" t="str">
        <f>IF('Lighting Inventory'!S187="", "", IF('Lighting Inventory'!W187="No Change", 'Lighting Inventory'!I187, 'Lighting Inventory'!S187))</f>
        <v/>
      </c>
      <c r="O178" s="26" t="str">
        <f>IF('Lighting Inventory'!AN187="", "", VLOOKUP('Lighting Inventory'!AN187, 'Lookup Tables'!$B$142:$D$148, 3, FALSE))</f>
        <v/>
      </c>
      <c r="P178" s="66" t="str">
        <f>IF(B178="", "", 'Lighting Inventory'!AX187)</f>
        <v/>
      </c>
      <c r="Q178" s="67" t="str">
        <f>IF(B178="", "", 'Lighting Inventory'!AZ187)</f>
        <v/>
      </c>
      <c r="R178" s="187" t="str">
        <f>IF(OR('Lighting Inventory'!G187="", 'Lighting Inventory'!H187=""), "", 'Lighting Inventory'!BD187)</f>
        <v/>
      </c>
      <c r="S178" s="187" t="str">
        <f>IF(OR('Lighting Inventory'!G187="", 'Lighting Inventory'!H187=""), "",'Lighting Inventory'!BB187)</f>
        <v/>
      </c>
      <c r="T178" s="67" t="str">
        <f>IF(B178="", "", 'Lighting Inventory'!BE187)</f>
        <v/>
      </c>
      <c r="U178" s="67" t="str">
        <f>IF(B178="", "", 'Lighting Inventory'!BF187)</f>
        <v/>
      </c>
      <c r="BM178" s="186" t="str">
        <f t="shared" si="2"/>
        <v>-</v>
      </c>
    </row>
    <row r="179" spans="1:65" x14ac:dyDescent="0.25">
      <c r="A179" s="189">
        <v>178</v>
      </c>
      <c r="B179" s="186" t="str">
        <f>IF('Lighting Inventory'!F188="", "", 'Lighting Inventory'!F188)</f>
        <v/>
      </c>
      <c r="C179" s="26" t="str">
        <f>IF(B179="", "", CONCATENATE("Area: ", 'Lighting Inventory'!D188, ", ", IF('Lighting Inventory'!C188="", "", "Floor: "), 'Lighting Inventory'!C188))</f>
        <v/>
      </c>
      <c r="D179" s="186" t="str">
        <f>IF(B179="", "", IF('Lighting Inventory'!B188="New Construction",CONCATENATE("Cut Sheet ", 250+'Appendix C'!A179), IF(ISNUMBER(SEARCH("cut sheet", 'Lighting Inventory'!J188)), CONCATENATE("Cut Sheet ", 'Lookup Tables'!AX181), 'Lighting Inventory'!J188)))</f>
        <v/>
      </c>
      <c r="E179" s="26" t="str">
        <f>IF(B179="", "", IF('Lighting Inventory'!B188="New Construction", 1, 'Lighting Inventory'!I188))</f>
        <v/>
      </c>
      <c r="F179" s="26" t="str">
        <f>IF(B179="", "", IF('Lighting Inventory'!B188="New Construction", 'Lighting Inventory'!R188*1000, 'Lighting Inventory'!K188))</f>
        <v/>
      </c>
      <c r="G179" s="26" t="str">
        <f>IF(B179="", "", IF('Lighting Inventory'!M188="", "S_LS", VLOOKUP('Lighting Inventory'!M188, 'Lookup Tables'!$B$142:$D$148, 3, FALSE)))</f>
        <v/>
      </c>
      <c r="H179" s="26" t="str">
        <f>IF(OR('Lighting Inventory'!V188="", 'Lighting Inventory'!W188=""), "", IF('Lighting Inventory'!W188="No Change", 'Lighting Inventory'!J188, CONCATENATE("Cut Sheet ", 'Appendix C'!A179)))</f>
        <v/>
      </c>
      <c r="I179" s="26" t="str">
        <f>IF(H179="", "", IF('Lighting Inventory'!AB188="Yes", "Screw-In", "General"))</f>
        <v/>
      </c>
      <c r="J179" s="26" t="str">
        <f>IF(B179="", "", CONCATENATE('Lighting Inventory'!W188, ", ", 'Lighting Inventory'!AL188, " W"))</f>
        <v/>
      </c>
      <c r="K179" s="26" t="str">
        <f>IF(OR(B179="",'Lighting Inventory'!B188="Retrofit"),"",IF('General Information'!$F$16="Space-by-Space",CONCATENATE('Lighting Inventory'!N188,", ",'Lighting Inventory'!O188," ",'Lighting Inventory'!P188," LPD"," at ",'Lighting Inventory'!Q188,", ",'Lighting Inventory'!R188," kW"),CONCATENATE(B179,", ",'Lighting Inventory'!O188," ",'Lighting Inventory'!P188," LPD"," at ",'Lighting Inventory'!Q188,", ",'Lighting Inventory'!R188," kW")))</f>
        <v/>
      </c>
      <c r="L179" s="26" t="str">
        <f>IF(H179="","",IF('Lighting Inventory'!AK188="","",'Lighting Inventory'!AK188))</f>
        <v/>
      </c>
      <c r="M179" s="26" t="str">
        <f>IF(H179="", "", 'Lighting Inventory'!AL188)</f>
        <v/>
      </c>
      <c r="N179" s="26" t="str">
        <f>IF('Lighting Inventory'!S188="", "", IF('Lighting Inventory'!W188="No Change", 'Lighting Inventory'!I188, 'Lighting Inventory'!S188))</f>
        <v/>
      </c>
      <c r="O179" s="26" t="str">
        <f>IF('Lighting Inventory'!AN188="", "", VLOOKUP('Lighting Inventory'!AN188, 'Lookup Tables'!$B$142:$D$148, 3, FALSE))</f>
        <v/>
      </c>
      <c r="P179" s="66" t="str">
        <f>IF(B179="", "", 'Lighting Inventory'!AX188)</f>
        <v/>
      </c>
      <c r="Q179" s="67" t="str">
        <f>IF(B179="", "", 'Lighting Inventory'!AZ188)</f>
        <v/>
      </c>
      <c r="R179" s="187" t="str">
        <f>IF(OR('Lighting Inventory'!G188="", 'Lighting Inventory'!H188=""), "", 'Lighting Inventory'!BD188)</f>
        <v/>
      </c>
      <c r="S179" s="187" t="str">
        <f>IF(OR('Lighting Inventory'!G188="", 'Lighting Inventory'!H188=""), "",'Lighting Inventory'!BB188)</f>
        <v/>
      </c>
      <c r="T179" s="67" t="str">
        <f>IF(B179="", "", 'Lighting Inventory'!BE188)</f>
        <v/>
      </c>
      <c r="U179" s="67" t="str">
        <f>IF(B179="", "", 'Lighting Inventory'!BF188)</f>
        <v/>
      </c>
      <c r="BM179" s="186" t="str">
        <f t="shared" si="2"/>
        <v>-</v>
      </c>
    </row>
    <row r="180" spans="1:65" x14ac:dyDescent="0.25">
      <c r="A180" s="189">
        <v>179</v>
      </c>
      <c r="B180" s="186" t="str">
        <f>IF('Lighting Inventory'!F189="", "", 'Lighting Inventory'!F189)</f>
        <v/>
      </c>
      <c r="C180" s="26" t="str">
        <f>IF(B180="", "", CONCATENATE("Area: ", 'Lighting Inventory'!D189, ", ", IF('Lighting Inventory'!C189="", "", "Floor: "), 'Lighting Inventory'!C189))</f>
        <v/>
      </c>
      <c r="D180" s="186" t="str">
        <f>IF(B180="", "", IF('Lighting Inventory'!B189="New Construction",CONCATENATE("Cut Sheet ", 250+'Appendix C'!A180), IF(ISNUMBER(SEARCH("cut sheet", 'Lighting Inventory'!J189)), CONCATENATE("Cut Sheet ", 'Lookup Tables'!AX182), 'Lighting Inventory'!J189)))</f>
        <v/>
      </c>
      <c r="E180" s="26" t="str">
        <f>IF(B180="", "", IF('Lighting Inventory'!B189="New Construction", 1, 'Lighting Inventory'!I189))</f>
        <v/>
      </c>
      <c r="F180" s="26" t="str">
        <f>IF(B180="", "", IF('Lighting Inventory'!B189="New Construction", 'Lighting Inventory'!R189*1000, 'Lighting Inventory'!K189))</f>
        <v/>
      </c>
      <c r="G180" s="26" t="str">
        <f>IF(B180="", "", IF('Lighting Inventory'!M189="", "S_LS", VLOOKUP('Lighting Inventory'!M189, 'Lookup Tables'!$B$142:$D$148, 3, FALSE)))</f>
        <v/>
      </c>
      <c r="H180" s="26" t="str">
        <f>IF(OR('Lighting Inventory'!V189="", 'Lighting Inventory'!W189=""), "", IF('Lighting Inventory'!W189="No Change", 'Lighting Inventory'!J189, CONCATENATE("Cut Sheet ", 'Appendix C'!A180)))</f>
        <v/>
      </c>
      <c r="I180" s="26" t="str">
        <f>IF(H180="", "", IF('Lighting Inventory'!AB189="Yes", "Screw-In", "General"))</f>
        <v/>
      </c>
      <c r="J180" s="26" t="str">
        <f>IF(B180="", "", CONCATENATE('Lighting Inventory'!W189, ", ", 'Lighting Inventory'!AL189, " W"))</f>
        <v/>
      </c>
      <c r="K180" s="26" t="str">
        <f>IF(OR(B180="",'Lighting Inventory'!B189="Retrofit"),"",IF('General Information'!$F$16="Space-by-Space",CONCATENATE('Lighting Inventory'!N189,", ",'Lighting Inventory'!O189," ",'Lighting Inventory'!P189," LPD"," at ",'Lighting Inventory'!Q189,", ",'Lighting Inventory'!R189," kW"),CONCATENATE(B180,", ",'Lighting Inventory'!O189," ",'Lighting Inventory'!P189," LPD"," at ",'Lighting Inventory'!Q189,", ",'Lighting Inventory'!R189," kW")))</f>
        <v/>
      </c>
      <c r="L180" s="26" t="str">
        <f>IF(H180="","",IF('Lighting Inventory'!AK189="","",'Lighting Inventory'!AK189))</f>
        <v/>
      </c>
      <c r="M180" s="26" t="str">
        <f>IF(H180="", "", 'Lighting Inventory'!AL189)</f>
        <v/>
      </c>
      <c r="N180" s="26" t="str">
        <f>IF('Lighting Inventory'!S189="", "", IF('Lighting Inventory'!W189="No Change", 'Lighting Inventory'!I189, 'Lighting Inventory'!S189))</f>
        <v/>
      </c>
      <c r="O180" s="26" t="str">
        <f>IF('Lighting Inventory'!AN189="", "", VLOOKUP('Lighting Inventory'!AN189, 'Lookup Tables'!$B$142:$D$148, 3, FALSE))</f>
        <v/>
      </c>
      <c r="P180" s="66" t="str">
        <f>IF(B180="", "", 'Lighting Inventory'!AX189)</f>
        <v/>
      </c>
      <c r="Q180" s="67" t="str">
        <f>IF(B180="", "", 'Lighting Inventory'!AZ189)</f>
        <v/>
      </c>
      <c r="R180" s="187" t="str">
        <f>IF(OR('Lighting Inventory'!G189="", 'Lighting Inventory'!H189=""), "", 'Lighting Inventory'!BD189)</f>
        <v/>
      </c>
      <c r="S180" s="187" t="str">
        <f>IF(OR('Lighting Inventory'!G189="", 'Lighting Inventory'!H189=""), "",'Lighting Inventory'!BB189)</f>
        <v/>
      </c>
      <c r="T180" s="67" t="str">
        <f>IF(B180="", "", 'Lighting Inventory'!BE189)</f>
        <v/>
      </c>
      <c r="U180" s="67" t="str">
        <f>IF(B180="", "", 'Lighting Inventory'!BF189)</f>
        <v/>
      </c>
      <c r="BM180" s="186" t="str">
        <f t="shared" si="2"/>
        <v>-</v>
      </c>
    </row>
    <row r="181" spans="1:65" x14ac:dyDescent="0.25">
      <c r="A181" s="189">
        <v>180</v>
      </c>
      <c r="B181" s="186" t="str">
        <f>IF('Lighting Inventory'!F190="", "", 'Lighting Inventory'!F190)</f>
        <v/>
      </c>
      <c r="C181" s="26" t="str">
        <f>IF(B181="", "", CONCATENATE("Area: ", 'Lighting Inventory'!D190, ", ", IF('Lighting Inventory'!C190="", "", "Floor: "), 'Lighting Inventory'!C190))</f>
        <v/>
      </c>
      <c r="D181" s="186" t="str">
        <f>IF(B181="", "", IF('Lighting Inventory'!B190="New Construction",CONCATENATE("Cut Sheet ", 250+'Appendix C'!A181), IF(ISNUMBER(SEARCH("cut sheet", 'Lighting Inventory'!J190)), CONCATENATE("Cut Sheet ", 'Lookup Tables'!AX183), 'Lighting Inventory'!J190)))</f>
        <v/>
      </c>
      <c r="E181" s="26" t="str">
        <f>IF(B181="", "", IF('Lighting Inventory'!B190="New Construction", 1, 'Lighting Inventory'!I190))</f>
        <v/>
      </c>
      <c r="F181" s="26" t="str">
        <f>IF(B181="", "", IF('Lighting Inventory'!B190="New Construction", 'Lighting Inventory'!R190*1000, 'Lighting Inventory'!K190))</f>
        <v/>
      </c>
      <c r="G181" s="26" t="str">
        <f>IF(B181="", "", IF('Lighting Inventory'!M190="", "S_LS", VLOOKUP('Lighting Inventory'!M190, 'Lookup Tables'!$B$142:$D$148, 3, FALSE)))</f>
        <v/>
      </c>
      <c r="H181" s="26" t="str">
        <f>IF(OR('Lighting Inventory'!V190="", 'Lighting Inventory'!W190=""), "", IF('Lighting Inventory'!W190="No Change", 'Lighting Inventory'!J190, CONCATENATE("Cut Sheet ", 'Appendix C'!A181)))</f>
        <v/>
      </c>
      <c r="I181" s="26" t="str">
        <f>IF(H181="", "", IF('Lighting Inventory'!AB190="Yes", "Screw-In", "General"))</f>
        <v/>
      </c>
      <c r="J181" s="26" t="str">
        <f>IF(B181="", "", CONCATENATE('Lighting Inventory'!W190, ", ", 'Lighting Inventory'!AL190, " W"))</f>
        <v/>
      </c>
      <c r="K181" s="26" t="str">
        <f>IF(OR(B181="",'Lighting Inventory'!B190="Retrofit"),"",IF('General Information'!$F$16="Space-by-Space",CONCATENATE('Lighting Inventory'!N190,", ",'Lighting Inventory'!O190," ",'Lighting Inventory'!P190," LPD"," at ",'Lighting Inventory'!Q190,", ",'Lighting Inventory'!R190," kW"),CONCATENATE(B181,", ",'Lighting Inventory'!O190," ",'Lighting Inventory'!P190," LPD"," at ",'Lighting Inventory'!Q190,", ",'Lighting Inventory'!R190," kW")))</f>
        <v/>
      </c>
      <c r="L181" s="26" t="str">
        <f>IF(H181="","",IF('Lighting Inventory'!AK190="","",'Lighting Inventory'!AK190))</f>
        <v/>
      </c>
      <c r="M181" s="26" t="str">
        <f>IF(H181="", "", 'Lighting Inventory'!AL190)</f>
        <v/>
      </c>
      <c r="N181" s="26" t="str">
        <f>IF('Lighting Inventory'!S190="", "", IF('Lighting Inventory'!W190="No Change", 'Lighting Inventory'!I190, 'Lighting Inventory'!S190))</f>
        <v/>
      </c>
      <c r="O181" s="26" t="str">
        <f>IF('Lighting Inventory'!AN190="", "", VLOOKUP('Lighting Inventory'!AN190, 'Lookup Tables'!$B$142:$D$148, 3, FALSE))</f>
        <v/>
      </c>
      <c r="P181" s="66" t="str">
        <f>IF(B181="", "", 'Lighting Inventory'!AX190)</f>
        <v/>
      </c>
      <c r="Q181" s="67" t="str">
        <f>IF(B181="", "", 'Lighting Inventory'!AZ190)</f>
        <v/>
      </c>
      <c r="R181" s="187" t="str">
        <f>IF(OR('Lighting Inventory'!G190="", 'Lighting Inventory'!H190=""), "", 'Lighting Inventory'!BD190)</f>
        <v/>
      </c>
      <c r="S181" s="187" t="str">
        <f>IF(OR('Lighting Inventory'!G190="", 'Lighting Inventory'!H190=""), "",'Lighting Inventory'!BB190)</f>
        <v/>
      </c>
      <c r="T181" s="67" t="str">
        <f>IF(B181="", "", 'Lighting Inventory'!BE190)</f>
        <v/>
      </c>
      <c r="U181" s="67" t="str">
        <f>IF(B181="", "", 'Lighting Inventory'!BF190)</f>
        <v/>
      </c>
      <c r="BM181" s="186" t="str">
        <f t="shared" si="2"/>
        <v>-</v>
      </c>
    </row>
    <row r="182" spans="1:65" x14ac:dyDescent="0.25">
      <c r="A182" s="189">
        <v>181</v>
      </c>
      <c r="B182" s="186" t="str">
        <f>IF('Lighting Inventory'!F191="", "", 'Lighting Inventory'!F191)</f>
        <v/>
      </c>
      <c r="C182" s="26" t="str">
        <f>IF(B182="", "", CONCATENATE("Area: ", 'Lighting Inventory'!D191, ", ", IF('Lighting Inventory'!C191="", "", "Floor: "), 'Lighting Inventory'!C191))</f>
        <v/>
      </c>
      <c r="D182" s="186" t="str">
        <f>IF(B182="", "", IF('Lighting Inventory'!B191="New Construction",CONCATENATE("Cut Sheet ", 250+'Appendix C'!A182), IF(ISNUMBER(SEARCH("cut sheet", 'Lighting Inventory'!J191)), CONCATENATE("Cut Sheet ", 'Lookup Tables'!AX184), 'Lighting Inventory'!J191)))</f>
        <v/>
      </c>
      <c r="E182" s="26" t="str">
        <f>IF(B182="", "", IF('Lighting Inventory'!B191="New Construction", 1, 'Lighting Inventory'!I191))</f>
        <v/>
      </c>
      <c r="F182" s="26" t="str">
        <f>IF(B182="", "", IF('Lighting Inventory'!B191="New Construction", 'Lighting Inventory'!R191*1000, 'Lighting Inventory'!K191))</f>
        <v/>
      </c>
      <c r="G182" s="26" t="str">
        <f>IF(B182="", "", IF('Lighting Inventory'!M191="", "S_LS", VLOOKUP('Lighting Inventory'!M191, 'Lookup Tables'!$B$142:$D$148, 3, FALSE)))</f>
        <v/>
      </c>
      <c r="H182" s="26" t="str">
        <f>IF(OR('Lighting Inventory'!V191="", 'Lighting Inventory'!W191=""), "", IF('Lighting Inventory'!W191="No Change", 'Lighting Inventory'!J191, CONCATENATE("Cut Sheet ", 'Appendix C'!A182)))</f>
        <v/>
      </c>
      <c r="I182" s="26" t="str">
        <f>IF(H182="", "", IF('Lighting Inventory'!AB191="Yes", "Screw-In", "General"))</f>
        <v/>
      </c>
      <c r="J182" s="26" t="str">
        <f>IF(B182="", "", CONCATENATE('Lighting Inventory'!W191, ", ", 'Lighting Inventory'!AL191, " W"))</f>
        <v/>
      </c>
      <c r="K182" s="26" t="str">
        <f>IF(OR(B182="",'Lighting Inventory'!B191="Retrofit"),"",IF('General Information'!$F$16="Space-by-Space",CONCATENATE('Lighting Inventory'!N191,", ",'Lighting Inventory'!O191," ",'Lighting Inventory'!P191," LPD"," at ",'Lighting Inventory'!Q191,", ",'Lighting Inventory'!R191," kW"),CONCATENATE(B182,", ",'Lighting Inventory'!O191," ",'Lighting Inventory'!P191," LPD"," at ",'Lighting Inventory'!Q191,", ",'Lighting Inventory'!R191," kW")))</f>
        <v/>
      </c>
      <c r="L182" s="26" t="str">
        <f>IF(H182="","",IF('Lighting Inventory'!AK191="","",'Lighting Inventory'!AK191))</f>
        <v/>
      </c>
      <c r="M182" s="26" t="str">
        <f>IF(H182="", "", 'Lighting Inventory'!AL191)</f>
        <v/>
      </c>
      <c r="N182" s="26" t="str">
        <f>IF('Lighting Inventory'!S191="", "", IF('Lighting Inventory'!W191="No Change", 'Lighting Inventory'!I191, 'Lighting Inventory'!S191))</f>
        <v/>
      </c>
      <c r="O182" s="26" t="str">
        <f>IF('Lighting Inventory'!AN191="", "", VLOOKUP('Lighting Inventory'!AN191, 'Lookup Tables'!$B$142:$D$148, 3, FALSE))</f>
        <v/>
      </c>
      <c r="P182" s="66" t="str">
        <f>IF(B182="", "", 'Lighting Inventory'!AX191)</f>
        <v/>
      </c>
      <c r="Q182" s="67" t="str">
        <f>IF(B182="", "", 'Lighting Inventory'!AZ191)</f>
        <v/>
      </c>
      <c r="R182" s="187" t="str">
        <f>IF(OR('Lighting Inventory'!G191="", 'Lighting Inventory'!H191=""), "", 'Lighting Inventory'!BD191)</f>
        <v/>
      </c>
      <c r="S182" s="187" t="str">
        <f>IF(OR('Lighting Inventory'!G191="", 'Lighting Inventory'!H191=""), "",'Lighting Inventory'!BB191)</f>
        <v/>
      </c>
      <c r="T182" s="67" t="str">
        <f>IF(B182="", "", 'Lighting Inventory'!BE191)</f>
        <v/>
      </c>
      <c r="U182" s="67" t="str">
        <f>IF(B182="", "", 'Lighting Inventory'!BF191)</f>
        <v/>
      </c>
      <c r="BM182" s="186" t="str">
        <f t="shared" si="2"/>
        <v>-</v>
      </c>
    </row>
    <row r="183" spans="1:65" x14ac:dyDescent="0.25">
      <c r="A183" s="189">
        <v>182</v>
      </c>
      <c r="B183" s="186" t="str">
        <f>IF('Lighting Inventory'!F192="", "", 'Lighting Inventory'!F192)</f>
        <v/>
      </c>
      <c r="C183" s="26" t="str">
        <f>IF(B183="", "", CONCATENATE("Area: ", 'Lighting Inventory'!D192, ", ", IF('Lighting Inventory'!C192="", "", "Floor: "), 'Lighting Inventory'!C192))</f>
        <v/>
      </c>
      <c r="D183" s="186" t="str">
        <f>IF(B183="", "", IF('Lighting Inventory'!B192="New Construction",CONCATENATE("Cut Sheet ", 250+'Appendix C'!A183), IF(ISNUMBER(SEARCH("cut sheet", 'Lighting Inventory'!J192)), CONCATENATE("Cut Sheet ", 'Lookup Tables'!AX185), 'Lighting Inventory'!J192)))</f>
        <v/>
      </c>
      <c r="E183" s="26" t="str">
        <f>IF(B183="", "", IF('Lighting Inventory'!B192="New Construction", 1, 'Lighting Inventory'!I192))</f>
        <v/>
      </c>
      <c r="F183" s="26" t="str">
        <f>IF(B183="", "", IF('Lighting Inventory'!B192="New Construction", 'Lighting Inventory'!R192*1000, 'Lighting Inventory'!K192))</f>
        <v/>
      </c>
      <c r="G183" s="26" t="str">
        <f>IF(B183="", "", IF('Lighting Inventory'!M192="", "S_LS", VLOOKUP('Lighting Inventory'!M192, 'Lookup Tables'!$B$142:$D$148, 3, FALSE)))</f>
        <v/>
      </c>
      <c r="H183" s="26" t="str">
        <f>IF(OR('Lighting Inventory'!V192="", 'Lighting Inventory'!W192=""), "", IF('Lighting Inventory'!W192="No Change", 'Lighting Inventory'!J192, CONCATENATE("Cut Sheet ", 'Appendix C'!A183)))</f>
        <v/>
      </c>
      <c r="I183" s="26" t="str">
        <f>IF(H183="", "", IF('Lighting Inventory'!AB192="Yes", "Screw-In", "General"))</f>
        <v/>
      </c>
      <c r="J183" s="26" t="str">
        <f>IF(B183="", "", CONCATENATE('Lighting Inventory'!W192, ", ", 'Lighting Inventory'!AL192, " W"))</f>
        <v/>
      </c>
      <c r="K183" s="26" t="str">
        <f>IF(OR(B183="",'Lighting Inventory'!B192="Retrofit"),"",IF('General Information'!$F$16="Space-by-Space",CONCATENATE('Lighting Inventory'!N192,", ",'Lighting Inventory'!O192," ",'Lighting Inventory'!P192," LPD"," at ",'Lighting Inventory'!Q192,", ",'Lighting Inventory'!R192," kW"),CONCATENATE(B183,", ",'Lighting Inventory'!O192," ",'Lighting Inventory'!P192," LPD"," at ",'Lighting Inventory'!Q192,", ",'Lighting Inventory'!R192," kW")))</f>
        <v/>
      </c>
      <c r="L183" s="26" t="str">
        <f>IF(H183="","",IF('Lighting Inventory'!AK192="","",'Lighting Inventory'!AK192))</f>
        <v/>
      </c>
      <c r="M183" s="26" t="str">
        <f>IF(H183="", "", 'Lighting Inventory'!AL192)</f>
        <v/>
      </c>
      <c r="N183" s="26" t="str">
        <f>IF('Lighting Inventory'!S192="", "", IF('Lighting Inventory'!W192="No Change", 'Lighting Inventory'!I192, 'Lighting Inventory'!S192))</f>
        <v/>
      </c>
      <c r="O183" s="26" t="str">
        <f>IF('Lighting Inventory'!AN192="", "", VLOOKUP('Lighting Inventory'!AN192, 'Lookup Tables'!$B$142:$D$148, 3, FALSE))</f>
        <v/>
      </c>
      <c r="P183" s="66" t="str">
        <f>IF(B183="", "", 'Lighting Inventory'!AX192)</f>
        <v/>
      </c>
      <c r="Q183" s="67" t="str">
        <f>IF(B183="", "", 'Lighting Inventory'!AZ192)</f>
        <v/>
      </c>
      <c r="R183" s="187" t="str">
        <f>IF(OR('Lighting Inventory'!G192="", 'Lighting Inventory'!H192=""), "", 'Lighting Inventory'!BD192)</f>
        <v/>
      </c>
      <c r="S183" s="187" t="str">
        <f>IF(OR('Lighting Inventory'!G192="", 'Lighting Inventory'!H192=""), "",'Lighting Inventory'!BB192)</f>
        <v/>
      </c>
      <c r="T183" s="67" t="str">
        <f>IF(B183="", "", 'Lighting Inventory'!BE192)</f>
        <v/>
      </c>
      <c r="U183" s="67" t="str">
        <f>IF(B183="", "", 'Lighting Inventory'!BF192)</f>
        <v/>
      </c>
      <c r="BM183" s="186" t="str">
        <f t="shared" si="2"/>
        <v>-</v>
      </c>
    </row>
    <row r="184" spans="1:65" x14ac:dyDescent="0.25">
      <c r="A184" s="189">
        <v>183</v>
      </c>
      <c r="B184" s="186" t="str">
        <f>IF('Lighting Inventory'!F193="", "", 'Lighting Inventory'!F193)</f>
        <v/>
      </c>
      <c r="C184" s="26" t="str">
        <f>IF(B184="", "", CONCATENATE("Area: ", 'Lighting Inventory'!D193, ", ", IF('Lighting Inventory'!C193="", "", "Floor: "), 'Lighting Inventory'!C193))</f>
        <v/>
      </c>
      <c r="D184" s="186" t="str">
        <f>IF(B184="", "", IF('Lighting Inventory'!B193="New Construction",CONCATENATE("Cut Sheet ", 250+'Appendix C'!A184), IF(ISNUMBER(SEARCH("cut sheet", 'Lighting Inventory'!J193)), CONCATENATE("Cut Sheet ", 'Lookup Tables'!AX186), 'Lighting Inventory'!J193)))</f>
        <v/>
      </c>
      <c r="E184" s="26" t="str">
        <f>IF(B184="", "", IF('Lighting Inventory'!B193="New Construction", 1, 'Lighting Inventory'!I193))</f>
        <v/>
      </c>
      <c r="F184" s="26" t="str">
        <f>IF(B184="", "", IF('Lighting Inventory'!B193="New Construction", 'Lighting Inventory'!R193*1000, 'Lighting Inventory'!K193))</f>
        <v/>
      </c>
      <c r="G184" s="26" t="str">
        <f>IF(B184="", "", IF('Lighting Inventory'!M193="", "S_LS", VLOOKUP('Lighting Inventory'!M193, 'Lookup Tables'!$B$142:$D$148, 3, FALSE)))</f>
        <v/>
      </c>
      <c r="H184" s="26" t="str">
        <f>IF(OR('Lighting Inventory'!V193="", 'Lighting Inventory'!W193=""), "", IF('Lighting Inventory'!W193="No Change", 'Lighting Inventory'!J193, CONCATENATE("Cut Sheet ", 'Appendix C'!A184)))</f>
        <v/>
      </c>
      <c r="I184" s="26" t="str">
        <f>IF(H184="", "", IF('Lighting Inventory'!AB193="Yes", "Screw-In", "General"))</f>
        <v/>
      </c>
      <c r="J184" s="26" t="str">
        <f>IF(B184="", "", CONCATENATE('Lighting Inventory'!W193, ", ", 'Lighting Inventory'!AL193, " W"))</f>
        <v/>
      </c>
      <c r="K184" s="26" t="str">
        <f>IF(OR(B184="",'Lighting Inventory'!B193="Retrofit"),"",IF('General Information'!$F$16="Space-by-Space",CONCATENATE('Lighting Inventory'!N193,", ",'Lighting Inventory'!O193," ",'Lighting Inventory'!P193," LPD"," at ",'Lighting Inventory'!Q193,", ",'Lighting Inventory'!R193," kW"),CONCATENATE(B184,", ",'Lighting Inventory'!O193," ",'Lighting Inventory'!P193," LPD"," at ",'Lighting Inventory'!Q193,", ",'Lighting Inventory'!R193," kW")))</f>
        <v/>
      </c>
      <c r="L184" s="26" t="str">
        <f>IF(H184="","",IF('Lighting Inventory'!AK193="","",'Lighting Inventory'!AK193))</f>
        <v/>
      </c>
      <c r="M184" s="26" t="str">
        <f>IF(H184="", "", 'Lighting Inventory'!AL193)</f>
        <v/>
      </c>
      <c r="N184" s="26" t="str">
        <f>IF('Lighting Inventory'!S193="", "", IF('Lighting Inventory'!W193="No Change", 'Lighting Inventory'!I193, 'Lighting Inventory'!S193))</f>
        <v/>
      </c>
      <c r="O184" s="26" t="str">
        <f>IF('Lighting Inventory'!AN193="", "", VLOOKUP('Lighting Inventory'!AN193, 'Lookup Tables'!$B$142:$D$148, 3, FALSE))</f>
        <v/>
      </c>
      <c r="P184" s="66" t="str">
        <f>IF(B184="", "", 'Lighting Inventory'!AX193)</f>
        <v/>
      </c>
      <c r="Q184" s="67" t="str">
        <f>IF(B184="", "", 'Lighting Inventory'!AZ193)</f>
        <v/>
      </c>
      <c r="R184" s="187" t="str">
        <f>IF(OR('Lighting Inventory'!G193="", 'Lighting Inventory'!H193=""), "", 'Lighting Inventory'!BD193)</f>
        <v/>
      </c>
      <c r="S184" s="187" t="str">
        <f>IF(OR('Lighting Inventory'!G193="", 'Lighting Inventory'!H193=""), "",'Lighting Inventory'!BB193)</f>
        <v/>
      </c>
      <c r="T184" s="67" t="str">
        <f>IF(B184="", "", 'Lighting Inventory'!BE193)</f>
        <v/>
      </c>
      <c r="U184" s="67" t="str">
        <f>IF(B184="", "", 'Lighting Inventory'!BF193)</f>
        <v/>
      </c>
      <c r="BM184" s="186" t="str">
        <f t="shared" si="2"/>
        <v>-</v>
      </c>
    </row>
    <row r="185" spans="1:65" x14ac:dyDescent="0.25">
      <c r="A185" s="189">
        <v>184</v>
      </c>
      <c r="B185" s="186" t="str">
        <f>IF('Lighting Inventory'!F194="", "", 'Lighting Inventory'!F194)</f>
        <v/>
      </c>
      <c r="C185" s="26" t="str">
        <f>IF(B185="", "", CONCATENATE("Area: ", 'Lighting Inventory'!D194, ", ", IF('Lighting Inventory'!C194="", "", "Floor: "), 'Lighting Inventory'!C194))</f>
        <v/>
      </c>
      <c r="D185" s="186" t="str">
        <f>IF(B185="", "", IF('Lighting Inventory'!B194="New Construction",CONCATENATE("Cut Sheet ", 250+'Appendix C'!A185), IF(ISNUMBER(SEARCH("cut sheet", 'Lighting Inventory'!J194)), CONCATENATE("Cut Sheet ", 'Lookup Tables'!AX187), 'Lighting Inventory'!J194)))</f>
        <v/>
      </c>
      <c r="E185" s="26" t="str">
        <f>IF(B185="", "", IF('Lighting Inventory'!B194="New Construction", 1, 'Lighting Inventory'!I194))</f>
        <v/>
      </c>
      <c r="F185" s="26" t="str">
        <f>IF(B185="", "", IF('Lighting Inventory'!B194="New Construction", 'Lighting Inventory'!R194*1000, 'Lighting Inventory'!K194))</f>
        <v/>
      </c>
      <c r="G185" s="26" t="str">
        <f>IF(B185="", "", IF('Lighting Inventory'!M194="", "S_LS", VLOOKUP('Lighting Inventory'!M194, 'Lookup Tables'!$B$142:$D$148, 3, FALSE)))</f>
        <v/>
      </c>
      <c r="H185" s="26" t="str">
        <f>IF(OR('Lighting Inventory'!V194="", 'Lighting Inventory'!W194=""), "", IF('Lighting Inventory'!W194="No Change", 'Lighting Inventory'!J194, CONCATENATE("Cut Sheet ", 'Appendix C'!A185)))</f>
        <v/>
      </c>
      <c r="I185" s="26" t="str">
        <f>IF(H185="", "", IF('Lighting Inventory'!AB194="Yes", "Screw-In", "General"))</f>
        <v/>
      </c>
      <c r="J185" s="26" t="str">
        <f>IF(B185="", "", CONCATENATE('Lighting Inventory'!W194, ", ", 'Lighting Inventory'!AL194, " W"))</f>
        <v/>
      </c>
      <c r="K185" s="26" t="str">
        <f>IF(OR(B185="",'Lighting Inventory'!B194="Retrofit"),"",IF('General Information'!$F$16="Space-by-Space",CONCATENATE('Lighting Inventory'!N194,", ",'Lighting Inventory'!O194," ",'Lighting Inventory'!P194," LPD"," at ",'Lighting Inventory'!Q194,", ",'Lighting Inventory'!R194," kW"),CONCATENATE(B185,", ",'Lighting Inventory'!O194," ",'Lighting Inventory'!P194," LPD"," at ",'Lighting Inventory'!Q194,", ",'Lighting Inventory'!R194," kW")))</f>
        <v/>
      </c>
      <c r="L185" s="26" t="str">
        <f>IF(H185="","",IF('Lighting Inventory'!AK194="","",'Lighting Inventory'!AK194))</f>
        <v/>
      </c>
      <c r="M185" s="26" t="str">
        <f>IF(H185="", "", 'Lighting Inventory'!AL194)</f>
        <v/>
      </c>
      <c r="N185" s="26" t="str">
        <f>IF('Lighting Inventory'!S194="", "", IF('Lighting Inventory'!W194="No Change", 'Lighting Inventory'!I194, 'Lighting Inventory'!S194))</f>
        <v/>
      </c>
      <c r="O185" s="26" t="str">
        <f>IF('Lighting Inventory'!AN194="", "", VLOOKUP('Lighting Inventory'!AN194, 'Lookup Tables'!$B$142:$D$148, 3, FALSE))</f>
        <v/>
      </c>
      <c r="P185" s="66" t="str">
        <f>IF(B185="", "", 'Lighting Inventory'!AX194)</f>
        <v/>
      </c>
      <c r="Q185" s="67" t="str">
        <f>IF(B185="", "", 'Lighting Inventory'!AZ194)</f>
        <v/>
      </c>
      <c r="R185" s="187" t="str">
        <f>IF(OR('Lighting Inventory'!G194="", 'Lighting Inventory'!H194=""), "", 'Lighting Inventory'!BD194)</f>
        <v/>
      </c>
      <c r="S185" s="187" t="str">
        <f>IF(OR('Lighting Inventory'!G194="", 'Lighting Inventory'!H194=""), "",'Lighting Inventory'!BB194)</f>
        <v/>
      </c>
      <c r="T185" s="67" t="str">
        <f>IF(B185="", "", 'Lighting Inventory'!BE194)</f>
        <v/>
      </c>
      <c r="U185" s="67" t="str">
        <f>IF(B185="", "", 'Lighting Inventory'!BF194)</f>
        <v/>
      </c>
      <c r="BM185" s="186" t="str">
        <f t="shared" si="2"/>
        <v>-</v>
      </c>
    </row>
    <row r="186" spans="1:65" x14ac:dyDescent="0.25">
      <c r="A186" s="189">
        <v>185</v>
      </c>
      <c r="B186" s="186" t="str">
        <f>IF('Lighting Inventory'!F195="", "", 'Lighting Inventory'!F195)</f>
        <v/>
      </c>
      <c r="C186" s="26" t="str">
        <f>IF(B186="", "", CONCATENATE("Area: ", 'Lighting Inventory'!D195, ", ", IF('Lighting Inventory'!C195="", "", "Floor: "), 'Lighting Inventory'!C195))</f>
        <v/>
      </c>
      <c r="D186" s="186" t="str">
        <f>IF(B186="", "", IF('Lighting Inventory'!B195="New Construction",CONCATENATE("Cut Sheet ", 250+'Appendix C'!A186), IF(ISNUMBER(SEARCH("cut sheet", 'Lighting Inventory'!J195)), CONCATENATE("Cut Sheet ", 'Lookup Tables'!AX188), 'Lighting Inventory'!J195)))</f>
        <v/>
      </c>
      <c r="E186" s="26" t="str">
        <f>IF(B186="", "", IF('Lighting Inventory'!B195="New Construction", 1, 'Lighting Inventory'!I195))</f>
        <v/>
      </c>
      <c r="F186" s="26" t="str">
        <f>IF(B186="", "", IF('Lighting Inventory'!B195="New Construction", 'Lighting Inventory'!R195*1000, 'Lighting Inventory'!K195))</f>
        <v/>
      </c>
      <c r="G186" s="26" t="str">
        <f>IF(B186="", "", IF('Lighting Inventory'!M195="", "S_LS", VLOOKUP('Lighting Inventory'!M195, 'Lookup Tables'!$B$142:$D$148, 3, FALSE)))</f>
        <v/>
      </c>
      <c r="H186" s="26" t="str">
        <f>IF(OR('Lighting Inventory'!V195="", 'Lighting Inventory'!W195=""), "", IF('Lighting Inventory'!W195="No Change", 'Lighting Inventory'!J195, CONCATENATE("Cut Sheet ", 'Appendix C'!A186)))</f>
        <v/>
      </c>
      <c r="I186" s="26" t="str">
        <f>IF(H186="", "", IF('Lighting Inventory'!AB195="Yes", "Screw-In", "General"))</f>
        <v/>
      </c>
      <c r="J186" s="26" t="str">
        <f>IF(B186="", "", CONCATENATE('Lighting Inventory'!W195, ", ", 'Lighting Inventory'!AL195, " W"))</f>
        <v/>
      </c>
      <c r="K186" s="26" t="str">
        <f>IF(OR(B186="",'Lighting Inventory'!B195="Retrofit"),"",IF('General Information'!$F$16="Space-by-Space",CONCATENATE('Lighting Inventory'!N195,", ",'Lighting Inventory'!O195," ",'Lighting Inventory'!P195," LPD"," at ",'Lighting Inventory'!Q195,", ",'Lighting Inventory'!R195," kW"),CONCATENATE(B186,", ",'Lighting Inventory'!O195," ",'Lighting Inventory'!P195," LPD"," at ",'Lighting Inventory'!Q195,", ",'Lighting Inventory'!R195," kW")))</f>
        <v/>
      </c>
      <c r="L186" s="26" t="str">
        <f>IF(H186="","",IF('Lighting Inventory'!AK195="","",'Lighting Inventory'!AK195))</f>
        <v/>
      </c>
      <c r="M186" s="26" t="str">
        <f>IF(H186="", "", 'Lighting Inventory'!AL195)</f>
        <v/>
      </c>
      <c r="N186" s="26" t="str">
        <f>IF('Lighting Inventory'!S195="", "", IF('Lighting Inventory'!W195="No Change", 'Lighting Inventory'!I195, 'Lighting Inventory'!S195))</f>
        <v/>
      </c>
      <c r="O186" s="26" t="str">
        <f>IF('Lighting Inventory'!AN195="", "", VLOOKUP('Lighting Inventory'!AN195, 'Lookup Tables'!$B$142:$D$148, 3, FALSE))</f>
        <v/>
      </c>
      <c r="P186" s="66" t="str">
        <f>IF(B186="", "", 'Lighting Inventory'!AX195)</f>
        <v/>
      </c>
      <c r="Q186" s="67" t="str">
        <f>IF(B186="", "", 'Lighting Inventory'!AZ195)</f>
        <v/>
      </c>
      <c r="R186" s="187" t="str">
        <f>IF(OR('Lighting Inventory'!G195="", 'Lighting Inventory'!H195=""), "", 'Lighting Inventory'!BD195)</f>
        <v/>
      </c>
      <c r="S186" s="187" t="str">
        <f>IF(OR('Lighting Inventory'!G195="", 'Lighting Inventory'!H195=""), "",'Lighting Inventory'!BB195)</f>
        <v/>
      </c>
      <c r="T186" s="67" t="str">
        <f>IF(B186="", "", 'Lighting Inventory'!BE195)</f>
        <v/>
      </c>
      <c r="U186" s="67" t="str">
        <f>IF(B186="", "", 'Lighting Inventory'!BF195)</f>
        <v/>
      </c>
      <c r="BM186" s="186" t="str">
        <f t="shared" si="2"/>
        <v>-</v>
      </c>
    </row>
    <row r="187" spans="1:65" x14ac:dyDescent="0.25">
      <c r="A187" s="189">
        <v>186</v>
      </c>
      <c r="B187" s="186" t="str">
        <f>IF('Lighting Inventory'!F196="", "", 'Lighting Inventory'!F196)</f>
        <v/>
      </c>
      <c r="C187" s="26" t="str">
        <f>IF(B187="", "", CONCATENATE("Area: ", 'Lighting Inventory'!D196, ", ", IF('Lighting Inventory'!C196="", "", "Floor: "), 'Lighting Inventory'!C196))</f>
        <v/>
      </c>
      <c r="D187" s="186" t="str">
        <f>IF(B187="", "", IF('Lighting Inventory'!B196="New Construction",CONCATENATE("Cut Sheet ", 250+'Appendix C'!A187), IF(ISNUMBER(SEARCH("cut sheet", 'Lighting Inventory'!J196)), CONCATENATE("Cut Sheet ", 'Lookup Tables'!AX189), 'Lighting Inventory'!J196)))</f>
        <v/>
      </c>
      <c r="E187" s="26" t="str">
        <f>IF(B187="", "", IF('Lighting Inventory'!B196="New Construction", 1, 'Lighting Inventory'!I196))</f>
        <v/>
      </c>
      <c r="F187" s="26" t="str">
        <f>IF(B187="", "", IF('Lighting Inventory'!B196="New Construction", 'Lighting Inventory'!R196*1000, 'Lighting Inventory'!K196))</f>
        <v/>
      </c>
      <c r="G187" s="26" t="str">
        <f>IF(B187="", "", IF('Lighting Inventory'!M196="", "S_LS", VLOOKUP('Lighting Inventory'!M196, 'Lookup Tables'!$B$142:$D$148, 3, FALSE)))</f>
        <v/>
      </c>
      <c r="H187" s="26" t="str">
        <f>IF(OR('Lighting Inventory'!V196="", 'Lighting Inventory'!W196=""), "", IF('Lighting Inventory'!W196="No Change", 'Lighting Inventory'!J196, CONCATENATE("Cut Sheet ", 'Appendix C'!A187)))</f>
        <v/>
      </c>
      <c r="I187" s="26" t="str">
        <f>IF(H187="", "", IF('Lighting Inventory'!AB196="Yes", "Screw-In", "General"))</f>
        <v/>
      </c>
      <c r="J187" s="26" t="str">
        <f>IF(B187="", "", CONCATENATE('Lighting Inventory'!W196, ", ", 'Lighting Inventory'!AL196, " W"))</f>
        <v/>
      </c>
      <c r="K187" s="26" t="str">
        <f>IF(OR(B187="",'Lighting Inventory'!B196="Retrofit"),"",IF('General Information'!$F$16="Space-by-Space",CONCATENATE('Lighting Inventory'!N196,", ",'Lighting Inventory'!O196," ",'Lighting Inventory'!P196," LPD"," at ",'Lighting Inventory'!Q196,", ",'Lighting Inventory'!R196," kW"),CONCATENATE(B187,", ",'Lighting Inventory'!O196," ",'Lighting Inventory'!P196," LPD"," at ",'Lighting Inventory'!Q196,", ",'Lighting Inventory'!R196," kW")))</f>
        <v/>
      </c>
      <c r="L187" s="26" t="str">
        <f>IF(H187="","",IF('Lighting Inventory'!AK196="","",'Lighting Inventory'!AK196))</f>
        <v/>
      </c>
      <c r="M187" s="26" t="str">
        <f>IF(H187="", "", 'Lighting Inventory'!AL196)</f>
        <v/>
      </c>
      <c r="N187" s="26" t="str">
        <f>IF('Lighting Inventory'!S196="", "", IF('Lighting Inventory'!W196="No Change", 'Lighting Inventory'!I196, 'Lighting Inventory'!S196))</f>
        <v/>
      </c>
      <c r="O187" s="26" t="str">
        <f>IF('Lighting Inventory'!AN196="", "", VLOOKUP('Lighting Inventory'!AN196, 'Lookup Tables'!$B$142:$D$148, 3, FALSE))</f>
        <v/>
      </c>
      <c r="P187" s="66" t="str">
        <f>IF(B187="", "", 'Lighting Inventory'!AX196)</f>
        <v/>
      </c>
      <c r="Q187" s="67" t="str">
        <f>IF(B187="", "", 'Lighting Inventory'!AZ196)</f>
        <v/>
      </c>
      <c r="R187" s="187" t="str">
        <f>IF(OR('Lighting Inventory'!G196="", 'Lighting Inventory'!H196=""), "", 'Lighting Inventory'!BD196)</f>
        <v/>
      </c>
      <c r="S187" s="187" t="str">
        <f>IF(OR('Lighting Inventory'!G196="", 'Lighting Inventory'!H196=""), "",'Lighting Inventory'!BB196)</f>
        <v/>
      </c>
      <c r="T187" s="67" t="str">
        <f>IF(B187="", "", 'Lighting Inventory'!BE196)</f>
        <v/>
      </c>
      <c r="U187" s="67" t="str">
        <f>IF(B187="", "", 'Lighting Inventory'!BF196)</f>
        <v/>
      </c>
      <c r="BM187" s="186" t="str">
        <f t="shared" si="2"/>
        <v>-</v>
      </c>
    </row>
    <row r="188" spans="1:65" x14ac:dyDescent="0.25">
      <c r="A188" s="189">
        <v>187</v>
      </c>
      <c r="B188" s="186" t="str">
        <f>IF('Lighting Inventory'!F197="", "", 'Lighting Inventory'!F197)</f>
        <v/>
      </c>
      <c r="C188" s="26" t="str">
        <f>IF(B188="", "", CONCATENATE("Area: ", 'Lighting Inventory'!D197, ", ", IF('Lighting Inventory'!C197="", "", "Floor: "), 'Lighting Inventory'!C197))</f>
        <v/>
      </c>
      <c r="D188" s="186" t="str">
        <f>IF(B188="", "", IF('Lighting Inventory'!B197="New Construction",CONCATENATE("Cut Sheet ", 250+'Appendix C'!A188), IF(ISNUMBER(SEARCH("cut sheet", 'Lighting Inventory'!J197)), CONCATENATE("Cut Sheet ", 'Lookup Tables'!AX190), 'Lighting Inventory'!J197)))</f>
        <v/>
      </c>
      <c r="E188" s="26" t="str">
        <f>IF(B188="", "", IF('Lighting Inventory'!B197="New Construction", 1, 'Lighting Inventory'!I197))</f>
        <v/>
      </c>
      <c r="F188" s="26" t="str">
        <f>IF(B188="", "", IF('Lighting Inventory'!B197="New Construction", 'Lighting Inventory'!R197*1000, 'Lighting Inventory'!K197))</f>
        <v/>
      </c>
      <c r="G188" s="26" t="str">
        <f>IF(B188="", "", IF('Lighting Inventory'!M197="", "S_LS", VLOOKUP('Lighting Inventory'!M197, 'Lookup Tables'!$B$142:$D$148, 3, FALSE)))</f>
        <v/>
      </c>
      <c r="H188" s="26" t="str">
        <f>IF(OR('Lighting Inventory'!V197="", 'Lighting Inventory'!W197=""), "", IF('Lighting Inventory'!W197="No Change", 'Lighting Inventory'!J197, CONCATENATE("Cut Sheet ", 'Appendix C'!A188)))</f>
        <v/>
      </c>
      <c r="I188" s="26" t="str">
        <f>IF(H188="", "", IF('Lighting Inventory'!AB197="Yes", "Screw-In", "General"))</f>
        <v/>
      </c>
      <c r="J188" s="26" t="str">
        <f>IF(B188="", "", CONCATENATE('Lighting Inventory'!W197, ", ", 'Lighting Inventory'!AL197, " W"))</f>
        <v/>
      </c>
      <c r="K188" s="26" t="str">
        <f>IF(OR(B188="",'Lighting Inventory'!B197="Retrofit"),"",IF('General Information'!$F$16="Space-by-Space",CONCATENATE('Lighting Inventory'!N197,", ",'Lighting Inventory'!O197," ",'Lighting Inventory'!P197," LPD"," at ",'Lighting Inventory'!Q197,", ",'Lighting Inventory'!R197," kW"),CONCATENATE(B188,", ",'Lighting Inventory'!O197," ",'Lighting Inventory'!P197," LPD"," at ",'Lighting Inventory'!Q197,", ",'Lighting Inventory'!R197," kW")))</f>
        <v/>
      </c>
      <c r="L188" s="26" t="str">
        <f>IF(H188="","",IF('Lighting Inventory'!AK197="","",'Lighting Inventory'!AK197))</f>
        <v/>
      </c>
      <c r="M188" s="26" t="str">
        <f>IF(H188="", "", 'Lighting Inventory'!AL197)</f>
        <v/>
      </c>
      <c r="N188" s="26" t="str">
        <f>IF('Lighting Inventory'!S197="", "", IF('Lighting Inventory'!W197="No Change", 'Lighting Inventory'!I197, 'Lighting Inventory'!S197))</f>
        <v/>
      </c>
      <c r="O188" s="26" t="str">
        <f>IF('Lighting Inventory'!AN197="", "", VLOOKUP('Lighting Inventory'!AN197, 'Lookup Tables'!$B$142:$D$148, 3, FALSE))</f>
        <v/>
      </c>
      <c r="P188" s="66" t="str">
        <f>IF(B188="", "", 'Lighting Inventory'!AX197)</f>
        <v/>
      </c>
      <c r="Q188" s="67" t="str">
        <f>IF(B188="", "", 'Lighting Inventory'!AZ197)</f>
        <v/>
      </c>
      <c r="R188" s="187" t="str">
        <f>IF(OR('Lighting Inventory'!G197="", 'Lighting Inventory'!H197=""), "", 'Lighting Inventory'!BD197)</f>
        <v/>
      </c>
      <c r="S188" s="187" t="str">
        <f>IF(OR('Lighting Inventory'!G197="", 'Lighting Inventory'!H197=""), "",'Lighting Inventory'!BB197)</f>
        <v/>
      </c>
      <c r="T188" s="67" t="str">
        <f>IF(B188="", "", 'Lighting Inventory'!BE197)</f>
        <v/>
      </c>
      <c r="U188" s="67" t="str">
        <f>IF(B188="", "", 'Lighting Inventory'!BF197)</f>
        <v/>
      </c>
      <c r="BM188" s="186" t="str">
        <f t="shared" si="2"/>
        <v>-</v>
      </c>
    </row>
    <row r="189" spans="1:65" x14ac:dyDescent="0.25">
      <c r="A189" s="189">
        <v>188</v>
      </c>
      <c r="B189" s="186" t="str">
        <f>IF('Lighting Inventory'!F198="", "", 'Lighting Inventory'!F198)</f>
        <v/>
      </c>
      <c r="C189" s="26" t="str">
        <f>IF(B189="", "", CONCATENATE("Area: ", 'Lighting Inventory'!D198, ", ", IF('Lighting Inventory'!C198="", "", "Floor: "), 'Lighting Inventory'!C198))</f>
        <v/>
      </c>
      <c r="D189" s="186" t="str">
        <f>IF(B189="", "", IF('Lighting Inventory'!B198="New Construction",CONCATENATE("Cut Sheet ", 250+'Appendix C'!A189), IF(ISNUMBER(SEARCH("cut sheet", 'Lighting Inventory'!J198)), CONCATENATE("Cut Sheet ", 'Lookup Tables'!AX191), 'Lighting Inventory'!J198)))</f>
        <v/>
      </c>
      <c r="E189" s="26" t="str">
        <f>IF(B189="", "", IF('Lighting Inventory'!B198="New Construction", 1, 'Lighting Inventory'!I198))</f>
        <v/>
      </c>
      <c r="F189" s="26" t="str">
        <f>IF(B189="", "", IF('Lighting Inventory'!B198="New Construction", 'Lighting Inventory'!R198*1000, 'Lighting Inventory'!K198))</f>
        <v/>
      </c>
      <c r="G189" s="26" t="str">
        <f>IF(B189="", "", IF('Lighting Inventory'!M198="", "S_LS", VLOOKUP('Lighting Inventory'!M198, 'Lookup Tables'!$B$142:$D$148, 3, FALSE)))</f>
        <v/>
      </c>
      <c r="H189" s="26" t="str">
        <f>IF(OR('Lighting Inventory'!V198="", 'Lighting Inventory'!W198=""), "", IF('Lighting Inventory'!W198="No Change", 'Lighting Inventory'!J198, CONCATENATE("Cut Sheet ", 'Appendix C'!A189)))</f>
        <v/>
      </c>
      <c r="I189" s="26" t="str">
        <f>IF(H189="", "", IF('Lighting Inventory'!AB198="Yes", "Screw-In", "General"))</f>
        <v/>
      </c>
      <c r="J189" s="26" t="str">
        <f>IF(B189="", "", CONCATENATE('Lighting Inventory'!W198, ", ", 'Lighting Inventory'!AL198, " W"))</f>
        <v/>
      </c>
      <c r="K189" s="26" t="str">
        <f>IF(OR(B189="",'Lighting Inventory'!B198="Retrofit"),"",IF('General Information'!$F$16="Space-by-Space",CONCATENATE('Lighting Inventory'!N198,", ",'Lighting Inventory'!O198," ",'Lighting Inventory'!P198," LPD"," at ",'Lighting Inventory'!Q198,", ",'Lighting Inventory'!R198," kW"),CONCATENATE(B189,", ",'Lighting Inventory'!O198," ",'Lighting Inventory'!P198," LPD"," at ",'Lighting Inventory'!Q198,", ",'Lighting Inventory'!R198," kW")))</f>
        <v/>
      </c>
      <c r="L189" s="26" t="str">
        <f>IF(H189="","",IF('Lighting Inventory'!AK198="","",'Lighting Inventory'!AK198))</f>
        <v/>
      </c>
      <c r="M189" s="26" t="str">
        <f>IF(H189="", "", 'Lighting Inventory'!AL198)</f>
        <v/>
      </c>
      <c r="N189" s="26" t="str">
        <f>IF('Lighting Inventory'!S198="", "", IF('Lighting Inventory'!W198="No Change", 'Lighting Inventory'!I198, 'Lighting Inventory'!S198))</f>
        <v/>
      </c>
      <c r="O189" s="26" t="str">
        <f>IF('Lighting Inventory'!AN198="", "", VLOOKUP('Lighting Inventory'!AN198, 'Lookup Tables'!$B$142:$D$148, 3, FALSE))</f>
        <v/>
      </c>
      <c r="P189" s="66" t="str">
        <f>IF(B189="", "", 'Lighting Inventory'!AX198)</f>
        <v/>
      </c>
      <c r="Q189" s="67" t="str">
        <f>IF(B189="", "", 'Lighting Inventory'!AZ198)</f>
        <v/>
      </c>
      <c r="R189" s="187" t="str">
        <f>IF(OR('Lighting Inventory'!G198="", 'Lighting Inventory'!H198=""), "", 'Lighting Inventory'!BD198)</f>
        <v/>
      </c>
      <c r="S189" s="187" t="str">
        <f>IF(OR('Lighting Inventory'!G198="", 'Lighting Inventory'!H198=""), "",'Lighting Inventory'!BB198)</f>
        <v/>
      </c>
      <c r="T189" s="67" t="str">
        <f>IF(B189="", "", 'Lighting Inventory'!BE198)</f>
        <v/>
      </c>
      <c r="U189" s="67" t="str">
        <f>IF(B189="", "", 'Lighting Inventory'!BF198)</f>
        <v/>
      </c>
      <c r="BM189" s="186" t="str">
        <f t="shared" si="2"/>
        <v>-</v>
      </c>
    </row>
    <row r="190" spans="1:65" x14ac:dyDescent="0.25">
      <c r="A190" s="189">
        <v>189</v>
      </c>
      <c r="B190" s="186" t="str">
        <f>IF('Lighting Inventory'!F199="", "", 'Lighting Inventory'!F199)</f>
        <v/>
      </c>
      <c r="C190" s="26" t="str">
        <f>IF(B190="", "", CONCATENATE("Area: ", 'Lighting Inventory'!D199, ", ", IF('Lighting Inventory'!C199="", "", "Floor: "), 'Lighting Inventory'!C199))</f>
        <v/>
      </c>
      <c r="D190" s="186" t="str">
        <f>IF(B190="", "", IF('Lighting Inventory'!B199="New Construction",CONCATENATE("Cut Sheet ", 250+'Appendix C'!A190), IF(ISNUMBER(SEARCH("cut sheet", 'Lighting Inventory'!J199)), CONCATENATE("Cut Sheet ", 'Lookup Tables'!AX192), 'Lighting Inventory'!J199)))</f>
        <v/>
      </c>
      <c r="E190" s="26" t="str">
        <f>IF(B190="", "", IF('Lighting Inventory'!B199="New Construction", 1, 'Lighting Inventory'!I199))</f>
        <v/>
      </c>
      <c r="F190" s="26" t="str">
        <f>IF(B190="", "", IF('Lighting Inventory'!B199="New Construction", 'Lighting Inventory'!R199*1000, 'Lighting Inventory'!K199))</f>
        <v/>
      </c>
      <c r="G190" s="26" t="str">
        <f>IF(B190="", "", IF('Lighting Inventory'!M199="", "S_LS", VLOOKUP('Lighting Inventory'!M199, 'Lookup Tables'!$B$142:$D$148, 3, FALSE)))</f>
        <v/>
      </c>
      <c r="H190" s="26" t="str">
        <f>IF(OR('Lighting Inventory'!V199="", 'Lighting Inventory'!W199=""), "", IF('Lighting Inventory'!W199="No Change", 'Lighting Inventory'!J199, CONCATENATE("Cut Sheet ", 'Appendix C'!A190)))</f>
        <v/>
      </c>
      <c r="I190" s="26" t="str">
        <f>IF(H190="", "", IF('Lighting Inventory'!AB199="Yes", "Screw-In", "General"))</f>
        <v/>
      </c>
      <c r="J190" s="26" t="str">
        <f>IF(B190="", "", CONCATENATE('Lighting Inventory'!W199, ", ", 'Lighting Inventory'!AL199, " W"))</f>
        <v/>
      </c>
      <c r="K190" s="26" t="str">
        <f>IF(OR(B190="",'Lighting Inventory'!B199="Retrofit"),"",IF('General Information'!$F$16="Space-by-Space",CONCATENATE('Lighting Inventory'!N199,", ",'Lighting Inventory'!O199," ",'Lighting Inventory'!P199," LPD"," at ",'Lighting Inventory'!Q199,", ",'Lighting Inventory'!R199," kW"),CONCATENATE(B190,", ",'Lighting Inventory'!O199," ",'Lighting Inventory'!P199," LPD"," at ",'Lighting Inventory'!Q199,", ",'Lighting Inventory'!R199," kW")))</f>
        <v/>
      </c>
      <c r="L190" s="26" t="str">
        <f>IF(H190="","",IF('Lighting Inventory'!AK199="","",'Lighting Inventory'!AK199))</f>
        <v/>
      </c>
      <c r="M190" s="26" t="str">
        <f>IF(H190="", "", 'Lighting Inventory'!AL199)</f>
        <v/>
      </c>
      <c r="N190" s="26" t="str">
        <f>IF('Lighting Inventory'!S199="", "", IF('Lighting Inventory'!W199="No Change", 'Lighting Inventory'!I199, 'Lighting Inventory'!S199))</f>
        <v/>
      </c>
      <c r="O190" s="26" t="str">
        <f>IF('Lighting Inventory'!AN199="", "", VLOOKUP('Lighting Inventory'!AN199, 'Lookup Tables'!$B$142:$D$148, 3, FALSE))</f>
        <v/>
      </c>
      <c r="P190" s="66" t="str">
        <f>IF(B190="", "", 'Lighting Inventory'!AX199)</f>
        <v/>
      </c>
      <c r="Q190" s="67" t="str">
        <f>IF(B190="", "", 'Lighting Inventory'!AZ199)</f>
        <v/>
      </c>
      <c r="R190" s="187" t="str">
        <f>IF(OR('Lighting Inventory'!G199="", 'Lighting Inventory'!H199=""), "", 'Lighting Inventory'!BD199)</f>
        <v/>
      </c>
      <c r="S190" s="187" t="str">
        <f>IF(OR('Lighting Inventory'!G199="", 'Lighting Inventory'!H199=""), "",'Lighting Inventory'!BB199)</f>
        <v/>
      </c>
      <c r="T190" s="67" t="str">
        <f>IF(B190="", "", 'Lighting Inventory'!BE199)</f>
        <v/>
      </c>
      <c r="U190" s="67" t="str">
        <f>IF(B190="", "", 'Lighting Inventory'!BF199)</f>
        <v/>
      </c>
      <c r="BM190" s="186" t="str">
        <f t="shared" si="2"/>
        <v>-</v>
      </c>
    </row>
    <row r="191" spans="1:65" x14ac:dyDescent="0.25">
      <c r="A191" s="189">
        <v>190</v>
      </c>
      <c r="B191" s="186" t="str">
        <f>IF('Lighting Inventory'!F200="", "", 'Lighting Inventory'!F200)</f>
        <v/>
      </c>
      <c r="C191" s="26" t="str">
        <f>IF(B191="", "", CONCATENATE("Area: ", 'Lighting Inventory'!D200, ", ", IF('Lighting Inventory'!C200="", "", "Floor: "), 'Lighting Inventory'!C200))</f>
        <v/>
      </c>
      <c r="D191" s="186" t="str">
        <f>IF(B191="", "", IF('Lighting Inventory'!B200="New Construction",CONCATENATE("Cut Sheet ", 250+'Appendix C'!A191), IF(ISNUMBER(SEARCH("cut sheet", 'Lighting Inventory'!J200)), CONCATENATE("Cut Sheet ", 'Lookup Tables'!AX193), 'Lighting Inventory'!J200)))</f>
        <v/>
      </c>
      <c r="E191" s="26" t="str">
        <f>IF(B191="", "", IF('Lighting Inventory'!B200="New Construction", 1, 'Lighting Inventory'!I200))</f>
        <v/>
      </c>
      <c r="F191" s="26" t="str">
        <f>IF(B191="", "", IF('Lighting Inventory'!B200="New Construction", 'Lighting Inventory'!R200*1000, 'Lighting Inventory'!K200))</f>
        <v/>
      </c>
      <c r="G191" s="26" t="str">
        <f>IF(B191="", "", IF('Lighting Inventory'!M200="", "S_LS", VLOOKUP('Lighting Inventory'!M200, 'Lookup Tables'!$B$142:$D$148, 3, FALSE)))</f>
        <v/>
      </c>
      <c r="H191" s="26" t="str">
        <f>IF(OR('Lighting Inventory'!V200="", 'Lighting Inventory'!W200=""), "", IF('Lighting Inventory'!W200="No Change", 'Lighting Inventory'!J200, CONCATENATE("Cut Sheet ", 'Appendix C'!A191)))</f>
        <v/>
      </c>
      <c r="I191" s="26" t="str">
        <f>IF(H191="", "", IF('Lighting Inventory'!AB200="Yes", "Screw-In", "General"))</f>
        <v/>
      </c>
      <c r="J191" s="26" t="str">
        <f>IF(B191="", "", CONCATENATE('Lighting Inventory'!W200, ", ", 'Lighting Inventory'!AL200, " W"))</f>
        <v/>
      </c>
      <c r="K191" s="26" t="str">
        <f>IF(OR(B191="",'Lighting Inventory'!B200="Retrofit"),"",IF('General Information'!$F$16="Space-by-Space",CONCATENATE('Lighting Inventory'!N200,", ",'Lighting Inventory'!O200," ",'Lighting Inventory'!P200," LPD"," at ",'Lighting Inventory'!Q200,", ",'Lighting Inventory'!R200," kW"),CONCATENATE(B191,", ",'Lighting Inventory'!O200," ",'Lighting Inventory'!P200," LPD"," at ",'Lighting Inventory'!Q200,", ",'Lighting Inventory'!R200," kW")))</f>
        <v/>
      </c>
      <c r="L191" s="26" t="str">
        <f>IF(H191="","",IF('Lighting Inventory'!AK200="","",'Lighting Inventory'!AK200))</f>
        <v/>
      </c>
      <c r="M191" s="26" t="str">
        <f>IF(H191="", "", 'Lighting Inventory'!AL200)</f>
        <v/>
      </c>
      <c r="N191" s="26" t="str">
        <f>IF('Lighting Inventory'!S200="", "", IF('Lighting Inventory'!W200="No Change", 'Lighting Inventory'!I200, 'Lighting Inventory'!S200))</f>
        <v/>
      </c>
      <c r="O191" s="26" t="str">
        <f>IF('Lighting Inventory'!AN200="", "", VLOOKUP('Lighting Inventory'!AN200, 'Lookup Tables'!$B$142:$D$148, 3, FALSE))</f>
        <v/>
      </c>
      <c r="P191" s="66" t="str">
        <f>IF(B191="", "", 'Lighting Inventory'!AX200)</f>
        <v/>
      </c>
      <c r="Q191" s="67" t="str">
        <f>IF(B191="", "", 'Lighting Inventory'!AZ200)</f>
        <v/>
      </c>
      <c r="R191" s="187" t="str">
        <f>IF(OR('Lighting Inventory'!G200="", 'Lighting Inventory'!H200=""), "", 'Lighting Inventory'!BD200)</f>
        <v/>
      </c>
      <c r="S191" s="187" t="str">
        <f>IF(OR('Lighting Inventory'!G200="", 'Lighting Inventory'!H200=""), "",'Lighting Inventory'!BB200)</f>
        <v/>
      </c>
      <c r="T191" s="67" t="str">
        <f>IF(B191="", "", 'Lighting Inventory'!BE200)</f>
        <v/>
      </c>
      <c r="U191" s="67" t="str">
        <f>IF(B191="", "", 'Lighting Inventory'!BF200)</f>
        <v/>
      </c>
      <c r="BM191" s="186" t="str">
        <f t="shared" si="2"/>
        <v>-</v>
      </c>
    </row>
    <row r="192" spans="1:65" x14ac:dyDescent="0.25">
      <c r="A192" s="189">
        <v>191</v>
      </c>
      <c r="B192" s="186" t="str">
        <f>IF('Lighting Inventory'!F201="", "", 'Lighting Inventory'!F201)</f>
        <v/>
      </c>
      <c r="C192" s="26" t="str">
        <f>IF(B192="", "", CONCATENATE("Area: ", 'Lighting Inventory'!D201, ", ", IF('Lighting Inventory'!C201="", "", "Floor: "), 'Lighting Inventory'!C201))</f>
        <v/>
      </c>
      <c r="D192" s="186" t="str">
        <f>IF(B192="", "", IF('Lighting Inventory'!B201="New Construction",CONCATENATE("Cut Sheet ", 250+'Appendix C'!A192), IF(ISNUMBER(SEARCH("cut sheet", 'Lighting Inventory'!J201)), CONCATENATE("Cut Sheet ", 'Lookup Tables'!AX194), 'Lighting Inventory'!J201)))</f>
        <v/>
      </c>
      <c r="E192" s="26" t="str">
        <f>IF(B192="", "", IF('Lighting Inventory'!B201="New Construction", 1, 'Lighting Inventory'!I201))</f>
        <v/>
      </c>
      <c r="F192" s="26" t="str">
        <f>IF(B192="", "", IF('Lighting Inventory'!B201="New Construction", 'Lighting Inventory'!R201*1000, 'Lighting Inventory'!K201))</f>
        <v/>
      </c>
      <c r="G192" s="26" t="str">
        <f>IF(B192="", "", IF('Lighting Inventory'!M201="", "S_LS", VLOOKUP('Lighting Inventory'!M201, 'Lookup Tables'!$B$142:$D$148, 3, FALSE)))</f>
        <v/>
      </c>
      <c r="H192" s="26" t="str">
        <f>IF(OR('Lighting Inventory'!V201="", 'Lighting Inventory'!W201=""), "", IF('Lighting Inventory'!W201="No Change", 'Lighting Inventory'!J201, CONCATENATE("Cut Sheet ", 'Appendix C'!A192)))</f>
        <v/>
      </c>
      <c r="I192" s="26" t="str">
        <f>IF(H192="", "", IF('Lighting Inventory'!AB201="Yes", "Screw-In", "General"))</f>
        <v/>
      </c>
      <c r="J192" s="26" t="str">
        <f>IF(B192="", "", CONCATENATE('Lighting Inventory'!W201, ", ", 'Lighting Inventory'!AL201, " W"))</f>
        <v/>
      </c>
      <c r="K192" s="26" t="str">
        <f>IF(OR(B192="",'Lighting Inventory'!B201="Retrofit"),"",IF('General Information'!$F$16="Space-by-Space",CONCATENATE('Lighting Inventory'!N201,", ",'Lighting Inventory'!O201," ",'Lighting Inventory'!P201," LPD"," at ",'Lighting Inventory'!Q201,", ",'Lighting Inventory'!R201," kW"),CONCATENATE(B192,", ",'Lighting Inventory'!O201," ",'Lighting Inventory'!P201," LPD"," at ",'Lighting Inventory'!Q201,", ",'Lighting Inventory'!R201," kW")))</f>
        <v/>
      </c>
      <c r="L192" s="26" t="str">
        <f>IF(H192="","",IF('Lighting Inventory'!AK201="","",'Lighting Inventory'!AK201))</f>
        <v/>
      </c>
      <c r="M192" s="26" t="str">
        <f>IF(H192="", "", 'Lighting Inventory'!AL201)</f>
        <v/>
      </c>
      <c r="N192" s="26" t="str">
        <f>IF('Lighting Inventory'!S201="", "", IF('Lighting Inventory'!W201="No Change", 'Lighting Inventory'!I201, 'Lighting Inventory'!S201))</f>
        <v/>
      </c>
      <c r="O192" s="26" t="str">
        <f>IF('Lighting Inventory'!AN201="", "", VLOOKUP('Lighting Inventory'!AN201, 'Lookup Tables'!$B$142:$D$148, 3, FALSE))</f>
        <v/>
      </c>
      <c r="P192" s="66" t="str">
        <f>IF(B192="", "", 'Lighting Inventory'!AX201)</f>
        <v/>
      </c>
      <c r="Q192" s="67" t="str">
        <f>IF(B192="", "", 'Lighting Inventory'!AZ201)</f>
        <v/>
      </c>
      <c r="R192" s="187" t="str">
        <f>IF(OR('Lighting Inventory'!G201="", 'Lighting Inventory'!H201=""), "", 'Lighting Inventory'!BD201)</f>
        <v/>
      </c>
      <c r="S192" s="187" t="str">
        <f>IF(OR('Lighting Inventory'!G201="", 'Lighting Inventory'!H201=""), "",'Lighting Inventory'!BB201)</f>
        <v/>
      </c>
      <c r="T192" s="67" t="str">
        <f>IF(B192="", "", 'Lighting Inventory'!BE201)</f>
        <v/>
      </c>
      <c r="U192" s="67" t="str">
        <f>IF(B192="", "", 'Lighting Inventory'!BF201)</f>
        <v/>
      </c>
      <c r="BM192" s="186" t="str">
        <f t="shared" si="2"/>
        <v>-</v>
      </c>
    </row>
    <row r="193" spans="1:65" x14ac:dyDescent="0.25">
      <c r="A193" s="189">
        <v>192</v>
      </c>
      <c r="B193" s="186" t="str">
        <f>IF('Lighting Inventory'!F202="", "", 'Lighting Inventory'!F202)</f>
        <v/>
      </c>
      <c r="C193" s="26" t="str">
        <f>IF(B193="", "", CONCATENATE("Area: ", 'Lighting Inventory'!D202, ", ", IF('Lighting Inventory'!C202="", "", "Floor: "), 'Lighting Inventory'!C202))</f>
        <v/>
      </c>
      <c r="D193" s="186" t="str">
        <f>IF(B193="", "", IF('Lighting Inventory'!B202="New Construction",CONCATENATE("Cut Sheet ", 250+'Appendix C'!A193), IF(ISNUMBER(SEARCH("cut sheet", 'Lighting Inventory'!J202)), CONCATENATE("Cut Sheet ", 'Lookup Tables'!AX195), 'Lighting Inventory'!J202)))</f>
        <v/>
      </c>
      <c r="E193" s="26" t="str">
        <f>IF(B193="", "", IF('Lighting Inventory'!B202="New Construction", 1, 'Lighting Inventory'!I202))</f>
        <v/>
      </c>
      <c r="F193" s="26" t="str">
        <f>IF(B193="", "", IF('Lighting Inventory'!B202="New Construction", 'Lighting Inventory'!R202*1000, 'Lighting Inventory'!K202))</f>
        <v/>
      </c>
      <c r="G193" s="26" t="str">
        <f>IF(B193="", "", IF('Lighting Inventory'!M202="", "S_LS", VLOOKUP('Lighting Inventory'!M202, 'Lookup Tables'!$B$142:$D$148, 3, FALSE)))</f>
        <v/>
      </c>
      <c r="H193" s="26" t="str">
        <f>IF(OR('Lighting Inventory'!V202="", 'Lighting Inventory'!W202=""), "", IF('Lighting Inventory'!W202="No Change", 'Lighting Inventory'!J202, CONCATENATE("Cut Sheet ", 'Appendix C'!A193)))</f>
        <v/>
      </c>
      <c r="I193" s="26" t="str">
        <f>IF(H193="", "", IF('Lighting Inventory'!AB202="Yes", "Screw-In", "General"))</f>
        <v/>
      </c>
      <c r="J193" s="26" t="str">
        <f>IF(B193="", "", CONCATENATE('Lighting Inventory'!W202, ", ", 'Lighting Inventory'!AL202, " W"))</f>
        <v/>
      </c>
      <c r="K193" s="26" t="str">
        <f>IF(OR(B193="",'Lighting Inventory'!B202="Retrofit"),"",IF('General Information'!$F$16="Space-by-Space",CONCATENATE('Lighting Inventory'!N202,", ",'Lighting Inventory'!O202," ",'Lighting Inventory'!P202," LPD"," at ",'Lighting Inventory'!Q202,", ",'Lighting Inventory'!R202," kW"),CONCATENATE(B193,", ",'Lighting Inventory'!O202," ",'Lighting Inventory'!P202," LPD"," at ",'Lighting Inventory'!Q202,", ",'Lighting Inventory'!R202," kW")))</f>
        <v/>
      </c>
      <c r="L193" s="26" t="str">
        <f>IF(H193="","",IF('Lighting Inventory'!AK202="","",'Lighting Inventory'!AK202))</f>
        <v/>
      </c>
      <c r="M193" s="26" t="str">
        <f>IF(H193="", "", 'Lighting Inventory'!AL202)</f>
        <v/>
      </c>
      <c r="N193" s="26" t="str">
        <f>IF('Lighting Inventory'!S202="", "", IF('Lighting Inventory'!W202="No Change", 'Lighting Inventory'!I202, 'Lighting Inventory'!S202))</f>
        <v/>
      </c>
      <c r="O193" s="26" t="str">
        <f>IF('Lighting Inventory'!AN202="", "", VLOOKUP('Lighting Inventory'!AN202, 'Lookup Tables'!$B$142:$D$148, 3, FALSE))</f>
        <v/>
      </c>
      <c r="P193" s="66" t="str">
        <f>IF(B193="", "", 'Lighting Inventory'!AX202)</f>
        <v/>
      </c>
      <c r="Q193" s="67" t="str">
        <f>IF(B193="", "", 'Lighting Inventory'!AZ202)</f>
        <v/>
      </c>
      <c r="R193" s="187" t="str">
        <f>IF(OR('Lighting Inventory'!G202="", 'Lighting Inventory'!H202=""), "", 'Lighting Inventory'!BD202)</f>
        <v/>
      </c>
      <c r="S193" s="187" t="str">
        <f>IF(OR('Lighting Inventory'!G202="", 'Lighting Inventory'!H202=""), "",'Lighting Inventory'!BB202)</f>
        <v/>
      </c>
      <c r="T193" s="67" t="str">
        <f>IF(B193="", "", 'Lighting Inventory'!BE202)</f>
        <v/>
      </c>
      <c r="U193" s="67" t="str">
        <f>IF(B193="", "", 'Lighting Inventory'!BF202)</f>
        <v/>
      </c>
      <c r="BM193" s="186" t="str">
        <f t="shared" si="2"/>
        <v>-</v>
      </c>
    </row>
    <row r="194" spans="1:65" x14ac:dyDescent="0.25">
      <c r="A194" s="189">
        <v>193</v>
      </c>
      <c r="B194" s="186" t="str">
        <f>IF('Lighting Inventory'!F203="", "", 'Lighting Inventory'!F203)</f>
        <v/>
      </c>
      <c r="C194" s="26" t="str">
        <f>IF(B194="", "", CONCATENATE("Area: ", 'Lighting Inventory'!D203, ", ", IF('Lighting Inventory'!C203="", "", "Floor: "), 'Lighting Inventory'!C203))</f>
        <v/>
      </c>
      <c r="D194" s="186" t="str">
        <f>IF(B194="", "", IF('Lighting Inventory'!B203="New Construction",CONCATENATE("Cut Sheet ", 250+'Appendix C'!A194), IF(ISNUMBER(SEARCH("cut sheet", 'Lighting Inventory'!J203)), CONCATENATE("Cut Sheet ", 'Lookup Tables'!AX196), 'Lighting Inventory'!J203)))</f>
        <v/>
      </c>
      <c r="E194" s="26" t="str">
        <f>IF(B194="", "", IF('Lighting Inventory'!B203="New Construction", 1, 'Lighting Inventory'!I203))</f>
        <v/>
      </c>
      <c r="F194" s="26" t="str">
        <f>IF(B194="", "", IF('Lighting Inventory'!B203="New Construction", 'Lighting Inventory'!R203*1000, 'Lighting Inventory'!K203))</f>
        <v/>
      </c>
      <c r="G194" s="26" t="str">
        <f>IF(B194="", "", IF('Lighting Inventory'!M203="", "S_LS", VLOOKUP('Lighting Inventory'!M203, 'Lookup Tables'!$B$142:$D$148, 3, FALSE)))</f>
        <v/>
      </c>
      <c r="H194" s="26" t="str">
        <f>IF(OR('Lighting Inventory'!V203="", 'Lighting Inventory'!W203=""), "", IF('Lighting Inventory'!W203="No Change", 'Lighting Inventory'!J203, CONCATENATE("Cut Sheet ", 'Appendix C'!A194)))</f>
        <v/>
      </c>
      <c r="I194" s="26" t="str">
        <f>IF(H194="", "", IF('Lighting Inventory'!AB203="Yes", "Screw-In", "General"))</f>
        <v/>
      </c>
      <c r="J194" s="26" t="str">
        <f>IF(B194="", "", CONCATENATE('Lighting Inventory'!W203, ", ", 'Lighting Inventory'!AL203, " W"))</f>
        <v/>
      </c>
      <c r="K194" s="26" t="str">
        <f>IF(OR(B194="",'Lighting Inventory'!B203="Retrofit"),"",IF('General Information'!$F$16="Space-by-Space",CONCATENATE('Lighting Inventory'!N203,", ",'Lighting Inventory'!O203," ",'Lighting Inventory'!P203," LPD"," at ",'Lighting Inventory'!Q203,", ",'Lighting Inventory'!R203," kW"),CONCATENATE(B194,", ",'Lighting Inventory'!O203," ",'Lighting Inventory'!P203," LPD"," at ",'Lighting Inventory'!Q203,", ",'Lighting Inventory'!R203," kW")))</f>
        <v/>
      </c>
      <c r="L194" s="26" t="str">
        <f>IF(H194="","",IF('Lighting Inventory'!AK203="","",'Lighting Inventory'!AK203))</f>
        <v/>
      </c>
      <c r="M194" s="26" t="str">
        <f>IF(H194="", "", 'Lighting Inventory'!AL203)</f>
        <v/>
      </c>
      <c r="N194" s="26" t="str">
        <f>IF('Lighting Inventory'!S203="", "", IF('Lighting Inventory'!W203="No Change", 'Lighting Inventory'!I203, 'Lighting Inventory'!S203))</f>
        <v/>
      </c>
      <c r="O194" s="26" t="str">
        <f>IF('Lighting Inventory'!AN203="", "", VLOOKUP('Lighting Inventory'!AN203, 'Lookup Tables'!$B$142:$D$148, 3, FALSE))</f>
        <v/>
      </c>
      <c r="P194" s="66" t="str">
        <f>IF(B194="", "", 'Lighting Inventory'!AX203)</f>
        <v/>
      </c>
      <c r="Q194" s="67" t="str">
        <f>IF(B194="", "", 'Lighting Inventory'!AZ203)</f>
        <v/>
      </c>
      <c r="R194" s="187" t="str">
        <f>IF(OR('Lighting Inventory'!G203="", 'Lighting Inventory'!H203=""), "", 'Lighting Inventory'!BD203)</f>
        <v/>
      </c>
      <c r="S194" s="187" t="str">
        <f>IF(OR('Lighting Inventory'!G203="", 'Lighting Inventory'!H203=""), "",'Lighting Inventory'!BB203)</f>
        <v/>
      </c>
      <c r="T194" s="67" t="str">
        <f>IF(B194="", "", 'Lighting Inventory'!BE203)</f>
        <v/>
      </c>
      <c r="U194" s="67" t="str">
        <f>IF(B194="", "", 'Lighting Inventory'!BF203)</f>
        <v/>
      </c>
      <c r="BM194" s="186" t="str">
        <f t="shared" si="2"/>
        <v>-</v>
      </c>
    </row>
    <row r="195" spans="1:65" x14ac:dyDescent="0.25">
      <c r="A195" s="189">
        <v>194</v>
      </c>
      <c r="B195" s="186" t="str">
        <f>IF('Lighting Inventory'!F204="", "", 'Lighting Inventory'!F204)</f>
        <v/>
      </c>
      <c r="C195" s="26" t="str">
        <f>IF(B195="", "", CONCATENATE("Area: ", 'Lighting Inventory'!D204, ", ", IF('Lighting Inventory'!C204="", "", "Floor: "), 'Lighting Inventory'!C204))</f>
        <v/>
      </c>
      <c r="D195" s="186" t="str">
        <f>IF(B195="", "", IF('Lighting Inventory'!B204="New Construction",CONCATENATE("Cut Sheet ", 250+'Appendix C'!A195), IF(ISNUMBER(SEARCH("cut sheet", 'Lighting Inventory'!J204)), CONCATENATE("Cut Sheet ", 'Lookup Tables'!AX197), 'Lighting Inventory'!J204)))</f>
        <v/>
      </c>
      <c r="E195" s="26" t="str">
        <f>IF(B195="", "", IF('Lighting Inventory'!B204="New Construction", 1, 'Lighting Inventory'!I204))</f>
        <v/>
      </c>
      <c r="F195" s="26" t="str">
        <f>IF(B195="", "", IF('Lighting Inventory'!B204="New Construction", 'Lighting Inventory'!R204*1000, 'Lighting Inventory'!K204))</f>
        <v/>
      </c>
      <c r="G195" s="26" t="str">
        <f>IF(B195="", "", IF('Lighting Inventory'!M204="", "S_LS", VLOOKUP('Lighting Inventory'!M204, 'Lookup Tables'!$B$142:$D$148, 3, FALSE)))</f>
        <v/>
      </c>
      <c r="H195" s="26" t="str">
        <f>IF(OR('Lighting Inventory'!V204="", 'Lighting Inventory'!W204=""), "", IF('Lighting Inventory'!W204="No Change", 'Lighting Inventory'!J204, CONCATENATE("Cut Sheet ", 'Appendix C'!A195)))</f>
        <v/>
      </c>
      <c r="I195" s="26" t="str">
        <f>IF(H195="", "", IF('Lighting Inventory'!AB204="Yes", "Screw-In", "General"))</f>
        <v/>
      </c>
      <c r="J195" s="26" t="str">
        <f>IF(B195="", "", CONCATENATE('Lighting Inventory'!W204, ", ", 'Lighting Inventory'!AL204, " W"))</f>
        <v/>
      </c>
      <c r="K195" s="26" t="str">
        <f>IF(OR(B195="",'Lighting Inventory'!B204="Retrofit"),"",IF('General Information'!$F$16="Space-by-Space",CONCATENATE('Lighting Inventory'!N204,", ",'Lighting Inventory'!O204," ",'Lighting Inventory'!P204," LPD"," at ",'Lighting Inventory'!Q204,", ",'Lighting Inventory'!R204," kW"),CONCATENATE(B195,", ",'Lighting Inventory'!O204," ",'Lighting Inventory'!P204," LPD"," at ",'Lighting Inventory'!Q204,", ",'Lighting Inventory'!R204," kW")))</f>
        <v/>
      </c>
      <c r="L195" s="26" t="str">
        <f>IF(H195="","",IF('Lighting Inventory'!AK204="","",'Lighting Inventory'!AK204))</f>
        <v/>
      </c>
      <c r="M195" s="26" t="str">
        <f>IF(H195="", "", 'Lighting Inventory'!AL204)</f>
        <v/>
      </c>
      <c r="N195" s="26" t="str">
        <f>IF('Lighting Inventory'!S204="", "", IF('Lighting Inventory'!W204="No Change", 'Lighting Inventory'!I204, 'Lighting Inventory'!S204))</f>
        <v/>
      </c>
      <c r="O195" s="26" t="str">
        <f>IF('Lighting Inventory'!AN204="", "", VLOOKUP('Lighting Inventory'!AN204, 'Lookup Tables'!$B$142:$D$148, 3, FALSE))</f>
        <v/>
      </c>
      <c r="P195" s="66" t="str">
        <f>IF(B195="", "", 'Lighting Inventory'!AX204)</f>
        <v/>
      </c>
      <c r="Q195" s="67" t="str">
        <f>IF(B195="", "", 'Lighting Inventory'!AZ204)</f>
        <v/>
      </c>
      <c r="R195" s="187" t="str">
        <f>IF(OR('Lighting Inventory'!G204="", 'Lighting Inventory'!H204=""), "", 'Lighting Inventory'!BD204)</f>
        <v/>
      </c>
      <c r="S195" s="187" t="str">
        <f>IF(OR('Lighting Inventory'!G204="", 'Lighting Inventory'!H204=""), "",'Lighting Inventory'!BB204)</f>
        <v/>
      </c>
      <c r="T195" s="67" t="str">
        <f>IF(B195="", "", 'Lighting Inventory'!BE204)</f>
        <v/>
      </c>
      <c r="U195" s="67" t="str">
        <f>IF(B195="", "", 'Lighting Inventory'!BF204)</f>
        <v/>
      </c>
      <c r="BM195" s="186" t="str">
        <f t="shared" ref="BM195:BM251" si="3">IF(ISNUMBER(SEARCH("cut sheet", D195, 1)),D195, "-")</f>
        <v>-</v>
      </c>
    </row>
    <row r="196" spans="1:65" x14ac:dyDescent="0.25">
      <c r="A196" s="189">
        <v>195</v>
      </c>
      <c r="B196" s="186" t="str">
        <f>IF('Lighting Inventory'!F205="", "", 'Lighting Inventory'!F205)</f>
        <v/>
      </c>
      <c r="C196" s="26" t="str">
        <f>IF(B196="", "", CONCATENATE("Area: ", 'Lighting Inventory'!D205, ", ", IF('Lighting Inventory'!C205="", "", "Floor: "), 'Lighting Inventory'!C205))</f>
        <v/>
      </c>
      <c r="D196" s="186" t="str">
        <f>IF(B196="", "", IF('Lighting Inventory'!B205="New Construction",CONCATENATE("Cut Sheet ", 250+'Appendix C'!A196), IF(ISNUMBER(SEARCH("cut sheet", 'Lighting Inventory'!J205)), CONCATENATE("Cut Sheet ", 'Lookup Tables'!AX198), 'Lighting Inventory'!J205)))</f>
        <v/>
      </c>
      <c r="E196" s="26" t="str">
        <f>IF(B196="", "", IF('Lighting Inventory'!B205="New Construction", 1, 'Lighting Inventory'!I205))</f>
        <v/>
      </c>
      <c r="F196" s="26" t="str">
        <f>IF(B196="", "", IF('Lighting Inventory'!B205="New Construction", 'Lighting Inventory'!R205*1000, 'Lighting Inventory'!K205))</f>
        <v/>
      </c>
      <c r="G196" s="26" t="str">
        <f>IF(B196="", "", IF('Lighting Inventory'!M205="", "S_LS", VLOOKUP('Lighting Inventory'!M205, 'Lookup Tables'!$B$142:$D$148, 3, FALSE)))</f>
        <v/>
      </c>
      <c r="H196" s="26" t="str">
        <f>IF(OR('Lighting Inventory'!V205="", 'Lighting Inventory'!W205=""), "", IF('Lighting Inventory'!W205="No Change", 'Lighting Inventory'!J205, CONCATENATE("Cut Sheet ", 'Appendix C'!A196)))</f>
        <v/>
      </c>
      <c r="I196" s="26" t="str">
        <f>IF(H196="", "", IF('Lighting Inventory'!AB205="Yes", "Screw-In", "General"))</f>
        <v/>
      </c>
      <c r="J196" s="26" t="str">
        <f>IF(B196="", "", CONCATENATE('Lighting Inventory'!W205, ", ", 'Lighting Inventory'!AL205, " W"))</f>
        <v/>
      </c>
      <c r="K196" s="26" t="str">
        <f>IF(OR(B196="",'Lighting Inventory'!B205="Retrofit"),"",IF('General Information'!$F$16="Space-by-Space",CONCATENATE('Lighting Inventory'!N205,", ",'Lighting Inventory'!O205," ",'Lighting Inventory'!P205," LPD"," at ",'Lighting Inventory'!Q205,", ",'Lighting Inventory'!R205," kW"),CONCATENATE(B196,", ",'Lighting Inventory'!O205," ",'Lighting Inventory'!P205," LPD"," at ",'Lighting Inventory'!Q205,", ",'Lighting Inventory'!R205," kW")))</f>
        <v/>
      </c>
      <c r="L196" s="26" t="str">
        <f>IF(H196="","",IF('Lighting Inventory'!AK205="","",'Lighting Inventory'!AK205))</f>
        <v/>
      </c>
      <c r="M196" s="26" t="str">
        <f>IF(H196="", "", 'Lighting Inventory'!AL205)</f>
        <v/>
      </c>
      <c r="N196" s="26" t="str">
        <f>IF('Lighting Inventory'!S205="", "", IF('Lighting Inventory'!W205="No Change", 'Lighting Inventory'!I205, 'Lighting Inventory'!S205))</f>
        <v/>
      </c>
      <c r="O196" s="26" t="str">
        <f>IF('Lighting Inventory'!AN205="", "", VLOOKUP('Lighting Inventory'!AN205, 'Lookup Tables'!$B$142:$D$148, 3, FALSE))</f>
        <v/>
      </c>
      <c r="P196" s="66" t="str">
        <f>IF(B196="", "", 'Lighting Inventory'!AX205)</f>
        <v/>
      </c>
      <c r="Q196" s="67" t="str">
        <f>IF(B196="", "", 'Lighting Inventory'!AZ205)</f>
        <v/>
      </c>
      <c r="R196" s="187" t="str">
        <f>IF(OR('Lighting Inventory'!G205="", 'Lighting Inventory'!H205=""), "", 'Lighting Inventory'!BD205)</f>
        <v/>
      </c>
      <c r="S196" s="187" t="str">
        <f>IF(OR('Lighting Inventory'!G205="", 'Lighting Inventory'!H205=""), "",'Lighting Inventory'!BB205)</f>
        <v/>
      </c>
      <c r="T196" s="67" t="str">
        <f>IF(B196="", "", 'Lighting Inventory'!BE205)</f>
        <v/>
      </c>
      <c r="U196" s="67" t="str">
        <f>IF(B196="", "", 'Lighting Inventory'!BF205)</f>
        <v/>
      </c>
      <c r="BM196" s="186" t="str">
        <f t="shared" si="3"/>
        <v>-</v>
      </c>
    </row>
    <row r="197" spans="1:65" x14ac:dyDescent="0.25">
      <c r="A197" s="189">
        <v>196</v>
      </c>
      <c r="B197" s="186" t="str">
        <f>IF('Lighting Inventory'!F206="", "", 'Lighting Inventory'!F206)</f>
        <v/>
      </c>
      <c r="C197" s="26" t="str">
        <f>IF(B197="", "", CONCATENATE("Area: ", 'Lighting Inventory'!D206, ", ", IF('Lighting Inventory'!C206="", "", "Floor: "), 'Lighting Inventory'!C206))</f>
        <v/>
      </c>
      <c r="D197" s="186" t="str">
        <f>IF(B197="", "", IF('Lighting Inventory'!B206="New Construction",CONCATENATE("Cut Sheet ", 250+'Appendix C'!A197), IF(ISNUMBER(SEARCH("cut sheet", 'Lighting Inventory'!J206)), CONCATENATE("Cut Sheet ", 'Lookup Tables'!AX199), 'Lighting Inventory'!J206)))</f>
        <v/>
      </c>
      <c r="E197" s="26" t="str">
        <f>IF(B197="", "", IF('Lighting Inventory'!B206="New Construction", 1, 'Lighting Inventory'!I206))</f>
        <v/>
      </c>
      <c r="F197" s="26" t="str">
        <f>IF(B197="", "", IF('Lighting Inventory'!B206="New Construction", 'Lighting Inventory'!R206*1000, 'Lighting Inventory'!K206))</f>
        <v/>
      </c>
      <c r="G197" s="26" t="str">
        <f>IF(B197="", "", IF('Lighting Inventory'!M206="", "S_LS", VLOOKUP('Lighting Inventory'!M206, 'Lookup Tables'!$B$142:$D$148, 3, FALSE)))</f>
        <v/>
      </c>
      <c r="H197" s="26" t="str">
        <f>IF(OR('Lighting Inventory'!V206="", 'Lighting Inventory'!W206=""), "", IF('Lighting Inventory'!W206="No Change", 'Lighting Inventory'!J206, CONCATENATE("Cut Sheet ", 'Appendix C'!A197)))</f>
        <v/>
      </c>
      <c r="I197" s="26" t="str">
        <f>IF(H197="", "", IF('Lighting Inventory'!AB206="Yes", "Screw-In", "General"))</f>
        <v/>
      </c>
      <c r="J197" s="26" t="str">
        <f>IF(B197="", "", CONCATENATE('Lighting Inventory'!W206, ", ", 'Lighting Inventory'!AL206, " W"))</f>
        <v/>
      </c>
      <c r="K197" s="26" t="str">
        <f>IF(OR(B197="",'Lighting Inventory'!B206="Retrofit"),"",IF('General Information'!$F$16="Space-by-Space",CONCATENATE('Lighting Inventory'!N206,", ",'Lighting Inventory'!O206," ",'Lighting Inventory'!P206," LPD"," at ",'Lighting Inventory'!Q206,", ",'Lighting Inventory'!R206," kW"),CONCATENATE(B197,", ",'Lighting Inventory'!O206," ",'Lighting Inventory'!P206," LPD"," at ",'Lighting Inventory'!Q206,", ",'Lighting Inventory'!R206," kW")))</f>
        <v/>
      </c>
      <c r="L197" s="26" t="str">
        <f>IF(H197="","",IF('Lighting Inventory'!AK206="","",'Lighting Inventory'!AK206))</f>
        <v/>
      </c>
      <c r="M197" s="26" t="str">
        <f>IF(H197="", "", 'Lighting Inventory'!AL206)</f>
        <v/>
      </c>
      <c r="N197" s="26" t="str">
        <f>IF('Lighting Inventory'!S206="", "", IF('Lighting Inventory'!W206="No Change", 'Lighting Inventory'!I206, 'Lighting Inventory'!S206))</f>
        <v/>
      </c>
      <c r="O197" s="26" t="str">
        <f>IF('Lighting Inventory'!AN206="", "", VLOOKUP('Lighting Inventory'!AN206, 'Lookup Tables'!$B$142:$D$148, 3, FALSE))</f>
        <v/>
      </c>
      <c r="P197" s="66" t="str">
        <f>IF(B197="", "", 'Lighting Inventory'!AX206)</f>
        <v/>
      </c>
      <c r="Q197" s="67" t="str">
        <f>IF(B197="", "", 'Lighting Inventory'!AZ206)</f>
        <v/>
      </c>
      <c r="R197" s="187" t="str">
        <f>IF(OR('Lighting Inventory'!G206="", 'Lighting Inventory'!H206=""), "", 'Lighting Inventory'!BD206)</f>
        <v/>
      </c>
      <c r="S197" s="187" t="str">
        <f>IF(OR('Lighting Inventory'!G206="", 'Lighting Inventory'!H206=""), "",'Lighting Inventory'!BB206)</f>
        <v/>
      </c>
      <c r="T197" s="67" t="str">
        <f>IF(B197="", "", 'Lighting Inventory'!BE206)</f>
        <v/>
      </c>
      <c r="U197" s="67" t="str">
        <f>IF(B197="", "", 'Lighting Inventory'!BF206)</f>
        <v/>
      </c>
      <c r="BM197" s="186" t="str">
        <f t="shared" si="3"/>
        <v>-</v>
      </c>
    </row>
    <row r="198" spans="1:65" x14ac:dyDescent="0.25">
      <c r="A198" s="189">
        <v>197</v>
      </c>
      <c r="B198" s="186" t="str">
        <f>IF('Lighting Inventory'!F207="", "", 'Lighting Inventory'!F207)</f>
        <v/>
      </c>
      <c r="C198" s="26" t="str">
        <f>IF(B198="", "", CONCATENATE("Area: ", 'Lighting Inventory'!D207, ", ", IF('Lighting Inventory'!C207="", "", "Floor: "), 'Lighting Inventory'!C207))</f>
        <v/>
      </c>
      <c r="D198" s="186" t="str">
        <f>IF(B198="", "", IF('Lighting Inventory'!B207="New Construction",CONCATENATE("Cut Sheet ", 250+'Appendix C'!A198), IF(ISNUMBER(SEARCH("cut sheet", 'Lighting Inventory'!J207)), CONCATENATE("Cut Sheet ", 'Lookup Tables'!AX200), 'Lighting Inventory'!J207)))</f>
        <v/>
      </c>
      <c r="E198" s="26" t="str">
        <f>IF(B198="", "", IF('Lighting Inventory'!B207="New Construction", 1, 'Lighting Inventory'!I207))</f>
        <v/>
      </c>
      <c r="F198" s="26" t="str">
        <f>IF(B198="", "", IF('Lighting Inventory'!B207="New Construction", 'Lighting Inventory'!R207*1000, 'Lighting Inventory'!K207))</f>
        <v/>
      </c>
      <c r="G198" s="26" t="str">
        <f>IF(B198="", "", IF('Lighting Inventory'!M207="", "S_LS", VLOOKUP('Lighting Inventory'!M207, 'Lookup Tables'!$B$142:$D$148, 3, FALSE)))</f>
        <v/>
      </c>
      <c r="H198" s="26" t="str">
        <f>IF(OR('Lighting Inventory'!V207="", 'Lighting Inventory'!W207=""), "", IF('Lighting Inventory'!W207="No Change", 'Lighting Inventory'!J207, CONCATENATE("Cut Sheet ", 'Appendix C'!A198)))</f>
        <v/>
      </c>
      <c r="I198" s="26" t="str">
        <f>IF(H198="", "", IF('Lighting Inventory'!AB207="Yes", "Screw-In", "General"))</f>
        <v/>
      </c>
      <c r="J198" s="26" t="str">
        <f>IF(B198="", "", CONCATENATE('Lighting Inventory'!W207, ", ", 'Lighting Inventory'!AL207, " W"))</f>
        <v/>
      </c>
      <c r="K198" s="26" t="str">
        <f>IF(OR(B198="",'Lighting Inventory'!B207="Retrofit"),"",IF('General Information'!$F$16="Space-by-Space",CONCATENATE('Lighting Inventory'!N207,", ",'Lighting Inventory'!O207," ",'Lighting Inventory'!P207," LPD"," at ",'Lighting Inventory'!Q207,", ",'Lighting Inventory'!R207," kW"),CONCATENATE(B198,", ",'Lighting Inventory'!O207," ",'Lighting Inventory'!P207," LPD"," at ",'Lighting Inventory'!Q207,", ",'Lighting Inventory'!R207," kW")))</f>
        <v/>
      </c>
      <c r="L198" s="26" t="str">
        <f>IF(H198="","",IF('Lighting Inventory'!AK207="","",'Lighting Inventory'!AK207))</f>
        <v/>
      </c>
      <c r="M198" s="26" t="str">
        <f>IF(H198="", "", 'Lighting Inventory'!AL207)</f>
        <v/>
      </c>
      <c r="N198" s="26" t="str">
        <f>IF('Lighting Inventory'!S207="", "", IF('Lighting Inventory'!W207="No Change", 'Lighting Inventory'!I207, 'Lighting Inventory'!S207))</f>
        <v/>
      </c>
      <c r="O198" s="26" t="str">
        <f>IF('Lighting Inventory'!AN207="", "", VLOOKUP('Lighting Inventory'!AN207, 'Lookup Tables'!$B$142:$D$148, 3, FALSE))</f>
        <v/>
      </c>
      <c r="P198" s="66" t="str">
        <f>IF(B198="", "", 'Lighting Inventory'!AX207)</f>
        <v/>
      </c>
      <c r="Q198" s="67" t="str">
        <f>IF(B198="", "", 'Lighting Inventory'!AZ207)</f>
        <v/>
      </c>
      <c r="R198" s="187" t="str">
        <f>IF(OR('Lighting Inventory'!G207="", 'Lighting Inventory'!H207=""), "", 'Lighting Inventory'!BD207)</f>
        <v/>
      </c>
      <c r="S198" s="187" t="str">
        <f>IF(OR('Lighting Inventory'!G207="", 'Lighting Inventory'!H207=""), "",'Lighting Inventory'!BB207)</f>
        <v/>
      </c>
      <c r="T198" s="67" t="str">
        <f>IF(B198="", "", 'Lighting Inventory'!BE207)</f>
        <v/>
      </c>
      <c r="U198" s="67" t="str">
        <f>IF(B198="", "", 'Lighting Inventory'!BF207)</f>
        <v/>
      </c>
      <c r="BM198" s="186" t="str">
        <f t="shared" si="3"/>
        <v>-</v>
      </c>
    </row>
    <row r="199" spans="1:65" x14ac:dyDescent="0.25">
      <c r="A199" s="189">
        <v>198</v>
      </c>
      <c r="B199" s="186" t="str">
        <f>IF('Lighting Inventory'!F208="", "", 'Lighting Inventory'!F208)</f>
        <v/>
      </c>
      <c r="C199" s="26" t="str">
        <f>IF(B199="", "", CONCATENATE("Area: ", 'Lighting Inventory'!D208, ", ", IF('Lighting Inventory'!C208="", "", "Floor: "), 'Lighting Inventory'!C208))</f>
        <v/>
      </c>
      <c r="D199" s="186" t="str">
        <f>IF(B199="", "", IF('Lighting Inventory'!B208="New Construction",CONCATENATE("Cut Sheet ", 250+'Appendix C'!A199), IF(ISNUMBER(SEARCH("cut sheet", 'Lighting Inventory'!J208)), CONCATENATE("Cut Sheet ", 'Lookup Tables'!AX201), 'Lighting Inventory'!J208)))</f>
        <v/>
      </c>
      <c r="E199" s="26" t="str">
        <f>IF(B199="", "", IF('Lighting Inventory'!B208="New Construction", 1, 'Lighting Inventory'!I208))</f>
        <v/>
      </c>
      <c r="F199" s="26" t="str">
        <f>IF(B199="", "", IF('Lighting Inventory'!B208="New Construction", 'Lighting Inventory'!R208*1000, 'Lighting Inventory'!K208))</f>
        <v/>
      </c>
      <c r="G199" s="26" t="str">
        <f>IF(B199="", "", IF('Lighting Inventory'!M208="", "S_LS", VLOOKUP('Lighting Inventory'!M208, 'Lookup Tables'!$B$142:$D$148, 3, FALSE)))</f>
        <v/>
      </c>
      <c r="H199" s="26" t="str">
        <f>IF(OR('Lighting Inventory'!V208="", 'Lighting Inventory'!W208=""), "", IF('Lighting Inventory'!W208="No Change", 'Lighting Inventory'!J208, CONCATENATE("Cut Sheet ", 'Appendix C'!A199)))</f>
        <v/>
      </c>
      <c r="I199" s="26" t="str">
        <f>IF(H199="", "", IF('Lighting Inventory'!AB208="Yes", "Screw-In", "General"))</f>
        <v/>
      </c>
      <c r="J199" s="26" t="str">
        <f>IF(B199="", "", CONCATENATE('Lighting Inventory'!W208, ", ", 'Lighting Inventory'!AL208, " W"))</f>
        <v/>
      </c>
      <c r="K199" s="26" t="str">
        <f>IF(OR(B199="",'Lighting Inventory'!B208="Retrofit"),"",IF('General Information'!$F$16="Space-by-Space",CONCATENATE('Lighting Inventory'!N208,", ",'Lighting Inventory'!O208," ",'Lighting Inventory'!P208," LPD"," at ",'Lighting Inventory'!Q208,", ",'Lighting Inventory'!R208," kW"),CONCATENATE(B199,", ",'Lighting Inventory'!O208," ",'Lighting Inventory'!P208," LPD"," at ",'Lighting Inventory'!Q208,", ",'Lighting Inventory'!R208," kW")))</f>
        <v/>
      </c>
      <c r="L199" s="26" t="str">
        <f>IF(H199="","",IF('Lighting Inventory'!AK208="","",'Lighting Inventory'!AK208))</f>
        <v/>
      </c>
      <c r="M199" s="26" t="str">
        <f>IF(H199="", "", 'Lighting Inventory'!AL208)</f>
        <v/>
      </c>
      <c r="N199" s="26" t="str">
        <f>IF('Lighting Inventory'!S208="", "", IF('Lighting Inventory'!W208="No Change", 'Lighting Inventory'!I208, 'Lighting Inventory'!S208))</f>
        <v/>
      </c>
      <c r="O199" s="26" t="str">
        <f>IF('Lighting Inventory'!AN208="", "", VLOOKUP('Lighting Inventory'!AN208, 'Lookup Tables'!$B$142:$D$148, 3, FALSE))</f>
        <v/>
      </c>
      <c r="P199" s="66" t="str">
        <f>IF(B199="", "", 'Lighting Inventory'!AX208)</f>
        <v/>
      </c>
      <c r="Q199" s="67" t="str">
        <f>IF(B199="", "", 'Lighting Inventory'!AZ208)</f>
        <v/>
      </c>
      <c r="R199" s="187" t="str">
        <f>IF(OR('Lighting Inventory'!G208="", 'Lighting Inventory'!H208=""), "", 'Lighting Inventory'!BD208)</f>
        <v/>
      </c>
      <c r="S199" s="187" t="str">
        <f>IF(OR('Lighting Inventory'!G208="", 'Lighting Inventory'!H208=""), "",'Lighting Inventory'!BB208)</f>
        <v/>
      </c>
      <c r="T199" s="67" t="str">
        <f>IF(B199="", "", 'Lighting Inventory'!BE208)</f>
        <v/>
      </c>
      <c r="U199" s="67" t="str">
        <f>IF(B199="", "", 'Lighting Inventory'!BF208)</f>
        <v/>
      </c>
      <c r="BM199" s="186" t="str">
        <f t="shared" si="3"/>
        <v>-</v>
      </c>
    </row>
    <row r="200" spans="1:65" x14ac:dyDescent="0.25">
      <c r="A200" s="189">
        <v>199</v>
      </c>
      <c r="B200" s="186" t="str">
        <f>IF('Lighting Inventory'!F209="", "", 'Lighting Inventory'!F209)</f>
        <v/>
      </c>
      <c r="C200" s="26" t="str">
        <f>IF(B200="", "", CONCATENATE("Area: ", 'Lighting Inventory'!D209, ", ", IF('Lighting Inventory'!C209="", "", "Floor: "), 'Lighting Inventory'!C209))</f>
        <v/>
      </c>
      <c r="D200" s="186" t="str">
        <f>IF(B200="", "", IF('Lighting Inventory'!B209="New Construction",CONCATENATE("Cut Sheet ", 250+'Appendix C'!A200), IF(ISNUMBER(SEARCH("cut sheet", 'Lighting Inventory'!J209)), CONCATENATE("Cut Sheet ", 'Lookup Tables'!AX202), 'Lighting Inventory'!J209)))</f>
        <v/>
      </c>
      <c r="E200" s="26" t="str">
        <f>IF(B200="", "", IF('Lighting Inventory'!B209="New Construction", 1, 'Lighting Inventory'!I209))</f>
        <v/>
      </c>
      <c r="F200" s="26" t="str">
        <f>IF(B200="", "", IF('Lighting Inventory'!B209="New Construction", 'Lighting Inventory'!R209*1000, 'Lighting Inventory'!K209))</f>
        <v/>
      </c>
      <c r="G200" s="26" t="str">
        <f>IF(B200="", "", IF('Lighting Inventory'!M209="", "S_LS", VLOOKUP('Lighting Inventory'!M209, 'Lookup Tables'!$B$142:$D$148, 3, FALSE)))</f>
        <v/>
      </c>
      <c r="H200" s="26" t="str">
        <f>IF(OR('Lighting Inventory'!V209="", 'Lighting Inventory'!W209=""), "", IF('Lighting Inventory'!W209="No Change", 'Lighting Inventory'!J209, CONCATENATE("Cut Sheet ", 'Appendix C'!A200)))</f>
        <v/>
      </c>
      <c r="I200" s="26" t="str">
        <f>IF(H200="", "", IF('Lighting Inventory'!AB209="Yes", "Screw-In", "General"))</f>
        <v/>
      </c>
      <c r="J200" s="26" t="str">
        <f>IF(B200="", "", CONCATENATE('Lighting Inventory'!W209, ", ", 'Lighting Inventory'!AL209, " W"))</f>
        <v/>
      </c>
      <c r="K200" s="26" t="str">
        <f>IF(OR(B200="",'Lighting Inventory'!B209="Retrofit"),"",IF('General Information'!$F$16="Space-by-Space",CONCATENATE('Lighting Inventory'!N209,", ",'Lighting Inventory'!O209," ",'Lighting Inventory'!P209," LPD"," at ",'Lighting Inventory'!Q209,", ",'Lighting Inventory'!R209," kW"),CONCATENATE(B200,", ",'Lighting Inventory'!O209," ",'Lighting Inventory'!P209," LPD"," at ",'Lighting Inventory'!Q209,", ",'Lighting Inventory'!R209," kW")))</f>
        <v/>
      </c>
      <c r="L200" s="26" t="str">
        <f>IF(H200="","",IF('Lighting Inventory'!AK209="","",'Lighting Inventory'!AK209))</f>
        <v/>
      </c>
      <c r="M200" s="26" t="str">
        <f>IF(H200="", "", 'Lighting Inventory'!AL209)</f>
        <v/>
      </c>
      <c r="N200" s="26" t="str">
        <f>IF('Lighting Inventory'!S209="", "", IF('Lighting Inventory'!W209="No Change", 'Lighting Inventory'!I209, 'Lighting Inventory'!S209))</f>
        <v/>
      </c>
      <c r="O200" s="26" t="str">
        <f>IF('Lighting Inventory'!AN209="", "", VLOOKUP('Lighting Inventory'!AN209, 'Lookup Tables'!$B$142:$D$148, 3, FALSE))</f>
        <v/>
      </c>
      <c r="P200" s="66" t="str">
        <f>IF(B200="", "", 'Lighting Inventory'!AX209)</f>
        <v/>
      </c>
      <c r="Q200" s="67" t="str">
        <f>IF(B200="", "", 'Lighting Inventory'!AZ209)</f>
        <v/>
      </c>
      <c r="R200" s="187" t="str">
        <f>IF(OR('Lighting Inventory'!G209="", 'Lighting Inventory'!H209=""), "", 'Lighting Inventory'!BD209)</f>
        <v/>
      </c>
      <c r="S200" s="187" t="str">
        <f>IF(OR('Lighting Inventory'!G209="", 'Lighting Inventory'!H209=""), "",'Lighting Inventory'!BB209)</f>
        <v/>
      </c>
      <c r="T200" s="67" t="str">
        <f>IF(B200="", "", 'Lighting Inventory'!BE209)</f>
        <v/>
      </c>
      <c r="U200" s="67" t="str">
        <f>IF(B200="", "", 'Lighting Inventory'!BF209)</f>
        <v/>
      </c>
      <c r="BM200" s="186" t="str">
        <f t="shared" si="3"/>
        <v>-</v>
      </c>
    </row>
    <row r="201" spans="1:65" x14ac:dyDescent="0.25">
      <c r="A201" s="189">
        <v>200</v>
      </c>
      <c r="B201" s="186" t="str">
        <f>IF('Lighting Inventory'!F210="", "", 'Lighting Inventory'!F210)</f>
        <v/>
      </c>
      <c r="C201" s="26" t="str">
        <f>IF(B201="", "", CONCATENATE("Area: ", 'Lighting Inventory'!D210, ", ", IF('Lighting Inventory'!C210="", "", "Floor: "), 'Lighting Inventory'!C210))</f>
        <v/>
      </c>
      <c r="D201" s="186" t="str">
        <f>IF(B201="", "", IF('Lighting Inventory'!B210="New Construction",CONCATENATE("Cut Sheet ", 250+'Appendix C'!A201), IF(ISNUMBER(SEARCH("cut sheet", 'Lighting Inventory'!J210)), CONCATENATE("Cut Sheet ", 'Lookup Tables'!AX203), 'Lighting Inventory'!J210)))</f>
        <v/>
      </c>
      <c r="E201" s="26" t="str">
        <f>IF(B201="", "", IF('Lighting Inventory'!B210="New Construction", 1, 'Lighting Inventory'!I210))</f>
        <v/>
      </c>
      <c r="F201" s="26" t="str">
        <f>IF(B201="", "", IF('Lighting Inventory'!B210="New Construction", 'Lighting Inventory'!R210*1000, 'Lighting Inventory'!K210))</f>
        <v/>
      </c>
      <c r="G201" s="26" t="str">
        <f>IF(B201="", "", IF('Lighting Inventory'!M210="", "S_LS", VLOOKUP('Lighting Inventory'!M210, 'Lookup Tables'!$B$142:$D$148, 3, FALSE)))</f>
        <v/>
      </c>
      <c r="H201" s="26" t="str">
        <f>IF(OR('Lighting Inventory'!V210="", 'Lighting Inventory'!W210=""), "", IF('Lighting Inventory'!W210="No Change", 'Lighting Inventory'!J210, CONCATENATE("Cut Sheet ", 'Appendix C'!A201)))</f>
        <v/>
      </c>
      <c r="I201" s="26" t="str">
        <f>IF(H201="", "", IF('Lighting Inventory'!AB210="Yes", "Screw-In", "General"))</f>
        <v/>
      </c>
      <c r="J201" s="26" t="str">
        <f>IF(B201="", "", CONCATENATE('Lighting Inventory'!W210, ", ", 'Lighting Inventory'!AL210, " W"))</f>
        <v/>
      </c>
      <c r="K201" s="26" t="str">
        <f>IF(OR(B201="",'Lighting Inventory'!B210="Retrofit"),"",IF('General Information'!$F$16="Space-by-Space",CONCATENATE('Lighting Inventory'!N210,", ",'Lighting Inventory'!O210," ",'Lighting Inventory'!P210," LPD"," at ",'Lighting Inventory'!Q210,", ",'Lighting Inventory'!R210," kW"),CONCATENATE(B201,", ",'Lighting Inventory'!O210," ",'Lighting Inventory'!P210," LPD"," at ",'Lighting Inventory'!Q210,", ",'Lighting Inventory'!R210," kW")))</f>
        <v/>
      </c>
      <c r="L201" s="26" t="str">
        <f>IF(H201="","",IF('Lighting Inventory'!AK210="","",'Lighting Inventory'!AK210))</f>
        <v/>
      </c>
      <c r="M201" s="26" t="str">
        <f>IF(H201="", "", 'Lighting Inventory'!AL210)</f>
        <v/>
      </c>
      <c r="N201" s="26" t="str">
        <f>IF('Lighting Inventory'!S210="", "", IF('Lighting Inventory'!W210="No Change", 'Lighting Inventory'!I210, 'Lighting Inventory'!S210))</f>
        <v/>
      </c>
      <c r="O201" s="26" t="str">
        <f>IF('Lighting Inventory'!AN210="", "", VLOOKUP('Lighting Inventory'!AN210, 'Lookup Tables'!$B$142:$D$148, 3, FALSE))</f>
        <v/>
      </c>
      <c r="P201" s="66" t="str">
        <f>IF(B201="", "", 'Lighting Inventory'!AX210)</f>
        <v/>
      </c>
      <c r="Q201" s="67" t="str">
        <f>IF(B201="", "", 'Lighting Inventory'!AZ210)</f>
        <v/>
      </c>
      <c r="R201" s="187" t="str">
        <f>IF(OR('Lighting Inventory'!G210="", 'Lighting Inventory'!H210=""), "", 'Lighting Inventory'!BD210)</f>
        <v/>
      </c>
      <c r="S201" s="187" t="str">
        <f>IF(OR('Lighting Inventory'!G210="", 'Lighting Inventory'!H210=""), "",'Lighting Inventory'!BB210)</f>
        <v/>
      </c>
      <c r="T201" s="67" t="str">
        <f>IF(B201="", "", 'Lighting Inventory'!BE210)</f>
        <v/>
      </c>
      <c r="U201" s="67" t="str">
        <f>IF(B201="", "", 'Lighting Inventory'!BF210)</f>
        <v/>
      </c>
      <c r="BM201" s="186" t="str">
        <f t="shared" si="3"/>
        <v>-</v>
      </c>
    </row>
    <row r="202" spans="1:65" x14ac:dyDescent="0.25">
      <c r="A202" s="189">
        <v>201</v>
      </c>
      <c r="B202" s="186" t="str">
        <f>IF('Lighting Inventory'!F211="", "", 'Lighting Inventory'!F211)</f>
        <v/>
      </c>
      <c r="C202" s="26" t="str">
        <f>IF(B202="", "", CONCATENATE("Area: ", 'Lighting Inventory'!D211, ", ", IF('Lighting Inventory'!C211="", "", "Floor: "), 'Lighting Inventory'!C211))</f>
        <v/>
      </c>
      <c r="D202" s="186" t="str">
        <f>IF(B202="", "", IF('Lighting Inventory'!B211="New Construction",CONCATENATE("Cut Sheet ", 250+'Appendix C'!A202), IF(ISNUMBER(SEARCH("cut sheet", 'Lighting Inventory'!J211)), CONCATENATE("Cut Sheet ", 'Lookup Tables'!AX204), 'Lighting Inventory'!J211)))</f>
        <v/>
      </c>
      <c r="E202" s="26" t="str">
        <f>IF(B202="", "", IF('Lighting Inventory'!B211="New Construction", 1, 'Lighting Inventory'!I211))</f>
        <v/>
      </c>
      <c r="F202" s="26" t="str">
        <f>IF(B202="", "", IF('Lighting Inventory'!B211="New Construction", 'Lighting Inventory'!R211*1000, 'Lighting Inventory'!K211))</f>
        <v/>
      </c>
      <c r="G202" s="26" t="str">
        <f>IF(B202="", "", IF('Lighting Inventory'!M211="", "S_LS", VLOOKUP('Lighting Inventory'!M211, 'Lookup Tables'!$B$142:$D$148, 3, FALSE)))</f>
        <v/>
      </c>
      <c r="H202" s="26" t="str">
        <f>IF(OR('Lighting Inventory'!V211="", 'Lighting Inventory'!W211=""), "", IF('Lighting Inventory'!W211="No Change", 'Lighting Inventory'!J211, CONCATENATE("Cut Sheet ", 'Appendix C'!A202)))</f>
        <v/>
      </c>
      <c r="I202" s="26" t="str">
        <f>IF(H202="", "", IF('Lighting Inventory'!AB211="Yes", "Screw-In", "General"))</f>
        <v/>
      </c>
      <c r="J202" s="26" t="str">
        <f>IF(B202="", "", CONCATENATE('Lighting Inventory'!W211, ", ", 'Lighting Inventory'!AL211, " W"))</f>
        <v/>
      </c>
      <c r="K202" s="26" t="str">
        <f>IF(OR(B202="",'Lighting Inventory'!B211="Retrofit"),"",IF('General Information'!$F$16="Space-by-Space",CONCATENATE('Lighting Inventory'!N211,", ",'Lighting Inventory'!O211," ",'Lighting Inventory'!P211," LPD"," at ",'Lighting Inventory'!Q211,", ",'Lighting Inventory'!R211," kW"),CONCATENATE(B202,", ",'Lighting Inventory'!O211," ",'Lighting Inventory'!P211," LPD"," at ",'Lighting Inventory'!Q211,", ",'Lighting Inventory'!R211," kW")))</f>
        <v/>
      </c>
      <c r="L202" s="26" t="str">
        <f>IF(H202="","",IF('Lighting Inventory'!AK211="","",'Lighting Inventory'!AK211))</f>
        <v/>
      </c>
      <c r="M202" s="26" t="str">
        <f>IF(H202="", "", 'Lighting Inventory'!AL211)</f>
        <v/>
      </c>
      <c r="N202" s="26" t="str">
        <f>IF('Lighting Inventory'!S211="", "", IF('Lighting Inventory'!W211="No Change", 'Lighting Inventory'!I211, 'Lighting Inventory'!S211))</f>
        <v/>
      </c>
      <c r="O202" s="26" t="str">
        <f>IF('Lighting Inventory'!AN211="", "", VLOOKUP('Lighting Inventory'!AN211, 'Lookup Tables'!$B$142:$D$148, 3, FALSE))</f>
        <v/>
      </c>
      <c r="P202" s="66" t="str">
        <f>IF(B202="", "", 'Lighting Inventory'!AX211)</f>
        <v/>
      </c>
      <c r="Q202" s="67" t="str">
        <f>IF(B202="", "", 'Lighting Inventory'!AZ211)</f>
        <v/>
      </c>
      <c r="R202" s="187" t="str">
        <f>IF(OR('Lighting Inventory'!G211="", 'Lighting Inventory'!H211=""), "", 'Lighting Inventory'!BD211)</f>
        <v/>
      </c>
      <c r="S202" s="187" t="str">
        <f>IF(OR('Lighting Inventory'!G211="", 'Lighting Inventory'!H211=""), "",'Lighting Inventory'!BB211)</f>
        <v/>
      </c>
      <c r="T202" s="67" t="str">
        <f>IF(B202="", "", 'Lighting Inventory'!BE211)</f>
        <v/>
      </c>
      <c r="U202" s="67" t="str">
        <f>IF(B202="", "", 'Lighting Inventory'!BF211)</f>
        <v/>
      </c>
      <c r="BM202" s="186" t="str">
        <f t="shared" si="3"/>
        <v>-</v>
      </c>
    </row>
    <row r="203" spans="1:65" x14ac:dyDescent="0.25">
      <c r="A203" s="189">
        <v>202</v>
      </c>
      <c r="B203" s="186" t="str">
        <f>IF('Lighting Inventory'!F212="", "", 'Lighting Inventory'!F212)</f>
        <v/>
      </c>
      <c r="C203" s="26" t="str">
        <f>IF(B203="", "", CONCATENATE("Area: ", 'Lighting Inventory'!D212, ", ", IF('Lighting Inventory'!C212="", "", "Floor: "), 'Lighting Inventory'!C212))</f>
        <v/>
      </c>
      <c r="D203" s="186" t="str">
        <f>IF(B203="", "", IF('Lighting Inventory'!B212="New Construction",CONCATENATE("Cut Sheet ", 250+'Appendix C'!A203), IF(ISNUMBER(SEARCH("cut sheet", 'Lighting Inventory'!J212)), CONCATENATE("Cut Sheet ", 'Lookup Tables'!AX205), 'Lighting Inventory'!J212)))</f>
        <v/>
      </c>
      <c r="E203" s="26" t="str">
        <f>IF(B203="", "", IF('Lighting Inventory'!B212="New Construction", 1, 'Lighting Inventory'!I212))</f>
        <v/>
      </c>
      <c r="F203" s="26" t="str">
        <f>IF(B203="", "", IF('Lighting Inventory'!B212="New Construction", 'Lighting Inventory'!R212*1000, 'Lighting Inventory'!K212))</f>
        <v/>
      </c>
      <c r="G203" s="26" t="str">
        <f>IF(B203="", "", IF('Lighting Inventory'!M212="", "S_LS", VLOOKUP('Lighting Inventory'!M212, 'Lookup Tables'!$B$142:$D$148, 3, FALSE)))</f>
        <v/>
      </c>
      <c r="H203" s="26" t="str">
        <f>IF(OR('Lighting Inventory'!V212="", 'Lighting Inventory'!W212=""), "", IF('Lighting Inventory'!W212="No Change", 'Lighting Inventory'!J212, CONCATENATE("Cut Sheet ", 'Appendix C'!A203)))</f>
        <v/>
      </c>
      <c r="I203" s="26" t="str">
        <f>IF(H203="", "", IF('Lighting Inventory'!AB212="Yes", "Screw-In", "General"))</f>
        <v/>
      </c>
      <c r="J203" s="26" t="str">
        <f>IF(B203="", "", CONCATENATE('Lighting Inventory'!W212, ", ", 'Lighting Inventory'!AL212, " W"))</f>
        <v/>
      </c>
      <c r="K203" s="26" t="str">
        <f>IF(OR(B203="",'Lighting Inventory'!B212="Retrofit"),"",IF('General Information'!$F$16="Space-by-Space",CONCATENATE('Lighting Inventory'!N212,", ",'Lighting Inventory'!O212," ",'Lighting Inventory'!P212," LPD"," at ",'Lighting Inventory'!Q212,", ",'Lighting Inventory'!R212," kW"),CONCATENATE(B203,", ",'Lighting Inventory'!O212," ",'Lighting Inventory'!P212," LPD"," at ",'Lighting Inventory'!Q212,", ",'Lighting Inventory'!R212," kW")))</f>
        <v/>
      </c>
      <c r="L203" s="26" t="str">
        <f>IF(H203="","",IF('Lighting Inventory'!AK212="","",'Lighting Inventory'!AK212))</f>
        <v/>
      </c>
      <c r="M203" s="26" t="str">
        <f>IF(H203="", "", 'Lighting Inventory'!AL212)</f>
        <v/>
      </c>
      <c r="N203" s="26" t="str">
        <f>IF('Lighting Inventory'!S212="", "", IF('Lighting Inventory'!W212="No Change", 'Lighting Inventory'!I212, 'Lighting Inventory'!S212))</f>
        <v/>
      </c>
      <c r="O203" s="26" t="str">
        <f>IF('Lighting Inventory'!AN212="", "", VLOOKUP('Lighting Inventory'!AN212, 'Lookup Tables'!$B$142:$D$148, 3, FALSE))</f>
        <v/>
      </c>
      <c r="P203" s="66" t="str">
        <f>IF(B203="", "", 'Lighting Inventory'!AX212)</f>
        <v/>
      </c>
      <c r="Q203" s="67" t="str">
        <f>IF(B203="", "", 'Lighting Inventory'!AZ212)</f>
        <v/>
      </c>
      <c r="R203" s="187" t="str">
        <f>IF(OR('Lighting Inventory'!G212="", 'Lighting Inventory'!H212=""), "", 'Lighting Inventory'!BD212)</f>
        <v/>
      </c>
      <c r="S203" s="187" t="str">
        <f>IF(OR('Lighting Inventory'!G212="", 'Lighting Inventory'!H212=""), "",'Lighting Inventory'!BB212)</f>
        <v/>
      </c>
      <c r="T203" s="67" t="str">
        <f>IF(B203="", "", 'Lighting Inventory'!BE212)</f>
        <v/>
      </c>
      <c r="U203" s="67" t="str">
        <f>IF(B203="", "", 'Lighting Inventory'!BF212)</f>
        <v/>
      </c>
      <c r="BM203" s="186" t="str">
        <f t="shared" si="3"/>
        <v>-</v>
      </c>
    </row>
    <row r="204" spans="1:65" x14ac:dyDescent="0.25">
      <c r="A204" s="189">
        <v>203</v>
      </c>
      <c r="B204" s="186" t="str">
        <f>IF('Lighting Inventory'!F213="", "", 'Lighting Inventory'!F213)</f>
        <v/>
      </c>
      <c r="C204" s="26" t="str">
        <f>IF(B204="", "", CONCATENATE("Area: ", 'Lighting Inventory'!D213, ", ", IF('Lighting Inventory'!C213="", "", "Floor: "), 'Lighting Inventory'!C213))</f>
        <v/>
      </c>
      <c r="D204" s="186" t="str">
        <f>IF(B204="", "", IF('Lighting Inventory'!B213="New Construction",CONCATENATE("Cut Sheet ", 250+'Appendix C'!A204), IF(ISNUMBER(SEARCH("cut sheet", 'Lighting Inventory'!J213)), CONCATENATE("Cut Sheet ", 'Lookup Tables'!AX206), 'Lighting Inventory'!J213)))</f>
        <v/>
      </c>
      <c r="E204" s="26" t="str">
        <f>IF(B204="", "", IF('Lighting Inventory'!B213="New Construction", 1, 'Lighting Inventory'!I213))</f>
        <v/>
      </c>
      <c r="F204" s="26" t="str">
        <f>IF(B204="", "", IF('Lighting Inventory'!B213="New Construction", 'Lighting Inventory'!R213*1000, 'Lighting Inventory'!K213))</f>
        <v/>
      </c>
      <c r="G204" s="26" t="str">
        <f>IF(B204="", "", IF('Lighting Inventory'!M213="", "S_LS", VLOOKUP('Lighting Inventory'!M213, 'Lookup Tables'!$B$142:$D$148, 3, FALSE)))</f>
        <v/>
      </c>
      <c r="H204" s="26" t="str">
        <f>IF(OR('Lighting Inventory'!V213="", 'Lighting Inventory'!W213=""), "", IF('Lighting Inventory'!W213="No Change", 'Lighting Inventory'!J213, CONCATENATE("Cut Sheet ", 'Appendix C'!A204)))</f>
        <v/>
      </c>
      <c r="I204" s="26" t="str">
        <f>IF(H204="", "", IF('Lighting Inventory'!AB213="Yes", "Screw-In", "General"))</f>
        <v/>
      </c>
      <c r="J204" s="26" t="str">
        <f>IF(B204="", "", CONCATENATE('Lighting Inventory'!W213, ", ", 'Lighting Inventory'!AL213, " W"))</f>
        <v/>
      </c>
      <c r="K204" s="26" t="str">
        <f>IF(OR(B204="",'Lighting Inventory'!B213="Retrofit"),"",IF('General Information'!$F$16="Space-by-Space",CONCATENATE('Lighting Inventory'!N213,", ",'Lighting Inventory'!O213," ",'Lighting Inventory'!P213," LPD"," at ",'Lighting Inventory'!Q213,", ",'Lighting Inventory'!R213," kW"),CONCATENATE(B204,", ",'Lighting Inventory'!O213," ",'Lighting Inventory'!P213," LPD"," at ",'Lighting Inventory'!Q213,", ",'Lighting Inventory'!R213," kW")))</f>
        <v/>
      </c>
      <c r="L204" s="26" t="str">
        <f>IF(H204="","",IF('Lighting Inventory'!AK213="","",'Lighting Inventory'!AK213))</f>
        <v/>
      </c>
      <c r="M204" s="26" t="str">
        <f>IF(H204="", "", 'Lighting Inventory'!AL213)</f>
        <v/>
      </c>
      <c r="N204" s="26" t="str">
        <f>IF('Lighting Inventory'!S213="", "", IF('Lighting Inventory'!W213="No Change", 'Lighting Inventory'!I213, 'Lighting Inventory'!S213))</f>
        <v/>
      </c>
      <c r="O204" s="26" t="str">
        <f>IF('Lighting Inventory'!AN213="", "", VLOOKUP('Lighting Inventory'!AN213, 'Lookup Tables'!$B$142:$D$148, 3, FALSE))</f>
        <v/>
      </c>
      <c r="P204" s="66" t="str">
        <f>IF(B204="", "", 'Lighting Inventory'!AX213)</f>
        <v/>
      </c>
      <c r="Q204" s="67" t="str">
        <f>IF(B204="", "", 'Lighting Inventory'!AZ213)</f>
        <v/>
      </c>
      <c r="R204" s="187" t="str">
        <f>IF(OR('Lighting Inventory'!G213="", 'Lighting Inventory'!H213=""), "", 'Lighting Inventory'!BD213)</f>
        <v/>
      </c>
      <c r="S204" s="187" t="str">
        <f>IF(OR('Lighting Inventory'!G213="", 'Lighting Inventory'!H213=""), "",'Lighting Inventory'!BB213)</f>
        <v/>
      </c>
      <c r="T204" s="67" t="str">
        <f>IF(B204="", "", 'Lighting Inventory'!BE213)</f>
        <v/>
      </c>
      <c r="U204" s="67" t="str">
        <f>IF(B204="", "", 'Lighting Inventory'!BF213)</f>
        <v/>
      </c>
      <c r="BM204" s="186" t="str">
        <f t="shared" si="3"/>
        <v>-</v>
      </c>
    </row>
    <row r="205" spans="1:65" x14ac:dyDescent="0.25">
      <c r="A205" s="189">
        <v>204</v>
      </c>
      <c r="B205" s="186" t="str">
        <f>IF('Lighting Inventory'!F214="", "", 'Lighting Inventory'!F214)</f>
        <v/>
      </c>
      <c r="C205" s="26" t="str">
        <f>IF(B205="", "", CONCATENATE("Area: ", 'Lighting Inventory'!D214, ", ", IF('Lighting Inventory'!C214="", "", "Floor: "), 'Lighting Inventory'!C214))</f>
        <v/>
      </c>
      <c r="D205" s="186" t="str">
        <f>IF(B205="", "", IF('Lighting Inventory'!B214="New Construction",CONCATENATE("Cut Sheet ", 250+'Appendix C'!A205), IF(ISNUMBER(SEARCH("cut sheet", 'Lighting Inventory'!J214)), CONCATENATE("Cut Sheet ", 'Lookup Tables'!AX207), 'Lighting Inventory'!J214)))</f>
        <v/>
      </c>
      <c r="E205" s="26" t="str">
        <f>IF(B205="", "", IF('Lighting Inventory'!B214="New Construction", 1, 'Lighting Inventory'!I214))</f>
        <v/>
      </c>
      <c r="F205" s="26" t="str">
        <f>IF(B205="", "", IF('Lighting Inventory'!B214="New Construction", 'Lighting Inventory'!R214*1000, 'Lighting Inventory'!K214))</f>
        <v/>
      </c>
      <c r="G205" s="26" t="str">
        <f>IF(B205="", "", IF('Lighting Inventory'!M214="", "S_LS", VLOOKUP('Lighting Inventory'!M214, 'Lookup Tables'!$B$142:$D$148, 3, FALSE)))</f>
        <v/>
      </c>
      <c r="H205" s="26" t="str">
        <f>IF(OR('Lighting Inventory'!V214="", 'Lighting Inventory'!W214=""), "", IF('Lighting Inventory'!W214="No Change", 'Lighting Inventory'!J214, CONCATENATE("Cut Sheet ", 'Appendix C'!A205)))</f>
        <v/>
      </c>
      <c r="I205" s="26" t="str">
        <f>IF(H205="", "", IF('Lighting Inventory'!AB214="Yes", "Screw-In", "General"))</f>
        <v/>
      </c>
      <c r="J205" s="26" t="str">
        <f>IF(B205="", "", CONCATENATE('Lighting Inventory'!W214, ", ", 'Lighting Inventory'!AL214, " W"))</f>
        <v/>
      </c>
      <c r="K205" s="26" t="str">
        <f>IF(OR(B205="",'Lighting Inventory'!B214="Retrofit"),"",IF('General Information'!$F$16="Space-by-Space",CONCATENATE('Lighting Inventory'!N214,", ",'Lighting Inventory'!O214," ",'Lighting Inventory'!P214," LPD"," at ",'Lighting Inventory'!Q214,", ",'Lighting Inventory'!R214," kW"),CONCATENATE(B205,", ",'Lighting Inventory'!O214," ",'Lighting Inventory'!P214," LPD"," at ",'Lighting Inventory'!Q214,", ",'Lighting Inventory'!R214," kW")))</f>
        <v/>
      </c>
      <c r="L205" s="26" t="str">
        <f>IF(H205="","",IF('Lighting Inventory'!AK214="","",'Lighting Inventory'!AK214))</f>
        <v/>
      </c>
      <c r="M205" s="26" t="str">
        <f>IF(H205="", "", 'Lighting Inventory'!AL214)</f>
        <v/>
      </c>
      <c r="N205" s="26" t="str">
        <f>IF('Lighting Inventory'!S214="", "", IF('Lighting Inventory'!W214="No Change", 'Lighting Inventory'!I214, 'Lighting Inventory'!S214))</f>
        <v/>
      </c>
      <c r="O205" s="26" t="str">
        <f>IF('Lighting Inventory'!AN214="", "", VLOOKUP('Lighting Inventory'!AN214, 'Lookup Tables'!$B$142:$D$148, 3, FALSE))</f>
        <v/>
      </c>
      <c r="P205" s="66" t="str">
        <f>IF(B205="", "", 'Lighting Inventory'!AX214)</f>
        <v/>
      </c>
      <c r="Q205" s="67" t="str">
        <f>IF(B205="", "", 'Lighting Inventory'!AZ214)</f>
        <v/>
      </c>
      <c r="R205" s="187" t="str">
        <f>IF(OR('Lighting Inventory'!G214="", 'Lighting Inventory'!H214=""), "", 'Lighting Inventory'!BD214)</f>
        <v/>
      </c>
      <c r="S205" s="187" t="str">
        <f>IF(OR('Lighting Inventory'!G214="", 'Lighting Inventory'!H214=""), "",'Lighting Inventory'!BB214)</f>
        <v/>
      </c>
      <c r="T205" s="67" t="str">
        <f>IF(B205="", "", 'Lighting Inventory'!BE214)</f>
        <v/>
      </c>
      <c r="U205" s="67" t="str">
        <f>IF(B205="", "", 'Lighting Inventory'!BF214)</f>
        <v/>
      </c>
      <c r="BM205" s="186" t="str">
        <f t="shared" si="3"/>
        <v>-</v>
      </c>
    </row>
    <row r="206" spans="1:65" x14ac:dyDescent="0.25">
      <c r="A206" s="189">
        <v>205</v>
      </c>
      <c r="B206" s="186" t="str">
        <f>IF('Lighting Inventory'!F215="", "", 'Lighting Inventory'!F215)</f>
        <v/>
      </c>
      <c r="C206" s="26" t="str">
        <f>IF(B206="", "", CONCATENATE("Area: ", 'Lighting Inventory'!D215, ", ", IF('Lighting Inventory'!C215="", "", "Floor: "), 'Lighting Inventory'!C215))</f>
        <v/>
      </c>
      <c r="D206" s="186" t="str">
        <f>IF(B206="", "", IF('Lighting Inventory'!B215="New Construction",CONCATENATE("Cut Sheet ", 250+'Appendix C'!A206), IF(ISNUMBER(SEARCH("cut sheet", 'Lighting Inventory'!J215)), CONCATENATE("Cut Sheet ", 'Lookup Tables'!AX208), 'Lighting Inventory'!J215)))</f>
        <v/>
      </c>
      <c r="E206" s="26" t="str">
        <f>IF(B206="", "", IF('Lighting Inventory'!B215="New Construction", 1, 'Lighting Inventory'!I215))</f>
        <v/>
      </c>
      <c r="F206" s="26" t="str">
        <f>IF(B206="", "", IF('Lighting Inventory'!B215="New Construction", 'Lighting Inventory'!R215*1000, 'Lighting Inventory'!K215))</f>
        <v/>
      </c>
      <c r="G206" s="26" t="str">
        <f>IF(B206="", "", IF('Lighting Inventory'!M215="", "S_LS", VLOOKUP('Lighting Inventory'!M215, 'Lookup Tables'!$B$142:$D$148, 3, FALSE)))</f>
        <v/>
      </c>
      <c r="H206" s="26" t="str">
        <f>IF(OR('Lighting Inventory'!V215="", 'Lighting Inventory'!W215=""), "", IF('Lighting Inventory'!W215="No Change", 'Lighting Inventory'!J215, CONCATENATE("Cut Sheet ", 'Appendix C'!A206)))</f>
        <v/>
      </c>
      <c r="I206" s="26" t="str">
        <f>IF(H206="", "", IF('Lighting Inventory'!AB215="Yes", "Screw-In", "General"))</f>
        <v/>
      </c>
      <c r="J206" s="26" t="str">
        <f>IF(B206="", "", CONCATENATE('Lighting Inventory'!W215, ", ", 'Lighting Inventory'!AL215, " W"))</f>
        <v/>
      </c>
      <c r="K206" s="26" t="str">
        <f>IF(OR(B206="",'Lighting Inventory'!B215="Retrofit"),"",IF('General Information'!$F$16="Space-by-Space",CONCATENATE('Lighting Inventory'!N215,", ",'Lighting Inventory'!O215," ",'Lighting Inventory'!P215," LPD"," at ",'Lighting Inventory'!Q215,", ",'Lighting Inventory'!R215," kW"),CONCATENATE(B206,", ",'Lighting Inventory'!O215," ",'Lighting Inventory'!P215," LPD"," at ",'Lighting Inventory'!Q215,", ",'Lighting Inventory'!R215," kW")))</f>
        <v/>
      </c>
      <c r="L206" s="26" t="str">
        <f>IF(H206="","",IF('Lighting Inventory'!AK215="","",'Lighting Inventory'!AK215))</f>
        <v/>
      </c>
      <c r="M206" s="26" t="str">
        <f>IF(H206="", "", 'Lighting Inventory'!AL215)</f>
        <v/>
      </c>
      <c r="N206" s="26" t="str">
        <f>IF('Lighting Inventory'!S215="", "", IF('Lighting Inventory'!W215="No Change", 'Lighting Inventory'!I215, 'Lighting Inventory'!S215))</f>
        <v/>
      </c>
      <c r="O206" s="26" t="str">
        <f>IF('Lighting Inventory'!AN215="", "", VLOOKUP('Lighting Inventory'!AN215, 'Lookup Tables'!$B$142:$D$148, 3, FALSE))</f>
        <v/>
      </c>
      <c r="P206" s="66" t="str">
        <f>IF(B206="", "", 'Lighting Inventory'!AX215)</f>
        <v/>
      </c>
      <c r="Q206" s="67" t="str">
        <f>IF(B206="", "", 'Lighting Inventory'!AZ215)</f>
        <v/>
      </c>
      <c r="R206" s="187" t="str">
        <f>IF(OR('Lighting Inventory'!G215="", 'Lighting Inventory'!H215=""), "", 'Lighting Inventory'!BD215)</f>
        <v/>
      </c>
      <c r="S206" s="187" t="str">
        <f>IF(OR('Lighting Inventory'!G215="", 'Lighting Inventory'!H215=""), "",'Lighting Inventory'!BB215)</f>
        <v/>
      </c>
      <c r="T206" s="67" t="str">
        <f>IF(B206="", "", 'Lighting Inventory'!BE215)</f>
        <v/>
      </c>
      <c r="U206" s="67" t="str">
        <f>IF(B206="", "", 'Lighting Inventory'!BF215)</f>
        <v/>
      </c>
      <c r="BM206" s="186" t="str">
        <f t="shared" si="3"/>
        <v>-</v>
      </c>
    </row>
    <row r="207" spans="1:65" x14ac:dyDescent="0.25">
      <c r="A207" s="189">
        <v>206</v>
      </c>
      <c r="B207" s="186" t="str">
        <f>IF('Lighting Inventory'!F216="", "", 'Lighting Inventory'!F216)</f>
        <v/>
      </c>
      <c r="C207" s="26" t="str">
        <f>IF(B207="", "", CONCATENATE("Area: ", 'Lighting Inventory'!D216, ", ", IF('Lighting Inventory'!C216="", "", "Floor: "), 'Lighting Inventory'!C216))</f>
        <v/>
      </c>
      <c r="D207" s="186" t="str">
        <f>IF(B207="", "", IF('Lighting Inventory'!B216="New Construction",CONCATENATE("Cut Sheet ", 250+'Appendix C'!A207), IF(ISNUMBER(SEARCH("cut sheet", 'Lighting Inventory'!J216)), CONCATENATE("Cut Sheet ", 'Lookup Tables'!AX209), 'Lighting Inventory'!J216)))</f>
        <v/>
      </c>
      <c r="E207" s="26" t="str">
        <f>IF(B207="", "", IF('Lighting Inventory'!B216="New Construction", 1, 'Lighting Inventory'!I216))</f>
        <v/>
      </c>
      <c r="F207" s="26" t="str">
        <f>IF(B207="", "", IF('Lighting Inventory'!B216="New Construction", 'Lighting Inventory'!R216*1000, 'Lighting Inventory'!K216))</f>
        <v/>
      </c>
      <c r="G207" s="26" t="str">
        <f>IF(B207="", "", IF('Lighting Inventory'!M216="", "S_LS", VLOOKUP('Lighting Inventory'!M216, 'Lookup Tables'!$B$142:$D$148, 3, FALSE)))</f>
        <v/>
      </c>
      <c r="H207" s="26" t="str">
        <f>IF(OR('Lighting Inventory'!V216="", 'Lighting Inventory'!W216=""), "", IF('Lighting Inventory'!W216="No Change", 'Lighting Inventory'!J216, CONCATENATE("Cut Sheet ", 'Appendix C'!A207)))</f>
        <v/>
      </c>
      <c r="I207" s="26" t="str">
        <f>IF(H207="", "", IF('Lighting Inventory'!AB216="Yes", "Screw-In", "General"))</f>
        <v/>
      </c>
      <c r="J207" s="26" t="str">
        <f>IF(B207="", "", CONCATENATE('Lighting Inventory'!W216, ", ", 'Lighting Inventory'!AL216, " W"))</f>
        <v/>
      </c>
      <c r="K207" s="26" t="str">
        <f>IF(OR(B207="",'Lighting Inventory'!B216="Retrofit"),"",IF('General Information'!$F$16="Space-by-Space",CONCATENATE('Lighting Inventory'!N216,", ",'Lighting Inventory'!O216," ",'Lighting Inventory'!P216," LPD"," at ",'Lighting Inventory'!Q216,", ",'Lighting Inventory'!R216," kW"),CONCATENATE(B207,", ",'Lighting Inventory'!O216," ",'Lighting Inventory'!P216," LPD"," at ",'Lighting Inventory'!Q216,", ",'Lighting Inventory'!R216," kW")))</f>
        <v/>
      </c>
      <c r="L207" s="26" t="str">
        <f>IF(H207="","",IF('Lighting Inventory'!AK216="","",'Lighting Inventory'!AK216))</f>
        <v/>
      </c>
      <c r="M207" s="26" t="str">
        <f>IF(H207="", "", 'Lighting Inventory'!AL216)</f>
        <v/>
      </c>
      <c r="N207" s="26" t="str">
        <f>IF('Lighting Inventory'!S216="", "", IF('Lighting Inventory'!W216="No Change", 'Lighting Inventory'!I216, 'Lighting Inventory'!S216))</f>
        <v/>
      </c>
      <c r="O207" s="26" t="str">
        <f>IF('Lighting Inventory'!AN216="", "", VLOOKUP('Lighting Inventory'!AN216, 'Lookup Tables'!$B$142:$D$148, 3, FALSE))</f>
        <v/>
      </c>
      <c r="P207" s="66" t="str">
        <f>IF(B207="", "", 'Lighting Inventory'!AX216)</f>
        <v/>
      </c>
      <c r="Q207" s="67" t="str">
        <f>IF(B207="", "", 'Lighting Inventory'!AZ216)</f>
        <v/>
      </c>
      <c r="R207" s="187" t="str">
        <f>IF(OR('Lighting Inventory'!G216="", 'Lighting Inventory'!H216=""), "", 'Lighting Inventory'!BD216)</f>
        <v/>
      </c>
      <c r="S207" s="187" t="str">
        <f>IF(OR('Lighting Inventory'!G216="", 'Lighting Inventory'!H216=""), "",'Lighting Inventory'!BB216)</f>
        <v/>
      </c>
      <c r="T207" s="67" t="str">
        <f>IF(B207="", "", 'Lighting Inventory'!BE216)</f>
        <v/>
      </c>
      <c r="U207" s="67" t="str">
        <f>IF(B207="", "", 'Lighting Inventory'!BF216)</f>
        <v/>
      </c>
      <c r="BM207" s="186" t="str">
        <f t="shared" si="3"/>
        <v>-</v>
      </c>
    </row>
    <row r="208" spans="1:65" x14ac:dyDescent="0.25">
      <c r="A208" s="189">
        <v>207</v>
      </c>
      <c r="B208" s="186" t="str">
        <f>IF('Lighting Inventory'!F217="", "", 'Lighting Inventory'!F217)</f>
        <v/>
      </c>
      <c r="C208" s="26" t="str">
        <f>IF(B208="", "", CONCATENATE("Area: ", 'Lighting Inventory'!D217, ", ", IF('Lighting Inventory'!C217="", "", "Floor: "), 'Lighting Inventory'!C217))</f>
        <v/>
      </c>
      <c r="D208" s="186" t="str">
        <f>IF(B208="", "", IF('Lighting Inventory'!B217="New Construction",CONCATENATE("Cut Sheet ", 250+'Appendix C'!A208), IF(ISNUMBER(SEARCH("cut sheet", 'Lighting Inventory'!J217)), CONCATENATE("Cut Sheet ", 'Lookup Tables'!AX210), 'Lighting Inventory'!J217)))</f>
        <v/>
      </c>
      <c r="E208" s="26" t="str">
        <f>IF(B208="", "", IF('Lighting Inventory'!B217="New Construction", 1, 'Lighting Inventory'!I217))</f>
        <v/>
      </c>
      <c r="F208" s="26" t="str">
        <f>IF(B208="", "", IF('Lighting Inventory'!B217="New Construction", 'Lighting Inventory'!R217*1000, 'Lighting Inventory'!K217))</f>
        <v/>
      </c>
      <c r="G208" s="26" t="str">
        <f>IF(B208="", "", IF('Lighting Inventory'!M217="", "S_LS", VLOOKUP('Lighting Inventory'!M217, 'Lookup Tables'!$B$142:$D$148, 3, FALSE)))</f>
        <v/>
      </c>
      <c r="H208" s="26" t="str">
        <f>IF(OR('Lighting Inventory'!V217="", 'Lighting Inventory'!W217=""), "", IF('Lighting Inventory'!W217="No Change", 'Lighting Inventory'!J217, CONCATENATE("Cut Sheet ", 'Appendix C'!A208)))</f>
        <v/>
      </c>
      <c r="I208" s="26" t="str">
        <f>IF(H208="", "", IF('Lighting Inventory'!AB217="Yes", "Screw-In", "General"))</f>
        <v/>
      </c>
      <c r="J208" s="26" t="str">
        <f>IF(B208="", "", CONCATENATE('Lighting Inventory'!W217, ", ", 'Lighting Inventory'!AL217, " W"))</f>
        <v/>
      </c>
      <c r="K208" s="26" t="str">
        <f>IF(OR(B208="",'Lighting Inventory'!B217="Retrofit"),"",IF('General Information'!$F$16="Space-by-Space",CONCATENATE('Lighting Inventory'!N217,", ",'Lighting Inventory'!O217," ",'Lighting Inventory'!P217," LPD"," at ",'Lighting Inventory'!Q217,", ",'Lighting Inventory'!R217," kW"),CONCATENATE(B208,", ",'Lighting Inventory'!O217," ",'Lighting Inventory'!P217," LPD"," at ",'Lighting Inventory'!Q217,", ",'Lighting Inventory'!R217," kW")))</f>
        <v/>
      </c>
      <c r="L208" s="26" t="str">
        <f>IF(H208="","",IF('Lighting Inventory'!AK217="","",'Lighting Inventory'!AK217))</f>
        <v/>
      </c>
      <c r="M208" s="26" t="str">
        <f>IF(H208="", "", 'Lighting Inventory'!AL217)</f>
        <v/>
      </c>
      <c r="N208" s="26" t="str">
        <f>IF('Lighting Inventory'!S217="", "", IF('Lighting Inventory'!W217="No Change", 'Lighting Inventory'!I217, 'Lighting Inventory'!S217))</f>
        <v/>
      </c>
      <c r="O208" s="26" t="str">
        <f>IF('Lighting Inventory'!AN217="", "", VLOOKUP('Lighting Inventory'!AN217, 'Lookup Tables'!$B$142:$D$148, 3, FALSE))</f>
        <v/>
      </c>
      <c r="P208" s="66" t="str">
        <f>IF(B208="", "", 'Lighting Inventory'!AX217)</f>
        <v/>
      </c>
      <c r="Q208" s="67" t="str">
        <f>IF(B208="", "", 'Lighting Inventory'!AZ217)</f>
        <v/>
      </c>
      <c r="R208" s="187" t="str">
        <f>IF(OR('Lighting Inventory'!G217="", 'Lighting Inventory'!H217=""), "", 'Lighting Inventory'!BD217)</f>
        <v/>
      </c>
      <c r="S208" s="187" t="str">
        <f>IF(OR('Lighting Inventory'!G217="", 'Lighting Inventory'!H217=""), "",'Lighting Inventory'!BB217)</f>
        <v/>
      </c>
      <c r="T208" s="67" t="str">
        <f>IF(B208="", "", 'Lighting Inventory'!BE217)</f>
        <v/>
      </c>
      <c r="U208" s="67" t="str">
        <f>IF(B208="", "", 'Lighting Inventory'!BF217)</f>
        <v/>
      </c>
      <c r="BM208" s="186" t="str">
        <f t="shared" si="3"/>
        <v>-</v>
      </c>
    </row>
    <row r="209" spans="1:65" x14ac:dyDescent="0.25">
      <c r="A209" s="189">
        <v>208</v>
      </c>
      <c r="B209" s="186" t="str">
        <f>IF('Lighting Inventory'!F218="", "", 'Lighting Inventory'!F218)</f>
        <v/>
      </c>
      <c r="C209" s="26" t="str">
        <f>IF(B209="", "", CONCATENATE("Area: ", 'Lighting Inventory'!D218, ", ", IF('Lighting Inventory'!C218="", "", "Floor: "), 'Lighting Inventory'!C218))</f>
        <v/>
      </c>
      <c r="D209" s="186" t="str">
        <f>IF(B209="", "", IF('Lighting Inventory'!B218="New Construction",CONCATENATE("Cut Sheet ", 250+'Appendix C'!A209), IF(ISNUMBER(SEARCH("cut sheet", 'Lighting Inventory'!J218)), CONCATENATE("Cut Sheet ", 'Lookup Tables'!AX211), 'Lighting Inventory'!J218)))</f>
        <v/>
      </c>
      <c r="E209" s="26" t="str">
        <f>IF(B209="", "", IF('Lighting Inventory'!B218="New Construction", 1, 'Lighting Inventory'!I218))</f>
        <v/>
      </c>
      <c r="F209" s="26" t="str">
        <f>IF(B209="", "", IF('Lighting Inventory'!B218="New Construction", 'Lighting Inventory'!R218*1000, 'Lighting Inventory'!K218))</f>
        <v/>
      </c>
      <c r="G209" s="26" t="str">
        <f>IF(B209="", "", IF('Lighting Inventory'!M218="", "S_LS", VLOOKUP('Lighting Inventory'!M218, 'Lookup Tables'!$B$142:$D$148, 3, FALSE)))</f>
        <v/>
      </c>
      <c r="H209" s="26" t="str">
        <f>IF(OR('Lighting Inventory'!V218="", 'Lighting Inventory'!W218=""), "", IF('Lighting Inventory'!W218="No Change", 'Lighting Inventory'!J218, CONCATENATE("Cut Sheet ", 'Appendix C'!A209)))</f>
        <v/>
      </c>
      <c r="I209" s="26" t="str">
        <f>IF(H209="", "", IF('Lighting Inventory'!AB218="Yes", "Screw-In", "General"))</f>
        <v/>
      </c>
      <c r="J209" s="26" t="str">
        <f>IF(B209="", "", CONCATENATE('Lighting Inventory'!W218, ", ", 'Lighting Inventory'!AL218, " W"))</f>
        <v/>
      </c>
      <c r="K209" s="26" t="str">
        <f>IF(OR(B209="",'Lighting Inventory'!B218="Retrofit"),"",IF('General Information'!$F$16="Space-by-Space",CONCATENATE('Lighting Inventory'!N218,", ",'Lighting Inventory'!O218," ",'Lighting Inventory'!P218," LPD"," at ",'Lighting Inventory'!Q218,", ",'Lighting Inventory'!R218," kW"),CONCATENATE(B209,", ",'Lighting Inventory'!O218," ",'Lighting Inventory'!P218," LPD"," at ",'Lighting Inventory'!Q218,", ",'Lighting Inventory'!R218," kW")))</f>
        <v/>
      </c>
      <c r="L209" s="26" t="str">
        <f>IF(H209="","",IF('Lighting Inventory'!AK218="","",'Lighting Inventory'!AK218))</f>
        <v/>
      </c>
      <c r="M209" s="26" t="str">
        <f>IF(H209="", "", 'Lighting Inventory'!AL218)</f>
        <v/>
      </c>
      <c r="N209" s="26" t="str">
        <f>IF('Lighting Inventory'!S218="", "", IF('Lighting Inventory'!W218="No Change", 'Lighting Inventory'!I218, 'Lighting Inventory'!S218))</f>
        <v/>
      </c>
      <c r="O209" s="26" t="str">
        <f>IF('Lighting Inventory'!AN218="", "", VLOOKUP('Lighting Inventory'!AN218, 'Lookup Tables'!$B$142:$D$148, 3, FALSE))</f>
        <v/>
      </c>
      <c r="P209" s="66" t="str">
        <f>IF(B209="", "", 'Lighting Inventory'!AX218)</f>
        <v/>
      </c>
      <c r="Q209" s="67" t="str">
        <f>IF(B209="", "", 'Lighting Inventory'!AZ218)</f>
        <v/>
      </c>
      <c r="R209" s="187" t="str">
        <f>IF(OR('Lighting Inventory'!G218="", 'Lighting Inventory'!H218=""), "", 'Lighting Inventory'!BD218)</f>
        <v/>
      </c>
      <c r="S209" s="187" t="str">
        <f>IF(OR('Lighting Inventory'!G218="", 'Lighting Inventory'!H218=""), "",'Lighting Inventory'!BB218)</f>
        <v/>
      </c>
      <c r="T209" s="67" t="str">
        <f>IF(B209="", "", 'Lighting Inventory'!BE218)</f>
        <v/>
      </c>
      <c r="U209" s="67" t="str">
        <f>IF(B209="", "", 'Lighting Inventory'!BF218)</f>
        <v/>
      </c>
      <c r="BM209" s="186" t="str">
        <f t="shared" si="3"/>
        <v>-</v>
      </c>
    </row>
    <row r="210" spans="1:65" x14ac:dyDescent="0.25">
      <c r="A210" s="189">
        <v>209</v>
      </c>
      <c r="B210" s="186" t="str">
        <f>IF('Lighting Inventory'!F219="", "", 'Lighting Inventory'!F219)</f>
        <v/>
      </c>
      <c r="C210" s="26" t="str">
        <f>IF(B210="", "", CONCATENATE("Area: ", 'Lighting Inventory'!D219, ", ", IF('Lighting Inventory'!C219="", "", "Floor: "), 'Lighting Inventory'!C219))</f>
        <v/>
      </c>
      <c r="D210" s="186" t="str">
        <f>IF(B210="", "", IF('Lighting Inventory'!B219="New Construction",CONCATENATE("Cut Sheet ", 250+'Appendix C'!A210), IF(ISNUMBER(SEARCH("cut sheet", 'Lighting Inventory'!J219)), CONCATENATE("Cut Sheet ", 'Lookup Tables'!AX212), 'Lighting Inventory'!J219)))</f>
        <v/>
      </c>
      <c r="E210" s="26" t="str">
        <f>IF(B210="", "", IF('Lighting Inventory'!B219="New Construction", 1, 'Lighting Inventory'!I219))</f>
        <v/>
      </c>
      <c r="F210" s="26" t="str">
        <f>IF(B210="", "", IF('Lighting Inventory'!B219="New Construction", 'Lighting Inventory'!R219*1000, 'Lighting Inventory'!K219))</f>
        <v/>
      </c>
      <c r="G210" s="26" t="str">
        <f>IF(B210="", "", IF('Lighting Inventory'!M219="", "S_LS", VLOOKUP('Lighting Inventory'!M219, 'Lookup Tables'!$B$142:$D$148, 3, FALSE)))</f>
        <v/>
      </c>
      <c r="H210" s="26" t="str">
        <f>IF(OR('Lighting Inventory'!V219="", 'Lighting Inventory'!W219=""), "", IF('Lighting Inventory'!W219="No Change", 'Lighting Inventory'!J219, CONCATENATE("Cut Sheet ", 'Appendix C'!A210)))</f>
        <v/>
      </c>
      <c r="I210" s="26" t="str">
        <f>IF(H210="", "", IF('Lighting Inventory'!AB219="Yes", "Screw-In", "General"))</f>
        <v/>
      </c>
      <c r="J210" s="26" t="str">
        <f>IF(B210="", "", CONCATENATE('Lighting Inventory'!W219, ", ", 'Lighting Inventory'!AL219, " W"))</f>
        <v/>
      </c>
      <c r="K210" s="26" t="str">
        <f>IF(OR(B210="",'Lighting Inventory'!B219="Retrofit"),"",IF('General Information'!$F$16="Space-by-Space",CONCATENATE('Lighting Inventory'!N219,", ",'Lighting Inventory'!O219," ",'Lighting Inventory'!P219," LPD"," at ",'Lighting Inventory'!Q219,", ",'Lighting Inventory'!R219," kW"),CONCATENATE(B210,", ",'Lighting Inventory'!O219," ",'Lighting Inventory'!P219," LPD"," at ",'Lighting Inventory'!Q219,", ",'Lighting Inventory'!R219," kW")))</f>
        <v/>
      </c>
      <c r="L210" s="26" t="str">
        <f>IF(H210="","",IF('Lighting Inventory'!AK219="","",'Lighting Inventory'!AK219))</f>
        <v/>
      </c>
      <c r="M210" s="26" t="str">
        <f>IF(H210="", "", 'Lighting Inventory'!AL219)</f>
        <v/>
      </c>
      <c r="N210" s="26" t="str">
        <f>IF('Lighting Inventory'!S219="", "", IF('Lighting Inventory'!W219="No Change", 'Lighting Inventory'!I219, 'Lighting Inventory'!S219))</f>
        <v/>
      </c>
      <c r="O210" s="26" t="str">
        <f>IF('Lighting Inventory'!AN219="", "", VLOOKUP('Lighting Inventory'!AN219, 'Lookup Tables'!$B$142:$D$148, 3, FALSE))</f>
        <v/>
      </c>
      <c r="P210" s="66" t="str">
        <f>IF(B210="", "", 'Lighting Inventory'!AX219)</f>
        <v/>
      </c>
      <c r="Q210" s="67" t="str">
        <f>IF(B210="", "", 'Lighting Inventory'!AZ219)</f>
        <v/>
      </c>
      <c r="R210" s="187" t="str">
        <f>IF(OR('Lighting Inventory'!G219="", 'Lighting Inventory'!H219=""), "", 'Lighting Inventory'!BD219)</f>
        <v/>
      </c>
      <c r="S210" s="187" t="str">
        <f>IF(OR('Lighting Inventory'!G219="", 'Lighting Inventory'!H219=""), "",'Lighting Inventory'!BB219)</f>
        <v/>
      </c>
      <c r="T210" s="67" t="str">
        <f>IF(B210="", "", 'Lighting Inventory'!BE219)</f>
        <v/>
      </c>
      <c r="U210" s="67" t="str">
        <f>IF(B210="", "", 'Lighting Inventory'!BF219)</f>
        <v/>
      </c>
      <c r="BM210" s="186" t="str">
        <f t="shared" si="3"/>
        <v>-</v>
      </c>
    </row>
    <row r="211" spans="1:65" x14ac:dyDescent="0.25">
      <c r="A211" s="189">
        <v>210</v>
      </c>
      <c r="B211" s="186" t="str">
        <f>IF('Lighting Inventory'!F220="", "", 'Lighting Inventory'!F220)</f>
        <v/>
      </c>
      <c r="C211" s="26" t="str">
        <f>IF(B211="", "", CONCATENATE("Area: ", 'Lighting Inventory'!D220, ", ", IF('Lighting Inventory'!C220="", "", "Floor: "), 'Lighting Inventory'!C220))</f>
        <v/>
      </c>
      <c r="D211" s="186" t="str">
        <f>IF(B211="", "", IF('Lighting Inventory'!B220="New Construction",CONCATENATE("Cut Sheet ", 250+'Appendix C'!A211), IF(ISNUMBER(SEARCH("cut sheet", 'Lighting Inventory'!J220)), CONCATENATE("Cut Sheet ", 'Lookup Tables'!AX213), 'Lighting Inventory'!J220)))</f>
        <v/>
      </c>
      <c r="E211" s="26" t="str">
        <f>IF(B211="", "", IF('Lighting Inventory'!B220="New Construction", 1, 'Lighting Inventory'!I220))</f>
        <v/>
      </c>
      <c r="F211" s="26" t="str">
        <f>IF(B211="", "", IF('Lighting Inventory'!B220="New Construction", 'Lighting Inventory'!R220*1000, 'Lighting Inventory'!K220))</f>
        <v/>
      </c>
      <c r="G211" s="26" t="str">
        <f>IF(B211="", "", IF('Lighting Inventory'!M220="", "S_LS", VLOOKUP('Lighting Inventory'!M220, 'Lookup Tables'!$B$142:$D$148, 3, FALSE)))</f>
        <v/>
      </c>
      <c r="H211" s="26" t="str">
        <f>IF(OR('Lighting Inventory'!V220="", 'Lighting Inventory'!W220=""), "", IF('Lighting Inventory'!W220="No Change", 'Lighting Inventory'!J220, CONCATENATE("Cut Sheet ", 'Appendix C'!A211)))</f>
        <v/>
      </c>
      <c r="I211" s="26" t="str">
        <f>IF(H211="", "", IF('Lighting Inventory'!AB220="Yes", "Screw-In", "General"))</f>
        <v/>
      </c>
      <c r="J211" s="26" t="str">
        <f>IF(B211="", "", CONCATENATE('Lighting Inventory'!W220, ", ", 'Lighting Inventory'!AL220, " W"))</f>
        <v/>
      </c>
      <c r="K211" s="26" t="str">
        <f>IF(OR(B211="",'Lighting Inventory'!B220="Retrofit"),"",IF('General Information'!$F$16="Space-by-Space",CONCATENATE('Lighting Inventory'!N220,", ",'Lighting Inventory'!O220," ",'Lighting Inventory'!P220," LPD"," at ",'Lighting Inventory'!Q220,", ",'Lighting Inventory'!R220," kW"),CONCATENATE(B211,", ",'Lighting Inventory'!O220," ",'Lighting Inventory'!P220," LPD"," at ",'Lighting Inventory'!Q220,", ",'Lighting Inventory'!R220," kW")))</f>
        <v/>
      </c>
      <c r="L211" s="26" t="str">
        <f>IF(H211="","",IF('Lighting Inventory'!AK220="","",'Lighting Inventory'!AK220))</f>
        <v/>
      </c>
      <c r="M211" s="26" t="str">
        <f>IF(H211="", "", 'Lighting Inventory'!AL220)</f>
        <v/>
      </c>
      <c r="N211" s="26" t="str">
        <f>IF('Lighting Inventory'!S220="", "", IF('Lighting Inventory'!W220="No Change", 'Lighting Inventory'!I220, 'Lighting Inventory'!S220))</f>
        <v/>
      </c>
      <c r="O211" s="26" t="str">
        <f>IF('Lighting Inventory'!AN220="", "", VLOOKUP('Lighting Inventory'!AN220, 'Lookup Tables'!$B$142:$D$148, 3, FALSE))</f>
        <v/>
      </c>
      <c r="P211" s="66" t="str">
        <f>IF(B211="", "", 'Lighting Inventory'!AX220)</f>
        <v/>
      </c>
      <c r="Q211" s="67" t="str">
        <f>IF(B211="", "", 'Lighting Inventory'!AZ220)</f>
        <v/>
      </c>
      <c r="R211" s="187" t="str">
        <f>IF(OR('Lighting Inventory'!G220="", 'Lighting Inventory'!H220=""), "", 'Lighting Inventory'!BD220)</f>
        <v/>
      </c>
      <c r="S211" s="187" t="str">
        <f>IF(OR('Lighting Inventory'!G220="", 'Lighting Inventory'!H220=""), "",'Lighting Inventory'!BB220)</f>
        <v/>
      </c>
      <c r="T211" s="67" t="str">
        <f>IF(B211="", "", 'Lighting Inventory'!BE220)</f>
        <v/>
      </c>
      <c r="U211" s="67" t="str">
        <f>IF(B211="", "", 'Lighting Inventory'!BF220)</f>
        <v/>
      </c>
      <c r="BM211" s="186" t="str">
        <f t="shared" si="3"/>
        <v>-</v>
      </c>
    </row>
    <row r="212" spans="1:65" x14ac:dyDescent="0.25">
      <c r="A212" s="189">
        <v>211</v>
      </c>
      <c r="B212" s="186" t="str">
        <f>IF('Lighting Inventory'!F221="", "", 'Lighting Inventory'!F221)</f>
        <v/>
      </c>
      <c r="C212" s="26" t="str">
        <f>IF(B212="", "", CONCATENATE("Area: ", 'Lighting Inventory'!D221, ", ", IF('Lighting Inventory'!C221="", "", "Floor: "), 'Lighting Inventory'!C221))</f>
        <v/>
      </c>
      <c r="D212" s="186" t="str">
        <f>IF(B212="", "", IF('Lighting Inventory'!B221="New Construction",CONCATENATE("Cut Sheet ", 250+'Appendix C'!A212), IF(ISNUMBER(SEARCH("cut sheet", 'Lighting Inventory'!J221)), CONCATENATE("Cut Sheet ", 'Lookup Tables'!AX214), 'Lighting Inventory'!J221)))</f>
        <v/>
      </c>
      <c r="E212" s="26" t="str">
        <f>IF(B212="", "", IF('Lighting Inventory'!B221="New Construction", 1, 'Lighting Inventory'!I221))</f>
        <v/>
      </c>
      <c r="F212" s="26" t="str">
        <f>IF(B212="", "", IF('Lighting Inventory'!B221="New Construction", 'Lighting Inventory'!R221*1000, 'Lighting Inventory'!K221))</f>
        <v/>
      </c>
      <c r="G212" s="26" t="str">
        <f>IF(B212="", "", IF('Lighting Inventory'!M221="", "S_LS", VLOOKUP('Lighting Inventory'!M221, 'Lookup Tables'!$B$142:$D$148, 3, FALSE)))</f>
        <v/>
      </c>
      <c r="H212" s="26" t="str">
        <f>IF(OR('Lighting Inventory'!V221="", 'Lighting Inventory'!W221=""), "", IF('Lighting Inventory'!W221="No Change", 'Lighting Inventory'!J221, CONCATENATE("Cut Sheet ", 'Appendix C'!A212)))</f>
        <v/>
      </c>
      <c r="I212" s="26" t="str">
        <f>IF(H212="", "", IF('Lighting Inventory'!AB221="Yes", "Screw-In", "General"))</f>
        <v/>
      </c>
      <c r="J212" s="26" t="str">
        <f>IF(B212="", "", CONCATENATE('Lighting Inventory'!W221, ", ", 'Lighting Inventory'!AL221, " W"))</f>
        <v/>
      </c>
      <c r="K212" s="26" t="str">
        <f>IF(OR(B212="",'Lighting Inventory'!B221="Retrofit"),"",IF('General Information'!$F$16="Space-by-Space",CONCATENATE('Lighting Inventory'!N221,", ",'Lighting Inventory'!O221," ",'Lighting Inventory'!P221," LPD"," at ",'Lighting Inventory'!Q221,", ",'Lighting Inventory'!R221," kW"),CONCATENATE(B212,", ",'Lighting Inventory'!O221," ",'Lighting Inventory'!P221," LPD"," at ",'Lighting Inventory'!Q221,", ",'Lighting Inventory'!R221," kW")))</f>
        <v/>
      </c>
      <c r="L212" s="26" t="str">
        <f>IF(H212="","",IF('Lighting Inventory'!AK221="","",'Lighting Inventory'!AK221))</f>
        <v/>
      </c>
      <c r="M212" s="26" t="str">
        <f>IF(H212="", "", 'Lighting Inventory'!AL221)</f>
        <v/>
      </c>
      <c r="N212" s="26" t="str">
        <f>IF('Lighting Inventory'!S221="", "", IF('Lighting Inventory'!W221="No Change", 'Lighting Inventory'!I221, 'Lighting Inventory'!S221))</f>
        <v/>
      </c>
      <c r="O212" s="26" t="str">
        <f>IF('Lighting Inventory'!AN221="", "", VLOOKUP('Lighting Inventory'!AN221, 'Lookup Tables'!$B$142:$D$148, 3, FALSE))</f>
        <v/>
      </c>
      <c r="P212" s="66" t="str">
        <f>IF(B212="", "", 'Lighting Inventory'!AX221)</f>
        <v/>
      </c>
      <c r="Q212" s="67" t="str">
        <f>IF(B212="", "", 'Lighting Inventory'!AZ221)</f>
        <v/>
      </c>
      <c r="R212" s="187" t="str">
        <f>IF(OR('Lighting Inventory'!G221="", 'Lighting Inventory'!H221=""), "", 'Lighting Inventory'!BD221)</f>
        <v/>
      </c>
      <c r="S212" s="187" t="str">
        <f>IF(OR('Lighting Inventory'!G221="", 'Lighting Inventory'!H221=""), "",'Lighting Inventory'!BB221)</f>
        <v/>
      </c>
      <c r="T212" s="67" t="str">
        <f>IF(B212="", "", 'Lighting Inventory'!BE221)</f>
        <v/>
      </c>
      <c r="U212" s="67" t="str">
        <f>IF(B212="", "", 'Lighting Inventory'!BF221)</f>
        <v/>
      </c>
      <c r="BM212" s="186" t="str">
        <f t="shared" si="3"/>
        <v>-</v>
      </c>
    </row>
    <row r="213" spans="1:65" x14ac:dyDescent="0.25">
      <c r="A213" s="189">
        <v>212</v>
      </c>
      <c r="B213" s="186" t="str">
        <f>IF('Lighting Inventory'!F222="", "", 'Lighting Inventory'!F222)</f>
        <v/>
      </c>
      <c r="C213" s="26" t="str">
        <f>IF(B213="", "", CONCATENATE("Area: ", 'Lighting Inventory'!D222, ", ", IF('Lighting Inventory'!C222="", "", "Floor: "), 'Lighting Inventory'!C222))</f>
        <v/>
      </c>
      <c r="D213" s="186" t="str">
        <f>IF(B213="", "", IF('Lighting Inventory'!B222="New Construction",CONCATENATE("Cut Sheet ", 250+'Appendix C'!A213), IF(ISNUMBER(SEARCH("cut sheet", 'Lighting Inventory'!J222)), CONCATENATE("Cut Sheet ", 'Lookup Tables'!AX215), 'Lighting Inventory'!J222)))</f>
        <v/>
      </c>
      <c r="E213" s="26" t="str">
        <f>IF(B213="", "", IF('Lighting Inventory'!B222="New Construction", 1, 'Lighting Inventory'!I222))</f>
        <v/>
      </c>
      <c r="F213" s="26" t="str">
        <f>IF(B213="", "", IF('Lighting Inventory'!B222="New Construction", 'Lighting Inventory'!R222*1000, 'Lighting Inventory'!K222))</f>
        <v/>
      </c>
      <c r="G213" s="26" t="str">
        <f>IF(B213="", "", IF('Lighting Inventory'!M222="", "S_LS", VLOOKUP('Lighting Inventory'!M222, 'Lookup Tables'!$B$142:$D$148, 3, FALSE)))</f>
        <v/>
      </c>
      <c r="H213" s="26" t="str">
        <f>IF(OR('Lighting Inventory'!V222="", 'Lighting Inventory'!W222=""), "", IF('Lighting Inventory'!W222="No Change", 'Lighting Inventory'!J222, CONCATENATE("Cut Sheet ", 'Appendix C'!A213)))</f>
        <v/>
      </c>
      <c r="I213" s="26" t="str">
        <f>IF(H213="", "", IF('Lighting Inventory'!AB222="Yes", "Screw-In", "General"))</f>
        <v/>
      </c>
      <c r="J213" s="26" t="str">
        <f>IF(B213="", "", CONCATENATE('Lighting Inventory'!W222, ", ", 'Lighting Inventory'!AL222, " W"))</f>
        <v/>
      </c>
      <c r="K213" s="26" t="str">
        <f>IF(OR(B213="",'Lighting Inventory'!B222="Retrofit"),"",IF('General Information'!$F$16="Space-by-Space",CONCATENATE('Lighting Inventory'!N222,", ",'Lighting Inventory'!O222," ",'Lighting Inventory'!P222," LPD"," at ",'Lighting Inventory'!Q222,", ",'Lighting Inventory'!R222," kW"),CONCATENATE(B213,", ",'Lighting Inventory'!O222," ",'Lighting Inventory'!P222," LPD"," at ",'Lighting Inventory'!Q222,", ",'Lighting Inventory'!R222," kW")))</f>
        <v/>
      </c>
      <c r="L213" s="26" t="str">
        <f>IF(H213="","",IF('Lighting Inventory'!AK222="","",'Lighting Inventory'!AK222))</f>
        <v/>
      </c>
      <c r="M213" s="26" t="str">
        <f>IF(H213="", "", 'Lighting Inventory'!AL222)</f>
        <v/>
      </c>
      <c r="N213" s="26" t="str">
        <f>IF('Lighting Inventory'!S222="", "", IF('Lighting Inventory'!W222="No Change", 'Lighting Inventory'!I222, 'Lighting Inventory'!S222))</f>
        <v/>
      </c>
      <c r="O213" s="26" t="str">
        <f>IF('Lighting Inventory'!AN222="", "", VLOOKUP('Lighting Inventory'!AN222, 'Lookup Tables'!$B$142:$D$148, 3, FALSE))</f>
        <v/>
      </c>
      <c r="P213" s="66" t="str">
        <f>IF(B213="", "", 'Lighting Inventory'!AX222)</f>
        <v/>
      </c>
      <c r="Q213" s="67" t="str">
        <f>IF(B213="", "", 'Lighting Inventory'!AZ222)</f>
        <v/>
      </c>
      <c r="R213" s="187" t="str">
        <f>IF(OR('Lighting Inventory'!G222="", 'Lighting Inventory'!H222=""), "", 'Lighting Inventory'!BD222)</f>
        <v/>
      </c>
      <c r="S213" s="187" t="str">
        <f>IF(OR('Lighting Inventory'!G222="", 'Lighting Inventory'!H222=""), "",'Lighting Inventory'!BB222)</f>
        <v/>
      </c>
      <c r="T213" s="67" t="str">
        <f>IF(B213="", "", 'Lighting Inventory'!BE222)</f>
        <v/>
      </c>
      <c r="U213" s="67" t="str">
        <f>IF(B213="", "", 'Lighting Inventory'!BF222)</f>
        <v/>
      </c>
      <c r="BM213" s="186" t="str">
        <f t="shared" si="3"/>
        <v>-</v>
      </c>
    </row>
    <row r="214" spans="1:65" x14ac:dyDescent="0.25">
      <c r="A214" s="189">
        <v>213</v>
      </c>
      <c r="B214" s="186" t="str">
        <f>IF('Lighting Inventory'!F223="", "", 'Lighting Inventory'!F223)</f>
        <v/>
      </c>
      <c r="C214" s="26" t="str">
        <f>IF(B214="", "", CONCATENATE("Area: ", 'Lighting Inventory'!D223, ", ", IF('Lighting Inventory'!C223="", "", "Floor: "), 'Lighting Inventory'!C223))</f>
        <v/>
      </c>
      <c r="D214" s="186" t="str">
        <f>IF(B214="", "", IF('Lighting Inventory'!B223="New Construction",CONCATENATE("Cut Sheet ", 250+'Appendix C'!A214), IF(ISNUMBER(SEARCH("cut sheet", 'Lighting Inventory'!J223)), CONCATENATE("Cut Sheet ", 'Lookup Tables'!AX216), 'Lighting Inventory'!J223)))</f>
        <v/>
      </c>
      <c r="E214" s="26" t="str">
        <f>IF(B214="", "", IF('Lighting Inventory'!B223="New Construction", 1, 'Lighting Inventory'!I223))</f>
        <v/>
      </c>
      <c r="F214" s="26" t="str">
        <f>IF(B214="", "", IF('Lighting Inventory'!B223="New Construction", 'Lighting Inventory'!R223*1000, 'Lighting Inventory'!K223))</f>
        <v/>
      </c>
      <c r="G214" s="26" t="str">
        <f>IF(B214="", "", IF('Lighting Inventory'!M223="", "S_LS", VLOOKUP('Lighting Inventory'!M223, 'Lookup Tables'!$B$142:$D$148, 3, FALSE)))</f>
        <v/>
      </c>
      <c r="H214" s="26" t="str">
        <f>IF(OR('Lighting Inventory'!V223="", 'Lighting Inventory'!W223=""), "", IF('Lighting Inventory'!W223="No Change", 'Lighting Inventory'!J223, CONCATENATE("Cut Sheet ", 'Appendix C'!A214)))</f>
        <v/>
      </c>
      <c r="I214" s="26" t="str">
        <f>IF(H214="", "", IF('Lighting Inventory'!AB223="Yes", "Screw-In", "General"))</f>
        <v/>
      </c>
      <c r="J214" s="26" t="str">
        <f>IF(B214="", "", CONCATENATE('Lighting Inventory'!W223, ", ", 'Lighting Inventory'!AL223, " W"))</f>
        <v/>
      </c>
      <c r="K214" s="26" t="str">
        <f>IF(OR(B214="",'Lighting Inventory'!B223="Retrofit"),"",IF('General Information'!$F$16="Space-by-Space",CONCATENATE('Lighting Inventory'!N223,", ",'Lighting Inventory'!O223," ",'Lighting Inventory'!P223," LPD"," at ",'Lighting Inventory'!Q223,", ",'Lighting Inventory'!R223," kW"),CONCATENATE(B214,", ",'Lighting Inventory'!O223," ",'Lighting Inventory'!P223," LPD"," at ",'Lighting Inventory'!Q223,", ",'Lighting Inventory'!R223," kW")))</f>
        <v/>
      </c>
      <c r="L214" s="26" t="str">
        <f>IF(H214="","",IF('Lighting Inventory'!AK223="","",'Lighting Inventory'!AK223))</f>
        <v/>
      </c>
      <c r="M214" s="26" t="str">
        <f>IF(H214="", "", 'Lighting Inventory'!AL223)</f>
        <v/>
      </c>
      <c r="N214" s="26" t="str">
        <f>IF('Lighting Inventory'!S223="", "", IF('Lighting Inventory'!W223="No Change", 'Lighting Inventory'!I223, 'Lighting Inventory'!S223))</f>
        <v/>
      </c>
      <c r="O214" s="26" t="str">
        <f>IF('Lighting Inventory'!AN223="", "", VLOOKUP('Lighting Inventory'!AN223, 'Lookup Tables'!$B$142:$D$148, 3, FALSE))</f>
        <v/>
      </c>
      <c r="P214" s="66" t="str">
        <f>IF(B214="", "", 'Lighting Inventory'!AX223)</f>
        <v/>
      </c>
      <c r="Q214" s="67" t="str">
        <f>IF(B214="", "", 'Lighting Inventory'!AZ223)</f>
        <v/>
      </c>
      <c r="R214" s="187" t="str">
        <f>IF(OR('Lighting Inventory'!G223="", 'Lighting Inventory'!H223=""), "", 'Lighting Inventory'!BD223)</f>
        <v/>
      </c>
      <c r="S214" s="187" t="str">
        <f>IF(OR('Lighting Inventory'!G223="", 'Lighting Inventory'!H223=""), "",'Lighting Inventory'!BB223)</f>
        <v/>
      </c>
      <c r="T214" s="67" t="str">
        <f>IF(B214="", "", 'Lighting Inventory'!BE223)</f>
        <v/>
      </c>
      <c r="U214" s="67" t="str">
        <f>IF(B214="", "", 'Lighting Inventory'!BF223)</f>
        <v/>
      </c>
      <c r="BM214" s="186" t="str">
        <f t="shared" si="3"/>
        <v>-</v>
      </c>
    </row>
    <row r="215" spans="1:65" x14ac:dyDescent="0.25">
      <c r="A215" s="189">
        <v>214</v>
      </c>
      <c r="B215" s="186" t="str">
        <f>IF('Lighting Inventory'!F224="", "", 'Lighting Inventory'!F224)</f>
        <v/>
      </c>
      <c r="C215" s="26" t="str">
        <f>IF(B215="", "", CONCATENATE("Area: ", 'Lighting Inventory'!D224, ", ", IF('Lighting Inventory'!C224="", "", "Floor: "), 'Lighting Inventory'!C224))</f>
        <v/>
      </c>
      <c r="D215" s="186" t="str">
        <f>IF(B215="", "", IF('Lighting Inventory'!B224="New Construction",CONCATENATE("Cut Sheet ", 250+'Appendix C'!A215), IF(ISNUMBER(SEARCH("cut sheet", 'Lighting Inventory'!J224)), CONCATENATE("Cut Sheet ", 'Lookup Tables'!AX217), 'Lighting Inventory'!J224)))</f>
        <v/>
      </c>
      <c r="E215" s="26" t="str">
        <f>IF(B215="", "", IF('Lighting Inventory'!B224="New Construction", 1, 'Lighting Inventory'!I224))</f>
        <v/>
      </c>
      <c r="F215" s="26" t="str">
        <f>IF(B215="", "", IF('Lighting Inventory'!B224="New Construction", 'Lighting Inventory'!R224*1000, 'Lighting Inventory'!K224))</f>
        <v/>
      </c>
      <c r="G215" s="26" t="str">
        <f>IF(B215="", "", IF('Lighting Inventory'!M224="", "S_LS", VLOOKUP('Lighting Inventory'!M224, 'Lookup Tables'!$B$142:$D$148, 3, FALSE)))</f>
        <v/>
      </c>
      <c r="H215" s="26" t="str">
        <f>IF(OR('Lighting Inventory'!V224="", 'Lighting Inventory'!W224=""), "", IF('Lighting Inventory'!W224="No Change", 'Lighting Inventory'!J224, CONCATENATE("Cut Sheet ", 'Appendix C'!A215)))</f>
        <v/>
      </c>
      <c r="I215" s="26" t="str">
        <f>IF(H215="", "", IF('Lighting Inventory'!AB224="Yes", "Screw-In", "General"))</f>
        <v/>
      </c>
      <c r="J215" s="26" t="str">
        <f>IF(B215="", "", CONCATENATE('Lighting Inventory'!W224, ", ", 'Lighting Inventory'!AL224, " W"))</f>
        <v/>
      </c>
      <c r="K215" s="26" t="str">
        <f>IF(OR(B215="",'Lighting Inventory'!B224="Retrofit"),"",IF('General Information'!$F$16="Space-by-Space",CONCATENATE('Lighting Inventory'!N224,", ",'Lighting Inventory'!O224," ",'Lighting Inventory'!P224," LPD"," at ",'Lighting Inventory'!Q224,", ",'Lighting Inventory'!R224," kW"),CONCATENATE(B215,", ",'Lighting Inventory'!O224," ",'Lighting Inventory'!P224," LPD"," at ",'Lighting Inventory'!Q224,", ",'Lighting Inventory'!R224," kW")))</f>
        <v/>
      </c>
      <c r="L215" s="26" t="str">
        <f>IF(H215="","",IF('Lighting Inventory'!AK224="","",'Lighting Inventory'!AK224))</f>
        <v/>
      </c>
      <c r="M215" s="26" t="str">
        <f>IF(H215="", "", 'Lighting Inventory'!AL224)</f>
        <v/>
      </c>
      <c r="N215" s="26" t="str">
        <f>IF('Lighting Inventory'!S224="", "", IF('Lighting Inventory'!W224="No Change", 'Lighting Inventory'!I224, 'Lighting Inventory'!S224))</f>
        <v/>
      </c>
      <c r="O215" s="26" t="str">
        <f>IF('Lighting Inventory'!AN224="", "", VLOOKUP('Lighting Inventory'!AN224, 'Lookup Tables'!$B$142:$D$148, 3, FALSE))</f>
        <v/>
      </c>
      <c r="P215" s="66" t="str">
        <f>IF(B215="", "", 'Lighting Inventory'!AX224)</f>
        <v/>
      </c>
      <c r="Q215" s="67" t="str">
        <f>IF(B215="", "", 'Lighting Inventory'!AZ224)</f>
        <v/>
      </c>
      <c r="R215" s="187" t="str">
        <f>IF(OR('Lighting Inventory'!G224="", 'Lighting Inventory'!H224=""), "", 'Lighting Inventory'!BD224)</f>
        <v/>
      </c>
      <c r="S215" s="187" t="str">
        <f>IF(OR('Lighting Inventory'!G224="", 'Lighting Inventory'!H224=""), "",'Lighting Inventory'!BB224)</f>
        <v/>
      </c>
      <c r="T215" s="67" t="str">
        <f>IF(B215="", "", 'Lighting Inventory'!BE224)</f>
        <v/>
      </c>
      <c r="U215" s="67" t="str">
        <f>IF(B215="", "", 'Lighting Inventory'!BF224)</f>
        <v/>
      </c>
      <c r="BM215" s="186" t="str">
        <f t="shared" si="3"/>
        <v>-</v>
      </c>
    </row>
    <row r="216" spans="1:65" x14ac:dyDescent="0.25">
      <c r="A216" s="189">
        <v>215</v>
      </c>
      <c r="B216" s="186" t="str">
        <f>IF('Lighting Inventory'!F225="", "", 'Lighting Inventory'!F225)</f>
        <v/>
      </c>
      <c r="C216" s="26" t="str">
        <f>IF(B216="", "", CONCATENATE("Area: ", 'Lighting Inventory'!D225, ", ", IF('Lighting Inventory'!C225="", "", "Floor: "), 'Lighting Inventory'!C225))</f>
        <v/>
      </c>
      <c r="D216" s="186" t="str">
        <f>IF(B216="", "", IF('Lighting Inventory'!B225="New Construction",CONCATENATE("Cut Sheet ", 250+'Appendix C'!A216), IF(ISNUMBER(SEARCH("cut sheet", 'Lighting Inventory'!J225)), CONCATENATE("Cut Sheet ", 'Lookup Tables'!AX218), 'Lighting Inventory'!J225)))</f>
        <v/>
      </c>
      <c r="E216" s="26" t="str">
        <f>IF(B216="", "", IF('Lighting Inventory'!B225="New Construction", 1, 'Lighting Inventory'!I225))</f>
        <v/>
      </c>
      <c r="F216" s="26" t="str">
        <f>IF(B216="", "", IF('Lighting Inventory'!B225="New Construction", 'Lighting Inventory'!R225*1000, 'Lighting Inventory'!K225))</f>
        <v/>
      </c>
      <c r="G216" s="26" t="str">
        <f>IF(B216="", "", IF('Lighting Inventory'!M225="", "S_LS", VLOOKUP('Lighting Inventory'!M225, 'Lookup Tables'!$B$142:$D$148, 3, FALSE)))</f>
        <v/>
      </c>
      <c r="H216" s="26" t="str">
        <f>IF(OR('Lighting Inventory'!V225="", 'Lighting Inventory'!W225=""), "", IF('Lighting Inventory'!W225="No Change", 'Lighting Inventory'!J225, CONCATENATE("Cut Sheet ", 'Appendix C'!A216)))</f>
        <v/>
      </c>
      <c r="I216" s="26" t="str">
        <f>IF(H216="", "", IF('Lighting Inventory'!AB225="Yes", "Screw-In", "General"))</f>
        <v/>
      </c>
      <c r="J216" s="26" t="str">
        <f>IF(B216="", "", CONCATENATE('Lighting Inventory'!W225, ", ", 'Lighting Inventory'!AL225, " W"))</f>
        <v/>
      </c>
      <c r="K216" s="26" t="str">
        <f>IF(OR(B216="",'Lighting Inventory'!B225="Retrofit"),"",IF('General Information'!$F$16="Space-by-Space",CONCATENATE('Lighting Inventory'!N225,", ",'Lighting Inventory'!O225," ",'Lighting Inventory'!P225," LPD"," at ",'Lighting Inventory'!Q225,", ",'Lighting Inventory'!R225," kW"),CONCATENATE(B216,", ",'Lighting Inventory'!O225," ",'Lighting Inventory'!P225," LPD"," at ",'Lighting Inventory'!Q225,", ",'Lighting Inventory'!R225," kW")))</f>
        <v/>
      </c>
      <c r="L216" s="26" t="str">
        <f>IF(H216="","",IF('Lighting Inventory'!AK225="","",'Lighting Inventory'!AK225))</f>
        <v/>
      </c>
      <c r="M216" s="26" t="str">
        <f>IF(H216="", "", 'Lighting Inventory'!AL225)</f>
        <v/>
      </c>
      <c r="N216" s="26" t="str">
        <f>IF('Lighting Inventory'!S225="", "", IF('Lighting Inventory'!W225="No Change", 'Lighting Inventory'!I225, 'Lighting Inventory'!S225))</f>
        <v/>
      </c>
      <c r="O216" s="26" t="str">
        <f>IF('Lighting Inventory'!AN225="", "", VLOOKUP('Lighting Inventory'!AN225, 'Lookup Tables'!$B$142:$D$148, 3, FALSE))</f>
        <v/>
      </c>
      <c r="P216" s="66" t="str">
        <f>IF(B216="", "", 'Lighting Inventory'!AX225)</f>
        <v/>
      </c>
      <c r="Q216" s="67" t="str">
        <f>IF(B216="", "", 'Lighting Inventory'!AZ225)</f>
        <v/>
      </c>
      <c r="R216" s="187" t="str">
        <f>IF(OR('Lighting Inventory'!G225="", 'Lighting Inventory'!H225=""), "", 'Lighting Inventory'!BD225)</f>
        <v/>
      </c>
      <c r="S216" s="187" t="str">
        <f>IF(OR('Lighting Inventory'!G225="", 'Lighting Inventory'!H225=""), "",'Lighting Inventory'!BB225)</f>
        <v/>
      </c>
      <c r="T216" s="67" t="str">
        <f>IF(B216="", "", 'Lighting Inventory'!BE225)</f>
        <v/>
      </c>
      <c r="U216" s="67" t="str">
        <f>IF(B216="", "", 'Lighting Inventory'!BF225)</f>
        <v/>
      </c>
      <c r="BM216" s="186" t="str">
        <f t="shared" si="3"/>
        <v>-</v>
      </c>
    </row>
    <row r="217" spans="1:65" x14ac:dyDescent="0.25">
      <c r="A217" s="189">
        <v>216</v>
      </c>
      <c r="B217" s="186" t="str">
        <f>IF('Lighting Inventory'!F226="", "", 'Lighting Inventory'!F226)</f>
        <v/>
      </c>
      <c r="C217" s="26" t="str">
        <f>IF(B217="", "", CONCATENATE("Area: ", 'Lighting Inventory'!D226, ", ", IF('Lighting Inventory'!C226="", "", "Floor: "), 'Lighting Inventory'!C226))</f>
        <v/>
      </c>
      <c r="D217" s="186" t="str">
        <f>IF(B217="", "", IF('Lighting Inventory'!B226="New Construction",CONCATENATE("Cut Sheet ", 250+'Appendix C'!A217), IF(ISNUMBER(SEARCH("cut sheet", 'Lighting Inventory'!J226)), CONCATENATE("Cut Sheet ", 'Lookup Tables'!AX219), 'Lighting Inventory'!J226)))</f>
        <v/>
      </c>
      <c r="E217" s="26" t="str">
        <f>IF(B217="", "", IF('Lighting Inventory'!B226="New Construction", 1, 'Lighting Inventory'!I226))</f>
        <v/>
      </c>
      <c r="F217" s="26" t="str">
        <f>IF(B217="", "", IF('Lighting Inventory'!B226="New Construction", 'Lighting Inventory'!R226*1000, 'Lighting Inventory'!K226))</f>
        <v/>
      </c>
      <c r="G217" s="26" t="str">
        <f>IF(B217="", "", IF('Lighting Inventory'!M226="", "S_LS", VLOOKUP('Lighting Inventory'!M226, 'Lookup Tables'!$B$142:$D$148, 3, FALSE)))</f>
        <v/>
      </c>
      <c r="H217" s="26" t="str">
        <f>IF(OR('Lighting Inventory'!V226="", 'Lighting Inventory'!W226=""), "", IF('Lighting Inventory'!W226="No Change", 'Lighting Inventory'!J226, CONCATENATE("Cut Sheet ", 'Appendix C'!A217)))</f>
        <v/>
      </c>
      <c r="I217" s="26" t="str">
        <f>IF(H217="", "", IF('Lighting Inventory'!AB226="Yes", "Screw-In", "General"))</f>
        <v/>
      </c>
      <c r="J217" s="26" t="str">
        <f>IF(B217="", "", CONCATENATE('Lighting Inventory'!W226, ", ", 'Lighting Inventory'!AL226, " W"))</f>
        <v/>
      </c>
      <c r="K217" s="26" t="str">
        <f>IF(OR(B217="",'Lighting Inventory'!B226="Retrofit"),"",IF('General Information'!$F$16="Space-by-Space",CONCATENATE('Lighting Inventory'!N226,", ",'Lighting Inventory'!O226," ",'Lighting Inventory'!P226," LPD"," at ",'Lighting Inventory'!Q226,", ",'Lighting Inventory'!R226," kW"),CONCATENATE(B217,", ",'Lighting Inventory'!O226," ",'Lighting Inventory'!P226," LPD"," at ",'Lighting Inventory'!Q226,", ",'Lighting Inventory'!R226," kW")))</f>
        <v/>
      </c>
      <c r="L217" s="26" t="str">
        <f>IF(H217="","",IF('Lighting Inventory'!AK226="","",'Lighting Inventory'!AK226))</f>
        <v/>
      </c>
      <c r="M217" s="26" t="str">
        <f>IF(H217="", "", 'Lighting Inventory'!AL226)</f>
        <v/>
      </c>
      <c r="N217" s="26" t="str">
        <f>IF('Lighting Inventory'!S226="", "", IF('Lighting Inventory'!W226="No Change", 'Lighting Inventory'!I226, 'Lighting Inventory'!S226))</f>
        <v/>
      </c>
      <c r="O217" s="26" t="str">
        <f>IF('Lighting Inventory'!AN226="", "", VLOOKUP('Lighting Inventory'!AN226, 'Lookup Tables'!$B$142:$D$148, 3, FALSE))</f>
        <v/>
      </c>
      <c r="P217" s="66" t="str">
        <f>IF(B217="", "", 'Lighting Inventory'!AX226)</f>
        <v/>
      </c>
      <c r="Q217" s="67" t="str">
        <f>IF(B217="", "", 'Lighting Inventory'!AZ226)</f>
        <v/>
      </c>
      <c r="R217" s="187" t="str">
        <f>IF(OR('Lighting Inventory'!G226="", 'Lighting Inventory'!H226=""), "", 'Lighting Inventory'!BD226)</f>
        <v/>
      </c>
      <c r="S217" s="187" t="str">
        <f>IF(OR('Lighting Inventory'!G226="", 'Lighting Inventory'!H226=""), "",'Lighting Inventory'!BB226)</f>
        <v/>
      </c>
      <c r="T217" s="67" t="str">
        <f>IF(B217="", "", 'Lighting Inventory'!BE226)</f>
        <v/>
      </c>
      <c r="U217" s="67" t="str">
        <f>IF(B217="", "", 'Lighting Inventory'!BF226)</f>
        <v/>
      </c>
      <c r="BM217" s="186" t="str">
        <f t="shared" si="3"/>
        <v>-</v>
      </c>
    </row>
    <row r="218" spans="1:65" x14ac:dyDescent="0.25">
      <c r="A218" s="189">
        <v>217</v>
      </c>
      <c r="B218" s="186" t="str">
        <f>IF('Lighting Inventory'!F227="", "", 'Lighting Inventory'!F227)</f>
        <v/>
      </c>
      <c r="C218" s="26" t="str">
        <f>IF(B218="", "", CONCATENATE("Area: ", 'Lighting Inventory'!D227, ", ", IF('Lighting Inventory'!C227="", "", "Floor: "), 'Lighting Inventory'!C227))</f>
        <v/>
      </c>
      <c r="D218" s="186" t="str">
        <f>IF(B218="", "", IF('Lighting Inventory'!B227="New Construction",CONCATENATE("Cut Sheet ", 250+'Appendix C'!A218), IF(ISNUMBER(SEARCH("cut sheet", 'Lighting Inventory'!J227)), CONCATENATE("Cut Sheet ", 'Lookup Tables'!AX220), 'Lighting Inventory'!J227)))</f>
        <v/>
      </c>
      <c r="E218" s="26" t="str">
        <f>IF(B218="", "", IF('Lighting Inventory'!B227="New Construction", 1, 'Lighting Inventory'!I227))</f>
        <v/>
      </c>
      <c r="F218" s="26" t="str">
        <f>IF(B218="", "", IF('Lighting Inventory'!B227="New Construction", 'Lighting Inventory'!R227*1000, 'Lighting Inventory'!K227))</f>
        <v/>
      </c>
      <c r="G218" s="26" t="str">
        <f>IF(B218="", "", IF('Lighting Inventory'!M227="", "S_LS", VLOOKUP('Lighting Inventory'!M227, 'Lookup Tables'!$B$142:$D$148, 3, FALSE)))</f>
        <v/>
      </c>
      <c r="H218" s="26" t="str">
        <f>IF(OR('Lighting Inventory'!V227="", 'Lighting Inventory'!W227=""), "", IF('Lighting Inventory'!W227="No Change", 'Lighting Inventory'!J227, CONCATENATE("Cut Sheet ", 'Appendix C'!A218)))</f>
        <v/>
      </c>
      <c r="I218" s="26" t="str">
        <f>IF(H218="", "", IF('Lighting Inventory'!AB227="Yes", "Screw-In", "General"))</f>
        <v/>
      </c>
      <c r="J218" s="26" t="str">
        <f>IF(B218="", "", CONCATENATE('Lighting Inventory'!W227, ", ", 'Lighting Inventory'!AL227, " W"))</f>
        <v/>
      </c>
      <c r="K218" s="26" t="str">
        <f>IF(OR(B218="",'Lighting Inventory'!B227="Retrofit"),"",IF('General Information'!$F$16="Space-by-Space",CONCATENATE('Lighting Inventory'!N227,", ",'Lighting Inventory'!O227," ",'Lighting Inventory'!P227," LPD"," at ",'Lighting Inventory'!Q227,", ",'Lighting Inventory'!R227," kW"),CONCATENATE(B218,", ",'Lighting Inventory'!O227," ",'Lighting Inventory'!P227," LPD"," at ",'Lighting Inventory'!Q227,", ",'Lighting Inventory'!R227," kW")))</f>
        <v/>
      </c>
      <c r="L218" s="26" t="str">
        <f>IF(H218="","",IF('Lighting Inventory'!AK227="","",'Lighting Inventory'!AK227))</f>
        <v/>
      </c>
      <c r="M218" s="26" t="str">
        <f>IF(H218="", "", 'Lighting Inventory'!AL227)</f>
        <v/>
      </c>
      <c r="N218" s="26" t="str">
        <f>IF('Lighting Inventory'!S227="", "", IF('Lighting Inventory'!W227="No Change", 'Lighting Inventory'!I227, 'Lighting Inventory'!S227))</f>
        <v/>
      </c>
      <c r="O218" s="26" t="str">
        <f>IF('Lighting Inventory'!AN227="", "", VLOOKUP('Lighting Inventory'!AN227, 'Lookup Tables'!$B$142:$D$148, 3, FALSE))</f>
        <v/>
      </c>
      <c r="P218" s="66" t="str">
        <f>IF(B218="", "", 'Lighting Inventory'!AX227)</f>
        <v/>
      </c>
      <c r="Q218" s="67" t="str">
        <f>IF(B218="", "", 'Lighting Inventory'!AZ227)</f>
        <v/>
      </c>
      <c r="R218" s="187" t="str">
        <f>IF(OR('Lighting Inventory'!G227="", 'Lighting Inventory'!H227=""), "", 'Lighting Inventory'!BD227)</f>
        <v/>
      </c>
      <c r="S218" s="187" t="str">
        <f>IF(OR('Lighting Inventory'!G227="", 'Lighting Inventory'!H227=""), "",'Lighting Inventory'!BB227)</f>
        <v/>
      </c>
      <c r="T218" s="67" t="str">
        <f>IF(B218="", "", 'Lighting Inventory'!BE227)</f>
        <v/>
      </c>
      <c r="U218" s="67" t="str">
        <f>IF(B218="", "", 'Lighting Inventory'!BF227)</f>
        <v/>
      </c>
      <c r="BM218" s="186" t="str">
        <f t="shared" si="3"/>
        <v>-</v>
      </c>
    </row>
    <row r="219" spans="1:65" x14ac:dyDescent="0.25">
      <c r="A219" s="189">
        <v>218</v>
      </c>
      <c r="B219" s="186" t="str">
        <f>IF('Lighting Inventory'!F228="", "", 'Lighting Inventory'!F228)</f>
        <v/>
      </c>
      <c r="C219" s="26" t="str">
        <f>IF(B219="", "", CONCATENATE("Area: ", 'Lighting Inventory'!D228, ", ", IF('Lighting Inventory'!C228="", "", "Floor: "), 'Lighting Inventory'!C228))</f>
        <v/>
      </c>
      <c r="D219" s="186" t="str">
        <f>IF(B219="", "", IF('Lighting Inventory'!B228="New Construction",CONCATENATE("Cut Sheet ", 250+'Appendix C'!A219), IF(ISNUMBER(SEARCH("cut sheet", 'Lighting Inventory'!J228)), CONCATENATE("Cut Sheet ", 'Lookup Tables'!AX221), 'Lighting Inventory'!J228)))</f>
        <v/>
      </c>
      <c r="E219" s="26" t="str">
        <f>IF(B219="", "", IF('Lighting Inventory'!B228="New Construction", 1, 'Lighting Inventory'!I228))</f>
        <v/>
      </c>
      <c r="F219" s="26" t="str">
        <f>IF(B219="", "", IF('Lighting Inventory'!B228="New Construction", 'Lighting Inventory'!R228*1000, 'Lighting Inventory'!K228))</f>
        <v/>
      </c>
      <c r="G219" s="26" t="str">
        <f>IF(B219="", "", IF('Lighting Inventory'!M228="", "S_LS", VLOOKUP('Lighting Inventory'!M228, 'Lookup Tables'!$B$142:$D$148, 3, FALSE)))</f>
        <v/>
      </c>
      <c r="H219" s="26" t="str">
        <f>IF(OR('Lighting Inventory'!V228="", 'Lighting Inventory'!W228=""), "", IF('Lighting Inventory'!W228="No Change", 'Lighting Inventory'!J228, CONCATENATE("Cut Sheet ", 'Appendix C'!A219)))</f>
        <v/>
      </c>
      <c r="I219" s="26" t="str">
        <f>IF(H219="", "", IF('Lighting Inventory'!AB228="Yes", "Screw-In", "General"))</f>
        <v/>
      </c>
      <c r="J219" s="26" t="str">
        <f>IF(B219="", "", CONCATENATE('Lighting Inventory'!W228, ", ", 'Lighting Inventory'!AL228, " W"))</f>
        <v/>
      </c>
      <c r="K219" s="26" t="str">
        <f>IF(OR(B219="",'Lighting Inventory'!B228="Retrofit"),"",IF('General Information'!$F$16="Space-by-Space",CONCATENATE('Lighting Inventory'!N228,", ",'Lighting Inventory'!O228," ",'Lighting Inventory'!P228," LPD"," at ",'Lighting Inventory'!Q228,", ",'Lighting Inventory'!R228," kW"),CONCATENATE(B219,", ",'Lighting Inventory'!O228," ",'Lighting Inventory'!P228," LPD"," at ",'Lighting Inventory'!Q228,", ",'Lighting Inventory'!R228," kW")))</f>
        <v/>
      </c>
      <c r="L219" s="26" t="str">
        <f>IF(H219="","",IF('Lighting Inventory'!AK228="","",'Lighting Inventory'!AK228))</f>
        <v/>
      </c>
      <c r="M219" s="26" t="str">
        <f>IF(H219="", "", 'Lighting Inventory'!AL228)</f>
        <v/>
      </c>
      <c r="N219" s="26" t="str">
        <f>IF('Lighting Inventory'!S228="", "", IF('Lighting Inventory'!W228="No Change", 'Lighting Inventory'!I228, 'Lighting Inventory'!S228))</f>
        <v/>
      </c>
      <c r="O219" s="26" t="str">
        <f>IF('Lighting Inventory'!AN228="", "", VLOOKUP('Lighting Inventory'!AN228, 'Lookup Tables'!$B$142:$D$148, 3, FALSE))</f>
        <v/>
      </c>
      <c r="P219" s="66" t="str">
        <f>IF(B219="", "", 'Lighting Inventory'!AX228)</f>
        <v/>
      </c>
      <c r="Q219" s="67" t="str">
        <f>IF(B219="", "", 'Lighting Inventory'!AZ228)</f>
        <v/>
      </c>
      <c r="R219" s="187" t="str">
        <f>IF(OR('Lighting Inventory'!G228="", 'Lighting Inventory'!H228=""), "", 'Lighting Inventory'!BD228)</f>
        <v/>
      </c>
      <c r="S219" s="187" t="str">
        <f>IF(OR('Lighting Inventory'!G228="", 'Lighting Inventory'!H228=""), "",'Lighting Inventory'!BB228)</f>
        <v/>
      </c>
      <c r="T219" s="67" t="str">
        <f>IF(B219="", "", 'Lighting Inventory'!BE228)</f>
        <v/>
      </c>
      <c r="U219" s="67" t="str">
        <f>IF(B219="", "", 'Lighting Inventory'!BF228)</f>
        <v/>
      </c>
      <c r="BM219" s="186" t="str">
        <f t="shared" si="3"/>
        <v>-</v>
      </c>
    </row>
    <row r="220" spans="1:65" x14ac:dyDescent="0.25">
      <c r="A220" s="189">
        <v>219</v>
      </c>
      <c r="B220" s="186" t="str">
        <f>IF('Lighting Inventory'!F229="", "", 'Lighting Inventory'!F229)</f>
        <v/>
      </c>
      <c r="C220" s="26" t="str">
        <f>IF(B220="", "", CONCATENATE("Area: ", 'Lighting Inventory'!D229, ", ", IF('Lighting Inventory'!C229="", "", "Floor: "), 'Lighting Inventory'!C229))</f>
        <v/>
      </c>
      <c r="D220" s="186" t="str">
        <f>IF(B220="", "", IF('Lighting Inventory'!B229="New Construction",CONCATENATE("Cut Sheet ", 250+'Appendix C'!A220), IF(ISNUMBER(SEARCH("cut sheet", 'Lighting Inventory'!J229)), CONCATENATE("Cut Sheet ", 'Lookup Tables'!AX222), 'Lighting Inventory'!J229)))</f>
        <v/>
      </c>
      <c r="E220" s="26" t="str">
        <f>IF(B220="", "", IF('Lighting Inventory'!B229="New Construction", 1, 'Lighting Inventory'!I229))</f>
        <v/>
      </c>
      <c r="F220" s="26" t="str">
        <f>IF(B220="", "", IF('Lighting Inventory'!B229="New Construction", 'Lighting Inventory'!R229*1000, 'Lighting Inventory'!K229))</f>
        <v/>
      </c>
      <c r="G220" s="26" t="str">
        <f>IF(B220="", "", IF('Lighting Inventory'!M229="", "S_LS", VLOOKUP('Lighting Inventory'!M229, 'Lookup Tables'!$B$142:$D$148, 3, FALSE)))</f>
        <v/>
      </c>
      <c r="H220" s="26" t="str">
        <f>IF(OR('Lighting Inventory'!V229="", 'Lighting Inventory'!W229=""), "", IF('Lighting Inventory'!W229="No Change", 'Lighting Inventory'!J229, CONCATENATE("Cut Sheet ", 'Appendix C'!A220)))</f>
        <v/>
      </c>
      <c r="I220" s="26" t="str">
        <f>IF(H220="", "", IF('Lighting Inventory'!AB229="Yes", "Screw-In", "General"))</f>
        <v/>
      </c>
      <c r="J220" s="26" t="str">
        <f>IF(B220="", "", CONCATENATE('Lighting Inventory'!W229, ", ", 'Lighting Inventory'!AL229, " W"))</f>
        <v/>
      </c>
      <c r="K220" s="26" t="str">
        <f>IF(OR(B220="",'Lighting Inventory'!B229="Retrofit"),"",IF('General Information'!$F$16="Space-by-Space",CONCATENATE('Lighting Inventory'!N229,", ",'Lighting Inventory'!O229," ",'Lighting Inventory'!P229," LPD"," at ",'Lighting Inventory'!Q229,", ",'Lighting Inventory'!R229," kW"),CONCATENATE(B220,", ",'Lighting Inventory'!O229," ",'Lighting Inventory'!P229," LPD"," at ",'Lighting Inventory'!Q229,", ",'Lighting Inventory'!R229," kW")))</f>
        <v/>
      </c>
      <c r="L220" s="26" t="str">
        <f>IF(H220="","",IF('Lighting Inventory'!AK229="","",'Lighting Inventory'!AK229))</f>
        <v/>
      </c>
      <c r="M220" s="26" t="str">
        <f>IF(H220="", "", 'Lighting Inventory'!AL229)</f>
        <v/>
      </c>
      <c r="N220" s="26" t="str">
        <f>IF('Lighting Inventory'!S229="", "", IF('Lighting Inventory'!W229="No Change", 'Lighting Inventory'!I229, 'Lighting Inventory'!S229))</f>
        <v/>
      </c>
      <c r="O220" s="26" t="str">
        <f>IF('Lighting Inventory'!AN229="", "", VLOOKUP('Lighting Inventory'!AN229, 'Lookup Tables'!$B$142:$D$148, 3, FALSE))</f>
        <v/>
      </c>
      <c r="P220" s="66" t="str">
        <f>IF(B220="", "", 'Lighting Inventory'!AX229)</f>
        <v/>
      </c>
      <c r="Q220" s="67" t="str">
        <f>IF(B220="", "", 'Lighting Inventory'!AZ229)</f>
        <v/>
      </c>
      <c r="R220" s="187" t="str">
        <f>IF(OR('Lighting Inventory'!G229="", 'Lighting Inventory'!H229=""), "", 'Lighting Inventory'!BD229)</f>
        <v/>
      </c>
      <c r="S220" s="187" t="str">
        <f>IF(OR('Lighting Inventory'!G229="", 'Lighting Inventory'!H229=""), "",'Lighting Inventory'!BB229)</f>
        <v/>
      </c>
      <c r="T220" s="67" t="str">
        <f>IF(B220="", "", 'Lighting Inventory'!BE229)</f>
        <v/>
      </c>
      <c r="U220" s="67" t="str">
        <f>IF(B220="", "", 'Lighting Inventory'!BF229)</f>
        <v/>
      </c>
      <c r="BM220" s="186" t="str">
        <f t="shared" si="3"/>
        <v>-</v>
      </c>
    </row>
    <row r="221" spans="1:65" x14ac:dyDescent="0.25">
      <c r="A221" s="189">
        <v>220</v>
      </c>
      <c r="B221" s="186" t="str">
        <f>IF('Lighting Inventory'!F230="", "", 'Lighting Inventory'!F230)</f>
        <v/>
      </c>
      <c r="C221" s="26" t="str">
        <f>IF(B221="", "", CONCATENATE("Area: ", 'Lighting Inventory'!D230, ", ", IF('Lighting Inventory'!C230="", "", "Floor: "), 'Lighting Inventory'!C230))</f>
        <v/>
      </c>
      <c r="D221" s="186" t="str">
        <f>IF(B221="", "", IF('Lighting Inventory'!B230="New Construction",CONCATENATE("Cut Sheet ", 250+'Appendix C'!A221), IF(ISNUMBER(SEARCH("cut sheet", 'Lighting Inventory'!J230)), CONCATENATE("Cut Sheet ", 'Lookup Tables'!AX223), 'Lighting Inventory'!J230)))</f>
        <v/>
      </c>
      <c r="E221" s="26" t="str">
        <f>IF(B221="", "", IF('Lighting Inventory'!B230="New Construction", 1, 'Lighting Inventory'!I230))</f>
        <v/>
      </c>
      <c r="F221" s="26" t="str">
        <f>IF(B221="", "", IF('Lighting Inventory'!B230="New Construction", 'Lighting Inventory'!R230*1000, 'Lighting Inventory'!K230))</f>
        <v/>
      </c>
      <c r="G221" s="26" t="str">
        <f>IF(B221="", "", IF('Lighting Inventory'!M230="", "S_LS", VLOOKUP('Lighting Inventory'!M230, 'Lookup Tables'!$B$142:$D$148, 3, FALSE)))</f>
        <v/>
      </c>
      <c r="H221" s="26" t="str">
        <f>IF(OR('Lighting Inventory'!V230="", 'Lighting Inventory'!W230=""), "", IF('Lighting Inventory'!W230="No Change", 'Lighting Inventory'!J230, CONCATENATE("Cut Sheet ", 'Appendix C'!A221)))</f>
        <v/>
      </c>
      <c r="I221" s="26" t="str">
        <f>IF(H221="", "", IF('Lighting Inventory'!AB230="Yes", "Screw-In", "General"))</f>
        <v/>
      </c>
      <c r="J221" s="26" t="str">
        <f>IF(B221="", "", CONCATENATE('Lighting Inventory'!W230, ", ", 'Lighting Inventory'!AL230, " W"))</f>
        <v/>
      </c>
      <c r="K221" s="26" t="str">
        <f>IF(OR(B221="",'Lighting Inventory'!B230="Retrofit"),"",IF('General Information'!$F$16="Space-by-Space",CONCATENATE('Lighting Inventory'!N230,", ",'Lighting Inventory'!O230," ",'Lighting Inventory'!P230," LPD"," at ",'Lighting Inventory'!Q230,", ",'Lighting Inventory'!R230," kW"),CONCATENATE(B221,", ",'Lighting Inventory'!O230," ",'Lighting Inventory'!P230," LPD"," at ",'Lighting Inventory'!Q230,", ",'Lighting Inventory'!R230," kW")))</f>
        <v/>
      </c>
      <c r="L221" s="26" t="str">
        <f>IF(H221="","",IF('Lighting Inventory'!AK230="","",'Lighting Inventory'!AK230))</f>
        <v/>
      </c>
      <c r="M221" s="26" t="str">
        <f>IF(H221="", "", 'Lighting Inventory'!AL230)</f>
        <v/>
      </c>
      <c r="N221" s="26" t="str">
        <f>IF('Lighting Inventory'!S230="", "", IF('Lighting Inventory'!W230="No Change", 'Lighting Inventory'!I230, 'Lighting Inventory'!S230))</f>
        <v/>
      </c>
      <c r="O221" s="26" t="str">
        <f>IF('Lighting Inventory'!AN230="", "", VLOOKUP('Lighting Inventory'!AN230, 'Lookup Tables'!$B$142:$D$148, 3, FALSE))</f>
        <v/>
      </c>
      <c r="P221" s="66" t="str">
        <f>IF(B221="", "", 'Lighting Inventory'!AX230)</f>
        <v/>
      </c>
      <c r="Q221" s="67" t="str">
        <f>IF(B221="", "", 'Lighting Inventory'!AZ230)</f>
        <v/>
      </c>
      <c r="R221" s="187" t="str">
        <f>IF(OR('Lighting Inventory'!G230="", 'Lighting Inventory'!H230=""), "", 'Lighting Inventory'!BD230)</f>
        <v/>
      </c>
      <c r="S221" s="187" t="str">
        <f>IF(OR('Lighting Inventory'!G230="", 'Lighting Inventory'!H230=""), "",'Lighting Inventory'!BB230)</f>
        <v/>
      </c>
      <c r="T221" s="67" t="str">
        <f>IF(B221="", "", 'Lighting Inventory'!BE230)</f>
        <v/>
      </c>
      <c r="U221" s="67" t="str">
        <f>IF(B221="", "", 'Lighting Inventory'!BF230)</f>
        <v/>
      </c>
      <c r="BM221" s="186" t="str">
        <f t="shared" si="3"/>
        <v>-</v>
      </c>
    </row>
    <row r="222" spans="1:65" x14ac:dyDescent="0.25">
      <c r="A222" s="189">
        <v>221</v>
      </c>
      <c r="B222" s="186" t="str">
        <f>IF('Lighting Inventory'!F231="", "", 'Lighting Inventory'!F231)</f>
        <v/>
      </c>
      <c r="C222" s="26" t="str">
        <f>IF(B222="", "", CONCATENATE("Area: ", 'Lighting Inventory'!D231, ", ", IF('Lighting Inventory'!C231="", "", "Floor: "), 'Lighting Inventory'!C231))</f>
        <v/>
      </c>
      <c r="D222" s="186" t="str">
        <f>IF(B222="", "", IF('Lighting Inventory'!B231="New Construction",CONCATENATE("Cut Sheet ", 250+'Appendix C'!A222), IF(ISNUMBER(SEARCH("cut sheet", 'Lighting Inventory'!J231)), CONCATENATE("Cut Sheet ", 'Lookup Tables'!AX224), 'Lighting Inventory'!J231)))</f>
        <v/>
      </c>
      <c r="E222" s="26" t="str">
        <f>IF(B222="", "", IF('Lighting Inventory'!B231="New Construction", 1, 'Lighting Inventory'!I231))</f>
        <v/>
      </c>
      <c r="F222" s="26" t="str">
        <f>IF(B222="", "", IF('Lighting Inventory'!B231="New Construction", 'Lighting Inventory'!R231*1000, 'Lighting Inventory'!K231))</f>
        <v/>
      </c>
      <c r="G222" s="26" t="str">
        <f>IF(B222="", "", IF('Lighting Inventory'!M231="", "S_LS", VLOOKUP('Lighting Inventory'!M231, 'Lookup Tables'!$B$142:$D$148, 3, FALSE)))</f>
        <v/>
      </c>
      <c r="H222" s="26" t="str">
        <f>IF(OR('Lighting Inventory'!V231="", 'Lighting Inventory'!W231=""), "", IF('Lighting Inventory'!W231="No Change", 'Lighting Inventory'!J231, CONCATENATE("Cut Sheet ", 'Appendix C'!A222)))</f>
        <v/>
      </c>
      <c r="I222" s="26" t="str">
        <f>IF(H222="", "", IF('Lighting Inventory'!AB231="Yes", "Screw-In", "General"))</f>
        <v/>
      </c>
      <c r="J222" s="26" t="str">
        <f>IF(B222="", "", CONCATENATE('Lighting Inventory'!W231, ", ", 'Lighting Inventory'!AL231, " W"))</f>
        <v/>
      </c>
      <c r="K222" s="26" t="str">
        <f>IF(OR(B222="",'Lighting Inventory'!B231="Retrofit"),"",IF('General Information'!$F$16="Space-by-Space",CONCATENATE('Lighting Inventory'!N231,", ",'Lighting Inventory'!O231," ",'Lighting Inventory'!P231," LPD"," at ",'Lighting Inventory'!Q231,", ",'Lighting Inventory'!R231," kW"),CONCATENATE(B222,", ",'Lighting Inventory'!O231," ",'Lighting Inventory'!P231," LPD"," at ",'Lighting Inventory'!Q231,", ",'Lighting Inventory'!R231," kW")))</f>
        <v/>
      </c>
      <c r="L222" s="26" t="str">
        <f>IF(H222="","",IF('Lighting Inventory'!AK231="","",'Lighting Inventory'!AK231))</f>
        <v/>
      </c>
      <c r="M222" s="26" t="str">
        <f>IF(H222="", "", 'Lighting Inventory'!AL231)</f>
        <v/>
      </c>
      <c r="N222" s="26" t="str">
        <f>IF('Lighting Inventory'!S231="", "", IF('Lighting Inventory'!W231="No Change", 'Lighting Inventory'!I231, 'Lighting Inventory'!S231))</f>
        <v/>
      </c>
      <c r="O222" s="26" t="str">
        <f>IF('Lighting Inventory'!AN231="", "", VLOOKUP('Lighting Inventory'!AN231, 'Lookup Tables'!$B$142:$D$148, 3, FALSE))</f>
        <v/>
      </c>
      <c r="P222" s="66" t="str">
        <f>IF(B222="", "", 'Lighting Inventory'!AX231)</f>
        <v/>
      </c>
      <c r="Q222" s="67" t="str">
        <f>IF(B222="", "", 'Lighting Inventory'!AZ231)</f>
        <v/>
      </c>
      <c r="R222" s="187" t="str">
        <f>IF(OR('Lighting Inventory'!G231="", 'Lighting Inventory'!H231=""), "", 'Lighting Inventory'!BD231)</f>
        <v/>
      </c>
      <c r="S222" s="187" t="str">
        <f>IF(OR('Lighting Inventory'!G231="", 'Lighting Inventory'!H231=""), "",'Lighting Inventory'!BB231)</f>
        <v/>
      </c>
      <c r="T222" s="67" t="str">
        <f>IF(B222="", "", 'Lighting Inventory'!BE231)</f>
        <v/>
      </c>
      <c r="U222" s="67" t="str">
        <f>IF(B222="", "", 'Lighting Inventory'!BF231)</f>
        <v/>
      </c>
      <c r="BM222" s="186" t="str">
        <f t="shared" si="3"/>
        <v>-</v>
      </c>
    </row>
    <row r="223" spans="1:65" x14ac:dyDescent="0.25">
      <c r="A223" s="189">
        <v>222</v>
      </c>
      <c r="B223" s="186" t="str">
        <f>IF('Lighting Inventory'!F232="", "", 'Lighting Inventory'!F232)</f>
        <v/>
      </c>
      <c r="C223" s="26" t="str">
        <f>IF(B223="", "", CONCATENATE("Area: ", 'Lighting Inventory'!D232, ", ", IF('Lighting Inventory'!C232="", "", "Floor: "), 'Lighting Inventory'!C232))</f>
        <v/>
      </c>
      <c r="D223" s="186" t="str">
        <f>IF(B223="", "", IF('Lighting Inventory'!B232="New Construction",CONCATENATE("Cut Sheet ", 250+'Appendix C'!A223), IF(ISNUMBER(SEARCH("cut sheet", 'Lighting Inventory'!J232)), CONCATENATE("Cut Sheet ", 'Lookup Tables'!AX225), 'Lighting Inventory'!J232)))</f>
        <v/>
      </c>
      <c r="E223" s="26" t="str">
        <f>IF(B223="", "", IF('Lighting Inventory'!B232="New Construction", 1, 'Lighting Inventory'!I232))</f>
        <v/>
      </c>
      <c r="F223" s="26" t="str">
        <f>IF(B223="", "", IF('Lighting Inventory'!B232="New Construction", 'Lighting Inventory'!R232*1000, 'Lighting Inventory'!K232))</f>
        <v/>
      </c>
      <c r="G223" s="26" t="str">
        <f>IF(B223="", "", IF('Lighting Inventory'!M232="", "S_LS", VLOOKUP('Lighting Inventory'!M232, 'Lookup Tables'!$B$142:$D$148, 3, FALSE)))</f>
        <v/>
      </c>
      <c r="H223" s="26" t="str">
        <f>IF(OR('Lighting Inventory'!V232="", 'Lighting Inventory'!W232=""), "", IF('Lighting Inventory'!W232="No Change", 'Lighting Inventory'!J232, CONCATENATE("Cut Sheet ", 'Appendix C'!A223)))</f>
        <v/>
      </c>
      <c r="I223" s="26" t="str">
        <f>IF(H223="", "", IF('Lighting Inventory'!AB232="Yes", "Screw-In", "General"))</f>
        <v/>
      </c>
      <c r="J223" s="26" t="str">
        <f>IF(B223="", "", CONCATENATE('Lighting Inventory'!W232, ", ", 'Lighting Inventory'!AL232, " W"))</f>
        <v/>
      </c>
      <c r="K223" s="26" t="str">
        <f>IF(OR(B223="",'Lighting Inventory'!B232="Retrofit"),"",IF('General Information'!$F$16="Space-by-Space",CONCATENATE('Lighting Inventory'!N232,", ",'Lighting Inventory'!O232," ",'Lighting Inventory'!P232," LPD"," at ",'Lighting Inventory'!Q232,", ",'Lighting Inventory'!R232," kW"),CONCATENATE(B223,", ",'Lighting Inventory'!O232," ",'Lighting Inventory'!P232," LPD"," at ",'Lighting Inventory'!Q232,", ",'Lighting Inventory'!R232," kW")))</f>
        <v/>
      </c>
      <c r="L223" s="26" t="str">
        <f>IF(H223="","",IF('Lighting Inventory'!AK232="","",'Lighting Inventory'!AK232))</f>
        <v/>
      </c>
      <c r="M223" s="26" t="str">
        <f>IF(H223="", "", 'Lighting Inventory'!AL232)</f>
        <v/>
      </c>
      <c r="N223" s="26" t="str">
        <f>IF('Lighting Inventory'!S232="", "", IF('Lighting Inventory'!W232="No Change", 'Lighting Inventory'!I232, 'Lighting Inventory'!S232))</f>
        <v/>
      </c>
      <c r="O223" s="26" t="str">
        <f>IF('Lighting Inventory'!AN232="", "", VLOOKUP('Lighting Inventory'!AN232, 'Lookup Tables'!$B$142:$D$148, 3, FALSE))</f>
        <v/>
      </c>
      <c r="P223" s="66" t="str">
        <f>IF(B223="", "", 'Lighting Inventory'!AX232)</f>
        <v/>
      </c>
      <c r="Q223" s="67" t="str">
        <f>IF(B223="", "", 'Lighting Inventory'!AZ232)</f>
        <v/>
      </c>
      <c r="R223" s="187" t="str">
        <f>IF(OR('Lighting Inventory'!G232="", 'Lighting Inventory'!H232=""), "", 'Lighting Inventory'!BD232)</f>
        <v/>
      </c>
      <c r="S223" s="187" t="str">
        <f>IF(OR('Lighting Inventory'!G232="", 'Lighting Inventory'!H232=""), "",'Lighting Inventory'!BB232)</f>
        <v/>
      </c>
      <c r="T223" s="67" t="str">
        <f>IF(B223="", "", 'Lighting Inventory'!BE232)</f>
        <v/>
      </c>
      <c r="U223" s="67" t="str">
        <f>IF(B223="", "", 'Lighting Inventory'!BF232)</f>
        <v/>
      </c>
      <c r="BM223" s="186" t="str">
        <f t="shared" si="3"/>
        <v>-</v>
      </c>
    </row>
    <row r="224" spans="1:65" x14ac:dyDescent="0.25">
      <c r="A224" s="189">
        <v>223</v>
      </c>
      <c r="B224" s="186" t="str">
        <f>IF('Lighting Inventory'!F233="", "", 'Lighting Inventory'!F233)</f>
        <v/>
      </c>
      <c r="C224" s="26" t="str">
        <f>IF(B224="", "", CONCATENATE("Area: ", 'Lighting Inventory'!D233, ", ", IF('Lighting Inventory'!C233="", "", "Floor: "), 'Lighting Inventory'!C233))</f>
        <v/>
      </c>
      <c r="D224" s="186" t="str">
        <f>IF(B224="", "", IF('Lighting Inventory'!B233="New Construction",CONCATENATE("Cut Sheet ", 250+'Appendix C'!A224), IF(ISNUMBER(SEARCH("cut sheet", 'Lighting Inventory'!J233)), CONCATENATE("Cut Sheet ", 'Lookup Tables'!AX226), 'Lighting Inventory'!J233)))</f>
        <v/>
      </c>
      <c r="E224" s="26" t="str">
        <f>IF(B224="", "", IF('Lighting Inventory'!B233="New Construction", 1, 'Lighting Inventory'!I233))</f>
        <v/>
      </c>
      <c r="F224" s="26" t="str">
        <f>IF(B224="", "", IF('Lighting Inventory'!B233="New Construction", 'Lighting Inventory'!R233*1000, 'Lighting Inventory'!K233))</f>
        <v/>
      </c>
      <c r="G224" s="26" t="str">
        <f>IF(B224="", "", IF('Lighting Inventory'!M233="", "S_LS", VLOOKUP('Lighting Inventory'!M233, 'Lookup Tables'!$B$142:$D$148, 3, FALSE)))</f>
        <v/>
      </c>
      <c r="H224" s="26" t="str">
        <f>IF(OR('Lighting Inventory'!V233="", 'Lighting Inventory'!W233=""), "", IF('Lighting Inventory'!W233="No Change", 'Lighting Inventory'!J233, CONCATENATE("Cut Sheet ", 'Appendix C'!A224)))</f>
        <v/>
      </c>
      <c r="I224" s="26" t="str">
        <f>IF(H224="", "", IF('Lighting Inventory'!AB233="Yes", "Screw-In", "General"))</f>
        <v/>
      </c>
      <c r="J224" s="26" t="str">
        <f>IF(B224="", "", CONCATENATE('Lighting Inventory'!W233, ", ", 'Lighting Inventory'!AL233, " W"))</f>
        <v/>
      </c>
      <c r="K224" s="26" t="str">
        <f>IF(OR(B224="",'Lighting Inventory'!B233="Retrofit"),"",IF('General Information'!$F$16="Space-by-Space",CONCATENATE('Lighting Inventory'!N233,", ",'Lighting Inventory'!O233," ",'Lighting Inventory'!P233," LPD"," at ",'Lighting Inventory'!Q233,", ",'Lighting Inventory'!R233," kW"),CONCATENATE(B224,", ",'Lighting Inventory'!O233," ",'Lighting Inventory'!P233," LPD"," at ",'Lighting Inventory'!Q233,", ",'Lighting Inventory'!R233," kW")))</f>
        <v/>
      </c>
      <c r="L224" s="26" t="str">
        <f>IF(H224="","",IF('Lighting Inventory'!AK233="","",'Lighting Inventory'!AK233))</f>
        <v/>
      </c>
      <c r="M224" s="26" t="str">
        <f>IF(H224="", "", 'Lighting Inventory'!AL233)</f>
        <v/>
      </c>
      <c r="N224" s="26" t="str">
        <f>IF('Lighting Inventory'!S233="", "", IF('Lighting Inventory'!W233="No Change", 'Lighting Inventory'!I233, 'Lighting Inventory'!S233))</f>
        <v/>
      </c>
      <c r="O224" s="26" t="str">
        <f>IF('Lighting Inventory'!AN233="", "", VLOOKUP('Lighting Inventory'!AN233, 'Lookup Tables'!$B$142:$D$148, 3, FALSE))</f>
        <v/>
      </c>
      <c r="P224" s="66" t="str">
        <f>IF(B224="", "", 'Lighting Inventory'!AX233)</f>
        <v/>
      </c>
      <c r="Q224" s="67" t="str">
        <f>IF(B224="", "", 'Lighting Inventory'!AZ233)</f>
        <v/>
      </c>
      <c r="R224" s="187" t="str">
        <f>IF(OR('Lighting Inventory'!G233="", 'Lighting Inventory'!H233=""), "", 'Lighting Inventory'!BD233)</f>
        <v/>
      </c>
      <c r="S224" s="187" t="str">
        <f>IF(OR('Lighting Inventory'!G233="", 'Lighting Inventory'!H233=""), "",'Lighting Inventory'!BB233)</f>
        <v/>
      </c>
      <c r="T224" s="67" t="str">
        <f>IF(B224="", "", 'Lighting Inventory'!BE233)</f>
        <v/>
      </c>
      <c r="U224" s="67" t="str">
        <f>IF(B224="", "", 'Lighting Inventory'!BF233)</f>
        <v/>
      </c>
      <c r="BM224" s="186" t="str">
        <f t="shared" si="3"/>
        <v>-</v>
      </c>
    </row>
    <row r="225" spans="1:65" x14ac:dyDescent="0.25">
      <c r="A225" s="189">
        <v>224</v>
      </c>
      <c r="B225" s="186" t="str">
        <f>IF('Lighting Inventory'!F234="", "", 'Lighting Inventory'!F234)</f>
        <v/>
      </c>
      <c r="C225" s="26" t="str">
        <f>IF(B225="", "", CONCATENATE("Area: ", 'Lighting Inventory'!D234, ", ", IF('Lighting Inventory'!C234="", "", "Floor: "), 'Lighting Inventory'!C234))</f>
        <v/>
      </c>
      <c r="D225" s="186" t="str">
        <f>IF(B225="", "", IF('Lighting Inventory'!B234="New Construction",CONCATENATE("Cut Sheet ", 250+'Appendix C'!A225), IF(ISNUMBER(SEARCH("cut sheet", 'Lighting Inventory'!J234)), CONCATENATE("Cut Sheet ", 'Lookup Tables'!AX227), 'Lighting Inventory'!J234)))</f>
        <v/>
      </c>
      <c r="E225" s="26" t="str">
        <f>IF(B225="", "", IF('Lighting Inventory'!B234="New Construction", 1, 'Lighting Inventory'!I234))</f>
        <v/>
      </c>
      <c r="F225" s="26" t="str">
        <f>IF(B225="", "", IF('Lighting Inventory'!B234="New Construction", 'Lighting Inventory'!R234*1000, 'Lighting Inventory'!K234))</f>
        <v/>
      </c>
      <c r="G225" s="26" t="str">
        <f>IF(B225="", "", IF('Lighting Inventory'!M234="", "S_LS", VLOOKUP('Lighting Inventory'!M234, 'Lookup Tables'!$B$142:$D$148, 3, FALSE)))</f>
        <v/>
      </c>
      <c r="H225" s="26" t="str">
        <f>IF(OR('Lighting Inventory'!V234="", 'Lighting Inventory'!W234=""), "", IF('Lighting Inventory'!W234="No Change", 'Lighting Inventory'!J234, CONCATENATE("Cut Sheet ", 'Appendix C'!A225)))</f>
        <v/>
      </c>
      <c r="I225" s="26" t="str">
        <f>IF(H225="", "", IF('Lighting Inventory'!AB234="Yes", "Screw-In", "General"))</f>
        <v/>
      </c>
      <c r="J225" s="26" t="str">
        <f>IF(B225="", "", CONCATENATE('Lighting Inventory'!W234, ", ", 'Lighting Inventory'!AL234, " W"))</f>
        <v/>
      </c>
      <c r="K225" s="26" t="str">
        <f>IF(OR(B225="",'Lighting Inventory'!B234="Retrofit"),"",IF('General Information'!$F$16="Space-by-Space",CONCATENATE('Lighting Inventory'!N234,", ",'Lighting Inventory'!O234," ",'Lighting Inventory'!P234," LPD"," at ",'Lighting Inventory'!Q234,", ",'Lighting Inventory'!R234," kW"),CONCATENATE(B225,", ",'Lighting Inventory'!O234," ",'Lighting Inventory'!P234," LPD"," at ",'Lighting Inventory'!Q234,", ",'Lighting Inventory'!R234," kW")))</f>
        <v/>
      </c>
      <c r="L225" s="26" t="str">
        <f>IF(H225="","",IF('Lighting Inventory'!AK234="","",'Lighting Inventory'!AK234))</f>
        <v/>
      </c>
      <c r="M225" s="26" t="str">
        <f>IF(H225="", "", 'Lighting Inventory'!AL234)</f>
        <v/>
      </c>
      <c r="N225" s="26" t="str">
        <f>IF('Lighting Inventory'!S234="", "", IF('Lighting Inventory'!W234="No Change", 'Lighting Inventory'!I234, 'Lighting Inventory'!S234))</f>
        <v/>
      </c>
      <c r="O225" s="26" t="str">
        <f>IF('Lighting Inventory'!AN234="", "", VLOOKUP('Lighting Inventory'!AN234, 'Lookup Tables'!$B$142:$D$148, 3, FALSE))</f>
        <v/>
      </c>
      <c r="P225" s="66" t="str">
        <f>IF(B225="", "", 'Lighting Inventory'!AX234)</f>
        <v/>
      </c>
      <c r="Q225" s="67" t="str">
        <f>IF(B225="", "", 'Lighting Inventory'!AZ234)</f>
        <v/>
      </c>
      <c r="R225" s="187" t="str">
        <f>IF(OR('Lighting Inventory'!G234="", 'Lighting Inventory'!H234=""), "", 'Lighting Inventory'!BD234)</f>
        <v/>
      </c>
      <c r="S225" s="187" t="str">
        <f>IF(OR('Lighting Inventory'!G234="", 'Lighting Inventory'!H234=""), "",'Lighting Inventory'!BB234)</f>
        <v/>
      </c>
      <c r="T225" s="67" t="str">
        <f>IF(B225="", "", 'Lighting Inventory'!BE234)</f>
        <v/>
      </c>
      <c r="U225" s="67" t="str">
        <f>IF(B225="", "", 'Lighting Inventory'!BF234)</f>
        <v/>
      </c>
      <c r="BM225" s="186" t="str">
        <f t="shared" si="3"/>
        <v>-</v>
      </c>
    </row>
    <row r="226" spans="1:65" x14ac:dyDescent="0.25">
      <c r="A226" s="189">
        <v>225</v>
      </c>
      <c r="B226" s="186" t="str">
        <f>IF('Lighting Inventory'!F235="", "", 'Lighting Inventory'!F235)</f>
        <v/>
      </c>
      <c r="C226" s="26" t="str">
        <f>IF(B226="", "", CONCATENATE("Area: ", 'Lighting Inventory'!D235, ", ", IF('Lighting Inventory'!C235="", "", "Floor: "), 'Lighting Inventory'!C235))</f>
        <v/>
      </c>
      <c r="D226" s="186" t="str">
        <f>IF(B226="", "", IF('Lighting Inventory'!B235="New Construction",CONCATENATE("Cut Sheet ", 250+'Appendix C'!A226), IF(ISNUMBER(SEARCH("cut sheet", 'Lighting Inventory'!J235)), CONCATENATE("Cut Sheet ", 'Lookup Tables'!AX228), 'Lighting Inventory'!J235)))</f>
        <v/>
      </c>
      <c r="E226" s="26" t="str">
        <f>IF(B226="", "", IF('Lighting Inventory'!B235="New Construction", 1, 'Lighting Inventory'!I235))</f>
        <v/>
      </c>
      <c r="F226" s="26" t="str">
        <f>IF(B226="", "", IF('Lighting Inventory'!B235="New Construction", 'Lighting Inventory'!R235*1000, 'Lighting Inventory'!K235))</f>
        <v/>
      </c>
      <c r="G226" s="26" t="str">
        <f>IF(B226="", "", IF('Lighting Inventory'!M235="", "S_LS", VLOOKUP('Lighting Inventory'!M235, 'Lookup Tables'!$B$142:$D$148, 3, FALSE)))</f>
        <v/>
      </c>
      <c r="H226" s="26" t="str">
        <f>IF(OR('Lighting Inventory'!V235="", 'Lighting Inventory'!W235=""), "", IF('Lighting Inventory'!W235="No Change", 'Lighting Inventory'!J235, CONCATENATE("Cut Sheet ", 'Appendix C'!A226)))</f>
        <v/>
      </c>
      <c r="I226" s="26" t="str">
        <f>IF(H226="", "", IF('Lighting Inventory'!AB235="Yes", "Screw-In", "General"))</f>
        <v/>
      </c>
      <c r="J226" s="26" t="str">
        <f>IF(B226="", "", CONCATENATE('Lighting Inventory'!W235, ", ", 'Lighting Inventory'!AL235, " W"))</f>
        <v/>
      </c>
      <c r="K226" s="26" t="str">
        <f>IF(OR(B226="",'Lighting Inventory'!B235="Retrofit"),"",IF('General Information'!$F$16="Space-by-Space",CONCATENATE('Lighting Inventory'!N235,", ",'Lighting Inventory'!O235," ",'Lighting Inventory'!P235," LPD"," at ",'Lighting Inventory'!Q235,", ",'Lighting Inventory'!R235," kW"),CONCATENATE(B226,", ",'Lighting Inventory'!O235," ",'Lighting Inventory'!P235," LPD"," at ",'Lighting Inventory'!Q235,", ",'Lighting Inventory'!R235," kW")))</f>
        <v/>
      </c>
      <c r="L226" s="26" t="str">
        <f>IF(H226="","",IF('Lighting Inventory'!AK235="","",'Lighting Inventory'!AK235))</f>
        <v/>
      </c>
      <c r="M226" s="26" t="str">
        <f>IF(H226="", "", 'Lighting Inventory'!AL235)</f>
        <v/>
      </c>
      <c r="N226" s="26" t="str">
        <f>IF('Lighting Inventory'!S235="", "", IF('Lighting Inventory'!W235="No Change", 'Lighting Inventory'!I235, 'Lighting Inventory'!S235))</f>
        <v/>
      </c>
      <c r="O226" s="26" t="str">
        <f>IF('Lighting Inventory'!AN235="", "", VLOOKUP('Lighting Inventory'!AN235, 'Lookup Tables'!$B$142:$D$148, 3, FALSE))</f>
        <v/>
      </c>
      <c r="P226" s="66" t="str">
        <f>IF(B226="", "", 'Lighting Inventory'!AX235)</f>
        <v/>
      </c>
      <c r="Q226" s="67" t="str">
        <f>IF(B226="", "", 'Lighting Inventory'!AZ235)</f>
        <v/>
      </c>
      <c r="R226" s="187" t="str">
        <f>IF(OR('Lighting Inventory'!G235="", 'Lighting Inventory'!H235=""), "", 'Lighting Inventory'!BD235)</f>
        <v/>
      </c>
      <c r="S226" s="187" t="str">
        <f>IF(OR('Lighting Inventory'!G235="", 'Lighting Inventory'!H235=""), "",'Lighting Inventory'!BB235)</f>
        <v/>
      </c>
      <c r="T226" s="67" t="str">
        <f>IF(B226="", "", 'Lighting Inventory'!BE235)</f>
        <v/>
      </c>
      <c r="U226" s="67" t="str">
        <f>IF(B226="", "", 'Lighting Inventory'!BF235)</f>
        <v/>
      </c>
      <c r="BM226" s="186" t="str">
        <f t="shared" si="3"/>
        <v>-</v>
      </c>
    </row>
    <row r="227" spans="1:65" x14ac:dyDescent="0.25">
      <c r="A227" s="189">
        <v>226</v>
      </c>
      <c r="B227" s="186" t="str">
        <f>IF('Lighting Inventory'!F236="", "", 'Lighting Inventory'!F236)</f>
        <v/>
      </c>
      <c r="C227" s="26" t="str">
        <f>IF(B227="", "", CONCATENATE("Area: ", 'Lighting Inventory'!D236, ", ", IF('Lighting Inventory'!C236="", "", "Floor: "), 'Lighting Inventory'!C236))</f>
        <v/>
      </c>
      <c r="D227" s="186" t="str">
        <f>IF(B227="", "", IF('Lighting Inventory'!B236="New Construction",CONCATENATE("Cut Sheet ", 250+'Appendix C'!A227), IF(ISNUMBER(SEARCH("cut sheet", 'Lighting Inventory'!J236)), CONCATENATE("Cut Sheet ", 'Lookup Tables'!AX229), 'Lighting Inventory'!J236)))</f>
        <v/>
      </c>
      <c r="E227" s="26" t="str">
        <f>IF(B227="", "", IF('Lighting Inventory'!B236="New Construction", 1, 'Lighting Inventory'!I236))</f>
        <v/>
      </c>
      <c r="F227" s="26" t="str">
        <f>IF(B227="", "", IF('Lighting Inventory'!B236="New Construction", 'Lighting Inventory'!R236*1000, 'Lighting Inventory'!K236))</f>
        <v/>
      </c>
      <c r="G227" s="26" t="str">
        <f>IF(B227="", "", IF('Lighting Inventory'!M236="", "S_LS", VLOOKUP('Lighting Inventory'!M236, 'Lookup Tables'!$B$142:$D$148, 3, FALSE)))</f>
        <v/>
      </c>
      <c r="H227" s="26" t="str">
        <f>IF(OR('Lighting Inventory'!V236="", 'Lighting Inventory'!W236=""), "", IF('Lighting Inventory'!W236="No Change", 'Lighting Inventory'!J236, CONCATENATE("Cut Sheet ", 'Appendix C'!A227)))</f>
        <v/>
      </c>
      <c r="I227" s="26" t="str">
        <f>IF(H227="", "", IF('Lighting Inventory'!AB236="Yes", "Screw-In", "General"))</f>
        <v/>
      </c>
      <c r="J227" s="26" t="str">
        <f>IF(B227="", "", CONCATENATE('Lighting Inventory'!W236, ", ", 'Lighting Inventory'!AL236, " W"))</f>
        <v/>
      </c>
      <c r="K227" s="26" t="str">
        <f>IF(OR(B227="",'Lighting Inventory'!B236="Retrofit"),"",IF('General Information'!$F$16="Space-by-Space",CONCATENATE('Lighting Inventory'!N236,", ",'Lighting Inventory'!O236," ",'Lighting Inventory'!P236," LPD"," at ",'Lighting Inventory'!Q236,", ",'Lighting Inventory'!R236," kW"),CONCATENATE(B227,", ",'Lighting Inventory'!O236," ",'Lighting Inventory'!P236," LPD"," at ",'Lighting Inventory'!Q236,", ",'Lighting Inventory'!R236," kW")))</f>
        <v/>
      </c>
      <c r="L227" s="26" t="str">
        <f>IF(H227="","",IF('Lighting Inventory'!AK236="","",'Lighting Inventory'!AK236))</f>
        <v/>
      </c>
      <c r="M227" s="26" t="str">
        <f>IF(H227="", "", 'Lighting Inventory'!AL236)</f>
        <v/>
      </c>
      <c r="N227" s="26" t="str">
        <f>IF('Lighting Inventory'!S236="", "", IF('Lighting Inventory'!W236="No Change", 'Lighting Inventory'!I236, 'Lighting Inventory'!S236))</f>
        <v/>
      </c>
      <c r="O227" s="26" t="str">
        <f>IF('Lighting Inventory'!AN236="", "", VLOOKUP('Lighting Inventory'!AN236, 'Lookup Tables'!$B$142:$D$148, 3, FALSE))</f>
        <v/>
      </c>
      <c r="P227" s="66" t="str">
        <f>IF(B227="", "", 'Lighting Inventory'!AX236)</f>
        <v/>
      </c>
      <c r="Q227" s="67" t="str">
        <f>IF(B227="", "", 'Lighting Inventory'!AZ236)</f>
        <v/>
      </c>
      <c r="R227" s="187" t="str">
        <f>IF(OR('Lighting Inventory'!G236="", 'Lighting Inventory'!H236=""), "", 'Lighting Inventory'!BD236)</f>
        <v/>
      </c>
      <c r="S227" s="187" t="str">
        <f>IF(OR('Lighting Inventory'!G236="", 'Lighting Inventory'!H236=""), "",'Lighting Inventory'!BB236)</f>
        <v/>
      </c>
      <c r="T227" s="67" t="str">
        <f>IF(B227="", "", 'Lighting Inventory'!BE236)</f>
        <v/>
      </c>
      <c r="U227" s="67" t="str">
        <f>IF(B227="", "", 'Lighting Inventory'!BF236)</f>
        <v/>
      </c>
      <c r="BM227" s="186" t="str">
        <f t="shared" si="3"/>
        <v>-</v>
      </c>
    </row>
    <row r="228" spans="1:65" x14ac:dyDescent="0.25">
      <c r="A228" s="189">
        <v>227</v>
      </c>
      <c r="B228" s="186" t="str">
        <f>IF('Lighting Inventory'!F237="", "", 'Lighting Inventory'!F237)</f>
        <v/>
      </c>
      <c r="C228" s="26" t="str">
        <f>IF(B228="", "", CONCATENATE("Area: ", 'Lighting Inventory'!D237, ", ", IF('Lighting Inventory'!C237="", "", "Floor: "), 'Lighting Inventory'!C237))</f>
        <v/>
      </c>
      <c r="D228" s="186" t="str">
        <f>IF(B228="", "", IF('Lighting Inventory'!B237="New Construction",CONCATENATE("Cut Sheet ", 250+'Appendix C'!A228), IF(ISNUMBER(SEARCH("cut sheet", 'Lighting Inventory'!J237)), CONCATENATE("Cut Sheet ", 'Lookup Tables'!AX230), 'Lighting Inventory'!J237)))</f>
        <v/>
      </c>
      <c r="E228" s="26" t="str">
        <f>IF(B228="", "", IF('Lighting Inventory'!B237="New Construction", 1, 'Lighting Inventory'!I237))</f>
        <v/>
      </c>
      <c r="F228" s="26" t="str">
        <f>IF(B228="", "", IF('Lighting Inventory'!B237="New Construction", 'Lighting Inventory'!R237*1000, 'Lighting Inventory'!K237))</f>
        <v/>
      </c>
      <c r="G228" s="26" t="str">
        <f>IF(B228="", "", IF('Lighting Inventory'!M237="", "S_LS", VLOOKUP('Lighting Inventory'!M237, 'Lookup Tables'!$B$142:$D$148, 3, FALSE)))</f>
        <v/>
      </c>
      <c r="H228" s="26" t="str">
        <f>IF(OR('Lighting Inventory'!V237="", 'Lighting Inventory'!W237=""), "", IF('Lighting Inventory'!W237="No Change", 'Lighting Inventory'!J237, CONCATENATE("Cut Sheet ", 'Appendix C'!A228)))</f>
        <v/>
      </c>
      <c r="I228" s="26" t="str">
        <f>IF(H228="", "", IF('Lighting Inventory'!AB237="Yes", "Screw-In", "General"))</f>
        <v/>
      </c>
      <c r="J228" s="26" t="str">
        <f>IF(B228="", "", CONCATENATE('Lighting Inventory'!W237, ", ", 'Lighting Inventory'!AL237, " W"))</f>
        <v/>
      </c>
      <c r="K228" s="26" t="str">
        <f>IF(OR(B228="",'Lighting Inventory'!B237="Retrofit"),"",IF('General Information'!$F$16="Space-by-Space",CONCATENATE('Lighting Inventory'!N237,", ",'Lighting Inventory'!O237," ",'Lighting Inventory'!P237," LPD"," at ",'Lighting Inventory'!Q237,", ",'Lighting Inventory'!R237," kW"),CONCATENATE(B228,", ",'Lighting Inventory'!O237," ",'Lighting Inventory'!P237," LPD"," at ",'Lighting Inventory'!Q237,", ",'Lighting Inventory'!R237," kW")))</f>
        <v/>
      </c>
      <c r="L228" s="26" t="str">
        <f>IF(H228="","",IF('Lighting Inventory'!AK237="","",'Lighting Inventory'!AK237))</f>
        <v/>
      </c>
      <c r="M228" s="26" t="str">
        <f>IF(H228="", "", 'Lighting Inventory'!AL237)</f>
        <v/>
      </c>
      <c r="N228" s="26" t="str">
        <f>IF('Lighting Inventory'!S237="", "", IF('Lighting Inventory'!W237="No Change", 'Lighting Inventory'!I237, 'Lighting Inventory'!S237))</f>
        <v/>
      </c>
      <c r="O228" s="26" t="str">
        <f>IF('Lighting Inventory'!AN237="", "", VLOOKUP('Lighting Inventory'!AN237, 'Lookup Tables'!$B$142:$D$148, 3, FALSE))</f>
        <v/>
      </c>
      <c r="P228" s="66" t="str">
        <f>IF(B228="", "", 'Lighting Inventory'!AX237)</f>
        <v/>
      </c>
      <c r="Q228" s="67" t="str">
        <f>IF(B228="", "", 'Lighting Inventory'!AZ237)</f>
        <v/>
      </c>
      <c r="R228" s="187" t="str">
        <f>IF(OR('Lighting Inventory'!G237="", 'Lighting Inventory'!H237=""), "", 'Lighting Inventory'!BD237)</f>
        <v/>
      </c>
      <c r="S228" s="187" t="str">
        <f>IF(OR('Lighting Inventory'!G237="", 'Lighting Inventory'!H237=""), "",'Lighting Inventory'!BB237)</f>
        <v/>
      </c>
      <c r="T228" s="67" t="str">
        <f>IF(B228="", "", 'Lighting Inventory'!BE237)</f>
        <v/>
      </c>
      <c r="U228" s="67" t="str">
        <f>IF(B228="", "", 'Lighting Inventory'!BF237)</f>
        <v/>
      </c>
      <c r="BM228" s="186" t="str">
        <f t="shared" si="3"/>
        <v>-</v>
      </c>
    </row>
    <row r="229" spans="1:65" x14ac:dyDescent="0.25">
      <c r="A229" s="189">
        <v>228</v>
      </c>
      <c r="B229" s="186" t="str">
        <f>IF('Lighting Inventory'!F238="", "", 'Lighting Inventory'!F238)</f>
        <v/>
      </c>
      <c r="C229" s="26" t="str">
        <f>IF(B229="", "", CONCATENATE("Area: ", 'Lighting Inventory'!D238, ", ", IF('Lighting Inventory'!C238="", "", "Floor: "), 'Lighting Inventory'!C238))</f>
        <v/>
      </c>
      <c r="D229" s="186" t="str">
        <f>IF(B229="", "", IF('Lighting Inventory'!B238="New Construction",CONCATENATE("Cut Sheet ", 250+'Appendix C'!A229), IF(ISNUMBER(SEARCH("cut sheet", 'Lighting Inventory'!J238)), CONCATENATE("Cut Sheet ", 'Lookup Tables'!AX231), 'Lighting Inventory'!J238)))</f>
        <v/>
      </c>
      <c r="E229" s="26" t="str">
        <f>IF(B229="", "", IF('Lighting Inventory'!B238="New Construction", 1, 'Lighting Inventory'!I238))</f>
        <v/>
      </c>
      <c r="F229" s="26" t="str">
        <f>IF(B229="", "", IF('Lighting Inventory'!B238="New Construction", 'Lighting Inventory'!R238*1000, 'Lighting Inventory'!K238))</f>
        <v/>
      </c>
      <c r="G229" s="26" t="str">
        <f>IF(B229="", "", IF('Lighting Inventory'!M238="", "S_LS", VLOOKUP('Lighting Inventory'!M238, 'Lookup Tables'!$B$142:$D$148, 3, FALSE)))</f>
        <v/>
      </c>
      <c r="H229" s="26" t="str">
        <f>IF(OR('Lighting Inventory'!V238="", 'Lighting Inventory'!W238=""), "", IF('Lighting Inventory'!W238="No Change", 'Lighting Inventory'!J238, CONCATENATE("Cut Sheet ", 'Appendix C'!A229)))</f>
        <v/>
      </c>
      <c r="I229" s="26" t="str">
        <f>IF(H229="", "", IF('Lighting Inventory'!AB238="Yes", "Screw-In", "General"))</f>
        <v/>
      </c>
      <c r="J229" s="26" t="str">
        <f>IF(B229="", "", CONCATENATE('Lighting Inventory'!W238, ", ", 'Lighting Inventory'!AL238, " W"))</f>
        <v/>
      </c>
      <c r="K229" s="26" t="str">
        <f>IF(OR(B229="",'Lighting Inventory'!B238="Retrofit"),"",IF('General Information'!$F$16="Space-by-Space",CONCATENATE('Lighting Inventory'!N238,", ",'Lighting Inventory'!O238," ",'Lighting Inventory'!P238," LPD"," at ",'Lighting Inventory'!Q238,", ",'Lighting Inventory'!R238," kW"),CONCATENATE(B229,", ",'Lighting Inventory'!O238," ",'Lighting Inventory'!P238," LPD"," at ",'Lighting Inventory'!Q238,", ",'Lighting Inventory'!R238," kW")))</f>
        <v/>
      </c>
      <c r="L229" s="26" t="str">
        <f>IF(H229="","",IF('Lighting Inventory'!AK238="","",'Lighting Inventory'!AK238))</f>
        <v/>
      </c>
      <c r="M229" s="26" t="str">
        <f>IF(H229="", "", 'Lighting Inventory'!AL238)</f>
        <v/>
      </c>
      <c r="N229" s="26" t="str">
        <f>IF('Lighting Inventory'!S238="", "", IF('Lighting Inventory'!W238="No Change", 'Lighting Inventory'!I238, 'Lighting Inventory'!S238))</f>
        <v/>
      </c>
      <c r="O229" s="26" t="str">
        <f>IF('Lighting Inventory'!AN238="", "", VLOOKUP('Lighting Inventory'!AN238, 'Lookup Tables'!$B$142:$D$148, 3, FALSE))</f>
        <v/>
      </c>
      <c r="P229" s="66" t="str">
        <f>IF(B229="", "", 'Lighting Inventory'!AX238)</f>
        <v/>
      </c>
      <c r="Q229" s="67" t="str">
        <f>IF(B229="", "", 'Lighting Inventory'!AZ238)</f>
        <v/>
      </c>
      <c r="R229" s="187" t="str">
        <f>IF(OR('Lighting Inventory'!G238="", 'Lighting Inventory'!H238=""), "", 'Lighting Inventory'!BD238)</f>
        <v/>
      </c>
      <c r="S229" s="187" t="str">
        <f>IF(OR('Lighting Inventory'!G238="", 'Lighting Inventory'!H238=""), "",'Lighting Inventory'!BB238)</f>
        <v/>
      </c>
      <c r="T229" s="67" t="str">
        <f>IF(B229="", "", 'Lighting Inventory'!BE238)</f>
        <v/>
      </c>
      <c r="U229" s="67" t="str">
        <f>IF(B229="", "", 'Lighting Inventory'!BF238)</f>
        <v/>
      </c>
      <c r="BM229" s="186" t="str">
        <f t="shared" si="3"/>
        <v>-</v>
      </c>
    </row>
    <row r="230" spans="1:65" x14ac:dyDescent="0.25">
      <c r="A230" s="189">
        <v>229</v>
      </c>
      <c r="B230" s="186" t="str">
        <f>IF('Lighting Inventory'!F239="", "", 'Lighting Inventory'!F239)</f>
        <v/>
      </c>
      <c r="C230" s="26" t="str">
        <f>IF(B230="", "", CONCATENATE("Area: ", 'Lighting Inventory'!D239, ", ", IF('Lighting Inventory'!C239="", "", "Floor: "), 'Lighting Inventory'!C239))</f>
        <v/>
      </c>
      <c r="D230" s="186" t="str">
        <f>IF(B230="", "", IF('Lighting Inventory'!B239="New Construction",CONCATENATE("Cut Sheet ", 250+'Appendix C'!A230), IF(ISNUMBER(SEARCH("cut sheet", 'Lighting Inventory'!J239)), CONCATENATE("Cut Sheet ", 'Lookup Tables'!AX232), 'Lighting Inventory'!J239)))</f>
        <v/>
      </c>
      <c r="E230" s="26" t="str">
        <f>IF(B230="", "", IF('Lighting Inventory'!B239="New Construction", 1, 'Lighting Inventory'!I239))</f>
        <v/>
      </c>
      <c r="F230" s="26" t="str">
        <f>IF(B230="", "", IF('Lighting Inventory'!B239="New Construction", 'Lighting Inventory'!R239*1000, 'Lighting Inventory'!K239))</f>
        <v/>
      </c>
      <c r="G230" s="26" t="str">
        <f>IF(B230="", "", IF('Lighting Inventory'!M239="", "S_LS", VLOOKUP('Lighting Inventory'!M239, 'Lookup Tables'!$B$142:$D$148, 3, FALSE)))</f>
        <v/>
      </c>
      <c r="H230" s="26" t="str">
        <f>IF(OR('Lighting Inventory'!V239="", 'Lighting Inventory'!W239=""), "", IF('Lighting Inventory'!W239="No Change", 'Lighting Inventory'!J239, CONCATENATE("Cut Sheet ", 'Appendix C'!A230)))</f>
        <v/>
      </c>
      <c r="I230" s="26" t="str">
        <f>IF(H230="", "", IF('Lighting Inventory'!AB239="Yes", "Screw-In", "General"))</f>
        <v/>
      </c>
      <c r="J230" s="26" t="str">
        <f>IF(B230="", "", CONCATENATE('Lighting Inventory'!W239, ", ", 'Lighting Inventory'!AL239, " W"))</f>
        <v/>
      </c>
      <c r="K230" s="26" t="str">
        <f>IF(OR(B230="",'Lighting Inventory'!B239="Retrofit"),"",IF('General Information'!$F$16="Space-by-Space",CONCATENATE('Lighting Inventory'!N239,", ",'Lighting Inventory'!O239," ",'Lighting Inventory'!P239," LPD"," at ",'Lighting Inventory'!Q239,", ",'Lighting Inventory'!R239," kW"),CONCATENATE(B230,", ",'Lighting Inventory'!O239," ",'Lighting Inventory'!P239," LPD"," at ",'Lighting Inventory'!Q239,", ",'Lighting Inventory'!R239," kW")))</f>
        <v/>
      </c>
      <c r="L230" s="26" t="str">
        <f>IF(H230="","",IF('Lighting Inventory'!AK239="","",'Lighting Inventory'!AK239))</f>
        <v/>
      </c>
      <c r="M230" s="26" t="str">
        <f>IF(H230="", "", 'Lighting Inventory'!AL239)</f>
        <v/>
      </c>
      <c r="N230" s="26" t="str">
        <f>IF('Lighting Inventory'!S239="", "", IF('Lighting Inventory'!W239="No Change", 'Lighting Inventory'!I239, 'Lighting Inventory'!S239))</f>
        <v/>
      </c>
      <c r="O230" s="26" t="str">
        <f>IF('Lighting Inventory'!AN239="", "", VLOOKUP('Lighting Inventory'!AN239, 'Lookup Tables'!$B$142:$D$148, 3, FALSE))</f>
        <v/>
      </c>
      <c r="P230" s="66" t="str">
        <f>IF(B230="", "", 'Lighting Inventory'!AX239)</f>
        <v/>
      </c>
      <c r="Q230" s="67" t="str">
        <f>IF(B230="", "", 'Lighting Inventory'!AZ239)</f>
        <v/>
      </c>
      <c r="R230" s="187" t="str">
        <f>IF(OR('Lighting Inventory'!G239="", 'Lighting Inventory'!H239=""), "", 'Lighting Inventory'!BD239)</f>
        <v/>
      </c>
      <c r="S230" s="187" t="str">
        <f>IF(OR('Lighting Inventory'!G239="", 'Lighting Inventory'!H239=""), "",'Lighting Inventory'!BB239)</f>
        <v/>
      </c>
      <c r="T230" s="67" t="str">
        <f>IF(B230="", "", 'Lighting Inventory'!BE239)</f>
        <v/>
      </c>
      <c r="U230" s="67" t="str">
        <f>IF(B230="", "", 'Lighting Inventory'!BF239)</f>
        <v/>
      </c>
      <c r="BM230" s="186" t="str">
        <f t="shared" si="3"/>
        <v>-</v>
      </c>
    </row>
    <row r="231" spans="1:65" x14ac:dyDescent="0.25">
      <c r="A231" s="189">
        <v>230</v>
      </c>
      <c r="B231" s="186" t="str">
        <f>IF('Lighting Inventory'!F240="", "", 'Lighting Inventory'!F240)</f>
        <v/>
      </c>
      <c r="C231" s="26" t="str">
        <f>IF(B231="", "", CONCATENATE("Area: ", 'Lighting Inventory'!D240, ", ", IF('Lighting Inventory'!C240="", "", "Floor: "), 'Lighting Inventory'!C240))</f>
        <v/>
      </c>
      <c r="D231" s="186" t="str">
        <f>IF(B231="", "", IF('Lighting Inventory'!B240="New Construction",CONCATENATE("Cut Sheet ", 250+'Appendix C'!A231), IF(ISNUMBER(SEARCH("cut sheet", 'Lighting Inventory'!J240)), CONCATENATE("Cut Sheet ", 'Lookup Tables'!AX233), 'Lighting Inventory'!J240)))</f>
        <v/>
      </c>
      <c r="E231" s="26" t="str">
        <f>IF(B231="", "", IF('Lighting Inventory'!B240="New Construction", 1, 'Lighting Inventory'!I240))</f>
        <v/>
      </c>
      <c r="F231" s="26" t="str">
        <f>IF(B231="", "", IF('Lighting Inventory'!B240="New Construction", 'Lighting Inventory'!R240*1000, 'Lighting Inventory'!K240))</f>
        <v/>
      </c>
      <c r="G231" s="26" t="str">
        <f>IF(B231="", "", IF('Lighting Inventory'!M240="", "S_LS", VLOOKUP('Lighting Inventory'!M240, 'Lookup Tables'!$B$142:$D$148, 3, FALSE)))</f>
        <v/>
      </c>
      <c r="H231" s="26" t="str">
        <f>IF(OR('Lighting Inventory'!V240="", 'Lighting Inventory'!W240=""), "", IF('Lighting Inventory'!W240="No Change", 'Lighting Inventory'!J240, CONCATENATE("Cut Sheet ", 'Appendix C'!A231)))</f>
        <v/>
      </c>
      <c r="I231" s="26" t="str">
        <f>IF(H231="", "", IF('Lighting Inventory'!AB240="Yes", "Screw-In", "General"))</f>
        <v/>
      </c>
      <c r="J231" s="26" t="str">
        <f>IF(B231="", "", CONCATENATE('Lighting Inventory'!W240, ", ", 'Lighting Inventory'!AL240, " W"))</f>
        <v/>
      </c>
      <c r="K231" s="26" t="str">
        <f>IF(OR(B231="",'Lighting Inventory'!B240="Retrofit"),"",IF('General Information'!$F$16="Space-by-Space",CONCATENATE('Lighting Inventory'!N240,", ",'Lighting Inventory'!O240," ",'Lighting Inventory'!P240," LPD"," at ",'Lighting Inventory'!Q240,", ",'Lighting Inventory'!R240," kW"),CONCATENATE(B231,", ",'Lighting Inventory'!O240," ",'Lighting Inventory'!P240," LPD"," at ",'Lighting Inventory'!Q240,", ",'Lighting Inventory'!R240," kW")))</f>
        <v/>
      </c>
      <c r="L231" s="26" t="str">
        <f>IF(H231="","",IF('Lighting Inventory'!AK240="","",'Lighting Inventory'!AK240))</f>
        <v/>
      </c>
      <c r="M231" s="26" t="str">
        <f>IF(H231="", "", 'Lighting Inventory'!AL240)</f>
        <v/>
      </c>
      <c r="N231" s="26" t="str">
        <f>IF('Lighting Inventory'!S240="", "", IF('Lighting Inventory'!W240="No Change", 'Lighting Inventory'!I240, 'Lighting Inventory'!S240))</f>
        <v/>
      </c>
      <c r="O231" s="26" t="str">
        <f>IF('Lighting Inventory'!AN240="", "", VLOOKUP('Lighting Inventory'!AN240, 'Lookup Tables'!$B$142:$D$148, 3, FALSE))</f>
        <v/>
      </c>
      <c r="P231" s="66" t="str">
        <f>IF(B231="", "", 'Lighting Inventory'!AX240)</f>
        <v/>
      </c>
      <c r="Q231" s="67" t="str">
        <f>IF(B231="", "", 'Lighting Inventory'!AZ240)</f>
        <v/>
      </c>
      <c r="R231" s="187" t="str">
        <f>IF(OR('Lighting Inventory'!G240="", 'Lighting Inventory'!H240=""), "", 'Lighting Inventory'!BD240)</f>
        <v/>
      </c>
      <c r="S231" s="187" t="str">
        <f>IF(OR('Lighting Inventory'!G240="", 'Lighting Inventory'!H240=""), "",'Lighting Inventory'!BB240)</f>
        <v/>
      </c>
      <c r="T231" s="67" t="str">
        <f>IF(B231="", "", 'Lighting Inventory'!BE240)</f>
        <v/>
      </c>
      <c r="U231" s="67" t="str">
        <f>IF(B231="", "", 'Lighting Inventory'!BF240)</f>
        <v/>
      </c>
      <c r="BM231" s="186" t="str">
        <f t="shared" si="3"/>
        <v>-</v>
      </c>
    </row>
    <row r="232" spans="1:65" x14ac:dyDescent="0.25">
      <c r="A232" s="189">
        <v>231</v>
      </c>
      <c r="B232" s="186" t="str">
        <f>IF('Lighting Inventory'!F241="", "", 'Lighting Inventory'!F241)</f>
        <v/>
      </c>
      <c r="C232" s="26" t="str">
        <f>IF(B232="", "", CONCATENATE("Area: ", 'Lighting Inventory'!D241, ", ", IF('Lighting Inventory'!C241="", "", "Floor: "), 'Lighting Inventory'!C241))</f>
        <v/>
      </c>
      <c r="D232" s="186" t="str">
        <f>IF(B232="", "", IF('Lighting Inventory'!B241="New Construction",CONCATENATE("Cut Sheet ", 250+'Appendix C'!A232), IF(ISNUMBER(SEARCH("cut sheet", 'Lighting Inventory'!J241)), CONCATENATE("Cut Sheet ", 'Lookup Tables'!AX234), 'Lighting Inventory'!J241)))</f>
        <v/>
      </c>
      <c r="E232" s="26" t="str">
        <f>IF(B232="", "", IF('Lighting Inventory'!B241="New Construction", 1, 'Lighting Inventory'!I241))</f>
        <v/>
      </c>
      <c r="F232" s="26" t="str">
        <f>IF(B232="", "", IF('Lighting Inventory'!B241="New Construction", 'Lighting Inventory'!R241*1000, 'Lighting Inventory'!K241))</f>
        <v/>
      </c>
      <c r="G232" s="26" t="str">
        <f>IF(B232="", "", IF('Lighting Inventory'!M241="", "S_LS", VLOOKUP('Lighting Inventory'!M241, 'Lookup Tables'!$B$142:$D$148, 3, FALSE)))</f>
        <v/>
      </c>
      <c r="H232" s="26" t="str">
        <f>IF(OR('Lighting Inventory'!V241="", 'Lighting Inventory'!W241=""), "", IF('Lighting Inventory'!W241="No Change", 'Lighting Inventory'!J241, CONCATENATE("Cut Sheet ", 'Appendix C'!A232)))</f>
        <v/>
      </c>
      <c r="I232" s="26" t="str">
        <f>IF(H232="", "", IF('Lighting Inventory'!AB241="Yes", "Screw-In", "General"))</f>
        <v/>
      </c>
      <c r="J232" s="26" t="str">
        <f>IF(B232="", "", CONCATENATE('Lighting Inventory'!W241, ", ", 'Lighting Inventory'!AL241, " W"))</f>
        <v/>
      </c>
      <c r="K232" s="26" t="str">
        <f>IF(OR(B232="",'Lighting Inventory'!B241="Retrofit"),"",IF('General Information'!$F$16="Space-by-Space",CONCATENATE('Lighting Inventory'!N241,", ",'Lighting Inventory'!O241," ",'Lighting Inventory'!P241," LPD"," at ",'Lighting Inventory'!Q241,", ",'Lighting Inventory'!R241," kW"),CONCATENATE(B232,", ",'Lighting Inventory'!O241," ",'Lighting Inventory'!P241," LPD"," at ",'Lighting Inventory'!Q241,", ",'Lighting Inventory'!R241," kW")))</f>
        <v/>
      </c>
      <c r="L232" s="26" t="str">
        <f>IF(H232="","",IF('Lighting Inventory'!AK241="","",'Lighting Inventory'!AK241))</f>
        <v/>
      </c>
      <c r="M232" s="26" t="str">
        <f>IF(H232="", "", 'Lighting Inventory'!AL241)</f>
        <v/>
      </c>
      <c r="N232" s="26" t="str">
        <f>IF('Lighting Inventory'!S241="", "", IF('Lighting Inventory'!W241="No Change", 'Lighting Inventory'!I241, 'Lighting Inventory'!S241))</f>
        <v/>
      </c>
      <c r="O232" s="26" t="str">
        <f>IF('Lighting Inventory'!AN241="", "", VLOOKUP('Lighting Inventory'!AN241, 'Lookup Tables'!$B$142:$D$148, 3, FALSE))</f>
        <v/>
      </c>
      <c r="P232" s="66" t="str">
        <f>IF(B232="", "", 'Lighting Inventory'!AX241)</f>
        <v/>
      </c>
      <c r="Q232" s="67" t="str">
        <f>IF(B232="", "", 'Lighting Inventory'!AZ241)</f>
        <v/>
      </c>
      <c r="R232" s="187" t="str">
        <f>IF(OR('Lighting Inventory'!G241="", 'Lighting Inventory'!H241=""), "", 'Lighting Inventory'!BD241)</f>
        <v/>
      </c>
      <c r="S232" s="187" t="str">
        <f>IF(OR('Lighting Inventory'!G241="", 'Lighting Inventory'!H241=""), "",'Lighting Inventory'!BB241)</f>
        <v/>
      </c>
      <c r="T232" s="67" t="str">
        <f>IF(B232="", "", 'Lighting Inventory'!BE241)</f>
        <v/>
      </c>
      <c r="U232" s="67" t="str">
        <f>IF(B232="", "", 'Lighting Inventory'!BF241)</f>
        <v/>
      </c>
      <c r="BM232" s="186" t="str">
        <f t="shared" si="3"/>
        <v>-</v>
      </c>
    </row>
    <row r="233" spans="1:65" x14ac:dyDescent="0.25">
      <c r="A233" s="189">
        <v>232</v>
      </c>
      <c r="B233" s="186" t="str">
        <f>IF('Lighting Inventory'!F242="", "", 'Lighting Inventory'!F242)</f>
        <v/>
      </c>
      <c r="C233" s="26" t="str">
        <f>IF(B233="", "", CONCATENATE("Area: ", 'Lighting Inventory'!D242, ", ", IF('Lighting Inventory'!C242="", "", "Floor: "), 'Lighting Inventory'!C242))</f>
        <v/>
      </c>
      <c r="D233" s="186" t="str">
        <f>IF(B233="", "", IF('Lighting Inventory'!B242="New Construction",CONCATENATE("Cut Sheet ", 250+'Appendix C'!A233), IF(ISNUMBER(SEARCH("cut sheet", 'Lighting Inventory'!J242)), CONCATENATE("Cut Sheet ", 'Lookup Tables'!AX235), 'Lighting Inventory'!J242)))</f>
        <v/>
      </c>
      <c r="E233" s="26" t="str">
        <f>IF(B233="", "", IF('Lighting Inventory'!B242="New Construction", 1, 'Lighting Inventory'!I242))</f>
        <v/>
      </c>
      <c r="F233" s="26" t="str">
        <f>IF(B233="", "", IF('Lighting Inventory'!B242="New Construction", 'Lighting Inventory'!R242*1000, 'Lighting Inventory'!K242))</f>
        <v/>
      </c>
      <c r="G233" s="26" t="str">
        <f>IF(B233="", "", IF('Lighting Inventory'!M242="", "S_LS", VLOOKUP('Lighting Inventory'!M242, 'Lookup Tables'!$B$142:$D$148, 3, FALSE)))</f>
        <v/>
      </c>
      <c r="H233" s="26" t="str">
        <f>IF(OR('Lighting Inventory'!V242="", 'Lighting Inventory'!W242=""), "", IF('Lighting Inventory'!W242="No Change", 'Lighting Inventory'!J242, CONCATENATE("Cut Sheet ", 'Appendix C'!A233)))</f>
        <v/>
      </c>
      <c r="I233" s="26" t="str">
        <f>IF(H233="", "", IF('Lighting Inventory'!AB242="Yes", "Screw-In", "General"))</f>
        <v/>
      </c>
      <c r="J233" s="26" t="str">
        <f>IF(B233="", "", CONCATENATE('Lighting Inventory'!W242, ", ", 'Lighting Inventory'!AL242, " W"))</f>
        <v/>
      </c>
      <c r="K233" s="26" t="str">
        <f>IF(OR(B233="",'Lighting Inventory'!B242="Retrofit"),"",IF('General Information'!$F$16="Space-by-Space",CONCATENATE('Lighting Inventory'!N242,", ",'Lighting Inventory'!O242," ",'Lighting Inventory'!P242," LPD"," at ",'Lighting Inventory'!Q242,", ",'Lighting Inventory'!R242," kW"),CONCATENATE(B233,", ",'Lighting Inventory'!O242," ",'Lighting Inventory'!P242," LPD"," at ",'Lighting Inventory'!Q242,", ",'Lighting Inventory'!R242," kW")))</f>
        <v/>
      </c>
      <c r="L233" s="26" t="str">
        <f>IF(H233="","",IF('Lighting Inventory'!AK242="","",'Lighting Inventory'!AK242))</f>
        <v/>
      </c>
      <c r="M233" s="26" t="str">
        <f>IF(H233="", "", 'Lighting Inventory'!AL242)</f>
        <v/>
      </c>
      <c r="N233" s="26" t="str">
        <f>IF('Lighting Inventory'!S242="", "", IF('Lighting Inventory'!W242="No Change", 'Lighting Inventory'!I242, 'Lighting Inventory'!S242))</f>
        <v/>
      </c>
      <c r="O233" s="26" t="str">
        <f>IF('Lighting Inventory'!AN242="", "", VLOOKUP('Lighting Inventory'!AN242, 'Lookup Tables'!$B$142:$D$148, 3, FALSE))</f>
        <v/>
      </c>
      <c r="P233" s="66" t="str">
        <f>IF(B233="", "", 'Lighting Inventory'!AX242)</f>
        <v/>
      </c>
      <c r="Q233" s="67" t="str">
        <f>IF(B233="", "", 'Lighting Inventory'!AZ242)</f>
        <v/>
      </c>
      <c r="R233" s="187" t="str">
        <f>IF(OR('Lighting Inventory'!G242="", 'Lighting Inventory'!H242=""), "", 'Lighting Inventory'!BD242)</f>
        <v/>
      </c>
      <c r="S233" s="187" t="str">
        <f>IF(OR('Lighting Inventory'!G242="", 'Lighting Inventory'!H242=""), "",'Lighting Inventory'!BB242)</f>
        <v/>
      </c>
      <c r="T233" s="67" t="str">
        <f>IF(B233="", "", 'Lighting Inventory'!BE242)</f>
        <v/>
      </c>
      <c r="U233" s="67" t="str">
        <f>IF(B233="", "", 'Lighting Inventory'!BF242)</f>
        <v/>
      </c>
      <c r="BM233" s="186" t="str">
        <f t="shared" si="3"/>
        <v>-</v>
      </c>
    </row>
    <row r="234" spans="1:65" x14ac:dyDescent="0.25">
      <c r="A234" s="189">
        <v>233</v>
      </c>
      <c r="B234" s="186" t="str">
        <f>IF('Lighting Inventory'!F243="", "", 'Lighting Inventory'!F243)</f>
        <v/>
      </c>
      <c r="C234" s="26" t="str">
        <f>IF(B234="", "", CONCATENATE("Area: ", 'Lighting Inventory'!D243, ", ", IF('Lighting Inventory'!C243="", "", "Floor: "), 'Lighting Inventory'!C243))</f>
        <v/>
      </c>
      <c r="D234" s="186" t="str">
        <f>IF(B234="", "", IF('Lighting Inventory'!B243="New Construction",CONCATENATE("Cut Sheet ", 250+'Appendix C'!A234), IF(ISNUMBER(SEARCH("cut sheet", 'Lighting Inventory'!J243)), CONCATENATE("Cut Sheet ", 'Lookup Tables'!AX236), 'Lighting Inventory'!J243)))</f>
        <v/>
      </c>
      <c r="E234" s="26" t="str">
        <f>IF(B234="", "", IF('Lighting Inventory'!B243="New Construction", 1, 'Lighting Inventory'!I243))</f>
        <v/>
      </c>
      <c r="F234" s="26" t="str">
        <f>IF(B234="", "", IF('Lighting Inventory'!B243="New Construction", 'Lighting Inventory'!R243*1000, 'Lighting Inventory'!K243))</f>
        <v/>
      </c>
      <c r="G234" s="26" t="str">
        <f>IF(B234="", "", IF('Lighting Inventory'!M243="", "S_LS", VLOOKUP('Lighting Inventory'!M243, 'Lookup Tables'!$B$142:$D$148, 3, FALSE)))</f>
        <v/>
      </c>
      <c r="H234" s="26" t="str">
        <f>IF(OR('Lighting Inventory'!V243="", 'Lighting Inventory'!W243=""), "", IF('Lighting Inventory'!W243="No Change", 'Lighting Inventory'!J243, CONCATENATE("Cut Sheet ", 'Appendix C'!A234)))</f>
        <v/>
      </c>
      <c r="I234" s="26" t="str">
        <f>IF(H234="", "", IF('Lighting Inventory'!AB243="Yes", "Screw-In", "General"))</f>
        <v/>
      </c>
      <c r="J234" s="26" t="str">
        <f>IF(B234="", "", CONCATENATE('Lighting Inventory'!W243, ", ", 'Lighting Inventory'!AL243, " W"))</f>
        <v/>
      </c>
      <c r="K234" s="26" t="str">
        <f>IF(OR(B234="",'Lighting Inventory'!B243="Retrofit"),"",IF('General Information'!$F$16="Space-by-Space",CONCATENATE('Lighting Inventory'!N243,", ",'Lighting Inventory'!O243," ",'Lighting Inventory'!P243," LPD"," at ",'Lighting Inventory'!Q243,", ",'Lighting Inventory'!R243," kW"),CONCATENATE(B234,", ",'Lighting Inventory'!O243," ",'Lighting Inventory'!P243," LPD"," at ",'Lighting Inventory'!Q243,", ",'Lighting Inventory'!R243," kW")))</f>
        <v/>
      </c>
      <c r="L234" s="26" t="str">
        <f>IF(H234="","",IF('Lighting Inventory'!AK243="","",'Lighting Inventory'!AK243))</f>
        <v/>
      </c>
      <c r="M234" s="26" t="str">
        <f>IF(H234="", "", 'Lighting Inventory'!AL243)</f>
        <v/>
      </c>
      <c r="N234" s="26" t="str">
        <f>IF('Lighting Inventory'!S243="", "", IF('Lighting Inventory'!W243="No Change", 'Lighting Inventory'!I243, 'Lighting Inventory'!S243))</f>
        <v/>
      </c>
      <c r="O234" s="26" t="str">
        <f>IF('Lighting Inventory'!AN243="", "", VLOOKUP('Lighting Inventory'!AN243, 'Lookup Tables'!$B$142:$D$148, 3, FALSE))</f>
        <v/>
      </c>
      <c r="P234" s="66" t="str">
        <f>IF(B234="", "", 'Lighting Inventory'!AX243)</f>
        <v/>
      </c>
      <c r="Q234" s="67" t="str">
        <f>IF(B234="", "", 'Lighting Inventory'!AZ243)</f>
        <v/>
      </c>
      <c r="R234" s="187" t="str">
        <f>IF(OR('Lighting Inventory'!G243="", 'Lighting Inventory'!H243=""), "", 'Lighting Inventory'!BD243)</f>
        <v/>
      </c>
      <c r="S234" s="187" t="str">
        <f>IF(OR('Lighting Inventory'!G243="", 'Lighting Inventory'!H243=""), "",'Lighting Inventory'!BB243)</f>
        <v/>
      </c>
      <c r="T234" s="67" t="str">
        <f>IF(B234="", "", 'Lighting Inventory'!BE243)</f>
        <v/>
      </c>
      <c r="U234" s="67" t="str">
        <f>IF(B234="", "", 'Lighting Inventory'!BF243)</f>
        <v/>
      </c>
      <c r="BM234" s="186" t="str">
        <f t="shared" si="3"/>
        <v>-</v>
      </c>
    </row>
    <row r="235" spans="1:65" x14ac:dyDescent="0.25">
      <c r="A235" s="189">
        <v>234</v>
      </c>
      <c r="B235" s="186" t="str">
        <f>IF('Lighting Inventory'!F244="", "", 'Lighting Inventory'!F244)</f>
        <v/>
      </c>
      <c r="C235" s="26" t="str">
        <f>IF(B235="", "", CONCATENATE("Area: ", 'Lighting Inventory'!D244, ", ", IF('Lighting Inventory'!C244="", "", "Floor: "), 'Lighting Inventory'!C244))</f>
        <v/>
      </c>
      <c r="D235" s="186" t="str">
        <f>IF(B235="", "", IF('Lighting Inventory'!B244="New Construction",CONCATENATE("Cut Sheet ", 250+'Appendix C'!A235), IF(ISNUMBER(SEARCH("cut sheet", 'Lighting Inventory'!J244)), CONCATENATE("Cut Sheet ", 'Lookup Tables'!AX237), 'Lighting Inventory'!J244)))</f>
        <v/>
      </c>
      <c r="E235" s="26" t="str">
        <f>IF(B235="", "", IF('Lighting Inventory'!B244="New Construction", 1, 'Lighting Inventory'!I244))</f>
        <v/>
      </c>
      <c r="F235" s="26" t="str">
        <f>IF(B235="", "", IF('Lighting Inventory'!B244="New Construction", 'Lighting Inventory'!R244*1000, 'Lighting Inventory'!K244))</f>
        <v/>
      </c>
      <c r="G235" s="26" t="str">
        <f>IF(B235="", "", IF('Lighting Inventory'!M244="", "S_LS", VLOOKUP('Lighting Inventory'!M244, 'Lookup Tables'!$B$142:$D$148, 3, FALSE)))</f>
        <v/>
      </c>
      <c r="H235" s="26" t="str">
        <f>IF(OR('Lighting Inventory'!V244="", 'Lighting Inventory'!W244=""), "", IF('Lighting Inventory'!W244="No Change", 'Lighting Inventory'!J244, CONCATENATE("Cut Sheet ", 'Appendix C'!A235)))</f>
        <v/>
      </c>
      <c r="I235" s="26" t="str">
        <f>IF(H235="", "", IF('Lighting Inventory'!AB244="Yes", "Screw-In", "General"))</f>
        <v/>
      </c>
      <c r="J235" s="26" t="str">
        <f>IF(B235="", "", CONCATENATE('Lighting Inventory'!W244, ", ", 'Lighting Inventory'!AL244, " W"))</f>
        <v/>
      </c>
      <c r="K235" s="26" t="str">
        <f>IF(OR(B235="",'Lighting Inventory'!B244="Retrofit"),"",IF('General Information'!$F$16="Space-by-Space",CONCATENATE('Lighting Inventory'!N244,", ",'Lighting Inventory'!O244," ",'Lighting Inventory'!P244," LPD"," at ",'Lighting Inventory'!Q244,", ",'Lighting Inventory'!R244," kW"),CONCATENATE(B235,", ",'Lighting Inventory'!O244," ",'Lighting Inventory'!P244," LPD"," at ",'Lighting Inventory'!Q244,", ",'Lighting Inventory'!R244," kW")))</f>
        <v/>
      </c>
      <c r="L235" s="26" t="str">
        <f>IF(H235="","",IF('Lighting Inventory'!AK244="","",'Lighting Inventory'!AK244))</f>
        <v/>
      </c>
      <c r="M235" s="26" t="str">
        <f>IF(H235="", "", 'Lighting Inventory'!AL244)</f>
        <v/>
      </c>
      <c r="N235" s="26" t="str">
        <f>IF('Lighting Inventory'!S244="", "", IF('Lighting Inventory'!W244="No Change", 'Lighting Inventory'!I244, 'Lighting Inventory'!S244))</f>
        <v/>
      </c>
      <c r="O235" s="26" t="str">
        <f>IF('Lighting Inventory'!AN244="", "", VLOOKUP('Lighting Inventory'!AN244, 'Lookup Tables'!$B$142:$D$148, 3, FALSE))</f>
        <v/>
      </c>
      <c r="P235" s="66" t="str">
        <f>IF(B235="", "", 'Lighting Inventory'!AX244)</f>
        <v/>
      </c>
      <c r="Q235" s="67" t="str">
        <f>IF(B235="", "", 'Lighting Inventory'!AZ244)</f>
        <v/>
      </c>
      <c r="R235" s="187" t="str">
        <f>IF(OR('Lighting Inventory'!G244="", 'Lighting Inventory'!H244=""), "", 'Lighting Inventory'!BD244)</f>
        <v/>
      </c>
      <c r="S235" s="187" t="str">
        <f>IF(OR('Lighting Inventory'!G244="", 'Lighting Inventory'!H244=""), "",'Lighting Inventory'!BB244)</f>
        <v/>
      </c>
      <c r="T235" s="67" t="str">
        <f>IF(B235="", "", 'Lighting Inventory'!BE244)</f>
        <v/>
      </c>
      <c r="U235" s="67" t="str">
        <f>IF(B235="", "", 'Lighting Inventory'!BF244)</f>
        <v/>
      </c>
      <c r="BM235" s="186" t="str">
        <f t="shared" si="3"/>
        <v>-</v>
      </c>
    </row>
    <row r="236" spans="1:65" x14ac:dyDescent="0.25">
      <c r="A236" s="189">
        <v>235</v>
      </c>
      <c r="B236" s="186" t="str">
        <f>IF('Lighting Inventory'!F245="", "", 'Lighting Inventory'!F245)</f>
        <v/>
      </c>
      <c r="C236" s="26" t="str">
        <f>IF(B236="", "", CONCATENATE("Area: ", 'Lighting Inventory'!D245, ", ", IF('Lighting Inventory'!C245="", "", "Floor: "), 'Lighting Inventory'!C245))</f>
        <v/>
      </c>
      <c r="D236" s="186" t="str">
        <f>IF(B236="", "", IF('Lighting Inventory'!B245="New Construction",CONCATENATE("Cut Sheet ", 250+'Appendix C'!A236), IF(ISNUMBER(SEARCH("cut sheet", 'Lighting Inventory'!J245)), CONCATENATE("Cut Sheet ", 'Lookup Tables'!AX238), 'Lighting Inventory'!J245)))</f>
        <v/>
      </c>
      <c r="E236" s="26" t="str">
        <f>IF(B236="", "", IF('Lighting Inventory'!B245="New Construction", 1, 'Lighting Inventory'!I245))</f>
        <v/>
      </c>
      <c r="F236" s="26" t="str">
        <f>IF(B236="", "", IF('Lighting Inventory'!B245="New Construction", 'Lighting Inventory'!R245*1000, 'Lighting Inventory'!K245))</f>
        <v/>
      </c>
      <c r="G236" s="26" t="str">
        <f>IF(B236="", "", IF('Lighting Inventory'!M245="", "S_LS", VLOOKUP('Lighting Inventory'!M245, 'Lookup Tables'!$B$142:$D$148, 3, FALSE)))</f>
        <v/>
      </c>
      <c r="H236" s="26" t="str">
        <f>IF(OR('Lighting Inventory'!V245="", 'Lighting Inventory'!W245=""), "", IF('Lighting Inventory'!W245="No Change", 'Lighting Inventory'!J245, CONCATENATE("Cut Sheet ", 'Appendix C'!A236)))</f>
        <v/>
      </c>
      <c r="I236" s="26" t="str">
        <f>IF(H236="", "", IF('Lighting Inventory'!AB245="Yes", "Screw-In", "General"))</f>
        <v/>
      </c>
      <c r="J236" s="26" t="str">
        <f>IF(B236="", "", CONCATENATE('Lighting Inventory'!W245, ", ", 'Lighting Inventory'!AL245, " W"))</f>
        <v/>
      </c>
      <c r="K236" s="26" t="str">
        <f>IF(OR(B236="",'Lighting Inventory'!B245="Retrofit"),"",IF('General Information'!$F$16="Space-by-Space",CONCATENATE('Lighting Inventory'!N245,", ",'Lighting Inventory'!O245," ",'Lighting Inventory'!P245," LPD"," at ",'Lighting Inventory'!Q245,", ",'Lighting Inventory'!R245," kW"),CONCATENATE(B236,", ",'Lighting Inventory'!O245," ",'Lighting Inventory'!P245," LPD"," at ",'Lighting Inventory'!Q245,", ",'Lighting Inventory'!R245," kW")))</f>
        <v/>
      </c>
      <c r="L236" s="26" t="str">
        <f>IF(H236="","",IF('Lighting Inventory'!AK245="","",'Lighting Inventory'!AK245))</f>
        <v/>
      </c>
      <c r="M236" s="26" t="str">
        <f>IF(H236="", "", 'Lighting Inventory'!AL245)</f>
        <v/>
      </c>
      <c r="N236" s="26" t="str">
        <f>IF('Lighting Inventory'!S245="", "", IF('Lighting Inventory'!W245="No Change", 'Lighting Inventory'!I245, 'Lighting Inventory'!S245))</f>
        <v/>
      </c>
      <c r="O236" s="26" t="str">
        <f>IF('Lighting Inventory'!AN245="", "", VLOOKUP('Lighting Inventory'!AN245, 'Lookup Tables'!$B$142:$D$148, 3, FALSE))</f>
        <v/>
      </c>
      <c r="P236" s="66" t="str">
        <f>IF(B236="", "", 'Lighting Inventory'!AX245)</f>
        <v/>
      </c>
      <c r="Q236" s="67" t="str">
        <f>IF(B236="", "", 'Lighting Inventory'!AZ245)</f>
        <v/>
      </c>
      <c r="R236" s="187" t="str">
        <f>IF(OR('Lighting Inventory'!G245="", 'Lighting Inventory'!H245=""), "", 'Lighting Inventory'!BD245)</f>
        <v/>
      </c>
      <c r="S236" s="187" t="str">
        <f>IF(OR('Lighting Inventory'!G245="", 'Lighting Inventory'!H245=""), "",'Lighting Inventory'!BB245)</f>
        <v/>
      </c>
      <c r="T236" s="67" t="str">
        <f>IF(B236="", "", 'Lighting Inventory'!BE245)</f>
        <v/>
      </c>
      <c r="U236" s="67" t="str">
        <f>IF(B236="", "", 'Lighting Inventory'!BF245)</f>
        <v/>
      </c>
      <c r="BM236" s="186" t="str">
        <f t="shared" si="3"/>
        <v>-</v>
      </c>
    </row>
    <row r="237" spans="1:65" x14ac:dyDescent="0.25">
      <c r="A237" s="189">
        <v>236</v>
      </c>
      <c r="B237" s="186" t="str">
        <f>IF('Lighting Inventory'!F246="", "", 'Lighting Inventory'!F246)</f>
        <v/>
      </c>
      <c r="C237" s="26" t="str">
        <f>IF(B237="", "", CONCATENATE("Area: ", 'Lighting Inventory'!D246, ", ", IF('Lighting Inventory'!C246="", "", "Floor: "), 'Lighting Inventory'!C246))</f>
        <v/>
      </c>
      <c r="D237" s="186" t="str">
        <f>IF(B237="", "", IF('Lighting Inventory'!B246="New Construction",CONCATENATE("Cut Sheet ", 250+'Appendix C'!A237), IF(ISNUMBER(SEARCH("cut sheet", 'Lighting Inventory'!J246)), CONCATENATE("Cut Sheet ", 'Lookup Tables'!AX239), 'Lighting Inventory'!J246)))</f>
        <v/>
      </c>
      <c r="E237" s="26" t="str">
        <f>IF(B237="", "", IF('Lighting Inventory'!B246="New Construction", 1, 'Lighting Inventory'!I246))</f>
        <v/>
      </c>
      <c r="F237" s="26" t="str">
        <f>IF(B237="", "", IF('Lighting Inventory'!B246="New Construction", 'Lighting Inventory'!R246*1000, 'Lighting Inventory'!K246))</f>
        <v/>
      </c>
      <c r="G237" s="26" t="str">
        <f>IF(B237="", "", IF('Lighting Inventory'!M246="", "S_LS", VLOOKUP('Lighting Inventory'!M246, 'Lookup Tables'!$B$142:$D$148, 3, FALSE)))</f>
        <v/>
      </c>
      <c r="H237" s="26" t="str">
        <f>IF(OR('Lighting Inventory'!V246="", 'Lighting Inventory'!W246=""), "", IF('Lighting Inventory'!W246="No Change", 'Lighting Inventory'!J246, CONCATENATE("Cut Sheet ", 'Appendix C'!A237)))</f>
        <v/>
      </c>
      <c r="I237" s="26" t="str">
        <f>IF(H237="", "", IF('Lighting Inventory'!AB246="Yes", "Screw-In", "General"))</f>
        <v/>
      </c>
      <c r="J237" s="26" t="str">
        <f>IF(B237="", "", CONCATENATE('Lighting Inventory'!W246, ", ", 'Lighting Inventory'!AL246, " W"))</f>
        <v/>
      </c>
      <c r="K237" s="26" t="str">
        <f>IF(OR(B237="",'Lighting Inventory'!B246="Retrofit"),"",IF('General Information'!$F$16="Space-by-Space",CONCATENATE('Lighting Inventory'!N246,", ",'Lighting Inventory'!O246," ",'Lighting Inventory'!P246," LPD"," at ",'Lighting Inventory'!Q246,", ",'Lighting Inventory'!R246," kW"),CONCATENATE(B237,", ",'Lighting Inventory'!O246," ",'Lighting Inventory'!P246," LPD"," at ",'Lighting Inventory'!Q246,", ",'Lighting Inventory'!R246," kW")))</f>
        <v/>
      </c>
      <c r="L237" s="26" t="str">
        <f>IF(H237="","",IF('Lighting Inventory'!AK246="","",'Lighting Inventory'!AK246))</f>
        <v/>
      </c>
      <c r="M237" s="26" t="str">
        <f>IF(H237="", "", 'Lighting Inventory'!AL246)</f>
        <v/>
      </c>
      <c r="N237" s="26" t="str">
        <f>IF('Lighting Inventory'!S246="", "", IF('Lighting Inventory'!W246="No Change", 'Lighting Inventory'!I246, 'Lighting Inventory'!S246))</f>
        <v/>
      </c>
      <c r="O237" s="26" t="str">
        <f>IF('Lighting Inventory'!AN246="", "", VLOOKUP('Lighting Inventory'!AN246, 'Lookup Tables'!$B$142:$D$148, 3, FALSE))</f>
        <v/>
      </c>
      <c r="P237" s="66" t="str">
        <f>IF(B237="", "", 'Lighting Inventory'!AX246)</f>
        <v/>
      </c>
      <c r="Q237" s="67" t="str">
        <f>IF(B237="", "", 'Lighting Inventory'!AZ246)</f>
        <v/>
      </c>
      <c r="R237" s="187" t="str">
        <f>IF(OR('Lighting Inventory'!G246="", 'Lighting Inventory'!H246=""), "", 'Lighting Inventory'!BD246)</f>
        <v/>
      </c>
      <c r="S237" s="187" t="str">
        <f>IF(OR('Lighting Inventory'!G246="", 'Lighting Inventory'!H246=""), "",'Lighting Inventory'!BB246)</f>
        <v/>
      </c>
      <c r="T237" s="67" t="str">
        <f>IF(B237="", "", 'Lighting Inventory'!BE246)</f>
        <v/>
      </c>
      <c r="U237" s="67" t="str">
        <f>IF(B237="", "", 'Lighting Inventory'!BF246)</f>
        <v/>
      </c>
      <c r="BM237" s="186" t="str">
        <f t="shared" si="3"/>
        <v>-</v>
      </c>
    </row>
    <row r="238" spans="1:65" x14ac:dyDescent="0.25">
      <c r="A238" s="189">
        <v>237</v>
      </c>
      <c r="B238" s="186" t="str">
        <f>IF('Lighting Inventory'!F247="", "", 'Lighting Inventory'!F247)</f>
        <v/>
      </c>
      <c r="C238" s="26" t="str">
        <f>IF(B238="", "", CONCATENATE("Area: ", 'Lighting Inventory'!D247, ", ", IF('Lighting Inventory'!C247="", "", "Floor: "), 'Lighting Inventory'!C247))</f>
        <v/>
      </c>
      <c r="D238" s="186" t="str">
        <f>IF(B238="", "", IF('Lighting Inventory'!B247="New Construction",CONCATENATE("Cut Sheet ", 250+'Appendix C'!A238), IF(ISNUMBER(SEARCH("cut sheet", 'Lighting Inventory'!J247)), CONCATENATE("Cut Sheet ", 'Lookup Tables'!AX240), 'Lighting Inventory'!J247)))</f>
        <v/>
      </c>
      <c r="E238" s="26" t="str">
        <f>IF(B238="", "", IF('Lighting Inventory'!B247="New Construction", 1, 'Lighting Inventory'!I247))</f>
        <v/>
      </c>
      <c r="F238" s="26" t="str">
        <f>IF(B238="", "", IF('Lighting Inventory'!B247="New Construction", 'Lighting Inventory'!R247*1000, 'Lighting Inventory'!K247))</f>
        <v/>
      </c>
      <c r="G238" s="26" t="str">
        <f>IF(B238="", "", IF('Lighting Inventory'!M247="", "S_LS", VLOOKUP('Lighting Inventory'!M247, 'Lookup Tables'!$B$142:$D$148, 3, FALSE)))</f>
        <v/>
      </c>
      <c r="H238" s="26" t="str">
        <f>IF(OR('Lighting Inventory'!V247="", 'Lighting Inventory'!W247=""), "", IF('Lighting Inventory'!W247="No Change", 'Lighting Inventory'!J247, CONCATENATE("Cut Sheet ", 'Appendix C'!A238)))</f>
        <v/>
      </c>
      <c r="I238" s="26" t="str">
        <f>IF(H238="", "", IF('Lighting Inventory'!AB247="Yes", "Screw-In", "General"))</f>
        <v/>
      </c>
      <c r="J238" s="26" t="str">
        <f>IF(B238="", "", CONCATENATE('Lighting Inventory'!W247, ", ", 'Lighting Inventory'!AL247, " W"))</f>
        <v/>
      </c>
      <c r="K238" s="26" t="str">
        <f>IF(OR(B238="",'Lighting Inventory'!B247="Retrofit"),"",IF('General Information'!$F$16="Space-by-Space",CONCATENATE('Lighting Inventory'!N247,", ",'Lighting Inventory'!O247," ",'Lighting Inventory'!P247," LPD"," at ",'Lighting Inventory'!Q247,", ",'Lighting Inventory'!R247," kW"),CONCATENATE(B238,", ",'Lighting Inventory'!O247," ",'Lighting Inventory'!P247," LPD"," at ",'Lighting Inventory'!Q247,", ",'Lighting Inventory'!R247," kW")))</f>
        <v/>
      </c>
      <c r="L238" s="26" t="str">
        <f>IF(H238="","",IF('Lighting Inventory'!AK247="","",'Lighting Inventory'!AK247))</f>
        <v/>
      </c>
      <c r="M238" s="26" t="str">
        <f>IF(H238="", "", 'Lighting Inventory'!AL247)</f>
        <v/>
      </c>
      <c r="N238" s="26" t="str">
        <f>IF('Lighting Inventory'!S247="", "", IF('Lighting Inventory'!W247="No Change", 'Lighting Inventory'!I247, 'Lighting Inventory'!S247))</f>
        <v/>
      </c>
      <c r="O238" s="26" t="str">
        <f>IF('Lighting Inventory'!AN247="", "", VLOOKUP('Lighting Inventory'!AN247, 'Lookup Tables'!$B$142:$D$148, 3, FALSE))</f>
        <v/>
      </c>
      <c r="P238" s="66" t="str">
        <f>IF(B238="", "", 'Lighting Inventory'!AX247)</f>
        <v/>
      </c>
      <c r="Q238" s="67" t="str">
        <f>IF(B238="", "", 'Lighting Inventory'!AZ247)</f>
        <v/>
      </c>
      <c r="R238" s="187" t="str">
        <f>IF(OR('Lighting Inventory'!G247="", 'Lighting Inventory'!H247=""), "", 'Lighting Inventory'!BD247)</f>
        <v/>
      </c>
      <c r="S238" s="187" t="str">
        <f>IF(OR('Lighting Inventory'!G247="", 'Lighting Inventory'!H247=""), "",'Lighting Inventory'!BB247)</f>
        <v/>
      </c>
      <c r="T238" s="67" t="str">
        <f>IF(B238="", "", 'Lighting Inventory'!BE247)</f>
        <v/>
      </c>
      <c r="U238" s="67" t="str">
        <f>IF(B238="", "", 'Lighting Inventory'!BF247)</f>
        <v/>
      </c>
      <c r="BM238" s="186" t="str">
        <f t="shared" si="3"/>
        <v>-</v>
      </c>
    </row>
    <row r="239" spans="1:65" x14ac:dyDescent="0.25">
      <c r="A239" s="189">
        <v>238</v>
      </c>
      <c r="B239" s="186" t="str">
        <f>IF('Lighting Inventory'!F248="", "", 'Lighting Inventory'!F248)</f>
        <v/>
      </c>
      <c r="C239" s="26" t="str">
        <f>IF(B239="", "", CONCATENATE("Area: ", 'Lighting Inventory'!D248, ", ", IF('Lighting Inventory'!C248="", "", "Floor: "), 'Lighting Inventory'!C248))</f>
        <v/>
      </c>
      <c r="D239" s="186" t="str">
        <f>IF(B239="", "", IF('Lighting Inventory'!B248="New Construction",CONCATENATE("Cut Sheet ", 250+'Appendix C'!A239), IF(ISNUMBER(SEARCH("cut sheet", 'Lighting Inventory'!J248)), CONCATENATE("Cut Sheet ", 'Lookup Tables'!AX241), 'Lighting Inventory'!J248)))</f>
        <v/>
      </c>
      <c r="E239" s="26" t="str">
        <f>IF(B239="", "", IF('Lighting Inventory'!B248="New Construction", 1, 'Lighting Inventory'!I248))</f>
        <v/>
      </c>
      <c r="F239" s="26" t="str">
        <f>IF(B239="", "", IF('Lighting Inventory'!B248="New Construction", 'Lighting Inventory'!R248*1000, 'Lighting Inventory'!K248))</f>
        <v/>
      </c>
      <c r="G239" s="26" t="str">
        <f>IF(B239="", "", IF('Lighting Inventory'!M248="", "S_LS", VLOOKUP('Lighting Inventory'!M248, 'Lookup Tables'!$B$142:$D$148, 3, FALSE)))</f>
        <v/>
      </c>
      <c r="H239" s="26" t="str">
        <f>IF(OR('Lighting Inventory'!V248="", 'Lighting Inventory'!W248=""), "", IF('Lighting Inventory'!W248="No Change", 'Lighting Inventory'!J248, CONCATENATE("Cut Sheet ", 'Appendix C'!A239)))</f>
        <v/>
      </c>
      <c r="I239" s="26" t="str">
        <f>IF(H239="", "", IF('Lighting Inventory'!AB248="Yes", "Screw-In", "General"))</f>
        <v/>
      </c>
      <c r="J239" s="26" t="str">
        <f>IF(B239="", "", CONCATENATE('Lighting Inventory'!W248, ", ", 'Lighting Inventory'!AL248, " W"))</f>
        <v/>
      </c>
      <c r="K239" s="26" t="str">
        <f>IF(OR(B239="",'Lighting Inventory'!B248="Retrofit"),"",IF('General Information'!$F$16="Space-by-Space",CONCATENATE('Lighting Inventory'!N248,", ",'Lighting Inventory'!O248," ",'Lighting Inventory'!P248," LPD"," at ",'Lighting Inventory'!Q248,", ",'Lighting Inventory'!R248," kW"),CONCATENATE(B239,", ",'Lighting Inventory'!O248," ",'Lighting Inventory'!P248," LPD"," at ",'Lighting Inventory'!Q248,", ",'Lighting Inventory'!R248," kW")))</f>
        <v/>
      </c>
      <c r="L239" s="26" t="str">
        <f>IF(H239="","",IF('Lighting Inventory'!AK248="","",'Lighting Inventory'!AK248))</f>
        <v/>
      </c>
      <c r="M239" s="26" t="str">
        <f>IF(H239="", "", 'Lighting Inventory'!AL248)</f>
        <v/>
      </c>
      <c r="N239" s="26" t="str">
        <f>IF('Lighting Inventory'!S248="", "", IF('Lighting Inventory'!W248="No Change", 'Lighting Inventory'!I248, 'Lighting Inventory'!S248))</f>
        <v/>
      </c>
      <c r="O239" s="26" t="str">
        <f>IF('Lighting Inventory'!AN248="", "", VLOOKUP('Lighting Inventory'!AN248, 'Lookup Tables'!$B$142:$D$148, 3, FALSE))</f>
        <v/>
      </c>
      <c r="P239" s="66" t="str">
        <f>IF(B239="", "", 'Lighting Inventory'!AX248)</f>
        <v/>
      </c>
      <c r="Q239" s="67" t="str">
        <f>IF(B239="", "", 'Lighting Inventory'!AZ248)</f>
        <v/>
      </c>
      <c r="R239" s="187" t="str">
        <f>IF(OR('Lighting Inventory'!G248="", 'Lighting Inventory'!H248=""), "", 'Lighting Inventory'!BD248)</f>
        <v/>
      </c>
      <c r="S239" s="187" t="str">
        <f>IF(OR('Lighting Inventory'!G248="", 'Lighting Inventory'!H248=""), "",'Lighting Inventory'!BB248)</f>
        <v/>
      </c>
      <c r="T239" s="67" t="str">
        <f>IF(B239="", "", 'Lighting Inventory'!BE248)</f>
        <v/>
      </c>
      <c r="U239" s="67" t="str">
        <f>IF(B239="", "", 'Lighting Inventory'!BF248)</f>
        <v/>
      </c>
      <c r="BM239" s="186" t="str">
        <f t="shared" si="3"/>
        <v>-</v>
      </c>
    </row>
    <row r="240" spans="1:65" x14ac:dyDescent="0.25">
      <c r="A240" s="189">
        <v>239</v>
      </c>
      <c r="B240" s="186" t="str">
        <f>IF('Lighting Inventory'!F249="", "", 'Lighting Inventory'!F249)</f>
        <v/>
      </c>
      <c r="C240" s="26" t="str">
        <f>IF(B240="", "", CONCATENATE("Area: ", 'Lighting Inventory'!D249, ", ", IF('Lighting Inventory'!C249="", "", "Floor: "), 'Lighting Inventory'!C249))</f>
        <v/>
      </c>
      <c r="D240" s="186" t="str">
        <f>IF(B240="", "", IF('Lighting Inventory'!B249="New Construction",CONCATENATE("Cut Sheet ", 250+'Appendix C'!A240), IF(ISNUMBER(SEARCH("cut sheet", 'Lighting Inventory'!J249)), CONCATENATE("Cut Sheet ", 'Lookup Tables'!AX242), 'Lighting Inventory'!J249)))</f>
        <v/>
      </c>
      <c r="E240" s="26" t="str">
        <f>IF(B240="", "", IF('Lighting Inventory'!B249="New Construction", 1, 'Lighting Inventory'!I249))</f>
        <v/>
      </c>
      <c r="F240" s="26" t="str">
        <f>IF(B240="", "", IF('Lighting Inventory'!B249="New Construction", 'Lighting Inventory'!R249*1000, 'Lighting Inventory'!K249))</f>
        <v/>
      </c>
      <c r="G240" s="26" t="str">
        <f>IF(B240="", "", IF('Lighting Inventory'!M249="", "S_LS", VLOOKUP('Lighting Inventory'!M249, 'Lookup Tables'!$B$142:$D$148, 3, FALSE)))</f>
        <v/>
      </c>
      <c r="H240" s="26" t="str">
        <f>IF(OR('Lighting Inventory'!V249="", 'Lighting Inventory'!W249=""), "", IF('Lighting Inventory'!W249="No Change", 'Lighting Inventory'!J249, CONCATENATE("Cut Sheet ", 'Appendix C'!A240)))</f>
        <v/>
      </c>
      <c r="I240" s="26" t="str">
        <f>IF(H240="", "", IF('Lighting Inventory'!AB249="Yes", "Screw-In", "General"))</f>
        <v/>
      </c>
      <c r="J240" s="26" t="str">
        <f>IF(B240="", "", CONCATENATE('Lighting Inventory'!W249, ", ", 'Lighting Inventory'!AL249, " W"))</f>
        <v/>
      </c>
      <c r="K240" s="26" t="str">
        <f>IF(OR(B240="",'Lighting Inventory'!B249="Retrofit"),"",IF('General Information'!$F$16="Space-by-Space",CONCATENATE('Lighting Inventory'!N249,", ",'Lighting Inventory'!O249," ",'Lighting Inventory'!P249," LPD"," at ",'Lighting Inventory'!Q249,", ",'Lighting Inventory'!R249," kW"),CONCATENATE(B240,", ",'Lighting Inventory'!O249," ",'Lighting Inventory'!P249," LPD"," at ",'Lighting Inventory'!Q249,", ",'Lighting Inventory'!R249," kW")))</f>
        <v/>
      </c>
      <c r="L240" s="26" t="str">
        <f>IF(H240="","",IF('Lighting Inventory'!AK249="","",'Lighting Inventory'!AK249))</f>
        <v/>
      </c>
      <c r="M240" s="26" t="str">
        <f>IF(H240="", "", 'Lighting Inventory'!AL249)</f>
        <v/>
      </c>
      <c r="N240" s="26" t="str">
        <f>IF('Lighting Inventory'!S249="", "", IF('Lighting Inventory'!W249="No Change", 'Lighting Inventory'!I249, 'Lighting Inventory'!S249))</f>
        <v/>
      </c>
      <c r="O240" s="26" t="str">
        <f>IF('Lighting Inventory'!AN249="", "", VLOOKUP('Lighting Inventory'!AN249, 'Lookup Tables'!$B$142:$D$148, 3, FALSE))</f>
        <v/>
      </c>
      <c r="P240" s="66" t="str">
        <f>IF(B240="", "", 'Lighting Inventory'!AX249)</f>
        <v/>
      </c>
      <c r="Q240" s="67" t="str">
        <f>IF(B240="", "", 'Lighting Inventory'!AZ249)</f>
        <v/>
      </c>
      <c r="R240" s="187" t="str">
        <f>IF(OR('Lighting Inventory'!G249="", 'Lighting Inventory'!H249=""), "", 'Lighting Inventory'!BD249)</f>
        <v/>
      </c>
      <c r="S240" s="187" t="str">
        <f>IF(OR('Lighting Inventory'!G249="", 'Lighting Inventory'!H249=""), "",'Lighting Inventory'!BB249)</f>
        <v/>
      </c>
      <c r="T240" s="67" t="str">
        <f>IF(B240="", "", 'Lighting Inventory'!BE249)</f>
        <v/>
      </c>
      <c r="U240" s="67" t="str">
        <f>IF(B240="", "", 'Lighting Inventory'!BF249)</f>
        <v/>
      </c>
      <c r="BM240" s="186" t="str">
        <f t="shared" si="3"/>
        <v>-</v>
      </c>
    </row>
    <row r="241" spans="1:65" x14ac:dyDescent="0.25">
      <c r="A241" s="189">
        <v>240</v>
      </c>
      <c r="B241" s="186" t="str">
        <f>IF('Lighting Inventory'!F250="", "", 'Lighting Inventory'!F250)</f>
        <v/>
      </c>
      <c r="C241" s="26" t="str">
        <f>IF(B241="", "", CONCATENATE("Area: ", 'Lighting Inventory'!D250, ", ", IF('Lighting Inventory'!C250="", "", "Floor: "), 'Lighting Inventory'!C250))</f>
        <v/>
      </c>
      <c r="D241" s="186" t="str">
        <f>IF(B241="", "", IF('Lighting Inventory'!B250="New Construction",CONCATENATE("Cut Sheet ", 250+'Appendix C'!A241), IF(ISNUMBER(SEARCH("cut sheet", 'Lighting Inventory'!J250)), CONCATENATE("Cut Sheet ", 'Lookup Tables'!AX243), 'Lighting Inventory'!J250)))</f>
        <v/>
      </c>
      <c r="E241" s="26" t="str">
        <f>IF(B241="", "", IF('Lighting Inventory'!B250="New Construction", 1, 'Lighting Inventory'!I250))</f>
        <v/>
      </c>
      <c r="F241" s="26" t="str">
        <f>IF(B241="", "", IF('Lighting Inventory'!B250="New Construction", 'Lighting Inventory'!R250*1000, 'Lighting Inventory'!K250))</f>
        <v/>
      </c>
      <c r="G241" s="26" t="str">
        <f>IF(B241="", "", IF('Lighting Inventory'!M250="", "S_LS", VLOOKUP('Lighting Inventory'!M250, 'Lookup Tables'!$B$142:$D$148, 3, FALSE)))</f>
        <v/>
      </c>
      <c r="H241" s="26" t="str">
        <f>IF(OR('Lighting Inventory'!V250="", 'Lighting Inventory'!W250=""), "", IF('Lighting Inventory'!W250="No Change", 'Lighting Inventory'!J250, CONCATENATE("Cut Sheet ", 'Appendix C'!A241)))</f>
        <v/>
      </c>
      <c r="I241" s="26" t="str">
        <f>IF(H241="", "", IF('Lighting Inventory'!AB250="Yes", "Screw-In", "General"))</f>
        <v/>
      </c>
      <c r="J241" s="26" t="str">
        <f>IF(B241="", "", CONCATENATE('Lighting Inventory'!W250, ", ", 'Lighting Inventory'!AL250, " W"))</f>
        <v/>
      </c>
      <c r="K241" s="26" t="str">
        <f>IF(OR(B241="",'Lighting Inventory'!B250="Retrofit"),"",IF('General Information'!$F$16="Space-by-Space",CONCATENATE('Lighting Inventory'!N250,", ",'Lighting Inventory'!O250," ",'Lighting Inventory'!P250," LPD"," at ",'Lighting Inventory'!Q250,", ",'Lighting Inventory'!R250," kW"),CONCATENATE(B241,", ",'Lighting Inventory'!O250," ",'Lighting Inventory'!P250," LPD"," at ",'Lighting Inventory'!Q250,", ",'Lighting Inventory'!R250," kW")))</f>
        <v/>
      </c>
      <c r="L241" s="26" t="str">
        <f>IF(H241="","",IF('Lighting Inventory'!AK250="","",'Lighting Inventory'!AK250))</f>
        <v/>
      </c>
      <c r="M241" s="26" t="str">
        <f>IF(H241="", "", 'Lighting Inventory'!AL250)</f>
        <v/>
      </c>
      <c r="N241" s="26" t="str">
        <f>IF('Lighting Inventory'!S250="", "", IF('Lighting Inventory'!W250="No Change", 'Lighting Inventory'!I250, 'Lighting Inventory'!S250))</f>
        <v/>
      </c>
      <c r="O241" s="26" t="str">
        <f>IF('Lighting Inventory'!AN250="", "", VLOOKUP('Lighting Inventory'!AN250, 'Lookup Tables'!$B$142:$D$148, 3, FALSE))</f>
        <v/>
      </c>
      <c r="P241" s="66" t="str">
        <f>IF(B241="", "", 'Lighting Inventory'!AX250)</f>
        <v/>
      </c>
      <c r="Q241" s="67" t="str">
        <f>IF(B241="", "", 'Lighting Inventory'!AZ250)</f>
        <v/>
      </c>
      <c r="R241" s="187" t="str">
        <f>IF(OR('Lighting Inventory'!G250="", 'Lighting Inventory'!H250=""), "", 'Lighting Inventory'!BD250)</f>
        <v/>
      </c>
      <c r="S241" s="187" t="str">
        <f>IF(OR('Lighting Inventory'!G250="", 'Lighting Inventory'!H250=""), "",'Lighting Inventory'!BB250)</f>
        <v/>
      </c>
      <c r="T241" s="67" t="str">
        <f>IF(B241="", "", 'Lighting Inventory'!BE250)</f>
        <v/>
      </c>
      <c r="U241" s="67" t="str">
        <f>IF(B241="", "", 'Lighting Inventory'!BF250)</f>
        <v/>
      </c>
      <c r="BM241" s="186" t="str">
        <f t="shared" si="3"/>
        <v>-</v>
      </c>
    </row>
    <row r="242" spans="1:65" x14ac:dyDescent="0.25">
      <c r="A242" s="189">
        <v>241</v>
      </c>
      <c r="B242" s="186" t="str">
        <f>IF('Lighting Inventory'!F251="", "", 'Lighting Inventory'!F251)</f>
        <v/>
      </c>
      <c r="C242" s="26" t="str">
        <f>IF(B242="", "", CONCATENATE("Area: ", 'Lighting Inventory'!D251, ", ", IF('Lighting Inventory'!C251="", "", "Floor: "), 'Lighting Inventory'!C251))</f>
        <v/>
      </c>
      <c r="D242" s="186" t="str">
        <f>IF(B242="", "", IF('Lighting Inventory'!B251="New Construction",CONCATENATE("Cut Sheet ", 250+'Appendix C'!A242), IF(ISNUMBER(SEARCH("cut sheet", 'Lighting Inventory'!J251)), CONCATENATE("Cut Sheet ", 'Lookup Tables'!AX244), 'Lighting Inventory'!J251)))</f>
        <v/>
      </c>
      <c r="E242" s="26" t="str">
        <f>IF(B242="", "", IF('Lighting Inventory'!B251="New Construction", 1, 'Lighting Inventory'!I251))</f>
        <v/>
      </c>
      <c r="F242" s="26" t="str">
        <f>IF(B242="", "", IF('Lighting Inventory'!B251="New Construction", 'Lighting Inventory'!R251*1000, 'Lighting Inventory'!K251))</f>
        <v/>
      </c>
      <c r="G242" s="26" t="str">
        <f>IF(B242="", "", IF('Lighting Inventory'!M251="", "S_LS", VLOOKUP('Lighting Inventory'!M251, 'Lookup Tables'!$B$142:$D$148, 3, FALSE)))</f>
        <v/>
      </c>
      <c r="H242" s="26" t="str">
        <f>IF(OR('Lighting Inventory'!V251="", 'Lighting Inventory'!W251=""), "", IF('Lighting Inventory'!W251="No Change", 'Lighting Inventory'!J251, CONCATENATE("Cut Sheet ", 'Appendix C'!A242)))</f>
        <v/>
      </c>
      <c r="I242" s="26" t="str">
        <f>IF(H242="", "", IF('Lighting Inventory'!AB251="Yes", "Screw-In", "General"))</f>
        <v/>
      </c>
      <c r="J242" s="26" t="str">
        <f>IF(B242="", "", CONCATENATE('Lighting Inventory'!W251, ", ", 'Lighting Inventory'!AL251, " W"))</f>
        <v/>
      </c>
      <c r="K242" s="26" t="str">
        <f>IF(OR(B242="",'Lighting Inventory'!B251="Retrofit"),"",IF('General Information'!$F$16="Space-by-Space",CONCATENATE('Lighting Inventory'!N251,", ",'Lighting Inventory'!O251," ",'Lighting Inventory'!P251," LPD"," at ",'Lighting Inventory'!Q251,", ",'Lighting Inventory'!R251," kW"),CONCATENATE(B242,", ",'Lighting Inventory'!O251," ",'Lighting Inventory'!P251," LPD"," at ",'Lighting Inventory'!Q251,", ",'Lighting Inventory'!R251," kW")))</f>
        <v/>
      </c>
      <c r="L242" s="26" t="str">
        <f>IF(H242="","",IF('Lighting Inventory'!AK251="","",'Lighting Inventory'!AK251))</f>
        <v/>
      </c>
      <c r="M242" s="26" t="str">
        <f>IF(H242="", "", 'Lighting Inventory'!AL251)</f>
        <v/>
      </c>
      <c r="N242" s="26" t="str">
        <f>IF('Lighting Inventory'!S251="", "", IF('Lighting Inventory'!W251="No Change", 'Lighting Inventory'!I251, 'Lighting Inventory'!S251))</f>
        <v/>
      </c>
      <c r="O242" s="26" t="str">
        <f>IF('Lighting Inventory'!AN251="", "", VLOOKUP('Lighting Inventory'!AN251, 'Lookup Tables'!$B$142:$D$148, 3, FALSE))</f>
        <v/>
      </c>
      <c r="P242" s="66" t="str">
        <f>IF(B242="", "", 'Lighting Inventory'!AX251)</f>
        <v/>
      </c>
      <c r="Q242" s="67" t="str">
        <f>IF(B242="", "", 'Lighting Inventory'!AZ251)</f>
        <v/>
      </c>
      <c r="R242" s="187" t="str">
        <f>IF(OR('Lighting Inventory'!G251="", 'Lighting Inventory'!H251=""), "", 'Lighting Inventory'!BD251)</f>
        <v/>
      </c>
      <c r="S242" s="187" t="str">
        <f>IF(OR('Lighting Inventory'!G251="", 'Lighting Inventory'!H251=""), "",'Lighting Inventory'!BB251)</f>
        <v/>
      </c>
      <c r="T242" s="67" t="str">
        <f>IF(B242="", "", 'Lighting Inventory'!BE251)</f>
        <v/>
      </c>
      <c r="U242" s="67" t="str">
        <f>IF(B242="", "", 'Lighting Inventory'!BF251)</f>
        <v/>
      </c>
      <c r="BM242" s="186" t="str">
        <f t="shared" si="3"/>
        <v>-</v>
      </c>
    </row>
    <row r="243" spans="1:65" x14ac:dyDescent="0.25">
      <c r="A243" s="189">
        <v>242</v>
      </c>
      <c r="B243" s="186" t="str">
        <f>IF('Lighting Inventory'!F252="", "", 'Lighting Inventory'!F252)</f>
        <v/>
      </c>
      <c r="C243" s="26" t="str">
        <f>IF(B243="", "", CONCATENATE("Area: ", 'Lighting Inventory'!D252, ", ", IF('Lighting Inventory'!C252="", "", "Floor: "), 'Lighting Inventory'!C252))</f>
        <v/>
      </c>
      <c r="D243" s="186" t="str">
        <f>IF(B243="", "", IF('Lighting Inventory'!B252="New Construction",CONCATENATE("Cut Sheet ", 250+'Appendix C'!A243), IF(ISNUMBER(SEARCH("cut sheet", 'Lighting Inventory'!J252)), CONCATENATE("Cut Sheet ", 'Lookup Tables'!AX245), 'Lighting Inventory'!J252)))</f>
        <v/>
      </c>
      <c r="E243" s="26" t="str">
        <f>IF(B243="", "", IF('Lighting Inventory'!B252="New Construction", 1, 'Lighting Inventory'!I252))</f>
        <v/>
      </c>
      <c r="F243" s="26" t="str">
        <f>IF(B243="", "", IF('Lighting Inventory'!B252="New Construction", 'Lighting Inventory'!R252*1000, 'Lighting Inventory'!K252))</f>
        <v/>
      </c>
      <c r="G243" s="26" t="str">
        <f>IF(B243="", "", IF('Lighting Inventory'!M252="", "S_LS", VLOOKUP('Lighting Inventory'!M252, 'Lookup Tables'!$B$142:$D$148, 3, FALSE)))</f>
        <v/>
      </c>
      <c r="H243" s="26" t="str">
        <f>IF(OR('Lighting Inventory'!V252="", 'Lighting Inventory'!W252=""), "", IF('Lighting Inventory'!W252="No Change", 'Lighting Inventory'!J252, CONCATENATE("Cut Sheet ", 'Appendix C'!A243)))</f>
        <v/>
      </c>
      <c r="I243" s="26" t="str">
        <f>IF(H243="", "", IF('Lighting Inventory'!AB252="Yes", "Screw-In", "General"))</f>
        <v/>
      </c>
      <c r="J243" s="26" t="str">
        <f>IF(B243="", "", CONCATENATE('Lighting Inventory'!W252, ", ", 'Lighting Inventory'!AL252, " W"))</f>
        <v/>
      </c>
      <c r="K243" s="26" t="str">
        <f>IF(OR(B243="",'Lighting Inventory'!B252="Retrofit"),"",IF('General Information'!$F$16="Space-by-Space",CONCATENATE('Lighting Inventory'!N252,", ",'Lighting Inventory'!O252," ",'Lighting Inventory'!P252," LPD"," at ",'Lighting Inventory'!Q252,", ",'Lighting Inventory'!R252," kW"),CONCATENATE(B243,", ",'Lighting Inventory'!O252," ",'Lighting Inventory'!P252," LPD"," at ",'Lighting Inventory'!Q252,", ",'Lighting Inventory'!R252," kW")))</f>
        <v/>
      </c>
      <c r="L243" s="26" t="str">
        <f>IF(H243="","",IF('Lighting Inventory'!AK252="","",'Lighting Inventory'!AK252))</f>
        <v/>
      </c>
      <c r="M243" s="26" t="str">
        <f>IF(H243="", "", 'Lighting Inventory'!AL252)</f>
        <v/>
      </c>
      <c r="N243" s="26" t="str">
        <f>IF('Lighting Inventory'!S252="", "", IF('Lighting Inventory'!W252="No Change", 'Lighting Inventory'!I252, 'Lighting Inventory'!S252))</f>
        <v/>
      </c>
      <c r="O243" s="26" t="str">
        <f>IF('Lighting Inventory'!AN252="", "", VLOOKUP('Lighting Inventory'!AN252, 'Lookup Tables'!$B$142:$D$148, 3, FALSE))</f>
        <v/>
      </c>
      <c r="P243" s="66" t="str">
        <f>IF(B243="", "", 'Lighting Inventory'!AX252)</f>
        <v/>
      </c>
      <c r="Q243" s="67" t="str">
        <f>IF(B243="", "", 'Lighting Inventory'!AZ252)</f>
        <v/>
      </c>
      <c r="R243" s="187" t="str">
        <f>IF(OR('Lighting Inventory'!G252="", 'Lighting Inventory'!H252=""), "", 'Lighting Inventory'!BD252)</f>
        <v/>
      </c>
      <c r="S243" s="187" t="str">
        <f>IF(OR('Lighting Inventory'!G252="", 'Lighting Inventory'!H252=""), "",'Lighting Inventory'!BB252)</f>
        <v/>
      </c>
      <c r="T243" s="67" t="str">
        <f>IF(B243="", "", 'Lighting Inventory'!BE252)</f>
        <v/>
      </c>
      <c r="U243" s="67" t="str">
        <f>IF(B243="", "", 'Lighting Inventory'!BF252)</f>
        <v/>
      </c>
      <c r="BM243" s="186" t="str">
        <f t="shared" si="3"/>
        <v>-</v>
      </c>
    </row>
    <row r="244" spans="1:65" x14ac:dyDescent="0.25">
      <c r="A244" s="189">
        <v>243</v>
      </c>
      <c r="B244" s="186" t="str">
        <f>IF('Lighting Inventory'!F253="", "", 'Lighting Inventory'!F253)</f>
        <v/>
      </c>
      <c r="C244" s="26" t="str">
        <f>IF(B244="", "", CONCATENATE("Area: ", 'Lighting Inventory'!D253, ", ", IF('Lighting Inventory'!C253="", "", "Floor: "), 'Lighting Inventory'!C253))</f>
        <v/>
      </c>
      <c r="D244" s="186" t="str">
        <f>IF(B244="", "", IF('Lighting Inventory'!B253="New Construction",CONCATENATE("Cut Sheet ", 250+'Appendix C'!A244), IF(ISNUMBER(SEARCH("cut sheet", 'Lighting Inventory'!J253)), CONCATENATE("Cut Sheet ", 'Lookup Tables'!AX246), 'Lighting Inventory'!J253)))</f>
        <v/>
      </c>
      <c r="E244" s="26" t="str">
        <f>IF(B244="", "", IF('Lighting Inventory'!B253="New Construction", 1, 'Lighting Inventory'!I253))</f>
        <v/>
      </c>
      <c r="F244" s="26" t="str">
        <f>IF(B244="", "", IF('Lighting Inventory'!B253="New Construction", 'Lighting Inventory'!R253*1000, 'Lighting Inventory'!K253))</f>
        <v/>
      </c>
      <c r="G244" s="26" t="str">
        <f>IF(B244="", "", IF('Lighting Inventory'!M253="", "S_LS", VLOOKUP('Lighting Inventory'!M253, 'Lookup Tables'!$B$142:$D$148, 3, FALSE)))</f>
        <v/>
      </c>
      <c r="H244" s="26" t="str">
        <f>IF(OR('Lighting Inventory'!V253="", 'Lighting Inventory'!W253=""), "", IF('Lighting Inventory'!W253="No Change", 'Lighting Inventory'!J253, CONCATENATE("Cut Sheet ", 'Appendix C'!A244)))</f>
        <v/>
      </c>
      <c r="I244" s="26" t="str">
        <f>IF(H244="", "", IF('Lighting Inventory'!AB253="Yes", "Screw-In", "General"))</f>
        <v/>
      </c>
      <c r="J244" s="26" t="str">
        <f>IF(B244="", "", CONCATENATE('Lighting Inventory'!W253, ", ", 'Lighting Inventory'!AL253, " W"))</f>
        <v/>
      </c>
      <c r="K244" s="26" t="str">
        <f>IF(OR(B244="",'Lighting Inventory'!B253="Retrofit"),"",IF('General Information'!$F$16="Space-by-Space",CONCATENATE('Lighting Inventory'!N253,", ",'Lighting Inventory'!O253," ",'Lighting Inventory'!P253," LPD"," at ",'Lighting Inventory'!Q253,", ",'Lighting Inventory'!R253," kW"),CONCATENATE(B244,", ",'Lighting Inventory'!O253," ",'Lighting Inventory'!P253," LPD"," at ",'Lighting Inventory'!Q253,", ",'Lighting Inventory'!R253," kW")))</f>
        <v/>
      </c>
      <c r="L244" s="26" t="str">
        <f>IF(H244="","",IF('Lighting Inventory'!AK253="","",'Lighting Inventory'!AK253))</f>
        <v/>
      </c>
      <c r="M244" s="26" t="str">
        <f>IF(H244="", "", 'Lighting Inventory'!AL253)</f>
        <v/>
      </c>
      <c r="N244" s="26" t="str">
        <f>IF('Lighting Inventory'!S253="", "", IF('Lighting Inventory'!W253="No Change", 'Lighting Inventory'!I253, 'Lighting Inventory'!S253))</f>
        <v/>
      </c>
      <c r="O244" s="26" t="str">
        <f>IF('Lighting Inventory'!AN253="", "", VLOOKUP('Lighting Inventory'!AN253, 'Lookup Tables'!$B$142:$D$148, 3, FALSE))</f>
        <v/>
      </c>
      <c r="P244" s="66" t="str">
        <f>IF(B244="", "", 'Lighting Inventory'!AX253)</f>
        <v/>
      </c>
      <c r="Q244" s="67" t="str">
        <f>IF(B244="", "", 'Lighting Inventory'!AZ253)</f>
        <v/>
      </c>
      <c r="R244" s="187" t="str">
        <f>IF(OR('Lighting Inventory'!G253="", 'Lighting Inventory'!H253=""), "", 'Lighting Inventory'!BD253)</f>
        <v/>
      </c>
      <c r="S244" s="187" t="str">
        <f>IF(OR('Lighting Inventory'!G253="", 'Lighting Inventory'!H253=""), "",'Lighting Inventory'!BB253)</f>
        <v/>
      </c>
      <c r="T244" s="67" t="str">
        <f>IF(B244="", "", 'Lighting Inventory'!BE253)</f>
        <v/>
      </c>
      <c r="U244" s="67" t="str">
        <f>IF(B244="", "", 'Lighting Inventory'!BF253)</f>
        <v/>
      </c>
      <c r="BM244" s="186" t="str">
        <f t="shared" si="3"/>
        <v>-</v>
      </c>
    </row>
    <row r="245" spans="1:65" x14ac:dyDescent="0.25">
      <c r="A245" s="189">
        <v>244</v>
      </c>
      <c r="B245" s="186" t="str">
        <f>IF('Lighting Inventory'!F254="", "", 'Lighting Inventory'!F254)</f>
        <v/>
      </c>
      <c r="C245" s="26" t="str">
        <f>IF(B245="", "", CONCATENATE("Area: ", 'Lighting Inventory'!D254, ", ", IF('Lighting Inventory'!C254="", "", "Floor: "), 'Lighting Inventory'!C254))</f>
        <v/>
      </c>
      <c r="D245" s="186" t="str">
        <f>IF(B245="", "", IF('Lighting Inventory'!B254="New Construction",CONCATENATE("Cut Sheet ", 250+'Appendix C'!A245), IF(ISNUMBER(SEARCH("cut sheet", 'Lighting Inventory'!J254)), CONCATENATE("Cut Sheet ", 'Lookup Tables'!AX247), 'Lighting Inventory'!J254)))</f>
        <v/>
      </c>
      <c r="E245" s="26" t="str">
        <f>IF(B245="", "", IF('Lighting Inventory'!B254="New Construction", 1, 'Lighting Inventory'!I254))</f>
        <v/>
      </c>
      <c r="F245" s="26" t="str">
        <f>IF(B245="", "", IF('Lighting Inventory'!B254="New Construction", 'Lighting Inventory'!R254*1000, 'Lighting Inventory'!K254))</f>
        <v/>
      </c>
      <c r="G245" s="26" t="str">
        <f>IF(B245="", "", IF('Lighting Inventory'!M254="", "S_LS", VLOOKUP('Lighting Inventory'!M254, 'Lookup Tables'!$B$142:$D$148, 3, FALSE)))</f>
        <v/>
      </c>
      <c r="H245" s="26" t="str">
        <f>IF(OR('Lighting Inventory'!V254="", 'Lighting Inventory'!W254=""), "", IF('Lighting Inventory'!W254="No Change", 'Lighting Inventory'!J254, CONCATENATE("Cut Sheet ", 'Appendix C'!A245)))</f>
        <v/>
      </c>
      <c r="I245" s="26" t="str">
        <f>IF(H245="", "", IF('Lighting Inventory'!AB254="Yes", "Screw-In", "General"))</f>
        <v/>
      </c>
      <c r="J245" s="26" t="str">
        <f>IF(B245="", "", CONCATENATE('Lighting Inventory'!W254, ", ", 'Lighting Inventory'!AL254, " W"))</f>
        <v/>
      </c>
      <c r="K245" s="26" t="str">
        <f>IF(OR(B245="",'Lighting Inventory'!B254="Retrofit"),"",IF('General Information'!$F$16="Space-by-Space",CONCATENATE('Lighting Inventory'!N254,", ",'Lighting Inventory'!O254," ",'Lighting Inventory'!P254," LPD"," at ",'Lighting Inventory'!Q254,", ",'Lighting Inventory'!R254," kW"),CONCATENATE(B245,", ",'Lighting Inventory'!O254," ",'Lighting Inventory'!P254," LPD"," at ",'Lighting Inventory'!Q254,", ",'Lighting Inventory'!R254," kW")))</f>
        <v/>
      </c>
      <c r="L245" s="26" t="str">
        <f>IF(H245="","",IF('Lighting Inventory'!AK254="","",'Lighting Inventory'!AK254))</f>
        <v/>
      </c>
      <c r="M245" s="26" t="str">
        <f>IF(H245="", "", 'Lighting Inventory'!AL254)</f>
        <v/>
      </c>
      <c r="N245" s="26" t="str">
        <f>IF('Lighting Inventory'!S254="", "", IF('Lighting Inventory'!W254="No Change", 'Lighting Inventory'!I254, 'Lighting Inventory'!S254))</f>
        <v/>
      </c>
      <c r="O245" s="26" t="str">
        <f>IF('Lighting Inventory'!AN254="", "", VLOOKUP('Lighting Inventory'!AN254, 'Lookup Tables'!$B$142:$D$148, 3, FALSE))</f>
        <v/>
      </c>
      <c r="P245" s="66" t="str">
        <f>IF(B245="", "", 'Lighting Inventory'!AX254)</f>
        <v/>
      </c>
      <c r="Q245" s="67" t="str">
        <f>IF(B245="", "", 'Lighting Inventory'!AZ254)</f>
        <v/>
      </c>
      <c r="R245" s="187" t="str">
        <f>IF(OR('Lighting Inventory'!G254="", 'Lighting Inventory'!H254=""), "", 'Lighting Inventory'!BD254)</f>
        <v/>
      </c>
      <c r="S245" s="187" t="str">
        <f>IF(OR('Lighting Inventory'!G254="", 'Lighting Inventory'!H254=""), "",'Lighting Inventory'!BB254)</f>
        <v/>
      </c>
      <c r="T245" s="67" t="str">
        <f>IF(B245="", "", 'Lighting Inventory'!BE254)</f>
        <v/>
      </c>
      <c r="U245" s="67" t="str">
        <f>IF(B245="", "", 'Lighting Inventory'!BF254)</f>
        <v/>
      </c>
      <c r="BM245" s="186" t="str">
        <f t="shared" si="3"/>
        <v>-</v>
      </c>
    </row>
    <row r="246" spans="1:65" x14ac:dyDescent="0.25">
      <c r="A246" s="189">
        <v>245</v>
      </c>
      <c r="B246" s="186" t="str">
        <f>IF('Lighting Inventory'!F255="", "", 'Lighting Inventory'!F255)</f>
        <v/>
      </c>
      <c r="C246" s="26" t="str">
        <f>IF(B246="", "", CONCATENATE("Area: ", 'Lighting Inventory'!D255, ", ", IF('Lighting Inventory'!C255="", "", "Floor: "), 'Lighting Inventory'!C255))</f>
        <v/>
      </c>
      <c r="D246" s="186" t="str">
        <f>IF(B246="", "", IF('Lighting Inventory'!B255="New Construction",CONCATENATE("Cut Sheet ", 250+'Appendix C'!A246), IF(ISNUMBER(SEARCH("cut sheet", 'Lighting Inventory'!J255)), CONCATENATE("Cut Sheet ", 'Lookup Tables'!AX248), 'Lighting Inventory'!J255)))</f>
        <v/>
      </c>
      <c r="E246" s="26" t="str">
        <f>IF(B246="", "", IF('Lighting Inventory'!B255="New Construction", 1, 'Lighting Inventory'!I255))</f>
        <v/>
      </c>
      <c r="F246" s="26" t="str">
        <f>IF(B246="", "", IF('Lighting Inventory'!B255="New Construction", 'Lighting Inventory'!R255*1000, 'Lighting Inventory'!K255))</f>
        <v/>
      </c>
      <c r="G246" s="26" t="str">
        <f>IF(B246="", "", IF('Lighting Inventory'!M255="", "S_LS", VLOOKUP('Lighting Inventory'!M255, 'Lookup Tables'!$B$142:$D$148, 3, FALSE)))</f>
        <v/>
      </c>
      <c r="H246" s="26" t="str">
        <f>IF(OR('Lighting Inventory'!V255="", 'Lighting Inventory'!W255=""), "", IF('Lighting Inventory'!W255="No Change", 'Lighting Inventory'!J255, CONCATENATE("Cut Sheet ", 'Appendix C'!A246)))</f>
        <v/>
      </c>
      <c r="I246" s="26" t="str">
        <f>IF(H246="", "", IF('Lighting Inventory'!AB255="Yes", "Screw-In", "General"))</f>
        <v/>
      </c>
      <c r="J246" s="26" t="str">
        <f>IF(B246="", "", CONCATENATE('Lighting Inventory'!W255, ", ", 'Lighting Inventory'!AL255, " W"))</f>
        <v/>
      </c>
      <c r="K246" s="26" t="str">
        <f>IF(OR(B246="",'Lighting Inventory'!B255="Retrofit"),"",IF('General Information'!$F$16="Space-by-Space",CONCATENATE('Lighting Inventory'!N255,", ",'Lighting Inventory'!O255," ",'Lighting Inventory'!P255," LPD"," at ",'Lighting Inventory'!Q255,", ",'Lighting Inventory'!R255," kW"),CONCATENATE(B246,", ",'Lighting Inventory'!O255," ",'Lighting Inventory'!P255," LPD"," at ",'Lighting Inventory'!Q255,", ",'Lighting Inventory'!R255," kW")))</f>
        <v/>
      </c>
      <c r="L246" s="26" t="str">
        <f>IF(H246="","",IF('Lighting Inventory'!AK255="","",'Lighting Inventory'!AK255))</f>
        <v/>
      </c>
      <c r="M246" s="26" t="str">
        <f>IF(H246="", "", 'Lighting Inventory'!AL255)</f>
        <v/>
      </c>
      <c r="N246" s="26" t="str">
        <f>IF('Lighting Inventory'!S255="", "", IF('Lighting Inventory'!W255="No Change", 'Lighting Inventory'!I255, 'Lighting Inventory'!S255))</f>
        <v/>
      </c>
      <c r="O246" s="26" t="str">
        <f>IF('Lighting Inventory'!AN255="", "", VLOOKUP('Lighting Inventory'!AN255, 'Lookup Tables'!$B$142:$D$148, 3, FALSE))</f>
        <v/>
      </c>
      <c r="P246" s="66" t="str">
        <f>IF(B246="", "", 'Lighting Inventory'!AX255)</f>
        <v/>
      </c>
      <c r="Q246" s="67" t="str">
        <f>IF(B246="", "", 'Lighting Inventory'!AZ255)</f>
        <v/>
      </c>
      <c r="R246" s="187" t="str">
        <f>IF(OR('Lighting Inventory'!G255="", 'Lighting Inventory'!H255=""), "", 'Lighting Inventory'!BD255)</f>
        <v/>
      </c>
      <c r="S246" s="187" t="str">
        <f>IF(OR('Lighting Inventory'!G255="", 'Lighting Inventory'!H255=""), "",'Lighting Inventory'!BB255)</f>
        <v/>
      </c>
      <c r="T246" s="67" t="str">
        <f>IF(B246="", "", 'Lighting Inventory'!BE255)</f>
        <v/>
      </c>
      <c r="U246" s="67" t="str">
        <f>IF(B246="", "", 'Lighting Inventory'!BF255)</f>
        <v/>
      </c>
      <c r="BM246" s="186" t="str">
        <f t="shared" si="3"/>
        <v>-</v>
      </c>
    </row>
    <row r="247" spans="1:65" x14ac:dyDescent="0.25">
      <c r="A247" s="189">
        <v>246</v>
      </c>
      <c r="B247" s="186" t="str">
        <f>IF('Lighting Inventory'!F256="", "", 'Lighting Inventory'!F256)</f>
        <v/>
      </c>
      <c r="C247" s="26" t="str">
        <f>IF(B247="", "", CONCATENATE("Area: ", 'Lighting Inventory'!D256, ", ", IF('Lighting Inventory'!C256="", "", "Floor: "), 'Lighting Inventory'!C256))</f>
        <v/>
      </c>
      <c r="D247" s="186" t="str">
        <f>IF(B247="", "", IF('Lighting Inventory'!B256="New Construction",CONCATENATE("Cut Sheet ", 250+'Appendix C'!A247), IF(ISNUMBER(SEARCH("cut sheet", 'Lighting Inventory'!J256)), CONCATENATE("Cut Sheet ", 'Lookup Tables'!AX249), 'Lighting Inventory'!J256)))</f>
        <v/>
      </c>
      <c r="E247" s="26" t="str">
        <f>IF(B247="", "", IF('Lighting Inventory'!B256="New Construction", 1, 'Lighting Inventory'!I256))</f>
        <v/>
      </c>
      <c r="F247" s="26" t="str">
        <f>IF(B247="", "", IF('Lighting Inventory'!B256="New Construction", 'Lighting Inventory'!R256*1000, 'Lighting Inventory'!K256))</f>
        <v/>
      </c>
      <c r="G247" s="26" t="str">
        <f>IF(B247="", "", IF('Lighting Inventory'!M256="", "S_LS", VLOOKUP('Lighting Inventory'!M256, 'Lookup Tables'!$B$142:$D$148, 3, FALSE)))</f>
        <v/>
      </c>
      <c r="H247" s="26" t="str">
        <f>IF(OR('Lighting Inventory'!V256="", 'Lighting Inventory'!W256=""), "", IF('Lighting Inventory'!W256="No Change", 'Lighting Inventory'!J256, CONCATENATE("Cut Sheet ", 'Appendix C'!A247)))</f>
        <v/>
      </c>
      <c r="I247" s="26" t="str">
        <f>IF(H247="", "", IF('Lighting Inventory'!AB256="Yes", "Screw-In", "General"))</f>
        <v/>
      </c>
      <c r="J247" s="26" t="str">
        <f>IF(B247="", "", CONCATENATE('Lighting Inventory'!W256, ", ", 'Lighting Inventory'!AL256, " W"))</f>
        <v/>
      </c>
      <c r="K247" s="26" t="str">
        <f>IF(OR(B247="",'Lighting Inventory'!B256="Retrofit"),"",IF('General Information'!$F$16="Space-by-Space",CONCATENATE('Lighting Inventory'!N256,", ",'Lighting Inventory'!O256," ",'Lighting Inventory'!P256," LPD"," at ",'Lighting Inventory'!Q256,", ",'Lighting Inventory'!R256," kW"),CONCATENATE(B247,", ",'Lighting Inventory'!O256," ",'Lighting Inventory'!P256," LPD"," at ",'Lighting Inventory'!Q256,", ",'Lighting Inventory'!R256," kW")))</f>
        <v/>
      </c>
      <c r="L247" s="26" t="str">
        <f>IF(H247="","",IF('Lighting Inventory'!AK256="","",'Lighting Inventory'!AK256))</f>
        <v/>
      </c>
      <c r="M247" s="26" t="str">
        <f>IF(H247="", "", 'Lighting Inventory'!AL256)</f>
        <v/>
      </c>
      <c r="N247" s="26" t="str">
        <f>IF('Lighting Inventory'!S256="", "", IF('Lighting Inventory'!W256="No Change", 'Lighting Inventory'!I256, 'Lighting Inventory'!S256))</f>
        <v/>
      </c>
      <c r="O247" s="26" t="str">
        <f>IF('Lighting Inventory'!AN256="", "", VLOOKUP('Lighting Inventory'!AN256, 'Lookup Tables'!$B$142:$D$148, 3, FALSE))</f>
        <v/>
      </c>
      <c r="P247" s="66" t="str">
        <f>IF(B247="", "", 'Lighting Inventory'!AX256)</f>
        <v/>
      </c>
      <c r="Q247" s="67" t="str">
        <f>IF(B247="", "", 'Lighting Inventory'!AZ256)</f>
        <v/>
      </c>
      <c r="R247" s="187" t="str">
        <f>IF(OR('Lighting Inventory'!G256="", 'Lighting Inventory'!H256=""), "", 'Lighting Inventory'!BD256)</f>
        <v/>
      </c>
      <c r="S247" s="187" t="str">
        <f>IF(OR('Lighting Inventory'!G256="", 'Lighting Inventory'!H256=""), "",'Lighting Inventory'!BB256)</f>
        <v/>
      </c>
      <c r="T247" s="67" t="str">
        <f>IF(B247="", "", 'Lighting Inventory'!BE256)</f>
        <v/>
      </c>
      <c r="U247" s="67" t="str">
        <f>IF(B247="", "", 'Lighting Inventory'!BF256)</f>
        <v/>
      </c>
      <c r="BM247" s="186" t="str">
        <f t="shared" si="3"/>
        <v>-</v>
      </c>
    </row>
    <row r="248" spans="1:65" x14ac:dyDescent="0.25">
      <c r="A248" s="189">
        <v>247</v>
      </c>
      <c r="B248" s="186" t="str">
        <f>IF('Lighting Inventory'!F257="", "", 'Lighting Inventory'!F257)</f>
        <v/>
      </c>
      <c r="C248" s="26" t="str">
        <f>IF(B248="", "", CONCATENATE("Area: ", 'Lighting Inventory'!D257, ", ", IF('Lighting Inventory'!C257="", "", "Floor: "), 'Lighting Inventory'!C257))</f>
        <v/>
      </c>
      <c r="D248" s="186" t="str">
        <f>IF(B248="", "", IF('Lighting Inventory'!B257="New Construction",CONCATENATE("Cut Sheet ", 250+'Appendix C'!A248), IF(ISNUMBER(SEARCH("cut sheet", 'Lighting Inventory'!J257)), CONCATENATE("Cut Sheet ", 'Lookup Tables'!AX250), 'Lighting Inventory'!J257)))</f>
        <v/>
      </c>
      <c r="E248" s="26" t="str">
        <f>IF(B248="", "", IF('Lighting Inventory'!B257="New Construction", 1, 'Lighting Inventory'!I257))</f>
        <v/>
      </c>
      <c r="F248" s="26" t="str">
        <f>IF(B248="", "", IF('Lighting Inventory'!B257="New Construction", 'Lighting Inventory'!R257*1000, 'Lighting Inventory'!K257))</f>
        <v/>
      </c>
      <c r="G248" s="26" t="str">
        <f>IF(B248="", "", IF('Lighting Inventory'!M257="", "S_LS", VLOOKUP('Lighting Inventory'!M257, 'Lookup Tables'!$B$142:$D$148, 3, FALSE)))</f>
        <v/>
      </c>
      <c r="H248" s="26" t="str">
        <f>IF(OR('Lighting Inventory'!V257="", 'Lighting Inventory'!W257=""), "", IF('Lighting Inventory'!W257="No Change", 'Lighting Inventory'!J257, CONCATENATE("Cut Sheet ", 'Appendix C'!A248)))</f>
        <v/>
      </c>
      <c r="I248" s="26" t="str">
        <f>IF(H248="", "", IF('Lighting Inventory'!AB257="Yes", "Screw-In", "General"))</f>
        <v/>
      </c>
      <c r="J248" s="26" t="str">
        <f>IF(B248="", "", CONCATENATE('Lighting Inventory'!W257, ", ", 'Lighting Inventory'!AL257, " W"))</f>
        <v/>
      </c>
      <c r="K248" s="26" t="str">
        <f>IF(OR(B248="",'Lighting Inventory'!B257="Retrofit"),"",IF('General Information'!$F$16="Space-by-Space",CONCATENATE('Lighting Inventory'!N257,", ",'Lighting Inventory'!O257," ",'Lighting Inventory'!P257," LPD"," at ",'Lighting Inventory'!Q257,", ",'Lighting Inventory'!R257," kW"),CONCATENATE(B248,", ",'Lighting Inventory'!O257," ",'Lighting Inventory'!P257," LPD"," at ",'Lighting Inventory'!Q257,", ",'Lighting Inventory'!R257," kW")))</f>
        <v/>
      </c>
      <c r="L248" s="26" t="str">
        <f>IF(H248="","",IF('Lighting Inventory'!AK257="","",'Lighting Inventory'!AK257))</f>
        <v/>
      </c>
      <c r="M248" s="26" t="str">
        <f>IF(H248="", "", 'Lighting Inventory'!AL257)</f>
        <v/>
      </c>
      <c r="N248" s="26" t="str">
        <f>IF('Lighting Inventory'!S257="", "", IF('Lighting Inventory'!W257="No Change", 'Lighting Inventory'!I257, 'Lighting Inventory'!S257))</f>
        <v/>
      </c>
      <c r="O248" s="26" t="str">
        <f>IF('Lighting Inventory'!AN257="", "", VLOOKUP('Lighting Inventory'!AN257, 'Lookup Tables'!$B$142:$D$148, 3, FALSE))</f>
        <v/>
      </c>
      <c r="P248" s="66" t="str">
        <f>IF(B248="", "", 'Lighting Inventory'!AX257)</f>
        <v/>
      </c>
      <c r="Q248" s="67" t="str">
        <f>IF(B248="", "", 'Lighting Inventory'!AZ257)</f>
        <v/>
      </c>
      <c r="R248" s="187" t="str">
        <f>IF(OR('Lighting Inventory'!G257="", 'Lighting Inventory'!H257=""), "", 'Lighting Inventory'!BD257)</f>
        <v/>
      </c>
      <c r="S248" s="187" t="str">
        <f>IF(OR('Lighting Inventory'!G257="", 'Lighting Inventory'!H257=""), "",'Lighting Inventory'!BB257)</f>
        <v/>
      </c>
      <c r="T248" s="67" t="str">
        <f>IF(B248="", "", 'Lighting Inventory'!BE257)</f>
        <v/>
      </c>
      <c r="U248" s="67" t="str">
        <f>IF(B248="", "", 'Lighting Inventory'!BF257)</f>
        <v/>
      </c>
      <c r="BM248" s="186" t="str">
        <f t="shared" si="3"/>
        <v>-</v>
      </c>
    </row>
    <row r="249" spans="1:65" x14ac:dyDescent="0.25">
      <c r="A249" s="189">
        <v>248</v>
      </c>
      <c r="B249" s="186" t="str">
        <f>IF('Lighting Inventory'!F258="", "", 'Lighting Inventory'!F258)</f>
        <v/>
      </c>
      <c r="C249" s="26" t="str">
        <f>IF(B249="", "", CONCATENATE("Area: ", 'Lighting Inventory'!D258, ", ", IF('Lighting Inventory'!C258="", "", "Floor: "), 'Lighting Inventory'!C258))</f>
        <v/>
      </c>
      <c r="D249" s="186" t="str">
        <f>IF(B249="", "", IF('Lighting Inventory'!B258="New Construction",CONCATENATE("Cut Sheet ", 250+'Appendix C'!A249), IF(ISNUMBER(SEARCH("cut sheet", 'Lighting Inventory'!J258)), CONCATENATE("Cut Sheet ", 'Lookup Tables'!AX251), 'Lighting Inventory'!J258)))</f>
        <v/>
      </c>
      <c r="E249" s="26" t="str">
        <f>IF(B249="", "", IF('Lighting Inventory'!B258="New Construction", 1, 'Lighting Inventory'!I258))</f>
        <v/>
      </c>
      <c r="F249" s="26" t="str">
        <f>IF(B249="", "", IF('Lighting Inventory'!B258="New Construction", 'Lighting Inventory'!R258*1000, 'Lighting Inventory'!K258))</f>
        <v/>
      </c>
      <c r="G249" s="26" t="str">
        <f>IF(B249="", "", IF('Lighting Inventory'!M258="", "S_LS", VLOOKUP('Lighting Inventory'!M258, 'Lookup Tables'!$B$142:$D$148, 3, FALSE)))</f>
        <v/>
      </c>
      <c r="H249" s="26" t="str">
        <f>IF(OR('Lighting Inventory'!V258="", 'Lighting Inventory'!W258=""), "", IF('Lighting Inventory'!W258="No Change", 'Lighting Inventory'!J258, CONCATENATE("Cut Sheet ", 'Appendix C'!A249)))</f>
        <v/>
      </c>
      <c r="I249" s="26" t="str">
        <f>IF(H249="", "", IF('Lighting Inventory'!AB258="Yes", "Screw-In", "General"))</f>
        <v/>
      </c>
      <c r="J249" s="26" t="str">
        <f>IF(B249="", "", CONCATENATE('Lighting Inventory'!W258, ", ", 'Lighting Inventory'!AL258, " W"))</f>
        <v/>
      </c>
      <c r="K249" s="26" t="str">
        <f>IF(OR(B249="",'Lighting Inventory'!B258="Retrofit"),"",IF('General Information'!$F$16="Space-by-Space",CONCATENATE('Lighting Inventory'!N258,", ",'Lighting Inventory'!O258," ",'Lighting Inventory'!P258," LPD"," at ",'Lighting Inventory'!Q258,", ",'Lighting Inventory'!R258," kW"),CONCATENATE(B249,", ",'Lighting Inventory'!O258," ",'Lighting Inventory'!P258," LPD"," at ",'Lighting Inventory'!Q258,", ",'Lighting Inventory'!R258," kW")))</f>
        <v/>
      </c>
      <c r="L249" s="26" t="str">
        <f>IF(H249="","",IF('Lighting Inventory'!AK258="","",'Lighting Inventory'!AK258))</f>
        <v/>
      </c>
      <c r="M249" s="26" t="str">
        <f>IF(H249="", "", 'Lighting Inventory'!AL258)</f>
        <v/>
      </c>
      <c r="N249" s="26" t="str">
        <f>IF('Lighting Inventory'!S258="", "", IF('Lighting Inventory'!W258="No Change", 'Lighting Inventory'!I258, 'Lighting Inventory'!S258))</f>
        <v/>
      </c>
      <c r="O249" s="26" t="str">
        <f>IF('Lighting Inventory'!AN258="", "", VLOOKUP('Lighting Inventory'!AN258, 'Lookup Tables'!$B$142:$D$148, 3, FALSE))</f>
        <v/>
      </c>
      <c r="P249" s="66" t="str">
        <f>IF(B249="", "", 'Lighting Inventory'!AX258)</f>
        <v/>
      </c>
      <c r="Q249" s="67" t="str">
        <f>IF(B249="", "", 'Lighting Inventory'!AZ258)</f>
        <v/>
      </c>
      <c r="R249" s="187" t="str">
        <f>IF(OR('Lighting Inventory'!G258="", 'Lighting Inventory'!H258=""), "", 'Lighting Inventory'!BD258)</f>
        <v/>
      </c>
      <c r="S249" s="187" t="str">
        <f>IF(OR('Lighting Inventory'!G258="", 'Lighting Inventory'!H258=""), "",'Lighting Inventory'!BB258)</f>
        <v/>
      </c>
      <c r="T249" s="67" t="str">
        <f>IF(B249="", "", 'Lighting Inventory'!BE258)</f>
        <v/>
      </c>
      <c r="U249" s="67" t="str">
        <f>IF(B249="", "", 'Lighting Inventory'!BF258)</f>
        <v/>
      </c>
      <c r="BM249" s="186" t="str">
        <f t="shared" si="3"/>
        <v>-</v>
      </c>
    </row>
    <row r="250" spans="1:65" x14ac:dyDescent="0.25">
      <c r="A250" s="189">
        <v>249</v>
      </c>
      <c r="B250" s="186" t="str">
        <f>IF('Lighting Inventory'!F259="", "", 'Lighting Inventory'!F259)</f>
        <v/>
      </c>
      <c r="C250" s="26" t="str">
        <f>IF(B250="", "", CONCATENATE("Area: ", 'Lighting Inventory'!D259, ", ", IF('Lighting Inventory'!C259="", "", "Floor: "), 'Lighting Inventory'!C259))</f>
        <v/>
      </c>
      <c r="D250" s="186" t="str">
        <f>IF(B250="", "", IF('Lighting Inventory'!B259="New Construction",CONCATENATE("Cut Sheet ", 250+'Appendix C'!A250), IF(ISNUMBER(SEARCH("cut sheet", 'Lighting Inventory'!J259)), CONCATENATE("Cut Sheet ", 'Lookup Tables'!AX252), 'Lighting Inventory'!J259)))</f>
        <v/>
      </c>
      <c r="E250" s="26" t="str">
        <f>IF(B250="", "", IF('Lighting Inventory'!B259="New Construction", 1, 'Lighting Inventory'!I259))</f>
        <v/>
      </c>
      <c r="F250" s="26" t="str">
        <f>IF(B250="", "", IF('Lighting Inventory'!B259="New Construction", 'Lighting Inventory'!R259*1000, 'Lighting Inventory'!K259))</f>
        <v/>
      </c>
      <c r="G250" s="26" t="str">
        <f>IF(B250="", "", IF('Lighting Inventory'!M259="", "S_LS", VLOOKUP('Lighting Inventory'!M259, 'Lookup Tables'!$B$142:$D$148, 3, FALSE)))</f>
        <v/>
      </c>
      <c r="H250" s="26" t="str">
        <f>IF(OR('Lighting Inventory'!V259="", 'Lighting Inventory'!W259=""), "", IF('Lighting Inventory'!W259="No Change", 'Lighting Inventory'!J259, CONCATENATE("Cut Sheet ", 'Appendix C'!A250)))</f>
        <v/>
      </c>
      <c r="I250" s="26" t="str">
        <f>IF(H250="", "", IF('Lighting Inventory'!AB259="Yes", "Screw-In", "General"))</f>
        <v/>
      </c>
      <c r="J250" s="26" t="str">
        <f>IF(B250="", "", CONCATENATE('Lighting Inventory'!W259, ", ", 'Lighting Inventory'!AL259, " W"))</f>
        <v/>
      </c>
      <c r="K250" s="26" t="str">
        <f>IF(OR(B250="",'Lighting Inventory'!B259="Retrofit"),"",IF('General Information'!$F$16="Space-by-Space",CONCATENATE('Lighting Inventory'!N259,", ",'Lighting Inventory'!O259," ",'Lighting Inventory'!P259," LPD"," at ",'Lighting Inventory'!Q259,", ",'Lighting Inventory'!R259," kW"),CONCATENATE(B250,", ",'Lighting Inventory'!O259," ",'Lighting Inventory'!P259," LPD"," at ",'Lighting Inventory'!Q259,", ",'Lighting Inventory'!R259," kW")))</f>
        <v/>
      </c>
      <c r="L250" s="26" t="str">
        <f>IF(H250="","",IF('Lighting Inventory'!AK259="","",'Lighting Inventory'!AK259))</f>
        <v/>
      </c>
      <c r="M250" s="26" t="str">
        <f>IF(H250="", "", 'Lighting Inventory'!AL259)</f>
        <v/>
      </c>
      <c r="N250" s="26" t="str">
        <f>IF('Lighting Inventory'!S259="", "", IF('Lighting Inventory'!W259="No Change", 'Lighting Inventory'!I259, 'Lighting Inventory'!S259))</f>
        <v/>
      </c>
      <c r="O250" s="26" t="str">
        <f>IF('Lighting Inventory'!AN259="", "", VLOOKUP('Lighting Inventory'!AN259, 'Lookup Tables'!$B$142:$D$148, 3, FALSE))</f>
        <v/>
      </c>
      <c r="P250" s="66" t="str">
        <f>IF(B250="", "", 'Lighting Inventory'!AX259)</f>
        <v/>
      </c>
      <c r="Q250" s="67" t="str">
        <f>IF(B250="", "", 'Lighting Inventory'!AZ259)</f>
        <v/>
      </c>
      <c r="R250" s="187" t="str">
        <f>IF(OR('Lighting Inventory'!G259="", 'Lighting Inventory'!H259=""), "", 'Lighting Inventory'!BD259)</f>
        <v/>
      </c>
      <c r="S250" s="187" t="str">
        <f>IF(OR('Lighting Inventory'!G259="", 'Lighting Inventory'!H259=""), "",'Lighting Inventory'!BB259)</f>
        <v/>
      </c>
      <c r="T250" s="67" t="str">
        <f>IF(B250="", "", 'Lighting Inventory'!BE259)</f>
        <v/>
      </c>
      <c r="U250" s="67" t="str">
        <f>IF(B250="", "", 'Lighting Inventory'!BF259)</f>
        <v/>
      </c>
      <c r="BM250" s="186" t="str">
        <f t="shared" si="3"/>
        <v>-</v>
      </c>
    </row>
    <row r="251" spans="1:65" x14ac:dyDescent="0.25">
      <c r="A251" s="189">
        <v>250</v>
      </c>
      <c r="B251" s="186" t="str">
        <f>IF('Lighting Inventory'!F260="", "", 'Lighting Inventory'!F260)</f>
        <v/>
      </c>
      <c r="C251" s="26" t="str">
        <f>IF(B251="", "", CONCATENATE("Area: ", 'Lighting Inventory'!D260, ", ", IF('Lighting Inventory'!C260="", "", "Floor: "), 'Lighting Inventory'!C260))</f>
        <v/>
      </c>
      <c r="D251" s="186" t="str">
        <f>IF(B251="", "", IF('Lighting Inventory'!B260="New Construction",CONCATENATE("Cut Sheet ", 250+'Appendix C'!A251), IF(ISNUMBER(SEARCH("cut sheet", 'Lighting Inventory'!J260)), CONCATENATE("Cut Sheet ", 'Lookup Tables'!AX253), 'Lighting Inventory'!J260)))</f>
        <v/>
      </c>
      <c r="E251" s="26" t="str">
        <f>IF(B251="", "", IF('Lighting Inventory'!B260="New Construction", 1, 'Lighting Inventory'!I260))</f>
        <v/>
      </c>
      <c r="F251" s="26" t="str">
        <f>IF(B251="", "", IF('Lighting Inventory'!B260="New Construction", 'Lighting Inventory'!R260*1000, 'Lighting Inventory'!K260))</f>
        <v/>
      </c>
      <c r="G251" s="26" t="str">
        <f>IF(B251="", "", IF('Lighting Inventory'!M260="", "S_LS", VLOOKUP('Lighting Inventory'!M260, 'Lookup Tables'!$B$142:$D$148, 3, FALSE)))</f>
        <v/>
      </c>
      <c r="H251" s="26" t="str">
        <f>IF(OR('Lighting Inventory'!V260="", 'Lighting Inventory'!W260=""), "", IF('Lighting Inventory'!W260="No Change", 'Lighting Inventory'!J260, CONCATENATE("Cut Sheet ", 'Appendix C'!A251)))</f>
        <v/>
      </c>
      <c r="I251" s="26" t="str">
        <f>IF(H251="", "", IF('Lighting Inventory'!AB260="Yes", "Screw-In", "General"))</f>
        <v/>
      </c>
      <c r="J251" s="26" t="str">
        <f>IF(B251="", "", CONCATENATE('Lighting Inventory'!W260, ", ", 'Lighting Inventory'!AL260, " W"))</f>
        <v/>
      </c>
      <c r="K251" s="26" t="str">
        <f>IF(OR(B251="",'Lighting Inventory'!B260="Retrofit"),"",IF('General Information'!$F$16="Space-by-Space",CONCATENATE('Lighting Inventory'!N260,", ",'Lighting Inventory'!O260," ",'Lighting Inventory'!P260," LPD"," at ",'Lighting Inventory'!Q260,", ",'Lighting Inventory'!R260," kW"),CONCATENATE(B251,", ",'Lighting Inventory'!O260," ",'Lighting Inventory'!P260," LPD"," at ",'Lighting Inventory'!Q260,", ",'Lighting Inventory'!R260," kW")))</f>
        <v/>
      </c>
      <c r="L251" s="26" t="str">
        <f>IF(H251="","",IF('Lighting Inventory'!AK260="","",'Lighting Inventory'!AK260))</f>
        <v/>
      </c>
      <c r="M251" s="26" t="str">
        <f>IF(H251="", "", 'Lighting Inventory'!AL260)</f>
        <v/>
      </c>
      <c r="N251" s="26" t="str">
        <f>IF('Lighting Inventory'!S260="", "", IF('Lighting Inventory'!W260="No Change", 'Lighting Inventory'!I260, 'Lighting Inventory'!S260))</f>
        <v/>
      </c>
      <c r="O251" s="26" t="str">
        <f>IF('Lighting Inventory'!AN260="", "", VLOOKUP('Lighting Inventory'!AN260, 'Lookup Tables'!$B$142:$D$148, 3, FALSE))</f>
        <v/>
      </c>
      <c r="P251" s="66" t="str">
        <f>IF(B251="", "", 'Lighting Inventory'!AX260)</f>
        <v/>
      </c>
      <c r="Q251" s="67" t="str">
        <f>IF(B251="", "", 'Lighting Inventory'!AZ260)</f>
        <v/>
      </c>
      <c r="R251" s="187" t="str">
        <f>IF(OR('Lighting Inventory'!G260="", 'Lighting Inventory'!H260=""), "", 'Lighting Inventory'!BD260)</f>
        <v/>
      </c>
      <c r="S251" s="187" t="str">
        <f>IF(OR('Lighting Inventory'!G260="", 'Lighting Inventory'!H260=""), "",'Lighting Inventory'!BB260)</f>
        <v/>
      </c>
      <c r="T251" s="67" t="str">
        <f>IF(B251="", "", 'Lighting Inventory'!BE260)</f>
        <v/>
      </c>
      <c r="U251" s="67" t="str">
        <f>IF(B251="", "", 'Lighting Inventory'!BF260)</f>
        <v/>
      </c>
      <c r="BM251" s="186" t="str">
        <f t="shared" si="3"/>
        <v>-</v>
      </c>
    </row>
  </sheetData>
  <sheetProtection algorithmName="SHA-512" hashValue="6UJy5L1YOaI2Y4k95eD9h89pl0nucj5OtnlKJl+tbUuNC+JLbsiSm2fxOU2H2XsV2atyzfEYonWRA0jAzhmi1w==" saltValue="aV9xIA1RiMGk8Ci9nyxIug==" spinCount="100000" sheet="1" objects="1" scenarios="1"/>
  <mergeCells count="22">
    <mergeCell ref="BI1:BL1"/>
    <mergeCell ref="BI2:BL2"/>
    <mergeCell ref="BC1:BD1"/>
    <mergeCell ref="BC2:BD2"/>
    <mergeCell ref="BG1:BH1"/>
    <mergeCell ref="BG2:BH2"/>
    <mergeCell ref="BE1:BF1"/>
    <mergeCell ref="BE2:BF2"/>
    <mergeCell ref="AS1:AV1"/>
    <mergeCell ref="AS2:AV2"/>
    <mergeCell ref="AW1:AZ1"/>
    <mergeCell ref="AW2:AZ2"/>
    <mergeCell ref="BA1:BB1"/>
    <mergeCell ref="BA2:BB2"/>
    <mergeCell ref="AQ1:AR1"/>
    <mergeCell ref="AQ2:AR2"/>
    <mergeCell ref="V1:AB1"/>
    <mergeCell ref="V2:AB2"/>
    <mergeCell ref="AC1:AI1"/>
    <mergeCell ref="AC2:AI2"/>
    <mergeCell ref="AJ1:AP1"/>
    <mergeCell ref="AJ2:AP2"/>
  </mergeCell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pageSetUpPr autoPageBreaks="0"/>
  </sheetPr>
  <dimension ref="A1:M37"/>
  <sheetViews>
    <sheetView zoomScaleNormal="100" workbookViewId="0">
      <selection activeCell="F13" sqref="F13:H16"/>
    </sheetView>
  </sheetViews>
  <sheetFormatPr defaultColWidth="9.140625" defaultRowHeight="15" x14ac:dyDescent="0.25"/>
  <cols>
    <col min="1" max="1" width="4.7109375" style="7" customWidth="1"/>
    <col min="2" max="2" width="13.7109375" style="7" customWidth="1"/>
    <col min="3" max="3" width="11.85546875" style="7" customWidth="1"/>
    <col min="4" max="4" width="14" style="7" customWidth="1"/>
    <col min="5" max="5" width="13.5703125" style="7" customWidth="1"/>
    <col min="6" max="6" width="14.28515625" style="7" customWidth="1"/>
    <col min="7" max="7" width="12.5703125" style="7" customWidth="1"/>
    <col min="8" max="8" width="19" style="7" bestFit="1" customWidth="1"/>
    <col min="9" max="9" width="4.7109375" style="7" customWidth="1"/>
    <col min="10" max="10" width="9.140625" style="7"/>
    <col min="11" max="11" width="7.7109375" style="7" hidden="1" customWidth="1"/>
    <col min="12" max="12" width="123.28515625" style="7" hidden="1" customWidth="1"/>
    <col min="13" max="13" width="0" style="7" hidden="1" customWidth="1"/>
    <col min="14" max="16384" width="9.140625" style="7"/>
  </cols>
  <sheetData>
    <row r="1" spans="1:13" ht="8.25" customHeight="1" x14ac:dyDescent="0.25">
      <c r="A1" s="276"/>
      <c r="B1" s="276"/>
      <c r="C1" s="276"/>
      <c r="D1" s="276"/>
      <c r="E1" s="276"/>
      <c r="F1" s="276"/>
      <c r="G1" s="276"/>
      <c r="H1" s="276"/>
      <c r="I1" s="277"/>
    </row>
    <row r="2" spans="1:13" ht="15.75" customHeight="1" thickBot="1" x14ac:dyDescent="0.3">
      <c r="A2" s="320"/>
      <c r="B2" s="320"/>
      <c r="C2" s="320"/>
      <c r="D2" s="320"/>
      <c r="E2" s="320"/>
      <c r="F2" s="320"/>
      <c r="G2" s="316"/>
      <c r="H2" s="316"/>
      <c r="I2" s="321"/>
      <c r="K2" s="45"/>
    </row>
    <row r="3" spans="1:13" ht="14.25" customHeight="1" x14ac:dyDescent="0.25">
      <c r="A3" s="316"/>
      <c r="B3" s="934" t="s">
        <v>310</v>
      </c>
      <c r="C3" s="935"/>
      <c r="D3" s="935"/>
      <c r="E3" s="935"/>
      <c r="F3" s="935"/>
      <c r="G3" s="935"/>
      <c r="H3" s="936"/>
      <c r="I3" s="321"/>
      <c r="K3" s="45"/>
    </row>
    <row r="4" spans="1:13" ht="14.25" customHeight="1" x14ac:dyDescent="0.25">
      <c r="A4" s="316"/>
      <c r="B4" s="937"/>
      <c r="C4" s="938"/>
      <c r="D4" s="938"/>
      <c r="E4" s="938"/>
      <c r="F4" s="938"/>
      <c r="G4" s="938"/>
      <c r="H4" s="939"/>
      <c r="I4" s="321"/>
      <c r="K4" s="45"/>
    </row>
    <row r="5" spans="1:13" ht="14.25" customHeight="1" thickBot="1" x14ac:dyDescent="0.3">
      <c r="A5" s="316"/>
      <c r="B5" s="940"/>
      <c r="C5" s="941"/>
      <c r="D5" s="941"/>
      <c r="E5" s="941"/>
      <c r="F5" s="941"/>
      <c r="G5" s="941"/>
      <c r="H5" s="942"/>
      <c r="I5" s="321"/>
      <c r="K5" s="45"/>
    </row>
    <row r="6" spans="1:13" ht="7.5" customHeight="1" thickBot="1" x14ac:dyDescent="0.3">
      <c r="A6" s="316"/>
      <c r="B6" s="327"/>
      <c r="C6" s="317"/>
      <c r="D6" s="317"/>
      <c r="E6" s="317"/>
      <c r="F6" s="317"/>
      <c r="G6" s="317"/>
      <c r="H6" s="317"/>
      <c r="I6" s="321"/>
      <c r="K6" s="45"/>
    </row>
    <row r="7" spans="1:13" ht="24" customHeight="1" thickBot="1" x14ac:dyDescent="0.3">
      <c r="A7" s="316"/>
      <c r="B7" s="445"/>
      <c r="C7" s="949" t="s">
        <v>311</v>
      </c>
      <c r="D7" s="949"/>
      <c r="E7" s="949"/>
      <c r="F7" s="949"/>
      <c r="G7" s="949"/>
      <c r="H7" s="446"/>
      <c r="I7" s="321"/>
      <c r="K7" s="45"/>
    </row>
    <row r="8" spans="1:13" ht="7.5" customHeight="1" thickBot="1" x14ac:dyDescent="0.3">
      <c r="A8" s="316"/>
      <c r="B8" s="327"/>
      <c r="C8" s="317"/>
      <c r="D8" s="317"/>
      <c r="E8" s="317"/>
      <c r="F8" s="317"/>
      <c r="G8" s="317"/>
      <c r="H8" s="317"/>
      <c r="I8" s="321"/>
      <c r="K8" s="45"/>
    </row>
    <row r="9" spans="1:13" ht="15" customHeight="1" x14ac:dyDescent="0.25">
      <c r="A9" s="316"/>
      <c r="B9" s="943" t="s">
        <v>312</v>
      </c>
      <c r="C9" s="944"/>
      <c r="D9" s="957"/>
      <c r="E9" s="953" t="str">
        <f>IF('General Information'!$F$9="", "",'General Information'!$F$9)</f>
        <v/>
      </c>
      <c r="F9" s="954"/>
      <c r="G9" s="954"/>
      <c r="H9" s="955"/>
      <c r="I9" s="321"/>
      <c r="K9" s="45"/>
    </row>
    <row r="10" spans="1:13" ht="15" customHeight="1" x14ac:dyDescent="0.25">
      <c r="A10" s="316"/>
      <c r="B10" s="931" t="s">
        <v>313</v>
      </c>
      <c r="C10" s="932"/>
      <c r="D10" s="933"/>
      <c r="E10" s="945" t="str">
        <f>IF('General Information'!$F$10="", "", 'General Information'!$F$10)</f>
        <v/>
      </c>
      <c r="F10" s="946"/>
      <c r="G10" s="946"/>
      <c r="H10" s="947"/>
      <c r="I10" s="321"/>
      <c r="K10" s="45"/>
    </row>
    <row r="11" spans="1:13" ht="15" customHeight="1" thickBot="1" x14ac:dyDescent="0.3">
      <c r="A11" s="316"/>
      <c r="B11" s="928" t="s">
        <v>314</v>
      </c>
      <c r="C11" s="929"/>
      <c r="D11" s="930"/>
      <c r="E11" s="950" t="str">
        <f>IF('General Information'!$F$11="", "", 'General Information'!$F$11)</f>
        <v/>
      </c>
      <c r="F11" s="951"/>
      <c r="G11" s="951"/>
      <c r="H11" s="952"/>
      <c r="I11" s="321"/>
      <c r="K11" s="45"/>
      <c r="L11" s="7" t="s">
        <v>315</v>
      </c>
    </row>
    <row r="12" spans="1:13" ht="7.5" customHeight="1" thickBot="1" x14ac:dyDescent="0.3">
      <c r="A12" s="316"/>
      <c r="B12" s="681"/>
      <c r="C12" s="317"/>
      <c r="D12" s="317"/>
      <c r="E12" s="317"/>
      <c r="F12" s="317"/>
      <c r="G12" s="317"/>
      <c r="H12" s="317"/>
      <c r="I12" s="321"/>
      <c r="K12" s="45"/>
    </row>
    <row r="13" spans="1:13" s="45" customFormat="1" ht="15" customHeight="1" x14ac:dyDescent="0.25">
      <c r="A13" s="328"/>
      <c r="B13" s="943" t="s">
        <v>316</v>
      </c>
      <c r="C13" s="944"/>
      <c r="D13" s="944"/>
      <c r="E13" s="682">
        <f>IF(COUNTIF('Lighting Inventory'!$DP$261:$EI$261,"ERROR"),"ERROR",(SUM('Lighting Inventory'!$DP$261:$EI$261)))</f>
        <v>0</v>
      </c>
      <c r="F13" s="948" t="str">
        <f>IF('Lighting Inventory'!GF261&gt;0, 'Project Summary'!L11, IF($E$15=0, "", IF($E$13&lt;=0, "Project Not Eligible For Incentives - No Energy Savings", "")))</f>
        <v/>
      </c>
      <c r="G13" s="948"/>
      <c r="H13" s="948"/>
      <c r="I13" s="322"/>
      <c r="K13" s="695" t="s">
        <v>4596</v>
      </c>
      <c r="L13" s="696">
        <v>0.5</v>
      </c>
      <c r="M13" s="697" t="s">
        <v>4597</v>
      </c>
    </row>
    <row r="14" spans="1:13" s="45" customFormat="1" ht="15" customHeight="1" thickBot="1" x14ac:dyDescent="0.3">
      <c r="A14" s="328"/>
      <c r="B14" s="931" t="s">
        <v>317</v>
      </c>
      <c r="C14" s="932"/>
      <c r="D14" s="932"/>
      <c r="E14" s="683">
        <f>IF(COUNTIF('Lighting Inventory'!$CS$261:$DN$261, "ERROR"), "ERROR", SUM('Lighting Inventory'!$CS$261:$DN$261))</f>
        <v>0</v>
      </c>
      <c r="F14" s="948"/>
      <c r="G14" s="948"/>
      <c r="H14" s="948"/>
      <c r="I14" s="322"/>
      <c r="K14" s="698" t="s">
        <v>4598</v>
      </c>
      <c r="L14" s="699">
        <v>1</v>
      </c>
      <c r="M14" s="700">
        <f>VLOOKUP(D19,K13:L14,2,TRUE)</f>
        <v>0.5</v>
      </c>
    </row>
    <row r="15" spans="1:13" s="45" customFormat="1" ht="15" customHeight="1" x14ac:dyDescent="0.25">
      <c r="A15" s="328"/>
      <c r="B15" s="931" t="s">
        <v>318</v>
      </c>
      <c r="C15" s="932"/>
      <c r="D15" s="932"/>
      <c r="E15" s="684">
        <f>IF(E13="ERROR", "ERROR", 'Lighting Inventory'!$AY$261)</f>
        <v>0</v>
      </c>
      <c r="F15" s="948"/>
      <c r="G15" s="948"/>
      <c r="H15" s="948"/>
      <c r="I15" s="322"/>
    </row>
    <row r="16" spans="1:13" ht="15" customHeight="1" x14ac:dyDescent="0.25">
      <c r="A16" s="318"/>
      <c r="B16" s="931" t="s">
        <v>319</v>
      </c>
      <c r="C16" s="932"/>
      <c r="D16" s="932"/>
      <c r="E16" s="685" t="str">
        <f>IFERROR(IF($E$13&lt;=0, "$0.00", IF(COUNTIF('Lighting Inventory'!$FF$261:$GA$261, "ERROR"), "ERROR", SUM('Lighting Inventory'!CC261))), "")</f>
        <v>$0.00</v>
      </c>
      <c r="F16" s="948"/>
      <c r="G16" s="948"/>
      <c r="H16" s="948"/>
      <c r="I16" s="321"/>
    </row>
    <row r="17" spans="1:9" ht="17.25" customHeight="1" thickBot="1" x14ac:dyDescent="0.3">
      <c r="A17" s="318"/>
      <c r="B17" s="928" t="s">
        <v>4590</v>
      </c>
      <c r="C17" s="929"/>
      <c r="D17" s="929"/>
      <c r="E17" s="691">
        <f>IFERROR(IF(E13&gt;0,E13/'General Information'!F13,0),"Enter Annual Usage")</f>
        <v>0</v>
      </c>
      <c r="F17" s="956"/>
      <c r="G17" s="956"/>
      <c r="H17" s="465"/>
      <c r="I17" s="321"/>
    </row>
    <row r="18" spans="1:9" ht="17.25" customHeight="1" thickBot="1" x14ac:dyDescent="0.3">
      <c r="A18" s="318"/>
      <c r="B18" s="318"/>
      <c r="C18" s="318"/>
      <c r="D18" s="318"/>
      <c r="E18" s="319"/>
      <c r="F18" s="465"/>
      <c r="G18" s="465"/>
      <c r="H18" s="465"/>
      <c r="I18" s="321"/>
    </row>
    <row r="19" spans="1:9" ht="17.25" customHeight="1" thickBot="1" x14ac:dyDescent="0.3">
      <c r="A19" s="318"/>
      <c r="B19" s="692" t="s">
        <v>4595</v>
      </c>
      <c r="C19" s="693"/>
      <c r="D19" s="694" t="s">
        <v>4596</v>
      </c>
      <c r="E19" s="319"/>
      <c r="F19" s="465"/>
      <c r="G19" s="465"/>
      <c r="H19" s="465"/>
      <c r="I19" s="321"/>
    </row>
    <row r="20" spans="1:9" ht="17.25" customHeight="1" thickBot="1" x14ac:dyDescent="0.3">
      <c r="A20" s="318"/>
      <c r="B20" s="318"/>
      <c r="C20" s="318"/>
      <c r="D20" s="318"/>
      <c r="E20" s="319"/>
      <c r="F20" s="465"/>
      <c r="G20" s="465"/>
      <c r="H20" s="465"/>
      <c r="I20" s="321"/>
    </row>
    <row r="21" spans="1:9" ht="15.75" thickBot="1" x14ac:dyDescent="0.3">
      <c r="A21" s="316"/>
      <c r="B21" s="958" t="s">
        <v>320</v>
      </c>
      <c r="C21" s="958"/>
      <c r="D21" s="959"/>
      <c r="E21" s="442" t="s">
        <v>321</v>
      </c>
      <c r="F21" s="443" t="s">
        <v>322</v>
      </c>
      <c r="G21" s="443" t="s">
        <v>323</v>
      </c>
      <c r="H21" s="444" t="s">
        <v>4557</v>
      </c>
      <c r="I21" s="321"/>
    </row>
    <row r="22" spans="1:9" ht="17.25" customHeight="1" x14ac:dyDescent="0.25">
      <c r="A22" s="316"/>
      <c r="B22" s="931" t="str">
        <f>'Lookup Tables'!Y22</f>
        <v>Lighting Controls</v>
      </c>
      <c r="C22" s="932"/>
      <c r="D22" s="933"/>
      <c r="E22" s="561">
        <f>IF(COUNTIF('Lighting Inventory'!CS261, "ERROR"), "ERROR", 'Lighting Inventory'!CS261)</f>
        <v>0</v>
      </c>
      <c r="F22" s="562">
        <f>IF(COUNTIF('Lighting Inventory'!DP261, "ERROR"), "ERROR", 'Lighting Inventory'!DP261)</f>
        <v>0</v>
      </c>
      <c r="G22" s="562">
        <f>IF(COUNTIF('Lighting Inventory'!EK261, "ERROR"), "ERROR", 'Lighting Inventory'!EK261)</f>
        <v>0</v>
      </c>
      <c r="H22" s="582" t="str">
        <f>IFERROR(IF($E$13&lt;=0, "$0.00",IF(COUNTIF('Lighting Inventory'!FH261, "ERROR"), "ERROR", SUM('Lighting Inventory'!FF261))), "ERROR")</f>
        <v>$0.00</v>
      </c>
      <c r="I22" s="321"/>
    </row>
    <row r="23" spans="1:9" ht="17.25" customHeight="1" x14ac:dyDescent="0.25">
      <c r="A23" s="316"/>
      <c r="B23" s="931" t="str">
        <f>'Lookup Tables'!Y23</f>
        <v>Linear Fluorescent T5</v>
      </c>
      <c r="C23" s="932"/>
      <c r="D23" s="933"/>
      <c r="E23" s="561">
        <f>IF(COUNTIF('Lighting Inventory'!CT261:CU261, "ERROR"), "ERROR", SUM('Lighting Inventory'!CT261:CU261))</f>
        <v>0</v>
      </c>
      <c r="F23" s="562">
        <f>IF(COUNTIF('Lighting Inventory'!DQ261:DR261, "ERROR"), "ERROR", SUM('Lighting Inventory'!DQ261:DR261))</f>
        <v>0</v>
      </c>
      <c r="G23" s="562">
        <f>IF(COUNTIF('Lighting Inventory'!EL261:EM261, "ERROR"), "ERROR", SUM('Lighting Inventory'!EL261:EM261))</f>
        <v>0</v>
      </c>
      <c r="H23" s="582" t="str">
        <f>IFERROR(IF($E$13&lt;=0, "$0.00",IF(COUNTIF('Lighting Inventory'!FI261:FJ261, "ERROR"), "ERROR", SUM('Lighting Inventory'!FI261:FJ261))), "ERROR")</f>
        <v>$0.00</v>
      </c>
      <c r="I23" s="321"/>
    </row>
    <row r="24" spans="1:9" ht="17.25" customHeight="1" x14ac:dyDescent="0.25">
      <c r="A24" s="316"/>
      <c r="B24" s="931" t="str">
        <f>'Lookup Tables'!Y24</f>
        <v>Linear Fluorescent T8</v>
      </c>
      <c r="C24" s="932"/>
      <c r="D24" s="933"/>
      <c r="E24" s="561">
        <f>IF(COUNTIF('Lighting Inventory'!CV261:CW261, "ERROR"), "ERROR", SUM('Lighting Inventory'!CV261:CW261))</f>
        <v>0</v>
      </c>
      <c r="F24" s="562">
        <f>IF(COUNTIF('Lighting Inventory'!DS261:DT261, "ERROR"), "ERROR", SUM('Lighting Inventory'!DS261:DT261))</f>
        <v>0</v>
      </c>
      <c r="G24" s="562">
        <f>IF(COUNTIF('Lighting Inventory'!EN261:EO261, "ERROR"), "ERROR", SUM('Lighting Inventory'!EN261:EO261))</f>
        <v>0</v>
      </c>
      <c r="H24" s="582" t="str">
        <f>IFERROR(IF($E$13&lt;=0, "$0.00",IF(COUNTIF('Lighting Inventory'!FK261:FL261, "ERROR"), "ERROR", SUM('Lighting Inventory'!FK261:FL261))), "ERROR")</f>
        <v>$0.00</v>
      </c>
      <c r="I24" s="321"/>
    </row>
    <row r="25" spans="1:9" ht="17.25" customHeight="1" x14ac:dyDescent="0.25">
      <c r="A25" s="316"/>
      <c r="B25" s="931" t="str">
        <f>'Lookup Tables'!Y25</f>
        <v>LED Linear</v>
      </c>
      <c r="C25" s="932"/>
      <c r="D25" s="933"/>
      <c r="E25" s="561">
        <f>IF(COUNTIF('Lighting Inventory'!CX261:CY261, "ERROR"), "ERROR", SUM('Lighting Inventory'!CX261:CY261))</f>
        <v>0</v>
      </c>
      <c r="F25" s="562">
        <f>IF(COUNTIF('Lighting Inventory'!DU261:DV261, "ERROR"), "ERROR", SUM('Lighting Inventory'!DU261:DV261))</f>
        <v>0</v>
      </c>
      <c r="G25" s="562">
        <f>IF(COUNTIF('Lighting Inventory'!EP261:EQ261, "ERROR"), "ERROR", SUM('Lighting Inventory'!EP261:EQ261))</f>
        <v>0</v>
      </c>
      <c r="H25" s="582" t="str">
        <f>IFERROR(IF($E$13&lt;=0, "$0.00",IF(COUNTIF('Lighting Inventory'!FM261:FN261, "ERROR"), "ERROR", SUM('Lighting Inventory'!FM261:FN261))), "ERROR")</f>
        <v>$0.00</v>
      </c>
      <c r="I25" s="321"/>
    </row>
    <row r="26" spans="1:9" ht="17.25" customHeight="1" x14ac:dyDescent="0.25">
      <c r="A26" s="316"/>
      <c r="B26" s="931" t="str">
        <f>'Lookup Tables'!Y26</f>
        <v>LED Channel Signage</v>
      </c>
      <c r="C26" s="932"/>
      <c r="D26" s="933"/>
      <c r="E26" s="561">
        <f>IF(COUNTIF('Lighting Inventory'!CZ261:DA261, "ERROR"), "ERROR", SUM('Lighting Inventory'!CZ261:DA261))</f>
        <v>0</v>
      </c>
      <c r="F26" s="562">
        <f>IF(COUNTIF('Lighting Inventory'!DW261:DX261, "ERROR"), "ERROR", SUM('Lighting Inventory'!DW261:DX261))</f>
        <v>0</v>
      </c>
      <c r="G26" s="562">
        <f>IF(COUNTIF('Lighting Inventory'!ER261:ES261, "ERROR"), "ERROR", SUM('Lighting Inventory'!ER261:ES261))</f>
        <v>0</v>
      </c>
      <c r="H26" s="582" t="str">
        <f>IFERROR(IF($E$13&lt;=0, "$0.00",IF(COUNTIF('Lighting Inventory'!FO261:FP261, "ERROR"), "ERROR", SUM('Lighting Inventory'!FO261:FP261))), "ERROR")</f>
        <v>$0.00</v>
      </c>
      <c r="I26" s="321"/>
    </row>
    <row r="27" spans="1:9" ht="17.25" customHeight="1" x14ac:dyDescent="0.25">
      <c r="A27" s="316"/>
      <c r="B27" s="931" t="str">
        <f>'Lookup Tables'!Y27</f>
        <v>Exit Signs</v>
      </c>
      <c r="C27" s="932"/>
      <c r="D27" s="933"/>
      <c r="E27" s="561">
        <f>IF(COUNTIF('Lighting Inventory'!DB261:DC261, "ERROR"), "ERROR", SUM('Lighting Inventory'!DB261:DC261))</f>
        <v>0</v>
      </c>
      <c r="F27" s="562">
        <f>IF(COUNTIF('Lighting Inventory'!DY261:DZ261, "ERROR"), "ERROR", SUM('Lighting Inventory'!DY261:DZ261))</f>
        <v>0</v>
      </c>
      <c r="G27" s="562">
        <f>IF(COUNTIF('Lighting Inventory'!ET261:EU261, "ERROR"), "ERROR", SUM('Lighting Inventory'!ET261:EU261))</f>
        <v>0</v>
      </c>
      <c r="H27" s="582" t="str">
        <f>IFERROR(IF($E$13&lt;=0, "$0.00",IF(COUNTIF('Lighting Inventory'!FQ261:FR261, "ERROR"), "ERROR", SUM('Lighting Inventory'!FQ261:FR261))), "ERROR")</f>
        <v>$0.00</v>
      </c>
      <c r="I27" s="321"/>
    </row>
    <row r="28" spans="1:9" ht="17.25" customHeight="1" x14ac:dyDescent="0.25">
      <c r="A28" s="316"/>
      <c r="B28" s="931" t="str">
        <f>'Lookup Tables'!Y28</f>
        <v>LED Fixture - External</v>
      </c>
      <c r="C28" s="932"/>
      <c r="D28" s="933"/>
      <c r="E28" s="561">
        <f>IF(COUNTIF('Lighting Inventory'!DD261:DE261, "ERROR"), "ERROR", SUM('Lighting Inventory'!DD261:DE261))</f>
        <v>0</v>
      </c>
      <c r="F28" s="562">
        <f>IF(COUNTIF('Lighting Inventory'!EA261, "ERROR"), "ERROR", 'Lighting Inventory'!EA261)</f>
        <v>0</v>
      </c>
      <c r="G28" s="562">
        <f>IF(COUNTIF('Lighting Inventory'!EV261, "ERROR"), "ERROR", 'Lighting Inventory'!EV261)</f>
        <v>0</v>
      </c>
      <c r="H28" s="582" t="str">
        <f>IFERROR(IF($E$13&lt;=0, "$0.00",IF(COUNTIF('Lighting Inventory'!FS261, "ERROR"), "ERROR", SUM('Lighting Inventory'!FS261))), "ERROR")</f>
        <v>$0.00</v>
      </c>
      <c r="I28" s="321"/>
    </row>
    <row r="29" spans="1:9" ht="17.25" customHeight="1" x14ac:dyDescent="0.25">
      <c r="A29" s="316"/>
      <c r="B29" s="931" t="str">
        <f>'Lookup Tables'!Y29</f>
        <v>LED Fixture - Internal</v>
      </c>
      <c r="C29" s="932"/>
      <c r="D29" s="933"/>
      <c r="E29" s="561">
        <f>IF(COUNTIF('Lighting Inventory'!DF261:DG261, "ERROR"), "ERROR", SUM('Lighting Inventory'!DF261:DG261))</f>
        <v>0</v>
      </c>
      <c r="F29" s="562">
        <f>IF(COUNTIF('Lighting Inventory'!EB261, "ERROR"), "ERROR", 'Lighting Inventory'!EB261)</f>
        <v>0</v>
      </c>
      <c r="G29" s="562">
        <f>IF(COUNTIF('Lighting Inventory'!EW261, "ERROR"), "ERROR", 'Lighting Inventory'!EW261)</f>
        <v>0</v>
      </c>
      <c r="H29" s="582" t="str">
        <f>IFERROR(IF($E$13&lt;=0, "$0.00",IF(COUNTIF('Lighting Inventory'!FT261, "ERROR"), "ERROR", SUM('Lighting Inventory'!FT261))), "ERROR")</f>
        <v>$0.00</v>
      </c>
      <c r="I29" s="321"/>
    </row>
    <row r="30" spans="1:9" ht="17.25" customHeight="1" x14ac:dyDescent="0.25">
      <c r="A30" s="316"/>
      <c r="B30" s="931" t="str">
        <f>'Lookup Tables'!Y30</f>
        <v>LED Lamps</v>
      </c>
      <c r="C30" s="932"/>
      <c r="D30" s="933"/>
      <c r="E30" s="561">
        <f>IF(COUNTIF('Lighting Inventory'!DH261:DI261, "ERROR"), "ERROR", SUM('Lighting Inventory'!DH261:DI261))</f>
        <v>0</v>
      </c>
      <c r="F30" s="562">
        <f>IF(COUNTIF('Lighting Inventory'!EC261:ED261, "ERROR"), "ERROR", SUM('Lighting Inventory'!EC261:ED261))</f>
        <v>0</v>
      </c>
      <c r="G30" s="562">
        <f>IF(COUNTIF('Lighting Inventory'!EX261:EY261, "ERROR"), "ERROR", SUM('Lighting Inventory'!EX261:EY261))</f>
        <v>0</v>
      </c>
      <c r="H30" s="582" t="str">
        <f>IFERROR(IF($E$13&lt;=0, "$0.00",IF(COUNTIF('Lighting Inventory'!FU261:FV261, "ERROR"), "ERROR", SUM('Lighting Inventory'!FU261:FV261))), "ERROR")</f>
        <v>$0.00</v>
      </c>
      <c r="I30" s="321"/>
    </row>
    <row r="31" spans="1:9" ht="17.25" customHeight="1" x14ac:dyDescent="0.25">
      <c r="A31" s="316"/>
      <c r="B31" s="931" t="str">
        <f>'Lookup Tables'!Y32</f>
        <v>LED Reach-in Refrigerator/Freezer Lights</v>
      </c>
      <c r="C31" s="932"/>
      <c r="D31" s="933"/>
      <c r="E31" s="561">
        <f>'Lighting Inventory'!DJ261</f>
        <v>0</v>
      </c>
      <c r="F31" s="562">
        <f>'Lighting Inventory'!EE261</f>
        <v>0</v>
      </c>
      <c r="G31" s="562">
        <f>IF(OR(E31="ERROR", F31="ERROR"), "ERROR", 'Lighting Inventory'!EZ261)</f>
        <v>0</v>
      </c>
      <c r="H31" s="582" t="str">
        <f>IFERROR(IF($E$13&lt;=0, "$0.00",IF(COUNTIF('Lighting Inventory'!FW261, "ERROR"), "ERROR", SUM('Lighting Inventory'!FW261))), "ERROR")</f>
        <v>$0.00</v>
      </c>
      <c r="I31" s="321"/>
    </row>
    <row r="32" spans="1:9" ht="17.25" customHeight="1" x14ac:dyDescent="0.25">
      <c r="A32" s="316"/>
      <c r="B32" s="931" t="str">
        <f>'Lookup Tables'!Y33</f>
        <v>Street &amp; Area Lighting</v>
      </c>
      <c r="C32" s="932"/>
      <c r="D32" s="933"/>
      <c r="E32" s="561">
        <f>IF(COUNTIF('Lighting Inventory'!DK261:DL261, "ERROR"), "ERROR", SUM('Lighting Inventory'!DK261:DL261))</f>
        <v>0</v>
      </c>
      <c r="F32" s="562">
        <f>IF(COUNTIF('Lighting Inventory'!EF261:EG261, "ERROR"), "ERROR", SUM('Lighting Inventory'!EF261:EG261))</f>
        <v>0</v>
      </c>
      <c r="G32" s="562">
        <f>IF(COUNTIF('Lighting Inventory'!FA261:FB261, "ERROR"), "ERROR", SUM('Lighting Inventory'!FA261:FB261))</f>
        <v>0</v>
      </c>
      <c r="H32" s="582" t="str">
        <f>IFERROR(IF($E$13&lt;=0, "$0.00",IF(COUNTIF('Lighting Inventory'!FX261:FY261, "ERROR"), "ERROR", SUM('Lighting Inventory'!FX261:FY261))), "ERROR")</f>
        <v>$0.00</v>
      </c>
      <c r="I32" s="321"/>
    </row>
    <row r="33" spans="1:9" ht="17.25" customHeight="1" thickBot="1" x14ac:dyDescent="0.3">
      <c r="A33" s="316"/>
      <c r="B33" s="928" t="str">
        <f>'Lookup Tables'!Y34</f>
        <v>Custom - Process Improvement</v>
      </c>
      <c r="C33" s="929"/>
      <c r="D33" s="930"/>
      <c r="E33" s="563">
        <f>IF(COUNTIF('Lighting Inventory'!DM261:DN261, "ERROR"), "ERROR", SUM('Lighting Inventory'!DM261:DN261))</f>
        <v>0</v>
      </c>
      <c r="F33" s="564">
        <f>IF(COUNTIF('Lighting Inventory'!EH261:EI261, "ERROR"), "ERROR", SUM('Lighting Inventory'!EH261:EI261))</f>
        <v>0</v>
      </c>
      <c r="G33" s="564">
        <f>IF(COUNTIF('Lighting Inventory'!FC261:FD261, "ERROR"), "ERROR", SUM('Lighting Inventory'!FC261:FD261))</f>
        <v>0</v>
      </c>
      <c r="H33" s="583" t="str">
        <f>IFERROR(IF($E$13&lt;=0, "$0.00",IF(COUNTIF('Lighting Inventory'!FZ261:GA261, "ERROR"), "ERROR", SUM('Lighting Inventory'!FZ261:GA261))), "ERROR")</f>
        <v>$0.00</v>
      </c>
      <c r="I33" s="321"/>
    </row>
    <row r="34" spans="1:9" ht="20.25" customHeight="1" thickBot="1" x14ac:dyDescent="0.3">
      <c r="A34" s="316"/>
      <c r="B34" s="326"/>
      <c r="C34" s="323"/>
      <c r="D34" s="323"/>
      <c r="E34" s="319"/>
      <c r="F34" s="323"/>
      <c r="G34" s="316"/>
      <c r="H34" s="316"/>
      <c r="I34" s="321"/>
    </row>
    <row r="35" spans="1:9" ht="24.75" customHeight="1" thickBot="1" x14ac:dyDescent="0.3">
      <c r="A35" s="316"/>
      <c r="B35" s="925" t="s">
        <v>325</v>
      </c>
      <c r="C35" s="926"/>
      <c r="D35" s="926"/>
      <c r="E35" s="926"/>
      <c r="F35" s="926"/>
      <c r="G35" s="926"/>
      <c r="H35" s="927"/>
      <c r="I35" s="321"/>
    </row>
    <row r="36" spans="1:9" ht="13.5" customHeight="1" x14ac:dyDescent="0.25">
      <c r="A36" s="316"/>
      <c r="B36" s="276"/>
      <c r="C36" s="316"/>
      <c r="D36" s="316"/>
      <c r="E36" s="316"/>
      <c r="F36" s="316"/>
      <c r="G36" s="316"/>
      <c r="H36" s="316"/>
      <c r="I36" s="321"/>
    </row>
    <row r="37" spans="1:9" ht="15.75" thickBot="1" x14ac:dyDescent="0.3">
      <c r="A37" s="324"/>
      <c r="B37" s="324"/>
      <c r="C37" s="324"/>
      <c r="D37" s="324"/>
      <c r="E37" s="324"/>
      <c r="F37" s="324"/>
      <c r="G37" s="324"/>
      <c r="H37" s="324"/>
      <c r="I37" s="325"/>
    </row>
  </sheetData>
  <sheetProtection algorithmName="SHA-512" hashValue="N1TtMXkMrUSVrWQsSfKZoIJvEyVw/be83tnXO3ewXfJVvgvAp3vGpEWY7ypXBGFboVvv+nS3qlt/HhrfzYzPIA==" saltValue="YbILj0BDwb8DN1669k+JGQ==" spinCount="100000" sheet="1" formatColumns="0" selectLockedCells="1"/>
  <mergeCells count="29">
    <mergeCell ref="B26:D26"/>
    <mergeCell ref="B9:D9"/>
    <mergeCell ref="B10:D10"/>
    <mergeCell ref="B11:D11"/>
    <mergeCell ref="B21:D21"/>
    <mergeCell ref="B17:D17"/>
    <mergeCell ref="B27:D27"/>
    <mergeCell ref="B3:H5"/>
    <mergeCell ref="B13:D13"/>
    <mergeCell ref="B14:D14"/>
    <mergeCell ref="B15:D15"/>
    <mergeCell ref="B16:D16"/>
    <mergeCell ref="E10:H10"/>
    <mergeCell ref="F13:H16"/>
    <mergeCell ref="C7:G7"/>
    <mergeCell ref="E11:H11"/>
    <mergeCell ref="B24:D24"/>
    <mergeCell ref="B25:D25"/>
    <mergeCell ref="E9:H9"/>
    <mergeCell ref="F17:G17"/>
    <mergeCell ref="B23:D23"/>
    <mergeCell ref="B22:D22"/>
    <mergeCell ref="B35:H35"/>
    <mergeCell ref="B33:D33"/>
    <mergeCell ref="B28:D28"/>
    <mergeCell ref="B29:D29"/>
    <mergeCell ref="B30:D30"/>
    <mergeCell ref="B32:D32"/>
    <mergeCell ref="B31:D31"/>
  </mergeCells>
  <conditionalFormatting sqref="D19">
    <cfRule type="cellIs" dxfId="117" priority="1" operator="equal">
      <formula>"Penelec - LCI"</formula>
    </cfRule>
  </conditionalFormatting>
  <conditionalFormatting sqref="E17">
    <cfRule type="containsText" dxfId="116" priority="2" operator="containsText" text="Enter">
      <formula>NOT(ISERROR(SEARCH("Enter",E17)))</formula>
    </cfRule>
  </conditionalFormatting>
  <conditionalFormatting sqref="E22:H22 E23 H23:H33">
    <cfRule type="expression" dxfId="115" priority="7">
      <formula>IF($H$22="ERROR", TRUE, FALSE)</formula>
    </cfRule>
  </conditionalFormatting>
  <conditionalFormatting sqref="E24:H24 H25:H33">
    <cfRule type="expression" dxfId="114" priority="9">
      <formula>IF($H$24="ERROR", TRUE, FALSE)</formula>
    </cfRule>
  </conditionalFormatting>
  <conditionalFormatting sqref="E25:H25 H26:H33">
    <cfRule type="expression" dxfId="113" priority="10">
      <formula>IF($H$25="ERROR", TRUE, FALSE)</formula>
    </cfRule>
  </conditionalFormatting>
  <conditionalFormatting sqref="E26:H26 H27:H33">
    <cfRule type="expression" dxfId="112" priority="11">
      <formula>IF($H$26="ERROR", TRUE, FALSE)</formula>
    </cfRule>
  </conditionalFormatting>
  <conditionalFormatting sqref="E27:H27 H28:H33">
    <cfRule type="expression" dxfId="111" priority="12">
      <formula>IF($H$27="ERROR", TRUE, FALSE)</formula>
    </cfRule>
  </conditionalFormatting>
  <conditionalFormatting sqref="E28:H28 H29:H33">
    <cfRule type="expression" dxfId="110" priority="13">
      <formula>IF($H$28="ERROR", TRUE, FALSE)</formula>
    </cfRule>
  </conditionalFormatting>
  <conditionalFormatting sqref="E29:H29 H30:H33">
    <cfRule type="expression" dxfId="109" priority="14">
      <formula>IF($H$29="ERROR", TRUE, FALSE)</formula>
    </cfRule>
  </conditionalFormatting>
  <conditionalFormatting sqref="E30:H30 H31:H33">
    <cfRule type="expression" dxfId="108" priority="15">
      <formula>IF($H$30="ERROR", TRUE, FALSE)</formula>
    </cfRule>
  </conditionalFormatting>
  <conditionalFormatting sqref="E31:H31 H32:H33">
    <cfRule type="expression" dxfId="107" priority="19">
      <formula>IF($H$31="ERROR", TRUE, FALSE)</formula>
    </cfRule>
  </conditionalFormatting>
  <conditionalFormatting sqref="F13">
    <cfRule type="expression" dxfId="106" priority="31">
      <formula>AND($E$13&lt;=0, $E$15&gt;0)</formula>
    </cfRule>
  </conditionalFormatting>
  <conditionalFormatting sqref="F13:H16">
    <cfRule type="expression" dxfId="105" priority="5">
      <formula>IF($F$13=$L$11, TRUE, FALSE)</formula>
    </cfRule>
  </conditionalFormatting>
  <conditionalFormatting sqref="F23:H23">
    <cfRule type="expression" dxfId="104" priority="8">
      <formula>IF($H$23="ERROR", TRUE, FALSE)</formula>
    </cfRule>
  </conditionalFormatting>
  <conditionalFormatting sqref="H22:H33">
    <cfRule type="expression" dxfId="103" priority="6">
      <formula>IF(#REF!="ERROR", TRUE, FALSE)</formula>
    </cfRule>
  </conditionalFormatting>
  <conditionalFormatting sqref="H24:H33">
    <cfRule type="expression" dxfId="102" priority="17">
      <formula>IF($H$23="ERROR", TRUE, FALSE)</formula>
    </cfRule>
  </conditionalFormatting>
  <dataValidations count="1">
    <dataValidation type="list" allowBlank="1" showInputMessage="1" showErrorMessage="1" sqref="D19" xr:uid="{C59D7BEE-7D1C-423D-AE6B-E34D138CF57D}">
      <formula1>$K$13:$K$14</formula1>
    </dataValidation>
  </dataValidation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IV167"/>
  <sheetViews>
    <sheetView workbookViewId="0"/>
  </sheetViews>
  <sheetFormatPr defaultRowHeight="15" x14ac:dyDescent="0.25"/>
  <cols>
    <col min="1" max="1" width="4.85546875" style="113" customWidth="1"/>
    <col min="2" max="2" width="6.7109375" style="113" customWidth="1"/>
    <col min="3" max="3" width="9.85546875" style="113" customWidth="1"/>
    <col min="4" max="8" width="5.7109375" style="113" customWidth="1"/>
    <col min="9" max="9" width="3.140625" style="113" customWidth="1"/>
    <col min="10" max="10" width="3.85546875" style="113" customWidth="1"/>
    <col min="11" max="11" width="3.140625" style="113" customWidth="1"/>
    <col min="12" max="12" width="38.85546875" style="113" customWidth="1"/>
    <col min="13" max="14" width="7.140625" style="114" customWidth="1"/>
    <col min="15" max="15" width="30.5703125" style="158" hidden="1" customWidth="1"/>
    <col min="16" max="16" width="5.7109375" style="113" hidden="1" customWidth="1"/>
    <col min="17" max="17" width="47.28515625" style="113" hidden="1" customWidth="1"/>
    <col min="18" max="18" width="5.5703125" style="113" hidden="1" customWidth="1"/>
    <col min="19" max="19" width="25.85546875" style="113" hidden="1" customWidth="1"/>
    <col min="20" max="20" width="6.140625" style="113" hidden="1" customWidth="1"/>
    <col min="21" max="21" width="20.7109375" style="113" hidden="1" customWidth="1"/>
    <col min="22" max="22" width="42.85546875" style="113" hidden="1" customWidth="1"/>
    <col min="23" max="23" width="8.42578125" style="113" hidden="1" customWidth="1"/>
    <col min="24" max="24" width="47.28515625" style="113" hidden="1" customWidth="1"/>
    <col min="25" max="25" width="42.5703125" style="113" hidden="1" customWidth="1"/>
    <col min="26" max="26" width="23.85546875" style="113" hidden="1" customWidth="1"/>
    <col min="27" max="27" width="17.7109375" style="113" hidden="1" customWidth="1"/>
    <col min="28" max="28" width="14.7109375" style="113" hidden="1" customWidth="1"/>
    <col min="29" max="29" width="9.140625" style="113" hidden="1" customWidth="1"/>
    <col min="30" max="30" width="9.7109375" style="113" hidden="1" customWidth="1"/>
    <col min="31" max="32" width="9.140625" style="113" hidden="1" customWidth="1"/>
    <col min="33" max="33" width="20.7109375" style="113" hidden="1" customWidth="1"/>
    <col min="34" max="34" width="5.140625" style="113" hidden="1" customWidth="1"/>
    <col min="35" max="58" width="9.140625" style="113" hidden="1" customWidth="1"/>
    <col min="59" max="59" width="9.140625" style="7" customWidth="1"/>
    <col min="60" max="60" width="4.28515625" style="7" customWidth="1"/>
    <col min="61" max="71" width="9.140625" style="7"/>
    <col min="72" max="72" width="9.140625" style="7" customWidth="1"/>
    <col min="73" max="180" width="9.140625" style="7"/>
  </cols>
  <sheetData>
    <row r="1" spans="1:256" ht="6.75" customHeight="1" x14ac:dyDescent="0.25">
      <c r="O1" s="115"/>
      <c r="BF1" s="116"/>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6" ht="15.75" customHeight="1" thickBot="1" x14ac:dyDescent="0.3">
      <c r="A2" s="117"/>
      <c r="B2" s="117"/>
      <c r="C2" s="117"/>
      <c r="D2" s="117"/>
      <c r="E2" s="117"/>
      <c r="F2" s="117"/>
      <c r="G2" s="117"/>
      <c r="H2" s="117"/>
      <c r="I2" s="117"/>
      <c r="J2" s="117"/>
      <c r="K2" s="117"/>
      <c r="L2" s="117"/>
      <c r="M2" s="117"/>
      <c r="N2" s="117"/>
      <c r="O2" s="115"/>
      <c r="BF2" s="116"/>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row>
    <row r="3" spans="1:256" ht="12.75" customHeight="1" x14ac:dyDescent="0.25">
      <c r="B3" s="284"/>
      <c r="C3" s="963"/>
      <c r="D3" s="963"/>
      <c r="E3" s="963"/>
      <c r="F3" s="963"/>
      <c r="G3" s="963"/>
      <c r="H3" s="963"/>
      <c r="I3" s="963"/>
      <c r="J3" s="963"/>
      <c r="K3" s="963"/>
      <c r="L3" s="963"/>
      <c r="M3" s="285"/>
      <c r="N3" s="118"/>
      <c r="O3" s="115"/>
      <c r="BF3" s="116"/>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row>
    <row r="4" spans="1:256" ht="11.25" customHeight="1" x14ac:dyDescent="0.25">
      <c r="B4" s="286"/>
      <c r="C4" s="964" t="s">
        <v>326</v>
      </c>
      <c r="D4" s="964"/>
      <c r="E4" s="964"/>
      <c r="F4" s="964"/>
      <c r="G4" s="964"/>
      <c r="H4" s="964"/>
      <c r="I4" s="964"/>
      <c r="J4" s="964"/>
      <c r="K4" s="964"/>
      <c r="L4" s="964"/>
      <c r="M4" s="287"/>
      <c r="N4" s="118"/>
      <c r="O4" s="115"/>
      <c r="AD4" s="119"/>
      <c r="BF4" s="116"/>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row>
    <row r="5" spans="1:256" s="120" customFormat="1" ht="15.75" customHeight="1" x14ac:dyDescent="0.25">
      <c r="B5" s="288"/>
      <c r="C5" s="964"/>
      <c r="D5" s="964"/>
      <c r="E5" s="964"/>
      <c r="F5" s="964"/>
      <c r="G5" s="964"/>
      <c r="H5" s="964"/>
      <c r="I5" s="964"/>
      <c r="J5" s="964"/>
      <c r="K5" s="964"/>
      <c r="L5" s="964"/>
      <c r="M5" s="287"/>
      <c r="N5" s="118"/>
      <c r="O5" s="121"/>
      <c r="Q5" s="122" t="s">
        <v>327</v>
      </c>
      <c r="R5" s="120" t="s">
        <v>212</v>
      </c>
      <c r="BF5" s="123"/>
      <c r="BG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118"/>
      <c r="FZ5" s="118"/>
      <c r="GA5" s="118"/>
      <c r="GB5" s="118"/>
      <c r="GC5" s="118"/>
      <c r="GD5" s="118"/>
      <c r="GE5" s="118"/>
      <c r="GF5" s="118"/>
      <c r="GG5" s="118"/>
      <c r="GH5" s="118"/>
      <c r="GI5" s="118"/>
      <c r="GJ5" s="118"/>
      <c r="GK5" s="118"/>
      <c r="GL5" s="118"/>
      <c r="GM5" s="118"/>
      <c r="GN5" s="118"/>
      <c r="GO5" s="118"/>
      <c r="GP5" s="118"/>
      <c r="GQ5" s="118"/>
      <c r="GR5" s="118"/>
      <c r="GS5" s="118"/>
      <c r="GT5" s="118"/>
      <c r="GU5" s="118"/>
      <c r="GV5" s="118"/>
      <c r="GW5" s="118"/>
      <c r="GX5" s="118"/>
      <c r="GY5" s="118"/>
      <c r="GZ5" s="118"/>
      <c r="HA5" s="118"/>
      <c r="HB5" s="118"/>
      <c r="HC5" s="118"/>
      <c r="HD5" s="118"/>
      <c r="HE5" s="118"/>
      <c r="HF5" s="118"/>
      <c r="HG5" s="118"/>
      <c r="HH5" s="118"/>
      <c r="HI5" s="118"/>
      <c r="HJ5" s="118"/>
      <c r="HK5" s="118"/>
      <c r="HL5" s="118"/>
      <c r="HM5" s="118"/>
      <c r="HN5" s="118"/>
      <c r="HO5" s="118"/>
      <c r="HP5" s="118"/>
      <c r="HQ5" s="118"/>
      <c r="HR5" s="118"/>
      <c r="HS5" s="118"/>
      <c r="HT5" s="118"/>
      <c r="HU5" s="118"/>
      <c r="HV5" s="118"/>
      <c r="HW5" s="118"/>
      <c r="HX5" s="118"/>
      <c r="HY5" s="118"/>
      <c r="HZ5" s="118"/>
      <c r="IA5" s="118"/>
      <c r="IB5" s="118"/>
      <c r="IC5" s="118"/>
      <c r="ID5" s="118"/>
      <c r="IE5" s="118"/>
      <c r="IF5" s="118"/>
      <c r="IG5" s="118"/>
      <c r="IH5" s="118"/>
      <c r="II5" s="118"/>
      <c r="IJ5" s="118"/>
      <c r="IK5" s="118"/>
      <c r="IL5" s="118"/>
      <c r="IM5" s="118"/>
      <c r="IN5" s="118"/>
      <c r="IO5" s="118"/>
      <c r="IP5" s="118"/>
      <c r="IQ5" s="118"/>
      <c r="IR5" s="118"/>
      <c r="IS5" s="118"/>
      <c r="IT5" s="118"/>
      <c r="IU5" s="118"/>
      <c r="IV5" s="118"/>
    </row>
    <row r="6" spans="1:256" s="120" customFormat="1" ht="15.75" customHeight="1" thickBot="1" x14ac:dyDescent="0.3">
      <c r="B6" s="288"/>
      <c r="C6" s="289"/>
      <c r="D6" s="289"/>
      <c r="E6" s="289"/>
      <c r="F6" s="289"/>
      <c r="G6" s="289"/>
      <c r="H6" s="289"/>
      <c r="I6" s="289"/>
      <c r="J6" s="289"/>
      <c r="K6" s="289"/>
      <c r="L6" s="289"/>
      <c r="M6" s="287"/>
      <c r="N6" s="118"/>
      <c r="O6" s="121"/>
      <c r="Q6" s="122" t="s">
        <v>328</v>
      </c>
      <c r="R6" s="120" t="s">
        <v>218</v>
      </c>
      <c r="AU6" s="124"/>
      <c r="BF6" s="123"/>
      <c r="BG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IS6" s="118"/>
      <c r="IT6" s="118"/>
      <c r="IU6" s="118"/>
      <c r="IV6" s="118"/>
    </row>
    <row r="7" spans="1:256" s="120" customFormat="1" ht="18.75" customHeight="1" x14ac:dyDescent="0.25">
      <c r="B7" s="288"/>
      <c r="C7" s="965" t="s">
        <v>329</v>
      </c>
      <c r="D7" s="966"/>
      <c r="E7" s="966"/>
      <c r="F7" s="966"/>
      <c r="G7" s="966"/>
      <c r="H7" s="966"/>
      <c r="I7" s="966"/>
      <c r="J7" s="966"/>
      <c r="K7" s="966"/>
      <c r="L7" s="967"/>
      <c r="M7" s="287"/>
      <c r="N7" s="118"/>
      <c r="O7" s="121"/>
      <c r="Q7" s="968" t="s">
        <v>327</v>
      </c>
      <c r="R7" s="969"/>
      <c r="S7" s="960" t="s">
        <v>330</v>
      </c>
      <c r="T7" s="960"/>
      <c r="U7" s="960"/>
      <c r="V7" s="125" t="s">
        <v>328</v>
      </c>
      <c r="W7" s="126"/>
      <c r="AY7" s="127"/>
      <c r="BF7" s="123"/>
      <c r="BG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row>
    <row r="8" spans="1:256" s="120" customFormat="1" ht="18.75" customHeight="1" x14ac:dyDescent="0.25">
      <c r="B8" s="288"/>
      <c r="C8" s="961" t="s">
        <v>331</v>
      </c>
      <c r="D8" s="962"/>
      <c r="E8" s="962"/>
      <c r="F8" s="962"/>
      <c r="G8" s="962"/>
      <c r="H8" s="962"/>
      <c r="I8" s="962"/>
      <c r="J8" s="962"/>
      <c r="K8" s="962"/>
      <c r="L8" s="128" t="s">
        <v>165</v>
      </c>
      <c r="M8" s="287"/>
      <c r="N8" s="118"/>
      <c r="O8" s="121"/>
      <c r="Q8" s="129" t="s">
        <v>332</v>
      </c>
      <c r="R8" s="130"/>
      <c r="S8" s="131"/>
      <c r="T8" s="131" t="s">
        <v>333</v>
      </c>
      <c r="U8" s="120" t="s">
        <v>206</v>
      </c>
      <c r="V8" s="130"/>
      <c r="W8" s="126"/>
      <c r="X8" s="125" t="s">
        <v>334</v>
      </c>
      <c r="Y8" s="126"/>
      <c r="BF8" s="132"/>
      <c r="BG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row>
    <row r="9" spans="1:256" s="120" customFormat="1" ht="18.75" customHeight="1" x14ac:dyDescent="0.25">
      <c r="B9" s="288"/>
      <c r="C9" s="961" t="s">
        <v>335</v>
      </c>
      <c r="D9" s="962"/>
      <c r="E9" s="962"/>
      <c r="F9" s="962"/>
      <c r="G9" s="962"/>
      <c r="H9" s="962"/>
      <c r="I9" s="962"/>
      <c r="J9" s="962"/>
      <c r="K9" s="962"/>
      <c r="L9" s="179"/>
      <c r="M9" s="287"/>
      <c r="N9" s="118"/>
      <c r="O9" s="121" t="str">
        <f>IFERROR(VLOOKUP(L9,Q5:R6,2,FALSE), "")</f>
        <v/>
      </c>
      <c r="Q9" s="133" t="s">
        <v>336</v>
      </c>
      <c r="R9" s="120">
        <v>1.5</v>
      </c>
      <c r="S9" s="133" t="s">
        <v>337</v>
      </c>
      <c r="T9" s="133">
        <v>6</v>
      </c>
      <c r="U9" s="133">
        <v>20</v>
      </c>
      <c r="V9" s="133" t="s">
        <v>338</v>
      </c>
      <c r="W9" s="133"/>
      <c r="X9" s="133" t="str">
        <f t="shared" ref="X9:X15" si="0">IF(ISBLANK(IF($L$9=$Q$7,Q9,IF($L$9=$S$7,S9, IF($L$9=$V$7,V9,"")))),"",IF($L$9=$Q$7,Q9,IF($L$9=$S$7,S9, IF($L$9=$V$7,V9,""))))</f>
        <v/>
      </c>
      <c r="Y9" s="133" t="str">
        <f t="shared" ref="Y9:Y15" si="1">IF(ISBLANK(IF($L$9=$Q$7,R9,IF($L$9=$S$7,IF($O$13=$T$8,T9, IF($O$13=$U$8,U9,"")),IF($L$9=$V$7,W9,"")))),"",IF($L$9=$Q$7,R9,IF($L$9=$S$7,IF($O$13=$T$8,T9, IF($O$13=$U$8,U9,"")),IF($L$9=$V$7,W9,""))))</f>
        <v/>
      </c>
      <c r="BF9" s="132"/>
      <c r="BG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row>
    <row r="10" spans="1:256" s="120" customFormat="1" ht="18.75" customHeight="1" x14ac:dyDescent="0.25">
      <c r="B10" s="288"/>
      <c r="C10" s="961" t="s">
        <v>339</v>
      </c>
      <c r="D10" s="962"/>
      <c r="E10" s="962"/>
      <c r="F10" s="962"/>
      <c r="G10" s="962"/>
      <c r="H10" s="962"/>
      <c r="I10" s="962"/>
      <c r="J10" s="962"/>
      <c r="K10" s="962"/>
      <c r="L10" s="179"/>
      <c r="M10" s="287"/>
      <c r="N10" s="118"/>
      <c r="O10" s="121" t="str">
        <f>IF(ISERROR(IF(ISBLANK(L10),"",VLOOKUP(L10,X9:Y15,2,FALSE))),"",IF(ISBLANK(L10),"",VLOOKUP(L10,X9:Y15,2,FALSE)))</f>
        <v/>
      </c>
      <c r="Q10" s="133" t="s">
        <v>340</v>
      </c>
      <c r="R10" s="133">
        <v>2</v>
      </c>
      <c r="S10" s="133" t="s">
        <v>341</v>
      </c>
      <c r="T10" s="133">
        <v>8</v>
      </c>
      <c r="U10" s="133">
        <v>22</v>
      </c>
      <c r="V10" s="133"/>
      <c r="W10" s="133"/>
      <c r="X10" s="133" t="str">
        <f t="shared" si="0"/>
        <v/>
      </c>
      <c r="Y10" s="133" t="str">
        <f t="shared" si="1"/>
        <v/>
      </c>
      <c r="BF10" s="132"/>
      <c r="BG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row>
    <row r="11" spans="1:256" s="120" customFormat="1" ht="18.75" customHeight="1" x14ac:dyDescent="0.25">
      <c r="B11" s="288"/>
      <c r="C11" s="961" t="s">
        <v>342</v>
      </c>
      <c r="D11" s="962"/>
      <c r="E11" s="962"/>
      <c r="F11" s="962"/>
      <c r="G11" s="962"/>
      <c r="H11" s="962"/>
      <c r="I11" s="962"/>
      <c r="J11" s="962"/>
      <c r="K11" s="962"/>
      <c r="L11" s="179"/>
      <c r="M11" s="287"/>
      <c r="N11" s="118"/>
      <c r="O11" s="121" t="str">
        <f>IF(ISERROR(IF(ISBLANK(L11),"",VLOOKUP(L11,X17:Y24,2,FALSE))),"",IF(ISBLANK(L11),"",VLOOKUP(L11,X17:Y24,2,FALSE)))</f>
        <v/>
      </c>
      <c r="Q11" s="133" t="s">
        <v>343</v>
      </c>
      <c r="R11" s="133">
        <v>3</v>
      </c>
      <c r="S11" s="133" t="s">
        <v>344</v>
      </c>
      <c r="T11" s="133">
        <v>12</v>
      </c>
      <c r="U11" s="133">
        <v>32</v>
      </c>
      <c r="V11" s="133"/>
      <c r="W11" s="133"/>
      <c r="X11" s="133" t="str">
        <f t="shared" si="0"/>
        <v/>
      </c>
      <c r="Y11" s="133" t="str">
        <f t="shared" si="1"/>
        <v/>
      </c>
      <c r="BF11" s="132"/>
      <c r="BG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row>
    <row r="12" spans="1:256" s="120" customFormat="1" ht="18.75" customHeight="1" x14ac:dyDescent="0.25">
      <c r="B12" s="288"/>
      <c r="C12" s="961" t="s">
        <v>345</v>
      </c>
      <c r="D12" s="962"/>
      <c r="E12" s="962"/>
      <c r="F12" s="962"/>
      <c r="G12" s="962"/>
      <c r="H12" s="962"/>
      <c r="I12" s="962"/>
      <c r="J12" s="962"/>
      <c r="K12" s="962"/>
      <c r="L12" s="179"/>
      <c r="M12" s="287"/>
      <c r="N12" s="118"/>
      <c r="O12" s="121" t="str">
        <f>IF(ISERROR(IF(ISBLANK(L12),"",VLOOKUP(L12,X26:Y44,2,FALSE))),"",IF(ISBLANK(L12),"",VLOOKUP(L12,X26:Y44,2,FALSE)))</f>
        <v/>
      </c>
      <c r="Q12" s="133" t="s">
        <v>346</v>
      </c>
      <c r="R12" s="133">
        <v>4</v>
      </c>
      <c r="S12" s="133" t="s">
        <v>347</v>
      </c>
      <c r="T12" s="133">
        <v>16</v>
      </c>
      <c r="U12" s="133">
        <v>40</v>
      </c>
      <c r="V12" s="133"/>
      <c r="W12" s="133"/>
      <c r="X12" s="133" t="str">
        <f t="shared" si="0"/>
        <v/>
      </c>
      <c r="Y12" s="133" t="str">
        <f t="shared" si="1"/>
        <v/>
      </c>
      <c r="AU12" s="124"/>
      <c r="BF12" s="132"/>
      <c r="BG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row>
    <row r="13" spans="1:256" s="120" customFormat="1" ht="18.75" customHeight="1" x14ac:dyDescent="0.25">
      <c r="B13" s="288"/>
      <c r="C13" s="961" t="s">
        <v>348</v>
      </c>
      <c r="D13" s="962"/>
      <c r="E13" s="962"/>
      <c r="F13" s="962"/>
      <c r="G13" s="962"/>
      <c r="H13" s="962"/>
      <c r="I13" s="962"/>
      <c r="J13" s="962"/>
      <c r="K13" s="962"/>
      <c r="L13" s="179"/>
      <c r="M13" s="287"/>
      <c r="N13" s="118"/>
      <c r="O13" s="121" t="str">
        <f>IF(ISERROR(IF(OR(ISBLANK(L13),L12="T12, Instant Start, 25 Watt"),"",VLOOKUP(L13,X46:Y49,2,FALSE))),"",IF(OR(ISBLANK(L13),L12="T12, Instant Start, 25 Watt"),"",VLOOKUP(L13,X46:Y49,2,FALSE)))</f>
        <v/>
      </c>
      <c r="Q13" s="133" t="s">
        <v>349</v>
      </c>
      <c r="R13" s="133">
        <v>5</v>
      </c>
      <c r="S13" s="133" t="s">
        <v>350</v>
      </c>
      <c r="T13" s="134" t="s">
        <v>351</v>
      </c>
      <c r="U13" s="133" t="s">
        <v>352</v>
      </c>
      <c r="V13" s="133"/>
      <c r="W13" s="133"/>
      <c r="X13" s="133" t="str">
        <f t="shared" si="0"/>
        <v/>
      </c>
      <c r="Y13" s="133" t="str">
        <f t="shared" si="1"/>
        <v/>
      </c>
      <c r="BF13" s="132"/>
      <c r="BG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row>
    <row r="14" spans="1:256" s="120" customFormat="1" ht="18.75" customHeight="1" x14ac:dyDescent="0.25">
      <c r="B14" s="288"/>
      <c r="C14" s="961" t="str">
        <f>IF(L9="","",IF(OR(O9="F",O9="FU"),"Ballast Light Output (Ballast Factor) - Optional:",""))</f>
        <v/>
      </c>
      <c r="D14" s="962"/>
      <c r="E14" s="962"/>
      <c r="F14" s="962"/>
      <c r="G14" s="962"/>
      <c r="H14" s="962"/>
      <c r="I14" s="962"/>
      <c r="J14" s="962"/>
      <c r="K14" s="962"/>
      <c r="L14" s="179"/>
      <c r="M14" s="287"/>
      <c r="N14" s="118"/>
      <c r="O14" s="121" t="str">
        <f>IF(ISERROR(IF(OR(ISBLANK(L14),L14="Normal Light Output (Normal Ballast Factor)"),"","-"&amp;VLOOKUP(L14,X55:Y58,2,FALSE))),"",IF(OR(ISBLANK(L14),L14="Normal Light Output (Normal Ballast Factor)"),"","-"&amp;VLOOKUP(L14,X55:Y58,2,FALSE)))</f>
        <v/>
      </c>
      <c r="Q14" s="133" t="s">
        <v>353</v>
      </c>
      <c r="R14" s="133">
        <v>6</v>
      </c>
      <c r="S14" s="133" t="s">
        <v>354</v>
      </c>
      <c r="T14" s="134" t="s">
        <v>355</v>
      </c>
      <c r="U14" s="133" t="s">
        <v>356</v>
      </c>
      <c r="V14" s="133"/>
      <c r="W14" s="133"/>
      <c r="X14" s="133" t="str">
        <f t="shared" si="0"/>
        <v/>
      </c>
      <c r="Y14" s="133" t="str">
        <f t="shared" si="1"/>
        <v/>
      </c>
      <c r="BF14" s="132"/>
      <c r="BG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row>
    <row r="15" spans="1:256" s="120" customFormat="1" ht="18.75" customHeight="1" x14ac:dyDescent="0.25">
      <c r="B15" s="288"/>
      <c r="C15" s="961" t="str">
        <f>IF(L9="","",IF(OR(O9="F",O9="FU"),"Delamped/Tandem/Multiple Ballasts - Optional:",""))</f>
        <v/>
      </c>
      <c r="D15" s="962"/>
      <c r="E15" s="962"/>
      <c r="F15" s="962"/>
      <c r="G15" s="962"/>
      <c r="H15" s="962"/>
      <c r="I15" s="962"/>
      <c r="J15" s="962"/>
      <c r="K15" s="962"/>
      <c r="L15" s="179"/>
      <c r="M15" s="287"/>
      <c r="N15" s="118"/>
      <c r="O15" s="121" t="str">
        <f>IF(ISERROR(IF(ISBLANK(L15),"",VLOOKUP(L15,Q51:R52,2,FALSE))),"",IF(ISBLANK(L15),"",VLOOKUP(L15,Q51:R52,2,FALSE)))</f>
        <v/>
      </c>
      <c r="Q15" s="135" t="s">
        <v>357</v>
      </c>
      <c r="R15" s="133">
        <v>8</v>
      </c>
      <c r="S15" s="133" t="s">
        <v>358</v>
      </c>
      <c r="T15" s="133"/>
      <c r="U15" s="133">
        <v>44</v>
      </c>
      <c r="V15" s="133"/>
      <c r="W15" s="133"/>
      <c r="X15" s="133" t="str">
        <f t="shared" si="0"/>
        <v/>
      </c>
      <c r="Y15" s="133" t="str">
        <f t="shared" si="1"/>
        <v/>
      </c>
      <c r="BF15" s="132"/>
      <c r="BG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row>
    <row r="16" spans="1:256" s="120" customFormat="1" ht="18.75" customHeight="1" x14ac:dyDescent="0.25">
      <c r="B16" s="288"/>
      <c r="C16" s="961" t="str">
        <f>IF(L15="","",IF(L15="Delamped Fixture","Number of Delamped Ballasts per Fixture:",IF(L15="Tandem Wired Fixture","Number of Fixtures Per Ballast:",IF(L15="Multiple Ballasts","Number of Ballasts per Fixture:",""))))</f>
        <v/>
      </c>
      <c r="D16" s="962"/>
      <c r="E16" s="962"/>
      <c r="F16" s="962"/>
      <c r="G16" s="962"/>
      <c r="H16" s="962"/>
      <c r="I16" s="962"/>
      <c r="J16" s="962"/>
      <c r="K16" s="962"/>
      <c r="L16" s="179"/>
      <c r="M16" s="287"/>
      <c r="N16" s="118"/>
      <c r="O16" s="121" t="str">
        <f>IF(ISERROR(IF(ISBLANK(L15),"",IF(ISBLANK(L16),"",L16))),"",IF(ISBLANK(L15),"",IF(ISBLANK(L16),"",L16)))</f>
        <v/>
      </c>
      <c r="Q16" s="129" t="s">
        <v>359</v>
      </c>
      <c r="R16" s="130"/>
      <c r="S16" s="130"/>
      <c r="T16" s="130"/>
      <c r="V16" s="130"/>
      <c r="W16" s="126"/>
      <c r="X16" s="125" t="s">
        <v>334</v>
      </c>
      <c r="Y16" s="126"/>
      <c r="BF16" s="132"/>
      <c r="BG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row>
    <row r="17" spans="2:180" s="120" customFormat="1" ht="17.25" customHeight="1" thickBot="1" x14ac:dyDescent="0.3">
      <c r="B17" s="288"/>
      <c r="C17" s="973" t="s">
        <v>360</v>
      </c>
      <c r="D17" s="974"/>
      <c r="E17" s="974"/>
      <c r="F17" s="974"/>
      <c r="G17" s="974"/>
      <c r="H17" s="974"/>
      <c r="I17" s="974"/>
      <c r="J17" s="974"/>
      <c r="K17" s="974"/>
      <c r="L17" s="136" t="str">
        <f>IF(O17="Please fill in all applicable fields",O17,IF(ISERROR(VLOOKUP(O17,'Fixture Identities'!$A$5:$H$1023,1,FALSE)),"Use Fixture Code Table",VLOOKUP(O17,'Fixture Identities'!$A$5:$H$1023,1,FALSE)))</f>
        <v>Please fill in all applicable fields</v>
      </c>
      <c r="M17" s="287"/>
      <c r="N17" s="118"/>
      <c r="O17" s="121" t="str">
        <f>IF(OR(ISBLANK(L9),ISBLANK(L10),ISBLANK(L11),ISBLANK(L12),ISBLANK(L13)),"Please fill in all applicable fields",IF(O9="FC",CONCATENATE(O9,O10,"/",O11),CONCATENATE(O9,O10,O11,O12,O13,IF(OR(L15="Tandem Wired Fixture",L15="Delamped Fixture",L15="Multiple Ballasts"),"/",""),O15,O16,O14)))</f>
        <v>Please fill in all applicable fields</v>
      </c>
      <c r="Q17" s="133" t="s">
        <v>361</v>
      </c>
      <c r="R17" s="133">
        <v>0</v>
      </c>
      <c r="S17" s="133" t="s">
        <v>362</v>
      </c>
      <c r="T17" s="133">
        <v>1</v>
      </c>
      <c r="U17" s="137"/>
      <c r="V17" s="133" t="s">
        <v>362</v>
      </c>
      <c r="W17" s="133">
        <v>1</v>
      </c>
      <c r="X17" s="133" t="str">
        <f t="shared" ref="X17:Y24" si="2">IF(ISBLANK(IF($L$9=$Q$7,Q17,IF($L$9=$S$7,S17, IF($L$9=$V$7,V17,"")))),"",IF($L$9=$Q$7,Q17,IF($L$9=$S$7,S17, IF($L$9=$V$7,V17,""))))</f>
        <v/>
      </c>
      <c r="Y17" s="133" t="str">
        <f t="shared" si="2"/>
        <v/>
      </c>
      <c r="BF17" s="132"/>
      <c r="BG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row>
    <row r="18" spans="2:180" s="120" customFormat="1" ht="7.5" customHeight="1" x14ac:dyDescent="0.25">
      <c r="B18" s="288"/>
      <c r="C18" s="291"/>
      <c r="D18" s="291"/>
      <c r="E18" s="291"/>
      <c r="F18" s="291"/>
      <c r="G18" s="291"/>
      <c r="H18" s="291"/>
      <c r="I18" s="291"/>
      <c r="J18" s="291"/>
      <c r="K18" s="291"/>
      <c r="L18" s="291"/>
      <c r="M18" s="287"/>
      <c r="N18" s="118"/>
      <c r="Q18" s="133" t="s">
        <v>362</v>
      </c>
      <c r="R18" s="133">
        <v>1</v>
      </c>
      <c r="S18" s="133" t="s">
        <v>363</v>
      </c>
      <c r="T18" s="133">
        <v>2</v>
      </c>
      <c r="U18" s="137"/>
      <c r="V18" s="133" t="s">
        <v>363</v>
      </c>
      <c r="W18" s="133">
        <v>2</v>
      </c>
      <c r="X18" s="133" t="str">
        <f t="shared" si="2"/>
        <v/>
      </c>
      <c r="Y18" s="133" t="str">
        <f t="shared" si="2"/>
        <v/>
      </c>
      <c r="AU18" s="124"/>
      <c r="BF18" s="132"/>
      <c r="BG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row>
    <row r="19" spans="2:180" s="120" customFormat="1" ht="7.5" customHeight="1" thickBot="1" x14ac:dyDescent="0.3">
      <c r="B19" s="288"/>
      <c r="C19" s="291"/>
      <c r="D19" s="291"/>
      <c r="E19" s="291"/>
      <c r="F19" s="291"/>
      <c r="G19" s="291"/>
      <c r="H19" s="291"/>
      <c r="I19" s="291"/>
      <c r="J19" s="291"/>
      <c r="K19" s="291"/>
      <c r="L19" s="291"/>
      <c r="M19" s="287"/>
      <c r="N19" s="118"/>
      <c r="O19" s="121"/>
      <c r="Q19" s="133" t="s">
        <v>363</v>
      </c>
      <c r="R19" s="133">
        <v>2</v>
      </c>
      <c r="S19" s="133"/>
      <c r="T19" s="133"/>
      <c r="U19" s="137"/>
      <c r="V19" s="133" t="s">
        <v>364</v>
      </c>
      <c r="W19" s="133">
        <v>3</v>
      </c>
      <c r="X19" s="133" t="str">
        <f t="shared" si="2"/>
        <v/>
      </c>
      <c r="Y19" s="133" t="str">
        <f t="shared" si="2"/>
        <v/>
      </c>
      <c r="BF19" s="132"/>
      <c r="BG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row>
    <row r="20" spans="2:180" s="120" customFormat="1" ht="17.25" customHeight="1" thickBot="1" x14ac:dyDescent="0.3">
      <c r="B20" s="288"/>
      <c r="C20" s="975" t="s">
        <v>365</v>
      </c>
      <c r="D20" s="976"/>
      <c r="E20" s="976"/>
      <c r="F20" s="976"/>
      <c r="G20" s="976"/>
      <c r="H20" s="976"/>
      <c r="I20" s="976"/>
      <c r="J20" s="976"/>
      <c r="K20" s="976"/>
      <c r="L20" s="977"/>
      <c r="M20" s="287"/>
      <c r="N20" s="118"/>
      <c r="O20" s="121"/>
      <c r="Q20" s="133" t="s">
        <v>364</v>
      </c>
      <c r="R20" s="133">
        <v>3</v>
      </c>
      <c r="S20" s="133"/>
      <c r="T20" s="133"/>
      <c r="U20" s="137"/>
      <c r="V20" s="133"/>
      <c r="W20" s="133"/>
      <c r="X20" s="133" t="str">
        <f t="shared" si="2"/>
        <v/>
      </c>
      <c r="Y20" s="133" t="str">
        <f t="shared" si="2"/>
        <v/>
      </c>
      <c r="BF20" s="132"/>
      <c r="BG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row>
    <row r="21" spans="2:180" s="120" customFormat="1" ht="17.25" customHeight="1" x14ac:dyDescent="0.25">
      <c r="B21" s="288"/>
      <c r="C21" s="978" t="s">
        <v>331</v>
      </c>
      <c r="D21" s="979"/>
      <c r="E21" s="979"/>
      <c r="F21" s="979"/>
      <c r="G21" s="979"/>
      <c r="H21" s="979"/>
      <c r="I21" s="979"/>
      <c r="J21" s="979"/>
      <c r="K21" s="980"/>
      <c r="L21" s="180"/>
      <c r="M21" s="287"/>
      <c r="N21" s="118"/>
      <c r="O21" s="121"/>
      <c r="Q21" s="133" t="s">
        <v>366</v>
      </c>
      <c r="R21" s="133">
        <v>4</v>
      </c>
      <c r="S21" s="133"/>
      <c r="T21" s="133"/>
      <c r="U21" s="137"/>
      <c r="V21" s="133"/>
      <c r="W21" s="133"/>
      <c r="X21" s="133" t="str">
        <f t="shared" si="2"/>
        <v/>
      </c>
      <c r="Y21" s="133" t="str">
        <f t="shared" si="2"/>
        <v/>
      </c>
      <c r="BF21" s="132"/>
      <c r="BG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row>
    <row r="22" spans="2:180" s="120" customFormat="1" ht="17.25" customHeight="1" x14ac:dyDescent="0.25">
      <c r="B22" s="288"/>
      <c r="C22" s="981" t="s">
        <v>335</v>
      </c>
      <c r="D22" s="982"/>
      <c r="E22" s="982"/>
      <c r="F22" s="982"/>
      <c r="G22" s="982"/>
      <c r="H22" s="982"/>
      <c r="I22" s="982"/>
      <c r="J22" s="982"/>
      <c r="K22" s="983"/>
      <c r="L22" s="179"/>
      <c r="M22" s="287"/>
      <c r="N22" s="118"/>
      <c r="O22" s="121" t="str">
        <f>IF(ISERROR(IF(OR(ISBLANK(L21),ISBLANK(L22)),"",VLOOKUP(L22,Y63:Z67,2,FALSE))),"",IF(OR(ISBLANK(L21),ISBLANK(L22)),"",VLOOKUP(L22,Y63:Z67,2,FALSE)))</f>
        <v/>
      </c>
      <c r="Q22" s="133" t="s">
        <v>367</v>
      </c>
      <c r="R22" s="133">
        <v>5</v>
      </c>
      <c r="S22" s="133"/>
      <c r="T22" s="133"/>
      <c r="U22" s="137"/>
      <c r="V22" s="133"/>
      <c r="W22" s="133"/>
      <c r="X22" s="133" t="str">
        <f t="shared" si="2"/>
        <v/>
      </c>
      <c r="Y22" s="133" t="str">
        <f t="shared" si="2"/>
        <v/>
      </c>
      <c r="BF22" s="132"/>
      <c r="BG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row>
    <row r="23" spans="2:180" s="120" customFormat="1" ht="17.25" customHeight="1" x14ac:dyDescent="0.25">
      <c r="B23" s="288"/>
      <c r="C23" s="981" t="s">
        <v>368</v>
      </c>
      <c r="D23" s="982"/>
      <c r="E23" s="982"/>
      <c r="F23" s="982"/>
      <c r="G23" s="982"/>
      <c r="H23" s="982"/>
      <c r="I23" s="982"/>
      <c r="J23" s="982"/>
      <c r="K23" s="983"/>
      <c r="L23" s="179" t="s">
        <v>369</v>
      </c>
      <c r="M23" s="287"/>
      <c r="N23" s="118"/>
      <c r="O23" s="121" t="str">
        <f>IF(ISBLANK(L23),"",L23)</f>
        <v/>
      </c>
      <c r="Q23" s="133" t="s">
        <v>370</v>
      </c>
      <c r="R23" s="133">
        <v>6</v>
      </c>
      <c r="S23" s="133"/>
      <c r="T23" s="133"/>
      <c r="U23" s="137"/>
      <c r="V23" s="133"/>
      <c r="W23" s="133"/>
      <c r="X23" s="133" t="str">
        <f t="shared" si="2"/>
        <v/>
      </c>
      <c r="Y23" s="133" t="str">
        <f t="shared" si="2"/>
        <v/>
      </c>
      <c r="BF23" s="132"/>
      <c r="BG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row>
    <row r="24" spans="2:180" s="120" customFormat="1" ht="17.25" customHeight="1" x14ac:dyDescent="0.25">
      <c r="B24" s="288"/>
      <c r="C24" s="981" t="s">
        <v>342</v>
      </c>
      <c r="D24" s="982"/>
      <c r="E24" s="982"/>
      <c r="F24" s="982"/>
      <c r="G24" s="982"/>
      <c r="H24" s="982"/>
      <c r="I24" s="982"/>
      <c r="J24" s="982"/>
      <c r="K24" s="983"/>
      <c r="L24" s="179"/>
      <c r="M24" s="287"/>
      <c r="N24" s="118"/>
      <c r="O24" s="121" t="str">
        <f>IF(ISBLANK(L24),"",VLOOKUP(L24,Y69:Z77,2,FALSE))</f>
        <v/>
      </c>
      <c r="Q24" s="133" t="s">
        <v>371</v>
      </c>
      <c r="R24" s="133">
        <v>8</v>
      </c>
      <c r="S24" s="133"/>
      <c r="T24" s="133"/>
      <c r="U24" s="137"/>
      <c r="V24" s="133"/>
      <c r="W24" s="133"/>
      <c r="X24" s="133" t="str">
        <f t="shared" si="2"/>
        <v/>
      </c>
      <c r="Y24" s="133" t="str">
        <f t="shared" si="2"/>
        <v/>
      </c>
      <c r="BF24" s="132"/>
      <c r="BG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row>
    <row r="25" spans="2:180" s="120" customFormat="1" ht="17.25" customHeight="1" x14ac:dyDescent="0.25">
      <c r="B25" s="288"/>
      <c r="C25" s="981" t="str">
        <f>IF(OR(L22=Q64,L22=Q65,L22=Q66),"Lamp Length - Optional:","")</f>
        <v/>
      </c>
      <c r="D25" s="982"/>
      <c r="E25" s="982"/>
      <c r="F25" s="982"/>
      <c r="G25" s="982"/>
      <c r="H25" s="982"/>
      <c r="I25" s="982"/>
      <c r="J25" s="982"/>
      <c r="K25" s="983"/>
      <c r="L25" s="179"/>
      <c r="M25" s="287"/>
      <c r="N25" s="118"/>
      <c r="O25" s="121" t="str">
        <f>IF(L25="Long","-L","")</f>
        <v/>
      </c>
      <c r="Q25" s="129" t="s">
        <v>255</v>
      </c>
      <c r="R25" s="130"/>
      <c r="S25" s="130"/>
      <c r="T25" s="130"/>
      <c r="V25" s="130"/>
      <c r="W25" s="130"/>
      <c r="X25" s="125" t="s">
        <v>334</v>
      </c>
      <c r="Y25" s="126"/>
      <c r="BF25" s="132"/>
      <c r="BG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row>
    <row r="26" spans="2:180" s="120" customFormat="1" ht="17.25" customHeight="1" x14ac:dyDescent="0.25">
      <c r="B26" s="288"/>
      <c r="C26" s="981" t="str">
        <f>IF(L22=Q65,"Lamp Subtype - Optional:","")</f>
        <v/>
      </c>
      <c r="D26" s="982"/>
      <c r="E26" s="982"/>
      <c r="F26" s="982"/>
      <c r="G26" s="982"/>
      <c r="H26" s="982"/>
      <c r="I26" s="982"/>
      <c r="J26" s="982"/>
      <c r="K26" s="983"/>
      <c r="L26" s="181"/>
      <c r="M26" s="287"/>
      <c r="N26" s="118"/>
      <c r="O26" s="121" t="str">
        <f>IF(L26="Biax","-BX","")</f>
        <v/>
      </c>
      <c r="Q26" s="133" t="s">
        <v>372</v>
      </c>
      <c r="R26" s="133" t="s">
        <v>274</v>
      </c>
      <c r="S26" s="133" t="s">
        <v>338</v>
      </c>
      <c r="T26" s="133"/>
      <c r="U26" s="137"/>
      <c r="V26" s="133" t="s">
        <v>373</v>
      </c>
      <c r="W26" s="133" t="s">
        <v>261</v>
      </c>
      <c r="X26" s="133" t="str">
        <f t="shared" ref="X26:Y44" si="3">IF(ISBLANK(IF($L$9=$Q$7,Q26,IF($L$9=$S$7,S26, IF($L$9=$V$7,V26,"")))),"",IF($L$9=$Q$7,Q26,IF($L$9=$S$7,S26, IF($L$9=$V$7,V26,""))))</f>
        <v/>
      </c>
      <c r="Y26" s="133" t="str">
        <f t="shared" si="3"/>
        <v/>
      </c>
      <c r="AT26" s="124"/>
      <c r="BF26" s="132"/>
      <c r="BG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row>
    <row r="27" spans="2:180" s="120" customFormat="1" ht="17.25" customHeight="1" x14ac:dyDescent="0.25">
      <c r="B27" s="288"/>
      <c r="C27" s="981" t="str">
        <f>IF(AND(O22="CFT",OR(O24=6,O24=8)),"Ballast Factor - Optional:","")</f>
        <v/>
      </c>
      <c r="D27" s="982"/>
      <c r="E27" s="982"/>
      <c r="F27" s="982"/>
      <c r="G27" s="982"/>
      <c r="H27" s="982"/>
      <c r="I27" s="982"/>
      <c r="J27" s="982"/>
      <c r="K27" s="983"/>
      <c r="L27" s="181"/>
      <c r="M27" s="287"/>
      <c r="N27" s="118"/>
      <c r="O27" s="121" t="str">
        <f>IF(L27="High Ballast Factor","-H","")</f>
        <v/>
      </c>
      <c r="Q27" s="133" t="s">
        <v>374</v>
      </c>
      <c r="R27" s="133" t="s">
        <v>277</v>
      </c>
      <c r="S27" s="133"/>
      <c r="T27" s="133"/>
      <c r="U27" s="137"/>
      <c r="V27" s="133" t="s">
        <v>375</v>
      </c>
      <c r="W27" s="133" t="s">
        <v>220</v>
      </c>
      <c r="X27" s="133" t="str">
        <f t="shared" si="3"/>
        <v/>
      </c>
      <c r="Y27" s="133" t="str">
        <f t="shared" si="3"/>
        <v/>
      </c>
      <c r="AX27" s="138"/>
      <c r="BF27" s="132"/>
      <c r="BG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row>
    <row r="28" spans="2:180" s="120" customFormat="1" ht="17.25" customHeight="1" thickBot="1" x14ac:dyDescent="0.3">
      <c r="B28" s="288"/>
      <c r="C28" s="970" t="s">
        <v>360</v>
      </c>
      <c r="D28" s="971"/>
      <c r="E28" s="971"/>
      <c r="F28" s="971"/>
      <c r="G28" s="971"/>
      <c r="H28" s="971"/>
      <c r="I28" s="971"/>
      <c r="J28" s="971"/>
      <c r="K28" s="972"/>
      <c r="L28" s="136" t="str">
        <f>IF(O28="Please fill in all applicable fields",O28,IF(ISERROR(VLOOKUP(O28,'Fixture Identities'!$A$5:$H$1023,1,FALSE)),"Use Cut Sheet Fixture",VLOOKUP(O28,'Fixture Identities'!$A$5:$H$1023,1,FALSE)))</f>
        <v>Please fill in all applicable fields</v>
      </c>
      <c r="M28" s="287"/>
      <c r="N28" s="118"/>
      <c r="O28" s="121" t="str">
        <f>IF(OR(ISBLANK(L21),ISBLANK(L22),ISBLANK(L23),ISBLANK(L24)),"Please fill in all applicable fields",IF(L22="Double-D shape",IF(O24=1,CONCATENATE(O22,O23,"/",AR7,O25,O26),"Error"),CONCATENATE(O22,O23,IF(AND(ISBLANK(L24),ISBLANK(L26)),"","/"),O24,O25,O26,O27)))</f>
        <v>Please fill in all applicable fields</v>
      </c>
      <c r="Q28" s="133" t="s">
        <v>373</v>
      </c>
      <c r="R28" s="133" t="s">
        <v>261</v>
      </c>
      <c r="S28" s="133"/>
      <c r="T28" s="133"/>
      <c r="U28" s="137"/>
      <c r="V28" s="133" t="s">
        <v>289</v>
      </c>
      <c r="W28" s="133" t="s">
        <v>224</v>
      </c>
      <c r="X28" s="133" t="str">
        <f t="shared" si="3"/>
        <v/>
      </c>
      <c r="Y28" s="133" t="str">
        <f t="shared" si="3"/>
        <v/>
      </c>
      <c r="AS28" s="139"/>
      <c r="AT28" s="139"/>
      <c r="AU28" s="139"/>
      <c r="AV28" s="139"/>
      <c r="AW28" s="139"/>
      <c r="AX28" s="139"/>
      <c r="AY28" s="139"/>
      <c r="BF28" s="132"/>
      <c r="BG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row>
    <row r="29" spans="2:180" s="120" customFormat="1" ht="16.5" customHeight="1" thickBot="1" x14ac:dyDescent="0.3">
      <c r="B29" s="288"/>
      <c r="C29" s="291"/>
      <c r="D29" s="291"/>
      <c r="E29" s="291"/>
      <c r="F29" s="291"/>
      <c r="G29" s="291"/>
      <c r="H29" s="291"/>
      <c r="I29" s="291"/>
      <c r="J29" s="291"/>
      <c r="K29" s="291"/>
      <c r="L29" s="291"/>
      <c r="M29" s="287"/>
      <c r="N29" s="118"/>
      <c r="O29" s="121"/>
      <c r="Q29" s="133" t="s">
        <v>376</v>
      </c>
      <c r="R29" s="133" t="s">
        <v>264</v>
      </c>
      <c r="S29" s="133"/>
      <c r="T29" s="133"/>
      <c r="U29" s="137"/>
      <c r="V29" s="133" t="s">
        <v>377</v>
      </c>
      <c r="W29" s="133" t="s">
        <v>228</v>
      </c>
      <c r="X29" s="133" t="str">
        <f t="shared" si="3"/>
        <v/>
      </c>
      <c r="Y29" s="133" t="str">
        <f t="shared" si="3"/>
        <v/>
      </c>
      <c r="BF29" s="132"/>
      <c r="BG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row>
    <row r="30" spans="2:180" s="120" customFormat="1" ht="17.25" customHeight="1" x14ac:dyDescent="0.25">
      <c r="B30" s="288"/>
      <c r="C30" s="984" t="s">
        <v>378</v>
      </c>
      <c r="D30" s="985"/>
      <c r="E30" s="985"/>
      <c r="F30" s="985"/>
      <c r="G30" s="985"/>
      <c r="H30" s="985"/>
      <c r="I30" s="985"/>
      <c r="J30" s="985"/>
      <c r="K30" s="985"/>
      <c r="L30" s="986"/>
      <c r="M30" s="287"/>
      <c r="N30" s="118"/>
      <c r="O30" s="121"/>
      <c r="P30" s="139"/>
      <c r="Q30" s="133" t="s">
        <v>379</v>
      </c>
      <c r="R30" s="133" t="s">
        <v>266</v>
      </c>
      <c r="S30" s="133"/>
      <c r="T30" s="133"/>
      <c r="U30" s="137"/>
      <c r="V30" s="133"/>
      <c r="W30" s="133"/>
      <c r="X30" s="133" t="str">
        <f t="shared" si="3"/>
        <v/>
      </c>
      <c r="Y30" s="133" t="str">
        <f t="shared" si="3"/>
        <v/>
      </c>
      <c r="AA30" s="139"/>
      <c r="AB30" s="139"/>
      <c r="AC30" s="139"/>
      <c r="AD30" s="139"/>
      <c r="AE30" s="139"/>
      <c r="AF30" s="139"/>
      <c r="AG30" s="139"/>
      <c r="AH30" s="139"/>
      <c r="AI30" s="139"/>
      <c r="AJ30" s="139"/>
      <c r="AO30" s="140"/>
      <c r="AP30" s="140"/>
      <c r="BF30" s="132"/>
      <c r="BG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row>
    <row r="31" spans="2:180" s="120" customFormat="1" ht="16.5" customHeight="1" x14ac:dyDescent="0.25">
      <c r="B31" s="288"/>
      <c r="C31" s="961" t="s">
        <v>331</v>
      </c>
      <c r="D31" s="962"/>
      <c r="E31" s="962"/>
      <c r="F31" s="962"/>
      <c r="G31" s="962"/>
      <c r="H31" s="962"/>
      <c r="I31" s="962"/>
      <c r="J31" s="962"/>
      <c r="K31" s="962"/>
      <c r="L31" s="179"/>
      <c r="M31" s="287"/>
      <c r="N31" s="118"/>
      <c r="O31" s="141" t="str">
        <f>IF(L31="Incandescent","I","")</f>
        <v/>
      </c>
      <c r="P31" s="139"/>
      <c r="Q31" s="133" t="s">
        <v>380</v>
      </c>
      <c r="R31" s="133" t="s">
        <v>381</v>
      </c>
      <c r="S31" s="133"/>
      <c r="T31" s="133"/>
      <c r="U31" s="137"/>
      <c r="V31" s="133"/>
      <c r="W31" s="133"/>
      <c r="X31" s="133" t="str">
        <f t="shared" si="3"/>
        <v/>
      </c>
      <c r="Y31" s="133" t="str">
        <f t="shared" si="3"/>
        <v/>
      </c>
      <c r="AA31" s="139"/>
      <c r="AB31" s="139"/>
      <c r="AC31" s="139"/>
      <c r="AD31" s="139"/>
      <c r="AE31" s="139"/>
      <c r="AF31" s="139"/>
      <c r="AG31" s="139"/>
      <c r="AH31" s="139"/>
      <c r="AI31" s="139"/>
      <c r="AJ31" s="139"/>
      <c r="AO31" s="140"/>
      <c r="AP31" s="140"/>
      <c r="BF31" s="132"/>
      <c r="BG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row>
    <row r="32" spans="2:180" s="120" customFormat="1" ht="16.5" customHeight="1" x14ac:dyDescent="0.25">
      <c r="B32" s="288"/>
      <c r="C32" s="961" t="s">
        <v>335</v>
      </c>
      <c r="D32" s="962"/>
      <c r="E32" s="962"/>
      <c r="F32" s="962"/>
      <c r="G32" s="962"/>
      <c r="H32" s="962"/>
      <c r="I32" s="962"/>
      <c r="J32" s="962"/>
      <c r="K32" s="962"/>
      <c r="L32" s="179"/>
      <c r="M32" s="287"/>
      <c r="N32" s="118"/>
      <c r="O32" s="121" t="str">
        <f>IF(ISERROR(IF(OR(ISBLANK(L31),ISBLANK(L32)),"",VLOOKUP(L32,$AC$100:$AD$103,2,FALSE))),"",IF(OR(ISBLANK(L31),ISBLANK(L32)),"",VLOOKUP(L32,$AC$100:$AD$103,2,FALSE)))</f>
        <v/>
      </c>
      <c r="P32" s="139"/>
      <c r="Q32" s="133" t="s">
        <v>382</v>
      </c>
      <c r="R32" s="120" t="s">
        <v>383</v>
      </c>
      <c r="S32" s="133"/>
      <c r="T32" s="133"/>
      <c r="U32" s="137"/>
      <c r="V32" s="133"/>
      <c r="W32" s="133"/>
      <c r="X32" s="133" t="str">
        <f t="shared" si="3"/>
        <v/>
      </c>
      <c r="Y32" s="133" t="str">
        <f t="shared" si="3"/>
        <v/>
      </c>
      <c r="AD32" s="139"/>
      <c r="AE32" s="139"/>
      <c r="AF32" s="139"/>
      <c r="AG32" s="139"/>
      <c r="AH32" s="139"/>
      <c r="AI32" s="139"/>
      <c r="AO32" s="140"/>
      <c r="AP32" s="140"/>
      <c r="BF32" s="132"/>
      <c r="BG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row>
    <row r="33" spans="2:180" s="120" customFormat="1" ht="16.5" customHeight="1" x14ac:dyDescent="0.25">
      <c r="B33" s="288"/>
      <c r="C33" s="961" t="s">
        <v>368</v>
      </c>
      <c r="D33" s="962"/>
      <c r="E33" s="962"/>
      <c r="F33" s="962"/>
      <c r="G33" s="962"/>
      <c r="H33" s="962"/>
      <c r="I33" s="962"/>
      <c r="J33" s="962"/>
      <c r="K33" s="962"/>
      <c r="L33" s="179"/>
      <c r="M33" s="287"/>
      <c r="N33" s="118"/>
      <c r="O33" s="121" t="str">
        <f>IF(ISERROR(IF(ISBLANK(L33),"",L33)),"",IF(ISBLANK(L33),"",L33))</f>
        <v/>
      </c>
      <c r="Q33" s="133" t="s">
        <v>375</v>
      </c>
      <c r="R33" s="133" t="s">
        <v>220</v>
      </c>
      <c r="S33" s="133"/>
      <c r="T33" s="133"/>
      <c r="U33" s="137"/>
      <c r="V33" s="133"/>
      <c r="W33" s="133"/>
      <c r="X33" s="133" t="str">
        <f t="shared" si="3"/>
        <v/>
      </c>
      <c r="Y33" s="133" t="str">
        <f t="shared" si="3"/>
        <v/>
      </c>
      <c r="Z33" s="139"/>
      <c r="AA33" s="139"/>
      <c r="AB33" s="139"/>
      <c r="AC33" s="139"/>
      <c r="AO33" s="140"/>
      <c r="AP33" s="140"/>
      <c r="BF33" s="132"/>
      <c r="BG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row>
    <row r="34" spans="2:180" s="120" customFormat="1" ht="16.5" customHeight="1" x14ac:dyDescent="0.25">
      <c r="B34" s="288"/>
      <c r="C34" s="961" t="s">
        <v>342</v>
      </c>
      <c r="D34" s="962"/>
      <c r="E34" s="962"/>
      <c r="F34" s="962"/>
      <c r="G34" s="962"/>
      <c r="H34" s="962"/>
      <c r="I34" s="962"/>
      <c r="J34" s="962"/>
      <c r="K34" s="962"/>
      <c r="L34" s="179"/>
      <c r="M34" s="287"/>
      <c r="N34" s="118"/>
      <c r="O34" s="121" t="str">
        <f>IF(ISERROR(IF(ISBLANK(L34),"",VLOOKUP(L34,AC105:AD109,2,FALSE))),"",IF(ISBLANK(L34),"",VLOOKUP(L34,AC105:AD109,2,FALSE)))</f>
        <v/>
      </c>
      <c r="Q34" s="133" t="s">
        <v>384</v>
      </c>
      <c r="R34" s="120" t="s">
        <v>385</v>
      </c>
      <c r="S34" s="133"/>
      <c r="T34" s="133"/>
      <c r="U34" s="137"/>
      <c r="V34" s="133"/>
      <c r="W34" s="133"/>
      <c r="X34" s="133" t="str">
        <f t="shared" si="3"/>
        <v/>
      </c>
      <c r="Y34" s="133" t="str">
        <f t="shared" si="3"/>
        <v/>
      </c>
      <c r="AD34" s="124"/>
      <c r="AO34" s="140"/>
      <c r="AP34" s="140"/>
      <c r="BF34" s="132"/>
      <c r="BG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row>
    <row r="35" spans="2:180" s="120" customFormat="1" ht="16.5" customHeight="1" x14ac:dyDescent="0.25">
      <c r="B35" s="288"/>
      <c r="C35" s="961" t="str">
        <f>IF(O32="MHPS","Ballast Type:","")</f>
        <v/>
      </c>
      <c r="D35" s="962"/>
      <c r="E35" s="962"/>
      <c r="F35" s="962"/>
      <c r="G35" s="962"/>
      <c r="H35" s="962"/>
      <c r="I35" s="962"/>
      <c r="J35" s="962"/>
      <c r="K35" s="962"/>
      <c r="L35" s="179"/>
      <c r="M35" s="287"/>
      <c r="N35" s="118"/>
      <c r="O35" s="121" t="str">
        <f>IF(ISERROR(IF(ISBLANK(L35),"",VLOOKUP(L35,AC111:AD112,2,FALSE))),"",IF(ISBLANK(L35),"",VLOOKUP(L35,AC111:AD112,2,FALSE)))</f>
        <v/>
      </c>
      <c r="Q35" s="133" t="s">
        <v>298</v>
      </c>
      <c r="R35" s="133" t="s">
        <v>237</v>
      </c>
      <c r="S35" s="133"/>
      <c r="T35" s="133"/>
      <c r="U35" s="137"/>
      <c r="V35" s="133"/>
      <c r="W35" s="133"/>
      <c r="X35" s="133" t="str">
        <f t="shared" si="3"/>
        <v/>
      </c>
      <c r="Y35" s="133" t="str">
        <f t="shared" si="3"/>
        <v/>
      </c>
      <c r="AO35" s="140"/>
      <c r="AP35" s="140"/>
      <c r="BF35" s="132"/>
      <c r="BG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row>
    <row r="36" spans="2:180" s="120" customFormat="1" ht="17.25" customHeight="1" thickBot="1" x14ac:dyDescent="0.3">
      <c r="B36" s="288"/>
      <c r="C36" s="973" t="s">
        <v>360</v>
      </c>
      <c r="D36" s="974"/>
      <c r="E36" s="974"/>
      <c r="F36" s="974"/>
      <c r="G36" s="974"/>
      <c r="H36" s="974"/>
      <c r="I36" s="974"/>
      <c r="J36" s="974"/>
      <c r="K36" s="974"/>
      <c r="L36" s="136" t="str">
        <f>IF(O36="Please fill in all applicable fields",O36,IF(ISERROR(VLOOKUP(O36,'Fixture Identities'!$A$5:$H$1023,1,FALSE)),"Use Cut Sheet Fixture",VLOOKUP(O36,'Fixture Identities'!$A$5:$H$1023,1,FALSE)))</f>
        <v>Please fill in all applicable fields</v>
      </c>
      <c r="M36" s="287"/>
      <c r="N36" s="118"/>
      <c r="O36" s="121" t="str">
        <f>IF(OR(ISBLANK(L31),ISBLANK(L32),ISBLANK(L33), ISBLANK(L34),AND(O32="MHPS",ISBLANK(L35))),"Please fill in all applicable fields",IF(O31="I",CONCATENATE(O31,O33,O32,"/",O34),IF(O32="MHPS",CONCATENATE(O32,"/",O35,"/",O33,"/",O34),CONCATENATE(O32,O33,IF(AND(ISBLANK(L34),ISBLANK(L35)),"","/"),O34,O35))))</f>
        <v>Please fill in all applicable fields</v>
      </c>
      <c r="Q36" s="133" t="s">
        <v>289</v>
      </c>
      <c r="R36" s="133" t="s">
        <v>224</v>
      </c>
      <c r="S36" s="133"/>
      <c r="T36" s="133"/>
      <c r="U36" s="137"/>
      <c r="V36" s="133"/>
      <c r="W36" s="133"/>
      <c r="X36" s="133" t="str">
        <f t="shared" si="3"/>
        <v/>
      </c>
      <c r="Y36" s="133" t="str">
        <f t="shared" si="3"/>
        <v/>
      </c>
      <c r="AO36" s="140"/>
      <c r="AP36" s="140"/>
      <c r="BF36" s="132"/>
      <c r="BG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row>
    <row r="37" spans="2:180" s="120" customFormat="1" x14ac:dyDescent="0.25">
      <c r="B37" s="288"/>
      <c r="C37" s="291"/>
      <c r="D37" s="291"/>
      <c r="E37" s="291"/>
      <c r="F37" s="291"/>
      <c r="G37" s="291"/>
      <c r="H37" s="291"/>
      <c r="I37" s="291"/>
      <c r="J37" s="291"/>
      <c r="K37" s="291"/>
      <c r="L37" s="291"/>
      <c r="M37" s="287"/>
      <c r="N37" s="118"/>
      <c r="O37" s="121"/>
      <c r="Q37" s="133" t="s">
        <v>291</v>
      </c>
      <c r="R37" s="133" t="s">
        <v>386</v>
      </c>
      <c r="S37" s="133"/>
      <c r="T37" s="133"/>
      <c r="U37" s="137"/>
      <c r="V37" s="133"/>
      <c r="W37" s="133"/>
      <c r="X37" s="133" t="str">
        <f t="shared" si="3"/>
        <v/>
      </c>
      <c r="Y37" s="133" t="str">
        <f t="shared" si="3"/>
        <v/>
      </c>
      <c r="AO37" s="140"/>
      <c r="AP37" s="140"/>
      <c r="BF37" s="132"/>
      <c r="BG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row>
    <row r="38" spans="2:180" s="120" customFormat="1" ht="12.75" customHeight="1" x14ac:dyDescent="0.25">
      <c r="B38" s="288"/>
      <c r="C38" s="987" t="s">
        <v>387</v>
      </c>
      <c r="D38" s="987"/>
      <c r="E38" s="987"/>
      <c r="F38" s="987"/>
      <c r="G38" s="987"/>
      <c r="H38" s="987"/>
      <c r="I38" s="987"/>
      <c r="J38" s="987"/>
      <c r="K38" s="987"/>
      <c r="L38" s="988"/>
      <c r="M38" s="287"/>
      <c r="N38" s="118"/>
      <c r="O38" s="121"/>
      <c r="Q38" s="133" t="s">
        <v>294</v>
      </c>
      <c r="R38" s="133" t="s">
        <v>293</v>
      </c>
      <c r="S38" s="133"/>
      <c r="T38" s="133"/>
      <c r="U38" s="137"/>
      <c r="V38" s="133"/>
      <c r="W38" s="133"/>
      <c r="X38" s="133" t="str">
        <f t="shared" si="3"/>
        <v/>
      </c>
      <c r="Y38" s="133" t="str">
        <f t="shared" si="3"/>
        <v/>
      </c>
      <c r="AO38" s="140"/>
      <c r="AP38" s="140"/>
      <c r="BF38" s="132"/>
      <c r="BG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row>
    <row r="39" spans="2:180" s="120" customFormat="1" ht="12.75" customHeight="1" x14ac:dyDescent="0.25">
      <c r="B39" s="288"/>
      <c r="C39" s="988"/>
      <c r="D39" s="988"/>
      <c r="E39" s="988"/>
      <c r="F39" s="988"/>
      <c r="G39" s="988"/>
      <c r="H39" s="988"/>
      <c r="I39" s="988"/>
      <c r="J39" s="988"/>
      <c r="K39" s="988"/>
      <c r="L39" s="988"/>
      <c r="M39" s="287"/>
      <c r="N39" s="118"/>
      <c r="O39" s="121"/>
      <c r="Q39" s="133" t="s">
        <v>297</v>
      </c>
      <c r="R39" s="133" t="s">
        <v>296</v>
      </c>
      <c r="S39" s="133"/>
      <c r="T39" s="133"/>
      <c r="U39" s="137"/>
      <c r="V39" s="133"/>
      <c r="W39" s="133"/>
      <c r="X39" s="133" t="str">
        <f t="shared" si="3"/>
        <v/>
      </c>
      <c r="Y39" s="133" t="str">
        <f t="shared" si="3"/>
        <v/>
      </c>
      <c r="AO39" s="140"/>
      <c r="AP39" s="140"/>
      <c r="BF39" s="132"/>
      <c r="BG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row>
    <row r="40" spans="2:180" s="120" customFormat="1" ht="13.5" customHeight="1" x14ac:dyDescent="0.25">
      <c r="B40" s="288"/>
      <c r="C40" s="988"/>
      <c r="D40" s="988"/>
      <c r="E40" s="988"/>
      <c r="F40" s="988"/>
      <c r="G40" s="988"/>
      <c r="H40" s="988"/>
      <c r="I40" s="988"/>
      <c r="J40" s="988"/>
      <c r="K40" s="988"/>
      <c r="L40" s="988"/>
      <c r="M40" s="287"/>
      <c r="N40" s="118"/>
      <c r="O40" s="121"/>
      <c r="Q40" s="133" t="s">
        <v>388</v>
      </c>
      <c r="R40" s="120" t="s">
        <v>389</v>
      </c>
      <c r="S40" s="133"/>
      <c r="T40" s="133"/>
      <c r="U40" s="137"/>
      <c r="V40" s="133"/>
      <c r="W40" s="133"/>
      <c r="X40" s="133" t="str">
        <f t="shared" si="3"/>
        <v/>
      </c>
      <c r="Y40" s="133" t="str">
        <f t="shared" si="3"/>
        <v/>
      </c>
      <c r="AO40" s="140"/>
      <c r="AP40" s="140"/>
      <c r="BF40" s="132"/>
      <c r="BG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row>
    <row r="41" spans="2:180" s="120" customFormat="1" ht="15" customHeight="1" x14ac:dyDescent="0.25">
      <c r="B41" s="288"/>
      <c r="C41" s="988"/>
      <c r="D41" s="988"/>
      <c r="E41" s="988"/>
      <c r="F41" s="988"/>
      <c r="G41" s="988"/>
      <c r="H41" s="988"/>
      <c r="I41" s="988"/>
      <c r="J41" s="988"/>
      <c r="K41" s="988"/>
      <c r="L41" s="988"/>
      <c r="M41" s="287"/>
      <c r="N41" s="118"/>
      <c r="O41" s="121"/>
      <c r="Q41" s="133" t="s">
        <v>377</v>
      </c>
      <c r="R41" s="133" t="s">
        <v>228</v>
      </c>
      <c r="S41" s="133"/>
      <c r="T41" s="133"/>
      <c r="U41" s="137"/>
      <c r="V41" s="133"/>
      <c r="W41" s="133"/>
      <c r="X41" s="133" t="str">
        <f t="shared" si="3"/>
        <v/>
      </c>
      <c r="Y41" s="133" t="str">
        <f t="shared" si="3"/>
        <v/>
      </c>
      <c r="AO41" s="140"/>
      <c r="AP41" s="140"/>
      <c r="BF41" s="132"/>
      <c r="BG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row>
    <row r="42" spans="2:180" s="120" customFormat="1" ht="15" customHeight="1" x14ac:dyDescent="0.25">
      <c r="B42" s="288"/>
      <c r="C42" s="988"/>
      <c r="D42" s="988"/>
      <c r="E42" s="988"/>
      <c r="F42" s="988"/>
      <c r="G42" s="988"/>
      <c r="H42" s="988"/>
      <c r="I42" s="988"/>
      <c r="J42" s="988"/>
      <c r="K42" s="988"/>
      <c r="L42" s="988"/>
      <c r="M42" s="287"/>
      <c r="N42" s="118"/>
      <c r="O42" s="121"/>
      <c r="Q42" s="133" t="s">
        <v>390</v>
      </c>
      <c r="R42" s="133" t="s">
        <v>281</v>
      </c>
      <c r="S42" s="133"/>
      <c r="T42" s="133"/>
      <c r="U42" s="137"/>
      <c r="V42" s="133"/>
      <c r="W42" s="133"/>
      <c r="X42" s="133" t="str">
        <f t="shared" si="3"/>
        <v/>
      </c>
      <c r="Y42" s="133" t="str">
        <f t="shared" si="3"/>
        <v/>
      </c>
      <c r="AO42" s="140"/>
      <c r="AP42" s="140"/>
      <c r="BF42" s="132"/>
      <c r="BG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row>
    <row r="43" spans="2:180" s="120" customFormat="1" x14ac:dyDescent="0.25">
      <c r="B43" s="288"/>
      <c r="C43" s="988"/>
      <c r="D43" s="988"/>
      <c r="E43" s="988"/>
      <c r="F43" s="988"/>
      <c r="G43" s="988"/>
      <c r="H43" s="988"/>
      <c r="I43" s="988"/>
      <c r="J43" s="988"/>
      <c r="K43" s="988"/>
      <c r="L43" s="988"/>
      <c r="M43" s="287"/>
      <c r="N43" s="118"/>
      <c r="O43" s="121"/>
      <c r="Q43" s="133" t="s">
        <v>391</v>
      </c>
      <c r="R43" s="133" t="s">
        <v>208</v>
      </c>
      <c r="S43" s="133"/>
      <c r="T43" s="133"/>
      <c r="U43" s="137"/>
      <c r="V43" s="133"/>
      <c r="W43" s="133"/>
      <c r="X43" s="133" t="str">
        <f t="shared" si="3"/>
        <v/>
      </c>
      <c r="Y43" s="133" t="str">
        <f t="shared" si="3"/>
        <v/>
      </c>
      <c r="AO43" s="140"/>
      <c r="AP43" s="140"/>
      <c r="BF43" s="132"/>
      <c r="BG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row>
    <row r="44" spans="2:180" s="120" customFormat="1" x14ac:dyDescent="0.25">
      <c r="B44" s="288"/>
      <c r="C44" s="988"/>
      <c r="D44" s="988"/>
      <c r="E44" s="988"/>
      <c r="F44" s="988"/>
      <c r="G44" s="988"/>
      <c r="H44" s="988"/>
      <c r="I44" s="988"/>
      <c r="J44" s="988"/>
      <c r="K44" s="988"/>
      <c r="L44" s="988"/>
      <c r="M44" s="287"/>
      <c r="N44" s="118"/>
      <c r="O44" s="121"/>
      <c r="Q44" s="133" t="s">
        <v>392</v>
      </c>
      <c r="R44" s="133" t="s">
        <v>286</v>
      </c>
      <c r="S44" s="133"/>
      <c r="T44" s="133"/>
      <c r="U44" s="137"/>
      <c r="V44" s="133"/>
      <c r="W44" s="133"/>
      <c r="X44" s="133" t="str">
        <f t="shared" si="3"/>
        <v/>
      </c>
      <c r="Y44" s="133" t="str">
        <f t="shared" si="3"/>
        <v/>
      </c>
      <c r="AO44" s="140"/>
      <c r="AP44" s="140"/>
      <c r="BF44" s="132"/>
      <c r="BG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row>
    <row r="45" spans="2:180" s="120" customFormat="1" x14ac:dyDescent="0.25">
      <c r="B45" s="288"/>
      <c r="C45" s="988"/>
      <c r="D45" s="988"/>
      <c r="E45" s="988"/>
      <c r="F45" s="988"/>
      <c r="G45" s="988"/>
      <c r="H45" s="988"/>
      <c r="I45" s="988"/>
      <c r="J45" s="988"/>
      <c r="K45" s="988"/>
      <c r="L45" s="988"/>
      <c r="M45" s="287"/>
      <c r="N45" s="118"/>
      <c r="O45" s="121"/>
      <c r="Q45" s="129" t="s">
        <v>214</v>
      </c>
      <c r="R45" s="130"/>
      <c r="S45" s="130"/>
      <c r="T45" s="130"/>
      <c r="V45" s="130"/>
      <c r="W45" s="130"/>
      <c r="X45" s="125" t="s">
        <v>334</v>
      </c>
      <c r="Y45" s="126"/>
      <c r="AO45" s="140"/>
      <c r="AP45" s="140"/>
      <c r="BF45" s="132"/>
      <c r="BG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row>
    <row r="46" spans="2:180" s="120" customFormat="1" x14ac:dyDescent="0.25">
      <c r="B46" s="288"/>
      <c r="C46" s="988"/>
      <c r="D46" s="988"/>
      <c r="E46" s="988"/>
      <c r="F46" s="988"/>
      <c r="G46" s="988"/>
      <c r="H46" s="988"/>
      <c r="I46" s="988"/>
      <c r="J46" s="988"/>
      <c r="K46" s="988"/>
      <c r="L46" s="988"/>
      <c r="M46" s="287"/>
      <c r="N46" s="118"/>
      <c r="O46" s="121"/>
      <c r="Q46" s="133" t="s">
        <v>221</v>
      </c>
      <c r="R46" s="133" t="s">
        <v>220</v>
      </c>
      <c r="S46" s="133" t="s">
        <v>393</v>
      </c>
      <c r="T46" s="133" t="s">
        <v>333</v>
      </c>
      <c r="U46" s="137"/>
      <c r="V46" s="133" t="s">
        <v>221</v>
      </c>
      <c r="W46" s="133" t="s">
        <v>220</v>
      </c>
      <c r="X46" s="133" t="str">
        <f t="shared" ref="X46:Y49" si="4">IF(ISBLANK(IF($L$9=$Q$7,Q46,IF($L$9=$S$7,S46, IF($L$9=$V$7,V46,"")))),"",IF($L$9=$Q$7,Q46,IF($L$9=$S$7,S46, IF($L$9=$V$7,V46,""))))</f>
        <v/>
      </c>
      <c r="Y46" s="133" t="str">
        <f t="shared" si="4"/>
        <v/>
      </c>
      <c r="AO46" s="140"/>
      <c r="AP46" s="140"/>
      <c r="BF46" s="132"/>
      <c r="BG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row>
    <row r="47" spans="2:180" s="120" customFormat="1" x14ac:dyDescent="0.25">
      <c r="B47" s="288"/>
      <c r="C47" s="988"/>
      <c r="D47" s="988"/>
      <c r="E47" s="988"/>
      <c r="F47" s="988"/>
      <c r="G47" s="988"/>
      <c r="H47" s="988"/>
      <c r="I47" s="988"/>
      <c r="J47" s="988"/>
      <c r="K47" s="988"/>
      <c r="L47" s="988"/>
      <c r="M47" s="287"/>
      <c r="N47" s="118"/>
      <c r="O47" s="121"/>
      <c r="Q47" s="133" t="s">
        <v>394</v>
      </c>
      <c r="R47" s="133" t="s">
        <v>395</v>
      </c>
      <c r="S47" s="133"/>
      <c r="T47" s="133"/>
      <c r="U47" s="137"/>
      <c r="V47" s="133" t="s">
        <v>394</v>
      </c>
      <c r="W47" s="133" t="s">
        <v>395</v>
      </c>
      <c r="X47" s="133" t="str">
        <f t="shared" si="4"/>
        <v/>
      </c>
      <c r="Y47" s="133" t="str">
        <f t="shared" si="4"/>
        <v/>
      </c>
      <c r="AO47" s="140"/>
      <c r="AP47" s="140"/>
      <c r="BF47" s="132"/>
      <c r="BG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row>
    <row r="48" spans="2:180" s="120" customFormat="1" x14ac:dyDescent="0.25">
      <c r="B48" s="288"/>
      <c r="C48" s="988"/>
      <c r="D48" s="988"/>
      <c r="E48" s="988"/>
      <c r="F48" s="988"/>
      <c r="G48" s="988"/>
      <c r="H48" s="988"/>
      <c r="I48" s="988"/>
      <c r="J48" s="988"/>
      <c r="K48" s="988"/>
      <c r="L48" s="988"/>
      <c r="M48" s="287"/>
      <c r="N48" s="118"/>
      <c r="O48" s="121"/>
      <c r="Q48" s="133" t="s">
        <v>396</v>
      </c>
      <c r="R48" s="133" t="s">
        <v>224</v>
      </c>
      <c r="S48" s="133" t="s">
        <v>397</v>
      </c>
      <c r="T48" s="133" t="s">
        <v>206</v>
      </c>
      <c r="U48" s="137"/>
      <c r="V48" s="133" t="s">
        <v>396</v>
      </c>
      <c r="W48" s="133" t="s">
        <v>224</v>
      </c>
      <c r="X48" s="133" t="str">
        <f t="shared" si="4"/>
        <v/>
      </c>
      <c r="Y48" s="133" t="str">
        <f t="shared" si="4"/>
        <v/>
      </c>
      <c r="AO48" s="140"/>
      <c r="AP48" s="140"/>
      <c r="BF48" s="132"/>
      <c r="BG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row>
    <row r="49" spans="2:180" s="120" customFormat="1" ht="15.75" thickBot="1" x14ac:dyDescent="0.3">
      <c r="B49" s="292"/>
      <c r="C49" s="293"/>
      <c r="D49" s="293"/>
      <c r="E49" s="293"/>
      <c r="F49" s="293"/>
      <c r="G49" s="293"/>
      <c r="H49" s="293"/>
      <c r="I49" s="293"/>
      <c r="J49" s="293"/>
      <c r="K49" s="293"/>
      <c r="L49" s="293"/>
      <c r="M49" s="290"/>
      <c r="N49" s="118"/>
      <c r="O49" s="121"/>
      <c r="Q49" s="133" t="s">
        <v>398</v>
      </c>
      <c r="R49" s="133" t="s">
        <v>228</v>
      </c>
      <c r="S49" s="133"/>
      <c r="T49" s="133"/>
      <c r="U49" s="137"/>
      <c r="V49" s="133" t="s">
        <v>398</v>
      </c>
      <c r="W49" s="133" t="s">
        <v>228</v>
      </c>
      <c r="X49" s="133" t="str">
        <f t="shared" si="4"/>
        <v/>
      </c>
      <c r="Y49" s="133" t="str">
        <f t="shared" si="4"/>
        <v/>
      </c>
      <c r="AO49" s="140"/>
      <c r="AP49" s="140"/>
      <c r="BF49" s="132"/>
      <c r="BG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row>
    <row r="50" spans="2:180" s="120" customFormat="1" x14ac:dyDescent="0.25">
      <c r="M50" s="118"/>
      <c r="N50" s="118"/>
      <c r="O50" s="121"/>
      <c r="Q50" s="129" t="s">
        <v>399</v>
      </c>
      <c r="R50" s="130"/>
      <c r="S50" s="130"/>
      <c r="T50" s="130"/>
      <c r="V50" s="130"/>
      <c r="W50" s="130"/>
      <c r="X50" s="458" t="s">
        <v>334</v>
      </c>
      <c r="Y50" s="459"/>
      <c r="Z50" s="142" t="s">
        <v>400</v>
      </c>
      <c r="AA50" s="133"/>
      <c r="AB50" s="133"/>
      <c r="AC50" s="133" t="s">
        <v>334</v>
      </c>
      <c r="AO50" s="140"/>
      <c r="AP50" s="140"/>
      <c r="BF50" s="132"/>
      <c r="BG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row>
    <row r="51" spans="2:180" s="120" customFormat="1" x14ac:dyDescent="0.25">
      <c r="M51" s="118"/>
      <c r="N51" s="118"/>
      <c r="O51" s="121"/>
      <c r="Q51" s="133" t="s">
        <v>401</v>
      </c>
      <c r="R51" s="133" t="s">
        <v>237</v>
      </c>
      <c r="S51" s="133"/>
      <c r="T51" s="133"/>
      <c r="U51" s="137"/>
      <c r="V51" s="133" t="s">
        <v>401</v>
      </c>
      <c r="W51" s="133" t="s">
        <v>237</v>
      </c>
      <c r="X51" s="133" t="str">
        <f t="shared" ref="X51:Y53" si="5">IF(ISBLANK(IF($L$9=$Q$7,Q51,IF($L$9=$S$7,S51, IF($L$9=$V$7,V51,"")))),"",IF($L$9=$Q$7,Q51,IF($L$9=$S$7,S51, IF($L$9=$V$7,V51,""))))</f>
        <v/>
      </c>
      <c r="Y51" s="125" t="str">
        <f t="shared" si="5"/>
        <v/>
      </c>
      <c r="Z51" s="133" t="s">
        <v>401</v>
      </c>
      <c r="AA51" s="133" t="s">
        <v>402</v>
      </c>
      <c r="AB51" s="133" t="s">
        <v>403</v>
      </c>
      <c r="AC51" s="133" t="str">
        <f>IF(ISBLANK(L15),"",L15)</f>
        <v/>
      </c>
      <c r="AO51" s="140"/>
      <c r="AP51" s="140"/>
      <c r="BF51" s="132"/>
      <c r="BG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row>
    <row r="52" spans="2:180" s="120" customFormat="1" ht="19.5" customHeight="1" x14ac:dyDescent="0.25">
      <c r="N52" s="118"/>
      <c r="O52" s="121"/>
      <c r="Q52" s="133" t="s">
        <v>402</v>
      </c>
      <c r="R52" s="133" t="s">
        <v>241</v>
      </c>
      <c r="S52" s="133"/>
      <c r="T52" s="133"/>
      <c r="U52" s="137"/>
      <c r="V52" s="133"/>
      <c r="W52" s="133"/>
      <c r="X52" s="133" t="str">
        <f t="shared" si="5"/>
        <v/>
      </c>
      <c r="Y52" s="125" t="str">
        <f t="shared" si="5"/>
        <v/>
      </c>
      <c r="Z52" s="133">
        <v>2</v>
      </c>
      <c r="AA52" s="133">
        <v>1</v>
      </c>
      <c r="AB52" s="133">
        <v>2</v>
      </c>
      <c r="AC52" s="133" t="str">
        <f>IF(ISBLANK(AC51),"",IF(ISBLANK(IF($L$15=$Z$51,Z52,IF($L$15=$AA$51,AA52,IF($L$15=$AB$51,AB52,"")))),"",IF($L$15=$Z$51,Z52,IF($L$15=$AA$51,AA52,IF($L$15=$AB$51,AB52,"")))))</f>
        <v/>
      </c>
      <c r="AO52" s="140"/>
      <c r="AP52" s="140"/>
      <c r="BF52" s="132"/>
      <c r="BG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row>
    <row r="53" spans="2:180" s="120" customFormat="1" ht="22.5" customHeight="1" x14ac:dyDescent="0.25">
      <c r="N53" s="118"/>
      <c r="O53" s="121"/>
      <c r="Q53" s="133" t="s">
        <v>403</v>
      </c>
      <c r="R53" s="133"/>
      <c r="S53" s="133"/>
      <c r="T53" s="133"/>
      <c r="U53" s="137"/>
      <c r="V53" s="133"/>
      <c r="W53" s="133"/>
      <c r="X53" s="133" t="str">
        <f t="shared" si="5"/>
        <v/>
      </c>
      <c r="Y53" s="125" t="str">
        <f t="shared" si="5"/>
        <v/>
      </c>
      <c r="Z53" s="133">
        <v>3</v>
      </c>
      <c r="AA53" s="133">
        <v>2</v>
      </c>
      <c r="AB53" s="133"/>
      <c r="AC53" s="133" t="str">
        <f>IF(ISBLANK(AC52),"",IF(ISBLANK(IF($L$15=$Z$51,Z53,IF($L$15=$AA$51,AA53,IF($L$15=$AB$51,AB53,"")))),"",IF($L$15=$Z$51,Z53,IF($L$15=$AA$51,AA53,IF($L$15=$AB$51,AB53,"")))))</f>
        <v/>
      </c>
      <c r="AO53" s="140"/>
      <c r="AP53" s="140"/>
      <c r="BF53" s="132"/>
      <c r="BG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row>
    <row r="54" spans="2:180" s="120" customFormat="1" ht="21.75" customHeight="1" x14ac:dyDescent="0.25">
      <c r="N54" s="118"/>
      <c r="O54" s="121"/>
      <c r="Q54" s="129" t="s">
        <v>404</v>
      </c>
      <c r="R54" s="130"/>
      <c r="S54" s="130"/>
      <c r="T54" s="130"/>
      <c r="V54" s="130"/>
      <c r="W54" s="130"/>
      <c r="X54" s="125" t="s">
        <v>334</v>
      </c>
      <c r="Y54" s="126"/>
      <c r="Z54" s="133">
        <v>4</v>
      </c>
      <c r="AA54" s="133">
        <v>4</v>
      </c>
      <c r="AB54" s="133"/>
      <c r="AC54" s="133" t="str">
        <f>IF(ISBLANK(AC53),"",IF(ISBLANK(IF($L$15=$Z$51,Z54,IF($L$15=$AA$51,AA54,IF($L$15=$AB$51,AB54,"")))),"",IF($L$15=$Z$51,Z54,IF($L$15=$AA$51,AA54,IF($L$15=$AB$51,AB54,"")))))</f>
        <v/>
      </c>
      <c r="AO54" s="140"/>
      <c r="AP54" s="140"/>
      <c r="BF54" s="132"/>
      <c r="BG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row>
    <row r="55" spans="2:180" s="120" customFormat="1" ht="16.5" customHeight="1" x14ac:dyDescent="0.25">
      <c r="N55" s="118"/>
      <c r="O55" s="121"/>
      <c r="Q55" s="133" t="s">
        <v>405</v>
      </c>
      <c r="R55" s="133" t="s">
        <v>300</v>
      </c>
      <c r="S55" s="133"/>
      <c r="T55" s="133"/>
      <c r="U55" s="137"/>
      <c r="V55" s="133" t="s">
        <v>405</v>
      </c>
      <c r="W55" s="133" t="s">
        <v>300</v>
      </c>
      <c r="X55" s="133" t="str">
        <f t="shared" ref="X55:Y58" si="6">IF(ISBLANK(IF($L$9=$Q$7,Q55,IF($L$9=$S$7,S55, IF($L$9=$V$7,V55,"")))),"",IF($L$9=$Q$7,Q55,IF($L$9=$S$7,S55, IF($L$9=$V$7,V55,""))))</f>
        <v/>
      </c>
      <c r="Y55" s="133" t="str">
        <f t="shared" si="6"/>
        <v/>
      </c>
      <c r="AO55" s="140"/>
      <c r="AP55" s="140"/>
      <c r="BF55" s="132"/>
      <c r="BG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row>
    <row r="56" spans="2:180" s="120" customFormat="1" ht="15.75" customHeight="1" x14ac:dyDescent="0.25">
      <c r="N56" s="118"/>
      <c r="O56" s="121"/>
      <c r="Q56" s="133" t="s">
        <v>406</v>
      </c>
      <c r="R56" s="133"/>
      <c r="S56" s="133"/>
      <c r="T56" s="133"/>
      <c r="U56" s="137"/>
      <c r="V56" s="133" t="s">
        <v>406</v>
      </c>
      <c r="W56" s="133"/>
      <c r="X56" s="133" t="str">
        <f t="shared" si="6"/>
        <v/>
      </c>
      <c r="Y56" s="133" t="str">
        <f t="shared" si="6"/>
        <v/>
      </c>
      <c r="AO56" s="140"/>
      <c r="AP56" s="140"/>
      <c r="BF56" s="132"/>
      <c r="BG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row>
    <row r="57" spans="2:180" s="120" customFormat="1" ht="15.75" customHeight="1" x14ac:dyDescent="0.25">
      <c r="N57" s="118"/>
      <c r="O57" s="121"/>
      <c r="Q57" s="133" t="s">
        <v>407</v>
      </c>
      <c r="R57" s="133" t="s">
        <v>222</v>
      </c>
      <c r="S57" s="133"/>
      <c r="T57" s="133"/>
      <c r="U57" s="137"/>
      <c r="V57" s="133" t="s">
        <v>407</v>
      </c>
      <c r="W57" s="133" t="s">
        <v>222</v>
      </c>
      <c r="X57" s="133" t="str">
        <f t="shared" si="6"/>
        <v/>
      </c>
      <c r="Y57" s="133" t="str">
        <f t="shared" si="6"/>
        <v/>
      </c>
      <c r="AO57" s="140"/>
      <c r="AP57" s="140"/>
      <c r="BF57" s="132"/>
      <c r="BG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row>
    <row r="58" spans="2:180" s="120" customFormat="1" ht="15.75" customHeight="1" x14ac:dyDescent="0.25">
      <c r="N58" s="118"/>
      <c r="O58" s="121"/>
      <c r="Q58" s="133" t="s">
        <v>408</v>
      </c>
      <c r="R58" s="133" t="s">
        <v>303</v>
      </c>
      <c r="S58" s="133"/>
      <c r="T58" s="133"/>
      <c r="U58" s="137"/>
      <c r="V58" s="133"/>
      <c r="W58" s="133"/>
      <c r="X58" s="133" t="str">
        <f t="shared" si="6"/>
        <v/>
      </c>
      <c r="Y58" s="133" t="str">
        <f t="shared" si="6"/>
        <v/>
      </c>
      <c r="AO58" s="140"/>
      <c r="AP58" s="140"/>
      <c r="BF58" s="132"/>
      <c r="BG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row>
    <row r="59" spans="2:180" s="120" customFormat="1" ht="15.75" customHeight="1" x14ac:dyDescent="0.25">
      <c r="N59" s="118"/>
      <c r="O59" s="121"/>
      <c r="Q59" s="122" t="s">
        <v>182</v>
      </c>
      <c r="AO59" s="140"/>
      <c r="AP59" s="140"/>
      <c r="BF59" s="132"/>
      <c r="BG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row>
    <row r="60" spans="2:180" s="120" customFormat="1" ht="15.75" customHeight="1" x14ac:dyDescent="0.25">
      <c r="N60" s="118"/>
      <c r="O60" s="121"/>
      <c r="Q60" s="122" t="s">
        <v>409</v>
      </c>
      <c r="AO60" s="140"/>
      <c r="AP60" s="140"/>
      <c r="BF60" s="132"/>
      <c r="BG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row>
    <row r="61" spans="2:180" s="120" customFormat="1" ht="16.5" customHeight="1" x14ac:dyDescent="0.25">
      <c r="N61" s="118"/>
      <c r="O61" s="121"/>
      <c r="Q61" s="968" t="s">
        <v>182</v>
      </c>
      <c r="R61" s="989"/>
      <c r="S61" s="989"/>
      <c r="T61" s="989"/>
      <c r="U61" s="969"/>
      <c r="V61" s="990" t="s">
        <v>409</v>
      </c>
      <c r="W61" s="991"/>
      <c r="X61" s="992"/>
      <c r="AO61" s="140"/>
      <c r="AP61" s="140"/>
      <c r="BF61" s="132"/>
      <c r="BG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row>
    <row r="62" spans="2:180" s="120" customFormat="1" ht="15.75" customHeight="1" x14ac:dyDescent="0.25">
      <c r="N62" s="118"/>
      <c r="O62" s="121"/>
      <c r="Q62" s="129" t="s">
        <v>410</v>
      </c>
      <c r="R62" s="130"/>
      <c r="S62" s="143"/>
      <c r="T62" s="144" t="s">
        <v>411</v>
      </c>
      <c r="U62" s="144" t="s">
        <v>412</v>
      </c>
      <c r="V62" s="130"/>
      <c r="W62" s="130"/>
      <c r="X62" s="145"/>
      <c r="Y62" s="968" t="s">
        <v>334</v>
      </c>
      <c r="Z62" s="969"/>
      <c r="AA62" s="968" t="s">
        <v>413</v>
      </c>
      <c r="AB62" s="969"/>
      <c r="AO62" s="140"/>
      <c r="AP62" s="140"/>
      <c r="BF62" s="132"/>
      <c r="BG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row>
    <row r="63" spans="2:180" s="120" customFormat="1" ht="15.75" customHeight="1" x14ac:dyDescent="0.25">
      <c r="N63" s="118"/>
      <c r="O63" s="121"/>
      <c r="Q63" s="133" t="s">
        <v>414</v>
      </c>
      <c r="R63" s="133" t="s">
        <v>189</v>
      </c>
      <c r="S63" s="146"/>
      <c r="T63" s="147" t="s">
        <v>220</v>
      </c>
      <c r="U63" s="147"/>
      <c r="V63" s="148" t="s">
        <v>182</v>
      </c>
      <c r="W63" s="148" t="s">
        <v>204</v>
      </c>
      <c r="X63" s="146"/>
      <c r="Y63" s="133" t="str">
        <f t="shared" ref="Y63:Z66" si="7">IF(ISBLANK(IF($L$21=$Q$61,Q63,IF($L$21=$V$61,V63, ""))),"",IF($L$21=$Q$61,Q63,IF($L$21=$V$61,V63, "")))</f>
        <v/>
      </c>
      <c r="Z63" s="133" t="str">
        <f t="shared" si="7"/>
        <v/>
      </c>
      <c r="AA63" s="148" t="s">
        <v>415</v>
      </c>
      <c r="AB63" s="148" t="str">
        <f>IF(L22=Q65,"Standard","")</f>
        <v/>
      </c>
      <c r="AC63" s="121"/>
      <c r="AD63" s="121"/>
      <c r="AO63" s="140"/>
      <c r="AP63" s="140"/>
      <c r="BF63" s="132"/>
      <c r="BG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row>
    <row r="64" spans="2:180" s="120" customFormat="1" x14ac:dyDescent="0.25">
      <c r="N64" s="118"/>
      <c r="O64" s="121"/>
      <c r="Q64" s="133" t="s">
        <v>416</v>
      </c>
      <c r="R64" s="133" t="s">
        <v>181</v>
      </c>
      <c r="S64" s="133" t="s">
        <v>417</v>
      </c>
      <c r="T64" s="147" t="s">
        <v>220</v>
      </c>
      <c r="U64" s="147" t="s">
        <v>418</v>
      </c>
      <c r="V64" s="133" t="s">
        <v>233</v>
      </c>
      <c r="W64" s="133" t="s">
        <v>208</v>
      </c>
      <c r="X64" s="146"/>
      <c r="Y64" s="133" t="str">
        <f t="shared" si="7"/>
        <v/>
      </c>
      <c r="Z64" s="133" t="str">
        <f t="shared" si="7"/>
        <v/>
      </c>
      <c r="AA64" s="126" t="s">
        <v>411</v>
      </c>
      <c r="AB64" s="133" t="str">
        <f>IF(L22=Q65,"Biax","")</f>
        <v/>
      </c>
      <c r="AO64" s="140"/>
      <c r="AP64" s="140"/>
      <c r="BF64" s="132"/>
      <c r="BG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row>
    <row r="65" spans="14:180" s="120" customFormat="1" x14ac:dyDescent="0.25">
      <c r="N65" s="118"/>
      <c r="O65" s="121"/>
      <c r="Q65" s="149" t="s">
        <v>419</v>
      </c>
      <c r="R65" s="149" t="s">
        <v>193</v>
      </c>
      <c r="S65" s="150"/>
      <c r="T65" s="151" t="s">
        <v>220</v>
      </c>
      <c r="U65" s="151" t="s">
        <v>418</v>
      </c>
      <c r="V65" s="133" t="s">
        <v>235</v>
      </c>
      <c r="W65" s="133" t="s">
        <v>210</v>
      </c>
      <c r="X65" s="146"/>
      <c r="Y65" s="133" t="str">
        <f t="shared" si="7"/>
        <v/>
      </c>
      <c r="Z65" s="133" t="str">
        <f t="shared" si="7"/>
        <v/>
      </c>
      <c r="AA65" s="960" t="s">
        <v>420</v>
      </c>
      <c r="AB65" s="960"/>
      <c r="AO65" s="140"/>
      <c r="AP65" s="140"/>
      <c r="BF65" s="132"/>
      <c r="BG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row>
    <row r="66" spans="14:180" s="120" customFormat="1" x14ac:dyDescent="0.25">
      <c r="N66" s="118"/>
      <c r="O66" s="121"/>
      <c r="Q66" s="133" t="s">
        <v>421</v>
      </c>
      <c r="R66" s="133" t="s">
        <v>200</v>
      </c>
      <c r="S66" s="146"/>
      <c r="T66" s="147" t="s">
        <v>220</v>
      </c>
      <c r="U66" s="147"/>
      <c r="V66" s="126"/>
      <c r="W66" s="133"/>
      <c r="X66" s="146"/>
      <c r="Y66" s="133" t="str">
        <f t="shared" si="7"/>
        <v/>
      </c>
      <c r="Z66" s="133" t="str">
        <f t="shared" si="7"/>
        <v/>
      </c>
      <c r="AA66" s="133" t="str">
        <f>IF(AND(O22="CFT",OR(O24=6,O24=8)),"Standard","")</f>
        <v/>
      </c>
      <c r="AB66" s="133"/>
      <c r="AO66" s="140"/>
      <c r="AP66" s="140"/>
      <c r="BF66" s="132"/>
      <c r="BG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row>
    <row r="67" spans="14:180" s="120" customFormat="1" x14ac:dyDescent="0.25">
      <c r="N67" s="118"/>
      <c r="O67" s="121"/>
      <c r="Q67" s="133"/>
      <c r="R67" s="133"/>
      <c r="S67" s="133"/>
      <c r="T67" s="133"/>
      <c r="U67" s="133"/>
      <c r="V67" s="152"/>
      <c r="W67" s="149"/>
      <c r="X67" s="146"/>
      <c r="Y67" s="149"/>
      <c r="Z67" s="133"/>
      <c r="AA67" s="133" t="str">
        <f>IF(AND(O22="CFT",OR(O24=6,O24=8)),"High Ballast Factor","")</f>
        <v/>
      </c>
      <c r="AB67" s="133"/>
      <c r="AO67" s="140"/>
      <c r="AP67" s="140"/>
      <c r="BF67" s="132"/>
      <c r="BG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row>
    <row r="68" spans="14:180" s="120" customFormat="1" x14ac:dyDescent="0.25">
      <c r="N68" s="118"/>
      <c r="O68" s="121"/>
      <c r="Q68" s="153" t="s">
        <v>359</v>
      </c>
      <c r="R68" s="131"/>
      <c r="S68" s="131"/>
      <c r="T68" s="131"/>
      <c r="U68" s="131"/>
      <c r="V68" s="130"/>
      <c r="W68" s="130"/>
      <c r="X68" s="126"/>
      <c r="Y68" s="968" t="s">
        <v>334</v>
      </c>
      <c r="Z68" s="969"/>
      <c r="AO68" s="140"/>
      <c r="AP68" s="140"/>
      <c r="BF68" s="132"/>
      <c r="BG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row>
    <row r="69" spans="14:180" s="120" customFormat="1" x14ac:dyDescent="0.25">
      <c r="N69" s="118"/>
      <c r="O69" s="121"/>
      <c r="Q69" s="148" t="s">
        <v>362</v>
      </c>
      <c r="R69" s="133">
        <v>1</v>
      </c>
      <c r="S69" s="146"/>
      <c r="T69" s="146"/>
      <c r="U69" s="146"/>
      <c r="V69" s="133" t="s">
        <v>362</v>
      </c>
      <c r="W69" s="133">
        <v>1</v>
      </c>
      <c r="X69" s="146"/>
      <c r="Y69" s="133" t="str">
        <f t="shared" ref="Y69:Z77" si="8">IF(ISBLANK(IF($L$21=$Q$61,Q69,IF($L$21=$V$61,V69, ""))),"",IF($L$21=$Q$61,Q69,IF($L$21=$V$61,V69, "")))</f>
        <v/>
      </c>
      <c r="Z69" s="133" t="str">
        <f t="shared" si="8"/>
        <v/>
      </c>
      <c r="AO69" s="140"/>
      <c r="AP69" s="140"/>
      <c r="BF69" s="132"/>
      <c r="BG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row>
    <row r="70" spans="14:180" s="120" customFormat="1" x14ac:dyDescent="0.25">
      <c r="N70" s="118"/>
      <c r="O70" s="121"/>
      <c r="Q70" s="133" t="s">
        <v>363</v>
      </c>
      <c r="R70" s="133">
        <v>2</v>
      </c>
      <c r="S70" s="146"/>
      <c r="T70" s="146"/>
      <c r="U70" s="146"/>
      <c r="V70" s="133" t="s">
        <v>363</v>
      </c>
      <c r="W70" s="133">
        <v>2</v>
      </c>
      <c r="X70" s="146"/>
      <c r="Y70" s="133" t="str">
        <f t="shared" si="8"/>
        <v/>
      </c>
      <c r="Z70" s="133" t="str">
        <f t="shared" si="8"/>
        <v/>
      </c>
      <c r="AO70" s="140"/>
      <c r="AP70" s="140"/>
      <c r="BF70" s="132"/>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row>
    <row r="71" spans="14:180" s="120" customFormat="1" x14ac:dyDescent="0.25">
      <c r="N71" s="118"/>
      <c r="O71" s="121"/>
      <c r="Q71" s="133" t="s">
        <v>364</v>
      </c>
      <c r="R71" s="133">
        <v>3</v>
      </c>
      <c r="S71" s="146"/>
      <c r="T71" s="146"/>
      <c r="U71" s="146"/>
      <c r="V71" s="133"/>
      <c r="W71" s="133"/>
      <c r="X71" s="146"/>
      <c r="Y71" s="133" t="str">
        <f t="shared" si="8"/>
        <v/>
      </c>
      <c r="Z71" s="133" t="str">
        <f t="shared" si="8"/>
        <v/>
      </c>
      <c r="AO71" s="140"/>
      <c r="AP71" s="140"/>
      <c r="BF71" s="132"/>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row>
    <row r="72" spans="14:180" s="120" customFormat="1" x14ac:dyDescent="0.25">
      <c r="N72" s="118"/>
      <c r="O72" s="121"/>
      <c r="Q72" s="133" t="s">
        <v>366</v>
      </c>
      <c r="R72" s="133">
        <v>4</v>
      </c>
      <c r="S72" s="146"/>
      <c r="T72" s="146"/>
      <c r="U72" s="146"/>
      <c r="V72" s="133"/>
      <c r="W72" s="133"/>
      <c r="X72" s="146"/>
      <c r="Y72" s="133" t="str">
        <f t="shared" si="8"/>
        <v/>
      </c>
      <c r="Z72" s="133" t="str">
        <f t="shared" si="8"/>
        <v/>
      </c>
      <c r="AO72" s="140"/>
      <c r="AP72" s="140"/>
      <c r="BF72" s="132"/>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row>
    <row r="73" spans="14:180" s="120" customFormat="1" x14ac:dyDescent="0.25">
      <c r="N73" s="118"/>
      <c r="O73" s="121"/>
      <c r="Q73" s="133" t="s">
        <v>367</v>
      </c>
      <c r="R73" s="133">
        <v>5</v>
      </c>
      <c r="S73" s="146"/>
      <c r="T73" s="146"/>
      <c r="U73" s="146"/>
      <c r="V73" s="133"/>
      <c r="W73" s="133"/>
      <c r="X73" s="146"/>
      <c r="Y73" s="133" t="str">
        <f t="shared" si="8"/>
        <v/>
      </c>
      <c r="Z73" s="133" t="str">
        <f t="shared" si="8"/>
        <v/>
      </c>
      <c r="AO73" s="140"/>
      <c r="AP73" s="140"/>
      <c r="BF73" s="132"/>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row>
    <row r="74" spans="14:180" s="120" customFormat="1" x14ac:dyDescent="0.25">
      <c r="N74" s="118"/>
      <c r="O74" s="121"/>
      <c r="Q74" s="133" t="s">
        <v>370</v>
      </c>
      <c r="R74" s="133">
        <v>6</v>
      </c>
      <c r="S74" s="146"/>
      <c r="T74" s="146"/>
      <c r="U74" s="146"/>
      <c r="V74" s="133"/>
      <c r="W74" s="133"/>
      <c r="X74" s="146"/>
      <c r="Y74" s="133" t="str">
        <f t="shared" si="8"/>
        <v/>
      </c>
      <c r="Z74" s="133" t="str">
        <f t="shared" si="8"/>
        <v/>
      </c>
      <c r="AO74" s="140"/>
      <c r="AP74" s="140"/>
      <c r="BF74" s="132"/>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row>
    <row r="75" spans="14:180" s="120" customFormat="1" x14ac:dyDescent="0.25">
      <c r="N75" s="118"/>
      <c r="O75" s="121"/>
      <c r="Q75" s="133" t="s">
        <v>371</v>
      </c>
      <c r="R75" s="133">
        <v>8</v>
      </c>
      <c r="S75" s="146"/>
      <c r="T75" s="146"/>
      <c r="U75" s="146"/>
      <c r="V75" s="133"/>
      <c r="W75" s="133"/>
      <c r="X75" s="146"/>
      <c r="Y75" s="133" t="str">
        <f t="shared" si="8"/>
        <v/>
      </c>
      <c r="Z75" s="133" t="str">
        <f t="shared" si="8"/>
        <v/>
      </c>
      <c r="AO75" s="140"/>
      <c r="AP75" s="140"/>
      <c r="BF75" s="132"/>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row>
    <row r="76" spans="14:180" s="120" customFormat="1" x14ac:dyDescent="0.25">
      <c r="N76" s="118"/>
      <c r="O76" s="121"/>
      <c r="Q76" s="133" t="s">
        <v>422</v>
      </c>
      <c r="R76" s="133">
        <v>9</v>
      </c>
      <c r="S76" s="146"/>
      <c r="T76" s="146"/>
      <c r="U76" s="146"/>
      <c r="V76" s="133"/>
      <c r="W76" s="133"/>
      <c r="X76" s="146"/>
      <c r="Y76" s="133" t="str">
        <f t="shared" si="8"/>
        <v/>
      </c>
      <c r="Z76" s="133" t="str">
        <f t="shared" si="8"/>
        <v/>
      </c>
      <c r="AO76" s="140"/>
      <c r="AP76" s="140"/>
      <c r="BF76" s="132"/>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row>
    <row r="77" spans="14:180" s="120" customFormat="1" x14ac:dyDescent="0.25">
      <c r="N77" s="118"/>
      <c r="O77" s="121"/>
      <c r="Q77" s="133" t="s">
        <v>423</v>
      </c>
      <c r="R77" s="133">
        <v>12</v>
      </c>
      <c r="S77" s="146"/>
      <c r="T77" s="146"/>
      <c r="U77" s="146"/>
      <c r="V77" s="133"/>
      <c r="W77" s="133"/>
      <c r="X77" s="146"/>
      <c r="Y77" s="133" t="str">
        <f t="shared" si="8"/>
        <v/>
      </c>
      <c r="Z77" s="133" t="str">
        <f t="shared" si="8"/>
        <v/>
      </c>
      <c r="AO77" s="140"/>
      <c r="AP77" s="140"/>
      <c r="BF77" s="132"/>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row>
    <row r="78" spans="14:180" s="120" customFormat="1" x14ac:dyDescent="0.25">
      <c r="N78" s="118"/>
      <c r="O78" s="121"/>
      <c r="Q78" s="129" t="s">
        <v>424</v>
      </c>
      <c r="R78" s="154"/>
      <c r="S78" s="154"/>
      <c r="T78" s="154"/>
      <c r="U78" s="154"/>
      <c r="V78" s="154"/>
      <c r="W78" s="154"/>
      <c r="X78" s="154"/>
      <c r="Y78" s="144"/>
      <c r="Z78" s="144"/>
      <c r="AA78" s="130"/>
      <c r="AB78" s="130"/>
      <c r="AC78" s="130"/>
      <c r="AD78" s="130"/>
      <c r="AE78" s="130"/>
      <c r="AF78" s="130"/>
      <c r="AG78" s="130"/>
      <c r="AH78" s="130"/>
      <c r="AI78" s="130"/>
      <c r="AJ78" s="130"/>
      <c r="AK78" s="130"/>
      <c r="AL78" s="130"/>
      <c r="AM78" s="130"/>
      <c r="AN78" s="130"/>
      <c r="AO78" s="130"/>
      <c r="AP78" s="130"/>
      <c r="AQ78" s="130"/>
      <c r="AR78" s="130"/>
      <c r="AS78" s="130"/>
      <c r="AT78" s="130"/>
      <c r="AU78" s="130"/>
      <c r="AV78" s="130"/>
      <c r="AW78" s="130"/>
      <c r="AX78" s="155"/>
      <c r="BF78" s="132"/>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row>
    <row r="79" spans="14:180" s="120" customFormat="1" x14ac:dyDescent="0.25">
      <c r="N79" s="118"/>
      <c r="O79" s="121"/>
      <c r="Q79" s="133" t="s">
        <v>414</v>
      </c>
      <c r="R79" s="133">
        <v>2</v>
      </c>
      <c r="S79" s="133">
        <v>3</v>
      </c>
      <c r="T79" s="133">
        <v>4</v>
      </c>
      <c r="U79" s="133">
        <v>5</v>
      </c>
      <c r="V79" s="133">
        <v>6</v>
      </c>
      <c r="W79" s="133">
        <v>7</v>
      </c>
      <c r="X79" s="133">
        <v>8</v>
      </c>
      <c r="Y79" s="133">
        <v>9</v>
      </c>
      <c r="Z79" s="133">
        <v>10</v>
      </c>
      <c r="AA79" s="133">
        <v>11</v>
      </c>
      <c r="AB79" s="133">
        <v>12</v>
      </c>
      <c r="AC79" s="133">
        <v>13</v>
      </c>
      <c r="AD79" s="133">
        <v>14</v>
      </c>
      <c r="AE79" s="133">
        <v>15</v>
      </c>
      <c r="AF79" s="133">
        <v>16</v>
      </c>
      <c r="AG79" s="133">
        <v>17</v>
      </c>
      <c r="AH79" s="133">
        <v>18</v>
      </c>
      <c r="AI79" s="133">
        <v>19</v>
      </c>
      <c r="AJ79" s="133">
        <v>20</v>
      </c>
      <c r="AK79" s="133">
        <v>21</v>
      </c>
      <c r="AL79" s="133">
        <v>22</v>
      </c>
      <c r="AM79" s="133">
        <v>23</v>
      </c>
      <c r="AN79" s="133">
        <v>24</v>
      </c>
      <c r="AO79" s="133">
        <v>25</v>
      </c>
      <c r="AP79" s="133">
        <v>26</v>
      </c>
      <c r="AQ79" s="133">
        <v>27</v>
      </c>
      <c r="AR79" s="133">
        <v>28</v>
      </c>
      <c r="AS79" s="133">
        <v>29</v>
      </c>
      <c r="AT79" s="133">
        <v>30</v>
      </c>
      <c r="AU79" s="133">
        <v>31</v>
      </c>
      <c r="AV79" s="133">
        <v>32</v>
      </c>
      <c r="AW79" s="133">
        <v>42</v>
      </c>
      <c r="BF79" s="132"/>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row>
    <row r="80" spans="14:180" s="120" customFormat="1" x14ac:dyDescent="0.25">
      <c r="N80" s="118"/>
      <c r="O80" s="121"/>
      <c r="Q80" s="133" t="s">
        <v>416</v>
      </c>
      <c r="R80" s="133">
        <v>10</v>
      </c>
      <c r="S80" s="133">
        <v>16</v>
      </c>
      <c r="T80" s="133">
        <v>21</v>
      </c>
      <c r="U80" s="133">
        <v>28</v>
      </c>
      <c r="V80" s="133">
        <v>38</v>
      </c>
      <c r="W80" s="133"/>
      <c r="X80" s="133"/>
      <c r="Y80" s="133"/>
      <c r="Z80" s="133"/>
      <c r="AA80" s="133"/>
      <c r="AB80" s="133"/>
      <c r="AC80" s="133"/>
      <c r="AD80" s="133"/>
      <c r="AE80" s="133"/>
      <c r="AF80" s="133"/>
      <c r="AG80" s="133"/>
      <c r="AH80" s="133"/>
      <c r="AI80" s="133"/>
      <c r="AJ80" s="133"/>
      <c r="AK80" s="133"/>
      <c r="AL80" s="133"/>
      <c r="AM80" s="133"/>
      <c r="AN80" s="133"/>
      <c r="AO80" s="133"/>
      <c r="AP80" s="133"/>
      <c r="AQ80" s="133"/>
      <c r="AR80" s="133"/>
      <c r="AS80" s="133"/>
      <c r="AT80" s="133"/>
      <c r="AU80" s="133"/>
      <c r="AV80" s="133"/>
      <c r="AW80" s="133"/>
      <c r="BF80" s="132"/>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row>
    <row r="81" spans="14:180" s="120" customFormat="1" x14ac:dyDescent="0.25">
      <c r="N81" s="118"/>
      <c r="O81" s="121"/>
      <c r="Q81" s="133" t="s">
        <v>419</v>
      </c>
      <c r="R81" s="133">
        <v>5</v>
      </c>
      <c r="S81" s="133">
        <v>7</v>
      </c>
      <c r="T81" s="133">
        <v>9</v>
      </c>
      <c r="U81" s="133">
        <v>13</v>
      </c>
      <c r="V81" s="133">
        <v>18</v>
      </c>
      <c r="W81" s="133">
        <v>22</v>
      </c>
      <c r="X81" s="133">
        <v>24</v>
      </c>
      <c r="Y81" s="133">
        <v>28</v>
      </c>
      <c r="Z81" s="133">
        <v>32</v>
      </c>
      <c r="AA81" s="133">
        <v>36</v>
      </c>
      <c r="AB81" s="133">
        <v>40</v>
      </c>
      <c r="AC81" s="133">
        <v>50</v>
      </c>
      <c r="AD81" s="133">
        <v>55</v>
      </c>
      <c r="AE81" s="133"/>
      <c r="AF81" s="133"/>
      <c r="AG81" s="133"/>
      <c r="AH81" s="133"/>
      <c r="AI81" s="133"/>
      <c r="AJ81" s="133"/>
      <c r="AK81" s="133"/>
      <c r="AL81" s="133"/>
      <c r="AM81" s="133"/>
      <c r="AN81" s="133"/>
      <c r="AO81" s="133"/>
      <c r="AP81" s="133"/>
      <c r="AQ81" s="133"/>
      <c r="AR81" s="133"/>
      <c r="AS81" s="133"/>
      <c r="AT81" s="133"/>
      <c r="AU81" s="133"/>
      <c r="AV81" s="133"/>
      <c r="AW81" s="133"/>
      <c r="BF81" s="132"/>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row>
    <row r="82" spans="14:180" s="120" customFormat="1" x14ac:dyDescent="0.25">
      <c r="N82" s="118"/>
      <c r="O82" s="121"/>
      <c r="Q82" s="133" t="s">
        <v>421</v>
      </c>
      <c r="R82" s="133">
        <v>9</v>
      </c>
      <c r="S82" s="133">
        <v>10</v>
      </c>
      <c r="T82" s="133">
        <v>13</v>
      </c>
      <c r="U82" s="133">
        <v>15</v>
      </c>
      <c r="V82" s="133">
        <v>17</v>
      </c>
      <c r="W82" s="133">
        <v>18</v>
      </c>
      <c r="X82" s="133">
        <v>20</v>
      </c>
      <c r="Y82" s="133">
        <v>22</v>
      </c>
      <c r="Z82" s="133">
        <v>25</v>
      </c>
      <c r="AA82" s="133">
        <v>26</v>
      </c>
      <c r="AB82" s="133">
        <v>28</v>
      </c>
      <c r="AC82" s="133"/>
      <c r="AD82" s="133"/>
      <c r="AE82" s="133"/>
      <c r="AF82" s="133"/>
      <c r="AG82" s="133"/>
      <c r="AH82" s="133"/>
      <c r="AI82" s="133"/>
      <c r="AJ82" s="133"/>
      <c r="AK82" s="133"/>
      <c r="AL82" s="133"/>
      <c r="AM82" s="133"/>
      <c r="AN82" s="133"/>
      <c r="AO82" s="133"/>
      <c r="AP82" s="133"/>
      <c r="AQ82" s="133"/>
      <c r="AR82" s="133"/>
      <c r="AS82" s="133"/>
      <c r="AT82" s="133"/>
      <c r="AU82" s="133"/>
      <c r="AV82" s="133"/>
      <c r="AW82" s="133"/>
      <c r="BF82" s="132"/>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row>
    <row r="83" spans="14:180" s="120" customFormat="1" x14ac:dyDescent="0.25">
      <c r="N83" s="118"/>
      <c r="O83" s="121"/>
      <c r="Q83" s="133" t="s">
        <v>182</v>
      </c>
      <c r="R83" s="133">
        <v>5</v>
      </c>
      <c r="S83" s="133">
        <v>7</v>
      </c>
      <c r="T83" s="133">
        <v>8</v>
      </c>
      <c r="U83" s="133">
        <v>9</v>
      </c>
      <c r="V83" s="133"/>
      <c r="W83" s="133"/>
      <c r="X83" s="133"/>
      <c r="Y83" s="133"/>
      <c r="Z83" s="133"/>
      <c r="AA83" s="133"/>
      <c r="AB83" s="133"/>
      <c r="AC83" s="133"/>
      <c r="AD83" s="133"/>
      <c r="AE83" s="133"/>
      <c r="AF83" s="133"/>
      <c r="AG83" s="133"/>
      <c r="AH83" s="133"/>
      <c r="AI83" s="133"/>
      <c r="AJ83" s="133"/>
      <c r="AK83" s="133"/>
      <c r="AL83" s="133"/>
      <c r="AM83" s="133"/>
      <c r="AN83" s="133"/>
      <c r="AO83" s="133"/>
      <c r="AP83" s="133"/>
      <c r="AQ83" s="133"/>
      <c r="AR83" s="133"/>
      <c r="AS83" s="133"/>
      <c r="AT83" s="133"/>
      <c r="AU83" s="133"/>
      <c r="AV83" s="133"/>
      <c r="AW83" s="133"/>
      <c r="BF83" s="132"/>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row>
    <row r="84" spans="14:180" s="120" customFormat="1" x14ac:dyDescent="0.25">
      <c r="N84" s="118"/>
      <c r="O84" s="121"/>
      <c r="Q84" s="133" t="s">
        <v>233</v>
      </c>
      <c r="R84" s="133">
        <v>5</v>
      </c>
      <c r="S84" s="133">
        <v>7.5</v>
      </c>
      <c r="T84" s="133">
        <v>10</v>
      </c>
      <c r="U84" s="133">
        <v>15</v>
      </c>
      <c r="V84" s="133">
        <v>20</v>
      </c>
      <c r="W84" s="133">
        <v>25</v>
      </c>
      <c r="X84" s="133">
        <v>34</v>
      </c>
      <c r="Y84" s="133">
        <v>40</v>
      </c>
      <c r="Z84" s="133">
        <v>50</v>
      </c>
      <c r="AA84" s="133"/>
      <c r="AB84" s="133"/>
      <c r="AC84" s="133"/>
      <c r="AD84" s="133"/>
      <c r="AE84" s="133"/>
      <c r="AF84" s="133"/>
      <c r="AG84" s="133"/>
      <c r="AH84" s="133"/>
      <c r="AI84" s="133"/>
      <c r="AJ84" s="133"/>
      <c r="AK84" s="133"/>
      <c r="AL84" s="133"/>
      <c r="AM84" s="133"/>
      <c r="AN84" s="133"/>
      <c r="AO84" s="133"/>
      <c r="AP84" s="133"/>
      <c r="AQ84" s="133"/>
      <c r="AR84" s="133"/>
      <c r="AS84" s="133"/>
      <c r="AT84" s="133"/>
      <c r="AU84" s="133"/>
      <c r="AV84" s="133"/>
      <c r="AW84" s="133"/>
      <c r="BF84" s="132"/>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row>
    <row r="85" spans="14:180" s="120" customFormat="1" x14ac:dyDescent="0.25">
      <c r="N85" s="118"/>
      <c r="O85" s="121"/>
      <c r="Q85" s="133" t="s">
        <v>235</v>
      </c>
      <c r="R85" s="133">
        <v>0.5</v>
      </c>
      <c r="S85" s="133">
        <v>1.5</v>
      </c>
      <c r="T85" s="133">
        <v>2</v>
      </c>
      <c r="U85" s="133">
        <v>3</v>
      </c>
      <c r="V85" s="133">
        <v>5</v>
      </c>
      <c r="W85" s="133">
        <v>8</v>
      </c>
      <c r="X85" s="133">
        <v>10.5</v>
      </c>
      <c r="Y85" s="133"/>
      <c r="Z85" s="133"/>
      <c r="AA85" s="133"/>
      <c r="AB85" s="133"/>
      <c r="AC85" s="133"/>
      <c r="AD85" s="133"/>
      <c r="AE85" s="133"/>
      <c r="AF85" s="133"/>
      <c r="AG85" s="133"/>
      <c r="AH85" s="133"/>
      <c r="AI85" s="133"/>
      <c r="AJ85" s="133"/>
      <c r="AK85" s="133"/>
      <c r="AL85" s="133"/>
      <c r="AM85" s="133"/>
      <c r="AN85" s="133"/>
      <c r="AO85" s="133"/>
      <c r="AP85" s="133"/>
      <c r="AQ85" s="133"/>
      <c r="AR85" s="133"/>
      <c r="AS85" s="133"/>
      <c r="AT85" s="133"/>
      <c r="AU85" s="133"/>
      <c r="AV85" s="133"/>
      <c r="AW85" s="133"/>
      <c r="BF85" s="132"/>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row>
    <row r="86" spans="14:180" s="120" customFormat="1" x14ac:dyDescent="0.25">
      <c r="N86" s="118"/>
      <c r="O86" s="121"/>
      <c r="Q86" s="133" t="s">
        <v>334</v>
      </c>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BF86" s="132"/>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row>
    <row r="87" spans="14:180" s="120" customFormat="1" x14ac:dyDescent="0.25">
      <c r="N87" s="118"/>
      <c r="O87" s="121"/>
      <c r="Q87" s="133">
        <f>L22</f>
        <v>0</v>
      </c>
      <c r="R87" s="133" t="str">
        <f>IFERROR(IF(VLOOKUP($Q$87,$Q$79:$AW$85,2,FALSE)="","",VLOOKUP($Q$87,$Q$79:$AW$85,2,FALSE)), "")</f>
        <v/>
      </c>
      <c r="S87" s="133" t="str">
        <f>IFERROR(IF(VLOOKUP($Q$87,$Q$79:$AW$85,3,FALSE)="","",VLOOKUP($Q$87,$Q$79:$AW$85,3,FALSE)), "")</f>
        <v/>
      </c>
      <c r="T87" s="133" t="str">
        <f>IFERROR(IF(VLOOKUP($Q$87,$Q$79:$AW$85,4,FALSE)="","",VLOOKUP($Q$87,$Q$79:$AW$85,4,FALSE)), "")</f>
        <v/>
      </c>
      <c r="U87" s="133" t="str">
        <f>IFERROR(IF(VLOOKUP($Q$87,$Q$79:$AW$85,5,FALSE)="","",VLOOKUP($Q$87,$Q$79:$AW$85,5,FALSE)), "")</f>
        <v/>
      </c>
      <c r="V87" s="133" t="str">
        <f>IFERROR(IF(VLOOKUP($Q$87,$Q$79:$AW$85,6,FALSE)="","",VLOOKUP($Q$87,$Q$79:$AW$85,6,FALSE)), "")</f>
        <v/>
      </c>
      <c r="W87" s="133" t="str">
        <f>IFERROR(IF(VLOOKUP($Q$87,$Q$79:$AW$85,7,FALSE)="","",VLOOKUP($Q$87,$Q$79:$AW$85,7,FALSE)), "")</f>
        <v/>
      </c>
      <c r="X87" s="133" t="str">
        <f>IFERROR(IF(VLOOKUP($Q$87,$Q$79:$AW$85,8,FALSE)="","",VLOOKUP($Q$87,$Q$79:$AW$85,8,FALSE)), "")</f>
        <v/>
      </c>
      <c r="Y87" s="133" t="str">
        <f>IFERROR(IF(VLOOKUP($Q$87,$Q$79:$AW$85,9,FALSE)="","",VLOOKUP($Q$87,$Q$79:$AW$85,9,FALSE)), "")</f>
        <v/>
      </c>
      <c r="Z87" s="133" t="str">
        <f>IFERROR(IF(VLOOKUP($Q$87,$Q$79:$AW$85,10,FALSE)="","",VLOOKUP($Q$87,$Q$79:$AW$85,10,FALSE)), "")</f>
        <v/>
      </c>
      <c r="AA87" s="133" t="str">
        <f>IFERROR(IF(VLOOKUP($Q$87,$Q$79:$AW$85,11,FALSE)="","",VLOOKUP($Q$87,$Q$79:$AW$85,11,FALSE)), "")</f>
        <v/>
      </c>
      <c r="AB87" s="133" t="str">
        <f>IFERROR(IF(VLOOKUP($Q$87,$Q$79:$AW$85,12,FALSE)="","",VLOOKUP($Q$87,$Q$79:$AW$85,12,FALSE)), "")</f>
        <v/>
      </c>
      <c r="AC87" s="133" t="str">
        <f>IFERROR(IF(VLOOKUP($Q$87,$Q$79:$AW$85,13,FALSE)="","",VLOOKUP($Q$87,$Q$79:$AW$85,13,FALSE)), "")</f>
        <v/>
      </c>
      <c r="AD87" s="133" t="str">
        <f>IFERROR(IF(VLOOKUP($Q$87,$Q$79:$AW$85,14,FALSE)="","",VLOOKUP($Q$87,$Q$79:$AW$85,14,FALSE)), "")</f>
        <v/>
      </c>
      <c r="AE87" s="133" t="str">
        <f>IFERROR(IF(VLOOKUP($Q$87,$Q$79:$AW$85,15,FALSE)="","",VLOOKUP($Q$87,$Q$79:$AW$85,15,FALSE)), "")</f>
        <v/>
      </c>
      <c r="AF87" s="133" t="str">
        <f>IFERROR(IF(VLOOKUP($Q$87,$Q$79:$AW$85,16,FALSE)="","",VLOOKUP($Q$87,$Q$79:$AW$85,16,FALSE)), "")</f>
        <v/>
      </c>
      <c r="AG87" s="133" t="str">
        <f>IFERROR(IF(VLOOKUP($Q$87,$Q$79:$AW$85,17,FALSE)="","",VLOOKUP($Q$87,$Q$79:$AW$85,17,FALSE)), "")</f>
        <v/>
      </c>
      <c r="AH87" s="133" t="str">
        <f>IFERROR(IF(VLOOKUP($Q$87,$Q$79:$AW$85,18,FALSE)="","",VLOOKUP($Q$87,$Q$79:$AW$85,18,FALSE)), "")</f>
        <v/>
      </c>
      <c r="AI87" s="133" t="str">
        <f>IFERROR(IF(VLOOKUP($Q$87,$Q$79:$AW$85,19,FALSE)="","",VLOOKUP($Q$87,$Q$79:$AW$85,19,FALSE)), "")</f>
        <v/>
      </c>
      <c r="AJ87" s="133" t="str">
        <f>IFERROR(IF(VLOOKUP($Q$87,$Q$79:$AW$85,20,FALSE)="","",VLOOKUP($Q$87,$Q$79:$AW$85,20,FALSE)), "")</f>
        <v/>
      </c>
      <c r="AK87" s="133" t="str">
        <f>IFERROR(IF(VLOOKUP($Q$87,$Q$79:$AW$85,21,FALSE)="","",VLOOKUP($Q$87,$Q$79:$AW$85,21,FALSE)), "")</f>
        <v/>
      </c>
      <c r="AL87" s="133" t="str">
        <f>IFERROR(IF(VLOOKUP($Q$87,$Q$79:$AW$85,22,FALSE)="","",VLOOKUP($Q$87,$Q$79:$AW$85,22,FALSE)), "")</f>
        <v/>
      </c>
      <c r="AM87" s="133" t="str">
        <f>IFERROR(IF(VLOOKUP($Q$87,$Q$79:$AW$85,23,FALSE)="","",VLOOKUP($Q$87,$Q$79:$AW$85,23,FALSE)), "")</f>
        <v/>
      </c>
      <c r="AN87" s="133" t="str">
        <f>IFERROR(IF(VLOOKUP($Q$87,$Q$79:$AW$85,24,FALSE)="","",VLOOKUP($Q$87,$Q$79:$AW$85,24,FALSE)), "")</f>
        <v/>
      </c>
      <c r="AO87" s="133" t="str">
        <f>IFERROR(IF(VLOOKUP($Q$87,$Q$79:$AW$85,25,FALSE)="","",VLOOKUP($Q$87,$Q$79:$AW$85,25,FALSE)), "")</f>
        <v/>
      </c>
      <c r="AP87" s="133" t="str">
        <f>IFERROR(IF(VLOOKUP($Q$87,$Q$79:$AW$85,26,FALSE)="","",VLOOKUP($Q$87,$Q$79:$AW$85,26,FALSE)), "")</f>
        <v/>
      </c>
      <c r="AQ87" s="133" t="str">
        <f>IFERROR(IF(VLOOKUP($Q$87,$Q$79:$AW$85,27,FALSE)="","",VLOOKUP($Q$87,$Q$79:$AW$85,27,FALSE)), "")</f>
        <v/>
      </c>
      <c r="AR87" s="133" t="str">
        <f>IFERROR(IF(VLOOKUP($Q$87,$Q$79:$AW$85,28,FALSE)="","",VLOOKUP($Q$87,$Q$79:$AW$85,28,FALSE)), "")</f>
        <v/>
      </c>
      <c r="AS87" s="133" t="str">
        <f>IFERROR(IF(VLOOKUP($Q$87,$Q$79:$AW$85,29,FALSE)="","",VLOOKUP($Q$87,$Q$79:$AW$85,29,FALSE)), "")</f>
        <v/>
      </c>
      <c r="AT87" s="133" t="str">
        <f>IFERROR(IF(VLOOKUP($Q$87,$Q$79:$AW$85,30,FALSE)="","",VLOOKUP($Q$87,$Q$79:$AW$85,30,FALSE)), "")</f>
        <v/>
      </c>
      <c r="AU87" s="133" t="str">
        <f>IFERROR(IF(VLOOKUP($Q$87,$Q$79:$AW$85,31,FALSE)="","",VLOOKUP($Q$87,$Q$79:$AW$85,31,FALSE)), "")</f>
        <v/>
      </c>
      <c r="AV87" s="133" t="str">
        <f>IFERROR(IF(VLOOKUP($Q$87,$Q$79:$AW$85,32,FALSE)="","",VLOOKUP($Q$87,$Q$79:$AW$85,32,FALSE)), "")</f>
        <v/>
      </c>
      <c r="AW87" s="133" t="str">
        <f>IFERROR(IF(VLOOKUP($Q$87,$Q$79:$AW$85,33,FALSE)="","",VLOOKUP($Q$87,$Q$79:$AW$85,33,FALSE)), "")</f>
        <v/>
      </c>
      <c r="BF87" s="132"/>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row>
    <row r="88" spans="14:180" s="120" customFormat="1" x14ac:dyDescent="0.25">
      <c r="N88" s="118"/>
      <c r="O88" s="121"/>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BF88" s="132"/>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row>
    <row r="89" spans="14:180" s="120" customFormat="1" x14ac:dyDescent="0.25">
      <c r="N89" s="118"/>
      <c r="O89" s="121"/>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c r="BF89" s="132"/>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row>
    <row r="90" spans="14:180" s="120" customFormat="1" x14ac:dyDescent="0.25">
      <c r="N90" s="118"/>
      <c r="O90" s="121"/>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c r="BF90" s="132"/>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row>
    <row r="91" spans="14:180" s="120" customFormat="1" x14ac:dyDescent="0.25">
      <c r="N91" s="118"/>
      <c r="O91" s="121"/>
      <c r="Q91" s="157"/>
      <c r="AO91" s="140"/>
      <c r="AP91" s="140"/>
      <c r="BF91" s="132"/>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row>
    <row r="92" spans="14:180" s="120" customFormat="1" x14ac:dyDescent="0.25">
      <c r="N92" s="118"/>
      <c r="O92" s="121"/>
      <c r="Q92" s="122" t="s">
        <v>223</v>
      </c>
      <c r="R92" s="120" t="s">
        <v>222</v>
      </c>
      <c r="AO92" s="140"/>
      <c r="AP92" s="140"/>
      <c r="BF92" s="132"/>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row>
    <row r="93" spans="14:180" s="120" customFormat="1" x14ac:dyDescent="0.25">
      <c r="N93" s="118"/>
      <c r="O93" s="121"/>
      <c r="Q93" s="122" t="s">
        <v>231</v>
      </c>
      <c r="R93" s="120" t="s">
        <v>230</v>
      </c>
      <c r="AO93" s="140"/>
      <c r="AP93" s="140"/>
      <c r="BF93" s="132"/>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row>
    <row r="94" spans="14:180" s="120" customFormat="1" x14ac:dyDescent="0.25">
      <c r="N94" s="118"/>
      <c r="O94" s="121"/>
      <c r="Q94" s="122" t="s">
        <v>233</v>
      </c>
      <c r="R94" s="120" t="s">
        <v>232</v>
      </c>
      <c r="AO94" s="140"/>
      <c r="AP94" s="140"/>
      <c r="BF94" s="132"/>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row>
    <row r="95" spans="14:180" s="120" customFormat="1" x14ac:dyDescent="0.25">
      <c r="N95" s="118"/>
      <c r="O95" s="121"/>
      <c r="Q95" s="122" t="s">
        <v>252</v>
      </c>
      <c r="R95" s="120" t="s">
        <v>251</v>
      </c>
      <c r="AO95" s="140"/>
      <c r="AP95" s="140"/>
      <c r="BF95" s="132"/>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row>
    <row r="96" spans="14:180" s="120" customFormat="1" x14ac:dyDescent="0.25">
      <c r="N96" s="118"/>
      <c r="O96" s="121"/>
      <c r="Q96" s="122" t="s">
        <v>244</v>
      </c>
      <c r="R96" s="120" t="s">
        <v>243</v>
      </c>
      <c r="AO96" s="140"/>
      <c r="AP96" s="140"/>
      <c r="BF96" s="132"/>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row>
    <row r="97" spans="14:58" x14ac:dyDescent="0.25">
      <c r="N97" s="118"/>
      <c r="Q97" s="122" t="s">
        <v>250</v>
      </c>
      <c r="R97" s="120" t="s">
        <v>249</v>
      </c>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40"/>
      <c r="AP97" s="140"/>
      <c r="AQ97" s="120"/>
      <c r="AR97" s="120"/>
      <c r="AS97" s="120"/>
      <c r="AT97" s="120"/>
      <c r="AU97" s="120"/>
      <c r="AV97" s="120"/>
      <c r="AW97" s="120"/>
      <c r="AX97" s="120"/>
      <c r="AY97" s="120"/>
      <c r="AZ97" s="120"/>
      <c r="BA97" s="120"/>
      <c r="BB97" s="120"/>
      <c r="BC97" s="120"/>
      <c r="BD97" s="120"/>
      <c r="BE97" s="120"/>
      <c r="BF97" s="132"/>
    </row>
    <row r="98" spans="14:58" x14ac:dyDescent="0.25">
      <c r="N98" s="118"/>
      <c r="Q98" s="993" t="s">
        <v>223</v>
      </c>
      <c r="R98" s="993"/>
      <c r="S98" s="993" t="s">
        <v>231</v>
      </c>
      <c r="T98" s="993"/>
      <c r="U98" s="993" t="s">
        <v>233</v>
      </c>
      <c r="V98" s="993"/>
      <c r="W98" s="993" t="s">
        <v>252</v>
      </c>
      <c r="X98" s="993"/>
      <c r="Y98" s="993" t="s">
        <v>244</v>
      </c>
      <c r="Z98" s="993"/>
      <c r="AA98" s="993" t="s">
        <v>250</v>
      </c>
      <c r="AB98" s="993"/>
      <c r="AO98" s="159"/>
      <c r="AP98" s="159"/>
      <c r="BF98" s="160"/>
    </row>
    <row r="99" spans="14:58" x14ac:dyDescent="0.25">
      <c r="N99" s="118"/>
      <c r="Q99" s="161" t="s">
        <v>410</v>
      </c>
      <c r="R99" s="162"/>
      <c r="S99" s="162"/>
      <c r="T99" s="162"/>
      <c r="U99" s="162"/>
      <c r="V99" s="162"/>
      <c r="W99" s="162"/>
      <c r="X99" s="162"/>
      <c r="Y99" s="162"/>
      <c r="Z99" s="162"/>
      <c r="AA99" s="162"/>
      <c r="AB99" s="163"/>
      <c r="AC99" s="993" t="s">
        <v>334</v>
      </c>
      <c r="AD99" s="993"/>
      <c r="AO99" s="159"/>
      <c r="AP99" s="164"/>
      <c r="BF99" s="160"/>
    </row>
    <row r="100" spans="14:58" x14ac:dyDescent="0.25">
      <c r="N100" s="118"/>
      <c r="Q100" s="165" t="s">
        <v>415</v>
      </c>
      <c r="R100" s="165" t="s">
        <v>222</v>
      </c>
      <c r="S100" s="165" t="s">
        <v>415</v>
      </c>
      <c r="T100" s="165" t="s">
        <v>230</v>
      </c>
      <c r="U100" s="165" t="s">
        <v>415</v>
      </c>
      <c r="V100" s="165"/>
      <c r="W100" s="165" t="s">
        <v>415</v>
      </c>
      <c r="X100" s="165" t="s">
        <v>251</v>
      </c>
      <c r="Y100" s="165" t="s">
        <v>415</v>
      </c>
      <c r="Z100" s="165" t="s">
        <v>243</v>
      </c>
      <c r="AA100" s="165" t="s">
        <v>415</v>
      </c>
      <c r="AB100" s="165" t="s">
        <v>249</v>
      </c>
      <c r="AC100" s="166" t="str">
        <f t="shared" ref="AC100:AD103" si="9">IF(ISBLANK(IF($L$31=$Q$98,Q100,IF($L$31=$S$98,S100,IF($L$31=$U$98,U100, IF($L$31=$W$98, W100,IF($L$31=$Y$98,Y100, IF($L$31=$AA$98,AA100,""))))))),"",IF($L$31=$Q$98,Q100,IF($L$31=$S$98,S100,IF($L$31=$U$98,U100, IF($L$31=$W$98, W100,IF($L$31=$Y$98,Y100, IF($L$31=$AA$98,AA100,"")))))))</f>
        <v/>
      </c>
      <c r="AD100" s="166" t="str">
        <f t="shared" si="9"/>
        <v/>
      </c>
      <c r="AO100" s="159"/>
      <c r="AP100" s="159"/>
      <c r="BF100" s="160"/>
    </row>
    <row r="101" spans="14:58" x14ac:dyDescent="0.25">
      <c r="N101" s="118"/>
      <c r="Q101" s="165" t="s">
        <v>425</v>
      </c>
      <c r="R101" s="165" t="s">
        <v>226</v>
      </c>
      <c r="S101" s="166"/>
      <c r="T101" s="166"/>
      <c r="U101" s="165" t="s">
        <v>426</v>
      </c>
      <c r="V101" s="165" t="s">
        <v>228</v>
      </c>
      <c r="W101" s="166"/>
      <c r="X101" s="166"/>
      <c r="Y101" s="165" t="s">
        <v>427</v>
      </c>
      <c r="Z101" s="165" t="s">
        <v>246</v>
      </c>
      <c r="AA101" s="166"/>
      <c r="AB101" s="166"/>
      <c r="AC101" s="166" t="str">
        <f>IF(ISBLANK(IF($L$31=$Q$98,Q101,IF($L$31=$S$98,S101,IF($L$31=$U$98,U101, IF($L$31=$W$98, W101,IF($L$31=$Y$98,Y101, IF($L$31=$AA$98,AA101,""))))))),"",IF($L$31=$Q$98,Q101,IF($L$31=$S$98,S101,IF($L$31=$U$98,U101, IF($L$31=$W$98, W101,IF($L$31=$Y$98,Y101, IF($L$31=$AA$98,AA101,"")))))))</f>
        <v/>
      </c>
      <c r="AD101" s="166" t="str">
        <f t="shared" si="9"/>
        <v/>
      </c>
      <c r="AO101" s="159"/>
      <c r="AP101" s="159"/>
      <c r="BF101" s="160"/>
    </row>
    <row r="102" spans="14:58" x14ac:dyDescent="0.25">
      <c r="N102" s="118"/>
      <c r="Q102" s="166"/>
      <c r="R102" s="166"/>
      <c r="S102" s="166"/>
      <c r="T102" s="166"/>
      <c r="U102" s="165" t="s">
        <v>428</v>
      </c>
      <c r="V102" s="165" t="s">
        <v>220</v>
      </c>
      <c r="W102" s="166"/>
      <c r="X102" s="166"/>
      <c r="Y102" s="166"/>
      <c r="Z102" s="166"/>
      <c r="AA102" s="166"/>
      <c r="AB102" s="166"/>
      <c r="AC102" s="166" t="str">
        <f t="shared" si="9"/>
        <v/>
      </c>
      <c r="AD102" s="166" t="str">
        <f t="shared" si="9"/>
        <v/>
      </c>
      <c r="AO102" s="159"/>
      <c r="AP102" s="159"/>
      <c r="BF102" s="160"/>
    </row>
    <row r="103" spans="14:58" x14ac:dyDescent="0.25">
      <c r="N103" s="118"/>
      <c r="Q103" s="166"/>
      <c r="R103" s="166"/>
      <c r="S103" s="166"/>
      <c r="T103" s="166"/>
      <c r="U103" s="165" t="s">
        <v>429</v>
      </c>
      <c r="V103" s="165" t="s">
        <v>430</v>
      </c>
      <c r="W103" s="166"/>
      <c r="X103" s="166"/>
      <c r="Y103" s="166"/>
      <c r="Z103" s="166"/>
      <c r="AA103" s="166"/>
      <c r="AB103" s="166"/>
      <c r="AC103" s="166" t="str">
        <f t="shared" si="9"/>
        <v/>
      </c>
      <c r="AD103" s="166" t="str">
        <f t="shared" si="9"/>
        <v/>
      </c>
      <c r="AO103" s="159"/>
      <c r="AP103" s="159"/>
      <c r="BF103" s="160"/>
    </row>
    <row r="104" spans="14:58" x14ac:dyDescent="0.25">
      <c r="N104" s="118"/>
      <c r="Q104" s="161" t="s">
        <v>359</v>
      </c>
      <c r="R104" s="162"/>
      <c r="S104" s="162"/>
      <c r="T104" s="162"/>
      <c r="U104" s="162"/>
      <c r="V104" s="162"/>
      <c r="W104" s="162"/>
      <c r="X104" s="162"/>
      <c r="Y104" s="162"/>
      <c r="Z104" s="162"/>
      <c r="AA104" s="162"/>
      <c r="AB104" s="162"/>
      <c r="AC104" s="993" t="s">
        <v>334</v>
      </c>
      <c r="AD104" s="993"/>
      <c r="AO104" s="159"/>
      <c r="AP104" s="159"/>
      <c r="BF104" s="160"/>
    </row>
    <row r="105" spans="14:58" x14ac:dyDescent="0.25">
      <c r="N105" s="118"/>
      <c r="Q105" s="165" t="s">
        <v>362</v>
      </c>
      <c r="R105" s="166">
        <v>1</v>
      </c>
      <c r="S105" s="165" t="s">
        <v>362</v>
      </c>
      <c r="T105" s="166">
        <v>1</v>
      </c>
      <c r="U105" s="165" t="s">
        <v>362</v>
      </c>
      <c r="V105" s="166">
        <v>1</v>
      </c>
      <c r="W105" s="165" t="s">
        <v>362</v>
      </c>
      <c r="X105" s="166">
        <v>1</v>
      </c>
      <c r="Y105" s="165" t="s">
        <v>362</v>
      </c>
      <c r="Z105" s="166">
        <v>1</v>
      </c>
      <c r="AA105" s="165" t="s">
        <v>362</v>
      </c>
      <c r="AB105" s="166">
        <v>1</v>
      </c>
      <c r="AC105" s="166" t="str">
        <f t="shared" ref="AC105:AD109" si="10">IF(ISBLANK(IF($L$31=$Q$98,Q105,IF($L$31=$S$98,S105,IF($L$31=$U$98,U105, IF($L$31=$W$98, W105,IF($L$31=$Y$98,Y105, IF($L$31=$AA$98,AA105,""))))))),"",IF($L$31=$Q$98,Q105,IF($L$31=$S$98,S105,IF($L$31=$U$98,U105, IF($L$31=$W$98, W105,IF($L$31=$Y$98,Y105, IF($L$31=$AA$98,AA105,"")))))))</f>
        <v/>
      </c>
      <c r="AD105" s="166" t="str">
        <f t="shared" si="10"/>
        <v/>
      </c>
      <c r="AO105" s="159"/>
      <c r="AP105" s="164"/>
      <c r="BF105" s="160"/>
    </row>
    <row r="106" spans="14:58" x14ac:dyDescent="0.25">
      <c r="N106" s="118"/>
      <c r="Q106" s="165" t="s">
        <v>363</v>
      </c>
      <c r="R106" s="166">
        <v>2</v>
      </c>
      <c r="S106" s="166"/>
      <c r="T106" s="166"/>
      <c r="U106" s="165" t="s">
        <v>363</v>
      </c>
      <c r="V106" s="166">
        <v>2</v>
      </c>
      <c r="W106" s="166"/>
      <c r="X106" s="166"/>
      <c r="Y106" s="165" t="s">
        <v>363</v>
      </c>
      <c r="Z106" s="166">
        <v>2</v>
      </c>
      <c r="AA106" s="165" t="s">
        <v>363</v>
      </c>
      <c r="AB106" s="166">
        <v>2</v>
      </c>
      <c r="AC106" s="166" t="str">
        <f t="shared" si="10"/>
        <v/>
      </c>
      <c r="AD106" s="166" t="str">
        <f t="shared" si="10"/>
        <v/>
      </c>
      <c r="AO106" s="159"/>
      <c r="AP106" s="164"/>
      <c r="BF106" s="160"/>
    </row>
    <row r="107" spans="14:58" x14ac:dyDescent="0.25">
      <c r="N107" s="118"/>
      <c r="Q107" s="166"/>
      <c r="R107" s="166"/>
      <c r="S107" s="166"/>
      <c r="T107" s="166"/>
      <c r="U107" s="165" t="s">
        <v>364</v>
      </c>
      <c r="V107" s="166">
        <v>3</v>
      </c>
      <c r="W107" s="166"/>
      <c r="X107" s="166"/>
      <c r="Y107" s="166"/>
      <c r="Z107" s="166"/>
      <c r="AA107" s="166"/>
      <c r="AB107" s="166"/>
      <c r="AC107" s="166" t="str">
        <f t="shared" si="10"/>
        <v/>
      </c>
      <c r="AD107" s="166" t="str">
        <f t="shared" si="10"/>
        <v/>
      </c>
      <c r="AO107" s="159"/>
      <c r="AP107" s="159"/>
      <c r="BF107" s="160"/>
    </row>
    <row r="108" spans="14:58" x14ac:dyDescent="0.25">
      <c r="N108" s="118"/>
      <c r="Q108" s="166"/>
      <c r="R108" s="166"/>
      <c r="S108" s="166"/>
      <c r="T108" s="166"/>
      <c r="U108" s="165" t="s">
        <v>366</v>
      </c>
      <c r="V108" s="166">
        <v>4</v>
      </c>
      <c r="W108" s="166"/>
      <c r="X108" s="166"/>
      <c r="Y108" s="166"/>
      <c r="Z108" s="166"/>
      <c r="AA108" s="166"/>
      <c r="AB108" s="166"/>
      <c r="AC108" s="166" t="str">
        <f t="shared" si="10"/>
        <v/>
      </c>
      <c r="AD108" s="166" t="str">
        <f t="shared" si="10"/>
        <v/>
      </c>
      <c r="BF108" s="160"/>
    </row>
    <row r="109" spans="14:58" x14ac:dyDescent="0.25">
      <c r="N109" s="118"/>
      <c r="Q109" s="167"/>
      <c r="R109" s="167"/>
      <c r="S109" s="167"/>
      <c r="T109" s="167"/>
      <c r="U109" s="168" t="s">
        <v>367</v>
      </c>
      <c r="V109" s="167">
        <v>5</v>
      </c>
      <c r="W109" s="167"/>
      <c r="X109" s="167"/>
      <c r="Y109" s="167"/>
      <c r="Z109" s="167"/>
      <c r="AA109" s="167"/>
      <c r="AB109" s="167"/>
      <c r="AC109" s="167" t="str">
        <f t="shared" si="10"/>
        <v/>
      </c>
      <c r="AD109" s="167" t="str">
        <f t="shared" si="10"/>
        <v/>
      </c>
      <c r="BF109" s="160"/>
    </row>
    <row r="110" spans="14:58" x14ac:dyDescent="0.25">
      <c r="N110" s="118"/>
      <c r="Q110" s="161" t="s">
        <v>214</v>
      </c>
      <c r="R110" s="162"/>
      <c r="S110" s="162"/>
      <c r="T110" s="162"/>
      <c r="U110" s="162"/>
      <c r="V110" s="162"/>
      <c r="W110" s="162"/>
      <c r="X110" s="162"/>
      <c r="Y110" s="162"/>
      <c r="Z110" s="162"/>
      <c r="AA110" s="162"/>
      <c r="AB110" s="163"/>
      <c r="AC110" s="994" t="s">
        <v>334</v>
      </c>
      <c r="AD110" s="995"/>
      <c r="BF110" s="160"/>
    </row>
    <row r="111" spans="14:58" x14ac:dyDescent="0.25">
      <c r="N111" s="118"/>
      <c r="Q111" s="166"/>
      <c r="R111" s="166"/>
      <c r="S111" s="166"/>
      <c r="T111" s="166"/>
      <c r="U111" s="165"/>
      <c r="V111" s="166"/>
      <c r="W111" s="166"/>
      <c r="X111" s="166"/>
      <c r="Y111" s="165" t="s">
        <v>431</v>
      </c>
      <c r="Z111" s="165" t="s">
        <v>432</v>
      </c>
      <c r="AA111" s="166"/>
      <c r="AB111" s="166"/>
      <c r="AC111" s="166" t="str">
        <f>IF(ISBLANK(IF($L$31=$Q$98,Q111,IF($L$31=$S$98,S111,IF($L$31=$U$98,U111, IF($L$31=$W$98, W111,IF($L$31=$Y$98,Y111, IF($L$31=$AA$98,AA111,""))))))),"",IF($L$31=$Q$98,Q111,IF($L$31=$S$98,S111,IF($L$31=$U$98,U111, IF($L$31=$W$98, W111,IF($L$31=$Y$98,Y111, IF($L$31=$AA$98,AA111,"")))))))</f>
        <v/>
      </c>
      <c r="AD111" s="166" t="str">
        <f>IF(ISBLANK(IF($L$31=$Q$98,R111,IF($L$31=$S$98,T111,IF($L$31=$U$98,V111, IF($L$31=$W$98, X111,IF($L$31=$Y$98,Z111, IF($L$31=$AA$98,AB111,""))))))),"",IF($L$31=$Q$98,R111,IF($L$31=$S$98,T111,IF($L$31=$U$98,V111, IF($L$31=$W$98, X111,IF($L$31=$Y$98,Z111, IF($L$31=$AA$98,AB111,"")))))))</f>
        <v/>
      </c>
      <c r="BF111" s="160"/>
    </row>
    <row r="112" spans="14:58" x14ac:dyDescent="0.25">
      <c r="N112" s="118"/>
      <c r="Q112" s="166"/>
      <c r="R112" s="166"/>
      <c r="S112" s="166"/>
      <c r="T112" s="166"/>
      <c r="U112" s="166"/>
      <c r="V112" s="166"/>
      <c r="W112" s="166"/>
      <c r="X112" s="166"/>
      <c r="Y112" s="165" t="s">
        <v>433</v>
      </c>
      <c r="Z112" s="165" t="s">
        <v>434</v>
      </c>
      <c r="AA112" s="166"/>
      <c r="AB112" s="166"/>
      <c r="AC112" s="166" t="str">
        <f>IF(ISBLANK(IF($L$31=$Q$98,Q112,IF($L$31=$S$98,S112,IF($L$31=$U$98,U112, IF($L$31=$W$98, W112,IF($L$31=$Y$98,Y112, IF($L$31=$AA$98,AA112,""))))))),"",IF($L$31=$Q$98,Q112,IF($L$31=$S$98,S112,IF($L$31=$U$98,U112, IF($L$31=$W$98, W112,IF($L$31=$Y$98,Y112, IF($L$31=$AA$98,AA112,"")))))))</f>
        <v/>
      </c>
      <c r="AD112" s="166" t="str">
        <f>IF(ISBLANK(IF($L$31=$Q$98,R112,IF($L$31=$S$98,T112,IF($L$31=$U$98,V112, IF($L$31=$W$98, X112,IF($L$31=$Y$98,Z112, IF($L$31=$AA$98,AB112,""))))))),"",IF($L$31=$Q$98,R112,IF($L$31=$S$98,T112,IF($L$31=$U$98,V112, IF($L$31=$W$98, X112,IF($L$31=$Y$98,Z112, IF($L$31=$AA$98,AB112,"")))))))</f>
        <v/>
      </c>
      <c r="BF112" s="160"/>
    </row>
    <row r="113" spans="2:59" x14ac:dyDescent="0.25">
      <c r="N113" s="118"/>
      <c r="Q113" s="161" t="s">
        <v>435</v>
      </c>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9"/>
      <c r="AP113" s="169"/>
      <c r="AQ113" s="162"/>
      <c r="AR113" s="162"/>
      <c r="AS113" s="162"/>
      <c r="AT113" s="162"/>
      <c r="AU113" s="162"/>
      <c r="AV113" s="162"/>
      <c r="AW113" s="162"/>
      <c r="AX113" s="162"/>
      <c r="AY113" s="162"/>
      <c r="AZ113" s="162"/>
      <c r="BA113" s="162"/>
      <c r="BB113" s="162"/>
      <c r="BC113" s="162"/>
      <c r="BD113" s="162"/>
      <c r="BE113" s="162"/>
      <c r="BF113" s="170" t="s">
        <v>334</v>
      </c>
    </row>
    <row r="114" spans="2:59" x14ac:dyDescent="0.25">
      <c r="N114" s="118"/>
      <c r="Q114" s="165" t="s">
        <v>222</v>
      </c>
      <c r="R114" s="166">
        <v>35</v>
      </c>
      <c r="S114" s="166">
        <v>40</v>
      </c>
      <c r="T114" s="166">
        <v>42</v>
      </c>
      <c r="U114" s="166">
        <v>45</v>
      </c>
      <c r="V114" s="166">
        <v>50</v>
      </c>
      <c r="W114" s="166">
        <v>52</v>
      </c>
      <c r="X114" s="166">
        <v>55</v>
      </c>
      <c r="Y114" s="166">
        <v>60</v>
      </c>
      <c r="Z114" s="166">
        <v>72</v>
      </c>
      <c r="AA114" s="166">
        <v>75</v>
      </c>
      <c r="AB114" s="166">
        <v>90</v>
      </c>
      <c r="AC114" s="166">
        <v>100</v>
      </c>
      <c r="AD114" s="166">
        <v>150</v>
      </c>
      <c r="AE114" s="166">
        <v>200</v>
      </c>
      <c r="AF114" s="166">
        <v>250</v>
      </c>
      <c r="AG114" s="166">
        <v>300</v>
      </c>
      <c r="AH114" s="166">
        <v>350</v>
      </c>
      <c r="AI114" s="166">
        <v>400</v>
      </c>
      <c r="AJ114" s="166">
        <v>425</v>
      </c>
      <c r="AK114" s="166">
        <v>500</v>
      </c>
      <c r="AL114" s="166">
        <v>750</v>
      </c>
      <c r="AM114" s="166">
        <v>900</v>
      </c>
      <c r="AN114" s="166">
        <v>1000</v>
      </c>
      <c r="AO114" s="166">
        <v>1200</v>
      </c>
      <c r="AP114" s="166">
        <v>1500</v>
      </c>
      <c r="AQ114" s="166"/>
      <c r="AR114" s="166"/>
      <c r="AS114" s="166"/>
      <c r="AT114" s="166"/>
      <c r="AU114" s="166"/>
      <c r="AV114" s="166"/>
      <c r="AW114" s="166"/>
      <c r="AX114" s="166"/>
      <c r="AY114" s="166"/>
      <c r="AZ114" s="166"/>
      <c r="BA114" s="166"/>
      <c r="BB114" s="166"/>
      <c r="BC114" s="166"/>
      <c r="BD114" s="166"/>
      <c r="BE114" s="166"/>
      <c r="BF114" s="171" t="str">
        <f>IFERROR(IF(ISBLANK(IF($O$31="I",VLOOKUP($O$31,$Q$114:$BE$121,BG114,FALSE),VLOOKUP($O$32,$Q$114:$BE$121,BG114,FALSE))),"",IF($O$31="I",VLOOKUP($O$31,$Q$114:$BE$121,BG114,FALSE),VLOOKUP($O$32,$Q$114:$BE$121,BG114,FALSE))), "")</f>
        <v/>
      </c>
      <c r="BG114" s="353">
        <v>2</v>
      </c>
    </row>
    <row r="115" spans="2:59" x14ac:dyDescent="0.25">
      <c r="N115" s="118"/>
      <c r="Q115" s="165" t="s">
        <v>226</v>
      </c>
      <c r="R115" s="166">
        <v>20</v>
      </c>
      <c r="S115" s="166">
        <v>25</v>
      </c>
      <c r="T115" s="166">
        <v>35</v>
      </c>
      <c r="U115" s="166">
        <v>42</v>
      </c>
      <c r="V115" s="166">
        <v>50</v>
      </c>
      <c r="W115" s="166">
        <v>65</v>
      </c>
      <c r="X115" s="166">
        <v>75</v>
      </c>
      <c r="Y115" s="166"/>
      <c r="Z115" s="166"/>
      <c r="AA115" s="166"/>
      <c r="AB115" s="166"/>
      <c r="AC115" s="166"/>
      <c r="AD115" s="166"/>
      <c r="AE115" s="166"/>
      <c r="AF115" s="166"/>
      <c r="AG115" s="166"/>
      <c r="AH115" s="166"/>
      <c r="AI115" s="166"/>
      <c r="AJ115" s="166"/>
      <c r="AK115" s="166"/>
      <c r="AL115" s="166"/>
      <c r="AM115" s="166"/>
      <c r="AN115" s="166"/>
      <c r="AO115" s="172"/>
      <c r="AP115" s="172"/>
      <c r="AQ115" s="166"/>
      <c r="AR115" s="166"/>
      <c r="AS115" s="166"/>
      <c r="AT115" s="166"/>
      <c r="AU115" s="166"/>
      <c r="AV115" s="166"/>
      <c r="AW115" s="166"/>
      <c r="AX115" s="166"/>
      <c r="AY115" s="166"/>
      <c r="AZ115" s="166"/>
      <c r="BA115" s="166"/>
      <c r="BB115" s="166"/>
      <c r="BC115" s="166"/>
      <c r="BD115" s="166"/>
      <c r="BE115" s="166"/>
      <c r="BF115" s="171" t="str">
        <f t="shared" ref="BF115:BF153" si="11">IFERROR(IF(ISBLANK(IF($O$31="I",VLOOKUP($O$31,$Q$114:$BE$121,BG115,FALSE),VLOOKUP($O$32,$Q$114:$BE$121,BG115,FALSE))),"",IF($O$31="I",VLOOKUP($O$31,$Q$114:$BE$121,BG115,FALSE),VLOOKUP($O$32,$Q$114:$BE$121,BG115,FALSE))), "")</f>
        <v/>
      </c>
      <c r="BG115" s="353">
        <v>3</v>
      </c>
    </row>
    <row r="116" spans="2:59" x14ac:dyDescent="0.25">
      <c r="N116" s="118"/>
      <c r="Q116" s="165" t="s">
        <v>230</v>
      </c>
      <c r="R116" s="166">
        <v>35</v>
      </c>
      <c r="S116" s="166">
        <v>50</v>
      </c>
      <c r="T116" s="166">
        <v>70</v>
      </c>
      <c r="U116" s="166">
        <v>100</v>
      </c>
      <c r="V116" s="166">
        <v>150</v>
      </c>
      <c r="W116" s="166">
        <v>200</v>
      </c>
      <c r="X116" s="166">
        <v>225</v>
      </c>
      <c r="Y116" s="166">
        <v>250</v>
      </c>
      <c r="Z116" s="166">
        <v>310</v>
      </c>
      <c r="AA116" s="166">
        <v>360</v>
      </c>
      <c r="AB116" s="166">
        <v>400</v>
      </c>
      <c r="AC116" s="166">
        <v>600</v>
      </c>
      <c r="AD116" s="166">
        <v>750</v>
      </c>
      <c r="AE116" s="166">
        <v>1000</v>
      </c>
      <c r="AF116" s="166"/>
      <c r="AG116" s="166"/>
      <c r="AH116" s="166"/>
      <c r="AI116" s="166"/>
      <c r="AJ116" s="166"/>
      <c r="AK116" s="166"/>
      <c r="AL116" s="166"/>
      <c r="AM116" s="166"/>
      <c r="AN116" s="166"/>
      <c r="AO116" s="172"/>
      <c r="AP116" s="172"/>
      <c r="AQ116" s="166"/>
      <c r="AR116" s="166"/>
      <c r="AS116" s="166"/>
      <c r="AT116" s="166"/>
      <c r="AU116" s="166"/>
      <c r="AV116" s="166"/>
      <c r="AW116" s="166"/>
      <c r="AX116" s="166"/>
      <c r="AY116" s="166"/>
      <c r="AZ116" s="166"/>
      <c r="BA116" s="166"/>
      <c r="BB116" s="166"/>
      <c r="BC116" s="166"/>
      <c r="BD116" s="166"/>
      <c r="BE116" s="166"/>
      <c r="BF116" s="171" t="str">
        <f t="shared" si="11"/>
        <v/>
      </c>
      <c r="BG116" s="353">
        <v>4</v>
      </c>
    </row>
    <row r="117" spans="2:59" x14ac:dyDescent="0.25">
      <c r="N117" s="118"/>
      <c r="Q117" s="165" t="s">
        <v>232</v>
      </c>
      <c r="R117" s="166">
        <v>7.5</v>
      </c>
      <c r="S117" s="166">
        <v>15</v>
      </c>
      <c r="T117" s="166">
        <v>20</v>
      </c>
      <c r="U117" s="166">
        <v>25</v>
      </c>
      <c r="V117" s="166">
        <v>34</v>
      </c>
      <c r="W117" s="166">
        <v>36</v>
      </c>
      <c r="X117" s="166">
        <v>40</v>
      </c>
      <c r="Y117" s="166">
        <v>42</v>
      </c>
      <c r="Z117" s="166">
        <v>45</v>
      </c>
      <c r="AA117" s="166">
        <v>50</v>
      </c>
      <c r="AB117" s="166">
        <v>52</v>
      </c>
      <c r="AC117" s="166">
        <v>54</v>
      </c>
      <c r="AD117" s="166">
        <v>55</v>
      </c>
      <c r="AE117" s="166">
        <v>60</v>
      </c>
      <c r="AF117" s="166">
        <v>65</v>
      </c>
      <c r="AG117" s="166">
        <v>67</v>
      </c>
      <c r="AH117" s="166">
        <v>69</v>
      </c>
      <c r="AI117" s="166">
        <v>72</v>
      </c>
      <c r="AJ117" s="166">
        <v>75</v>
      </c>
      <c r="AK117" s="166">
        <v>80</v>
      </c>
      <c r="AL117" s="166">
        <v>85</v>
      </c>
      <c r="AM117" s="166">
        <v>90</v>
      </c>
      <c r="AN117" s="166">
        <v>93</v>
      </c>
      <c r="AO117" s="166">
        <v>95</v>
      </c>
      <c r="AP117" s="166">
        <v>100</v>
      </c>
      <c r="AQ117" s="166">
        <v>120</v>
      </c>
      <c r="AR117" s="166">
        <v>125</v>
      </c>
      <c r="AS117" s="166">
        <v>135</v>
      </c>
      <c r="AT117" s="166">
        <v>150</v>
      </c>
      <c r="AU117" s="166">
        <v>170</v>
      </c>
      <c r="AV117" s="166">
        <v>200</v>
      </c>
      <c r="AW117" s="166">
        <v>250</v>
      </c>
      <c r="AX117" s="166">
        <v>300</v>
      </c>
      <c r="AY117" s="166">
        <v>400</v>
      </c>
      <c r="AZ117" s="166">
        <v>448</v>
      </c>
      <c r="BA117" s="166">
        <v>500</v>
      </c>
      <c r="BB117" s="166">
        <v>750</v>
      </c>
      <c r="BC117" s="166">
        <v>1000</v>
      </c>
      <c r="BD117" s="166">
        <v>1500</v>
      </c>
      <c r="BE117" s="173">
        <v>2000</v>
      </c>
      <c r="BF117" s="171" t="str">
        <f t="shared" si="11"/>
        <v/>
      </c>
      <c r="BG117" s="353">
        <v>5</v>
      </c>
    </row>
    <row r="118" spans="2:59" x14ac:dyDescent="0.25">
      <c r="N118" s="118"/>
      <c r="Q118" s="165" t="s">
        <v>251</v>
      </c>
      <c r="R118" s="166">
        <v>55</v>
      </c>
      <c r="S118" s="166">
        <v>85</v>
      </c>
      <c r="T118" s="166">
        <v>165</v>
      </c>
      <c r="U118" s="166"/>
      <c r="V118" s="166"/>
      <c r="W118" s="166"/>
      <c r="X118" s="166"/>
      <c r="Y118" s="166"/>
      <c r="Z118" s="166"/>
      <c r="AA118" s="166"/>
      <c r="AB118" s="166"/>
      <c r="AC118" s="166"/>
      <c r="AD118" s="166"/>
      <c r="AE118" s="166"/>
      <c r="AF118" s="166"/>
      <c r="AG118" s="166"/>
      <c r="AH118" s="166"/>
      <c r="AI118" s="166"/>
      <c r="AJ118" s="166"/>
      <c r="AK118" s="166"/>
      <c r="AL118" s="166"/>
      <c r="AM118" s="166"/>
      <c r="AN118" s="166"/>
      <c r="AO118" s="166"/>
      <c r="AP118" s="166"/>
      <c r="AQ118" s="166"/>
      <c r="AR118" s="166"/>
      <c r="AS118" s="166"/>
      <c r="AT118" s="166"/>
      <c r="AU118" s="166"/>
      <c r="AV118" s="166"/>
      <c r="AW118" s="166"/>
      <c r="AX118" s="166"/>
      <c r="AY118" s="166"/>
      <c r="AZ118" s="166"/>
      <c r="BA118" s="166"/>
      <c r="BB118" s="166"/>
      <c r="BC118" s="166"/>
      <c r="BD118" s="166"/>
      <c r="BE118" s="166"/>
      <c r="BF118" s="171" t="str">
        <f t="shared" si="11"/>
        <v/>
      </c>
      <c r="BG118" s="353">
        <v>6</v>
      </c>
    </row>
    <row r="119" spans="2:59" ht="27.75" customHeight="1" x14ac:dyDescent="0.25">
      <c r="N119" s="118"/>
      <c r="Q119" s="165" t="s">
        <v>243</v>
      </c>
      <c r="R119" s="166">
        <v>32</v>
      </c>
      <c r="S119" s="166">
        <v>35</v>
      </c>
      <c r="T119" s="166">
        <v>50</v>
      </c>
      <c r="U119" s="166">
        <v>70</v>
      </c>
      <c r="V119" s="166">
        <v>100</v>
      </c>
      <c r="W119" s="166">
        <v>150</v>
      </c>
      <c r="X119" s="166">
        <v>175</v>
      </c>
      <c r="Y119" s="166">
        <v>200</v>
      </c>
      <c r="Z119" s="166">
        <v>250</v>
      </c>
      <c r="AA119" s="166">
        <v>300</v>
      </c>
      <c r="AB119" s="166">
        <v>320</v>
      </c>
      <c r="AC119" s="166">
        <v>350</v>
      </c>
      <c r="AD119" s="166">
        <v>360</v>
      </c>
      <c r="AE119" s="166">
        <v>400</v>
      </c>
      <c r="AF119" s="166">
        <v>450</v>
      </c>
      <c r="AG119" s="166">
        <v>750</v>
      </c>
      <c r="AH119" s="166">
        <v>1000</v>
      </c>
      <c r="AI119" s="166">
        <v>1500</v>
      </c>
      <c r="AJ119" s="166">
        <v>1800</v>
      </c>
      <c r="AK119" s="166"/>
      <c r="AL119" s="166"/>
      <c r="AM119" s="166"/>
      <c r="AN119" s="166"/>
      <c r="AO119" s="166"/>
      <c r="AP119" s="166"/>
      <c r="AQ119" s="166"/>
      <c r="AR119" s="166"/>
      <c r="AS119" s="166"/>
      <c r="AT119" s="166"/>
      <c r="AU119" s="166"/>
      <c r="AV119" s="166"/>
      <c r="AW119" s="166"/>
      <c r="AX119" s="166"/>
      <c r="AY119" s="166"/>
      <c r="AZ119" s="166"/>
      <c r="BA119" s="166"/>
      <c r="BB119" s="166"/>
      <c r="BC119" s="166"/>
      <c r="BD119" s="166"/>
      <c r="BE119" s="166"/>
      <c r="BF119" s="171" t="str">
        <f t="shared" si="11"/>
        <v/>
      </c>
      <c r="BG119" s="353">
        <v>7</v>
      </c>
    </row>
    <row r="120" spans="2:59" x14ac:dyDescent="0.25">
      <c r="B120" s="120"/>
      <c r="C120" s="120"/>
      <c r="D120" s="120"/>
      <c r="E120" s="120"/>
      <c r="F120" s="120"/>
      <c r="G120" s="120"/>
      <c r="H120" s="120"/>
      <c r="I120" s="120"/>
      <c r="J120" s="120"/>
      <c r="K120" s="120"/>
      <c r="L120" s="120"/>
      <c r="M120" s="118"/>
      <c r="N120" s="118"/>
      <c r="Q120" s="165" t="s">
        <v>246</v>
      </c>
      <c r="R120" s="166">
        <v>100</v>
      </c>
      <c r="S120" s="166">
        <v>150</v>
      </c>
      <c r="T120" s="166">
        <v>175</v>
      </c>
      <c r="U120" s="166">
        <v>200</v>
      </c>
      <c r="V120" s="166">
        <v>250</v>
      </c>
      <c r="W120" s="166">
        <v>300</v>
      </c>
      <c r="X120" s="166">
        <v>320</v>
      </c>
      <c r="Y120" s="166">
        <v>350</v>
      </c>
      <c r="Z120" s="166">
        <v>400</v>
      </c>
      <c r="AA120" s="166">
        <v>450</v>
      </c>
      <c r="AB120" s="166">
        <v>750</v>
      </c>
      <c r="AC120" s="166">
        <v>1000</v>
      </c>
      <c r="AD120" s="166"/>
      <c r="AE120" s="166"/>
      <c r="AF120" s="166"/>
      <c r="AG120" s="166"/>
      <c r="AH120" s="166"/>
      <c r="AI120" s="166"/>
      <c r="AJ120" s="166"/>
      <c r="AK120" s="166"/>
      <c r="AL120" s="166"/>
      <c r="AM120" s="166"/>
      <c r="AN120" s="166"/>
      <c r="AO120" s="166"/>
      <c r="AP120" s="166"/>
      <c r="AQ120" s="166"/>
      <c r="AR120" s="166"/>
      <c r="AS120" s="166"/>
      <c r="AT120" s="166"/>
      <c r="AU120" s="166"/>
      <c r="AV120" s="166"/>
      <c r="AW120" s="166"/>
      <c r="AX120" s="166"/>
      <c r="AY120" s="166"/>
      <c r="AZ120" s="166"/>
      <c r="BA120" s="166"/>
      <c r="BB120" s="166"/>
      <c r="BC120" s="166"/>
      <c r="BD120" s="166"/>
      <c r="BE120" s="166"/>
      <c r="BF120" s="171" t="str">
        <f t="shared" si="11"/>
        <v/>
      </c>
      <c r="BG120" s="353">
        <v>8</v>
      </c>
    </row>
    <row r="121" spans="2:59" x14ac:dyDescent="0.25">
      <c r="B121" s="120"/>
      <c r="C121" s="120"/>
      <c r="D121" s="120"/>
      <c r="E121" s="120"/>
      <c r="F121" s="120"/>
      <c r="G121" s="120"/>
      <c r="H121" s="120"/>
      <c r="I121" s="120"/>
      <c r="J121" s="120"/>
      <c r="K121" s="120"/>
      <c r="L121" s="120"/>
      <c r="M121" s="118"/>
      <c r="N121" s="118"/>
      <c r="Q121" s="165" t="s">
        <v>249</v>
      </c>
      <c r="R121" s="166">
        <v>40</v>
      </c>
      <c r="S121" s="166">
        <v>50</v>
      </c>
      <c r="T121" s="166">
        <v>75</v>
      </c>
      <c r="U121" s="166">
        <v>100</v>
      </c>
      <c r="V121" s="166">
        <v>175</v>
      </c>
      <c r="W121" s="166">
        <v>250</v>
      </c>
      <c r="X121" s="166">
        <v>400</v>
      </c>
      <c r="Y121" s="166">
        <v>700</v>
      </c>
      <c r="Z121" s="166">
        <v>1000</v>
      </c>
      <c r="AA121" s="166"/>
      <c r="AB121" s="166"/>
      <c r="AC121" s="166"/>
      <c r="AD121" s="166"/>
      <c r="AE121" s="166"/>
      <c r="AF121" s="166"/>
      <c r="AG121" s="166"/>
      <c r="AH121" s="166"/>
      <c r="AI121" s="166"/>
      <c r="AJ121" s="166"/>
      <c r="AK121" s="166"/>
      <c r="AL121" s="166"/>
      <c r="AM121" s="166"/>
      <c r="AN121" s="166"/>
      <c r="AO121" s="166"/>
      <c r="AP121" s="166"/>
      <c r="AQ121" s="166"/>
      <c r="AR121" s="166"/>
      <c r="AS121" s="166"/>
      <c r="AT121" s="166"/>
      <c r="AU121" s="166"/>
      <c r="AV121" s="166"/>
      <c r="AW121" s="166"/>
      <c r="AX121" s="166"/>
      <c r="AY121" s="166"/>
      <c r="AZ121" s="166"/>
      <c r="BA121" s="166"/>
      <c r="BB121" s="166"/>
      <c r="BC121" s="166"/>
      <c r="BD121" s="166"/>
      <c r="BE121" s="166"/>
      <c r="BF121" s="171" t="str">
        <f t="shared" si="11"/>
        <v/>
      </c>
      <c r="BG121" s="353">
        <v>9</v>
      </c>
    </row>
    <row r="122" spans="2:59" x14ac:dyDescent="0.25">
      <c r="B122" s="120"/>
      <c r="C122" s="120"/>
      <c r="D122" s="120"/>
      <c r="E122" s="120"/>
      <c r="F122" s="120"/>
      <c r="G122" s="120"/>
      <c r="H122" s="120"/>
      <c r="I122" s="120"/>
      <c r="J122" s="120"/>
      <c r="K122" s="120"/>
      <c r="L122" s="120"/>
      <c r="M122" s="118"/>
      <c r="N122" s="118"/>
      <c r="Q122" s="174"/>
      <c r="R122" s="174"/>
      <c r="S122" s="174"/>
      <c r="T122" s="174"/>
      <c r="U122" s="174"/>
      <c r="V122" s="174"/>
      <c r="W122" s="174"/>
      <c r="X122" s="174"/>
      <c r="Y122" s="174"/>
      <c r="Z122" s="174"/>
      <c r="AA122" s="174"/>
      <c r="AB122" s="174"/>
      <c r="AC122" s="174"/>
      <c r="AD122" s="174"/>
      <c r="AE122" s="174"/>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1" t="str">
        <f t="shared" si="11"/>
        <v/>
      </c>
      <c r="BG122" s="353">
        <v>10</v>
      </c>
    </row>
    <row r="123" spans="2:59" x14ac:dyDescent="0.25">
      <c r="B123" s="120"/>
      <c r="C123" s="120"/>
      <c r="D123" s="120"/>
      <c r="E123" s="120"/>
      <c r="F123" s="120"/>
      <c r="G123" s="120"/>
      <c r="H123" s="120"/>
      <c r="I123" s="120"/>
      <c r="J123" s="120"/>
      <c r="K123" s="120"/>
      <c r="L123" s="120"/>
      <c r="M123" s="118"/>
      <c r="N123" s="118"/>
      <c r="Q123" s="174"/>
      <c r="R123" s="174"/>
      <c r="S123" s="174"/>
      <c r="T123" s="174"/>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1" t="str">
        <f t="shared" si="11"/>
        <v/>
      </c>
      <c r="BG123" s="353">
        <v>11</v>
      </c>
    </row>
    <row r="124" spans="2:59" x14ac:dyDescent="0.25">
      <c r="B124" s="120"/>
      <c r="C124" s="120"/>
      <c r="D124" s="120"/>
      <c r="E124" s="120"/>
      <c r="F124" s="120"/>
      <c r="G124" s="120"/>
      <c r="H124" s="120"/>
      <c r="I124" s="120"/>
      <c r="J124" s="120"/>
      <c r="K124" s="120"/>
      <c r="L124" s="120"/>
      <c r="M124" s="118"/>
      <c r="N124" s="118"/>
      <c r="Q124" s="174"/>
      <c r="R124" s="174"/>
      <c r="S124" s="174"/>
      <c r="T124" s="174"/>
      <c r="U124" s="174"/>
      <c r="V124" s="174"/>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1" t="str">
        <f t="shared" si="11"/>
        <v/>
      </c>
      <c r="BG124" s="353">
        <v>12</v>
      </c>
    </row>
    <row r="125" spans="2:59" x14ac:dyDescent="0.25">
      <c r="B125" s="120"/>
      <c r="C125" s="120"/>
      <c r="D125" s="120"/>
      <c r="E125" s="120"/>
      <c r="F125" s="120"/>
      <c r="G125" s="120"/>
      <c r="H125" s="120"/>
      <c r="I125" s="120"/>
      <c r="J125" s="120"/>
      <c r="K125" s="120"/>
      <c r="L125" s="120"/>
      <c r="M125" s="118"/>
      <c r="N125" s="118"/>
      <c r="Q125" s="174"/>
      <c r="R125" s="174"/>
      <c r="S125" s="174"/>
      <c r="T125" s="174"/>
      <c r="U125" s="174"/>
      <c r="V125" s="174"/>
      <c r="W125" s="174"/>
      <c r="X125" s="174"/>
      <c r="Y125" s="174"/>
      <c r="Z125" s="174"/>
      <c r="AA125" s="174"/>
      <c r="AB125" s="174"/>
      <c r="AC125" s="174"/>
      <c r="AD125" s="174"/>
      <c r="AE125" s="174"/>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1" t="str">
        <f t="shared" si="11"/>
        <v/>
      </c>
      <c r="BG125" s="353">
        <v>13</v>
      </c>
    </row>
    <row r="126" spans="2:59" x14ac:dyDescent="0.25">
      <c r="B126" s="120"/>
      <c r="C126" s="120"/>
      <c r="D126" s="120"/>
      <c r="E126" s="120"/>
      <c r="F126" s="120"/>
      <c r="G126" s="120"/>
      <c r="H126" s="120"/>
      <c r="I126" s="120"/>
      <c r="J126" s="120"/>
      <c r="K126" s="120"/>
      <c r="L126" s="120"/>
      <c r="M126" s="118"/>
      <c r="N126" s="118"/>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1" t="str">
        <f t="shared" si="11"/>
        <v/>
      </c>
      <c r="BG126" s="353">
        <v>14</v>
      </c>
    </row>
    <row r="127" spans="2:59" x14ac:dyDescent="0.25">
      <c r="B127" s="120"/>
      <c r="C127" s="120"/>
      <c r="D127" s="120"/>
      <c r="E127" s="120"/>
      <c r="F127" s="120"/>
      <c r="G127" s="120"/>
      <c r="H127" s="120"/>
      <c r="I127" s="120"/>
      <c r="J127" s="120"/>
      <c r="K127" s="120"/>
      <c r="L127" s="120"/>
      <c r="M127" s="118"/>
      <c r="N127" s="118"/>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1" t="str">
        <f t="shared" si="11"/>
        <v/>
      </c>
      <c r="BG127" s="353">
        <v>15</v>
      </c>
    </row>
    <row r="128" spans="2:59" x14ac:dyDescent="0.25">
      <c r="B128" s="120"/>
      <c r="C128" s="120"/>
      <c r="D128" s="120"/>
      <c r="E128" s="120"/>
      <c r="F128" s="120"/>
      <c r="G128" s="120"/>
      <c r="H128" s="120"/>
      <c r="I128" s="120"/>
      <c r="J128" s="120"/>
      <c r="K128" s="120"/>
      <c r="L128" s="120"/>
      <c r="M128" s="118"/>
      <c r="N128" s="118"/>
      <c r="Q128" s="174"/>
      <c r="R128" s="174"/>
      <c r="S128" s="174"/>
      <c r="T128" s="174"/>
      <c r="U128" s="174"/>
      <c r="V128" s="174"/>
      <c r="W128" s="174"/>
      <c r="X128" s="174"/>
      <c r="Y128" s="174"/>
      <c r="Z128" s="174"/>
      <c r="AA128" s="174"/>
      <c r="AB128" s="174"/>
      <c r="AC128" s="174"/>
      <c r="AD128" s="174"/>
      <c r="AE128" s="174"/>
      <c r="AF128" s="174"/>
      <c r="AG128" s="174"/>
      <c r="AH128" s="174"/>
      <c r="AI128" s="174"/>
      <c r="AJ128" s="174"/>
      <c r="AK128" s="174"/>
      <c r="AL128" s="174"/>
      <c r="AM128" s="174"/>
      <c r="AN128" s="174"/>
      <c r="AO128" s="174"/>
      <c r="AP128" s="174"/>
      <c r="AQ128" s="174"/>
      <c r="AR128" s="174"/>
      <c r="AS128" s="174"/>
      <c r="AT128" s="174"/>
      <c r="AU128" s="174"/>
      <c r="AV128" s="174"/>
      <c r="AW128" s="174"/>
      <c r="AX128" s="174"/>
      <c r="AY128" s="174"/>
      <c r="AZ128" s="174"/>
      <c r="BA128" s="174"/>
      <c r="BB128" s="174"/>
      <c r="BC128" s="174"/>
      <c r="BD128" s="174"/>
      <c r="BE128" s="174"/>
      <c r="BF128" s="171" t="str">
        <f t="shared" si="11"/>
        <v/>
      </c>
      <c r="BG128" s="353">
        <v>16</v>
      </c>
    </row>
    <row r="129" spans="2:59" x14ac:dyDescent="0.25">
      <c r="B129" s="120"/>
      <c r="C129" s="120"/>
      <c r="D129" s="120"/>
      <c r="E129" s="120"/>
      <c r="F129" s="120"/>
      <c r="G129" s="120"/>
      <c r="H129" s="120"/>
      <c r="I129" s="120"/>
      <c r="J129" s="120"/>
      <c r="K129" s="120"/>
      <c r="L129" s="120"/>
      <c r="M129" s="118"/>
      <c r="N129" s="118"/>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1" t="str">
        <f t="shared" si="11"/>
        <v/>
      </c>
      <c r="BG129" s="353">
        <v>17</v>
      </c>
    </row>
    <row r="130" spans="2:59" x14ac:dyDescent="0.25">
      <c r="B130" s="120"/>
      <c r="C130" s="120"/>
      <c r="D130" s="120"/>
      <c r="E130" s="120"/>
      <c r="F130" s="120"/>
      <c r="G130" s="120"/>
      <c r="H130" s="120"/>
      <c r="I130" s="120"/>
      <c r="J130" s="120"/>
      <c r="K130" s="120"/>
      <c r="L130" s="120"/>
      <c r="M130" s="118"/>
      <c r="N130" s="118"/>
      <c r="Q130" s="174"/>
      <c r="R130" s="174"/>
      <c r="S130" s="174"/>
      <c r="T130" s="174"/>
      <c r="U130" s="174"/>
      <c r="V130" s="174"/>
      <c r="W130" s="174"/>
      <c r="X130" s="174"/>
      <c r="Y130" s="174"/>
      <c r="Z130" s="174"/>
      <c r="AA130" s="174"/>
      <c r="AB130" s="174"/>
      <c r="AC130" s="174"/>
      <c r="AD130" s="174"/>
      <c r="AE130" s="174"/>
      <c r="AF130" s="174"/>
      <c r="AG130" s="174"/>
      <c r="AH130" s="174"/>
      <c r="AI130" s="174"/>
      <c r="AJ130" s="174"/>
      <c r="AK130" s="174"/>
      <c r="AL130" s="174"/>
      <c r="AM130" s="174"/>
      <c r="AN130" s="174"/>
      <c r="AO130" s="174"/>
      <c r="AP130" s="174"/>
      <c r="AQ130" s="174"/>
      <c r="AR130" s="174"/>
      <c r="AS130" s="174"/>
      <c r="AT130" s="174"/>
      <c r="AU130" s="174"/>
      <c r="AV130" s="174"/>
      <c r="AW130" s="174"/>
      <c r="AX130" s="174"/>
      <c r="AY130" s="174"/>
      <c r="AZ130" s="174"/>
      <c r="BA130" s="174"/>
      <c r="BB130" s="174"/>
      <c r="BC130" s="174"/>
      <c r="BD130" s="174"/>
      <c r="BE130" s="174"/>
      <c r="BF130" s="171" t="str">
        <f t="shared" si="11"/>
        <v/>
      </c>
      <c r="BG130" s="353">
        <v>18</v>
      </c>
    </row>
    <row r="131" spans="2:59" x14ac:dyDescent="0.25">
      <c r="B131" s="120"/>
      <c r="C131" s="120"/>
      <c r="D131" s="120"/>
      <c r="E131" s="120"/>
      <c r="F131" s="120"/>
      <c r="G131" s="120"/>
      <c r="H131" s="120"/>
      <c r="I131" s="120"/>
      <c r="J131" s="120"/>
      <c r="K131" s="120"/>
      <c r="L131" s="120"/>
      <c r="M131" s="118"/>
      <c r="N131" s="118"/>
      <c r="Q131" s="174"/>
      <c r="R131" s="174"/>
      <c r="S131" s="174"/>
      <c r="T131" s="174"/>
      <c r="U131" s="174"/>
      <c r="V131" s="174"/>
      <c r="W131" s="174"/>
      <c r="X131" s="174"/>
      <c r="Y131" s="174"/>
      <c r="Z131" s="174"/>
      <c r="AA131" s="174"/>
      <c r="AB131" s="174"/>
      <c r="AC131" s="174"/>
      <c r="AD131" s="174"/>
      <c r="AE131" s="174"/>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74"/>
      <c r="BB131" s="174"/>
      <c r="BC131" s="174"/>
      <c r="BD131" s="174"/>
      <c r="BE131" s="174"/>
      <c r="BF131" s="171" t="str">
        <f t="shared" si="11"/>
        <v/>
      </c>
      <c r="BG131" s="353">
        <v>19</v>
      </c>
    </row>
    <row r="132" spans="2:59" x14ac:dyDescent="0.25">
      <c r="B132" s="120"/>
      <c r="C132" s="120"/>
      <c r="D132" s="120"/>
      <c r="E132" s="120"/>
      <c r="F132" s="120"/>
      <c r="G132" s="120"/>
      <c r="H132" s="120"/>
      <c r="I132" s="120"/>
      <c r="J132" s="120"/>
      <c r="K132" s="120"/>
      <c r="L132" s="120"/>
      <c r="M132" s="118"/>
      <c r="N132" s="118"/>
      <c r="Q132" s="174"/>
      <c r="R132" s="174"/>
      <c r="S132" s="174"/>
      <c r="T132" s="174"/>
      <c r="U132" s="174"/>
      <c r="V132" s="174"/>
      <c r="W132" s="174"/>
      <c r="X132" s="174"/>
      <c r="Y132" s="174"/>
      <c r="Z132" s="174"/>
      <c r="AA132" s="174"/>
      <c r="AB132" s="174"/>
      <c r="AC132" s="174"/>
      <c r="AD132" s="174"/>
      <c r="AE132" s="174"/>
      <c r="AF132" s="174"/>
      <c r="AG132" s="174"/>
      <c r="AH132" s="174"/>
      <c r="AI132" s="174"/>
      <c r="AJ132" s="174"/>
      <c r="AK132" s="174"/>
      <c r="AL132" s="174"/>
      <c r="AM132" s="174"/>
      <c r="AN132" s="174"/>
      <c r="AO132" s="174"/>
      <c r="AP132" s="174"/>
      <c r="AQ132" s="174"/>
      <c r="AR132" s="174"/>
      <c r="AS132" s="174"/>
      <c r="AT132" s="174"/>
      <c r="AU132" s="174"/>
      <c r="AV132" s="174"/>
      <c r="AW132" s="174"/>
      <c r="AX132" s="174"/>
      <c r="AY132" s="174"/>
      <c r="AZ132" s="174"/>
      <c r="BA132" s="174"/>
      <c r="BB132" s="174"/>
      <c r="BC132" s="174"/>
      <c r="BD132" s="174"/>
      <c r="BE132" s="174"/>
      <c r="BF132" s="171" t="str">
        <f t="shared" si="11"/>
        <v/>
      </c>
      <c r="BG132" s="353">
        <v>20</v>
      </c>
    </row>
    <row r="133" spans="2:59" x14ac:dyDescent="0.25">
      <c r="B133" s="120"/>
      <c r="C133" s="120"/>
      <c r="D133" s="120"/>
      <c r="E133" s="120"/>
      <c r="F133" s="120"/>
      <c r="G133" s="120"/>
      <c r="H133" s="120"/>
      <c r="I133" s="120"/>
      <c r="J133" s="120"/>
      <c r="K133" s="120"/>
      <c r="L133" s="120"/>
      <c r="M133" s="118"/>
      <c r="N133" s="118"/>
      <c r="Q133" s="174"/>
      <c r="R133" s="174"/>
      <c r="S133" s="174"/>
      <c r="T133" s="174"/>
      <c r="U133" s="174"/>
      <c r="V133" s="174"/>
      <c r="W133" s="174"/>
      <c r="X133" s="174"/>
      <c r="Y133" s="174"/>
      <c r="Z133" s="174"/>
      <c r="AA133" s="174"/>
      <c r="AB133" s="174"/>
      <c r="AC133" s="174"/>
      <c r="AD133" s="174"/>
      <c r="AE133" s="174"/>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74"/>
      <c r="BB133" s="174"/>
      <c r="BC133" s="174"/>
      <c r="BD133" s="174"/>
      <c r="BE133" s="174"/>
      <c r="BF133" s="171" t="str">
        <f t="shared" si="11"/>
        <v/>
      </c>
      <c r="BG133" s="353">
        <v>21</v>
      </c>
    </row>
    <row r="134" spans="2:59" x14ac:dyDescent="0.25">
      <c r="B134" s="120"/>
      <c r="C134" s="120"/>
      <c r="D134" s="120"/>
      <c r="E134" s="120"/>
      <c r="F134" s="120"/>
      <c r="G134" s="120"/>
      <c r="H134" s="120"/>
      <c r="I134" s="120"/>
      <c r="J134" s="120"/>
      <c r="K134" s="120"/>
      <c r="L134" s="120"/>
      <c r="M134" s="118"/>
      <c r="N134" s="118"/>
      <c r="Q134" s="174"/>
      <c r="R134" s="174"/>
      <c r="S134" s="174"/>
      <c r="T134" s="174"/>
      <c r="U134" s="174"/>
      <c r="V134" s="174"/>
      <c r="W134" s="174"/>
      <c r="X134" s="174"/>
      <c r="Y134" s="174"/>
      <c r="Z134" s="174"/>
      <c r="AA134" s="174"/>
      <c r="AB134" s="174"/>
      <c r="AC134" s="174"/>
      <c r="AD134" s="174"/>
      <c r="AE134" s="174"/>
      <c r="AF134" s="174"/>
      <c r="AG134" s="174"/>
      <c r="AH134" s="174"/>
      <c r="AI134" s="174"/>
      <c r="AJ134" s="174"/>
      <c r="AK134" s="174"/>
      <c r="AL134" s="174"/>
      <c r="AM134" s="174"/>
      <c r="AN134" s="174"/>
      <c r="AO134" s="174"/>
      <c r="AP134" s="174"/>
      <c r="AQ134" s="174"/>
      <c r="AR134" s="174"/>
      <c r="AS134" s="174"/>
      <c r="AT134" s="174"/>
      <c r="AU134" s="174"/>
      <c r="AV134" s="174"/>
      <c r="AW134" s="174"/>
      <c r="AX134" s="174"/>
      <c r="AY134" s="174"/>
      <c r="AZ134" s="174"/>
      <c r="BA134" s="174"/>
      <c r="BB134" s="174"/>
      <c r="BC134" s="174"/>
      <c r="BD134" s="174"/>
      <c r="BE134" s="174"/>
      <c r="BF134" s="171" t="str">
        <f t="shared" si="11"/>
        <v/>
      </c>
      <c r="BG134" s="353">
        <v>22</v>
      </c>
    </row>
    <row r="135" spans="2:59" x14ac:dyDescent="0.25">
      <c r="B135" s="120"/>
      <c r="C135" s="120"/>
      <c r="D135" s="120"/>
      <c r="E135" s="120"/>
      <c r="F135" s="120"/>
      <c r="G135" s="120"/>
      <c r="H135" s="120"/>
      <c r="I135" s="120"/>
      <c r="J135" s="120"/>
      <c r="K135" s="120"/>
      <c r="L135" s="120"/>
      <c r="M135" s="118"/>
      <c r="N135" s="118"/>
      <c r="Q135" s="174"/>
      <c r="R135" s="174"/>
      <c r="S135" s="174"/>
      <c r="T135" s="174"/>
      <c r="U135" s="174"/>
      <c r="V135" s="174"/>
      <c r="W135" s="174"/>
      <c r="X135" s="174"/>
      <c r="Y135" s="174"/>
      <c r="Z135" s="174"/>
      <c r="AA135" s="174"/>
      <c r="AB135" s="174"/>
      <c r="AC135" s="174"/>
      <c r="AD135" s="174"/>
      <c r="AE135" s="174"/>
      <c r="AF135" s="174"/>
      <c r="AG135" s="174"/>
      <c r="AH135" s="174"/>
      <c r="AI135" s="174"/>
      <c r="AJ135" s="174"/>
      <c r="AK135" s="174"/>
      <c r="AL135" s="174"/>
      <c r="AM135" s="174"/>
      <c r="AN135" s="174"/>
      <c r="AO135" s="174"/>
      <c r="AP135" s="174"/>
      <c r="AQ135" s="174"/>
      <c r="AR135" s="174"/>
      <c r="AS135" s="174"/>
      <c r="AT135" s="174"/>
      <c r="AU135" s="174"/>
      <c r="AV135" s="174"/>
      <c r="AW135" s="174"/>
      <c r="AX135" s="174"/>
      <c r="AY135" s="174"/>
      <c r="AZ135" s="174"/>
      <c r="BA135" s="174"/>
      <c r="BB135" s="174"/>
      <c r="BC135" s="174"/>
      <c r="BD135" s="174"/>
      <c r="BE135" s="174"/>
      <c r="BF135" s="171" t="str">
        <f t="shared" si="11"/>
        <v/>
      </c>
      <c r="BG135" s="353">
        <v>23</v>
      </c>
    </row>
    <row r="136" spans="2:59" x14ac:dyDescent="0.25">
      <c r="B136" s="120"/>
      <c r="C136" s="120"/>
      <c r="D136" s="120"/>
      <c r="E136" s="120"/>
      <c r="F136" s="120"/>
      <c r="G136" s="120"/>
      <c r="H136" s="120"/>
      <c r="I136" s="120"/>
      <c r="J136" s="120"/>
      <c r="K136" s="120"/>
      <c r="L136" s="120"/>
      <c r="M136" s="118"/>
      <c r="N136" s="118"/>
      <c r="Q136" s="174"/>
      <c r="R136" s="174"/>
      <c r="S136" s="174"/>
      <c r="T136" s="174"/>
      <c r="U136" s="174"/>
      <c r="V136" s="174"/>
      <c r="W136" s="174"/>
      <c r="X136" s="174"/>
      <c r="Y136" s="174"/>
      <c r="Z136" s="174"/>
      <c r="AA136" s="174"/>
      <c r="AB136" s="174"/>
      <c r="AC136" s="174"/>
      <c r="AD136" s="174"/>
      <c r="AE136" s="174"/>
      <c r="AF136" s="174"/>
      <c r="AG136" s="174"/>
      <c r="AH136" s="174"/>
      <c r="AI136" s="174"/>
      <c r="AJ136" s="174"/>
      <c r="AK136" s="174"/>
      <c r="AL136" s="174"/>
      <c r="AM136" s="174"/>
      <c r="AN136" s="174"/>
      <c r="AO136" s="174"/>
      <c r="AP136" s="174"/>
      <c r="AQ136" s="174"/>
      <c r="AR136" s="174"/>
      <c r="AS136" s="174"/>
      <c r="AT136" s="174"/>
      <c r="AU136" s="174"/>
      <c r="AV136" s="174"/>
      <c r="AW136" s="174"/>
      <c r="AX136" s="174"/>
      <c r="AY136" s="174"/>
      <c r="AZ136" s="174"/>
      <c r="BA136" s="174"/>
      <c r="BB136" s="174"/>
      <c r="BC136" s="174"/>
      <c r="BD136" s="174"/>
      <c r="BE136" s="174"/>
      <c r="BF136" s="171" t="str">
        <f t="shared" si="11"/>
        <v/>
      </c>
      <c r="BG136" s="353">
        <v>24</v>
      </c>
    </row>
    <row r="137" spans="2:59" x14ac:dyDescent="0.25">
      <c r="B137" s="120"/>
      <c r="C137" s="120"/>
      <c r="D137" s="120"/>
      <c r="E137" s="120"/>
      <c r="F137" s="120"/>
      <c r="G137" s="120"/>
      <c r="H137" s="120"/>
      <c r="I137" s="120"/>
      <c r="J137" s="120"/>
      <c r="K137" s="120"/>
      <c r="L137" s="120"/>
      <c r="M137" s="118"/>
      <c r="N137" s="118"/>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174"/>
      <c r="AN137" s="174"/>
      <c r="AO137" s="174"/>
      <c r="AP137" s="174"/>
      <c r="AQ137" s="174"/>
      <c r="AR137" s="174"/>
      <c r="AS137" s="174"/>
      <c r="AT137" s="174"/>
      <c r="AU137" s="174"/>
      <c r="AV137" s="174"/>
      <c r="AW137" s="174"/>
      <c r="AX137" s="174"/>
      <c r="AY137" s="174"/>
      <c r="AZ137" s="174"/>
      <c r="BA137" s="174"/>
      <c r="BB137" s="174"/>
      <c r="BC137" s="174"/>
      <c r="BD137" s="174"/>
      <c r="BE137" s="174"/>
      <c r="BF137" s="171" t="str">
        <f t="shared" si="11"/>
        <v/>
      </c>
      <c r="BG137" s="353">
        <v>25</v>
      </c>
    </row>
    <row r="138" spans="2:59" x14ac:dyDescent="0.25">
      <c r="B138" s="120"/>
      <c r="C138" s="120"/>
      <c r="D138" s="120"/>
      <c r="E138" s="120"/>
      <c r="F138" s="120"/>
      <c r="G138" s="120"/>
      <c r="H138" s="120"/>
      <c r="I138" s="120"/>
      <c r="J138" s="120"/>
      <c r="K138" s="120"/>
      <c r="L138" s="120"/>
      <c r="M138" s="118"/>
      <c r="N138" s="118"/>
      <c r="Q138" s="174"/>
      <c r="R138" s="174"/>
      <c r="S138" s="174"/>
      <c r="T138" s="174"/>
      <c r="U138" s="174"/>
      <c r="V138" s="174"/>
      <c r="W138" s="174"/>
      <c r="X138" s="174"/>
      <c r="Y138" s="174"/>
      <c r="Z138" s="174"/>
      <c r="AA138" s="174"/>
      <c r="AB138" s="174"/>
      <c r="AC138" s="174"/>
      <c r="AD138" s="174"/>
      <c r="AE138" s="174"/>
      <c r="AF138" s="174"/>
      <c r="AG138" s="174"/>
      <c r="AH138" s="174"/>
      <c r="AI138" s="174"/>
      <c r="AJ138" s="174"/>
      <c r="AK138" s="174"/>
      <c r="AL138" s="174"/>
      <c r="AM138" s="174"/>
      <c r="AN138" s="174"/>
      <c r="AO138" s="174"/>
      <c r="AP138" s="174"/>
      <c r="AQ138" s="174"/>
      <c r="AR138" s="174"/>
      <c r="AS138" s="174"/>
      <c r="AT138" s="174"/>
      <c r="AU138" s="174"/>
      <c r="AV138" s="174"/>
      <c r="AW138" s="174"/>
      <c r="AX138" s="174"/>
      <c r="AY138" s="174"/>
      <c r="AZ138" s="174"/>
      <c r="BA138" s="174"/>
      <c r="BB138" s="174"/>
      <c r="BC138" s="174"/>
      <c r="BD138" s="174"/>
      <c r="BE138" s="174"/>
      <c r="BF138" s="171" t="str">
        <f t="shared" si="11"/>
        <v/>
      </c>
      <c r="BG138" s="353">
        <v>26</v>
      </c>
    </row>
    <row r="139" spans="2:59" x14ac:dyDescent="0.25">
      <c r="B139" s="120"/>
      <c r="C139" s="120"/>
      <c r="D139" s="120"/>
      <c r="E139" s="120"/>
      <c r="F139" s="120"/>
      <c r="G139" s="120"/>
      <c r="H139" s="120"/>
      <c r="I139" s="120"/>
      <c r="J139" s="120"/>
      <c r="K139" s="120"/>
      <c r="L139" s="120"/>
      <c r="M139" s="118"/>
      <c r="N139" s="118"/>
      <c r="Q139" s="174"/>
      <c r="R139" s="174"/>
      <c r="S139" s="174"/>
      <c r="T139" s="174"/>
      <c r="U139" s="174"/>
      <c r="V139" s="174"/>
      <c r="W139" s="174"/>
      <c r="X139" s="174"/>
      <c r="Y139" s="174"/>
      <c r="Z139" s="174"/>
      <c r="AA139" s="174"/>
      <c r="AB139" s="174"/>
      <c r="AC139" s="174"/>
      <c r="AD139" s="174"/>
      <c r="AE139" s="174"/>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1" t="str">
        <f t="shared" si="11"/>
        <v/>
      </c>
      <c r="BG139" s="353">
        <v>27</v>
      </c>
    </row>
    <row r="140" spans="2:59" x14ac:dyDescent="0.25">
      <c r="B140" s="120"/>
      <c r="C140" s="120"/>
      <c r="D140" s="120"/>
      <c r="E140" s="120"/>
      <c r="F140" s="120"/>
      <c r="G140" s="120"/>
      <c r="H140" s="120"/>
      <c r="I140" s="120"/>
      <c r="J140" s="120"/>
      <c r="K140" s="120"/>
      <c r="L140" s="120"/>
      <c r="M140" s="118"/>
      <c r="N140" s="118"/>
      <c r="Q140" s="174"/>
      <c r="R140" s="174"/>
      <c r="S140" s="174"/>
      <c r="T140" s="174"/>
      <c r="U140" s="174"/>
      <c r="V140" s="174"/>
      <c r="W140" s="174"/>
      <c r="X140" s="174"/>
      <c r="Y140" s="174"/>
      <c r="Z140" s="174"/>
      <c r="AA140" s="174"/>
      <c r="AB140" s="174"/>
      <c r="AC140" s="174"/>
      <c r="AD140" s="174"/>
      <c r="AE140" s="174"/>
      <c r="AF140" s="174"/>
      <c r="AG140" s="174"/>
      <c r="AH140" s="174"/>
      <c r="AI140" s="174"/>
      <c r="AJ140" s="174"/>
      <c r="AK140" s="174"/>
      <c r="AL140" s="174"/>
      <c r="AM140" s="174"/>
      <c r="AN140" s="174"/>
      <c r="AO140" s="174"/>
      <c r="AP140" s="174"/>
      <c r="AQ140" s="174"/>
      <c r="AR140" s="174"/>
      <c r="AS140" s="174"/>
      <c r="AT140" s="174"/>
      <c r="AU140" s="174"/>
      <c r="AV140" s="174"/>
      <c r="AW140" s="174"/>
      <c r="AX140" s="174"/>
      <c r="AY140" s="174"/>
      <c r="AZ140" s="174"/>
      <c r="BA140" s="174"/>
      <c r="BB140" s="174"/>
      <c r="BC140" s="174"/>
      <c r="BD140" s="174"/>
      <c r="BE140" s="174"/>
      <c r="BF140" s="171" t="str">
        <f t="shared" si="11"/>
        <v/>
      </c>
      <c r="BG140" s="353">
        <v>28</v>
      </c>
    </row>
    <row r="141" spans="2:59" x14ac:dyDescent="0.25">
      <c r="B141" s="120"/>
      <c r="C141" s="120"/>
      <c r="D141" s="120"/>
      <c r="E141" s="120"/>
      <c r="F141" s="120"/>
      <c r="G141" s="120"/>
      <c r="H141" s="120"/>
      <c r="I141" s="120"/>
      <c r="J141" s="120"/>
      <c r="K141" s="120"/>
      <c r="L141" s="120"/>
      <c r="M141" s="118"/>
      <c r="N141" s="118"/>
      <c r="Q141" s="174"/>
      <c r="R141" s="174"/>
      <c r="S141" s="174"/>
      <c r="T141" s="174"/>
      <c r="U141" s="174"/>
      <c r="V141" s="174"/>
      <c r="W141" s="174"/>
      <c r="X141" s="174"/>
      <c r="Y141" s="174"/>
      <c r="Z141" s="174"/>
      <c r="AA141" s="174"/>
      <c r="AB141" s="174"/>
      <c r="AC141" s="174"/>
      <c r="AD141" s="174"/>
      <c r="AE141" s="174"/>
      <c r="AF141" s="174"/>
      <c r="AG141" s="174"/>
      <c r="AH141" s="174"/>
      <c r="AI141" s="174"/>
      <c r="AJ141" s="174"/>
      <c r="AK141" s="174"/>
      <c r="AL141" s="174"/>
      <c r="AM141" s="174"/>
      <c r="AN141" s="174"/>
      <c r="AO141" s="174"/>
      <c r="AP141" s="174"/>
      <c r="AQ141" s="174"/>
      <c r="AR141" s="174"/>
      <c r="AS141" s="174"/>
      <c r="AT141" s="174"/>
      <c r="AU141" s="174"/>
      <c r="AV141" s="174"/>
      <c r="AW141" s="174"/>
      <c r="AX141" s="174"/>
      <c r="AY141" s="174"/>
      <c r="AZ141" s="174"/>
      <c r="BA141" s="174"/>
      <c r="BB141" s="174"/>
      <c r="BC141" s="174"/>
      <c r="BD141" s="174"/>
      <c r="BE141" s="174"/>
      <c r="BF141" s="171" t="str">
        <f t="shared" si="11"/>
        <v/>
      </c>
      <c r="BG141" s="353">
        <v>29</v>
      </c>
    </row>
    <row r="142" spans="2:59" x14ac:dyDescent="0.25">
      <c r="B142" s="120"/>
      <c r="C142" s="120"/>
      <c r="D142" s="120"/>
      <c r="E142" s="120"/>
      <c r="F142" s="120"/>
      <c r="G142" s="120"/>
      <c r="H142" s="120"/>
      <c r="I142" s="120"/>
      <c r="J142" s="120"/>
      <c r="K142" s="120"/>
      <c r="L142" s="120"/>
      <c r="M142" s="118"/>
      <c r="N142" s="118"/>
      <c r="Q142" s="174"/>
      <c r="R142" s="174"/>
      <c r="S142" s="174"/>
      <c r="T142" s="174"/>
      <c r="U142" s="174"/>
      <c r="V142" s="174"/>
      <c r="W142" s="174"/>
      <c r="X142" s="174"/>
      <c r="Y142" s="174"/>
      <c r="Z142" s="174"/>
      <c r="AA142" s="174"/>
      <c r="AB142" s="174"/>
      <c r="AC142" s="174"/>
      <c r="AD142" s="174"/>
      <c r="AE142" s="174"/>
      <c r="AF142" s="174"/>
      <c r="AG142" s="174"/>
      <c r="AH142" s="174"/>
      <c r="AI142" s="174"/>
      <c r="AJ142" s="174"/>
      <c r="AK142" s="174"/>
      <c r="AL142" s="174"/>
      <c r="AM142" s="174"/>
      <c r="AN142" s="174"/>
      <c r="AO142" s="174"/>
      <c r="AP142" s="174"/>
      <c r="AQ142" s="174"/>
      <c r="AR142" s="174"/>
      <c r="AS142" s="174"/>
      <c r="AT142" s="174"/>
      <c r="AU142" s="174"/>
      <c r="AV142" s="174"/>
      <c r="AW142" s="174"/>
      <c r="AX142" s="174"/>
      <c r="AY142" s="174"/>
      <c r="AZ142" s="174"/>
      <c r="BA142" s="174"/>
      <c r="BB142" s="174"/>
      <c r="BC142" s="174"/>
      <c r="BD142" s="174"/>
      <c r="BE142" s="174"/>
      <c r="BF142" s="171" t="str">
        <f t="shared" si="11"/>
        <v/>
      </c>
      <c r="BG142" s="353">
        <v>30</v>
      </c>
    </row>
    <row r="143" spans="2:59" x14ac:dyDescent="0.25">
      <c r="B143" s="120"/>
      <c r="C143" s="120"/>
      <c r="D143" s="120"/>
      <c r="E143" s="120"/>
      <c r="F143" s="120"/>
      <c r="G143" s="120"/>
      <c r="H143" s="120"/>
      <c r="I143" s="120"/>
      <c r="J143" s="120"/>
      <c r="K143" s="120"/>
      <c r="L143" s="120"/>
      <c r="M143" s="118"/>
      <c r="N143" s="118"/>
      <c r="Q143" s="174"/>
      <c r="R143" s="174"/>
      <c r="S143" s="174"/>
      <c r="T143" s="174"/>
      <c r="U143" s="174"/>
      <c r="V143" s="174"/>
      <c r="W143" s="174"/>
      <c r="X143" s="174"/>
      <c r="Y143" s="174"/>
      <c r="Z143" s="174"/>
      <c r="AA143" s="174"/>
      <c r="AB143" s="174"/>
      <c r="AC143" s="174"/>
      <c r="AD143" s="174"/>
      <c r="AE143" s="174"/>
      <c r="AF143" s="174"/>
      <c r="AG143" s="174"/>
      <c r="AH143" s="174"/>
      <c r="AI143" s="174"/>
      <c r="AJ143" s="174"/>
      <c r="AK143" s="174"/>
      <c r="AL143" s="174"/>
      <c r="AM143" s="174"/>
      <c r="AN143" s="174"/>
      <c r="AO143" s="174"/>
      <c r="AP143" s="174"/>
      <c r="AQ143" s="174"/>
      <c r="AR143" s="174"/>
      <c r="AS143" s="174"/>
      <c r="AT143" s="174"/>
      <c r="AU143" s="174"/>
      <c r="AV143" s="174"/>
      <c r="AW143" s="174"/>
      <c r="AX143" s="174"/>
      <c r="AY143" s="174"/>
      <c r="AZ143" s="174"/>
      <c r="BA143" s="174"/>
      <c r="BB143" s="174"/>
      <c r="BC143" s="174"/>
      <c r="BD143" s="174"/>
      <c r="BE143" s="174"/>
      <c r="BF143" s="171" t="str">
        <f t="shared" si="11"/>
        <v/>
      </c>
      <c r="BG143" s="353">
        <v>31</v>
      </c>
    </row>
    <row r="144" spans="2:59" x14ac:dyDescent="0.25">
      <c r="B144" s="120"/>
      <c r="C144" s="120"/>
      <c r="D144" s="120"/>
      <c r="E144" s="120"/>
      <c r="F144" s="120"/>
      <c r="G144" s="120"/>
      <c r="H144" s="120"/>
      <c r="I144" s="120"/>
      <c r="J144" s="120"/>
      <c r="K144" s="120"/>
      <c r="L144" s="120"/>
      <c r="M144" s="118"/>
      <c r="N144" s="118"/>
      <c r="Q144" s="174"/>
      <c r="R144" s="174"/>
      <c r="S144" s="174"/>
      <c r="T144" s="174"/>
      <c r="U144" s="174"/>
      <c r="V144" s="174"/>
      <c r="W144" s="174"/>
      <c r="X144" s="174"/>
      <c r="Y144" s="174"/>
      <c r="Z144" s="174"/>
      <c r="AA144" s="174"/>
      <c r="AB144" s="174"/>
      <c r="AC144" s="174"/>
      <c r="AD144" s="174"/>
      <c r="AE144" s="174"/>
      <c r="AF144" s="174"/>
      <c r="AG144" s="174"/>
      <c r="AH144" s="174"/>
      <c r="AI144" s="174"/>
      <c r="AJ144" s="174"/>
      <c r="AK144" s="174"/>
      <c r="AL144" s="174"/>
      <c r="AM144" s="174"/>
      <c r="AN144" s="174"/>
      <c r="AO144" s="174"/>
      <c r="AP144" s="174"/>
      <c r="AQ144" s="174"/>
      <c r="AR144" s="174"/>
      <c r="AS144" s="174"/>
      <c r="AT144" s="174"/>
      <c r="AU144" s="174"/>
      <c r="AV144" s="174"/>
      <c r="AW144" s="174"/>
      <c r="AX144" s="174"/>
      <c r="AY144" s="174"/>
      <c r="AZ144" s="174"/>
      <c r="BA144" s="174"/>
      <c r="BB144" s="174"/>
      <c r="BC144" s="174"/>
      <c r="BD144" s="174"/>
      <c r="BE144" s="174"/>
      <c r="BF144" s="171" t="str">
        <f t="shared" si="11"/>
        <v/>
      </c>
      <c r="BG144" s="353">
        <v>32</v>
      </c>
    </row>
    <row r="145" spans="2:59" x14ac:dyDescent="0.25">
      <c r="B145" s="120"/>
      <c r="C145" s="120"/>
      <c r="D145" s="120"/>
      <c r="E145" s="120"/>
      <c r="F145" s="120"/>
      <c r="G145" s="120"/>
      <c r="H145" s="120"/>
      <c r="I145" s="120"/>
      <c r="J145" s="120"/>
      <c r="K145" s="120"/>
      <c r="L145" s="120"/>
      <c r="M145" s="118"/>
      <c r="N145" s="118"/>
      <c r="Q145" s="174"/>
      <c r="R145" s="174"/>
      <c r="S145" s="174"/>
      <c r="T145" s="174"/>
      <c r="U145" s="174"/>
      <c r="V145" s="174"/>
      <c r="W145" s="174"/>
      <c r="X145" s="174"/>
      <c r="Y145" s="174"/>
      <c r="Z145" s="174"/>
      <c r="AA145" s="174"/>
      <c r="AB145" s="174"/>
      <c r="AC145" s="174"/>
      <c r="AD145" s="174"/>
      <c r="AE145" s="174"/>
      <c r="AF145" s="174"/>
      <c r="AG145" s="174"/>
      <c r="AH145" s="174"/>
      <c r="AI145" s="174"/>
      <c r="AJ145" s="174"/>
      <c r="AK145" s="174"/>
      <c r="AL145" s="174"/>
      <c r="AM145" s="174"/>
      <c r="AN145" s="174"/>
      <c r="AO145" s="174"/>
      <c r="AP145" s="174"/>
      <c r="AQ145" s="174"/>
      <c r="AR145" s="174"/>
      <c r="AS145" s="174"/>
      <c r="AT145" s="174"/>
      <c r="AU145" s="174"/>
      <c r="AV145" s="174"/>
      <c r="AW145" s="174"/>
      <c r="AX145" s="174"/>
      <c r="AY145" s="174"/>
      <c r="AZ145" s="174"/>
      <c r="BA145" s="174"/>
      <c r="BB145" s="174"/>
      <c r="BC145" s="174"/>
      <c r="BD145" s="174"/>
      <c r="BE145" s="174"/>
      <c r="BF145" s="171" t="str">
        <f t="shared" si="11"/>
        <v/>
      </c>
      <c r="BG145" s="353">
        <v>33</v>
      </c>
    </row>
    <row r="146" spans="2:59" x14ac:dyDescent="0.25">
      <c r="B146" s="120"/>
      <c r="C146" s="120"/>
      <c r="D146" s="120"/>
      <c r="E146" s="120"/>
      <c r="F146" s="120"/>
      <c r="G146" s="120"/>
      <c r="H146" s="120"/>
      <c r="I146" s="120"/>
      <c r="J146" s="120"/>
      <c r="K146" s="120"/>
      <c r="L146" s="120"/>
      <c r="M146" s="118"/>
      <c r="N146" s="118"/>
      <c r="Q146" s="174"/>
      <c r="R146" s="174"/>
      <c r="S146" s="174"/>
      <c r="T146" s="174"/>
      <c r="U146" s="174"/>
      <c r="V146" s="174"/>
      <c r="W146" s="174"/>
      <c r="X146" s="174"/>
      <c r="Y146" s="174"/>
      <c r="Z146" s="174"/>
      <c r="AA146" s="174"/>
      <c r="AB146" s="174"/>
      <c r="AC146" s="174"/>
      <c r="AD146" s="174"/>
      <c r="AE146" s="174"/>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1" t="str">
        <f t="shared" si="11"/>
        <v/>
      </c>
      <c r="BG146" s="353">
        <v>34</v>
      </c>
    </row>
    <row r="147" spans="2:59" x14ac:dyDescent="0.25">
      <c r="B147" s="120"/>
      <c r="C147" s="120"/>
      <c r="D147" s="120"/>
      <c r="E147" s="120"/>
      <c r="F147" s="120"/>
      <c r="G147" s="120"/>
      <c r="H147" s="120"/>
      <c r="I147" s="120"/>
      <c r="J147" s="120"/>
      <c r="K147" s="120"/>
      <c r="L147" s="120"/>
      <c r="M147" s="118"/>
      <c r="N147" s="118"/>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174"/>
      <c r="AN147" s="174"/>
      <c r="AO147" s="174"/>
      <c r="AP147" s="174"/>
      <c r="AQ147" s="174"/>
      <c r="AR147" s="174"/>
      <c r="AS147" s="174"/>
      <c r="AT147" s="174"/>
      <c r="AU147" s="174"/>
      <c r="AV147" s="174"/>
      <c r="AW147" s="174"/>
      <c r="AX147" s="174"/>
      <c r="AY147" s="174"/>
      <c r="AZ147" s="174"/>
      <c r="BA147" s="174"/>
      <c r="BB147" s="174"/>
      <c r="BC147" s="174"/>
      <c r="BD147" s="174"/>
      <c r="BE147" s="174"/>
      <c r="BF147" s="171" t="str">
        <f t="shared" si="11"/>
        <v/>
      </c>
      <c r="BG147" s="353">
        <v>35</v>
      </c>
    </row>
    <row r="148" spans="2:59" x14ac:dyDescent="0.25">
      <c r="B148" s="120"/>
      <c r="C148" s="120"/>
      <c r="D148" s="120"/>
      <c r="E148" s="120"/>
      <c r="F148" s="120"/>
      <c r="G148" s="120"/>
      <c r="H148" s="120"/>
      <c r="I148" s="120"/>
      <c r="J148" s="120"/>
      <c r="K148" s="120"/>
      <c r="L148" s="120"/>
      <c r="M148" s="118"/>
      <c r="N148" s="118"/>
      <c r="Q148" s="174"/>
      <c r="R148" s="174"/>
      <c r="S148" s="174"/>
      <c r="T148" s="174"/>
      <c r="U148" s="174"/>
      <c r="V148" s="174"/>
      <c r="W148" s="174"/>
      <c r="X148" s="174"/>
      <c r="Y148" s="174"/>
      <c r="Z148" s="174"/>
      <c r="AA148" s="174"/>
      <c r="AB148" s="174"/>
      <c r="AC148" s="174"/>
      <c r="AD148" s="174"/>
      <c r="AE148" s="174"/>
      <c r="AF148" s="174"/>
      <c r="AG148" s="174"/>
      <c r="AH148" s="174"/>
      <c r="AI148" s="174"/>
      <c r="AJ148" s="174"/>
      <c r="AK148" s="174"/>
      <c r="AL148" s="174"/>
      <c r="AM148" s="174"/>
      <c r="AN148" s="174"/>
      <c r="AO148" s="174"/>
      <c r="AP148" s="174"/>
      <c r="AQ148" s="174"/>
      <c r="AR148" s="174"/>
      <c r="AS148" s="174"/>
      <c r="AT148" s="174"/>
      <c r="AU148" s="174"/>
      <c r="AV148" s="174"/>
      <c r="AW148" s="174"/>
      <c r="AX148" s="174"/>
      <c r="AY148" s="174"/>
      <c r="AZ148" s="174"/>
      <c r="BA148" s="174"/>
      <c r="BB148" s="174"/>
      <c r="BC148" s="174"/>
      <c r="BD148" s="174"/>
      <c r="BE148" s="174"/>
      <c r="BF148" s="171" t="str">
        <f t="shared" si="11"/>
        <v/>
      </c>
      <c r="BG148" s="353">
        <v>36</v>
      </c>
    </row>
    <row r="149" spans="2:59" x14ac:dyDescent="0.25">
      <c r="B149" s="120"/>
      <c r="C149" s="120"/>
      <c r="D149" s="120"/>
      <c r="E149" s="120"/>
      <c r="F149" s="120"/>
      <c r="G149" s="120"/>
      <c r="H149" s="120"/>
      <c r="I149" s="120"/>
      <c r="J149" s="120"/>
      <c r="K149" s="120"/>
      <c r="L149" s="120"/>
      <c r="M149" s="118"/>
      <c r="N149" s="118"/>
      <c r="Q149" s="174"/>
      <c r="R149" s="174"/>
      <c r="S149" s="174"/>
      <c r="T149" s="174"/>
      <c r="U149" s="174"/>
      <c r="V149" s="174"/>
      <c r="W149" s="174"/>
      <c r="X149" s="174"/>
      <c r="Y149" s="174"/>
      <c r="Z149" s="174"/>
      <c r="AA149" s="174"/>
      <c r="AB149" s="174"/>
      <c r="AC149" s="174"/>
      <c r="AD149" s="174"/>
      <c r="AE149" s="174"/>
      <c r="AF149" s="174"/>
      <c r="AG149" s="174"/>
      <c r="AH149" s="174"/>
      <c r="AI149" s="174"/>
      <c r="AJ149" s="174"/>
      <c r="AK149" s="174"/>
      <c r="AL149" s="174"/>
      <c r="AM149" s="174"/>
      <c r="AN149" s="174"/>
      <c r="AO149" s="174"/>
      <c r="AP149" s="174"/>
      <c r="AQ149" s="174"/>
      <c r="AR149" s="174"/>
      <c r="AS149" s="174"/>
      <c r="AT149" s="174"/>
      <c r="AU149" s="174"/>
      <c r="AV149" s="174"/>
      <c r="AW149" s="174"/>
      <c r="AX149" s="174"/>
      <c r="AY149" s="174"/>
      <c r="AZ149" s="174"/>
      <c r="BA149" s="174"/>
      <c r="BB149" s="174"/>
      <c r="BC149" s="174"/>
      <c r="BD149" s="174"/>
      <c r="BE149" s="174"/>
      <c r="BF149" s="171" t="str">
        <f t="shared" si="11"/>
        <v/>
      </c>
      <c r="BG149" s="353">
        <v>37</v>
      </c>
    </row>
    <row r="150" spans="2:59" x14ac:dyDescent="0.25">
      <c r="N150" s="118"/>
      <c r="Q150" s="174"/>
      <c r="R150" s="174"/>
      <c r="S150" s="174"/>
      <c r="T150" s="174"/>
      <c r="U150" s="174"/>
      <c r="V150" s="174"/>
      <c r="W150" s="174"/>
      <c r="X150" s="174"/>
      <c r="Y150" s="174"/>
      <c r="Z150" s="174"/>
      <c r="AA150" s="174"/>
      <c r="AB150" s="174"/>
      <c r="AC150" s="174"/>
      <c r="AD150" s="174"/>
      <c r="AE150" s="174"/>
      <c r="AF150" s="174"/>
      <c r="AG150" s="174"/>
      <c r="AH150" s="174"/>
      <c r="AI150" s="174"/>
      <c r="AJ150" s="174"/>
      <c r="AK150" s="174"/>
      <c r="AL150" s="174"/>
      <c r="AM150" s="174"/>
      <c r="AN150" s="174"/>
      <c r="AO150" s="174"/>
      <c r="AP150" s="174"/>
      <c r="AQ150" s="174"/>
      <c r="AR150" s="174"/>
      <c r="AS150" s="174"/>
      <c r="AT150" s="174"/>
      <c r="AU150" s="174"/>
      <c r="AV150" s="174"/>
      <c r="AW150" s="174"/>
      <c r="AX150" s="174"/>
      <c r="AY150" s="174"/>
      <c r="AZ150" s="174"/>
      <c r="BA150" s="174"/>
      <c r="BB150" s="174"/>
      <c r="BC150" s="174"/>
      <c r="BD150" s="174"/>
      <c r="BE150" s="174"/>
      <c r="BF150" s="171" t="str">
        <f t="shared" si="11"/>
        <v/>
      </c>
      <c r="BG150" s="353">
        <v>38</v>
      </c>
    </row>
    <row r="151" spans="2:59" x14ac:dyDescent="0.25">
      <c r="Q151" s="174"/>
      <c r="R151" s="174"/>
      <c r="S151" s="174"/>
      <c r="T151" s="174"/>
      <c r="U151" s="174"/>
      <c r="V151" s="174"/>
      <c r="W151" s="174"/>
      <c r="X151" s="174"/>
      <c r="Y151" s="174"/>
      <c r="Z151" s="174"/>
      <c r="AA151" s="174"/>
      <c r="AB151" s="174"/>
      <c r="AC151" s="174"/>
      <c r="AD151" s="174"/>
      <c r="AE151" s="174"/>
      <c r="AF151" s="174"/>
      <c r="AG151" s="174"/>
      <c r="AH151" s="174"/>
      <c r="AI151" s="174"/>
      <c r="AJ151" s="174"/>
      <c r="AK151" s="174"/>
      <c r="AL151" s="174"/>
      <c r="AM151" s="174"/>
      <c r="AN151" s="174"/>
      <c r="AO151" s="174"/>
      <c r="AP151" s="174"/>
      <c r="AQ151" s="174"/>
      <c r="AR151" s="174"/>
      <c r="AS151" s="174"/>
      <c r="AT151" s="174"/>
      <c r="AU151" s="174"/>
      <c r="AV151" s="174"/>
      <c r="AW151" s="174"/>
      <c r="AX151" s="174"/>
      <c r="AY151" s="174"/>
      <c r="AZ151" s="174"/>
      <c r="BA151" s="174"/>
      <c r="BB151" s="174"/>
      <c r="BC151" s="174"/>
      <c r="BD151" s="174"/>
      <c r="BE151" s="174"/>
      <c r="BF151" s="171" t="str">
        <f t="shared" si="11"/>
        <v/>
      </c>
      <c r="BG151" s="353">
        <v>39</v>
      </c>
    </row>
    <row r="152" spans="2:59" x14ac:dyDescent="0.25">
      <c r="Q152" s="174"/>
      <c r="R152" s="174"/>
      <c r="S152" s="174"/>
      <c r="T152" s="174"/>
      <c r="U152" s="174"/>
      <c r="V152" s="174"/>
      <c r="W152" s="174"/>
      <c r="X152" s="174"/>
      <c r="Y152" s="174"/>
      <c r="Z152" s="174"/>
      <c r="AA152" s="174"/>
      <c r="AB152" s="174"/>
      <c r="AC152" s="174"/>
      <c r="AD152" s="174"/>
      <c r="AE152" s="174"/>
      <c r="AF152" s="174"/>
      <c r="AG152" s="174"/>
      <c r="AH152" s="174"/>
      <c r="AI152" s="174"/>
      <c r="AJ152" s="174"/>
      <c r="AK152" s="174"/>
      <c r="AL152" s="174"/>
      <c r="AM152" s="174"/>
      <c r="AN152" s="174"/>
      <c r="AO152" s="174"/>
      <c r="AP152" s="174"/>
      <c r="AQ152" s="174"/>
      <c r="AR152" s="174"/>
      <c r="AS152" s="174"/>
      <c r="AT152" s="174"/>
      <c r="AU152" s="174"/>
      <c r="AV152" s="174"/>
      <c r="AW152" s="174"/>
      <c r="AX152" s="174"/>
      <c r="AY152" s="174"/>
      <c r="AZ152" s="174"/>
      <c r="BA152" s="174"/>
      <c r="BB152" s="174"/>
      <c r="BC152" s="174"/>
      <c r="BD152" s="174"/>
      <c r="BE152" s="174"/>
      <c r="BF152" s="171" t="str">
        <f t="shared" si="11"/>
        <v/>
      </c>
      <c r="BG152" s="353">
        <v>40</v>
      </c>
    </row>
    <row r="153" spans="2:59" x14ac:dyDescent="0.25">
      <c r="Q153" s="174"/>
      <c r="R153" s="174"/>
      <c r="S153" s="174"/>
      <c r="T153" s="174"/>
      <c r="U153" s="174"/>
      <c r="V153" s="174"/>
      <c r="W153" s="174"/>
      <c r="X153" s="174"/>
      <c r="Y153" s="174"/>
      <c r="Z153" s="174"/>
      <c r="AA153" s="174"/>
      <c r="AB153" s="174"/>
      <c r="AC153" s="174"/>
      <c r="AD153" s="174"/>
      <c r="AE153" s="174"/>
      <c r="AF153" s="174"/>
      <c r="AG153" s="174"/>
      <c r="AH153" s="174"/>
      <c r="AI153" s="174"/>
      <c r="AJ153" s="174"/>
      <c r="AK153" s="174"/>
      <c r="AL153" s="174"/>
      <c r="AM153" s="174"/>
      <c r="AN153" s="174"/>
      <c r="AO153" s="174"/>
      <c r="AP153" s="174"/>
      <c r="AQ153" s="174"/>
      <c r="AR153" s="174"/>
      <c r="AS153" s="174"/>
      <c r="AT153" s="174"/>
      <c r="AU153" s="174"/>
      <c r="AV153" s="174"/>
      <c r="AW153" s="174"/>
      <c r="AX153" s="174"/>
      <c r="AY153" s="174"/>
      <c r="AZ153" s="174"/>
      <c r="BA153" s="174"/>
      <c r="BB153" s="174"/>
      <c r="BC153" s="174"/>
      <c r="BD153" s="174"/>
      <c r="BE153" s="174"/>
      <c r="BF153" s="171" t="str">
        <f t="shared" si="11"/>
        <v/>
      </c>
      <c r="BG153" s="353">
        <v>41</v>
      </c>
    </row>
    <row r="154" spans="2:59" x14ac:dyDescent="0.25">
      <c r="Q154" s="174"/>
      <c r="R154" s="174"/>
      <c r="S154" s="174"/>
      <c r="T154" s="174"/>
      <c r="U154" s="174"/>
      <c r="V154" s="174"/>
      <c r="W154" s="174"/>
      <c r="X154" s="174"/>
      <c r="Y154" s="174"/>
      <c r="Z154" s="174"/>
      <c r="AA154" s="174"/>
      <c r="AB154" s="174"/>
      <c r="AC154" s="174"/>
      <c r="AD154" s="174"/>
      <c r="AE154" s="174"/>
      <c r="AF154" s="174"/>
      <c r="AG154" s="174"/>
      <c r="AH154" s="174"/>
      <c r="AI154" s="174"/>
      <c r="AJ154" s="174"/>
      <c r="AK154" s="174"/>
      <c r="AL154" s="174"/>
      <c r="AM154" s="174"/>
      <c r="AN154" s="174"/>
      <c r="AO154" s="174"/>
      <c r="AP154" s="174"/>
      <c r="AQ154" s="174"/>
      <c r="AR154" s="174"/>
      <c r="AS154" s="174"/>
      <c r="AT154" s="174"/>
      <c r="AU154" s="174"/>
      <c r="AV154" s="174"/>
      <c r="AW154" s="174"/>
      <c r="AX154" s="174"/>
      <c r="AY154" s="174"/>
      <c r="AZ154" s="174"/>
      <c r="BA154" s="174"/>
      <c r="BB154" s="174"/>
      <c r="BC154" s="174"/>
      <c r="BD154" s="174"/>
      <c r="BE154" s="174"/>
      <c r="BF154" s="160"/>
    </row>
    <row r="155" spans="2:59" x14ac:dyDescent="0.25">
      <c r="Q155" s="174"/>
      <c r="R155" s="174"/>
      <c r="S155" s="174"/>
      <c r="T155" s="174"/>
      <c r="U155" s="174"/>
      <c r="V155" s="174"/>
      <c r="W155" s="174"/>
      <c r="X155" s="174"/>
      <c r="Y155" s="174"/>
      <c r="Z155" s="174"/>
      <c r="AA155" s="174"/>
      <c r="AB155" s="174"/>
      <c r="AC155" s="174"/>
      <c r="AD155" s="174"/>
      <c r="AE155" s="174"/>
      <c r="AF155" s="174"/>
      <c r="AG155" s="174"/>
      <c r="AH155" s="174"/>
      <c r="AI155" s="174"/>
      <c r="AJ155" s="174"/>
      <c r="AK155" s="174"/>
      <c r="AL155" s="174"/>
      <c r="AM155" s="174"/>
      <c r="AN155" s="174"/>
      <c r="AO155" s="174"/>
      <c r="AP155" s="174"/>
      <c r="AQ155" s="174"/>
      <c r="AR155" s="174"/>
      <c r="AS155" s="174"/>
      <c r="AT155" s="174"/>
      <c r="AU155" s="174"/>
      <c r="AV155" s="174"/>
      <c r="AW155" s="174"/>
      <c r="AX155" s="174"/>
      <c r="AY155" s="174"/>
      <c r="AZ155" s="174"/>
      <c r="BA155" s="174"/>
      <c r="BB155" s="174"/>
      <c r="BC155" s="174"/>
      <c r="BD155" s="174"/>
      <c r="BE155" s="174"/>
      <c r="BF155" s="160"/>
    </row>
    <row r="156" spans="2:59" x14ac:dyDescent="0.25">
      <c r="Q156" s="174"/>
      <c r="R156" s="174"/>
      <c r="S156" s="174"/>
      <c r="T156" s="174"/>
      <c r="U156" s="174"/>
      <c r="V156" s="174"/>
      <c r="W156" s="174"/>
      <c r="X156" s="174"/>
      <c r="Y156" s="174"/>
      <c r="Z156" s="174"/>
      <c r="AA156" s="174"/>
      <c r="AB156" s="174"/>
      <c r="AC156" s="174"/>
      <c r="AD156" s="174"/>
      <c r="AE156" s="174"/>
      <c r="AF156" s="174"/>
      <c r="AG156" s="174"/>
      <c r="AH156" s="174"/>
      <c r="AI156" s="174"/>
      <c r="AJ156" s="174"/>
      <c r="AK156" s="174"/>
      <c r="AL156" s="174"/>
      <c r="AM156" s="174"/>
      <c r="AN156" s="174"/>
      <c r="AO156" s="174"/>
      <c r="AP156" s="174"/>
      <c r="AQ156" s="174"/>
      <c r="AR156" s="174"/>
      <c r="AS156" s="174"/>
      <c r="AT156" s="174"/>
      <c r="AU156" s="174"/>
      <c r="AV156" s="174"/>
      <c r="AW156" s="174"/>
      <c r="AX156" s="174"/>
      <c r="AY156" s="174"/>
      <c r="AZ156" s="174"/>
      <c r="BA156" s="174"/>
      <c r="BB156" s="174"/>
      <c r="BC156" s="174"/>
      <c r="BD156" s="174"/>
      <c r="BE156" s="174"/>
      <c r="BF156" s="160"/>
    </row>
    <row r="157" spans="2:59" x14ac:dyDescent="0.25">
      <c r="Q157" s="174"/>
      <c r="R157" s="174"/>
      <c r="S157" s="174"/>
      <c r="T157" s="174"/>
      <c r="U157" s="174"/>
      <c r="V157" s="174"/>
      <c r="W157" s="174"/>
      <c r="X157" s="174"/>
      <c r="Y157" s="174"/>
      <c r="Z157" s="174"/>
      <c r="AA157" s="174"/>
      <c r="AB157" s="174"/>
      <c r="AC157" s="174"/>
      <c r="AD157" s="174"/>
      <c r="AE157" s="174"/>
      <c r="AF157" s="174"/>
      <c r="AG157" s="174"/>
      <c r="AH157" s="174"/>
      <c r="AI157" s="174"/>
      <c r="AJ157" s="174"/>
      <c r="AK157" s="174"/>
      <c r="AL157" s="174"/>
      <c r="AM157" s="174"/>
      <c r="AN157" s="174"/>
      <c r="AO157" s="174"/>
      <c r="AP157" s="174"/>
      <c r="AQ157" s="174"/>
      <c r="AR157" s="174"/>
      <c r="AS157" s="174"/>
      <c r="AT157" s="174"/>
      <c r="AU157" s="174"/>
      <c r="AV157" s="174"/>
      <c r="AW157" s="174"/>
      <c r="AX157" s="174"/>
      <c r="AY157" s="174"/>
      <c r="AZ157" s="174"/>
      <c r="BA157" s="174"/>
      <c r="BB157" s="174"/>
      <c r="BC157" s="174"/>
      <c r="BD157" s="174"/>
      <c r="BE157" s="174"/>
      <c r="BF157" s="116"/>
    </row>
    <row r="158" spans="2:59" x14ac:dyDescent="0.25">
      <c r="Q158" s="174"/>
      <c r="R158" s="174"/>
      <c r="S158" s="174"/>
      <c r="T158" s="174"/>
      <c r="U158" s="174"/>
      <c r="V158" s="174"/>
      <c r="W158" s="174"/>
      <c r="X158" s="174"/>
      <c r="Y158" s="174"/>
      <c r="Z158" s="174"/>
      <c r="AA158" s="174"/>
      <c r="AB158" s="174"/>
      <c r="AC158" s="174"/>
      <c r="AD158" s="174"/>
      <c r="AE158" s="174"/>
      <c r="AF158" s="174"/>
      <c r="AG158" s="174"/>
      <c r="AH158" s="174"/>
      <c r="AI158" s="174"/>
      <c r="AJ158" s="174"/>
      <c r="AK158" s="174"/>
      <c r="AL158" s="174"/>
      <c r="AM158" s="174"/>
      <c r="AN158" s="174"/>
      <c r="AO158" s="174"/>
      <c r="AP158" s="174"/>
      <c r="AQ158" s="174"/>
      <c r="AR158" s="174"/>
      <c r="AS158" s="174"/>
      <c r="AT158" s="174"/>
      <c r="AU158" s="174"/>
      <c r="AV158" s="174"/>
      <c r="AW158" s="174"/>
      <c r="AX158" s="174"/>
      <c r="AY158" s="174"/>
      <c r="AZ158" s="174"/>
      <c r="BA158" s="174"/>
      <c r="BB158" s="174"/>
      <c r="BC158" s="174"/>
      <c r="BD158" s="174"/>
      <c r="BE158" s="174"/>
      <c r="BF158" s="116"/>
    </row>
    <row r="159" spans="2:59" ht="15.75" x14ac:dyDescent="0.25">
      <c r="Q159" s="175">
        <v>2</v>
      </c>
      <c r="R159" s="175">
        <v>3</v>
      </c>
      <c r="S159" s="175">
        <v>4</v>
      </c>
      <c r="T159" s="175">
        <v>5</v>
      </c>
      <c r="U159" s="175">
        <v>6</v>
      </c>
      <c r="V159" s="176">
        <v>7</v>
      </c>
      <c r="W159" s="175">
        <v>8</v>
      </c>
      <c r="X159" s="177">
        <v>9</v>
      </c>
      <c r="Y159" s="175">
        <v>10</v>
      </c>
      <c r="Z159" s="176">
        <v>11</v>
      </c>
      <c r="AA159" s="175">
        <v>12</v>
      </c>
      <c r="AB159" s="177">
        <v>13</v>
      </c>
      <c r="AC159" s="175">
        <v>14</v>
      </c>
      <c r="AD159" s="177">
        <v>15</v>
      </c>
      <c r="AE159" s="175">
        <v>16</v>
      </c>
      <c r="AF159" s="175">
        <v>17</v>
      </c>
      <c r="AG159" s="175">
        <v>18</v>
      </c>
      <c r="AH159" s="175">
        <v>19</v>
      </c>
      <c r="AI159" s="177">
        <v>20</v>
      </c>
      <c r="AJ159" s="175">
        <v>21</v>
      </c>
      <c r="AK159" s="175">
        <v>22</v>
      </c>
      <c r="AL159" s="177">
        <v>23</v>
      </c>
      <c r="AM159" s="175">
        <v>24</v>
      </c>
      <c r="AN159" s="175">
        <v>25</v>
      </c>
      <c r="AO159" s="177">
        <v>26</v>
      </c>
      <c r="AP159" s="178">
        <v>27</v>
      </c>
      <c r="AQ159" s="175">
        <v>28</v>
      </c>
      <c r="AR159" s="175">
        <v>29</v>
      </c>
      <c r="AS159" s="175">
        <v>30</v>
      </c>
      <c r="AT159" s="175">
        <v>31</v>
      </c>
      <c r="AU159" s="175">
        <v>32</v>
      </c>
      <c r="AV159" s="176">
        <v>42</v>
      </c>
      <c r="BF159" s="160"/>
    </row>
    <row r="160" spans="2:59" x14ac:dyDescent="0.25">
      <c r="Q160" s="114"/>
      <c r="R160" s="114"/>
      <c r="S160" s="114"/>
      <c r="T160" s="114"/>
      <c r="U160" s="114"/>
      <c r="V160" s="11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row>
    <row r="161" spans="17:58" x14ac:dyDescent="0.25">
      <c r="Q161" s="114"/>
      <c r="R161" s="114"/>
      <c r="S161" s="114"/>
      <c r="T161" s="114"/>
      <c r="U161" s="114"/>
      <c r="V161" s="114"/>
      <c r="W161" s="114"/>
      <c r="X161" s="114"/>
      <c r="Y161" s="114"/>
      <c r="Z161" s="114"/>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row>
    <row r="162" spans="17:58" x14ac:dyDescent="0.25">
      <c r="Q162" s="114"/>
      <c r="R162" s="114"/>
      <c r="S162" s="114"/>
      <c r="T162" s="114"/>
      <c r="U162" s="114"/>
      <c r="V162" s="114"/>
      <c r="W162" s="114"/>
      <c r="X162" s="114"/>
      <c r="Y162" s="114"/>
      <c r="Z162" s="11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row>
    <row r="163" spans="17:58" x14ac:dyDescent="0.25">
      <c r="Q163" s="114"/>
      <c r="R163" s="114"/>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row>
    <row r="164" spans="17:58" x14ac:dyDescent="0.25">
      <c r="Q164" s="114"/>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4"/>
      <c r="AN164" s="114"/>
      <c r="AO164" s="114"/>
      <c r="AP164" s="114"/>
      <c r="AQ164" s="114"/>
      <c r="AR164" s="114"/>
      <c r="AS164" s="114"/>
      <c r="AT164" s="114"/>
      <c r="AU164" s="114"/>
      <c r="AV164" s="114"/>
      <c r="AW164" s="114"/>
      <c r="AX164" s="114"/>
      <c r="AY164" s="114"/>
      <c r="AZ164" s="114"/>
      <c r="BA164" s="114"/>
      <c r="BB164" s="114"/>
      <c r="BC164" s="114"/>
      <c r="BD164" s="114"/>
      <c r="BE164" s="114"/>
      <c r="BF164" s="114"/>
    </row>
    <row r="165" spans="17:58" x14ac:dyDescent="0.25">
      <c r="Q165" s="114"/>
      <c r="R165" s="114"/>
      <c r="S165" s="114"/>
      <c r="T165" s="114"/>
      <c r="U165" s="114"/>
      <c r="V165" s="114"/>
      <c r="W165" s="114"/>
      <c r="X165" s="114"/>
      <c r="Y165" s="114"/>
      <c r="Z165" s="114"/>
      <c r="AA165" s="114"/>
      <c r="AB165" s="114"/>
      <c r="AC165" s="114"/>
      <c r="AD165" s="114"/>
      <c r="AE165" s="114"/>
      <c r="AF165" s="114"/>
      <c r="AG165" s="114"/>
      <c r="AH165" s="114"/>
      <c r="AI165" s="114"/>
      <c r="AJ165" s="114"/>
      <c r="AK165" s="114"/>
      <c r="AL165" s="114"/>
      <c r="AM165" s="114"/>
      <c r="AN165" s="114"/>
      <c r="AO165" s="114"/>
      <c r="AP165" s="114"/>
      <c r="AQ165" s="114"/>
      <c r="AR165" s="114"/>
      <c r="AS165" s="114"/>
      <c r="AT165" s="114"/>
      <c r="AU165" s="114"/>
      <c r="AV165" s="114"/>
      <c r="AW165" s="114"/>
      <c r="AX165" s="114"/>
      <c r="AY165" s="114"/>
      <c r="AZ165" s="114"/>
      <c r="BA165" s="114"/>
      <c r="BB165" s="114"/>
      <c r="BC165" s="114"/>
      <c r="BD165" s="114"/>
      <c r="BE165" s="114"/>
      <c r="BF165" s="114"/>
    </row>
    <row r="166" spans="17:58" x14ac:dyDescent="0.25">
      <c r="Q166" s="114"/>
      <c r="R166" s="114"/>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c r="AU166" s="114"/>
      <c r="AV166" s="114"/>
      <c r="AW166" s="114"/>
      <c r="AX166" s="114"/>
      <c r="AY166" s="114"/>
      <c r="AZ166" s="114"/>
      <c r="BA166" s="114"/>
      <c r="BB166" s="114"/>
      <c r="BC166" s="114"/>
      <c r="BD166" s="114"/>
      <c r="BE166" s="114"/>
      <c r="BF166" s="114"/>
    </row>
    <row r="167" spans="17:58" x14ac:dyDescent="0.25">
      <c r="Q167" s="114"/>
      <c r="R167" s="114"/>
      <c r="S167" s="114"/>
      <c r="T167" s="114"/>
      <c r="U167" s="114"/>
      <c r="V167" s="114"/>
      <c r="W167" s="114"/>
      <c r="X167" s="114"/>
      <c r="Y167" s="114"/>
      <c r="Z167" s="114"/>
      <c r="AA167" s="114"/>
      <c r="AB167" s="114"/>
      <c r="AC167" s="114"/>
      <c r="AD167" s="114"/>
      <c r="AE167" s="114"/>
      <c r="AF167" s="114"/>
      <c r="AG167" s="114"/>
      <c r="AH167" s="114"/>
      <c r="AI167" s="114"/>
      <c r="AJ167" s="114"/>
      <c r="AK167" s="114"/>
      <c r="AL167" s="114"/>
      <c r="AM167" s="114"/>
      <c r="AN167" s="114"/>
      <c r="AO167" s="114"/>
      <c r="AP167" s="114"/>
      <c r="AQ167" s="114"/>
      <c r="AR167" s="114"/>
      <c r="AS167" s="114"/>
      <c r="AT167" s="114"/>
      <c r="AU167" s="114"/>
      <c r="AV167" s="114"/>
      <c r="AW167" s="114"/>
      <c r="AX167" s="114"/>
      <c r="AY167" s="114"/>
      <c r="AZ167" s="114"/>
      <c r="BA167" s="114"/>
      <c r="BB167" s="114"/>
      <c r="BC167" s="114"/>
      <c r="BD167" s="114"/>
      <c r="BE167" s="114"/>
      <c r="BF167" s="114"/>
    </row>
  </sheetData>
  <sheetProtection algorithmName="SHA-512" hashValue="cihSleiODVCoe8diy/C6thuScjy8Iocc9ccM70Lzw3iu1ZZcXDsGC4afOfY9Dra1le/jXYlPj5P1T6AoRRPfKw==" saltValue="OIsYnOWRvwnEGwgeCulETw==" spinCount="100000" sheet="1" formatColumns="0" selectLockedCells="1"/>
  <mergeCells count="47">
    <mergeCell ref="AC99:AD99"/>
    <mergeCell ref="AC104:AD104"/>
    <mergeCell ref="AC110:AD110"/>
    <mergeCell ref="AA65:AB65"/>
    <mergeCell ref="Y68:Z68"/>
    <mergeCell ref="AA98:AB98"/>
    <mergeCell ref="Q98:R98"/>
    <mergeCell ref="S98:T98"/>
    <mergeCell ref="U98:V98"/>
    <mergeCell ref="W98:X98"/>
    <mergeCell ref="Y98:Z98"/>
    <mergeCell ref="AA62:AB62"/>
    <mergeCell ref="C30:L30"/>
    <mergeCell ref="C31:K31"/>
    <mergeCell ref="C32:K32"/>
    <mergeCell ref="C33:K33"/>
    <mergeCell ref="C34:K34"/>
    <mergeCell ref="C35:K35"/>
    <mergeCell ref="C36:K36"/>
    <mergeCell ref="C38:L48"/>
    <mergeCell ref="Q61:U61"/>
    <mergeCell ref="V61:X61"/>
    <mergeCell ref="Y62:Z62"/>
    <mergeCell ref="C28:K28"/>
    <mergeCell ref="C15:K15"/>
    <mergeCell ref="C16:K16"/>
    <mergeCell ref="C17:K17"/>
    <mergeCell ref="C20:L20"/>
    <mergeCell ref="C21:K21"/>
    <mergeCell ref="C22:K22"/>
    <mergeCell ref="C23:K23"/>
    <mergeCell ref="C24:K24"/>
    <mergeCell ref="C25:K25"/>
    <mergeCell ref="C26:K26"/>
    <mergeCell ref="C27:K27"/>
    <mergeCell ref="S7:U7"/>
    <mergeCell ref="C8:K8"/>
    <mergeCell ref="C14:K14"/>
    <mergeCell ref="C3:L3"/>
    <mergeCell ref="C4:L5"/>
    <mergeCell ref="C7:L7"/>
    <mergeCell ref="Q7:R7"/>
    <mergeCell ref="C9:K9"/>
    <mergeCell ref="C10:K10"/>
    <mergeCell ref="C11:K11"/>
    <mergeCell ref="C12:K12"/>
    <mergeCell ref="C13:K13"/>
  </mergeCells>
  <dataValidations count="20">
    <dataValidation type="list" allowBlank="1" showInputMessage="1" showErrorMessage="1" errorTitle="National Lamp Wattage" error="Enter Wattage for One Fixture." sqref="L23" xr:uid="{00000000-0002-0000-0200-000000000000}">
      <formula1>$R$87:$AW$87</formula1>
    </dataValidation>
    <dataValidation type="list" allowBlank="1" showInputMessage="1" showErrorMessage="1" sqref="L12" xr:uid="{00000000-0002-0000-0200-000001000000}">
      <formula1>$X$26:$X$44</formula1>
    </dataValidation>
    <dataValidation type="list" allowBlank="1" showInputMessage="1" showErrorMessage="1" errorTitle="National Lamp Wattage" error="Enter Wattage for One Fixture." sqref="L33" xr:uid="{00000000-0002-0000-0200-000002000000}">
      <formula1>$BF$114:$BF$153</formula1>
    </dataValidation>
    <dataValidation type="list" allowBlank="1" showInputMessage="1" showErrorMessage="1" errorTitle="Number of Lamps" error="Enter a number between 1 and 8." sqref="L34" xr:uid="{00000000-0002-0000-0200-000003000000}">
      <formula1>$AC$105:$AC$109</formula1>
    </dataValidation>
    <dataValidation type="list" allowBlank="1" showInputMessage="1" showErrorMessage="1" sqref="L31" xr:uid="{00000000-0002-0000-0200-000004000000}">
      <formula1>$Q$92:$Q$97</formula1>
    </dataValidation>
    <dataValidation type="list" allowBlank="1" showInputMessage="1" showErrorMessage="1" sqref="L35" xr:uid="{00000000-0002-0000-0200-000005000000}">
      <formula1>$AC$111:$AC$112</formula1>
    </dataValidation>
    <dataValidation type="list" allowBlank="1" showInputMessage="1" showErrorMessage="1" sqref="L32" xr:uid="{00000000-0002-0000-0200-000006000000}">
      <formula1>$AC$100:$AC$103</formula1>
    </dataValidation>
    <dataValidation type="list" allowBlank="1" showInputMessage="1" showErrorMessage="1" sqref="L9" xr:uid="{00000000-0002-0000-0200-000007000000}">
      <formula1>$Q$5:$Q$6</formula1>
    </dataValidation>
    <dataValidation type="list" allowBlank="1" showInputMessage="1" showErrorMessage="1" sqref="L13" xr:uid="{00000000-0002-0000-0200-000008000000}">
      <formula1>$X$46:$X$49</formula1>
    </dataValidation>
    <dataValidation type="list" allowBlank="1" showInputMessage="1" showErrorMessage="1" sqref="L22" xr:uid="{00000000-0002-0000-0200-000009000000}">
      <formula1>$Y$63:$Y$66</formula1>
    </dataValidation>
    <dataValidation type="list" allowBlank="1" showInputMessage="1" showErrorMessage="1" sqref="L16" xr:uid="{00000000-0002-0000-0200-00000A000000}">
      <formula1>$AC$52:$AC$54</formula1>
    </dataValidation>
    <dataValidation type="list" allowBlank="1" showInputMessage="1" showErrorMessage="1" sqref="L15" xr:uid="{00000000-0002-0000-0200-00000B000000}">
      <formula1>$X$51:$X$53</formula1>
    </dataValidation>
    <dataValidation type="list" allowBlank="1" showInputMessage="1" showErrorMessage="1" sqref="L14" xr:uid="{00000000-0002-0000-0200-00000C000000}">
      <formula1>$X$55:$X$58</formula1>
    </dataValidation>
    <dataValidation type="list" allowBlank="1" showInputMessage="1" showErrorMessage="1" sqref="L11" xr:uid="{00000000-0002-0000-0200-00000D000000}">
      <formula1>$X$17:$X$24</formula1>
    </dataValidation>
    <dataValidation type="list" allowBlank="1" showInputMessage="1" showErrorMessage="1" sqref="L10" xr:uid="{00000000-0002-0000-0200-00000E000000}">
      <formula1>$X$9:$X$15</formula1>
    </dataValidation>
    <dataValidation type="list" allowBlank="1" showInputMessage="1" showErrorMessage="1" sqref="L21" xr:uid="{00000000-0002-0000-0200-00000F000000}">
      <formula1>$Q$59:$Q$60</formula1>
    </dataValidation>
    <dataValidation type="list" allowBlank="1" showInputMessage="1" showErrorMessage="1" errorTitle="Number of Lamps" error="Enter a number between 1 and 8." sqref="L24" xr:uid="{00000000-0002-0000-0200-000010000000}">
      <formula1>$Y$69:$Y$77</formula1>
    </dataValidation>
    <dataValidation type="list" allowBlank="1" showInputMessage="1" showErrorMessage="1" errorTitle="Number of Lamps" error="Enter a number between 1 and 8." sqref="L25" xr:uid="{00000000-0002-0000-0200-000011000000}">
      <formula1>$AA$63:$AA$64</formula1>
    </dataValidation>
    <dataValidation type="list" allowBlank="1" showInputMessage="1" showErrorMessage="1" sqref="L26" xr:uid="{00000000-0002-0000-0200-000012000000}">
      <formula1>$AB$63:$AB$64</formula1>
    </dataValidation>
    <dataValidation type="list" allowBlank="1" showInputMessage="1" showErrorMessage="1" sqref="L27" xr:uid="{00000000-0002-0000-0200-000013000000}">
      <formula1>$AA$66:$AA$67</formula1>
    </dataValidation>
  </dataValidations>
  <pageMargins left="0.7" right="0.7" top="0.75" bottom="0.75" header="0.3" footer="0.3"/>
  <pageSetup orientation="portrait" horizontalDpi="1200" verticalDpi="1200"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N1023"/>
  <sheetViews>
    <sheetView workbookViewId="0">
      <selection sqref="A1:L2"/>
    </sheetView>
  </sheetViews>
  <sheetFormatPr defaultColWidth="9.140625" defaultRowHeight="12.75" x14ac:dyDescent="0.2"/>
  <cols>
    <col min="1" max="1" width="17.85546875" style="8" bestFit="1" customWidth="1"/>
    <col min="2" max="3" width="22.5703125" style="8" bestFit="1" customWidth="1"/>
    <col min="4" max="4" width="14" style="8" bestFit="1" customWidth="1"/>
    <col min="5" max="5" width="83.85546875" style="8" customWidth="1"/>
    <col min="6" max="6" width="12" style="8" customWidth="1"/>
    <col min="7" max="7" width="12.28515625" style="8" customWidth="1"/>
    <col min="8" max="8" width="11.85546875" style="8" customWidth="1"/>
    <col min="9" max="9" width="12.7109375" style="8" customWidth="1"/>
    <col min="10" max="10" width="12.5703125" style="8" customWidth="1"/>
    <col min="11" max="11" width="18.140625" style="8" customWidth="1"/>
    <col min="12" max="12" width="12.140625" style="8" customWidth="1"/>
    <col min="13" max="13" width="31.7109375" style="8" customWidth="1"/>
    <col min="14" max="14" width="9.140625" style="382" hidden="1" customWidth="1"/>
    <col min="15" max="16384" width="9.140625" style="8"/>
  </cols>
  <sheetData>
    <row r="1" spans="1:14" ht="15" customHeight="1" x14ac:dyDescent="0.2">
      <c r="A1" s="996" t="s">
        <v>436</v>
      </c>
      <c r="B1" s="996"/>
      <c r="C1" s="996"/>
      <c r="D1" s="996"/>
      <c r="E1" s="996"/>
      <c r="F1" s="996"/>
      <c r="G1" s="996"/>
      <c r="H1" s="996"/>
      <c r="I1" s="996"/>
      <c r="J1" s="996"/>
      <c r="K1" s="996"/>
      <c r="L1" s="996"/>
      <c r="N1" s="385" t="s">
        <v>437</v>
      </c>
    </row>
    <row r="2" spans="1:14" ht="15" customHeight="1" x14ac:dyDescent="0.2">
      <c r="A2" s="996"/>
      <c r="B2" s="996"/>
      <c r="C2" s="996"/>
      <c r="D2" s="996"/>
      <c r="E2" s="996"/>
      <c r="F2" s="996"/>
      <c r="G2" s="996"/>
      <c r="H2" s="996"/>
      <c r="I2" s="996"/>
      <c r="J2" s="996"/>
      <c r="K2" s="996"/>
      <c r="L2" s="996"/>
      <c r="N2" s="385"/>
    </row>
    <row r="3" spans="1:14" ht="61.5" customHeight="1" x14ac:dyDescent="0.2">
      <c r="A3" s="997" t="s">
        <v>438</v>
      </c>
      <c r="B3" s="997"/>
      <c r="C3" s="997"/>
      <c r="D3" s="997"/>
      <c r="E3" s="997"/>
      <c r="F3" s="997"/>
      <c r="G3" s="997"/>
      <c r="H3" s="997"/>
      <c r="I3" s="997"/>
      <c r="J3" s="997"/>
      <c r="K3" s="997"/>
      <c r="L3" s="997"/>
      <c r="N3" s="385"/>
    </row>
    <row r="4" spans="1:14" ht="15" customHeight="1" thickBot="1" x14ac:dyDescent="0.3">
      <c r="A4" s="294"/>
      <c r="B4" s="294"/>
      <c r="C4" s="295"/>
      <c r="D4" s="295"/>
      <c r="E4" s="295"/>
      <c r="F4" s="294"/>
      <c r="G4" s="294"/>
      <c r="H4" s="294"/>
      <c r="I4" s="296"/>
      <c r="J4" s="262"/>
      <c r="K4" s="262"/>
      <c r="L4" s="262"/>
      <c r="N4" s="385"/>
    </row>
    <row r="5" spans="1:14" ht="29.25" customHeight="1" x14ac:dyDescent="0.2">
      <c r="A5" s="431" t="s">
        <v>439</v>
      </c>
      <c r="B5" s="431" t="s">
        <v>440</v>
      </c>
      <c r="C5" s="431" t="s">
        <v>441</v>
      </c>
      <c r="D5" s="431" t="s">
        <v>442</v>
      </c>
      <c r="E5" s="431" t="s">
        <v>57</v>
      </c>
      <c r="F5" s="431" t="s">
        <v>443</v>
      </c>
      <c r="G5" s="431" t="s">
        <v>444</v>
      </c>
      <c r="H5" s="431" t="s">
        <v>445</v>
      </c>
      <c r="I5" s="431" t="s">
        <v>446</v>
      </c>
      <c r="J5" s="431" t="s">
        <v>447</v>
      </c>
      <c r="K5" s="431" t="s">
        <v>448</v>
      </c>
      <c r="L5" s="431" t="s">
        <v>449</v>
      </c>
      <c r="N5" s="385" t="s">
        <v>450</v>
      </c>
    </row>
    <row r="6" spans="1:14" ht="12.75" customHeight="1" x14ac:dyDescent="0.2">
      <c r="A6" s="192" t="s">
        <v>451</v>
      </c>
      <c r="B6" s="192" t="s">
        <v>235</v>
      </c>
      <c r="C6" s="192" t="s">
        <v>452</v>
      </c>
      <c r="D6" s="192" t="s">
        <v>453</v>
      </c>
      <c r="E6" s="194" t="s">
        <v>454</v>
      </c>
      <c r="F6" s="193" t="s">
        <v>221</v>
      </c>
      <c r="G6" s="193"/>
      <c r="H6" s="194">
        <v>1</v>
      </c>
      <c r="I6" s="194">
        <v>2</v>
      </c>
      <c r="J6" s="194">
        <v>2</v>
      </c>
      <c r="K6" s="194" t="s">
        <v>451</v>
      </c>
      <c r="L6" s="195" t="s">
        <v>455</v>
      </c>
      <c r="N6" s="382" t="s">
        <v>456</v>
      </c>
    </row>
    <row r="7" spans="1:14" ht="12.75" customHeight="1" x14ac:dyDescent="0.2">
      <c r="A7" s="196" t="s">
        <v>457</v>
      </c>
      <c r="B7" s="192" t="s">
        <v>235</v>
      </c>
      <c r="C7" s="192" t="s">
        <v>452</v>
      </c>
      <c r="D7" s="192" t="s">
        <v>458</v>
      </c>
      <c r="E7" s="194" t="s">
        <v>459</v>
      </c>
      <c r="F7" s="193" t="s">
        <v>221</v>
      </c>
      <c r="G7" s="193"/>
      <c r="H7" s="194">
        <v>1</v>
      </c>
      <c r="I7" s="194">
        <v>3</v>
      </c>
      <c r="J7" s="194">
        <v>3</v>
      </c>
      <c r="K7" s="194" t="s">
        <v>457</v>
      </c>
      <c r="L7" s="195" t="s">
        <v>455</v>
      </c>
      <c r="N7" s="382" t="s">
        <v>456</v>
      </c>
    </row>
    <row r="8" spans="1:14" ht="12.75" customHeight="1" x14ac:dyDescent="0.2">
      <c r="A8" s="196" t="s">
        <v>460</v>
      </c>
      <c r="B8" s="192" t="s">
        <v>235</v>
      </c>
      <c r="C8" s="192" t="s">
        <v>452</v>
      </c>
      <c r="D8" s="192" t="s">
        <v>461</v>
      </c>
      <c r="E8" s="194" t="s">
        <v>462</v>
      </c>
      <c r="F8" s="193" t="s">
        <v>221</v>
      </c>
      <c r="G8" s="193"/>
      <c r="H8" s="194">
        <v>1</v>
      </c>
      <c r="I8" s="194">
        <v>4</v>
      </c>
      <c r="J8" s="194">
        <v>4</v>
      </c>
      <c r="K8" s="194" t="s">
        <v>460</v>
      </c>
      <c r="L8" s="195" t="s">
        <v>455</v>
      </c>
      <c r="N8" s="382" t="s">
        <v>456</v>
      </c>
    </row>
    <row r="9" spans="1:14" ht="12.75" customHeight="1" x14ac:dyDescent="0.2">
      <c r="A9" s="196" t="s">
        <v>463</v>
      </c>
      <c r="B9" s="192" t="s">
        <v>235</v>
      </c>
      <c r="C9" s="192" t="s">
        <v>452</v>
      </c>
      <c r="D9" s="192" t="s">
        <v>464</v>
      </c>
      <c r="E9" s="194" t="s">
        <v>465</v>
      </c>
      <c r="F9" s="193" t="s">
        <v>221</v>
      </c>
      <c r="G9" s="193"/>
      <c r="H9" s="194">
        <v>1</v>
      </c>
      <c r="I9" s="194">
        <v>5</v>
      </c>
      <c r="J9" s="194">
        <v>5</v>
      </c>
      <c r="K9" s="194" t="s">
        <v>463</v>
      </c>
      <c r="L9" s="195" t="s">
        <v>455</v>
      </c>
      <c r="N9" s="382" t="s">
        <v>456</v>
      </c>
    </row>
    <row r="10" spans="1:14" ht="12.75" customHeight="1" x14ac:dyDescent="0.2">
      <c r="A10" s="196" t="s">
        <v>466</v>
      </c>
      <c r="B10" s="192" t="s">
        <v>235</v>
      </c>
      <c r="C10" s="192" t="s">
        <v>452</v>
      </c>
      <c r="D10" s="192" t="s">
        <v>467</v>
      </c>
      <c r="E10" s="194" t="s">
        <v>468</v>
      </c>
      <c r="F10" s="193" t="s">
        <v>221</v>
      </c>
      <c r="G10" s="193"/>
      <c r="H10" s="194">
        <v>1</v>
      </c>
      <c r="I10" s="194">
        <v>6</v>
      </c>
      <c r="J10" s="194">
        <v>6</v>
      </c>
      <c r="K10" s="194" t="s">
        <v>466</v>
      </c>
      <c r="L10" s="195" t="s">
        <v>455</v>
      </c>
      <c r="N10" s="382" t="s">
        <v>456</v>
      </c>
    </row>
    <row r="11" spans="1:14" ht="12.75" customHeight="1" x14ac:dyDescent="0.2">
      <c r="A11" s="196" t="s">
        <v>469</v>
      </c>
      <c r="B11" s="192" t="s">
        <v>235</v>
      </c>
      <c r="C11" s="192" t="s">
        <v>452</v>
      </c>
      <c r="D11" s="192" t="s">
        <v>470</v>
      </c>
      <c r="E11" s="194" t="s">
        <v>471</v>
      </c>
      <c r="F11" s="193" t="s">
        <v>221</v>
      </c>
      <c r="G11" s="193"/>
      <c r="H11" s="194">
        <v>1</v>
      </c>
      <c r="I11" s="194">
        <v>7</v>
      </c>
      <c r="J11" s="194">
        <v>7</v>
      </c>
      <c r="K11" s="194" t="s">
        <v>469</v>
      </c>
      <c r="L11" s="195" t="s">
        <v>455</v>
      </c>
      <c r="N11" s="382" t="s">
        <v>456</v>
      </c>
    </row>
    <row r="12" spans="1:14" ht="12.75" customHeight="1" x14ac:dyDescent="0.2">
      <c r="A12" s="196" t="s">
        <v>472</v>
      </c>
      <c r="B12" s="192" t="s">
        <v>235</v>
      </c>
      <c r="C12" s="192" t="s">
        <v>452</v>
      </c>
      <c r="D12" s="192" t="s">
        <v>473</v>
      </c>
      <c r="E12" s="194" t="s">
        <v>474</v>
      </c>
      <c r="F12" s="193" t="s">
        <v>221</v>
      </c>
      <c r="G12" s="193"/>
      <c r="H12" s="194">
        <v>1</v>
      </c>
      <c r="I12" s="194">
        <v>8</v>
      </c>
      <c r="J12" s="194">
        <v>8</v>
      </c>
      <c r="K12" s="194" t="s">
        <v>472</v>
      </c>
      <c r="L12" s="195" t="s">
        <v>455</v>
      </c>
      <c r="N12" s="382" t="s">
        <v>456</v>
      </c>
    </row>
    <row r="13" spans="1:14" ht="12.75" customHeight="1" x14ac:dyDescent="0.2">
      <c r="A13" s="196" t="s">
        <v>475</v>
      </c>
      <c r="B13" s="192" t="s">
        <v>235</v>
      </c>
      <c r="C13" s="192" t="s">
        <v>452</v>
      </c>
      <c r="D13" s="192" t="s">
        <v>476</v>
      </c>
      <c r="E13" s="194" t="s">
        <v>477</v>
      </c>
      <c r="F13" s="193" t="s">
        <v>221</v>
      </c>
      <c r="G13" s="193"/>
      <c r="H13" s="194">
        <v>1</v>
      </c>
      <c r="I13" s="194">
        <v>9</v>
      </c>
      <c r="J13" s="194">
        <v>9</v>
      </c>
      <c r="K13" s="194" t="s">
        <v>475</v>
      </c>
      <c r="L13" s="195" t="s">
        <v>455</v>
      </c>
      <c r="N13" s="382" t="s">
        <v>456</v>
      </c>
    </row>
    <row r="14" spans="1:14" ht="12.75" customHeight="1" x14ac:dyDescent="0.2">
      <c r="A14" s="196" t="s">
        <v>478</v>
      </c>
      <c r="B14" s="192" t="s">
        <v>235</v>
      </c>
      <c r="C14" s="192" t="s">
        <v>452</v>
      </c>
      <c r="D14" s="196" t="s">
        <v>479</v>
      </c>
      <c r="E14" s="194" t="s">
        <v>480</v>
      </c>
      <c r="F14" s="193" t="s">
        <v>221</v>
      </c>
      <c r="G14" s="193"/>
      <c r="H14" s="194">
        <v>1</v>
      </c>
      <c r="I14" s="194">
        <v>10</v>
      </c>
      <c r="J14" s="194">
        <v>10</v>
      </c>
      <c r="K14" s="194" t="s">
        <v>478</v>
      </c>
      <c r="L14" s="195" t="s">
        <v>455</v>
      </c>
      <c r="N14" s="382" t="s">
        <v>456</v>
      </c>
    </row>
    <row r="15" spans="1:14" ht="12.75" customHeight="1" x14ac:dyDescent="0.2">
      <c r="A15" s="196" t="s">
        <v>481</v>
      </c>
      <c r="B15" s="192" t="s">
        <v>235</v>
      </c>
      <c r="C15" s="192" t="s">
        <v>452</v>
      </c>
      <c r="D15" s="196" t="s">
        <v>482</v>
      </c>
      <c r="E15" s="194" t="s">
        <v>483</v>
      </c>
      <c r="F15" s="193" t="s">
        <v>221</v>
      </c>
      <c r="G15" s="193"/>
      <c r="H15" s="194">
        <v>1</v>
      </c>
      <c r="I15" s="194">
        <v>11</v>
      </c>
      <c r="J15" s="194">
        <v>11</v>
      </c>
      <c r="K15" s="194" t="s">
        <v>481</v>
      </c>
      <c r="L15" s="195" t="s">
        <v>455</v>
      </c>
      <c r="N15" s="382" t="s">
        <v>456</v>
      </c>
    </row>
    <row r="16" spans="1:14" ht="12.75" customHeight="1" x14ac:dyDescent="0.2">
      <c r="A16" s="196" t="s">
        <v>484</v>
      </c>
      <c r="B16" s="192" t="s">
        <v>235</v>
      </c>
      <c r="C16" s="192" t="s">
        <v>452</v>
      </c>
      <c r="D16" s="196" t="s">
        <v>485</v>
      </c>
      <c r="E16" s="194" t="s">
        <v>486</v>
      </c>
      <c r="F16" s="193" t="s">
        <v>221</v>
      </c>
      <c r="G16" s="193"/>
      <c r="H16" s="194">
        <v>1</v>
      </c>
      <c r="I16" s="194">
        <v>12</v>
      </c>
      <c r="J16" s="194">
        <v>12</v>
      </c>
      <c r="K16" s="194" t="s">
        <v>484</v>
      </c>
      <c r="L16" s="195" t="s">
        <v>455</v>
      </c>
      <c r="N16" s="382" t="s">
        <v>456</v>
      </c>
    </row>
    <row r="17" spans="1:14" ht="12.75" customHeight="1" x14ac:dyDescent="0.2">
      <c r="A17" s="196" t="s">
        <v>487</v>
      </c>
      <c r="B17" s="192" t="s">
        <v>235</v>
      </c>
      <c r="C17" s="192" t="s">
        <v>452</v>
      </c>
      <c r="D17" s="196" t="s">
        <v>488</v>
      </c>
      <c r="E17" s="194" t="s">
        <v>489</v>
      </c>
      <c r="F17" s="193" t="s">
        <v>221</v>
      </c>
      <c r="G17" s="193"/>
      <c r="H17" s="194">
        <v>1</v>
      </c>
      <c r="I17" s="194">
        <v>13</v>
      </c>
      <c r="J17" s="194">
        <v>13</v>
      </c>
      <c r="K17" s="194" t="s">
        <v>487</v>
      </c>
      <c r="L17" s="195" t="s">
        <v>455</v>
      </c>
      <c r="N17" s="382" t="s">
        <v>456</v>
      </c>
    </row>
    <row r="18" spans="1:14" ht="12.75" customHeight="1" x14ac:dyDescent="0.2">
      <c r="A18" s="196" t="s">
        <v>490</v>
      </c>
      <c r="B18" s="192" t="s">
        <v>235</v>
      </c>
      <c r="C18" s="192" t="s">
        <v>452</v>
      </c>
      <c r="D18" s="196" t="s">
        <v>491</v>
      </c>
      <c r="E18" s="194" t="s">
        <v>492</v>
      </c>
      <c r="F18" s="193" t="s">
        <v>221</v>
      </c>
      <c r="G18" s="193"/>
      <c r="H18" s="194">
        <v>1</v>
      </c>
      <c r="I18" s="194">
        <v>14</v>
      </c>
      <c r="J18" s="194">
        <v>14</v>
      </c>
      <c r="K18" s="194" t="s">
        <v>490</v>
      </c>
      <c r="L18" s="195" t="s">
        <v>455</v>
      </c>
      <c r="N18" s="382" t="s">
        <v>456</v>
      </c>
    </row>
    <row r="19" spans="1:14" ht="12.75" customHeight="1" x14ac:dyDescent="0.2">
      <c r="A19" s="196" t="s">
        <v>493</v>
      </c>
      <c r="B19" s="192" t="s">
        <v>235</v>
      </c>
      <c r="C19" s="192" t="s">
        <v>452</v>
      </c>
      <c r="D19" s="196" t="s">
        <v>494</v>
      </c>
      <c r="E19" s="194" t="s">
        <v>495</v>
      </c>
      <c r="F19" s="193" t="s">
        <v>221</v>
      </c>
      <c r="G19" s="193"/>
      <c r="H19" s="194">
        <v>1</v>
      </c>
      <c r="I19" s="194">
        <v>15</v>
      </c>
      <c r="J19" s="194">
        <v>15</v>
      </c>
      <c r="K19" s="194" t="s">
        <v>493</v>
      </c>
      <c r="L19" s="195" t="s">
        <v>455</v>
      </c>
      <c r="N19" s="382" t="s">
        <v>456</v>
      </c>
    </row>
    <row r="20" spans="1:14" ht="12.75" customHeight="1" x14ac:dyDescent="0.2">
      <c r="A20" s="196" t="s">
        <v>496</v>
      </c>
      <c r="B20" s="192" t="s">
        <v>235</v>
      </c>
      <c r="C20" s="192" t="s">
        <v>452</v>
      </c>
      <c r="D20" s="196" t="s">
        <v>497</v>
      </c>
      <c r="E20" s="194" t="s">
        <v>498</v>
      </c>
      <c r="F20" s="193" t="s">
        <v>221</v>
      </c>
      <c r="G20" s="193"/>
      <c r="H20" s="194">
        <v>1</v>
      </c>
      <c r="I20" s="194">
        <v>16</v>
      </c>
      <c r="J20" s="194">
        <v>16</v>
      </c>
      <c r="K20" s="194" t="s">
        <v>496</v>
      </c>
      <c r="L20" s="195" t="s">
        <v>455</v>
      </c>
      <c r="N20" s="382" t="s">
        <v>456</v>
      </c>
    </row>
    <row r="21" spans="1:14" ht="12.75" customHeight="1" x14ac:dyDescent="0.2">
      <c r="A21" s="196" t="s">
        <v>499</v>
      </c>
      <c r="B21" s="192" t="s">
        <v>235</v>
      </c>
      <c r="C21" s="192" t="s">
        <v>452</v>
      </c>
      <c r="D21" s="196" t="s">
        <v>500</v>
      </c>
      <c r="E21" s="194" t="s">
        <v>501</v>
      </c>
      <c r="F21" s="193" t="s">
        <v>221</v>
      </c>
      <c r="G21" s="193"/>
      <c r="H21" s="194">
        <v>1</v>
      </c>
      <c r="I21" s="194">
        <v>17</v>
      </c>
      <c r="J21" s="194">
        <v>17</v>
      </c>
      <c r="K21" s="194" t="s">
        <v>499</v>
      </c>
      <c r="L21" s="195" t="s">
        <v>455</v>
      </c>
      <c r="N21" s="382" t="s">
        <v>456</v>
      </c>
    </row>
    <row r="22" spans="1:14" ht="12.75" customHeight="1" x14ac:dyDescent="0.2">
      <c r="A22" s="196" t="s">
        <v>502</v>
      </c>
      <c r="B22" s="192" t="s">
        <v>235</v>
      </c>
      <c r="C22" s="192" t="s">
        <v>452</v>
      </c>
      <c r="D22" s="196" t="s">
        <v>503</v>
      </c>
      <c r="E22" s="194" t="s">
        <v>504</v>
      </c>
      <c r="F22" s="193" t="s">
        <v>221</v>
      </c>
      <c r="G22" s="193"/>
      <c r="H22" s="194">
        <v>1</v>
      </c>
      <c r="I22" s="194">
        <v>18</v>
      </c>
      <c r="J22" s="194">
        <v>18</v>
      </c>
      <c r="K22" s="194" t="s">
        <v>502</v>
      </c>
      <c r="L22" s="195" t="s">
        <v>455</v>
      </c>
      <c r="N22" s="382" t="s">
        <v>456</v>
      </c>
    </row>
    <row r="23" spans="1:14" ht="12.75" customHeight="1" x14ac:dyDescent="0.2">
      <c r="A23" s="196" t="s">
        <v>505</v>
      </c>
      <c r="B23" s="192" t="s">
        <v>235</v>
      </c>
      <c r="C23" s="192" t="s">
        <v>452</v>
      </c>
      <c r="D23" s="196" t="s">
        <v>506</v>
      </c>
      <c r="E23" s="194" t="s">
        <v>507</v>
      </c>
      <c r="F23" s="193" t="s">
        <v>221</v>
      </c>
      <c r="G23" s="193"/>
      <c r="H23" s="194">
        <v>1</v>
      </c>
      <c r="I23" s="194">
        <v>19</v>
      </c>
      <c r="J23" s="194">
        <v>19</v>
      </c>
      <c r="K23" s="194" t="s">
        <v>505</v>
      </c>
      <c r="L23" s="195" t="s">
        <v>455</v>
      </c>
      <c r="N23" s="382" t="s">
        <v>456</v>
      </c>
    </row>
    <row r="24" spans="1:14" ht="12.75" customHeight="1" x14ac:dyDescent="0.2">
      <c r="A24" s="196" t="s">
        <v>508</v>
      </c>
      <c r="B24" s="192" t="s">
        <v>235</v>
      </c>
      <c r="C24" s="192" t="s">
        <v>452</v>
      </c>
      <c r="D24" s="196" t="s">
        <v>509</v>
      </c>
      <c r="E24" s="194" t="s">
        <v>510</v>
      </c>
      <c r="F24" s="193" t="s">
        <v>221</v>
      </c>
      <c r="G24" s="193"/>
      <c r="H24" s="194">
        <v>1</v>
      </c>
      <c r="I24" s="194">
        <v>20</v>
      </c>
      <c r="J24" s="194">
        <v>20</v>
      </c>
      <c r="K24" s="194" t="s">
        <v>508</v>
      </c>
      <c r="L24" s="195" t="s">
        <v>455</v>
      </c>
      <c r="N24" s="382" t="s">
        <v>456</v>
      </c>
    </row>
    <row r="25" spans="1:14" ht="12.75" customHeight="1" x14ac:dyDescent="0.2">
      <c r="A25" s="196" t="s">
        <v>511</v>
      </c>
      <c r="B25" s="192" t="s">
        <v>235</v>
      </c>
      <c r="C25" s="192" t="s">
        <v>452</v>
      </c>
      <c r="D25" s="196" t="s">
        <v>512</v>
      </c>
      <c r="E25" s="194" t="s">
        <v>513</v>
      </c>
      <c r="F25" s="193" t="s">
        <v>221</v>
      </c>
      <c r="G25" s="193"/>
      <c r="H25" s="194">
        <v>1</v>
      </c>
      <c r="I25" s="194">
        <v>21</v>
      </c>
      <c r="J25" s="194">
        <v>21</v>
      </c>
      <c r="K25" s="194" t="s">
        <v>511</v>
      </c>
      <c r="L25" s="195" t="s">
        <v>455</v>
      </c>
      <c r="N25" s="382" t="s">
        <v>456</v>
      </c>
    </row>
    <row r="26" spans="1:14" ht="12.75" customHeight="1" x14ac:dyDescent="0.2">
      <c r="A26" s="196" t="s">
        <v>514</v>
      </c>
      <c r="B26" s="192" t="s">
        <v>235</v>
      </c>
      <c r="C26" s="192" t="s">
        <v>452</v>
      </c>
      <c r="D26" s="196" t="s">
        <v>515</v>
      </c>
      <c r="E26" s="194" t="s">
        <v>516</v>
      </c>
      <c r="F26" s="193" t="s">
        <v>221</v>
      </c>
      <c r="G26" s="193"/>
      <c r="H26" s="194">
        <v>1</v>
      </c>
      <c r="I26" s="194">
        <v>22</v>
      </c>
      <c r="J26" s="194">
        <v>22</v>
      </c>
      <c r="K26" s="194" t="s">
        <v>514</v>
      </c>
      <c r="L26" s="195" t="s">
        <v>455</v>
      </c>
      <c r="N26" s="382" t="s">
        <v>456</v>
      </c>
    </row>
    <row r="27" spans="1:14" ht="12.75" customHeight="1" x14ac:dyDescent="0.2">
      <c r="A27" s="196" t="s">
        <v>517</v>
      </c>
      <c r="B27" s="192" t="s">
        <v>235</v>
      </c>
      <c r="C27" s="192" t="s">
        <v>452</v>
      </c>
      <c r="D27" s="196" t="s">
        <v>518</v>
      </c>
      <c r="E27" s="194" t="s">
        <v>519</v>
      </c>
      <c r="F27" s="193" t="s">
        <v>221</v>
      </c>
      <c r="G27" s="193"/>
      <c r="H27" s="194">
        <v>1</v>
      </c>
      <c r="I27" s="194">
        <v>26</v>
      </c>
      <c r="J27" s="194">
        <v>26</v>
      </c>
      <c r="K27" s="194" t="s">
        <v>517</v>
      </c>
      <c r="L27" s="195" t="s">
        <v>455</v>
      </c>
      <c r="N27" s="382" t="s">
        <v>456</v>
      </c>
    </row>
    <row r="28" spans="1:14" ht="12.75" customHeight="1" x14ac:dyDescent="0.2">
      <c r="A28" s="195" t="s">
        <v>520</v>
      </c>
      <c r="B28" s="195" t="s">
        <v>521</v>
      </c>
      <c r="C28" s="195" t="s">
        <v>522</v>
      </c>
      <c r="D28" s="195" t="s">
        <v>523</v>
      </c>
      <c r="E28" s="195" t="s">
        <v>524</v>
      </c>
      <c r="F28" s="197" t="s">
        <v>525</v>
      </c>
      <c r="G28" s="197"/>
      <c r="H28" s="195">
        <v>1</v>
      </c>
      <c r="I28" s="195">
        <v>10</v>
      </c>
      <c r="J28" s="195">
        <v>16</v>
      </c>
      <c r="K28" s="195" t="s">
        <v>520</v>
      </c>
      <c r="L28" s="195" t="s">
        <v>526</v>
      </c>
      <c r="N28" s="382" t="s">
        <v>456</v>
      </c>
    </row>
    <row r="29" spans="1:14" ht="12.75" customHeight="1" x14ac:dyDescent="0.2">
      <c r="A29" s="195" t="s">
        <v>527</v>
      </c>
      <c r="B29" s="195" t="s">
        <v>521</v>
      </c>
      <c r="C29" s="195" t="s">
        <v>522</v>
      </c>
      <c r="D29" s="195" t="s">
        <v>523</v>
      </c>
      <c r="E29" s="195" t="s">
        <v>524</v>
      </c>
      <c r="F29" s="197" t="s">
        <v>221</v>
      </c>
      <c r="G29" s="197"/>
      <c r="H29" s="195">
        <v>1</v>
      </c>
      <c r="I29" s="195">
        <v>10</v>
      </c>
      <c r="J29" s="195">
        <v>12</v>
      </c>
      <c r="K29" s="195" t="s">
        <v>527</v>
      </c>
      <c r="L29" s="195" t="s">
        <v>526</v>
      </c>
      <c r="N29" s="382" t="s">
        <v>456</v>
      </c>
    </row>
    <row r="30" spans="1:14" ht="12.75" customHeight="1" x14ac:dyDescent="0.2">
      <c r="A30" s="195" t="s">
        <v>528</v>
      </c>
      <c r="B30" s="195" t="s">
        <v>521</v>
      </c>
      <c r="C30" s="195" t="s">
        <v>522</v>
      </c>
      <c r="D30" s="195" t="s">
        <v>529</v>
      </c>
      <c r="E30" s="195" t="s">
        <v>530</v>
      </c>
      <c r="F30" s="197" t="s">
        <v>525</v>
      </c>
      <c r="G30" s="197"/>
      <c r="H30" s="195">
        <v>1</v>
      </c>
      <c r="I30" s="195">
        <v>11</v>
      </c>
      <c r="J30" s="195">
        <v>13</v>
      </c>
      <c r="K30" s="195" t="s">
        <v>528</v>
      </c>
      <c r="L30" s="195" t="s">
        <v>526</v>
      </c>
      <c r="N30" s="382" t="s">
        <v>456</v>
      </c>
    </row>
    <row r="31" spans="1:14" ht="12.75" customHeight="1" x14ac:dyDescent="0.2">
      <c r="A31" s="195" t="s">
        <v>531</v>
      </c>
      <c r="B31" s="195" t="s">
        <v>521</v>
      </c>
      <c r="C31" s="195" t="s">
        <v>522</v>
      </c>
      <c r="D31" s="195" t="s">
        <v>532</v>
      </c>
      <c r="E31" s="195" t="s">
        <v>533</v>
      </c>
      <c r="F31" s="197" t="s">
        <v>525</v>
      </c>
      <c r="G31" s="197"/>
      <c r="H31" s="195">
        <v>1</v>
      </c>
      <c r="I31" s="195">
        <v>16</v>
      </c>
      <c r="J31" s="195">
        <v>26</v>
      </c>
      <c r="K31" s="195" t="s">
        <v>531</v>
      </c>
      <c r="L31" s="195" t="s">
        <v>526</v>
      </c>
      <c r="N31" s="382" t="s">
        <v>456</v>
      </c>
    </row>
    <row r="32" spans="1:14" ht="12.75" customHeight="1" x14ac:dyDescent="0.2">
      <c r="A32" s="195" t="s">
        <v>534</v>
      </c>
      <c r="B32" s="195" t="s">
        <v>521</v>
      </c>
      <c r="C32" s="195" t="s">
        <v>522</v>
      </c>
      <c r="D32" s="195" t="s">
        <v>532</v>
      </c>
      <c r="E32" s="195" t="s">
        <v>533</v>
      </c>
      <c r="F32" s="197" t="s">
        <v>221</v>
      </c>
      <c r="G32" s="197"/>
      <c r="H32" s="195">
        <v>1</v>
      </c>
      <c r="I32" s="195">
        <v>16</v>
      </c>
      <c r="J32" s="195">
        <v>18</v>
      </c>
      <c r="K32" s="195" t="s">
        <v>534</v>
      </c>
      <c r="L32" s="195" t="s">
        <v>526</v>
      </c>
      <c r="N32" s="382" t="s">
        <v>456</v>
      </c>
    </row>
    <row r="33" spans="1:14" ht="12.75" customHeight="1" x14ac:dyDescent="0.2">
      <c r="A33" s="195" t="s">
        <v>535</v>
      </c>
      <c r="B33" s="195" t="s">
        <v>521</v>
      </c>
      <c r="C33" s="195" t="s">
        <v>522</v>
      </c>
      <c r="D33" s="195" t="s">
        <v>536</v>
      </c>
      <c r="E33" s="195" t="s">
        <v>537</v>
      </c>
      <c r="F33" s="197" t="s">
        <v>525</v>
      </c>
      <c r="G33" s="197"/>
      <c r="H33" s="195">
        <v>1</v>
      </c>
      <c r="I33" s="195">
        <v>21</v>
      </c>
      <c r="J33" s="195">
        <v>26</v>
      </c>
      <c r="K33" s="195" t="s">
        <v>535</v>
      </c>
      <c r="L33" s="195" t="s">
        <v>526</v>
      </c>
      <c r="N33" s="382" t="s">
        <v>456</v>
      </c>
    </row>
    <row r="34" spans="1:14" ht="12.75" customHeight="1" x14ac:dyDescent="0.2">
      <c r="A34" s="195" t="s">
        <v>538</v>
      </c>
      <c r="B34" s="195" t="s">
        <v>521</v>
      </c>
      <c r="C34" s="195" t="s">
        <v>522</v>
      </c>
      <c r="D34" s="195" t="s">
        <v>536</v>
      </c>
      <c r="E34" s="195" t="s">
        <v>537</v>
      </c>
      <c r="F34" s="197" t="s">
        <v>221</v>
      </c>
      <c r="G34" s="197"/>
      <c r="H34" s="195">
        <v>1</v>
      </c>
      <c r="I34" s="195">
        <v>21</v>
      </c>
      <c r="J34" s="195">
        <v>22</v>
      </c>
      <c r="K34" s="195" t="s">
        <v>538</v>
      </c>
      <c r="L34" s="195" t="s">
        <v>526</v>
      </c>
      <c r="N34" s="382" t="s">
        <v>456</v>
      </c>
    </row>
    <row r="35" spans="1:14" ht="12.75" customHeight="1" x14ac:dyDescent="0.2">
      <c r="A35" s="195" t="s">
        <v>539</v>
      </c>
      <c r="B35" s="195" t="s">
        <v>521</v>
      </c>
      <c r="C35" s="195" t="s">
        <v>522</v>
      </c>
      <c r="D35" s="195" t="s">
        <v>540</v>
      </c>
      <c r="E35" s="195" t="s">
        <v>541</v>
      </c>
      <c r="F35" s="197" t="s">
        <v>525</v>
      </c>
      <c r="G35" s="197"/>
      <c r="H35" s="195">
        <v>1</v>
      </c>
      <c r="I35" s="195">
        <v>23</v>
      </c>
      <c r="J35" s="195">
        <v>29</v>
      </c>
      <c r="K35" s="195" t="s">
        <v>539</v>
      </c>
      <c r="L35" s="195" t="s">
        <v>526</v>
      </c>
      <c r="N35" s="382" t="s">
        <v>456</v>
      </c>
    </row>
    <row r="36" spans="1:14" ht="12.75" customHeight="1" x14ac:dyDescent="0.2">
      <c r="A36" s="195" t="s">
        <v>542</v>
      </c>
      <c r="B36" s="195" t="s">
        <v>521</v>
      </c>
      <c r="C36" s="195" t="s">
        <v>522</v>
      </c>
      <c r="D36" s="195" t="s">
        <v>540</v>
      </c>
      <c r="E36" s="195" t="s">
        <v>541</v>
      </c>
      <c r="F36" s="197" t="s">
        <v>221</v>
      </c>
      <c r="G36" s="197"/>
      <c r="H36" s="195">
        <v>1</v>
      </c>
      <c r="I36" s="195">
        <v>23</v>
      </c>
      <c r="J36" s="195">
        <v>25</v>
      </c>
      <c r="K36" s="195" t="s">
        <v>542</v>
      </c>
      <c r="L36" s="195" t="s">
        <v>526</v>
      </c>
      <c r="N36" s="382" t="s">
        <v>456</v>
      </c>
    </row>
    <row r="37" spans="1:14" ht="12.75" customHeight="1" x14ac:dyDescent="0.2">
      <c r="A37" s="195" t="s">
        <v>543</v>
      </c>
      <c r="B37" s="195" t="s">
        <v>521</v>
      </c>
      <c r="C37" s="195" t="s">
        <v>522</v>
      </c>
      <c r="D37" s="195" t="s">
        <v>544</v>
      </c>
      <c r="E37" s="195" t="s">
        <v>545</v>
      </c>
      <c r="F37" s="197" t="s">
        <v>525</v>
      </c>
      <c r="G37" s="197"/>
      <c r="H37" s="195">
        <v>1</v>
      </c>
      <c r="I37" s="195">
        <v>28</v>
      </c>
      <c r="J37" s="195">
        <v>35</v>
      </c>
      <c r="K37" s="195" t="s">
        <v>543</v>
      </c>
      <c r="L37" s="195" t="s">
        <v>526</v>
      </c>
      <c r="N37" s="382" t="s">
        <v>456</v>
      </c>
    </row>
    <row r="38" spans="1:14" ht="12.75" customHeight="1" x14ac:dyDescent="0.2">
      <c r="A38" s="195" t="s">
        <v>546</v>
      </c>
      <c r="B38" s="195" t="s">
        <v>521</v>
      </c>
      <c r="C38" s="195" t="s">
        <v>522</v>
      </c>
      <c r="D38" s="195" t="s">
        <v>544</v>
      </c>
      <c r="E38" s="195" t="s">
        <v>545</v>
      </c>
      <c r="F38" s="197" t="s">
        <v>221</v>
      </c>
      <c r="G38" s="197"/>
      <c r="H38" s="195">
        <v>1</v>
      </c>
      <c r="I38" s="195">
        <v>28</v>
      </c>
      <c r="J38" s="195">
        <v>28</v>
      </c>
      <c r="K38" s="195" t="s">
        <v>546</v>
      </c>
      <c r="L38" s="195" t="s">
        <v>526</v>
      </c>
      <c r="N38" s="382" t="s">
        <v>456</v>
      </c>
    </row>
    <row r="39" spans="1:14" ht="12.75" customHeight="1" x14ac:dyDescent="0.2">
      <c r="A39" s="195" t="s">
        <v>547</v>
      </c>
      <c r="B39" s="195" t="s">
        <v>521</v>
      </c>
      <c r="C39" s="195" t="s">
        <v>522</v>
      </c>
      <c r="D39" s="195" t="s">
        <v>548</v>
      </c>
      <c r="E39" s="195" t="s">
        <v>549</v>
      </c>
      <c r="F39" s="197" t="s">
        <v>525</v>
      </c>
      <c r="G39" s="197"/>
      <c r="H39" s="195">
        <v>1</v>
      </c>
      <c r="I39" s="195">
        <v>38</v>
      </c>
      <c r="J39" s="195">
        <v>46</v>
      </c>
      <c r="K39" s="195" t="s">
        <v>547</v>
      </c>
      <c r="L39" s="195" t="s">
        <v>526</v>
      </c>
      <c r="N39" s="382" t="s">
        <v>456</v>
      </c>
    </row>
    <row r="40" spans="1:14" ht="12.75" customHeight="1" x14ac:dyDescent="0.2">
      <c r="A40" s="195" t="s">
        <v>550</v>
      </c>
      <c r="B40" s="195" t="s">
        <v>521</v>
      </c>
      <c r="C40" s="195" t="s">
        <v>522</v>
      </c>
      <c r="D40" s="195" t="s">
        <v>548</v>
      </c>
      <c r="E40" s="195" t="s">
        <v>549</v>
      </c>
      <c r="F40" s="197" t="s">
        <v>221</v>
      </c>
      <c r="G40" s="197"/>
      <c r="H40" s="195">
        <v>1</v>
      </c>
      <c r="I40" s="195">
        <v>38</v>
      </c>
      <c r="J40" s="195">
        <v>36</v>
      </c>
      <c r="K40" s="195" t="s">
        <v>550</v>
      </c>
      <c r="L40" s="195" t="s">
        <v>526</v>
      </c>
      <c r="N40" s="382" t="s">
        <v>456</v>
      </c>
    </row>
    <row r="41" spans="1:14" ht="12.75" customHeight="1" x14ac:dyDescent="0.2">
      <c r="A41" s="195" t="s">
        <v>551</v>
      </c>
      <c r="B41" s="195" t="s">
        <v>521</v>
      </c>
      <c r="C41" s="195" t="s">
        <v>522</v>
      </c>
      <c r="D41" s="195" t="s">
        <v>552</v>
      </c>
      <c r="E41" s="195" t="s">
        <v>553</v>
      </c>
      <c r="F41" s="197" t="s">
        <v>221</v>
      </c>
      <c r="G41" s="197"/>
      <c r="H41" s="195">
        <v>1</v>
      </c>
      <c r="I41" s="195">
        <v>42</v>
      </c>
      <c r="J41" s="195">
        <v>48</v>
      </c>
      <c r="K41" s="195" t="s">
        <v>551</v>
      </c>
      <c r="L41" s="195" t="s">
        <v>526</v>
      </c>
      <c r="N41" s="382" t="s">
        <v>456</v>
      </c>
    </row>
    <row r="42" spans="1:14" ht="12.75" customHeight="1" x14ac:dyDescent="0.2">
      <c r="A42" s="195" t="s">
        <v>554</v>
      </c>
      <c r="B42" s="195" t="s">
        <v>521</v>
      </c>
      <c r="C42" s="195" t="s">
        <v>522</v>
      </c>
      <c r="D42" s="195" t="s">
        <v>555</v>
      </c>
      <c r="E42" s="195" t="s">
        <v>556</v>
      </c>
      <c r="F42" s="197" t="s">
        <v>525</v>
      </c>
      <c r="G42" s="197"/>
      <c r="H42" s="195">
        <v>1</v>
      </c>
      <c r="I42" s="195">
        <v>10</v>
      </c>
      <c r="J42" s="195">
        <v>15</v>
      </c>
      <c r="K42" s="195" t="s">
        <v>554</v>
      </c>
      <c r="L42" s="195" t="s">
        <v>526</v>
      </c>
      <c r="N42" s="382" t="s">
        <v>456</v>
      </c>
    </row>
    <row r="43" spans="1:14" ht="12.75" customHeight="1" x14ac:dyDescent="0.2">
      <c r="A43" s="195" t="s">
        <v>557</v>
      </c>
      <c r="B43" s="195" t="s">
        <v>521</v>
      </c>
      <c r="C43" s="195" t="s">
        <v>522</v>
      </c>
      <c r="D43" s="195" t="s">
        <v>558</v>
      </c>
      <c r="E43" s="195" t="s">
        <v>559</v>
      </c>
      <c r="F43" s="197" t="s">
        <v>525</v>
      </c>
      <c r="G43" s="197"/>
      <c r="H43" s="195">
        <v>1</v>
      </c>
      <c r="I43" s="195">
        <v>13</v>
      </c>
      <c r="J43" s="195">
        <v>17</v>
      </c>
      <c r="K43" s="195" t="s">
        <v>557</v>
      </c>
      <c r="L43" s="195" t="s">
        <v>526</v>
      </c>
      <c r="N43" s="382" t="s">
        <v>456</v>
      </c>
    </row>
    <row r="44" spans="1:14" ht="12.75" customHeight="1" x14ac:dyDescent="0.2">
      <c r="A44" s="195" t="s">
        <v>560</v>
      </c>
      <c r="B44" s="195" t="s">
        <v>521</v>
      </c>
      <c r="C44" s="195" t="s">
        <v>522</v>
      </c>
      <c r="D44" s="195" t="s">
        <v>558</v>
      </c>
      <c r="E44" s="195" t="s">
        <v>561</v>
      </c>
      <c r="F44" s="197" t="s">
        <v>221</v>
      </c>
      <c r="G44" s="197"/>
      <c r="H44" s="195">
        <v>1</v>
      </c>
      <c r="I44" s="195">
        <v>13</v>
      </c>
      <c r="J44" s="195">
        <v>15</v>
      </c>
      <c r="K44" s="195" t="s">
        <v>560</v>
      </c>
      <c r="L44" s="195" t="s">
        <v>526</v>
      </c>
      <c r="N44" s="382" t="s">
        <v>456</v>
      </c>
    </row>
    <row r="45" spans="1:14" ht="12.75" customHeight="1" x14ac:dyDescent="0.2">
      <c r="A45" s="195" t="s">
        <v>562</v>
      </c>
      <c r="B45" s="195" t="s">
        <v>521</v>
      </c>
      <c r="C45" s="195" t="s">
        <v>522</v>
      </c>
      <c r="D45" s="195" t="s">
        <v>563</v>
      </c>
      <c r="E45" s="195" t="s">
        <v>564</v>
      </c>
      <c r="F45" s="197" t="s">
        <v>525</v>
      </c>
      <c r="G45" s="197"/>
      <c r="H45" s="195">
        <v>1</v>
      </c>
      <c r="I45" s="195">
        <v>15</v>
      </c>
      <c r="J45" s="195">
        <v>20</v>
      </c>
      <c r="K45" s="195" t="s">
        <v>562</v>
      </c>
      <c r="L45" s="195" t="s">
        <v>526</v>
      </c>
      <c r="N45" s="382" t="s">
        <v>456</v>
      </c>
    </row>
    <row r="46" spans="1:14" ht="12.75" customHeight="1" x14ac:dyDescent="0.2">
      <c r="A46" s="195" t="s">
        <v>565</v>
      </c>
      <c r="B46" s="195" t="s">
        <v>521</v>
      </c>
      <c r="C46" s="195" t="s">
        <v>522</v>
      </c>
      <c r="D46" s="195" t="s">
        <v>566</v>
      </c>
      <c r="E46" s="195" t="s">
        <v>567</v>
      </c>
      <c r="F46" s="197" t="s">
        <v>525</v>
      </c>
      <c r="G46" s="197"/>
      <c r="H46" s="195">
        <v>1</v>
      </c>
      <c r="I46" s="195">
        <v>17</v>
      </c>
      <c r="J46" s="195">
        <v>24</v>
      </c>
      <c r="K46" s="195" t="s">
        <v>565</v>
      </c>
      <c r="L46" s="195" t="s">
        <v>526</v>
      </c>
      <c r="N46" s="382" t="s">
        <v>456</v>
      </c>
    </row>
    <row r="47" spans="1:14" ht="12.75" customHeight="1" x14ac:dyDescent="0.2">
      <c r="A47" s="195" t="s">
        <v>568</v>
      </c>
      <c r="B47" s="195" t="s">
        <v>521</v>
      </c>
      <c r="C47" s="195" t="s">
        <v>522</v>
      </c>
      <c r="D47" s="195" t="s">
        <v>569</v>
      </c>
      <c r="E47" s="195" t="s">
        <v>570</v>
      </c>
      <c r="F47" s="197" t="s">
        <v>525</v>
      </c>
      <c r="G47" s="197"/>
      <c r="H47" s="195">
        <v>1</v>
      </c>
      <c r="I47" s="195">
        <v>18</v>
      </c>
      <c r="J47" s="195">
        <v>26</v>
      </c>
      <c r="K47" s="195" t="s">
        <v>568</v>
      </c>
      <c r="L47" s="195" t="s">
        <v>526</v>
      </c>
      <c r="N47" s="382" t="s">
        <v>456</v>
      </c>
    </row>
    <row r="48" spans="1:14" ht="12.75" customHeight="1" x14ac:dyDescent="0.2">
      <c r="A48" s="195" t="s">
        <v>166</v>
      </c>
      <c r="B48" s="195" t="s">
        <v>521</v>
      </c>
      <c r="C48" s="195" t="s">
        <v>522</v>
      </c>
      <c r="D48" s="195" t="s">
        <v>569</v>
      </c>
      <c r="E48" s="195" t="s">
        <v>571</v>
      </c>
      <c r="F48" s="197" t="s">
        <v>221</v>
      </c>
      <c r="G48" s="197"/>
      <c r="H48" s="195">
        <v>1</v>
      </c>
      <c r="I48" s="195">
        <v>18</v>
      </c>
      <c r="J48" s="195">
        <v>20</v>
      </c>
      <c r="K48" s="195" t="s">
        <v>166</v>
      </c>
      <c r="L48" s="195" t="s">
        <v>526</v>
      </c>
      <c r="N48" s="382" t="s">
        <v>456</v>
      </c>
    </row>
    <row r="49" spans="1:14" ht="12.75" customHeight="1" x14ac:dyDescent="0.2">
      <c r="A49" s="195" t="s">
        <v>572</v>
      </c>
      <c r="B49" s="195" t="s">
        <v>521</v>
      </c>
      <c r="C49" s="195" t="s">
        <v>522</v>
      </c>
      <c r="D49" s="195" t="s">
        <v>573</v>
      </c>
      <c r="E49" s="195" t="s">
        <v>574</v>
      </c>
      <c r="F49" s="197" t="s">
        <v>525</v>
      </c>
      <c r="G49" s="197"/>
      <c r="H49" s="195">
        <v>1</v>
      </c>
      <c r="I49" s="195">
        <v>20</v>
      </c>
      <c r="J49" s="195">
        <v>23</v>
      </c>
      <c r="K49" s="195" t="s">
        <v>572</v>
      </c>
      <c r="L49" s="195" t="s">
        <v>526</v>
      </c>
      <c r="N49" s="382" t="s">
        <v>456</v>
      </c>
    </row>
    <row r="50" spans="1:14" ht="12.75" customHeight="1" x14ac:dyDescent="0.2">
      <c r="A50" s="195" t="s">
        <v>575</v>
      </c>
      <c r="B50" s="195" t="s">
        <v>521</v>
      </c>
      <c r="C50" s="195" t="s">
        <v>522</v>
      </c>
      <c r="D50" s="195" t="s">
        <v>576</v>
      </c>
      <c r="E50" s="195" t="s">
        <v>577</v>
      </c>
      <c r="F50" s="197" t="s">
        <v>525</v>
      </c>
      <c r="G50" s="197"/>
      <c r="H50" s="195">
        <v>1</v>
      </c>
      <c r="I50" s="195">
        <v>22</v>
      </c>
      <c r="J50" s="195">
        <v>24</v>
      </c>
      <c r="K50" s="195" t="s">
        <v>575</v>
      </c>
      <c r="L50" s="195" t="s">
        <v>526</v>
      </c>
      <c r="N50" s="382" t="s">
        <v>456</v>
      </c>
    </row>
    <row r="51" spans="1:14" ht="12.75" customHeight="1" x14ac:dyDescent="0.2">
      <c r="A51" s="195" t="s">
        <v>578</v>
      </c>
      <c r="B51" s="195" t="s">
        <v>521</v>
      </c>
      <c r="C51" s="195" t="s">
        <v>522</v>
      </c>
      <c r="D51" s="195" t="s">
        <v>579</v>
      </c>
      <c r="E51" s="195" t="s">
        <v>580</v>
      </c>
      <c r="F51" s="197" t="s">
        <v>525</v>
      </c>
      <c r="G51" s="197"/>
      <c r="H51" s="195">
        <v>1</v>
      </c>
      <c r="I51" s="195">
        <v>25</v>
      </c>
      <c r="J51" s="195">
        <v>33</v>
      </c>
      <c r="K51" s="195" t="s">
        <v>578</v>
      </c>
      <c r="L51" s="195" t="s">
        <v>526</v>
      </c>
      <c r="N51" s="382" t="s">
        <v>456</v>
      </c>
    </row>
    <row r="52" spans="1:14" ht="12.75" customHeight="1" x14ac:dyDescent="0.2">
      <c r="A52" s="195" t="s">
        <v>581</v>
      </c>
      <c r="B52" s="195" t="s">
        <v>521</v>
      </c>
      <c r="C52" s="195" t="s">
        <v>522</v>
      </c>
      <c r="D52" s="195" t="s">
        <v>582</v>
      </c>
      <c r="E52" s="195" t="s">
        <v>583</v>
      </c>
      <c r="F52" s="197" t="s">
        <v>525</v>
      </c>
      <c r="G52" s="197"/>
      <c r="H52" s="195">
        <v>1</v>
      </c>
      <c r="I52" s="195">
        <v>26</v>
      </c>
      <c r="J52" s="195">
        <v>33</v>
      </c>
      <c r="K52" s="195" t="s">
        <v>581</v>
      </c>
      <c r="L52" s="195" t="s">
        <v>526</v>
      </c>
      <c r="N52" s="382" t="s">
        <v>456</v>
      </c>
    </row>
    <row r="53" spans="1:14" ht="12.75" customHeight="1" x14ac:dyDescent="0.2">
      <c r="A53" s="195" t="s">
        <v>584</v>
      </c>
      <c r="B53" s="195" t="s">
        <v>521</v>
      </c>
      <c r="C53" s="195" t="s">
        <v>522</v>
      </c>
      <c r="D53" s="195" t="s">
        <v>582</v>
      </c>
      <c r="E53" s="195" t="s">
        <v>585</v>
      </c>
      <c r="F53" s="197" t="s">
        <v>221</v>
      </c>
      <c r="G53" s="197"/>
      <c r="H53" s="195">
        <v>1</v>
      </c>
      <c r="I53" s="195">
        <v>26</v>
      </c>
      <c r="J53" s="195">
        <v>27</v>
      </c>
      <c r="K53" s="195" t="s">
        <v>584</v>
      </c>
      <c r="L53" s="195" t="s">
        <v>526</v>
      </c>
      <c r="N53" s="382" t="s">
        <v>456</v>
      </c>
    </row>
    <row r="54" spans="1:14" ht="12.75" customHeight="1" x14ac:dyDescent="0.2">
      <c r="A54" s="195" t="s">
        <v>586</v>
      </c>
      <c r="B54" s="195" t="s">
        <v>521</v>
      </c>
      <c r="C54" s="195" t="s">
        <v>522</v>
      </c>
      <c r="D54" s="195" t="s">
        <v>587</v>
      </c>
      <c r="E54" s="195" t="s">
        <v>588</v>
      </c>
      <c r="F54" s="197" t="s">
        <v>525</v>
      </c>
      <c r="G54" s="197"/>
      <c r="H54" s="195">
        <v>1</v>
      </c>
      <c r="I54" s="195">
        <v>28</v>
      </c>
      <c r="J54" s="195">
        <v>33</v>
      </c>
      <c r="K54" s="195" t="s">
        <v>586</v>
      </c>
      <c r="L54" s="195" t="s">
        <v>526</v>
      </c>
      <c r="N54" s="382" t="s">
        <v>456</v>
      </c>
    </row>
    <row r="55" spans="1:14" ht="12.75" customHeight="1" x14ac:dyDescent="0.2">
      <c r="A55" s="195" t="s">
        <v>589</v>
      </c>
      <c r="B55" s="195" t="s">
        <v>521</v>
      </c>
      <c r="C55" s="195" t="s">
        <v>522</v>
      </c>
      <c r="D55" s="195" t="s">
        <v>590</v>
      </c>
      <c r="E55" s="195" t="s">
        <v>591</v>
      </c>
      <c r="F55" s="197" t="s">
        <v>525</v>
      </c>
      <c r="G55" s="197"/>
      <c r="H55" s="195">
        <v>1</v>
      </c>
      <c r="I55" s="195">
        <v>9</v>
      </c>
      <c r="J55" s="195">
        <v>14</v>
      </c>
      <c r="K55" s="195" t="s">
        <v>589</v>
      </c>
      <c r="L55" s="195" t="s">
        <v>526</v>
      </c>
      <c r="N55" s="382" t="s">
        <v>456</v>
      </c>
    </row>
    <row r="56" spans="1:14" ht="12.75" customHeight="1" x14ac:dyDescent="0.2">
      <c r="A56" s="195" t="s">
        <v>592</v>
      </c>
      <c r="B56" s="195" t="s">
        <v>521</v>
      </c>
      <c r="C56" s="195" t="s">
        <v>522</v>
      </c>
      <c r="D56" s="195" t="s">
        <v>593</v>
      </c>
      <c r="E56" s="195" t="s">
        <v>594</v>
      </c>
      <c r="F56" s="197" t="s">
        <v>221</v>
      </c>
      <c r="G56" s="197"/>
      <c r="H56" s="195">
        <v>1</v>
      </c>
      <c r="I56" s="195">
        <v>7</v>
      </c>
      <c r="J56" s="195">
        <v>7</v>
      </c>
      <c r="K56" s="195" t="s">
        <v>592</v>
      </c>
      <c r="L56" s="195" t="s">
        <v>526</v>
      </c>
      <c r="N56" s="382" t="s">
        <v>456</v>
      </c>
    </row>
    <row r="57" spans="1:14" ht="12.75" customHeight="1" x14ac:dyDescent="0.2">
      <c r="A57" s="195" t="s">
        <v>595</v>
      </c>
      <c r="B57" s="195" t="s">
        <v>521</v>
      </c>
      <c r="C57" s="195" t="s">
        <v>522</v>
      </c>
      <c r="D57" s="195" t="s">
        <v>596</v>
      </c>
      <c r="E57" s="195" t="s">
        <v>597</v>
      </c>
      <c r="F57" s="197" t="s">
        <v>221</v>
      </c>
      <c r="G57" s="197"/>
      <c r="H57" s="195">
        <v>1</v>
      </c>
      <c r="I57" s="195">
        <v>9</v>
      </c>
      <c r="J57" s="195">
        <v>9</v>
      </c>
      <c r="K57" s="195" t="s">
        <v>595</v>
      </c>
      <c r="L57" s="195" t="s">
        <v>526</v>
      </c>
      <c r="N57" s="382" t="s">
        <v>456</v>
      </c>
    </row>
    <row r="58" spans="1:14" ht="12.75" customHeight="1" x14ac:dyDescent="0.2">
      <c r="A58" s="195" t="s">
        <v>598</v>
      </c>
      <c r="B58" s="195" t="s">
        <v>521</v>
      </c>
      <c r="C58" s="195" t="s">
        <v>522</v>
      </c>
      <c r="D58" s="195" t="s">
        <v>599</v>
      </c>
      <c r="E58" s="195" t="s">
        <v>600</v>
      </c>
      <c r="F58" s="197" t="s">
        <v>221</v>
      </c>
      <c r="G58" s="197"/>
      <c r="H58" s="195">
        <v>1</v>
      </c>
      <c r="I58" s="195">
        <v>11</v>
      </c>
      <c r="J58" s="195">
        <v>11</v>
      </c>
      <c r="K58" s="195" t="s">
        <v>598</v>
      </c>
      <c r="L58" s="195" t="s">
        <v>526</v>
      </c>
      <c r="N58" s="382" t="s">
        <v>456</v>
      </c>
    </row>
    <row r="59" spans="1:14" ht="12.75" customHeight="1" x14ac:dyDescent="0.2">
      <c r="A59" s="195" t="s">
        <v>601</v>
      </c>
      <c r="B59" s="195" t="s">
        <v>521</v>
      </c>
      <c r="C59" s="195" t="s">
        <v>522</v>
      </c>
      <c r="D59" s="195" t="s">
        <v>602</v>
      </c>
      <c r="E59" s="195" t="s">
        <v>603</v>
      </c>
      <c r="F59" s="197" t="s">
        <v>221</v>
      </c>
      <c r="G59" s="197"/>
      <c r="H59" s="195">
        <v>1</v>
      </c>
      <c r="I59" s="195">
        <v>13</v>
      </c>
      <c r="J59" s="195">
        <v>13</v>
      </c>
      <c r="K59" s="195" t="s">
        <v>601</v>
      </c>
      <c r="L59" s="195" t="s">
        <v>526</v>
      </c>
      <c r="N59" s="382" t="s">
        <v>456</v>
      </c>
    </row>
    <row r="60" spans="1:14" ht="12.75" customHeight="1" x14ac:dyDescent="0.2">
      <c r="A60" s="195" t="s">
        <v>604</v>
      </c>
      <c r="B60" s="195" t="s">
        <v>521</v>
      </c>
      <c r="C60" s="195" t="s">
        <v>522</v>
      </c>
      <c r="D60" s="195" t="s">
        <v>605</v>
      </c>
      <c r="E60" s="195" t="s">
        <v>606</v>
      </c>
      <c r="F60" s="197" t="s">
        <v>221</v>
      </c>
      <c r="G60" s="197"/>
      <c r="H60" s="195">
        <v>1</v>
      </c>
      <c r="I60" s="195">
        <v>15</v>
      </c>
      <c r="J60" s="195">
        <v>15</v>
      </c>
      <c r="K60" s="195" t="s">
        <v>604</v>
      </c>
      <c r="L60" s="195" t="s">
        <v>526</v>
      </c>
      <c r="N60" s="382" t="s">
        <v>456</v>
      </c>
    </row>
    <row r="61" spans="1:14" ht="12.75" customHeight="1" x14ac:dyDescent="0.2">
      <c r="A61" s="195" t="s">
        <v>607</v>
      </c>
      <c r="B61" s="195" t="s">
        <v>521</v>
      </c>
      <c r="C61" s="195" t="s">
        <v>522</v>
      </c>
      <c r="D61" s="195" t="s">
        <v>608</v>
      </c>
      <c r="E61" s="195" t="s">
        <v>609</v>
      </c>
      <c r="F61" s="197" t="s">
        <v>221</v>
      </c>
      <c r="G61" s="197"/>
      <c r="H61" s="195">
        <v>1</v>
      </c>
      <c r="I61" s="195">
        <v>20</v>
      </c>
      <c r="J61" s="195">
        <v>20</v>
      </c>
      <c r="K61" s="195" t="s">
        <v>607</v>
      </c>
      <c r="L61" s="195" t="s">
        <v>526</v>
      </c>
      <c r="N61" s="382" t="s">
        <v>456</v>
      </c>
    </row>
    <row r="62" spans="1:14" ht="12.75" customHeight="1" x14ac:dyDescent="0.2">
      <c r="A62" s="195" t="s">
        <v>610</v>
      </c>
      <c r="B62" s="195" t="s">
        <v>521</v>
      </c>
      <c r="C62" s="195" t="s">
        <v>522</v>
      </c>
      <c r="D62" s="195" t="s">
        <v>611</v>
      </c>
      <c r="E62" s="195" t="s">
        <v>612</v>
      </c>
      <c r="F62" s="197" t="s">
        <v>221</v>
      </c>
      <c r="G62" s="197"/>
      <c r="H62" s="195">
        <v>1</v>
      </c>
      <c r="I62" s="195">
        <v>23</v>
      </c>
      <c r="J62" s="195">
        <v>23</v>
      </c>
      <c r="K62" s="195" t="s">
        <v>610</v>
      </c>
      <c r="L62" s="195" t="s">
        <v>526</v>
      </c>
      <c r="N62" s="382" t="s">
        <v>456</v>
      </c>
    </row>
    <row r="63" spans="1:14" ht="12.75" customHeight="1" x14ac:dyDescent="0.2">
      <c r="A63" s="195" t="s">
        <v>613</v>
      </c>
      <c r="B63" s="195" t="s">
        <v>521</v>
      </c>
      <c r="C63" s="195" t="s">
        <v>522</v>
      </c>
      <c r="D63" s="195" t="s">
        <v>614</v>
      </c>
      <c r="E63" s="195" t="s">
        <v>615</v>
      </c>
      <c r="F63" s="197" t="s">
        <v>221</v>
      </c>
      <c r="G63" s="197"/>
      <c r="H63" s="195">
        <v>1</v>
      </c>
      <c r="I63" s="195">
        <v>26</v>
      </c>
      <c r="J63" s="195">
        <v>26</v>
      </c>
      <c r="K63" s="195" t="s">
        <v>613</v>
      </c>
      <c r="L63" s="195" t="s">
        <v>526</v>
      </c>
      <c r="N63" s="382" t="s">
        <v>456</v>
      </c>
    </row>
    <row r="64" spans="1:14" ht="12.75" customHeight="1" x14ac:dyDescent="0.2">
      <c r="A64" s="195" t="s">
        <v>616</v>
      </c>
      <c r="B64" s="195" t="s">
        <v>521</v>
      </c>
      <c r="C64" s="195" t="s">
        <v>522</v>
      </c>
      <c r="D64" s="195" t="s">
        <v>617</v>
      </c>
      <c r="E64" s="195" t="s">
        <v>618</v>
      </c>
      <c r="F64" s="197" t="s">
        <v>221</v>
      </c>
      <c r="G64" s="197"/>
      <c r="H64" s="195">
        <v>1</v>
      </c>
      <c r="I64" s="195">
        <v>27</v>
      </c>
      <c r="J64" s="195">
        <v>27</v>
      </c>
      <c r="K64" s="195" t="s">
        <v>616</v>
      </c>
      <c r="L64" s="195" t="s">
        <v>526</v>
      </c>
      <c r="N64" s="382" t="s">
        <v>456</v>
      </c>
    </row>
    <row r="65" spans="1:14" ht="12.75" customHeight="1" x14ac:dyDescent="0.2">
      <c r="A65" s="195" t="s">
        <v>619</v>
      </c>
      <c r="B65" s="195" t="s">
        <v>521</v>
      </c>
      <c r="C65" s="195" t="s">
        <v>522</v>
      </c>
      <c r="D65" s="195" t="s">
        <v>620</v>
      </c>
      <c r="E65" s="195" t="s">
        <v>621</v>
      </c>
      <c r="F65" s="197" t="s">
        <v>525</v>
      </c>
      <c r="G65" s="197"/>
      <c r="H65" s="195">
        <v>1</v>
      </c>
      <c r="I65" s="195">
        <v>13</v>
      </c>
      <c r="J65" s="195">
        <v>17</v>
      </c>
      <c r="K65" s="195" t="s">
        <v>619</v>
      </c>
      <c r="L65" s="195" t="s">
        <v>526</v>
      </c>
      <c r="N65" s="382" t="s">
        <v>456</v>
      </c>
    </row>
    <row r="66" spans="1:14" ht="12.75" customHeight="1" x14ac:dyDescent="0.2">
      <c r="A66" s="195" t="s">
        <v>622</v>
      </c>
      <c r="B66" s="195" t="s">
        <v>521</v>
      </c>
      <c r="C66" s="195" t="s">
        <v>522</v>
      </c>
      <c r="D66" s="195" t="s">
        <v>623</v>
      </c>
      <c r="E66" s="195" t="s">
        <v>624</v>
      </c>
      <c r="F66" s="197" t="s">
        <v>525</v>
      </c>
      <c r="G66" s="197"/>
      <c r="H66" s="195">
        <v>1</v>
      </c>
      <c r="I66" s="195">
        <v>18</v>
      </c>
      <c r="J66" s="195">
        <v>24</v>
      </c>
      <c r="K66" s="195" t="s">
        <v>622</v>
      </c>
      <c r="L66" s="195" t="s">
        <v>526</v>
      </c>
      <c r="N66" s="382" t="s">
        <v>456</v>
      </c>
    </row>
    <row r="67" spans="1:14" ht="12.75" customHeight="1" x14ac:dyDescent="0.2">
      <c r="A67" s="195" t="s">
        <v>625</v>
      </c>
      <c r="B67" s="195" t="s">
        <v>521</v>
      </c>
      <c r="C67" s="195" t="s">
        <v>522</v>
      </c>
      <c r="D67" s="195" t="s">
        <v>626</v>
      </c>
      <c r="E67" s="195" t="s">
        <v>627</v>
      </c>
      <c r="F67" s="197" t="s">
        <v>525</v>
      </c>
      <c r="G67" s="197"/>
      <c r="H67" s="195">
        <v>1</v>
      </c>
      <c r="I67" s="195">
        <v>22</v>
      </c>
      <c r="J67" s="195">
        <v>27</v>
      </c>
      <c r="K67" s="195" t="s">
        <v>625</v>
      </c>
      <c r="L67" s="195" t="s">
        <v>526</v>
      </c>
      <c r="N67" s="382" t="s">
        <v>456</v>
      </c>
    </row>
    <row r="68" spans="1:14" ht="12.75" customHeight="1" x14ac:dyDescent="0.2">
      <c r="A68" s="195" t="s">
        <v>628</v>
      </c>
      <c r="B68" s="195" t="s">
        <v>521</v>
      </c>
      <c r="C68" s="195" t="s">
        <v>522</v>
      </c>
      <c r="D68" s="195" t="s">
        <v>629</v>
      </c>
      <c r="E68" s="195" t="s">
        <v>630</v>
      </c>
      <c r="F68" s="197" t="s">
        <v>525</v>
      </c>
      <c r="G68" s="197"/>
      <c r="H68" s="195">
        <v>1</v>
      </c>
      <c r="I68" s="195">
        <v>24</v>
      </c>
      <c r="J68" s="195">
        <v>32</v>
      </c>
      <c r="K68" s="195" t="s">
        <v>628</v>
      </c>
      <c r="L68" s="195" t="s">
        <v>526</v>
      </c>
      <c r="N68" s="382" t="s">
        <v>456</v>
      </c>
    </row>
    <row r="69" spans="1:14" ht="12.75" customHeight="1" x14ac:dyDescent="0.2">
      <c r="A69" s="195" t="s">
        <v>631</v>
      </c>
      <c r="B69" s="195" t="s">
        <v>521</v>
      </c>
      <c r="C69" s="195" t="s">
        <v>522</v>
      </c>
      <c r="D69" s="195" t="s">
        <v>632</v>
      </c>
      <c r="E69" s="195" t="s">
        <v>633</v>
      </c>
      <c r="F69" s="197" t="s">
        <v>525</v>
      </c>
      <c r="G69" s="197"/>
      <c r="H69" s="195">
        <v>1</v>
      </c>
      <c r="I69" s="195">
        <v>28</v>
      </c>
      <c r="J69" s="195">
        <v>33</v>
      </c>
      <c r="K69" s="195" t="s">
        <v>631</v>
      </c>
      <c r="L69" s="195" t="s">
        <v>526</v>
      </c>
      <c r="N69" s="382" t="s">
        <v>456</v>
      </c>
    </row>
    <row r="70" spans="1:14" ht="12.75" customHeight="1" x14ac:dyDescent="0.2">
      <c r="A70" s="195" t="s">
        <v>634</v>
      </c>
      <c r="B70" s="195" t="s">
        <v>521</v>
      </c>
      <c r="C70" s="195" t="s">
        <v>522</v>
      </c>
      <c r="D70" s="195" t="s">
        <v>635</v>
      </c>
      <c r="E70" s="195" t="s">
        <v>636</v>
      </c>
      <c r="F70" s="197" t="s">
        <v>221</v>
      </c>
      <c r="G70" s="197"/>
      <c r="H70" s="195">
        <v>1</v>
      </c>
      <c r="I70" s="195">
        <v>32</v>
      </c>
      <c r="J70" s="195">
        <v>34</v>
      </c>
      <c r="K70" s="195" t="s">
        <v>634</v>
      </c>
      <c r="L70" s="195" t="s">
        <v>526</v>
      </c>
      <c r="N70" s="382" t="s">
        <v>456</v>
      </c>
    </row>
    <row r="71" spans="1:14" ht="12.75" customHeight="1" x14ac:dyDescent="0.2">
      <c r="A71" s="195" t="s">
        <v>637</v>
      </c>
      <c r="B71" s="195" t="s">
        <v>521</v>
      </c>
      <c r="C71" s="195" t="s">
        <v>522</v>
      </c>
      <c r="D71" s="195" t="s">
        <v>638</v>
      </c>
      <c r="E71" s="195" t="s">
        <v>639</v>
      </c>
      <c r="F71" s="197" t="s">
        <v>525</v>
      </c>
      <c r="G71" s="197"/>
      <c r="H71" s="195">
        <v>1</v>
      </c>
      <c r="I71" s="195">
        <v>36</v>
      </c>
      <c r="J71" s="195">
        <v>51</v>
      </c>
      <c r="K71" s="195" t="s">
        <v>637</v>
      </c>
      <c r="L71" s="195" t="s">
        <v>526</v>
      </c>
      <c r="N71" s="382" t="s">
        <v>456</v>
      </c>
    </row>
    <row r="72" spans="1:14" ht="12.75" customHeight="1" x14ac:dyDescent="0.2">
      <c r="A72" s="195" t="s">
        <v>640</v>
      </c>
      <c r="B72" s="195" t="s">
        <v>521</v>
      </c>
      <c r="C72" s="195" t="s">
        <v>522</v>
      </c>
      <c r="D72" s="195" t="s">
        <v>641</v>
      </c>
      <c r="E72" s="195" t="s">
        <v>642</v>
      </c>
      <c r="F72" s="197" t="s">
        <v>525</v>
      </c>
      <c r="G72" s="197"/>
      <c r="H72" s="195">
        <v>1</v>
      </c>
      <c r="I72" s="195">
        <v>40</v>
      </c>
      <c r="J72" s="195">
        <v>46</v>
      </c>
      <c r="K72" s="195" t="s">
        <v>640</v>
      </c>
      <c r="L72" s="195" t="s">
        <v>526</v>
      </c>
      <c r="N72" s="382" t="s">
        <v>456</v>
      </c>
    </row>
    <row r="73" spans="1:14" ht="12.75" customHeight="1" x14ac:dyDescent="0.2">
      <c r="A73" s="195" t="s">
        <v>643</v>
      </c>
      <c r="B73" s="195" t="s">
        <v>521</v>
      </c>
      <c r="C73" s="195" t="s">
        <v>522</v>
      </c>
      <c r="D73" s="195" t="s">
        <v>641</v>
      </c>
      <c r="E73" s="195" t="s">
        <v>644</v>
      </c>
      <c r="F73" s="197" t="s">
        <v>221</v>
      </c>
      <c r="G73" s="197"/>
      <c r="H73" s="195">
        <v>1</v>
      </c>
      <c r="I73" s="195">
        <v>40</v>
      </c>
      <c r="J73" s="195">
        <v>46</v>
      </c>
      <c r="K73" s="195" t="s">
        <v>643</v>
      </c>
      <c r="L73" s="195" t="s">
        <v>526</v>
      </c>
      <c r="N73" s="382" t="s">
        <v>456</v>
      </c>
    </row>
    <row r="74" spans="1:14" ht="12.75" customHeight="1" x14ac:dyDescent="0.2">
      <c r="A74" s="195" t="s">
        <v>645</v>
      </c>
      <c r="B74" s="195" t="s">
        <v>521</v>
      </c>
      <c r="C74" s="195" t="s">
        <v>522</v>
      </c>
      <c r="D74" s="195" t="s">
        <v>641</v>
      </c>
      <c r="E74" s="195" t="s">
        <v>646</v>
      </c>
      <c r="F74" s="197" t="s">
        <v>221</v>
      </c>
      <c r="G74" s="197"/>
      <c r="H74" s="195">
        <v>1</v>
      </c>
      <c r="I74" s="195">
        <v>40</v>
      </c>
      <c r="J74" s="195">
        <v>43</v>
      </c>
      <c r="K74" s="195" t="s">
        <v>645</v>
      </c>
      <c r="L74" s="195" t="s">
        <v>526</v>
      </c>
      <c r="N74" s="382" t="s">
        <v>456</v>
      </c>
    </row>
    <row r="75" spans="1:14" ht="12.75" customHeight="1" x14ac:dyDescent="0.2">
      <c r="A75" s="195" t="s">
        <v>647</v>
      </c>
      <c r="B75" s="195" t="s">
        <v>521</v>
      </c>
      <c r="C75" s="195" t="s">
        <v>522</v>
      </c>
      <c r="D75" s="195" t="s">
        <v>648</v>
      </c>
      <c r="E75" s="195" t="s">
        <v>649</v>
      </c>
      <c r="F75" s="197" t="s">
        <v>525</v>
      </c>
      <c r="G75" s="197"/>
      <c r="H75" s="195">
        <v>1</v>
      </c>
      <c r="I75" s="195">
        <v>5</v>
      </c>
      <c r="J75" s="195">
        <v>9</v>
      </c>
      <c r="K75" s="195" t="s">
        <v>650</v>
      </c>
      <c r="L75" s="195" t="s">
        <v>526</v>
      </c>
      <c r="N75" s="382" t="s">
        <v>456</v>
      </c>
    </row>
    <row r="76" spans="1:14" ht="12.75" customHeight="1" x14ac:dyDescent="0.2">
      <c r="A76" s="195" t="s">
        <v>651</v>
      </c>
      <c r="B76" s="195" t="s">
        <v>521</v>
      </c>
      <c r="C76" s="195" t="s">
        <v>522</v>
      </c>
      <c r="D76" s="195" t="s">
        <v>652</v>
      </c>
      <c r="E76" s="195" t="s">
        <v>653</v>
      </c>
      <c r="F76" s="197" t="s">
        <v>221</v>
      </c>
      <c r="G76" s="197"/>
      <c r="H76" s="195">
        <v>1</v>
      </c>
      <c r="I76" s="195">
        <v>50</v>
      </c>
      <c r="J76" s="195">
        <v>54</v>
      </c>
      <c r="K76" s="195" t="s">
        <v>651</v>
      </c>
      <c r="L76" s="195" t="s">
        <v>526</v>
      </c>
      <c r="N76" s="382" t="s">
        <v>456</v>
      </c>
    </row>
    <row r="77" spans="1:14" ht="12.75" customHeight="1" x14ac:dyDescent="0.2">
      <c r="A77" s="195" t="s">
        <v>654</v>
      </c>
      <c r="B77" s="195" t="s">
        <v>521</v>
      </c>
      <c r="C77" s="195" t="s">
        <v>522</v>
      </c>
      <c r="D77" s="195" t="s">
        <v>655</v>
      </c>
      <c r="E77" s="195" t="s">
        <v>656</v>
      </c>
      <c r="F77" s="197" t="s">
        <v>221</v>
      </c>
      <c r="G77" s="197"/>
      <c r="H77" s="195">
        <v>1</v>
      </c>
      <c r="I77" s="195">
        <v>55</v>
      </c>
      <c r="J77" s="195">
        <v>56</v>
      </c>
      <c r="K77" s="195" t="s">
        <v>654</v>
      </c>
      <c r="L77" s="195" t="s">
        <v>526</v>
      </c>
      <c r="N77" s="382" t="s">
        <v>456</v>
      </c>
    </row>
    <row r="78" spans="1:14" ht="12.75" customHeight="1" x14ac:dyDescent="0.2">
      <c r="A78" s="195" t="s">
        <v>657</v>
      </c>
      <c r="B78" s="195" t="s">
        <v>521</v>
      </c>
      <c r="C78" s="195" t="s">
        <v>522</v>
      </c>
      <c r="D78" s="195" t="s">
        <v>658</v>
      </c>
      <c r="E78" s="195" t="s">
        <v>659</v>
      </c>
      <c r="F78" s="197" t="s">
        <v>525</v>
      </c>
      <c r="G78" s="197"/>
      <c r="H78" s="195">
        <v>1</v>
      </c>
      <c r="I78" s="195">
        <v>7</v>
      </c>
      <c r="J78" s="195">
        <v>10</v>
      </c>
      <c r="K78" s="195" t="s">
        <v>657</v>
      </c>
      <c r="L78" s="195" t="s">
        <v>526</v>
      </c>
      <c r="N78" s="382" t="s">
        <v>456</v>
      </c>
    </row>
    <row r="79" spans="1:14" ht="12.75" customHeight="1" x14ac:dyDescent="0.2">
      <c r="A79" s="195" t="s">
        <v>660</v>
      </c>
      <c r="B79" s="195" t="s">
        <v>521</v>
      </c>
      <c r="C79" s="195" t="s">
        <v>522</v>
      </c>
      <c r="D79" s="195" t="s">
        <v>661</v>
      </c>
      <c r="E79" s="195" t="s">
        <v>662</v>
      </c>
      <c r="F79" s="197" t="s">
        <v>525</v>
      </c>
      <c r="G79" s="197"/>
      <c r="H79" s="195">
        <v>1</v>
      </c>
      <c r="I79" s="195">
        <v>9</v>
      </c>
      <c r="J79" s="195">
        <v>11</v>
      </c>
      <c r="K79" s="195" t="s">
        <v>660</v>
      </c>
      <c r="L79" s="195" t="s">
        <v>526</v>
      </c>
      <c r="N79" s="382" t="s">
        <v>456</v>
      </c>
    </row>
    <row r="80" spans="1:14" ht="12.75" customHeight="1" x14ac:dyDescent="0.2">
      <c r="A80" s="195" t="s">
        <v>663</v>
      </c>
      <c r="B80" s="195" t="s">
        <v>521</v>
      </c>
      <c r="C80" s="195" t="s">
        <v>522</v>
      </c>
      <c r="D80" s="195" t="s">
        <v>529</v>
      </c>
      <c r="E80" s="195" t="s">
        <v>664</v>
      </c>
      <c r="F80" s="197" t="s">
        <v>525</v>
      </c>
      <c r="G80" s="197"/>
      <c r="H80" s="195">
        <v>2</v>
      </c>
      <c r="I80" s="195">
        <v>11</v>
      </c>
      <c r="J80" s="195">
        <v>26</v>
      </c>
      <c r="K80" s="195" t="s">
        <v>663</v>
      </c>
      <c r="L80" s="195" t="s">
        <v>526</v>
      </c>
      <c r="N80" s="382" t="s">
        <v>456</v>
      </c>
    </row>
    <row r="81" spans="1:14" ht="12.75" customHeight="1" x14ac:dyDescent="0.2">
      <c r="A81" s="195" t="s">
        <v>665</v>
      </c>
      <c r="B81" s="195" t="s">
        <v>521</v>
      </c>
      <c r="C81" s="195" t="s">
        <v>522</v>
      </c>
      <c r="D81" s="195" t="s">
        <v>552</v>
      </c>
      <c r="E81" s="195" t="s">
        <v>666</v>
      </c>
      <c r="F81" s="197" t="s">
        <v>221</v>
      </c>
      <c r="G81" s="197"/>
      <c r="H81" s="195">
        <v>2</v>
      </c>
      <c r="I81" s="195">
        <v>42</v>
      </c>
      <c r="J81" s="195">
        <v>100</v>
      </c>
      <c r="K81" s="195" t="s">
        <v>665</v>
      </c>
      <c r="L81" s="195" t="s">
        <v>526</v>
      </c>
      <c r="N81" s="382" t="s">
        <v>456</v>
      </c>
    </row>
    <row r="82" spans="1:14" ht="12.75" customHeight="1" x14ac:dyDescent="0.2">
      <c r="A82" s="195" t="s">
        <v>667</v>
      </c>
      <c r="B82" s="195" t="s">
        <v>521</v>
      </c>
      <c r="C82" s="195" t="s">
        <v>522</v>
      </c>
      <c r="D82" s="195" t="s">
        <v>558</v>
      </c>
      <c r="E82" s="195" t="s">
        <v>668</v>
      </c>
      <c r="F82" s="197" t="s">
        <v>525</v>
      </c>
      <c r="G82" s="197"/>
      <c r="H82" s="195">
        <v>2</v>
      </c>
      <c r="I82" s="195">
        <v>13</v>
      </c>
      <c r="J82" s="195">
        <v>31</v>
      </c>
      <c r="K82" s="195" t="s">
        <v>667</v>
      </c>
      <c r="L82" s="195" t="s">
        <v>526</v>
      </c>
      <c r="N82" s="382" t="s">
        <v>456</v>
      </c>
    </row>
    <row r="83" spans="1:14" ht="12.75" customHeight="1" x14ac:dyDescent="0.2">
      <c r="A83" s="195" t="s">
        <v>669</v>
      </c>
      <c r="B83" s="195" t="s">
        <v>521</v>
      </c>
      <c r="C83" s="195" t="s">
        <v>522</v>
      </c>
      <c r="D83" s="195" t="s">
        <v>558</v>
      </c>
      <c r="E83" s="195" t="s">
        <v>670</v>
      </c>
      <c r="F83" s="197" t="s">
        <v>221</v>
      </c>
      <c r="G83" s="197"/>
      <c r="H83" s="195">
        <v>2</v>
      </c>
      <c r="I83" s="195">
        <v>13</v>
      </c>
      <c r="J83" s="195">
        <v>28</v>
      </c>
      <c r="K83" s="195" t="s">
        <v>669</v>
      </c>
      <c r="L83" s="195" t="s">
        <v>526</v>
      </c>
      <c r="N83" s="382" t="s">
        <v>456</v>
      </c>
    </row>
    <row r="84" spans="1:14" ht="12.75" customHeight="1" x14ac:dyDescent="0.2">
      <c r="A84" s="195" t="s">
        <v>671</v>
      </c>
      <c r="B84" s="195" t="s">
        <v>521</v>
      </c>
      <c r="C84" s="195" t="s">
        <v>522</v>
      </c>
      <c r="D84" s="195" t="s">
        <v>566</v>
      </c>
      <c r="E84" s="195" t="s">
        <v>672</v>
      </c>
      <c r="F84" s="197" t="s">
        <v>525</v>
      </c>
      <c r="G84" s="197"/>
      <c r="H84" s="195">
        <v>2</v>
      </c>
      <c r="I84" s="195">
        <v>17</v>
      </c>
      <c r="J84" s="195">
        <v>48</v>
      </c>
      <c r="K84" s="195" t="s">
        <v>671</v>
      </c>
      <c r="L84" s="195" t="s">
        <v>526</v>
      </c>
      <c r="N84" s="382" t="s">
        <v>456</v>
      </c>
    </row>
    <row r="85" spans="1:14" ht="12.75" customHeight="1" x14ac:dyDescent="0.2">
      <c r="A85" s="195" t="s">
        <v>673</v>
      </c>
      <c r="B85" s="195" t="s">
        <v>521</v>
      </c>
      <c r="C85" s="195" t="s">
        <v>522</v>
      </c>
      <c r="D85" s="195" t="s">
        <v>569</v>
      </c>
      <c r="E85" s="195" t="s">
        <v>674</v>
      </c>
      <c r="F85" s="197" t="s">
        <v>525</v>
      </c>
      <c r="G85" s="197"/>
      <c r="H85" s="195">
        <v>2</v>
      </c>
      <c r="I85" s="195">
        <v>18</v>
      </c>
      <c r="J85" s="195">
        <v>45</v>
      </c>
      <c r="K85" s="195" t="s">
        <v>673</v>
      </c>
      <c r="L85" s="195" t="s">
        <v>526</v>
      </c>
      <c r="N85" s="382" t="s">
        <v>456</v>
      </c>
    </row>
    <row r="86" spans="1:14" ht="12.75" customHeight="1" x14ac:dyDescent="0.2">
      <c r="A86" s="195" t="s">
        <v>675</v>
      </c>
      <c r="B86" s="195" t="s">
        <v>521</v>
      </c>
      <c r="C86" s="195" t="s">
        <v>522</v>
      </c>
      <c r="D86" s="195" t="s">
        <v>569</v>
      </c>
      <c r="E86" s="195" t="s">
        <v>676</v>
      </c>
      <c r="F86" s="197" t="s">
        <v>221</v>
      </c>
      <c r="G86" s="197"/>
      <c r="H86" s="195">
        <v>2</v>
      </c>
      <c r="I86" s="195">
        <v>18</v>
      </c>
      <c r="J86" s="195">
        <v>38</v>
      </c>
      <c r="K86" s="195" t="s">
        <v>675</v>
      </c>
      <c r="L86" s="195" t="s">
        <v>526</v>
      </c>
      <c r="N86" s="382" t="s">
        <v>456</v>
      </c>
    </row>
    <row r="87" spans="1:14" ht="12.75" customHeight="1" x14ac:dyDescent="0.2">
      <c r="A87" s="195" t="s">
        <v>677</v>
      </c>
      <c r="B87" s="195" t="s">
        <v>521</v>
      </c>
      <c r="C87" s="195" t="s">
        <v>522</v>
      </c>
      <c r="D87" s="195" t="s">
        <v>573</v>
      </c>
      <c r="E87" s="195" t="s">
        <v>678</v>
      </c>
      <c r="F87" s="197" t="s">
        <v>525</v>
      </c>
      <c r="G87" s="197"/>
      <c r="H87" s="195">
        <v>2</v>
      </c>
      <c r="I87" s="195">
        <v>20</v>
      </c>
      <c r="J87" s="195">
        <v>46</v>
      </c>
      <c r="K87" s="195" t="s">
        <v>677</v>
      </c>
      <c r="L87" s="195" t="s">
        <v>526</v>
      </c>
      <c r="N87" s="382" t="s">
        <v>456</v>
      </c>
    </row>
    <row r="88" spans="1:14" ht="12.75" customHeight="1" x14ac:dyDescent="0.2">
      <c r="A88" s="195" t="s">
        <v>679</v>
      </c>
      <c r="B88" s="195" t="s">
        <v>521</v>
      </c>
      <c r="C88" s="195" t="s">
        <v>522</v>
      </c>
      <c r="D88" s="195" t="s">
        <v>576</v>
      </c>
      <c r="E88" s="195" t="s">
        <v>680</v>
      </c>
      <c r="F88" s="197" t="s">
        <v>525</v>
      </c>
      <c r="G88" s="197"/>
      <c r="H88" s="195">
        <v>2</v>
      </c>
      <c r="I88" s="195">
        <v>22</v>
      </c>
      <c r="J88" s="195">
        <v>48</v>
      </c>
      <c r="K88" s="195" t="s">
        <v>679</v>
      </c>
      <c r="L88" s="195" t="s">
        <v>526</v>
      </c>
      <c r="N88" s="382" t="s">
        <v>456</v>
      </c>
    </row>
    <row r="89" spans="1:14" ht="12.75" customHeight="1" x14ac:dyDescent="0.2">
      <c r="A89" s="195" t="s">
        <v>681</v>
      </c>
      <c r="B89" s="195" t="s">
        <v>521</v>
      </c>
      <c r="C89" s="195" t="s">
        <v>522</v>
      </c>
      <c r="D89" s="195" t="s">
        <v>579</v>
      </c>
      <c r="E89" s="195" t="s">
        <v>682</v>
      </c>
      <c r="F89" s="197" t="s">
        <v>525</v>
      </c>
      <c r="G89" s="197"/>
      <c r="H89" s="195">
        <v>2</v>
      </c>
      <c r="I89" s="195">
        <v>25</v>
      </c>
      <c r="J89" s="195">
        <v>66</v>
      </c>
      <c r="K89" s="195" t="s">
        <v>681</v>
      </c>
      <c r="L89" s="195" t="s">
        <v>526</v>
      </c>
      <c r="N89" s="382" t="s">
        <v>456</v>
      </c>
    </row>
    <row r="90" spans="1:14" ht="12.75" customHeight="1" x14ac:dyDescent="0.2">
      <c r="A90" s="195" t="s">
        <v>683</v>
      </c>
      <c r="B90" s="195" t="s">
        <v>521</v>
      </c>
      <c r="C90" s="195" t="s">
        <v>522</v>
      </c>
      <c r="D90" s="195" t="s">
        <v>582</v>
      </c>
      <c r="E90" s="195" t="s">
        <v>684</v>
      </c>
      <c r="F90" s="197" t="s">
        <v>525</v>
      </c>
      <c r="G90" s="197"/>
      <c r="H90" s="195">
        <v>2</v>
      </c>
      <c r="I90" s="195">
        <v>26</v>
      </c>
      <c r="J90" s="195">
        <v>66</v>
      </c>
      <c r="K90" s="195" t="s">
        <v>683</v>
      </c>
      <c r="L90" s="195" t="s">
        <v>526</v>
      </c>
      <c r="N90" s="382" t="s">
        <v>456</v>
      </c>
    </row>
    <row r="91" spans="1:14" ht="12.75" customHeight="1" x14ac:dyDescent="0.2">
      <c r="A91" s="195" t="s">
        <v>685</v>
      </c>
      <c r="B91" s="195" t="s">
        <v>521</v>
      </c>
      <c r="C91" s="195" t="s">
        <v>522</v>
      </c>
      <c r="D91" s="195" t="s">
        <v>582</v>
      </c>
      <c r="E91" s="195" t="s">
        <v>686</v>
      </c>
      <c r="F91" s="197" t="s">
        <v>221</v>
      </c>
      <c r="G91" s="197"/>
      <c r="H91" s="195">
        <v>2</v>
      </c>
      <c r="I91" s="195">
        <v>26</v>
      </c>
      <c r="J91" s="195">
        <v>50</v>
      </c>
      <c r="K91" s="195" t="s">
        <v>685</v>
      </c>
      <c r="L91" s="195" t="s">
        <v>526</v>
      </c>
      <c r="N91" s="382" t="s">
        <v>456</v>
      </c>
    </row>
    <row r="92" spans="1:14" ht="12.75" customHeight="1" x14ac:dyDescent="0.2">
      <c r="A92" s="195" t="s">
        <v>687</v>
      </c>
      <c r="B92" s="195" t="s">
        <v>521</v>
      </c>
      <c r="C92" s="195" t="s">
        <v>522</v>
      </c>
      <c r="D92" s="195" t="s">
        <v>590</v>
      </c>
      <c r="E92" s="195" t="s">
        <v>688</v>
      </c>
      <c r="F92" s="197" t="s">
        <v>525</v>
      </c>
      <c r="G92" s="197"/>
      <c r="H92" s="195">
        <v>2</v>
      </c>
      <c r="I92" s="195">
        <v>9</v>
      </c>
      <c r="J92" s="195">
        <v>23</v>
      </c>
      <c r="K92" s="195" t="s">
        <v>687</v>
      </c>
      <c r="L92" s="195" t="s">
        <v>526</v>
      </c>
      <c r="N92" s="382" t="s">
        <v>456</v>
      </c>
    </row>
    <row r="93" spans="1:14" ht="12.75" customHeight="1" x14ac:dyDescent="0.2">
      <c r="A93" s="195" t="s">
        <v>689</v>
      </c>
      <c r="B93" s="195" t="s">
        <v>521</v>
      </c>
      <c r="C93" s="195" t="s">
        <v>522</v>
      </c>
      <c r="D93" s="195" t="s">
        <v>620</v>
      </c>
      <c r="E93" s="195" t="s">
        <v>690</v>
      </c>
      <c r="F93" s="197" t="s">
        <v>525</v>
      </c>
      <c r="G93" s="197"/>
      <c r="H93" s="195">
        <v>2</v>
      </c>
      <c r="I93" s="195">
        <v>13</v>
      </c>
      <c r="J93" s="195">
        <v>31</v>
      </c>
      <c r="K93" s="195" t="s">
        <v>689</v>
      </c>
      <c r="L93" s="195" t="s">
        <v>526</v>
      </c>
      <c r="N93" s="382" t="s">
        <v>456</v>
      </c>
    </row>
    <row r="94" spans="1:14" ht="12.75" customHeight="1" x14ac:dyDescent="0.2">
      <c r="A94" s="195" t="s">
        <v>691</v>
      </c>
      <c r="B94" s="195" t="s">
        <v>521</v>
      </c>
      <c r="C94" s="195" t="s">
        <v>522</v>
      </c>
      <c r="D94" s="195" t="s">
        <v>626</v>
      </c>
      <c r="E94" s="195" t="s">
        <v>692</v>
      </c>
      <c r="F94" s="197" t="s">
        <v>525</v>
      </c>
      <c r="G94" s="197"/>
      <c r="H94" s="195">
        <v>2</v>
      </c>
      <c r="I94" s="195">
        <v>22</v>
      </c>
      <c r="J94" s="195">
        <v>54</v>
      </c>
      <c r="K94" s="195" t="s">
        <v>691</v>
      </c>
      <c r="L94" s="195" t="s">
        <v>526</v>
      </c>
      <c r="N94" s="382" t="s">
        <v>456</v>
      </c>
    </row>
    <row r="95" spans="1:14" ht="12.75" customHeight="1" x14ac:dyDescent="0.2">
      <c r="A95" s="195" t="s">
        <v>693</v>
      </c>
      <c r="B95" s="195" t="s">
        <v>521</v>
      </c>
      <c r="C95" s="195" t="s">
        <v>522</v>
      </c>
      <c r="D95" s="195" t="s">
        <v>632</v>
      </c>
      <c r="E95" s="195" t="s">
        <v>694</v>
      </c>
      <c r="F95" s="197" t="s">
        <v>525</v>
      </c>
      <c r="G95" s="197"/>
      <c r="H95" s="195">
        <v>2</v>
      </c>
      <c r="I95" s="195">
        <v>28</v>
      </c>
      <c r="J95" s="195">
        <v>66</v>
      </c>
      <c r="K95" s="195" t="s">
        <v>693</v>
      </c>
      <c r="L95" s="195" t="s">
        <v>526</v>
      </c>
      <c r="N95" s="382" t="s">
        <v>456</v>
      </c>
    </row>
    <row r="96" spans="1:14" ht="12.75" customHeight="1" x14ac:dyDescent="0.2">
      <c r="A96" s="195" t="s">
        <v>695</v>
      </c>
      <c r="B96" s="195" t="s">
        <v>521</v>
      </c>
      <c r="C96" s="195" t="s">
        <v>522</v>
      </c>
      <c r="D96" s="195" t="s">
        <v>635</v>
      </c>
      <c r="E96" s="195" t="s">
        <v>696</v>
      </c>
      <c r="F96" s="197" t="s">
        <v>221</v>
      </c>
      <c r="G96" s="197"/>
      <c r="H96" s="195">
        <v>2</v>
      </c>
      <c r="I96" s="195">
        <v>32</v>
      </c>
      <c r="J96" s="195">
        <v>62</v>
      </c>
      <c r="K96" s="195" t="s">
        <v>695</v>
      </c>
      <c r="L96" s="195" t="s">
        <v>526</v>
      </c>
      <c r="N96" s="382" t="s">
        <v>456</v>
      </c>
    </row>
    <row r="97" spans="1:14" ht="12.75" customHeight="1" x14ac:dyDescent="0.2">
      <c r="A97" s="195" t="s">
        <v>697</v>
      </c>
      <c r="B97" s="195" t="s">
        <v>521</v>
      </c>
      <c r="C97" s="195" t="s">
        <v>522</v>
      </c>
      <c r="D97" s="195" t="s">
        <v>641</v>
      </c>
      <c r="E97" s="195" t="s">
        <v>698</v>
      </c>
      <c r="F97" s="197" t="s">
        <v>525</v>
      </c>
      <c r="G97" s="197"/>
      <c r="H97" s="195">
        <v>2</v>
      </c>
      <c r="I97" s="195">
        <v>40</v>
      </c>
      <c r="J97" s="195">
        <v>85</v>
      </c>
      <c r="K97" s="195" t="s">
        <v>697</v>
      </c>
      <c r="L97" s="195" t="s">
        <v>526</v>
      </c>
      <c r="N97" s="382" t="s">
        <v>456</v>
      </c>
    </row>
    <row r="98" spans="1:14" ht="12.75" customHeight="1" x14ac:dyDescent="0.2">
      <c r="A98" s="195" t="s">
        <v>699</v>
      </c>
      <c r="B98" s="195" t="s">
        <v>521</v>
      </c>
      <c r="C98" s="195" t="s">
        <v>522</v>
      </c>
      <c r="D98" s="195" t="s">
        <v>641</v>
      </c>
      <c r="E98" s="195" t="s">
        <v>700</v>
      </c>
      <c r="F98" s="197" t="s">
        <v>221</v>
      </c>
      <c r="G98" s="197"/>
      <c r="H98" s="195">
        <v>2</v>
      </c>
      <c r="I98" s="195">
        <v>40</v>
      </c>
      <c r="J98" s="195">
        <v>72</v>
      </c>
      <c r="K98" s="195" t="s">
        <v>699</v>
      </c>
      <c r="L98" s="195" t="s">
        <v>526</v>
      </c>
      <c r="N98" s="382" t="s">
        <v>456</v>
      </c>
    </row>
    <row r="99" spans="1:14" ht="12.75" customHeight="1" x14ac:dyDescent="0.2">
      <c r="A99" s="195" t="s">
        <v>701</v>
      </c>
      <c r="B99" s="195" t="s">
        <v>521</v>
      </c>
      <c r="C99" s="195" t="s">
        <v>522</v>
      </c>
      <c r="D99" s="195" t="s">
        <v>641</v>
      </c>
      <c r="E99" s="195" t="s">
        <v>702</v>
      </c>
      <c r="F99" s="197" t="s">
        <v>221</v>
      </c>
      <c r="G99" s="197"/>
      <c r="H99" s="195">
        <v>2</v>
      </c>
      <c r="I99" s="195">
        <v>40</v>
      </c>
      <c r="J99" s="195">
        <v>72</v>
      </c>
      <c r="K99" s="195" t="s">
        <v>701</v>
      </c>
      <c r="L99" s="195" t="s">
        <v>526</v>
      </c>
      <c r="N99" s="382" t="s">
        <v>456</v>
      </c>
    </row>
    <row r="100" spans="1:14" ht="12.75" customHeight="1" x14ac:dyDescent="0.2">
      <c r="A100" s="195" t="s">
        <v>703</v>
      </c>
      <c r="B100" s="195" t="s">
        <v>521</v>
      </c>
      <c r="C100" s="195" t="s">
        <v>522</v>
      </c>
      <c r="D100" s="195" t="s">
        <v>648</v>
      </c>
      <c r="E100" s="195" t="s">
        <v>704</v>
      </c>
      <c r="F100" s="197" t="s">
        <v>525</v>
      </c>
      <c r="G100" s="197"/>
      <c r="H100" s="195">
        <v>2</v>
      </c>
      <c r="I100" s="195">
        <v>5</v>
      </c>
      <c r="J100" s="195">
        <v>18</v>
      </c>
      <c r="K100" s="195" t="s">
        <v>703</v>
      </c>
      <c r="L100" s="195" t="s">
        <v>526</v>
      </c>
      <c r="N100" s="382" t="s">
        <v>456</v>
      </c>
    </row>
    <row r="101" spans="1:14" ht="12.75" customHeight="1" x14ac:dyDescent="0.2">
      <c r="A101" s="195" t="s">
        <v>705</v>
      </c>
      <c r="B101" s="195" t="s">
        <v>521</v>
      </c>
      <c r="C101" s="195" t="s">
        <v>522</v>
      </c>
      <c r="D101" s="195" t="s">
        <v>652</v>
      </c>
      <c r="E101" s="195" t="s">
        <v>706</v>
      </c>
      <c r="F101" s="197" t="s">
        <v>221</v>
      </c>
      <c r="G101" s="197"/>
      <c r="H101" s="195">
        <v>2</v>
      </c>
      <c r="I101" s="195">
        <v>50</v>
      </c>
      <c r="J101" s="195">
        <v>108</v>
      </c>
      <c r="K101" s="195" t="s">
        <v>705</v>
      </c>
      <c r="L101" s="195" t="s">
        <v>526</v>
      </c>
      <c r="N101" s="382" t="s">
        <v>456</v>
      </c>
    </row>
    <row r="102" spans="1:14" ht="12.75" customHeight="1" x14ac:dyDescent="0.2">
      <c r="A102" s="195" t="s">
        <v>707</v>
      </c>
      <c r="B102" s="195" t="s">
        <v>521</v>
      </c>
      <c r="C102" s="195" t="s">
        <v>522</v>
      </c>
      <c r="D102" s="195" t="s">
        <v>655</v>
      </c>
      <c r="E102" s="195" t="s">
        <v>708</v>
      </c>
      <c r="F102" s="197" t="s">
        <v>221</v>
      </c>
      <c r="G102" s="197"/>
      <c r="H102" s="195">
        <v>2</v>
      </c>
      <c r="I102" s="195">
        <v>55</v>
      </c>
      <c r="J102" s="195">
        <v>112</v>
      </c>
      <c r="K102" s="195" t="s">
        <v>707</v>
      </c>
      <c r="L102" s="195" t="s">
        <v>526</v>
      </c>
      <c r="N102" s="382" t="s">
        <v>456</v>
      </c>
    </row>
    <row r="103" spans="1:14" ht="12.75" customHeight="1" x14ac:dyDescent="0.2">
      <c r="A103" s="195" t="s">
        <v>709</v>
      </c>
      <c r="B103" s="195" t="s">
        <v>521</v>
      </c>
      <c r="C103" s="195" t="s">
        <v>522</v>
      </c>
      <c r="D103" s="195" t="s">
        <v>658</v>
      </c>
      <c r="E103" s="195" t="s">
        <v>710</v>
      </c>
      <c r="F103" s="197" t="s">
        <v>525</v>
      </c>
      <c r="G103" s="197"/>
      <c r="H103" s="195">
        <v>2</v>
      </c>
      <c r="I103" s="195">
        <v>7</v>
      </c>
      <c r="J103" s="195">
        <v>21</v>
      </c>
      <c r="K103" s="195" t="s">
        <v>709</v>
      </c>
      <c r="L103" s="195" t="s">
        <v>526</v>
      </c>
      <c r="N103" s="382" t="s">
        <v>456</v>
      </c>
    </row>
    <row r="104" spans="1:14" ht="12.75" customHeight="1" x14ac:dyDescent="0.2">
      <c r="A104" s="195" t="s">
        <v>711</v>
      </c>
      <c r="B104" s="195" t="s">
        <v>521</v>
      </c>
      <c r="C104" s="195" t="s">
        <v>522</v>
      </c>
      <c r="D104" s="195" t="s">
        <v>661</v>
      </c>
      <c r="E104" s="195" t="s">
        <v>712</v>
      </c>
      <c r="F104" s="197" t="s">
        <v>525</v>
      </c>
      <c r="G104" s="197"/>
      <c r="H104" s="195">
        <v>2</v>
      </c>
      <c r="I104" s="195">
        <v>9</v>
      </c>
      <c r="J104" s="195">
        <v>23</v>
      </c>
      <c r="K104" s="195" t="s">
        <v>711</v>
      </c>
      <c r="L104" s="195" t="s">
        <v>526</v>
      </c>
      <c r="N104" s="382" t="s">
        <v>456</v>
      </c>
    </row>
    <row r="105" spans="1:14" ht="12.75" customHeight="1" x14ac:dyDescent="0.2">
      <c r="A105" s="195" t="s">
        <v>713</v>
      </c>
      <c r="B105" s="195" t="s">
        <v>521</v>
      </c>
      <c r="C105" s="195" t="s">
        <v>522</v>
      </c>
      <c r="D105" s="195" t="s">
        <v>714</v>
      </c>
      <c r="E105" s="195" t="s">
        <v>715</v>
      </c>
      <c r="F105" s="197" t="s">
        <v>221</v>
      </c>
      <c r="G105" s="197"/>
      <c r="H105" s="195">
        <v>3</v>
      </c>
      <c r="I105" s="195">
        <v>18</v>
      </c>
      <c r="J105" s="195">
        <v>60</v>
      </c>
      <c r="K105" s="195" t="s">
        <v>713</v>
      </c>
      <c r="L105" s="195" t="s">
        <v>526</v>
      </c>
      <c r="N105" s="382" t="s">
        <v>456</v>
      </c>
    </row>
    <row r="106" spans="1:14" ht="12.75" customHeight="1" x14ac:dyDescent="0.2">
      <c r="A106" s="195" t="s">
        <v>716</v>
      </c>
      <c r="B106" s="195" t="s">
        <v>521</v>
      </c>
      <c r="C106" s="195" t="s">
        <v>522</v>
      </c>
      <c r="D106" s="195" t="s">
        <v>717</v>
      </c>
      <c r="E106" s="195" t="s">
        <v>718</v>
      </c>
      <c r="F106" s="197" t="s">
        <v>221</v>
      </c>
      <c r="G106" s="197"/>
      <c r="H106" s="195">
        <v>3</v>
      </c>
      <c r="I106" s="195">
        <v>26</v>
      </c>
      <c r="J106" s="195">
        <v>82</v>
      </c>
      <c r="K106" s="195" t="s">
        <v>716</v>
      </c>
      <c r="L106" s="195" t="s">
        <v>526</v>
      </c>
      <c r="N106" s="382" t="s">
        <v>456</v>
      </c>
    </row>
    <row r="107" spans="1:14" ht="12.75" customHeight="1" x14ac:dyDescent="0.2">
      <c r="A107" s="195" t="s">
        <v>719</v>
      </c>
      <c r="B107" s="195" t="s">
        <v>521</v>
      </c>
      <c r="C107" s="195" t="s">
        <v>522</v>
      </c>
      <c r="D107" s="195" t="s">
        <v>720</v>
      </c>
      <c r="E107" s="195" t="s">
        <v>721</v>
      </c>
      <c r="F107" s="197" t="s">
        <v>221</v>
      </c>
      <c r="G107" s="197"/>
      <c r="H107" s="195">
        <v>3</v>
      </c>
      <c r="I107" s="195">
        <v>32</v>
      </c>
      <c r="J107" s="195">
        <v>114</v>
      </c>
      <c r="K107" s="195" t="s">
        <v>719</v>
      </c>
      <c r="L107" s="195" t="s">
        <v>526</v>
      </c>
      <c r="N107" s="382" t="s">
        <v>456</v>
      </c>
    </row>
    <row r="108" spans="1:14" ht="12.75" customHeight="1" x14ac:dyDescent="0.2">
      <c r="A108" s="195" t="s">
        <v>722</v>
      </c>
      <c r="B108" s="195" t="s">
        <v>521</v>
      </c>
      <c r="C108" s="195" t="s">
        <v>522</v>
      </c>
      <c r="D108" s="195" t="s">
        <v>552</v>
      </c>
      <c r="E108" s="195" t="s">
        <v>723</v>
      </c>
      <c r="F108" s="197" t="s">
        <v>221</v>
      </c>
      <c r="G108" s="197"/>
      <c r="H108" s="195">
        <v>3</v>
      </c>
      <c r="I108" s="195">
        <v>42</v>
      </c>
      <c r="J108" s="195">
        <v>141</v>
      </c>
      <c r="K108" s="195" t="s">
        <v>722</v>
      </c>
      <c r="L108" s="195" t="s">
        <v>526</v>
      </c>
      <c r="N108" s="382" t="s">
        <v>456</v>
      </c>
    </row>
    <row r="109" spans="1:14" ht="12.75" customHeight="1" x14ac:dyDescent="0.2">
      <c r="A109" s="195" t="s">
        <v>724</v>
      </c>
      <c r="B109" s="195" t="s">
        <v>521</v>
      </c>
      <c r="C109" s="195" t="s">
        <v>522</v>
      </c>
      <c r="D109" s="195" t="s">
        <v>558</v>
      </c>
      <c r="E109" s="195" t="s">
        <v>725</v>
      </c>
      <c r="F109" s="197" t="s">
        <v>525</v>
      </c>
      <c r="G109" s="197"/>
      <c r="H109" s="195">
        <v>3</v>
      </c>
      <c r="I109" s="195">
        <v>13</v>
      </c>
      <c r="J109" s="195">
        <v>48</v>
      </c>
      <c r="K109" s="195" t="s">
        <v>724</v>
      </c>
      <c r="L109" s="195" t="s">
        <v>526</v>
      </c>
      <c r="N109" s="382" t="s">
        <v>456</v>
      </c>
    </row>
    <row r="110" spans="1:14" ht="12.75" customHeight="1" x14ac:dyDescent="0.2">
      <c r="A110" s="195" t="s">
        <v>726</v>
      </c>
      <c r="B110" s="195" t="s">
        <v>521</v>
      </c>
      <c r="C110" s="195" t="s">
        <v>522</v>
      </c>
      <c r="D110" s="195" t="s">
        <v>576</v>
      </c>
      <c r="E110" s="195" t="s">
        <v>727</v>
      </c>
      <c r="F110" s="197" t="s">
        <v>525</v>
      </c>
      <c r="G110" s="197"/>
      <c r="H110" s="195">
        <v>3</v>
      </c>
      <c r="I110" s="195">
        <v>22</v>
      </c>
      <c r="J110" s="195">
        <v>72</v>
      </c>
      <c r="K110" s="195" t="s">
        <v>726</v>
      </c>
      <c r="L110" s="195" t="s">
        <v>526</v>
      </c>
      <c r="N110" s="382" t="s">
        <v>456</v>
      </c>
    </row>
    <row r="111" spans="1:14" ht="12.75" customHeight="1" x14ac:dyDescent="0.2">
      <c r="A111" s="195" t="s">
        <v>728</v>
      </c>
      <c r="B111" s="195" t="s">
        <v>521</v>
      </c>
      <c r="C111" s="195" t="s">
        <v>522</v>
      </c>
      <c r="D111" s="195" t="s">
        <v>582</v>
      </c>
      <c r="E111" s="195" t="s">
        <v>729</v>
      </c>
      <c r="F111" s="197" t="s">
        <v>525</v>
      </c>
      <c r="G111" s="197"/>
      <c r="H111" s="195">
        <v>3</v>
      </c>
      <c r="I111" s="195">
        <v>26</v>
      </c>
      <c r="J111" s="195">
        <v>99</v>
      </c>
      <c r="K111" s="195" t="s">
        <v>728</v>
      </c>
      <c r="L111" s="195" t="s">
        <v>526</v>
      </c>
      <c r="N111" s="382" t="s">
        <v>456</v>
      </c>
    </row>
    <row r="112" spans="1:14" ht="12.75" customHeight="1" x14ac:dyDescent="0.2">
      <c r="A112" s="195" t="s">
        <v>730</v>
      </c>
      <c r="B112" s="195" t="s">
        <v>521</v>
      </c>
      <c r="C112" s="195" t="s">
        <v>522</v>
      </c>
      <c r="D112" s="195" t="s">
        <v>620</v>
      </c>
      <c r="E112" s="195" t="s">
        <v>731</v>
      </c>
      <c r="F112" s="197" t="s">
        <v>525</v>
      </c>
      <c r="G112" s="197"/>
      <c r="H112" s="195">
        <v>3</v>
      </c>
      <c r="I112" s="195">
        <v>13</v>
      </c>
      <c r="J112" s="195">
        <v>48</v>
      </c>
      <c r="K112" s="195" t="s">
        <v>730</v>
      </c>
      <c r="L112" s="195" t="s">
        <v>526</v>
      </c>
      <c r="N112" s="382" t="s">
        <v>456</v>
      </c>
    </row>
    <row r="113" spans="1:14" ht="12.75" customHeight="1" x14ac:dyDescent="0.2">
      <c r="A113" s="195" t="s">
        <v>732</v>
      </c>
      <c r="B113" s="195" t="s">
        <v>521</v>
      </c>
      <c r="C113" s="195" t="s">
        <v>522</v>
      </c>
      <c r="D113" s="195" t="s">
        <v>641</v>
      </c>
      <c r="E113" s="195" t="s">
        <v>733</v>
      </c>
      <c r="F113" s="197" t="s">
        <v>525</v>
      </c>
      <c r="G113" s="197"/>
      <c r="H113" s="195">
        <v>3</v>
      </c>
      <c r="I113" s="195">
        <v>40</v>
      </c>
      <c r="J113" s="195">
        <v>133</v>
      </c>
      <c r="K113" s="195" t="s">
        <v>732</v>
      </c>
      <c r="L113" s="195" t="s">
        <v>526</v>
      </c>
      <c r="N113" s="382" t="s">
        <v>456</v>
      </c>
    </row>
    <row r="114" spans="1:14" ht="12.75" customHeight="1" x14ac:dyDescent="0.2">
      <c r="A114" s="195" t="s">
        <v>734</v>
      </c>
      <c r="B114" s="195" t="s">
        <v>521</v>
      </c>
      <c r="C114" s="195" t="s">
        <v>522</v>
      </c>
      <c r="D114" s="195" t="s">
        <v>641</v>
      </c>
      <c r="E114" s="195" t="s">
        <v>735</v>
      </c>
      <c r="F114" s="197" t="s">
        <v>221</v>
      </c>
      <c r="G114" s="197"/>
      <c r="H114" s="195">
        <v>3</v>
      </c>
      <c r="I114" s="195">
        <v>40</v>
      </c>
      <c r="J114" s="195">
        <v>102</v>
      </c>
      <c r="K114" s="195" t="s">
        <v>734</v>
      </c>
      <c r="L114" s="195" t="s">
        <v>526</v>
      </c>
      <c r="N114" s="382" t="s">
        <v>456</v>
      </c>
    </row>
    <row r="115" spans="1:14" ht="12.75" customHeight="1" x14ac:dyDescent="0.2">
      <c r="A115" s="195" t="s">
        <v>736</v>
      </c>
      <c r="B115" s="195" t="s">
        <v>521</v>
      </c>
      <c r="C115" s="195" t="s">
        <v>522</v>
      </c>
      <c r="D115" s="195" t="s">
        <v>641</v>
      </c>
      <c r="E115" s="195" t="s">
        <v>737</v>
      </c>
      <c r="F115" s="197" t="s">
        <v>221</v>
      </c>
      <c r="G115" s="197"/>
      <c r="H115" s="195">
        <v>3</v>
      </c>
      <c r="I115" s="195">
        <v>40</v>
      </c>
      <c r="J115" s="195">
        <v>105</v>
      </c>
      <c r="K115" s="195" t="s">
        <v>736</v>
      </c>
      <c r="L115" s="195" t="s">
        <v>526</v>
      </c>
      <c r="N115" s="382" t="s">
        <v>456</v>
      </c>
    </row>
    <row r="116" spans="1:14" ht="12.75" customHeight="1" x14ac:dyDescent="0.2">
      <c r="A116" s="195" t="s">
        <v>738</v>
      </c>
      <c r="B116" s="195" t="s">
        <v>521</v>
      </c>
      <c r="C116" s="195" t="s">
        <v>522</v>
      </c>
      <c r="D116" s="195" t="s">
        <v>652</v>
      </c>
      <c r="E116" s="195" t="s">
        <v>739</v>
      </c>
      <c r="F116" s="197" t="s">
        <v>221</v>
      </c>
      <c r="G116" s="197"/>
      <c r="H116" s="195">
        <v>3</v>
      </c>
      <c r="I116" s="195">
        <v>50</v>
      </c>
      <c r="J116" s="195">
        <v>162</v>
      </c>
      <c r="K116" s="195" t="s">
        <v>738</v>
      </c>
      <c r="L116" s="195" t="s">
        <v>526</v>
      </c>
      <c r="N116" s="382" t="s">
        <v>456</v>
      </c>
    </row>
    <row r="117" spans="1:14" ht="12.75" customHeight="1" x14ac:dyDescent="0.2">
      <c r="A117" s="195" t="s">
        <v>740</v>
      </c>
      <c r="B117" s="195" t="s">
        <v>521</v>
      </c>
      <c r="C117" s="195" t="s">
        <v>522</v>
      </c>
      <c r="D117" s="195" t="s">
        <v>655</v>
      </c>
      <c r="E117" s="195" t="s">
        <v>741</v>
      </c>
      <c r="F117" s="197" t="s">
        <v>221</v>
      </c>
      <c r="G117" s="197"/>
      <c r="H117" s="195">
        <v>3</v>
      </c>
      <c r="I117" s="195">
        <v>55</v>
      </c>
      <c r="J117" s="195">
        <v>168</v>
      </c>
      <c r="K117" s="195" t="s">
        <v>740</v>
      </c>
      <c r="L117" s="195" t="s">
        <v>526</v>
      </c>
      <c r="N117" s="382" t="s">
        <v>456</v>
      </c>
    </row>
    <row r="118" spans="1:14" ht="12.75" customHeight="1" x14ac:dyDescent="0.2">
      <c r="A118" s="195" t="s">
        <v>742</v>
      </c>
      <c r="B118" s="195" t="s">
        <v>521</v>
      </c>
      <c r="C118" s="195" t="s">
        <v>522</v>
      </c>
      <c r="D118" s="195" t="s">
        <v>661</v>
      </c>
      <c r="E118" s="195" t="s">
        <v>743</v>
      </c>
      <c r="F118" s="197" t="s">
        <v>525</v>
      </c>
      <c r="G118" s="197"/>
      <c r="H118" s="195">
        <v>3</v>
      </c>
      <c r="I118" s="195">
        <v>9</v>
      </c>
      <c r="J118" s="195">
        <v>34</v>
      </c>
      <c r="K118" s="195" t="s">
        <v>742</v>
      </c>
      <c r="L118" s="195" t="s">
        <v>526</v>
      </c>
      <c r="N118" s="382" t="s">
        <v>456</v>
      </c>
    </row>
    <row r="119" spans="1:14" ht="12.75" customHeight="1" x14ac:dyDescent="0.2">
      <c r="A119" s="195" t="s">
        <v>744</v>
      </c>
      <c r="B119" s="195" t="s">
        <v>521</v>
      </c>
      <c r="C119" s="195" t="s">
        <v>522</v>
      </c>
      <c r="D119" s="195" t="s">
        <v>717</v>
      </c>
      <c r="E119" s="195" t="s">
        <v>745</v>
      </c>
      <c r="F119" s="197" t="s">
        <v>221</v>
      </c>
      <c r="G119" s="197"/>
      <c r="H119" s="195">
        <v>4</v>
      </c>
      <c r="I119" s="195">
        <v>26</v>
      </c>
      <c r="J119" s="195">
        <v>108</v>
      </c>
      <c r="K119" s="195" t="s">
        <v>744</v>
      </c>
      <c r="L119" s="195" t="s">
        <v>526</v>
      </c>
      <c r="N119" s="382" t="s">
        <v>456</v>
      </c>
    </row>
    <row r="120" spans="1:14" ht="12.75" customHeight="1" x14ac:dyDescent="0.2">
      <c r="A120" s="195" t="s">
        <v>746</v>
      </c>
      <c r="B120" s="195" t="s">
        <v>521</v>
      </c>
      <c r="C120" s="195" t="s">
        <v>522</v>
      </c>
      <c r="D120" s="195" t="s">
        <v>720</v>
      </c>
      <c r="E120" s="195" t="s">
        <v>747</v>
      </c>
      <c r="F120" s="197" t="s">
        <v>221</v>
      </c>
      <c r="G120" s="197"/>
      <c r="H120" s="195">
        <v>4</v>
      </c>
      <c r="I120" s="195">
        <v>32</v>
      </c>
      <c r="J120" s="195">
        <v>152</v>
      </c>
      <c r="K120" s="195" t="s">
        <v>746</v>
      </c>
      <c r="L120" s="195" t="s">
        <v>526</v>
      </c>
      <c r="N120" s="382" t="s">
        <v>456</v>
      </c>
    </row>
    <row r="121" spans="1:14" ht="12.75" customHeight="1" x14ac:dyDescent="0.2">
      <c r="A121" s="195" t="s">
        <v>748</v>
      </c>
      <c r="B121" s="195" t="s">
        <v>521</v>
      </c>
      <c r="C121" s="195" t="s">
        <v>522</v>
      </c>
      <c r="D121" s="195" t="s">
        <v>552</v>
      </c>
      <c r="E121" s="195" t="s">
        <v>749</v>
      </c>
      <c r="F121" s="197" t="s">
        <v>221</v>
      </c>
      <c r="G121" s="197"/>
      <c r="H121" s="195">
        <v>4</v>
      </c>
      <c r="I121" s="195">
        <v>42</v>
      </c>
      <c r="J121" s="195">
        <v>188</v>
      </c>
      <c r="K121" s="195" t="s">
        <v>748</v>
      </c>
      <c r="L121" s="195" t="s">
        <v>526</v>
      </c>
      <c r="N121" s="382" t="s">
        <v>456</v>
      </c>
    </row>
    <row r="122" spans="1:14" ht="12.75" customHeight="1" x14ac:dyDescent="0.2">
      <c r="A122" s="195" t="s">
        <v>750</v>
      </c>
      <c r="B122" s="195" t="s">
        <v>521</v>
      </c>
      <c r="C122" s="195" t="s">
        <v>522</v>
      </c>
      <c r="D122" s="195" t="s">
        <v>569</v>
      </c>
      <c r="E122" s="195" t="s">
        <v>751</v>
      </c>
      <c r="F122" s="197" t="s">
        <v>525</v>
      </c>
      <c r="G122" s="197"/>
      <c r="H122" s="195">
        <v>4</v>
      </c>
      <c r="I122" s="195">
        <v>18</v>
      </c>
      <c r="J122" s="195">
        <v>90</v>
      </c>
      <c r="K122" s="195" t="s">
        <v>750</v>
      </c>
      <c r="L122" s="195" t="s">
        <v>526</v>
      </c>
      <c r="N122" s="382" t="s">
        <v>456</v>
      </c>
    </row>
    <row r="123" spans="1:14" ht="12.75" customHeight="1" x14ac:dyDescent="0.2">
      <c r="A123" s="195" t="s">
        <v>752</v>
      </c>
      <c r="B123" s="195" t="s">
        <v>521</v>
      </c>
      <c r="C123" s="195" t="s">
        <v>522</v>
      </c>
      <c r="D123" s="195" t="s">
        <v>626</v>
      </c>
      <c r="E123" s="195" t="s">
        <v>753</v>
      </c>
      <c r="F123" s="197" t="s">
        <v>525</v>
      </c>
      <c r="G123" s="197"/>
      <c r="H123" s="195">
        <v>4</v>
      </c>
      <c r="I123" s="195">
        <v>22</v>
      </c>
      <c r="J123" s="195">
        <v>108</v>
      </c>
      <c r="K123" s="195" t="s">
        <v>752</v>
      </c>
      <c r="L123" s="195" t="s">
        <v>526</v>
      </c>
      <c r="N123" s="382" t="s">
        <v>456</v>
      </c>
    </row>
    <row r="124" spans="1:14" ht="12.75" customHeight="1" x14ac:dyDescent="0.2">
      <c r="A124" s="195" t="s">
        <v>754</v>
      </c>
      <c r="B124" s="195" t="s">
        <v>521</v>
      </c>
      <c r="C124" s="195" t="s">
        <v>522</v>
      </c>
      <c r="D124" s="195" t="s">
        <v>638</v>
      </c>
      <c r="E124" s="195" t="s">
        <v>755</v>
      </c>
      <c r="F124" s="197" t="s">
        <v>221</v>
      </c>
      <c r="G124" s="197"/>
      <c r="H124" s="195">
        <v>4</v>
      </c>
      <c r="I124" s="195">
        <v>36</v>
      </c>
      <c r="J124" s="195">
        <v>148</v>
      </c>
      <c r="K124" s="195" t="s">
        <v>754</v>
      </c>
      <c r="L124" s="195" t="s">
        <v>526</v>
      </c>
      <c r="N124" s="382" t="s">
        <v>456</v>
      </c>
    </row>
    <row r="125" spans="1:14" ht="12.75" customHeight="1" x14ac:dyDescent="0.2">
      <c r="A125" s="195" t="s">
        <v>756</v>
      </c>
      <c r="B125" s="195" t="s">
        <v>521</v>
      </c>
      <c r="C125" s="195" t="s">
        <v>522</v>
      </c>
      <c r="D125" s="195" t="s">
        <v>641</v>
      </c>
      <c r="E125" s="195" t="s">
        <v>757</v>
      </c>
      <c r="F125" s="197" t="s">
        <v>221</v>
      </c>
      <c r="G125" s="197"/>
      <c r="H125" s="195">
        <v>4</v>
      </c>
      <c r="I125" s="195">
        <v>40</v>
      </c>
      <c r="J125" s="195">
        <v>144</v>
      </c>
      <c r="K125" s="195" t="s">
        <v>756</v>
      </c>
      <c r="L125" s="195" t="s">
        <v>526</v>
      </c>
      <c r="N125" s="382" t="s">
        <v>456</v>
      </c>
    </row>
    <row r="126" spans="1:14" ht="12.75" customHeight="1" x14ac:dyDescent="0.2">
      <c r="A126" s="195" t="s">
        <v>758</v>
      </c>
      <c r="B126" s="195" t="s">
        <v>521</v>
      </c>
      <c r="C126" s="195" t="s">
        <v>522</v>
      </c>
      <c r="D126" s="195" t="s">
        <v>652</v>
      </c>
      <c r="E126" s="195" t="s">
        <v>759</v>
      </c>
      <c r="F126" s="197" t="s">
        <v>221</v>
      </c>
      <c r="G126" s="197"/>
      <c r="H126" s="195">
        <v>4</v>
      </c>
      <c r="I126" s="195">
        <v>50</v>
      </c>
      <c r="J126" s="195">
        <v>216</v>
      </c>
      <c r="K126" s="195" t="s">
        <v>758</v>
      </c>
      <c r="L126" s="195" t="s">
        <v>526</v>
      </c>
      <c r="N126" s="382" t="s">
        <v>456</v>
      </c>
    </row>
    <row r="127" spans="1:14" ht="12.75" customHeight="1" x14ac:dyDescent="0.2">
      <c r="A127" s="195" t="s">
        <v>760</v>
      </c>
      <c r="B127" s="195" t="s">
        <v>521</v>
      </c>
      <c r="C127" s="195" t="s">
        <v>522</v>
      </c>
      <c r="D127" s="195" t="s">
        <v>655</v>
      </c>
      <c r="E127" s="195" t="s">
        <v>761</v>
      </c>
      <c r="F127" s="197" t="s">
        <v>221</v>
      </c>
      <c r="G127" s="197"/>
      <c r="H127" s="195">
        <v>4</v>
      </c>
      <c r="I127" s="195">
        <v>55</v>
      </c>
      <c r="J127" s="195">
        <v>224</v>
      </c>
      <c r="K127" s="195" t="s">
        <v>760</v>
      </c>
      <c r="L127" s="195" t="s">
        <v>526</v>
      </c>
      <c r="N127" s="382" t="s">
        <v>456</v>
      </c>
    </row>
    <row r="128" spans="1:14" ht="12.75" customHeight="1" x14ac:dyDescent="0.2">
      <c r="A128" s="195" t="s">
        <v>762</v>
      </c>
      <c r="B128" s="195" t="s">
        <v>521</v>
      </c>
      <c r="C128" s="195" t="s">
        <v>522</v>
      </c>
      <c r="D128" s="195" t="s">
        <v>641</v>
      </c>
      <c r="E128" s="195" t="s">
        <v>763</v>
      </c>
      <c r="F128" s="197" t="s">
        <v>221</v>
      </c>
      <c r="G128" s="197"/>
      <c r="H128" s="195">
        <v>5</v>
      </c>
      <c r="I128" s="195">
        <v>40</v>
      </c>
      <c r="J128" s="195">
        <v>190</v>
      </c>
      <c r="K128" s="195" t="s">
        <v>762</v>
      </c>
      <c r="L128" s="195" t="s">
        <v>526</v>
      </c>
      <c r="N128" s="382" t="s">
        <v>456</v>
      </c>
    </row>
    <row r="129" spans="1:14" ht="12.75" customHeight="1" x14ac:dyDescent="0.2">
      <c r="A129" s="195" t="s">
        <v>764</v>
      </c>
      <c r="B129" s="195" t="s">
        <v>521</v>
      </c>
      <c r="C129" s="195" t="s">
        <v>522</v>
      </c>
      <c r="D129" s="195" t="s">
        <v>652</v>
      </c>
      <c r="E129" s="195" t="s">
        <v>765</v>
      </c>
      <c r="F129" s="197" t="s">
        <v>221</v>
      </c>
      <c r="G129" s="197"/>
      <c r="H129" s="195">
        <v>5</v>
      </c>
      <c r="I129" s="195">
        <v>50</v>
      </c>
      <c r="J129" s="195">
        <v>270</v>
      </c>
      <c r="K129" s="195" t="s">
        <v>764</v>
      </c>
      <c r="L129" s="195" t="s">
        <v>526</v>
      </c>
      <c r="N129" s="382" t="s">
        <v>456</v>
      </c>
    </row>
    <row r="130" spans="1:14" ht="12.75" customHeight="1" x14ac:dyDescent="0.2">
      <c r="A130" s="195" t="s">
        <v>766</v>
      </c>
      <c r="B130" s="195" t="s">
        <v>521</v>
      </c>
      <c r="C130" s="195" t="s">
        <v>522</v>
      </c>
      <c r="D130" s="195" t="s">
        <v>655</v>
      </c>
      <c r="E130" s="195" t="s">
        <v>767</v>
      </c>
      <c r="F130" s="197" t="s">
        <v>221</v>
      </c>
      <c r="G130" s="197"/>
      <c r="H130" s="195">
        <v>5</v>
      </c>
      <c r="I130" s="195">
        <v>55</v>
      </c>
      <c r="J130" s="195">
        <v>280</v>
      </c>
      <c r="K130" s="195" t="s">
        <v>766</v>
      </c>
      <c r="L130" s="195" t="s">
        <v>526</v>
      </c>
      <c r="N130" s="382" t="s">
        <v>456</v>
      </c>
    </row>
    <row r="131" spans="1:14" ht="12.75" customHeight="1" x14ac:dyDescent="0.2">
      <c r="A131" s="195" t="s">
        <v>768</v>
      </c>
      <c r="B131" s="195" t="s">
        <v>521</v>
      </c>
      <c r="C131" s="195" t="s">
        <v>522</v>
      </c>
      <c r="D131" s="195" t="s">
        <v>717</v>
      </c>
      <c r="E131" s="195" t="s">
        <v>769</v>
      </c>
      <c r="F131" s="197" t="s">
        <v>221</v>
      </c>
      <c r="G131" s="197"/>
      <c r="H131" s="195">
        <v>6</v>
      </c>
      <c r="I131" s="195">
        <v>26</v>
      </c>
      <c r="J131" s="195">
        <v>162</v>
      </c>
      <c r="K131" s="195" t="s">
        <v>768</v>
      </c>
      <c r="L131" s="195" t="s">
        <v>526</v>
      </c>
      <c r="N131" s="382" t="s">
        <v>456</v>
      </c>
    </row>
    <row r="132" spans="1:14" ht="12.75" customHeight="1" x14ac:dyDescent="0.2">
      <c r="A132" s="195" t="s">
        <v>770</v>
      </c>
      <c r="B132" s="195" t="s">
        <v>521</v>
      </c>
      <c r="C132" s="195" t="s">
        <v>522</v>
      </c>
      <c r="D132" s="195" t="s">
        <v>720</v>
      </c>
      <c r="E132" s="195" t="s">
        <v>771</v>
      </c>
      <c r="F132" s="197" t="s">
        <v>221</v>
      </c>
      <c r="G132" s="197"/>
      <c r="H132" s="195">
        <v>6</v>
      </c>
      <c r="I132" s="195">
        <v>32</v>
      </c>
      <c r="J132" s="195">
        <v>228</v>
      </c>
      <c r="K132" s="195" t="s">
        <v>770</v>
      </c>
      <c r="L132" s="195" t="s">
        <v>526</v>
      </c>
      <c r="N132" s="382" t="s">
        <v>456</v>
      </c>
    </row>
    <row r="133" spans="1:14" ht="12.75" customHeight="1" x14ac:dyDescent="0.2">
      <c r="A133" s="195" t="s">
        <v>772</v>
      </c>
      <c r="B133" s="195" t="s">
        <v>521</v>
      </c>
      <c r="C133" s="195" t="s">
        <v>522</v>
      </c>
      <c r="D133" s="195" t="s">
        <v>552</v>
      </c>
      <c r="E133" s="195" t="s">
        <v>773</v>
      </c>
      <c r="F133" s="197" t="s">
        <v>221</v>
      </c>
      <c r="G133" s="197"/>
      <c r="H133" s="195">
        <v>6</v>
      </c>
      <c r="I133" s="195">
        <v>42</v>
      </c>
      <c r="J133" s="195">
        <v>282</v>
      </c>
      <c r="K133" s="195" t="s">
        <v>772</v>
      </c>
      <c r="L133" s="195" t="s">
        <v>526</v>
      </c>
      <c r="N133" s="382" t="s">
        <v>456</v>
      </c>
    </row>
    <row r="134" spans="1:14" ht="12.75" customHeight="1" x14ac:dyDescent="0.2">
      <c r="A134" s="195" t="s">
        <v>774</v>
      </c>
      <c r="B134" s="195" t="s">
        <v>521</v>
      </c>
      <c r="C134" s="195" t="s">
        <v>522</v>
      </c>
      <c r="D134" s="195" t="s">
        <v>582</v>
      </c>
      <c r="E134" s="195" t="s">
        <v>775</v>
      </c>
      <c r="F134" s="197" t="s">
        <v>221</v>
      </c>
      <c r="G134" s="197"/>
      <c r="H134" s="195">
        <v>6</v>
      </c>
      <c r="I134" s="195">
        <v>26</v>
      </c>
      <c r="J134" s="195">
        <v>150</v>
      </c>
      <c r="K134" s="195" t="s">
        <v>774</v>
      </c>
      <c r="L134" s="195" t="s">
        <v>526</v>
      </c>
      <c r="N134" s="382" t="s">
        <v>456</v>
      </c>
    </row>
    <row r="135" spans="1:14" ht="12.75" customHeight="1" x14ac:dyDescent="0.2">
      <c r="A135" s="195" t="s">
        <v>776</v>
      </c>
      <c r="B135" s="195" t="s">
        <v>521</v>
      </c>
      <c r="C135" s="195" t="s">
        <v>522</v>
      </c>
      <c r="D135" s="195" t="s">
        <v>635</v>
      </c>
      <c r="E135" s="195" t="s">
        <v>777</v>
      </c>
      <c r="F135" s="197" t="s">
        <v>221</v>
      </c>
      <c r="G135" s="197"/>
      <c r="H135" s="195">
        <v>6</v>
      </c>
      <c r="I135" s="195">
        <v>32</v>
      </c>
      <c r="J135" s="195">
        <v>186</v>
      </c>
      <c r="K135" s="195" t="s">
        <v>776</v>
      </c>
      <c r="L135" s="195" t="s">
        <v>526</v>
      </c>
      <c r="N135" s="382" t="s">
        <v>456</v>
      </c>
    </row>
    <row r="136" spans="1:14" ht="12.75" customHeight="1" x14ac:dyDescent="0.2">
      <c r="A136" s="195" t="s">
        <v>778</v>
      </c>
      <c r="B136" s="195" t="s">
        <v>521</v>
      </c>
      <c r="C136" s="195" t="s">
        <v>522</v>
      </c>
      <c r="D136" s="195" t="s">
        <v>638</v>
      </c>
      <c r="E136" s="195" t="s">
        <v>779</v>
      </c>
      <c r="F136" s="197" t="s">
        <v>221</v>
      </c>
      <c r="G136" s="197"/>
      <c r="H136" s="195">
        <v>6</v>
      </c>
      <c r="I136" s="195">
        <v>36</v>
      </c>
      <c r="J136" s="195">
        <v>212</v>
      </c>
      <c r="K136" s="195" t="s">
        <v>778</v>
      </c>
      <c r="L136" s="195" t="s">
        <v>526</v>
      </c>
      <c r="N136" s="382" t="s">
        <v>456</v>
      </c>
    </row>
    <row r="137" spans="1:14" ht="12.75" customHeight="1" x14ac:dyDescent="0.2">
      <c r="A137" s="195" t="s">
        <v>780</v>
      </c>
      <c r="B137" s="195" t="s">
        <v>521</v>
      </c>
      <c r="C137" s="195" t="s">
        <v>522</v>
      </c>
      <c r="D137" s="195" t="s">
        <v>638</v>
      </c>
      <c r="E137" s="195" t="s">
        <v>781</v>
      </c>
      <c r="F137" s="197" t="s">
        <v>221</v>
      </c>
      <c r="G137" s="197"/>
      <c r="H137" s="195">
        <v>6</v>
      </c>
      <c r="I137" s="195">
        <v>36</v>
      </c>
      <c r="J137" s="195">
        <v>198</v>
      </c>
      <c r="K137" s="195" t="s">
        <v>780</v>
      </c>
      <c r="L137" s="195" t="s">
        <v>526</v>
      </c>
      <c r="N137" s="382" t="s">
        <v>456</v>
      </c>
    </row>
    <row r="138" spans="1:14" ht="12.75" customHeight="1" x14ac:dyDescent="0.2">
      <c r="A138" s="195" t="s">
        <v>782</v>
      </c>
      <c r="B138" s="195" t="s">
        <v>521</v>
      </c>
      <c r="C138" s="195" t="s">
        <v>522</v>
      </c>
      <c r="D138" s="195" t="s">
        <v>638</v>
      </c>
      <c r="E138" s="195" t="s">
        <v>783</v>
      </c>
      <c r="F138" s="197" t="s">
        <v>221</v>
      </c>
      <c r="G138" s="197"/>
      <c r="H138" s="195">
        <v>6</v>
      </c>
      <c r="I138" s="195">
        <v>36</v>
      </c>
      <c r="J138" s="195">
        <v>210</v>
      </c>
      <c r="K138" s="195" t="s">
        <v>782</v>
      </c>
      <c r="L138" s="195" t="s">
        <v>526</v>
      </c>
      <c r="N138" s="382" t="s">
        <v>456</v>
      </c>
    </row>
    <row r="139" spans="1:14" ht="12.75" customHeight="1" x14ac:dyDescent="0.2">
      <c r="A139" s="195" t="s">
        <v>784</v>
      </c>
      <c r="B139" s="195" t="s">
        <v>521</v>
      </c>
      <c r="C139" s="195" t="s">
        <v>522</v>
      </c>
      <c r="D139" s="195" t="s">
        <v>641</v>
      </c>
      <c r="E139" s="195" t="s">
        <v>785</v>
      </c>
      <c r="F139" s="197" t="s">
        <v>221</v>
      </c>
      <c r="G139" s="197"/>
      <c r="H139" s="195">
        <v>6</v>
      </c>
      <c r="I139" s="195">
        <v>40</v>
      </c>
      <c r="J139" s="195">
        <v>204</v>
      </c>
      <c r="K139" s="195" t="s">
        <v>784</v>
      </c>
      <c r="L139" s="195" t="s">
        <v>526</v>
      </c>
      <c r="N139" s="382" t="s">
        <v>456</v>
      </c>
    </row>
    <row r="140" spans="1:14" ht="12.75" customHeight="1" x14ac:dyDescent="0.2">
      <c r="A140" s="195" t="s">
        <v>786</v>
      </c>
      <c r="B140" s="195" t="s">
        <v>521</v>
      </c>
      <c r="C140" s="195" t="s">
        <v>522</v>
      </c>
      <c r="D140" s="195" t="s">
        <v>641</v>
      </c>
      <c r="E140" s="195" t="s">
        <v>787</v>
      </c>
      <c r="F140" s="197" t="s">
        <v>221</v>
      </c>
      <c r="G140" s="197"/>
      <c r="H140" s="195">
        <v>6</v>
      </c>
      <c r="I140" s="195">
        <v>40</v>
      </c>
      <c r="J140" s="195">
        <v>220</v>
      </c>
      <c r="K140" s="195" t="s">
        <v>786</v>
      </c>
      <c r="L140" s="195" t="s">
        <v>526</v>
      </c>
      <c r="N140" s="382" t="s">
        <v>456</v>
      </c>
    </row>
    <row r="141" spans="1:14" ht="12.75" customHeight="1" x14ac:dyDescent="0.2">
      <c r="A141" s="195" t="s">
        <v>788</v>
      </c>
      <c r="B141" s="195" t="s">
        <v>521</v>
      </c>
      <c r="C141" s="195" t="s">
        <v>522</v>
      </c>
      <c r="D141" s="195" t="s">
        <v>641</v>
      </c>
      <c r="E141" s="195" t="s">
        <v>789</v>
      </c>
      <c r="F141" s="197" t="s">
        <v>221</v>
      </c>
      <c r="G141" s="197"/>
      <c r="H141" s="195">
        <v>6</v>
      </c>
      <c r="I141" s="195">
        <v>40</v>
      </c>
      <c r="J141" s="195">
        <v>233</v>
      </c>
      <c r="K141" s="195" t="s">
        <v>788</v>
      </c>
      <c r="L141" s="195" t="s">
        <v>526</v>
      </c>
      <c r="N141" s="382" t="s">
        <v>456</v>
      </c>
    </row>
    <row r="142" spans="1:14" ht="12.75" customHeight="1" x14ac:dyDescent="0.2">
      <c r="A142" s="195" t="s">
        <v>790</v>
      </c>
      <c r="B142" s="195" t="s">
        <v>521</v>
      </c>
      <c r="C142" s="195" t="s">
        <v>522</v>
      </c>
      <c r="D142" s="195" t="s">
        <v>652</v>
      </c>
      <c r="E142" s="195" t="s">
        <v>791</v>
      </c>
      <c r="F142" s="197" t="s">
        <v>221</v>
      </c>
      <c r="G142" s="197"/>
      <c r="H142" s="195">
        <v>6</v>
      </c>
      <c r="I142" s="195">
        <v>50</v>
      </c>
      <c r="J142" s="195">
        <v>324</v>
      </c>
      <c r="K142" s="195" t="s">
        <v>790</v>
      </c>
      <c r="L142" s="195" t="s">
        <v>526</v>
      </c>
      <c r="N142" s="382" t="s">
        <v>456</v>
      </c>
    </row>
    <row r="143" spans="1:14" ht="12.75" customHeight="1" x14ac:dyDescent="0.2">
      <c r="A143" s="195" t="s">
        <v>792</v>
      </c>
      <c r="B143" s="195" t="s">
        <v>521</v>
      </c>
      <c r="C143" s="195" t="s">
        <v>522</v>
      </c>
      <c r="D143" s="195" t="s">
        <v>655</v>
      </c>
      <c r="E143" s="195" t="s">
        <v>793</v>
      </c>
      <c r="F143" s="197" t="s">
        <v>221</v>
      </c>
      <c r="G143" s="197"/>
      <c r="H143" s="195">
        <v>6</v>
      </c>
      <c r="I143" s="195">
        <v>55</v>
      </c>
      <c r="J143" s="195">
        <v>336</v>
      </c>
      <c r="K143" s="195" t="s">
        <v>792</v>
      </c>
      <c r="L143" s="195" t="s">
        <v>526</v>
      </c>
      <c r="N143" s="382" t="s">
        <v>456</v>
      </c>
    </row>
    <row r="144" spans="1:14" ht="12.75" customHeight="1" x14ac:dyDescent="0.2">
      <c r="A144" s="195" t="s">
        <v>794</v>
      </c>
      <c r="B144" s="195" t="s">
        <v>521</v>
      </c>
      <c r="C144" s="195" t="s">
        <v>522</v>
      </c>
      <c r="D144" s="195" t="s">
        <v>655</v>
      </c>
      <c r="E144" s="195" t="s">
        <v>795</v>
      </c>
      <c r="F144" s="197" t="s">
        <v>221</v>
      </c>
      <c r="G144" s="197"/>
      <c r="H144" s="195">
        <v>6</v>
      </c>
      <c r="I144" s="195">
        <v>55</v>
      </c>
      <c r="J144" s="195">
        <v>352</v>
      </c>
      <c r="K144" s="195" t="s">
        <v>794</v>
      </c>
      <c r="L144" s="195" t="s">
        <v>526</v>
      </c>
      <c r="N144" s="382" t="s">
        <v>456</v>
      </c>
    </row>
    <row r="145" spans="1:14" ht="12.75" customHeight="1" x14ac:dyDescent="0.2">
      <c r="A145" s="195" t="s">
        <v>796</v>
      </c>
      <c r="B145" s="195" t="s">
        <v>521</v>
      </c>
      <c r="C145" s="195" t="s">
        <v>522</v>
      </c>
      <c r="D145" s="195" t="s">
        <v>655</v>
      </c>
      <c r="E145" s="195" t="s">
        <v>797</v>
      </c>
      <c r="F145" s="197" t="s">
        <v>221</v>
      </c>
      <c r="G145" s="197"/>
      <c r="H145" s="195">
        <v>6</v>
      </c>
      <c r="I145" s="195">
        <v>55</v>
      </c>
      <c r="J145" s="195">
        <v>373</v>
      </c>
      <c r="K145" s="195" t="s">
        <v>796</v>
      </c>
      <c r="L145" s="195" t="s">
        <v>526</v>
      </c>
      <c r="N145" s="382" t="s">
        <v>456</v>
      </c>
    </row>
    <row r="146" spans="1:14" ht="12.75" customHeight="1" x14ac:dyDescent="0.2">
      <c r="A146" s="195" t="s">
        <v>798</v>
      </c>
      <c r="B146" s="195" t="s">
        <v>521</v>
      </c>
      <c r="C146" s="195" t="s">
        <v>522</v>
      </c>
      <c r="D146" s="195" t="s">
        <v>717</v>
      </c>
      <c r="E146" s="195" t="s">
        <v>799</v>
      </c>
      <c r="F146" s="197" t="s">
        <v>221</v>
      </c>
      <c r="G146" s="197"/>
      <c r="H146" s="195">
        <v>8</v>
      </c>
      <c r="I146" s="195">
        <v>26</v>
      </c>
      <c r="J146" s="195">
        <v>216</v>
      </c>
      <c r="K146" s="195" t="s">
        <v>798</v>
      </c>
      <c r="L146" s="195" t="s">
        <v>526</v>
      </c>
      <c r="N146" s="382" t="s">
        <v>456</v>
      </c>
    </row>
    <row r="147" spans="1:14" ht="12.75" customHeight="1" x14ac:dyDescent="0.2">
      <c r="A147" s="195" t="s">
        <v>800</v>
      </c>
      <c r="B147" s="195" t="s">
        <v>521</v>
      </c>
      <c r="C147" s="195" t="s">
        <v>522</v>
      </c>
      <c r="D147" s="195" t="s">
        <v>720</v>
      </c>
      <c r="E147" s="195" t="s">
        <v>801</v>
      </c>
      <c r="F147" s="197" t="s">
        <v>221</v>
      </c>
      <c r="G147" s="197"/>
      <c r="H147" s="195">
        <v>8</v>
      </c>
      <c r="I147" s="195">
        <v>32</v>
      </c>
      <c r="J147" s="195">
        <v>304</v>
      </c>
      <c r="K147" s="195" t="s">
        <v>800</v>
      </c>
      <c r="L147" s="195" t="s">
        <v>526</v>
      </c>
      <c r="N147" s="382" t="s">
        <v>456</v>
      </c>
    </row>
    <row r="148" spans="1:14" ht="12.75" customHeight="1" x14ac:dyDescent="0.2">
      <c r="A148" s="195" t="s">
        <v>802</v>
      </c>
      <c r="B148" s="195" t="s">
        <v>521</v>
      </c>
      <c r="C148" s="195" t="s">
        <v>522</v>
      </c>
      <c r="D148" s="195" t="s">
        <v>552</v>
      </c>
      <c r="E148" s="195" t="s">
        <v>803</v>
      </c>
      <c r="F148" s="197" t="s">
        <v>221</v>
      </c>
      <c r="G148" s="197"/>
      <c r="H148" s="195">
        <v>8</v>
      </c>
      <c r="I148" s="195">
        <v>42</v>
      </c>
      <c r="J148" s="195">
        <v>376</v>
      </c>
      <c r="K148" s="195" t="s">
        <v>802</v>
      </c>
      <c r="L148" s="195" t="s">
        <v>526</v>
      </c>
      <c r="N148" s="382" t="s">
        <v>456</v>
      </c>
    </row>
    <row r="149" spans="1:14" ht="12.75" customHeight="1" x14ac:dyDescent="0.2">
      <c r="A149" s="195" t="s">
        <v>804</v>
      </c>
      <c r="B149" s="195" t="s">
        <v>521</v>
      </c>
      <c r="C149" s="195" t="s">
        <v>522</v>
      </c>
      <c r="D149" s="195" t="s">
        <v>638</v>
      </c>
      <c r="E149" s="195" t="s">
        <v>805</v>
      </c>
      <c r="F149" s="197" t="s">
        <v>221</v>
      </c>
      <c r="G149" s="197"/>
      <c r="H149" s="195">
        <v>8</v>
      </c>
      <c r="I149" s="195">
        <v>36</v>
      </c>
      <c r="J149" s="195">
        <v>296</v>
      </c>
      <c r="K149" s="195" t="s">
        <v>804</v>
      </c>
      <c r="L149" s="195" t="s">
        <v>526</v>
      </c>
      <c r="N149" s="382" t="s">
        <v>456</v>
      </c>
    </row>
    <row r="150" spans="1:14" ht="12.75" customHeight="1" x14ac:dyDescent="0.2">
      <c r="A150" s="195" t="s">
        <v>806</v>
      </c>
      <c r="B150" s="195" t="s">
        <v>521</v>
      </c>
      <c r="C150" s="195" t="s">
        <v>522</v>
      </c>
      <c r="D150" s="195" t="s">
        <v>638</v>
      </c>
      <c r="E150" s="195" t="s">
        <v>807</v>
      </c>
      <c r="F150" s="197" t="s">
        <v>221</v>
      </c>
      <c r="G150" s="197"/>
      <c r="H150" s="195">
        <v>8</v>
      </c>
      <c r="I150" s="195">
        <v>36</v>
      </c>
      <c r="J150" s="195">
        <v>270</v>
      </c>
      <c r="K150" s="195" t="s">
        <v>806</v>
      </c>
      <c r="L150" s="195" t="s">
        <v>526</v>
      </c>
      <c r="N150" s="382" t="s">
        <v>456</v>
      </c>
    </row>
    <row r="151" spans="1:14" ht="12.75" customHeight="1" x14ac:dyDescent="0.2">
      <c r="A151" s="195" t="s">
        <v>808</v>
      </c>
      <c r="B151" s="195" t="s">
        <v>521</v>
      </c>
      <c r="C151" s="195" t="s">
        <v>522</v>
      </c>
      <c r="D151" s="195" t="s">
        <v>638</v>
      </c>
      <c r="E151" s="195" t="s">
        <v>809</v>
      </c>
      <c r="F151" s="197" t="s">
        <v>221</v>
      </c>
      <c r="G151" s="197"/>
      <c r="H151" s="195">
        <v>8</v>
      </c>
      <c r="I151" s="195">
        <v>36</v>
      </c>
      <c r="J151" s="195">
        <v>286</v>
      </c>
      <c r="K151" s="195" t="s">
        <v>808</v>
      </c>
      <c r="L151" s="195" t="s">
        <v>526</v>
      </c>
      <c r="N151" s="382" t="s">
        <v>456</v>
      </c>
    </row>
    <row r="152" spans="1:14" ht="12.75" customHeight="1" x14ac:dyDescent="0.2">
      <c r="A152" s="195" t="s">
        <v>810</v>
      </c>
      <c r="B152" s="195" t="s">
        <v>521</v>
      </c>
      <c r="C152" s="195" t="s">
        <v>522</v>
      </c>
      <c r="D152" s="195" t="s">
        <v>641</v>
      </c>
      <c r="E152" s="195" t="s">
        <v>811</v>
      </c>
      <c r="F152" s="197" t="s">
        <v>221</v>
      </c>
      <c r="G152" s="197"/>
      <c r="H152" s="195">
        <v>8</v>
      </c>
      <c r="I152" s="195">
        <v>40</v>
      </c>
      <c r="J152" s="195">
        <v>288</v>
      </c>
      <c r="K152" s="195" t="s">
        <v>810</v>
      </c>
      <c r="L152" s="195" t="s">
        <v>526</v>
      </c>
      <c r="N152" s="382" t="s">
        <v>456</v>
      </c>
    </row>
    <row r="153" spans="1:14" ht="12.75" customHeight="1" x14ac:dyDescent="0.2">
      <c r="A153" s="195" t="s">
        <v>812</v>
      </c>
      <c r="B153" s="195" t="s">
        <v>521</v>
      </c>
      <c r="C153" s="195" t="s">
        <v>522</v>
      </c>
      <c r="D153" s="195" t="s">
        <v>641</v>
      </c>
      <c r="E153" s="195" t="s">
        <v>813</v>
      </c>
      <c r="F153" s="197" t="s">
        <v>221</v>
      </c>
      <c r="G153" s="197"/>
      <c r="H153" s="195">
        <v>8</v>
      </c>
      <c r="I153" s="195">
        <v>40</v>
      </c>
      <c r="J153" s="195">
        <v>300</v>
      </c>
      <c r="K153" s="195" t="s">
        <v>812</v>
      </c>
      <c r="L153" s="195" t="s">
        <v>526</v>
      </c>
      <c r="N153" s="382" t="s">
        <v>456</v>
      </c>
    </row>
    <row r="154" spans="1:14" ht="12.75" customHeight="1" x14ac:dyDescent="0.2">
      <c r="A154" s="195" t="s">
        <v>814</v>
      </c>
      <c r="B154" s="195" t="s">
        <v>521</v>
      </c>
      <c r="C154" s="195" t="s">
        <v>522</v>
      </c>
      <c r="D154" s="195" t="s">
        <v>641</v>
      </c>
      <c r="E154" s="195" t="s">
        <v>815</v>
      </c>
      <c r="F154" s="197" t="s">
        <v>221</v>
      </c>
      <c r="G154" s="197"/>
      <c r="H154" s="195">
        <v>8</v>
      </c>
      <c r="I154" s="195">
        <v>40</v>
      </c>
      <c r="J154" s="195">
        <v>340</v>
      </c>
      <c r="K154" s="195" t="s">
        <v>814</v>
      </c>
      <c r="L154" s="195" t="s">
        <v>526</v>
      </c>
      <c r="N154" s="382" t="s">
        <v>456</v>
      </c>
    </row>
    <row r="155" spans="1:14" ht="12.75" customHeight="1" x14ac:dyDescent="0.2">
      <c r="A155" s="195" t="s">
        <v>816</v>
      </c>
      <c r="B155" s="195" t="s">
        <v>521</v>
      </c>
      <c r="C155" s="195" t="s">
        <v>522</v>
      </c>
      <c r="D155" s="195" t="s">
        <v>652</v>
      </c>
      <c r="E155" s="195" t="s">
        <v>817</v>
      </c>
      <c r="F155" s="197" t="s">
        <v>221</v>
      </c>
      <c r="G155" s="197"/>
      <c r="H155" s="195">
        <v>8</v>
      </c>
      <c r="I155" s="195">
        <v>50</v>
      </c>
      <c r="J155" s="195">
        <v>432</v>
      </c>
      <c r="K155" s="195" t="s">
        <v>816</v>
      </c>
      <c r="L155" s="195" t="s">
        <v>526</v>
      </c>
      <c r="N155" s="382" t="s">
        <v>456</v>
      </c>
    </row>
    <row r="156" spans="1:14" ht="12.75" customHeight="1" x14ac:dyDescent="0.2">
      <c r="A156" s="195" t="s">
        <v>818</v>
      </c>
      <c r="B156" s="195" t="s">
        <v>521</v>
      </c>
      <c r="C156" s="195" t="s">
        <v>522</v>
      </c>
      <c r="D156" s="195" t="s">
        <v>655</v>
      </c>
      <c r="E156" s="195" t="s">
        <v>819</v>
      </c>
      <c r="F156" s="197" t="s">
        <v>221</v>
      </c>
      <c r="G156" s="197"/>
      <c r="H156" s="195">
        <v>8</v>
      </c>
      <c r="I156" s="195">
        <v>55</v>
      </c>
      <c r="J156" s="195">
        <v>448</v>
      </c>
      <c r="K156" s="195" t="s">
        <v>818</v>
      </c>
      <c r="L156" s="195" t="s">
        <v>526</v>
      </c>
      <c r="N156" s="382" t="s">
        <v>456</v>
      </c>
    </row>
    <row r="157" spans="1:14" ht="12.75" customHeight="1" x14ac:dyDescent="0.2">
      <c r="A157" s="195" t="s">
        <v>820</v>
      </c>
      <c r="B157" s="195" t="s">
        <v>521</v>
      </c>
      <c r="C157" s="195" t="s">
        <v>522</v>
      </c>
      <c r="D157" s="195" t="s">
        <v>655</v>
      </c>
      <c r="E157" s="195" t="s">
        <v>821</v>
      </c>
      <c r="F157" s="197" t="s">
        <v>221</v>
      </c>
      <c r="G157" s="197"/>
      <c r="H157" s="195">
        <v>8</v>
      </c>
      <c r="I157" s="195">
        <v>55</v>
      </c>
      <c r="J157" s="195">
        <v>468</v>
      </c>
      <c r="K157" s="195" t="s">
        <v>820</v>
      </c>
      <c r="L157" s="195" t="s">
        <v>526</v>
      </c>
      <c r="N157" s="382" t="s">
        <v>456</v>
      </c>
    </row>
    <row r="158" spans="1:14" ht="12.75" customHeight="1" x14ac:dyDescent="0.2">
      <c r="A158" s="195" t="s">
        <v>822</v>
      </c>
      <c r="B158" s="195" t="s">
        <v>521</v>
      </c>
      <c r="C158" s="195" t="s">
        <v>522</v>
      </c>
      <c r="D158" s="195" t="s">
        <v>655</v>
      </c>
      <c r="E158" s="195" t="s">
        <v>823</v>
      </c>
      <c r="F158" s="197" t="s">
        <v>221</v>
      </c>
      <c r="G158" s="197"/>
      <c r="H158" s="195">
        <v>8</v>
      </c>
      <c r="I158" s="195">
        <v>55</v>
      </c>
      <c r="J158" s="195">
        <v>496</v>
      </c>
      <c r="K158" s="195" t="s">
        <v>822</v>
      </c>
      <c r="L158" s="195" t="s">
        <v>526</v>
      </c>
      <c r="N158" s="382" t="s">
        <v>456</v>
      </c>
    </row>
    <row r="159" spans="1:14" ht="12.75" customHeight="1" x14ac:dyDescent="0.2">
      <c r="A159" s="195" t="s">
        <v>824</v>
      </c>
      <c r="B159" s="195" t="s">
        <v>521</v>
      </c>
      <c r="C159" s="195" t="s">
        <v>522</v>
      </c>
      <c r="D159" s="195" t="s">
        <v>638</v>
      </c>
      <c r="E159" s="195" t="s">
        <v>825</v>
      </c>
      <c r="F159" s="197" t="s">
        <v>221</v>
      </c>
      <c r="G159" s="197"/>
      <c r="H159" s="195">
        <v>9</v>
      </c>
      <c r="I159" s="195">
        <v>36</v>
      </c>
      <c r="J159" s="195">
        <v>318</v>
      </c>
      <c r="K159" s="195" t="s">
        <v>824</v>
      </c>
      <c r="L159" s="195" t="s">
        <v>526</v>
      </c>
      <c r="N159" s="382" t="s">
        <v>456</v>
      </c>
    </row>
    <row r="160" spans="1:14" ht="12.75" customHeight="1" x14ac:dyDescent="0.2">
      <c r="A160" s="195" t="s">
        <v>826</v>
      </c>
      <c r="B160" s="195" t="s">
        <v>521</v>
      </c>
      <c r="C160" s="195" t="s">
        <v>522</v>
      </c>
      <c r="D160" s="195" t="s">
        <v>641</v>
      </c>
      <c r="E160" s="195" t="s">
        <v>827</v>
      </c>
      <c r="F160" s="197" t="s">
        <v>221</v>
      </c>
      <c r="G160" s="197"/>
      <c r="H160" s="195">
        <v>9</v>
      </c>
      <c r="I160" s="195">
        <v>40</v>
      </c>
      <c r="J160" s="195">
        <v>306</v>
      </c>
      <c r="K160" s="195" t="s">
        <v>826</v>
      </c>
      <c r="L160" s="195" t="s">
        <v>526</v>
      </c>
      <c r="N160" s="382" t="s">
        <v>456</v>
      </c>
    </row>
    <row r="161" spans="1:14" ht="12.75" customHeight="1" x14ac:dyDescent="0.2">
      <c r="A161" s="195" t="s">
        <v>828</v>
      </c>
      <c r="B161" s="195" t="s">
        <v>521</v>
      </c>
      <c r="C161" s="195" t="s">
        <v>522</v>
      </c>
      <c r="D161" s="195" t="s">
        <v>652</v>
      </c>
      <c r="E161" s="195" t="s">
        <v>829</v>
      </c>
      <c r="F161" s="197" t="s">
        <v>221</v>
      </c>
      <c r="G161" s="197"/>
      <c r="H161" s="195">
        <v>9</v>
      </c>
      <c r="I161" s="195">
        <v>50</v>
      </c>
      <c r="J161" s="195">
        <v>486</v>
      </c>
      <c r="K161" s="195" t="s">
        <v>828</v>
      </c>
      <c r="L161" s="195" t="s">
        <v>526</v>
      </c>
      <c r="N161" s="382" t="s">
        <v>456</v>
      </c>
    </row>
    <row r="162" spans="1:14" ht="12.75" customHeight="1" x14ac:dyDescent="0.2">
      <c r="A162" s="195" t="s">
        <v>830</v>
      </c>
      <c r="B162" s="195" t="s">
        <v>521</v>
      </c>
      <c r="C162" s="195" t="s">
        <v>522</v>
      </c>
      <c r="D162" s="195" t="s">
        <v>655</v>
      </c>
      <c r="E162" s="195" t="s">
        <v>831</v>
      </c>
      <c r="F162" s="197" t="s">
        <v>221</v>
      </c>
      <c r="G162" s="197"/>
      <c r="H162" s="195">
        <v>9</v>
      </c>
      <c r="I162" s="195">
        <v>55</v>
      </c>
      <c r="J162" s="195">
        <v>504</v>
      </c>
      <c r="K162" s="195" t="s">
        <v>830</v>
      </c>
      <c r="L162" s="195" t="s">
        <v>526</v>
      </c>
      <c r="N162" s="382" t="s">
        <v>456</v>
      </c>
    </row>
    <row r="163" spans="1:14" ht="12.75" customHeight="1" x14ac:dyDescent="0.2">
      <c r="A163" s="195" t="s">
        <v>832</v>
      </c>
      <c r="B163" s="195" t="s">
        <v>521</v>
      </c>
      <c r="C163" s="195" t="s">
        <v>522</v>
      </c>
      <c r="D163" s="195" t="s">
        <v>641</v>
      </c>
      <c r="E163" s="195" t="s">
        <v>833</v>
      </c>
      <c r="F163" s="197" t="s">
        <v>221</v>
      </c>
      <c r="G163" s="197"/>
      <c r="H163" s="195">
        <v>12</v>
      </c>
      <c r="I163" s="195">
        <v>40</v>
      </c>
      <c r="J163" s="195">
        <v>408</v>
      </c>
      <c r="K163" s="195" t="s">
        <v>832</v>
      </c>
      <c r="L163" s="195" t="s">
        <v>526</v>
      </c>
      <c r="N163" s="382" t="s">
        <v>456</v>
      </c>
    </row>
    <row r="164" spans="1:14" ht="12.75" customHeight="1" x14ac:dyDescent="0.2">
      <c r="A164" s="195" t="s">
        <v>834</v>
      </c>
      <c r="B164" s="195" t="s">
        <v>521</v>
      </c>
      <c r="C164" s="195" t="s">
        <v>522</v>
      </c>
      <c r="D164" s="195" t="s">
        <v>652</v>
      </c>
      <c r="E164" s="195" t="s">
        <v>835</v>
      </c>
      <c r="F164" s="197" t="s">
        <v>221</v>
      </c>
      <c r="G164" s="197"/>
      <c r="H164" s="195">
        <v>12</v>
      </c>
      <c r="I164" s="195">
        <v>50</v>
      </c>
      <c r="J164" s="195">
        <v>648</v>
      </c>
      <c r="K164" s="195" t="s">
        <v>834</v>
      </c>
      <c r="L164" s="195" t="s">
        <v>526</v>
      </c>
      <c r="N164" s="382" t="s">
        <v>456</v>
      </c>
    </row>
    <row r="165" spans="1:14" ht="12.75" customHeight="1" x14ac:dyDescent="0.2">
      <c r="A165" s="195" t="s">
        <v>836</v>
      </c>
      <c r="B165" s="195" t="s">
        <v>521</v>
      </c>
      <c r="C165" s="195" t="s">
        <v>522</v>
      </c>
      <c r="D165" s="195" t="s">
        <v>655</v>
      </c>
      <c r="E165" s="195" t="s">
        <v>837</v>
      </c>
      <c r="F165" s="197" t="s">
        <v>221</v>
      </c>
      <c r="G165" s="197"/>
      <c r="H165" s="195">
        <v>12</v>
      </c>
      <c r="I165" s="195">
        <v>55</v>
      </c>
      <c r="J165" s="195">
        <v>672</v>
      </c>
      <c r="K165" s="195" t="s">
        <v>836</v>
      </c>
      <c r="L165" s="195" t="s">
        <v>526</v>
      </c>
      <c r="N165" s="382" t="s">
        <v>456</v>
      </c>
    </row>
    <row r="166" spans="1:14" ht="12.75" customHeight="1" x14ac:dyDescent="0.2">
      <c r="A166" s="195" t="s">
        <v>838</v>
      </c>
      <c r="B166" s="195" t="s">
        <v>521</v>
      </c>
      <c r="C166" s="195" t="s">
        <v>839</v>
      </c>
      <c r="D166" s="195" t="s">
        <v>840</v>
      </c>
      <c r="E166" s="195" t="s">
        <v>841</v>
      </c>
      <c r="F166" s="197" t="s">
        <v>221</v>
      </c>
      <c r="G166" s="197"/>
      <c r="H166" s="195">
        <v>1</v>
      </c>
      <c r="I166" s="195">
        <v>7</v>
      </c>
      <c r="J166" s="195">
        <v>7</v>
      </c>
      <c r="K166" s="195" t="s">
        <v>838</v>
      </c>
      <c r="L166" s="195" t="s">
        <v>455</v>
      </c>
      <c r="N166" s="382" t="s">
        <v>456</v>
      </c>
    </row>
    <row r="167" spans="1:14" ht="12.75" customHeight="1" x14ac:dyDescent="0.2">
      <c r="A167" s="195" t="s">
        <v>842</v>
      </c>
      <c r="B167" s="195" t="s">
        <v>521</v>
      </c>
      <c r="C167" s="195" t="s">
        <v>839</v>
      </c>
      <c r="D167" s="195" t="s">
        <v>843</v>
      </c>
      <c r="E167" s="195" t="s">
        <v>844</v>
      </c>
      <c r="F167" s="197" t="s">
        <v>221</v>
      </c>
      <c r="G167" s="197"/>
      <c r="H167" s="195">
        <v>1</v>
      </c>
      <c r="I167" s="195">
        <v>9</v>
      </c>
      <c r="J167" s="195">
        <v>9</v>
      </c>
      <c r="K167" s="195" t="s">
        <v>842</v>
      </c>
      <c r="L167" s="195" t="s">
        <v>455</v>
      </c>
      <c r="N167" s="382" t="s">
        <v>456</v>
      </c>
    </row>
    <row r="168" spans="1:14" ht="12.75" customHeight="1" x14ac:dyDescent="0.2">
      <c r="A168" s="195" t="s">
        <v>845</v>
      </c>
      <c r="B168" s="195" t="s">
        <v>521</v>
      </c>
      <c r="C168" s="195" t="s">
        <v>839</v>
      </c>
      <c r="D168" s="195" t="s">
        <v>846</v>
      </c>
      <c r="E168" s="195" t="s">
        <v>847</v>
      </c>
      <c r="F168" s="197" t="s">
        <v>221</v>
      </c>
      <c r="G168" s="197"/>
      <c r="H168" s="195">
        <v>1</v>
      </c>
      <c r="I168" s="195">
        <v>11</v>
      </c>
      <c r="J168" s="195">
        <v>11</v>
      </c>
      <c r="K168" s="195" t="s">
        <v>845</v>
      </c>
      <c r="L168" s="195" t="s">
        <v>455</v>
      </c>
      <c r="N168" s="382" t="s">
        <v>456</v>
      </c>
    </row>
    <row r="169" spans="1:14" ht="12.75" customHeight="1" x14ac:dyDescent="0.2">
      <c r="A169" s="195" t="s">
        <v>848</v>
      </c>
      <c r="B169" s="195" t="s">
        <v>521</v>
      </c>
      <c r="C169" s="195" t="s">
        <v>839</v>
      </c>
      <c r="D169" s="195" t="s">
        <v>849</v>
      </c>
      <c r="E169" s="195" t="s">
        <v>850</v>
      </c>
      <c r="F169" s="197" t="s">
        <v>221</v>
      </c>
      <c r="G169" s="197"/>
      <c r="H169" s="195">
        <v>1</v>
      </c>
      <c r="I169" s="195">
        <v>12</v>
      </c>
      <c r="J169" s="195">
        <v>12</v>
      </c>
      <c r="K169" s="195" t="s">
        <v>848</v>
      </c>
      <c r="L169" s="195" t="s">
        <v>455</v>
      </c>
      <c r="N169" s="382" t="s">
        <v>456</v>
      </c>
    </row>
    <row r="170" spans="1:14" ht="12.75" customHeight="1" x14ac:dyDescent="0.2">
      <c r="A170" s="195" t="s">
        <v>851</v>
      </c>
      <c r="B170" s="195" t="s">
        <v>521</v>
      </c>
      <c r="C170" s="195" t="s">
        <v>839</v>
      </c>
      <c r="D170" s="195" t="s">
        <v>852</v>
      </c>
      <c r="E170" s="195" t="s">
        <v>853</v>
      </c>
      <c r="F170" s="197" t="s">
        <v>221</v>
      </c>
      <c r="G170" s="197"/>
      <c r="H170" s="195">
        <v>1</v>
      </c>
      <c r="I170" s="195">
        <v>13</v>
      </c>
      <c r="J170" s="195">
        <v>13</v>
      </c>
      <c r="K170" s="195" t="s">
        <v>851</v>
      </c>
      <c r="L170" s="195" t="s">
        <v>455</v>
      </c>
      <c r="N170" s="382" t="s">
        <v>456</v>
      </c>
    </row>
    <row r="171" spans="1:14" ht="12.75" customHeight="1" x14ac:dyDescent="0.2">
      <c r="A171" s="195" t="s">
        <v>854</v>
      </c>
      <c r="B171" s="195" t="s">
        <v>521</v>
      </c>
      <c r="C171" s="195" t="s">
        <v>839</v>
      </c>
      <c r="D171" s="195" t="s">
        <v>855</v>
      </c>
      <c r="E171" s="195" t="s">
        <v>856</v>
      </c>
      <c r="F171" s="197" t="s">
        <v>221</v>
      </c>
      <c r="G171" s="197"/>
      <c r="H171" s="195">
        <v>1</v>
      </c>
      <c r="I171" s="195">
        <v>14</v>
      </c>
      <c r="J171" s="195">
        <v>14</v>
      </c>
      <c r="K171" s="195" t="s">
        <v>854</v>
      </c>
      <c r="L171" s="195" t="s">
        <v>455</v>
      </c>
      <c r="N171" s="382" t="s">
        <v>456</v>
      </c>
    </row>
    <row r="172" spans="1:14" ht="12.75" customHeight="1" x14ac:dyDescent="0.2">
      <c r="A172" s="195" t="s">
        <v>857</v>
      </c>
      <c r="B172" s="195" t="s">
        <v>521</v>
      </c>
      <c r="C172" s="195" t="s">
        <v>839</v>
      </c>
      <c r="D172" s="195" t="s">
        <v>858</v>
      </c>
      <c r="E172" s="195" t="s">
        <v>859</v>
      </c>
      <c r="F172" s="197" t="s">
        <v>221</v>
      </c>
      <c r="G172" s="197"/>
      <c r="H172" s="195">
        <v>1</v>
      </c>
      <c r="I172" s="195">
        <v>15</v>
      </c>
      <c r="J172" s="195">
        <v>15</v>
      </c>
      <c r="K172" s="195" t="s">
        <v>857</v>
      </c>
      <c r="L172" s="195" t="s">
        <v>455</v>
      </c>
      <c r="N172" s="382" t="s">
        <v>456</v>
      </c>
    </row>
    <row r="173" spans="1:14" ht="12.75" customHeight="1" x14ac:dyDescent="0.2">
      <c r="A173" s="195" t="s">
        <v>860</v>
      </c>
      <c r="B173" s="195" t="s">
        <v>521</v>
      </c>
      <c r="C173" s="195" t="s">
        <v>839</v>
      </c>
      <c r="D173" s="195" t="s">
        <v>861</v>
      </c>
      <c r="E173" s="195" t="s">
        <v>862</v>
      </c>
      <c r="F173" s="197" t="s">
        <v>221</v>
      </c>
      <c r="G173" s="197"/>
      <c r="H173" s="195">
        <v>1</v>
      </c>
      <c r="I173" s="195">
        <v>16</v>
      </c>
      <c r="J173" s="195">
        <v>16</v>
      </c>
      <c r="K173" s="195" t="s">
        <v>860</v>
      </c>
      <c r="L173" s="195" t="s">
        <v>455</v>
      </c>
      <c r="N173" s="382" t="s">
        <v>456</v>
      </c>
    </row>
    <row r="174" spans="1:14" ht="12.75" customHeight="1" x14ac:dyDescent="0.2">
      <c r="A174" s="195" t="s">
        <v>863</v>
      </c>
      <c r="B174" s="195" t="s">
        <v>521</v>
      </c>
      <c r="C174" s="195" t="s">
        <v>839</v>
      </c>
      <c r="D174" s="195" t="s">
        <v>864</v>
      </c>
      <c r="E174" s="195" t="s">
        <v>865</v>
      </c>
      <c r="F174" s="197" t="s">
        <v>221</v>
      </c>
      <c r="G174" s="197"/>
      <c r="H174" s="195">
        <v>1</v>
      </c>
      <c r="I174" s="195">
        <v>17</v>
      </c>
      <c r="J174" s="195">
        <v>17</v>
      </c>
      <c r="K174" s="195" t="s">
        <v>863</v>
      </c>
      <c r="L174" s="195" t="s">
        <v>455</v>
      </c>
      <c r="N174" s="382" t="s">
        <v>456</v>
      </c>
    </row>
    <row r="175" spans="1:14" ht="12.75" customHeight="1" x14ac:dyDescent="0.2">
      <c r="A175" s="195" t="s">
        <v>866</v>
      </c>
      <c r="B175" s="195" t="s">
        <v>521</v>
      </c>
      <c r="C175" s="195" t="s">
        <v>839</v>
      </c>
      <c r="D175" s="195" t="s">
        <v>867</v>
      </c>
      <c r="E175" s="195" t="s">
        <v>868</v>
      </c>
      <c r="F175" s="197" t="s">
        <v>221</v>
      </c>
      <c r="G175" s="197"/>
      <c r="H175" s="195">
        <v>1</v>
      </c>
      <c r="I175" s="195">
        <v>18</v>
      </c>
      <c r="J175" s="195">
        <v>18</v>
      </c>
      <c r="K175" s="195" t="s">
        <v>866</v>
      </c>
      <c r="L175" s="195" t="s">
        <v>455</v>
      </c>
      <c r="N175" s="382" t="s">
        <v>456</v>
      </c>
    </row>
    <row r="176" spans="1:14" ht="12.75" customHeight="1" x14ac:dyDescent="0.2">
      <c r="A176" s="195" t="s">
        <v>869</v>
      </c>
      <c r="B176" s="195" t="s">
        <v>521</v>
      </c>
      <c r="C176" s="195" t="s">
        <v>839</v>
      </c>
      <c r="D176" s="195" t="s">
        <v>870</v>
      </c>
      <c r="E176" s="195" t="s">
        <v>871</v>
      </c>
      <c r="F176" s="197" t="s">
        <v>221</v>
      </c>
      <c r="G176" s="197"/>
      <c r="H176" s="195">
        <v>1</v>
      </c>
      <c r="I176" s="195">
        <v>20</v>
      </c>
      <c r="J176" s="195">
        <v>20</v>
      </c>
      <c r="K176" s="195" t="s">
        <v>869</v>
      </c>
      <c r="L176" s="195" t="s">
        <v>455</v>
      </c>
      <c r="N176" s="382" t="s">
        <v>456</v>
      </c>
    </row>
    <row r="177" spans="1:14" ht="12.75" customHeight="1" x14ac:dyDescent="0.2">
      <c r="A177" s="195" t="s">
        <v>872</v>
      </c>
      <c r="B177" s="195" t="s">
        <v>521</v>
      </c>
      <c r="C177" s="195" t="s">
        <v>839</v>
      </c>
      <c r="D177" s="195" t="s">
        <v>873</v>
      </c>
      <c r="E177" s="195" t="s">
        <v>874</v>
      </c>
      <c r="F177" s="197" t="s">
        <v>221</v>
      </c>
      <c r="G177" s="197"/>
      <c r="H177" s="195">
        <v>1</v>
      </c>
      <c r="I177" s="195">
        <v>23</v>
      </c>
      <c r="J177" s="195">
        <v>23</v>
      </c>
      <c r="K177" s="195" t="s">
        <v>872</v>
      </c>
      <c r="L177" s="195" t="s">
        <v>455</v>
      </c>
      <c r="N177" s="382" t="s">
        <v>456</v>
      </c>
    </row>
    <row r="178" spans="1:14" ht="12.75" customHeight="1" x14ac:dyDescent="0.2">
      <c r="A178" s="195" t="s">
        <v>875</v>
      </c>
      <c r="B178" s="195" t="s">
        <v>521</v>
      </c>
      <c r="C178" s="195" t="s">
        <v>839</v>
      </c>
      <c r="D178" s="195" t="s">
        <v>876</v>
      </c>
      <c r="E178" s="195" t="s">
        <v>877</v>
      </c>
      <c r="F178" s="197" t="s">
        <v>221</v>
      </c>
      <c r="G178" s="197"/>
      <c r="H178" s="195">
        <v>1</v>
      </c>
      <c r="I178" s="195">
        <v>26</v>
      </c>
      <c r="J178" s="195">
        <v>26</v>
      </c>
      <c r="K178" s="195" t="s">
        <v>875</v>
      </c>
      <c r="L178" s="195" t="s">
        <v>455</v>
      </c>
      <c r="N178" s="382" t="s">
        <v>456</v>
      </c>
    </row>
    <row r="179" spans="1:14" ht="12.75" customHeight="1" x14ac:dyDescent="0.2">
      <c r="A179" s="195" t="s">
        <v>878</v>
      </c>
      <c r="B179" s="195" t="s">
        <v>521</v>
      </c>
      <c r="C179" s="195" t="s">
        <v>839</v>
      </c>
      <c r="D179" s="195" t="s">
        <v>879</v>
      </c>
      <c r="E179" s="195" t="s">
        <v>880</v>
      </c>
      <c r="F179" s="197" t="s">
        <v>221</v>
      </c>
      <c r="G179" s="197"/>
      <c r="H179" s="195">
        <v>1</v>
      </c>
      <c r="I179" s="195">
        <v>30</v>
      </c>
      <c r="J179" s="195">
        <v>30</v>
      </c>
      <c r="K179" s="195" t="s">
        <v>878</v>
      </c>
      <c r="L179" s="195" t="s">
        <v>455</v>
      </c>
      <c r="N179" s="382" t="s">
        <v>456</v>
      </c>
    </row>
    <row r="180" spans="1:14" ht="12.75" customHeight="1" x14ac:dyDescent="0.2">
      <c r="A180" s="195" t="s">
        <v>881</v>
      </c>
      <c r="B180" s="195" t="s">
        <v>521</v>
      </c>
      <c r="C180" s="195" t="s">
        <v>882</v>
      </c>
      <c r="D180" s="195" t="s">
        <v>883</v>
      </c>
      <c r="E180" s="195" t="s">
        <v>884</v>
      </c>
      <c r="F180" s="197" t="s">
        <v>221</v>
      </c>
      <c r="G180" s="197"/>
      <c r="H180" s="195">
        <v>1</v>
      </c>
      <c r="I180" s="195">
        <v>1.5</v>
      </c>
      <c r="J180" s="195">
        <v>1.5</v>
      </c>
      <c r="K180" s="195" t="s">
        <v>881</v>
      </c>
      <c r="L180" s="195" t="s">
        <v>455</v>
      </c>
      <c r="N180" s="382" t="s">
        <v>456</v>
      </c>
    </row>
    <row r="181" spans="1:14" ht="12.75" customHeight="1" x14ac:dyDescent="0.2">
      <c r="A181" s="195" t="s">
        <v>885</v>
      </c>
      <c r="B181" s="195" t="s">
        <v>521</v>
      </c>
      <c r="C181" s="195" t="s">
        <v>882</v>
      </c>
      <c r="D181" s="195" t="s">
        <v>886</v>
      </c>
      <c r="E181" s="195" t="s">
        <v>887</v>
      </c>
      <c r="F181" s="197" t="s">
        <v>221</v>
      </c>
      <c r="G181" s="197"/>
      <c r="H181" s="195">
        <v>1</v>
      </c>
      <c r="I181" s="195">
        <v>3</v>
      </c>
      <c r="J181" s="195">
        <v>3</v>
      </c>
      <c r="K181" s="195" t="s">
        <v>885</v>
      </c>
      <c r="L181" s="195" t="s">
        <v>455</v>
      </c>
      <c r="N181" s="382" t="s">
        <v>456</v>
      </c>
    </row>
    <row r="182" spans="1:14" ht="12.75" customHeight="1" x14ac:dyDescent="0.2">
      <c r="A182" s="195" t="s">
        <v>888</v>
      </c>
      <c r="B182" s="195" t="s">
        <v>521</v>
      </c>
      <c r="C182" s="195" t="s">
        <v>882</v>
      </c>
      <c r="D182" s="195" t="s">
        <v>889</v>
      </c>
      <c r="E182" s="195" t="s">
        <v>890</v>
      </c>
      <c r="F182" s="197" t="s">
        <v>221</v>
      </c>
      <c r="G182" s="197"/>
      <c r="H182" s="195">
        <v>1</v>
      </c>
      <c r="I182" s="195">
        <v>5</v>
      </c>
      <c r="J182" s="195">
        <v>5</v>
      </c>
      <c r="K182" s="195" t="s">
        <v>888</v>
      </c>
      <c r="L182" s="195" t="s">
        <v>455</v>
      </c>
      <c r="N182" s="382" t="s">
        <v>456</v>
      </c>
    </row>
    <row r="183" spans="1:14" ht="12.75" customHeight="1" x14ac:dyDescent="0.2">
      <c r="A183" s="195" t="s">
        <v>891</v>
      </c>
      <c r="B183" s="195" t="s">
        <v>521</v>
      </c>
      <c r="C183" s="195" t="s">
        <v>882</v>
      </c>
      <c r="D183" s="195" t="s">
        <v>892</v>
      </c>
      <c r="E183" s="195" t="s">
        <v>893</v>
      </c>
      <c r="F183" s="197" t="s">
        <v>221</v>
      </c>
      <c r="G183" s="197"/>
      <c r="H183" s="195">
        <v>1</v>
      </c>
      <c r="I183" s="195">
        <v>8</v>
      </c>
      <c r="J183" s="195">
        <v>8</v>
      </c>
      <c r="K183" s="195" t="s">
        <v>891</v>
      </c>
      <c r="L183" s="195" t="s">
        <v>455</v>
      </c>
      <c r="N183" s="382" t="s">
        <v>456</v>
      </c>
    </row>
    <row r="184" spans="1:14" ht="12.75" customHeight="1" x14ac:dyDescent="0.2">
      <c r="A184" s="195" t="s">
        <v>894</v>
      </c>
      <c r="B184" s="195" t="s">
        <v>895</v>
      </c>
      <c r="C184" s="195" t="s">
        <v>896</v>
      </c>
      <c r="D184" s="195" t="s">
        <v>897</v>
      </c>
      <c r="E184" s="195" t="s">
        <v>898</v>
      </c>
      <c r="F184" s="197" t="s">
        <v>525</v>
      </c>
      <c r="G184" s="197">
        <v>12</v>
      </c>
      <c r="H184" s="195">
        <v>1</v>
      </c>
      <c r="I184" s="195">
        <v>15</v>
      </c>
      <c r="J184" s="195">
        <v>19</v>
      </c>
      <c r="K184" s="195" t="s">
        <v>894</v>
      </c>
      <c r="L184" s="195" t="s">
        <v>526</v>
      </c>
      <c r="N184" s="382" t="s">
        <v>456</v>
      </c>
    </row>
    <row r="185" spans="1:14" ht="12.75" customHeight="1" x14ac:dyDescent="0.2">
      <c r="A185" s="195" t="s">
        <v>899</v>
      </c>
      <c r="B185" s="195" t="s">
        <v>895</v>
      </c>
      <c r="C185" s="195" t="s">
        <v>896</v>
      </c>
      <c r="D185" s="195" t="s">
        <v>897</v>
      </c>
      <c r="E185" s="195" t="s">
        <v>900</v>
      </c>
      <c r="F185" s="197" t="s">
        <v>525</v>
      </c>
      <c r="G185" s="197">
        <v>12</v>
      </c>
      <c r="H185" s="195">
        <v>2</v>
      </c>
      <c r="I185" s="195">
        <v>15</v>
      </c>
      <c r="J185" s="195">
        <v>36</v>
      </c>
      <c r="K185" s="195" t="s">
        <v>899</v>
      </c>
      <c r="L185" s="195" t="s">
        <v>526</v>
      </c>
      <c r="N185" s="382" t="s">
        <v>456</v>
      </c>
    </row>
    <row r="186" spans="1:14" ht="12.75" customHeight="1" x14ac:dyDescent="0.2">
      <c r="A186" s="195" t="s">
        <v>901</v>
      </c>
      <c r="B186" s="195" t="s">
        <v>895</v>
      </c>
      <c r="C186" s="195" t="s">
        <v>896</v>
      </c>
      <c r="D186" s="195" t="s">
        <v>902</v>
      </c>
      <c r="E186" s="195" t="s">
        <v>903</v>
      </c>
      <c r="F186" s="197" t="s">
        <v>221</v>
      </c>
      <c r="G186" s="197">
        <v>24</v>
      </c>
      <c r="H186" s="195">
        <v>1</v>
      </c>
      <c r="I186" s="195">
        <v>17</v>
      </c>
      <c r="J186" s="195">
        <v>20</v>
      </c>
      <c r="K186" s="195" t="s">
        <v>901</v>
      </c>
      <c r="L186" s="195" t="s">
        <v>526</v>
      </c>
      <c r="N186" s="382" t="s">
        <v>456</v>
      </c>
    </row>
    <row r="187" spans="1:14" ht="12.75" customHeight="1" x14ac:dyDescent="0.2">
      <c r="A187" s="195" t="s">
        <v>904</v>
      </c>
      <c r="B187" s="195" t="s">
        <v>895</v>
      </c>
      <c r="C187" s="195" t="s">
        <v>896</v>
      </c>
      <c r="D187" s="195" t="s">
        <v>902</v>
      </c>
      <c r="E187" s="195" t="s">
        <v>905</v>
      </c>
      <c r="F187" s="197" t="s">
        <v>221</v>
      </c>
      <c r="G187" s="197">
        <v>24</v>
      </c>
      <c r="H187" s="195">
        <v>1</v>
      </c>
      <c r="I187" s="195">
        <v>17</v>
      </c>
      <c r="J187" s="195">
        <v>17</v>
      </c>
      <c r="K187" s="195" t="s">
        <v>904</v>
      </c>
      <c r="L187" s="195" t="s">
        <v>526</v>
      </c>
      <c r="N187" s="382" t="s">
        <v>456</v>
      </c>
    </row>
    <row r="188" spans="1:14" ht="12.75" customHeight="1" x14ac:dyDescent="0.2">
      <c r="A188" s="195" t="s">
        <v>906</v>
      </c>
      <c r="B188" s="195" t="s">
        <v>895</v>
      </c>
      <c r="C188" s="195" t="s">
        <v>896</v>
      </c>
      <c r="D188" s="195" t="s">
        <v>902</v>
      </c>
      <c r="E188" s="195" t="s">
        <v>907</v>
      </c>
      <c r="F188" s="197" t="s">
        <v>221</v>
      </c>
      <c r="G188" s="197">
        <v>24</v>
      </c>
      <c r="H188" s="195">
        <v>1</v>
      </c>
      <c r="I188" s="195">
        <v>17</v>
      </c>
      <c r="J188" s="195">
        <v>15</v>
      </c>
      <c r="K188" s="195" t="s">
        <v>906</v>
      </c>
      <c r="L188" s="195" t="s">
        <v>526</v>
      </c>
      <c r="N188" s="382" t="s">
        <v>456</v>
      </c>
    </row>
    <row r="189" spans="1:14" ht="12.75" customHeight="1" x14ac:dyDescent="0.2">
      <c r="A189" s="195" t="s">
        <v>908</v>
      </c>
      <c r="B189" s="195" t="s">
        <v>895</v>
      </c>
      <c r="C189" s="195" t="s">
        <v>896</v>
      </c>
      <c r="D189" s="195" t="s">
        <v>902</v>
      </c>
      <c r="E189" s="195" t="s">
        <v>909</v>
      </c>
      <c r="F189" s="197" t="s">
        <v>221</v>
      </c>
      <c r="G189" s="197">
        <v>24</v>
      </c>
      <c r="H189" s="195">
        <v>1</v>
      </c>
      <c r="I189" s="195">
        <v>17</v>
      </c>
      <c r="J189" s="195">
        <v>16</v>
      </c>
      <c r="K189" s="195" t="s">
        <v>908</v>
      </c>
      <c r="L189" s="195" t="s">
        <v>526</v>
      </c>
      <c r="N189" s="382" t="s">
        <v>456</v>
      </c>
    </row>
    <row r="190" spans="1:14" ht="12.75" customHeight="1" x14ac:dyDescent="0.2">
      <c r="A190" s="195" t="s">
        <v>910</v>
      </c>
      <c r="B190" s="195" t="s">
        <v>895</v>
      </c>
      <c r="C190" s="195" t="s">
        <v>896</v>
      </c>
      <c r="D190" s="195" t="s">
        <v>902</v>
      </c>
      <c r="E190" s="195" t="s">
        <v>911</v>
      </c>
      <c r="F190" s="197" t="s">
        <v>221</v>
      </c>
      <c r="G190" s="197">
        <v>24</v>
      </c>
      <c r="H190" s="195">
        <v>1</v>
      </c>
      <c r="I190" s="195">
        <v>17</v>
      </c>
      <c r="J190" s="195">
        <v>14</v>
      </c>
      <c r="K190" s="195" t="s">
        <v>910</v>
      </c>
      <c r="L190" s="195" t="s">
        <v>526</v>
      </c>
      <c r="N190" s="382" t="s">
        <v>456</v>
      </c>
    </row>
    <row r="191" spans="1:14" ht="12.75" customHeight="1" x14ac:dyDescent="0.2">
      <c r="A191" s="195" t="s">
        <v>912</v>
      </c>
      <c r="B191" s="195" t="s">
        <v>895</v>
      </c>
      <c r="C191" s="195" t="s">
        <v>896</v>
      </c>
      <c r="D191" s="195" t="s">
        <v>902</v>
      </c>
      <c r="E191" s="195" t="s">
        <v>913</v>
      </c>
      <c r="F191" s="197" t="s">
        <v>221</v>
      </c>
      <c r="G191" s="197">
        <v>24</v>
      </c>
      <c r="H191" s="195">
        <v>1</v>
      </c>
      <c r="I191" s="195">
        <v>17</v>
      </c>
      <c r="J191" s="195">
        <v>15</v>
      </c>
      <c r="K191" s="195" t="s">
        <v>912</v>
      </c>
      <c r="L191" s="195" t="s">
        <v>526</v>
      </c>
      <c r="N191" s="382" t="s">
        <v>456</v>
      </c>
    </row>
    <row r="192" spans="1:14" ht="12.75" customHeight="1" x14ac:dyDescent="0.2">
      <c r="A192" s="195" t="s">
        <v>914</v>
      </c>
      <c r="B192" s="195" t="s">
        <v>895</v>
      </c>
      <c r="C192" s="195" t="s">
        <v>896</v>
      </c>
      <c r="D192" s="195" t="s">
        <v>902</v>
      </c>
      <c r="E192" s="195" t="s">
        <v>915</v>
      </c>
      <c r="F192" s="197" t="s">
        <v>221</v>
      </c>
      <c r="G192" s="197">
        <v>24</v>
      </c>
      <c r="H192" s="195">
        <v>1</v>
      </c>
      <c r="I192" s="195">
        <v>17</v>
      </c>
      <c r="J192" s="195">
        <v>14</v>
      </c>
      <c r="K192" s="195" t="s">
        <v>914</v>
      </c>
      <c r="L192" s="195" t="s">
        <v>526</v>
      </c>
      <c r="N192" s="382" t="s">
        <v>456</v>
      </c>
    </row>
    <row r="193" spans="1:14" ht="12.75" customHeight="1" x14ac:dyDescent="0.2">
      <c r="A193" s="195" t="s">
        <v>916</v>
      </c>
      <c r="B193" s="195" t="s">
        <v>895</v>
      </c>
      <c r="C193" s="195" t="s">
        <v>896</v>
      </c>
      <c r="D193" s="195" t="s">
        <v>902</v>
      </c>
      <c r="E193" s="195" t="s">
        <v>917</v>
      </c>
      <c r="F193" s="197" t="s">
        <v>221</v>
      </c>
      <c r="G193" s="197">
        <v>24</v>
      </c>
      <c r="H193" s="195">
        <v>1</v>
      </c>
      <c r="I193" s="195">
        <v>17</v>
      </c>
      <c r="J193" s="195">
        <v>16</v>
      </c>
      <c r="K193" s="195" t="s">
        <v>916</v>
      </c>
      <c r="L193" s="195" t="s">
        <v>526</v>
      </c>
      <c r="N193" s="382" t="s">
        <v>918</v>
      </c>
    </row>
    <row r="194" spans="1:14" ht="12.75" customHeight="1" x14ac:dyDescent="0.2">
      <c r="A194" s="195" t="s">
        <v>919</v>
      </c>
      <c r="B194" s="195" t="s">
        <v>895</v>
      </c>
      <c r="C194" s="195" t="s">
        <v>896</v>
      </c>
      <c r="D194" s="195" t="s">
        <v>902</v>
      </c>
      <c r="E194" s="195" t="s">
        <v>920</v>
      </c>
      <c r="F194" s="197" t="s">
        <v>221</v>
      </c>
      <c r="G194" s="197">
        <v>24</v>
      </c>
      <c r="H194" s="195">
        <v>1</v>
      </c>
      <c r="I194" s="195">
        <v>17</v>
      </c>
      <c r="J194" s="195">
        <v>16</v>
      </c>
      <c r="K194" s="195" t="s">
        <v>919</v>
      </c>
      <c r="L194" s="195" t="s">
        <v>526</v>
      </c>
      <c r="N194" s="382" t="s">
        <v>456</v>
      </c>
    </row>
    <row r="195" spans="1:14" ht="12.75" customHeight="1" x14ac:dyDescent="0.2">
      <c r="A195" s="195" t="s">
        <v>921</v>
      </c>
      <c r="B195" s="195" t="s">
        <v>895</v>
      </c>
      <c r="C195" s="195" t="s">
        <v>896</v>
      </c>
      <c r="D195" s="195" t="s">
        <v>902</v>
      </c>
      <c r="E195" s="195" t="s">
        <v>922</v>
      </c>
      <c r="F195" s="197" t="s">
        <v>221</v>
      </c>
      <c r="G195" s="197">
        <v>24</v>
      </c>
      <c r="H195" s="195">
        <v>1</v>
      </c>
      <c r="I195" s="195">
        <v>17</v>
      </c>
      <c r="J195" s="195">
        <v>17</v>
      </c>
      <c r="K195" s="195" t="s">
        <v>921</v>
      </c>
      <c r="L195" s="195" t="s">
        <v>526</v>
      </c>
      <c r="N195" s="382" t="s">
        <v>456</v>
      </c>
    </row>
    <row r="196" spans="1:14" ht="12.75" customHeight="1" x14ac:dyDescent="0.2">
      <c r="A196" s="195" t="s">
        <v>923</v>
      </c>
      <c r="B196" s="195" t="s">
        <v>895</v>
      </c>
      <c r="C196" s="195" t="s">
        <v>896</v>
      </c>
      <c r="D196" s="195" t="s">
        <v>902</v>
      </c>
      <c r="E196" s="195" t="s">
        <v>924</v>
      </c>
      <c r="F196" s="197" t="s">
        <v>221</v>
      </c>
      <c r="G196" s="197">
        <v>24</v>
      </c>
      <c r="H196" s="195">
        <v>1</v>
      </c>
      <c r="I196" s="195">
        <v>17</v>
      </c>
      <c r="J196" s="195">
        <v>17</v>
      </c>
      <c r="K196" s="195" t="s">
        <v>923</v>
      </c>
      <c r="L196" s="195" t="s">
        <v>526</v>
      </c>
      <c r="N196" s="382" t="s">
        <v>456</v>
      </c>
    </row>
    <row r="197" spans="1:14" ht="12.75" customHeight="1" x14ac:dyDescent="0.2">
      <c r="A197" s="195" t="s">
        <v>925</v>
      </c>
      <c r="B197" s="195" t="s">
        <v>895</v>
      </c>
      <c r="C197" s="195" t="s">
        <v>896</v>
      </c>
      <c r="D197" s="195" t="s">
        <v>902</v>
      </c>
      <c r="E197" s="195" t="s">
        <v>926</v>
      </c>
      <c r="F197" s="197" t="s">
        <v>221</v>
      </c>
      <c r="G197" s="197">
        <v>24</v>
      </c>
      <c r="H197" s="195">
        <v>1</v>
      </c>
      <c r="I197" s="195">
        <v>17</v>
      </c>
      <c r="J197" s="195">
        <v>15</v>
      </c>
      <c r="K197" s="195" t="s">
        <v>925</v>
      </c>
      <c r="L197" s="195" t="s">
        <v>526</v>
      </c>
      <c r="N197" s="382" t="s">
        <v>456</v>
      </c>
    </row>
    <row r="198" spans="1:14" ht="12.75" customHeight="1" x14ac:dyDescent="0.2">
      <c r="A198" s="195" t="s">
        <v>927</v>
      </c>
      <c r="B198" s="195" t="s">
        <v>895</v>
      </c>
      <c r="C198" s="195" t="s">
        <v>896</v>
      </c>
      <c r="D198" s="195" t="s">
        <v>902</v>
      </c>
      <c r="E198" s="195" t="s">
        <v>928</v>
      </c>
      <c r="F198" s="197" t="s">
        <v>525</v>
      </c>
      <c r="G198" s="197">
        <v>24</v>
      </c>
      <c r="H198" s="195">
        <v>1</v>
      </c>
      <c r="I198" s="195">
        <v>17</v>
      </c>
      <c r="J198" s="195">
        <v>24</v>
      </c>
      <c r="K198" s="195" t="s">
        <v>927</v>
      </c>
      <c r="L198" s="195" t="s">
        <v>526</v>
      </c>
      <c r="N198" s="382" t="s">
        <v>918</v>
      </c>
    </row>
    <row r="199" spans="1:14" ht="12.75" customHeight="1" x14ac:dyDescent="0.2">
      <c r="A199" s="195" t="s">
        <v>929</v>
      </c>
      <c r="B199" s="195" t="s">
        <v>895</v>
      </c>
      <c r="C199" s="195" t="s">
        <v>896</v>
      </c>
      <c r="D199" s="195" t="s">
        <v>902</v>
      </c>
      <c r="E199" s="195" t="s">
        <v>930</v>
      </c>
      <c r="F199" s="197" t="s">
        <v>931</v>
      </c>
      <c r="G199" s="197">
        <v>24</v>
      </c>
      <c r="H199" s="195">
        <v>2</v>
      </c>
      <c r="I199" s="195">
        <v>17</v>
      </c>
      <c r="J199" s="195">
        <v>45</v>
      </c>
      <c r="K199" s="195" t="s">
        <v>929</v>
      </c>
      <c r="L199" s="195" t="s">
        <v>526</v>
      </c>
      <c r="N199" s="382" t="s">
        <v>918</v>
      </c>
    </row>
    <row r="200" spans="1:14" ht="12.75" customHeight="1" x14ac:dyDescent="0.2">
      <c r="A200" s="195" t="s">
        <v>932</v>
      </c>
      <c r="B200" s="195" t="s">
        <v>895</v>
      </c>
      <c r="C200" s="195" t="s">
        <v>896</v>
      </c>
      <c r="D200" s="195" t="s">
        <v>902</v>
      </c>
      <c r="E200" s="195" t="s">
        <v>933</v>
      </c>
      <c r="F200" s="197" t="s">
        <v>221</v>
      </c>
      <c r="G200" s="197">
        <v>24</v>
      </c>
      <c r="H200" s="195">
        <v>2</v>
      </c>
      <c r="I200" s="195">
        <v>17</v>
      </c>
      <c r="J200" s="195">
        <v>33</v>
      </c>
      <c r="K200" s="195" t="s">
        <v>932</v>
      </c>
      <c r="L200" s="195" t="s">
        <v>526</v>
      </c>
      <c r="N200" s="382" t="s">
        <v>456</v>
      </c>
    </row>
    <row r="201" spans="1:14" ht="12.75" customHeight="1" x14ac:dyDescent="0.2">
      <c r="A201" s="195" t="s">
        <v>934</v>
      </c>
      <c r="B201" s="195" t="s">
        <v>895</v>
      </c>
      <c r="C201" s="195" t="s">
        <v>896</v>
      </c>
      <c r="D201" s="195" t="s">
        <v>902</v>
      </c>
      <c r="E201" s="195" t="s">
        <v>935</v>
      </c>
      <c r="F201" s="197" t="s">
        <v>221</v>
      </c>
      <c r="G201" s="197">
        <v>24</v>
      </c>
      <c r="H201" s="195">
        <v>2</v>
      </c>
      <c r="I201" s="195">
        <v>17</v>
      </c>
      <c r="J201" s="195">
        <v>31</v>
      </c>
      <c r="K201" s="195" t="s">
        <v>934</v>
      </c>
      <c r="L201" s="195" t="s">
        <v>526</v>
      </c>
      <c r="N201" s="382" t="s">
        <v>456</v>
      </c>
    </row>
    <row r="202" spans="1:14" ht="12.75" customHeight="1" x14ac:dyDescent="0.2">
      <c r="A202" s="195" t="s">
        <v>936</v>
      </c>
      <c r="B202" s="195" t="s">
        <v>895</v>
      </c>
      <c r="C202" s="195" t="s">
        <v>896</v>
      </c>
      <c r="D202" s="195" t="s">
        <v>902</v>
      </c>
      <c r="E202" s="195" t="s">
        <v>937</v>
      </c>
      <c r="F202" s="197" t="s">
        <v>221</v>
      </c>
      <c r="G202" s="197">
        <v>24</v>
      </c>
      <c r="H202" s="195">
        <v>2</v>
      </c>
      <c r="I202" s="195">
        <v>17</v>
      </c>
      <c r="J202" s="195">
        <v>28</v>
      </c>
      <c r="K202" s="195" t="s">
        <v>936</v>
      </c>
      <c r="L202" s="195" t="s">
        <v>526</v>
      </c>
      <c r="N202" s="382" t="s">
        <v>456</v>
      </c>
    </row>
    <row r="203" spans="1:14" ht="12.75" customHeight="1" x14ac:dyDescent="0.2">
      <c r="A203" s="195" t="s">
        <v>938</v>
      </c>
      <c r="B203" s="195" t="s">
        <v>895</v>
      </c>
      <c r="C203" s="195" t="s">
        <v>896</v>
      </c>
      <c r="D203" s="195" t="s">
        <v>902</v>
      </c>
      <c r="E203" s="195" t="s">
        <v>939</v>
      </c>
      <c r="F203" s="197" t="s">
        <v>221</v>
      </c>
      <c r="G203" s="197">
        <v>24</v>
      </c>
      <c r="H203" s="195">
        <v>2</v>
      </c>
      <c r="I203" s="195">
        <v>17</v>
      </c>
      <c r="J203" s="195">
        <v>29</v>
      </c>
      <c r="K203" s="195" t="s">
        <v>938</v>
      </c>
      <c r="L203" s="195" t="s">
        <v>526</v>
      </c>
      <c r="N203" s="382" t="s">
        <v>456</v>
      </c>
    </row>
    <row r="204" spans="1:14" ht="12.75" customHeight="1" x14ac:dyDescent="0.2">
      <c r="A204" s="195" t="s">
        <v>940</v>
      </c>
      <c r="B204" s="195" t="s">
        <v>895</v>
      </c>
      <c r="C204" s="195" t="s">
        <v>896</v>
      </c>
      <c r="D204" s="195" t="s">
        <v>902</v>
      </c>
      <c r="E204" s="195" t="s">
        <v>941</v>
      </c>
      <c r="F204" s="197" t="s">
        <v>221</v>
      </c>
      <c r="G204" s="197">
        <v>24</v>
      </c>
      <c r="H204" s="195">
        <v>2</v>
      </c>
      <c r="I204" s="195">
        <v>17</v>
      </c>
      <c r="J204" s="195">
        <v>31</v>
      </c>
      <c r="K204" s="195" t="s">
        <v>940</v>
      </c>
      <c r="L204" s="195" t="s">
        <v>526</v>
      </c>
      <c r="N204" s="382" t="s">
        <v>918</v>
      </c>
    </row>
    <row r="205" spans="1:14" ht="12.75" customHeight="1" x14ac:dyDescent="0.2">
      <c r="A205" s="195" t="s">
        <v>942</v>
      </c>
      <c r="B205" s="195" t="s">
        <v>895</v>
      </c>
      <c r="C205" s="195" t="s">
        <v>896</v>
      </c>
      <c r="D205" s="195" t="s">
        <v>902</v>
      </c>
      <c r="E205" s="195" t="s">
        <v>943</v>
      </c>
      <c r="F205" s="197" t="s">
        <v>221</v>
      </c>
      <c r="G205" s="197">
        <v>24</v>
      </c>
      <c r="H205" s="195">
        <v>2</v>
      </c>
      <c r="I205" s="195">
        <v>17</v>
      </c>
      <c r="J205" s="195">
        <v>34</v>
      </c>
      <c r="K205" s="195" t="s">
        <v>942</v>
      </c>
      <c r="L205" s="195" t="s">
        <v>526</v>
      </c>
      <c r="N205" s="382" t="s">
        <v>456</v>
      </c>
    </row>
    <row r="206" spans="1:14" ht="12.75" customHeight="1" x14ac:dyDescent="0.2">
      <c r="A206" s="195" t="s">
        <v>944</v>
      </c>
      <c r="B206" s="195" t="s">
        <v>895</v>
      </c>
      <c r="C206" s="195" t="s">
        <v>896</v>
      </c>
      <c r="D206" s="195" t="s">
        <v>902</v>
      </c>
      <c r="E206" s="195" t="s">
        <v>945</v>
      </c>
      <c r="F206" s="197" t="s">
        <v>221</v>
      </c>
      <c r="G206" s="197">
        <v>24</v>
      </c>
      <c r="H206" s="195">
        <v>2</v>
      </c>
      <c r="I206" s="195">
        <v>17</v>
      </c>
      <c r="J206" s="195">
        <v>28</v>
      </c>
      <c r="K206" s="195" t="s">
        <v>944</v>
      </c>
      <c r="L206" s="195" t="s">
        <v>526</v>
      </c>
      <c r="N206" s="382" t="s">
        <v>456</v>
      </c>
    </row>
    <row r="207" spans="1:14" ht="12.75" customHeight="1" x14ac:dyDescent="0.2">
      <c r="A207" s="195" t="s">
        <v>946</v>
      </c>
      <c r="B207" s="195" t="s">
        <v>895</v>
      </c>
      <c r="C207" s="195" t="s">
        <v>896</v>
      </c>
      <c r="D207" s="195" t="s">
        <v>902</v>
      </c>
      <c r="E207" s="195" t="s">
        <v>947</v>
      </c>
      <c r="F207" s="197" t="s">
        <v>221</v>
      </c>
      <c r="G207" s="197">
        <v>24</v>
      </c>
      <c r="H207" s="195">
        <v>3</v>
      </c>
      <c r="I207" s="195">
        <v>17</v>
      </c>
      <c r="J207" s="195">
        <v>47</v>
      </c>
      <c r="K207" s="195" t="s">
        <v>946</v>
      </c>
      <c r="L207" s="195" t="s">
        <v>526</v>
      </c>
      <c r="N207" s="382" t="s">
        <v>456</v>
      </c>
    </row>
    <row r="208" spans="1:14" ht="12.75" customHeight="1" x14ac:dyDescent="0.2">
      <c r="A208" s="195" t="s">
        <v>948</v>
      </c>
      <c r="B208" s="195" t="s">
        <v>895</v>
      </c>
      <c r="C208" s="195" t="s">
        <v>896</v>
      </c>
      <c r="D208" s="195" t="s">
        <v>902</v>
      </c>
      <c r="E208" s="195" t="s">
        <v>949</v>
      </c>
      <c r="F208" s="197" t="s">
        <v>221</v>
      </c>
      <c r="G208" s="197">
        <v>24</v>
      </c>
      <c r="H208" s="195">
        <v>3</v>
      </c>
      <c r="I208" s="195">
        <v>17</v>
      </c>
      <c r="J208" s="195">
        <v>49</v>
      </c>
      <c r="K208" s="195" t="s">
        <v>948</v>
      </c>
      <c r="L208" s="195" t="s">
        <v>526</v>
      </c>
      <c r="N208" s="382" t="s">
        <v>918</v>
      </c>
    </row>
    <row r="209" spans="1:14" ht="12.75" customHeight="1" x14ac:dyDescent="0.2">
      <c r="A209" s="195" t="s">
        <v>950</v>
      </c>
      <c r="B209" s="195" t="s">
        <v>895</v>
      </c>
      <c r="C209" s="195" t="s">
        <v>896</v>
      </c>
      <c r="D209" s="195" t="s">
        <v>902</v>
      </c>
      <c r="E209" s="195" t="s">
        <v>951</v>
      </c>
      <c r="F209" s="197" t="s">
        <v>221</v>
      </c>
      <c r="G209" s="197">
        <v>24</v>
      </c>
      <c r="H209" s="195">
        <v>3</v>
      </c>
      <c r="I209" s="195">
        <v>17</v>
      </c>
      <c r="J209" s="195">
        <v>43</v>
      </c>
      <c r="K209" s="195" t="s">
        <v>950</v>
      </c>
      <c r="L209" s="195" t="s">
        <v>526</v>
      </c>
      <c r="N209" s="382" t="s">
        <v>456</v>
      </c>
    </row>
    <row r="210" spans="1:14" ht="12.75" customHeight="1" x14ac:dyDescent="0.2">
      <c r="A210" s="195" t="s">
        <v>952</v>
      </c>
      <c r="B210" s="195" t="s">
        <v>895</v>
      </c>
      <c r="C210" s="195" t="s">
        <v>896</v>
      </c>
      <c r="D210" s="195" t="s">
        <v>902</v>
      </c>
      <c r="E210" s="195" t="s">
        <v>953</v>
      </c>
      <c r="F210" s="197" t="s">
        <v>221</v>
      </c>
      <c r="G210" s="197">
        <v>24</v>
      </c>
      <c r="H210" s="195">
        <v>3</v>
      </c>
      <c r="I210" s="195">
        <v>17</v>
      </c>
      <c r="J210" s="195">
        <v>52</v>
      </c>
      <c r="K210" s="195" t="s">
        <v>952</v>
      </c>
      <c r="L210" s="195" t="s">
        <v>526</v>
      </c>
      <c r="N210" s="382" t="s">
        <v>918</v>
      </c>
    </row>
    <row r="211" spans="1:14" ht="12.75" customHeight="1" x14ac:dyDescent="0.2">
      <c r="A211" s="195" t="s">
        <v>954</v>
      </c>
      <c r="B211" s="195" t="s">
        <v>895</v>
      </c>
      <c r="C211" s="195" t="s">
        <v>896</v>
      </c>
      <c r="D211" s="195" t="s">
        <v>902</v>
      </c>
      <c r="E211" s="195" t="s">
        <v>955</v>
      </c>
      <c r="F211" s="197" t="s">
        <v>221</v>
      </c>
      <c r="G211" s="197">
        <v>24</v>
      </c>
      <c r="H211" s="195">
        <v>3</v>
      </c>
      <c r="I211" s="195">
        <v>17</v>
      </c>
      <c r="J211" s="195">
        <v>41</v>
      </c>
      <c r="K211" s="195" t="s">
        <v>954</v>
      </c>
      <c r="L211" s="195" t="s">
        <v>526</v>
      </c>
      <c r="N211" s="382" t="s">
        <v>456</v>
      </c>
    </row>
    <row r="212" spans="1:14" ht="12.75" customHeight="1" x14ac:dyDescent="0.2">
      <c r="A212" s="195" t="s">
        <v>956</v>
      </c>
      <c r="B212" s="195" t="s">
        <v>895</v>
      </c>
      <c r="C212" s="195" t="s">
        <v>896</v>
      </c>
      <c r="D212" s="195" t="s">
        <v>902</v>
      </c>
      <c r="E212" s="195" t="s">
        <v>957</v>
      </c>
      <c r="F212" s="197" t="s">
        <v>221</v>
      </c>
      <c r="G212" s="197">
        <v>24</v>
      </c>
      <c r="H212" s="195">
        <v>4</v>
      </c>
      <c r="I212" s="195">
        <v>17</v>
      </c>
      <c r="J212" s="195">
        <v>61</v>
      </c>
      <c r="K212" s="195" t="s">
        <v>956</v>
      </c>
      <c r="L212" s="195" t="s">
        <v>526</v>
      </c>
      <c r="N212" s="382" t="s">
        <v>456</v>
      </c>
    </row>
    <row r="213" spans="1:14" ht="12.75" customHeight="1" x14ac:dyDescent="0.2">
      <c r="A213" s="195" t="s">
        <v>958</v>
      </c>
      <c r="B213" s="195" t="s">
        <v>895</v>
      </c>
      <c r="C213" s="195" t="s">
        <v>896</v>
      </c>
      <c r="D213" s="195" t="s">
        <v>902</v>
      </c>
      <c r="E213" s="195" t="s">
        <v>959</v>
      </c>
      <c r="F213" s="197" t="s">
        <v>221</v>
      </c>
      <c r="G213" s="197">
        <v>24</v>
      </c>
      <c r="H213" s="195">
        <v>4</v>
      </c>
      <c r="I213" s="195">
        <v>17</v>
      </c>
      <c r="J213" s="195">
        <v>55</v>
      </c>
      <c r="K213" s="195" t="s">
        <v>958</v>
      </c>
      <c r="L213" s="195" t="s">
        <v>526</v>
      </c>
      <c r="N213" s="382" t="s">
        <v>456</v>
      </c>
    </row>
    <row r="214" spans="1:14" ht="12.75" customHeight="1" x14ac:dyDescent="0.2">
      <c r="A214" s="195" t="s">
        <v>960</v>
      </c>
      <c r="B214" s="195" t="s">
        <v>895</v>
      </c>
      <c r="C214" s="195" t="s">
        <v>896</v>
      </c>
      <c r="D214" s="195" t="s">
        <v>902</v>
      </c>
      <c r="E214" s="195" t="s">
        <v>961</v>
      </c>
      <c r="F214" s="197" t="s">
        <v>221</v>
      </c>
      <c r="G214" s="197">
        <v>24</v>
      </c>
      <c r="H214" s="195">
        <v>4</v>
      </c>
      <c r="I214" s="195">
        <v>17</v>
      </c>
      <c r="J214" s="195">
        <v>68</v>
      </c>
      <c r="K214" s="195" t="s">
        <v>960</v>
      </c>
      <c r="L214" s="195" t="s">
        <v>526</v>
      </c>
      <c r="N214" s="382" t="s">
        <v>918</v>
      </c>
    </row>
    <row r="215" spans="1:14" ht="12.75" customHeight="1" x14ac:dyDescent="0.2">
      <c r="A215" s="195" t="s">
        <v>962</v>
      </c>
      <c r="B215" s="195" t="s">
        <v>895</v>
      </c>
      <c r="C215" s="195" t="s">
        <v>896</v>
      </c>
      <c r="D215" s="195" t="s">
        <v>902</v>
      </c>
      <c r="E215" s="195" t="s">
        <v>963</v>
      </c>
      <c r="F215" s="197" t="s">
        <v>221</v>
      </c>
      <c r="G215" s="197">
        <v>24</v>
      </c>
      <c r="H215" s="195">
        <v>4</v>
      </c>
      <c r="I215" s="195">
        <v>17</v>
      </c>
      <c r="J215" s="195">
        <v>57</v>
      </c>
      <c r="K215" s="195" t="s">
        <v>962</v>
      </c>
      <c r="L215" s="195" t="s">
        <v>526</v>
      </c>
      <c r="N215" s="382" t="s">
        <v>456</v>
      </c>
    </row>
    <row r="216" spans="1:14" ht="12.75" customHeight="1" x14ac:dyDescent="0.2">
      <c r="A216" s="195" t="s">
        <v>964</v>
      </c>
      <c r="B216" s="195" t="s">
        <v>895</v>
      </c>
      <c r="C216" s="195" t="s">
        <v>896</v>
      </c>
      <c r="D216" s="195" t="s">
        <v>965</v>
      </c>
      <c r="E216" s="195" t="s">
        <v>966</v>
      </c>
      <c r="F216" s="197" t="s">
        <v>221</v>
      </c>
      <c r="G216" s="197">
        <v>36</v>
      </c>
      <c r="H216" s="195">
        <v>1</v>
      </c>
      <c r="I216" s="195">
        <v>25</v>
      </c>
      <c r="J216" s="195">
        <v>26</v>
      </c>
      <c r="K216" s="195" t="s">
        <v>964</v>
      </c>
      <c r="L216" s="195" t="s">
        <v>526</v>
      </c>
      <c r="N216" s="382" t="s">
        <v>456</v>
      </c>
    </row>
    <row r="217" spans="1:14" ht="12.75" customHeight="1" x14ac:dyDescent="0.2">
      <c r="A217" s="195" t="s">
        <v>967</v>
      </c>
      <c r="B217" s="195" t="s">
        <v>895</v>
      </c>
      <c r="C217" s="195" t="s">
        <v>896</v>
      </c>
      <c r="D217" s="195" t="s">
        <v>965</v>
      </c>
      <c r="E217" s="195" t="s">
        <v>968</v>
      </c>
      <c r="F217" s="197" t="s">
        <v>221</v>
      </c>
      <c r="G217" s="197">
        <v>36</v>
      </c>
      <c r="H217" s="195">
        <v>1</v>
      </c>
      <c r="I217" s="195">
        <v>25</v>
      </c>
      <c r="J217" s="195">
        <v>23</v>
      </c>
      <c r="K217" s="195" t="s">
        <v>967</v>
      </c>
      <c r="L217" s="195" t="s">
        <v>526</v>
      </c>
      <c r="N217" s="382" t="s">
        <v>456</v>
      </c>
    </row>
    <row r="218" spans="1:14" ht="12.75" customHeight="1" x14ac:dyDescent="0.2">
      <c r="A218" s="195" t="s">
        <v>969</v>
      </c>
      <c r="B218" s="195" t="s">
        <v>895</v>
      </c>
      <c r="C218" s="195" t="s">
        <v>896</v>
      </c>
      <c r="D218" s="195" t="s">
        <v>965</v>
      </c>
      <c r="E218" s="195" t="s">
        <v>970</v>
      </c>
      <c r="F218" s="197" t="s">
        <v>221</v>
      </c>
      <c r="G218" s="197">
        <v>36</v>
      </c>
      <c r="H218" s="195">
        <v>1</v>
      </c>
      <c r="I218" s="195">
        <v>25</v>
      </c>
      <c r="J218" s="195">
        <v>24</v>
      </c>
      <c r="K218" s="195" t="s">
        <v>969</v>
      </c>
      <c r="L218" s="195" t="s">
        <v>526</v>
      </c>
      <c r="N218" s="382" t="s">
        <v>918</v>
      </c>
    </row>
    <row r="219" spans="1:14" ht="12.75" customHeight="1" x14ac:dyDescent="0.2">
      <c r="A219" s="195" t="s">
        <v>971</v>
      </c>
      <c r="B219" s="195" t="s">
        <v>895</v>
      </c>
      <c r="C219" s="195" t="s">
        <v>896</v>
      </c>
      <c r="D219" s="195" t="s">
        <v>965</v>
      </c>
      <c r="E219" s="195" t="s">
        <v>972</v>
      </c>
      <c r="F219" s="197" t="s">
        <v>221</v>
      </c>
      <c r="G219" s="197">
        <v>36</v>
      </c>
      <c r="H219" s="195">
        <v>1</v>
      </c>
      <c r="I219" s="195">
        <v>25</v>
      </c>
      <c r="J219" s="195">
        <v>23</v>
      </c>
      <c r="K219" s="195" t="s">
        <v>971</v>
      </c>
      <c r="L219" s="195" t="s">
        <v>526</v>
      </c>
      <c r="N219" s="382" t="s">
        <v>456</v>
      </c>
    </row>
    <row r="220" spans="1:14" ht="12.75" customHeight="1" x14ac:dyDescent="0.2">
      <c r="A220" s="195" t="s">
        <v>973</v>
      </c>
      <c r="B220" s="195" t="s">
        <v>895</v>
      </c>
      <c r="C220" s="195" t="s">
        <v>896</v>
      </c>
      <c r="D220" s="195" t="s">
        <v>965</v>
      </c>
      <c r="E220" s="195" t="s">
        <v>974</v>
      </c>
      <c r="F220" s="197" t="s">
        <v>221</v>
      </c>
      <c r="G220" s="197">
        <v>36</v>
      </c>
      <c r="H220" s="195">
        <v>1</v>
      </c>
      <c r="I220" s="195">
        <v>25</v>
      </c>
      <c r="J220" s="195">
        <v>22</v>
      </c>
      <c r="K220" s="195" t="s">
        <v>973</v>
      </c>
      <c r="L220" s="195" t="s">
        <v>526</v>
      </c>
      <c r="N220" s="382" t="s">
        <v>456</v>
      </c>
    </row>
    <row r="221" spans="1:14" ht="12.75" customHeight="1" x14ac:dyDescent="0.2">
      <c r="A221" s="195" t="s">
        <v>975</v>
      </c>
      <c r="B221" s="195" t="s">
        <v>895</v>
      </c>
      <c r="C221" s="195" t="s">
        <v>896</v>
      </c>
      <c r="D221" s="195" t="s">
        <v>965</v>
      </c>
      <c r="E221" s="195" t="s">
        <v>976</v>
      </c>
      <c r="F221" s="197" t="s">
        <v>221</v>
      </c>
      <c r="G221" s="197">
        <v>36</v>
      </c>
      <c r="H221" s="195">
        <v>1</v>
      </c>
      <c r="I221" s="195">
        <v>25</v>
      </c>
      <c r="J221" s="195">
        <v>22</v>
      </c>
      <c r="K221" s="195" t="s">
        <v>975</v>
      </c>
      <c r="L221" s="195" t="s">
        <v>526</v>
      </c>
      <c r="N221" s="382" t="s">
        <v>456</v>
      </c>
    </row>
    <row r="222" spans="1:14" ht="12.75" customHeight="1" x14ac:dyDescent="0.2">
      <c r="A222" s="195" t="s">
        <v>977</v>
      </c>
      <c r="B222" s="195" t="s">
        <v>895</v>
      </c>
      <c r="C222" s="195" t="s">
        <v>896</v>
      </c>
      <c r="D222" s="195" t="s">
        <v>965</v>
      </c>
      <c r="E222" s="195" t="s">
        <v>978</v>
      </c>
      <c r="F222" s="197" t="s">
        <v>221</v>
      </c>
      <c r="G222" s="197">
        <v>36</v>
      </c>
      <c r="H222" s="195">
        <v>1</v>
      </c>
      <c r="I222" s="195">
        <v>25</v>
      </c>
      <c r="J222" s="195">
        <v>22</v>
      </c>
      <c r="K222" s="195" t="s">
        <v>977</v>
      </c>
      <c r="L222" s="195" t="s">
        <v>526</v>
      </c>
      <c r="N222" s="382" t="s">
        <v>456</v>
      </c>
    </row>
    <row r="223" spans="1:14" ht="12.75" customHeight="1" x14ac:dyDescent="0.2">
      <c r="A223" s="195" t="s">
        <v>979</v>
      </c>
      <c r="B223" s="195" t="s">
        <v>895</v>
      </c>
      <c r="C223" s="195" t="s">
        <v>896</v>
      </c>
      <c r="D223" s="195" t="s">
        <v>965</v>
      </c>
      <c r="E223" s="195" t="s">
        <v>980</v>
      </c>
      <c r="F223" s="197" t="s">
        <v>221</v>
      </c>
      <c r="G223" s="197">
        <v>36</v>
      </c>
      <c r="H223" s="195">
        <v>1</v>
      </c>
      <c r="I223" s="195">
        <v>25</v>
      </c>
      <c r="J223" s="195">
        <v>22</v>
      </c>
      <c r="K223" s="195" t="s">
        <v>979</v>
      </c>
      <c r="L223" s="195" t="s">
        <v>526</v>
      </c>
      <c r="N223" s="382" t="s">
        <v>456</v>
      </c>
    </row>
    <row r="224" spans="1:14" ht="12.75" customHeight="1" x14ac:dyDescent="0.2">
      <c r="A224" s="195" t="s">
        <v>981</v>
      </c>
      <c r="B224" s="195" t="s">
        <v>895</v>
      </c>
      <c r="C224" s="195" t="s">
        <v>896</v>
      </c>
      <c r="D224" s="195" t="s">
        <v>965</v>
      </c>
      <c r="E224" s="195" t="s">
        <v>982</v>
      </c>
      <c r="F224" s="197" t="s">
        <v>221</v>
      </c>
      <c r="G224" s="197">
        <v>36</v>
      </c>
      <c r="H224" s="195">
        <v>1</v>
      </c>
      <c r="I224" s="195">
        <v>25</v>
      </c>
      <c r="J224" s="195">
        <v>28</v>
      </c>
      <c r="K224" s="195" t="s">
        <v>981</v>
      </c>
      <c r="L224" s="195" t="s">
        <v>526</v>
      </c>
      <c r="N224" s="382" t="s">
        <v>918</v>
      </c>
    </row>
    <row r="225" spans="1:14" ht="12.75" customHeight="1" x14ac:dyDescent="0.2">
      <c r="A225" s="195" t="s">
        <v>983</v>
      </c>
      <c r="B225" s="195" t="s">
        <v>895</v>
      </c>
      <c r="C225" s="195" t="s">
        <v>896</v>
      </c>
      <c r="D225" s="195" t="s">
        <v>965</v>
      </c>
      <c r="E225" s="195" t="s">
        <v>984</v>
      </c>
      <c r="F225" s="197" t="s">
        <v>221</v>
      </c>
      <c r="G225" s="197">
        <v>36</v>
      </c>
      <c r="H225" s="195">
        <v>1</v>
      </c>
      <c r="I225" s="195">
        <v>25</v>
      </c>
      <c r="J225" s="195">
        <v>27</v>
      </c>
      <c r="K225" s="195" t="s">
        <v>983</v>
      </c>
      <c r="L225" s="195" t="s">
        <v>526</v>
      </c>
      <c r="N225" s="382" t="s">
        <v>456</v>
      </c>
    </row>
    <row r="226" spans="1:14" ht="12.75" customHeight="1" x14ac:dyDescent="0.2">
      <c r="A226" s="195" t="s">
        <v>985</v>
      </c>
      <c r="B226" s="195" t="s">
        <v>895</v>
      </c>
      <c r="C226" s="195" t="s">
        <v>896</v>
      </c>
      <c r="D226" s="195" t="s">
        <v>965</v>
      </c>
      <c r="E226" s="195" t="s">
        <v>986</v>
      </c>
      <c r="F226" s="197" t="s">
        <v>221</v>
      </c>
      <c r="G226" s="197">
        <v>36</v>
      </c>
      <c r="H226" s="195">
        <v>1</v>
      </c>
      <c r="I226" s="195">
        <v>25</v>
      </c>
      <c r="J226" s="195">
        <v>24</v>
      </c>
      <c r="K226" s="195" t="s">
        <v>985</v>
      </c>
      <c r="L226" s="195" t="s">
        <v>526</v>
      </c>
      <c r="N226" s="382" t="s">
        <v>918</v>
      </c>
    </row>
    <row r="227" spans="1:14" ht="12.75" customHeight="1" x14ac:dyDescent="0.2">
      <c r="A227" s="195" t="s">
        <v>987</v>
      </c>
      <c r="B227" s="195" t="s">
        <v>895</v>
      </c>
      <c r="C227" s="195" t="s">
        <v>896</v>
      </c>
      <c r="D227" s="195" t="s">
        <v>965</v>
      </c>
      <c r="E227" s="195" t="s">
        <v>988</v>
      </c>
      <c r="F227" s="197" t="s">
        <v>221</v>
      </c>
      <c r="G227" s="197">
        <v>36</v>
      </c>
      <c r="H227" s="195">
        <v>1</v>
      </c>
      <c r="I227" s="195">
        <v>25</v>
      </c>
      <c r="J227" s="195">
        <v>23</v>
      </c>
      <c r="K227" s="195" t="s">
        <v>987</v>
      </c>
      <c r="L227" s="195" t="s">
        <v>526</v>
      </c>
      <c r="N227" s="382" t="s">
        <v>456</v>
      </c>
    </row>
    <row r="228" spans="1:14" ht="12.75" customHeight="1" x14ac:dyDescent="0.2">
      <c r="A228" s="195" t="s">
        <v>989</v>
      </c>
      <c r="B228" s="195" t="s">
        <v>895</v>
      </c>
      <c r="C228" s="195" t="s">
        <v>896</v>
      </c>
      <c r="D228" s="195" t="s">
        <v>965</v>
      </c>
      <c r="E228" s="195" t="s">
        <v>990</v>
      </c>
      <c r="F228" s="197" t="s">
        <v>221</v>
      </c>
      <c r="G228" s="197">
        <v>36</v>
      </c>
      <c r="H228" s="195">
        <v>1</v>
      </c>
      <c r="I228" s="195">
        <v>25</v>
      </c>
      <c r="J228" s="195">
        <v>24</v>
      </c>
      <c r="K228" s="195" t="s">
        <v>989</v>
      </c>
      <c r="L228" s="195" t="s">
        <v>526</v>
      </c>
      <c r="N228" s="382" t="s">
        <v>456</v>
      </c>
    </row>
    <row r="229" spans="1:14" ht="12.75" customHeight="1" x14ac:dyDescent="0.2">
      <c r="A229" s="195" t="s">
        <v>991</v>
      </c>
      <c r="B229" s="195" t="s">
        <v>895</v>
      </c>
      <c r="C229" s="195" t="s">
        <v>896</v>
      </c>
      <c r="D229" s="195" t="s">
        <v>965</v>
      </c>
      <c r="E229" s="195" t="s">
        <v>992</v>
      </c>
      <c r="F229" s="197" t="s">
        <v>221</v>
      </c>
      <c r="G229" s="197">
        <v>36</v>
      </c>
      <c r="H229" s="195">
        <v>1</v>
      </c>
      <c r="I229" s="195">
        <v>25</v>
      </c>
      <c r="J229" s="195">
        <v>22</v>
      </c>
      <c r="K229" s="195" t="s">
        <v>991</v>
      </c>
      <c r="L229" s="195" t="s">
        <v>526</v>
      </c>
      <c r="N229" s="382" t="s">
        <v>456</v>
      </c>
    </row>
    <row r="230" spans="1:14" ht="12.75" customHeight="1" x14ac:dyDescent="0.2">
      <c r="A230" s="195" t="s">
        <v>993</v>
      </c>
      <c r="B230" s="195" t="s">
        <v>895</v>
      </c>
      <c r="C230" s="195" t="s">
        <v>896</v>
      </c>
      <c r="D230" s="195" t="s">
        <v>965</v>
      </c>
      <c r="E230" s="195" t="s">
        <v>994</v>
      </c>
      <c r="F230" s="197" t="s">
        <v>221</v>
      </c>
      <c r="G230" s="197">
        <v>36</v>
      </c>
      <c r="H230" s="195">
        <v>1</v>
      </c>
      <c r="I230" s="195">
        <v>25</v>
      </c>
      <c r="J230" s="195">
        <v>26</v>
      </c>
      <c r="K230" s="195" t="s">
        <v>993</v>
      </c>
      <c r="L230" s="195" t="s">
        <v>526</v>
      </c>
      <c r="N230" s="382" t="s">
        <v>918</v>
      </c>
    </row>
    <row r="231" spans="1:14" ht="12.75" customHeight="1" x14ac:dyDescent="0.2">
      <c r="A231" s="195" t="s">
        <v>995</v>
      </c>
      <c r="B231" s="195" t="s">
        <v>895</v>
      </c>
      <c r="C231" s="195" t="s">
        <v>896</v>
      </c>
      <c r="D231" s="195" t="s">
        <v>965</v>
      </c>
      <c r="E231" s="195" t="s">
        <v>996</v>
      </c>
      <c r="F231" s="197" t="s">
        <v>221</v>
      </c>
      <c r="G231" s="197">
        <v>36</v>
      </c>
      <c r="H231" s="195">
        <v>1</v>
      </c>
      <c r="I231" s="195">
        <v>25</v>
      </c>
      <c r="J231" s="195">
        <v>23</v>
      </c>
      <c r="K231" s="195" t="s">
        <v>995</v>
      </c>
      <c r="L231" s="195" t="s">
        <v>526</v>
      </c>
      <c r="N231" s="382" t="s">
        <v>456</v>
      </c>
    </row>
    <row r="232" spans="1:14" ht="12.75" customHeight="1" x14ac:dyDescent="0.2">
      <c r="A232" s="195" t="s">
        <v>997</v>
      </c>
      <c r="B232" s="195" t="s">
        <v>895</v>
      </c>
      <c r="C232" s="195" t="s">
        <v>896</v>
      </c>
      <c r="D232" s="195" t="s">
        <v>965</v>
      </c>
      <c r="E232" s="195" t="s">
        <v>998</v>
      </c>
      <c r="F232" s="197" t="s">
        <v>221</v>
      </c>
      <c r="G232" s="197">
        <v>36</v>
      </c>
      <c r="H232" s="195">
        <v>2</v>
      </c>
      <c r="I232" s="195">
        <v>25</v>
      </c>
      <c r="J232" s="195">
        <v>46</v>
      </c>
      <c r="K232" s="195" t="s">
        <v>997</v>
      </c>
      <c r="L232" s="195" t="s">
        <v>526</v>
      </c>
      <c r="N232" s="382" t="s">
        <v>456</v>
      </c>
    </row>
    <row r="233" spans="1:14" ht="12.75" customHeight="1" x14ac:dyDescent="0.2">
      <c r="A233" s="195" t="s">
        <v>999</v>
      </c>
      <c r="B233" s="195" t="s">
        <v>895</v>
      </c>
      <c r="C233" s="195" t="s">
        <v>896</v>
      </c>
      <c r="D233" s="195" t="s">
        <v>965</v>
      </c>
      <c r="E233" s="195" t="s">
        <v>1000</v>
      </c>
      <c r="F233" s="197" t="s">
        <v>221</v>
      </c>
      <c r="G233" s="197">
        <v>36</v>
      </c>
      <c r="H233" s="195">
        <v>2</v>
      </c>
      <c r="I233" s="195">
        <v>25</v>
      </c>
      <c r="J233" s="195">
        <v>44</v>
      </c>
      <c r="K233" s="195" t="s">
        <v>999</v>
      </c>
      <c r="L233" s="195" t="s">
        <v>526</v>
      </c>
      <c r="N233" s="382" t="s">
        <v>456</v>
      </c>
    </row>
    <row r="234" spans="1:14" ht="12.75" customHeight="1" x14ac:dyDescent="0.2">
      <c r="A234" s="195" t="s">
        <v>1001</v>
      </c>
      <c r="B234" s="195" t="s">
        <v>895</v>
      </c>
      <c r="C234" s="195" t="s">
        <v>896</v>
      </c>
      <c r="D234" s="195" t="s">
        <v>965</v>
      </c>
      <c r="E234" s="195" t="s">
        <v>1002</v>
      </c>
      <c r="F234" s="197" t="s">
        <v>221</v>
      </c>
      <c r="G234" s="197">
        <v>36</v>
      </c>
      <c r="H234" s="195">
        <v>2</v>
      </c>
      <c r="I234" s="195">
        <v>25</v>
      </c>
      <c r="J234" s="195">
        <v>43</v>
      </c>
      <c r="K234" s="195" t="s">
        <v>1001</v>
      </c>
      <c r="L234" s="195" t="s">
        <v>526</v>
      </c>
      <c r="N234" s="382" t="s">
        <v>456</v>
      </c>
    </row>
    <row r="235" spans="1:14" ht="12.75" customHeight="1" x14ac:dyDescent="0.2">
      <c r="A235" s="195" t="s">
        <v>1003</v>
      </c>
      <c r="B235" s="195" t="s">
        <v>895</v>
      </c>
      <c r="C235" s="195" t="s">
        <v>896</v>
      </c>
      <c r="D235" s="195" t="s">
        <v>965</v>
      </c>
      <c r="E235" s="195" t="s">
        <v>1004</v>
      </c>
      <c r="F235" s="197" t="s">
        <v>221</v>
      </c>
      <c r="G235" s="197">
        <v>36</v>
      </c>
      <c r="H235" s="195">
        <v>2</v>
      </c>
      <c r="I235" s="195">
        <v>25</v>
      </c>
      <c r="J235" s="195">
        <v>48</v>
      </c>
      <c r="K235" s="195" t="s">
        <v>1003</v>
      </c>
      <c r="L235" s="195" t="s">
        <v>526</v>
      </c>
      <c r="N235" s="382" t="s">
        <v>918</v>
      </c>
    </row>
    <row r="236" spans="1:14" ht="12.75" customHeight="1" x14ac:dyDescent="0.2">
      <c r="A236" s="195" t="s">
        <v>1005</v>
      </c>
      <c r="B236" s="195" t="s">
        <v>895</v>
      </c>
      <c r="C236" s="195" t="s">
        <v>896</v>
      </c>
      <c r="D236" s="195" t="s">
        <v>965</v>
      </c>
      <c r="E236" s="195" t="s">
        <v>1006</v>
      </c>
      <c r="F236" s="197" t="s">
        <v>221</v>
      </c>
      <c r="G236" s="197">
        <v>36</v>
      </c>
      <c r="H236" s="195">
        <v>2</v>
      </c>
      <c r="I236" s="195">
        <v>25</v>
      </c>
      <c r="J236" s="195">
        <v>46</v>
      </c>
      <c r="K236" s="195" t="s">
        <v>1005</v>
      </c>
      <c r="L236" s="195" t="s">
        <v>526</v>
      </c>
      <c r="N236" s="382" t="s">
        <v>456</v>
      </c>
    </row>
    <row r="237" spans="1:14" ht="12.75" customHeight="1" x14ac:dyDescent="0.2">
      <c r="A237" s="195" t="s">
        <v>1007</v>
      </c>
      <c r="B237" s="195" t="s">
        <v>895</v>
      </c>
      <c r="C237" s="195" t="s">
        <v>896</v>
      </c>
      <c r="D237" s="195" t="s">
        <v>965</v>
      </c>
      <c r="E237" s="195" t="s">
        <v>1008</v>
      </c>
      <c r="F237" s="197" t="s">
        <v>931</v>
      </c>
      <c r="G237" s="197">
        <v>36</v>
      </c>
      <c r="H237" s="195">
        <v>2</v>
      </c>
      <c r="I237" s="195">
        <v>25</v>
      </c>
      <c r="J237" s="195">
        <v>65</v>
      </c>
      <c r="K237" s="195" t="s">
        <v>1007</v>
      </c>
      <c r="L237" s="195" t="s">
        <v>526</v>
      </c>
      <c r="N237" s="382" t="s">
        <v>918</v>
      </c>
    </row>
    <row r="238" spans="1:14" ht="12.75" customHeight="1" x14ac:dyDescent="0.2">
      <c r="A238" s="195" t="s">
        <v>1009</v>
      </c>
      <c r="B238" s="195" t="s">
        <v>895</v>
      </c>
      <c r="C238" s="195" t="s">
        <v>896</v>
      </c>
      <c r="D238" s="195" t="s">
        <v>965</v>
      </c>
      <c r="E238" s="195" t="s">
        <v>1010</v>
      </c>
      <c r="F238" s="197" t="s">
        <v>221</v>
      </c>
      <c r="G238" s="197">
        <v>36</v>
      </c>
      <c r="H238" s="195">
        <v>2</v>
      </c>
      <c r="I238" s="195">
        <v>25</v>
      </c>
      <c r="J238" s="195">
        <v>46</v>
      </c>
      <c r="K238" s="195" t="s">
        <v>1009</v>
      </c>
      <c r="L238" s="195" t="s">
        <v>526</v>
      </c>
      <c r="N238" s="382" t="s">
        <v>918</v>
      </c>
    </row>
    <row r="239" spans="1:14" ht="12.75" customHeight="1" x14ac:dyDescent="0.2">
      <c r="A239" s="195" t="s">
        <v>1011</v>
      </c>
      <c r="B239" s="195" t="s">
        <v>895</v>
      </c>
      <c r="C239" s="195" t="s">
        <v>896</v>
      </c>
      <c r="D239" s="195" t="s">
        <v>965</v>
      </c>
      <c r="E239" s="195" t="s">
        <v>1012</v>
      </c>
      <c r="F239" s="197" t="s">
        <v>221</v>
      </c>
      <c r="G239" s="197">
        <v>36</v>
      </c>
      <c r="H239" s="195">
        <v>2</v>
      </c>
      <c r="I239" s="195">
        <v>25</v>
      </c>
      <c r="J239" s="195">
        <v>45</v>
      </c>
      <c r="K239" s="195" t="s">
        <v>1011</v>
      </c>
      <c r="L239" s="195" t="s">
        <v>526</v>
      </c>
      <c r="N239" s="382" t="s">
        <v>456</v>
      </c>
    </row>
    <row r="240" spans="1:14" ht="12.75" customHeight="1" x14ac:dyDescent="0.2">
      <c r="A240" s="195" t="s">
        <v>1013</v>
      </c>
      <c r="B240" s="195" t="s">
        <v>895</v>
      </c>
      <c r="C240" s="195" t="s">
        <v>896</v>
      </c>
      <c r="D240" s="195" t="s">
        <v>965</v>
      </c>
      <c r="E240" s="195" t="s">
        <v>1014</v>
      </c>
      <c r="F240" s="197" t="s">
        <v>221</v>
      </c>
      <c r="G240" s="197">
        <v>36</v>
      </c>
      <c r="H240" s="195">
        <v>2</v>
      </c>
      <c r="I240" s="195">
        <v>25</v>
      </c>
      <c r="J240" s="195">
        <v>50</v>
      </c>
      <c r="K240" s="195" t="s">
        <v>1013</v>
      </c>
      <c r="L240" s="195" t="s">
        <v>526</v>
      </c>
      <c r="N240" s="382" t="s">
        <v>918</v>
      </c>
    </row>
    <row r="241" spans="1:14" ht="12.75" customHeight="1" x14ac:dyDescent="0.2">
      <c r="A241" s="195" t="s">
        <v>1015</v>
      </c>
      <c r="B241" s="195" t="s">
        <v>895</v>
      </c>
      <c r="C241" s="195" t="s">
        <v>896</v>
      </c>
      <c r="D241" s="195" t="s">
        <v>965</v>
      </c>
      <c r="E241" s="195" t="s">
        <v>1016</v>
      </c>
      <c r="F241" s="197" t="s">
        <v>221</v>
      </c>
      <c r="G241" s="197">
        <v>36</v>
      </c>
      <c r="H241" s="195">
        <v>2</v>
      </c>
      <c r="I241" s="195">
        <v>25</v>
      </c>
      <c r="J241" s="195">
        <v>42</v>
      </c>
      <c r="K241" s="195" t="s">
        <v>1015</v>
      </c>
      <c r="L241" s="195" t="s">
        <v>526</v>
      </c>
      <c r="N241" s="382" t="s">
        <v>456</v>
      </c>
    </row>
    <row r="242" spans="1:14" ht="12.75" customHeight="1" x14ac:dyDescent="0.2">
      <c r="A242" s="195" t="s">
        <v>1017</v>
      </c>
      <c r="B242" s="195" t="s">
        <v>895</v>
      </c>
      <c r="C242" s="195" t="s">
        <v>896</v>
      </c>
      <c r="D242" s="195" t="s">
        <v>965</v>
      </c>
      <c r="E242" s="195" t="s">
        <v>1018</v>
      </c>
      <c r="F242" s="197" t="s">
        <v>221</v>
      </c>
      <c r="G242" s="197">
        <v>36</v>
      </c>
      <c r="H242" s="195">
        <v>2</v>
      </c>
      <c r="I242" s="195">
        <v>25</v>
      </c>
      <c r="J242" s="195">
        <v>70</v>
      </c>
      <c r="K242" s="195" t="s">
        <v>1017</v>
      </c>
      <c r="L242" s="195" t="s">
        <v>526</v>
      </c>
      <c r="N242" s="382" t="s">
        <v>918</v>
      </c>
    </row>
    <row r="243" spans="1:14" ht="12.75" customHeight="1" x14ac:dyDescent="0.2">
      <c r="A243" s="195" t="s">
        <v>1019</v>
      </c>
      <c r="B243" s="195" t="s">
        <v>895</v>
      </c>
      <c r="C243" s="195" t="s">
        <v>896</v>
      </c>
      <c r="D243" s="195" t="s">
        <v>965</v>
      </c>
      <c r="E243" s="195" t="s">
        <v>1020</v>
      </c>
      <c r="F243" s="197" t="s">
        <v>221</v>
      </c>
      <c r="G243" s="197">
        <v>36</v>
      </c>
      <c r="H243" s="195">
        <v>3</v>
      </c>
      <c r="I243" s="195">
        <v>25</v>
      </c>
      <c r="J243" s="195">
        <v>67</v>
      </c>
      <c r="K243" s="195" t="s">
        <v>1019</v>
      </c>
      <c r="L243" s="195" t="s">
        <v>526</v>
      </c>
      <c r="N243" s="382" t="s">
        <v>456</v>
      </c>
    </row>
    <row r="244" spans="1:14" ht="12.75" customHeight="1" x14ac:dyDescent="0.2">
      <c r="A244" s="195" t="s">
        <v>1021</v>
      </c>
      <c r="B244" s="195" t="s">
        <v>895</v>
      </c>
      <c r="C244" s="195" t="s">
        <v>896</v>
      </c>
      <c r="D244" s="195" t="s">
        <v>965</v>
      </c>
      <c r="E244" s="195" t="s">
        <v>1022</v>
      </c>
      <c r="F244" s="197" t="s">
        <v>221</v>
      </c>
      <c r="G244" s="197">
        <v>36</v>
      </c>
      <c r="H244" s="195">
        <v>3</v>
      </c>
      <c r="I244" s="195">
        <v>25</v>
      </c>
      <c r="J244" s="195">
        <v>66</v>
      </c>
      <c r="K244" s="195" t="s">
        <v>1021</v>
      </c>
      <c r="L244" s="195" t="s">
        <v>526</v>
      </c>
      <c r="N244" s="382" t="s">
        <v>456</v>
      </c>
    </row>
    <row r="245" spans="1:14" ht="12.75" customHeight="1" x14ac:dyDescent="0.2">
      <c r="A245" s="195" t="s">
        <v>1023</v>
      </c>
      <c r="B245" s="195" t="s">
        <v>895</v>
      </c>
      <c r="C245" s="195" t="s">
        <v>896</v>
      </c>
      <c r="D245" s="195" t="s">
        <v>965</v>
      </c>
      <c r="E245" s="195" t="s">
        <v>1024</v>
      </c>
      <c r="F245" s="197" t="s">
        <v>221</v>
      </c>
      <c r="G245" s="197">
        <v>36</v>
      </c>
      <c r="H245" s="195">
        <v>3</v>
      </c>
      <c r="I245" s="195">
        <v>25</v>
      </c>
      <c r="J245" s="195">
        <v>72</v>
      </c>
      <c r="K245" s="195" t="s">
        <v>1023</v>
      </c>
      <c r="L245" s="195" t="s">
        <v>526</v>
      </c>
      <c r="N245" s="382" t="s">
        <v>918</v>
      </c>
    </row>
    <row r="246" spans="1:14" ht="12.75" customHeight="1" x14ac:dyDescent="0.2">
      <c r="A246" s="195" t="s">
        <v>1025</v>
      </c>
      <c r="B246" s="195" t="s">
        <v>895</v>
      </c>
      <c r="C246" s="195" t="s">
        <v>896</v>
      </c>
      <c r="D246" s="195" t="s">
        <v>965</v>
      </c>
      <c r="E246" s="195" t="s">
        <v>1026</v>
      </c>
      <c r="F246" s="197" t="s">
        <v>221</v>
      </c>
      <c r="G246" s="197">
        <v>36</v>
      </c>
      <c r="H246" s="195">
        <v>3</v>
      </c>
      <c r="I246" s="195">
        <v>25</v>
      </c>
      <c r="J246" s="195">
        <v>62</v>
      </c>
      <c r="K246" s="195" t="s">
        <v>1025</v>
      </c>
      <c r="L246" s="195" t="s">
        <v>526</v>
      </c>
      <c r="N246" s="382" t="s">
        <v>456</v>
      </c>
    </row>
    <row r="247" spans="1:14" ht="12.75" customHeight="1" x14ac:dyDescent="0.2">
      <c r="A247" s="195" t="s">
        <v>1027</v>
      </c>
      <c r="B247" s="195" t="s">
        <v>895</v>
      </c>
      <c r="C247" s="195" t="s">
        <v>896</v>
      </c>
      <c r="D247" s="195" t="s">
        <v>965</v>
      </c>
      <c r="E247" s="195" t="s">
        <v>1028</v>
      </c>
      <c r="F247" s="197" t="s">
        <v>221</v>
      </c>
      <c r="G247" s="197">
        <v>36</v>
      </c>
      <c r="H247" s="195">
        <v>4</v>
      </c>
      <c r="I247" s="195">
        <v>25</v>
      </c>
      <c r="J247" s="195">
        <v>87</v>
      </c>
      <c r="K247" s="195" t="s">
        <v>1027</v>
      </c>
      <c r="L247" s="195" t="s">
        <v>526</v>
      </c>
      <c r="N247" s="382" t="s">
        <v>456</v>
      </c>
    </row>
    <row r="248" spans="1:14" ht="12.75" customHeight="1" x14ac:dyDescent="0.2">
      <c r="A248" s="195" t="s">
        <v>1029</v>
      </c>
      <c r="B248" s="195" t="s">
        <v>895</v>
      </c>
      <c r="C248" s="195" t="s">
        <v>896</v>
      </c>
      <c r="D248" s="195" t="s">
        <v>965</v>
      </c>
      <c r="E248" s="195" t="s">
        <v>1030</v>
      </c>
      <c r="F248" s="197" t="s">
        <v>221</v>
      </c>
      <c r="G248" s="197">
        <v>36</v>
      </c>
      <c r="H248" s="195">
        <v>4</v>
      </c>
      <c r="I248" s="195">
        <v>25</v>
      </c>
      <c r="J248" s="195">
        <v>86</v>
      </c>
      <c r="K248" s="195" t="s">
        <v>1029</v>
      </c>
      <c r="L248" s="195" t="s">
        <v>526</v>
      </c>
      <c r="N248" s="382" t="s">
        <v>456</v>
      </c>
    </row>
    <row r="249" spans="1:14" ht="12.75" customHeight="1" x14ac:dyDescent="0.2">
      <c r="A249" s="195" t="s">
        <v>1031</v>
      </c>
      <c r="B249" s="195" t="s">
        <v>895</v>
      </c>
      <c r="C249" s="195" t="s">
        <v>896</v>
      </c>
      <c r="D249" s="195" t="s">
        <v>965</v>
      </c>
      <c r="E249" s="195" t="s">
        <v>1032</v>
      </c>
      <c r="F249" s="197" t="s">
        <v>221</v>
      </c>
      <c r="G249" s="197">
        <v>36</v>
      </c>
      <c r="H249" s="195">
        <v>4</v>
      </c>
      <c r="I249" s="195">
        <v>25</v>
      </c>
      <c r="J249" s="195">
        <v>89</v>
      </c>
      <c r="K249" s="195" t="s">
        <v>1031</v>
      </c>
      <c r="L249" s="195" t="s">
        <v>526</v>
      </c>
      <c r="N249" s="382" t="s">
        <v>918</v>
      </c>
    </row>
    <row r="250" spans="1:14" ht="12.75" customHeight="1" x14ac:dyDescent="0.2">
      <c r="A250" s="195" t="s">
        <v>1033</v>
      </c>
      <c r="B250" s="195" t="s">
        <v>895</v>
      </c>
      <c r="C250" s="195" t="s">
        <v>896</v>
      </c>
      <c r="D250" s="195" t="s">
        <v>965</v>
      </c>
      <c r="E250" s="195" t="s">
        <v>1034</v>
      </c>
      <c r="F250" s="197" t="s">
        <v>221</v>
      </c>
      <c r="G250" s="197">
        <v>36</v>
      </c>
      <c r="H250" s="195">
        <v>4</v>
      </c>
      <c r="I250" s="195">
        <v>25</v>
      </c>
      <c r="J250" s="195">
        <v>84</v>
      </c>
      <c r="K250" s="195" t="s">
        <v>1033</v>
      </c>
      <c r="L250" s="195" t="s">
        <v>526</v>
      </c>
      <c r="N250" s="382" t="s">
        <v>456</v>
      </c>
    </row>
    <row r="251" spans="1:14" ht="12.75" customHeight="1" x14ac:dyDescent="0.2">
      <c r="A251" s="195" t="s">
        <v>1035</v>
      </c>
      <c r="B251" s="195" t="s">
        <v>895</v>
      </c>
      <c r="C251" s="195" t="s">
        <v>896</v>
      </c>
      <c r="D251" s="195" t="s">
        <v>965</v>
      </c>
      <c r="E251" s="195" t="s">
        <v>1036</v>
      </c>
      <c r="F251" s="197" t="s">
        <v>221</v>
      </c>
      <c r="G251" s="197">
        <v>36</v>
      </c>
      <c r="H251" s="195">
        <v>6</v>
      </c>
      <c r="I251" s="195">
        <v>25</v>
      </c>
      <c r="J251" s="195">
        <v>134</v>
      </c>
      <c r="K251" s="195" t="s">
        <v>1035</v>
      </c>
      <c r="L251" s="195" t="s">
        <v>526</v>
      </c>
      <c r="N251" s="382" t="s">
        <v>456</v>
      </c>
    </row>
    <row r="252" spans="1:14" ht="12.75" customHeight="1" x14ac:dyDescent="0.2">
      <c r="A252" s="195" t="s">
        <v>1037</v>
      </c>
      <c r="B252" s="195" t="s">
        <v>895</v>
      </c>
      <c r="C252" s="195" t="s">
        <v>896</v>
      </c>
      <c r="D252" s="195" t="s">
        <v>1038</v>
      </c>
      <c r="E252" s="195" t="s">
        <v>1039</v>
      </c>
      <c r="F252" s="197" t="s">
        <v>221</v>
      </c>
      <c r="G252" s="197">
        <v>48</v>
      </c>
      <c r="H252" s="195">
        <v>1</v>
      </c>
      <c r="I252" s="195">
        <v>32</v>
      </c>
      <c r="J252" s="195">
        <v>31</v>
      </c>
      <c r="K252" s="195" t="s">
        <v>1037</v>
      </c>
      <c r="L252" s="195" t="s">
        <v>526</v>
      </c>
      <c r="N252" s="382" t="s">
        <v>918</v>
      </c>
    </row>
    <row r="253" spans="1:14" ht="12.75" customHeight="1" x14ac:dyDescent="0.2">
      <c r="A253" s="195" t="s">
        <v>1040</v>
      </c>
      <c r="B253" s="195" t="s">
        <v>895</v>
      </c>
      <c r="C253" s="195" t="s">
        <v>896</v>
      </c>
      <c r="D253" s="195" t="s">
        <v>1041</v>
      </c>
      <c r="E253" s="195" t="s">
        <v>1042</v>
      </c>
      <c r="F253" s="197" t="s">
        <v>221</v>
      </c>
      <c r="G253" s="197">
        <v>48</v>
      </c>
      <c r="H253" s="195">
        <v>1</v>
      </c>
      <c r="I253" s="195">
        <v>30</v>
      </c>
      <c r="J253" s="195">
        <v>28</v>
      </c>
      <c r="K253" s="195" t="s">
        <v>1040</v>
      </c>
      <c r="L253" s="195" t="s">
        <v>526</v>
      </c>
      <c r="N253" s="382" t="s">
        <v>456</v>
      </c>
    </row>
    <row r="254" spans="1:14" ht="12.75" customHeight="1" x14ac:dyDescent="0.2">
      <c r="A254" s="195" t="s">
        <v>1043</v>
      </c>
      <c r="B254" s="195" t="s">
        <v>895</v>
      </c>
      <c r="C254" s="195" t="s">
        <v>896</v>
      </c>
      <c r="D254" s="195" t="s">
        <v>1041</v>
      </c>
      <c r="E254" s="195" t="s">
        <v>1044</v>
      </c>
      <c r="F254" s="197" t="s">
        <v>221</v>
      </c>
      <c r="G254" s="197">
        <v>48</v>
      </c>
      <c r="H254" s="195">
        <v>1</v>
      </c>
      <c r="I254" s="195">
        <v>30</v>
      </c>
      <c r="J254" s="195">
        <v>27</v>
      </c>
      <c r="K254" s="195" t="s">
        <v>1043</v>
      </c>
      <c r="L254" s="195" t="s">
        <v>526</v>
      </c>
      <c r="N254" s="382" t="s">
        <v>456</v>
      </c>
    </row>
    <row r="255" spans="1:14" ht="12.75" customHeight="1" x14ac:dyDescent="0.2">
      <c r="A255" s="195" t="s">
        <v>1045</v>
      </c>
      <c r="B255" s="195" t="s">
        <v>895</v>
      </c>
      <c r="C255" s="195" t="s">
        <v>896</v>
      </c>
      <c r="D255" s="195" t="s">
        <v>1041</v>
      </c>
      <c r="E255" s="195" t="s">
        <v>1046</v>
      </c>
      <c r="F255" s="197" t="s">
        <v>221</v>
      </c>
      <c r="G255" s="197">
        <v>48</v>
      </c>
      <c r="H255" s="195">
        <v>1</v>
      </c>
      <c r="I255" s="195">
        <v>30</v>
      </c>
      <c r="J255" s="195">
        <v>27</v>
      </c>
      <c r="K255" s="195" t="s">
        <v>1045</v>
      </c>
      <c r="L255" s="195" t="s">
        <v>526</v>
      </c>
      <c r="N255" s="382" t="s">
        <v>456</v>
      </c>
    </row>
    <row r="256" spans="1:14" ht="12.75" customHeight="1" x14ac:dyDescent="0.2">
      <c r="A256" s="195" t="s">
        <v>1047</v>
      </c>
      <c r="B256" s="195" t="s">
        <v>895</v>
      </c>
      <c r="C256" s="195" t="s">
        <v>896</v>
      </c>
      <c r="D256" s="195" t="s">
        <v>1041</v>
      </c>
      <c r="E256" s="195" t="s">
        <v>1048</v>
      </c>
      <c r="F256" s="197" t="s">
        <v>221</v>
      </c>
      <c r="G256" s="197">
        <v>48</v>
      </c>
      <c r="H256" s="195">
        <v>1</v>
      </c>
      <c r="I256" s="195">
        <v>30</v>
      </c>
      <c r="J256" s="195">
        <v>26</v>
      </c>
      <c r="K256" s="195" t="s">
        <v>1047</v>
      </c>
      <c r="L256" s="195" t="s">
        <v>526</v>
      </c>
      <c r="N256" s="382" t="s">
        <v>456</v>
      </c>
    </row>
    <row r="257" spans="1:14" ht="12.75" customHeight="1" x14ac:dyDescent="0.2">
      <c r="A257" s="195" t="s">
        <v>1049</v>
      </c>
      <c r="B257" s="195" t="s">
        <v>895</v>
      </c>
      <c r="C257" s="195" t="s">
        <v>896</v>
      </c>
      <c r="D257" s="195" t="s">
        <v>1041</v>
      </c>
      <c r="E257" s="195" t="s">
        <v>1050</v>
      </c>
      <c r="F257" s="197" t="s">
        <v>221</v>
      </c>
      <c r="G257" s="197">
        <v>48</v>
      </c>
      <c r="H257" s="195">
        <v>1</v>
      </c>
      <c r="I257" s="195">
        <v>30</v>
      </c>
      <c r="J257" s="195">
        <v>25</v>
      </c>
      <c r="K257" s="195" t="s">
        <v>1049</v>
      </c>
      <c r="L257" s="195" t="s">
        <v>526</v>
      </c>
      <c r="N257" s="382" t="s">
        <v>456</v>
      </c>
    </row>
    <row r="258" spans="1:14" ht="12.75" customHeight="1" x14ac:dyDescent="0.2">
      <c r="A258" s="195" t="s">
        <v>1051</v>
      </c>
      <c r="B258" s="195" t="s">
        <v>895</v>
      </c>
      <c r="C258" s="195" t="s">
        <v>896</v>
      </c>
      <c r="D258" s="195" t="s">
        <v>1041</v>
      </c>
      <c r="E258" s="195" t="s">
        <v>1052</v>
      </c>
      <c r="F258" s="197" t="s">
        <v>221</v>
      </c>
      <c r="G258" s="197">
        <v>48</v>
      </c>
      <c r="H258" s="195">
        <v>1</v>
      </c>
      <c r="I258" s="195">
        <v>30</v>
      </c>
      <c r="J258" s="195">
        <v>24</v>
      </c>
      <c r="K258" s="195" t="s">
        <v>1051</v>
      </c>
      <c r="L258" s="195" t="s">
        <v>526</v>
      </c>
      <c r="N258" s="382" t="s">
        <v>456</v>
      </c>
    </row>
    <row r="259" spans="1:14" ht="12.75" customHeight="1" x14ac:dyDescent="0.2">
      <c r="A259" s="195" t="s">
        <v>1053</v>
      </c>
      <c r="B259" s="195" t="s">
        <v>895</v>
      </c>
      <c r="C259" s="195" t="s">
        <v>896</v>
      </c>
      <c r="D259" s="195" t="s">
        <v>1041</v>
      </c>
      <c r="E259" s="195" t="s">
        <v>1054</v>
      </c>
      <c r="F259" s="197" t="s">
        <v>221</v>
      </c>
      <c r="G259" s="197">
        <v>48</v>
      </c>
      <c r="H259" s="195">
        <v>1</v>
      </c>
      <c r="I259" s="195">
        <v>30</v>
      </c>
      <c r="J259" s="195">
        <v>24</v>
      </c>
      <c r="K259" s="195" t="s">
        <v>1053</v>
      </c>
      <c r="L259" s="195" t="s">
        <v>526</v>
      </c>
      <c r="N259" s="382" t="s">
        <v>456</v>
      </c>
    </row>
    <row r="260" spans="1:14" ht="12.75" customHeight="1" x14ac:dyDescent="0.2">
      <c r="A260" s="195" t="s">
        <v>1055</v>
      </c>
      <c r="B260" s="195" t="s">
        <v>895</v>
      </c>
      <c r="C260" s="195" t="s">
        <v>896</v>
      </c>
      <c r="D260" s="195" t="s">
        <v>1041</v>
      </c>
      <c r="E260" s="195" t="s">
        <v>1056</v>
      </c>
      <c r="F260" s="197" t="s">
        <v>221</v>
      </c>
      <c r="G260" s="197">
        <v>48</v>
      </c>
      <c r="H260" s="195">
        <v>1</v>
      </c>
      <c r="I260" s="195">
        <v>30</v>
      </c>
      <c r="J260" s="195">
        <v>23</v>
      </c>
      <c r="K260" s="195" t="s">
        <v>1055</v>
      </c>
      <c r="L260" s="195" t="s">
        <v>526</v>
      </c>
      <c r="N260" s="382" t="s">
        <v>456</v>
      </c>
    </row>
    <row r="261" spans="1:14" ht="12.75" customHeight="1" x14ac:dyDescent="0.2">
      <c r="A261" s="195" t="s">
        <v>1057</v>
      </c>
      <c r="B261" s="195" t="s">
        <v>895</v>
      </c>
      <c r="C261" s="195" t="s">
        <v>896</v>
      </c>
      <c r="D261" s="195" t="s">
        <v>1041</v>
      </c>
      <c r="E261" s="195" t="s">
        <v>1058</v>
      </c>
      <c r="F261" s="197" t="s">
        <v>221</v>
      </c>
      <c r="G261" s="197">
        <v>48</v>
      </c>
      <c r="H261" s="195">
        <v>1</v>
      </c>
      <c r="I261" s="195">
        <v>30</v>
      </c>
      <c r="J261" s="195">
        <v>37</v>
      </c>
      <c r="K261" s="195" t="s">
        <v>1057</v>
      </c>
      <c r="L261" s="195" t="s">
        <v>526</v>
      </c>
      <c r="N261" s="382" t="s">
        <v>918</v>
      </c>
    </row>
    <row r="262" spans="1:14" ht="12.75" customHeight="1" x14ac:dyDescent="0.2">
      <c r="A262" s="195" t="s">
        <v>1059</v>
      </c>
      <c r="B262" s="195" t="s">
        <v>895</v>
      </c>
      <c r="C262" s="195" t="s">
        <v>896</v>
      </c>
      <c r="D262" s="195" t="s">
        <v>1041</v>
      </c>
      <c r="E262" s="195" t="s">
        <v>1060</v>
      </c>
      <c r="F262" s="197" t="s">
        <v>221</v>
      </c>
      <c r="G262" s="197">
        <v>48</v>
      </c>
      <c r="H262" s="195">
        <v>1</v>
      </c>
      <c r="I262" s="195">
        <v>30</v>
      </c>
      <c r="J262" s="195">
        <v>36</v>
      </c>
      <c r="K262" s="195" t="s">
        <v>1059</v>
      </c>
      <c r="L262" s="195" t="s">
        <v>526</v>
      </c>
      <c r="N262" s="382" t="s">
        <v>918</v>
      </c>
    </row>
    <row r="263" spans="1:14" ht="12.75" customHeight="1" x14ac:dyDescent="0.2">
      <c r="A263" s="195" t="s">
        <v>1061</v>
      </c>
      <c r="B263" s="195" t="s">
        <v>895</v>
      </c>
      <c r="C263" s="195" t="s">
        <v>896</v>
      </c>
      <c r="D263" s="195" t="s">
        <v>1041</v>
      </c>
      <c r="E263" s="195" t="s">
        <v>1062</v>
      </c>
      <c r="F263" s="197" t="s">
        <v>221</v>
      </c>
      <c r="G263" s="197">
        <v>48</v>
      </c>
      <c r="H263" s="195">
        <v>1</v>
      </c>
      <c r="I263" s="195">
        <v>30</v>
      </c>
      <c r="J263" s="195">
        <v>36</v>
      </c>
      <c r="K263" s="195" t="s">
        <v>1061</v>
      </c>
      <c r="L263" s="195" t="s">
        <v>526</v>
      </c>
      <c r="N263" s="382" t="s">
        <v>918</v>
      </c>
    </row>
    <row r="264" spans="1:14" ht="12.75" customHeight="1" x14ac:dyDescent="0.2">
      <c r="A264" s="195" t="s">
        <v>1063</v>
      </c>
      <c r="B264" s="195" t="s">
        <v>895</v>
      </c>
      <c r="C264" s="195" t="s">
        <v>896</v>
      </c>
      <c r="D264" s="195" t="s">
        <v>1064</v>
      </c>
      <c r="E264" s="195" t="s">
        <v>1042</v>
      </c>
      <c r="F264" s="197" t="s">
        <v>221</v>
      </c>
      <c r="G264" s="197">
        <v>48</v>
      </c>
      <c r="H264" s="195">
        <v>1</v>
      </c>
      <c r="I264" s="195">
        <v>28</v>
      </c>
      <c r="J264" s="195">
        <v>26</v>
      </c>
      <c r="K264" s="195" t="s">
        <v>1063</v>
      </c>
      <c r="L264" s="195" t="s">
        <v>526</v>
      </c>
      <c r="N264" s="382" t="s">
        <v>456</v>
      </c>
    </row>
    <row r="265" spans="1:14" ht="12.75" customHeight="1" x14ac:dyDescent="0.2">
      <c r="A265" s="195" t="s">
        <v>1065</v>
      </c>
      <c r="B265" s="195" t="s">
        <v>895</v>
      </c>
      <c r="C265" s="195" t="s">
        <v>896</v>
      </c>
      <c r="D265" s="195" t="s">
        <v>1064</v>
      </c>
      <c r="E265" s="195" t="s">
        <v>1044</v>
      </c>
      <c r="F265" s="197" t="s">
        <v>221</v>
      </c>
      <c r="G265" s="197">
        <v>48</v>
      </c>
      <c r="H265" s="195">
        <v>1</v>
      </c>
      <c r="I265" s="195">
        <v>28</v>
      </c>
      <c r="J265" s="195">
        <v>25</v>
      </c>
      <c r="K265" s="195" t="s">
        <v>1065</v>
      </c>
      <c r="L265" s="195" t="s">
        <v>526</v>
      </c>
      <c r="N265" s="382" t="s">
        <v>456</v>
      </c>
    </row>
    <row r="266" spans="1:14" ht="12.75" customHeight="1" x14ac:dyDescent="0.2">
      <c r="A266" s="195" t="s">
        <v>1066</v>
      </c>
      <c r="B266" s="195" t="s">
        <v>895</v>
      </c>
      <c r="C266" s="195" t="s">
        <v>896</v>
      </c>
      <c r="D266" s="195" t="s">
        <v>1064</v>
      </c>
      <c r="E266" s="195" t="s">
        <v>1046</v>
      </c>
      <c r="F266" s="197" t="s">
        <v>221</v>
      </c>
      <c r="G266" s="197">
        <v>48</v>
      </c>
      <c r="H266" s="195">
        <v>1</v>
      </c>
      <c r="I266" s="195">
        <v>28</v>
      </c>
      <c r="J266" s="195">
        <v>25</v>
      </c>
      <c r="K266" s="195" t="s">
        <v>1066</v>
      </c>
      <c r="L266" s="195" t="s">
        <v>526</v>
      </c>
      <c r="N266" s="382" t="s">
        <v>456</v>
      </c>
    </row>
    <row r="267" spans="1:14" ht="12.75" customHeight="1" x14ac:dyDescent="0.2">
      <c r="A267" s="195" t="s">
        <v>1067</v>
      </c>
      <c r="B267" s="195" t="s">
        <v>895</v>
      </c>
      <c r="C267" s="195" t="s">
        <v>896</v>
      </c>
      <c r="D267" s="195" t="s">
        <v>1064</v>
      </c>
      <c r="E267" s="195" t="s">
        <v>1048</v>
      </c>
      <c r="F267" s="197" t="s">
        <v>221</v>
      </c>
      <c r="G267" s="197">
        <v>48</v>
      </c>
      <c r="H267" s="195">
        <v>1</v>
      </c>
      <c r="I267" s="195">
        <v>28</v>
      </c>
      <c r="J267" s="195">
        <v>24</v>
      </c>
      <c r="K267" s="195" t="s">
        <v>1067</v>
      </c>
      <c r="L267" s="195" t="s">
        <v>526</v>
      </c>
      <c r="N267" s="382" t="s">
        <v>456</v>
      </c>
    </row>
    <row r="268" spans="1:14" ht="12.75" customHeight="1" x14ac:dyDescent="0.2">
      <c r="A268" s="195" t="s">
        <v>1068</v>
      </c>
      <c r="B268" s="195" t="s">
        <v>895</v>
      </c>
      <c r="C268" s="195" t="s">
        <v>896</v>
      </c>
      <c r="D268" s="195" t="s">
        <v>1064</v>
      </c>
      <c r="E268" s="195" t="s">
        <v>1050</v>
      </c>
      <c r="F268" s="197" t="s">
        <v>221</v>
      </c>
      <c r="G268" s="197">
        <v>48</v>
      </c>
      <c r="H268" s="195">
        <v>1</v>
      </c>
      <c r="I268" s="195">
        <v>28</v>
      </c>
      <c r="J268" s="195">
        <v>23</v>
      </c>
      <c r="K268" s="195" t="s">
        <v>1068</v>
      </c>
      <c r="L268" s="195" t="s">
        <v>526</v>
      </c>
      <c r="N268" s="382" t="s">
        <v>456</v>
      </c>
    </row>
    <row r="269" spans="1:14" ht="12.75" customHeight="1" x14ac:dyDescent="0.2">
      <c r="A269" s="195" t="s">
        <v>1069</v>
      </c>
      <c r="B269" s="195" t="s">
        <v>895</v>
      </c>
      <c r="C269" s="195" t="s">
        <v>896</v>
      </c>
      <c r="D269" s="195" t="s">
        <v>1064</v>
      </c>
      <c r="E269" s="195" t="s">
        <v>1052</v>
      </c>
      <c r="F269" s="197" t="s">
        <v>221</v>
      </c>
      <c r="G269" s="197">
        <v>48</v>
      </c>
      <c r="H269" s="195">
        <v>1</v>
      </c>
      <c r="I269" s="195">
        <v>28</v>
      </c>
      <c r="J269" s="195">
        <v>22</v>
      </c>
      <c r="K269" s="195" t="s">
        <v>1069</v>
      </c>
      <c r="L269" s="195" t="s">
        <v>526</v>
      </c>
      <c r="N269" s="382" t="s">
        <v>456</v>
      </c>
    </row>
    <row r="270" spans="1:14" ht="12.75" customHeight="1" x14ac:dyDescent="0.2">
      <c r="A270" s="195" t="s">
        <v>1070</v>
      </c>
      <c r="B270" s="195" t="s">
        <v>895</v>
      </c>
      <c r="C270" s="195" t="s">
        <v>896</v>
      </c>
      <c r="D270" s="195" t="s">
        <v>1064</v>
      </c>
      <c r="E270" s="195" t="s">
        <v>1054</v>
      </c>
      <c r="F270" s="197" t="s">
        <v>221</v>
      </c>
      <c r="G270" s="197">
        <v>48</v>
      </c>
      <c r="H270" s="195">
        <v>1</v>
      </c>
      <c r="I270" s="195">
        <v>28</v>
      </c>
      <c r="J270" s="195">
        <v>22</v>
      </c>
      <c r="K270" s="195" t="s">
        <v>1070</v>
      </c>
      <c r="L270" s="195" t="s">
        <v>526</v>
      </c>
      <c r="N270" s="382" t="s">
        <v>456</v>
      </c>
    </row>
    <row r="271" spans="1:14" ht="12.75" customHeight="1" x14ac:dyDescent="0.2">
      <c r="A271" s="195" t="s">
        <v>1071</v>
      </c>
      <c r="B271" s="195" t="s">
        <v>895</v>
      </c>
      <c r="C271" s="195" t="s">
        <v>896</v>
      </c>
      <c r="D271" s="195" t="s">
        <v>1064</v>
      </c>
      <c r="E271" s="195" t="s">
        <v>1056</v>
      </c>
      <c r="F271" s="197" t="s">
        <v>221</v>
      </c>
      <c r="G271" s="197">
        <v>48</v>
      </c>
      <c r="H271" s="195">
        <v>1</v>
      </c>
      <c r="I271" s="195">
        <v>28</v>
      </c>
      <c r="J271" s="195">
        <v>21</v>
      </c>
      <c r="K271" s="195" t="s">
        <v>1071</v>
      </c>
      <c r="L271" s="195" t="s">
        <v>526</v>
      </c>
      <c r="N271" s="382" t="s">
        <v>456</v>
      </c>
    </row>
    <row r="272" spans="1:14" ht="12.75" customHeight="1" x14ac:dyDescent="0.2">
      <c r="A272" s="195" t="s">
        <v>1072</v>
      </c>
      <c r="B272" s="195" t="s">
        <v>895</v>
      </c>
      <c r="C272" s="195" t="s">
        <v>896</v>
      </c>
      <c r="D272" s="195" t="s">
        <v>1064</v>
      </c>
      <c r="E272" s="195" t="s">
        <v>1058</v>
      </c>
      <c r="F272" s="197" t="s">
        <v>221</v>
      </c>
      <c r="G272" s="197">
        <v>48</v>
      </c>
      <c r="H272" s="195">
        <v>1</v>
      </c>
      <c r="I272" s="195">
        <v>28</v>
      </c>
      <c r="J272" s="195">
        <v>33</v>
      </c>
      <c r="K272" s="195" t="s">
        <v>1072</v>
      </c>
      <c r="L272" s="195" t="s">
        <v>526</v>
      </c>
      <c r="N272" s="382" t="s">
        <v>918</v>
      </c>
    </row>
    <row r="273" spans="1:14" ht="12.75" customHeight="1" x14ac:dyDescent="0.2">
      <c r="A273" s="195" t="s">
        <v>1073</v>
      </c>
      <c r="B273" s="195" t="s">
        <v>895</v>
      </c>
      <c r="C273" s="195" t="s">
        <v>896</v>
      </c>
      <c r="D273" s="195" t="s">
        <v>1064</v>
      </c>
      <c r="E273" s="195" t="s">
        <v>1060</v>
      </c>
      <c r="F273" s="197" t="s">
        <v>221</v>
      </c>
      <c r="G273" s="197">
        <v>48</v>
      </c>
      <c r="H273" s="195">
        <v>1</v>
      </c>
      <c r="I273" s="195">
        <v>28</v>
      </c>
      <c r="J273" s="195">
        <v>32</v>
      </c>
      <c r="K273" s="195" t="s">
        <v>1073</v>
      </c>
      <c r="L273" s="195" t="s">
        <v>526</v>
      </c>
      <c r="N273" s="382" t="s">
        <v>456</v>
      </c>
    </row>
    <row r="274" spans="1:14" ht="12.75" customHeight="1" x14ac:dyDescent="0.2">
      <c r="A274" s="195" t="s">
        <v>1074</v>
      </c>
      <c r="B274" s="195" t="s">
        <v>895</v>
      </c>
      <c r="C274" s="195" t="s">
        <v>896</v>
      </c>
      <c r="D274" s="195" t="s">
        <v>1064</v>
      </c>
      <c r="E274" s="195" t="s">
        <v>1062</v>
      </c>
      <c r="F274" s="197" t="s">
        <v>221</v>
      </c>
      <c r="G274" s="197">
        <v>48</v>
      </c>
      <c r="H274" s="195">
        <v>1</v>
      </c>
      <c r="I274" s="195">
        <v>28</v>
      </c>
      <c r="J274" s="195">
        <v>32</v>
      </c>
      <c r="K274" s="195" t="s">
        <v>1074</v>
      </c>
      <c r="L274" s="195" t="s">
        <v>526</v>
      </c>
      <c r="N274" s="382" t="s">
        <v>456</v>
      </c>
    </row>
    <row r="275" spans="1:14" ht="12.75" customHeight="1" x14ac:dyDescent="0.2">
      <c r="A275" s="195" t="s">
        <v>1075</v>
      </c>
      <c r="B275" s="195" t="s">
        <v>895</v>
      </c>
      <c r="C275" s="195" t="s">
        <v>896</v>
      </c>
      <c r="D275" s="195" t="s">
        <v>1038</v>
      </c>
      <c r="E275" s="195" t="s">
        <v>1076</v>
      </c>
      <c r="F275" s="197" t="s">
        <v>221</v>
      </c>
      <c r="G275" s="197">
        <v>48</v>
      </c>
      <c r="H275" s="195">
        <v>1</v>
      </c>
      <c r="I275" s="195">
        <v>32</v>
      </c>
      <c r="J275" s="195">
        <v>30</v>
      </c>
      <c r="K275" s="195" t="s">
        <v>1075</v>
      </c>
      <c r="L275" s="195" t="s">
        <v>526</v>
      </c>
      <c r="N275" s="382" t="s">
        <v>456</v>
      </c>
    </row>
    <row r="276" spans="1:14" ht="12.75" customHeight="1" x14ac:dyDescent="0.2">
      <c r="A276" s="195" t="s">
        <v>1077</v>
      </c>
      <c r="B276" s="195" t="s">
        <v>895</v>
      </c>
      <c r="C276" s="195" t="s">
        <v>896</v>
      </c>
      <c r="D276" s="195" t="s">
        <v>1038</v>
      </c>
      <c r="E276" s="195" t="s">
        <v>1078</v>
      </c>
      <c r="F276" s="197" t="s">
        <v>221</v>
      </c>
      <c r="G276" s="197">
        <v>48</v>
      </c>
      <c r="H276" s="195">
        <v>1</v>
      </c>
      <c r="I276" s="195">
        <v>32</v>
      </c>
      <c r="J276" s="195">
        <v>33</v>
      </c>
      <c r="K276" s="195" t="s">
        <v>1077</v>
      </c>
      <c r="L276" s="195" t="s">
        <v>526</v>
      </c>
      <c r="N276" s="382" t="s">
        <v>918</v>
      </c>
    </row>
    <row r="277" spans="1:14" ht="12.75" customHeight="1" x14ac:dyDescent="0.2">
      <c r="A277" s="195" t="s">
        <v>1079</v>
      </c>
      <c r="B277" s="195" t="s">
        <v>895</v>
      </c>
      <c r="C277" s="195" t="s">
        <v>896</v>
      </c>
      <c r="D277" s="195" t="s">
        <v>1038</v>
      </c>
      <c r="E277" s="195" t="s">
        <v>1080</v>
      </c>
      <c r="F277" s="197" t="s">
        <v>221</v>
      </c>
      <c r="G277" s="197">
        <v>48</v>
      </c>
      <c r="H277" s="195">
        <v>1</v>
      </c>
      <c r="I277" s="195">
        <v>32</v>
      </c>
      <c r="J277" s="195">
        <v>26</v>
      </c>
      <c r="K277" s="195" t="s">
        <v>1079</v>
      </c>
      <c r="L277" s="195" t="s">
        <v>526</v>
      </c>
      <c r="N277" s="382" t="s">
        <v>456</v>
      </c>
    </row>
    <row r="278" spans="1:14" ht="12.75" customHeight="1" x14ac:dyDescent="0.2">
      <c r="A278" s="195" t="s">
        <v>1081</v>
      </c>
      <c r="B278" s="195" t="s">
        <v>895</v>
      </c>
      <c r="C278" s="195" t="s">
        <v>896</v>
      </c>
      <c r="D278" s="195" t="s">
        <v>1038</v>
      </c>
      <c r="E278" s="195" t="s">
        <v>1082</v>
      </c>
      <c r="F278" s="197" t="s">
        <v>221</v>
      </c>
      <c r="G278" s="197">
        <v>48</v>
      </c>
      <c r="H278" s="195">
        <v>1</v>
      </c>
      <c r="I278" s="195">
        <v>32</v>
      </c>
      <c r="J278" s="195">
        <v>30</v>
      </c>
      <c r="K278" s="195" t="s">
        <v>1081</v>
      </c>
      <c r="L278" s="195" t="s">
        <v>526</v>
      </c>
      <c r="N278" s="382" t="s">
        <v>456</v>
      </c>
    </row>
    <row r="279" spans="1:14" ht="12.75" customHeight="1" x14ac:dyDescent="0.2">
      <c r="A279" s="195" t="s">
        <v>1083</v>
      </c>
      <c r="B279" s="195" t="s">
        <v>895</v>
      </c>
      <c r="C279" s="195" t="s">
        <v>896</v>
      </c>
      <c r="D279" s="195" t="s">
        <v>1038</v>
      </c>
      <c r="E279" s="195" t="s">
        <v>1084</v>
      </c>
      <c r="F279" s="197" t="s">
        <v>221</v>
      </c>
      <c r="G279" s="197">
        <v>48</v>
      </c>
      <c r="H279" s="195">
        <v>1</v>
      </c>
      <c r="I279" s="195">
        <v>32</v>
      </c>
      <c r="J279" s="195">
        <v>31</v>
      </c>
      <c r="K279" s="195" t="s">
        <v>1083</v>
      </c>
      <c r="L279" s="195" t="s">
        <v>526</v>
      </c>
      <c r="N279" s="382" t="s">
        <v>918</v>
      </c>
    </row>
    <row r="280" spans="1:14" ht="12.75" customHeight="1" x14ac:dyDescent="0.2">
      <c r="A280" s="195" t="s">
        <v>1085</v>
      </c>
      <c r="B280" s="195" t="s">
        <v>895</v>
      </c>
      <c r="C280" s="195" t="s">
        <v>896</v>
      </c>
      <c r="D280" s="195" t="s">
        <v>1038</v>
      </c>
      <c r="E280" s="195" t="s">
        <v>1086</v>
      </c>
      <c r="F280" s="197" t="s">
        <v>221</v>
      </c>
      <c r="G280" s="197">
        <v>48</v>
      </c>
      <c r="H280" s="195">
        <v>1</v>
      </c>
      <c r="I280" s="195">
        <v>32</v>
      </c>
      <c r="J280" s="195">
        <v>26</v>
      </c>
      <c r="K280" s="195" t="s">
        <v>1085</v>
      </c>
      <c r="L280" s="195" t="s">
        <v>526</v>
      </c>
      <c r="N280" s="382" t="s">
        <v>456</v>
      </c>
    </row>
    <row r="281" spans="1:14" ht="12.75" customHeight="1" x14ac:dyDescent="0.2">
      <c r="A281" s="195" t="s">
        <v>1087</v>
      </c>
      <c r="B281" s="195" t="s">
        <v>895</v>
      </c>
      <c r="C281" s="195" t="s">
        <v>896</v>
      </c>
      <c r="D281" s="195" t="s">
        <v>1038</v>
      </c>
      <c r="E281" s="195" t="s">
        <v>1088</v>
      </c>
      <c r="F281" s="197" t="s">
        <v>221</v>
      </c>
      <c r="G281" s="197">
        <v>48</v>
      </c>
      <c r="H281" s="195">
        <v>1</v>
      </c>
      <c r="I281" s="195">
        <v>32</v>
      </c>
      <c r="J281" s="195">
        <v>28</v>
      </c>
      <c r="K281" s="195" t="s">
        <v>1087</v>
      </c>
      <c r="L281" s="195" t="s">
        <v>526</v>
      </c>
      <c r="N281" s="382" t="s">
        <v>456</v>
      </c>
    </row>
    <row r="282" spans="1:14" ht="12.75" customHeight="1" x14ac:dyDescent="0.2">
      <c r="A282" s="195" t="s">
        <v>167</v>
      </c>
      <c r="B282" s="195" t="s">
        <v>895</v>
      </c>
      <c r="C282" s="195" t="s">
        <v>896</v>
      </c>
      <c r="D282" s="195" t="s">
        <v>1038</v>
      </c>
      <c r="E282" s="195" t="s">
        <v>1089</v>
      </c>
      <c r="F282" s="197" t="s">
        <v>221</v>
      </c>
      <c r="G282" s="197">
        <v>48</v>
      </c>
      <c r="H282" s="195">
        <v>1</v>
      </c>
      <c r="I282" s="195">
        <v>32</v>
      </c>
      <c r="J282" s="195">
        <v>26</v>
      </c>
      <c r="K282" s="195" t="s">
        <v>167</v>
      </c>
      <c r="L282" s="195" t="s">
        <v>526</v>
      </c>
      <c r="N282" s="382" t="s">
        <v>456</v>
      </c>
    </row>
    <row r="283" spans="1:14" ht="12.75" customHeight="1" x14ac:dyDescent="0.2">
      <c r="A283" s="195" t="s">
        <v>1090</v>
      </c>
      <c r="B283" s="195" t="s">
        <v>895</v>
      </c>
      <c r="C283" s="195" t="s">
        <v>896</v>
      </c>
      <c r="D283" s="195" t="s">
        <v>1038</v>
      </c>
      <c r="E283" s="195" t="s">
        <v>1091</v>
      </c>
      <c r="F283" s="197" t="s">
        <v>221</v>
      </c>
      <c r="G283" s="197">
        <v>48</v>
      </c>
      <c r="H283" s="195">
        <v>1</v>
      </c>
      <c r="I283" s="195">
        <v>32</v>
      </c>
      <c r="J283" s="195">
        <v>36</v>
      </c>
      <c r="K283" s="195" t="s">
        <v>1090</v>
      </c>
      <c r="L283" s="195" t="s">
        <v>526</v>
      </c>
      <c r="N283" s="382" t="s">
        <v>918</v>
      </c>
    </row>
    <row r="284" spans="1:14" ht="12.75" customHeight="1" x14ac:dyDescent="0.2">
      <c r="A284" s="195" t="s">
        <v>1092</v>
      </c>
      <c r="B284" s="195" t="s">
        <v>895</v>
      </c>
      <c r="C284" s="195" t="s">
        <v>896</v>
      </c>
      <c r="D284" s="195" t="s">
        <v>1038</v>
      </c>
      <c r="E284" s="195" t="s">
        <v>1093</v>
      </c>
      <c r="F284" s="197" t="s">
        <v>931</v>
      </c>
      <c r="G284" s="197">
        <v>48</v>
      </c>
      <c r="H284" s="195">
        <v>1</v>
      </c>
      <c r="I284" s="195">
        <v>32</v>
      </c>
      <c r="J284" s="195">
        <v>35</v>
      </c>
      <c r="K284" s="195" t="s">
        <v>1092</v>
      </c>
      <c r="L284" s="195" t="s">
        <v>526</v>
      </c>
      <c r="N284" s="382" t="s">
        <v>456</v>
      </c>
    </row>
    <row r="285" spans="1:14" ht="12.75" customHeight="1" x14ac:dyDescent="0.2">
      <c r="A285" s="195" t="s">
        <v>1094</v>
      </c>
      <c r="B285" s="195" t="s">
        <v>895</v>
      </c>
      <c r="C285" s="195" t="s">
        <v>896</v>
      </c>
      <c r="D285" s="195" t="s">
        <v>1038</v>
      </c>
      <c r="E285" s="195" t="s">
        <v>1095</v>
      </c>
      <c r="F285" s="197" t="s">
        <v>221</v>
      </c>
      <c r="G285" s="197">
        <v>48</v>
      </c>
      <c r="H285" s="195">
        <v>1</v>
      </c>
      <c r="I285" s="195">
        <v>32</v>
      </c>
      <c r="J285" s="195">
        <v>32</v>
      </c>
      <c r="K285" s="195" t="s">
        <v>1094</v>
      </c>
      <c r="L285" s="195" t="s">
        <v>526</v>
      </c>
      <c r="N285" s="382" t="s">
        <v>918</v>
      </c>
    </row>
    <row r="286" spans="1:14" ht="12.75" customHeight="1" x14ac:dyDescent="0.2">
      <c r="A286" s="195" t="s">
        <v>1096</v>
      </c>
      <c r="B286" s="195" t="s">
        <v>895</v>
      </c>
      <c r="C286" s="195" t="s">
        <v>896</v>
      </c>
      <c r="D286" s="195" t="s">
        <v>1038</v>
      </c>
      <c r="E286" s="195" t="s">
        <v>1097</v>
      </c>
      <c r="F286" s="197" t="s">
        <v>221</v>
      </c>
      <c r="G286" s="197">
        <v>48</v>
      </c>
      <c r="H286" s="195">
        <v>1</v>
      </c>
      <c r="I286" s="195">
        <v>32</v>
      </c>
      <c r="J286" s="195">
        <v>30</v>
      </c>
      <c r="K286" s="195" t="s">
        <v>1096</v>
      </c>
      <c r="L286" s="195" t="s">
        <v>526</v>
      </c>
      <c r="N286" s="382" t="s">
        <v>456</v>
      </c>
    </row>
    <row r="287" spans="1:14" ht="12.75" customHeight="1" x14ac:dyDescent="0.2">
      <c r="A287" s="195" t="s">
        <v>1098</v>
      </c>
      <c r="B287" s="195" t="s">
        <v>895</v>
      </c>
      <c r="C287" s="195" t="s">
        <v>896</v>
      </c>
      <c r="D287" s="195" t="s">
        <v>1038</v>
      </c>
      <c r="E287" s="195" t="s">
        <v>1099</v>
      </c>
      <c r="F287" s="197" t="s">
        <v>221</v>
      </c>
      <c r="G287" s="197">
        <v>48</v>
      </c>
      <c r="H287" s="195">
        <v>1</v>
      </c>
      <c r="I287" s="195">
        <v>32</v>
      </c>
      <c r="J287" s="195">
        <v>39</v>
      </c>
      <c r="K287" s="195" t="s">
        <v>1098</v>
      </c>
      <c r="L287" s="195" t="s">
        <v>526</v>
      </c>
      <c r="N287" s="382" t="s">
        <v>918</v>
      </c>
    </row>
    <row r="288" spans="1:14" ht="12.75" customHeight="1" x14ac:dyDescent="0.2">
      <c r="A288" s="195" t="s">
        <v>1100</v>
      </c>
      <c r="B288" s="195" t="s">
        <v>895</v>
      </c>
      <c r="C288" s="195" t="s">
        <v>896</v>
      </c>
      <c r="D288" s="195" t="s">
        <v>1038</v>
      </c>
      <c r="E288" s="195" t="s">
        <v>1101</v>
      </c>
      <c r="F288" s="197" t="s">
        <v>221</v>
      </c>
      <c r="G288" s="197">
        <v>48</v>
      </c>
      <c r="H288" s="195">
        <v>1</v>
      </c>
      <c r="I288" s="195">
        <v>32</v>
      </c>
      <c r="J288" s="195">
        <v>27</v>
      </c>
      <c r="K288" s="195" t="s">
        <v>1100</v>
      </c>
      <c r="L288" s="195" t="s">
        <v>526</v>
      </c>
      <c r="N288" s="382" t="s">
        <v>456</v>
      </c>
    </row>
    <row r="289" spans="1:14" ht="12.75" customHeight="1" x14ac:dyDescent="0.2">
      <c r="A289" s="195" t="s">
        <v>1102</v>
      </c>
      <c r="B289" s="195" t="s">
        <v>895</v>
      </c>
      <c r="C289" s="195" t="s">
        <v>896</v>
      </c>
      <c r="D289" s="195" t="s">
        <v>1038</v>
      </c>
      <c r="E289" s="195" t="s">
        <v>1103</v>
      </c>
      <c r="F289" s="197" t="s">
        <v>221</v>
      </c>
      <c r="G289" s="197">
        <v>48</v>
      </c>
      <c r="H289" s="195">
        <v>1</v>
      </c>
      <c r="I289" s="195">
        <v>32</v>
      </c>
      <c r="J289" s="195">
        <v>31</v>
      </c>
      <c r="K289" s="195" t="s">
        <v>1102</v>
      </c>
      <c r="L289" s="195" t="s">
        <v>526</v>
      </c>
      <c r="N289" s="382" t="s">
        <v>456</v>
      </c>
    </row>
    <row r="290" spans="1:14" ht="12.75" customHeight="1" x14ac:dyDescent="0.2">
      <c r="A290" s="195" t="s">
        <v>1104</v>
      </c>
      <c r="B290" s="195" t="s">
        <v>895</v>
      </c>
      <c r="C290" s="195" t="s">
        <v>896</v>
      </c>
      <c r="D290" s="195" t="s">
        <v>1038</v>
      </c>
      <c r="E290" s="195" t="s">
        <v>1105</v>
      </c>
      <c r="F290" s="197" t="s">
        <v>221</v>
      </c>
      <c r="G290" s="197">
        <v>48</v>
      </c>
      <c r="H290" s="195">
        <v>1</v>
      </c>
      <c r="I290" s="195">
        <v>32</v>
      </c>
      <c r="J290" s="195">
        <v>33</v>
      </c>
      <c r="K290" s="195" t="s">
        <v>1104</v>
      </c>
      <c r="L290" s="195" t="s">
        <v>526</v>
      </c>
      <c r="N290" s="382" t="s">
        <v>918</v>
      </c>
    </row>
    <row r="291" spans="1:14" ht="12.75" customHeight="1" x14ac:dyDescent="0.2">
      <c r="A291" s="195" t="s">
        <v>1106</v>
      </c>
      <c r="B291" s="195" t="s">
        <v>895</v>
      </c>
      <c r="C291" s="195" t="s">
        <v>896</v>
      </c>
      <c r="D291" s="195" t="s">
        <v>1038</v>
      </c>
      <c r="E291" s="195" t="s">
        <v>1107</v>
      </c>
      <c r="F291" s="197" t="s">
        <v>221</v>
      </c>
      <c r="G291" s="197">
        <v>48</v>
      </c>
      <c r="H291" s="195">
        <v>1</v>
      </c>
      <c r="I291" s="195">
        <v>32</v>
      </c>
      <c r="J291" s="195">
        <v>25</v>
      </c>
      <c r="K291" s="195" t="s">
        <v>1106</v>
      </c>
      <c r="L291" s="195" t="s">
        <v>526</v>
      </c>
      <c r="N291" s="382" t="s">
        <v>456</v>
      </c>
    </row>
    <row r="292" spans="1:14" ht="12.75" customHeight="1" x14ac:dyDescent="0.2">
      <c r="A292" s="195" t="s">
        <v>1108</v>
      </c>
      <c r="B292" s="195" t="s">
        <v>895</v>
      </c>
      <c r="C292" s="195" t="s">
        <v>896</v>
      </c>
      <c r="D292" s="195" t="s">
        <v>1038</v>
      </c>
      <c r="E292" s="195" t="s">
        <v>1109</v>
      </c>
      <c r="F292" s="197" t="s">
        <v>221</v>
      </c>
      <c r="G292" s="197">
        <v>48</v>
      </c>
      <c r="H292" s="195">
        <v>1</v>
      </c>
      <c r="I292" s="195">
        <v>32</v>
      </c>
      <c r="J292" s="195">
        <v>30</v>
      </c>
      <c r="K292" s="195" t="s">
        <v>1108</v>
      </c>
      <c r="L292" s="195" t="s">
        <v>526</v>
      </c>
      <c r="N292" s="382" t="s">
        <v>456</v>
      </c>
    </row>
    <row r="293" spans="1:14" ht="12.75" customHeight="1" x14ac:dyDescent="0.2">
      <c r="A293" s="195" t="s">
        <v>1110</v>
      </c>
      <c r="B293" s="195" t="s">
        <v>895</v>
      </c>
      <c r="C293" s="195" t="s">
        <v>896</v>
      </c>
      <c r="D293" s="195" t="s">
        <v>1038</v>
      </c>
      <c r="E293" s="195" t="s">
        <v>1111</v>
      </c>
      <c r="F293" s="197" t="s">
        <v>221</v>
      </c>
      <c r="G293" s="197">
        <v>48</v>
      </c>
      <c r="H293" s="195">
        <v>1</v>
      </c>
      <c r="I293" s="195">
        <v>32</v>
      </c>
      <c r="J293" s="195">
        <v>26</v>
      </c>
      <c r="K293" s="195" t="s">
        <v>1110</v>
      </c>
      <c r="L293" s="195" t="s">
        <v>526</v>
      </c>
      <c r="N293" s="382" t="s">
        <v>918</v>
      </c>
    </row>
    <row r="294" spans="1:14" ht="12.75" customHeight="1" x14ac:dyDescent="0.2">
      <c r="A294" s="195" t="s">
        <v>1112</v>
      </c>
      <c r="B294" s="195" t="s">
        <v>895</v>
      </c>
      <c r="C294" s="195" t="s">
        <v>896</v>
      </c>
      <c r="D294" s="195" t="s">
        <v>1038</v>
      </c>
      <c r="E294" s="195" t="s">
        <v>1113</v>
      </c>
      <c r="F294" s="197" t="s">
        <v>221</v>
      </c>
      <c r="G294" s="197">
        <v>48</v>
      </c>
      <c r="H294" s="195">
        <v>1</v>
      </c>
      <c r="I294" s="195">
        <v>32</v>
      </c>
      <c r="J294" s="195">
        <v>39</v>
      </c>
      <c r="K294" s="195" t="s">
        <v>1112</v>
      </c>
      <c r="L294" s="195" t="s">
        <v>526</v>
      </c>
      <c r="N294" s="382" t="s">
        <v>918</v>
      </c>
    </row>
    <row r="295" spans="1:14" ht="12.75" customHeight="1" x14ac:dyDescent="0.2">
      <c r="A295" s="195" t="s">
        <v>1114</v>
      </c>
      <c r="B295" s="195" t="s">
        <v>895</v>
      </c>
      <c r="C295" s="195" t="s">
        <v>896</v>
      </c>
      <c r="D295" s="195" t="s">
        <v>1038</v>
      </c>
      <c r="E295" s="195" t="s">
        <v>1115</v>
      </c>
      <c r="F295" s="197" t="s">
        <v>221</v>
      </c>
      <c r="G295" s="197">
        <v>48</v>
      </c>
      <c r="H295" s="195">
        <v>1</v>
      </c>
      <c r="I295" s="195">
        <v>32</v>
      </c>
      <c r="J295" s="195">
        <v>27</v>
      </c>
      <c r="K295" s="195" t="s">
        <v>1114</v>
      </c>
      <c r="L295" s="195" t="s">
        <v>526</v>
      </c>
      <c r="N295" s="382" t="s">
        <v>918</v>
      </c>
    </row>
    <row r="296" spans="1:14" ht="12.75" customHeight="1" x14ac:dyDescent="0.2">
      <c r="A296" s="194" t="s">
        <v>1116</v>
      </c>
      <c r="B296" s="195" t="s">
        <v>895</v>
      </c>
      <c r="C296" s="195" t="s">
        <v>896</v>
      </c>
      <c r="D296" s="194" t="s">
        <v>965</v>
      </c>
      <c r="E296" s="194" t="s">
        <v>1117</v>
      </c>
      <c r="F296" s="193" t="s">
        <v>221</v>
      </c>
      <c r="G296" s="197">
        <v>48</v>
      </c>
      <c r="H296" s="194">
        <v>1</v>
      </c>
      <c r="I296" s="194">
        <v>25</v>
      </c>
      <c r="J296" s="194">
        <v>22</v>
      </c>
      <c r="K296" s="194" t="s">
        <v>1116</v>
      </c>
      <c r="L296" s="195" t="s">
        <v>526</v>
      </c>
      <c r="N296" s="382" t="s">
        <v>456</v>
      </c>
    </row>
    <row r="297" spans="1:14" ht="12.75" customHeight="1" x14ac:dyDescent="0.2">
      <c r="A297" s="194" t="s">
        <v>1118</v>
      </c>
      <c r="B297" s="195" t="s">
        <v>895</v>
      </c>
      <c r="C297" s="195" t="s">
        <v>896</v>
      </c>
      <c r="D297" s="194" t="s">
        <v>965</v>
      </c>
      <c r="E297" s="194" t="s">
        <v>1119</v>
      </c>
      <c r="F297" s="193" t="s">
        <v>221</v>
      </c>
      <c r="G297" s="197">
        <v>48</v>
      </c>
      <c r="H297" s="194">
        <v>1</v>
      </c>
      <c r="I297" s="194">
        <v>25</v>
      </c>
      <c r="J297" s="194">
        <v>22</v>
      </c>
      <c r="K297" s="194" t="s">
        <v>1118</v>
      </c>
      <c r="L297" s="195" t="s">
        <v>526</v>
      </c>
      <c r="N297" s="382" t="s">
        <v>456</v>
      </c>
    </row>
    <row r="298" spans="1:14" ht="12.75" customHeight="1" x14ac:dyDescent="0.2">
      <c r="A298" s="194" t="s">
        <v>1120</v>
      </c>
      <c r="B298" s="195" t="s">
        <v>895</v>
      </c>
      <c r="C298" s="195" t="s">
        <v>896</v>
      </c>
      <c r="D298" s="194" t="s">
        <v>965</v>
      </c>
      <c r="E298" s="194" t="s">
        <v>1121</v>
      </c>
      <c r="F298" s="193" t="s">
        <v>221</v>
      </c>
      <c r="G298" s="197">
        <v>48</v>
      </c>
      <c r="H298" s="194">
        <v>1</v>
      </c>
      <c r="I298" s="194">
        <v>25</v>
      </c>
      <c r="J298" s="194">
        <v>22</v>
      </c>
      <c r="K298" s="194" t="s">
        <v>1120</v>
      </c>
      <c r="L298" s="195" t="s">
        <v>526</v>
      </c>
      <c r="N298" s="382" t="s">
        <v>456</v>
      </c>
    </row>
    <row r="299" spans="1:14" ht="12.75" customHeight="1" x14ac:dyDescent="0.2">
      <c r="A299" s="194" t="s">
        <v>1122</v>
      </c>
      <c r="B299" s="195" t="s">
        <v>895</v>
      </c>
      <c r="C299" s="195" t="s">
        <v>896</v>
      </c>
      <c r="D299" s="194" t="s">
        <v>965</v>
      </c>
      <c r="E299" s="194" t="s">
        <v>1123</v>
      </c>
      <c r="F299" s="193" t="s">
        <v>221</v>
      </c>
      <c r="G299" s="197">
        <v>48</v>
      </c>
      <c r="H299" s="194">
        <v>1</v>
      </c>
      <c r="I299" s="194">
        <v>25</v>
      </c>
      <c r="J299" s="194">
        <v>22</v>
      </c>
      <c r="K299" s="194" t="s">
        <v>1122</v>
      </c>
      <c r="L299" s="195" t="s">
        <v>526</v>
      </c>
      <c r="N299" s="382" t="s">
        <v>456</v>
      </c>
    </row>
    <row r="300" spans="1:14" ht="12.75" customHeight="1" x14ac:dyDescent="0.2">
      <c r="A300" s="194" t="s">
        <v>1124</v>
      </c>
      <c r="B300" s="195" t="s">
        <v>895</v>
      </c>
      <c r="C300" s="195" t="s">
        <v>896</v>
      </c>
      <c r="D300" s="194" t="s">
        <v>965</v>
      </c>
      <c r="E300" s="194" t="s">
        <v>1125</v>
      </c>
      <c r="F300" s="193" t="s">
        <v>221</v>
      </c>
      <c r="G300" s="197">
        <v>48</v>
      </c>
      <c r="H300" s="194">
        <v>1</v>
      </c>
      <c r="I300" s="194">
        <v>25</v>
      </c>
      <c r="J300" s="194">
        <v>20</v>
      </c>
      <c r="K300" s="194" t="s">
        <v>1124</v>
      </c>
      <c r="L300" s="195" t="s">
        <v>526</v>
      </c>
      <c r="N300" s="382" t="s">
        <v>456</v>
      </c>
    </row>
    <row r="301" spans="1:14" ht="12.75" customHeight="1" x14ac:dyDescent="0.2">
      <c r="A301" s="194" t="s">
        <v>1126</v>
      </c>
      <c r="B301" s="195" t="s">
        <v>895</v>
      </c>
      <c r="C301" s="195" t="s">
        <v>896</v>
      </c>
      <c r="D301" s="194" t="s">
        <v>965</v>
      </c>
      <c r="E301" s="194" t="s">
        <v>1127</v>
      </c>
      <c r="F301" s="193" t="s">
        <v>221</v>
      </c>
      <c r="G301" s="197">
        <v>48</v>
      </c>
      <c r="H301" s="194">
        <v>1</v>
      </c>
      <c r="I301" s="194">
        <v>25</v>
      </c>
      <c r="J301" s="194">
        <v>19</v>
      </c>
      <c r="K301" s="194" t="s">
        <v>1126</v>
      </c>
      <c r="L301" s="195" t="s">
        <v>526</v>
      </c>
      <c r="N301" s="382" t="s">
        <v>456</v>
      </c>
    </row>
    <row r="302" spans="1:14" ht="12.75" customHeight="1" x14ac:dyDescent="0.2">
      <c r="A302" s="194" t="s">
        <v>1128</v>
      </c>
      <c r="B302" s="195" t="s">
        <v>895</v>
      </c>
      <c r="C302" s="195" t="s">
        <v>896</v>
      </c>
      <c r="D302" s="194" t="s">
        <v>965</v>
      </c>
      <c r="E302" s="194" t="s">
        <v>1129</v>
      </c>
      <c r="F302" s="193" t="s">
        <v>221</v>
      </c>
      <c r="G302" s="197">
        <v>48</v>
      </c>
      <c r="H302" s="194">
        <v>1</v>
      </c>
      <c r="I302" s="194">
        <v>25</v>
      </c>
      <c r="J302" s="194">
        <v>19</v>
      </c>
      <c r="K302" s="194" t="s">
        <v>1128</v>
      </c>
      <c r="L302" s="195" t="s">
        <v>526</v>
      </c>
      <c r="N302" s="382" t="s">
        <v>456</v>
      </c>
    </row>
    <row r="303" spans="1:14" ht="12.75" customHeight="1" x14ac:dyDescent="0.2">
      <c r="A303" s="194" t="s">
        <v>1130</v>
      </c>
      <c r="B303" s="195" t="s">
        <v>895</v>
      </c>
      <c r="C303" s="195" t="s">
        <v>896</v>
      </c>
      <c r="D303" s="194" t="s">
        <v>965</v>
      </c>
      <c r="E303" s="194" t="s">
        <v>1131</v>
      </c>
      <c r="F303" s="193" t="s">
        <v>221</v>
      </c>
      <c r="G303" s="197">
        <v>48</v>
      </c>
      <c r="H303" s="194">
        <v>1</v>
      </c>
      <c r="I303" s="194">
        <v>25</v>
      </c>
      <c r="J303" s="194">
        <v>19</v>
      </c>
      <c r="K303" s="194" t="s">
        <v>1130</v>
      </c>
      <c r="L303" s="195" t="s">
        <v>526</v>
      </c>
      <c r="N303" s="382" t="s">
        <v>456</v>
      </c>
    </row>
    <row r="304" spans="1:14" ht="12.75" customHeight="1" x14ac:dyDescent="0.2">
      <c r="A304" s="194" t="s">
        <v>1132</v>
      </c>
      <c r="B304" s="195" t="s">
        <v>895</v>
      </c>
      <c r="C304" s="195" t="s">
        <v>896</v>
      </c>
      <c r="D304" s="194" t="s">
        <v>965</v>
      </c>
      <c r="E304" s="194" t="s">
        <v>1133</v>
      </c>
      <c r="F304" s="193" t="s">
        <v>221</v>
      </c>
      <c r="G304" s="197">
        <v>48</v>
      </c>
      <c r="H304" s="194">
        <v>1</v>
      </c>
      <c r="I304" s="194">
        <v>25</v>
      </c>
      <c r="J304" s="194">
        <v>30</v>
      </c>
      <c r="K304" s="194" t="s">
        <v>1132</v>
      </c>
      <c r="L304" s="195" t="s">
        <v>526</v>
      </c>
      <c r="N304" s="382" t="s">
        <v>918</v>
      </c>
    </row>
    <row r="305" spans="1:14" ht="12.75" customHeight="1" x14ac:dyDescent="0.2">
      <c r="A305" s="194" t="s">
        <v>1134</v>
      </c>
      <c r="B305" s="195" t="s">
        <v>895</v>
      </c>
      <c r="C305" s="195" t="s">
        <v>896</v>
      </c>
      <c r="D305" s="194" t="s">
        <v>965</v>
      </c>
      <c r="E305" s="194" t="s">
        <v>1135</v>
      </c>
      <c r="F305" s="193" t="s">
        <v>221</v>
      </c>
      <c r="G305" s="197">
        <v>48</v>
      </c>
      <c r="H305" s="194">
        <v>1</v>
      </c>
      <c r="I305" s="194">
        <v>25</v>
      </c>
      <c r="J305" s="194">
        <v>30</v>
      </c>
      <c r="K305" s="194" t="s">
        <v>1134</v>
      </c>
      <c r="L305" s="195" t="s">
        <v>526</v>
      </c>
      <c r="N305" s="382" t="s">
        <v>456</v>
      </c>
    </row>
    <row r="306" spans="1:14" ht="12.75" customHeight="1" x14ac:dyDescent="0.2">
      <c r="A306" s="194" t="s">
        <v>1136</v>
      </c>
      <c r="B306" s="195" t="s">
        <v>895</v>
      </c>
      <c r="C306" s="195" t="s">
        <v>896</v>
      </c>
      <c r="D306" s="194" t="s">
        <v>965</v>
      </c>
      <c r="E306" s="194" t="s">
        <v>1137</v>
      </c>
      <c r="F306" s="193" t="s">
        <v>221</v>
      </c>
      <c r="G306" s="197">
        <v>48</v>
      </c>
      <c r="H306" s="194">
        <v>1</v>
      </c>
      <c r="I306" s="194">
        <v>25</v>
      </c>
      <c r="J306" s="194">
        <v>30</v>
      </c>
      <c r="K306" s="194" t="s">
        <v>1136</v>
      </c>
      <c r="L306" s="195" t="s">
        <v>526</v>
      </c>
      <c r="N306" s="382" t="s">
        <v>456</v>
      </c>
    </row>
    <row r="307" spans="1:14" ht="12.75" customHeight="1" x14ac:dyDescent="0.2">
      <c r="A307" s="194" t="s">
        <v>1138</v>
      </c>
      <c r="B307" s="195" t="s">
        <v>895</v>
      </c>
      <c r="C307" s="195" t="s">
        <v>896</v>
      </c>
      <c r="D307" s="194" t="s">
        <v>965</v>
      </c>
      <c r="E307" s="194" t="s">
        <v>1139</v>
      </c>
      <c r="F307" s="193" t="s">
        <v>221</v>
      </c>
      <c r="G307" s="197">
        <v>48</v>
      </c>
      <c r="H307" s="194">
        <v>1</v>
      </c>
      <c r="I307" s="194">
        <v>25</v>
      </c>
      <c r="J307" s="194">
        <v>29</v>
      </c>
      <c r="K307" s="194" t="s">
        <v>1138</v>
      </c>
      <c r="L307" s="195" t="s">
        <v>526</v>
      </c>
      <c r="N307" s="382" t="s">
        <v>456</v>
      </c>
    </row>
    <row r="308" spans="1:14" ht="12.75" customHeight="1" x14ac:dyDescent="0.2">
      <c r="A308" s="195" t="s">
        <v>1140</v>
      </c>
      <c r="B308" s="195" t="s">
        <v>895</v>
      </c>
      <c r="C308" s="195" t="s">
        <v>896</v>
      </c>
      <c r="D308" s="195" t="s">
        <v>1038</v>
      </c>
      <c r="E308" s="195" t="s">
        <v>1141</v>
      </c>
      <c r="F308" s="197" t="s">
        <v>221</v>
      </c>
      <c r="G308" s="197">
        <v>48</v>
      </c>
      <c r="H308" s="195">
        <v>2</v>
      </c>
      <c r="I308" s="195">
        <v>32</v>
      </c>
      <c r="J308" s="195">
        <v>59</v>
      </c>
      <c r="K308" s="195" t="s">
        <v>1140</v>
      </c>
      <c r="L308" s="195" t="s">
        <v>526</v>
      </c>
      <c r="N308" s="382" t="s">
        <v>456</v>
      </c>
    </row>
    <row r="309" spans="1:14" ht="12.75" customHeight="1" x14ac:dyDescent="0.2">
      <c r="A309" s="195" t="s">
        <v>1142</v>
      </c>
      <c r="B309" s="195" t="s">
        <v>895</v>
      </c>
      <c r="C309" s="195" t="s">
        <v>896</v>
      </c>
      <c r="D309" s="195" t="s">
        <v>1041</v>
      </c>
      <c r="E309" s="195" t="s">
        <v>1143</v>
      </c>
      <c r="F309" s="197" t="s">
        <v>221</v>
      </c>
      <c r="G309" s="197">
        <v>48</v>
      </c>
      <c r="H309" s="195">
        <v>2</v>
      </c>
      <c r="I309" s="195">
        <v>30</v>
      </c>
      <c r="J309" s="195">
        <v>53</v>
      </c>
      <c r="K309" s="195" t="s">
        <v>1142</v>
      </c>
      <c r="L309" s="195" t="s">
        <v>526</v>
      </c>
      <c r="N309" s="382" t="s">
        <v>456</v>
      </c>
    </row>
    <row r="310" spans="1:14" ht="12.75" customHeight="1" x14ac:dyDescent="0.2">
      <c r="A310" s="195" t="s">
        <v>1144</v>
      </c>
      <c r="B310" s="195" t="s">
        <v>895</v>
      </c>
      <c r="C310" s="195" t="s">
        <v>896</v>
      </c>
      <c r="D310" s="195" t="s">
        <v>1041</v>
      </c>
      <c r="E310" s="195" t="s">
        <v>1145</v>
      </c>
      <c r="F310" s="197" t="s">
        <v>221</v>
      </c>
      <c r="G310" s="197">
        <v>48</v>
      </c>
      <c r="H310" s="195">
        <v>2</v>
      </c>
      <c r="I310" s="195">
        <v>30</v>
      </c>
      <c r="J310" s="195">
        <v>52</v>
      </c>
      <c r="K310" s="195" t="s">
        <v>1144</v>
      </c>
      <c r="L310" s="195" t="s">
        <v>526</v>
      </c>
      <c r="N310" s="382" t="s">
        <v>456</v>
      </c>
    </row>
    <row r="311" spans="1:14" ht="12.75" customHeight="1" x14ac:dyDescent="0.2">
      <c r="A311" s="195" t="s">
        <v>1146</v>
      </c>
      <c r="B311" s="195" t="s">
        <v>895</v>
      </c>
      <c r="C311" s="195" t="s">
        <v>896</v>
      </c>
      <c r="D311" s="195" t="s">
        <v>1041</v>
      </c>
      <c r="E311" s="195" t="s">
        <v>1147</v>
      </c>
      <c r="F311" s="197" t="s">
        <v>221</v>
      </c>
      <c r="G311" s="197">
        <v>48</v>
      </c>
      <c r="H311" s="195">
        <v>2</v>
      </c>
      <c r="I311" s="195">
        <v>30</v>
      </c>
      <c r="J311" s="195">
        <v>47</v>
      </c>
      <c r="K311" s="195" t="s">
        <v>1146</v>
      </c>
      <c r="L311" s="195" t="s">
        <v>526</v>
      </c>
      <c r="N311" s="382" t="s">
        <v>456</v>
      </c>
    </row>
    <row r="312" spans="1:14" ht="12.75" customHeight="1" x14ac:dyDescent="0.2">
      <c r="A312" s="195" t="s">
        <v>1148</v>
      </c>
      <c r="B312" s="195" t="s">
        <v>895</v>
      </c>
      <c r="C312" s="195" t="s">
        <v>896</v>
      </c>
      <c r="D312" s="195" t="s">
        <v>1041</v>
      </c>
      <c r="E312" s="195" t="s">
        <v>1149</v>
      </c>
      <c r="F312" s="197" t="s">
        <v>221</v>
      </c>
      <c r="G312" s="197">
        <v>48</v>
      </c>
      <c r="H312" s="195">
        <v>2</v>
      </c>
      <c r="I312" s="195">
        <v>30</v>
      </c>
      <c r="J312" s="195">
        <v>46</v>
      </c>
      <c r="K312" s="195" t="s">
        <v>1148</v>
      </c>
      <c r="L312" s="195" t="s">
        <v>526</v>
      </c>
      <c r="N312" s="382" t="s">
        <v>456</v>
      </c>
    </row>
    <row r="313" spans="1:14" ht="12.75" customHeight="1" x14ac:dyDescent="0.2">
      <c r="A313" s="195" t="s">
        <v>1150</v>
      </c>
      <c r="B313" s="195" t="s">
        <v>895</v>
      </c>
      <c r="C313" s="195" t="s">
        <v>896</v>
      </c>
      <c r="D313" s="195" t="s">
        <v>1041</v>
      </c>
      <c r="E313" s="195" t="s">
        <v>1151</v>
      </c>
      <c r="F313" s="197" t="s">
        <v>221</v>
      </c>
      <c r="G313" s="197">
        <v>48</v>
      </c>
      <c r="H313" s="195">
        <v>2</v>
      </c>
      <c r="I313" s="195">
        <v>30</v>
      </c>
      <c r="J313" s="195">
        <v>72</v>
      </c>
      <c r="K313" s="195" t="s">
        <v>1150</v>
      </c>
      <c r="L313" s="195" t="s">
        <v>526</v>
      </c>
      <c r="N313" s="382" t="s">
        <v>918</v>
      </c>
    </row>
    <row r="314" spans="1:14" ht="12.75" customHeight="1" x14ac:dyDescent="0.2">
      <c r="A314" s="195" t="s">
        <v>1152</v>
      </c>
      <c r="B314" s="195" t="s">
        <v>895</v>
      </c>
      <c r="C314" s="195" t="s">
        <v>896</v>
      </c>
      <c r="D314" s="195" t="s">
        <v>1064</v>
      </c>
      <c r="E314" s="195" t="s">
        <v>1143</v>
      </c>
      <c r="F314" s="197" t="s">
        <v>221</v>
      </c>
      <c r="G314" s="197">
        <v>48</v>
      </c>
      <c r="H314" s="195">
        <v>2</v>
      </c>
      <c r="I314" s="195">
        <v>28</v>
      </c>
      <c r="J314" s="195">
        <v>48</v>
      </c>
      <c r="K314" s="195" t="s">
        <v>1152</v>
      </c>
      <c r="L314" s="195" t="s">
        <v>526</v>
      </c>
      <c r="N314" s="382" t="s">
        <v>456</v>
      </c>
    </row>
    <row r="315" spans="1:14" ht="12.75" customHeight="1" x14ac:dyDescent="0.2">
      <c r="A315" s="195" t="s">
        <v>1153</v>
      </c>
      <c r="B315" s="195" t="s">
        <v>895</v>
      </c>
      <c r="C315" s="195" t="s">
        <v>896</v>
      </c>
      <c r="D315" s="195" t="s">
        <v>1064</v>
      </c>
      <c r="E315" s="195" t="s">
        <v>1145</v>
      </c>
      <c r="F315" s="197" t="s">
        <v>221</v>
      </c>
      <c r="G315" s="197">
        <v>48</v>
      </c>
      <c r="H315" s="195">
        <v>2</v>
      </c>
      <c r="I315" s="195">
        <v>28</v>
      </c>
      <c r="J315" s="195">
        <v>47</v>
      </c>
      <c r="K315" s="195" t="s">
        <v>1153</v>
      </c>
      <c r="L315" s="195" t="s">
        <v>526</v>
      </c>
      <c r="N315" s="382" t="s">
        <v>456</v>
      </c>
    </row>
    <row r="316" spans="1:14" ht="12.75" customHeight="1" x14ac:dyDescent="0.2">
      <c r="A316" s="195" t="s">
        <v>1154</v>
      </c>
      <c r="B316" s="195" t="s">
        <v>895</v>
      </c>
      <c r="C316" s="195" t="s">
        <v>896</v>
      </c>
      <c r="D316" s="195" t="s">
        <v>1064</v>
      </c>
      <c r="E316" s="195" t="s">
        <v>1147</v>
      </c>
      <c r="F316" s="197" t="s">
        <v>221</v>
      </c>
      <c r="G316" s="197">
        <v>48</v>
      </c>
      <c r="H316" s="195">
        <v>2</v>
      </c>
      <c r="I316" s="195">
        <v>28</v>
      </c>
      <c r="J316" s="195">
        <v>45</v>
      </c>
      <c r="K316" s="195" t="s">
        <v>1154</v>
      </c>
      <c r="L316" s="195" t="s">
        <v>526</v>
      </c>
      <c r="N316" s="382" t="s">
        <v>456</v>
      </c>
    </row>
    <row r="317" spans="1:14" ht="12.75" customHeight="1" x14ac:dyDescent="0.2">
      <c r="A317" s="195" t="s">
        <v>1155</v>
      </c>
      <c r="B317" s="195" t="s">
        <v>895</v>
      </c>
      <c r="C317" s="195" t="s">
        <v>896</v>
      </c>
      <c r="D317" s="195" t="s">
        <v>1064</v>
      </c>
      <c r="E317" s="195" t="s">
        <v>1149</v>
      </c>
      <c r="F317" s="197" t="s">
        <v>221</v>
      </c>
      <c r="G317" s="197">
        <v>48</v>
      </c>
      <c r="H317" s="195">
        <v>2</v>
      </c>
      <c r="I317" s="195">
        <v>28</v>
      </c>
      <c r="J317" s="195">
        <v>44</v>
      </c>
      <c r="K317" s="195" t="s">
        <v>1155</v>
      </c>
      <c r="L317" s="195" t="s">
        <v>526</v>
      </c>
      <c r="N317" s="382" t="s">
        <v>456</v>
      </c>
    </row>
    <row r="318" spans="1:14" ht="12.75" customHeight="1" x14ac:dyDescent="0.2">
      <c r="A318" s="195" t="s">
        <v>1156</v>
      </c>
      <c r="B318" s="195" t="s">
        <v>895</v>
      </c>
      <c r="C318" s="195" t="s">
        <v>896</v>
      </c>
      <c r="D318" s="195" t="s">
        <v>1064</v>
      </c>
      <c r="E318" s="195" t="s">
        <v>1151</v>
      </c>
      <c r="F318" s="197" t="s">
        <v>221</v>
      </c>
      <c r="G318" s="197">
        <v>48</v>
      </c>
      <c r="H318" s="195">
        <v>2</v>
      </c>
      <c r="I318" s="195">
        <v>28</v>
      </c>
      <c r="J318" s="195">
        <v>67</v>
      </c>
      <c r="K318" s="195" t="s">
        <v>1156</v>
      </c>
      <c r="L318" s="195" t="s">
        <v>526</v>
      </c>
      <c r="N318" s="382" t="s">
        <v>456</v>
      </c>
    </row>
    <row r="319" spans="1:14" ht="12.75" customHeight="1" x14ac:dyDescent="0.2">
      <c r="A319" s="195" t="s">
        <v>1157</v>
      </c>
      <c r="B319" s="195" t="s">
        <v>895</v>
      </c>
      <c r="C319" s="195" t="s">
        <v>896</v>
      </c>
      <c r="D319" s="195" t="s">
        <v>1038</v>
      </c>
      <c r="E319" s="195" t="s">
        <v>1158</v>
      </c>
      <c r="F319" s="197" t="s">
        <v>221</v>
      </c>
      <c r="G319" s="197">
        <v>48</v>
      </c>
      <c r="H319" s="195">
        <v>2</v>
      </c>
      <c r="I319" s="195">
        <v>32</v>
      </c>
      <c r="J319" s="195">
        <v>56</v>
      </c>
      <c r="K319" s="195" t="s">
        <v>1157</v>
      </c>
      <c r="L319" s="195" t="s">
        <v>526</v>
      </c>
      <c r="N319" s="382" t="s">
        <v>456</v>
      </c>
    </row>
    <row r="320" spans="1:14" ht="12.75" customHeight="1" x14ac:dyDescent="0.2">
      <c r="A320" s="195" t="s">
        <v>1159</v>
      </c>
      <c r="B320" s="195" t="s">
        <v>895</v>
      </c>
      <c r="C320" s="195" t="s">
        <v>896</v>
      </c>
      <c r="D320" s="195" t="s">
        <v>1038</v>
      </c>
      <c r="E320" s="195" t="s">
        <v>1160</v>
      </c>
      <c r="F320" s="197" t="s">
        <v>221</v>
      </c>
      <c r="G320" s="197">
        <v>48</v>
      </c>
      <c r="H320" s="195">
        <v>2</v>
      </c>
      <c r="I320" s="195">
        <v>32</v>
      </c>
      <c r="J320" s="195">
        <v>51</v>
      </c>
      <c r="K320" s="195" t="s">
        <v>1159</v>
      </c>
      <c r="L320" s="195" t="s">
        <v>526</v>
      </c>
      <c r="N320" s="382" t="s">
        <v>456</v>
      </c>
    </row>
    <row r="321" spans="1:14" ht="12.75" customHeight="1" x14ac:dyDescent="0.2">
      <c r="A321" s="195" t="s">
        <v>1161</v>
      </c>
      <c r="B321" s="195" t="s">
        <v>895</v>
      </c>
      <c r="C321" s="195" t="s">
        <v>896</v>
      </c>
      <c r="D321" s="195" t="s">
        <v>1038</v>
      </c>
      <c r="E321" s="195" t="s">
        <v>1162</v>
      </c>
      <c r="F321" s="197" t="s">
        <v>221</v>
      </c>
      <c r="G321" s="197">
        <v>48</v>
      </c>
      <c r="H321" s="195">
        <v>2</v>
      </c>
      <c r="I321" s="195">
        <v>32</v>
      </c>
      <c r="J321" s="195">
        <v>65</v>
      </c>
      <c r="K321" s="195" t="s">
        <v>1161</v>
      </c>
      <c r="L321" s="195" t="s">
        <v>526</v>
      </c>
      <c r="N321" s="382" t="s">
        <v>918</v>
      </c>
    </row>
    <row r="322" spans="1:14" ht="12.75" customHeight="1" x14ac:dyDescent="0.2">
      <c r="A322" s="195" t="s">
        <v>1163</v>
      </c>
      <c r="B322" s="195" t="s">
        <v>895</v>
      </c>
      <c r="C322" s="195" t="s">
        <v>896</v>
      </c>
      <c r="D322" s="195" t="s">
        <v>1038</v>
      </c>
      <c r="E322" s="195" t="s">
        <v>1164</v>
      </c>
      <c r="F322" s="197" t="s">
        <v>221</v>
      </c>
      <c r="G322" s="197">
        <v>48</v>
      </c>
      <c r="H322" s="195">
        <v>2</v>
      </c>
      <c r="I322" s="195">
        <v>32</v>
      </c>
      <c r="J322" s="195">
        <v>52</v>
      </c>
      <c r="K322" s="195" t="s">
        <v>1163</v>
      </c>
      <c r="L322" s="195" t="s">
        <v>526</v>
      </c>
      <c r="N322" s="382" t="s">
        <v>456</v>
      </c>
    </row>
    <row r="323" spans="1:14" ht="12.75" customHeight="1" x14ac:dyDescent="0.2">
      <c r="A323" s="195" t="s">
        <v>1165</v>
      </c>
      <c r="B323" s="195" t="s">
        <v>895</v>
      </c>
      <c r="C323" s="195" t="s">
        <v>896</v>
      </c>
      <c r="D323" s="195" t="s">
        <v>1038</v>
      </c>
      <c r="E323" s="195" t="s">
        <v>1166</v>
      </c>
      <c r="F323" s="197" t="s">
        <v>221</v>
      </c>
      <c r="G323" s="197">
        <v>48</v>
      </c>
      <c r="H323" s="195">
        <v>2</v>
      </c>
      <c r="I323" s="195">
        <v>32</v>
      </c>
      <c r="J323" s="195">
        <v>79</v>
      </c>
      <c r="K323" s="195" t="s">
        <v>1165</v>
      </c>
      <c r="L323" s="195" t="s">
        <v>526</v>
      </c>
      <c r="N323" s="382" t="s">
        <v>918</v>
      </c>
    </row>
    <row r="324" spans="1:14" ht="12.75" customHeight="1" x14ac:dyDescent="0.2">
      <c r="A324" s="195" t="s">
        <v>1167</v>
      </c>
      <c r="B324" s="195" t="s">
        <v>895</v>
      </c>
      <c r="C324" s="195" t="s">
        <v>896</v>
      </c>
      <c r="D324" s="195" t="s">
        <v>1038</v>
      </c>
      <c r="E324" s="195" t="s">
        <v>1168</v>
      </c>
      <c r="F324" s="197" t="s">
        <v>931</v>
      </c>
      <c r="G324" s="197">
        <v>48</v>
      </c>
      <c r="H324" s="195">
        <v>2</v>
      </c>
      <c r="I324" s="195">
        <v>32</v>
      </c>
      <c r="J324" s="195">
        <v>71</v>
      </c>
      <c r="K324" s="195" t="s">
        <v>1167</v>
      </c>
      <c r="L324" s="195" t="s">
        <v>526</v>
      </c>
      <c r="N324" s="382" t="s">
        <v>918</v>
      </c>
    </row>
    <row r="325" spans="1:14" ht="12.75" customHeight="1" x14ac:dyDescent="0.2">
      <c r="A325" s="195" t="s">
        <v>1169</v>
      </c>
      <c r="B325" s="195" t="s">
        <v>895</v>
      </c>
      <c r="C325" s="195" t="s">
        <v>896</v>
      </c>
      <c r="D325" s="195" t="s">
        <v>1038</v>
      </c>
      <c r="E325" s="195" t="s">
        <v>1170</v>
      </c>
      <c r="F325" s="197" t="s">
        <v>221</v>
      </c>
      <c r="G325" s="197">
        <v>48</v>
      </c>
      <c r="H325" s="195">
        <v>2</v>
      </c>
      <c r="I325" s="195">
        <v>32</v>
      </c>
      <c r="J325" s="195">
        <v>60</v>
      </c>
      <c r="K325" s="195" t="s">
        <v>1169</v>
      </c>
      <c r="L325" s="195" t="s">
        <v>526</v>
      </c>
      <c r="N325" s="382" t="s">
        <v>918</v>
      </c>
    </row>
    <row r="326" spans="1:14" ht="12.75" customHeight="1" x14ac:dyDescent="0.2">
      <c r="A326" s="195" t="s">
        <v>1171</v>
      </c>
      <c r="B326" s="195" t="s">
        <v>895</v>
      </c>
      <c r="C326" s="195" t="s">
        <v>896</v>
      </c>
      <c r="D326" s="195" t="s">
        <v>1038</v>
      </c>
      <c r="E326" s="195" t="s">
        <v>1172</v>
      </c>
      <c r="F326" s="197" t="s">
        <v>221</v>
      </c>
      <c r="G326" s="197">
        <v>48</v>
      </c>
      <c r="H326" s="195">
        <v>2</v>
      </c>
      <c r="I326" s="195">
        <v>32</v>
      </c>
      <c r="J326" s="195">
        <v>59</v>
      </c>
      <c r="K326" s="195" t="s">
        <v>1171</v>
      </c>
      <c r="L326" s="195" t="s">
        <v>526</v>
      </c>
      <c r="N326" s="382" t="s">
        <v>456</v>
      </c>
    </row>
    <row r="327" spans="1:14" ht="12.75" customHeight="1" x14ac:dyDescent="0.2">
      <c r="A327" s="195" t="s">
        <v>1173</v>
      </c>
      <c r="B327" s="195" t="s">
        <v>895</v>
      </c>
      <c r="C327" s="195" t="s">
        <v>896</v>
      </c>
      <c r="D327" s="195" t="s">
        <v>1038</v>
      </c>
      <c r="E327" s="195" t="s">
        <v>1174</v>
      </c>
      <c r="F327" s="197" t="s">
        <v>221</v>
      </c>
      <c r="G327" s="197">
        <v>48</v>
      </c>
      <c r="H327" s="195">
        <v>2</v>
      </c>
      <c r="I327" s="195">
        <v>32</v>
      </c>
      <c r="J327" s="195">
        <v>53</v>
      </c>
      <c r="K327" s="195" t="s">
        <v>1173</v>
      </c>
      <c r="L327" s="195" t="s">
        <v>526</v>
      </c>
      <c r="N327" s="382" t="s">
        <v>456</v>
      </c>
    </row>
    <row r="328" spans="1:14" ht="12.75" customHeight="1" x14ac:dyDescent="0.2">
      <c r="A328" s="195" t="s">
        <v>1175</v>
      </c>
      <c r="B328" s="195" t="s">
        <v>895</v>
      </c>
      <c r="C328" s="195" t="s">
        <v>896</v>
      </c>
      <c r="D328" s="195" t="s">
        <v>1038</v>
      </c>
      <c r="E328" s="195" t="s">
        <v>1176</v>
      </c>
      <c r="F328" s="197" t="s">
        <v>221</v>
      </c>
      <c r="G328" s="197">
        <v>48</v>
      </c>
      <c r="H328" s="195">
        <v>2</v>
      </c>
      <c r="I328" s="195">
        <v>32</v>
      </c>
      <c r="J328" s="195">
        <v>70</v>
      </c>
      <c r="K328" s="195" t="s">
        <v>1175</v>
      </c>
      <c r="L328" s="195" t="s">
        <v>526</v>
      </c>
      <c r="N328" s="382" t="s">
        <v>918</v>
      </c>
    </row>
    <row r="329" spans="1:14" ht="12.75" customHeight="1" x14ac:dyDescent="0.2">
      <c r="A329" s="195" t="s">
        <v>1177</v>
      </c>
      <c r="B329" s="195" t="s">
        <v>895</v>
      </c>
      <c r="C329" s="195" t="s">
        <v>896</v>
      </c>
      <c r="D329" s="195" t="s">
        <v>1038</v>
      </c>
      <c r="E329" s="195" t="s">
        <v>1178</v>
      </c>
      <c r="F329" s="197" t="s">
        <v>221</v>
      </c>
      <c r="G329" s="197">
        <v>48</v>
      </c>
      <c r="H329" s="195">
        <v>2</v>
      </c>
      <c r="I329" s="195">
        <v>32</v>
      </c>
      <c r="J329" s="195">
        <v>54</v>
      </c>
      <c r="K329" s="195" t="s">
        <v>1177</v>
      </c>
      <c r="L329" s="195" t="s">
        <v>526</v>
      </c>
      <c r="N329" s="382" t="s">
        <v>918</v>
      </c>
    </row>
    <row r="330" spans="1:14" ht="12.75" customHeight="1" x14ac:dyDescent="0.2">
      <c r="A330" s="195" t="s">
        <v>1179</v>
      </c>
      <c r="B330" s="195" t="s">
        <v>895</v>
      </c>
      <c r="C330" s="195" t="s">
        <v>896</v>
      </c>
      <c r="D330" s="195" t="s">
        <v>1038</v>
      </c>
      <c r="E330" s="195" t="s">
        <v>1180</v>
      </c>
      <c r="F330" s="197" t="s">
        <v>221</v>
      </c>
      <c r="G330" s="197">
        <v>48</v>
      </c>
      <c r="H330" s="195">
        <v>2</v>
      </c>
      <c r="I330" s="195">
        <v>32</v>
      </c>
      <c r="J330" s="195">
        <v>85</v>
      </c>
      <c r="K330" s="195" t="s">
        <v>1179</v>
      </c>
      <c r="L330" s="195" t="s">
        <v>526</v>
      </c>
      <c r="N330" s="382" t="s">
        <v>918</v>
      </c>
    </row>
    <row r="331" spans="1:14" ht="12.75" customHeight="1" x14ac:dyDescent="0.2">
      <c r="A331" s="194" t="s">
        <v>1181</v>
      </c>
      <c r="B331" s="195" t="s">
        <v>895</v>
      </c>
      <c r="C331" s="195" t="s">
        <v>896</v>
      </c>
      <c r="D331" s="194" t="s">
        <v>965</v>
      </c>
      <c r="E331" s="194" t="s">
        <v>1182</v>
      </c>
      <c r="F331" s="193" t="s">
        <v>221</v>
      </c>
      <c r="G331" s="197">
        <v>48</v>
      </c>
      <c r="H331" s="194">
        <v>2</v>
      </c>
      <c r="I331" s="194">
        <v>25</v>
      </c>
      <c r="J331" s="194">
        <v>43</v>
      </c>
      <c r="K331" s="194" t="s">
        <v>1181</v>
      </c>
      <c r="L331" s="195" t="s">
        <v>526</v>
      </c>
      <c r="N331" s="382" t="s">
        <v>456</v>
      </c>
    </row>
    <row r="332" spans="1:14" ht="12.75" customHeight="1" x14ac:dyDescent="0.2">
      <c r="A332" s="194" t="s">
        <v>1183</v>
      </c>
      <c r="B332" s="195" t="s">
        <v>895</v>
      </c>
      <c r="C332" s="195" t="s">
        <v>896</v>
      </c>
      <c r="D332" s="194" t="s">
        <v>965</v>
      </c>
      <c r="E332" s="194" t="s">
        <v>1184</v>
      </c>
      <c r="F332" s="193" t="s">
        <v>221</v>
      </c>
      <c r="G332" s="197">
        <v>48</v>
      </c>
      <c r="H332" s="194">
        <v>2</v>
      </c>
      <c r="I332" s="194">
        <v>25</v>
      </c>
      <c r="J332" s="194">
        <v>43</v>
      </c>
      <c r="K332" s="194" t="s">
        <v>1183</v>
      </c>
      <c r="L332" s="195" t="s">
        <v>526</v>
      </c>
      <c r="N332" s="382" t="s">
        <v>456</v>
      </c>
    </row>
    <row r="333" spans="1:14" ht="12.75" customHeight="1" x14ac:dyDescent="0.2">
      <c r="A333" s="194" t="s">
        <v>1185</v>
      </c>
      <c r="B333" s="195" t="s">
        <v>895</v>
      </c>
      <c r="C333" s="195" t="s">
        <v>896</v>
      </c>
      <c r="D333" s="194" t="s">
        <v>965</v>
      </c>
      <c r="E333" s="194" t="s">
        <v>1186</v>
      </c>
      <c r="F333" s="193" t="s">
        <v>221</v>
      </c>
      <c r="G333" s="197">
        <v>48</v>
      </c>
      <c r="H333" s="194">
        <v>2</v>
      </c>
      <c r="I333" s="194">
        <v>25</v>
      </c>
      <c r="J333" s="194">
        <v>38</v>
      </c>
      <c r="K333" s="194" t="s">
        <v>1185</v>
      </c>
      <c r="L333" s="195" t="s">
        <v>526</v>
      </c>
      <c r="N333" s="382" t="s">
        <v>456</v>
      </c>
    </row>
    <row r="334" spans="1:14" ht="12.75" customHeight="1" x14ac:dyDescent="0.2">
      <c r="A334" s="194" t="s">
        <v>1187</v>
      </c>
      <c r="B334" s="195" t="s">
        <v>895</v>
      </c>
      <c r="C334" s="195" t="s">
        <v>896</v>
      </c>
      <c r="D334" s="194" t="s">
        <v>965</v>
      </c>
      <c r="E334" s="194" t="s">
        <v>1188</v>
      </c>
      <c r="F334" s="193" t="s">
        <v>221</v>
      </c>
      <c r="G334" s="197">
        <v>48</v>
      </c>
      <c r="H334" s="194">
        <v>2</v>
      </c>
      <c r="I334" s="194">
        <v>25</v>
      </c>
      <c r="J334" s="194">
        <v>38</v>
      </c>
      <c r="K334" s="194" t="s">
        <v>1187</v>
      </c>
      <c r="L334" s="195" t="s">
        <v>526</v>
      </c>
      <c r="N334" s="382" t="s">
        <v>456</v>
      </c>
    </row>
    <row r="335" spans="1:14" ht="12.75" customHeight="1" x14ac:dyDescent="0.2">
      <c r="A335" s="194" t="s">
        <v>1189</v>
      </c>
      <c r="B335" s="195" t="s">
        <v>895</v>
      </c>
      <c r="C335" s="195" t="s">
        <v>896</v>
      </c>
      <c r="D335" s="194" t="s">
        <v>965</v>
      </c>
      <c r="E335" s="194" t="s">
        <v>1190</v>
      </c>
      <c r="F335" s="193" t="s">
        <v>221</v>
      </c>
      <c r="G335" s="197">
        <v>48</v>
      </c>
      <c r="H335" s="194">
        <v>2</v>
      </c>
      <c r="I335" s="194">
        <v>25</v>
      </c>
      <c r="J335" s="194">
        <v>58</v>
      </c>
      <c r="K335" s="194" t="s">
        <v>1189</v>
      </c>
      <c r="L335" s="195" t="s">
        <v>526</v>
      </c>
      <c r="N335" s="382" t="s">
        <v>918</v>
      </c>
    </row>
    <row r="336" spans="1:14" ht="12.75" customHeight="1" x14ac:dyDescent="0.2">
      <c r="A336" s="194" t="s">
        <v>1191</v>
      </c>
      <c r="B336" s="195" t="s">
        <v>895</v>
      </c>
      <c r="C336" s="195" t="s">
        <v>896</v>
      </c>
      <c r="D336" s="194" t="s">
        <v>965</v>
      </c>
      <c r="E336" s="194" t="s">
        <v>1192</v>
      </c>
      <c r="F336" s="193" t="s">
        <v>221</v>
      </c>
      <c r="G336" s="197">
        <v>48</v>
      </c>
      <c r="H336" s="194">
        <v>2</v>
      </c>
      <c r="I336" s="194">
        <v>25</v>
      </c>
      <c r="J336" s="194">
        <v>58</v>
      </c>
      <c r="K336" s="194" t="s">
        <v>1191</v>
      </c>
      <c r="L336" s="195" t="s">
        <v>526</v>
      </c>
      <c r="N336" s="382" t="s">
        <v>456</v>
      </c>
    </row>
    <row r="337" spans="1:14" ht="12.75" customHeight="1" x14ac:dyDescent="0.2">
      <c r="A337" s="195" t="s">
        <v>1193</v>
      </c>
      <c r="B337" s="195" t="s">
        <v>895</v>
      </c>
      <c r="C337" s="195" t="s">
        <v>896</v>
      </c>
      <c r="D337" s="195" t="s">
        <v>1038</v>
      </c>
      <c r="E337" s="195" t="s">
        <v>1194</v>
      </c>
      <c r="F337" s="197" t="s">
        <v>221</v>
      </c>
      <c r="G337" s="197">
        <v>48</v>
      </c>
      <c r="H337" s="195">
        <v>3</v>
      </c>
      <c r="I337" s="195">
        <v>32</v>
      </c>
      <c r="J337" s="195">
        <v>89</v>
      </c>
      <c r="K337" s="195" t="s">
        <v>1193</v>
      </c>
      <c r="L337" s="195" t="s">
        <v>526</v>
      </c>
      <c r="N337" s="382" t="s">
        <v>456</v>
      </c>
    </row>
    <row r="338" spans="1:14" ht="12.75" customHeight="1" x14ac:dyDescent="0.2">
      <c r="A338" s="195" t="s">
        <v>1195</v>
      </c>
      <c r="B338" s="195" t="s">
        <v>895</v>
      </c>
      <c r="C338" s="195" t="s">
        <v>896</v>
      </c>
      <c r="D338" s="195" t="s">
        <v>1041</v>
      </c>
      <c r="E338" s="195" t="s">
        <v>1196</v>
      </c>
      <c r="F338" s="197" t="s">
        <v>221</v>
      </c>
      <c r="G338" s="197">
        <v>48</v>
      </c>
      <c r="H338" s="195">
        <v>3</v>
      </c>
      <c r="I338" s="195">
        <v>30</v>
      </c>
      <c r="J338" s="195">
        <v>78</v>
      </c>
      <c r="K338" s="195" t="s">
        <v>1195</v>
      </c>
      <c r="L338" s="195" t="s">
        <v>526</v>
      </c>
      <c r="N338" s="382" t="s">
        <v>456</v>
      </c>
    </row>
    <row r="339" spans="1:14" ht="12.75" customHeight="1" x14ac:dyDescent="0.2">
      <c r="A339" s="195" t="s">
        <v>1197</v>
      </c>
      <c r="B339" s="195" t="s">
        <v>895</v>
      </c>
      <c r="C339" s="195" t="s">
        <v>896</v>
      </c>
      <c r="D339" s="195" t="s">
        <v>1041</v>
      </c>
      <c r="E339" s="195" t="s">
        <v>1198</v>
      </c>
      <c r="F339" s="197" t="s">
        <v>221</v>
      </c>
      <c r="G339" s="197">
        <v>48</v>
      </c>
      <c r="H339" s="195">
        <v>3</v>
      </c>
      <c r="I339" s="195">
        <v>30</v>
      </c>
      <c r="J339" s="195">
        <v>70</v>
      </c>
      <c r="K339" s="195" t="s">
        <v>1197</v>
      </c>
      <c r="L339" s="195" t="s">
        <v>526</v>
      </c>
      <c r="N339" s="382" t="s">
        <v>456</v>
      </c>
    </row>
    <row r="340" spans="1:14" ht="12.75" customHeight="1" x14ac:dyDescent="0.2">
      <c r="A340" s="195" t="s">
        <v>1199</v>
      </c>
      <c r="B340" s="195" t="s">
        <v>895</v>
      </c>
      <c r="C340" s="195" t="s">
        <v>896</v>
      </c>
      <c r="D340" s="195" t="s">
        <v>1041</v>
      </c>
      <c r="E340" s="195" t="s">
        <v>1200</v>
      </c>
      <c r="F340" s="197" t="s">
        <v>221</v>
      </c>
      <c r="G340" s="197">
        <v>48</v>
      </c>
      <c r="H340" s="195">
        <v>3</v>
      </c>
      <c r="I340" s="195">
        <v>30</v>
      </c>
      <c r="J340" s="195">
        <v>105</v>
      </c>
      <c r="K340" s="195" t="s">
        <v>1199</v>
      </c>
      <c r="L340" s="195" t="s">
        <v>526</v>
      </c>
      <c r="N340" s="382" t="s">
        <v>918</v>
      </c>
    </row>
    <row r="341" spans="1:14" ht="12.75" customHeight="1" x14ac:dyDescent="0.2">
      <c r="A341" s="195" t="s">
        <v>1201</v>
      </c>
      <c r="B341" s="195" t="s">
        <v>895</v>
      </c>
      <c r="C341" s="195" t="s">
        <v>896</v>
      </c>
      <c r="D341" s="195" t="s">
        <v>1064</v>
      </c>
      <c r="E341" s="195" t="s">
        <v>1196</v>
      </c>
      <c r="F341" s="197" t="s">
        <v>221</v>
      </c>
      <c r="G341" s="197">
        <v>48</v>
      </c>
      <c r="H341" s="195">
        <v>3</v>
      </c>
      <c r="I341" s="195">
        <v>28</v>
      </c>
      <c r="J341" s="195">
        <v>72</v>
      </c>
      <c r="K341" s="195" t="s">
        <v>1201</v>
      </c>
      <c r="L341" s="195" t="s">
        <v>526</v>
      </c>
      <c r="N341" s="382" t="s">
        <v>456</v>
      </c>
    </row>
    <row r="342" spans="1:14" ht="12.75" customHeight="1" x14ac:dyDescent="0.2">
      <c r="A342" s="195" t="s">
        <v>1202</v>
      </c>
      <c r="B342" s="195" t="s">
        <v>895</v>
      </c>
      <c r="C342" s="195" t="s">
        <v>896</v>
      </c>
      <c r="D342" s="195" t="s">
        <v>1064</v>
      </c>
      <c r="E342" s="195" t="s">
        <v>1198</v>
      </c>
      <c r="F342" s="197" t="s">
        <v>221</v>
      </c>
      <c r="G342" s="197">
        <v>48</v>
      </c>
      <c r="H342" s="195">
        <v>3</v>
      </c>
      <c r="I342" s="195">
        <v>28</v>
      </c>
      <c r="J342" s="195">
        <v>66</v>
      </c>
      <c r="K342" s="195" t="s">
        <v>1202</v>
      </c>
      <c r="L342" s="195" t="s">
        <v>526</v>
      </c>
      <c r="N342" s="382" t="s">
        <v>456</v>
      </c>
    </row>
    <row r="343" spans="1:14" ht="12.75" customHeight="1" x14ac:dyDescent="0.2">
      <c r="A343" s="195" t="s">
        <v>1203</v>
      </c>
      <c r="B343" s="195" t="s">
        <v>895</v>
      </c>
      <c r="C343" s="195" t="s">
        <v>896</v>
      </c>
      <c r="D343" s="195" t="s">
        <v>1064</v>
      </c>
      <c r="E343" s="195" t="s">
        <v>1200</v>
      </c>
      <c r="F343" s="197" t="s">
        <v>221</v>
      </c>
      <c r="G343" s="197">
        <v>48</v>
      </c>
      <c r="H343" s="195">
        <v>3</v>
      </c>
      <c r="I343" s="195">
        <v>28</v>
      </c>
      <c r="J343" s="195">
        <v>98</v>
      </c>
      <c r="K343" s="195" t="s">
        <v>1203</v>
      </c>
      <c r="L343" s="195" t="s">
        <v>526</v>
      </c>
      <c r="N343" s="382" t="s">
        <v>456</v>
      </c>
    </row>
    <row r="344" spans="1:14" ht="12.75" customHeight="1" x14ac:dyDescent="0.2">
      <c r="A344" s="195" t="s">
        <v>1204</v>
      </c>
      <c r="B344" s="195" t="s">
        <v>895</v>
      </c>
      <c r="C344" s="195" t="s">
        <v>896</v>
      </c>
      <c r="D344" s="195" t="s">
        <v>1038</v>
      </c>
      <c r="E344" s="195" t="s">
        <v>1205</v>
      </c>
      <c r="F344" s="197" t="s">
        <v>221</v>
      </c>
      <c r="G344" s="197">
        <v>48</v>
      </c>
      <c r="H344" s="195">
        <v>3</v>
      </c>
      <c r="I344" s="195">
        <v>32</v>
      </c>
      <c r="J344" s="195">
        <v>90</v>
      </c>
      <c r="K344" s="195" t="s">
        <v>1204</v>
      </c>
      <c r="L344" s="195" t="s">
        <v>526</v>
      </c>
      <c r="N344" s="382" t="s">
        <v>456</v>
      </c>
    </row>
    <row r="345" spans="1:14" ht="12.75" customHeight="1" x14ac:dyDescent="0.2">
      <c r="A345" s="195" t="s">
        <v>1206</v>
      </c>
      <c r="B345" s="195" t="s">
        <v>895</v>
      </c>
      <c r="C345" s="195" t="s">
        <v>896</v>
      </c>
      <c r="D345" s="195" t="s">
        <v>1038</v>
      </c>
      <c r="E345" s="195" t="s">
        <v>1207</v>
      </c>
      <c r="F345" s="197" t="s">
        <v>221</v>
      </c>
      <c r="G345" s="197">
        <v>48</v>
      </c>
      <c r="H345" s="195">
        <v>3</v>
      </c>
      <c r="I345" s="195">
        <v>32</v>
      </c>
      <c r="J345" s="195">
        <v>93</v>
      </c>
      <c r="K345" s="195" t="s">
        <v>1206</v>
      </c>
      <c r="L345" s="195" t="s">
        <v>526</v>
      </c>
      <c r="N345" s="382" t="s">
        <v>918</v>
      </c>
    </row>
    <row r="346" spans="1:14" ht="12.75" customHeight="1" x14ac:dyDescent="0.2">
      <c r="A346" s="195" t="s">
        <v>1208</v>
      </c>
      <c r="B346" s="195" t="s">
        <v>895</v>
      </c>
      <c r="C346" s="195" t="s">
        <v>896</v>
      </c>
      <c r="D346" s="195" t="s">
        <v>1038</v>
      </c>
      <c r="E346" s="195" t="s">
        <v>1209</v>
      </c>
      <c r="F346" s="197" t="s">
        <v>221</v>
      </c>
      <c r="G346" s="197">
        <v>48</v>
      </c>
      <c r="H346" s="195">
        <v>3</v>
      </c>
      <c r="I346" s="195">
        <v>32</v>
      </c>
      <c r="J346" s="195">
        <v>78</v>
      </c>
      <c r="K346" s="195" t="s">
        <v>1208</v>
      </c>
      <c r="L346" s="195" t="s">
        <v>526</v>
      </c>
      <c r="N346" s="382" t="s">
        <v>456</v>
      </c>
    </row>
    <row r="347" spans="1:14" ht="12.75" customHeight="1" x14ac:dyDescent="0.2">
      <c r="A347" s="195" t="s">
        <v>1210</v>
      </c>
      <c r="B347" s="195" t="s">
        <v>895</v>
      </c>
      <c r="C347" s="195" t="s">
        <v>896</v>
      </c>
      <c r="D347" s="195" t="s">
        <v>1038</v>
      </c>
      <c r="E347" s="195" t="s">
        <v>1211</v>
      </c>
      <c r="F347" s="197" t="s">
        <v>221</v>
      </c>
      <c r="G347" s="197">
        <v>48</v>
      </c>
      <c r="H347" s="195">
        <v>3</v>
      </c>
      <c r="I347" s="195">
        <v>32</v>
      </c>
      <c r="J347" s="195">
        <v>112</v>
      </c>
      <c r="K347" s="195" t="s">
        <v>1210</v>
      </c>
      <c r="L347" s="195" t="s">
        <v>526</v>
      </c>
      <c r="N347" s="382" t="s">
        <v>918</v>
      </c>
    </row>
    <row r="348" spans="1:14" ht="12.75" customHeight="1" x14ac:dyDescent="0.2">
      <c r="A348" s="195" t="s">
        <v>1212</v>
      </c>
      <c r="B348" s="195" t="s">
        <v>895</v>
      </c>
      <c r="C348" s="195" t="s">
        <v>896</v>
      </c>
      <c r="D348" s="195" t="s">
        <v>1038</v>
      </c>
      <c r="E348" s="195" t="s">
        <v>1213</v>
      </c>
      <c r="F348" s="197" t="s">
        <v>931</v>
      </c>
      <c r="G348" s="197">
        <v>48</v>
      </c>
      <c r="H348" s="195">
        <v>3</v>
      </c>
      <c r="I348" s="195">
        <v>32</v>
      </c>
      <c r="J348" s="195">
        <v>110</v>
      </c>
      <c r="K348" s="195" t="s">
        <v>1212</v>
      </c>
      <c r="L348" s="195" t="s">
        <v>526</v>
      </c>
      <c r="N348" s="382" t="s">
        <v>918</v>
      </c>
    </row>
    <row r="349" spans="1:14" ht="12.75" customHeight="1" x14ac:dyDescent="0.2">
      <c r="A349" s="195" t="s">
        <v>1214</v>
      </c>
      <c r="B349" s="195" t="s">
        <v>895</v>
      </c>
      <c r="C349" s="195" t="s">
        <v>896</v>
      </c>
      <c r="D349" s="195" t="s">
        <v>1038</v>
      </c>
      <c r="E349" s="195" t="s">
        <v>1215</v>
      </c>
      <c r="F349" s="197" t="s">
        <v>221</v>
      </c>
      <c r="G349" s="197">
        <v>48</v>
      </c>
      <c r="H349" s="195">
        <v>3</v>
      </c>
      <c r="I349" s="195">
        <v>32</v>
      </c>
      <c r="J349" s="195">
        <v>93</v>
      </c>
      <c r="K349" s="195" t="s">
        <v>1214</v>
      </c>
      <c r="L349" s="195" t="s">
        <v>526</v>
      </c>
      <c r="N349" s="382" t="s">
        <v>918</v>
      </c>
    </row>
    <row r="350" spans="1:14" ht="12.75" customHeight="1" x14ac:dyDescent="0.2">
      <c r="A350" s="195" t="s">
        <v>1216</v>
      </c>
      <c r="B350" s="195" t="s">
        <v>895</v>
      </c>
      <c r="C350" s="195" t="s">
        <v>896</v>
      </c>
      <c r="D350" s="195" t="s">
        <v>1038</v>
      </c>
      <c r="E350" s="195" t="s">
        <v>1217</v>
      </c>
      <c r="F350" s="197" t="s">
        <v>221</v>
      </c>
      <c r="G350" s="197">
        <v>48</v>
      </c>
      <c r="H350" s="195">
        <v>3</v>
      </c>
      <c r="I350" s="195">
        <v>32</v>
      </c>
      <c r="J350" s="195">
        <v>92</v>
      </c>
      <c r="K350" s="195" t="s">
        <v>1216</v>
      </c>
      <c r="L350" s="195" t="s">
        <v>526</v>
      </c>
      <c r="N350" s="382" t="s">
        <v>918</v>
      </c>
    </row>
    <row r="351" spans="1:14" ht="12.75" customHeight="1" x14ac:dyDescent="0.2">
      <c r="A351" s="195" t="s">
        <v>1218</v>
      </c>
      <c r="B351" s="195" t="s">
        <v>895</v>
      </c>
      <c r="C351" s="195" t="s">
        <v>896</v>
      </c>
      <c r="D351" s="195" t="s">
        <v>1038</v>
      </c>
      <c r="E351" s="195" t="s">
        <v>1219</v>
      </c>
      <c r="F351" s="197" t="s">
        <v>221</v>
      </c>
      <c r="G351" s="197">
        <v>48</v>
      </c>
      <c r="H351" s="195">
        <v>3</v>
      </c>
      <c r="I351" s="195">
        <v>32</v>
      </c>
      <c r="J351" s="195">
        <v>98</v>
      </c>
      <c r="K351" s="195" t="s">
        <v>1218</v>
      </c>
      <c r="L351" s="195" t="s">
        <v>526</v>
      </c>
      <c r="N351" s="382" t="s">
        <v>918</v>
      </c>
    </row>
    <row r="352" spans="1:14" ht="12.75" customHeight="1" x14ac:dyDescent="0.2">
      <c r="A352" s="195" t="s">
        <v>1220</v>
      </c>
      <c r="B352" s="195" t="s">
        <v>895</v>
      </c>
      <c r="C352" s="195" t="s">
        <v>896</v>
      </c>
      <c r="D352" s="195" t="s">
        <v>1038</v>
      </c>
      <c r="E352" s="195" t="s">
        <v>1221</v>
      </c>
      <c r="F352" s="197" t="s">
        <v>221</v>
      </c>
      <c r="G352" s="197">
        <v>48</v>
      </c>
      <c r="H352" s="195">
        <v>3</v>
      </c>
      <c r="I352" s="195">
        <v>32</v>
      </c>
      <c r="J352" s="195">
        <v>76</v>
      </c>
      <c r="K352" s="195" t="s">
        <v>1220</v>
      </c>
      <c r="L352" s="195" t="s">
        <v>526</v>
      </c>
      <c r="N352" s="382" t="s">
        <v>918</v>
      </c>
    </row>
    <row r="353" spans="1:14" ht="12.75" customHeight="1" x14ac:dyDescent="0.2">
      <c r="A353" s="194" t="s">
        <v>1222</v>
      </c>
      <c r="B353" s="195" t="s">
        <v>895</v>
      </c>
      <c r="C353" s="195" t="s">
        <v>896</v>
      </c>
      <c r="D353" s="194" t="s">
        <v>965</v>
      </c>
      <c r="E353" s="194" t="s">
        <v>1223</v>
      </c>
      <c r="F353" s="193" t="s">
        <v>221</v>
      </c>
      <c r="G353" s="197">
        <v>48</v>
      </c>
      <c r="H353" s="194">
        <v>3</v>
      </c>
      <c r="I353" s="194">
        <v>25</v>
      </c>
      <c r="J353" s="194">
        <v>65</v>
      </c>
      <c r="K353" s="194" t="s">
        <v>1222</v>
      </c>
      <c r="L353" s="195" t="s">
        <v>526</v>
      </c>
      <c r="N353" s="382" t="s">
        <v>456</v>
      </c>
    </row>
    <row r="354" spans="1:14" ht="12.75" customHeight="1" x14ac:dyDescent="0.2">
      <c r="A354" s="194" t="s">
        <v>1224</v>
      </c>
      <c r="B354" s="195" t="s">
        <v>895</v>
      </c>
      <c r="C354" s="195" t="s">
        <v>896</v>
      </c>
      <c r="D354" s="194" t="s">
        <v>965</v>
      </c>
      <c r="E354" s="194" t="s">
        <v>1225</v>
      </c>
      <c r="F354" s="193" t="s">
        <v>221</v>
      </c>
      <c r="G354" s="197">
        <v>48</v>
      </c>
      <c r="H354" s="194">
        <v>3</v>
      </c>
      <c r="I354" s="194">
        <v>25</v>
      </c>
      <c r="J354" s="194">
        <v>57</v>
      </c>
      <c r="K354" s="194" t="s">
        <v>1224</v>
      </c>
      <c r="L354" s="195" t="s">
        <v>526</v>
      </c>
      <c r="N354" s="382" t="s">
        <v>456</v>
      </c>
    </row>
    <row r="355" spans="1:14" ht="12.75" customHeight="1" x14ac:dyDescent="0.2">
      <c r="A355" s="194" t="s">
        <v>1226</v>
      </c>
      <c r="B355" s="195" t="s">
        <v>895</v>
      </c>
      <c r="C355" s="195" t="s">
        <v>896</v>
      </c>
      <c r="D355" s="194" t="s">
        <v>965</v>
      </c>
      <c r="E355" s="194" t="s">
        <v>1227</v>
      </c>
      <c r="F355" s="193" t="s">
        <v>221</v>
      </c>
      <c r="G355" s="197">
        <v>48</v>
      </c>
      <c r="H355" s="194">
        <v>3</v>
      </c>
      <c r="I355" s="194">
        <v>25</v>
      </c>
      <c r="J355" s="194">
        <v>87</v>
      </c>
      <c r="K355" s="194" t="s">
        <v>1226</v>
      </c>
      <c r="L355" s="195" t="s">
        <v>526</v>
      </c>
      <c r="N355" s="382" t="s">
        <v>918</v>
      </c>
    </row>
    <row r="356" spans="1:14" ht="12.75" customHeight="1" x14ac:dyDescent="0.2">
      <c r="A356" s="195" t="s">
        <v>1228</v>
      </c>
      <c r="B356" s="195" t="s">
        <v>895</v>
      </c>
      <c r="C356" s="195" t="s">
        <v>896</v>
      </c>
      <c r="D356" s="195" t="s">
        <v>1038</v>
      </c>
      <c r="E356" s="195" t="s">
        <v>1229</v>
      </c>
      <c r="F356" s="197" t="s">
        <v>221</v>
      </c>
      <c r="G356" s="197">
        <v>48</v>
      </c>
      <c r="H356" s="195">
        <v>4</v>
      </c>
      <c r="I356" s="195">
        <v>32</v>
      </c>
      <c r="J356" s="195">
        <v>112</v>
      </c>
      <c r="K356" s="195" t="s">
        <v>1228</v>
      </c>
      <c r="L356" s="195" t="s">
        <v>526</v>
      </c>
      <c r="N356" s="382" t="s">
        <v>456</v>
      </c>
    </row>
    <row r="357" spans="1:14" ht="12.75" customHeight="1" x14ac:dyDescent="0.2">
      <c r="A357" s="195" t="s">
        <v>1230</v>
      </c>
      <c r="B357" s="195" t="s">
        <v>895</v>
      </c>
      <c r="C357" s="195" t="s">
        <v>896</v>
      </c>
      <c r="D357" s="195" t="s">
        <v>1038</v>
      </c>
      <c r="E357" s="195" t="s">
        <v>1231</v>
      </c>
      <c r="F357" s="197" t="s">
        <v>221</v>
      </c>
      <c r="G357" s="197">
        <v>48</v>
      </c>
      <c r="H357" s="195">
        <v>4</v>
      </c>
      <c r="I357" s="195">
        <v>32</v>
      </c>
      <c r="J357" s="195">
        <v>151</v>
      </c>
      <c r="K357" s="195" t="s">
        <v>1230</v>
      </c>
      <c r="L357" s="195" t="s">
        <v>526</v>
      </c>
      <c r="N357" s="382" t="s">
        <v>918</v>
      </c>
    </row>
    <row r="358" spans="1:14" ht="12.75" customHeight="1" x14ac:dyDescent="0.2">
      <c r="A358" s="195" t="s">
        <v>1232</v>
      </c>
      <c r="B358" s="195" t="s">
        <v>895</v>
      </c>
      <c r="C358" s="195" t="s">
        <v>896</v>
      </c>
      <c r="D358" s="195" t="s">
        <v>1041</v>
      </c>
      <c r="E358" s="195" t="s">
        <v>1233</v>
      </c>
      <c r="F358" s="197" t="s">
        <v>221</v>
      </c>
      <c r="G358" s="197">
        <v>48</v>
      </c>
      <c r="H358" s="195">
        <v>4</v>
      </c>
      <c r="I358" s="195">
        <v>30</v>
      </c>
      <c r="J358" s="195">
        <v>105</v>
      </c>
      <c r="K358" s="195" t="s">
        <v>1232</v>
      </c>
      <c r="L358" s="195" t="s">
        <v>526</v>
      </c>
      <c r="N358" s="382" t="s">
        <v>456</v>
      </c>
    </row>
    <row r="359" spans="1:14" ht="12.75" customHeight="1" x14ac:dyDescent="0.2">
      <c r="A359" s="195" t="s">
        <v>1234</v>
      </c>
      <c r="B359" s="195" t="s">
        <v>895</v>
      </c>
      <c r="C359" s="195" t="s">
        <v>896</v>
      </c>
      <c r="D359" s="195" t="s">
        <v>1041</v>
      </c>
      <c r="E359" s="195" t="s">
        <v>1235</v>
      </c>
      <c r="F359" s="197" t="s">
        <v>221</v>
      </c>
      <c r="G359" s="197">
        <v>48</v>
      </c>
      <c r="H359" s="195">
        <v>4</v>
      </c>
      <c r="I359" s="195">
        <v>30</v>
      </c>
      <c r="J359" s="195">
        <v>91</v>
      </c>
      <c r="K359" s="195" t="s">
        <v>1234</v>
      </c>
      <c r="L359" s="195" t="s">
        <v>526</v>
      </c>
      <c r="N359" s="382" t="s">
        <v>456</v>
      </c>
    </row>
    <row r="360" spans="1:14" ht="12.75" customHeight="1" x14ac:dyDescent="0.2">
      <c r="A360" s="195" t="s">
        <v>1236</v>
      </c>
      <c r="B360" s="195" t="s">
        <v>895</v>
      </c>
      <c r="C360" s="195" t="s">
        <v>896</v>
      </c>
      <c r="D360" s="195" t="s">
        <v>1041</v>
      </c>
      <c r="E360" s="195" t="s">
        <v>1237</v>
      </c>
      <c r="F360" s="197" t="s">
        <v>221</v>
      </c>
      <c r="G360" s="197">
        <v>48</v>
      </c>
      <c r="H360" s="195">
        <v>4</v>
      </c>
      <c r="I360" s="195">
        <v>30</v>
      </c>
      <c r="J360" s="195">
        <v>140</v>
      </c>
      <c r="K360" s="195" t="s">
        <v>1236</v>
      </c>
      <c r="L360" s="195" t="s">
        <v>526</v>
      </c>
      <c r="N360" s="382" t="s">
        <v>918</v>
      </c>
    </row>
    <row r="361" spans="1:14" ht="12.75" customHeight="1" x14ac:dyDescent="0.2">
      <c r="A361" s="195" t="s">
        <v>1238</v>
      </c>
      <c r="B361" s="195" t="s">
        <v>895</v>
      </c>
      <c r="C361" s="195" t="s">
        <v>896</v>
      </c>
      <c r="D361" s="195" t="s">
        <v>1064</v>
      </c>
      <c r="E361" s="195" t="s">
        <v>1233</v>
      </c>
      <c r="F361" s="197" t="s">
        <v>221</v>
      </c>
      <c r="G361" s="197">
        <v>48</v>
      </c>
      <c r="H361" s="195">
        <v>4</v>
      </c>
      <c r="I361" s="195">
        <v>28</v>
      </c>
      <c r="J361" s="195">
        <v>96</v>
      </c>
      <c r="K361" s="195" t="s">
        <v>1238</v>
      </c>
      <c r="L361" s="195" t="s">
        <v>526</v>
      </c>
      <c r="N361" s="382" t="s">
        <v>456</v>
      </c>
    </row>
    <row r="362" spans="1:14" ht="12.75" customHeight="1" x14ac:dyDescent="0.2">
      <c r="A362" s="195" t="s">
        <v>1239</v>
      </c>
      <c r="B362" s="195" t="s">
        <v>895</v>
      </c>
      <c r="C362" s="195" t="s">
        <v>896</v>
      </c>
      <c r="D362" s="195" t="s">
        <v>1064</v>
      </c>
      <c r="E362" s="195" t="s">
        <v>1235</v>
      </c>
      <c r="F362" s="197" t="s">
        <v>221</v>
      </c>
      <c r="G362" s="197">
        <v>48</v>
      </c>
      <c r="H362" s="195">
        <v>4</v>
      </c>
      <c r="I362" s="195">
        <v>28</v>
      </c>
      <c r="J362" s="195">
        <v>86</v>
      </c>
      <c r="K362" s="195" t="s">
        <v>1239</v>
      </c>
      <c r="L362" s="195" t="s">
        <v>526</v>
      </c>
      <c r="N362" s="382" t="s">
        <v>456</v>
      </c>
    </row>
    <row r="363" spans="1:14" ht="12.75" customHeight="1" x14ac:dyDescent="0.2">
      <c r="A363" s="195" t="s">
        <v>1240</v>
      </c>
      <c r="B363" s="195" t="s">
        <v>895</v>
      </c>
      <c r="C363" s="195" t="s">
        <v>896</v>
      </c>
      <c r="D363" s="195" t="s">
        <v>1064</v>
      </c>
      <c r="E363" s="195" t="s">
        <v>1237</v>
      </c>
      <c r="F363" s="197" t="s">
        <v>221</v>
      </c>
      <c r="G363" s="197">
        <v>48</v>
      </c>
      <c r="H363" s="195">
        <v>4</v>
      </c>
      <c r="I363" s="195">
        <v>28</v>
      </c>
      <c r="J363" s="195">
        <v>131</v>
      </c>
      <c r="K363" s="195" t="s">
        <v>1240</v>
      </c>
      <c r="L363" s="195" t="s">
        <v>526</v>
      </c>
      <c r="N363" s="382" t="s">
        <v>918</v>
      </c>
    </row>
    <row r="364" spans="1:14" ht="12.75" customHeight="1" x14ac:dyDescent="0.2">
      <c r="A364" s="195" t="s">
        <v>1241</v>
      </c>
      <c r="B364" s="195" t="s">
        <v>895</v>
      </c>
      <c r="C364" s="195" t="s">
        <v>896</v>
      </c>
      <c r="D364" s="195" t="s">
        <v>1038</v>
      </c>
      <c r="E364" s="195" t="s">
        <v>1242</v>
      </c>
      <c r="F364" s="197" t="s">
        <v>221</v>
      </c>
      <c r="G364" s="197">
        <v>48</v>
      </c>
      <c r="H364" s="195">
        <v>4</v>
      </c>
      <c r="I364" s="195">
        <v>32</v>
      </c>
      <c r="J364" s="195">
        <v>118</v>
      </c>
      <c r="K364" s="195" t="s">
        <v>1241</v>
      </c>
      <c r="L364" s="195" t="s">
        <v>526</v>
      </c>
      <c r="N364" s="382" t="s">
        <v>456</v>
      </c>
    </row>
    <row r="365" spans="1:14" ht="12.75" customHeight="1" x14ac:dyDescent="0.2">
      <c r="A365" s="195" t="s">
        <v>1243</v>
      </c>
      <c r="B365" s="195" t="s">
        <v>895</v>
      </c>
      <c r="C365" s="195" t="s">
        <v>896</v>
      </c>
      <c r="D365" s="195" t="s">
        <v>1038</v>
      </c>
      <c r="E365" s="195" t="s">
        <v>1244</v>
      </c>
      <c r="F365" s="197" t="s">
        <v>221</v>
      </c>
      <c r="G365" s="197">
        <v>48</v>
      </c>
      <c r="H365" s="195">
        <v>4</v>
      </c>
      <c r="I365" s="195">
        <v>32</v>
      </c>
      <c r="J365" s="195">
        <v>102</v>
      </c>
      <c r="K365" s="195" t="s">
        <v>1243</v>
      </c>
      <c r="L365" s="195" t="s">
        <v>526</v>
      </c>
      <c r="N365" s="382" t="s">
        <v>456</v>
      </c>
    </row>
    <row r="366" spans="1:14" ht="12.75" customHeight="1" x14ac:dyDescent="0.2">
      <c r="A366" s="195" t="s">
        <v>1245</v>
      </c>
      <c r="B366" s="195" t="s">
        <v>895</v>
      </c>
      <c r="C366" s="195" t="s">
        <v>896</v>
      </c>
      <c r="D366" s="195" t="s">
        <v>1038</v>
      </c>
      <c r="E366" s="195" t="s">
        <v>1246</v>
      </c>
      <c r="F366" s="197" t="s">
        <v>931</v>
      </c>
      <c r="G366" s="197">
        <v>48</v>
      </c>
      <c r="H366" s="195">
        <v>4</v>
      </c>
      <c r="I366" s="195">
        <v>32</v>
      </c>
      <c r="J366" s="195">
        <v>142</v>
      </c>
      <c r="K366" s="195" t="s">
        <v>1245</v>
      </c>
      <c r="L366" s="195" t="s">
        <v>526</v>
      </c>
      <c r="N366" s="382" t="s">
        <v>918</v>
      </c>
    </row>
    <row r="367" spans="1:14" ht="12.75" customHeight="1" x14ac:dyDescent="0.2">
      <c r="A367" s="195" t="s">
        <v>1247</v>
      </c>
      <c r="B367" s="195" t="s">
        <v>895</v>
      </c>
      <c r="C367" s="195" t="s">
        <v>896</v>
      </c>
      <c r="D367" s="195" t="s">
        <v>1038</v>
      </c>
      <c r="E367" s="195" t="s">
        <v>1248</v>
      </c>
      <c r="F367" s="197" t="s">
        <v>221</v>
      </c>
      <c r="G367" s="197">
        <v>48</v>
      </c>
      <c r="H367" s="195">
        <v>4</v>
      </c>
      <c r="I367" s="195">
        <v>32</v>
      </c>
      <c r="J367" s="195">
        <v>118</v>
      </c>
      <c r="K367" s="195" t="s">
        <v>1247</v>
      </c>
      <c r="L367" s="195" t="s">
        <v>526</v>
      </c>
      <c r="N367" s="382" t="s">
        <v>918</v>
      </c>
    </row>
    <row r="368" spans="1:14" ht="12.75" customHeight="1" x14ac:dyDescent="0.2">
      <c r="A368" s="195" t="s">
        <v>1249</v>
      </c>
      <c r="B368" s="195" t="s">
        <v>895</v>
      </c>
      <c r="C368" s="195" t="s">
        <v>896</v>
      </c>
      <c r="D368" s="195" t="s">
        <v>1038</v>
      </c>
      <c r="E368" s="195" t="s">
        <v>1250</v>
      </c>
      <c r="F368" s="197" t="s">
        <v>221</v>
      </c>
      <c r="G368" s="197">
        <v>48</v>
      </c>
      <c r="H368" s="195">
        <v>4</v>
      </c>
      <c r="I368" s="195">
        <v>32</v>
      </c>
      <c r="J368" s="195">
        <v>120</v>
      </c>
      <c r="K368" s="195" t="s">
        <v>1249</v>
      </c>
      <c r="L368" s="195" t="s">
        <v>526</v>
      </c>
      <c r="N368" s="382" t="s">
        <v>918</v>
      </c>
    </row>
    <row r="369" spans="1:14" ht="12.75" customHeight="1" x14ac:dyDescent="0.2">
      <c r="A369" s="195" t="s">
        <v>1251</v>
      </c>
      <c r="B369" s="195" t="s">
        <v>895</v>
      </c>
      <c r="C369" s="195" t="s">
        <v>896</v>
      </c>
      <c r="D369" s="195" t="s">
        <v>1038</v>
      </c>
      <c r="E369" s="195" t="s">
        <v>1252</v>
      </c>
      <c r="F369" s="197" t="s">
        <v>221</v>
      </c>
      <c r="G369" s="197">
        <v>48</v>
      </c>
      <c r="H369" s="195">
        <v>4</v>
      </c>
      <c r="I369" s="195">
        <v>32</v>
      </c>
      <c r="J369" s="195">
        <v>105</v>
      </c>
      <c r="K369" s="195" t="s">
        <v>1251</v>
      </c>
      <c r="L369" s="195" t="s">
        <v>526</v>
      </c>
      <c r="N369" s="382" t="s">
        <v>918</v>
      </c>
    </row>
    <row r="370" spans="1:14" ht="12.75" customHeight="1" x14ac:dyDescent="0.2">
      <c r="A370" s="194" t="s">
        <v>1253</v>
      </c>
      <c r="B370" s="195" t="s">
        <v>895</v>
      </c>
      <c r="C370" s="195" t="s">
        <v>896</v>
      </c>
      <c r="D370" s="194" t="s">
        <v>1038</v>
      </c>
      <c r="E370" s="194" t="s">
        <v>1254</v>
      </c>
      <c r="F370" s="193" t="s">
        <v>221</v>
      </c>
      <c r="G370" s="197">
        <v>48</v>
      </c>
      <c r="H370" s="194">
        <v>4</v>
      </c>
      <c r="I370" s="194">
        <v>32</v>
      </c>
      <c r="J370" s="194">
        <v>144</v>
      </c>
      <c r="K370" s="194" t="s">
        <v>1253</v>
      </c>
      <c r="L370" s="195" t="s">
        <v>526</v>
      </c>
      <c r="N370" s="382" t="s">
        <v>918</v>
      </c>
    </row>
    <row r="371" spans="1:14" ht="12.75" customHeight="1" x14ac:dyDescent="0.2">
      <c r="A371" s="194" t="s">
        <v>1255</v>
      </c>
      <c r="B371" s="195" t="s">
        <v>895</v>
      </c>
      <c r="C371" s="195" t="s">
        <v>896</v>
      </c>
      <c r="D371" s="194" t="s">
        <v>965</v>
      </c>
      <c r="E371" s="194" t="s">
        <v>1256</v>
      </c>
      <c r="F371" s="193" t="s">
        <v>221</v>
      </c>
      <c r="G371" s="197">
        <v>48</v>
      </c>
      <c r="H371" s="194">
        <v>4</v>
      </c>
      <c r="I371" s="194">
        <v>25</v>
      </c>
      <c r="J371" s="194">
        <v>85</v>
      </c>
      <c r="K371" s="194" t="s">
        <v>1255</v>
      </c>
      <c r="L371" s="195" t="s">
        <v>526</v>
      </c>
      <c r="N371" s="382" t="s">
        <v>456</v>
      </c>
    </row>
    <row r="372" spans="1:14" ht="12.75" customHeight="1" x14ac:dyDescent="0.2">
      <c r="A372" s="194" t="s">
        <v>1257</v>
      </c>
      <c r="B372" s="195" t="s">
        <v>895</v>
      </c>
      <c r="C372" s="195" t="s">
        <v>896</v>
      </c>
      <c r="D372" s="194" t="s">
        <v>965</v>
      </c>
      <c r="E372" s="194" t="s">
        <v>1258</v>
      </c>
      <c r="F372" s="193" t="s">
        <v>221</v>
      </c>
      <c r="G372" s="197">
        <v>48</v>
      </c>
      <c r="H372" s="194">
        <v>4</v>
      </c>
      <c r="I372" s="194">
        <v>25</v>
      </c>
      <c r="J372" s="194">
        <v>76</v>
      </c>
      <c r="K372" s="194" t="s">
        <v>1257</v>
      </c>
      <c r="L372" s="195" t="s">
        <v>526</v>
      </c>
      <c r="N372" s="382" t="s">
        <v>456</v>
      </c>
    </row>
    <row r="373" spans="1:14" ht="12.75" customHeight="1" x14ac:dyDescent="0.2">
      <c r="A373" s="194" t="s">
        <v>1259</v>
      </c>
      <c r="B373" s="195" t="s">
        <v>895</v>
      </c>
      <c r="C373" s="195" t="s">
        <v>896</v>
      </c>
      <c r="D373" s="194" t="s">
        <v>965</v>
      </c>
      <c r="E373" s="194" t="s">
        <v>1260</v>
      </c>
      <c r="F373" s="193" t="s">
        <v>221</v>
      </c>
      <c r="G373" s="197">
        <v>48</v>
      </c>
      <c r="H373" s="194">
        <v>4</v>
      </c>
      <c r="I373" s="194">
        <v>25</v>
      </c>
      <c r="J373" s="194">
        <v>112</v>
      </c>
      <c r="K373" s="194" t="s">
        <v>1259</v>
      </c>
      <c r="L373" s="195" t="s">
        <v>526</v>
      </c>
      <c r="N373" s="382" t="s">
        <v>918</v>
      </c>
    </row>
    <row r="374" spans="1:14" ht="12.75" customHeight="1" x14ac:dyDescent="0.2">
      <c r="A374" s="195" t="s">
        <v>1261</v>
      </c>
      <c r="B374" s="195" t="s">
        <v>895</v>
      </c>
      <c r="C374" s="195" t="s">
        <v>896</v>
      </c>
      <c r="D374" s="195" t="s">
        <v>1038</v>
      </c>
      <c r="E374" s="195" t="s">
        <v>1262</v>
      </c>
      <c r="F374" s="197" t="s">
        <v>221</v>
      </c>
      <c r="G374" s="197">
        <v>48</v>
      </c>
      <c r="H374" s="195">
        <v>5</v>
      </c>
      <c r="I374" s="195">
        <v>32</v>
      </c>
      <c r="J374" s="195">
        <v>148</v>
      </c>
      <c r="K374" s="195" t="s">
        <v>1261</v>
      </c>
      <c r="L374" s="195" t="s">
        <v>526</v>
      </c>
      <c r="N374" s="382" t="s">
        <v>456</v>
      </c>
    </row>
    <row r="375" spans="1:14" ht="12.75" customHeight="1" x14ac:dyDescent="0.2">
      <c r="A375" s="195" t="s">
        <v>1263</v>
      </c>
      <c r="B375" s="195" t="s">
        <v>895</v>
      </c>
      <c r="C375" s="195" t="s">
        <v>896</v>
      </c>
      <c r="D375" s="195" t="s">
        <v>1038</v>
      </c>
      <c r="E375" s="195" t="s">
        <v>1264</v>
      </c>
      <c r="F375" s="197" t="s">
        <v>221</v>
      </c>
      <c r="G375" s="197">
        <v>48</v>
      </c>
      <c r="H375" s="195">
        <v>6</v>
      </c>
      <c r="I375" s="195">
        <v>32</v>
      </c>
      <c r="J375" s="195">
        <v>175</v>
      </c>
      <c r="K375" s="195" t="s">
        <v>1263</v>
      </c>
      <c r="L375" s="195" t="s">
        <v>526</v>
      </c>
      <c r="N375" s="382" t="s">
        <v>456</v>
      </c>
    </row>
    <row r="376" spans="1:14" ht="12.75" customHeight="1" x14ac:dyDescent="0.2">
      <c r="A376" s="195" t="s">
        <v>1265</v>
      </c>
      <c r="B376" s="195" t="s">
        <v>895</v>
      </c>
      <c r="C376" s="195" t="s">
        <v>896</v>
      </c>
      <c r="D376" s="195" t="s">
        <v>1038</v>
      </c>
      <c r="E376" s="195" t="s">
        <v>1266</v>
      </c>
      <c r="F376" s="197" t="s">
        <v>221</v>
      </c>
      <c r="G376" s="197">
        <v>48</v>
      </c>
      <c r="H376" s="195">
        <v>6</v>
      </c>
      <c r="I376" s="195">
        <v>32</v>
      </c>
      <c r="J376" s="195">
        <v>156</v>
      </c>
      <c r="K376" s="195" t="s">
        <v>1265</v>
      </c>
      <c r="L376" s="195" t="s">
        <v>526</v>
      </c>
      <c r="N376" s="382" t="s">
        <v>456</v>
      </c>
    </row>
    <row r="377" spans="1:14" ht="12.75" customHeight="1" x14ac:dyDescent="0.2">
      <c r="A377" s="195" t="s">
        <v>1267</v>
      </c>
      <c r="B377" s="195" t="s">
        <v>895</v>
      </c>
      <c r="C377" s="195" t="s">
        <v>896</v>
      </c>
      <c r="D377" s="195" t="s">
        <v>1038</v>
      </c>
      <c r="E377" s="195" t="s">
        <v>1268</v>
      </c>
      <c r="F377" s="197" t="s">
        <v>221</v>
      </c>
      <c r="G377" s="197">
        <v>48</v>
      </c>
      <c r="H377" s="195">
        <v>6</v>
      </c>
      <c r="I377" s="195">
        <v>32</v>
      </c>
      <c r="J377" s="195">
        <v>182</v>
      </c>
      <c r="K377" s="195" t="s">
        <v>1267</v>
      </c>
      <c r="L377" s="195" t="s">
        <v>526</v>
      </c>
      <c r="N377" s="382" t="s">
        <v>918</v>
      </c>
    </row>
    <row r="378" spans="1:14" ht="12.75" customHeight="1" x14ac:dyDescent="0.2">
      <c r="A378" s="194" t="s">
        <v>1269</v>
      </c>
      <c r="B378" s="195" t="s">
        <v>895</v>
      </c>
      <c r="C378" s="195" t="s">
        <v>896</v>
      </c>
      <c r="D378" s="194" t="s">
        <v>1038</v>
      </c>
      <c r="E378" s="194" t="s">
        <v>1270</v>
      </c>
      <c r="F378" s="193" t="s">
        <v>221</v>
      </c>
      <c r="G378" s="197">
        <v>48</v>
      </c>
      <c r="H378" s="194">
        <v>6</v>
      </c>
      <c r="I378" s="194">
        <v>32</v>
      </c>
      <c r="J378" s="194">
        <v>222</v>
      </c>
      <c r="K378" s="194" t="s">
        <v>1269</v>
      </c>
      <c r="L378" s="195" t="s">
        <v>526</v>
      </c>
      <c r="N378" s="382" t="s">
        <v>456</v>
      </c>
    </row>
    <row r="379" spans="1:14" ht="12.75" customHeight="1" x14ac:dyDescent="0.2">
      <c r="A379" s="194" t="s">
        <v>1271</v>
      </c>
      <c r="B379" s="195" t="s">
        <v>895</v>
      </c>
      <c r="C379" s="195" t="s">
        <v>896</v>
      </c>
      <c r="D379" s="194" t="s">
        <v>1038</v>
      </c>
      <c r="E379" s="194" t="s">
        <v>1272</v>
      </c>
      <c r="F379" s="193" t="s">
        <v>221</v>
      </c>
      <c r="G379" s="197">
        <v>48</v>
      </c>
      <c r="H379" s="194">
        <v>6</v>
      </c>
      <c r="I379" s="194">
        <v>32</v>
      </c>
      <c r="J379" s="194">
        <v>255</v>
      </c>
      <c r="K379" s="194" t="s">
        <v>1271</v>
      </c>
      <c r="L379" s="195" t="s">
        <v>526</v>
      </c>
      <c r="N379" s="382" t="s">
        <v>918</v>
      </c>
    </row>
    <row r="380" spans="1:14" ht="12.75" customHeight="1" x14ac:dyDescent="0.2">
      <c r="A380" s="194" t="s">
        <v>1273</v>
      </c>
      <c r="B380" s="195" t="s">
        <v>895</v>
      </c>
      <c r="C380" s="195" t="s">
        <v>896</v>
      </c>
      <c r="D380" s="194" t="s">
        <v>1041</v>
      </c>
      <c r="E380" s="195" t="s">
        <v>1274</v>
      </c>
      <c r="F380" s="193" t="s">
        <v>221</v>
      </c>
      <c r="G380" s="197">
        <v>48</v>
      </c>
      <c r="H380" s="194">
        <v>6</v>
      </c>
      <c r="I380" s="194">
        <v>32</v>
      </c>
      <c r="J380" s="194">
        <v>158</v>
      </c>
      <c r="K380" s="194" t="s">
        <v>1273</v>
      </c>
      <c r="L380" s="195" t="s">
        <v>526</v>
      </c>
      <c r="N380" s="382" t="s">
        <v>456</v>
      </c>
    </row>
    <row r="381" spans="1:14" ht="12.75" customHeight="1" x14ac:dyDescent="0.2">
      <c r="A381" s="194" t="s">
        <v>1275</v>
      </c>
      <c r="B381" s="195" t="s">
        <v>895</v>
      </c>
      <c r="C381" s="195" t="s">
        <v>896</v>
      </c>
      <c r="D381" s="194" t="s">
        <v>1064</v>
      </c>
      <c r="E381" s="195" t="s">
        <v>1276</v>
      </c>
      <c r="F381" s="193" t="s">
        <v>221</v>
      </c>
      <c r="G381" s="197">
        <v>48</v>
      </c>
      <c r="H381" s="194">
        <v>6</v>
      </c>
      <c r="I381" s="194">
        <v>32</v>
      </c>
      <c r="J381" s="194">
        <v>144</v>
      </c>
      <c r="K381" s="194" t="s">
        <v>1275</v>
      </c>
      <c r="L381" s="195" t="s">
        <v>526</v>
      </c>
      <c r="N381" s="382" t="s">
        <v>456</v>
      </c>
    </row>
    <row r="382" spans="1:14" ht="12.75" customHeight="1" x14ac:dyDescent="0.2">
      <c r="A382" s="195" t="s">
        <v>1277</v>
      </c>
      <c r="B382" s="195" t="s">
        <v>895</v>
      </c>
      <c r="C382" s="195" t="s">
        <v>896</v>
      </c>
      <c r="D382" s="195" t="s">
        <v>1038</v>
      </c>
      <c r="E382" s="195" t="s">
        <v>1278</v>
      </c>
      <c r="F382" s="197" t="s">
        <v>221</v>
      </c>
      <c r="G382" s="197">
        <v>48</v>
      </c>
      <c r="H382" s="195">
        <v>8</v>
      </c>
      <c r="I382" s="195">
        <v>32</v>
      </c>
      <c r="J382" s="195">
        <v>224</v>
      </c>
      <c r="K382" s="195" t="s">
        <v>1277</v>
      </c>
      <c r="L382" s="195" t="s">
        <v>526</v>
      </c>
      <c r="N382" s="382" t="s">
        <v>456</v>
      </c>
    </row>
    <row r="383" spans="1:14" ht="12.75" customHeight="1" x14ac:dyDescent="0.2">
      <c r="A383" s="195" t="s">
        <v>1279</v>
      </c>
      <c r="B383" s="195" t="s">
        <v>895</v>
      </c>
      <c r="C383" s="195" t="s">
        <v>896</v>
      </c>
      <c r="D383" s="195" t="s">
        <v>1038</v>
      </c>
      <c r="E383" s="195" t="s">
        <v>1280</v>
      </c>
      <c r="F383" s="197" t="s">
        <v>221</v>
      </c>
      <c r="G383" s="197">
        <v>48</v>
      </c>
      <c r="H383" s="195">
        <v>8</v>
      </c>
      <c r="I383" s="195">
        <v>32</v>
      </c>
      <c r="J383" s="195">
        <v>204</v>
      </c>
      <c r="K383" s="195" t="s">
        <v>1279</v>
      </c>
      <c r="L383" s="195" t="s">
        <v>526</v>
      </c>
      <c r="N383" s="382" t="s">
        <v>456</v>
      </c>
    </row>
    <row r="384" spans="1:14" ht="12.75" customHeight="1" x14ac:dyDescent="0.2">
      <c r="A384" s="194" t="s">
        <v>1281</v>
      </c>
      <c r="B384" s="195" t="s">
        <v>895</v>
      </c>
      <c r="C384" s="195" t="s">
        <v>896</v>
      </c>
      <c r="D384" s="194" t="s">
        <v>1282</v>
      </c>
      <c r="E384" s="194" t="s">
        <v>1283</v>
      </c>
      <c r="F384" s="193" t="s">
        <v>221</v>
      </c>
      <c r="G384" s="197">
        <v>48</v>
      </c>
      <c r="H384" s="194">
        <v>8</v>
      </c>
      <c r="I384" s="194">
        <v>44</v>
      </c>
      <c r="J384" s="194">
        <v>392</v>
      </c>
      <c r="K384" s="194" t="s">
        <v>1281</v>
      </c>
      <c r="L384" s="195" t="s">
        <v>526</v>
      </c>
      <c r="N384" s="382" t="s">
        <v>918</v>
      </c>
    </row>
    <row r="385" spans="1:14" ht="12.75" customHeight="1" x14ac:dyDescent="0.2">
      <c r="A385" s="194" t="s">
        <v>1284</v>
      </c>
      <c r="B385" s="195" t="s">
        <v>895</v>
      </c>
      <c r="C385" s="195" t="s">
        <v>896</v>
      </c>
      <c r="D385" s="194" t="s">
        <v>1285</v>
      </c>
      <c r="E385" s="194" t="s">
        <v>1286</v>
      </c>
      <c r="F385" s="193" t="s">
        <v>221</v>
      </c>
      <c r="G385" s="197">
        <v>48</v>
      </c>
      <c r="H385" s="194">
        <v>10</v>
      </c>
      <c r="I385" s="194">
        <v>54</v>
      </c>
      <c r="J385" s="194">
        <v>588</v>
      </c>
      <c r="K385" s="194" t="s">
        <v>1284</v>
      </c>
      <c r="L385" s="195" t="s">
        <v>526</v>
      </c>
      <c r="N385" s="382" t="s">
        <v>918</v>
      </c>
    </row>
    <row r="386" spans="1:14" ht="12.75" customHeight="1" x14ac:dyDescent="0.2">
      <c r="A386" s="194" t="s">
        <v>1287</v>
      </c>
      <c r="B386" s="195" t="s">
        <v>895</v>
      </c>
      <c r="C386" s="195" t="s">
        <v>896</v>
      </c>
      <c r="D386" s="194" t="s">
        <v>1285</v>
      </c>
      <c r="E386" s="194" t="s">
        <v>1288</v>
      </c>
      <c r="F386" s="193" t="s">
        <v>221</v>
      </c>
      <c r="G386" s="197">
        <v>48</v>
      </c>
      <c r="H386" s="194">
        <v>12</v>
      </c>
      <c r="I386" s="194">
        <v>54</v>
      </c>
      <c r="J386" s="194">
        <v>702</v>
      </c>
      <c r="K386" s="194" t="s">
        <v>1287</v>
      </c>
      <c r="L386" s="195" t="s">
        <v>526</v>
      </c>
      <c r="N386" s="382" t="s">
        <v>918</v>
      </c>
    </row>
    <row r="387" spans="1:14" ht="12.75" customHeight="1" x14ac:dyDescent="0.2">
      <c r="A387" s="195" t="s">
        <v>1289</v>
      </c>
      <c r="B387" s="195" t="s">
        <v>895</v>
      </c>
      <c r="C387" s="195" t="s">
        <v>896</v>
      </c>
      <c r="D387" s="195" t="s">
        <v>1290</v>
      </c>
      <c r="E387" s="195" t="s">
        <v>1291</v>
      </c>
      <c r="F387" s="197" t="s">
        <v>221</v>
      </c>
      <c r="G387" s="197">
        <v>60</v>
      </c>
      <c r="H387" s="195">
        <v>1</v>
      </c>
      <c r="I387" s="195">
        <v>40</v>
      </c>
      <c r="J387" s="195">
        <v>36</v>
      </c>
      <c r="K387" s="195" t="s">
        <v>1289</v>
      </c>
      <c r="L387" s="195" t="s">
        <v>526</v>
      </c>
      <c r="N387" s="382" t="s">
        <v>456</v>
      </c>
    </row>
    <row r="388" spans="1:14" ht="12.75" customHeight="1" x14ac:dyDescent="0.2">
      <c r="A388" s="195" t="s">
        <v>1292</v>
      </c>
      <c r="B388" s="195" t="s">
        <v>895</v>
      </c>
      <c r="C388" s="195" t="s">
        <v>896</v>
      </c>
      <c r="D388" s="195" t="s">
        <v>1290</v>
      </c>
      <c r="E388" s="195" t="s">
        <v>1293</v>
      </c>
      <c r="F388" s="197" t="s">
        <v>221</v>
      </c>
      <c r="G388" s="197">
        <v>60</v>
      </c>
      <c r="H388" s="195">
        <v>1</v>
      </c>
      <c r="I388" s="195">
        <v>40</v>
      </c>
      <c r="J388" s="195">
        <v>36</v>
      </c>
      <c r="K388" s="195" t="s">
        <v>1292</v>
      </c>
      <c r="L388" s="195" t="s">
        <v>526</v>
      </c>
      <c r="N388" s="382" t="s">
        <v>456</v>
      </c>
    </row>
    <row r="389" spans="1:14" ht="12.75" customHeight="1" x14ac:dyDescent="0.2">
      <c r="A389" s="195" t="s">
        <v>1294</v>
      </c>
      <c r="B389" s="195" t="s">
        <v>895</v>
      </c>
      <c r="C389" s="195" t="s">
        <v>896</v>
      </c>
      <c r="D389" s="195" t="s">
        <v>1290</v>
      </c>
      <c r="E389" s="195" t="s">
        <v>1295</v>
      </c>
      <c r="F389" s="197" t="s">
        <v>221</v>
      </c>
      <c r="G389" s="197">
        <v>60</v>
      </c>
      <c r="H389" s="195">
        <v>1</v>
      </c>
      <c r="I389" s="195">
        <v>40</v>
      </c>
      <c r="J389" s="195">
        <v>35</v>
      </c>
      <c r="K389" s="195" t="s">
        <v>1294</v>
      </c>
      <c r="L389" s="195" t="s">
        <v>526</v>
      </c>
      <c r="N389" s="382" t="s">
        <v>456</v>
      </c>
    </row>
    <row r="390" spans="1:14" ht="12.75" customHeight="1" x14ac:dyDescent="0.2">
      <c r="A390" s="195" t="s">
        <v>1296</v>
      </c>
      <c r="B390" s="195" t="s">
        <v>895</v>
      </c>
      <c r="C390" s="195" t="s">
        <v>896</v>
      </c>
      <c r="D390" s="195" t="s">
        <v>1290</v>
      </c>
      <c r="E390" s="195" t="s">
        <v>1297</v>
      </c>
      <c r="F390" s="197" t="s">
        <v>221</v>
      </c>
      <c r="G390" s="197">
        <v>60</v>
      </c>
      <c r="H390" s="195">
        <v>1</v>
      </c>
      <c r="I390" s="195">
        <v>40</v>
      </c>
      <c r="J390" s="195">
        <v>34</v>
      </c>
      <c r="K390" s="195" t="s">
        <v>1296</v>
      </c>
      <c r="L390" s="195" t="s">
        <v>526</v>
      </c>
      <c r="N390" s="382" t="s">
        <v>456</v>
      </c>
    </row>
    <row r="391" spans="1:14" ht="12.75" customHeight="1" x14ac:dyDescent="0.2">
      <c r="A391" s="195" t="s">
        <v>1298</v>
      </c>
      <c r="B391" s="195" t="s">
        <v>895</v>
      </c>
      <c r="C391" s="195" t="s">
        <v>896</v>
      </c>
      <c r="D391" s="195" t="s">
        <v>1290</v>
      </c>
      <c r="E391" s="195" t="s">
        <v>1299</v>
      </c>
      <c r="F391" s="197" t="s">
        <v>221</v>
      </c>
      <c r="G391" s="197">
        <v>60</v>
      </c>
      <c r="H391" s="195">
        <v>1</v>
      </c>
      <c r="I391" s="195">
        <v>40</v>
      </c>
      <c r="J391" s="195">
        <v>43</v>
      </c>
      <c r="K391" s="195" t="s">
        <v>1298</v>
      </c>
      <c r="L391" s="195" t="s">
        <v>526</v>
      </c>
      <c r="N391" s="382" t="s">
        <v>456</v>
      </c>
    </row>
    <row r="392" spans="1:14" ht="12.75" customHeight="1" x14ac:dyDescent="0.2">
      <c r="A392" s="195" t="s">
        <v>1300</v>
      </c>
      <c r="B392" s="195" t="s">
        <v>895</v>
      </c>
      <c r="C392" s="195" t="s">
        <v>896</v>
      </c>
      <c r="D392" s="195" t="s">
        <v>1290</v>
      </c>
      <c r="E392" s="195" t="s">
        <v>1301</v>
      </c>
      <c r="F392" s="197" t="s">
        <v>221</v>
      </c>
      <c r="G392" s="197">
        <v>60</v>
      </c>
      <c r="H392" s="195">
        <v>2</v>
      </c>
      <c r="I392" s="195">
        <v>40</v>
      </c>
      <c r="J392" s="195">
        <v>72</v>
      </c>
      <c r="K392" s="195" t="s">
        <v>1300</v>
      </c>
      <c r="L392" s="195" t="s">
        <v>526</v>
      </c>
      <c r="N392" s="382" t="s">
        <v>456</v>
      </c>
    </row>
    <row r="393" spans="1:14" ht="12.75" customHeight="1" x14ac:dyDescent="0.2">
      <c r="A393" s="195" t="s">
        <v>1302</v>
      </c>
      <c r="B393" s="195" t="s">
        <v>895</v>
      </c>
      <c r="C393" s="195" t="s">
        <v>896</v>
      </c>
      <c r="D393" s="195" t="s">
        <v>1290</v>
      </c>
      <c r="E393" s="195" t="s">
        <v>1303</v>
      </c>
      <c r="F393" s="197" t="s">
        <v>221</v>
      </c>
      <c r="G393" s="197">
        <v>60</v>
      </c>
      <c r="H393" s="195">
        <v>2</v>
      </c>
      <c r="I393" s="195">
        <v>40</v>
      </c>
      <c r="J393" s="195">
        <v>67</v>
      </c>
      <c r="K393" s="195" t="s">
        <v>1302</v>
      </c>
      <c r="L393" s="195" t="s">
        <v>526</v>
      </c>
      <c r="N393" s="382" t="s">
        <v>456</v>
      </c>
    </row>
    <row r="394" spans="1:14" ht="12.75" customHeight="1" x14ac:dyDescent="0.2">
      <c r="A394" s="195" t="s">
        <v>1304</v>
      </c>
      <c r="B394" s="195" t="s">
        <v>895</v>
      </c>
      <c r="C394" s="195" t="s">
        <v>896</v>
      </c>
      <c r="D394" s="195" t="s">
        <v>1290</v>
      </c>
      <c r="E394" s="195" t="s">
        <v>1305</v>
      </c>
      <c r="F394" s="197" t="s">
        <v>221</v>
      </c>
      <c r="G394" s="197">
        <v>60</v>
      </c>
      <c r="H394" s="195">
        <v>2</v>
      </c>
      <c r="I394" s="195">
        <v>40</v>
      </c>
      <c r="J394" s="195">
        <v>80</v>
      </c>
      <c r="K394" s="195" t="s">
        <v>1304</v>
      </c>
      <c r="L394" s="195" t="s">
        <v>526</v>
      </c>
      <c r="N394" s="382" t="s">
        <v>456</v>
      </c>
    </row>
    <row r="395" spans="1:14" ht="12.75" customHeight="1" x14ac:dyDescent="0.2">
      <c r="A395" s="195" t="s">
        <v>1306</v>
      </c>
      <c r="B395" s="195" t="s">
        <v>895</v>
      </c>
      <c r="C395" s="195" t="s">
        <v>896</v>
      </c>
      <c r="D395" s="195" t="s">
        <v>1290</v>
      </c>
      <c r="E395" s="195" t="s">
        <v>1307</v>
      </c>
      <c r="F395" s="197" t="s">
        <v>221</v>
      </c>
      <c r="G395" s="197">
        <v>60</v>
      </c>
      <c r="H395" s="195">
        <v>2</v>
      </c>
      <c r="I395" s="195">
        <v>40</v>
      </c>
      <c r="J395" s="195">
        <v>73</v>
      </c>
      <c r="K395" s="195" t="s">
        <v>1306</v>
      </c>
      <c r="L395" s="195" t="s">
        <v>526</v>
      </c>
      <c r="N395" s="382" t="s">
        <v>456</v>
      </c>
    </row>
    <row r="396" spans="1:14" ht="12.75" customHeight="1" x14ac:dyDescent="0.2">
      <c r="A396" s="195" t="s">
        <v>1308</v>
      </c>
      <c r="B396" s="195" t="s">
        <v>895</v>
      </c>
      <c r="C396" s="195" t="s">
        <v>896</v>
      </c>
      <c r="D396" s="195" t="s">
        <v>1290</v>
      </c>
      <c r="E396" s="195" t="s">
        <v>1309</v>
      </c>
      <c r="F396" s="197" t="s">
        <v>221</v>
      </c>
      <c r="G396" s="197">
        <v>60</v>
      </c>
      <c r="H396" s="195">
        <v>3</v>
      </c>
      <c r="I396" s="195">
        <v>40</v>
      </c>
      <c r="J396" s="195">
        <v>106</v>
      </c>
      <c r="K396" s="195" t="s">
        <v>1308</v>
      </c>
      <c r="L396" s="195" t="s">
        <v>526</v>
      </c>
      <c r="N396" s="382" t="s">
        <v>456</v>
      </c>
    </row>
    <row r="397" spans="1:14" ht="12.75" customHeight="1" x14ac:dyDescent="0.2">
      <c r="A397" s="195" t="s">
        <v>1310</v>
      </c>
      <c r="B397" s="195" t="s">
        <v>895</v>
      </c>
      <c r="C397" s="195" t="s">
        <v>896</v>
      </c>
      <c r="D397" s="195" t="s">
        <v>1290</v>
      </c>
      <c r="E397" s="195" t="s">
        <v>1311</v>
      </c>
      <c r="F397" s="197" t="s">
        <v>221</v>
      </c>
      <c r="G397" s="197">
        <v>60</v>
      </c>
      <c r="H397" s="195">
        <v>3</v>
      </c>
      <c r="I397" s="195">
        <v>40</v>
      </c>
      <c r="J397" s="195">
        <v>108</v>
      </c>
      <c r="K397" s="195" t="s">
        <v>1310</v>
      </c>
      <c r="L397" s="195" t="s">
        <v>526</v>
      </c>
      <c r="N397" s="382" t="s">
        <v>456</v>
      </c>
    </row>
    <row r="398" spans="1:14" ht="12.75" customHeight="1" x14ac:dyDescent="0.2">
      <c r="A398" s="195" t="s">
        <v>1312</v>
      </c>
      <c r="B398" s="195" t="s">
        <v>895</v>
      </c>
      <c r="C398" s="195" t="s">
        <v>896</v>
      </c>
      <c r="D398" s="195" t="s">
        <v>1290</v>
      </c>
      <c r="E398" s="195" t="s">
        <v>1313</v>
      </c>
      <c r="F398" s="197" t="s">
        <v>221</v>
      </c>
      <c r="G398" s="197">
        <v>60</v>
      </c>
      <c r="H398" s="195">
        <v>4</v>
      </c>
      <c r="I398" s="195">
        <v>40</v>
      </c>
      <c r="J398" s="195">
        <v>134</v>
      </c>
      <c r="K398" s="195" t="s">
        <v>1312</v>
      </c>
      <c r="L398" s="195" t="s">
        <v>526</v>
      </c>
      <c r="N398" s="382" t="s">
        <v>456</v>
      </c>
    </row>
    <row r="399" spans="1:14" ht="12.75" customHeight="1" x14ac:dyDescent="0.2">
      <c r="A399" s="195" t="s">
        <v>1314</v>
      </c>
      <c r="B399" s="195" t="s">
        <v>895</v>
      </c>
      <c r="C399" s="195" t="s">
        <v>896</v>
      </c>
      <c r="D399" s="195" t="s">
        <v>1290</v>
      </c>
      <c r="E399" s="195" t="s">
        <v>1315</v>
      </c>
      <c r="F399" s="197" t="s">
        <v>221</v>
      </c>
      <c r="G399" s="197">
        <v>60</v>
      </c>
      <c r="H399" s="195">
        <v>4</v>
      </c>
      <c r="I399" s="195">
        <v>40</v>
      </c>
      <c r="J399" s="195">
        <v>126</v>
      </c>
      <c r="K399" s="195" t="s">
        <v>1314</v>
      </c>
      <c r="L399" s="195" t="s">
        <v>526</v>
      </c>
      <c r="N399" s="382" t="s">
        <v>456</v>
      </c>
    </row>
    <row r="400" spans="1:14" ht="12.75" customHeight="1" x14ac:dyDescent="0.2">
      <c r="A400" s="195" t="s">
        <v>1316</v>
      </c>
      <c r="B400" s="195" t="s">
        <v>895</v>
      </c>
      <c r="C400" s="195" t="s">
        <v>896</v>
      </c>
      <c r="D400" s="195" t="s">
        <v>1317</v>
      </c>
      <c r="E400" s="195" t="s">
        <v>1318</v>
      </c>
      <c r="F400" s="197" t="s">
        <v>221</v>
      </c>
      <c r="G400" s="197">
        <v>72</v>
      </c>
      <c r="H400" s="195">
        <v>2</v>
      </c>
      <c r="I400" s="195">
        <v>65</v>
      </c>
      <c r="J400" s="195">
        <v>147</v>
      </c>
      <c r="K400" s="195" t="s">
        <v>1316</v>
      </c>
      <c r="L400" s="195" t="s">
        <v>526</v>
      </c>
      <c r="N400" s="382" t="s">
        <v>456</v>
      </c>
    </row>
    <row r="401" spans="1:14" ht="12.75" customHeight="1" x14ac:dyDescent="0.2">
      <c r="A401" s="195" t="s">
        <v>1319</v>
      </c>
      <c r="B401" s="195" t="s">
        <v>895</v>
      </c>
      <c r="C401" s="195" t="s">
        <v>896</v>
      </c>
      <c r="D401" s="195" t="s">
        <v>1320</v>
      </c>
      <c r="E401" s="195" t="s">
        <v>1321</v>
      </c>
      <c r="F401" s="197" t="s">
        <v>221</v>
      </c>
      <c r="G401" s="197">
        <v>96</v>
      </c>
      <c r="H401" s="195">
        <v>1</v>
      </c>
      <c r="I401" s="195">
        <v>59</v>
      </c>
      <c r="J401" s="195">
        <v>58</v>
      </c>
      <c r="K401" s="195" t="s">
        <v>1319</v>
      </c>
      <c r="L401" s="195" t="s">
        <v>526</v>
      </c>
      <c r="N401" s="382" t="s">
        <v>456</v>
      </c>
    </row>
    <row r="402" spans="1:14" ht="12.75" customHeight="1" x14ac:dyDescent="0.2">
      <c r="A402" s="195" t="s">
        <v>1322</v>
      </c>
      <c r="B402" s="195" t="s">
        <v>895</v>
      </c>
      <c r="C402" s="195" t="s">
        <v>896</v>
      </c>
      <c r="D402" s="195" t="s">
        <v>1320</v>
      </c>
      <c r="E402" s="195" t="s">
        <v>1323</v>
      </c>
      <c r="F402" s="197" t="s">
        <v>221</v>
      </c>
      <c r="G402" s="197">
        <v>96</v>
      </c>
      <c r="H402" s="195">
        <v>1</v>
      </c>
      <c r="I402" s="195">
        <v>59</v>
      </c>
      <c r="J402" s="195">
        <v>55</v>
      </c>
      <c r="K402" s="195" t="s">
        <v>1322</v>
      </c>
      <c r="L402" s="195" t="s">
        <v>526</v>
      </c>
      <c r="N402" s="382" t="s">
        <v>456</v>
      </c>
    </row>
    <row r="403" spans="1:14" ht="12.75" customHeight="1" x14ac:dyDescent="0.2">
      <c r="A403" s="195" t="s">
        <v>1324</v>
      </c>
      <c r="B403" s="195" t="s">
        <v>895</v>
      </c>
      <c r="C403" s="195" t="s">
        <v>896</v>
      </c>
      <c r="D403" s="195" t="s">
        <v>1320</v>
      </c>
      <c r="E403" s="195" t="s">
        <v>1325</v>
      </c>
      <c r="F403" s="197" t="s">
        <v>221</v>
      </c>
      <c r="G403" s="197">
        <v>96</v>
      </c>
      <c r="H403" s="195">
        <v>1</v>
      </c>
      <c r="I403" s="195">
        <v>59</v>
      </c>
      <c r="J403" s="195">
        <v>49</v>
      </c>
      <c r="K403" s="195" t="s">
        <v>1324</v>
      </c>
      <c r="L403" s="195" t="s">
        <v>526</v>
      </c>
      <c r="N403" s="382" t="s">
        <v>456</v>
      </c>
    </row>
    <row r="404" spans="1:14" ht="12.75" customHeight="1" x14ac:dyDescent="0.2">
      <c r="A404" s="195" t="s">
        <v>1326</v>
      </c>
      <c r="B404" s="195" t="s">
        <v>895</v>
      </c>
      <c r="C404" s="195" t="s">
        <v>896</v>
      </c>
      <c r="D404" s="195" t="s">
        <v>1320</v>
      </c>
      <c r="E404" s="195" t="s">
        <v>1327</v>
      </c>
      <c r="F404" s="197" t="s">
        <v>221</v>
      </c>
      <c r="G404" s="197">
        <v>96</v>
      </c>
      <c r="H404" s="195">
        <v>1</v>
      </c>
      <c r="I404" s="195">
        <v>59</v>
      </c>
      <c r="J404" s="195">
        <v>68</v>
      </c>
      <c r="K404" s="195" t="s">
        <v>1326</v>
      </c>
      <c r="L404" s="195" t="s">
        <v>526</v>
      </c>
      <c r="N404" s="382" t="s">
        <v>456</v>
      </c>
    </row>
    <row r="405" spans="1:14" ht="12.75" customHeight="1" x14ac:dyDescent="0.2">
      <c r="A405" s="195" t="s">
        <v>1328</v>
      </c>
      <c r="B405" s="195" t="s">
        <v>895</v>
      </c>
      <c r="C405" s="195" t="s">
        <v>896</v>
      </c>
      <c r="D405" s="195" t="s">
        <v>1320</v>
      </c>
      <c r="E405" s="195" t="s">
        <v>1329</v>
      </c>
      <c r="F405" s="197" t="s">
        <v>221</v>
      </c>
      <c r="G405" s="197">
        <v>96</v>
      </c>
      <c r="H405" s="195">
        <v>1</v>
      </c>
      <c r="I405" s="195">
        <v>59</v>
      </c>
      <c r="J405" s="195">
        <v>57</v>
      </c>
      <c r="K405" s="195" t="s">
        <v>1328</v>
      </c>
      <c r="L405" s="195" t="s">
        <v>526</v>
      </c>
      <c r="N405" s="382" t="s">
        <v>456</v>
      </c>
    </row>
    <row r="406" spans="1:14" ht="12.75" customHeight="1" x14ac:dyDescent="0.2">
      <c r="A406" s="195" t="s">
        <v>1330</v>
      </c>
      <c r="B406" s="195" t="s">
        <v>895</v>
      </c>
      <c r="C406" s="195" t="s">
        <v>896</v>
      </c>
      <c r="D406" s="195" t="s">
        <v>1320</v>
      </c>
      <c r="E406" s="195" t="s">
        <v>1331</v>
      </c>
      <c r="F406" s="197" t="s">
        <v>221</v>
      </c>
      <c r="G406" s="197">
        <v>96</v>
      </c>
      <c r="H406" s="195">
        <v>1</v>
      </c>
      <c r="I406" s="195">
        <v>59</v>
      </c>
      <c r="J406" s="195">
        <v>71</v>
      </c>
      <c r="K406" s="195" t="s">
        <v>1330</v>
      </c>
      <c r="L406" s="195" t="s">
        <v>526</v>
      </c>
      <c r="N406" s="382" t="s">
        <v>918</v>
      </c>
    </row>
    <row r="407" spans="1:14" ht="12.75" customHeight="1" x14ac:dyDescent="0.2">
      <c r="A407" s="195" t="s">
        <v>1332</v>
      </c>
      <c r="B407" s="195" t="s">
        <v>895</v>
      </c>
      <c r="C407" s="195" t="s">
        <v>896</v>
      </c>
      <c r="D407" s="195" t="s">
        <v>1333</v>
      </c>
      <c r="E407" s="195" t="s">
        <v>1334</v>
      </c>
      <c r="F407" s="197" t="s">
        <v>221</v>
      </c>
      <c r="G407" s="197">
        <v>96</v>
      </c>
      <c r="H407" s="195">
        <v>1</v>
      </c>
      <c r="I407" s="195">
        <v>86</v>
      </c>
      <c r="J407" s="195">
        <v>85</v>
      </c>
      <c r="K407" s="195" t="s">
        <v>1332</v>
      </c>
      <c r="L407" s="195" t="s">
        <v>526</v>
      </c>
      <c r="N407" s="382" t="s">
        <v>456</v>
      </c>
    </row>
    <row r="408" spans="1:14" ht="12.75" customHeight="1" x14ac:dyDescent="0.2">
      <c r="A408" s="195" t="s">
        <v>1335</v>
      </c>
      <c r="B408" s="195" t="s">
        <v>895</v>
      </c>
      <c r="C408" s="195" t="s">
        <v>896</v>
      </c>
      <c r="D408" s="195" t="s">
        <v>1333</v>
      </c>
      <c r="E408" s="195" t="s">
        <v>1336</v>
      </c>
      <c r="F408" s="197" t="s">
        <v>221</v>
      </c>
      <c r="G408" s="197">
        <v>96</v>
      </c>
      <c r="H408" s="195">
        <v>1</v>
      </c>
      <c r="I408" s="195">
        <v>86</v>
      </c>
      <c r="J408" s="195">
        <v>80</v>
      </c>
      <c r="K408" s="195" t="s">
        <v>1335</v>
      </c>
      <c r="L408" s="195" t="s">
        <v>526</v>
      </c>
      <c r="N408" s="382" t="s">
        <v>456</v>
      </c>
    </row>
    <row r="409" spans="1:14" ht="12.75" customHeight="1" x14ac:dyDescent="0.2">
      <c r="A409" s="195" t="s">
        <v>1337</v>
      </c>
      <c r="B409" s="195" t="s">
        <v>895</v>
      </c>
      <c r="C409" s="195" t="s">
        <v>896</v>
      </c>
      <c r="D409" s="195" t="s">
        <v>1320</v>
      </c>
      <c r="E409" s="195" t="s">
        <v>1338</v>
      </c>
      <c r="F409" s="197" t="s">
        <v>221</v>
      </c>
      <c r="G409" s="197">
        <v>96</v>
      </c>
      <c r="H409" s="195">
        <v>2</v>
      </c>
      <c r="I409" s="195">
        <v>59</v>
      </c>
      <c r="J409" s="195">
        <v>109</v>
      </c>
      <c r="K409" s="195" t="s">
        <v>1337</v>
      </c>
      <c r="L409" s="195" t="s">
        <v>526</v>
      </c>
      <c r="N409" s="382" t="s">
        <v>456</v>
      </c>
    </row>
    <row r="410" spans="1:14" ht="12.75" customHeight="1" x14ac:dyDescent="0.2">
      <c r="A410" s="195" t="s">
        <v>1339</v>
      </c>
      <c r="B410" s="195" t="s">
        <v>895</v>
      </c>
      <c r="C410" s="195" t="s">
        <v>896</v>
      </c>
      <c r="D410" s="195" t="s">
        <v>1320</v>
      </c>
      <c r="E410" s="195" t="s">
        <v>1340</v>
      </c>
      <c r="F410" s="197" t="s">
        <v>221</v>
      </c>
      <c r="G410" s="197">
        <v>96</v>
      </c>
      <c r="H410" s="195">
        <v>2</v>
      </c>
      <c r="I410" s="195">
        <v>59</v>
      </c>
      <c r="J410" s="195">
        <v>98</v>
      </c>
      <c r="K410" s="195" t="s">
        <v>1339</v>
      </c>
      <c r="L410" s="195" t="s">
        <v>526</v>
      </c>
      <c r="N410" s="382" t="s">
        <v>456</v>
      </c>
    </row>
    <row r="411" spans="1:14" ht="12.75" customHeight="1" x14ac:dyDescent="0.2">
      <c r="A411" s="195" t="s">
        <v>1341</v>
      </c>
      <c r="B411" s="195" t="s">
        <v>895</v>
      </c>
      <c r="C411" s="195" t="s">
        <v>896</v>
      </c>
      <c r="D411" s="195" t="s">
        <v>1333</v>
      </c>
      <c r="E411" s="195" t="s">
        <v>1342</v>
      </c>
      <c r="F411" s="197" t="s">
        <v>221</v>
      </c>
      <c r="G411" s="197">
        <v>96</v>
      </c>
      <c r="H411" s="195">
        <v>2</v>
      </c>
      <c r="I411" s="195">
        <v>86</v>
      </c>
      <c r="J411" s="195">
        <v>160</v>
      </c>
      <c r="K411" s="195" t="s">
        <v>1341</v>
      </c>
      <c r="L411" s="195" t="s">
        <v>526</v>
      </c>
      <c r="N411" s="382" t="s">
        <v>456</v>
      </c>
    </row>
    <row r="412" spans="1:14" ht="12.75" customHeight="1" x14ac:dyDescent="0.2">
      <c r="A412" s="195" t="s">
        <v>1343</v>
      </c>
      <c r="B412" s="195" t="s">
        <v>895</v>
      </c>
      <c r="C412" s="195" t="s">
        <v>896</v>
      </c>
      <c r="D412" s="195" t="s">
        <v>1320</v>
      </c>
      <c r="E412" s="195" t="s">
        <v>1344</v>
      </c>
      <c r="F412" s="197" t="s">
        <v>221</v>
      </c>
      <c r="G412" s="197">
        <v>96</v>
      </c>
      <c r="H412" s="195">
        <v>3</v>
      </c>
      <c r="I412" s="195">
        <v>59</v>
      </c>
      <c r="J412" s="195">
        <v>167</v>
      </c>
      <c r="K412" s="195" t="s">
        <v>1343</v>
      </c>
      <c r="L412" s="195" t="s">
        <v>526</v>
      </c>
      <c r="N412" s="382" t="s">
        <v>456</v>
      </c>
    </row>
    <row r="413" spans="1:14" ht="12.75" customHeight="1" x14ac:dyDescent="0.2">
      <c r="A413" s="195" t="s">
        <v>1345</v>
      </c>
      <c r="B413" s="195" t="s">
        <v>895</v>
      </c>
      <c r="C413" s="195" t="s">
        <v>896</v>
      </c>
      <c r="D413" s="195" t="s">
        <v>1320</v>
      </c>
      <c r="E413" s="195" t="s">
        <v>1346</v>
      </c>
      <c r="F413" s="197" t="s">
        <v>221</v>
      </c>
      <c r="G413" s="197">
        <v>96</v>
      </c>
      <c r="H413" s="195">
        <v>4</v>
      </c>
      <c r="I413" s="195">
        <v>59</v>
      </c>
      <c r="J413" s="195">
        <v>219</v>
      </c>
      <c r="K413" s="195" t="s">
        <v>1345</v>
      </c>
      <c r="L413" s="195" t="s">
        <v>526</v>
      </c>
      <c r="N413" s="382" t="s">
        <v>456</v>
      </c>
    </row>
    <row r="414" spans="1:14" ht="12.75" customHeight="1" x14ac:dyDescent="0.2">
      <c r="A414" s="195" t="s">
        <v>1347</v>
      </c>
      <c r="B414" s="195" t="s">
        <v>895</v>
      </c>
      <c r="C414" s="195" t="s">
        <v>896</v>
      </c>
      <c r="D414" s="195" t="s">
        <v>1333</v>
      </c>
      <c r="E414" s="195" t="s">
        <v>1348</v>
      </c>
      <c r="F414" s="197" t="s">
        <v>221</v>
      </c>
      <c r="G414" s="197">
        <v>96</v>
      </c>
      <c r="H414" s="195">
        <v>4</v>
      </c>
      <c r="I414" s="195">
        <v>86</v>
      </c>
      <c r="J414" s="195">
        <v>320</v>
      </c>
      <c r="K414" s="195" t="s">
        <v>1347</v>
      </c>
      <c r="L414" s="195" t="s">
        <v>526</v>
      </c>
      <c r="N414" s="382" t="s">
        <v>456</v>
      </c>
    </row>
    <row r="415" spans="1:14" ht="12.75" customHeight="1" x14ac:dyDescent="0.2">
      <c r="A415" s="195" t="s">
        <v>1349</v>
      </c>
      <c r="B415" s="195" t="s">
        <v>895</v>
      </c>
      <c r="C415" s="195" t="s">
        <v>896</v>
      </c>
      <c r="D415" s="195" t="s">
        <v>1320</v>
      </c>
      <c r="E415" s="195" t="s">
        <v>1350</v>
      </c>
      <c r="F415" s="197" t="s">
        <v>221</v>
      </c>
      <c r="G415" s="197">
        <v>96</v>
      </c>
      <c r="H415" s="195">
        <v>6</v>
      </c>
      <c r="I415" s="195">
        <v>59</v>
      </c>
      <c r="J415" s="195">
        <v>328</v>
      </c>
      <c r="K415" s="195" t="s">
        <v>1349</v>
      </c>
      <c r="L415" s="195" t="s">
        <v>526</v>
      </c>
      <c r="N415" s="382" t="s">
        <v>456</v>
      </c>
    </row>
    <row r="416" spans="1:14" ht="12.75" customHeight="1" x14ac:dyDescent="0.2">
      <c r="A416" s="195" t="s">
        <v>1351</v>
      </c>
      <c r="B416" s="195" t="s">
        <v>895</v>
      </c>
      <c r="C416" s="195" t="s">
        <v>1352</v>
      </c>
      <c r="D416" s="195" t="s">
        <v>1353</v>
      </c>
      <c r="E416" s="195" t="s">
        <v>1354</v>
      </c>
      <c r="F416" s="197" t="s">
        <v>221</v>
      </c>
      <c r="G416" s="197">
        <v>24</v>
      </c>
      <c r="H416" s="195">
        <v>1</v>
      </c>
      <c r="I416" s="195">
        <v>14</v>
      </c>
      <c r="J416" s="195">
        <v>18</v>
      </c>
      <c r="K416" s="195" t="s">
        <v>1351</v>
      </c>
      <c r="L416" s="195" t="s">
        <v>526</v>
      </c>
      <c r="N416" s="382" t="s">
        <v>456</v>
      </c>
    </row>
    <row r="417" spans="1:14" ht="12.75" customHeight="1" x14ac:dyDescent="0.2">
      <c r="A417" s="195" t="s">
        <v>1355</v>
      </c>
      <c r="B417" s="195" t="s">
        <v>895</v>
      </c>
      <c r="C417" s="195" t="s">
        <v>1352</v>
      </c>
      <c r="D417" s="195" t="s">
        <v>1356</v>
      </c>
      <c r="E417" s="195" t="s">
        <v>1357</v>
      </c>
      <c r="F417" s="197" t="s">
        <v>221</v>
      </c>
      <c r="G417" s="197">
        <v>24</v>
      </c>
      <c r="H417" s="195">
        <v>1</v>
      </c>
      <c r="I417" s="195">
        <v>24</v>
      </c>
      <c r="J417" s="195">
        <v>29</v>
      </c>
      <c r="K417" s="195" t="s">
        <v>1355</v>
      </c>
      <c r="L417" s="195" t="s">
        <v>526</v>
      </c>
      <c r="N417" s="382" t="s">
        <v>456</v>
      </c>
    </row>
    <row r="418" spans="1:14" ht="12.75" customHeight="1" x14ac:dyDescent="0.2">
      <c r="A418" s="195" t="s">
        <v>1358</v>
      </c>
      <c r="B418" s="195" t="s">
        <v>895</v>
      </c>
      <c r="C418" s="195" t="s">
        <v>1352</v>
      </c>
      <c r="D418" s="195" t="s">
        <v>1356</v>
      </c>
      <c r="E418" s="195" t="s">
        <v>1359</v>
      </c>
      <c r="F418" s="197" t="s">
        <v>221</v>
      </c>
      <c r="G418" s="197">
        <v>24</v>
      </c>
      <c r="H418" s="195">
        <v>2</v>
      </c>
      <c r="I418" s="195">
        <v>24</v>
      </c>
      <c r="J418" s="195">
        <v>55</v>
      </c>
      <c r="K418" s="195" t="s">
        <v>1358</v>
      </c>
      <c r="L418" s="195" t="s">
        <v>526</v>
      </c>
      <c r="N418" s="382" t="s">
        <v>456</v>
      </c>
    </row>
    <row r="419" spans="1:14" ht="12.75" customHeight="1" x14ac:dyDescent="0.2">
      <c r="A419" s="195" t="s">
        <v>1360</v>
      </c>
      <c r="B419" s="195" t="s">
        <v>895</v>
      </c>
      <c r="C419" s="195" t="s">
        <v>1352</v>
      </c>
      <c r="D419" s="195" t="s">
        <v>1353</v>
      </c>
      <c r="E419" s="195" t="s">
        <v>1361</v>
      </c>
      <c r="F419" s="197" t="s">
        <v>221</v>
      </c>
      <c r="G419" s="197">
        <v>24</v>
      </c>
      <c r="H419" s="195">
        <v>2</v>
      </c>
      <c r="I419" s="195">
        <v>14</v>
      </c>
      <c r="J419" s="195">
        <v>35</v>
      </c>
      <c r="K419" s="195" t="s">
        <v>1360</v>
      </c>
      <c r="L419" s="195" t="s">
        <v>526</v>
      </c>
      <c r="N419" s="382" t="s">
        <v>456</v>
      </c>
    </row>
    <row r="420" spans="1:14" ht="12.75" customHeight="1" x14ac:dyDescent="0.2">
      <c r="A420" s="195" t="s">
        <v>1362</v>
      </c>
      <c r="B420" s="195" t="s">
        <v>895</v>
      </c>
      <c r="C420" s="195" t="s">
        <v>1352</v>
      </c>
      <c r="D420" s="195" t="s">
        <v>1363</v>
      </c>
      <c r="E420" s="195" t="s">
        <v>1364</v>
      </c>
      <c r="F420" s="197" t="s">
        <v>221</v>
      </c>
      <c r="G420" s="197">
        <v>36</v>
      </c>
      <c r="H420" s="195">
        <v>1</v>
      </c>
      <c r="I420" s="195">
        <v>39</v>
      </c>
      <c r="J420" s="195">
        <v>43</v>
      </c>
      <c r="K420" s="195" t="s">
        <v>1362</v>
      </c>
      <c r="L420" s="195" t="s">
        <v>526</v>
      </c>
      <c r="N420" s="382" t="s">
        <v>456</v>
      </c>
    </row>
    <row r="421" spans="1:14" ht="12.75" customHeight="1" x14ac:dyDescent="0.2">
      <c r="A421" s="195" t="s">
        <v>1365</v>
      </c>
      <c r="B421" s="195" t="s">
        <v>895</v>
      </c>
      <c r="C421" s="195" t="s">
        <v>1352</v>
      </c>
      <c r="D421" s="195" t="s">
        <v>1366</v>
      </c>
      <c r="E421" s="195" t="s">
        <v>1367</v>
      </c>
      <c r="F421" s="197" t="s">
        <v>221</v>
      </c>
      <c r="G421" s="197">
        <v>36</v>
      </c>
      <c r="H421" s="195">
        <v>1</v>
      </c>
      <c r="I421" s="195">
        <v>21</v>
      </c>
      <c r="J421" s="195">
        <v>27</v>
      </c>
      <c r="K421" s="195" t="s">
        <v>1365</v>
      </c>
      <c r="L421" s="195" t="s">
        <v>526</v>
      </c>
      <c r="N421" s="382" t="s">
        <v>456</v>
      </c>
    </row>
    <row r="422" spans="1:14" ht="12.75" customHeight="1" x14ac:dyDescent="0.2">
      <c r="A422" s="195" t="s">
        <v>1368</v>
      </c>
      <c r="B422" s="195" t="s">
        <v>895</v>
      </c>
      <c r="C422" s="195" t="s">
        <v>1352</v>
      </c>
      <c r="D422" s="195" t="s">
        <v>1363</v>
      </c>
      <c r="E422" s="195" t="s">
        <v>1369</v>
      </c>
      <c r="F422" s="197" t="s">
        <v>221</v>
      </c>
      <c r="G422" s="197">
        <v>36</v>
      </c>
      <c r="H422" s="195">
        <v>2</v>
      </c>
      <c r="I422" s="195">
        <v>39</v>
      </c>
      <c r="J422" s="195">
        <v>85</v>
      </c>
      <c r="K422" s="195" t="s">
        <v>1368</v>
      </c>
      <c r="L422" s="195" t="s">
        <v>526</v>
      </c>
      <c r="N422" s="382" t="s">
        <v>456</v>
      </c>
    </row>
    <row r="423" spans="1:14" ht="12.75" customHeight="1" x14ac:dyDescent="0.2">
      <c r="A423" s="195" t="s">
        <v>1370</v>
      </c>
      <c r="B423" s="195" t="s">
        <v>895</v>
      </c>
      <c r="C423" s="195" t="s">
        <v>1352</v>
      </c>
      <c r="D423" s="195" t="s">
        <v>1371</v>
      </c>
      <c r="E423" s="195" t="s">
        <v>1372</v>
      </c>
      <c r="F423" s="197" t="s">
        <v>525</v>
      </c>
      <c r="G423" s="197">
        <v>36</v>
      </c>
      <c r="H423" s="195">
        <v>2</v>
      </c>
      <c r="I423" s="195">
        <v>50</v>
      </c>
      <c r="J423" s="195">
        <v>114</v>
      </c>
      <c r="K423" s="195" t="s">
        <v>1370</v>
      </c>
      <c r="L423" s="195" t="s">
        <v>526</v>
      </c>
      <c r="N423" s="382" t="s">
        <v>456</v>
      </c>
    </row>
    <row r="424" spans="1:14" ht="12.75" customHeight="1" x14ac:dyDescent="0.2">
      <c r="A424" s="195" t="s">
        <v>1373</v>
      </c>
      <c r="B424" s="195" t="s">
        <v>895</v>
      </c>
      <c r="C424" s="195" t="s">
        <v>1352</v>
      </c>
      <c r="D424" s="195" t="s">
        <v>1366</v>
      </c>
      <c r="E424" s="195" t="s">
        <v>1367</v>
      </c>
      <c r="F424" s="197" t="s">
        <v>221</v>
      </c>
      <c r="G424" s="197">
        <v>36</v>
      </c>
      <c r="H424" s="195">
        <v>2</v>
      </c>
      <c r="I424" s="195">
        <v>21</v>
      </c>
      <c r="J424" s="195">
        <v>52</v>
      </c>
      <c r="K424" s="195" t="s">
        <v>1373</v>
      </c>
      <c r="L424" s="195" t="s">
        <v>526</v>
      </c>
      <c r="N424" s="382" t="s">
        <v>456</v>
      </c>
    </row>
    <row r="425" spans="1:14" ht="12.75" customHeight="1" x14ac:dyDescent="0.2">
      <c r="A425" s="195" t="s">
        <v>1374</v>
      </c>
      <c r="B425" s="195" t="s">
        <v>895</v>
      </c>
      <c r="C425" s="195" t="s">
        <v>1352</v>
      </c>
      <c r="D425" s="195" t="s">
        <v>1285</v>
      </c>
      <c r="E425" s="195" t="s">
        <v>1375</v>
      </c>
      <c r="F425" s="197" t="s">
        <v>221</v>
      </c>
      <c r="G425" s="197">
        <v>48</v>
      </c>
      <c r="H425" s="195">
        <v>1</v>
      </c>
      <c r="I425" s="195">
        <v>54</v>
      </c>
      <c r="J425" s="195">
        <v>59</v>
      </c>
      <c r="K425" s="195" t="s">
        <v>1374</v>
      </c>
      <c r="L425" s="195" t="s">
        <v>526</v>
      </c>
      <c r="N425" s="382" t="s">
        <v>456</v>
      </c>
    </row>
    <row r="426" spans="1:14" ht="12.75" customHeight="1" x14ac:dyDescent="0.2">
      <c r="A426" s="195" t="s">
        <v>1376</v>
      </c>
      <c r="B426" s="195" t="s">
        <v>895</v>
      </c>
      <c r="C426" s="195" t="s">
        <v>1352</v>
      </c>
      <c r="D426" s="195" t="s">
        <v>1377</v>
      </c>
      <c r="E426" s="195" t="s">
        <v>1378</v>
      </c>
      <c r="F426" s="197" t="s">
        <v>221</v>
      </c>
      <c r="G426" s="197">
        <v>48</v>
      </c>
      <c r="H426" s="195">
        <v>1</v>
      </c>
      <c r="I426" s="195">
        <v>28</v>
      </c>
      <c r="J426" s="195">
        <v>32</v>
      </c>
      <c r="K426" s="195" t="s">
        <v>1376</v>
      </c>
      <c r="L426" s="195" t="s">
        <v>526</v>
      </c>
      <c r="N426" s="382" t="s">
        <v>456</v>
      </c>
    </row>
    <row r="427" spans="1:14" ht="12.75" customHeight="1" x14ac:dyDescent="0.2">
      <c r="A427" s="194" t="s">
        <v>1379</v>
      </c>
      <c r="B427" s="195" t="s">
        <v>895</v>
      </c>
      <c r="C427" s="195" t="s">
        <v>1352</v>
      </c>
      <c r="D427" s="194" t="s">
        <v>1380</v>
      </c>
      <c r="E427" s="194" t="s">
        <v>1381</v>
      </c>
      <c r="F427" s="193" t="s">
        <v>221</v>
      </c>
      <c r="G427" s="197">
        <v>48</v>
      </c>
      <c r="H427" s="194">
        <v>1</v>
      </c>
      <c r="I427" s="194">
        <v>54</v>
      </c>
      <c r="J427" s="194">
        <v>62</v>
      </c>
      <c r="K427" s="194" t="s">
        <v>1379</v>
      </c>
      <c r="L427" s="195" t="s">
        <v>526</v>
      </c>
      <c r="N427" s="382" t="s">
        <v>456</v>
      </c>
    </row>
    <row r="428" spans="1:14" ht="12.75" customHeight="1" x14ac:dyDescent="0.2">
      <c r="A428" s="195" t="s">
        <v>1382</v>
      </c>
      <c r="B428" s="195" t="s">
        <v>895</v>
      </c>
      <c r="C428" s="195" t="s">
        <v>1352</v>
      </c>
      <c r="D428" s="195" t="s">
        <v>1285</v>
      </c>
      <c r="E428" s="195" t="s">
        <v>1383</v>
      </c>
      <c r="F428" s="197" t="s">
        <v>221</v>
      </c>
      <c r="G428" s="197">
        <v>48</v>
      </c>
      <c r="H428" s="195">
        <v>2</v>
      </c>
      <c r="I428" s="195">
        <v>54</v>
      </c>
      <c r="J428" s="195">
        <v>117</v>
      </c>
      <c r="K428" s="195" t="s">
        <v>1382</v>
      </c>
      <c r="L428" s="195" t="s">
        <v>526</v>
      </c>
      <c r="N428" s="382" t="s">
        <v>456</v>
      </c>
    </row>
    <row r="429" spans="1:14" ht="12.75" customHeight="1" x14ac:dyDescent="0.2">
      <c r="A429" s="194" t="s">
        <v>1384</v>
      </c>
      <c r="B429" s="195" t="s">
        <v>895</v>
      </c>
      <c r="C429" s="195" t="s">
        <v>1352</v>
      </c>
      <c r="D429" s="194" t="s">
        <v>1380</v>
      </c>
      <c r="E429" s="194" t="s">
        <v>1385</v>
      </c>
      <c r="F429" s="193" t="s">
        <v>221</v>
      </c>
      <c r="G429" s="197">
        <v>48</v>
      </c>
      <c r="H429" s="194">
        <v>2</v>
      </c>
      <c r="I429" s="194">
        <v>54</v>
      </c>
      <c r="J429" s="194">
        <v>118</v>
      </c>
      <c r="K429" s="194" t="s">
        <v>1384</v>
      </c>
      <c r="L429" s="195" t="s">
        <v>526</v>
      </c>
      <c r="N429" s="382" t="s">
        <v>456</v>
      </c>
    </row>
    <row r="430" spans="1:14" ht="12.75" customHeight="1" x14ac:dyDescent="0.2">
      <c r="A430" s="195" t="s">
        <v>1386</v>
      </c>
      <c r="B430" s="195" t="s">
        <v>895</v>
      </c>
      <c r="C430" s="195" t="s">
        <v>1352</v>
      </c>
      <c r="D430" s="195" t="s">
        <v>1285</v>
      </c>
      <c r="E430" s="195" t="s">
        <v>1387</v>
      </c>
      <c r="F430" s="197" t="s">
        <v>221</v>
      </c>
      <c r="G430" s="197">
        <v>48</v>
      </c>
      <c r="H430" s="195">
        <v>3</v>
      </c>
      <c r="I430" s="195">
        <v>54</v>
      </c>
      <c r="J430" s="195">
        <v>177</v>
      </c>
      <c r="K430" s="195" t="s">
        <v>1386</v>
      </c>
      <c r="L430" s="195" t="s">
        <v>526</v>
      </c>
      <c r="N430" s="382" t="s">
        <v>456</v>
      </c>
    </row>
    <row r="431" spans="1:14" ht="12.75" customHeight="1" x14ac:dyDescent="0.2">
      <c r="A431" s="194" t="s">
        <v>1388</v>
      </c>
      <c r="B431" s="195" t="s">
        <v>895</v>
      </c>
      <c r="C431" s="195" t="s">
        <v>1352</v>
      </c>
      <c r="D431" s="194" t="s">
        <v>1380</v>
      </c>
      <c r="E431" s="194" t="s">
        <v>1389</v>
      </c>
      <c r="F431" s="193" t="s">
        <v>221</v>
      </c>
      <c r="G431" s="197">
        <v>48</v>
      </c>
      <c r="H431" s="194">
        <v>3</v>
      </c>
      <c r="I431" s="194">
        <v>54</v>
      </c>
      <c r="J431" s="194">
        <v>182</v>
      </c>
      <c r="K431" s="194" t="s">
        <v>1388</v>
      </c>
      <c r="L431" s="195" t="s">
        <v>526</v>
      </c>
      <c r="N431" s="382" t="s">
        <v>456</v>
      </c>
    </row>
    <row r="432" spans="1:14" ht="12.75" customHeight="1" x14ac:dyDescent="0.2">
      <c r="A432" s="195" t="s">
        <v>1390</v>
      </c>
      <c r="B432" s="195" t="s">
        <v>895</v>
      </c>
      <c r="C432" s="195" t="s">
        <v>1352</v>
      </c>
      <c r="D432" s="195" t="s">
        <v>1285</v>
      </c>
      <c r="E432" s="195" t="s">
        <v>1391</v>
      </c>
      <c r="F432" s="197" t="s">
        <v>221</v>
      </c>
      <c r="G432" s="197">
        <v>48</v>
      </c>
      <c r="H432" s="195">
        <v>4</v>
      </c>
      <c r="I432" s="195">
        <v>54</v>
      </c>
      <c r="J432" s="195">
        <v>234</v>
      </c>
      <c r="K432" s="195" t="s">
        <v>1390</v>
      </c>
      <c r="L432" s="195" t="s">
        <v>526</v>
      </c>
      <c r="N432" s="382" t="s">
        <v>456</v>
      </c>
    </row>
    <row r="433" spans="1:14" ht="12.75" customHeight="1" x14ac:dyDescent="0.2">
      <c r="A433" s="194" t="s">
        <v>1392</v>
      </c>
      <c r="B433" s="195" t="s">
        <v>895</v>
      </c>
      <c r="C433" s="195" t="s">
        <v>1352</v>
      </c>
      <c r="D433" s="194" t="s">
        <v>1380</v>
      </c>
      <c r="E433" s="194" t="s">
        <v>1393</v>
      </c>
      <c r="F433" s="193" t="s">
        <v>221</v>
      </c>
      <c r="G433" s="197">
        <v>48</v>
      </c>
      <c r="H433" s="194">
        <v>4</v>
      </c>
      <c r="I433" s="194">
        <v>54</v>
      </c>
      <c r="J433" s="194">
        <v>240</v>
      </c>
      <c r="K433" s="194" t="s">
        <v>1392</v>
      </c>
      <c r="L433" s="195" t="s">
        <v>526</v>
      </c>
      <c r="N433" s="382" t="s">
        <v>456</v>
      </c>
    </row>
    <row r="434" spans="1:14" ht="12.75" customHeight="1" x14ac:dyDescent="0.2">
      <c r="A434" s="195" t="s">
        <v>1394</v>
      </c>
      <c r="B434" s="195" t="s">
        <v>895</v>
      </c>
      <c r="C434" s="195" t="s">
        <v>1352</v>
      </c>
      <c r="D434" s="195" t="s">
        <v>1285</v>
      </c>
      <c r="E434" s="195" t="s">
        <v>1395</v>
      </c>
      <c r="F434" s="197" t="s">
        <v>221</v>
      </c>
      <c r="G434" s="197">
        <v>48</v>
      </c>
      <c r="H434" s="195">
        <v>5</v>
      </c>
      <c r="I434" s="195">
        <v>54</v>
      </c>
      <c r="J434" s="195">
        <v>294</v>
      </c>
      <c r="K434" s="195" t="s">
        <v>1394</v>
      </c>
      <c r="L434" s="195" t="s">
        <v>526</v>
      </c>
      <c r="N434" s="382" t="s">
        <v>456</v>
      </c>
    </row>
    <row r="435" spans="1:14" ht="12.75" customHeight="1" x14ac:dyDescent="0.2">
      <c r="A435" s="195" t="s">
        <v>1396</v>
      </c>
      <c r="B435" s="195" t="s">
        <v>895</v>
      </c>
      <c r="C435" s="195" t="s">
        <v>1352</v>
      </c>
      <c r="D435" s="195" t="s">
        <v>1285</v>
      </c>
      <c r="E435" s="195" t="s">
        <v>1397</v>
      </c>
      <c r="F435" s="197" t="s">
        <v>221</v>
      </c>
      <c r="G435" s="197">
        <v>48</v>
      </c>
      <c r="H435" s="195">
        <v>6</v>
      </c>
      <c r="I435" s="195">
        <v>54</v>
      </c>
      <c r="J435" s="195">
        <v>351</v>
      </c>
      <c r="K435" s="195" t="s">
        <v>1396</v>
      </c>
      <c r="L435" s="195" t="s">
        <v>526</v>
      </c>
      <c r="N435" s="382" t="s">
        <v>456</v>
      </c>
    </row>
    <row r="436" spans="1:14" ht="12.75" customHeight="1" x14ac:dyDescent="0.2">
      <c r="A436" s="194" t="s">
        <v>1398</v>
      </c>
      <c r="B436" s="195" t="s">
        <v>895</v>
      </c>
      <c r="C436" s="195" t="s">
        <v>1352</v>
      </c>
      <c r="D436" s="194" t="s">
        <v>1380</v>
      </c>
      <c r="E436" s="194" t="s">
        <v>1399</v>
      </c>
      <c r="F436" s="193" t="s">
        <v>221</v>
      </c>
      <c r="G436" s="197">
        <v>48</v>
      </c>
      <c r="H436" s="194">
        <v>6</v>
      </c>
      <c r="I436" s="194">
        <v>54</v>
      </c>
      <c r="J436" s="194">
        <v>364</v>
      </c>
      <c r="K436" s="194" t="s">
        <v>1398</v>
      </c>
      <c r="L436" s="195" t="s">
        <v>526</v>
      </c>
      <c r="N436" s="382" t="s">
        <v>456</v>
      </c>
    </row>
    <row r="437" spans="1:14" ht="12.75" customHeight="1" x14ac:dyDescent="0.2">
      <c r="A437" s="195" t="s">
        <v>1400</v>
      </c>
      <c r="B437" s="195" t="s">
        <v>895</v>
      </c>
      <c r="C437" s="195" t="s">
        <v>1352</v>
      </c>
      <c r="D437" s="195" t="s">
        <v>1285</v>
      </c>
      <c r="E437" s="195" t="s">
        <v>1401</v>
      </c>
      <c r="F437" s="197" t="s">
        <v>221</v>
      </c>
      <c r="G437" s="197">
        <v>48</v>
      </c>
      <c r="H437" s="195">
        <v>8</v>
      </c>
      <c r="I437" s="195">
        <v>54</v>
      </c>
      <c r="J437" s="195">
        <v>468</v>
      </c>
      <c r="K437" s="195" t="s">
        <v>1400</v>
      </c>
      <c r="L437" s="195" t="s">
        <v>526</v>
      </c>
      <c r="N437" s="382" t="s">
        <v>456</v>
      </c>
    </row>
    <row r="438" spans="1:14" ht="12.75" customHeight="1" x14ac:dyDescent="0.2">
      <c r="A438" s="195" t="s">
        <v>1402</v>
      </c>
      <c r="B438" s="195" t="s">
        <v>895</v>
      </c>
      <c r="C438" s="195" t="s">
        <v>1352</v>
      </c>
      <c r="D438" s="195" t="s">
        <v>1403</v>
      </c>
      <c r="E438" s="195" t="s">
        <v>1404</v>
      </c>
      <c r="F438" s="197" t="s">
        <v>221</v>
      </c>
      <c r="G438" s="197">
        <v>60</v>
      </c>
      <c r="H438" s="195">
        <v>1</v>
      </c>
      <c r="I438" s="195">
        <v>80</v>
      </c>
      <c r="J438" s="195">
        <v>89</v>
      </c>
      <c r="K438" s="195" t="s">
        <v>1402</v>
      </c>
      <c r="L438" s="195" t="s">
        <v>526</v>
      </c>
      <c r="N438" s="382" t="s">
        <v>456</v>
      </c>
    </row>
    <row r="439" spans="1:14" ht="12.75" customHeight="1" x14ac:dyDescent="0.2">
      <c r="A439" s="195" t="s">
        <v>1405</v>
      </c>
      <c r="B439" s="195" t="s">
        <v>895</v>
      </c>
      <c r="C439" s="195" t="s">
        <v>1352</v>
      </c>
      <c r="D439" s="195" t="s">
        <v>1406</v>
      </c>
      <c r="E439" s="195" t="s">
        <v>1407</v>
      </c>
      <c r="F439" s="197" t="s">
        <v>221</v>
      </c>
      <c r="G439" s="197">
        <v>60</v>
      </c>
      <c r="H439" s="195">
        <v>1</v>
      </c>
      <c r="I439" s="195">
        <v>35</v>
      </c>
      <c r="J439" s="195">
        <v>39</v>
      </c>
      <c r="K439" s="195" t="s">
        <v>1405</v>
      </c>
      <c r="L439" s="195" t="s">
        <v>526</v>
      </c>
      <c r="N439" s="382" t="s">
        <v>456</v>
      </c>
    </row>
    <row r="440" spans="1:14" ht="12.75" customHeight="1" x14ac:dyDescent="0.2">
      <c r="A440" s="195" t="s">
        <v>1408</v>
      </c>
      <c r="B440" s="195" t="s">
        <v>895</v>
      </c>
      <c r="C440" s="195" t="s">
        <v>1352</v>
      </c>
      <c r="D440" s="195" t="s">
        <v>1406</v>
      </c>
      <c r="E440" s="195" t="s">
        <v>1409</v>
      </c>
      <c r="F440" s="197" t="s">
        <v>221</v>
      </c>
      <c r="G440" s="197">
        <v>60</v>
      </c>
      <c r="H440" s="195">
        <v>2</v>
      </c>
      <c r="I440" s="195">
        <v>35</v>
      </c>
      <c r="J440" s="195">
        <v>76</v>
      </c>
      <c r="K440" s="195" t="s">
        <v>1408</v>
      </c>
      <c r="L440" s="195" t="s">
        <v>526</v>
      </c>
      <c r="N440" s="382" t="s">
        <v>456</v>
      </c>
    </row>
    <row r="441" spans="1:14" ht="12.75" customHeight="1" x14ac:dyDescent="0.2">
      <c r="A441" s="195" t="s">
        <v>1410</v>
      </c>
      <c r="B441" s="195" t="s">
        <v>895</v>
      </c>
      <c r="C441" s="195" t="s">
        <v>1411</v>
      </c>
      <c r="D441" s="195" t="s">
        <v>1412</v>
      </c>
      <c r="E441" s="195" t="s">
        <v>1413</v>
      </c>
      <c r="F441" s="197" t="s">
        <v>525</v>
      </c>
      <c r="G441" s="197">
        <v>12</v>
      </c>
      <c r="H441" s="195">
        <v>1</v>
      </c>
      <c r="I441" s="195">
        <v>15</v>
      </c>
      <c r="J441" s="195">
        <v>19</v>
      </c>
      <c r="K441" s="198" t="s">
        <v>894</v>
      </c>
      <c r="L441" s="195" t="s">
        <v>526</v>
      </c>
      <c r="N441" s="382" t="s">
        <v>456</v>
      </c>
    </row>
    <row r="442" spans="1:14" ht="12.75" customHeight="1" x14ac:dyDescent="0.2">
      <c r="A442" s="195" t="s">
        <v>1414</v>
      </c>
      <c r="B442" s="195" t="s">
        <v>895</v>
      </c>
      <c r="C442" s="195" t="s">
        <v>1411</v>
      </c>
      <c r="D442" s="195" t="s">
        <v>1412</v>
      </c>
      <c r="E442" s="195" t="s">
        <v>1415</v>
      </c>
      <c r="F442" s="197" t="s">
        <v>525</v>
      </c>
      <c r="G442" s="197">
        <v>12</v>
      </c>
      <c r="H442" s="195">
        <v>2</v>
      </c>
      <c r="I442" s="195">
        <v>15</v>
      </c>
      <c r="J442" s="195">
        <v>36</v>
      </c>
      <c r="K442" s="198" t="s">
        <v>899</v>
      </c>
      <c r="L442" s="195" t="s">
        <v>526</v>
      </c>
      <c r="N442" s="382" t="s">
        <v>456</v>
      </c>
    </row>
    <row r="443" spans="1:14" ht="12.75" customHeight="1" x14ac:dyDescent="0.2">
      <c r="A443" s="195" t="s">
        <v>1416</v>
      </c>
      <c r="B443" s="195" t="s">
        <v>895</v>
      </c>
      <c r="C443" s="195" t="s">
        <v>1411</v>
      </c>
      <c r="D443" s="195" t="s">
        <v>1417</v>
      </c>
      <c r="E443" s="195" t="s">
        <v>1418</v>
      </c>
      <c r="F443" s="197" t="s">
        <v>525</v>
      </c>
      <c r="G443" s="197">
        <v>24</v>
      </c>
      <c r="H443" s="195">
        <v>1</v>
      </c>
      <c r="I443" s="195">
        <v>35</v>
      </c>
      <c r="J443" s="195">
        <v>62</v>
      </c>
      <c r="K443" s="198" t="s">
        <v>901</v>
      </c>
      <c r="L443" s="195" t="s">
        <v>526</v>
      </c>
      <c r="N443" s="382" t="s">
        <v>918</v>
      </c>
    </row>
    <row r="444" spans="1:14" ht="12.75" customHeight="1" x14ac:dyDescent="0.2">
      <c r="A444" s="195" t="s">
        <v>1419</v>
      </c>
      <c r="B444" s="195" t="s">
        <v>895</v>
      </c>
      <c r="C444" s="195" t="s">
        <v>1411</v>
      </c>
      <c r="D444" s="195" t="s">
        <v>1420</v>
      </c>
      <c r="E444" s="195" t="s">
        <v>1421</v>
      </c>
      <c r="F444" s="197" t="s">
        <v>931</v>
      </c>
      <c r="G444" s="197">
        <v>24</v>
      </c>
      <c r="H444" s="195">
        <v>1</v>
      </c>
      <c r="I444" s="195">
        <v>20</v>
      </c>
      <c r="J444" s="195">
        <v>26</v>
      </c>
      <c r="K444" s="198" t="s">
        <v>901</v>
      </c>
      <c r="L444" s="195" t="s">
        <v>526</v>
      </c>
      <c r="N444" s="382" t="s">
        <v>456</v>
      </c>
    </row>
    <row r="445" spans="1:14" ht="12.75" customHeight="1" x14ac:dyDescent="0.2">
      <c r="A445" s="195" t="s">
        <v>1422</v>
      </c>
      <c r="B445" s="195" t="s">
        <v>895</v>
      </c>
      <c r="C445" s="195" t="s">
        <v>1411</v>
      </c>
      <c r="D445" s="195" t="s">
        <v>1420</v>
      </c>
      <c r="E445" s="195" t="s">
        <v>1421</v>
      </c>
      <c r="F445" s="197" t="s">
        <v>525</v>
      </c>
      <c r="G445" s="197">
        <v>24</v>
      </c>
      <c r="H445" s="195">
        <v>1</v>
      </c>
      <c r="I445" s="195">
        <v>20</v>
      </c>
      <c r="J445" s="195">
        <v>28</v>
      </c>
      <c r="K445" s="198" t="s">
        <v>901</v>
      </c>
      <c r="L445" s="195" t="s">
        <v>526</v>
      </c>
      <c r="N445" s="382" t="s">
        <v>456</v>
      </c>
    </row>
    <row r="446" spans="1:14" ht="12.75" customHeight="1" x14ac:dyDescent="0.2">
      <c r="A446" s="195" t="s">
        <v>1423</v>
      </c>
      <c r="B446" s="195" t="s">
        <v>895</v>
      </c>
      <c r="C446" s="195" t="s">
        <v>1411</v>
      </c>
      <c r="D446" s="195" t="s">
        <v>1417</v>
      </c>
      <c r="E446" s="195" t="s">
        <v>1424</v>
      </c>
      <c r="F446" s="197" t="s">
        <v>525</v>
      </c>
      <c r="G446" s="197">
        <v>24</v>
      </c>
      <c r="H446" s="195">
        <v>2</v>
      </c>
      <c r="I446" s="195">
        <v>35</v>
      </c>
      <c r="J446" s="195">
        <v>90</v>
      </c>
      <c r="K446" s="198" t="s">
        <v>932</v>
      </c>
      <c r="L446" s="195" t="s">
        <v>526</v>
      </c>
      <c r="N446" s="382" t="s">
        <v>918</v>
      </c>
    </row>
    <row r="447" spans="1:14" ht="12.75" customHeight="1" x14ac:dyDescent="0.2">
      <c r="A447" s="195" t="s">
        <v>1425</v>
      </c>
      <c r="B447" s="195" t="s">
        <v>895</v>
      </c>
      <c r="C447" s="195" t="s">
        <v>1411</v>
      </c>
      <c r="D447" s="195" t="s">
        <v>1420</v>
      </c>
      <c r="E447" s="195" t="s">
        <v>1426</v>
      </c>
      <c r="F447" s="197" t="s">
        <v>931</v>
      </c>
      <c r="G447" s="197">
        <v>24</v>
      </c>
      <c r="H447" s="195">
        <v>2</v>
      </c>
      <c r="I447" s="195">
        <v>20</v>
      </c>
      <c r="J447" s="195">
        <v>51</v>
      </c>
      <c r="K447" s="198" t="s">
        <v>932</v>
      </c>
      <c r="L447" s="195" t="s">
        <v>526</v>
      </c>
      <c r="N447" s="382" t="s">
        <v>456</v>
      </c>
    </row>
    <row r="448" spans="1:14" ht="12.75" customHeight="1" x14ac:dyDescent="0.2">
      <c r="A448" s="195" t="s">
        <v>1427</v>
      </c>
      <c r="B448" s="195" t="s">
        <v>895</v>
      </c>
      <c r="C448" s="195" t="s">
        <v>1411</v>
      </c>
      <c r="D448" s="195" t="s">
        <v>1420</v>
      </c>
      <c r="E448" s="195" t="s">
        <v>1426</v>
      </c>
      <c r="F448" s="197" t="s">
        <v>525</v>
      </c>
      <c r="G448" s="197">
        <v>24</v>
      </c>
      <c r="H448" s="195">
        <v>2</v>
      </c>
      <c r="I448" s="195">
        <v>20</v>
      </c>
      <c r="J448" s="195">
        <v>56</v>
      </c>
      <c r="K448" s="198" t="s">
        <v>932</v>
      </c>
      <c r="L448" s="195" t="s">
        <v>526</v>
      </c>
      <c r="N448" s="382" t="s">
        <v>456</v>
      </c>
    </row>
    <row r="449" spans="1:14" ht="12.75" customHeight="1" x14ac:dyDescent="0.2">
      <c r="A449" s="195" t="s">
        <v>1428</v>
      </c>
      <c r="B449" s="195" t="s">
        <v>895</v>
      </c>
      <c r="C449" s="195" t="s">
        <v>1411</v>
      </c>
      <c r="D449" s="195" t="s">
        <v>1420</v>
      </c>
      <c r="E449" s="195" t="s">
        <v>1429</v>
      </c>
      <c r="F449" s="197" t="s">
        <v>931</v>
      </c>
      <c r="G449" s="197">
        <v>24</v>
      </c>
      <c r="H449" s="195">
        <v>3</v>
      </c>
      <c r="I449" s="195">
        <v>20</v>
      </c>
      <c r="J449" s="195">
        <v>77</v>
      </c>
      <c r="K449" s="198" t="s">
        <v>946</v>
      </c>
      <c r="L449" s="195" t="s">
        <v>526</v>
      </c>
      <c r="N449" s="382" t="s">
        <v>456</v>
      </c>
    </row>
    <row r="450" spans="1:14" ht="12.75" customHeight="1" x14ac:dyDescent="0.2">
      <c r="A450" s="195" t="s">
        <v>1430</v>
      </c>
      <c r="B450" s="195" t="s">
        <v>895</v>
      </c>
      <c r="C450" s="195" t="s">
        <v>1411</v>
      </c>
      <c r="D450" s="195" t="s">
        <v>1420</v>
      </c>
      <c r="E450" s="195" t="s">
        <v>1429</v>
      </c>
      <c r="F450" s="197" t="s">
        <v>525</v>
      </c>
      <c r="G450" s="197">
        <v>24</v>
      </c>
      <c r="H450" s="195">
        <v>3</v>
      </c>
      <c r="I450" s="195">
        <v>20</v>
      </c>
      <c r="J450" s="195">
        <v>84</v>
      </c>
      <c r="K450" s="198" t="s">
        <v>946</v>
      </c>
      <c r="L450" s="195" t="s">
        <v>526</v>
      </c>
      <c r="N450" s="382" t="s">
        <v>456</v>
      </c>
    </row>
    <row r="451" spans="1:14" ht="12.75" customHeight="1" x14ac:dyDescent="0.2">
      <c r="A451" s="195" t="s">
        <v>1431</v>
      </c>
      <c r="B451" s="195" t="s">
        <v>895</v>
      </c>
      <c r="C451" s="195" t="s">
        <v>1411</v>
      </c>
      <c r="D451" s="195" t="s">
        <v>1420</v>
      </c>
      <c r="E451" s="195" t="s">
        <v>1432</v>
      </c>
      <c r="F451" s="197" t="s">
        <v>931</v>
      </c>
      <c r="G451" s="197">
        <v>24</v>
      </c>
      <c r="H451" s="195">
        <v>4</v>
      </c>
      <c r="I451" s="195">
        <v>20</v>
      </c>
      <c r="J451" s="195">
        <v>102</v>
      </c>
      <c r="K451" s="198" t="s">
        <v>956</v>
      </c>
      <c r="L451" s="195" t="s">
        <v>526</v>
      </c>
      <c r="N451" s="382" t="s">
        <v>456</v>
      </c>
    </row>
    <row r="452" spans="1:14" ht="12.75" customHeight="1" x14ac:dyDescent="0.2">
      <c r="A452" s="195" t="s">
        <v>1433</v>
      </c>
      <c r="B452" s="195" t="s">
        <v>895</v>
      </c>
      <c r="C452" s="195" t="s">
        <v>1411</v>
      </c>
      <c r="D452" s="195" t="s">
        <v>1420</v>
      </c>
      <c r="E452" s="195" t="s">
        <v>1432</v>
      </c>
      <c r="F452" s="197" t="s">
        <v>525</v>
      </c>
      <c r="G452" s="197">
        <v>24</v>
      </c>
      <c r="H452" s="195">
        <v>4</v>
      </c>
      <c r="I452" s="195">
        <v>20</v>
      </c>
      <c r="J452" s="195">
        <v>112</v>
      </c>
      <c r="K452" s="198" t="s">
        <v>956</v>
      </c>
      <c r="L452" s="195" t="s">
        <v>526</v>
      </c>
      <c r="N452" s="382" t="s">
        <v>456</v>
      </c>
    </row>
    <row r="453" spans="1:14" ht="12.75" customHeight="1" x14ac:dyDescent="0.2">
      <c r="A453" s="195" t="s">
        <v>1434</v>
      </c>
      <c r="B453" s="195" t="s">
        <v>895</v>
      </c>
      <c r="C453" s="195" t="s">
        <v>1411</v>
      </c>
      <c r="D453" s="195" t="s">
        <v>1420</v>
      </c>
      <c r="E453" s="195" t="s">
        <v>1435</v>
      </c>
      <c r="F453" s="197" t="s">
        <v>931</v>
      </c>
      <c r="G453" s="197">
        <v>24</v>
      </c>
      <c r="H453" s="195">
        <v>6</v>
      </c>
      <c r="I453" s="195">
        <v>20</v>
      </c>
      <c r="J453" s="195">
        <v>153</v>
      </c>
      <c r="K453" s="198" t="s">
        <v>1436</v>
      </c>
      <c r="L453" s="195" t="s">
        <v>526</v>
      </c>
      <c r="N453" s="382" t="s">
        <v>456</v>
      </c>
    </row>
    <row r="454" spans="1:14" ht="12.75" customHeight="1" x14ac:dyDescent="0.2">
      <c r="A454" s="195" t="s">
        <v>1437</v>
      </c>
      <c r="B454" s="195" t="s">
        <v>895</v>
      </c>
      <c r="C454" s="195" t="s">
        <v>1411</v>
      </c>
      <c r="D454" s="195" t="s">
        <v>1420</v>
      </c>
      <c r="E454" s="195" t="s">
        <v>1435</v>
      </c>
      <c r="F454" s="197" t="s">
        <v>525</v>
      </c>
      <c r="G454" s="197">
        <v>24</v>
      </c>
      <c r="H454" s="195">
        <v>6</v>
      </c>
      <c r="I454" s="195">
        <v>20</v>
      </c>
      <c r="J454" s="195">
        <v>168</v>
      </c>
      <c r="K454" s="198" t="s">
        <v>1436</v>
      </c>
      <c r="L454" s="195" t="s">
        <v>526</v>
      </c>
      <c r="N454" s="382" t="s">
        <v>456</v>
      </c>
    </row>
    <row r="455" spans="1:14" ht="12.75" customHeight="1" x14ac:dyDescent="0.2">
      <c r="A455" s="195" t="s">
        <v>1438</v>
      </c>
      <c r="B455" s="195" t="s">
        <v>895</v>
      </c>
      <c r="C455" s="195" t="s">
        <v>1411</v>
      </c>
      <c r="D455" s="195" t="s">
        <v>1439</v>
      </c>
      <c r="E455" s="195" t="s">
        <v>1440</v>
      </c>
      <c r="F455" s="197" t="s">
        <v>931</v>
      </c>
      <c r="G455" s="197">
        <v>36</v>
      </c>
      <c r="H455" s="195">
        <v>1</v>
      </c>
      <c r="I455" s="195">
        <v>25</v>
      </c>
      <c r="J455" s="195">
        <v>38</v>
      </c>
      <c r="K455" s="198" t="s">
        <v>964</v>
      </c>
      <c r="L455" s="195" t="s">
        <v>526</v>
      </c>
      <c r="N455" s="382" t="s">
        <v>456</v>
      </c>
    </row>
    <row r="456" spans="1:14" ht="12.75" customHeight="1" x14ac:dyDescent="0.2">
      <c r="A456" s="195" t="s">
        <v>1441</v>
      </c>
      <c r="B456" s="195" t="s">
        <v>895</v>
      </c>
      <c r="C456" s="195" t="s">
        <v>1411</v>
      </c>
      <c r="D456" s="195" t="s">
        <v>1439</v>
      </c>
      <c r="E456" s="195" t="s">
        <v>1442</v>
      </c>
      <c r="F456" s="197" t="s">
        <v>931</v>
      </c>
      <c r="G456" s="197">
        <v>36</v>
      </c>
      <c r="H456" s="195">
        <v>1</v>
      </c>
      <c r="I456" s="195">
        <v>25</v>
      </c>
      <c r="J456" s="195">
        <v>33</v>
      </c>
      <c r="K456" s="198" t="s">
        <v>964</v>
      </c>
      <c r="L456" s="195" t="s">
        <v>526</v>
      </c>
      <c r="N456" s="382" t="s">
        <v>456</v>
      </c>
    </row>
    <row r="457" spans="1:14" ht="12.75" customHeight="1" x14ac:dyDescent="0.2">
      <c r="A457" s="195" t="s">
        <v>1443</v>
      </c>
      <c r="B457" s="195" t="s">
        <v>895</v>
      </c>
      <c r="C457" s="195" t="s">
        <v>1411</v>
      </c>
      <c r="D457" s="195" t="s">
        <v>1439</v>
      </c>
      <c r="E457" s="195" t="s">
        <v>1444</v>
      </c>
      <c r="F457" s="197" t="s">
        <v>221</v>
      </c>
      <c r="G457" s="197">
        <v>36</v>
      </c>
      <c r="H457" s="195">
        <v>1</v>
      </c>
      <c r="I457" s="195">
        <v>25</v>
      </c>
      <c r="J457" s="195">
        <v>26</v>
      </c>
      <c r="K457" s="198" t="s">
        <v>964</v>
      </c>
      <c r="L457" s="195" t="s">
        <v>526</v>
      </c>
      <c r="N457" s="382" t="s">
        <v>456</v>
      </c>
    </row>
    <row r="458" spans="1:14" ht="12.75" customHeight="1" x14ac:dyDescent="0.2">
      <c r="A458" s="195" t="s">
        <v>1445</v>
      </c>
      <c r="B458" s="195" t="s">
        <v>895</v>
      </c>
      <c r="C458" s="195" t="s">
        <v>1411</v>
      </c>
      <c r="D458" s="195" t="s">
        <v>1439</v>
      </c>
      <c r="E458" s="195" t="s">
        <v>1444</v>
      </c>
      <c r="F458" s="197" t="s">
        <v>525</v>
      </c>
      <c r="G458" s="197">
        <v>36</v>
      </c>
      <c r="H458" s="195">
        <v>1</v>
      </c>
      <c r="I458" s="195">
        <v>25</v>
      </c>
      <c r="J458" s="195">
        <v>42</v>
      </c>
      <c r="K458" s="198" t="s">
        <v>964</v>
      </c>
      <c r="L458" s="195" t="s">
        <v>526</v>
      </c>
      <c r="N458" s="382" t="s">
        <v>456</v>
      </c>
    </row>
    <row r="459" spans="1:14" ht="12.75" customHeight="1" x14ac:dyDescent="0.2">
      <c r="A459" s="195" t="s">
        <v>1446</v>
      </c>
      <c r="B459" s="195" t="s">
        <v>895</v>
      </c>
      <c r="C459" s="195" t="s">
        <v>1411</v>
      </c>
      <c r="D459" s="195" t="s">
        <v>1439</v>
      </c>
      <c r="E459" s="195" t="s">
        <v>1447</v>
      </c>
      <c r="F459" s="197" t="s">
        <v>525</v>
      </c>
      <c r="G459" s="197">
        <v>36</v>
      </c>
      <c r="H459" s="195">
        <v>1</v>
      </c>
      <c r="I459" s="195">
        <v>25</v>
      </c>
      <c r="J459" s="195">
        <v>37</v>
      </c>
      <c r="K459" s="198" t="s">
        <v>964</v>
      </c>
      <c r="L459" s="195" t="s">
        <v>526</v>
      </c>
      <c r="N459" s="382" t="s">
        <v>456</v>
      </c>
    </row>
    <row r="460" spans="1:14" ht="12.75" customHeight="1" x14ac:dyDescent="0.2">
      <c r="A460" s="195" t="s">
        <v>1448</v>
      </c>
      <c r="B460" s="195" t="s">
        <v>895</v>
      </c>
      <c r="C460" s="195" t="s">
        <v>1411</v>
      </c>
      <c r="D460" s="195" t="s">
        <v>1449</v>
      </c>
      <c r="E460" s="195" t="s">
        <v>1450</v>
      </c>
      <c r="F460" s="197" t="s">
        <v>931</v>
      </c>
      <c r="G460" s="197">
        <v>36</v>
      </c>
      <c r="H460" s="195">
        <v>1</v>
      </c>
      <c r="I460" s="195">
        <v>30</v>
      </c>
      <c r="J460" s="195">
        <v>37</v>
      </c>
      <c r="K460" s="198" t="s">
        <v>964</v>
      </c>
      <c r="L460" s="195" t="s">
        <v>526</v>
      </c>
      <c r="N460" s="382" t="s">
        <v>456</v>
      </c>
    </row>
    <row r="461" spans="1:14" ht="12.75" customHeight="1" x14ac:dyDescent="0.2">
      <c r="A461" s="195" t="s">
        <v>1451</v>
      </c>
      <c r="B461" s="195" t="s">
        <v>895</v>
      </c>
      <c r="C461" s="195" t="s">
        <v>1411</v>
      </c>
      <c r="D461" s="195" t="s">
        <v>1371</v>
      </c>
      <c r="E461" s="195" t="s">
        <v>1452</v>
      </c>
      <c r="F461" s="197" t="s">
        <v>525</v>
      </c>
      <c r="G461" s="197">
        <v>36</v>
      </c>
      <c r="H461" s="195">
        <v>1</v>
      </c>
      <c r="I461" s="195">
        <v>50</v>
      </c>
      <c r="J461" s="195">
        <v>70</v>
      </c>
      <c r="K461" s="198" t="s">
        <v>964</v>
      </c>
      <c r="L461" s="195" t="s">
        <v>526</v>
      </c>
      <c r="N461" s="382" t="s">
        <v>918</v>
      </c>
    </row>
    <row r="462" spans="1:14" ht="12.75" customHeight="1" x14ac:dyDescent="0.2">
      <c r="A462" s="195" t="s">
        <v>1453</v>
      </c>
      <c r="B462" s="195" t="s">
        <v>895</v>
      </c>
      <c r="C462" s="195" t="s">
        <v>1411</v>
      </c>
      <c r="D462" s="195" t="s">
        <v>1449</v>
      </c>
      <c r="E462" s="195" t="s">
        <v>1454</v>
      </c>
      <c r="F462" s="197" t="s">
        <v>221</v>
      </c>
      <c r="G462" s="197">
        <v>36</v>
      </c>
      <c r="H462" s="195">
        <v>1</v>
      </c>
      <c r="I462" s="195">
        <v>30</v>
      </c>
      <c r="J462" s="195">
        <v>31</v>
      </c>
      <c r="K462" s="198" t="s">
        <v>964</v>
      </c>
      <c r="L462" s="195" t="s">
        <v>526</v>
      </c>
      <c r="N462" s="382" t="s">
        <v>456</v>
      </c>
    </row>
    <row r="463" spans="1:14" ht="12.75" customHeight="1" x14ac:dyDescent="0.2">
      <c r="A463" s="195" t="s">
        <v>1455</v>
      </c>
      <c r="B463" s="195" t="s">
        <v>895</v>
      </c>
      <c r="C463" s="195" t="s">
        <v>1411</v>
      </c>
      <c r="D463" s="195" t="s">
        <v>1449</v>
      </c>
      <c r="E463" s="195" t="s">
        <v>1454</v>
      </c>
      <c r="F463" s="197" t="s">
        <v>525</v>
      </c>
      <c r="G463" s="197">
        <v>36</v>
      </c>
      <c r="H463" s="195">
        <v>1</v>
      </c>
      <c r="I463" s="195">
        <v>30</v>
      </c>
      <c r="J463" s="195">
        <v>46</v>
      </c>
      <c r="K463" s="198" t="s">
        <v>964</v>
      </c>
      <c r="L463" s="195" t="s">
        <v>526</v>
      </c>
      <c r="N463" s="382" t="s">
        <v>456</v>
      </c>
    </row>
    <row r="464" spans="1:14" ht="12.75" customHeight="1" x14ac:dyDescent="0.2">
      <c r="A464" s="195" t="s">
        <v>1456</v>
      </c>
      <c r="B464" s="195" t="s">
        <v>895</v>
      </c>
      <c r="C464" s="195" t="s">
        <v>1411</v>
      </c>
      <c r="D464" s="195" t="s">
        <v>1449</v>
      </c>
      <c r="E464" s="195" t="s">
        <v>1457</v>
      </c>
      <c r="F464" s="197" t="s">
        <v>525</v>
      </c>
      <c r="G464" s="197">
        <v>36</v>
      </c>
      <c r="H464" s="195">
        <v>1</v>
      </c>
      <c r="I464" s="195">
        <v>30</v>
      </c>
      <c r="J464" s="195">
        <v>41</v>
      </c>
      <c r="K464" s="198" t="s">
        <v>964</v>
      </c>
      <c r="L464" s="195" t="s">
        <v>526</v>
      </c>
      <c r="N464" s="382" t="s">
        <v>456</v>
      </c>
    </row>
    <row r="465" spans="1:14" ht="12.75" customHeight="1" x14ac:dyDescent="0.2">
      <c r="A465" s="195" t="s">
        <v>1458</v>
      </c>
      <c r="B465" s="195" t="s">
        <v>895</v>
      </c>
      <c r="C465" s="195" t="s">
        <v>1411</v>
      </c>
      <c r="D465" s="195" t="s">
        <v>1439</v>
      </c>
      <c r="E465" s="195" t="s">
        <v>1459</v>
      </c>
      <c r="F465" s="197" t="s">
        <v>931</v>
      </c>
      <c r="G465" s="197">
        <v>36</v>
      </c>
      <c r="H465" s="195">
        <v>2</v>
      </c>
      <c r="I465" s="195">
        <v>25</v>
      </c>
      <c r="J465" s="195">
        <v>66</v>
      </c>
      <c r="K465" s="198" t="s">
        <v>997</v>
      </c>
      <c r="L465" s="195" t="s">
        <v>526</v>
      </c>
      <c r="N465" s="382" t="s">
        <v>456</v>
      </c>
    </row>
    <row r="466" spans="1:14" ht="12.75" customHeight="1" x14ac:dyDescent="0.2">
      <c r="A466" s="195" t="s">
        <v>1460</v>
      </c>
      <c r="B466" s="195" t="s">
        <v>895</v>
      </c>
      <c r="C466" s="195" t="s">
        <v>1411</v>
      </c>
      <c r="D466" s="195" t="s">
        <v>1439</v>
      </c>
      <c r="E466" s="195" t="s">
        <v>1459</v>
      </c>
      <c r="F466" s="197" t="s">
        <v>221</v>
      </c>
      <c r="G466" s="197">
        <v>36</v>
      </c>
      <c r="H466" s="195">
        <v>2</v>
      </c>
      <c r="I466" s="195">
        <v>25</v>
      </c>
      <c r="J466" s="195">
        <v>50</v>
      </c>
      <c r="K466" s="198" t="s">
        <v>997</v>
      </c>
      <c r="L466" s="195" t="s">
        <v>526</v>
      </c>
      <c r="N466" s="382" t="s">
        <v>456</v>
      </c>
    </row>
    <row r="467" spans="1:14" ht="12.75" customHeight="1" x14ac:dyDescent="0.2">
      <c r="A467" s="195" t="s">
        <v>1461</v>
      </c>
      <c r="B467" s="195" t="s">
        <v>895</v>
      </c>
      <c r="C467" s="195" t="s">
        <v>1411</v>
      </c>
      <c r="D467" s="195" t="s">
        <v>1439</v>
      </c>
      <c r="E467" s="195" t="s">
        <v>1459</v>
      </c>
      <c r="F467" s="197" t="s">
        <v>525</v>
      </c>
      <c r="G467" s="197">
        <v>36</v>
      </c>
      <c r="H467" s="195">
        <v>2</v>
      </c>
      <c r="I467" s="195">
        <v>25</v>
      </c>
      <c r="J467" s="195">
        <v>73</v>
      </c>
      <c r="K467" s="198" t="s">
        <v>997</v>
      </c>
      <c r="L467" s="195" t="s">
        <v>526</v>
      </c>
      <c r="N467" s="382" t="s">
        <v>456</v>
      </c>
    </row>
    <row r="468" spans="1:14" ht="12.75" customHeight="1" x14ac:dyDescent="0.2">
      <c r="A468" s="195" t="s">
        <v>1462</v>
      </c>
      <c r="B468" s="195" t="s">
        <v>895</v>
      </c>
      <c r="C468" s="195" t="s">
        <v>1411</v>
      </c>
      <c r="D468" s="195" t="s">
        <v>1449</v>
      </c>
      <c r="E468" s="195" t="s">
        <v>1463</v>
      </c>
      <c r="F468" s="197" t="s">
        <v>931</v>
      </c>
      <c r="G468" s="197">
        <v>36</v>
      </c>
      <c r="H468" s="195">
        <v>2</v>
      </c>
      <c r="I468" s="195">
        <v>30</v>
      </c>
      <c r="J468" s="195">
        <v>74</v>
      </c>
      <c r="K468" s="198" t="s">
        <v>997</v>
      </c>
      <c r="L468" s="195" t="s">
        <v>526</v>
      </c>
      <c r="N468" s="382" t="s">
        <v>456</v>
      </c>
    </row>
    <row r="469" spans="1:14" ht="12.75" customHeight="1" x14ac:dyDescent="0.2">
      <c r="A469" s="195" t="s">
        <v>1464</v>
      </c>
      <c r="B469" s="195" t="s">
        <v>895</v>
      </c>
      <c r="C469" s="195" t="s">
        <v>1411</v>
      </c>
      <c r="D469" s="195" t="s">
        <v>1449</v>
      </c>
      <c r="E469" s="195" t="s">
        <v>1463</v>
      </c>
      <c r="F469" s="197" t="s">
        <v>221</v>
      </c>
      <c r="G469" s="197">
        <v>36</v>
      </c>
      <c r="H469" s="195">
        <v>2</v>
      </c>
      <c r="I469" s="195">
        <v>30</v>
      </c>
      <c r="J469" s="195">
        <v>58</v>
      </c>
      <c r="K469" s="198" t="s">
        <v>997</v>
      </c>
      <c r="L469" s="195" t="s">
        <v>526</v>
      </c>
      <c r="N469" s="382" t="s">
        <v>456</v>
      </c>
    </row>
    <row r="470" spans="1:14" ht="12.75" customHeight="1" x14ac:dyDescent="0.2">
      <c r="A470" s="195" t="s">
        <v>1465</v>
      </c>
      <c r="B470" s="195" t="s">
        <v>895</v>
      </c>
      <c r="C470" s="195" t="s">
        <v>1411</v>
      </c>
      <c r="D470" s="195" t="s">
        <v>1449</v>
      </c>
      <c r="E470" s="195" t="s">
        <v>1463</v>
      </c>
      <c r="F470" s="197" t="s">
        <v>525</v>
      </c>
      <c r="G470" s="197">
        <v>36</v>
      </c>
      <c r="H470" s="195">
        <v>2</v>
      </c>
      <c r="I470" s="195">
        <v>30</v>
      </c>
      <c r="J470" s="195">
        <v>81</v>
      </c>
      <c r="K470" s="198" t="s">
        <v>997</v>
      </c>
      <c r="L470" s="195" t="s">
        <v>526</v>
      </c>
      <c r="N470" s="382" t="s">
        <v>456</v>
      </c>
    </row>
    <row r="471" spans="1:14" ht="12.75" customHeight="1" x14ac:dyDescent="0.2">
      <c r="A471" s="195" t="s">
        <v>1466</v>
      </c>
      <c r="B471" s="195" t="s">
        <v>895</v>
      </c>
      <c r="C471" s="195" t="s">
        <v>1411</v>
      </c>
      <c r="D471" s="195" t="s">
        <v>1439</v>
      </c>
      <c r="E471" s="195" t="s">
        <v>1467</v>
      </c>
      <c r="F471" s="197" t="s">
        <v>931</v>
      </c>
      <c r="G471" s="197">
        <v>36</v>
      </c>
      <c r="H471" s="195">
        <v>3</v>
      </c>
      <c r="I471" s="195">
        <v>25</v>
      </c>
      <c r="J471" s="195">
        <v>104</v>
      </c>
      <c r="K471" s="198" t="s">
        <v>1019</v>
      </c>
      <c r="L471" s="195" t="s">
        <v>526</v>
      </c>
      <c r="N471" s="382" t="s">
        <v>456</v>
      </c>
    </row>
    <row r="472" spans="1:14" ht="12.75" customHeight="1" x14ac:dyDescent="0.2">
      <c r="A472" s="195" t="s">
        <v>1468</v>
      </c>
      <c r="B472" s="195" t="s">
        <v>895</v>
      </c>
      <c r="C472" s="195" t="s">
        <v>1411</v>
      </c>
      <c r="D472" s="195" t="s">
        <v>1439</v>
      </c>
      <c r="E472" s="195" t="s">
        <v>1467</v>
      </c>
      <c r="F472" s="197" t="s">
        <v>221</v>
      </c>
      <c r="G472" s="197">
        <v>36</v>
      </c>
      <c r="H472" s="195">
        <v>3</v>
      </c>
      <c r="I472" s="195">
        <v>25</v>
      </c>
      <c r="J472" s="195">
        <v>76</v>
      </c>
      <c r="K472" s="198" t="s">
        <v>1019</v>
      </c>
      <c r="L472" s="195" t="s">
        <v>526</v>
      </c>
      <c r="N472" s="382" t="s">
        <v>456</v>
      </c>
    </row>
    <row r="473" spans="1:14" ht="12.75" customHeight="1" x14ac:dyDescent="0.2">
      <c r="A473" s="195" t="s">
        <v>1469</v>
      </c>
      <c r="B473" s="195" t="s">
        <v>895</v>
      </c>
      <c r="C473" s="195" t="s">
        <v>1411</v>
      </c>
      <c r="D473" s="195" t="s">
        <v>1439</v>
      </c>
      <c r="E473" s="195" t="s">
        <v>1470</v>
      </c>
      <c r="F473" s="197" t="s">
        <v>525</v>
      </c>
      <c r="G473" s="197">
        <v>36</v>
      </c>
      <c r="H473" s="195">
        <v>3</v>
      </c>
      <c r="I473" s="195">
        <v>25</v>
      </c>
      <c r="J473" s="195">
        <v>115</v>
      </c>
      <c r="K473" s="198" t="s">
        <v>1019</v>
      </c>
      <c r="L473" s="195" t="s">
        <v>526</v>
      </c>
      <c r="N473" s="382" t="s">
        <v>456</v>
      </c>
    </row>
    <row r="474" spans="1:14" ht="12.75" customHeight="1" x14ac:dyDescent="0.2">
      <c r="A474" s="195" t="s">
        <v>1471</v>
      </c>
      <c r="B474" s="195" t="s">
        <v>895</v>
      </c>
      <c r="C474" s="195" t="s">
        <v>1411</v>
      </c>
      <c r="D474" s="195" t="s">
        <v>1449</v>
      </c>
      <c r="E474" s="195" t="s">
        <v>1472</v>
      </c>
      <c r="F474" s="197" t="s">
        <v>931</v>
      </c>
      <c r="G474" s="197">
        <v>36</v>
      </c>
      <c r="H474" s="195">
        <v>3</v>
      </c>
      <c r="I474" s="195">
        <v>30</v>
      </c>
      <c r="J474" s="195">
        <v>120</v>
      </c>
      <c r="K474" s="198" t="s">
        <v>1019</v>
      </c>
      <c r="L474" s="195" t="s">
        <v>526</v>
      </c>
      <c r="N474" s="382" t="s">
        <v>456</v>
      </c>
    </row>
    <row r="475" spans="1:14" ht="12.75" customHeight="1" x14ac:dyDescent="0.2">
      <c r="A475" s="195" t="s">
        <v>1473</v>
      </c>
      <c r="B475" s="195" t="s">
        <v>895</v>
      </c>
      <c r="C475" s="195" t="s">
        <v>1411</v>
      </c>
      <c r="D475" s="195" t="s">
        <v>1449</v>
      </c>
      <c r="E475" s="195" t="s">
        <v>1474</v>
      </c>
      <c r="F475" s="197" t="s">
        <v>525</v>
      </c>
      <c r="G475" s="197">
        <v>36</v>
      </c>
      <c r="H475" s="195">
        <v>3</v>
      </c>
      <c r="I475" s="195">
        <v>30</v>
      </c>
      <c r="J475" s="195">
        <v>127</v>
      </c>
      <c r="K475" s="198" t="s">
        <v>1019</v>
      </c>
      <c r="L475" s="195" t="s">
        <v>526</v>
      </c>
      <c r="N475" s="382" t="s">
        <v>456</v>
      </c>
    </row>
    <row r="476" spans="1:14" ht="12.75" customHeight="1" x14ac:dyDescent="0.2">
      <c r="A476" s="195" t="s">
        <v>1475</v>
      </c>
      <c r="B476" s="195" t="s">
        <v>895</v>
      </c>
      <c r="C476" s="195" t="s">
        <v>1411</v>
      </c>
      <c r="D476" s="195" t="s">
        <v>1439</v>
      </c>
      <c r="E476" s="195" t="s">
        <v>1476</v>
      </c>
      <c r="F476" s="197" t="s">
        <v>931</v>
      </c>
      <c r="G476" s="197">
        <v>36</v>
      </c>
      <c r="H476" s="195">
        <v>4</v>
      </c>
      <c r="I476" s="195">
        <v>25</v>
      </c>
      <c r="J476" s="195">
        <v>132</v>
      </c>
      <c r="K476" s="198" t="s">
        <v>1027</v>
      </c>
      <c r="L476" s="195" t="s">
        <v>526</v>
      </c>
      <c r="N476" s="382" t="s">
        <v>456</v>
      </c>
    </row>
    <row r="477" spans="1:14" ht="12.75" customHeight="1" x14ac:dyDescent="0.2">
      <c r="A477" s="195" t="s">
        <v>1477</v>
      </c>
      <c r="B477" s="195" t="s">
        <v>895</v>
      </c>
      <c r="C477" s="195" t="s">
        <v>1411</v>
      </c>
      <c r="D477" s="195" t="s">
        <v>1439</v>
      </c>
      <c r="E477" s="195" t="s">
        <v>1476</v>
      </c>
      <c r="F477" s="197" t="s">
        <v>221</v>
      </c>
      <c r="G477" s="197">
        <v>36</v>
      </c>
      <c r="H477" s="195">
        <v>4</v>
      </c>
      <c r="I477" s="195">
        <v>25</v>
      </c>
      <c r="J477" s="195">
        <v>100</v>
      </c>
      <c r="K477" s="198" t="s">
        <v>1027</v>
      </c>
      <c r="L477" s="195" t="s">
        <v>526</v>
      </c>
      <c r="N477" s="382" t="s">
        <v>456</v>
      </c>
    </row>
    <row r="478" spans="1:14" ht="12.75" customHeight="1" x14ac:dyDescent="0.2">
      <c r="A478" s="195" t="s">
        <v>1478</v>
      </c>
      <c r="B478" s="195" t="s">
        <v>895</v>
      </c>
      <c r="C478" s="195" t="s">
        <v>1411</v>
      </c>
      <c r="D478" s="195" t="s">
        <v>1449</v>
      </c>
      <c r="E478" s="195" t="s">
        <v>1479</v>
      </c>
      <c r="F478" s="197" t="s">
        <v>931</v>
      </c>
      <c r="G478" s="197">
        <v>36</v>
      </c>
      <c r="H478" s="195">
        <v>4</v>
      </c>
      <c r="I478" s="195">
        <v>30</v>
      </c>
      <c r="J478" s="195">
        <v>148</v>
      </c>
      <c r="K478" s="198" t="s">
        <v>1027</v>
      </c>
      <c r="L478" s="195" t="s">
        <v>526</v>
      </c>
      <c r="N478" s="382" t="s">
        <v>456</v>
      </c>
    </row>
    <row r="479" spans="1:14" ht="12.75" customHeight="1" x14ac:dyDescent="0.2">
      <c r="A479" s="195" t="s">
        <v>1480</v>
      </c>
      <c r="B479" s="195" t="s">
        <v>895</v>
      </c>
      <c r="C479" s="195" t="s">
        <v>1411</v>
      </c>
      <c r="D479" s="195" t="s">
        <v>1449</v>
      </c>
      <c r="E479" s="195" t="s">
        <v>1479</v>
      </c>
      <c r="F479" s="197" t="s">
        <v>221</v>
      </c>
      <c r="G479" s="197">
        <v>36</v>
      </c>
      <c r="H479" s="195">
        <v>4</v>
      </c>
      <c r="I479" s="195">
        <v>30</v>
      </c>
      <c r="J479" s="195">
        <v>116</v>
      </c>
      <c r="K479" s="198" t="s">
        <v>1027</v>
      </c>
      <c r="L479" s="195" t="s">
        <v>526</v>
      </c>
      <c r="N479" s="382" t="s">
        <v>456</v>
      </c>
    </row>
    <row r="480" spans="1:14" ht="12.75" customHeight="1" x14ac:dyDescent="0.2">
      <c r="A480" s="195" t="s">
        <v>1481</v>
      </c>
      <c r="B480" s="195" t="s">
        <v>895</v>
      </c>
      <c r="C480" s="195" t="s">
        <v>1411</v>
      </c>
      <c r="D480" s="195" t="s">
        <v>1449</v>
      </c>
      <c r="E480" s="195" t="s">
        <v>1479</v>
      </c>
      <c r="F480" s="197" t="s">
        <v>525</v>
      </c>
      <c r="G480" s="197">
        <v>36</v>
      </c>
      <c r="H480" s="195">
        <v>4</v>
      </c>
      <c r="I480" s="195">
        <v>30</v>
      </c>
      <c r="J480" s="195">
        <v>162</v>
      </c>
      <c r="K480" s="198" t="s">
        <v>1027</v>
      </c>
      <c r="L480" s="195" t="s">
        <v>526</v>
      </c>
      <c r="N480" s="382" t="s">
        <v>456</v>
      </c>
    </row>
    <row r="481" spans="1:14" ht="12.75" customHeight="1" x14ac:dyDescent="0.2">
      <c r="A481" s="195" t="s">
        <v>1482</v>
      </c>
      <c r="B481" s="195" t="s">
        <v>895</v>
      </c>
      <c r="C481" s="195" t="s">
        <v>1411</v>
      </c>
      <c r="D481" s="195" t="s">
        <v>1439</v>
      </c>
      <c r="E481" s="195" t="s">
        <v>1483</v>
      </c>
      <c r="F481" s="197" t="s">
        <v>931</v>
      </c>
      <c r="G481" s="197">
        <v>36</v>
      </c>
      <c r="H481" s="195">
        <v>6</v>
      </c>
      <c r="I481" s="195">
        <v>25</v>
      </c>
      <c r="J481" s="195">
        <v>198</v>
      </c>
      <c r="K481" s="198" t="s">
        <v>1484</v>
      </c>
      <c r="L481" s="195" t="s">
        <v>526</v>
      </c>
      <c r="N481" s="382" t="s">
        <v>456</v>
      </c>
    </row>
    <row r="482" spans="1:14" ht="12.75" customHeight="1" x14ac:dyDescent="0.2">
      <c r="A482" s="195" t="s">
        <v>1485</v>
      </c>
      <c r="B482" s="195" t="s">
        <v>895</v>
      </c>
      <c r="C482" s="195" t="s">
        <v>1411</v>
      </c>
      <c r="D482" s="195" t="s">
        <v>1449</v>
      </c>
      <c r="E482" s="195" t="s">
        <v>1486</v>
      </c>
      <c r="F482" s="197" t="s">
        <v>931</v>
      </c>
      <c r="G482" s="197">
        <v>36</v>
      </c>
      <c r="H482" s="195">
        <v>6</v>
      </c>
      <c r="I482" s="195">
        <v>30</v>
      </c>
      <c r="J482" s="195">
        <v>238</v>
      </c>
      <c r="K482" s="198" t="s">
        <v>1484</v>
      </c>
      <c r="L482" s="195" t="s">
        <v>526</v>
      </c>
      <c r="N482" s="382" t="s">
        <v>456</v>
      </c>
    </row>
    <row r="483" spans="1:14" ht="12.75" customHeight="1" x14ac:dyDescent="0.2">
      <c r="A483" s="195" t="s">
        <v>1487</v>
      </c>
      <c r="B483" s="195" t="s">
        <v>895</v>
      </c>
      <c r="C483" s="195" t="s">
        <v>1411</v>
      </c>
      <c r="D483" s="195" t="s">
        <v>1488</v>
      </c>
      <c r="E483" s="195" t="s">
        <v>1489</v>
      </c>
      <c r="F483" s="197" t="s">
        <v>931</v>
      </c>
      <c r="G483" s="197">
        <v>48</v>
      </c>
      <c r="H483" s="195">
        <v>1</v>
      </c>
      <c r="I483" s="195">
        <v>34</v>
      </c>
      <c r="J483" s="195">
        <v>43</v>
      </c>
      <c r="K483" s="198" t="s">
        <v>1037</v>
      </c>
      <c r="L483" s="195" t="s">
        <v>526</v>
      </c>
      <c r="N483" s="382" t="s">
        <v>456</v>
      </c>
    </row>
    <row r="484" spans="1:14" ht="12.75" customHeight="1" x14ac:dyDescent="0.2">
      <c r="A484" s="195" t="s">
        <v>1490</v>
      </c>
      <c r="B484" s="195" t="s">
        <v>895</v>
      </c>
      <c r="C484" s="195" t="s">
        <v>1411</v>
      </c>
      <c r="D484" s="195" t="s">
        <v>1488</v>
      </c>
      <c r="E484" s="195" t="s">
        <v>1491</v>
      </c>
      <c r="F484" s="197" t="s">
        <v>931</v>
      </c>
      <c r="G484" s="197">
        <v>48</v>
      </c>
      <c r="H484" s="195">
        <v>1</v>
      </c>
      <c r="I484" s="195">
        <v>34</v>
      </c>
      <c r="J484" s="195">
        <v>43</v>
      </c>
      <c r="K484" s="198" t="s">
        <v>1037</v>
      </c>
      <c r="L484" s="195" t="s">
        <v>526</v>
      </c>
      <c r="N484" s="382" t="s">
        <v>456</v>
      </c>
    </row>
    <row r="485" spans="1:14" ht="12.75" customHeight="1" x14ac:dyDescent="0.2">
      <c r="A485" s="195" t="s">
        <v>1492</v>
      </c>
      <c r="B485" s="195" t="s">
        <v>895</v>
      </c>
      <c r="C485" s="195" t="s">
        <v>1411</v>
      </c>
      <c r="D485" s="195" t="s">
        <v>1488</v>
      </c>
      <c r="E485" s="195" t="s">
        <v>1493</v>
      </c>
      <c r="F485" s="197" t="s">
        <v>931</v>
      </c>
      <c r="G485" s="197">
        <v>48</v>
      </c>
      <c r="H485" s="195">
        <v>1</v>
      </c>
      <c r="I485" s="195">
        <v>34</v>
      </c>
      <c r="J485" s="195">
        <v>36</v>
      </c>
      <c r="K485" s="198" t="s">
        <v>1037</v>
      </c>
      <c r="L485" s="195" t="s">
        <v>526</v>
      </c>
      <c r="N485" s="382" t="s">
        <v>456</v>
      </c>
    </row>
    <row r="486" spans="1:14" ht="12.75" customHeight="1" x14ac:dyDescent="0.2">
      <c r="A486" s="195" t="s">
        <v>1494</v>
      </c>
      <c r="B486" s="195" t="s">
        <v>895</v>
      </c>
      <c r="C486" s="195" t="s">
        <v>1411</v>
      </c>
      <c r="D486" s="195" t="s">
        <v>1495</v>
      </c>
      <c r="E486" s="195" t="s">
        <v>1496</v>
      </c>
      <c r="F486" s="197" t="s">
        <v>525</v>
      </c>
      <c r="G486" s="197">
        <v>48</v>
      </c>
      <c r="H486" s="195">
        <v>1</v>
      </c>
      <c r="I486" s="195">
        <v>55</v>
      </c>
      <c r="J486" s="195">
        <v>80</v>
      </c>
      <c r="K486" s="198" t="s">
        <v>1037</v>
      </c>
      <c r="L486" s="195" t="s">
        <v>526</v>
      </c>
      <c r="N486" s="382" t="s">
        <v>918</v>
      </c>
    </row>
    <row r="487" spans="1:14" ht="12.75" customHeight="1" x14ac:dyDescent="0.2">
      <c r="A487" s="195" t="s">
        <v>1497</v>
      </c>
      <c r="B487" s="195" t="s">
        <v>895</v>
      </c>
      <c r="C487" s="195" t="s">
        <v>1411</v>
      </c>
      <c r="D487" s="195" t="s">
        <v>1498</v>
      </c>
      <c r="E487" s="195" t="s">
        <v>1499</v>
      </c>
      <c r="F487" s="197" t="s">
        <v>525</v>
      </c>
      <c r="G487" s="197">
        <v>48</v>
      </c>
      <c r="H487" s="195">
        <v>1</v>
      </c>
      <c r="I487" s="195">
        <v>30</v>
      </c>
      <c r="J487" s="195">
        <v>51</v>
      </c>
      <c r="K487" s="198" t="s">
        <v>1037</v>
      </c>
      <c r="L487" s="195" t="s">
        <v>526</v>
      </c>
      <c r="N487" s="382" t="s">
        <v>456</v>
      </c>
    </row>
    <row r="488" spans="1:14" ht="12.75" customHeight="1" x14ac:dyDescent="0.2">
      <c r="A488" s="195" t="s">
        <v>1500</v>
      </c>
      <c r="B488" s="195" t="s">
        <v>895</v>
      </c>
      <c r="C488" s="195" t="s">
        <v>1411</v>
      </c>
      <c r="D488" s="195" t="s">
        <v>1488</v>
      </c>
      <c r="E488" s="195" t="s">
        <v>1501</v>
      </c>
      <c r="F488" s="197" t="s">
        <v>221</v>
      </c>
      <c r="G488" s="197">
        <v>48</v>
      </c>
      <c r="H488" s="195">
        <v>1</v>
      </c>
      <c r="I488" s="195">
        <v>34</v>
      </c>
      <c r="J488" s="195">
        <v>32</v>
      </c>
      <c r="K488" s="198" t="s">
        <v>1037</v>
      </c>
      <c r="L488" s="195" t="s">
        <v>526</v>
      </c>
      <c r="N488" s="382" t="s">
        <v>456</v>
      </c>
    </row>
    <row r="489" spans="1:14" ht="12.75" customHeight="1" x14ac:dyDescent="0.2">
      <c r="A489" s="195" t="s">
        <v>1502</v>
      </c>
      <c r="B489" s="195" t="s">
        <v>895</v>
      </c>
      <c r="C489" s="195" t="s">
        <v>1411</v>
      </c>
      <c r="D489" s="195" t="s">
        <v>1488</v>
      </c>
      <c r="E489" s="195" t="s">
        <v>1503</v>
      </c>
      <c r="F489" s="197" t="s">
        <v>221</v>
      </c>
      <c r="G489" s="197">
        <v>48</v>
      </c>
      <c r="H489" s="195">
        <v>1</v>
      </c>
      <c r="I489" s="195">
        <v>34</v>
      </c>
      <c r="J489" s="195">
        <v>32</v>
      </c>
      <c r="K489" s="198" t="s">
        <v>1037</v>
      </c>
      <c r="L489" s="195" t="s">
        <v>526</v>
      </c>
      <c r="N489" s="382" t="s">
        <v>456</v>
      </c>
    </row>
    <row r="490" spans="1:14" ht="12.75" customHeight="1" x14ac:dyDescent="0.2">
      <c r="A490" s="195" t="s">
        <v>1504</v>
      </c>
      <c r="B490" s="195" t="s">
        <v>895</v>
      </c>
      <c r="C490" s="195" t="s">
        <v>1411</v>
      </c>
      <c r="D490" s="195" t="s">
        <v>1488</v>
      </c>
      <c r="E490" s="195" t="s">
        <v>1489</v>
      </c>
      <c r="F490" s="197" t="s">
        <v>525</v>
      </c>
      <c r="G490" s="197">
        <v>48</v>
      </c>
      <c r="H490" s="195">
        <v>1</v>
      </c>
      <c r="I490" s="195">
        <v>34</v>
      </c>
      <c r="J490" s="195">
        <v>50</v>
      </c>
      <c r="K490" s="198" t="s">
        <v>1037</v>
      </c>
      <c r="L490" s="195" t="s">
        <v>526</v>
      </c>
      <c r="N490" s="382" t="s">
        <v>456</v>
      </c>
    </row>
    <row r="491" spans="1:14" ht="12.75" customHeight="1" x14ac:dyDescent="0.2">
      <c r="A491" s="195" t="s">
        <v>1505</v>
      </c>
      <c r="B491" s="195" t="s">
        <v>895</v>
      </c>
      <c r="C491" s="195" t="s">
        <v>1411</v>
      </c>
      <c r="D491" s="195" t="s">
        <v>1506</v>
      </c>
      <c r="E491" s="195" t="s">
        <v>1507</v>
      </c>
      <c r="F491" s="197" t="s">
        <v>525</v>
      </c>
      <c r="G491" s="197">
        <v>48</v>
      </c>
      <c r="H491" s="195">
        <v>1</v>
      </c>
      <c r="I491" s="195"/>
      <c r="J491" s="195">
        <v>123</v>
      </c>
      <c r="K491" s="198" t="s">
        <v>1037</v>
      </c>
      <c r="L491" s="195" t="s">
        <v>526</v>
      </c>
      <c r="N491" s="382" t="s">
        <v>918</v>
      </c>
    </row>
    <row r="492" spans="1:14" ht="12.75" customHeight="1" x14ac:dyDescent="0.2">
      <c r="A492" s="195" t="s">
        <v>1508</v>
      </c>
      <c r="B492" s="195" t="s">
        <v>895</v>
      </c>
      <c r="C492" s="195" t="s">
        <v>1411</v>
      </c>
      <c r="D492" s="195" t="s">
        <v>1509</v>
      </c>
      <c r="E492" s="195" t="s">
        <v>1510</v>
      </c>
      <c r="F492" s="195" t="s">
        <v>221</v>
      </c>
      <c r="G492" s="197">
        <v>48</v>
      </c>
      <c r="H492" s="195">
        <v>1</v>
      </c>
      <c r="I492" s="195">
        <v>25</v>
      </c>
      <c r="J492" s="199">
        <v>25</v>
      </c>
      <c r="K492" s="198" t="s">
        <v>1037</v>
      </c>
      <c r="L492" s="195" t="s">
        <v>526</v>
      </c>
      <c r="N492" s="382" t="s">
        <v>456</v>
      </c>
    </row>
    <row r="493" spans="1:14" ht="12.75" customHeight="1" x14ac:dyDescent="0.2">
      <c r="A493" s="195" t="s">
        <v>1511</v>
      </c>
      <c r="B493" s="195" t="s">
        <v>895</v>
      </c>
      <c r="C493" s="195" t="s">
        <v>1411</v>
      </c>
      <c r="D493" s="195" t="s">
        <v>1509</v>
      </c>
      <c r="E493" s="195" t="s">
        <v>1512</v>
      </c>
      <c r="F493" s="195" t="s">
        <v>221</v>
      </c>
      <c r="G493" s="197">
        <v>48</v>
      </c>
      <c r="H493" s="195">
        <v>1</v>
      </c>
      <c r="I493" s="195">
        <v>25</v>
      </c>
      <c r="J493" s="199">
        <v>19</v>
      </c>
      <c r="K493" s="198" t="s">
        <v>1037</v>
      </c>
      <c r="L493" s="195" t="s">
        <v>526</v>
      </c>
      <c r="N493" s="382" t="s">
        <v>456</v>
      </c>
    </row>
    <row r="494" spans="1:14" ht="12.75" customHeight="1" x14ac:dyDescent="0.2">
      <c r="A494" s="195" t="s">
        <v>1513</v>
      </c>
      <c r="B494" s="195" t="s">
        <v>895</v>
      </c>
      <c r="C494" s="195" t="s">
        <v>1411</v>
      </c>
      <c r="D494" s="195" t="s">
        <v>1509</v>
      </c>
      <c r="E494" s="195" t="s">
        <v>1514</v>
      </c>
      <c r="F494" s="195" t="s">
        <v>221</v>
      </c>
      <c r="G494" s="197">
        <v>48</v>
      </c>
      <c r="H494" s="195">
        <v>1</v>
      </c>
      <c r="I494" s="195">
        <v>25</v>
      </c>
      <c r="J494" s="199">
        <v>20</v>
      </c>
      <c r="K494" s="198" t="s">
        <v>1037</v>
      </c>
      <c r="L494" s="195" t="s">
        <v>526</v>
      </c>
      <c r="N494" s="382" t="s">
        <v>456</v>
      </c>
    </row>
    <row r="495" spans="1:14" ht="12.75" customHeight="1" x14ac:dyDescent="0.2">
      <c r="A495" s="195" t="s">
        <v>1515</v>
      </c>
      <c r="B495" s="195" t="s">
        <v>895</v>
      </c>
      <c r="C495" s="195" t="s">
        <v>1411</v>
      </c>
      <c r="D495" s="195" t="s">
        <v>1516</v>
      </c>
      <c r="E495" s="195" t="s">
        <v>1517</v>
      </c>
      <c r="F495" s="197" t="s">
        <v>931</v>
      </c>
      <c r="G495" s="197">
        <v>48</v>
      </c>
      <c r="H495" s="195">
        <v>1</v>
      </c>
      <c r="I495" s="195">
        <v>40</v>
      </c>
      <c r="J495" s="195">
        <v>50</v>
      </c>
      <c r="K495" s="198" t="s">
        <v>1037</v>
      </c>
      <c r="L495" s="195" t="s">
        <v>526</v>
      </c>
      <c r="N495" s="382" t="s">
        <v>456</v>
      </c>
    </row>
    <row r="496" spans="1:14" ht="12.75" customHeight="1" x14ac:dyDescent="0.2">
      <c r="A496" s="195" t="s">
        <v>1518</v>
      </c>
      <c r="B496" s="195" t="s">
        <v>895</v>
      </c>
      <c r="C496" s="195" t="s">
        <v>1411</v>
      </c>
      <c r="D496" s="195" t="s">
        <v>1519</v>
      </c>
      <c r="E496" s="195" t="s">
        <v>1520</v>
      </c>
      <c r="F496" s="197" t="s">
        <v>525</v>
      </c>
      <c r="G496" s="197">
        <v>48</v>
      </c>
      <c r="H496" s="195">
        <v>1</v>
      </c>
      <c r="I496" s="195">
        <v>60</v>
      </c>
      <c r="J496" s="195">
        <v>85</v>
      </c>
      <c r="K496" s="198" t="s">
        <v>1037</v>
      </c>
      <c r="L496" s="195" t="s">
        <v>526</v>
      </c>
      <c r="N496" s="382" t="s">
        <v>918</v>
      </c>
    </row>
    <row r="497" spans="1:14" ht="12.75" customHeight="1" x14ac:dyDescent="0.2">
      <c r="A497" s="195" t="s">
        <v>1521</v>
      </c>
      <c r="B497" s="195" t="s">
        <v>895</v>
      </c>
      <c r="C497" s="195" t="s">
        <v>1411</v>
      </c>
      <c r="D497" s="195" t="s">
        <v>1522</v>
      </c>
      <c r="E497" s="195" t="s">
        <v>1523</v>
      </c>
      <c r="F497" s="197" t="s">
        <v>221</v>
      </c>
      <c r="G497" s="197">
        <v>48</v>
      </c>
      <c r="H497" s="195">
        <v>1</v>
      </c>
      <c r="I497" s="195">
        <v>39</v>
      </c>
      <c r="J497" s="195">
        <v>46</v>
      </c>
      <c r="K497" s="198" t="s">
        <v>1037</v>
      </c>
      <c r="L497" s="195" t="s">
        <v>526</v>
      </c>
      <c r="N497" s="382" t="s">
        <v>456</v>
      </c>
    </row>
    <row r="498" spans="1:14" ht="12.75" customHeight="1" x14ac:dyDescent="0.2">
      <c r="A498" s="195" t="s">
        <v>1524</v>
      </c>
      <c r="B498" s="195" t="s">
        <v>895</v>
      </c>
      <c r="C498" s="195" t="s">
        <v>1411</v>
      </c>
      <c r="D498" s="195" t="s">
        <v>1522</v>
      </c>
      <c r="E498" s="195" t="s">
        <v>1525</v>
      </c>
      <c r="F498" s="197" t="s">
        <v>221</v>
      </c>
      <c r="G498" s="197">
        <v>48</v>
      </c>
      <c r="H498" s="195">
        <v>1</v>
      </c>
      <c r="I498" s="195">
        <v>39</v>
      </c>
      <c r="J498" s="195">
        <v>37</v>
      </c>
      <c r="K498" s="198" t="s">
        <v>1037</v>
      </c>
      <c r="L498" s="195" t="s">
        <v>526</v>
      </c>
      <c r="N498" s="382" t="s">
        <v>456</v>
      </c>
    </row>
    <row r="499" spans="1:14" ht="12.75" customHeight="1" x14ac:dyDescent="0.2">
      <c r="A499" s="195" t="s">
        <v>1526</v>
      </c>
      <c r="B499" s="195" t="s">
        <v>895</v>
      </c>
      <c r="C499" s="195" t="s">
        <v>1411</v>
      </c>
      <c r="D499" s="195" t="s">
        <v>1522</v>
      </c>
      <c r="E499" s="195" t="s">
        <v>1527</v>
      </c>
      <c r="F499" s="197" t="s">
        <v>525</v>
      </c>
      <c r="G499" s="197">
        <v>48</v>
      </c>
      <c r="H499" s="195">
        <v>1</v>
      </c>
      <c r="I499" s="195">
        <v>39</v>
      </c>
      <c r="J499" s="195">
        <v>60</v>
      </c>
      <c r="K499" s="198" t="s">
        <v>1037</v>
      </c>
      <c r="L499" s="195" t="s">
        <v>526</v>
      </c>
      <c r="N499" s="382" t="s">
        <v>456</v>
      </c>
    </row>
    <row r="500" spans="1:14" ht="12.75" customHeight="1" x14ac:dyDescent="0.2">
      <c r="A500" s="195" t="s">
        <v>1528</v>
      </c>
      <c r="B500" s="195" t="s">
        <v>895</v>
      </c>
      <c r="C500" s="195" t="s">
        <v>1411</v>
      </c>
      <c r="D500" s="195" t="s">
        <v>1522</v>
      </c>
      <c r="E500" s="195" t="s">
        <v>1529</v>
      </c>
      <c r="F500" s="197" t="s">
        <v>525</v>
      </c>
      <c r="G500" s="197">
        <v>48</v>
      </c>
      <c r="H500" s="195">
        <v>1</v>
      </c>
      <c r="I500" s="195">
        <v>39</v>
      </c>
      <c r="J500" s="195">
        <v>52</v>
      </c>
      <c r="K500" s="198" t="s">
        <v>1037</v>
      </c>
      <c r="L500" s="195" t="s">
        <v>526</v>
      </c>
      <c r="N500" s="382" t="s">
        <v>456</v>
      </c>
    </row>
    <row r="501" spans="1:14" ht="12.75" customHeight="1" x14ac:dyDescent="0.2">
      <c r="A501" s="195" t="s">
        <v>1530</v>
      </c>
      <c r="B501" s="195" t="s">
        <v>895</v>
      </c>
      <c r="C501" s="195" t="s">
        <v>1411</v>
      </c>
      <c r="D501" s="195" t="s">
        <v>1516</v>
      </c>
      <c r="E501" s="195" t="s">
        <v>1531</v>
      </c>
      <c r="F501" s="197" t="s">
        <v>221</v>
      </c>
      <c r="G501" s="197">
        <v>48</v>
      </c>
      <c r="H501" s="195">
        <v>1</v>
      </c>
      <c r="I501" s="195">
        <v>40</v>
      </c>
      <c r="J501" s="195">
        <v>36</v>
      </c>
      <c r="K501" s="198" t="s">
        <v>1037</v>
      </c>
      <c r="L501" s="195" t="s">
        <v>526</v>
      </c>
      <c r="N501" s="382" t="s">
        <v>456</v>
      </c>
    </row>
    <row r="502" spans="1:14" ht="12.75" customHeight="1" x14ac:dyDescent="0.2">
      <c r="A502" s="195" t="s">
        <v>1532</v>
      </c>
      <c r="B502" s="195" t="s">
        <v>895</v>
      </c>
      <c r="C502" s="195" t="s">
        <v>1411</v>
      </c>
      <c r="D502" s="195" t="s">
        <v>1516</v>
      </c>
      <c r="E502" s="195" t="s">
        <v>1517</v>
      </c>
      <c r="F502" s="197" t="s">
        <v>525</v>
      </c>
      <c r="G502" s="197">
        <v>48</v>
      </c>
      <c r="H502" s="195">
        <v>1</v>
      </c>
      <c r="I502" s="195">
        <v>40</v>
      </c>
      <c r="J502" s="195">
        <v>57</v>
      </c>
      <c r="K502" s="198" t="s">
        <v>1037</v>
      </c>
      <c r="L502" s="195" t="s">
        <v>526</v>
      </c>
      <c r="N502" s="382" t="s">
        <v>456</v>
      </c>
    </row>
    <row r="503" spans="1:14" ht="12.75" customHeight="1" x14ac:dyDescent="0.2">
      <c r="A503" s="195" t="s">
        <v>1533</v>
      </c>
      <c r="B503" s="195" t="s">
        <v>895</v>
      </c>
      <c r="C503" s="195" t="s">
        <v>1411</v>
      </c>
      <c r="D503" s="195" t="s">
        <v>1534</v>
      </c>
      <c r="E503" s="195" t="s">
        <v>1535</v>
      </c>
      <c r="F503" s="197" t="s">
        <v>525</v>
      </c>
      <c r="G503" s="197">
        <v>48</v>
      </c>
      <c r="H503" s="195">
        <v>1</v>
      </c>
      <c r="I503" s="195">
        <v>110</v>
      </c>
      <c r="J503" s="195">
        <v>135</v>
      </c>
      <c r="K503" s="198" t="s">
        <v>1037</v>
      </c>
      <c r="L503" s="195" t="s">
        <v>526</v>
      </c>
      <c r="N503" s="382" t="s">
        <v>918</v>
      </c>
    </row>
    <row r="504" spans="1:14" ht="12.75" customHeight="1" x14ac:dyDescent="0.2">
      <c r="A504" s="195" t="s">
        <v>1536</v>
      </c>
      <c r="B504" s="195" t="s">
        <v>895</v>
      </c>
      <c r="C504" s="195" t="s">
        <v>1411</v>
      </c>
      <c r="D504" s="195" t="s">
        <v>1488</v>
      </c>
      <c r="E504" s="195" t="s">
        <v>1537</v>
      </c>
      <c r="F504" s="197" t="s">
        <v>931</v>
      </c>
      <c r="G504" s="197">
        <v>48</v>
      </c>
      <c r="H504" s="195">
        <v>2</v>
      </c>
      <c r="I504" s="195">
        <v>34</v>
      </c>
      <c r="J504" s="195">
        <v>72</v>
      </c>
      <c r="K504" s="198" t="s">
        <v>1140</v>
      </c>
      <c r="L504" s="195" t="s">
        <v>526</v>
      </c>
      <c r="N504" s="382" t="s">
        <v>456</v>
      </c>
    </row>
    <row r="505" spans="1:14" ht="12.75" customHeight="1" x14ac:dyDescent="0.2">
      <c r="A505" s="195" t="s">
        <v>1538</v>
      </c>
      <c r="B505" s="195" t="s">
        <v>895</v>
      </c>
      <c r="C505" s="195" t="s">
        <v>1411</v>
      </c>
      <c r="D505" s="195" t="s">
        <v>1488</v>
      </c>
      <c r="E505" s="195" t="s">
        <v>1539</v>
      </c>
      <c r="F505" s="197" t="s">
        <v>931</v>
      </c>
      <c r="G505" s="197">
        <v>48</v>
      </c>
      <c r="H505" s="195">
        <v>2</v>
      </c>
      <c r="I505" s="195">
        <v>34</v>
      </c>
      <c r="J505" s="195">
        <v>76</v>
      </c>
      <c r="K505" s="198" t="s">
        <v>1140</v>
      </c>
      <c r="L505" s="195" t="s">
        <v>526</v>
      </c>
      <c r="N505" s="382" t="s">
        <v>456</v>
      </c>
    </row>
    <row r="506" spans="1:14" ht="12.75" customHeight="1" x14ac:dyDescent="0.2">
      <c r="A506" s="195" t="s">
        <v>1540</v>
      </c>
      <c r="B506" s="195" t="s">
        <v>895</v>
      </c>
      <c r="C506" s="195" t="s">
        <v>1411</v>
      </c>
      <c r="D506" s="195" t="s">
        <v>1495</v>
      </c>
      <c r="E506" s="195" t="s">
        <v>1541</v>
      </c>
      <c r="F506" s="197" t="s">
        <v>525</v>
      </c>
      <c r="G506" s="197">
        <v>48</v>
      </c>
      <c r="H506" s="195">
        <v>2</v>
      </c>
      <c r="I506" s="195">
        <v>55</v>
      </c>
      <c r="J506" s="195">
        <v>135</v>
      </c>
      <c r="K506" s="198" t="s">
        <v>1140</v>
      </c>
      <c r="L506" s="195" t="s">
        <v>526</v>
      </c>
      <c r="N506" s="382" t="s">
        <v>918</v>
      </c>
    </row>
    <row r="507" spans="1:14" ht="12.75" customHeight="1" x14ac:dyDescent="0.2">
      <c r="A507" s="195" t="s">
        <v>1542</v>
      </c>
      <c r="B507" s="195" t="s">
        <v>895</v>
      </c>
      <c r="C507" s="195" t="s">
        <v>1411</v>
      </c>
      <c r="D507" s="195" t="s">
        <v>1498</v>
      </c>
      <c r="E507" s="195" t="s">
        <v>1543</v>
      </c>
      <c r="F507" s="197" t="s">
        <v>525</v>
      </c>
      <c r="G507" s="197">
        <v>48</v>
      </c>
      <c r="H507" s="195">
        <v>2</v>
      </c>
      <c r="I507" s="195">
        <v>30</v>
      </c>
      <c r="J507" s="195">
        <v>82</v>
      </c>
      <c r="K507" s="198" t="s">
        <v>1140</v>
      </c>
      <c r="L507" s="195" t="s">
        <v>526</v>
      </c>
      <c r="N507" s="382" t="s">
        <v>456</v>
      </c>
    </row>
    <row r="508" spans="1:14" ht="12.75" customHeight="1" x14ac:dyDescent="0.2">
      <c r="A508" s="195" t="s">
        <v>1544</v>
      </c>
      <c r="B508" s="195" t="s">
        <v>895</v>
      </c>
      <c r="C508" s="195" t="s">
        <v>1411</v>
      </c>
      <c r="D508" s="195" t="s">
        <v>1488</v>
      </c>
      <c r="E508" s="195" t="s">
        <v>1545</v>
      </c>
      <c r="F508" s="197" t="s">
        <v>221</v>
      </c>
      <c r="G508" s="197">
        <v>48</v>
      </c>
      <c r="H508" s="195">
        <v>2</v>
      </c>
      <c r="I508" s="195">
        <v>34</v>
      </c>
      <c r="J508" s="195">
        <v>60</v>
      </c>
      <c r="K508" s="198" t="s">
        <v>1140</v>
      </c>
      <c r="L508" s="195" t="s">
        <v>526</v>
      </c>
      <c r="N508" s="382" t="s">
        <v>456</v>
      </c>
    </row>
    <row r="509" spans="1:14" ht="12.75" customHeight="1" x14ac:dyDescent="0.2">
      <c r="A509" s="195" t="s">
        <v>1546</v>
      </c>
      <c r="B509" s="195" t="s">
        <v>895</v>
      </c>
      <c r="C509" s="195" t="s">
        <v>1411</v>
      </c>
      <c r="D509" s="195" t="s">
        <v>1488</v>
      </c>
      <c r="E509" s="195" t="s">
        <v>1537</v>
      </c>
      <c r="F509" s="197" t="s">
        <v>525</v>
      </c>
      <c r="G509" s="197">
        <v>48</v>
      </c>
      <c r="H509" s="195">
        <v>2</v>
      </c>
      <c r="I509" s="195">
        <v>34</v>
      </c>
      <c r="J509" s="195">
        <v>80</v>
      </c>
      <c r="K509" s="198" t="s">
        <v>1140</v>
      </c>
      <c r="L509" s="195" t="s">
        <v>526</v>
      </c>
      <c r="N509" s="382" t="s">
        <v>456</v>
      </c>
    </row>
    <row r="510" spans="1:14" ht="12.75" customHeight="1" x14ac:dyDescent="0.2">
      <c r="A510" s="195" t="s">
        <v>1547</v>
      </c>
      <c r="B510" s="195" t="s">
        <v>895</v>
      </c>
      <c r="C510" s="195" t="s">
        <v>1411</v>
      </c>
      <c r="D510" s="195" t="s">
        <v>1506</v>
      </c>
      <c r="E510" s="195" t="s">
        <v>1548</v>
      </c>
      <c r="F510" s="197" t="s">
        <v>525</v>
      </c>
      <c r="G510" s="197">
        <v>48</v>
      </c>
      <c r="H510" s="195">
        <v>2</v>
      </c>
      <c r="I510" s="195"/>
      <c r="J510" s="195">
        <v>210</v>
      </c>
      <c r="K510" s="198" t="s">
        <v>1140</v>
      </c>
      <c r="L510" s="195" t="s">
        <v>526</v>
      </c>
      <c r="N510" s="382" t="s">
        <v>918</v>
      </c>
    </row>
    <row r="511" spans="1:14" ht="12.75" customHeight="1" x14ac:dyDescent="0.2">
      <c r="A511" s="195" t="s">
        <v>1549</v>
      </c>
      <c r="B511" s="195" t="s">
        <v>895</v>
      </c>
      <c r="C511" s="195" t="s">
        <v>1411</v>
      </c>
      <c r="D511" s="195" t="s">
        <v>1509</v>
      </c>
      <c r="E511" s="195" t="s">
        <v>1550</v>
      </c>
      <c r="F511" s="195" t="s">
        <v>221</v>
      </c>
      <c r="G511" s="197">
        <v>48</v>
      </c>
      <c r="H511" s="195">
        <v>2</v>
      </c>
      <c r="I511" s="195">
        <v>25</v>
      </c>
      <c r="J511" s="199">
        <v>40</v>
      </c>
      <c r="K511" s="198" t="s">
        <v>1140</v>
      </c>
      <c r="L511" s="195" t="s">
        <v>526</v>
      </c>
      <c r="N511" s="382" t="s">
        <v>456</v>
      </c>
    </row>
    <row r="512" spans="1:14" ht="12.75" customHeight="1" x14ac:dyDescent="0.2">
      <c r="A512" s="195" t="s">
        <v>1551</v>
      </c>
      <c r="B512" s="195" t="s">
        <v>895</v>
      </c>
      <c r="C512" s="195" t="s">
        <v>1411</v>
      </c>
      <c r="D512" s="195" t="s">
        <v>1509</v>
      </c>
      <c r="E512" s="195" t="s">
        <v>1552</v>
      </c>
      <c r="F512" s="195" t="s">
        <v>221</v>
      </c>
      <c r="G512" s="197">
        <v>48</v>
      </c>
      <c r="H512" s="195">
        <v>2</v>
      </c>
      <c r="I512" s="195">
        <v>25</v>
      </c>
      <c r="J512" s="199">
        <v>39</v>
      </c>
      <c r="K512" s="198" t="s">
        <v>1140</v>
      </c>
      <c r="L512" s="195" t="s">
        <v>526</v>
      </c>
      <c r="N512" s="382" t="s">
        <v>456</v>
      </c>
    </row>
    <row r="513" spans="1:14" ht="12.75" customHeight="1" x14ac:dyDescent="0.2">
      <c r="A513" s="195" t="s">
        <v>1553</v>
      </c>
      <c r="B513" s="195" t="s">
        <v>895</v>
      </c>
      <c r="C513" s="195" t="s">
        <v>1411</v>
      </c>
      <c r="D513" s="195" t="s">
        <v>1516</v>
      </c>
      <c r="E513" s="195" t="s">
        <v>1554</v>
      </c>
      <c r="F513" s="197" t="s">
        <v>931</v>
      </c>
      <c r="G513" s="197">
        <v>48</v>
      </c>
      <c r="H513" s="195">
        <v>2</v>
      </c>
      <c r="I513" s="195">
        <v>40</v>
      </c>
      <c r="J513" s="195">
        <v>86</v>
      </c>
      <c r="K513" s="198" t="s">
        <v>1140</v>
      </c>
      <c r="L513" s="195" t="s">
        <v>526</v>
      </c>
      <c r="N513" s="382" t="s">
        <v>456</v>
      </c>
    </row>
    <row r="514" spans="1:14" ht="12.75" customHeight="1" x14ac:dyDescent="0.2">
      <c r="A514" s="195" t="s">
        <v>1555</v>
      </c>
      <c r="B514" s="195" t="s">
        <v>895</v>
      </c>
      <c r="C514" s="195" t="s">
        <v>1411</v>
      </c>
      <c r="D514" s="195" t="s">
        <v>1519</v>
      </c>
      <c r="E514" s="195" t="s">
        <v>1556</v>
      </c>
      <c r="F514" s="197" t="s">
        <v>525</v>
      </c>
      <c r="G514" s="197">
        <v>48</v>
      </c>
      <c r="H514" s="195">
        <v>2</v>
      </c>
      <c r="I514" s="195">
        <v>60</v>
      </c>
      <c r="J514" s="195">
        <v>145</v>
      </c>
      <c r="K514" s="198" t="s">
        <v>1140</v>
      </c>
      <c r="L514" s="195" t="s">
        <v>526</v>
      </c>
      <c r="N514" s="382" t="s">
        <v>918</v>
      </c>
    </row>
    <row r="515" spans="1:14" ht="12.75" customHeight="1" x14ac:dyDescent="0.2">
      <c r="A515" s="195" t="s">
        <v>1557</v>
      </c>
      <c r="B515" s="195" t="s">
        <v>895</v>
      </c>
      <c r="C515" s="195" t="s">
        <v>1411</v>
      </c>
      <c r="D515" s="195" t="s">
        <v>1522</v>
      </c>
      <c r="E515" s="195" t="s">
        <v>1558</v>
      </c>
      <c r="F515" s="197" t="s">
        <v>221</v>
      </c>
      <c r="G515" s="197">
        <v>48</v>
      </c>
      <c r="H515" s="195">
        <v>2</v>
      </c>
      <c r="I515" s="195">
        <v>39</v>
      </c>
      <c r="J515" s="195">
        <v>74</v>
      </c>
      <c r="K515" s="198" t="s">
        <v>1140</v>
      </c>
      <c r="L515" s="195" t="s">
        <v>526</v>
      </c>
      <c r="N515" s="382" t="s">
        <v>456</v>
      </c>
    </row>
    <row r="516" spans="1:14" ht="12.75" customHeight="1" x14ac:dyDescent="0.2">
      <c r="A516" s="195" t="s">
        <v>1559</v>
      </c>
      <c r="B516" s="195" t="s">
        <v>895</v>
      </c>
      <c r="C516" s="195" t="s">
        <v>1411</v>
      </c>
      <c r="D516" s="195" t="s">
        <v>1522</v>
      </c>
      <c r="E516" s="195" t="s">
        <v>1560</v>
      </c>
      <c r="F516" s="197" t="s">
        <v>525</v>
      </c>
      <c r="G516" s="197">
        <v>48</v>
      </c>
      <c r="H516" s="195">
        <v>2</v>
      </c>
      <c r="I516" s="195">
        <v>39</v>
      </c>
      <c r="J516" s="195">
        <v>103</v>
      </c>
      <c r="K516" s="198" t="s">
        <v>1140</v>
      </c>
      <c r="L516" s="195" t="s">
        <v>526</v>
      </c>
      <c r="N516" s="382" t="s">
        <v>456</v>
      </c>
    </row>
    <row r="517" spans="1:14" ht="12.75" customHeight="1" x14ac:dyDescent="0.2">
      <c r="A517" s="195" t="s">
        <v>1561</v>
      </c>
      <c r="B517" s="195" t="s">
        <v>895</v>
      </c>
      <c r="C517" s="195" t="s">
        <v>1411</v>
      </c>
      <c r="D517" s="195" t="s">
        <v>1377</v>
      </c>
      <c r="E517" s="195" t="s">
        <v>1562</v>
      </c>
      <c r="F517" s="197" t="s">
        <v>221</v>
      </c>
      <c r="G517" s="197">
        <v>48</v>
      </c>
      <c r="H517" s="195">
        <v>2</v>
      </c>
      <c r="I517" s="195">
        <v>28</v>
      </c>
      <c r="J517" s="195">
        <v>63</v>
      </c>
      <c r="K517" s="195" t="s">
        <v>1140</v>
      </c>
      <c r="L517" s="195" t="s">
        <v>526</v>
      </c>
      <c r="N517" s="382" t="s">
        <v>456</v>
      </c>
    </row>
    <row r="518" spans="1:14" ht="12.75" customHeight="1" x14ac:dyDescent="0.2">
      <c r="A518" s="195" t="s">
        <v>1563</v>
      </c>
      <c r="B518" s="195" t="s">
        <v>895</v>
      </c>
      <c r="C518" s="195" t="s">
        <v>1411</v>
      </c>
      <c r="D518" s="195" t="s">
        <v>1516</v>
      </c>
      <c r="E518" s="195" t="s">
        <v>1554</v>
      </c>
      <c r="F518" s="197" t="s">
        <v>525</v>
      </c>
      <c r="G518" s="197">
        <v>48</v>
      </c>
      <c r="H518" s="195">
        <v>2</v>
      </c>
      <c r="I518" s="195">
        <v>40</v>
      </c>
      <c r="J518" s="195">
        <v>94</v>
      </c>
      <c r="K518" s="198" t="s">
        <v>1140</v>
      </c>
      <c r="L518" s="195" t="s">
        <v>526</v>
      </c>
      <c r="N518" s="382" t="s">
        <v>456</v>
      </c>
    </row>
    <row r="519" spans="1:14" ht="12.75" customHeight="1" x14ac:dyDescent="0.2">
      <c r="A519" s="195" t="s">
        <v>1564</v>
      </c>
      <c r="B519" s="195" t="s">
        <v>895</v>
      </c>
      <c r="C519" s="195" t="s">
        <v>1411</v>
      </c>
      <c r="D519" s="195" t="s">
        <v>1534</v>
      </c>
      <c r="E519" s="195" t="s">
        <v>1565</v>
      </c>
      <c r="F519" s="197" t="s">
        <v>525</v>
      </c>
      <c r="G519" s="197">
        <v>48</v>
      </c>
      <c r="H519" s="195">
        <v>2</v>
      </c>
      <c r="I519" s="195">
        <v>110</v>
      </c>
      <c r="J519" s="195">
        <v>242</v>
      </c>
      <c r="K519" s="198" t="s">
        <v>1140</v>
      </c>
      <c r="L519" s="195" t="s">
        <v>526</v>
      </c>
      <c r="N519" s="382" t="s">
        <v>918</v>
      </c>
    </row>
    <row r="520" spans="1:14" ht="12.75" customHeight="1" x14ac:dyDescent="0.2">
      <c r="A520" s="195" t="s">
        <v>1566</v>
      </c>
      <c r="B520" s="195" t="s">
        <v>895</v>
      </c>
      <c r="C520" s="195" t="s">
        <v>1411</v>
      </c>
      <c r="D520" s="195" t="s">
        <v>1488</v>
      </c>
      <c r="E520" s="195" t="s">
        <v>1567</v>
      </c>
      <c r="F520" s="197" t="s">
        <v>931</v>
      </c>
      <c r="G520" s="197">
        <v>48</v>
      </c>
      <c r="H520" s="195">
        <v>3</v>
      </c>
      <c r="I520" s="195">
        <v>34</v>
      </c>
      <c r="J520" s="195">
        <v>115</v>
      </c>
      <c r="K520" s="198" t="s">
        <v>1193</v>
      </c>
      <c r="L520" s="195" t="s">
        <v>526</v>
      </c>
      <c r="N520" s="382" t="s">
        <v>456</v>
      </c>
    </row>
    <row r="521" spans="1:14" ht="12.75" customHeight="1" x14ac:dyDescent="0.2">
      <c r="A521" s="195" t="s">
        <v>1568</v>
      </c>
      <c r="B521" s="195" t="s">
        <v>895</v>
      </c>
      <c r="C521" s="195" t="s">
        <v>1411</v>
      </c>
      <c r="D521" s="195" t="s">
        <v>1495</v>
      </c>
      <c r="E521" s="195" t="s">
        <v>1569</v>
      </c>
      <c r="F521" s="197" t="s">
        <v>525</v>
      </c>
      <c r="G521" s="197">
        <v>48</v>
      </c>
      <c r="H521" s="195">
        <v>3</v>
      </c>
      <c r="I521" s="195">
        <v>55</v>
      </c>
      <c r="J521" s="195">
        <v>215</v>
      </c>
      <c r="K521" s="198" t="s">
        <v>1193</v>
      </c>
      <c r="L521" s="195" t="s">
        <v>526</v>
      </c>
      <c r="N521" s="382" t="s">
        <v>918</v>
      </c>
    </row>
    <row r="522" spans="1:14" ht="12.75" customHeight="1" x14ac:dyDescent="0.2">
      <c r="A522" s="195" t="s">
        <v>1570</v>
      </c>
      <c r="B522" s="195" t="s">
        <v>895</v>
      </c>
      <c r="C522" s="195" t="s">
        <v>1411</v>
      </c>
      <c r="D522" s="195" t="s">
        <v>1498</v>
      </c>
      <c r="E522" s="195" t="s">
        <v>1571</v>
      </c>
      <c r="F522" s="197" t="s">
        <v>525</v>
      </c>
      <c r="G522" s="197">
        <v>48</v>
      </c>
      <c r="H522" s="195">
        <v>3</v>
      </c>
      <c r="I522" s="195">
        <v>30</v>
      </c>
      <c r="J522" s="195">
        <v>133</v>
      </c>
      <c r="K522" s="198" t="s">
        <v>1193</v>
      </c>
      <c r="L522" s="195" t="s">
        <v>526</v>
      </c>
      <c r="N522" s="382" t="s">
        <v>456</v>
      </c>
    </row>
    <row r="523" spans="1:14" ht="12.75" customHeight="1" x14ac:dyDescent="0.2">
      <c r="A523" s="195" t="s">
        <v>1572</v>
      </c>
      <c r="B523" s="195" t="s">
        <v>895</v>
      </c>
      <c r="C523" s="195" t="s">
        <v>1411</v>
      </c>
      <c r="D523" s="195" t="s">
        <v>1488</v>
      </c>
      <c r="E523" s="195" t="s">
        <v>1573</v>
      </c>
      <c r="F523" s="197" t="s">
        <v>221</v>
      </c>
      <c r="G523" s="197">
        <v>48</v>
      </c>
      <c r="H523" s="195">
        <v>3</v>
      </c>
      <c r="I523" s="195">
        <v>34</v>
      </c>
      <c r="J523" s="195">
        <v>92</v>
      </c>
      <c r="K523" s="198" t="s">
        <v>1193</v>
      </c>
      <c r="L523" s="195" t="s">
        <v>526</v>
      </c>
      <c r="N523" s="382" t="s">
        <v>456</v>
      </c>
    </row>
    <row r="524" spans="1:14" ht="12.75" customHeight="1" x14ac:dyDescent="0.2">
      <c r="A524" s="195" t="s">
        <v>1574</v>
      </c>
      <c r="B524" s="195" t="s">
        <v>895</v>
      </c>
      <c r="C524" s="195" t="s">
        <v>1411</v>
      </c>
      <c r="D524" s="195" t="s">
        <v>1488</v>
      </c>
      <c r="E524" s="195" t="s">
        <v>1567</v>
      </c>
      <c r="F524" s="197" t="s">
        <v>525</v>
      </c>
      <c r="G524" s="197">
        <v>48</v>
      </c>
      <c r="H524" s="195">
        <v>3</v>
      </c>
      <c r="I524" s="195">
        <v>34</v>
      </c>
      <c r="J524" s="195">
        <v>130</v>
      </c>
      <c r="K524" s="198" t="s">
        <v>1193</v>
      </c>
      <c r="L524" s="195" t="s">
        <v>526</v>
      </c>
      <c r="N524" s="382" t="s">
        <v>456</v>
      </c>
    </row>
    <row r="525" spans="1:14" ht="12.75" customHeight="1" x14ac:dyDescent="0.2">
      <c r="A525" s="195" t="s">
        <v>1575</v>
      </c>
      <c r="B525" s="195" t="s">
        <v>895</v>
      </c>
      <c r="C525" s="195" t="s">
        <v>1411</v>
      </c>
      <c r="D525" s="195" t="s">
        <v>1506</v>
      </c>
      <c r="E525" s="195" t="s">
        <v>1576</v>
      </c>
      <c r="F525" s="197" t="s">
        <v>525</v>
      </c>
      <c r="G525" s="197">
        <v>48</v>
      </c>
      <c r="H525" s="195">
        <v>3</v>
      </c>
      <c r="I525" s="195"/>
      <c r="J525" s="195">
        <v>333</v>
      </c>
      <c r="K525" s="198" t="s">
        <v>1193</v>
      </c>
      <c r="L525" s="195" t="s">
        <v>526</v>
      </c>
      <c r="N525" s="382" t="s">
        <v>918</v>
      </c>
    </row>
    <row r="526" spans="1:14" ht="12.75" customHeight="1" x14ac:dyDescent="0.2">
      <c r="A526" s="195" t="s">
        <v>1577</v>
      </c>
      <c r="B526" s="195" t="s">
        <v>895</v>
      </c>
      <c r="C526" s="195" t="s">
        <v>1411</v>
      </c>
      <c r="D526" s="195" t="s">
        <v>1509</v>
      </c>
      <c r="E526" s="195" t="s">
        <v>1578</v>
      </c>
      <c r="F526" s="195" t="s">
        <v>221</v>
      </c>
      <c r="G526" s="197">
        <v>48</v>
      </c>
      <c r="H526" s="195">
        <v>3</v>
      </c>
      <c r="I526" s="195">
        <v>25</v>
      </c>
      <c r="J526" s="199">
        <v>60</v>
      </c>
      <c r="K526" s="198" t="s">
        <v>1193</v>
      </c>
      <c r="L526" s="195" t="s">
        <v>526</v>
      </c>
      <c r="N526" s="382" t="s">
        <v>456</v>
      </c>
    </row>
    <row r="527" spans="1:14" ht="12.75" customHeight="1" x14ac:dyDescent="0.2">
      <c r="A527" s="195" t="s">
        <v>1579</v>
      </c>
      <c r="B527" s="195" t="s">
        <v>895</v>
      </c>
      <c r="C527" s="195" t="s">
        <v>1411</v>
      </c>
      <c r="D527" s="195" t="s">
        <v>1516</v>
      </c>
      <c r="E527" s="195" t="s">
        <v>1580</v>
      </c>
      <c r="F527" s="197" t="s">
        <v>931</v>
      </c>
      <c r="G527" s="197">
        <v>48</v>
      </c>
      <c r="H527" s="195">
        <v>3</v>
      </c>
      <c r="I527" s="195">
        <v>40</v>
      </c>
      <c r="J527" s="195">
        <v>136</v>
      </c>
      <c r="K527" s="198" t="s">
        <v>1193</v>
      </c>
      <c r="L527" s="195" t="s">
        <v>526</v>
      </c>
      <c r="N527" s="382" t="s">
        <v>456</v>
      </c>
    </row>
    <row r="528" spans="1:14" ht="12.75" customHeight="1" x14ac:dyDescent="0.2">
      <c r="A528" s="195" t="s">
        <v>1581</v>
      </c>
      <c r="B528" s="195" t="s">
        <v>895</v>
      </c>
      <c r="C528" s="195" t="s">
        <v>1411</v>
      </c>
      <c r="D528" s="195" t="s">
        <v>1519</v>
      </c>
      <c r="E528" s="195" t="s">
        <v>1582</v>
      </c>
      <c r="F528" s="197" t="s">
        <v>525</v>
      </c>
      <c r="G528" s="197">
        <v>48</v>
      </c>
      <c r="H528" s="195">
        <v>3</v>
      </c>
      <c r="I528" s="195">
        <v>60</v>
      </c>
      <c r="J528" s="195">
        <v>230</v>
      </c>
      <c r="K528" s="198" t="s">
        <v>1193</v>
      </c>
      <c r="L528" s="195" t="s">
        <v>526</v>
      </c>
      <c r="N528" s="382" t="s">
        <v>918</v>
      </c>
    </row>
    <row r="529" spans="1:14" ht="12.75" customHeight="1" x14ac:dyDescent="0.2">
      <c r="A529" s="195" t="s">
        <v>1583</v>
      </c>
      <c r="B529" s="195" t="s">
        <v>895</v>
      </c>
      <c r="C529" s="195" t="s">
        <v>1411</v>
      </c>
      <c r="D529" s="195" t="s">
        <v>1516</v>
      </c>
      <c r="E529" s="195" t="s">
        <v>1584</v>
      </c>
      <c r="F529" s="197" t="s">
        <v>221</v>
      </c>
      <c r="G529" s="197">
        <v>48</v>
      </c>
      <c r="H529" s="195">
        <v>3</v>
      </c>
      <c r="I529" s="195">
        <v>39</v>
      </c>
      <c r="J529" s="195">
        <v>120</v>
      </c>
      <c r="K529" s="198" t="s">
        <v>1193</v>
      </c>
      <c r="L529" s="195" t="s">
        <v>526</v>
      </c>
      <c r="N529" s="382" t="s">
        <v>456</v>
      </c>
    </row>
    <row r="530" spans="1:14" ht="12.75" customHeight="1" x14ac:dyDescent="0.2">
      <c r="A530" s="195" t="s">
        <v>1585</v>
      </c>
      <c r="B530" s="195" t="s">
        <v>895</v>
      </c>
      <c r="C530" s="195" t="s">
        <v>1411</v>
      </c>
      <c r="D530" s="195" t="s">
        <v>1522</v>
      </c>
      <c r="E530" s="195" t="s">
        <v>1586</v>
      </c>
      <c r="F530" s="197" t="s">
        <v>525</v>
      </c>
      <c r="G530" s="197">
        <v>48</v>
      </c>
      <c r="H530" s="195">
        <v>3</v>
      </c>
      <c r="I530" s="195">
        <v>39</v>
      </c>
      <c r="J530" s="195">
        <v>162</v>
      </c>
      <c r="K530" s="198" t="s">
        <v>1193</v>
      </c>
      <c r="L530" s="195" t="s">
        <v>526</v>
      </c>
      <c r="N530" s="382" t="s">
        <v>456</v>
      </c>
    </row>
    <row r="531" spans="1:14" ht="12.75" customHeight="1" x14ac:dyDescent="0.2">
      <c r="A531" s="195" t="s">
        <v>1587</v>
      </c>
      <c r="B531" s="195" t="s">
        <v>895</v>
      </c>
      <c r="C531" s="195" t="s">
        <v>1411</v>
      </c>
      <c r="D531" s="195" t="s">
        <v>1516</v>
      </c>
      <c r="E531" s="195" t="s">
        <v>1580</v>
      </c>
      <c r="F531" s="197" t="s">
        <v>525</v>
      </c>
      <c r="G531" s="197">
        <v>48</v>
      </c>
      <c r="H531" s="195">
        <v>3</v>
      </c>
      <c r="I531" s="195">
        <v>40</v>
      </c>
      <c r="J531" s="195">
        <v>151</v>
      </c>
      <c r="K531" s="198" t="s">
        <v>1193</v>
      </c>
      <c r="L531" s="195" t="s">
        <v>526</v>
      </c>
      <c r="N531" s="382" t="s">
        <v>456</v>
      </c>
    </row>
    <row r="532" spans="1:14" ht="12.75" customHeight="1" x14ac:dyDescent="0.2">
      <c r="A532" s="195" t="s">
        <v>1588</v>
      </c>
      <c r="B532" s="195" t="s">
        <v>895</v>
      </c>
      <c r="C532" s="195" t="s">
        <v>1411</v>
      </c>
      <c r="D532" s="195" t="s">
        <v>1534</v>
      </c>
      <c r="E532" s="195" t="s">
        <v>1589</v>
      </c>
      <c r="F532" s="197" t="s">
        <v>525</v>
      </c>
      <c r="G532" s="197">
        <v>48</v>
      </c>
      <c r="H532" s="195">
        <v>3</v>
      </c>
      <c r="I532" s="195">
        <v>110</v>
      </c>
      <c r="J532" s="195">
        <v>377</v>
      </c>
      <c r="K532" s="198" t="s">
        <v>1193</v>
      </c>
      <c r="L532" s="195" t="s">
        <v>526</v>
      </c>
      <c r="N532" s="382" t="s">
        <v>918</v>
      </c>
    </row>
    <row r="533" spans="1:14" ht="12.75" customHeight="1" x14ac:dyDescent="0.2">
      <c r="A533" s="195" t="s">
        <v>1590</v>
      </c>
      <c r="B533" s="195" t="s">
        <v>895</v>
      </c>
      <c r="C533" s="195" t="s">
        <v>1411</v>
      </c>
      <c r="D533" s="195" t="s">
        <v>1488</v>
      </c>
      <c r="E533" s="195" t="s">
        <v>1591</v>
      </c>
      <c r="F533" s="197" t="s">
        <v>931</v>
      </c>
      <c r="G533" s="197">
        <v>48</v>
      </c>
      <c r="H533" s="195">
        <v>4</v>
      </c>
      <c r="I533" s="195">
        <v>34</v>
      </c>
      <c r="J533" s="195">
        <v>144</v>
      </c>
      <c r="K533" s="198" t="s">
        <v>1228</v>
      </c>
      <c r="L533" s="195" t="s">
        <v>526</v>
      </c>
      <c r="N533" s="382" t="s">
        <v>456</v>
      </c>
    </row>
    <row r="534" spans="1:14" ht="12.75" customHeight="1" x14ac:dyDescent="0.2">
      <c r="A534" s="195" t="s">
        <v>1592</v>
      </c>
      <c r="B534" s="195" t="s">
        <v>895</v>
      </c>
      <c r="C534" s="195" t="s">
        <v>1411</v>
      </c>
      <c r="D534" s="195" t="s">
        <v>1488</v>
      </c>
      <c r="E534" s="195" t="s">
        <v>1593</v>
      </c>
      <c r="F534" s="197" t="s">
        <v>931</v>
      </c>
      <c r="G534" s="197">
        <v>48</v>
      </c>
      <c r="H534" s="195">
        <v>4</v>
      </c>
      <c r="I534" s="195">
        <v>34</v>
      </c>
      <c r="J534" s="195">
        <v>152</v>
      </c>
      <c r="K534" s="198" t="s">
        <v>1228</v>
      </c>
      <c r="L534" s="195" t="s">
        <v>526</v>
      </c>
      <c r="N534" s="382" t="s">
        <v>456</v>
      </c>
    </row>
    <row r="535" spans="1:14" ht="12.75" customHeight="1" x14ac:dyDescent="0.2">
      <c r="A535" s="195" t="s">
        <v>1594</v>
      </c>
      <c r="B535" s="195" t="s">
        <v>895</v>
      </c>
      <c r="C535" s="195" t="s">
        <v>1411</v>
      </c>
      <c r="D535" s="195" t="s">
        <v>1495</v>
      </c>
      <c r="E535" s="195" t="s">
        <v>1595</v>
      </c>
      <c r="F535" s="197" t="s">
        <v>525</v>
      </c>
      <c r="G535" s="197">
        <v>48</v>
      </c>
      <c r="H535" s="195">
        <v>4</v>
      </c>
      <c r="I535" s="195">
        <v>55</v>
      </c>
      <c r="J535" s="195">
        <v>270</v>
      </c>
      <c r="K535" s="198" t="s">
        <v>1228</v>
      </c>
      <c r="L535" s="195" t="s">
        <v>526</v>
      </c>
      <c r="N535" s="382" t="s">
        <v>918</v>
      </c>
    </row>
    <row r="536" spans="1:14" ht="12.75" customHeight="1" x14ac:dyDescent="0.2">
      <c r="A536" s="195" t="s">
        <v>1596</v>
      </c>
      <c r="B536" s="195" t="s">
        <v>895</v>
      </c>
      <c r="C536" s="195" t="s">
        <v>1411</v>
      </c>
      <c r="D536" s="195" t="s">
        <v>1498</v>
      </c>
      <c r="E536" s="195" t="s">
        <v>1597</v>
      </c>
      <c r="F536" s="197" t="s">
        <v>525</v>
      </c>
      <c r="G536" s="197">
        <v>48</v>
      </c>
      <c r="H536" s="195">
        <v>4</v>
      </c>
      <c r="I536" s="195">
        <v>30</v>
      </c>
      <c r="J536" s="195">
        <v>164</v>
      </c>
      <c r="K536" s="198" t="s">
        <v>1228</v>
      </c>
      <c r="L536" s="195" t="s">
        <v>526</v>
      </c>
      <c r="N536" s="382" t="s">
        <v>456</v>
      </c>
    </row>
    <row r="537" spans="1:14" ht="12.75" customHeight="1" x14ac:dyDescent="0.2">
      <c r="A537" s="195" t="s">
        <v>1598</v>
      </c>
      <c r="B537" s="195" t="s">
        <v>895</v>
      </c>
      <c r="C537" s="195" t="s">
        <v>1411</v>
      </c>
      <c r="D537" s="195" t="s">
        <v>1488</v>
      </c>
      <c r="E537" s="195" t="s">
        <v>1599</v>
      </c>
      <c r="F537" s="197" t="s">
        <v>221</v>
      </c>
      <c r="G537" s="197">
        <v>48</v>
      </c>
      <c r="H537" s="195">
        <v>4</v>
      </c>
      <c r="I537" s="195">
        <v>34</v>
      </c>
      <c r="J537" s="195">
        <v>120</v>
      </c>
      <c r="K537" s="198" t="s">
        <v>1228</v>
      </c>
      <c r="L537" s="195" t="s">
        <v>526</v>
      </c>
      <c r="N537" s="382" t="s">
        <v>456</v>
      </c>
    </row>
    <row r="538" spans="1:14" ht="12.75" customHeight="1" x14ac:dyDescent="0.2">
      <c r="A538" s="195" t="s">
        <v>1600</v>
      </c>
      <c r="B538" s="195" t="s">
        <v>895</v>
      </c>
      <c r="C538" s="195" t="s">
        <v>1411</v>
      </c>
      <c r="D538" s="195" t="s">
        <v>1488</v>
      </c>
      <c r="E538" s="195" t="s">
        <v>1591</v>
      </c>
      <c r="F538" s="197" t="s">
        <v>525</v>
      </c>
      <c r="G538" s="197">
        <v>48</v>
      </c>
      <c r="H538" s="195">
        <v>4</v>
      </c>
      <c r="I538" s="195">
        <v>34</v>
      </c>
      <c r="J538" s="195">
        <v>160</v>
      </c>
      <c r="K538" s="198" t="s">
        <v>1228</v>
      </c>
      <c r="L538" s="195" t="s">
        <v>526</v>
      </c>
      <c r="N538" s="382" t="s">
        <v>456</v>
      </c>
    </row>
    <row r="539" spans="1:14" ht="12.75" customHeight="1" x14ac:dyDescent="0.2">
      <c r="A539" s="195" t="s">
        <v>1601</v>
      </c>
      <c r="B539" s="195" t="s">
        <v>895</v>
      </c>
      <c r="C539" s="195" t="s">
        <v>1411</v>
      </c>
      <c r="D539" s="195" t="s">
        <v>1506</v>
      </c>
      <c r="E539" s="195" t="s">
        <v>1602</v>
      </c>
      <c r="F539" s="197" t="s">
        <v>525</v>
      </c>
      <c r="G539" s="197">
        <v>48</v>
      </c>
      <c r="H539" s="195">
        <v>4</v>
      </c>
      <c r="I539" s="195"/>
      <c r="J539" s="195">
        <v>420</v>
      </c>
      <c r="K539" s="198" t="s">
        <v>1228</v>
      </c>
      <c r="L539" s="195" t="s">
        <v>526</v>
      </c>
      <c r="N539" s="382" t="s">
        <v>918</v>
      </c>
    </row>
    <row r="540" spans="1:14" ht="12.75" customHeight="1" x14ac:dyDescent="0.2">
      <c r="A540" s="195" t="s">
        <v>1603</v>
      </c>
      <c r="B540" s="195" t="s">
        <v>895</v>
      </c>
      <c r="C540" s="195" t="s">
        <v>1411</v>
      </c>
      <c r="D540" s="195" t="s">
        <v>1509</v>
      </c>
      <c r="E540" s="195" t="s">
        <v>1604</v>
      </c>
      <c r="F540" s="195" t="s">
        <v>221</v>
      </c>
      <c r="G540" s="197">
        <v>48</v>
      </c>
      <c r="H540" s="195">
        <v>4</v>
      </c>
      <c r="I540" s="195">
        <v>25</v>
      </c>
      <c r="J540" s="199">
        <v>80</v>
      </c>
      <c r="K540" s="198" t="s">
        <v>1228</v>
      </c>
      <c r="L540" s="195" t="s">
        <v>526</v>
      </c>
      <c r="N540" s="382" t="s">
        <v>456</v>
      </c>
    </row>
    <row r="541" spans="1:14" ht="12.75" customHeight="1" x14ac:dyDescent="0.2">
      <c r="A541" s="195" t="s">
        <v>1605</v>
      </c>
      <c r="B541" s="195" t="s">
        <v>895</v>
      </c>
      <c r="C541" s="195" t="s">
        <v>1411</v>
      </c>
      <c r="D541" s="195" t="s">
        <v>1516</v>
      </c>
      <c r="E541" s="195" t="s">
        <v>1606</v>
      </c>
      <c r="F541" s="197" t="s">
        <v>931</v>
      </c>
      <c r="G541" s="197">
        <v>48</v>
      </c>
      <c r="H541" s="195">
        <v>4</v>
      </c>
      <c r="I541" s="195">
        <v>40</v>
      </c>
      <c r="J541" s="195">
        <v>172</v>
      </c>
      <c r="K541" s="198" t="s">
        <v>1228</v>
      </c>
      <c r="L541" s="195" t="s">
        <v>526</v>
      </c>
      <c r="N541" s="382" t="s">
        <v>456</v>
      </c>
    </row>
    <row r="542" spans="1:14" ht="12.75" customHeight="1" x14ac:dyDescent="0.2">
      <c r="A542" s="195" t="s">
        <v>1607</v>
      </c>
      <c r="B542" s="195" t="s">
        <v>895</v>
      </c>
      <c r="C542" s="195" t="s">
        <v>1411</v>
      </c>
      <c r="D542" s="195" t="s">
        <v>1519</v>
      </c>
      <c r="E542" s="195" t="s">
        <v>1608</v>
      </c>
      <c r="F542" s="197" t="s">
        <v>525</v>
      </c>
      <c r="G542" s="197">
        <v>48</v>
      </c>
      <c r="H542" s="195">
        <v>4</v>
      </c>
      <c r="I542" s="195">
        <v>60</v>
      </c>
      <c r="J542" s="195">
        <v>290</v>
      </c>
      <c r="K542" s="198" t="s">
        <v>1228</v>
      </c>
      <c r="L542" s="195" t="s">
        <v>526</v>
      </c>
      <c r="N542" s="382" t="s">
        <v>918</v>
      </c>
    </row>
    <row r="543" spans="1:14" ht="12.75" customHeight="1" x14ac:dyDescent="0.2">
      <c r="A543" s="195" t="s">
        <v>1609</v>
      </c>
      <c r="B543" s="195" t="s">
        <v>895</v>
      </c>
      <c r="C543" s="195" t="s">
        <v>1411</v>
      </c>
      <c r="D543" s="195" t="s">
        <v>1522</v>
      </c>
      <c r="E543" s="195" t="s">
        <v>1610</v>
      </c>
      <c r="F543" s="197" t="s">
        <v>221</v>
      </c>
      <c r="G543" s="197">
        <v>48</v>
      </c>
      <c r="H543" s="195">
        <v>4</v>
      </c>
      <c r="I543" s="195">
        <v>39</v>
      </c>
      <c r="J543" s="195">
        <v>148</v>
      </c>
      <c r="K543" s="198" t="s">
        <v>1228</v>
      </c>
      <c r="L543" s="195" t="s">
        <v>526</v>
      </c>
      <c r="N543" s="382" t="s">
        <v>456</v>
      </c>
    </row>
    <row r="544" spans="1:14" ht="12.75" customHeight="1" x14ac:dyDescent="0.2">
      <c r="A544" s="195" t="s">
        <v>1611</v>
      </c>
      <c r="B544" s="195" t="s">
        <v>895</v>
      </c>
      <c r="C544" s="195" t="s">
        <v>1411</v>
      </c>
      <c r="D544" s="195" t="s">
        <v>1522</v>
      </c>
      <c r="E544" s="195" t="s">
        <v>1612</v>
      </c>
      <c r="F544" s="197" t="s">
        <v>525</v>
      </c>
      <c r="G544" s="197">
        <v>48</v>
      </c>
      <c r="H544" s="195">
        <v>4</v>
      </c>
      <c r="I544" s="195">
        <v>39</v>
      </c>
      <c r="J544" s="195">
        <v>204</v>
      </c>
      <c r="K544" s="198" t="s">
        <v>1228</v>
      </c>
      <c r="L544" s="195" t="s">
        <v>526</v>
      </c>
      <c r="N544" s="382" t="s">
        <v>456</v>
      </c>
    </row>
    <row r="545" spans="1:14" ht="12.75" customHeight="1" x14ac:dyDescent="0.2">
      <c r="A545" s="195" t="s">
        <v>1613</v>
      </c>
      <c r="B545" s="195" t="s">
        <v>895</v>
      </c>
      <c r="C545" s="195" t="s">
        <v>1411</v>
      </c>
      <c r="D545" s="195" t="s">
        <v>1516</v>
      </c>
      <c r="E545" s="195" t="s">
        <v>1606</v>
      </c>
      <c r="F545" s="197" t="s">
        <v>525</v>
      </c>
      <c r="G545" s="197">
        <v>48</v>
      </c>
      <c r="H545" s="195">
        <v>4</v>
      </c>
      <c r="I545" s="195">
        <v>40</v>
      </c>
      <c r="J545" s="195">
        <v>188</v>
      </c>
      <c r="K545" s="198" t="s">
        <v>1228</v>
      </c>
      <c r="L545" s="195" t="s">
        <v>526</v>
      </c>
      <c r="N545" s="382" t="s">
        <v>456</v>
      </c>
    </row>
    <row r="546" spans="1:14" ht="12.75" customHeight="1" x14ac:dyDescent="0.2">
      <c r="A546" s="195" t="s">
        <v>1614</v>
      </c>
      <c r="B546" s="195" t="s">
        <v>895</v>
      </c>
      <c r="C546" s="195" t="s">
        <v>1411</v>
      </c>
      <c r="D546" s="195" t="s">
        <v>1534</v>
      </c>
      <c r="E546" s="195" t="s">
        <v>1615</v>
      </c>
      <c r="F546" s="197" t="s">
        <v>525</v>
      </c>
      <c r="G546" s="197">
        <v>48</v>
      </c>
      <c r="H546" s="195">
        <v>4</v>
      </c>
      <c r="I546" s="195">
        <v>110</v>
      </c>
      <c r="J546" s="195">
        <v>484</v>
      </c>
      <c r="K546" s="198" t="s">
        <v>1228</v>
      </c>
      <c r="L546" s="195" t="s">
        <v>526</v>
      </c>
      <c r="N546" s="382" t="s">
        <v>918</v>
      </c>
    </row>
    <row r="547" spans="1:14" ht="12.75" customHeight="1" x14ac:dyDescent="0.2">
      <c r="A547" s="195" t="s">
        <v>1616</v>
      </c>
      <c r="B547" s="195" t="s">
        <v>895</v>
      </c>
      <c r="C547" s="195" t="s">
        <v>1411</v>
      </c>
      <c r="D547" s="195" t="s">
        <v>1488</v>
      </c>
      <c r="E547" s="195" t="s">
        <v>1617</v>
      </c>
      <c r="F547" s="197" t="s">
        <v>931</v>
      </c>
      <c r="G547" s="197">
        <v>48</v>
      </c>
      <c r="H547" s="195">
        <v>6</v>
      </c>
      <c r="I547" s="195">
        <v>34</v>
      </c>
      <c r="J547" s="195">
        <v>216</v>
      </c>
      <c r="K547" s="198" t="s">
        <v>1263</v>
      </c>
      <c r="L547" s="195" t="s">
        <v>526</v>
      </c>
      <c r="N547" s="382" t="s">
        <v>456</v>
      </c>
    </row>
    <row r="548" spans="1:14" ht="12.75" customHeight="1" x14ac:dyDescent="0.2">
      <c r="A548" s="195" t="s">
        <v>1618</v>
      </c>
      <c r="B548" s="195" t="s">
        <v>895</v>
      </c>
      <c r="C548" s="195" t="s">
        <v>1411</v>
      </c>
      <c r="D548" s="195" t="s">
        <v>1488</v>
      </c>
      <c r="E548" s="195" t="s">
        <v>1617</v>
      </c>
      <c r="F548" s="197" t="s">
        <v>221</v>
      </c>
      <c r="G548" s="197">
        <v>48</v>
      </c>
      <c r="H548" s="195">
        <v>6</v>
      </c>
      <c r="I548" s="195">
        <v>34</v>
      </c>
      <c r="J548" s="195">
        <v>186</v>
      </c>
      <c r="K548" s="198" t="s">
        <v>1263</v>
      </c>
      <c r="L548" s="195" t="s">
        <v>526</v>
      </c>
      <c r="N548" s="382" t="s">
        <v>456</v>
      </c>
    </row>
    <row r="549" spans="1:14" ht="12.75" customHeight="1" x14ac:dyDescent="0.2">
      <c r="A549" s="195" t="s">
        <v>1619</v>
      </c>
      <c r="B549" s="195" t="s">
        <v>895</v>
      </c>
      <c r="C549" s="195" t="s">
        <v>1411</v>
      </c>
      <c r="D549" s="195" t="s">
        <v>1488</v>
      </c>
      <c r="E549" s="195" t="s">
        <v>1617</v>
      </c>
      <c r="F549" s="197" t="s">
        <v>525</v>
      </c>
      <c r="G549" s="197">
        <v>48</v>
      </c>
      <c r="H549" s="195">
        <v>6</v>
      </c>
      <c r="I549" s="195">
        <v>34</v>
      </c>
      <c r="J549" s="195">
        <v>236</v>
      </c>
      <c r="K549" s="198" t="s">
        <v>1263</v>
      </c>
      <c r="L549" s="195" t="s">
        <v>526</v>
      </c>
      <c r="N549" s="382" t="s">
        <v>456</v>
      </c>
    </row>
    <row r="550" spans="1:14" ht="12.75" customHeight="1" x14ac:dyDescent="0.2">
      <c r="A550" s="195" t="s">
        <v>1620</v>
      </c>
      <c r="B550" s="195" t="s">
        <v>895</v>
      </c>
      <c r="C550" s="195" t="s">
        <v>1411</v>
      </c>
      <c r="D550" s="195" t="s">
        <v>1495</v>
      </c>
      <c r="E550" s="195" t="s">
        <v>1621</v>
      </c>
      <c r="F550" s="195" t="s">
        <v>525</v>
      </c>
      <c r="G550" s="197">
        <v>48</v>
      </c>
      <c r="H550" s="195">
        <v>6</v>
      </c>
      <c r="I550" s="195">
        <v>55</v>
      </c>
      <c r="J550" s="195">
        <v>405</v>
      </c>
      <c r="K550" s="198" t="s">
        <v>1263</v>
      </c>
      <c r="L550" s="195" t="s">
        <v>526</v>
      </c>
      <c r="N550" s="382" t="s">
        <v>918</v>
      </c>
    </row>
    <row r="551" spans="1:14" ht="12.75" customHeight="1" x14ac:dyDescent="0.2">
      <c r="A551" s="195" t="s">
        <v>1622</v>
      </c>
      <c r="B551" s="195" t="s">
        <v>895</v>
      </c>
      <c r="C551" s="195" t="s">
        <v>1411</v>
      </c>
      <c r="D551" s="195" t="s">
        <v>1516</v>
      </c>
      <c r="E551" s="195" t="s">
        <v>1623</v>
      </c>
      <c r="F551" s="197" t="s">
        <v>931</v>
      </c>
      <c r="G551" s="197">
        <v>48</v>
      </c>
      <c r="H551" s="195">
        <v>6</v>
      </c>
      <c r="I551" s="195">
        <v>40</v>
      </c>
      <c r="J551" s="195">
        <v>258</v>
      </c>
      <c r="K551" s="198" t="s">
        <v>1263</v>
      </c>
      <c r="L551" s="195" t="s">
        <v>526</v>
      </c>
      <c r="N551" s="382" t="s">
        <v>456</v>
      </c>
    </row>
    <row r="552" spans="1:14" ht="12.75" customHeight="1" x14ac:dyDescent="0.2">
      <c r="A552" s="195" t="s">
        <v>1624</v>
      </c>
      <c r="B552" s="195" t="s">
        <v>895</v>
      </c>
      <c r="C552" s="195" t="s">
        <v>1411</v>
      </c>
      <c r="D552" s="195" t="s">
        <v>1516</v>
      </c>
      <c r="E552" s="195" t="s">
        <v>1623</v>
      </c>
      <c r="F552" s="197" t="s">
        <v>525</v>
      </c>
      <c r="G552" s="197">
        <v>48</v>
      </c>
      <c r="H552" s="195">
        <v>6</v>
      </c>
      <c r="I552" s="195">
        <v>40</v>
      </c>
      <c r="J552" s="195">
        <v>282</v>
      </c>
      <c r="K552" s="198" t="s">
        <v>1263</v>
      </c>
      <c r="L552" s="195" t="s">
        <v>526</v>
      </c>
      <c r="N552" s="382" t="s">
        <v>456</v>
      </c>
    </row>
    <row r="553" spans="1:14" ht="12.75" customHeight="1" x14ac:dyDescent="0.2">
      <c r="A553" s="195" t="s">
        <v>1625</v>
      </c>
      <c r="B553" s="195" t="s">
        <v>895</v>
      </c>
      <c r="C553" s="195" t="s">
        <v>1411</v>
      </c>
      <c r="D553" s="195" t="s">
        <v>1488</v>
      </c>
      <c r="E553" s="195" t="s">
        <v>1626</v>
      </c>
      <c r="F553" s="197" t="s">
        <v>931</v>
      </c>
      <c r="G553" s="197">
        <v>48</v>
      </c>
      <c r="H553" s="195">
        <v>8</v>
      </c>
      <c r="I553" s="195">
        <v>34</v>
      </c>
      <c r="J553" s="195">
        <v>288</v>
      </c>
      <c r="K553" s="198" t="s">
        <v>1277</v>
      </c>
      <c r="L553" s="195" t="s">
        <v>526</v>
      </c>
      <c r="N553" s="382" t="s">
        <v>456</v>
      </c>
    </row>
    <row r="554" spans="1:14" ht="12.75" customHeight="1" x14ac:dyDescent="0.2">
      <c r="A554" s="195" t="s">
        <v>1627</v>
      </c>
      <c r="B554" s="195" t="s">
        <v>895</v>
      </c>
      <c r="C554" s="195" t="s">
        <v>1411</v>
      </c>
      <c r="D554" s="195" t="s">
        <v>1495</v>
      </c>
      <c r="E554" s="195" t="s">
        <v>1628</v>
      </c>
      <c r="F554" s="195" t="s">
        <v>525</v>
      </c>
      <c r="G554" s="197">
        <v>48</v>
      </c>
      <c r="H554" s="195">
        <v>8</v>
      </c>
      <c r="I554" s="195">
        <v>55</v>
      </c>
      <c r="J554" s="195">
        <v>540</v>
      </c>
      <c r="K554" s="198" t="s">
        <v>1277</v>
      </c>
      <c r="L554" s="195" t="s">
        <v>526</v>
      </c>
      <c r="N554" s="382" t="s">
        <v>918</v>
      </c>
    </row>
    <row r="555" spans="1:14" ht="12.75" customHeight="1" x14ac:dyDescent="0.2">
      <c r="A555" s="195" t="s">
        <v>1629</v>
      </c>
      <c r="B555" s="195" t="s">
        <v>895</v>
      </c>
      <c r="C555" s="195" t="s">
        <v>896</v>
      </c>
      <c r="D555" s="195" t="s">
        <v>1630</v>
      </c>
      <c r="E555" s="195" t="s">
        <v>1631</v>
      </c>
      <c r="F555" s="197" t="s">
        <v>221</v>
      </c>
      <c r="G555" s="197">
        <v>60</v>
      </c>
      <c r="H555" s="195">
        <v>1</v>
      </c>
      <c r="I555" s="195">
        <v>55</v>
      </c>
      <c r="J555" s="195">
        <v>59</v>
      </c>
      <c r="K555" s="195" t="s">
        <v>1632</v>
      </c>
      <c r="L555" s="195" t="s">
        <v>526</v>
      </c>
      <c r="N555" s="382" t="s">
        <v>456</v>
      </c>
    </row>
    <row r="556" spans="1:14" ht="12.75" customHeight="1" x14ac:dyDescent="0.2">
      <c r="A556" s="195" t="s">
        <v>1633</v>
      </c>
      <c r="B556" s="195" t="s">
        <v>895</v>
      </c>
      <c r="C556" s="195" t="s">
        <v>1411</v>
      </c>
      <c r="D556" s="195" t="s">
        <v>1634</v>
      </c>
      <c r="E556" s="195" t="s">
        <v>1635</v>
      </c>
      <c r="F556" s="197" t="s">
        <v>931</v>
      </c>
      <c r="G556" s="197">
        <v>60</v>
      </c>
      <c r="H556" s="195">
        <v>1</v>
      </c>
      <c r="I556" s="195">
        <v>75</v>
      </c>
      <c r="J556" s="195">
        <v>88</v>
      </c>
      <c r="K556" s="198" t="s">
        <v>1289</v>
      </c>
      <c r="L556" s="195" t="s">
        <v>526</v>
      </c>
      <c r="N556" s="382" t="s">
        <v>456</v>
      </c>
    </row>
    <row r="557" spans="1:14" ht="12.75" customHeight="1" x14ac:dyDescent="0.2">
      <c r="A557" s="195" t="s">
        <v>1636</v>
      </c>
      <c r="B557" s="195" t="s">
        <v>895</v>
      </c>
      <c r="C557" s="195" t="s">
        <v>1411</v>
      </c>
      <c r="D557" s="195" t="s">
        <v>1634</v>
      </c>
      <c r="E557" s="195" t="s">
        <v>1635</v>
      </c>
      <c r="F557" s="197" t="s">
        <v>221</v>
      </c>
      <c r="G557" s="197">
        <v>60</v>
      </c>
      <c r="H557" s="195">
        <v>1</v>
      </c>
      <c r="I557" s="195">
        <v>75</v>
      </c>
      <c r="J557" s="195">
        <v>69</v>
      </c>
      <c r="K557" s="198" t="s">
        <v>1289</v>
      </c>
      <c r="L557" s="195" t="s">
        <v>526</v>
      </c>
      <c r="N557" s="382" t="s">
        <v>456</v>
      </c>
    </row>
    <row r="558" spans="1:14" ht="12.75" customHeight="1" x14ac:dyDescent="0.2">
      <c r="A558" s="195" t="s">
        <v>1637</v>
      </c>
      <c r="B558" s="195" t="s">
        <v>895</v>
      </c>
      <c r="C558" s="195" t="s">
        <v>1411</v>
      </c>
      <c r="D558" s="195" t="s">
        <v>1634</v>
      </c>
      <c r="E558" s="195" t="s">
        <v>1635</v>
      </c>
      <c r="F558" s="197" t="s">
        <v>525</v>
      </c>
      <c r="G558" s="197">
        <v>60</v>
      </c>
      <c r="H558" s="195">
        <v>1</v>
      </c>
      <c r="I558" s="195">
        <v>75</v>
      </c>
      <c r="J558" s="195">
        <v>92</v>
      </c>
      <c r="K558" s="198" t="s">
        <v>1289</v>
      </c>
      <c r="L558" s="195" t="s">
        <v>526</v>
      </c>
      <c r="N558" s="382" t="s">
        <v>456</v>
      </c>
    </row>
    <row r="559" spans="1:14" ht="12.75" customHeight="1" x14ac:dyDescent="0.2">
      <c r="A559" s="195" t="s">
        <v>1638</v>
      </c>
      <c r="B559" s="195" t="s">
        <v>895</v>
      </c>
      <c r="C559" s="195" t="s">
        <v>1411</v>
      </c>
      <c r="D559" s="195" t="s">
        <v>1639</v>
      </c>
      <c r="E559" s="195" t="s">
        <v>1640</v>
      </c>
      <c r="F559" s="197" t="s">
        <v>221</v>
      </c>
      <c r="G559" s="197">
        <v>60</v>
      </c>
      <c r="H559" s="195">
        <v>1</v>
      </c>
      <c r="I559" s="195">
        <v>50</v>
      </c>
      <c r="J559" s="195">
        <v>44</v>
      </c>
      <c r="K559" s="198" t="s">
        <v>1289</v>
      </c>
      <c r="L559" s="195" t="s">
        <v>526</v>
      </c>
      <c r="N559" s="382" t="s">
        <v>456</v>
      </c>
    </row>
    <row r="560" spans="1:14" ht="12.75" customHeight="1" x14ac:dyDescent="0.2">
      <c r="A560" s="195" t="s">
        <v>1641</v>
      </c>
      <c r="B560" s="195" t="s">
        <v>895</v>
      </c>
      <c r="C560" s="195" t="s">
        <v>1411</v>
      </c>
      <c r="D560" s="195" t="s">
        <v>1639</v>
      </c>
      <c r="E560" s="195" t="s">
        <v>1640</v>
      </c>
      <c r="F560" s="197" t="s">
        <v>525</v>
      </c>
      <c r="G560" s="197">
        <v>60</v>
      </c>
      <c r="H560" s="195">
        <v>1</v>
      </c>
      <c r="I560" s="195">
        <v>50</v>
      </c>
      <c r="J560" s="195">
        <v>63</v>
      </c>
      <c r="K560" s="198" t="s">
        <v>1289</v>
      </c>
      <c r="L560" s="195" t="s">
        <v>526</v>
      </c>
      <c r="N560" s="382" t="s">
        <v>456</v>
      </c>
    </row>
    <row r="561" spans="1:14" ht="12.75" customHeight="1" x14ac:dyDescent="0.2">
      <c r="A561" s="195" t="s">
        <v>1642</v>
      </c>
      <c r="B561" s="195" t="s">
        <v>895</v>
      </c>
      <c r="C561" s="195" t="s">
        <v>1411</v>
      </c>
      <c r="D561" s="195" t="s">
        <v>1643</v>
      </c>
      <c r="E561" s="195" t="s">
        <v>1644</v>
      </c>
      <c r="F561" s="197" t="s">
        <v>525</v>
      </c>
      <c r="G561" s="197">
        <v>60</v>
      </c>
      <c r="H561" s="195">
        <v>1</v>
      </c>
      <c r="I561" s="195">
        <v>135</v>
      </c>
      <c r="J561" s="195">
        <v>165</v>
      </c>
      <c r="K561" s="198" t="s">
        <v>1289</v>
      </c>
      <c r="L561" s="195" t="s">
        <v>526</v>
      </c>
      <c r="N561" s="382" t="s">
        <v>456</v>
      </c>
    </row>
    <row r="562" spans="1:14" ht="12.75" customHeight="1" x14ac:dyDescent="0.2">
      <c r="A562" s="195" t="s">
        <v>1645</v>
      </c>
      <c r="B562" s="195" t="s">
        <v>895</v>
      </c>
      <c r="C562" s="195" t="s">
        <v>896</v>
      </c>
      <c r="D562" s="195" t="s">
        <v>1630</v>
      </c>
      <c r="E562" s="195" t="s">
        <v>1646</v>
      </c>
      <c r="F562" s="197" t="s">
        <v>221</v>
      </c>
      <c r="G562" s="197">
        <v>60</v>
      </c>
      <c r="H562" s="195">
        <v>2</v>
      </c>
      <c r="I562" s="195">
        <v>55</v>
      </c>
      <c r="J562" s="195">
        <v>123</v>
      </c>
      <c r="K562" s="195" t="s">
        <v>1632</v>
      </c>
      <c r="L562" s="195" t="s">
        <v>526</v>
      </c>
      <c r="N562" s="382" t="s">
        <v>456</v>
      </c>
    </row>
    <row r="563" spans="1:14" ht="12.75" customHeight="1" x14ac:dyDescent="0.2">
      <c r="A563" s="195" t="s">
        <v>1647</v>
      </c>
      <c r="B563" s="195" t="s">
        <v>895</v>
      </c>
      <c r="C563" s="195" t="s">
        <v>1411</v>
      </c>
      <c r="D563" s="195" t="s">
        <v>1634</v>
      </c>
      <c r="E563" s="195" t="s">
        <v>1648</v>
      </c>
      <c r="F563" s="197" t="s">
        <v>931</v>
      </c>
      <c r="G563" s="197">
        <v>60</v>
      </c>
      <c r="H563" s="195">
        <v>2</v>
      </c>
      <c r="I563" s="195">
        <v>75</v>
      </c>
      <c r="J563" s="195">
        <v>176</v>
      </c>
      <c r="K563" s="198" t="s">
        <v>1300</v>
      </c>
      <c r="L563" s="195" t="s">
        <v>526</v>
      </c>
      <c r="N563" s="382" t="s">
        <v>456</v>
      </c>
    </row>
    <row r="564" spans="1:14" ht="12.75" customHeight="1" x14ac:dyDescent="0.2">
      <c r="A564" s="195" t="s">
        <v>1649</v>
      </c>
      <c r="B564" s="195" t="s">
        <v>895</v>
      </c>
      <c r="C564" s="195" t="s">
        <v>1411</v>
      </c>
      <c r="D564" s="195" t="s">
        <v>1634</v>
      </c>
      <c r="E564" s="195" t="s">
        <v>1648</v>
      </c>
      <c r="F564" s="197" t="s">
        <v>221</v>
      </c>
      <c r="G564" s="197">
        <v>60</v>
      </c>
      <c r="H564" s="195">
        <v>2</v>
      </c>
      <c r="I564" s="195">
        <v>75</v>
      </c>
      <c r="J564" s="195">
        <v>138</v>
      </c>
      <c r="K564" s="198" t="s">
        <v>1300</v>
      </c>
      <c r="L564" s="195" t="s">
        <v>526</v>
      </c>
      <c r="N564" s="382" t="s">
        <v>456</v>
      </c>
    </row>
    <row r="565" spans="1:14" ht="12.75" customHeight="1" x14ac:dyDescent="0.2">
      <c r="A565" s="195" t="s">
        <v>1650</v>
      </c>
      <c r="B565" s="195" t="s">
        <v>895</v>
      </c>
      <c r="C565" s="195" t="s">
        <v>1411</v>
      </c>
      <c r="D565" s="195" t="s">
        <v>1634</v>
      </c>
      <c r="E565" s="195" t="s">
        <v>1648</v>
      </c>
      <c r="F565" s="197" t="s">
        <v>525</v>
      </c>
      <c r="G565" s="197">
        <v>60</v>
      </c>
      <c r="H565" s="195">
        <v>2</v>
      </c>
      <c r="I565" s="195">
        <v>75</v>
      </c>
      <c r="J565" s="195">
        <v>168</v>
      </c>
      <c r="K565" s="198" t="s">
        <v>1300</v>
      </c>
      <c r="L565" s="195" t="s">
        <v>526</v>
      </c>
      <c r="N565" s="382" t="s">
        <v>456</v>
      </c>
    </row>
    <row r="566" spans="1:14" ht="12.75" customHeight="1" x14ac:dyDescent="0.2">
      <c r="A566" s="195" t="s">
        <v>1651</v>
      </c>
      <c r="B566" s="195" t="s">
        <v>895</v>
      </c>
      <c r="C566" s="195" t="s">
        <v>1411</v>
      </c>
      <c r="D566" s="195" t="s">
        <v>1639</v>
      </c>
      <c r="E566" s="195" t="s">
        <v>1652</v>
      </c>
      <c r="F566" s="197" t="s">
        <v>221</v>
      </c>
      <c r="G566" s="197">
        <v>60</v>
      </c>
      <c r="H566" s="195">
        <v>2</v>
      </c>
      <c r="I566" s="195">
        <v>50</v>
      </c>
      <c r="J566" s="195">
        <v>88</v>
      </c>
      <c r="K566" s="198" t="s">
        <v>1300</v>
      </c>
      <c r="L566" s="195" t="s">
        <v>526</v>
      </c>
      <c r="N566" s="382" t="s">
        <v>456</v>
      </c>
    </row>
    <row r="567" spans="1:14" ht="12.75" customHeight="1" x14ac:dyDescent="0.2">
      <c r="A567" s="195" t="s">
        <v>1653</v>
      </c>
      <c r="B567" s="195" t="s">
        <v>895</v>
      </c>
      <c r="C567" s="195" t="s">
        <v>1411</v>
      </c>
      <c r="D567" s="195" t="s">
        <v>1639</v>
      </c>
      <c r="E567" s="195" t="s">
        <v>1652</v>
      </c>
      <c r="F567" s="197" t="s">
        <v>525</v>
      </c>
      <c r="G567" s="197">
        <v>60</v>
      </c>
      <c r="H567" s="195">
        <v>2</v>
      </c>
      <c r="I567" s="195">
        <v>50</v>
      </c>
      <c r="J567" s="195">
        <v>128</v>
      </c>
      <c r="K567" s="198" t="s">
        <v>1300</v>
      </c>
      <c r="L567" s="195" t="s">
        <v>526</v>
      </c>
      <c r="N567" s="382" t="s">
        <v>456</v>
      </c>
    </row>
    <row r="568" spans="1:14" ht="12.75" customHeight="1" x14ac:dyDescent="0.2">
      <c r="A568" s="195" t="s">
        <v>1654</v>
      </c>
      <c r="B568" s="195" t="s">
        <v>895</v>
      </c>
      <c r="C568" s="195" t="s">
        <v>1411</v>
      </c>
      <c r="D568" s="195" t="s">
        <v>1643</v>
      </c>
      <c r="E568" s="195" t="s">
        <v>1655</v>
      </c>
      <c r="F568" s="197" t="s">
        <v>525</v>
      </c>
      <c r="G568" s="197">
        <v>60</v>
      </c>
      <c r="H568" s="195">
        <v>2</v>
      </c>
      <c r="I568" s="195">
        <v>135</v>
      </c>
      <c r="J568" s="195">
        <v>310</v>
      </c>
      <c r="K568" s="198" t="s">
        <v>1300</v>
      </c>
      <c r="L568" s="195" t="s">
        <v>526</v>
      </c>
      <c r="N568" s="382" t="s">
        <v>456</v>
      </c>
    </row>
    <row r="569" spans="1:14" ht="12.75" customHeight="1" x14ac:dyDescent="0.2">
      <c r="A569" s="195" t="s">
        <v>1656</v>
      </c>
      <c r="B569" s="195" t="s">
        <v>895</v>
      </c>
      <c r="C569" s="195" t="s">
        <v>1411</v>
      </c>
      <c r="D569" s="195" t="s">
        <v>1657</v>
      </c>
      <c r="E569" s="195" t="s">
        <v>1658</v>
      </c>
      <c r="F569" s="197" t="s">
        <v>221</v>
      </c>
      <c r="G569" s="197">
        <v>72</v>
      </c>
      <c r="H569" s="195">
        <v>1</v>
      </c>
      <c r="I569" s="195">
        <v>55</v>
      </c>
      <c r="J569" s="195">
        <v>68</v>
      </c>
      <c r="K569" s="198" t="s">
        <v>1659</v>
      </c>
      <c r="L569" s="195" t="s">
        <v>526</v>
      </c>
      <c r="N569" s="382" t="s">
        <v>456</v>
      </c>
    </row>
    <row r="570" spans="1:14" ht="12.75" customHeight="1" x14ac:dyDescent="0.2">
      <c r="A570" s="195" t="s">
        <v>1660</v>
      </c>
      <c r="B570" s="195" t="s">
        <v>895</v>
      </c>
      <c r="C570" s="195" t="s">
        <v>1411</v>
      </c>
      <c r="D570" s="195" t="s">
        <v>1657</v>
      </c>
      <c r="E570" s="195" t="s">
        <v>1661</v>
      </c>
      <c r="F570" s="197" t="s">
        <v>931</v>
      </c>
      <c r="G570" s="197">
        <v>72</v>
      </c>
      <c r="H570" s="195">
        <v>1</v>
      </c>
      <c r="I570" s="195">
        <v>55</v>
      </c>
      <c r="J570" s="195">
        <v>76</v>
      </c>
      <c r="K570" s="198" t="s">
        <v>1659</v>
      </c>
      <c r="L570" s="195" t="s">
        <v>526</v>
      </c>
      <c r="N570" s="382" t="s">
        <v>456</v>
      </c>
    </row>
    <row r="571" spans="1:14" ht="12.75" customHeight="1" x14ac:dyDescent="0.2">
      <c r="A571" s="195" t="s">
        <v>1662</v>
      </c>
      <c r="B571" s="195" t="s">
        <v>895</v>
      </c>
      <c r="C571" s="195" t="s">
        <v>1411</v>
      </c>
      <c r="D571" s="195" t="s">
        <v>1663</v>
      </c>
      <c r="E571" s="195" t="s">
        <v>1664</v>
      </c>
      <c r="F571" s="197" t="s">
        <v>525</v>
      </c>
      <c r="G571" s="197">
        <v>72</v>
      </c>
      <c r="H571" s="195">
        <v>1</v>
      </c>
      <c r="I571" s="195">
        <v>85</v>
      </c>
      <c r="J571" s="195">
        <v>120</v>
      </c>
      <c r="K571" s="198" t="s">
        <v>1659</v>
      </c>
      <c r="L571" s="195" t="s">
        <v>526</v>
      </c>
      <c r="N571" s="382" t="s">
        <v>456</v>
      </c>
    </row>
    <row r="572" spans="1:14" ht="12.75" customHeight="1" x14ac:dyDescent="0.2">
      <c r="A572" s="195" t="s">
        <v>1665</v>
      </c>
      <c r="B572" s="195" t="s">
        <v>895</v>
      </c>
      <c r="C572" s="195" t="s">
        <v>1411</v>
      </c>
      <c r="D572" s="195" t="s">
        <v>1657</v>
      </c>
      <c r="E572" s="195" t="s">
        <v>1661</v>
      </c>
      <c r="F572" s="197" t="s">
        <v>525</v>
      </c>
      <c r="G572" s="197">
        <v>72</v>
      </c>
      <c r="H572" s="195">
        <v>1</v>
      </c>
      <c r="I572" s="195">
        <v>55</v>
      </c>
      <c r="J572" s="195">
        <v>90</v>
      </c>
      <c r="K572" s="198" t="s">
        <v>1659</v>
      </c>
      <c r="L572" s="195" t="s">
        <v>526</v>
      </c>
      <c r="N572" s="382" t="s">
        <v>456</v>
      </c>
    </row>
    <row r="573" spans="1:14" ht="12.75" customHeight="1" x14ac:dyDescent="0.2">
      <c r="A573" s="195" t="s">
        <v>1666</v>
      </c>
      <c r="B573" s="195" t="s">
        <v>895</v>
      </c>
      <c r="C573" s="195" t="s">
        <v>1411</v>
      </c>
      <c r="D573" s="195" t="s">
        <v>1667</v>
      </c>
      <c r="E573" s="195" t="s">
        <v>1668</v>
      </c>
      <c r="F573" s="197" t="s">
        <v>525</v>
      </c>
      <c r="G573" s="197">
        <v>72</v>
      </c>
      <c r="H573" s="195">
        <v>1</v>
      </c>
      <c r="I573" s="195">
        <v>160</v>
      </c>
      <c r="J573" s="195">
        <v>180</v>
      </c>
      <c r="K573" s="198" t="s">
        <v>1659</v>
      </c>
      <c r="L573" s="195" t="s">
        <v>526</v>
      </c>
      <c r="N573" s="382" t="s">
        <v>456</v>
      </c>
    </row>
    <row r="574" spans="1:14" ht="12.75" customHeight="1" x14ac:dyDescent="0.2">
      <c r="A574" s="195" t="s">
        <v>1669</v>
      </c>
      <c r="B574" s="195" t="s">
        <v>895</v>
      </c>
      <c r="C574" s="195" t="s">
        <v>1411</v>
      </c>
      <c r="D574" s="195" t="s">
        <v>1657</v>
      </c>
      <c r="E574" s="195" t="s">
        <v>1670</v>
      </c>
      <c r="F574" s="197" t="s">
        <v>221</v>
      </c>
      <c r="G574" s="197">
        <v>72</v>
      </c>
      <c r="H574" s="195">
        <v>2</v>
      </c>
      <c r="I574" s="195">
        <v>55</v>
      </c>
      <c r="J574" s="195">
        <v>108</v>
      </c>
      <c r="K574" s="198" t="s">
        <v>1671</v>
      </c>
      <c r="L574" s="195" t="s">
        <v>526</v>
      </c>
      <c r="N574" s="382" t="s">
        <v>456</v>
      </c>
    </row>
    <row r="575" spans="1:14" ht="12.75" customHeight="1" x14ac:dyDescent="0.2">
      <c r="A575" s="195" t="s">
        <v>1672</v>
      </c>
      <c r="B575" s="195" t="s">
        <v>895</v>
      </c>
      <c r="C575" s="195" t="s">
        <v>1411</v>
      </c>
      <c r="D575" s="195" t="s">
        <v>1657</v>
      </c>
      <c r="E575" s="195" t="s">
        <v>1673</v>
      </c>
      <c r="F575" s="197" t="s">
        <v>931</v>
      </c>
      <c r="G575" s="197">
        <v>72</v>
      </c>
      <c r="H575" s="195">
        <v>2</v>
      </c>
      <c r="I575" s="195">
        <v>55</v>
      </c>
      <c r="J575" s="195">
        <v>122</v>
      </c>
      <c r="K575" s="198" t="s">
        <v>1671</v>
      </c>
      <c r="L575" s="195" t="s">
        <v>526</v>
      </c>
      <c r="N575" s="382" t="s">
        <v>456</v>
      </c>
    </row>
    <row r="576" spans="1:14" ht="12.75" customHeight="1" x14ac:dyDescent="0.2">
      <c r="A576" s="195" t="s">
        <v>1674</v>
      </c>
      <c r="B576" s="195" t="s">
        <v>895</v>
      </c>
      <c r="C576" s="195" t="s">
        <v>1411</v>
      </c>
      <c r="D576" s="195" t="s">
        <v>1663</v>
      </c>
      <c r="E576" s="195" t="s">
        <v>1675</v>
      </c>
      <c r="F576" s="197" t="s">
        <v>931</v>
      </c>
      <c r="G576" s="197">
        <v>72</v>
      </c>
      <c r="H576" s="195">
        <v>2</v>
      </c>
      <c r="I576" s="195">
        <v>85</v>
      </c>
      <c r="J576" s="195">
        <v>194</v>
      </c>
      <c r="K576" s="198" t="s">
        <v>1671</v>
      </c>
      <c r="L576" s="195" t="s">
        <v>526</v>
      </c>
      <c r="N576" s="382" t="s">
        <v>456</v>
      </c>
    </row>
    <row r="577" spans="1:14" ht="12.75" customHeight="1" x14ac:dyDescent="0.2">
      <c r="A577" s="195" t="s">
        <v>1676</v>
      </c>
      <c r="B577" s="195" t="s">
        <v>895</v>
      </c>
      <c r="C577" s="195" t="s">
        <v>1411</v>
      </c>
      <c r="D577" s="195" t="s">
        <v>1663</v>
      </c>
      <c r="E577" s="195" t="s">
        <v>1675</v>
      </c>
      <c r="F577" s="197" t="s">
        <v>525</v>
      </c>
      <c r="G577" s="197">
        <v>72</v>
      </c>
      <c r="H577" s="195">
        <v>2</v>
      </c>
      <c r="I577" s="195">
        <v>85</v>
      </c>
      <c r="J577" s="195">
        <v>220</v>
      </c>
      <c r="K577" s="198" t="s">
        <v>1671</v>
      </c>
      <c r="L577" s="195" t="s">
        <v>526</v>
      </c>
      <c r="N577" s="382" t="s">
        <v>456</v>
      </c>
    </row>
    <row r="578" spans="1:14" ht="12.75" customHeight="1" x14ac:dyDescent="0.2">
      <c r="A578" s="195" t="s">
        <v>1677</v>
      </c>
      <c r="B578" s="195" t="s">
        <v>895</v>
      </c>
      <c r="C578" s="195" t="s">
        <v>1411</v>
      </c>
      <c r="D578" s="195" t="s">
        <v>1657</v>
      </c>
      <c r="E578" s="195" t="s">
        <v>1673</v>
      </c>
      <c r="F578" s="197" t="s">
        <v>221</v>
      </c>
      <c r="G578" s="197">
        <v>72</v>
      </c>
      <c r="H578" s="195">
        <v>2</v>
      </c>
      <c r="I578" s="195">
        <v>55</v>
      </c>
      <c r="J578" s="195">
        <v>108</v>
      </c>
      <c r="K578" s="198" t="s">
        <v>1671</v>
      </c>
      <c r="L578" s="195" t="s">
        <v>526</v>
      </c>
      <c r="N578" s="382" t="s">
        <v>456</v>
      </c>
    </row>
    <row r="579" spans="1:14" ht="12.75" customHeight="1" x14ac:dyDescent="0.2">
      <c r="A579" s="195" t="s">
        <v>1678</v>
      </c>
      <c r="B579" s="195" t="s">
        <v>895</v>
      </c>
      <c r="C579" s="195" t="s">
        <v>1411</v>
      </c>
      <c r="D579" s="195" t="s">
        <v>1657</v>
      </c>
      <c r="E579" s="195" t="s">
        <v>1673</v>
      </c>
      <c r="F579" s="197" t="s">
        <v>525</v>
      </c>
      <c r="G579" s="197">
        <v>72</v>
      </c>
      <c r="H579" s="195">
        <v>2</v>
      </c>
      <c r="I579" s="195">
        <v>55</v>
      </c>
      <c r="J579" s="195">
        <v>145</v>
      </c>
      <c r="K579" s="198" t="s">
        <v>1671</v>
      </c>
      <c r="L579" s="195" t="s">
        <v>526</v>
      </c>
      <c r="N579" s="382" t="s">
        <v>456</v>
      </c>
    </row>
    <row r="580" spans="1:14" ht="12.75" customHeight="1" x14ac:dyDescent="0.2">
      <c r="A580" s="195" t="s">
        <v>1679</v>
      </c>
      <c r="B580" s="195" t="s">
        <v>895</v>
      </c>
      <c r="C580" s="195" t="s">
        <v>1411</v>
      </c>
      <c r="D580" s="195" t="s">
        <v>1667</v>
      </c>
      <c r="E580" s="195" t="s">
        <v>1680</v>
      </c>
      <c r="F580" s="197" t="s">
        <v>525</v>
      </c>
      <c r="G580" s="197">
        <v>72</v>
      </c>
      <c r="H580" s="195">
        <v>2</v>
      </c>
      <c r="I580" s="195">
        <v>160</v>
      </c>
      <c r="J580" s="195">
        <v>330</v>
      </c>
      <c r="K580" s="198" t="s">
        <v>1671</v>
      </c>
      <c r="L580" s="195" t="s">
        <v>526</v>
      </c>
      <c r="N580" s="382" t="s">
        <v>456</v>
      </c>
    </row>
    <row r="581" spans="1:14" ht="12.75" customHeight="1" x14ac:dyDescent="0.2">
      <c r="A581" s="195" t="s">
        <v>1681</v>
      </c>
      <c r="B581" s="195" t="s">
        <v>895</v>
      </c>
      <c r="C581" s="195" t="s">
        <v>1411</v>
      </c>
      <c r="D581" s="195" t="s">
        <v>1657</v>
      </c>
      <c r="E581" s="195" t="s">
        <v>1682</v>
      </c>
      <c r="F581" s="197" t="s">
        <v>221</v>
      </c>
      <c r="G581" s="197">
        <v>72</v>
      </c>
      <c r="H581" s="195">
        <v>3</v>
      </c>
      <c r="I581" s="195">
        <v>55</v>
      </c>
      <c r="J581" s="195">
        <v>176</v>
      </c>
      <c r="K581" s="198" t="s">
        <v>1683</v>
      </c>
      <c r="L581" s="195" t="s">
        <v>526</v>
      </c>
      <c r="N581" s="382" t="s">
        <v>456</v>
      </c>
    </row>
    <row r="582" spans="1:14" ht="12.75" customHeight="1" x14ac:dyDescent="0.2">
      <c r="A582" s="195" t="s">
        <v>1684</v>
      </c>
      <c r="B582" s="195" t="s">
        <v>895</v>
      </c>
      <c r="C582" s="195" t="s">
        <v>1411</v>
      </c>
      <c r="D582" s="195" t="s">
        <v>1657</v>
      </c>
      <c r="E582" s="195" t="s">
        <v>1685</v>
      </c>
      <c r="F582" s="197" t="s">
        <v>525</v>
      </c>
      <c r="G582" s="197">
        <v>72</v>
      </c>
      <c r="H582" s="195">
        <v>3</v>
      </c>
      <c r="I582" s="195">
        <v>55</v>
      </c>
      <c r="J582" s="195">
        <v>202</v>
      </c>
      <c r="K582" s="198" t="s">
        <v>1683</v>
      </c>
      <c r="L582" s="195" t="s">
        <v>526</v>
      </c>
      <c r="N582" s="382" t="s">
        <v>456</v>
      </c>
    </row>
    <row r="583" spans="1:14" ht="12.75" customHeight="1" x14ac:dyDescent="0.2">
      <c r="A583" s="195" t="s">
        <v>1686</v>
      </c>
      <c r="B583" s="195" t="s">
        <v>895</v>
      </c>
      <c r="C583" s="195" t="s">
        <v>1411</v>
      </c>
      <c r="D583" s="195" t="s">
        <v>1657</v>
      </c>
      <c r="E583" s="195" t="s">
        <v>1687</v>
      </c>
      <c r="F583" s="197" t="s">
        <v>221</v>
      </c>
      <c r="G583" s="197">
        <v>72</v>
      </c>
      <c r="H583" s="195">
        <v>4</v>
      </c>
      <c r="I583" s="195">
        <v>55</v>
      </c>
      <c r="J583" s="195">
        <v>216</v>
      </c>
      <c r="K583" s="198" t="s">
        <v>1688</v>
      </c>
      <c r="L583" s="195" t="s">
        <v>526</v>
      </c>
      <c r="N583" s="382" t="s">
        <v>456</v>
      </c>
    </row>
    <row r="584" spans="1:14" ht="12.75" customHeight="1" x14ac:dyDescent="0.2">
      <c r="A584" s="195" t="s">
        <v>1689</v>
      </c>
      <c r="B584" s="195" t="s">
        <v>895</v>
      </c>
      <c r="C584" s="195" t="s">
        <v>1411</v>
      </c>
      <c r="D584" s="195" t="s">
        <v>1657</v>
      </c>
      <c r="E584" s="195" t="s">
        <v>1690</v>
      </c>
      <c r="F584" s="197" t="s">
        <v>931</v>
      </c>
      <c r="G584" s="197">
        <v>72</v>
      </c>
      <c r="H584" s="195">
        <v>4</v>
      </c>
      <c r="I584" s="195">
        <v>55</v>
      </c>
      <c r="J584" s="195">
        <v>230</v>
      </c>
      <c r="K584" s="198" t="s">
        <v>1688</v>
      </c>
      <c r="L584" s="195" t="s">
        <v>526</v>
      </c>
      <c r="N584" s="382" t="s">
        <v>456</v>
      </c>
    </row>
    <row r="585" spans="1:14" ht="12.75" customHeight="1" x14ac:dyDescent="0.2">
      <c r="A585" s="195" t="s">
        <v>1691</v>
      </c>
      <c r="B585" s="195" t="s">
        <v>895</v>
      </c>
      <c r="C585" s="195" t="s">
        <v>1411</v>
      </c>
      <c r="D585" s="195" t="s">
        <v>1663</v>
      </c>
      <c r="E585" s="195" t="s">
        <v>1692</v>
      </c>
      <c r="F585" s="197" t="s">
        <v>931</v>
      </c>
      <c r="G585" s="197">
        <v>72</v>
      </c>
      <c r="H585" s="195">
        <v>4</v>
      </c>
      <c r="I585" s="195">
        <v>85</v>
      </c>
      <c r="J585" s="195">
        <v>388</v>
      </c>
      <c r="K585" s="198" t="s">
        <v>1688</v>
      </c>
      <c r="L585" s="195" t="s">
        <v>526</v>
      </c>
      <c r="N585" s="382" t="s">
        <v>456</v>
      </c>
    </row>
    <row r="586" spans="1:14" ht="12.75" customHeight="1" x14ac:dyDescent="0.2">
      <c r="A586" s="195" t="s">
        <v>1693</v>
      </c>
      <c r="B586" s="195" t="s">
        <v>895</v>
      </c>
      <c r="C586" s="195" t="s">
        <v>1411</v>
      </c>
      <c r="D586" s="195" t="s">
        <v>1657</v>
      </c>
      <c r="E586" s="195" t="s">
        <v>1690</v>
      </c>
      <c r="F586" s="197" t="s">
        <v>525</v>
      </c>
      <c r="G586" s="197">
        <v>72</v>
      </c>
      <c r="H586" s="195">
        <v>4</v>
      </c>
      <c r="I586" s="195">
        <v>55</v>
      </c>
      <c r="J586" s="195">
        <v>244</v>
      </c>
      <c r="K586" s="198" t="s">
        <v>1688</v>
      </c>
      <c r="L586" s="195" t="s">
        <v>526</v>
      </c>
      <c r="N586" s="382" t="s">
        <v>456</v>
      </c>
    </row>
    <row r="587" spans="1:14" ht="12.75" customHeight="1" x14ac:dyDescent="0.2">
      <c r="A587" s="195" t="s">
        <v>1694</v>
      </c>
      <c r="B587" s="195" t="s">
        <v>895</v>
      </c>
      <c r="C587" s="195" t="s">
        <v>1411</v>
      </c>
      <c r="D587" s="195" t="s">
        <v>1695</v>
      </c>
      <c r="E587" s="195" t="s">
        <v>1696</v>
      </c>
      <c r="F587" s="197" t="s">
        <v>931</v>
      </c>
      <c r="G587" s="197">
        <v>96</v>
      </c>
      <c r="H587" s="195">
        <v>1</v>
      </c>
      <c r="I587" s="195">
        <v>60</v>
      </c>
      <c r="J587" s="195">
        <v>61</v>
      </c>
      <c r="K587" s="198" t="s">
        <v>1319</v>
      </c>
      <c r="L587" s="195" t="s">
        <v>526</v>
      </c>
      <c r="N587" s="382" t="s">
        <v>456</v>
      </c>
    </row>
    <row r="588" spans="1:14" ht="12.75" customHeight="1" x14ac:dyDescent="0.2">
      <c r="A588" s="195" t="s">
        <v>1697</v>
      </c>
      <c r="B588" s="195" t="s">
        <v>895</v>
      </c>
      <c r="C588" s="195" t="s">
        <v>1411</v>
      </c>
      <c r="D588" s="195" t="s">
        <v>1695</v>
      </c>
      <c r="E588" s="195" t="s">
        <v>1698</v>
      </c>
      <c r="F588" s="197" t="s">
        <v>931</v>
      </c>
      <c r="G588" s="197">
        <v>96</v>
      </c>
      <c r="H588" s="195">
        <v>1</v>
      </c>
      <c r="I588" s="195">
        <v>60</v>
      </c>
      <c r="J588" s="195">
        <v>62</v>
      </c>
      <c r="K588" s="198" t="s">
        <v>1319</v>
      </c>
      <c r="L588" s="195" t="s">
        <v>526</v>
      </c>
      <c r="N588" s="382" t="s">
        <v>456</v>
      </c>
    </row>
    <row r="589" spans="1:14" ht="12.75" customHeight="1" x14ac:dyDescent="0.2">
      <c r="A589" s="195" t="s">
        <v>1699</v>
      </c>
      <c r="B589" s="195" t="s">
        <v>895</v>
      </c>
      <c r="C589" s="195" t="s">
        <v>1411</v>
      </c>
      <c r="D589" s="195" t="s">
        <v>1700</v>
      </c>
      <c r="E589" s="195" t="s">
        <v>1701</v>
      </c>
      <c r="F589" s="197" t="s">
        <v>221</v>
      </c>
      <c r="G589" s="197">
        <v>96</v>
      </c>
      <c r="H589" s="195">
        <v>1</v>
      </c>
      <c r="I589" s="195">
        <v>95</v>
      </c>
      <c r="J589" s="195">
        <v>80</v>
      </c>
      <c r="K589" s="198" t="s">
        <v>1332</v>
      </c>
      <c r="L589" s="195" t="s">
        <v>526</v>
      </c>
      <c r="N589" s="382" t="s">
        <v>456</v>
      </c>
    </row>
    <row r="590" spans="1:14" ht="12.75" customHeight="1" x14ac:dyDescent="0.2">
      <c r="A590" s="195" t="s">
        <v>1702</v>
      </c>
      <c r="B590" s="195" t="s">
        <v>895</v>
      </c>
      <c r="C590" s="195" t="s">
        <v>1411</v>
      </c>
      <c r="D590" s="195" t="s">
        <v>1700</v>
      </c>
      <c r="E590" s="195" t="s">
        <v>1703</v>
      </c>
      <c r="F590" s="197" t="s">
        <v>221</v>
      </c>
      <c r="G590" s="197">
        <v>96</v>
      </c>
      <c r="H590" s="195">
        <v>1</v>
      </c>
      <c r="I590" s="195">
        <v>95</v>
      </c>
      <c r="J590" s="195">
        <v>85</v>
      </c>
      <c r="K590" s="198" t="s">
        <v>1332</v>
      </c>
      <c r="L590" s="195" t="s">
        <v>526</v>
      </c>
      <c r="N590" s="382" t="s">
        <v>456</v>
      </c>
    </row>
    <row r="591" spans="1:14" ht="12.75" customHeight="1" x14ac:dyDescent="0.2">
      <c r="A591" s="195" t="s">
        <v>1704</v>
      </c>
      <c r="B591" s="195" t="s">
        <v>895</v>
      </c>
      <c r="C591" s="195" t="s">
        <v>1411</v>
      </c>
      <c r="D591" s="195" t="s">
        <v>1700</v>
      </c>
      <c r="E591" s="195" t="s">
        <v>1701</v>
      </c>
      <c r="F591" s="197" t="s">
        <v>525</v>
      </c>
      <c r="G591" s="197">
        <v>96</v>
      </c>
      <c r="H591" s="195">
        <v>1</v>
      </c>
      <c r="I591" s="195">
        <v>95</v>
      </c>
      <c r="J591" s="195">
        <v>125</v>
      </c>
      <c r="K591" s="198" t="s">
        <v>1332</v>
      </c>
      <c r="L591" s="195" t="s">
        <v>526</v>
      </c>
      <c r="N591" s="382" t="s">
        <v>456</v>
      </c>
    </row>
    <row r="592" spans="1:14" ht="12.75" customHeight="1" x14ac:dyDescent="0.2">
      <c r="A592" s="195" t="s">
        <v>1705</v>
      </c>
      <c r="B592" s="195" t="s">
        <v>895</v>
      </c>
      <c r="C592" s="195" t="s">
        <v>1411</v>
      </c>
      <c r="D592" s="195" t="s">
        <v>1695</v>
      </c>
      <c r="E592" s="195" t="s">
        <v>1696</v>
      </c>
      <c r="F592" s="197" t="s">
        <v>221</v>
      </c>
      <c r="G592" s="197">
        <v>96</v>
      </c>
      <c r="H592" s="195">
        <v>1</v>
      </c>
      <c r="I592" s="195">
        <v>60</v>
      </c>
      <c r="J592" s="195">
        <v>60</v>
      </c>
      <c r="K592" s="198" t="s">
        <v>1319</v>
      </c>
      <c r="L592" s="195" t="s">
        <v>526</v>
      </c>
      <c r="N592" s="382" t="s">
        <v>456</v>
      </c>
    </row>
    <row r="593" spans="1:14" ht="12.75" customHeight="1" x14ac:dyDescent="0.2">
      <c r="A593" s="195" t="s">
        <v>1706</v>
      </c>
      <c r="B593" s="195" t="s">
        <v>895</v>
      </c>
      <c r="C593" s="195" t="s">
        <v>1411</v>
      </c>
      <c r="D593" s="195" t="s">
        <v>1695</v>
      </c>
      <c r="E593" s="195" t="s">
        <v>1707</v>
      </c>
      <c r="F593" s="197" t="s">
        <v>221</v>
      </c>
      <c r="G593" s="197">
        <v>96</v>
      </c>
      <c r="H593" s="195">
        <v>1</v>
      </c>
      <c r="I593" s="195">
        <v>60</v>
      </c>
      <c r="J593" s="195">
        <v>55</v>
      </c>
      <c r="K593" s="198" t="s">
        <v>1319</v>
      </c>
      <c r="L593" s="195" t="s">
        <v>526</v>
      </c>
      <c r="N593" s="382" t="s">
        <v>456</v>
      </c>
    </row>
    <row r="594" spans="1:14" ht="12.75" customHeight="1" x14ac:dyDescent="0.2">
      <c r="A594" s="195" t="s">
        <v>1708</v>
      </c>
      <c r="B594" s="195" t="s">
        <v>895</v>
      </c>
      <c r="C594" s="195" t="s">
        <v>1411</v>
      </c>
      <c r="D594" s="195" t="s">
        <v>1695</v>
      </c>
      <c r="E594" s="195" t="s">
        <v>1696</v>
      </c>
      <c r="F594" s="197" t="s">
        <v>525</v>
      </c>
      <c r="G594" s="197">
        <v>96</v>
      </c>
      <c r="H594" s="195">
        <v>1</v>
      </c>
      <c r="I594" s="195">
        <v>60</v>
      </c>
      <c r="J594" s="195">
        <v>83</v>
      </c>
      <c r="K594" s="198" t="s">
        <v>1319</v>
      </c>
      <c r="L594" s="195" t="s">
        <v>526</v>
      </c>
      <c r="N594" s="382" t="s">
        <v>456</v>
      </c>
    </row>
    <row r="595" spans="1:14" ht="12.75" customHeight="1" x14ac:dyDescent="0.2">
      <c r="A595" s="195" t="s">
        <v>1709</v>
      </c>
      <c r="B595" s="195" t="s">
        <v>895</v>
      </c>
      <c r="C595" s="195" t="s">
        <v>1411</v>
      </c>
      <c r="D595" s="195" t="s">
        <v>1695</v>
      </c>
      <c r="E595" s="195" t="s">
        <v>1698</v>
      </c>
      <c r="F595" s="197" t="s">
        <v>525</v>
      </c>
      <c r="G595" s="197">
        <v>96</v>
      </c>
      <c r="H595" s="195">
        <v>1</v>
      </c>
      <c r="I595" s="195">
        <v>60</v>
      </c>
      <c r="J595" s="195">
        <v>64</v>
      </c>
      <c r="K595" s="198" t="s">
        <v>1319</v>
      </c>
      <c r="L595" s="195" t="s">
        <v>526</v>
      </c>
      <c r="N595" s="382" t="s">
        <v>456</v>
      </c>
    </row>
    <row r="596" spans="1:14" ht="12.75" customHeight="1" x14ac:dyDescent="0.2">
      <c r="A596" s="195" t="s">
        <v>1710</v>
      </c>
      <c r="B596" s="195" t="s">
        <v>895</v>
      </c>
      <c r="C596" s="195" t="s">
        <v>1411</v>
      </c>
      <c r="D596" s="195" t="s">
        <v>1711</v>
      </c>
      <c r="E596" s="195" t="s">
        <v>1712</v>
      </c>
      <c r="F596" s="197" t="s">
        <v>525</v>
      </c>
      <c r="G596" s="197">
        <v>96</v>
      </c>
      <c r="H596" s="195">
        <v>1</v>
      </c>
      <c r="I596" s="195">
        <v>185</v>
      </c>
      <c r="J596" s="195">
        <v>200</v>
      </c>
      <c r="K596" s="198" t="s">
        <v>1332</v>
      </c>
      <c r="L596" s="195" t="s">
        <v>526</v>
      </c>
      <c r="N596" s="382" t="s">
        <v>456</v>
      </c>
    </row>
    <row r="597" spans="1:14" ht="12.75" customHeight="1" x14ac:dyDescent="0.2">
      <c r="A597" s="195" t="s">
        <v>1713</v>
      </c>
      <c r="B597" s="195" t="s">
        <v>895</v>
      </c>
      <c r="C597" s="195" t="s">
        <v>1411</v>
      </c>
      <c r="D597" s="195" t="s">
        <v>1714</v>
      </c>
      <c r="E597" s="195" t="s">
        <v>1715</v>
      </c>
      <c r="F597" s="197" t="s">
        <v>931</v>
      </c>
      <c r="G597" s="197">
        <v>96</v>
      </c>
      <c r="H597" s="195">
        <v>1</v>
      </c>
      <c r="I597" s="195">
        <v>75</v>
      </c>
      <c r="J597" s="195">
        <v>91</v>
      </c>
      <c r="K597" s="198" t="s">
        <v>1319</v>
      </c>
      <c r="L597" s="195" t="s">
        <v>526</v>
      </c>
      <c r="N597" s="382" t="s">
        <v>456</v>
      </c>
    </row>
    <row r="598" spans="1:14" ht="12.75" customHeight="1" x14ac:dyDescent="0.2">
      <c r="A598" s="195" t="s">
        <v>1716</v>
      </c>
      <c r="B598" s="195" t="s">
        <v>895</v>
      </c>
      <c r="C598" s="195" t="s">
        <v>1411</v>
      </c>
      <c r="D598" s="195" t="s">
        <v>1717</v>
      </c>
      <c r="E598" s="195" t="s">
        <v>1718</v>
      </c>
      <c r="F598" s="197" t="s">
        <v>931</v>
      </c>
      <c r="G598" s="197">
        <v>96</v>
      </c>
      <c r="H598" s="195">
        <v>1</v>
      </c>
      <c r="I598" s="195">
        <v>110</v>
      </c>
      <c r="J598" s="195">
        <v>132</v>
      </c>
      <c r="K598" s="198" t="s">
        <v>1332</v>
      </c>
      <c r="L598" s="195" t="s">
        <v>526</v>
      </c>
      <c r="N598" s="382" t="s">
        <v>456</v>
      </c>
    </row>
    <row r="599" spans="1:14" ht="12.75" customHeight="1" x14ac:dyDescent="0.2">
      <c r="A599" s="195" t="s">
        <v>1719</v>
      </c>
      <c r="B599" s="195" t="s">
        <v>895</v>
      </c>
      <c r="C599" s="195" t="s">
        <v>1411</v>
      </c>
      <c r="D599" s="195" t="s">
        <v>1717</v>
      </c>
      <c r="E599" s="195" t="s">
        <v>1720</v>
      </c>
      <c r="F599" s="197" t="s">
        <v>221</v>
      </c>
      <c r="G599" s="197">
        <v>96</v>
      </c>
      <c r="H599" s="195">
        <v>1</v>
      </c>
      <c r="I599" s="195">
        <v>110</v>
      </c>
      <c r="J599" s="195">
        <v>98</v>
      </c>
      <c r="K599" s="198" t="s">
        <v>1332</v>
      </c>
      <c r="L599" s="195" t="s">
        <v>526</v>
      </c>
      <c r="N599" s="382" t="s">
        <v>456</v>
      </c>
    </row>
    <row r="600" spans="1:14" ht="12.75" customHeight="1" x14ac:dyDescent="0.2">
      <c r="A600" s="195" t="s">
        <v>1721</v>
      </c>
      <c r="B600" s="195" t="s">
        <v>895</v>
      </c>
      <c r="C600" s="195" t="s">
        <v>1411</v>
      </c>
      <c r="D600" s="195" t="s">
        <v>1717</v>
      </c>
      <c r="E600" s="195" t="s">
        <v>1718</v>
      </c>
      <c r="F600" s="197" t="s">
        <v>525</v>
      </c>
      <c r="G600" s="197">
        <v>96</v>
      </c>
      <c r="H600" s="195">
        <v>1</v>
      </c>
      <c r="I600" s="195">
        <v>110</v>
      </c>
      <c r="J600" s="195">
        <v>145</v>
      </c>
      <c r="K600" s="198" t="s">
        <v>1332</v>
      </c>
      <c r="L600" s="195" t="s">
        <v>526</v>
      </c>
      <c r="N600" s="382" t="s">
        <v>456</v>
      </c>
    </row>
    <row r="601" spans="1:14" ht="12.75" customHeight="1" x14ac:dyDescent="0.2">
      <c r="A601" s="195" t="s">
        <v>1722</v>
      </c>
      <c r="B601" s="195" t="s">
        <v>895</v>
      </c>
      <c r="C601" s="195" t="s">
        <v>1411</v>
      </c>
      <c r="D601" s="195" t="s">
        <v>1714</v>
      </c>
      <c r="E601" s="195" t="s">
        <v>1723</v>
      </c>
      <c r="F601" s="197" t="s">
        <v>221</v>
      </c>
      <c r="G601" s="197">
        <v>96</v>
      </c>
      <c r="H601" s="195">
        <v>1</v>
      </c>
      <c r="I601" s="195">
        <v>75</v>
      </c>
      <c r="J601" s="195">
        <v>70</v>
      </c>
      <c r="K601" s="198" t="s">
        <v>1319</v>
      </c>
      <c r="L601" s="195" t="s">
        <v>526</v>
      </c>
      <c r="N601" s="382" t="s">
        <v>456</v>
      </c>
    </row>
    <row r="602" spans="1:14" ht="12.75" customHeight="1" x14ac:dyDescent="0.2">
      <c r="A602" s="195" t="s">
        <v>1724</v>
      </c>
      <c r="B602" s="195" t="s">
        <v>895</v>
      </c>
      <c r="C602" s="195" t="s">
        <v>1411</v>
      </c>
      <c r="D602" s="195" t="s">
        <v>1714</v>
      </c>
      <c r="E602" s="195" t="s">
        <v>1725</v>
      </c>
      <c r="F602" s="197" t="s">
        <v>221</v>
      </c>
      <c r="G602" s="197">
        <v>96</v>
      </c>
      <c r="H602" s="195">
        <v>1</v>
      </c>
      <c r="I602" s="195">
        <v>75</v>
      </c>
      <c r="J602" s="195">
        <v>67</v>
      </c>
      <c r="K602" s="198" t="s">
        <v>1319</v>
      </c>
      <c r="L602" s="195" t="s">
        <v>526</v>
      </c>
      <c r="N602" s="382" t="s">
        <v>456</v>
      </c>
    </row>
    <row r="603" spans="1:14" ht="12.75" customHeight="1" x14ac:dyDescent="0.2">
      <c r="A603" s="195" t="s">
        <v>1726</v>
      </c>
      <c r="B603" s="195" t="s">
        <v>895</v>
      </c>
      <c r="C603" s="195" t="s">
        <v>1411</v>
      </c>
      <c r="D603" s="195" t="s">
        <v>1714</v>
      </c>
      <c r="E603" s="195" t="s">
        <v>1715</v>
      </c>
      <c r="F603" s="197" t="s">
        <v>525</v>
      </c>
      <c r="G603" s="197">
        <v>96</v>
      </c>
      <c r="H603" s="195">
        <v>1</v>
      </c>
      <c r="I603" s="195">
        <v>75</v>
      </c>
      <c r="J603" s="195">
        <v>100</v>
      </c>
      <c r="K603" s="198" t="s">
        <v>1319</v>
      </c>
      <c r="L603" s="195" t="s">
        <v>526</v>
      </c>
      <c r="N603" s="382" t="s">
        <v>456</v>
      </c>
    </row>
    <row r="604" spans="1:14" ht="12.75" customHeight="1" x14ac:dyDescent="0.2">
      <c r="A604" s="195" t="s">
        <v>1727</v>
      </c>
      <c r="B604" s="195" t="s">
        <v>895</v>
      </c>
      <c r="C604" s="195" t="s">
        <v>1411</v>
      </c>
      <c r="D604" s="195" t="s">
        <v>1728</v>
      </c>
      <c r="E604" s="195" t="s">
        <v>1729</v>
      </c>
      <c r="F604" s="197" t="s">
        <v>525</v>
      </c>
      <c r="G604" s="197">
        <v>96</v>
      </c>
      <c r="H604" s="195">
        <v>1</v>
      </c>
      <c r="I604" s="195">
        <v>215</v>
      </c>
      <c r="J604" s="195">
        <v>230</v>
      </c>
      <c r="K604" s="198" t="s">
        <v>1332</v>
      </c>
      <c r="L604" s="195" t="s">
        <v>526</v>
      </c>
      <c r="N604" s="382" t="s">
        <v>456</v>
      </c>
    </row>
    <row r="605" spans="1:14" ht="12.75" customHeight="1" x14ac:dyDescent="0.2">
      <c r="A605" s="195" t="s">
        <v>1730</v>
      </c>
      <c r="B605" s="195" t="s">
        <v>895</v>
      </c>
      <c r="C605" s="195" t="s">
        <v>1411</v>
      </c>
      <c r="D605" s="195" t="s">
        <v>1695</v>
      </c>
      <c r="E605" s="195" t="s">
        <v>1731</v>
      </c>
      <c r="F605" s="197" t="s">
        <v>931</v>
      </c>
      <c r="G605" s="197">
        <v>96</v>
      </c>
      <c r="H605" s="195">
        <v>2</v>
      </c>
      <c r="I605" s="195">
        <v>60</v>
      </c>
      <c r="J605" s="195">
        <v>123</v>
      </c>
      <c r="K605" s="198" t="s">
        <v>1337</v>
      </c>
      <c r="L605" s="195" t="s">
        <v>526</v>
      </c>
      <c r="N605" s="382" t="s">
        <v>456</v>
      </c>
    </row>
    <row r="606" spans="1:14" ht="12.75" customHeight="1" x14ac:dyDescent="0.2">
      <c r="A606" s="195" t="s">
        <v>1732</v>
      </c>
      <c r="B606" s="195" t="s">
        <v>895</v>
      </c>
      <c r="C606" s="195" t="s">
        <v>1411</v>
      </c>
      <c r="D606" s="195" t="s">
        <v>1700</v>
      </c>
      <c r="E606" s="195" t="s">
        <v>1733</v>
      </c>
      <c r="F606" s="197" t="s">
        <v>931</v>
      </c>
      <c r="G606" s="197">
        <v>96</v>
      </c>
      <c r="H606" s="195">
        <v>2</v>
      </c>
      <c r="I606" s="195">
        <v>95</v>
      </c>
      <c r="J606" s="195">
        <v>207</v>
      </c>
      <c r="K606" s="198" t="s">
        <v>1341</v>
      </c>
      <c r="L606" s="195" t="s">
        <v>526</v>
      </c>
      <c r="N606" s="382" t="s">
        <v>456</v>
      </c>
    </row>
    <row r="607" spans="1:14" ht="12.75" customHeight="1" x14ac:dyDescent="0.2">
      <c r="A607" s="195" t="s">
        <v>1734</v>
      </c>
      <c r="B607" s="195" t="s">
        <v>895</v>
      </c>
      <c r="C607" s="195" t="s">
        <v>1411</v>
      </c>
      <c r="D607" s="195" t="s">
        <v>1700</v>
      </c>
      <c r="E607" s="195" t="s">
        <v>1733</v>
      </c>
      <c r="F607" s="197" t="s">
        <v>221</v>
      </c>
      <c r="G607" s="197">
        <v>96</v>
      </c>
      <c r="H607" s="195">
        <v>2</v>
      </c>
      <c r="I607" s="195">
        <v>95</v>
      </c>
      <c r="J607" s="195">
        <v>170</v>
      </c>
      <c r="K607" s="198" t="s">
        <v>1341</v>
      </c>
      <c r="L607" s="195" t="s">
        <v>526</v>
      </c>
      <c r="N607" s="382" t="s">
        <v>456</v>
      </c>
    </row>
    <row r="608" spans="1:14" ht="12.75" customHeight="1" x14ac:dyDescent="0.2">
      <c r="A608" s="195" t="s">
        <v>1735</v>
      </c>
      <c r="B608" s="195" t="s">
        <v>895</v>
      </c>
      <c r="C608" s="195" t="s">
        <v>1411</v>
      </c>
      <c r="D608" s="195" t="s">
        <v>1700</v>
      </c>
      <c r="E608" s="195" t="s">
        <v>1733</v>
      </c>
      <c r="F608" s="197" t="s">
        <v>525</v>
      </c>
      <c r="G608" s="197">
        <v>96</v>
      </c>
      <c r="H608" s="195">
        <v>2</v>
      </c>
      <c r="I608" s="195">
        <v>95</v>
      </c>
      <c r="J608" s="195">
        <v>227</v>
      </c>
      <c r="K608" s="198" t="s">
        <v>1341</v>
      </c>
      <c r="L608" s="195" t="s">
        <v>526</v>
      </c>
      <c r="N608" s="382" t="s">
        <v>456</v>
      </c>
    </row>
    <row r="609" spans="1:14" ht="12.75" customHeight="1" x14ac:dyDescent="0.2">
      <c r="A609" s="195" t="s">
        <v>1736</v>
      </c>
      <c r="B609" s="195" t="s">
        <v>895</v>
      </c>
      <c r="C609" s="195" t="s">
        <v>1411</v>
      </c>
      <c r="D609" s="195" t="s">
        <v>1695</v>
      </c>
      <c r="E609" s="195" t="s">
        <v>1731</v>
      </c>
      <c r="F609" s="197" t="s">
        <v>221</v>
      </c>
      <c r="G609" s="197">
        <v>96</v>
      </c>
      <c r="H609" s="195">
        <v>2</v>
      </c>
      <c r="I609" s="195">
        <v>60</v>
      </c>
      <c r="J609" s="195">
        <v>110</v>
      </c>
      <c r="K609" s="198" t="s">
        <v>1337</v>
      </c>
      <c r="L609" s="195" t="s">
        <v>526</v>
      </c>
      <c r="N609" s="382" t="s">
        <v>456</v>
      </c>
    </row>
    <row r="610" spans="1:14" ht="12.75" customHeight="1" x14ac:dyDescent="0.2">
      <c r="A610" s="195" t="s">
        <v>1737</v>
      </c>
      <c r="B610" s="195" t="s">
        <v>895</v>
      </c>
      <c r="C610" s="195" t="s">
        <v>1411</v>
      </c>
      <c r="D610" s="195" t="s">
        <v>1695</v>
      </c>
      <c r="E610" s="195" t="s">
        <v>1731</v>
      </c>
      <c r="F610" s="197" t="s">
        <v>525</v>
      </c>
      <c r="G610" s="197">
        <v>96</v>
      </c>
      <c r="H610" s="195">
        <v>2</v>
      </c>
      <c r="I610" s="195">
        <v>60</v>
      </c>
      <c r="J610" s="195">
        <v>138</v>
      </c>
      <c r="K610" s="198" t="s">
        <v>1337</v>
      </c>
      <c r="L610" s="195" t="s">
        <v>526</v>
      </c>
      <c r="N610" s="382" t="s">
        <v>456</v>
      </c>
    </row>
    <row r="611" spans="1:14" ht="12.75" customHeight="1" x14ac:dyDescent="0.2">
      <c r="A611" s="195" t="s">
        <v>1738</v>
      </c>
      <c r="B611" s="195" t="s">
        <v>895</v>
      </c>
      <c r="C611" s="195" t="s">
        <v>1411</v>
      </c>
      <c r="D611" s="195" t="s">
        <v>1711</v>
      </c>
      <c r="E611" s="195" t="s">
        <v>1739</v>
      </c>
      <c r="F611" s="197" t="s">
        <v>525</v>
      </c>
      <c r="G611" s="197">
        <v>96</v>
      </c>
      <c r="H611" s="195">
        <v>2</v>
      </c>
      <c r="I611" s="195">
        <v>185</v>
      </c>
      <c r="J611" s="195">
        <v>390</v>
      </c>
      <c r="K611" s="198" t="s">
        <v>1341</v>
      </c>
      <c r="L611" s="195" t="s">
        <v>526</v>
      </c>
      <c r="N611" s="382" t="s">
        <v>456</v>
      </c>
    </row>
    <row r="612" spans="1:14" ht="12.75" customHeight="1" x14ac:dyDescent="0.2">
      <c r="A612" s="195" t="s">
        <v>1740</v>
      </c>
      <c r="B612" s="195" t="s">
        <v>895</v>
      </c>
      <c r="C612" s="195" t="s">
        <v>1411</v>
      </c>
      <c r="D612" s="195" t="s">
        <v>1714</v>
      </c>
      <c r="E612" s="195" t="s">
        <v>1741</v>
      </c>
      <c r="F612" s="197" t="s">
        <v>931</v>
      </c>
      <c r="G612" s="197">
        <v>96</v>
      </c>
      <c r="H612" s="195">
        <v>2</v>
      </c>
      <c r="I612" s="195">
        <v>75</v>
      </c>
      <c r="J612" s="195">
        <v>158</v>
      </c>
      <c r="K612" s="198" t="s">
        <v>1337</v>
      </c>
      <c r="L612" s="195" t="s">
        <v>526</v>
      </c>
      <c r="N612" s="382" t="s">
        <v>456</v>
      </c>
    </row>
    <row r="613" spans="1:14" ht="12.75" customHeight="1" x14ac:dyDescent="0.2">
      <c r="A613" s="195" t="s">
        <v>1742</v>
      </c>
      <c r="B613" s="195" t="s">
        <v>895</v>
      </c>
      <c r="C613" s="195" t="s">
        <v>1411</v>
      </c>
      <c r="D613" s="195" t="s">
        <v>1717</v>
      </c>
      <c r="E613" s="195" t="s">
        <v>1743</v>
      </c>
      <c r="F613" s="197" t="s">
        <v>931</v>
      </c>
      <c r="G613" s="197">
        <v>96</v>
      </c>
      <c r="H613" s="195">
        <v>2</v>
      </c>
      <c r="I613" s="195">
        <v>110</v>
      </c>
      <c r="J613" s="195">
        <v>237</v>
      </c>
      <c r="K613" s="198" t="s">
        <v>1341</v>
      </c>
      <c r="L613" s="195" t="s">
        <v>526</v>
      </c>
      <c r="N613" s="382" t="s">
        <v>456</v>
      </c>
    </row>
    <row r="614" spans="1:14" ht="12.75" customHeight="1" x14ac:dyDescent="0.2">
      <c r="A614" s="195" t="s">
        <v>1744</v>
      </c>
      <c r="B614" s="195" t="s">
        <v>895</v>
      </c>
      <c r="C614" s="195" t="s">
        <v>1411</v>
      </c>
      <c r="D614" s="195" t="s">
        <v>1717</v>
      </c>
      <c r="E614" s="195" t="s">
        <v>1743</v>
      </c>
      <c r="F614" s="197" t="s">
        <v>221</v>
      </c>
      <c r="G614" s="197">
        <v>96</v>
      </c>
      <c r="H614" s="195">
        <v>2</v>
      </c>
      <c r="I614" s="195">
        <v>110</v>
      </c>
      <c r="J614" s="195">
        <v>195</v>
      </c>
      <c r="K614" s="198" t="s">
        <v>1341</v>
      </c>
      <c r="L614" s="195" t="s">
        <v>526</v>
      </c>
      <c r="N614" s="382" t="s">
        <v>456</v>
      </c>
    </row>
    <row r="615" spans="1:14" ht="12.75" customHeight="1" x14ac:dyDescent="0.2">
      <c r="A615" s="195" t="s">
        <v>1745</v>
      </c>
      <c r="B615" s="195" t="s">
        <v>895</v>
      </c>
      <c r="C615" s="195" t="s">
        <v>1411</v>
      </c>
      <c r="D615" s="195" t="s">
        <v>1717</v>
      </c>
      <c r="E615" s="195" t="s">
        <v>1743</v>
      </c>
      <c r="F615" s="197" t="s">
        <v>525</v>
      </c>
      <c r="G615" s="197">
        <v>96</v>
      </c>
      <c r="H615" s="195">
        <v>2</v>
      </c>
      <c r="I615" s="195">
        <v>110</v>
      </c>
      <c r="J615" s="195">
        <v>257</v>
      </c>
      <c r="K615" s="198" t="s">
        <v>1341</v>
      </c>
      <c r="L615" s="195" t="s">
        <v>526</v>
      </c>
      <c r="N615" s="382" t="s">
        <v>456</v>
      </c>
    </row>
    <row r="616" spans="1:14" ht="12.75" customHeight="1" x14ac:dyDescent="0.2">
      <c r="A616" s="195" t="s">
        <v>1746</v>
      </c>
      <c r="B616" s="195" t="s">
        <v>895</v>
      </c>
      <c r="C616" s="195" t="s">
        <v>1411</v>
      </c>
      <c r="D616" s="195" t="s">
        <v>1714</v>
      </c>
      <c r="E616" s="195" t="s">
        <v>1747</v>
      </c>
      <c r="F616" s="197" t="s">
        <v>221</v>
      </c>
      <c r="G616" s="197">
        <v>96</v>
      </c>
      <c r="H616" s="195">
        <v>2</v>
      </c>
      <c r="I616" s="195">
        <v>75</v>
      </c>
      <c r="J616" s="195">
        <v>134</v>
      </c>
      <c r="K616" s="198" t="s">
        <v>1337</v>
      </c>
      <c r="L616" s="195" t="s">
        <v>526</v>
      </c>
      <c r="N616" s="382" t="s">
        <v>456</v>
      </c>
    </row>
    <row r="617" spans="1:14" ht="12.75" customHeight="1" x14ac:dyDescent="0.2">
      <c r="A617" s="195" t="s">
        <v>1748</v>
      </c>
      <c r="B617" s="195" t="s">
        <v>895</v>
      </c>
      <c r="C617" s="195" t="s">
        <v>1411</v>
      </c>
      <c r="D617" s="195" t="s">
        <v>1714</v>
      </c>
      <c r="E617" s="195" t="s">
        <v>1741</v>
      </c>
      <c r="F617" s="197" t="s">
        <v>525</v>
      </c>
      <c r="G617" s="197">
        <v>96</v>
      </c>
      <c r="H617" s="195">
        <v>2</v>
      </c>
      <c r="I617" s="195">
        <v>75</v>
      </c>
      <c r="J617" s="195">
        <v>173</v>
      </c>
      <c r="K617" s="198" t="s">
        <v>1337</v>
      </c>
      <c r="L617" s="195" t="s">
        <v>526</v>
      </c>
      <c r="N617" s="382" t="s">
        <v>456</v>
      </c>
    </row>
    <row r="618" spans="1:14" ht="12.75" customHeight="1" x14ac:dyDescent="0.2">
      <c r="A618" s="195" t="s">
        <v>1749</v>
      </c>
      <c r="B618" s="195" t="s">
        <v>895</v>
      </c>
      <c r="C618" s="195" t="s">
        <v>1411</v>
      </c>
      <c r="D618" s="195" t="s">
        <v>1728</v>
      </c>
      <c r="E618" s="195" t="s">
        <v>1750</v>
      </c>
      <c r="F618" s="197" t="s">
        <v>525</v>
      </c>
      <c r="G618" s="197">
        <v>96</v>
      </c>
      <c r="H618" s="195">
        <v>2</v>
      </c>
      <c r="I618" s="195">
        <v>215</v>
      </c>
      <c r="J618" s="195">
        <v>450</v>
      </c>
      <c r="K618" s="198" t="s">
        <v>1341</v>
      </c>
      <c r="L618" s="195" t="s">
        <v>526</v>
      </c>
      <c r="N618" s="382" t="s">
        <v>456</v>
      </c>
    </row>
    <row r="619" spans="1:14" ht="12.75" customHeight="1" x14ac:dyDescent="0.2">
      <c r="A619" s="195" t="s">
        <v>1751</v>
      </c>
      <c r="B619" s="195" t="s">
        <v>895</v>
      </c>
      <c r="C619" s="195" t="s">
        <v>1411</v>
      </c>
      <c r="D619" s="195" t="s">
        <v>1695</v>
      </c>
      <c r="E619" s="195" t="s">
        <v>1752</v>
      </c>
      <c r="F619" s="197" t="s">
        <v>931</v>
      </c>
      <c r="G619" s="197">
        <v>96</v>
      </c>
      <c r="H619" s="195">
        <v>3</v>
      </c>
      <c r="I619" s="195">
        <v>60</v>
      </c>
      <c r="J619" s="195">
        <v>210</v>
      </c>
      <c r="K619" s="198" t="s">
        <v>1343</v>
      </c>
      <c r="L619" s="195" t="s">
        <v>526</v>
      </c>
      <c r="N619" s="382" t="s">
        <v>456</v>
      </c>
    </row>
    <row r="620" spans="1:14" ht="12.75" customHeight="1" x14ac:dyDescent="0.2">
      <c r="A620" s="195" t="s">
        <v>1753</v>
      </c>
      <c r="B620" s="195" t="s">
        <v>895</v>
      </c>
      <c r="C620" s="195" t="s">
        <v>1411</v>
      </c>
      <c r="D620" s="195" t="s">
        <v>1700</v>
      </c>
      <c r="E620" s="195" t="s">
        <v>1754</v>
      </c>
      <c r="F620" s="197" t="s">
        <v>1755</v>
      </c>
      <c r="G620" s="197">
        <v>96</v>
      </c>
      <c r="H620" s="195">
        <v>3</v>
      </c>
      <c r="I620" s="195">
        <v>95</v>
      </c>
      <c r="J620" s="195">
        <v>319</v>
      </c>
      <c r="K620" s="198" t="s">
        <v>1756</v>
      </c>
      <c r="L620" s="195" t="s">
        <v>526</v>
      </c>
      <c r="N620" s="382" t="s">
        <v>456</v>
      </c>
    </row>
    <row r="621" spans="1:14" ht="12.75" customHeight="1" x14ac:dyDescent="0.2">
      <c r="A621" s="195" t="s">
        <v>1757</v>
      </c>
      <c r="B621" s="195" t="s">
        <v>895</v>
      </c>
      <c r="C621" s="195" t="s">
        <v>1411</v>
      </c>
      <c r="D621" s="195" t="s">
        <v>1700</v>
      </c>
      <c r="E621" s="195" t="s">
        <v>1758</v>
      </c>
      <c r="F621" s="197" t="s">
        <v>525</v>
      </c>
      <c r="G621" s="197">
        <v>96</v>
      </c>
      <c r="H621" s="195">
        <v>3</v>
      </c>
      <c r="I621" s="195">
        <v>95</v>
      </c>
      <c r="J621" s="195">
        <v>352</v>
      </c>
      <c r="K621" s="198" t="s">
        <v>1756</v>
      </c>
      <c r="L621" s="195" t="s">
        <v>526</v>
      </c>
      <c r="N621" s="382" t="s">
        <v>456</v>
      </c>
    </row>
    <row r="622" spans="1:14" ht="12.75" customHeight="1" x14ac:dyDescent="0.2">
      <c r="A622" s="195" t="s">
        <v>1759</v>
      </c>
      <c r="B622" s="195" t="s">
        <v>895</v>
      </c>
      <c r="C622" s="195" t="s">
        <v>1411</v>
      </c>
      <c r="D622" s="195" t="s">
        <v>1695</v>
      </c>
      <c r="E622" s="195" t="s">
        <v>1752</v>
      </c>
      <c r="F622" s="197" t="s">
        <v>221</v>
      </c>
      <c r="G622" s="197">
        <v>96</v>
      </c>
      <c r="H622" s="195">
        <v>3</v>
      </c>
      <c r="I622" s="195">
        <v>60</v>
      </c>
      <c r="J622" s="195">
        <v>179</v>
      </c>
      <c r="K622" s="198" t="s">
        <v>1343</v>
      </c>
      <c r="L622" s="195" t="s">
        <v>526</v>
      </c>
      <c r="N622" s="382" t="s">
        <v>456</v>
      </c>
    </row>
    <row r="623" spans="1:14" ht="12.75" customHeight="1" x14ac:dyDescent="0.2">
      <c r="A623" s="195" t="s">
        <v>1760</v>
      </c>
      <c r="B623" s="195" t="s">
        <v>895</v>
      </c>
      <c r="C623" s="195" t="s">
        <v>1411</v>
      </c>
      <c r="D623" s="195" t="s">
        <v>1695</v>
      </c>
      <c r="E623" s="195" t="s">
        <v>1752</v>
      </c>
      <c r="F623" s="197" t="s">
        <v>525</v>
      </c>
      <c r="G623" s="197">
        <v>96</v>
      </c>
      <c r="H623" s="195">
        <v>3</v>
      </c>
      <c r="I623" s="195">
        <v>60</v>
      </c>
      <c r="J623" s="195">
        <v>221</v>
      </c>
      <c r="K623" s="198" t="s">
        <v>1343</v>
      </c>
      <c r="L623" s="195" t="s">
        <v>526</v>
      </c>
      <c r="N623" s="382" t="s">
        <v>456</v>
      </c>
    </row>
    <row r="624" spans="1:14" ht="12.75" customHeight="1" x14ac:dyDescent="0.2">
      <c r="A624" s="195" t="s">
        <v>1761</v>
      </c>
      <c r="B624" s="195" t="s">
        <v>895</v>
      </c>
      <c r="C624" s="195" t="s">
        <v>1411</v>
      </c>
      <c r="D624" s="195" t="s">
        <v>1711</v>
      </c>
      <c r="E624" s="195" t="s">
        <v>1762</v>
      </c>
      <c r="F624" s="197" t="s">
        <v>525</v>
      </c>
      <c r="G624" s="197">
        <v>96</v>
      </c>
      <c r="H624" s="195">
        <v>3</v>
      </c>
      <c r="I624" s="195">
        <v>185</v>
      </c>
      <c r="J624" s="195">
        <v>590</v>
      </c>
      <c r="K624" s="198" t="s">
        <v>1756</v>
      </c>
      <c r="L624" s="195" t="s">
        <v>526</v>
      </c>
      <c r="N624" s="382" t="s">
        <v>456</v>
      </c>
    </row>
    <row r="625" spans="1:14" ht="12.75" customHeight="1" x14ac:dyDescent="0.2">
      <c r="A625" s="195" t="s">
        <v>1763</v>
      </c>
      <c r="B625" s="195" t="s">
        <v>895</v>
      </c>
      <c r="C625" s="195" t="s">
        <v>1411</v>
      </c>
      <c r="D625" s="195" t="s">
        <v>1717</v>
      </c>
      <c r="E625" s="195" t="s">
        <v>1764</v>
      </c>
      <c r="F625" s="197" t="s">
        <v>525</v>
      </c>
      <c r="G625" s="197">
        <v>96</v>
      </c>
      <c r="H625" s="195">
        <v>3</v>
      </c>
      <c r="I625" s="195">
        <v>110</v>
      </c>
      <c r="J625" s="195">
        <v>392</v>
      </c>
      <c r="K625" s="198" t="s">
        <v>1756</v>
      </c>
      <c r="L625" s="195" t="s">
        <v>526</v>
      </c>
      <c r="N625" s="382" t="s">
        <v>456</v>
      </c>
    </row>
    <row r="626" spans="1:14" ht="12.75" customHeight="1" x14ac:dyDescent="0.2">
      <c r="A626" s="195" t="s">
        <v>1765</v>
      </c>
      <c r="B626" s="195" t="s">
        <v>895</v>
      </c>
      <c r="C626" s="195" t="s">
        <v>1411</v>
      </c>
      <c r="D626" s="195" t="s">
        <v>1714</v>
      </c>
      <c r="E626" s="195" t="s">
        <v>1766</v>
      </c>
      <c r="F626" s="197" t="s">
        <v>525</v>
      </c>
      <c r="G626" s="197">
        <v>96</v>
      </c>
      <c r="H626" s="195">
        <v>3</v>
      </c>
      <c r="I626" s="195">
        <v>75</v>
      </c>
      <c r="J626" s="195">
        <v>273</v>
      </c>
      <c r="K626" s="198" t="s">
        <v>1343</v>
      </c>
      <c r="L626" s="195" t="s">
        <v>526</v>
      </c>
      <c r="N626" s="382" t="s">
        <v>456</v>
      </c>
    </row>
    <row r="627" spans="1:14" ht="12.75" customHeight="1" x14ac:dyDescent="0.2">
      <c r="A627" s="195" t="s">
        <v>1767</v>
      </c>
      <c r="B627" s="195" t="s">
        <v>895</v>
      </c>
      <c r="C627" s="195" t="s">
        <v>1411</v>
      </c>
      <c r="D627" s="195" t="s">
        <v>1728</v>
      </c>
      <c r="E627" s="195" t="s">
        <v>1768</v>
      </c>
      <c r="F627" s="197" t="s">
        <v>525</v>
      </c>
      <c r="G627" s="197">
        <v>96</v>
      </c>
      <c r="H627" s="195">
        <v>3</v>
      </c>
      <c r="I627" s="195">
        <v>215</v>
      </c>
      <c r="J627" s="195">
        <v>680</v>
      </c>
      <c r="K627" s="198" t="s">
        <v>1756</v>
      </c>
      <c r="L627" s="195" t="s">
        <v>526</v>
      </c>
      <c r="N627" s="382" t="s">
        <v>456</v>
      </c>
    </row>
    <row r="628" spans="1:14" ht="12.75" customHeight="1" x14ac:dyDescent="0.2">
      <c r="A628" s="195" t="s">
        <v>1769</v>
      </c>
      <c r="B628" s="195" t="s">
        <v>895</v>
      </c>
      <c r="C628" s="195" t="s">
        <v>1411</v>
      </c>
      <c r="D628" s="195" t="s">
        <v>1695</v>
      </c>
      <c r="E628" s="195" t="s">
        <v>1770</v>
      </c>
      <c r="F628" s="197" t="s">
        <v>931</v>
      </c>
      <c r="G628" s="197">
        <v>96</v>
      </c>
      <c r="H628" s="195">
        <v>4</v>
      </c>
      <c r="I628" s="195">
        <v>60</v>
      </c>
      <c r="J628" s="195">
        <v>246</v>
      </c>
      <c r="K628" s="198" t="s">
        <v>1345</v>
      </c>
      <c r="L628" s="195" t="s">
        <v>526</v>
      </c>
      <c r="N628" s="382" t="s">
        <v>456</v>
      </c>
    </row>
    <row r="629" spans="1:14" ht="12.75" customHeight="1" x14ac:dyDescent="0.2">
      <c r="A629" s="195" t="s">
        <v>1771</v>
      </c>
      <c r="B629" s="195" t="s">
        <v>895</v>
      </c>
      <c r="C629" s="195" t="s">
        <v>1411</v>
      </c>
      <c r="D629" s="195" t="s">
        <v>1700</v>
      </c>
      <c r="E629" s="195" t="s">
        <v>1772</v>
      </c>
      <c r="F629" s="197" t="s">
        <v>931</v>
      </c>
      <c r="G629" s="197">
        <v>96</v>
      </c>
      <c r="H629" s="195">
        <v>4</v>
      </c>
      <c r="I629" s="195">
        <v>95</v>
      </c>
      <c r="J629" s="195">
        <v>414</v>
      </c>
      <c r="K629" s="198" t="s">
        <v>1347</v>
      </c>
      <c r="L629" s="195" t="s">
        <v>526</v>
      </c>
      <c r="N629" s="382" t="s">
        <v>456</v>
      </c>
    </row>
    <row r="630" spans="1:14" ht="12.75" customHeight="1" x14ac:dyDescent="0.2">
      <c r="A630" s="195" t="s">
        <v>1773</v>
      </c>
      <c r="B630" s="195" t="s">
        <v>895</v>
      </c>
      <c r="C630" s="195" t="s">
        <v>1411</v>
      </c>
      <c r="D630" s="195" t="s">
        <v>1700</v>
      </c>
      <c r="E630" s="195" t="s">
        <v>1772</v>
      </c>
      <c r="F630" s="197" t="s">
        <v>221</v>
      </c>
      <c r="G630" s="197">
        <v>96</v>
      </c>
      <c r="H630" s="195">
        <v>4</v>
      </c>
      <c r="I630" s="195">
        <v>95</v>
      </c>
      <c r="J630" s="195">
        <v>340</v>
      </c>
      <c r="K630" s="198" t="s">
        <v>1347</v>
      </c>
      <c r="L630" s="195" t="s">
        <v>526</v>
      </c>
      <c r="N630" s="382" t="s">
        <v>456</v>
      </c>
    </row>
    <row r="631" spans="1:14" ht="12.75" customHeight="1" x14ac:dyDescent="0.2">
      <c r="A631" s="195" t="s">
        <v>1774</v>
      </c>
      <c r="B631" s="195" t="s">
        <v>895</v>
      </c>
      <c r="C631" s="195" t="s">
        <v>1411</v>
      </c>
      <c r="D631" s="195" t="s">
        <v>1700</v>
      </c>
      <c r="E631" s="195" t="s">
        <v>1772</v>
      </c>
      <c r="F631" s="197" t="s">
        <v>525</v>
      </c>
      <c r="G631" s="197">
        <v>96</v>
      </c>
      <c r="H631" s="195">
        <v>4</v>
      </c>
      <c r="I631" s="195">
        <v>95</v>
      </c>
      <c r="J631" s="195">
        <v>454</v>
      </c>
      <c r="K631" s="198" t="s">
        <v>1347</v>
      </c>
      <c r="L631" s="195" t="s">
        <v>526</v>
      </c>
      <c r="N631" s="382" t="s">
        <v>456</v>
      </c>
    </row>
    <row r="632" spans="1:14" ht="12.75" customHeight="1" x14ac:dyDescent="0.2">
      <c r="A632" s="195" t="s">
        <v>1775</v>
      </c>
      <c r="B632" s="195" t="s">
        <v>895</v>
      </c>
      <c r="C632" s="195" t="s">
        <v>1411</v>
      </c>
      <c r="D632" s="195" t="s">
        <v>1695</v>
      </c>
      <c r="E632" s="195" t="s">
        <v>1770</v>
      </c>
      <c r="F632" s="197" t="s">
        <v>221</v>
      </c>
      <c r="G632" s="197">
        <v>96</v>
      </c>
      <c r="H632" s="195">
        <v>4</v>
      </c>
      <c r="I632" s="195">
        <v>60</v>
      </c>
      <c r="J632" s="195">
        <v>220</v>
      </c>
      <c r="K632" s="198" t="s">
        <v>1345</v>
      </c>
      <c r="L632" s="195" t="s">
        <v>526</v>
      </c>
      <c r="N632" s="382" t="s">
        <v>456</v>
      </c>
    </row>
    <row r="633" spans="1:14" ht="12.75" customHeight="1" x14ac:dyDescent="0.2">
      <c r="A633" s="195" t="s">
        <v>1776</v>
      </c>
      <c r="B633" s="195" t="s">
        <v>895</v>
      </c>
      <c r="C633" s="195" t="s">
        <v>1411</v>
      </c>
      <c r="D633" s="195" t="s">
        <v>1695</v>
      </c>
      <c r="E633" s="195" t="s">
        <v>1770</v>
      </c>
      <c r="F633" s="197" t="s">
        <v>525</v>
      </c>
      <c r="G633" s="197">
        <v>96</v>
      </c>
      <c r="H633" s="195">
        <v>4</v>
      </c>
      <c r="I633" s="195">
        <v>60</v>
      </c>
      <c r="J633" s="195">
        <v>276</v>
      </c>
      <c r="K633" s="198" t="s">
        <v>1345</v>
      </c>
      <c r="L633" s="195" t="s">
        <v>526</v>
      </c>
      <c r="N633" s="382" t="s">
        <v>456</v>
      </c>
    </row>
    <row r="634" spans="1:14" ht="12.75" customHeight="1" x14ac:dyDescent="0.2">
      <c r="A634" s="195" t="s">
        <v>1777</v>
      </c>
      <c r="B634" s="195" t="s">
        <v>895</v>
      </c>
      <c r="C634" s="195" t="s">
        <v>1411</v>
      </c>
      <c r="D634" s="195" t="s">
        <v>1711</v>
      </c>
      <c r="E634" s="195" t="s">
        <v>1778</v>
      </c>
      <c r="F634" s="197" t="s">
        <v>525</v>
      </c>
      <c r="G634" s="197">
        <v>96</v>
      </c>
      <c r="H634" s="195">
        <v>4</v>
      </c>
      <c r="I634" s="195">
        <v>185</v>
      </c>
      <c r="J634" s="195">
        <v>780</v>
      </c>
      <c r="K634" s="198" t="s">
        <v>1347</v>
      </c>
      <c r="L634" s="195" t="s">
        <v>526</v>
      </c>
      <c r="N634" s="382" t="s">
        <v>456</v>
      </c>
    </row>
    <row r="635" spans="1:14" ht="12.75" customHeight="1" x14ac:dyDescent="0.2">
      <c r="A635" s="195" t="s">
        <v>1779</v>
      </c>
      <c r="B635" s="195" t="s">
        <v>895</v>
      </c>
      <c r="C635" s="195" t="s">
        <v>1411</v>
      </c>
      <c r="D635" s="195" t="s">
        <v>1714</v>
      </c>
      <c r="E635" s="195" t="s">
        <v>1780</v>
      </c>
      <c r="F635" s="197" t="s">
        <v>931</v>
      </c>
      <c r="G635" s="197">
        <v>96</v>
      </c>
      <c r="H635" s="195">
        <v>4</v>
      </c>
      <c r="I635" s="195">
        <v>75</v>
      </c>
      <c r="J635" s="195">
        <v>316</v>
      </c>
      <c r="K635" s="198" t="s">
        <v>1345</v>
      </c>
      <c r="L635" s="195" t="s">
        <v>526</v>
      </c>
      <c r="N635" s="382" t="s">
        <v>456</v>
      </c>
    </row>
    <row r="636" spans="1:14" ht="12.75" customHeight="1" x14ac:dyDescent="0.2">
      <c r="A636" s="195" t="s">
        <v>1781</v>
      </c>
      <c r="B636" s="195" t="s">
        <v>895</v>
      </c>
      <c r="C636" s="195" t="s">
        <v>1411</v>
      </c>
      <c r="D636" s="195" t="s">
        <v>1717</v>
      </c>
      <c r="E636" s="195" t="s">
        <v>1782</v>
      </c>
      <c r="F636" s="197" t="s">
        <v>931</v>
      </c>
      <c r="G636" s="197">
        <v>96</v>
      </c>
      <c r="H636" s="195">
        <v>4</v>
      </c>
      <c r="I636" s="195">
        <v>110</v>
      </c>
      <c r="J636" s="195">
        <v>474</v>
      </c>
      <c r="K636" s="198" t="s">
        <v>1347</v>
      </c>
      <c r="L636" s="195" t="s">
        <v>526</v>
      </c>
      <c r="N636" s="382" t="s">
        <v>456</v>
      </c>
    </row>
    <row r="637" spans="1:14" ht="12.75" customHeight="1" x14ac:dyDescent="0.2">
      <c r="A637" s="195" t="s">
        <v>1783</v>
      </c>
      <c r="B637" s="195" t="s">
        <v>895</v>
      </c>
      <c r="C637" s="195" t="s">
        <v>1411</v>
      </c>
      <c r="D637" s="195" t="s">
        <v>1717</v>
      </c>
      <c r="E637" s="195" t="s">
        <v>1782</v>
      </c>
      <c r="F637" s="197" t="s">
        <v>221</v>
      </c>
      <c r="G637" s="197">
        <v>96</v>
      </c>
      <c r="H637" s="195">
        <v>4</v>
      </c>
      <c r="I637" s="195">
        <v>110</v>
      </c>
      <c r="J637" s="195">
        <v>390</v>
      </c>
      <c r="K637" s="198" t="s">
        <v>1347</v>
      </c>
      <c r="L637" s="195" t="s">
        <v>526</v>
      </c>
      <c r="N637" s="382" t="s">
        <v>456</v>
      </c>
    </row>
    <row r="638" spans="1:14" ht="12.75" customHeight="1" x14ac:dyDescent="0.2">
      <c r="A638" s="195" t="s">
        <v>1784</v>
      </c>
      <c r="B638" s="195" t="s">
        <v>895</v>
      </c>
      <c r="C638" s="195" t="s">
        <v>1411</v>
      </c>
      <c r="D638" s="195" t="s">
        <v>1717</v>
      </c>
      <c r="E638" s="195" t="s">
        <v>1782</v>
      </c>
      <c r="F638" s="197" t="s">
        <v>525</v>
      </c>
      <c r="G638" s="197">
        <v>96</v>
      </c>
      <c r="H638" s="195">
        <v>4</v>
      </c>
      <c r="I638" s="195">
        <v>110</v>
      </c>
      <c r="J638" s="195">
        <v>514</v>
      </c>
      <c r="K638" s="198" t="s">
        <v>1347</v>
      </c>
      <c r="L638" s="195" t="s">
        <v>526</v>
      </c>
      <c r="N638" s="382" t="s">
        <v>456</v>
      </c>
    </row>
    <row r="639" spans="1:14" ht="12.75" customHeight="1" x14ac:dyDescent="0.2">
      <c r="A639" s="195" t="s">
        <v>1785</v>
      </c>
      <c r="B639" s="195" t="s">
        <v>895</v>
      </c>
      <c r="C639" s="195" t="s">
        <v>1411</v>
      </c>
      <c r="D639" s="195" t="s">
        <v>1714</v>
      </c>
      <c r="E639" s="195" t="s">
        <v>1786</v>
      </c>
      <c r="F639" s="197" t="s">
        <v>221</v>
      </c>
      <c r="G639" s="197">
        <v>96</v>
      </c>
      <c r="H639" s="195">
        <v>4</v>
      </c>
      <c r="I639" s="195">
        <v>75</v>
      </c>
      <c r="J639" s="195">
        <v>268</v>
      </c>
      <c r="K639" s="198" t="s">
        <v>1345</v>
      </c>
      <c r="L639" s="195" t="s">
        <v>526</v>
      </c>
      <c r="N639" s="382" t="s">
        <v>456</v>
      </c>
    </row>
    <row r="640" spans="1:14" ht="12.75" customHeight="1" x14ac:dyDescent="0.2">
      <c r="A640" s="195" t="s">
        <v>1787</v>
      </c>
      <c r="B640" s="195" t="s">
        <v>895</v>
      </c>
      <c r="C640" s="195" t="s">
        <v>1411</v>
      </c>
      <c r="D640" s="195" t="s">
        <v>1714</v>
      </c>
      <c r="E640" s="195" t="s">
        <v>1780</v>
      </c>
      <c r="F640" s="197" t="s">
        <v>525</v>
      </c>
      <c r="G640" s="197">
        <v>96</v>
      </c>
      <c r="H640" s="195">
        <v>4</v>
      </c>
      <c r="I640" s="195">
        <v>75</v>
      </c>
      <c r="J640" s="195">
        <v>346</v>
      </c>
      <c r="K640" s="198" t="s">
        <v>1345</v>
      </c>
      <c r="L640" s="195" t="s">
        <v>526</v>
      </c>
      <c r="N640" s="382" t="s">
        <v>456</v>
      </c>
    </row>
    <row r="641" spans="1:14" ht="12.75" customHeight="1" x14ac:dyDescent="0.2">
      <c r="A641" s="195" t="s">
        <v>1788</v>
      </c>
      <c r="B641" s="195" t="s">
        <v>895</v>
      </c>
      <c r="C641" s="195" t="s">
        <v>1411</v>
      </c>
      <c r="D641" s="195" t="s">
        <v>1728</v>
      </c>
      <c r="E641" s="195" t="s">
        <v>1789</v>
      </c>
      <c r="F641" s="197" t="s">
        <v>525</v>
      </c>
      <c r="G641" s="197">
        <v>96</v>
      </c>
      <c r="H641" s="195">
        <v>4</v>
      </c>
      <c r="I641" s="195">
        <v>215</v>
      </c>
      <c r="J641" s="195">
        <v>900</v>
      </c>
      <c r="K641" s="198" t="s">
        <v>1347</v>
      </c>
      <c r="L641" s="195" t="s">
        <v>526</v>
      </c>
      <c r="N641" s="382" t="s">
        <v>456</v>
      </c>
    </row>
    <row r="642" spans="1:14" ht="12.75" customHeight="1" x14ac:dyDescent="0.2">
      <c r="A642" s="195" t="s">
        <v>1790</v>
      </c>
      <c r="B642" s="195" t="s">
        <v>895</v>
      </c>
      <c r="C642" s="195" t="s">
        <v>1411</v>
      </c>
      <c r="D642" s="195" t="s">
        <v>1700</v>
      </c>
      <c r="E642" s="195" t="s">
        <v>1791</v>
      </c>
      <c r="F642" s="197" t="s">
        <v>525</v>
      </c>
      <c r="G642" s="197">
        <v>96</v>
      </c>
      <c r="H642" s="195">
        <v>6</v>
      </c>
      <c r="I642" s="195">
        <v>95</v>
      </c>
      <c r="J642" s="195">
        <v>721</v>
      </c>
      <c r="K642" s="198" t="s">
        <v>1792</v>
      </c>
      <c r="L642" s="195" t="s">
        <v>526</v>
      </c>
      <c r="N642" s="382" t="s">
        <v>456</v>
      </c>
    </row>
    <row r="643" spans="1:14" ht="12.75" customHeight="1" x14ac:dyDescent="0.2">
      <c r="A643" s="195" t="s">
        <v>1793</v>
      </c>
      <c r="B643" s="195" t="s">
        <v>895</v>
      </c>
      <c r="C643" s="195" t="s">
        <v>1411</v>
      </c>
      <c r="D643" s="195" t="s">
        <v>1695</v>
      </c>
      <c r="E643" s="195" t="s">
        <v>1794</v>
      </c>
      <c r="F643" s="197" t="s">
        <v>931</v>
      </c>
      <c r="G643" s="197">
        <v>96</v>
      </c>
      <c r="H643" s="195">
        <v>6</v>
      </c>
      <c r="I643" s="195">
        <v>60</v>
      </c>
      <c r="J643" s="195">
        <v>369</v>
      </c>
      <c r="K643" s="198" t="s">
        <v>1349</v>
      </c>
      <c r="L643" s="195" t="s">
        <v>526</v>
      </c>
      <c r="N643" s="382" t="s">
        <v>456</v>
      </c>
    </row>
    <row r="644" spans="1:14" ht="12.75" customHeight="1" x14ac:dyDescent="0.2">
      <c r="A644" s="195" t="s">
        <v>1795</v>
      </c>
      <c r="B644" s="195" t="s">
        <v>895</v>
      </c>
      <c r="C644" s="195" t="s">
        <v>1411</v>
      </c>
      <c r="D644" s="195" t="s">
        <v>1695</v>
      </c>
      <c r="E644" s="195" t="s">
        <v>1794</v>
      </c>
      <c r="F644" s="197" t="s">
        <v>221</v>
      </c>
      <c r="G644" s="197">
        <v>96</v>
      </c>
      <c r="H644" s="195">
        <v>6</v>
      </c>
      <c r="I644" s="195">
        <v>60</v>
      </c>
      <c r="J644" s="195">
        <v>330</v>
      </c>
      <c r="K644" s="198" t="s">
        <v>1349</v>
      </c>
      <c r="L644" s="195" t="s">
        <v>526</v>
      </c>
      <c r="N644" s="382" t="s">
        <v>456</v>
      </c>
    </row>
    <row r="645" spans="1:14" ht="12.75" customHeight="1" x14ac:dyDescent="0.2">
      <c r="A645" s="195" t="s">
        <v>1796</v>
      </c>
      <c r="B645" s="195" t="s">
        <v>895</v>
      </c>
      <c r="C645" s="195" t="s">
        <v>1797</v>
      </c>
      <c r="D645" s="195" t="s">
        <v>1798</v>
      </c>
      <c r="E645" s="195" t="s">
        <v>1799</v>
      </c>
      <c r="F645" s="197" t="s">
        <v>525</v>
      </c>
      <c r="G645" s="197">
        <v>48</v>
      </c>
      <c r="H645" s="195">
        <v>1</v>
      </c>
      <c r="I645" s="195">
        <v>40</v>
      </c>
      <c r="J645" s="195">
        <v>51</v>
      </c>
      <c r="K645" s="198" t="s">
        <v>1037</v>
      </c>
      <c r="L645" s="195" t="s">
        <v>526</v>
      </c>
      <c r="N645" s="382" t="s">
        <v>918</v>
      </c>
    </row>
    <row r="646" spans="1:14" ht="12.75" customHeight="1" x14ac:dyDescent="0.2">
      <c r="A646" s="195" t="s">
        <v>1800</v>
      </c>
      <c r="B646" s="195" t="s">
        <v>1801</v>
      </c>
      <c r="C646" s="195" t="s">
        <v>1801</v>
      </c>
      <c r="D646" s="195" t="s">
        <v>1802</v>
      </c>
      <c r="E646" s="195" t="s">
        <v>1803</v>
      </c>
      <c r="F646" s="197" t="s">
        <v>931</v>
      </c>
      <c r="G646" s="197">
        <v>24</v>
      </c>
      <c r="H646" s="195">
        <v>1</v>
      </c>
      <c r="I646" s="195">
        <v>34</v>
      </c>
      <c r="J646" s="195">
        <v>43</v>
      </c>
      <c r="K646" s="198" t="s">
        <v>1800</v>
      </c>
      <c r="L646" s="195" t="s">
        <v>526</v>
      </c>
      <c r="N646" s="382" t="s">
        <v>456</v>
      </c>
    </row>
    <row r="647" spans="1:14" ht="12.75" customHeight="1" x14ac:dyDescent="0.2">
      <c r="A647" s="195" t="s">
        <v>1804</v>
      </c>
      <c r="B647" s="195" t="s">
        <v>1801</v>
      </c>
      <c r="C647" s="195" t="s">
        <v>1801</v>
      </c>
      <c r="D647" s="195" t="s">
        <v>1805</v>
      </c>
      <c r="E647" s="195" t="s">
        <v>1806</v>
      </c>
      <c r="F647" s="197" t="s">
        <v>221</v>
      </c>
      <c r="G647" s="197">
        <v>24</v>
      </c>
      <c r="H647" s="195">
        <v>1</v>
      </c>
      <c r="I647" s="195">
        <v>32</v>
      </c>
      <c r="J647" s="195">
        <v>31</v>
      </c>
      <c r="K647" s="195" t="s">
        <v>1804</v>
      </c>
      <c r="L647" s="195" t="s">
        <v>526</v>
      </c>
      <c r="N647" s="382" t="s">
        <v>456</v>
      </c>
    </row>
    <row r="648" spans="1:14" ht="12.75" customHeight="1" x14ac:dyDescent="0.2">
      <c r="A648" s="195" t="s">
        <v>1807</v>
      </c>
      <c r="B648" s="195" t="s">
        <v>1801</v>
      </c>
      <c r="C648" s="195" t="s">
        <v>1801</v>
      </c>
      <c r="D648" s="195" t="s">
        <v>1805</v>
      </c>
      <c r="E648" s="195" t="s">
        <v>1808</v>
      </c>
      <c r="F648" s="197" t="s">
        <v>221</v>
      </c>
      <c r="G648" s="197">
        <v>24</v>
      </c>
      <c r="H648" s="195">
        <v>1</v>
      </c>
      <c r="I648" s="195">
        <v>32</v>
      </c>
      <c r="J648" s="195">
        <v>32</v>
      </c>
      <c r="K648" s="195" t="s">
        <v>1807</v>
      </c>
      <c r="L648" s="195" t="s">
        <v>526</v>
      </c>
      <c r="N648" s="382" t="s">
        <v>456</v>
      </c>
    </row>
    <row r="649" spans="1:14" ht="12.75" customHeight="1" x14ac:dyDescent="0.2">
      <c r="A649" s="195" t="s">
        <v>1809</v>
      </c>
      <c r="B649" s="195" t="s">
        <v>1801</v>
      </c>
      <c r="C649" s="195" t="s">
        <v>1801</v>
      </c>
      <c r="D649" s="195" t="s">
        <v>1805</v>
      </c>
      <c r="E649" s="195" t="s">
        <v>1810</v>
      </c>
      <c r="F649" s="195" t="s">
        <v>221</v>
      </c>
      <c r="G649" s="197">
        <v>24</v>
      </c>
      <c r="H649" s="195">
        <v>1</v>
      </c>
      <c r="I649" s="195">
        <v>31</v>
      </c>
      <c r="J649" s="199">
        <v>27</v>
      </c>
      <c r="K649" s="199" t="s">
        <v>1809</v>
      </c>
      <c r="L649" s="195" t="s">
        <v>526</v>
      </c>
      <c r="N649" s="382" t="s">
        <v>456</v>
      </c>
    </row>
    <row r="650" spans="1:14" ht="12.75" customHeight="1" x14ac:dyDescent="0.2">
      <c r="A650" s="195" t="s">
        <v>1811</v>
      </c>
      <c r="B650" s="195" t="s">
        <v>1801</v>
      </c>
      <c r="C650" s="195" t="s">
        <v>1801</v>
      </c>
      <c r="D650" s="195" t="s">
        <v>1812</v>
      </c>
      <c r="E650" s="195" t="s">
        <v>1813</v>
      </c>
      <c r="F650" s="197" t="s">
        <v>525</v>
      </c>
      <c r="G650" s="197">
        <v>24</v>
      </c>
      <c r="H650" s="195">
        <v>2</v>
      </c>
      <c r="I650" s="195">
        <v>40</v>
      </c>
      <c r="J650" s="195">
        <v>96</v>
      </c>
      <c r="K650" s="198" t="s">
        <v>1811</v>
      </c>
      <c r="L650" s="195" t="s">
        <v>526</v>
      </c>
      <c r="N650" s="382" t="s">
        <v>456</v>
      </c>
    </row>
    <row r="651" spans="1:14" ht="12.75" customHeight="1" x14ac:dyDescent="0.2">
      <c r="A651" s="195" t="s">
        <v>1814</v>
      </c>
      <c r="B651" s="195" t="s">
        <v>1801</v>
      </c>
      <c r="C651" s="195" t="s">
        <v>1801</v>
      </c>
      <c r="D651" s="195" t="s">
        <v>1812</v>
      </c>
      <c r="E651" s="195" t="s">
        <v>1813</v>
      </c>
      <c r="F651" s="197" t="s">
        <v>931</v>
      </c>
      <c r="G651" s="197">
        <v>24</v>
      </c>
      <c r="H651" s="195">
        <v>2</v>
      </c>
      <c r="I651" s="195">
        <v>40</v>
      </c>
      <c r="J651" s="195">
        <v>85</v>
      </c>
      <c r="K651" s="198" t="s">
        <v>1814</v>
      </c>
      <c r="L651" s="195" t="s">
        <v>526</v>
      </c>
      <c r="N651" s="382" t="s">
        <v>456</v>
      </c>
    </row>
    <row r="652" spans="1:14" ht="12.75" customHeight="1" x14ac:dyDescent="0.2">
      <c r="A652" s="195" t="s">
        <v>1815</v>
      </c>
      <c r="B652" s="195" t="s">
        <v>1801</v>
      </c>
      <c r="C652" s="195" t="s">
        <v>1801</v>
      </c>
      <c r="D652" s="195" t="s">
        <v>1802</v>
      </c>
      <c r="E652" s="195" t="s">
        <v>1816</v>
      </c>
      <c r="F652" s="197" t="s">
        <v>931</v>
      </c>
      <c r="G652" s="197">
        <v>24</v>
      </c>
      <c r="H652" s="195">
        <v>2</v>
      </c>
      <c r="I652" s="195">
        <v>34</v>
      </c>
      <c r="J652" s="195">
        <v>72</v>
      </c>
      <c r="K652" s="198" t="s">
        <v>1815</v>
      </c>
      <c r="L652" s="195" t="s">
        <v>526</v>
      </c>
      <c r="N652" s="382" t="s">
        <v>456</v>
      </c>
    </row>
    <row r="653" spans="1:14" ht="12.75" customHeight="1" x14ac:dyDescent="0.2">
      <c r="A653" s="195" t="s">
        <v>1817</v>
      </c>
      <c r="B653" s="195" t="s">
        <v>1801</v>
      </c>
      <c r="C653" s="195" t="s">
        <v>1801</v>
      </c>
      <c r="D653" s="195" t="s">
        <v>1802</v>
      </c>
      <c r="E653" s="195" t="s">
        <v>1816</v>
      </c>
      <c r="F653" s="197" t="s">
        <v>525</v>
      </c>
      <c r="G653" s="197">
        <v>24</v>
      </c>
      <c r="H653" s="195">
        <v>2</v>
      </c>
      <c r="I653" s="195">
        <v>34</v>
      </c>
      <c r="J653" s="195">
        <v>82</v>
      </c>
      <c r="K653" s="198" t="s">
        <v>1817</v>
      </c>
      <c r="L653" s="195" t="s">
        <v>526</v>
      </c>
      <c r="N653" s="382" t="s">
        <v>456</v>
      </c>
    </row>
    <row r="654" spans="1:14" ht="12.75" customHeight="1" x14ac:dyDescent="0.2">
      <c r="A654" s="195" t="s">
        <v>1818</v>
      </c>
      <c r="B654" s="195" t="s">
        <v>1801</v>
      </c>
      <c r="C654" s="195" t="s">
        <v>1801</v>
      </c>
      <c r="D654" s="195" t="s">
        <v>1805</v>
      </c>
      <c r="E654" s="195" t="s">
        <v>1819</v>
      </c>
      <c r="F654" s="197" t="s">
        <v>221</v>
      </c>
      <c r="G654" s="197">
        <v>24</v>
      </c>
      <c r="H654" s="195">
        <v>2</v>
      </c>
      <c r="I654" s="195">
        <v>32</v>
      </c>
      <c r="J654" s="195">
        <v>59</v>
      </c>
      <c r="K654" s="195" t="s">
        <v>1818</v>
      </c>
      <c r="L654" s="195" t="s">
        <v>526</v>
      </c>
      <c r="N654" s="382" t="s">
        <v>456</v>
      </c>
    </row>
    <row r="655" spans="1:14" ht="12.75" customHeight="1" x14ac:dyDescent="0.2">
      <c r="A655" s="195" t="s">
        <v>1820</v>
      </c>
      <c r="B655" s="195" t="s">
        <v>1801</v>
      </c>
      <c r="C655" s="195" t="s">
        <v>1801</v>
      </c>
      <c r="D655" s="195" t="s">
        <v>1805</v>
      </c>
      <c r="E655" s="195" t="s">
        <v>1821</v>
      </c>
      <c r="F655" s="197" t="s">
        <v>221</v>
      </c>
      <c r="G655" s="197">
        <v>24</v>
      </c>
      <c r="H655" s="195">
        <v>2</v>
      </c>
      <c r="I655" s="195">
        <v>32</v>
      </c>
      <c r="J655" s="195">
        <v>56</v>
      </c>
      <c r="K655" s="195" t="s">
        <v>1820</v>
      </c>
      <c r="L655" s="195" t="s">
        <v>526</v>
      </c>
      <c r="N655" s="382" t="s">
        <v>456</v>
      </c>
    </row>
    <row r="656" spans="1:14" ht="12.75" customHeight="1" x14ac:dyDescent="0.2">
      <c r="A656" s="195" t="s">
        <v>1822</v>
      </c>
      <c r="B656" s="195" t="s">
        <v>1801</v>
      </c>
      <c r="C656" s="195" t="s">
        <v>1801</v>
      </c>
      <c r="D656" s="195" t="s">
        <v>1805</v>
      </c>
      <c r="E656" s="195" t="s">
        <v>1823</v>
      </c>
      <c r="F656" s="197" t="s">
        <v>221</v>
      </c>
      <c r="G656" s="197">
        <v>24</v>
      </c>
      <c r="H656" s="195">
        <v>2</v>
      </c>
      <c r="I656" s="195">
        <v>32</v>
      </c>
      <c r="J656" s="195">
        <v>51</v>
      </c>
      <c r="K656" s="195" t="s">
        <v>1822</v>
      </c>
      <c r="L656" s="195" t="s">
        <v>526</v>
      </c>
      <c r="N656" s="382" t="s">
        <v>456</v>
      </c>
    </row>
    <row r="657" spans="1:14" ht="12.75" customHeight="1" x14ac:dyDescent="0.2">
      <c r="A657" s="195" t="s">
        <v>1824</v>
      </c>
      <c r="B657" s="195" t="s">
        <v>1801</v>
      </c>
      <c r="C657" s="195" t="s">
        <v>1801</v>
      </c>
      <c r="D657" s="195" t="s">
        <v>1805</v>
      </c>
      <c r="E657" s="195" t="s">
        <v>1825</v>
      </c>
      <c r="F657" s="197" t="s">
        <v>221</v>
      </c>
      <c r="G657" s="197">
        <v>24</v>
      </c>
      <c r="H657" s="195">
        <v>2</v>
      </c>
      <c r="I657" s="195">
        <v>32</v>
      </c>
      <c r="J657" s="195">
        <v>65</v>
      </c>
      <c r="K657" s="195" t="s">
        <v>1824</v>
      </c>
      <c r="L657" s="195" t="s">
        <v>526</v>
      </c>
      <c r="N657" s="382" t="s">
        <v>456</v>
      </c>
    </row>
    <row r="658" spans="1:14" ht="12.75" customHeight="1" x14ac:dyDescent="0.2">
      <c r="A658" s="195" t="s">
        <v>1826</v>
      </c>
      <c r="B658" s="195" t="s">
        <v>1801</v>
      </c>
      <c r="C658" s="195" t="s">
        <v>1801</v>
      </c>
      <c r="D658" s="195" t="s">
        <v>1805</v>
      </c>
      <c r="E658" s="195" t="s">
        <v>1827</v>
      </c>
      <c r="F658" s="197" t="s">
        <v>221</v>
      </c>
      <c r="G658" s="197">
        <v>24</v>
      </c>
      <c r="H658" s="195">
        <v>2</v>
      </c>
      <c r="I658" s="195">
        <v>32</v>
      </c>
      <c r="J658" s="195">
        <v>52</v>
      </c>
      <c r="K658" s="195" t="s">
        <v>1826</v>
      </c>
      <c r="L658" s="195" t="s">
        <v>526</v>
      </c>
      <c r="N658" s="382" t="s">
        <v>456</v>
      </c>
    </row>
    <row r="659" spans="1:14" ht="12.75" customHeight="1" x14ac:dyDescent="0.2">
      <c r="A659" s="195" t="s">
        <v>1828</v>
      </c>
      <c r="B659" s="195" t="s">
        <v>1801</v>
      </c>
      <c r="C659" s="195" t="s">
        <v>1801</v>
      </c>
      <c r="D659" s="195" t="s">
        <v>1805</v>
      </c>
      <c r="E659" s="195" t="s">
        <v>1829</v>
      </c>
      <c r="F659" s="197" t="s">
        <v>221</v>
      </c>
      <c r="G659" s="197">
        <v>24</v>
      </c>
      <c r="H659" s="195">
        <v>2</v>
      </c>
      <c r="I659" s="195">
        <v>32</v>
      </c>
      <c r="J659" s="195">
        <v>60</v>
      </c>
      <c r="K659" s="195" t="s">
        <v>1828</v>
      </c>
      <c r="L659" s="195" t="s">
        <v>526</v>
      </c>
      <c r="N659" s="382" t="s">
        <v>456</v>
      </c>
    </row>
    <row r="660" spans="1:14" ht="12.75" customHeight="1" x14ac:dyDescent="0.2">
      <c r="A660" s="195" t="s">
        <v>1830</v>
      </c>
      <c r="B660" s="195" t="s">
        <v>1801</v>
      </c>
      <c r="C660" s="195" t="s">
        <v>1801</v>
      </c>
      <c r="D660" s="195" t="s">
        <v>1805</v>
      </c>
      <c r="E660" s="195" t="s">
        <v>1831</v>
      </c>
      <c r="F660" s="197" t="s">
        <v>221</v>
      </c>
      <c r="G660" s="197">
        <v>24</v>
      </c>
      <c r="H660" s="195">
        <v>2</v>
      </c>
      <c r="I660" s="195">
        <v>32</v>
      </c>
      <c r="J660" s="195">
        <v>59</v>
      </c>
      <c r="K660" s="195" t="s">
        <v>1830</v>
      </c>
      <c r="L660" s="195" t="s">
        <v>526</v>
      </c>
      <c r="N660" s="382" t="s">
        <v>456</v>
      </c>
    </row>
    <row r="661" spans="1:14" ht="12.75" customHeight="1" x14ac:dyDescent="0.2">
      <c r="A661" s="195" t="s">
        <v>1832</v>
      </c>
      <c r="B661" s="195" t="s">
        <v>1801</v>
      </c>
      <c r="C661" s="195" t="s">
        <v>1801</v>
      </c>
      <c r="D661" s="195" t="s">
        <v>1805</v>
      </c>
      <c r="E661" s="195" t="s">
        <v>1833</v>
      </c>
      <c r="F661" s="195" t="s">
        <v>221</v>
      </c>
      <c r="G661" s="197">
        <v>24</v>
      </c>
      <c r="H661" s="195">
        <v>2</v>
      </c>
      <c r="I661" s="195">
        <v>31</v>
      </c>
      <c r="J661" s="199">
        <v>54</v>
      </c>
      <c r="K661" s="199" t="s">
        <v>1832</v>
      </c>
      <c r="L661" s="195" t="s">
        <v>526</v>
      </c>
      <c r="N661" s="382" t="s">
        <v>456</v>
      </c>
    </row>
    <row r="662" spans="1:14" ht="12.75" customHeight="1" x14ac:dyDescent="0.2">
      <c r="A662" s="195" t="s">
        <v>1834</v>
      </c>
      <c r="B662" s="195" t="s">
        <v>1801</v>
      </c>
      <c r="C662" s="195" t="s">
        <v>1801</v>
      </c>
      <c r="D662" s="195" t="s">
        <v>1802</v>
      </c>
      <c r="E662" s="195" t="s">
        <v>1835</v>
      </c>
      <c r="F662" s="197" t="s">
        <v>931</v>
      </c>
      <c r="G662" s="197">
        <v>24</v>
      </c>
      <c r="H662" s="195">
        <v>3</v>
      </c>
      <c r="I662" s="195">
        <v>35</v>
      </c>
      <c r="J662" s="195">
        <v>115</v>
      </c>
      <c r="K662" s="198" t="s">
        <v>1834</v>
      </c>
      <c r="L662" s="195" t="s">
        <v>526</v>
      </c>
      <c r="N662" s="382" t="s">
        <v>456</v>
      </c>
    </row>
    <row r="663" spans="1:14" ht="12.75" customHeight="1" x14ac:dyDescent="0.2">
      <c r="A663" s="195" t="s">
        <v>1836</v>
      </c>
      <c r="B663" s="195" t="s">
        <v>1801</v>
      </c>
      <c r="C663" s="195" t="s">
        <v>1801</v>
      </c>
      <c r="D663" s="195" t="s">
        <v>1805</v>
      </c>
      <c r="E663" s="195" t="s">
        <v>1837</v>
      </c>
      <c r="F663" s="197" t="s">
        <v>221</v>
      </c>
      <c r="G663" s="197">
        <v>24</v>
      </c>
      <c r="H663" s="195">
        <v>3</v>
      </c>
      <c r="I663" s="195">
        <v>32</v>
      </c>
      <c r="J663" s="195">
        <v>89</v>
      </c>
      <c r="K663" s="195" t="s">
        <v>1836</v>
      </c>
      <c r="L663" s="195" t="s">
        <v>526</v>
      </c>
      <c r="N663" s="382" t="s">
        <v>456</v>
      </c>
    </row>
    <row r="664" spans="1:14" ht="12.75" customHeight="1" x14ac:dyDescent="0.2">
      <c r="A664" s="195" t="s">
        <v>1838</v>
      </c>
      <c r="B664" s="195" t="s">
        <v>1801</v>
      </c>
      <c r="C664" s="195" t="s">
        <v>1801</v>
      </c>
      <c r="D664" s="195" t="s">
        <v>1805</v>
      </c>
      <c r="E664" s="195" t="s">
        <v>1839</v>
      </c>
      <c r="F664" s="197" t="s">
        <v>221</v>
      </c>
      <c r="G664" s="197">
        <v>24</v>
      </c>
      <c r="H664" s="195">
        <v>3</v>
      </c>
      <c r="I664" s="195">
        <v>32</v>
      </c>
      <c r="J664" s="195">
        <v>78</v>
      </c>
      <c r="K664" s="195" t="s">
        <v>1838</v>
      </c>
      <c r="L664" s="195" t="s">
        <v>526</v>
      </c>
      <c r="N664" s="382" t="s">
        <v>456</v>
      </c>
    </row>
    <row r="665" spans="1:14" ht="12.75" customHeight="1" x14ac:dyDescent="0.2">
      <c r="A665" s="195" t="s">
        <v>1840</v>
      </c>
      <c r="B665" s="195" t="s">
        <v>1841</v>
      </c>
      <c r="C665" s="195" t="s">
        <v>1841</v>
      </c>
      <c r="D665" s="195" t="s">
        <v>1842</v>
      </c>
      <c r="E665" s="195" t="s">
        <v>1843</v>
      </c>
      <c r="F665" s="197" t="s">
        <v>525</v>
      </c>
      <c r="G665" s="197">
        <v>12</v>
      </c>
      <c r="H665" s="195">
        <v>1</v>
      </c>
      <c r="I665" s="195">
        <v>32</v>
      </c>
      <c r="J665" s="195">
        <v>31</v>
      </c>
      <c r="K665" s="195" t="s">
        <v>1840</v>
      </c>
      <c r="L665" s="195" t="s">
        <v>526</v>
      </c>
      <c r="N665" s="382" t="s">
        <v>456</v>
      </c>
    </row>
    <row r="666" spans="1:14" ht="12.75" customHeight="1" x14ac:dyDescent="0.2">
      <c r="A666" s="195" t="s">
        <v>1844</v>
      </c>
      <c r="B666" s="195" t="s">
        <v>1841</v>
      </c>
      <c r="C666" s="195" t="s">
        <v>1841</v>
      </c>
      <c r="D666" s="195" t="s">
        <v>1845</v>
      </c>
      <c r="E666" s="195" t="s">
        <v>1846</v>
      </c>
      <c r="F666" s="197" t="s">
        <v>525</v>
      </c>
      <c r="G666" s="197">
        <v>16</v>
      </c>
      <c r="H666" s="195">
        <v>1</v>
      </c>
      <c r="I666" s="195">
        <v>40</v>
      </c>
      <c r="J666" s="195">
        <v>35</v>
      </c>
      <c r="K666" s="195" t="s">
        <v>1844</v>
      </c>
      <c r="L666" s="195" t="s">
        <v>526</v>
      </c>
      <c r="N666" s="382" t="s">
        <v>456</v>
      </c>
    </row>
    <row r="667" spans="1:14" ht="12.75" customHeight="1" x14ac:dyDescent="0.2">
      <c r="A667" s="195" t="s">
        <v>1847</v>
      </c>
      <c r="B667" s="195" t="s">
        <v>1841</v>
      </c>
      <c r="C667" s="195" t="s">
        <v>1841</v>
      </c>
      <c r="D667" s="195" t="s">
        <v>1848</v>
      </c>
      <c r="E667" s="195" t="s">
        <v>1849</v>
      </c>
      <c r="F667" s="197" t="s">
        <v>525</v>
      </c>
      <c r="G667" s="197"/>
      <c r="H667" s="195">
        <v>1</v>
      </c>
      <c r="I667" s="195">
        <v>20</v>
      </c>
      <c r="J667" s="195">
        <v>20</v>
      </c>
      <c r="K667" s="195" t="s">
        <v>1847</v>
      </c>
      <c r="L667" s="195" t="s">
        <v>526</v>
      </c>
      <c r="N667" s="382" t="s">
        <v>456</v>
      </c>
    </row>
    <row r="668" spans="1:14" ht="12.75" customHeight="1" x14ac:dyDescent="0.2">
      <c r="A668" s="195" t="s">
        <v>1850</v>
      </c>
      <c r="B668" s="195" t="s">
        <v>1841</v>
      </c>
      <c r="C668" s="195" t="s">
        <v>1841</v>
      </c>
      <c r="D668" s="195" t="s">
        <v>1851</v>
      </c>
      <c r="E668" s="195" t="s">
        <v>1852</v>
      </c>
      <c r="F668" s="197" t="s">
        <v>525</v>
      </c>
      <c r="G668" s="197"/>
      <c r="H668" s="195">
        <v>1</v>
      </c>
      <c r="I668" s="195">
        <v>22</v>
      </c>
      <c r="J668" s="195">
        <v>20</v>
      </c>
      <c r="K668" s="195" t="s">
        <v>1850</v>
      </c>
      <c r="L668" s="195" t="s">
        <v>526</v>
      </c>
      <c r="N668" s="382" t="s">
        <v>456</v>
      </c>
    </row>
    <row r="669" spans="1:14" ht="12.75" customHeight="1" x14ac:dyDescent="0.2">
      <c r="A669" s="195" t="s">
        <v>1853</v>
      </c>
      <c r="B669" s="195" t="s">
        <v>1841</v>
      </c>
      <c r="C669" s="195" t="s">
        <v>1841</v>
      </c>
      <c r="D669" s="195" t="s">
        <v>1854</v>
      </c>
      <c r="E669" s="195" t="s">
        <v>1855</v>
      </c>
      <c r="F669" s="197" t="s">
        <v>525</v>
      </c>
      <c r="G669" s="197"/>
      <c r="H669" s="195">
        <v>1</v>
      </c>
      <c r="I669" s="195" t="s">
        <v>352</v>
      </c>
      <c r="J669" s="195">
        <v>58</v>
      </c>
      <c r="K669" s="195" t="s">
        <v>1853</v>
      </c>
      <c r="L669" s="195" t="s">
        <v>526</v>
      </c>
      <c r="N669" s="382" t="s">
        <v>456</v>
      </c>
    </row>
    <row r="670" spans="1:14" ht="12.75" customHeight="1" x14ac:dyDescent="0.2">
      <c r="A670" s="195" t="s">
        <v>1856</v>
      </c>
      <c r="B670" s="195" t="s">
        <v>1841</v>
      </c>
      <c r="C670" s="195" t="s">
        <v>1841</v>
      </c>
      <c r="D670" s="195" t="s">
        <v>1842</v>
      </c>
      <c r="E670" s="195" t="s">
        <v>1857</v>
      </c>
      <c r="F670" s="197" t="s">
        <v>525</v>
      </c>
      <c r="G670" s="197"/>
      <c r="H670" s="195">
        <v>1</v>
      </c>
      <c r="I670" s="195">
        <v>32</v>
      </c>
      <c r="J670" s="195">
        <v>40</v>
      </c>
      <c r="K670" s="195" t="s">
        <v>1856</v>
      </c>
      <c r="L670" s="195" t="s">
        <v>526</v>
      </c>
      <c r="N670" s="382" t="s">
        <v>456</v>
      </c>
    </row>
    <row r="671" spans="1:14" ht="12.75" customHeight="1" x14ac:dyDescent="0.2">
      <c r="A671" s="195" t="s">
        <v>1858</v>
      </c>
      <c r="B671" s="195" t="s">
        <v>1841</v>
      </c>
      <c r="C671" s="195" t="s">
        <v>1841</v>
      </c>
      <c r="D671" s="195" t="s">
        <v>1859</v>
      </c>
      <c r="E671" s="195" t="s">
        <v>1860</v>
      </c>
      <c r="F671" s="197" t="s">
        <v>525</v>
      </c>
      <c r="G671" s="197"/>
      <c r="H671" s="195">
        <v>1</v>
      </c>
      <c r="I671" s="195" t="s">
        <v>356</v>
      </c>
      <c r="J671" s="195">
        <v>80</v>
      </c>
      <c r="K671" s="195" t="s">
        <v>1858</v>
      </c>
      <c r="L671" s="195" t="s">
        <v>526</v>
      </c>
      <c r="N671" s="382" t="s">
        <v>456</v>
      </c>
    </row>
    <row r="672" spans="1:14" ht="12.75" customHeight="1" x14ac:dyDescent="0.2">
      <c r="A672" s="195" t="s">
        <v>1861</v>
      </c>
      <c r="B672" s="195" t="s">
        <v>1841</v>
      </c>
      <c r="C672" s="195" t="s">
        <v>1841</v>
      </c>
      <c r="D672" s="195" t="s">
        <v>1845</v>
      </c>
      <c r="E672" s="195" t="s">
        <v>1857</v>
      </c>
      <c r="F672" s="197" t="s">
        <v>525</v>
      </c>
      <c r="G672" s="197"/>
      <c r="H672" s="195">
        <v>1</v>
      </c>
      <c r="I672" s="195">
        <v>32</v>
      </c>
      <c r="J672" s="195">
        <v>42</v>
      </c>
      <c r="K672" s="195" t="s">
        <v>1861</v>
      </c>
      <c r="L672" s="195" t="s">
        <v>526</v>
      </c>
      <c r="N672" s="382" t="s">
        <v>456</v>
      </c>
    </row>
    <row r="673" spans="1:14" ht="12.75" customHeight="1" x14ac:dyDescent="0.2">
      <c r="A673" s="195" t="s">
        <v>1862</v>
      </c>
      <c r="B673" s="195" t="s">
        <v>1841</v>
      </c>
      <c r="C673" s="195" t="s">
        <v>1841</v>
      </c>
      <c r="D673" s="195" t="s">
        <v>1863</v>
      </c>
      <c r="E673" s="195" t="s">
        <v>1864</v>
      </c>
      <c r="F673" s="197" t="s">
        <v>525</v>
      </c>
      <c r="G673" s="197"/>
      <c r="H673" s="195">
        <v>1</v>
      </c>
      <c r="I673" s="195">
        <v>44</v>
      </c>
      <c r="J673" s="195">
        <v>46</v>
      </c>
      <c r="K673" s="195" t="s">
        <v>1862</v>
      </c>
      <c r="L673" s="195" t="s">
        <v>526</v>
      </c>
      <c r="N673" s="382" t="s">
        <v>456</v>
      </c>
    </row>
    <row r="674" spans="1:14" ht="12.75" customHeight="1" x14ac:dyDescent="0.2">
      <c r="A674" s="195" t="s">
        <v>1865</v>
      </c>
      <c r="B674" s="195" t="s">
        <v>1841</v>
      </c>
      <c r="C674" s="195" t="s">
        <v>1841</v>
      </c>
      <c r="D674" s="195" t="s">
        <v>1848</v>
      </c>
      <c r="E674" s="195" t="s">
        <v>1866</v>
      </c>
      <c r="F674" s="197" t="s">
        <v>525</v>
      </c>
      <c r="G674" s="197">
        <v>6</v>
      </c>
      <c r="H674" s="195">
        <v>1</v>
      </c>
      <c r="I674" s="195">
        <v>20</v>
      </c>
      <c r="J674" s="195">
        <v>25</v>
      </c>
      <c r="K674" s="195" t="s">
        <v>1865</v>
      </c>
      <c r="L674" s="195" t="s">
        <v>526</v>
      </c>
      <c r="N674" s="382" t="s">
        <v>456</v>
      </c>
    </row>
    <row r="675" spans="1:14" ht="12.75" customHeight="1" x14ac:dyDescent="0.2">
      <c r="A675" s="195" t="s">
        <v>1867</v>
      </c>
      <c r="B675" s="195" t="s">
        <v>1841</v>
      </c>
      <c r="C675" s="195" t="s">
        <v>1841</v>
      </c>
      <c r="D675" s="195" t="s">
        <v>1851</v>
      </c>
      <c r="E675" s="195" t="s">
        <v>1868</v>
      </c>
      <c r="F675" s="197" t="s">
        <v>525</v>
      </c>
      <c r="G675" s="197">
        <v>8</v>
      </c>
      <c r="H675" s="195">
        <v>1</v>
      </c>
      <c r="I675" s="195">
        <v>22</v>
      </c>
      <c r="J675" s="195">
        <v>26</v>
      </c>
      <c r="K675" s="195" t="s">
        <v>1867</v>
      </c>
      <c r="L675" s="195" t="s">
        <v>526</v>
      </c>
      <c r="N675" s="382" t="s">
        <v>456</v>
      </c>
    </row>
    <row r="676" spans="1:14" ht="12.75" customHeight="1" x14ac:dyDescent="0.2">
      <c r="A676" s="195" t="s">
        <v>1869</v>
      </c>
      <c r="B676" s="195" t="s">
        <v>1841</v>
      </c>
      <c r="C676" s="195" t="s">
        <v>1841</v>
      </c>
      <c r="D676" s="195" t="s">
        <v>1842</v>
      </c>
      <c r="E676" s="195" t="s">
        <v>1870</v>
      </c>
      <c r="F676" s="197" t="s">
        <v>525</v>
      </c>
      <c r="G676" s="197">
        <v>12</v>
      </c>
      <c r="H676" s="195">
        <v>2</v>
      </c>
      <c r="I676" s="195">
        <v>32</v>
      </c>
      <c r="J676" s="195">
        <v>62</v>
      </c>
      <c r="K676" s="195" t="s">
        <v>1869</v>
      </c>
      <c r="L676" s="195" t="s">
        <v>526</v>
      </c>
      <c r="N676" s="382" t="s">
        <v>456</v>
      </c>
    </row>
    <row r="677" spans="1:14" ht="12.75" customHeight="1" x14ac:dyDescent="0.2">
      <c r="A677" s="195" t="s">
        <v>1871</v>
      </c>
      <c r="B677" s="195" t="s">
        <v>1841</v>
      </c>
      <c r="C677" s="195" t="s">
        <v>1841</v>
      </c>
      <c r="D677" s="195" t="s">
        <v>1851</v>
      </c>
      <c r="E677" s="195" t="s">
        <v>1872</v>
      </c>
      <c r="F677" s="197" t="s">
        <v>525</v>
      </c>
      <c r="G677" s="197">
        <v>8</v>
      </c>
      <c r="H677" s="195">
        <v>2</v>
      </c>
      <c r="I677" s="195">
        <v>22</v>
      </c>
      <c r="J677" s="195">
        <v>52</v>
      </c>
      <c r="K677" s="195" t="s">
        <v>1871</v>
      </c>
      <c r="L677" s="195" t="s">
        <v>526</v>
      </c>
      <c r="N677" s="382" t="s">
        <v>456</v>
      </c>
    </row>
    <row r="678" spans="1:14" ht="12.75" customHeight="1" x14ac:dyDescent="0.2">
      <c r="A678" s="195" t="s">
        <v>1873</v>
      </c>
      <c r="B678" s="195" t="s">
        <v>1874</v>
      </c>
      <c r="C678" s="195" t="s">
        <v>1874</v>
      </c>
      <c r="D678" s="195" t="s">
        <v>1875</v>
      </c>
      <c r="E678" s="195" t="s">
        <v>1876</v>
      </c>
      <c r="F678" s="197" t="s">
        <v>931</v>
      </c>
      <c r="G678" s="197"/>
      <c r="H678" s="195">
        <v>0</v>
      </c>
      <c r="I678" s="195">
        <v>0</v>
      </c>
      <c r="J678" s="195">
        <v>4</v>
      </c>
      <c r="K678" s="195" t="s">
        <v>1873</v>
      </c>
      <c r="L678" s="195" t="s">
        <v>526</v>
      </c>
      <c r="N678" s="382" t="s">
        <v>456</v>
      </c>
    </row>
    <row r="679" spans="1:14" ht="12.75" customHeight="1" x14ac:dyDescent="0.2">
      <c r="A679" s="195" t="s">
        <v>1877</v>
      </c>
      <c r="B679" s="195" t="s">
        <v>1874</v>
      </c>
      <c r="C679" s="195" t="s">
        <v>1874</v>
      </c>
      <c r="D679" s="195" t="s">
        <v>1875</v>
      </c>
      <c r="E679" s="195" t="s">
        <v>1878</v>
      </c>
      <c r="F679" s="197" t="s">
        <v>931</v>
      </c>
      <c r="G679" s="197"/>
      <c r="H679" s="195">
        <v>0</v>
      </c>
      <c r="I679" s="195">
        <v>0</v>
      </c>
      <c r="J679" s="195">
        <v>8</v>
      </c>
      <c r="K679" s="195" t="s">
        <v>1877</v>
      </c>
      <c r="L679" s="195" t="s">
        <v>526</v>
      </c>
      <c r="N679" s="382" t="s">
        <v>456</v>
      </c>
    </row>
    <row r="680" spans="1:14" ht="12.75" customHeight="1" x14ac:dyDescent="0.2">
      <c r="A680" s="195" t="s">
        <v>1879</v>
      </c>
      <c r="B680" s="195" t="s">
        <v>409</v>
      </c>
      <c r="C680" s="195" t="s">
        <v>409</v>
      </c>
      <c r="D680" s="195" t="s">
        <v>648</v>
      </c>
      <c r="E680" s="195" t="s">
        <v>1880</v>
      </c>
      <c r="F680" s="197" t="s">
        <v>525</v>
      </c>
      <c r="G680" s="197"/>
      <c r="H680" s="195">
        <v>1</v>
      </c>
      <c r="I680" s="195">
        <v>5</v>
      </c>
      <c r="J680" s="195">
        <v>9</v>
      </c>
      <c r="K680" s="195" t="s">
        <v>1879</v>
      </c>
      <c r="L680" s="195" t="s">
        <v>526</v>
      </c>
      <c r="N680" s="382" t="s">
        <v>456</v>
      </c>
    </row>
    <row r="681" spans="1:14" ht="12.75" customHeight="1" x14ac:dyDescent="0.2">
      <c r="A681" s="195" t="s">
        <v>1881</v>
      </c>
      <c r="B681" s="195" t="s">
        <v>409</v>
      </c>
      <c r="C681" s="195" t="s">
        <v>409</v>
      </c>
      <c r="D681" s="195" t="s">
        <v>658</v>
      </c>
      <c r="E681" s="195" t="s">
        <v>1882</v>
      </c>
      <c r="F681" s="197" t="s">
        <v>525</v>
      </c>
      <c r="G681" s="197"/>
      <c r="H681" s="195">
        <v>1</v>
      </c>
      <c r="I681" s="195">
        <v>7</v>
      </c>
      <c r="J681" s="195">
        <v>10</v>
      </c>
      <c r="K681" s="195" t="s">
        <v>1881</v>
      </c>
      <c r="L681" s="195" t="s">
        <v>526</v>
      </c>
      <c r="N681" s="382" t="s">
        <v>456</v>
      </c>
    </row>
    <row r="682" spans="1:14" ht="12.75" customHeight="1" x14ac:dyDescent="0.2">
      <c r="A682" s="195" t="s">
        <v>1883</v>
      </c>
      <c r="B682" s="195" t="s">
        <v>409</v>
      </c>
      <c r="C682" s="195" t="s">
        <v>409</v>
      </c>
      <c r="D682" s="195" t="s">
        <v>1884</v>
      </c>
      <c r="E682" s="195" t="s">
        <v>1885</v>
      </c>
      <c r="F682" s="197" t="s">
        <v>525</v>
      </c>
      <c r="G682" s="197"/>
      <c r="H682" s="195">
        <v>1</v>
      </c>
      <c r="I682" s="195">
        <v>8</v>
      </c>
      <c r="J682" s="195">
        <v>12</v>
      </c>
      <c r="K682" s="195" t="s">
        <v>1883</v>
      </c>
      <c r="L682" s="195" t="s">
        <v>526</v>
      </c>
      <c r="N682" s="382" t="s">
        <v>456</v>
      </c>
    </row>
    <row r="683" spans="1:14" ht="12.75" customHeight="1" x14ac:dyDescent="0.2">
      <c r="A683" s="195" t="s">
        <v>1886</v>
      </c>
      <c r="B683" s="195" t="s">
        <v>409</v>
      </c>
      <c r="C683" s="195" t="s">
        <v>409</v>
      </c>
      <c r="D683" s="195" t="s">
        <v>661</v>
      </c>
      <c r="E683" s="195" t="s">
        <v>1887</v>
      </c>
      <c r="F683" s="197" t="s">
        <v>525</v>
      </c>
      <c r="G683" s="197"/>
      <c r="H683" s="195">
        <v>1</v>
      </c>
      <c r="I683" s="195">
        <v>9</v>
      </c>
      <c r="J683" s="195">
        <v>12</v>
      </c>
      <c r="K683" s="195" t="s">
        <v>1886</v>
      </c>
      <c r="L683" s="195" t="s">
        <v>526</v>
      </c>
      <c r="N683" s="382" t="s">
        <v>456</v>
      </c>
    </row>
    <row r="684" spans="1:14" ht="12.75" customHeight="1" x14ac:dyDescent="0.2">
      <c r="A684" s="195" t="s">
        <v>1888</v>
      </c>
      <c r="B684" s="195" t="s">
        <v>409</v>
      </c>
      <c r="C684" s="195" t="s">
        <v>409</v>
      </c>
      <c r="D684" s="195" t="s">
        <v>1889</v>
      </c>
      <c r="E684" s="195" t="s">
        <v>1890</v>
      </c>
      <c r="F684" s="197"/>
      <c r="G684" s="197"/>
      <c r="H684" s="195">
        <v>1</v>
      </c>
      <c r="I684" s="195">
        <v>15</v>
      </c>
      <c r="J684" s="195">
        <v>15</v>
      </c>
      <c r="K684" s="195" t="s">
        <v>1888</v>
      </c>
      <c r="L684" s="195" t="s">
        <v>526</v>
      </c>
      <c r="N684" s="382" t="s">
        <v>456</v>
      </c>
    </row>
    <row r="685" spans="1:14" ht="12.75" customHeight="1" x14ac:dyDescent="0.2">
      <c r="A685" s="195" t="s">
        <v>1891</v>
      </c>
      <c r="B685" s="195" t="s">
        <v>409</v>
      </c>
      <c r="C685" s="195" t="s">
        <v>409</v>
      </c>
      <c r="D685" s="195" t="s">
        <v>1892</v>
      </c>
      <c r="E685" s="195" t="s">
        <v>1893</v>
      </c>
      <c r="F685" s="197"/>
      <c r="G685" s="197"/>
      <c r="H685" s="195">
        <v>1</v>
      </c>
      <c r="I685" s="195">
        <v>20</v>
      </c>
      <c r="J685" s="195">
        <v>20</v>
      </c>
      <c r="K685" s="195" t="s">
        <v>1891</v>
      </c>
      <c r="L685" s="195" t="s">
        <v>526</v>
      </c>
      <c r="N685" s="382" t="s">
        <v>456</v>
      </c>
    </row>
    <row r="686" spans="1:14" ht="12.75" customHeight="1" x14ac:dyDescent="0.2">
      <c r="A686" s="195" t="s">
        <v>1894</v>
      </c>
      <c r="B686" s="195" t="s">
        <v>409</v>
      </c>
      <c r="C686" s="195" t="s">
        <v>409</v>
      </c>
      <c r="D686" s="195" t="s">
        <v>1895</v>
      </c>
      <c r="E686" s="195" t="s">
        <v>1896</v>
      </c>
      <c r="F686" s="197"/>
      <c r="G686" s="197"/>
      <c r="H686" s="195">
        <v>1</v>
      </c>
      <c r="I686" s="195">
        <v>25</v>
      </c>
      <c r="J686" s="195">
        <v>25</v>
      </c>
      <c r="K686" s="195" t="s">
        <v>1894</v>
      </c>
      <c r="L686" s="195" t="s">
        <v>526</v>
      </c>
      <c r="N686" s="382" t="s">
        <v>918</v>
      </c>
    </row>
    <row r="687" spans="1:14" ht="12.75" customHeight="1" x14ac:dyDescent="0.2">
      <c r="A687" s="195" t="s">
        <v>1897</v>
      </c>
      <c r="B687" s="195" t="s">
        <v>409</v>
      </c>
      <c r="C687" s="195" t="s">
        <v>409</v>
      </c>
      <c r="D687" s="195" t="s">
        <v>1898</v>
      </c>
      <c r="E687" s="195" t="s">
        <v>1899</v>
      </c>
      <c r="F687" s="197"/>
      <c r="G687" s="197"/>
      <c r="H687" s="195">
        <v>1</v>
      </c>
      <c r="I687" s="195">
        <v>34</v>
      </c>
      <c r="J687" s="195">
        <v>34</v>
      </c>
      <c r="K687" s="195" t="s">
        <v>1897</v>
      </c>
      <c r="L687" s="195" t="s">
        <v>526</v>
      </c>
      <c r="N687" s="382" t="s">
        <v>918</v>
      </c>
    </row>
    <row r="688" spans="1:14" ht="12.75" customHeight="1" x14ac:dyDescent="0.2">
      <c r="A688" s="195" t="s">
        <v>1900</v>
      </c>
      <c r="B688" s="195" t="s">
        <v>409</v>
      </c>
      <c r="C688" s="195" t="s">
        <v>409</v>
      </c>
      <c r="D688" s="195" t="s">
        <v>1901</v>
      </c>
      <c r="E688" s="195" t="s">
        <v>1902</v>
      </c>
      <c r="F688" s="197"/>
      <c r="G688" s="197"/>
      <c r="H688" s="195">
        <v>1</v>
      </c>
      <c r="I688" s="195">
        <v>40</v>
      </c>
      <c r="J688" s="195">
        <v>40</v>
      </c>
      <c r="K688" s="195" t="s">
        <v>1900</v>
      </c>
      <c r="L688" s="195" t="s">
        <v>526</v>
      </c>
      <c r="N688" s="382" t="s">
        <v>918</v>
      </c>
    </row>
    <row r="689" spans="1:14" ht="12.75" customHeight="1" x14ac:dyDescent="0.2">
      <c r="A689" s="195" t="s">
        <v>1903</v>
      </c>
      <c r="B689" s="195" t="s">
        <v>409</v>
      </c>
      <c r="C689" s="195" t="s">
        <v>409</v>
      </c>
      <c r="D689" s="195" t="s">
        <v>1904</v>
      </c>
      <c r="E689" s="195" t="s">
        <v>1905</v>
      </c>
      <c r="F689" s="197"/>
      <c r="G689" s="197"/>
      <c r="H689" s="195">
        <v>1</v>
      </c>
      <c r="I689" s="195">
        <v>5</v>
      </c>
      <c r="J689" s="195">
        <v>5</v>
      </c>
      <c r="K689" s="195" t="s">
        <v>1903</v>
      </c>
      <c r="L689" s="195" t="s">
        <v>526</v>
      </c>
      <c r="N689" s="382" t="s">
        <v>456</v>
      </c>
    </row>
    <row r="690" spans="1:14" ht="12.75" customHeight="1" x14ac:dyDescent="0.2">
      <c r="A690" s="195" t="s">
        <v>1906</v>
      </c>
      <c r="B690" s="195" t="s">
        <v>409</v>
      </c>
      <c r="C690" s="195" t="s">
        <v>409</v>
      </c>
      <c r="D690" s="195" t="s">
        <v>1907</v>
      </c>
      <c r="E690" s="195" t="s">
        <v>1908</v>
      </c>
      <c r="F690" s="197"/>
      <c r="G690" s="197"/>
      <c r="H690" s="195">
        <v>1</v>
      </c>
      <c r="I690" s="195">
        <v>7.5</v>
      </c>
      <c r="J690" s="195">
        <v>8</v>
      </c>
      <c r="K690" s="195" t="s">
        <v>1906</v>
      </c>
      <c r="L690" s="195" t="s">
        <v>526</v>
      </c>
      <c r="N690" s="382" t="s">
        <v>456</v>
      </c>
    </row>
    <row r="691" spans="1:14" ht="12.75" customHeight="1" x14ac:dyDescent="0.2">
      <c r="A691" s="195" t="s">
        <v>1909</v>
      </c>
      <c r="B691" s="195" t="s">
        <v>409</v>
      </c>
      <c r="C691" s="195" t="s">
        <v>409</v>
      </c>
      <c r="D691" s="195" t="s">
        <v>1910</v>
      </c>
      <c r="E691" s="195" t="s">
        <v>1911</v>
      </c>
      <c r="F691" s="197"/>
      <c r="G691" s="197"/>
      <c r="H691" s="195">
        <v>1</v>
      </c>
      <c r="I691" s="195">
        <v>0.5</v>
      </c>
      <c r="J691" s="195">
        <v>0.5</v>
      </c>
      <c r="K691" s="195" t="s">
        <v>1909</v>
      </c>
      <c r="L691" s="195" t="s">
        <v>526</v>
      </c>
      <c r="N691" s="382" t="s">
        <v>456</v>
      </c>
    </row>
    <row r="692" spans="1:14" ht="12.75" customHeight="1" x14ac:dyDescent="0.2">
      <c r="A692" s="195" t="s">
        <v>1912</v>
      </c>
      <c r="B692" s="195" t="s">
        <v>409</v>
      </c>
      <c r="C692" s="195" t="s">
        <v>409</v>
      </c>
      <c r="D692" s="195" t="s">
        <v>1913</v>
      </c>
      <c r="E692" s="195" t="s">
        <v>1914</v>
      </c>
      <c r="F692" s="197"/>
      <c r="G692" s="197"/>
      <c r="H692" s="195">
        <v>1</v>
      </c>
      <c r="I692" s="195">
        <v>1.5</v>
      </c>
      <c r="J692" s="195">
        <v>1.5</v>
      </c>
      <c r="K692" s="195" t="s">
        <v>1912</v>
      </c>
      <c r="L692" s="195" t="s">
        <v>526</v>
      </c>
      <c r="N692" s="382" t="s">
        <v>456</v>
      </c>
    </row>
    <row r="693" spans="1:14" ht="12.75" customHeight="1" x14ac:dyDescent="0.2">
      <c r="A693" s="195" t="s">
        <v>1915</v>
      </c>
      <c r="B693" s="195" t="s">
        <v>409</v>
      </c>
      <c r="C693" s="195" t="s">
        <v>409</v>
      </c>
      <c r="D693" s="195" t="s">
        <v>1916</v>
      </c>
      <c r="E693" s="195" t="s">
        <v>1917</v>
      </c>
      <c r="F693" s="197"/>
      <c r="G693" s="197"/>
      <c r="H693" s="195">
        <v>1</v>
      </c>
      <c r="I693" s="195">
        <v>10.5</v>
      </c>
      <c r="J693" s="195">
        <v>10.5</v>
      </c>
      <c r="K693" s="195" t="s">
        <v>1915</v>
      </c>
      <c r="L693" s="195" t="s">
        <v>526</v>
      </c>
      <c r="N693" s="382" t="s">
        <v>456</v>
      </c>
    </row>
    <row r="694" spans="1:14" ht="12.75" customHeight="1" x14ac:dyDescent="0.2">
      <c r="A694" s="195" t="s">
        <v>1918</v>
      </c>
      <c r="B694" s="195" t="s">
        <v>409</v>
      </c>
      <c r="C694" s="195" t="s">
        <v>409</v>
      </c>
      <c r="D694" s="195" t="s">
        <v>1919</v>
      </c>
      <c r="E694" s="195" t="s">
        <v>1920</v>
      </c>
      <c r="F694" s="197"/>
      <c r="G694" s="197"/>
      <c r="H694" s="195">
        <v>1</v>
      </c>
      <c r="I694" s="195">
        <v>2</v>
      </c>
      <c r="J694" s="195">
        <v>2</v>
      </c>
      <c r="K694" s="195" t="s">
        <v>1918</v>
      </c>
      <c r="L694" s="195" t="s">
        <v>526</v>
      </c>
      <c r="N694" s="382" t="s">
        <v>456</v>
      </c>
    </row>
    <row r="695" spans="1:14" ht="12.75" customHeight="1" x14ac:dyDescent="0.2">
      <c r="A695" s="195" t="s">
        <v>1921</v>
      </c>
      <c r="B695" s="195" t="s">
        <v>409</v>
      </c>
      <c r="C695" s="195" t="s">
        <v>409</v>
      </c>
      <c r="D695" s="195" t="s">
        <v>1922</v>
      </c>
      <c r="E695" s="195" t="s">
        <v>1923</v>
      </c>
      <c r="F695" s="197"/>
      <c r="G695" s="197"/>
      <c r="H695" s="195">
        <v>1</v>
      </c>
      <c r="I695" s="195">
        <v>3</v>
      </c>
      <c r="J695" s="195">
        <v>3</v>
      </c>
      <c r="K695" s="195" t="s">
        <v>1921</v>
      </c>
      <c r="L695" s="195" t="s">
        <v>526</v>
      </c>
      <c r="N695" s="382" t="s">
        <v>456</v>
      </c>
    </row>
    <row r="696" spans="1:14" ht="12.75" customHeight="1" x14ac:dyDescent="0.2">
      <c r="A696" s="195" t="s">
        <v>1924</v>
      </c>
      <c r="B696" s="195" t="s">
        <v>409</v>
      </c>
      <c r="C696" s="195" t="s">
        <v>409</v>
      </c>
      <c r="D696" s="195" t="s">
        <v>1925</v>
      </c>
      <c r="E696" s="195" t="s">
        <v>1926</v>
      </c>
      <c r="F696" s="197"/>
      <c r="G696" s="197"/>
      <c r="H696" s="195">
        <v>1</v>
      </c>
      <c r="I696" s="195">
        <v>5</v>
      </c>
      <c r="J696" s="195">
        <v>5</v>
      </c>
      <c r="K696" s="195" t="s">
        <v>1924</v>
      </c>
      <c r="L696" s="195" t="s">
        <v>526</v>
      </c>
      <c r="N696" s="382" t="s">
        <v>456</v>
      </c>
    </row>
    <row r="697" spans="1:14" ht="12.75" customHeight="1" x14ac:dyDescent="0.2">
      <c r="A697" s="195" t="s">
        <v>1927</v>
      </c>
      <c r="B697" s="195" t="s">
        <v>409</v>
      </c>
      <c r="C697" s="195" t="s">
        <v>409</v>
      </c>
      <c r="D697" s="195" t="s">
        <v>1928</v>
      </c>
      <c r="E697" s="195" t="s">
        <v>1929</v>
      </c>
      <c r="F697" s="197"/>
      <c r="G697" s="197"/>
      <c r="H697" s="195">
        <v>1</v>
      </c>
      <c r="I697" s="195">
        <v>8</v>
      </c>
      <c r="J697" s="195">
        <v>8</v>
      </c>
      <c r="K697" s="195" t="s">
        <v>1927</v>
      </c>
      <c r="L697" s="195" t="s">
        <v>526</v>
      </c>
      <c r="N697" s="382" t="s">
        <v>456</v>
      </c>
    </row>
    <row r="698" spans="1:14" ht="12.75" customHeight="1" x14ac:dyDescent="0.2">
      <c r="A698" s="195" t="s">
        <v>1930</v>
      </c>
      <c r="B698" s="195" t="s">
        <v>409</v>
      </c>
      <c r="C698" s="195" t="s">
        <v>409</v>
      </c>
      <c r="D698" s="195" t="s">
        <v>648</v>
      </c>
      <c r="E698" s="195" t="s">
        <v>1931</v>
      </c>
      <c r="F698" s="197" t="s">
        <v>525</v>
      </c>
      <c r="G698" s="197"/>
      <c r="H698" s="195">
        <v>2</v>
      </c>
      <c r="I698" s="195">
        <v>5</v>
      </c>
      <c r="J698" s="195">
        <v>20</v>
      </c>
      <c r="K698" s="195" t="s">
        <v>1930</v>
      </c>
      <c r="L698" s="195" t="s">
        <v>526</v>
      </c>
      <c r="N698" s="382" t="s">
        <v>456</v>
      </c>
    </row>
    <row r="699" spans="1:14" ht="12.75" customHeight="1" x14ac:dyDescent="0.2">
      <c r="A699" s="195" t="s">
        <v>1932</v>
      </c>
      <c r="B699" s="195" t="s">
        <v>409</v>
      </c>
      <c r="C699" s="195" t="s">
        <v>409</v>
      </c>
      <c r="D699" s="195" t="s">
        <v>658</v>
      </c>
      <c r="E699" s="195" t="s">
        <v>1933</v>
      </c>
      <c r="F699" s="197" t="s">
        <v>525</v>
      </c>
      <c r="G699" s="197"/>
      <c r="H699" s="195">
        <v>2</v>
      </c>
      <c r="I699" s="195">
        <v>7</v>
      </c>
      <c r="J699" s="195">
        <v>21</v>
      </c>
      <c r="K699" s="195" t="s">
        <v>1932</v>
      </c>
      <c r="L699" s="195" t="s">
        <v>526</v>
      </c>
      <c r="N699" s="382" t="s">
        <v>456</v>
      </c>
    </row>
    <row r="700" spans="1:14" ht="12.75" customHeight="1" x14ac:dyDescent="0.2">
      <c r="A700" s="195" t="s">
        <v>1934</v>
      </c>
      <c r="B700" s="195" t="s">
        <v>409</v>
      </c>
      <c r="C700" s="195" t="s">
        <v>409</v>
      </c>
      <c r="D700" s="195" t="s">
        <v>1884</v>
      </c>
      <c r="E700" s="195" t="s">
        <v>1935</v>
      </c>
      <c r="F700" s="197" t="s">
        <v>525</v>
      </c>
      <c r="G700" s="197"/>
      <c r="H700" s="195">
        <v>2</v>
      </c>
      <c r="I700" s="195">
        <v>8</v>
      </c>
      <c r="J700" s="195">
        <v>24</v>
      </c>
      <c r="K700" s="195" t="s">
        <v>1934</v>
      </c>
      <c r="L700" s="195" t="s">
        <v>526</v>
      </c>
      <c r="N700" s="382" t="s">
        <v>456</v>
      </c>
    </row>
    <row r="701" spans="1:14" ht="12.75" customHeight="1" x14ac:dyDescent="0.2">
      <c r="A701" s="195" t="s">
        <v>1936</v>
      </c>
      <c r="B701" s="195" t="s">
        <v>409</v>
      </c>
      <c r="C701" s="195" t="s">
        <v>409</v>
      </c>
      <c r="D701" s="195" t="s">
        <v>661</v>
      </c>
      <c r="E701" s="195" t="s">
        <v>1937</v>
      </c>
      <c r="F701" s="197" t="s">
        <v>525</v>
      </c>
      <c r="G701" s="197"/>
      <c r="H701" s="195">
        <v>2</v>
      </c>
      <c r="I701" s="195">
        <v>9</v>
      </c>
      <c r="J701" s="195">
        <v>20</v>
      </c>
      <c r="K701" s="195" t="s">
        <v>1936</v>
      </c>
      <c r="L701" s="195" t="s">
        <v>526</v>
      </c>
      <c r="N701" s="382" t="s">
        <v>456</v>
      </c>
    </row>
    <row r="702" spans="1:14" ht="12.75" customHeight="1" x14ac:dyDescent="0.2">
      <c r="A702" s="195" t="s">
        <v>1938</v>
      </c>
      <c r="B702" s="195" t="s">
        <v>409</v>
      </c>
      <c r="C702" s="195" t="s">
        <v>409</v>
      </c>
      <c r="D702" s="195" t="s">
        <v>1939</v>
      </c>
      <c r="E702" s="195" t="s">
        <v>1940</v>
      </c>
      <c r="F702" s="197"/>
      <c r="G702" s="197"/>
      <c r="H702" s="195">
        <v>2</v>
      </c>
      <c r="I702" s="195">
        <v>10</v>
      </c>
      <c r="J702" s="195">
        <v>20</v>
      </c>
      <c r="K702" s="195" t="s">
        <v>1938</v>
      </c>
      <c r="L702" s="195" t="s">
        <v>526</v>
      </c>
      <c r="N702" s="382" t="s">
        <v>456</v>
      </c>
    </row>
    <row r="703" spans="1:14" ht="12.75" customHeight="1" x14ac:dyDescent="0.2">
      <c r="A703" s="195" t="s">
        <v>1941</v>
      </c>
      <c r="B703" s="195" t="s">
        <v>409</v>
      </c>
      <c r="C703" s="195" t="s">
        <v>409</v>
      </c>
      <c r="D703" s="195" t="s">
        <v>1889</v>
      </c>
      <c r="E703" s="195" t="s">
        <v>1942</v>
      </c>
      <c r="F703" s="197"/>
      <c r="G703" s="197"/>
      <c r="H703" s="195">
        <v>2</v>
      </c>
      <c r="I703" s="195">
        <v>15</v>
      </c>
      <c r="J703" s="195">
        <v>30</v>
      </c>
      <c r="K703" s="195" t="s">
        <v>1941</v>
      </c>
      <c r="L703" s="195" t="s">
        <v>526</v>
      </c>
      <c r="N703" s="382" t="s">
        <v>456</v>
      </c>
    </row>
    <row r="704" spans="1:14" ht="12.75" customHeight="1" x14ac:dyDescent="0.2">
      <c r="A704" s="195" t="s">
        <v>1943</v>
      </c>
      <c r="B704" s="195" t="s">
        <v>409</v>
      </c>
      <c r="C704" s="195" t="s">
        <v>409</v>
      </c>
      <c r="D704" s="195" t="s">
        <v>1892</v>
      </c>
      <c r="E704" s="195" t="s">
        <v>1944</v>
      </c>
      <c r="F704" s="197"/>
      <c r="G704" s="197"/>
      <c r="H704" s="195">
        <v>2</v>
      </c>
      <c r="I704" s="195">
        <v>20</v>
      </c>
      <c r="J704" s="195">
        <v>40</v>
      </c>
      <c r="K704" s="195" t="s">
        <v>1943</v>
      </c>
      <c r="L704" s="195" t="s">
        <v>526</v>
      </c>
      <c r="N704" s="382" t="s">
        <v>456</v>
      </c>
    </row>
    <row r="705" spans="1:14" ht="12.75" customHeight="1" x14ac:dyDescent="0.2">
      <c r="A705" s="195" t="s">
        <v>1945</v>
      </c>
      <c r="B705" s="195" t="s">
        <v>409</v>
      </c>
      <c r="C705" s="195" t="s">
        <v>409</v>
      </c>
      <c r="D705" s="195" t="s">
        <v>1895</v>
      </c>
      <c r="E705" s="195" t="s">
        <v>1946</v>
      </c>
      <c r="F705" s="197"/>
      <c r="G705" s="197"/>
      <c r="H705" s="195">
        <v>2</v>
      </c>
      <c r="I705" s="195">
        <v>25</v>
      </c>
      <c r="J705" s="195">
        <v>50</v>
      </c>
      <c r="K705" s="195" t="s">
        <v>1945</v>
      </c>
      <c r="L705" s="195" t="s">
        <v>526</v>
      </c>
      <c r="N705" s="382" t="s">
        <v>918</v>
      </c>
    </row>
    <row r="706" spans="1:14" ht="12.75" customHeight="1" x14ac:dyDescent="0.2">
      <c r="A706" s="195" t="s">
        <v>1947</v>
      </c>
      <c r="B706" s="195" t="s">
        <v>409</v>
      </c>
      <c r="C706" s="195" t="s">
        <v>409</v>
      </c>
      <c r="D706" s="195" t="s">
        <v>1898</v>
      </c>
      <c r="E706" s="195" t="s">
        <v>1948</v>
      </c>
      <c r="F706" s="197"/>
      <c r="G706" s="197"/>
      <c r="H706" s="195">
        <v>2</v>
      </c>
      <c r="I706" s="195">
        <v>34</v>
      </c>
      <c r="J706" s="195">
        <v>68</v>
      </c>
      <c r="K706" s="195" t="s">
        <v>1947</v>
      </c>
      <c r="L706" s="195" t="s">
        <v>526</v>
      </c>
      <c r="N706" s="382" t="s">
        <v>918</v>
      </c>
    </row>
    <row r="707" spans="1:14" ht="12.75" customHeight="1" x14ac:dyDescent="0.2">
      <c r="A707" s="195" t="s">
        <v>1949</v>
      </c>
      <c r="B707" s="195" t="s">
        <v>409</v>
      </c>
      <c r="C707" s="195" t="s">
        <v>409</v>
      </c>
      <c r="D707" s="195" t="s">
        <v>1901</v>
      </c>
      <c r="E707" s="195" t="s">
        <v>1950</v>
      </c>
      <c r="F707" s="197"/>
      <c r="G707" s="197"/>
      <c r="H707" s="195">
        <v>2</v>
      </c>
      <c r="I707" s="195">
        <v>40</v>
      </c>
      <c r="J707" s="195">
        <v>80</v>
      </c>
      <c r="K707" s="195" t="s">
        <v>1949</v>
      </c>
      <c r="L707" s="195" t="s">
        <v>526</v>
      </c>
      <c r="N707" s="382" t="s">
        <v>918</v>
      </c>
    </row>
    <row r="708" spans="1:14" ht="12.75" customHeight="1" x14ac:dyDescent="0.2">
      <c r="A708" s="195" t="s">
        <v>1951</v>
      </c>
      <c r="B708" s="195" t="s">
        <v>409</v>
      </c>
      <c r="C708" s="195" t="s">
        <v>409</v>
      </c>
      <c r="D708" s="195" t="s">
        <v>1904</v>
      </c>
      <c r="E708" s="195" t="s">
        <v>1952</v>
      </c>
      <c r="F708" s="197"/>
      <c r="G708" s="197"/>
      <c r="H708" s="195">
        <v>2</v>
      </c>
      <c r="I708" s="195">
        <v>5</v>
      </c>
      <c r="J708" s="195">
        <v>10</v>
      </c>
      <c r="K708" s="195" t="s">
        <v>1951</v>
      </c>
      <c r="L708" s="195" t="s">
        <v>526</v>
      </c>
      <c r="N708" s="382" t="s">
        <v>456</v>
      </c>
    </row>
    <row r="709" spans="1:14" ht="12.75" customHeight="1" x14ac:dyDescent="0.2">
      <c r="A709" s="195" t="s">
        <v>1953</v>
      </c>
      <c r="B709" s="195" t="s">
        <v>409</v>
      </c>
      <c r="C709" s="195" t="s">
        <v>409</v>
      </c>
      <c r="D709" s="195" t="s">
        <v>1954</v>
      </c>
      <c r="E709" s="195" t="s">
        <v>1955</v>
      </c>
      <c r="F709" s="197"/>
      <c r="G709" s="197"/>
      <c r="H709" s="195">
        <v>2</v>
      </c>
      <c r="I709" s="195">
        <v>50</v>
      </c>
      <c r="J709" s="195">
        <v>100</v>
      </c>
      <c r="K709" s="195" t="s">
        <v>1953</v>
      </c>
      <c r="L709" s="195" t="s">
        <v>526</v>
      </c>
      <c r="N709" s="382" t="s">
        <v>918</v>
      </c>
    </row>
    <row r="710" spans="1:14" ht="12.75" customHeight="1" x14ac:dyDescent="0.2">
      <c r="A710" s="195" t="s">
        <v>1956</v>
      </c>
      <c r="B710" s="195" t="s">
        <v>409</v>
      </c>
      <c r="C710" s="195" t="s">
        <v>409</v>
      </c>
      <c r="D710" s="195" t="s">
        <v>1907</v>
      </c>
      <c r="E710" s="195" t="s">
        <v>1957</v>
      </c>
      <c r="F710" s="197"/>
      <c r="G710" s="197"/>
      <c r="H710" s="195">
        <v>2</v>
      </c>
      <c r="I710" s="195">
        <v>7.5</v>
      </c>
      <c r="J710" s="195">
        <v>15</v>
      </c>
      <c r="K710" s="195" t="s">
        <v>1956</v>
      </c>
      <c r="L710" s="195" t="s">
        <v>526</v>
      </c>
      <c r="N710" s="382" t="s">
        <v>456</v>
      </c>
    </row>
    <row r="711" spans="1:14" ht="12.75" customHeight="1" x14ac:dyDescent="0.2">
      <c r="A711" s="195" t="s">
        <v>1958</v>
      </c>
      <c r="B711" s="195" t="s">
        <v>409</v>
      </c>
      <c r="C711" s="195" t="s">
        <v>409</v>
      </c>
      <c r="D711" s="195" t="s">
        <v>1910</v>
      </c>
      <c r="E711" s="195" t="s">
        <v>1959</v>
      </c>
      <c r="F711" s="197"/>
      <c r="G711" s="197"/>
      <c r="H711" s="195">
        <v>2</v>
      </c>
      <c r="I711" s="195">
        <v>0.5</v>
      </c>
      <c r="J711" s="195">
        <v>1</v>
      </c>
      <c r="K711" s="195" t="s">
        <v>1958</v>
      </c>
      <c r="L711" s="195" t="s">
        <v>526</v>
      </c>
      <c r="N711" s="382" t="s">
        <v>456</v>
      </c>
    </row>
    <row r="712" spans="1:14" ht="12.75" customHeight="1" x14ac:dyDescent="0.2">
      <c r="A712" s="195" t="s">
        <v>1960</v>
      </c>
      <c r="B712" s="195" t="s">
        <v>409</v>
      </c>
      <c r="C712" s="195" t="s">
        <v>409</v>
      </c>
      <c r="D712" s="195" t="s">
        <v>1913</v>
      </c>
      <c r="E712" s="195" t="s">
        <v>1961</v>
      </c>
      <c r="F712" s="197"/>
      <c r="G712" s="197"/>
      <c r="H712" s="195">
        <v>2</v>
      </c>
      <c r="I712" s="195">
        <v>1.5</v>
      </c>
      <c r="J712" s="195">
        <v>3</v>
      </c>
      <c r="K712" s="195" t="s">
        <v>1960</v>
      </c>
      <c r="L712" s="195" t="s">
        <v>526</v>
      </c>
      <c r="N712" s="382" t="s">
        <v>456</v>
      </c>
    </row>
    <row r="713" spans="1:14" ht="12.75" customHeight="1" x14ac:dyDescent="0.2">
      <c r="A713" s="195" t="s">
        <v>1962</v>
      </c>
      <c r="B713" s="195" t="s">
        <v>409</v>
      </c>
      <c r="C713" s="195" t="s">
        <v>409</v>
      </c>
      <c r="D713" s="195" t="s">
        <v>1916</v>
      </c>
      <c r="E713" s="195" t="s">
        <v>1963</v>
      </c>
      <c r="F713" s="197"/>
      <c r="G713" s="197"/>
      <c r="H713" s="195">
        <v>2</v>
      </c>
      <c r="I713" s="195">
        <v>10.5</v>
      </c>
      <c r="J713" s="195">
        <v>21</v>
      </c>
      <c r="K713" s="195" t="s">
        <v>1962</v>
      </c>
      <c r="L713" s="195" t="s">
        <v>526</v>
      </c>
      <c r="N713" s="382" t="s">
        <v>456</v>
      </c>
    </row>
    <row r="714" spans="1:14" ht="12.75" customHeight="1" x14ac:dyDescent="0.2">
      <c r="A714" s="195" t="s">
        <v>1964</v>
      </c>
      <c r="B714" s="195" t="s">
        <v>409</v>
      </c>
      <c r="C714" s="195" t="s">
        <v>409</v>
      </c>
      <c r="D714" s="195" t="s">
        <v>1919</v>
      </c>
      <c r="E714" s="195" t="s">
        <v>1965</v>
      </c>
      <c r="F714" s="197"/>
      <c r="G714" s="197"/>
      <c r="H714" s="195">
        <v>2</v>
      </c>
      <c r="I714" s="195">
        <v>2</v>
      </c>
      <c r="J714" s="195">
        <v>4</v>
      </c>
      <c r="K714" s="195" t="s">
        <v>1964</v>
      </c>
      <c r="L714" s="195" t="s">
        <v>526</v>
      </c>
      <c r="N714" s="382" t="s">
        <v>456</v>
      </c>
    </row>
    <row r="715" spans="1:14" ht="12.75" customHeight="1" x14ac:dyDescent="0.2">
      <c r="A715" s="195" t="s">
        <v>1966</v>
      </c>
      <c r="B715" s="195" t="s">
        <v>409</v>
      </c>
      <c r="C715" s="195" t="s">
        <v>409</v>
      </c>
      <c r="D715" s="195" t="s">
        <v>1922</v>
      </c>
      <c r="E715" s="195" t="s">
        <v>1967</v>
      </c>
      <c r="F715" s="197"/>
      <c r="G715" s="197"/>
      <c r="H715" s="195">
        <v>2</v>
      </c>
      <c r="I715" s="195">
        <v>3</v>
      </c>
      <c r="J715" s="195">
        <v>6</v>
      </c>
      <c r="K715" s="195" t="s">
        <v>1966</v>
      </c>
      <c r="L715" s="195" t="s">
        <v>526</v>
      </c>
      <c r="N715" s="382" t="s">
        <v>456</v>
      </c>
    </row>
    <row r="716" spans="1:14" ht="12.75" customHeight="1" x14ac:dyDescent="0.2">
      <c r="A716" s="195" t="s">
        <v>1968</v>
      </c>
      <c r="B716" s="195" t="s">
        <v>409</v>
      </c>
      <c r="C716" s="195" t="s">
        <v>409</v>
      </c>
      <c r="D716" s="195" t="s">
        <v>1925</v>
      </c>
      <c r="E716" s="195" t="s">
        <v>1969</v>
      </c>
      <c r="F716" s="197"/>
      <c r="G716" s="197"/>
      <c r="H716" s="195">
        <v>2</v>
      </c>
      <c r="I716" s="195">
        <v>5</v>
      </c>
      <c r="J716" s="195">
        <v>10</v>
      </c>
      <c r="K716" s="195" t="s">
        <v>1968</v>
      </c>
      <c r="L716" s="195" t="s">
        <v>526</v>
      </c>
      <c r="N716" s="382" t="s">
        <v>456</v>
      </c>
    </row>
    <row r="717" spans="1:14" ht="12.75" customHeight="1" x14ac:dyDescent="0.2">
      <c r="A717" s="195" t="s">
        <v>1970</v>
      </c>
      <c r="B717" s="195" t="s">
        <v>409</v>
      </c>
      <c r="C717" s="195" t="s">
        <v>409</v>
      </c>
      <c r="D717" s="195" t="s">
        <v>1928</v>
      </c>
      <c r="E717" s="195" t="s">
        <v>1971</v>
      </c>
      <c r="F717" s="197"/>
      <c r="G717" s="197"/>
      <c r="H717" s="195">
        <v>2</v>
      </c>
      <c r="I717" s="195">
        <v>8</v>
      </c>
      <c r="J717" s="195">
        <v>16</v>
      </c>
      <c r="K717" s="195" t="s">
        <v>1970</v>
      </c>
      <c r="L717" s="195" t="s">
        <v>526</v>
      </c>
      <c r="N717" s="382" t="s">
        <v>456</v>
      </c>
    </row>
    <row r="718" spans="1:14" ht="12.75" customHeight="1" x14ac:dyDescent="0.2">
      <c r="A718" s="195" t="s">
        <v>1972</v>
      </c>
      <c r="B718" s="195" t="s">
        <v>233</v>
      </c>
      <c r="C718" s="195" t="s">
        <v>1973</v>
      </c>
      <c r="D718" s="195" t="s">
        <v>1974</v>
      </c>
      <c r="E718" s="195" t="s">
        <v>1975</v>
      </c>
      <c r="F718" s="197"/>
      <c r="G718" s="197"/>
      <c r="H718" s="195">
        <v>1</v>
      </c>
      <c r="I718" s="567">
        <v>33</v>
      </c>
      <c r="J718" s="567">
        <v>33</v>
      </c>
      <c r="K718" s="195" t="s">
        <v>1976</v>
      </c>
      <c r="L718" s="195" t="s">
        <v>455</v>
      </c>
      <c r="N718" s="382" t="s">
        <v>456</v>
      </c>
    </row>
    <row r="719" spans="1:14" ht="12.75" customHeight="1" x14ac:dyDescent="0.2">
      <c r="A719" s="195" t="s">
        <v>1977</v>
      </c>
      <c r="B719" s="195" t="s">
        <v>233</v>
      </c>
      <c r="C719" s="195" t="s">
        <v>1973</v>
      </c>
      <c r="D719" s="195" t="s">
        <v>1978</v>
      </c>
      <c r="E719" s="195" t="s">
        <v>1979</v>
      </c>
      <c r="F719" s="197"/>
      <c r="G719" s="197"/>
      <c r="H719" s="195">
        <v>1</v>
      </c>
      <c r="I719" s="567">
        <v>1000</v>
      </c>
      <c r="J719" s="567">
        <v>1000</v>
      </c>
      <c r="K719" s="195" t="s">
        <v>1977</v>
      </c>
      <c r="L719" s="195" t="s">
        <v>455</v>
      </c>
      <c r="N719" s="382" t="s">
        <v>456</v>
      </c>
    </row>
    <row r="720" spans="1:14" ht="12.75" customHeight="1" x14ac:dyDescent="0.2">
      <c r="A720" s="195" t="s">
        <v>1980</v>
      </c>
      <c r="B720" s="195" t="s">
        <v>233</v>
      </c>
      <c r="C720" s="195" t="s">
        <v>1973</v>
      </c>
      <c r="D720" s="195" t="s">
        <v>1981</v>
      </c>
      <c r="E720" s="195" t="s">
        <v>1982</v>
      </c>
      <c r="F720" s="197"/>
      <c r="G720" s="197"/>
      <c r="H720" s="195">
        <v>1</v>
      </c>
      <c r="I720" s="567">
        <v>28</v>
      </c>
      <c r="J720" s="567">
        <v>28</v>
      </c>
      <c r="K720" s="195" t="s">
        <v>1983</v>
      </c>
      <c r="L720" s="195" t="s">
        <v>455</v>
      </c>
      <c r="N720" s="382" t="s">
        <v>456</v>
      </c>
    </row>
    <row r="721" spans="1:14" ht="12.75" customHeight="1" x14ac:dyDescent="0.2">
      <c r="A721" s="195" t="s">
        <v>1984</v>
      </c>
      <c r="B721" s="195" t="s">
        <v>233</v>
      </c>
      <c r="C721" s="195" t="s">
        <v>1973</v>
      </c>
      <c r="D721" s="195" t="s">
        <v>1985</v>
      </c>
      <c r="E721" s="195" t="s">
        <v>1986</v>
      </c>
      <c r="F721" s="197"/>
      <c r="G721" s="197"/>
      <c r="H721" s="195">
        <v>1</v>
      </c>
      <c r="I721" s="567">
        <v>28</v>
      </c>
      <c r="J721" s="567">
        <v>28</v>
      </c>
      <c r="K721" s="195" t="s">
        <v>1983</v>
      </c>
      <c r="L721" s="195" t="s">
        <v>455</v>
      </c>
      <c r="N721" s="382" t="s">
        <v>456</v>
      </c>
    </row>
    <row r="722" spans="1:14" ht="12.75" customHeight="1" x14ac:dyDescent="0.2">
      <c r="A722" s="195" t="s">
        <v>1987</v>
      </c>
      <c r="B722" s="195" t="s">
        <v>233</v>
      </c>
      <c r="C722" s="195" t="s">
        <v>1973</v>
      </c>
      <c r="D722" s="195" t="s">
        <v>1988</v>
      </c>
      <c r="E722" s="195" t="s">
        <v>1989</v>
      </c>
      <c r="F722" s="197"/>
      <c r="G722" s="197"/>
      <c r="H722" s="195">
        <v>1</v>
      </c>
      <c r="I722" s="567">
        <v>40</v>
      </c>
      <c r="J722" s="567">
        <v>40</v>
      </c>
      <c r="K722" s="195" t="s">
        <v>1990</v>
      </c>
      <c r="L722" s="195" t="s">
        <v>455</v>
      </c>
      <c r="N722" s="382" t="s">
        <v>456</v>
      </c>
    </row>
    <row r="723" spans="1:14" ht="12.75" customHeight="1" x14ac:dyDescent="0.2">
      <c r="A723" s="195" t="s">
        <v>1991</v>
      </c>
      <c r="B723" s="195" t="s">
        <v>233</v>
      </c>
      <c r="C723" s="195" t="s">
        <v>1973</v>
      </c>
      <c r="D723" s="195" t="s">
        <v>1992</v>
      </c>
      <c r="E723" s="195" t="s">
        <v>1993</v>
      </c>
      <c r="F723" s="197"/>
      <c r="G723" s="197"/>
      <c r="H723" s="195">
        <v>1</v>
      </c>
      <c r="I723" s="567">
        <v>44</v>
      </c>
      <c r="J723" s="567">
        <v>44</v>
      </c>
      <c r="K723" s="195" t="s">
        <v>1994</v>
      </c>
      <c r="L723" s="195" t="s">
        <v>455</v>
      </c>
      <c r="N723" s="382" t="s">
        <v>456</v>
      </c>
    </row>
    <row r="724" spans="1:14" ht="12.75" customHeight="1" x14ac:dyDescent="0.2">
      <c r="A724" s="195" t="s">
        <v>1995</v>
      </c>
      <c r="B724" s="195" t="s">
        <v>233</v>
      </c>
      <c r="C724" s="195" t="s">
        <v>1973</v>
      </c>
      <c r="D724" s="195" t="s">
        <v>1996</v>
      </c>
      <c r="E724" s="195" t="s">
        <v>1997</v>
      </c>
      <c r="F724" s="197"/>
      <c r="G724" s="197"/>
      <c r="H724" s="195">
        <v>1</v>
      </c>
      <c r="I724" s="567">
        <v>48</v>
      </c>
      <c r="J724" s="567">
        <v>48</v>
      </c>
      <c r="K724" s="195" t="s">
        <v>1998</v>
      </c>
      <c r="L724" s="195" t="s">
        <v>455</v>
      </c>
      <c r="N724" s="382" t="s">
        <v>456</v>
      </c>
    </row>
    <row r="725" spans="1:14" ht="12.75" customHeight="1" x14ac:dyDescent="0.2">
      <c r="A725" s="195" t="s">
        <v>1999</v>
      </c>
      <c r="B725" s="195" t="s">
        <v>233</v>
      </c>
      <c r="C725" s="195" t="s">
        <v>1973</v>
      </c>
      <c r="D725" s="195" t="s">
        <v>1889</v>
      </c>
      <c r="E725" s="195" t="s">
        <v>2000</v>
      </c>
      <c r="F725" s="197"/>
      <c r="G725" s="197"/>
      <c r="H725" s="195">
        <v>1</v>
      </c>
      <c r="I725" s="567">
        <v>15</v>
      </c>
      <c r="J725" s="567">
        <v>15</v>
      </c>
      <c r="K725" s="195" t="s">
        <v>1999</v>
      </c>
      <c r="L725" s="195" t="s">
        <v>455</v>
      </c>
      <c r="N725" s="382" t="s">
        <v>456</v>
      </c>
    </row>
    <row r="726" spans="1:14" ht="12.75" customHeight="1" x14ac:dyDescent="0.2">
      <c r="A726" s="195" t="s">
        <v>2001</v>
      </c>
      <c r="B726" s="195" t="s">
        <v>233</v>
      </c>
      <c r="C726" s="195" t="s">
        <v>1973</v>
      </c>
      <c r="D726" s="195" t="s">
        <v>2002</v>
      </c>
      <c r="E726" s="195" t="s">
        <v>2003</v>
      </c>
      <c r="F726" s="197"/>
      <c r="G726" s="197"/>
      <c r="H726" s="195">
        <v>1</v>
      </c>
      <c r="I726" s="567">
        <v>58</v>
      </c>
      <c r="J726" s="567">
        <v>58</v>
      </c>
      <c r="K726" s="195" t="s">
        <v>2004</v>
      </c>
      <c r="L726" s="195" t="s">
        <v>455</v>
      </c>
      <c r="N726" s="382" t="s">
        <v>456</v>
      </c>
    </row>
    <row r="727" spans="1:14" ht="12.75" customHeight="1" x14ac:dyDescent="0.2">
      <c r="A727" s="195" t="s">
        <v>2005</v>
      </c>
      <c r="B727" s="195" t="s">
        <v>233</v>
      </c>
      <c r="C727" s="195" t="s">
        <v>1973</v>
      </c>
      <c r="D727" s="195" t="s">
        <v>2006</v>
      </c>
      <c r="E727" s="195" t="s">
        <v>2007</v>
      </c>
      <c r="F727" s="197"/>
      <c r="G727" s="197"/>
      <c r="H727" s="195">
        <v>1</v>
      </c>
      <c r="I727" s="567">
        <v>1500</v>
      </c>
      <c r="J727" s="567">
        <v>1500</v>
      </c>
      <c r="K727" s="195" t="s">
        <v>2005</v>
      </c>
      <c r="L727" s="195" t="s">
        <v>455</v>
      </c>
      <c r="N727" s="382" t="s">
        <v>456</v>
      </c>
    </row>
    <row r="728" spans="1:14" ht="12.75" customHeight="1" x14ac:dyDescent="0.2">
      <c r="A728" s="195" t="s">
        <v>2008</v>
      </c>
      <c r="B728" s="195" t="s">
        <v>233</v>
      </c>
      <c r="C728" s="195" t="s">
        <v>1973</v>
      </c>
      <c r="D728" s="195" t="s">
        <v>2009</v>
      </c>
      <c r="E728" s="195" t="s">
        <v>2010</v>
      </c>
      <c r="F728" s="197"/>
      <c r="G728" s="197"/>
      <c r="H728" s="195">
        <v>1</v>
      </c>
      <c r="I728" s="567">
        <v>48</v>
      </c>
      <c r="J728" s="567">
        <v>48</v>
      </c>
      <c r="K728" s="195" t="s">
        <v>1998</v>
      </c>
      <c r="L728" s="195" t="s">
        <v>455</v>
      </c>
      <c r="N728" s="382" t="s">
        <v>456</v>
      </c>
    </row>
    <row r="729" spans="1:14" ht="12.75" customHeight="1" x14ac:dyDescent="0.2">
      <c r="A729" s="195" t="s">
        <v>2011</v>
      </c>
      <c r="B729" s="195" t="s">
        <v>233</v>
      </c>
      <c r="C729" s="195" t="s">
        <v>1973</v>
      </c>
      <c r="D729" s="195" t="s">
        <v>2012</v>
      </c>
      <c r="E729" s="195" t="s">
        <v>2013</v>
      </c>
      <c r="F729" s="197"/>
      <c r="G729" s="197"/>
      <c r="H729" s="195">
        <v>1</v>
      </c>
      <c r="I729" s="567">
        <v>48</v>
      </c>
      <c r="J729" s="567">
        <v>48</v>
      </c>
      <c r="K729" s="195" t="s">
        <v>1998</v>
      </c>
      <c r="L729" s="195" t="s">
        <v>455</v>
      </c>
      <c r="N729" s="382" t="s">
        <v>456</v>
      </c>
    </row>
    <row r="730" spans="1:14" ht="12.75" customHeight="1" x14ac:dyDescent="0.2">
      <c r="A730" s="195" t="s">
        <v>2014</v>
      </c>
      <c r="B730" s="195" t="s">
        <v>233</v>
      </c>
      <c r="C730" s="195" t="s">
        <v>1973</v>
      </c>
      <c r="D730" s="195" t="s">
        <v>2015</v>
      </c>
      <c r="E730" s="195" t="s">
        <v>2016</v>
      </c>
      <c r="F730" s="197"/>
      <c r="G730" s="197"/>
      <c r="H730" s="195">
        <v>1</v>
      </c>
      <c r="I730" s="567">
        <v>66</v>
      </c>
      <c r="J730" s="567">
        <v>66</v>
      </c>
      <c r="K730" s="195" t="s">
        <v>2017</v>
      </c>
      <c r="L730" s="195" t="s">
        <v>455</v>
      </c>
      <c r="N730" s="382" t="s">
        <v>456</v>
      </c>
    </row>
    <row r="731" spans="1:14" ht="12.75" customHeight="1" x14ac:dyDescent="0.2">
      <c r="A731" s="195" t="s">
        <v>2018</v>
      </c>
      <c r="B731" s="195" t="s">
        <v>233</v>
      </c>
      <c r="C731" s="195" t="s">
        <v>1973</v>
      </c>
      <c r="D731" s="195" t="s">
        <v>1892</v>
      </c>
      <c r="E731" s="195" t="s">
        <v>2019</v>
      </c>
      <c r="F731" s="197"/>
      <c r="G731" s="197"/>
      <c r="H731" s="195">
        <v>1</v>
      </c>
      <c r="I731" s="567">
        <v>20</v>
      </c>
      <c r="J731" s="567">
        <v>20</v>
      </c>
      <c r="K731" s="195" t="s">
        <v>2018</v>
      </c>
      <c r="L731" s="195" t="s">
        <v>455</v>
      </c>
      <c r="N731" s="382" t="s">
        <v>456</v>
      </c>
    </row>
    <row r="732" spans="1:14" ht="12.75" customHeight="1" x14ac:dyDescent="0.2">
      <c r="A732" s="195" t="s">
        <v>2020</v>
      </c>
      <c r="B732" s="195" t="s">
        <v>233</v>
      </c>
      <c r="C732" s="195" t="s">
        <v>1973</v>
      </c>
      <c r="D732" s="195" t="s">
        <v>2021</v>
      </c>
      <c r="E732" s="195" t="s">
        <v>2022</v>
      </c>
      <c r="F732" s="197"/>
      <c r="G732" s="197"/>
      <c r="H732" s="195">
        <v>1</v>
      </c>
      <c r="I732" s="567">
        <v>200</v>
      </c>
      <c r="J732" s="567">
        <v>200</v>
      </c>
      <c r="K732" s="195" t="s">
        <v>2020</v>
      </c>
      <c r="L732" s="195" t="s">
        <v>455</v>
      </c>
      <c r="N732" s="382" t="s">
        <v>456</v>
      </c>
    </row>
    <row r="733" spans="1:14" ht="12.75" customHeight="1" x14ac:dyDescent="0.2">
      <c r="A733" s="195" t="s">
        <v>2023</v>
      </c>
      <c r="B733" s="195" t="s">
        <v>233</v>
      </c>
      <c r="C733" s="195" t="s">
        <v>1973</v>
      </c>
      <c r="D733" s="195" t="s">
        <v>2024</v>
      </c>
      <c r="E733" s="195" t="s">
        <v>2025</v>
      </c>
      <c r="F733" s="197"/>
      <c r="G733" s="197"/>
      <c r="H733" s="195">
        <v>1</v>
      </c>
      <c r="I733" s="567">
        <v>2000</v>
      </c>
      <c r="J733" s="567">
        <v>2000</v>
      </c>
      <c r="K733" s="195" t="s">
        <v>2023</v>
      </c>
      <c r="L733" s="195" t="s">
        <v>455</v>
      </c>
      <c r="N733" s="382" t="s">
        <v>456</v>
      </c>
    </row>
    <row r="734" spans="1:14" ht="12.75" customHeight="1" x14ac:dyDescent="0.2">
      <c r="A734" s="195" t="s">
        <v>2026</v>
      </c>
      <c r="B734" s="195" t="s">
        <v>233</v>
      </c>
      <c r="C734" s="195" t="s">
        <v>1973</v>
      </c>
      <c r="D734" s="195" t="s">
        <v>2027</v>
      </c>
      <c r="E734" s="195" t="s">
        <v>2028</v>
      </c>
      <c r="F734" s="197"/>
      <c r="G734" s="197"/>
      <c r="H734" s="195">
        <v>1</v>
      </c>
      <c r="I734" s="567">
        <v>200</v>
      </c>
      <c r="J734" s="567">
        <v>200</v>
      </c>
      <c r="K734" s="195" t="s">
        <v>2026</v>
      </c>
      <c r="L734" s="195" t="s">
        <v>455</v>
      </c>
      <c r="N734" s="382" t="s">
        <v>456</v>
      </c>
    </row>
    <row r="735" spans="1:14" ht="12.75" customHeight="1" x14ac:dyDescent="0.2">
      <c r="A735" s="195" t="s">
        <v>2029</v>
      </c>
      <c r="B735" s="195" t="s">
        <v>233</v>
      </c>
      <c r="C735" s="195" t="s">
        <v>1973</v>
      </c>
      <c r="D735" s="195" t="s">
        <v>1895</v>
      </c>
      <c r="E735" s="195" t="s">
        <v>2030</v>
      </c>
      <c r="F735" s="197"/>
      <c r="G735" s="197"/>
      <c r="H735" s="195">
        <v>1</v>
      </c>
      <c r="I735" s="567">
        <v>25</v>
      </c>
      <c r="J735" s="567">
        <v>25</v>
      </c>
      <c r="K735" s="195" t="s">
        <v>2029</v>
      </c>
      <c r="L735" s="195" t="s">
        <v>455</v>
      </c>
      <c r="N735" s="382" t="s">
        <v>456</v>
      </c>
    </row>
    <row r="736" spans="1:14" ht="12.75" customHeight="1" x14ac:dyDescent="0.2">
      <c r="A736" s="195" t="s">
        <v>2031</v>
      </c>
      <c r="B736" s="195" t="s">
        <v>233</v>
      </c>
      <c r="C736" s="195" t="s">
        <v>1973</v>
      </c>
      <c r="D736" s="195" t="s">
        <v>2032</v>
      </c>
      <c r="E736" s="195" t="s">
        <v>2033</v>
      </c>
      <c r="F736" s="197"/>
      <c r="G736" s="197"/>
      <c r="H736" s="195">
        <v>1</v>
      </c>
      <c r="I736" s="567">
        <v>250</v>
      </c>
      <c r="J736" s="567">
        <v>250</v>
      </c>
      <c r="K736" s="195" t="s">
        <v>2031</v>
      </c>
      <c r="L736" s="195" t="s">
        <v>455</v>
      </c>
      <c r="N736" s="382" t="s">
        <v>456</v>
      </c>
    </row>
    <row r="737" spans="1:14" ht="12.75" customHeight="1" x14ac:dyDescent="0.2">
      <c r="A737" s="195" t="s">
        <v>2034</v>
      </c>
      <c r="B737" s="195" t="s">
        <v>233</v>
      </c>
      <c r="C737" s="195" t="s">
        <v>1973</v>
      </c>
      <c r="D737" s="195" t="s">
        <v>2035</v>
      </c>
      <c r="E737" s="195" t="s">
        <v>2036</v>
      </c>
      <c r="F737" s="197"/>
      <c r="G737" s="197"/>
      <c r="H737" s="195">
        <v>1</v>
      </c>
      <c r="I737" s="567">
        <v>300</v>
      </c>
      <c r="J737" s="567">
        <v>300</v>
      </c>
      <c r="K737" s="195" t="s">
        <v>2034</v>
      </c>
      <c r="L737" s="195" t="s">
        <v>455</v>
      </c>
      <c r="N737" s="382" t="s">
        <v>456</v>
      </c>
    </row>
    <row r="738" spans="1:14" ht="12.75" customHeight="1" x14ac:dyDescent="0.2">
      <c r="A738" s="195" t="s">
        <v>2037</v>
      </c>
      <c r="B738" s="195" t="s">
        <v>233</v>
      </c>
      <c r="C738" s="195" t="s">
        <v>1973</v>
      </c>
      <c r="D738" s="195" t="s">
        <v>1898</v>
      </c>
      <c r="E738" s="195" t="s">
        <v>2038</v>
      </c>
      <c r="F738" s="197"/>
      <c r="G738" s="197"/>
      <c r="H738" s="195">
        <v>1</v>
      </c>
      <c r="I738" s="567">
        <v>8</v>
      </c>
      <c r="J738" s="567">
        <v>8</v>
      </c>
      <c r="K738" s="195" t="s">
        <v>2039</v>
      </c>
      <c r="L738" s="195" t="s">
        <v>455</v>
      </c>
      <c r="N738" s="382" t="s">
        <v>456</v>
      </c>
    </row>
    <row r="739" spans="1:14" ht="12.75" customHeight="1" x14ac:dyDescent="0.2">
      <c r="A739" s="195" t="s">
        <v>2040</v>
      </c>
      <c r="B739" s="195" t="s">
        <v>233</v>
      </c>
      <c r="C739" s="195" t="s">
        <v>1973</v>
      </c>
      <c r="D739" s="195" t="s">
        <v>2041</v>
      </c>
      <c r="E739" s="195" t="s">
        <v>2042</v>
      </c>
      <c r="F739" s="197"/>
      <c r="G739" s="197"/>
      <c r="H739" s="195">
        <v>1</v>
      </c>
      <c r="I739" s="567">
        <v>8</v>
      </c>
      <c r="J739" s="567">
        <v>8</v>
      </c>
      <c r="K739" s="195" t="s">
        <v>2039</v>
      </c>
      <c r="L739" s="195" t="s">
        <v>455</v>
      </c>
      <c r="N739" s="382" t="s">
        <v>456</v>
      </c>
    </row>
    <row r="740" spans="1:14" ht="12.75" customHeight="1" x14ac:dyDescent="0.2">
      <c r="A740" s="195" t="s">
        <v>2043</v>
      </c>
      <c r="B740" s="195" t="s">
        <v>233</v>
      </c>
      <c r="C740" s="195" t="s">
        <v>1973</v>
      </c>
      <c r="D740" s="195" t="s">
        <v>1901</v>
      </c>
      <c r="E740" s="195" t="s">
        <v>2044</v>
      </c>
      <c r="F740" s="197"/>
      <c r="G740" s="197"/>
      <c r="H740" s="195">
        <v>1</v>
      </c>
      <c r="I740" s="567">
        <v>10</v>
      </c>
      <c r="J740" s="567">
        <v>10</v>
      </c>
      <c r="K740" s="195" t="s">
        <v>2045</v>
      </c>
      <c r="L740" s="195" t="s">
        <v>455</v>
      </c>
      <c r="N740" s="382" t="s">
        <v>456</v>
      </c>
    </row>
    <row r="741" spans="1:14" ht="12.75" customHeight="1" x14ac:dyDescent="0.2">
      <c r="A741" s="195" t="s">
        <v>2046</v>
      </c>
      <c r="B741" s="195" t="s">
        <v>233</v>
      </c>
      <c r="C741" s="195" t="s">
        <v>1973</v>
      </c>
      <c r="D741" s="195" t="s">
        <v>2047</v>
      </c>
      <c r="E741" s="195" t="s">
        <v>2048</v>
      </c>
      <c r="F741" s="197"/>
      <c r="G741" s="197"/>
      <c r="H741" s="195">
        <v>1</v>
      </c>
      <c r="I741" s="567">
        <v>400</v>
      </c>
      <c r="J741" s="567">
        <v>400</v>
      </c>
      <c r="K741" s="195" t="s">
        <v>2046</v>
      </c>
      <c r="L741" s="195" t="s">
        <v>455</v>
      </c>
      <c r="N741" s="382" t="s">
        <v>456</v>
      </c>
    </row>
    <row r="742" spans="1:14" ht="12.75" customHeight="1" x14ac:dyDescent="0.2">
      <c r="A742" s="195" t="s">
        <v>2049</v>
      </c>
      <c r="B742" s="195" t="s">
        <v>233</v>
      </c>
      <c r="C742" s="195" t="s">
        <v>1973</v>
      </c>
      <c r="D742" s="195" t="s">
        <v>2050</v>
      </c>
      <c r="E742" s="195" t="s">
        <v>2051</v>
      </c>
      <c r="F742" s="197"/>
      <c r="G742" s="197"/>
      <c r="H742" s="195">
        <v>1</v>
      </c>
      <c r="I742" s="567">
        <v>8</v>
      </c>
      <c r="J742" s="567">
        <v>8</v>
      </c>
      <c r="K742" s="195" t="s">
        <v>2039</v>
      </c>
      <c r="L742" s="195" t="s">
        <v>455</v>
      </c>
      <c r="N742" s="382" t="s">
        <v>456</v>
      </c>
    </row>
    <row r="743" spans="1:14" ht="12.75" customHeight="1" x14ac:dyDescent="0.2">
      <c r="A743" s="195" t="s">
        <v>2052</v>
      </c>
      <c r="B743" s="195" t="s">
        <v>233</v>
      </c>
      <c r="C743" s="195" t="s">
        <v>1973</v>
      </c>
      <c r="D743" s="195" t="s">
        <v>2053</v>
      </c>
      <c r="E743" s="195" t="s">
        <v>2054</v>
      </c>
      <c r="F743" s="197"/>
      <c r="G743" s="197"/>
      <c r="H743" s="195">
        <v>1</v>
      </c>
      <c r="I743" s="567">
        <v>8</v>
      </c>
      <c r="J743" s="567">
        <v>8</v>
      </c>
      <c r="K743" s="195" t="s">
        <v>2039</v>
      </c>
      <c r="L743" s="195" t="s">
        <v>455</v>
      </c>
      <c r="N743" s="382" t="s">
        <v>456</v>
      </c>
    </row>
    <row r="744" spans="1:14" ht="12.75" customHeight="1" x14ac:dyDescent="0.2">
      <c r="A744" s="195" t="s">
        <v>2055</v>
      </c>
      <c r="B744" s="195" t="s">
        <v>233</v>
      </c>
      <c r="C744" s="195" t="s">
        <v>1973</v>
      </c>
      <c r="D744" s="195" t="s">
        <v>2056</v>
      </c>
      <c r="E744" s="195" t="s">
        <v>2057</v>
      </c>
      <c r="F744" s="197"/>
      <c r="G744" s="197"/>
      <c r="H744" s="195">
        <v>1</v>
      </c>
      <c r="I744" s="567">
        <v>11</v>
      </c>
      <c r="J744" s="567">
        <v>11</v>
      </c>
      <c r="K744" s="195" t="s">
        <v>2058</v>
      </c>
      <c r="L744" s="195" t="s">
        <v>455</v>
      </c>
      <c r="N744" s="382" t="s">
        <v>456</v>
      </c>
    </row>
    <row r="745" spans="1:14" ht="12.75" customHeight="1" x14ac:dyDescent="0.2">
      <c r="A745" s="195" t="s">
        <v>2059</v>
      </c>
      <c r="B745" s="195" t="s">
        <v>233</v>
      </c>
      <c r="C745" s="195" t="s">
        <v>1973</v>
      </c>
      <c r="D745" s="195" t="s">
        <v>2060</v>
      </c>
      <c r="E745" s="195" t="s">
        <v>2061</v>
      </c>
      <c r="F745" s="197"/>
      <c r="G745" s="197"/>
      <c r="H745" s="195">
        <v>1</v>
      </c>
      <c r="I745" s="567">
        <v>448</v>
      </c>
      <c r="J745" s="567">
        <v>448</v>
      </c>
      <c r="K745" s="195" t="s">
        <v>2059</v>
      </c>
      <c r="L745" s="195" t="s">
        <v>455</v>
      </c>
      <c r="N745" s="382" t="s">
        <v>456</v>
      </c>
    </row>
    <row r="746" spans="1:14" ht="12.75" customHeight="1" x14ac:dyDescent="0.2">
      <c r="A746" s="195" t="s">
        <v>2062</v>
      </c>
      <c r="B746" s="195" t="s">
        <v>233</v>
      </c>
      <c r="C746" s="195" t="s">
        <v>1973</v>
      </c>
      <c r="D746" s="195" t="s">
        <v>2063</v>
      </c>
      <c r="E746" s="195" t="s">
        <v>2064</v>
      </c>
      <c r="F746" s="197"/>
      <c r="G746" s="197"/>
      <c r="H746" s="195">
        <v>1</v>
      </c>
      <c r="I746" s="567">
        <v>11</v>
      </c>
      <c r="J746" s="567">
        <v>11</v>
      </c>
      <c r="K746" s="195" t="s">
        <v>2058</v>
      </c>
      <c r="L746" s="195" t="s">
        <v>455</v>
      </c>
      <c r="N746" s="382" t="s">
        <v>456</v>
      </c>
    </row>
    <row r="747" spans="1:14" ht="12.75" customHeight="1" x14ac:dyDescent="0.2">
      <c r="A747" s="195" t="s">
        <v>2065</v>
      </c>
      <c r="B747" s="195" t="s">
        <v>233</v>
      </c>
      <c r="C747" s="195" t="s">
        <v>1973</v>
      </c>
      <c r="D747" s="195" t="s">
        <v>1954</v>
      </c>
      <c r="E747" s="195" t="s">
        <v>2066</v>
      </c>
      <c r="F747" s="197"/>
      <c r="G747" s="197"/>
      <c r="H747" s="195">
        <v>1</v>
      </c>
      <c r="I747" s="567">
        <v>13</v>
      </c>
      <c r="J747" s="567">
        <v>13</v>
      </c>
      <c r="K747" s="195" t="s">
        <v>2067</v>
      </c>
      <c r="L747" s="195" t="s">
        <v>455</v>
      </c>
      <c r="N747" s="382" t="s">
        <v>456</v>
      </c>
    </row>
    <row r="748" spans="1:14" ht="12.75" customHeight="1" x14ac:dyDescent="0.2">
      <c r="A748" s="195" t="s">
        <v>2068</v>
      </c>
      <c r="B748" s="195" t="s">
        <v>233</v>
      </c>
      <c r="C748" s="195" t="s">
        <v>1973</v>
      </c>
      <c r="D748" s="195" t="s">
        <v>2069</v>
      </c>
      <c r="E748" s="195" t="s">
        <v>2070</v>
      </c>
      <c r="F748" s="197"/>
      <c r="G748" s="197"/>
      <c r="H748" s="195">
        <v>1</v>
      </c>
      <c r="I748" s="567">
        <v>500</v>
      </c>
      <c r="J748" s="567">
        <v>500</v>
      </c>
      <c r="K748" s="195" t="s">
        <v>2068</v>
      </c>
      <c r="L748" s="195" t="s">
        <v>455</v>
      </c>
      <c r="N748" s="382" t="s">
        <v>456</v>
      </c>
    </row>
    <row r="749" spans="1:14" ht="12.75" customHeight="1" x14ac:dyDescent="0.2">
      <c r="A749" s="195" t="s">
        <v>2071</v>
      </c>
      <c r="B749" s="195" t="s">
        <v>233</v>
      </c>
      <c r="C749" s="195" t="s">
        <v>1973</v>
      </c>
      <c r="D749" s="195" t="s">
        <v>2072</v>
      </c>
      <c r="E749" s="195" t="s">
        <v>2073</v>
      </c>
      <c r="F749" s="197"/>
      <c r="G749" s="197"/>
      <c r="H749" s="195">
        <v>1</v>
      </c>
      <c r="I749" s="567">
        <v>13</v>
      </c>
      <c r="J749" s="567">
        <v>13</v>
      </c>
      <c r="K749" s="195" t="s">
        <v>2067</v>
      </c>
      <c r="L749" s="195" t="s">
        <v>455</v>
      </c>
      <c r="N749" s="382" t="s">
        <v>456</v>
      </c>
    </row>
    <row r="750" spans="1:14" ht="12.75" customHeight="1" x14ac:dyDescent="0.2">
      <c r="A750" s="195" t="s">
        <v>2074</v>
      </c>
      <c r="B750" s="195" t="s">
        <v>233</v>
      </c>
      <c r="C750" s="195" t="s">
        <v>1973</v>
      </c>
      <c r="D750" s="195" t="s">
        <v>2075</v>
      </c>
      <c r="E750" s="195" t="s">
        <v>2076</v>
      </c>
      <c r="F750" s="197"/>
      <c r="G750" s="197"/>
      <c r="H750" s="195">
        <v>1</v>
      </c>
      <c r="I750" s="567">
        <v>14</v>
      </c>
      <c r="J750" s="567">
        <v>14</v>
      </c>
      <c r="K750" s="195" t="s">
        <v>2077</v>
      </c>
      <c r="L750" s="195" t="s">
        <v>455</v>
      </c>
      <c r="N750" s="382" t="s">
        <v>456</v>
      </c>
    </row>
    <row r="751" spans="1:14" ht="12.75" customHeight="1" x14ac:dyDescent="0.2">
      <c r="A751" s="195" t="s">
        <v>2078</v>
      </c>
      <c r="B751" s="195" t="s">
        <v>233</v>
      </c>
      <c r="C751" s="195" t="s">
        <v>1973</v>
      </c>
      <c r="D751" s="195" t="s">
        <v>2079</v>
      </c>
      <c r="E751" s="195" t="s">
        <v>2080</v>
      </c>
      <c r="F751" s="197"/>
      <c r="G751" s="197"/>
      <c r="H751" s="195">
        <v>1</v>
      </c>
      <c r="I751" s="567">
        <v>14</v>
      </c>
      <c r="J751" s="567">
        <v>14</v>
      </c>
      <c r="K751" s="195" t="s">
        <v>2077</v>
      </c>
      <c r="L751" s="195" t="s">
        <v>455</v>
      </c>
      <c r="N751" s="382" t="s">
        <v>456</v>
      </c>
    </row>
    <row r="752" spans="1:14" ht="12.75" customHeight="1" x14ac:dyDescent="0.2">
      <c r="A752" s="195" t="s">
        <v>2081</v>
      </c>
      <c r="B752" s="195" t="s">
        <v>233</v>
      </c>
      <c r="C752" s="195" t="s">
        <v>1973</v>
      </c>
      <c r="D752" s="195" t="s">
        <v>2082</v>
      </c>
      <c r="E752" s="195" t="s">
        <v>2083</v>
      </c>
      <c r="F752" s="197"/>
      <c r="G752" s="197"/>
      <c r="H752" s="195">
        <v>1</v>
      </c>
      <c r="I752" s="567">
        <v>17</v>
      </c>
      <c r="J752" s="567">
        <v>17</v>
      </c>
      <c r="K752" s="195" t="s">
        <v>2084</v>
      </c>
      <c r="L752" s="195" t="s">
        <v>455</v>
      </c>
      <c r="N752" s="382" t="s">
        <v>456</v>
      </c>
    </row>
    <row r="753" spans="1:14" ht="12.75" customHeight="1" x14ac:dyDescent="0.2">
      <c r="A753" s="195" t="s">
        <v>2085</v>
      </c>
      <c r="B753" s="195" t="s">
        <v>233</v>
      </c>
      <c r="C753" s="195" t="s">
        <v>1973</v>
      </c>
      <c r="D753" s="195" t="s">
        <v>2086</v>
      </c>
      <c r="E753" s="195" t="s">
        <v>2087</v>
      </c>
      <c r="F753" s="197"/>
      <c r="G753" s="197"/>
      <c r="H753" s="195">
        <v>1</v>
      </c>
      <c r="I753" s="567">
        <v>13</v>
      </c>
      <c r="J753" s="567">
        <v>13</v>
      </c>
      <c r="K753" s="195" t="s">
        <v>2067</v>
      </c>
      <c r="L753" s="195" t="s">
        <v>455</v>
      </c>
      <c r="N753" s="382" t="s">
        <v>456</v>
      </c>
    </row>
    <row r="754" spans="1:14" ht="12.75" customHeight="1" x14ac:dyDescent="0.2">
      <c r="A754" s="195" t="s">
        <v>2088</v>
      </c>
      <c r="B754" s="195" t="s">
        <v>233</v>
      </c>
      <c r="C754" s="195" t="s">
        <v>1973</v>
      </c>
      <c r="D754" s="195" t="s">
        <v>2089</v>
      </c>
      <c r="E754" s="195" t="s">
        <v>2090</v>
      </c>
      <c r="F754" s="197"/>
      <c r="G754" s="197"/>
      <c r="H754" s="195">
        <v>1</v>
      </c>
      <c r="I754" s="567">
        <v>13</v>
      </c>
      <c r="J754" s="567">
        <v>13</v>
      </c>
      <c r="K754" s="195" t="s">
        <v>2067</v>
      </c>
      <c r="L754" s="195" t="s">
        <v>455</v>
      </c>
      <c r="N754" s="382" t="s">
        <v>456</v>
      </c>
    </row>
    <row r="755" spans="1:14" ht="12.75" customHeight="1" x14ac:dyDescent="0.2">
      <c r="A755" s="195" t="s">
        <v>2091</v>
      </c>
      <c r="B755" s="195" t="s">
        <v>233</v>
      </c>
      <c r="C755" s="195" t="s">
        <v>1973</v>
      </c>
      <c r="D755" s="195" t="s">
        <v>2092</v>
      </c>
      <c r="E755" s="195" t="s">
        <v>2093</v>
      </c>
      <c r="F755" s="197"/>
      <c r="G755" s="197"/>
      <c r="H755" s="195">
        <v>1</v>
      </c>
      <c r="I755" s="567">
        <v>18</v>
      </c>
      <c r="J755" s="567">
        <v>18</v>
      </c>
      <c r="K755" s="195" t="s">
        <v>2094</v>
      </c>
      <c r="L755" s="195" t="s">
        <v>455</v>
      </c>
      <c r="N755" s="382" t="s">
        <v>456</v>
      </c>
    </row>
    <row r="756" spans="1:14" ht="12.75" customHeight="1" x14ac:dyDescent="0.2">
      <c r="A756" s="195" t="s">
        <v>2095</v>
      </c>
      <c r="B756" s="195" t="s">
        <v>233</v>
      </c>
      <c r="C756" s="195" t="s">
        <v>1973</v>
      </c>
      <c r="D756" s="195" t="s">
        <v>2096</v>
      </c>
      <c r="E756" s="195" t="s">
        <v>2097</v>
      </c>
      <c r="F756" s="197"/>
      <c r="G756" s="197"/>
      <c r="H756" s="195">
        <v>1</v>
      </c>
      <c r="I756" s="567">
        <v>19</v>
      </c>
      <c r="J756" s="567">
        <v>19</v>
      </c>
      <c r="K756" s="195" t="s">
        <v>2098</v>
      </c>
      <c r="L756" s="195" t="s">
        <v>455</v>
      </c>
      <c r="N756" s="382" t="s">
        <v>456</v>
      </c>
    </row>
    <row r="757" spans="1:14" ht="12.75" customHeight="1" x14ac:dyDescent="0.2">
      <c r="A757" s="195" t="s">
        <v>2099</v>
      </c>
      <c r="B757" s="195" t="s">
        <v>233</v>
      </c>
      <c r="C757" s="195" t="s">
        <v>1973</v>
      </c>
      <c r="D757" s="195" t="s">
        <v>2100</v>
      </c>
      <c r="E757" s="195" t="s">
        <v>2101</v>
      </c>
      <c r="F757" s="197"/>
      <c r="G757" s="197"/>
      <c r="H757" s="195">
        <v>1</v>
      </c>
      <c r="I757" s="567">
        <v>19</v>
      </c>
      <c r="J757" s="567">
        <v>19</v>
      </c>
      <c r="K757" s="195" t="s">
        <v>2098</v>
      </c>
      <c r="L757" s="195" t="s">
        <v>455</v>
      </c>
      <c r="N757" s="382" t="s">
        <v>456</v>
      </c>
    </row>
    <row r="758" spans="1:14" ht="12.75" customHeight="1" x14ac:dyDescent="0.2">
      <c r="A758" s="195" t="s">
        <v>2102</v>
      </c>
      <c r="B758" s="195" t="s">
        <v>233</v>
      </c>
      <c r="C758" s="195" t="s">
        <v>1973</v>
      </c>
      <c r="D758" s="195" t="s">
        <v>1907</v>
      </c>
      <c r="E758" s="195" t="s">
        <v>2103</v>
      </c>
      <c r="F758" s="197"/>
      <c r="G758" s="197"/>
      <c r="H758" s="195">
        <v>1</v>
      </c>
      <c r="I758" s="567">
        <v>7.5</v>
      </c>
      <c r="J758" s="567">
        <v>8</v>
      </c>
      <c r="K758" s="195" t="s">
        <v>2102</v>
      </c>
      <c r="L758" s="195" t="s">
        <v>455</v>
      </c>
      <c r="N758" s="382" t="s">
        <v>456</v>
      </c>
    </row>
    <row r="759" spans="1:14" ht="12.75" customHeight="1" x14ac:dyDescent="0.2">
      <c r="A759" s="195" t="s">
        <v>2104</v>
      </c>
      <c r="B759" s="195" t="s">
        <v>233</v>
      </c>
      <c r="C759" s="195" t="s">
        <v>1973</v>
      </c>
      <c r="D759" s="195" t="s">
        <v>2105</v>
      </c>
      <c r="E759" s="195" t="s">
        <v>2106</v>
      </c>
      <c r="F759" s="197"/>
      <c r="G759" s="197"/>
      <c r="H759" s="195">
        <v>1</v>
      </c>
      <c r="I759" s="567">
        <v>20</v>
      </c>
      <c r="J759" s="567">
        <v>20</v>
      </c>
      <c r="K759" s="195" t="s">
        <v>2107</v>
      </c>
      <c r="L759" s="195" t="s">
        <v>455</v>
      </c>
      <c r="N759" s="382" t="s">
        <v>456</v>
      </c>
    </row>
    <row r="760" spans="1:14" ht="12.75" customHeight="1" x14ac:dyDescent="0.2">
      <c r="A760" s="195" t="s">
        <v>2108</v>
      </c>
      <c r="B760" s="195" t="s">
        <v>233</v>
      </c>
      <c r="C760" s="195" t="s">
        <v>1973</v>
      </c>
      <c r="D760" s="195" t="s">
        <v>2109</v>
      </c>
      <c r="E760" s="195" t="s">
        <v>2110</v>
      </c>
      <c r="F760" s="197"/>
      <c r="G760" s="197"/>
      <c r="H760" s="195">
        <v>1</v>
      </c>
      <c r="I760" s="567">
        <v>23</v>
      </c>
      <c r="J760" s="567">
        <v>23</v>
      </c>
      <c r="K760" s="195" t="s">
        <v>2111</v>
      </c>
      <c r="L760" s="195" t="s">
        <v>455</v>
      </c>
      <c r="N760" s="382" t="s">
        <v>456</v>
      </c>
    </row>
    <row r="761" spans="1:14" ht="12.75" customHeight="1" x14ac:dyDescent="0.2">
      <c r="A761" s="195" t="s">
        <v>2112</v>
      </c>
      <c r="B761" s="195" t="s">
        <v>233</v>
      </c>
      <c r="C761" s="195" t="s">
        <v>1973</v>
      </c>
      <c r="D761" s="195" t="s">
        <v>2113</v>
      </c>
      <c r="E761" s="195" t="s">
        <v>2114</v>
      </c>
      <c r="F761" s="197"/>
      <c r="G761" s="197"/>
      <c r="H761" s="195">
        <v>1</v>
      </c>
      <c r="I761" s="567">
        <v>750</v>
      </c>
      <c r="J761" s="567">
        <v>750</v>
      </c>
      <c r="K761" s="195" t="s">
        <v>2112</v>
      </c>
      <c r="L761" s="195" t="s">
        <v>455</v>
      </c>
      <c r="N761" s="382" t="s">
        <v>456</v>
      </c>
    </row>
    <row r="762" spans="1:14" ht="12.75" customHeight="1" x14ac:dyDescent="0.2">
      <c r="A762" s="195" t="s">
        <v>2115</v>
      </c>
      <c r="B762" s="195" t="s">
        <v>233</v>
      </c>
      <c r="C762" s="195" t="s">
        <v>1973</v>
      </c>
      <c r="D762" s="195" t="s">
        <v>2116</v>
      </c>
      <c r="E762" s="195" t="s">
        <v>2117</v>
      </c>
      <c r="F762" s="197"/>
      <c r="G762" s="197"/>
      <c r="H762" s="195">
        <v>1</v>
      </c>
      <c r="I762" s="567">
        <v>19</v>
      </c>
      <c r="J762" s="567">
        <v>19</v>
      </c>
      <c r="K762" s="195" t="s">
        <v>2098</v>
      </c>
      <c r="L762" s="195" t="s">
        <v>455</v>
      </c>
      <c r="N762" s="382" t="s">
        <v>456</v>
      </c>
    </row>
    <row r="763" spans="1:14" ht="12.75" customHeight="1" x14ac:dyDescent="0.2">
      <c r="A763" s="195" t="s">
        <v>2118</v>
      </c>
      <c r="B763" s="195" t="s">
        <v>233</v>
      </c>
      <c r="C763" s="195" t="s">
        <v>1973</v>
      </c>
      <c r="D763" s="195" t="s">
        <v>2119</v>
      </c>
      <c r="E763" s="195" t="s">
        <v>2120</v>
      </c>
      <c r="F763" s="197"/>
      <c r="G763" s="197"/>
      <c r="H763" s="195">
        <v>1</v>
      </c>
      <c r="I763" s="567">
        <v>19</v>
      </c>
      <c r="J763" s="567">
        <v>19</v>
      </c>
      <c r="K763" s="195" t="s">
        <v>2098</v>
      </c>
      <c r="L763" s="195" t="s">
        <v>455</v>
      </c>
      <c r="N763" s="382" t="s">
        <v>456</v>
      </c>
    </row>
    <row r="764" spans="1:14" ht="12.75" customHeight="1" x14ac:dyDescent="0.2">
      <c r="A764" s="195" t="s">
        <v>2121</v>
      </c>
      <c r="B764" s="195" t="s">
        <v>233</v>
      </c>
      <c r="C764" s="195" t="s">
        <v>1973</v>
      </c>
      <c r="D764" s="195" t="s">
        <v>2122</v>
      </c>
      <c r="E764" s="195" t="s">
        <v>2123</v>
      </c>
      <c r="F764" s="197"/>
      <c r="G764" s="197"/>
      <c r="H764" s="195">
        <v>1</v>
      </c>
      <c r="I764" s="567">
        <v>25</v>
      </c>
      <c r="J764" s="567">
        <v>25</v>
      </c>
      <c r="K764" s="195" t="s">
        <v>2124</v>
      </c>
      <c r="L764" s="195" t="s">
        <v>455</v>
      </c>
      <c r="N764" s="382" t="s">
        <v>456</v>
      </c>
    </row>
    <row r="765" spans="1:14" ht="12.75" customHeight="1" x14ac:dyDescent="0.2">
      <c r="A765" s="195" t="s">
        <v>2125</v>
      </c>
      <c r="B765" s="195" t="s">
        <v>233</v>
      </c>
      <c r="C765" s="195" t="s">
        <v>1973</v>
      </c>
      <c r="D765" s="195" t="s">
        <v>2126</v>
      </c>
      <c r="E765" s="195" t="s">
        <v>2127</v>
      </c>
      <c r="F765" s="197"/>
      <c r="G765" s="197"/>
      <c r="H765" s="195">
        <v>1</v>
      </c>
      <c r="I765" s="567">
        <v>26</v>
      </c>
      <c r="J765" s="567">
        <v>26</v>
      </c>
      <c r="K765" s="195" t="s">
        <v>2128</v>
      </c>
      <c r="L765" s="195" t="s">
        <v>455</v>
      </c>
      <c r="N765" s="382" t="s">
        <v>456</v>
      </c>
    </row>
    <row r="766" spans="1:14" ht="12.75" customHeight="1" x14ac:dyDescent="0.2">
      <c r="A766" s="195" t="s">
        <v>2129</v>
      </c>
      <c r="B766" s="195" t="s">
        <v>233</v>
      </c>
      <c r="C766" s="195" t="s">
        <v>1973</v>
      </c>
      <c r="D766" s="195" t="s">
        <v>2130</v>
      </c>
      <c r="E766" s="195" t="s">
        <v>2131</v>
      </c>
      <c r="F766" s="197"/>
      <c r="G766" s="197"/>
      <c r="H766" s="195">
        <v>1</v>
      </c>
      <c r="I766" s="567">
        <v>28</v>
      </c>
      <c r="J766" s="567">
        <v>28</v>
      </c>
      <c r="K766" s="195" t="s">
        <v>1983</v>
      </c>
      <c r="L766" s="195" t="s">
        <v>455</v>
      </c>
      <c r="N766" s="382" t="s">
        <v>456</v>
      </c>
    </row>
    <row r="767" spans="1:14" ht="12.75" customHeight="1" x14ac:dyDescent="0.2">
      <c r="A767" s="195" t="s">
        <v>2132</v>
      </c>
      <c r="B767" s="195" t="s">
        <v>233</v>
      </c>
      <c r="C767" s="195" t="s">
        <v>1973</v>
      </c>
      <c r="D767" s="195" t="s">
        <v>2133</v>
      </c>
      <c r="E767" s="195" t="s">
        <v>2134</v>
      </c>
      <c r="F767" s="197"/>
      <c r="G767" s="197"/>
      <c r="H767" s="195">
        <v>1</v>
      </c>
      <c r="I767" s="567">
        <v>29</v>
      </c>
      <c r="J767" s="567">
        <v>29</v>
      </c>
      <c r="K767" s="195" t="s">
        <v>2135</v>
      </c>
      <c r="L767" s="195" t="s">
        <v>455</v>
      </c>
      <c r="N767" s="382" t="s">
        <v>456</v>
      </c>
    </row>
    <row r="768" spans="1:14" ht="12.75" customHeight="1" x14ac:dyDescent="0.2">
      <c r="A768" s="195" t="s">
        <v>2136</v>
      </c>
      <c r="B768" s="195" t="s">
        <v>233</v>
      </c>
      <c r="C768" s="195" t="s">
        <v>1973</v>
      </c>
      <c r="D768" s="195" t="s">
        <v>2137</v>
      </c>
      <c r="E768" s="195" t="s">
        <v>2138</v>
      </c>
      <c r="F768" s="197"/>
      <c r="G768" s="197"/>
      <c r="H768" s="195">
        <v>1</v>
      </c>
      <c r="I768" s="567">
        <v>30</v>
      </c>
      <c r="J768" s="567">
        <v>30</v>
      </c>
      <c r="K768" s="195" t="s">
        <v>2139</v>
      </c>
      <c r="L768" s="195" t="s">
        <v>455</v>
      </c>
      <c r="N768" s="382" t="s">
        <v>456</v>
      </c>
    </row>
    <row r="769" spans="1:14" ht="12.75" customHeight="1" x14ac:dyDescent="0.2">
      <c r="A769" s="195" t="s">
        <v>2140</v>
      </c>
      <c r="B769" s="195" t="s">
        <v>233</v>
      </c>
      <c r="C769" s="195" t="s">
        <v>1973</v>
      </c>
      <c r="D769" s="195" t="s">
        <v>1974</v>
      </c>
      <c r="E769" s="195" t="s">
        <v>2141</v>
      </c>
      <c r="F769" s="197"/>
      <c r="G769" s="197"/>
      <c r="H769" s="195">
        <v>2</v>
      </c>
      <c r="I769" s="567">
        <f>J769/H769</f>
        <v>33</v>
      </c>
      <c r="J769" s="567">
        <v>66</v>
      </c>
      <c r="K769" s="195" t="s">
        <v>2142</v>
      </c>
      <c r="L769" s="195" t="s">
        <v>455</v>
      </c>
      <c r="N769" s="382" t="s">
        <v>456</v>
      </c>
    </row>
    <row r="770" spans="1:14" ht="12.75" customHeight="1" x14ac:dyDescent="0.2">
      <c r="A770" s="195" t="s">
        <v>2143</v>
      </c>
      <c r="B770" s="195" t="s">
        <v>233</v>
      </c>
      <c r="C770" s="195" t="s">
        <v>1973</v>
      </c>
      <c r="D770" s="195" t="s">
        <v>1988</v>
      </c>
      <c r="E770" s="195" t="s">
        <v>2144</v>
      </c>
      <c r="F770" s="197"/>
      <c r="G770" s="197"/>
      <c r="H770" s="195">
        <v>2</v>
      </c>
      <c r="I770" s="567">
        <f t="shared" ref="I770:I800" si="0">J770/H770</f>
        <v>40</v>
      </c>
      <c r="J770" s="567">
        <v>80</v>
      </c>
      <c r="K770" s="195" t="s">
        <v>2145</v>
      </c>
      <c r="L770" s="195" t="s">
        <v>455</v>
      </c>
      <c r="N770" s="382" t="s">
        <v>456</v>
      </c>
    </row>
    <row r="771" spans="1:14" ht="12.75" customHeight="1" x14ac:dyDescent="0.2">
      <c r="A771" s="195" t="s">
        <v>2146</v>
      </c>
      <c r="B771" s="195" t="s">
        <v>233</v>
      </c>
      <c r="C771" s="195" t="s">
        <v>1973</v>
      </c>
      <c r="D771" s="195" t="s">
        <v>1996</v>
      </c>
      <c r="E771" s="195" t="s">
        <v>2147</v>
      </c>
      <c r="F771" s="197"/>
      <c r="G771" s="197"/>
      <c r="H771" s="195">
        <v>2</v>
      </c>
      <c r="I771" s="567">
        <f t="shared" si="0"/>
        <v>48</v>
      </c>
      <c r="J771" s="567">
        <v>96</v>
      </c>
      <c r="K771" s="195" t="s">
        <v>2148</v>
      </c>
      <c r="L771" s="195" t="s">
        <v>455</v>
      </c>
      <c r="N771" s="382" t="s">
        <v>456</v>
      </c>
    </row>
    <row r="772" spans="1:14" ht="12.75" customHeight="1" x14ac:dyDescent="0.2">
      <c r="A772" s="195" t="s">
        <v>2149</v>
      </c>
      <c r="B772" s="195" t="s">
        <v>233</v>
      </c>
      <c r="C772" s="195" t="s">
        <v>1973</v>
      </c>
      <c r="D772" s="195" t="s">
        <v>1889</v>
      </c>
      <c r="E772" s="195" t="s">
        <v>2150</v>
      </c>
      <c r="F772" s="197"/>
      <c r="G772" s="197"/>
      <c r="H772" s="195">
        <v>2</v>
      </c>
      <c r="I772" s="567">
        <f t="shared" si="0"/>
        <v>15</v>
      </c>
      <c r="J772" s="567">
        <v>30</v>
      </c>
      <c r="K772" s="195" t="s">
        <v>2149</v>
      </c>
      <c r="L772" s="195" t="s">
        <v>455</v>
      </c>
      <c r="N772" s="382" t="s">
        <v>456</v>
      </c>
    </row>
    <row r="773" spans="1:14" ht="12.75" customHeight="1" x14ac:dyDescent="0.2">
      <c r="A773" s="195" t="s">
        <v>2151</v>
      </c>
      <c r="B773" s="195" t="s">
        <v>233</v>
      </c>
      <c r="C773" s="195" t="s">
        <v>1973</v>
      </c>
      <c r="D773" s="195" t="s">
        <v>2002</v>
      </c>
      <c r="E773" s="195" t="s">
        <v>2152</v>
      </c>
      <c r="F773" s="197"/>
      <c r="G773" s="197"/>
      <c r="H773" s="195">
        <v>2</v>
      </c>
      <c r="I773" s="567">
        <f t="shared" si="0"/>
        <v>58</v>
      </c>
      <c r="J773" s="567">
        <v>116</v>
      </c>
      <c r="K773" s="195" t="s">
        <v>2153</v>
      </c>
      <c r="L773" s="195" t="s">
        <v>455</v>
      </c>
      <c r="N773" s="382" t="s">
        <v>456</v>
      </c>
    </row>
    <row r="774" spans="1:14" ht="12.75" customHeight="1" x14ac:dyDescent="0.2">
      <c r="A774" s="195" t="s">
        <v>2154</v>
      </c>
      <c r="B774" s="195" t="s">
        <v>233</v>
      </c>
      <c r="C774" s="195" t="s">
        <v>1973</v>
      </c>
      <c r="D774" s="195" t="s">
        <v>1892</v>
      </c>
      <c r="E774" s="195" t="s">
        <v>2155</v>
      </c>
      <c r="F774" s="197"/>
      <c r="G774" s="197"/>
      <c r="H774" s="195">
        <v>2</v>
      </c>
      <c r="I774" s="567">
        <f t="shared" si="0"/>
        <v>20</v>
      </c>
      <c r="J774" s="567">
        <v>40</v>
      </c>
      <c r="K774" s="195" t="s">
        <v>2154</v>
      </c>
      <c r="L774" s="195" t="s">
        <v>455</v>
      </c>
      <c r="N774" s="382" t="s">
        <v>456</v>
      </c>
    </row>
    <row r="775" spans="1:14" ht="12.75" customHeight="1" x14ac:dyDescent="0.2">
      <c r="A775" s="195" t="s">
        <v>2156</v>
      </c>
      <c r="B775" s="195" t="s">
        <v>233</v>
      </c>
      <c r="C775" s="195" t="s">
        <v>1973</v>
      </c>
      <c r="D775" s="195" t="s">
        <v>2021</v>
      </c>
      <c r="E775" s="195" t="s">
        <v>2157</v>
      </c>
      <c r="F775" s="197"/>
      <c r="G775" s="197"/>
      <c r="H775" s="195">
        <v>2</v>
      </c>
      <c r="I775" s="567">
        <f t="shared" si="0"/>
        <v>200</v>
      </c>
      <c r="J775" s="567">
        <v>400</v>
      </c>
      <c r="K775" s="195" t="s">
        <v>2156</v>
      </c>
      <c r="L775" s="195" t="s">
        <v>455</v>
      </c>
      <c r="N775" s="382" t="s">
        <v>456</v>
      </c>
    </row>
    <row r="776" spans="1:14" ht="12.75" customHeight="1" x14ac:dyDescent="0.2">
      <c r="A776" s="195" t="s">
        <v>2158</v>
      </c>
      <c r="B776" s="195" t="s">
        <v>233</v>
      </c>
      <c r="C776" s="195" t="s">
        <v>1973</v>
      </c>
      <c r="D776" s="195" t="s">
        <v>1895</v>
      </c>
      <c r="E776" s="195" t="s">
        <v>2159</v>
      </c>
      <c r="F776" s="197"/>
      <c r="G776" s="197"/>
      <c r="H776" s="195">
        <v>2</v>
      </c>
      <c r="I776" s="567">
        <f t="shared" si="0"/>
        <v>25</v>
      </c>
      <c r="J776" s="567">
        <v>50</v>
      </c>
      <c r="K776" s="195" t="s">
        <v>2158</v>
      </c>
      <c r="L776" s="195" t="s">
        <v>455</v>
      </c>
      <c r="N776" s="382" t="s">
        <v>456</v>
      </c>
    </row>
    <row r="777" spans="1:14" ht="12.75" customHeight="1" x14ac:dyDescent="0.2">
      <c r="A777" s="195" t="s">
        <v>2160</v>
      </c>
      <c r="B777" s="195" t="s">
        <v>233</v>
      </c>
      <c r="C777" s="195" t="s">
        <v>1973</v>
      </c>
      <c r="D777" s="195" t="s">
        <v>1898</v>
      </c>
      <c r="E777" s="195" t="s">
        <v>2161</v>
      </c>
      <c r="F777" s="197"/>
      <c r="G777" s="197"/>
      <c r="H777" s="195">
        <v>2</v>
      </c>
      <c r="I777" s="567">
        <f t="shared" si="0"/>
        <v>8</v>
      </c>
      <c r="J777" s="567">
        <v>16</v>
      </c>
      <c r="K777" s="195" t="s">
        <v>2162</v>
      </c>
      <c r="L777" s="195" t="s">
        <v>455</v>
      </c>
      <c r="N777" s="382" t="s">
        <v>456</v>
      </c>
    </row>
    <row r="778" spans="1:14" ht="12.75" customHeight="1" x14ac:dyDescent="0.2">
      <c r="A778" s="195" t="s">
        <v>2163</v>
      </c>
      <c r="B778" s="195" t="s">
        <v>233</v>
      </c>
      <c r="C778" s="195" t="s">
        <v>1973</v>
      </c>
      <c r="D778" s="195" t="s">
        <v>1901</v>
      </c>
      <c r="E778" s="195" t="s">
        <v>2164</v>
      </c>
      <c r="F778" s="197"/>
      <c r="G778" s="197"/>
      <c r="H778" s="195">
        <v>2</v>
      </c>
      <c r="I778" s="567">
        <f t="shared" si="0"/>
        <v>10</v>
      </c>
      <c r="J778" s="567">
        <v>20</v>
      </c>
      <c r="K778" s="195" t="s">
        <v>2165</v>
      </c>
      <c r="L778" s="195" t="s">
        <v>455</v>
      </c>
      <c r="N778" s="382" t="s">
        <v>456</v>
      </c>
    </row>
    <row r="779" spans="1:14" ht="12.75" customHeight="1" x14ac:dyDescent="0.2">
      <c r="A779" s="195" t="s">
        <v>2166</v>
      </c>
      <c r="B779" s="195" t="s">
        <v>233</v>
      </c>
      <c r="C779" s="195" t="s">
        <v>1973</v>
      </c>
      <c r="D779" s="195" t="s">
        <v>1954</v>
      </c>
      <c r="E779" s="195" t="s">
        <v>2167</v>
      </c>
      <c r="F779" s="197"/>
      <c r="G779" s="197"/>
      <c r="H779" s="195">
        <v>2</v>
      </c>
      <c r="I779" s="567">
        <f t="shared" si="0"/>
        <v>13</v>
      </c>
      <c r="J779" s="567">
        <v>26</v>
      </c>
      <c r="K779" s="195" t="s">
        <v>2168</v>
      </c>
      <c r="L779" s="195" t="s">
        <v>455</v>
      </c>
      <c r="N779" s="382" t="s">
        <v>456</v>
      </c>
    </row>
    <row r="780" spans="1:14" ht="12.75" customHeight="1" x14ac:dyDescent="0.2">
      <c r="A780" s="195" t="s">
        <v>2169</v>
      </c>
      <c r="B780" s="195" t="s">
        <v>233</v>
      </c>
      <c r="C780" s="195" t="s">
        <v>1973</v>
      </c>
      <c r="D780" s="195" t="s">
        <v>2072</v>
      </c>
      <c r="E780" s="195" t="s">
        <v>2170</v>
      </c>
      <c r="F780" s="197"/>
      <c r="G780" s="197"/>
      <c r="H780" s="195">
        <v>2</v>
      </c>
      <c r="I780" s="567">
        <f t="shared" si="0"/>
        <v>13</v>
      </c>
      <c r="J780" s="567">
        <v>26</v>
      </c>
      <c r="K780" s="195" t="s">
        <v>2168</v>
      </c>
      <c r="L780" s="195" t="s">
        <v>455</v>
      </c>
      <c r="N780" s="382" t="s">
        <v>456</v>
      </c>
    </row>
    <row r="781" spans="1:14" ht="12.75" customHeight="1" x14ac:dyDescent="0.2">
      <c r="A781" s="195" t="s">
        <v>2171</v>
      </c>
      <c r="B781" s="195" t="s">
        <v>233</v>
      </c>
      <c r="C781" s="195" t="s">
        <v>1973</v>
      </c>
      <c r="D781" s="195" t="s">
        <v>2075</v>
      </c>
      <c r="E781" s="195" t="s">
        <v>2172</v>
      </c>
      <c r="F781" s="197"/>
      <c r="G781" s="197"/>
      <c r="H781" s="195">
        <v>2</v>
      </c>
      <c r="I781" s="567">
        <f t="shared" si="0"/>
        <v>14</v>
      </c>
      <c r="J781" s="567">
        <v>28</v>
      </c>
      <c r="K781" s="195" t="s">
        <v>2173</v>
      </c>
      <c r="L781" s="195" t="s">
        <v>455</v>
      </c>
      <c r="N781" s="382" t="s">
        <v>456</v>
      </c>
    </row>
    <row r="782" spans="1:14" ht="12.75" customHeight="1" x14ac:dyDescent="0.2">
      <c r="A782" s="195" t="s">
        <v>2174</v>
      </c>
      <c r="B782" s="195" t="s">
        <v>233</v>
      </c>
      <c r="C782" s="195" t="s">
        <v>1973</v>
      </c>
      <c r="D782" s="195" t="s">
        <v>2079</v>
      </c>
      <c r="E782" s="195" t="s">
        <v>2175</v>
      </c>
      <c r="F782" s="197"/>
      <c r="G782" s="197"/>
      <c r="H782" s="195">
        <v>2</v>
      </c>
      <c r="I782" s="567">
        <f t="shared" si="0"/>
        <v>14</v>
      </c>
      <c r="J782" s="567">
        <v>28</v>
      </c>
      <c r="K782" s="195" t="s">
        <v>2173</v>
      </c>
      <c r="L782" s="195" t="s">
        <v>455</v>
      </c>
      <c r="N782" s="382" t="s">
        <v>456</v>
      </c>
    </row>
    <row r="783" spans="1:14" ht="12.75" customHeight="1" x14ac:dyDescent="0.2">
      <c r="A783" s="195" t="s">
        <v>2176</v>
      </c>
      <c r="B783" s="195" t="s">
        <v>233</v>
      </c>
      <c r="C783" s="195" t="s">
        <v>1973</v>
      </c>
      <c r="D783" s="195" t="s">
        <v>2082</v>
      </c>
      <c r="E783" s="195" t="s">
        <v>2177</v>
      </c>
      <c r="F783" s="197"/>
      <c r="G783" s="197"/>
      <c r="H783" s="195">
        <v>2</v>
      </c>
      <c r="I783" s="567">
        <f t="shared" si="0"/>
        <v>17</v>
      </c>
      <c r="J783" s="567">
        <v>34</v>
      </c>
      <c r="K783" s="195" t="s">
        <v>2178</v>
      </c>
      <c r="L783" s="195" t="s">
        <v>455</v>
      </c>
      <c r="N783" s="382" t="s">
        <v>456</v>
      </c>
    </row>
    <row r="784" spans="1:14" ht="12.75" customHeight="1" x14ac:dyDescent="0.2">
      <c r="A784" s="195" t="s">
        <v>2179</v>
      </c>
      <c r="B784" s="195" t="s">
        <v>233</v>
      </c>
      <c r="C784" s="195" t="s">
        <v>1973</v>
      </c>
      <c r="D784" s="195" t="s">
        <v>2092</v>
      </c>
      <c r="E784" s="195" t="s">
        <v>2180</v>
      </c>
      <c r="F784" s="197"/>
      <c r="G784" s="197"/>
      <c r="H784" s="195">
        <v>2</v>
      </c>
      <c r="I784" s="567">
        <f t="shared" si="0"/>
        <v>18</v>
      </c>
      <c r="J784" s="567">
        <v>36</v>
      </c>
      <c r="K784" s="195" t="s">
        <v>2181</v>
      </c>
      <c r="L784" s="195" t="s">
        <v>455</v>
      </c>
      <c r="N784" s="382" t="s">
        <v>456</v>
      </c>
    </row>
    <row r="785" spans="1:14" ht="12.75" customHeight="1" x14ac:dyDescent="0.2">
      <c r="A785" s="195" t="s">
        <v>2182</v>
      </c>
      <c r="B785" s="195" t="s">
        <v>233</v>
      </c>
      <c r="C785" s="195" t="s">
        <v>1973</v>
      </c>
      <c r="D785" s="195" t="s">
        <v>2096</v>
      </c>
      <c r="E785" s="195" t="s">
        <v>2183</v>
      </c>
      <c r="F785" s="197"/>
      <c r="G785" s="197"/>
      <c r="H785" s="195">
        <v>2</v>
      </c>
      <c r="I785" s="567">
        <f t="shared" si="0"/>
        <v>19</v>
      </c>
      <c r="J785" s="567">
        <v>38</v>
      </c>
      <c r="K785" s="195" t="s">
        <v>2184</v>
      </c>
      <c r="L785" s="195" t="s">
        <v>455</v>
      </c>
      <c r="N785" s="382" t="s">
        <v>456</v>
      </c>
    </row>
    <row r="786" spans="1:14" ht="12.75" customHeight="1" x14ac:dyDescent="0.2">
      <c r="A786" s="195" t="s">
        <v>2185</v>
      </c>
      <c r="B786" s="195" t="s">
        <v>233</v>
      </c>
      <c r="C786" s="195" t="s">
        <v>1973</v>
      </c>
      <c r="D786" s="195" t="s">
        <v>1907</v>
      </c>
      <c r="E786" s="195" t="s">
        <v>2186</v>
      </c>
      <c r="F786" s="197"/>
      <c r="G786" s="197"/>
      <c r="H786" s="195">
        <v>2</v>
      </c>
      <c r="I786" s="567">
        <f t="shared" si="0"/>
        <v>7.5</v>
      </c>
      <c r="J786" s="567">
        <v>15</v>
      </c>
      <c r="K786" s="195" t="s">
        <v>2185</v>
      </c>
      <c r="L786" s="195" t="s">
        <v>455</v>
      </c>
      <c r="N786" s="382" t="s">
        <v>456</v>
      </c>
    </row>
    <row r="787" spans="1:14" ht="12.75" customHeight="1" x14ac:dyDescent="0.2">
      <c r="A787" s="195" t="s">
        <v>2187</v>
      </c>
      <c r="B787" s="195" t="s">
        <v>233</v>
      </c>
      <c r="C787" s="195" t="s">
        <v>1973</v>
      </c>
      <c r="D787" s="195" t="s">
        <v>2109</v>
      </c>
      <c r="E787" s="195" t="s">
        <v>2188</v>
      </c>
      <c r="F787" s="197"/>
      <c r="G787" s="197"/>
      <c r="H787" s="195">
        <v>2</v>
      </c>
      <c r="I787" s="567">
        <v>23</v>
      </c>
      <c r="J787" s="567">
        <v>46</v>
      </c>
      <c r="K787" s="195" t="s">
        <v>2189</v>
      </c>
      <c r="L787" s="195" t="s">
        <v>455</v>
      </c>
      <c r="N787" s="382" t="s">
        <v>456</v>
      </c>
    </row>
    <row r="788" spans="1:14" ht="12.75" customHeight="1" x14ac:dyDescent="0.2">
      <c r="A788" s="195" t="s">
        <v>2190</v>
      </c>
      <c r="B788" s="195" t="s">
        <v>233</v>
      </c>
      <c r="C788" s="195" t="s">
        <v>1973</v>
      </c>
      <c r="D788" s="195" t="s">
        <v>2130</v>
      </c>
      <c r="E788" s="195" t="s">
        <v>2191</v>
      </c>
      <c r="F788" s="197"/>
      <c r="G788" s="197"/>
      <c r="H788" s="195">
        <v>2</v>
      </c>
      <c r="I788" s="567">
        <f t="shared" si="0"/>
        <v>28</v>
      </c>
      <c r="J788" s="567">
        <v>56</v>
      </c>
      <c r="K788" s="195" t="s">
        <v>2192</v>
      </c>
      <c r="L788" s="195" t="s">
        <v>455</v>
      </c>
      <c r="N788" s="382" t="s">
        <v>456</v>
      </c>
    </row>
    <row r="789" spans="1:14" ht="12.75" customHeight="1" x14ac:dyDescent="0.2">
      <c r="A789" s="195" t="s">
        <v>2193</v>
      </c>
      <c r="B789" s="195" t="s">
        <v>233</v>
      </c>
      <c r="C789" s="195" t="s">
        <v>1973</v>
      </c>
      <c r="D789" s="195" t="s">
        <v>2137</v>
      </c>
      <c r="E789" s="195" t="s">
        <v>2194</v>
      </c>
      <c r="F789" s="197"/>
      <c r="G789" s="197"/>
      <c r="H789" s="195">
        <v>2</v>
      </c>
      <c r="I789" s="567">
        <f t="shared" si="0"/>
        <v>30</v>
      </c>
      <c r="J789" s="567">
        <v>60</v>
      </c>
      <c r="K789" s="195" t="s">
        <v>2195</v>
      </c>
      <c r="L789" s="195" t="s">
        <v>455</v>
      </c>
      <c r="N789" s="382" t="s">
        <v>456</v>
      </c>
    </row>
    <row r="790" spans="1:14" ht="12.75" customHeight="1" x14ac:dyDescent="0.2">
      <c r="A790" s="195" t="s">
        <v>2196</v>
      </c>
      <c r="B790" s="195" t="s">
        <v>233</v>
      </c>
      <c r="C790" s="195" t="s">
        <v>1973</v>
      </c>
      <c r="D790" s="195" t="s">
        <v>1974</v>
      </c>
      <c r="E790" s="195" t="s">
        <v>2197</v>
      </c>
      <c r="F790" s="197"/>
      <c r="G790" s="197"/>
      <c r="H790" s="195">
        <v>3</v>
      </c>
      <c r="I790" s="567">
        <f t="shared" si="0"/>
        <v>33</v>
      </c>
      <c r="J790" s="567">
        <v>99</v>
      </c>
      <c r="K790" s="195" t="s">
        <v>2198</v>
      </c>
      <c r="L790" s="195" t="s">
        <v>455</v>
      </c>
      <c r="N790" s="382" t="s">
        <v>456</v>
      </c>
    </row>
    <row r="791" spans="1:14" ht="12.75" customHeight="1" x14ac:dyDescent="0.2">
      <c r="A791" s="195" t="s">
        <v>2199</v>
      </c>
      <c r="B791" s="195" t="s">
        <v>233</v>
      </c>
      <c r="C791" s="195" t="s">
        <v>1973</v>
      </c>
      <c r="D791" s="195" t="s">
        <v>2082</v>
      </c>
      <c r="E791" s="195" t="s">
        <v>2200</v>
      </c>
      <c r="F791" s="197"/>
      <c r="G791" s="197"/>
      <c r="H791" s="195">
        <v>3</v>
      </c>
      <c r="I791" s="567">
        <f t="shared" si="0"/>
        <v>17</v>
      </c>
      <c r="J791" s="567">
        <v>51</v>
      </c>
      <c r="K791" s="195" t="s">
        <v>2201</v>
      </c>
      <c r="L791" s="195" t="s">
        <v>455</v>
      </c>
      <c r="N791" s="382" t="s">
        <v>456</v>
      </c>
    </row>
    <row r="792" spans="1:14" ht="12.75" customHeight="1" x14ac:dyDescent="0.2">
      <c r="A792" s="195" t="s">
        <v>2202</v>
      </c>
      <c r="B792" s="195" t="s">
        <v>233</v>
      </c>
      <c r="C792" s="195" t="s">
        <v>1973</v>
      </c>
      <c r="D792" s="195" t="s">
        <v>2096</v>
      </c>
      <c r="E792" s="195" t="s">
        <v>2203</v>
      </c>
      <c r="F792" s="197"/>
      <c r="G792" s="197"/>
      <c r="H792" s="195">
        <v>3</v>
      </c>
      <c r="I792" s="567">
        <f t="shared" si="0"/>
        <v>19</v>
      </c>
      <c r="J792" s="567">
        <v>57</v>
      </c>
      <c r="K792" s="195" t="s">
        <v>2204</v>
      </c>
      <c r="L792" s="195" t="s">
        <v>455</v>
      </c>
      <c r="N792" s="382" t="s">
        <v>456</v>
      </c>
    </row>
    <row r="793" spans="1:14" ht="12.75" customHeight="1" x14ac:dyDescent="0.2">
      <c r="A793" s="195" t="s">
        <v>2205</v>
      </c>
      <c r="B793" s="195" t="s">
        <v>233</v>
      </c>
      <c r="C793" s="195" t="s">
        <v>1973</v>
      </c>
      <c r="D793" s="195" t="s">
        <v>2109</v>
      </c>
      <c r="E793" s="195" t="s">
        <v>2206</v>
      </c>
      <c r="F793" s="197"/>
      <c r="G793" s="197"/>
      <c r="H793" s="195">
        <v>3</v>
      </c>
      <c r="I793" s="567">
        <f t="shared" si="0"/>
        <v>23</v>
      </c>
      <c r="J793" s="567">
        <v>69</v>
      </c>
      <c r="K793" s="195" t="s">
        <v>2207</v>
      </c>
      <c r="L793" s="195" t="s">
        <v>455</v>
      </c>
      <c r="N793" s="382" t="s">
        <v>456</v>
      </c>
    </row>
    <row r="794" spans="1:14" ht="12.75" customHeight="1" x14ac:dyDescent="0.2">
      <c r="A794" s="195" t="s">
        <v>2208</v>
      </c>
      <c r="B794" s="195" t="s">
        <v>233</v>
      </c>
      <c r="C794" s="195" t="s">
        <v>1973</v>
      </c>
      <c r="D794" s="195" t="s">
        <v>2130</v>
      </c>
      <c r="E794" s="195" t="s">
        <v>2209</v>
      </c>
      <c r="F794" s="197"/>
      <c r="G794" s="197"/>
      <c r="H794" s="195">
        <v>3</v>
      </c>
      <c r="I794" s="567">
        <f t="shared" si="0"/>
        <v>28</v>
      </c>
      <c r="J794" s="567">
        <v>84</v>
      </c>
      <c r="K794" s="195" t="s">
        <v>2210</v>
      </c>
      <c r="L794" s="195" t="s">
        <v>455</v>
      </c>
      <c r="N794" s="382" t="s">
        <v>456</v>
      </c>
    </row>
    <row r="795" spans="1:14" ht="12.75" customHeight="1" x14ac:dyDescent="0.2">
      <c r="A795" s="195" t="s">
        <v>2211</v>
      </c>
      <c r="B795" s="195" t="s">
        <v>233</v>
      </c>
      <c r="C795" s="195" t="s">
        <v>1973</v>
      </c>
      <c r="D795" s="195" t="s">
        <v>1974</v>
      </c>
      <c r="E795" s="195" t="s">
        <v>2212</v>
      </c>
      <c r="F795" s="197"/>
      <c r="G795" s="197"/>
      <c r="H795" s="195">
        <v>4</v>
      </c>
      <c r="I795" s="567">
        <f t="shared" si="0"/>
        <v>33</v>
      </c>
      <c r="J795" s="567">
        <v>132</v>
      </c>
      <c r="K795" s="195" t="s">
        <v>2213</v>
      </c>
      <c r="L795" s="195" t="s">
        <v>455</v>
      </c>
      <c r="N795" s="382" t="s">
        <v>456</v>
      </c>
    </row>
    <row r="796" spans="1:14" ht="12.75" customHeight="1" x14ac:dyDescent="0.2">
      <c r="A796" s="195" t="s">
        <v>2214</v>
      </c>
      <c r="B796" s="195" t="s">
        <v>233</v>
      </c>
      <c r="C796" s="195" t="s">
        <v>1973</v>
      </c>
      <c r="D796" s="195" t="s">
        <v>1895</v>
      </c>
      <c r="E796" s="195" t="s">
        <v>2215</v>
      </c>
      <c r="F796" s="197"/>
      <c r="G796" s="197"/>
      <c r="H796" s="195">
        <v>4</v>
      </c>
      <c r="I796" s="567">
        <f t="shared" si="0"/>
        <v>25</v>
      </c>
      <c r="J796" s="567">
        <v>100</v>
      </c>
      <c r="K796" s="195" t="s">
        <v>2214</v>
      </c>
      <c r="L796" s="195" t="s">
        <v>455</v>
      </c>
      <c r="N796" s="382" t="s">
        <v>456</v>
      </c>
    </row>
    <row r="797" spans="1:14" ht="12.75" customHeight="1" x14ac:dyDescent="0.2">
      <c r="A797" s="195" t="s">
        <v>2216</v>
      </c>
      <c r="B797" s="195" t="s">
        <v>233</v>
      </c>
      <c r="C797" s="195" t="s">
        <v>1973</v>
      </c>
      <c r="D797" s="195" t="s">
        <v>2082</v>
      </c>
      <c r="E797" s="195" t="s">
        <v>2217</v>
      </c>
      <c r="F797" s="197"/>
      <c r="G797" s="197"/>
      <c r="H797" s="195">
        <v>4</v>
      </c>
      <c r="I797" s="567">
        <f t="shared" si="0"/>
        <v>17</v>
      </c>
      <c r="J797" s="567">
        <v>68</v>
      </c>
      <c r="K797" s="195" t="s">
        <v>2218</v>
      </c>
      <c r="L797" s="195" t="s">
        <v>455</v>
      </c>
      <c r="N797" s="382" t="s">
        <v>456</v>
      </c>
    </row>
    <row r="798" spans="1:14" ht="12.75" customHeight="1" x14ac:dyDescent="0.2">
      <c r="A798" s="195" t="s">
        <v>2219</v>
      </c>
      <c r="B798" s="195" t="s">
        <v>233</v>
      </c>
      <c r="C798" s="195" t="s">
        <v>1973</v>
      </c>
      <c r="D798" s="195" t="s">
        <v>2109</v>
      </c>
      <c r="E798" s="195" t="s">
        <v>2220</v>
      </c>
      <c r="F798" s="197"/>
      <c r="G798" s="197"/>
      <c r="H798" s="195">
        <v>4</v>
      </c>
      <c r="I798" s="567">
        <f t="shared" si="0"/>
        <v>23</v>
      </c>
      <c r="J798" s="567">
        <v>92</v>
      </c>
      <c r="K798" s="195" t="s">
        <v>2221</v>
      </c>
      <c r="L798" s="195" t="s">
        <v>455</v>
      </c>
      <c r="N798" s="382" t="s">
        <v>456</v>
      </c>
    </row>
    <row r="799" spans="1:14" ht="12.75" customHeight="1" x14ac:dyDescent="0.2">
      <c r="A799" s="195" t="s">
        <v>2222</v>
      </c>
      <c r="B799" s="195" t="s">
        <v>233</v>
      </c>
      <c r="C799" s="195" t="s">
        <v>1973</v>
      </c>
      <c r="D799" s="195" t="s">
        <v>1974</v>
      </c>
      <c r="E799" s="195" t="s">
        <v>2223</v>
      </c>
      <c r="F799" s="197"/>
      <c r="G799" s="197"/>
      <c r="H799" s="195">
        <v>5</v>
      </c>
      <c r="I799" s="567">
        <f t="shared" si="0"/>
        <v>33</v>
      </c>
      <c r="J799" s="567">
        <v>165</v>
      </c>
      <c r="K799" s="195" t="s">
        <v>2224</v>
      </c>
      <c r="L799" s="195" t="s">
        <v>455</v>
      </c>
      <c r="N799" s="382" t="s">
        <v>456</v>
      </c>
    </row>
    <row r="800" spans="1:14" ht="12.75" customHeight="1" x14ac:dyDescent="0.2">
      <c r="A800" s="195" t="s">
        <v>2225</v>
      </c>
      <c r="B800" s="195" t="s">
        <v>233</v>
      </c>
      <c r="C800" s="195" t="s">
        <v>1973</v>
      </c>
      <c r="D800" s="195" t="s">
        <v>2082</v>
      </c>
      <c r="E800" s="195" t="s">
        <v>2226</v>
      </c>
      <c r="F800" s="197"/>
      <c r="G800" s="197"/>
      <c r="H800" s="195">
        <v>5</v>
      </c>
      <c r="I800" s="567">
        <f t="shared" si="0"/>
        <v>17</v>
      </c>
      <c r="J800" s="567">
        <v>85</v>
      </c>
      <c r="K800" s="195" t="s">
        <v>2227</v>
      </c>
      <c r="L800" s="195" t="s">
        <v>455</v>
      </c>
      <c r="N800" s="382" t="s">
        <v>456</v>
      </c>
    </row>
    <row r="801" spans="1:14" ht="12.75" customHeight="1" x14ac:dyDescent="0.2">
      <c r="A801" s="195" t="s">
        <v>2228</v>
      </c>
      <c r="B801" s="195" t="s">
        <v>233</v>
      </c>
      <c r="C801" s="195" t="s">
        <v>2229</v>
      </c>
      <c r="D801" s="195" t="s">
        <v>2230</v>
      </c>
      <c r="E801" s="195" t="s">
        <v>2231</v>
      </c>
      <c r="F801" s="197"/>
      <c r="G801" s="197"/>
      <c r="H801" s="195">
        <v>1</v>
      </c>
      <c r="I801" s="567">
        <f>J801/H801</f>
        <v>46</v>
      </c>
      <c r="J801" s="567">
        <v>46</v>
      </c>
      <c r="K801" s="195" t="s">
        <v>2232</v>
      </c>
      <c r="L801" s="195" t="s">
        <v>455</v>
      </c>
      <c r="N801" s="382" t="s">
        <v>456</v>
      </c>
    </row>
    <row r="802" spans="1:14" ht="12.75" customHeight="1" x14ac:dyDescent="0.2">
      <c r="A802" s="195" t="s">
        <v>2233</v>
      </c>
      <c r="B802" s="195" t="s">
        <v>233</v>
      </c>
      <c r="C802" s="195" t="s">
        <v>2229</v>
      </c>
      <c r="D802" s="195" t="s">
        <v>2234</v>
      </c>
      <c r="E802" s="195" t="s">
        <v>2235</v>
      </c>
      <c r="F802" s="197"/>
      <c r="G802" s="197"/>
      <c r="H802" s="195">
        <v>1</v>
      </c>
      <c r="I802" s="567">
        <f t="shared" ref="I802:I838" si="1">J802/H802</f>
        <v>1000</v>
      </c>
      <c r="J802" s="567">
        <v>1000</v>
      </c>
      <c r="K802" s="195" t="s">
        <v>2233</v>
      </c>
      <c r="L802" s="195" t="s">
        <v>455</v>
      </c>
      <c r="N802" s="382" t="s">
        <v>456</v>
      </c>
    </row>
    <row r="803" spans="1:14" ht="12.75" customHeight="1" x14ac:dyDescent="0.2">
      <c r="A803" s="195" t="s">
        <v>2236</v>
      </c>
      <c r="B803" s="195" t="s">
        <v>233</v>
      </c>
      <c r="C803" s="195" t="s">
        <v>2229</v>
      </c>
      <c r="D803" s="195" t="s">
        <v>2237</v>
      </c>
      <c r="E803" s="195" t="s">
        <v>2238</v>
      </c>
      <c r="F803" s="197"/>
      <c r="G803" s="197"/>
      <c r="H803" s="195">
        <v>1</v>
      </c>
      <c r="I803" s="567">
        <f t="shared" si="1"/>
        <v>1200</v>
      </c>
      <c r="J803" s="567">
        <v>1200</v>
      </c>
      <c r="K803" s="195" t="s">
        <v>2236</v>
      </c>
      <c r="L803" s="195" t="s">
        <v>455</v>
      </c>
      <c r="N803" s="382" t="s">
        <v>456</v>
      </c>
    </row>
    <row r="804" spans="1:14" ht="12.75" customHeight="1" x14ac:dyDescent="0.2">
      <c r="A804" s="195" t="s">
        <v>2239</v>
      </c>
      <c r="B804" s="195" t="s">
        <v>233</v>
      </c>
      <c r="C804" s="195" t="s">
        <v>2229</v>
      </c>
      <c r="D804" s="195" t="s">
        <v>2240</v>
      </c>
      <c r="E804" s="195" t="s">
        <v>2241</v>
      </c>
      <c r="F804" s="197"/>
      <c r="G804" s="197"/>
      <c r="H804" s="195">
        <v>1</v>
      </c>
      <c r="I804" s="567">
        <f t="shared" si="1"/>
        <v>69</v>
      </c>
      <c r="J804" s="567">
        <v>69</v>
      </c>
      <c r="K804" s="195" t="s">
        <v>2242</v>
      </c>
      <c r="L804" s="195" t="s">
        <v>455</v>
      </c>
      <c r="N804" s="382" t="s">
        <v>456</v>
      </c>
    </row>
    <row r="805" spans="1:14" ht="12.75" customHeight="1" x14ac:dyDescent="0.2">
      <c r="A805" s="195" t="s">
        <v>2243</v>
      </c>
      <c r="B805" s="195" t="s">
        <v>233</v>
      </c>
      <c r="C805" s="195" t="s">
        <v>2229</v>
      </c>
      <c r="D805" s="195" t="s">
        <v>2244</v>
      </c>
      <c r="E805" s="195" t="s">
        <v>2245</v>
      </c>
      <c r="F805" s="197"/>
      <c r="G805" s="197"/>
      <c r="H805" s="195">
        <v>1</v>
      </c>
      <c r="I805" s="567">
        <f t="shared" si="1"/>
        <v>1500</v>
      </c>
      <c r="J805" s="567">
        <v>1500</v>
      </c>
      <c r="K805" s="195" t="s">
        <v>2243</v>
      </c>
      <c r="L805" s="195" t="s">
        <v>455</v>
      </c>
      <c r="N805" s="382" t="s">
        <v>456</v>
      </c>
    </row>
    <row r="806" spans="1:14" ht="12.75" customHeight="1" x14ac:dyDescent="0.2">
      <c r="A806" s="195" t="s">
        <v>2246</v>
      </c>
      <c r="B806" s="195" t="s">
        <v>233</v>
      </c>
      <c r="C806" s="195" t="s">
        <v>2229</v>
      </c>
      <c r="D806" s="195" t="s">
        <v>2247</v>
      </c>
      <c r="E806" s="195" t="s">
        <v>2248</v>
      </c>
      <c r="F806" s="197"/>
      <c r="G806" s="197"/>
      <c r="H806" s="195">
        <v>1</v>
      </c>
      <c r="I806" s="567">
        <f t="shared" si="1"/>
        <v>200</v>
      </c>
      <c r="J806" s="567">
        <v>200</v>
      </c>
      <c r="K806" s="195" t="s">
        <v>2246</v>
      </c>
      <c r="L806" s="195" t="s">
        <v>455</v>
      </c>
      <c r="N806" s="382" t="s">
        <v>456</v>
      </c>
    </row>
    <row r="807" spans="1:14" ht="12.75" customHeight="1" x14ac:dyDescent="0.2">
      <c r="A807" s="195" t="s">
        <v>2249</v>
      </c>
      <c r="B807" s="195" t="s">
        <v>233</v>
      </c>
      <c r="C807" s="195" t="s">
        <v>2229</v>
      </c>
      <c r="D807" s="195" t="s">
        <v>2250</v>
      </c>
      <c r="E807" s="195" t="s">
        <v>2251</v>
      </c>
      <c r="F807" s="197"/>
      <c r="G807" s="197"/>
      <c r="H807" s="195">
        <v>1</v>
      </c>
      <c r="I807" s="567">
        <f t="shared" si="1"/>
        <v>250</v>
      </c>
      <c r="J807" s="567">
        <v>250</v>
      </c>
      <c r="K807" s="195" t="s">
        <v>2249</v>
      </c>
      <c r="L807" s="195" t="s">
        <v>455</v>
      </c>
      <c r="N807" s="382" t="s">
        <v>456</v>
      </c>
    </row>
    <row r="808" spans="1:14" ht="12.75" customHeight="1" x14ac:dyDescent="0.2">
      <c r="A808" s="195" t="s">
        <v>2252</v>
      </c>
      <c r="B808" s="195" t="s">
        <v>233</v>
      </c>
      <c r="C808" s="195" t="s">
        <v>2229</v>
      </c>
      <c r="D808" s="195" t="s">
        <v>2253</v>
      </c>
      <c r="E808" s="195" t="s">
        <v>2254</v>
      </c>
      <c r="F808" s="197"/>
      <c r="G808" s="197"/>
      <c r="H808" s="195">
        <v>1</v>
      </c>
      <c r="I808" s="567">
        <f t="shared" si="1"/>
        <v>300</v>
      </c>
      <c r="J808" s="567">
        <v>300</v>
      </c>
      <c r="K808" s="195" t="s">
        <v>2252</v>
      </c>
      <c r="L808" s="195" t="s">
        <v>455</v>
      </c>
      <c r="N808" s="382" t="s">
        <v>456</v>
      </c>
    </row>
    <row r="809" spans="1:14" ht="12.75" customHeight="1" x14ac:dyDescent="0.2">
      <c r="A809" s="195" t="s">
        <v>2255</v>
      </c>
      <c r="B809" s="195" t="s">
        <v>233</v>
      </c>
      <c r="C809" s="195" t="s">
        <v>2229</v>
      </c>
      <c r="D809" s="195" t="s">
        <v>2256</v>
      </c>
      <c r="E809" s="195" t="s">
        <v>2257</v>
      </c>
      <c r="F809" s="197"/>
      <c r="G809" s="197"/>
      <c r="H809" s="195">
        <v>1</v>
      </c>
      <c r="I809" s="567">
        <f t="shared" si="1"/>
        <v>12</v>
      </c>
      <c r="J809" s="567">
        <v>12</v>
      </c>
      <c r="K809" s="195" t="s">
        <v>2258</v>
      </c>
      <c r="L809" s="195" t="s">
        <v>455</v>
      </c>
      <c r="N809" s="382" t="s">
        <v>456</v>
      </c>
    </row>
    <row r="810" spans="1:14" ht="12.75" customHeight="1" x14ac:dyDescent="0.2">
      <c r="A810" s="195" t="s">
        <v>2259</v>
      </c>
      <c r="B810" s="195" t="s">
        <v>233</v>
      </c>
      <c r="C810" s="195" t="s">
        <v>2229</v>
      </c>
      <c r="D810" s="195" t="s">
        <v>2260</v>
      </c>
      <c r="E810" s="195" t="s">
        <v>2261</v>
      </c>
      <c r="F810" s="197"/>
      <c r="G810" s="197"/>
      <c r="H810" s="195">
        <v>1</v>
      </c>
      <c r="I810" s="567">
        <f t="shared" si="1"/>
        <v>350</v>
      </c>
      <c r="J810" s="567">
        <v>350</v>
      </c>
      <c r="K810" s="195" t="s">
        <v>2259</v>
      </c>
      <c r="L810" s="195" t="s">
        <v>455</v>
      </c>
      <c r="N810" s="382" t="s">
        <v>456</v>
      </c>
    </row>
    <row r="811" spans="1:14" ht="12.75" customHeight="1" x14ac:dyDescent="0.2">
      <c r="A811" s="195" t="s">
        <v>2262</v>
      </c>
      <c r="B811" s="195" t="s">
        <v>233</v>
      </c>
      <c r="C811" s="195" t="s">
        <v>2229</v>
      </c>
      <c r="D811" s="195" t="s">
        <v>2263</v>
      </c>
      <c r="E811" s="195" t="s">
        <v>2264</v>
      </c>
      <c r="F811" s="197"/>
      <c r="G811" s="197"/>
      <c r="H811" s="195">
        <v>1</v>
      </c>
      <c r="I811" s="567">
        <f t="shared" si="1"/>
        <v>14</v>
      </c>
      <c r="J811" s="567">
        <v>14</v>
      </c>
      <c r="K811" s="195" t="s">
        <v>2077</v>
      </c>
      <c r="L811" s="195" t="s">
        <v>455</v>
      </c>
      <c r="N811" s="382" t="s">
        <v>456</v>
      </c>
    </row>
    <row r="812" spans="1:14" ht="12.75" customHeight="1" x14ac:dyDescent="0.2">
      <c r="A812" s="195" t="s">
        <v>2265</v>
      </c>
      <c r="B812" s="195" t="s">
        <v>233</v>
      </c>
      <c r="C812" s="195" t="s">
        <v>2229</v>
      </c>
      <c r="D812" s="195" t="s">
        <v>2266</v>
      </c>
      <c r="E812" s="195" t="s">
        <v>2267</v>
      </c>
      <c r="F812" s="197"/>
      <c r="G812" s="197"/>
      <c r="H812" s="195">
        <v>1</v>
      </c>
      <c r="I812" s="567">
        <f t="shared" si="1"/>
        <v>400</v>
      </c>
      <c r="J812" s="567">
        <v>400</v>
      </c>
      <c r="K812" s="195" t="s">
        <v>2265</v>
      </c>
      <c r="L812" s="195" t="s">
        <v>455</v>
      </c>
      <c r="N812" s="382" t="s">
        <v>456</v>
      </c>
    </row>
    <row r="813" spans="1:14" ht="12.75" customHeight="1" x14ac:dyDescent="0.2">
      <c r="A813" s="195" t="s">
        <v>2268</v>
      </c>
      <c r="B813" s="195" t="s">
        <v>233</v>
      </c>
      <c r="C813" s="195" t="s">
        <v>2229</v>
      </c>
      <c r="D813" s="195" t="s">
        <v>2269</v>
      </c>
      <c r="E813" s="195" t="s">
        <v>2270</v>
      </c>
      <c r="F813" s="197"/>
      <c r="G813" s="197"/>
      <c r="H813" s="195">
        <v>1</v>
      </c>
      <c r="I813" s="567">
        <f t="shared" si="1"/>
        <v>14</v>
      </c>
      <c r="J813" s="567">
        <v>14</v>
      </c>
      <c r="K813" s="195" t="s">
        <v>2077</v>
      </c>
      <c r="L813" s="195" t="s">
        <v>455</v>
      </c>
      <c r="N813" s="382" t="s">
        <v>456</v>
      </c>
    </row>
    <row r="814" spans="1:14" ht="12.75" customHeight="1" x14ac:dyDescent="0.2">
      <c r="A814" s="195" t="s">
        <v>2271</v>
      </c>
      <c r="B814" s="195" t="s">
        <v>233</v>
      </c>
      <c r="C814" s="195" t="s">
        <v>2229</v>
      </c>
      <c r="D814" s="195" t="s">
        <v>2272</v>
      </c>
      <c r="E814" s="195" t="s">
        <v>2273</v>
      </c>
      <c r="F814" s="197"/>
      <c r="G814" s="197"/>
      <c r="H814" s="195">
        <v>1</v>
      </c>
      <c r="I814" s="567">
        <f t="shared" si="1"/>
        <v>425</v>
      </c>
      <c r="J814" s="567">
        <v>425</v>
      </c>
      <c r="K814" s="195" t="s">
        <v>2271</v>
      </c>
      <c r="L814" s="195" t="s">
        <v>455</v>
      </c>
      <c r="N814" s="382" t="s">
        <v>456</v>
      </c>
    </row>
    <row r="815" spans="1:14" ht="12.75" customHeight="1" x14ac:dyDescent="0.2">
      <c r="A815" s="195" t="s">
        <v>2274</v>
      </c>
      <c r="B815" s="195" t="s">
        <v>233</v>
      </c>
      <c r="C815" s="195" t="s">
        <v>2229</v>
      </c>
      <c r="D815" s="195" t="s">
        <v>2275</v>
      </c>
      <c r="E815" s="195" t="s">
        <v>2276</v>
      </c>
      <c r="F815" s="197"/>
      <c r="G815" s="197"/>
      <c r="H815" s="195">
        <v>1</v>
      </c>
      <c r="I815" s="567">
        <f t="shared" si="1"/>
        <v>17</v>
      </c>
      <c r="J815" s="567">
        <v>17</v>
      </c>
      <c r="K815" s="195" t="s">
        <v>2084</v>
      </c>
      <c r="L815" s="195" t="s">
        <v>455</v>
      </c>
      <c r="N815" s="382" t="s">
        <v>456</v>
      </c>
    </row>
    <row r="816" spans="1:14" ht="12.75" customHeight="1" x14ac:dyDescent="0.2">
      <c r="A816" s="195" t="s">
        <v>2277</v>
      </c>
      <c r="B816" s="195" t="s">
        <v>233</v>
      </c>
      <c r="C816" s="195" t="s">
        <v>2229</v>
      </c>
      <c r="D816" s="195" t="s">
        <v>2278</v>
      </c>
      <c r="E816" s="195" t="s">
        <v>2279</v>
      </c>
      <c r="F816" s="197"/>
      <c r="G816" s="197"/>
      <c r="H816" s="195">
        <v>1</v>
      </c>
      <c r="I816" s="567">
        <f t="shared" si="1"/>
        <v>19</v>
      </c>
      <c r="J816" s="567">
        <v>19</v>
      </c>
      <c r="K816" s="195" t="s">
        <v>2098</v>
      </c>
      <c r="L816" s="195" t="s">
        <v>455</v>
      </c>
      <c r="N816" s="382" t="s">
        <v>456</v>
      </c>
    </row>
    <row r="817" spans="1:14" ht="12.75" customHeight="1" x14ac:dyDescent="0.2">
      <c r="A817" s="195" t="s">
        <v>2280</v>
      </c>
      <c r="B817" s="195" t="s">
        <v>233</v>
      </c>
      <c r="C817" s="195" t="s">
        <v>2229</v>
      </c>
      <c r="D817" s="195" t="s">
        <v>2281</v>
      </c>
      <c r="E817" s="195" t="s">
        <v>2282</v>
      </c>
      <c r="F817" s="197"/>
      <c r="G817" s="197"/>
      <c r="H817" s="195">
        <v>1</v>
      </c>
      <c r="I817" s="567">
        <f t="shared" si="1"/>
        <v>500</v>
      </c>
      <c r="J817" s="567">
        <v>500</v>
      </c>
      <c r="K817" s="195" t="s">
        <v>2280</v>
      </c>
      <c r="L817" s="195" t="s">
        <v>455</v>
      </c>
      <c r="N817" s="382" t="s">
        <v>456</v>
      </c>
    </row>
    <row r="818" spans="1:14" ht="12.75" customHeight="1" x14ac:dyDescent="0.2">
      <c r="A818" s="195" t="s">
        <v>2283</v>
      </c>
      <c r="B818" s="195" t="s">
        <v>233</v>
      </c>
      <c r="C818" s="195" t="s">
        <v>2229</v>
      </c>
      <c r="D818" s="195" t="s">
        <v>2284</v>
      </c>
      <c r="E818" s="195" t="s">
        <v>2285</v>
      </c>
      <c r="F818" s="197"/>
      <c r="G818" s="197"/>
      <c r="H818" s="195">
        <v>1</v>
      </c>
      <c r="I818" s="567">
        <f t="shared" si="1"/>
        <v>20</v>
      </c>
      <c r="J818" s="567">
        <v>20</v>
      </c>
      <c r="K818" s="195" t="s">
        <v>2107</v>
      </c>
      <c r="L818" s="195" t="s">
        <v>455</v>
      </c>
      <c r="N818" s="382" t="s">
        <v>456</v>
      </c>
    </row>
    <row r="819" spans="1:14" ht="12.75" customHeight="1" x14ac:dyDescent="0.2">
      <c r="A819" s="195" t="s">
        <v>2286</v>
      </c>
      <c r="B819" s="195" t="s">
        <v>233</v>
      </c>
      <c r="C819" s="195" t="s">
        <v>2229</v>
      </c>
      <c r="D819" s="195" t="s">
        <v>2287</v>
      </c>
      <c r="E819" s="195" t="s">
        <v>2288</v>
      </c>
      <c r="F819" s="197"/>
      <c r="G819" s="197"/>
      <c r="H819" s="195">
        <v>1</v>
      </c>
      <c r="I819" s="567">
        <f t="shared" si="1"/>
        <v>24</v>
      </c>
      <c r="J819" s="567">
        <v>24</v>
      </c>
      <c r="K819" s="195" t="s">
        <v>2289</v>
      </c>
      <c r="L819" s="195" t="s">
        <v>455</v>
      </c>
      <c r="N819" s="382" t="s">
        <v>456</v>
      </c>
    </row>
    <row r="820" spans="1:14" ht="12.75" customHeight="1" x14ac:dyDescent="0.2">
      <c r="A820" s="195" t="s">
        <v>2290</v>
      </c>
      <c r="B820" s="195" t="s">
        <v>233</v>
      </c>
      <c r="C820" s="195" t="s">
        <v>2229</v>
      </c>
      <c r="D820" s="195" t="s">
        <v>2291</v>
      </c>
      <c r="E820" s="195" t="s">
        <v>2292</v>
      </c>
      <c r="F820" s="197"/>
      <c r="G820" s="197"/>
      <c r="H820" s="195">
        <v>1</v>
      </c>
      <c r="I820" s="567">
        <f t="shared" si="1"/>
        <v>26</v>
      </c>
      <c r="J820" s="567">
        <v>26</v>
      </c>
      <c r="K820" s="195" t="s">
        <v>2128</v>
      </c>
      <c r="L820" s="195" t="s">
        <v>455</v>
      </c>
      <c r="N820" s="382" t="s">
        <v>456</v>
      </c>
    </row>
    <row r="821" spans="1:14" ht="12.75" customHeight="1" x14ac:dyDescent="0.2">
      <c r="A821" s="195" t="s">
        <v>2293</v>
      </c>
      <c r="B821" s="195" t="s">
        <v>233</v>
      </c>
      <c r="C821" s="195" t="s">
        <v>2229</v>
      </c>
      <c r="D821" s="195" t="s">
        <v>2294</v>
      </c>
      <c r="E821" s="195" t="s">
        <v>2295</v>
      </c>
      <c r="F821" s="197"/>
      <c r="G821" s="197"/>
      <c r="H821" s="195">
        <v>1</v>
      </c>
      <c r="I821" s="567">
        <f t="shared" si="1"/>
        <v>33</v>
      </c>
      <c r="J821" s="567">
        <v>33</v>
      </c>
      <c r="K821" s="195" t="s">
        <v>1976</v>
      </c>
      <c r="L821" s="195" t="s">
        <v>455</v>
      </c>
      <c r="N821" s="382" t="s">
        <v>456</v>
      </c>
    </row>
    <row r="822" spans="1:14" ht="12.75" customHeight="1" x14ac:dyDescent="0.2">
      <c r="A822" s="195" t="s">
        <v>2296</v>
      </c>
      <c r="B822" s="195" t="s">
        <v>233</v>
      </c>
      <c r="C822" s="195" t="s">
        <v>2229</v>
      </c>
      <c r="D822" s="195" t="s">
        <v>2297</v>
      </c>
      <c r="E822" s="195" t="s">
        <v>2298</v>
      </c>
      <c r="F822" s="197"/>
      <c r="G822" s="197"/>
      <c r="H822" s="195">
        <v>1</v>
      </c>
      <c r="I822" s="567">
        <f t="shared" si="1"/>
        <v>34</v>
      </c>
      <c r="J822" s="567">
        <v>34</v>
      </c>
      <c r="K822" s="195" t="s">
        <v>2299</v>
      </c>
      <c r="L822" s="195" t="s">
        <v>455</v>
      </c>
      <c r="N822" s="382" t="s">
        <v>456</v>
      </c>
    </row>
    <row r="823" spans="1:14" ht="12.75" customHeight="1" x14ac:dyDescent="0.2">
      <c r="A823" s="195" t="s">
        <v>2300</v>
      </c>
      <c r="B823" s="195" t="s">
        <v>233</v>
      </c>
      <c r="C823" s="195" t="s">
        <v>2229</v>
      </c>
      <c r="D823" s="195" t="s">
        <v>2301</v>
      </c>
      <c r="E823" s="195" t="s">
        <v>2302</v>
      </c>
      <c r="F823" s="197"/>
      <c r="G823" s="197"/>
      <c r="H823" s="195">
        <v>1</v>
      </c>
      <c r="I823" s="567">
        <f t="shared" si="1"/>
        <v>750</v>
      </c>
      <c r="J823" s="567">
        <v>750</v>
      </c>
      <c r="K823" s="195" t="s">
        <v>2300</v>
      </c>
      <c r="L823" s="195" t="s">
        <v>455</v>
      </c>
      <c r="N823" s="382" t="s">
        <v>456</v>
      </c>
    </row>
    <row r="824" spans="1:14" ht="12.75" customHeight="1" x14ac:dyDescent="0.2">
      <c r="A824" s="195" t="s">
        <v>2303</v>
      </c>
      <c r="B824" s="195" t="s">
        <v>233</v>
      </c>
      <c r="C824" s="195" t="s">
        <v>2229</v>
      </c>
      <c r="D824" s="195" t="s">
        <v>2304</v>
      </c>
      <c r="E824" s="195" t="s">
        <v>2305</v>
      </c>
      <c r="F824" s="197"/>
      <c r="G824" s="197"/>
      <c r="H824" s="195">
        <v>1</v>
      </c>
      <c r="I824" s="567">
        <f t="shared" si="1"/>
        <v>41</v>
      </c>
      <c r="J824" s="567">
        <v>41</v>
      </c>
      <c r="K824" s="195" t="s">
        <v>2306</v>
      </c>
      <c r="L824" s="195" t="s">
        <v>455</v>
      </c>
      <c r="N824" s="382" t="s">
        <v>456</v>
      </c>
    </row>
    <row r="825" spans="1:14" ht="12.75" customHeight="1" x14ac:dyDescent="0.2">
      <c r="A825" s="195" t="s">
        <v>2307</v>
      </c>
      <c r="B825" s="195" t="s">
        <v>233</v>
      </c>
      <c r="C825" s="195" t="s">
        <v>2229</v>
      </c>
      <c r="D825" s="195" t="s">
        <v>2308</v>
      </c>
      <c r="E825" s="195" t="s">
        <v>2309</v>
      </c>
      <c r="F825" s="197"/>
      <c r="G825" s="197"/>
      <c r="H825" s="195">
        <v>1</v>
      </c>
      <c r="I825" s="567">
        <f t="shared" si="1"/>
        <v>900</v>
      </c>
      <c r="J825" s="567">
        <v>900</v>
      </c>
      <c r="K825" s="195" t="s">
        <v>2307</v>
      </c>
      <c r="L825" s="195" t="s">
        <v>455</v>
      </c>
      <c r="N825" s="382" t="s">
        <v>456</v>
      </c>
    </row>
    <row r="826" spans="1:14" ht="12.75" customHeight="1" x14ac:dyDescent="0.2">
      <c r="A826" s="195" t="s">
        <v>2310</v>
      </c>
      <c r="B826" s="195" t="s">
        <v>233</v>
      </c>
      <c r="C826" s="195" t="s">
        <v>2229</v>
      </c>
      <c r="D826" s="195" t="s">
        <v>2311</v>
      </c>
      <c r="E826" s="195" t="s">
        <v>2312</v>
      </c>
      <c r="F826" s="197"/>
      <c r="G826" s="197"/>
      <c r="H826" s="195">
        <v>1</v>
      </c>
      <c r="I826" s="567">
        <f t="shared" si="1"/>
        <v>20</v>
      </c>
      <c r="J826" s="567">
        <v>20</v>
      </c>
      <c r="K826" s="195" t="s">
        <v>2310</v>
      </c>
      <c r="L826" s="195" t="s">
        <v>455</v>
      </c>
      <c r="N826" s="382" t="s">
        <v>456</v>
      </c>
    </row>
    <row r="827" spans="1:14" ht="12.75" customHeight="1" x14ac:dyDescent="0.2">
      <c r="A827" s="195" t="s">
        <v>2313</v>
      </c>
      <c r="B827" s="195" t="s">
        <v>233</v>
      </c>
      <c r="C827" s="195" t="s">
        <v>2229</v>
      </c>
      <c r="D827" s="195" t="s">
        <v>2314</v>
      </c>
      <c r="E827" s="195" t="s">
        <v>2315</v>
      </c>
      <c r="F827" s="197"/>
      <c r="G827" s="197"/>
      <c r="H827" s="195">
        <v>1</v>
      </c>
      <c r="I827" s="567">
        <v>9</v>
      </c>
      <c r="J827" s="567">
        <f>I827</f>
        <v>9</v>
      </c>
      <c r="K827" s="195" t="s">
        <v>2316</v>
      </c>
      <c r="L827" s="195" t="s">
        <v>455</v>
      </c>
      <c r="N827" s="382" t="s">
        <v>456</v>
      </c>
    </row>
    <row r="828" spans="1:14" ht="12.75" customHeight="1" x14ac:dyDescent="0.2">
      <c r="A828" s="195" t="s">
        <v>2317</v>
      </c>
      <c r="B828" s="195" t="s">
        <v>233</v>
      </c>
      <c r="C828" s="195" t="s">
        <v>2229</v>
      </c>
      <c r="D828" s="195" t="s">
        <v>2318</v>
      </c>
      <c r="E828" s="195" t="s">
        <v>2319</v>
      </c>
      <c r="F828" s="197"/>
      <c r="G828" s="197"/>
      <c r="H828" s="195">
        <v>1</v>
      </c>
      <c r="I828" s="567">
        <v>12</v>
      </c>
      <c r="J828" s="567">
        <f t="shared" ref="J828:J832" si="2">I828</f>
        <v>12</v>
      </c>
      <c r="K828" s="195" t="s">
        <v>2258</v>
      </c>
      <c r="L828" s="195" t="s">
        <v>455</v>
      </c>
      <c r="N828" s="382" t="s">
        <v>456</v>
      </c>
    </row>
    <row r="829" spans="1:14" ht="12.75" customHeight="1" x14ac:dyDescent="0.2">
      <c r="A829" s="195" t="s">
        <v>2320</v>
      </c>
      <c r="B829" s="195" t="s">
        <v>233</v>
      </c>
      <c r="C829" s="195" t="s">
        <v>2229</v>
      </c>
      <c r="D829" s="195" t="s">
        <v>2321</v>
      </c>
      <c r="E829" s="195" t="s">
        <v>2322</v>
      </c>
      <c r="F829" s="197"/>
      <c r="G829" s="197"/>
      <c r="H829" s="195">
        <v>1</v>
      </c>
      <c r="I829" s="567">
        <v>14</v>
      </c>
      <c r="J829" s="567">
        <f t="shared" si="2"/>
        <v>14</v>
      </c>
      <c r="K829" s="195" t="s">
        <v>2077</v>
      </c>
      <c r="L829" s="195" t="s">
        <v>455</v>
      </c>
      <c r="N829" s="382" t="s">
        <v>456</v>
      </c>
    </row>
    <row r="830" spans="1:14" ht="12.75" customHeight="1" x14ac:dyDescent="0.2">
      <c r="A830" s="195" t="s">
        <v>2323</v>
      </c>
      <c r="B830" s="195" t="s">
        <v>233</v>
      </c>
      <c r="C830" s="195" t="s">
        <v>2229</v>
      </c>
      <c r="D830" s="195" t="s">
        <v>2324</v>
      </c>
      <c r="E830" s="195" t="s">
        <v>2325</v>
      </c>
      <c r="F830" s="197"/>
      <c r="G830" s="197"/>
      <c r="H830" s="195">
        <v>1</v>
      </c>
      <c r="I830" s="567">
        <v>19</v>
      </c>
      <c r="J830" s="567">
        <f t="shared" si="2"/>
        <v>19</v>
      </c>
      <c r="K830" s="195" t="s">
        <v>2098</v>
      </c>
      <c r="L830" s="195" t="s">
        <v>455</v>
      </c>
      <c r="N830" s="382" t="s">
        <v>456</v>
      </c>
    </row>
    <row r="831" spans="1:14" ht="12.75" customHeight="1" x14ac:dyDescent="0.2">
      <c r="A831" s="195" t="s">
        <v>2326</v>
      </c>
      <c r="B831" s="195" t="s">
        <v>233</v>
      </c>
      <c r="C831" s="195" t="s">
        <v>2229</v>
      </c>
      <c r="D831" s="195" t="s">
        <v>2327</v>
      </c>
      <c r="E831" s="195" t="s">
        <v>2328</v>
      </c>
      <c r="F831" s="197"/>
      <c r="G831" s="197"/>
      <c r="H831" s="195">
        <v>1</v>
      </c>
      <c r="I831" s="567">
        <v>29</v>
      </c>
      <c r="J831" s="567">
        <f t="shared" si="2"/>
        <v>29</v>
      </c>
      <c r="K831" s="195" t="s">
        <v>2135</v>
      </c>
      <c r="L831" s="195" t="s">
        <v>455</v>
      </c>
      <c r="N831" s="382" t="s">
        <v>456</v>
      </c>
    </row>
    <row r="832" spans="1:14" ht="12.75" customHeight="1" x14ac:dyDescent="0.2">
      <c r="A832" s="195" t="s">
        <v>2329</v>
      </c>
      <c r="B832" s="195" t="s">
        <v>233</v>
      </c>
      <c r="C832" s="195" t="s">
        <v>2229</v>
      </c>
      <c r="D832" s="195" t="s">
        <v>2330</v>
      </c>
      <c r="E832" s="195" t="s">
        <v>2331</v>
      </c>
      <c r="F832" s="197"/>
      <c r="G832" s="197"/>
      <c r="H832" s="195">
        <v>1</v>
      </c>
      <c r="I832" s="567">
        <v>34</v>
      </c>
      <c r="J832" s="567">
        <f t="shared" si="2"/>
        <v>34</v>
      </c>
      <c r="K832" s="195" t="s">
        <v>2299</v>
      </c>
      <c r="L832" s="195" t="s">
        <v>455</v>
      </c>
      <c r="N832" s="382" t="s">
        <v>456</v>
      </c>
    </row>
    <row r="833" spans="1:14" ht="12.75" customHeight="1" x14ac:dyDescent="0.2">
      <c r="A833" s="195" t="s">
        <v>2332</v>
      </c>
      <c r="B833" s="195" t="s">
        <v>233</v>
      </c>
      <c r="C833" s="195" t="s">
        <v>2229</v>
      </c>
      <c r="D833" s="195" t="s">
        <v>2240</v>
      </c>
      <c r="E833" s="195" t="s">
        <v>2333</v>
      </c>
      <c r="F833" s="197"/>
      <c r="G833" s="197"/>
      <c r="H833" s="195">
        <v>2</v>
      </c>
      <c r="I833" s="567">
        <f t="shared" si="1"/>
        <v>69</v>
      </c>
      <c r="J833" s="567">
        <v>138</v>
      </c>
      <c r="K833" s="195" t="s">
        <v>2334</v>
      </c>
      <c r="L833" s="195" t="s">
        <v>455</v>
      </c>
      <c r="N833" s="382" t="s">
        <v>456</v>
      </c>
    </row>
    <row r="834" spans="1:14" ht="12.75" customHeight="1" x14ac:dyDescent="0.2">
      <c r="A834" s="195" t="s">
        <v>2335</v>
      </c>
      <c r="B834" s="195" t="s">
        <v>233</v>
      </c>
      <c r="C834" s="195" t="s">
        <v>2229</v>
      </c>
      <c r="D834" s="195" t="s">
        <v>2275</v>
      </c>
      <c r="E834" s="195" t="s">
        <v>2336</v>
      </c>
      <c r="F834" s="197"/>
      <c r="G834" s="197"/>
      <c r="H834" s="195">
        <v>2</v>
      </c>
      <c r="I834" s="567">
        <f t="shared" si="1"/>
        <v>17</v>
      </c>
      <c r="J834" s="567">
        <v>34</v>
      </c>
      <c r="K834" s="195" t="s">
        <v>2178</v>
      </c>
      <c r="L834" s="195" t="s">
        <v>455</v>
      </c>
      <c r="N834" s="382" t="s">
        <v>456</v>
      </c>
    </row>
    <row r="835" spans="1:14" ht="12.75" customHeight="1" x14ac:dyDescent="0.2">
      <c r="A835" s="195" t="s">
        <v>2337</v>
      </c>
      <c r="B835" s="195" t="s">
        <v>233</v>
      </c>
      <c r="C835" s="195" t="s">
        <v>2229</v>
      </c>
      <c r="D835" s="195" t="s">
        <v>2278</v>
      </c>
      <c r="E835" s="195" t="s">
        <v>2338</v>
      </c>
      <c r="F835" s="197"/>
      <c r="G835" s="197"/>
      <c r="H835" s="195">
        <v>2</v>
      </c>
      <c r="I835" s="567">
        <f t="shared" si="1"/>
        <v>19</v>
      </c>
      <c r="J835" s="567">
        <v>38</v>
      </c>
      <c r="K835" s="195" t="s">
        <v>2184</v>
      </c>
      <c r="L835" s="195" t="s">
        <v>455</v>
      </c>
      <c r="N835" s="382" t="s">
        <v>456</v>
      </c>
    </row>
    <row r="836" spans="1:14" ht="12.75" customHeight="1" x14ac:dyDescent="0.2">
      <c r="A836" s="195" t="s">
        <v>2339</v>
      </c>
      <c r="B836" s="195" t="s">
        <v>233</v>
      </c>
      <c r="C836" s="195" t="s">
        <v>2229</v>
      </c>
      <c r="D836" s="195" t="s">
        <v>2287</v>
      </c>
      <c r="E836" s="195" t="s">
        <v>2340</v>
      </c>
      <c r="F836" s="197"/>
      <c r="G836" s="197"/>
      <c r="H836" s="195">
        <v>2</v>
      </c>
      <c r="I836" s="567">
        <f t="shared" si="1"/>
        <v>24</v>
      </c>
      <c r="J836" s="567">
        <v>48</v>
      </c>
      <c r="K836" s="195" t="s">
        <v>2341</v>
      </c>
      <c r="L836" s="195" t="s">
        <v>455</v>
      </c>
      <c r="N836" s="382" t="s">
        <v>456</v>
      </c>
    </row>
    <row r="837" spans="1:14" ht="12.75" customHeight="1" x14ac:dyDescent="0.2">
      <c r="A837" s="195" t="s">
        <v>2342</v>
      </c>
      <c r="B837" s="195" t="s">
        <v>233</v>
      </c>
      <c r="C837" s="195" t="s">
        <v>2229</v>
      </c>
      <c r="D837" s="195" t="s">
        <v>2297</v>
      </c>
      <c r="E837" s="195" t="s">
        <v>2343</v>
      </c>
      <c r="F837" s="197"/>
      <c r="G837" s="197"/>
      <c r="H837" s="195">
        <v>2</v>
      </c>
      <c r="I837" s="567">
        <f t="shared" si="1"/>
        <v>34</v>
      </c>
      <c r="J837" s="567">
        <v>68</v>
      </c>
      <c r="K837" s="195" t="s">
        <v>2344</v>
      </c>
      <c r="L837" s="195" t="s">
        <v>455</v>
      </c>
      <c r="N837" s="382" t="s">
        <v>456</v>
      </c>
    </row>
    <row r="838" spans="1:14" ht="12.75" customHeight="1" x14ac:dyDescent="0.2">
      <c r="A838" s="195" t="s">
        <v>2345</v>
      </c>
      <c r="B838" s="195" t="s">
        <v>233</v>
      </c>
      <c r="C838" s="195" t="s">
        <v>2229</v>
      </c>
      <c r="D838" s="195" t="s">
        <v>2304</v>
      </c>
      <c r="E838" s="195" t="s">
        <v>2346</v>
      </c>
      <c r="F838" s="197"/>
      <c r="G838" s="197"/>
      <c r="H838" s="195">
        <v>2</v>
      </c>
      <c r="I838" s="567">
        <f t="shared" si="1"/>
        <v>41</v>
      </c>
      <c r="J838" s="567">
        <v>82</v>
      </c>
      <c r="K838" s="195" t="s">
        <v>2347</v>
      </c>
      <c r="L838" s="195" t="s">
        <v>455</v>
      </c>
      <c r="N838" s="382" t="s">
        <v>456</v>
      </c>
    </row>
    <row r="839" spans="1:14" ht="12.75" customHeight="1" x14ac:dyDescent="0.2">
      <c r="A839" s="195" t="s">
        <v>2348</v>
      </c>
      <c r="B839" s="195" t="s">
        <v>2349</v>
      </c>
      <c r="C839" s="195" t="s">
        <v>2349</v>
      </c>
      <c r="D839" s="195" t="s">
        <v>2350</v>
      </c>
      <c r="E839" s="195" t="s">
        <v>2351</v>
      </c>
      <c r="F839" s="197" t="s">
        <v>2352</v>
      </c>
      <c r="G839" s="197"/>
      <c r="H839" s="195">
        <v>1</v>
      </c>
      <c r="I839" s="195">
        <v>55</v>
      </c>
      <c r="J839" s="195">
        <v>55</v>
      </c>
      <c r="K839" s="195" t="s">
        <v>2348</v>
      </c>
      <c r="L839" s="195" t="s">
        <v>455</v>
      </c>
      <c r="N839" s="382" t="s">
        <v>456</v>
      </c>
    </row>
    <row r="840" spans="1:14" ht="12.75" customHeight="1" x14ac:dyDescent="0.2">
      <c r="A840" s="195" t="s">
        <v>2353</v>
      </c>
      <c r="B840" s="195" t="s">
        <v>2349</v>
      </c>
      <c r="C840" s="195" t="s">
        <v>2349</v>
      </c>
      <c r="D840" s="195" t="s">
        <v>2354</v>
      </c>
      <c r="E840" s="195" t="s">
        <v>2355</v>
      </c>
      <c r="F840" s="197" t="s">
        <v>2352</v>
      </c>
      <c r="G840" s="197"/>
      <c r="H840" s="195">
        <v>1</v>
      </c>
      <c r="I840" s="195">
        <v>85</v>
      </c>
      <c r="J840" s="195">
        <v>85</v>
      </c>
      <c r="K840" s="195" t="s">
        <v>2353</v>
      </c>
      <c r="L840" s="195" t="s">
        <v>455</v>
      </c>
      <c r="N840" s="382" t="s">
        <v>456</v>
      </c>
    </row>
    <row r="841" spans="1:14" ht="12.75" customHeight="1" x14ac:dyDescent="0.2">
      <c r="A841" s="195" t="s">
        <v>2356</v>
      </c>
      <c r="B841" s="195" t="s">
        <v>2349</v>
      </c>
      <c r="C841" s="195" t="s">
        <v>2349</v>
      </c>
      <c r="D841" s="195" t="s">
        <v>2357</v>
      </c>
      <c r="E841" s="195" t="s">
        <v>2358</v>
      </c>
      <c r="F841" s="197" t="s">
        <v>2352</v>
      </c>
      <c r="G841" s="197"/>
      <c r="H841" s="195">
        <v>1</v>
      </c>
      <c r="I841" s="195">
        <v>165</v>
      </c>
      <c r="J841" s="195">
        <v>165</v>
      </c>
      <c r="K841" s="195" t="s">
        <v>2356</v>
      </c>
      <c r="L841" s="195" t="s">
        <v>455</v>
      </c>
      <c r="N841" s="382" t="s">
        <v>456</v>
      </c>
    </row>
    <row r="842" spans="1:14" ht="12.75" customHeight="1" x14ac:dyDescent="0.2">
      <c r="A842" s="195" t="s">
        <v>2359</v>
      </c>
      <c r="B842" s="195" t="s">
        <v>2360</v>
      </c>
      <c r="C842" s="195" t="s">
        <v>244</v>
      </c>
      <c r="D842" s="195" t="s">
        <v>2361</v>
      </c>
      <c r="E842" s="195" t="s">
        <v>2362</v>
      </c>
      <c r="F842" s="197" t="s">
        <v>2363</v>
      </c>
      <c r="G842" s="197"/>
      <c r="H842" s="195">
        <v>1</v>
      </c>
      <c r="I842" s="195">
        <v>100</v>
      </c>
      <c r="J842" s="195">
        <v>128</v>
      </c>
      <c r="K842" s="195" t="s">
        <v>2359</v>
      </c>
      <c r="L842" s="195" t="s">
        <v>526</v>
      </c>
      <c r="N842" s="382" t="s">
        <v>456</v>
      </c>
    </row>
    <row r="843" spans="1:14" ht="12.75" customHeight="1" x14ac:dyDescent="0.2">
      <c r="A843" s="195" t="s">
        <v>2364</v>
      </c>
      <c r="B843" s="195" t="s">
        <v>2360</v>
      </c>
      <c r="C843" s="195" t="s">
        <v>244</v>
      </c>
      <c r="D843" s="195" t="s">
        <v>2365</v>
      </c>
      <c r="E843" s="195" t="s">
        <v>2366</v>
      </c>
      <c r="F843" s="197" t="s">
        <v>2363</v>
      </c>
      <c r="G843" s="197"/>
      <c r="H843" s="195">
        <v>1</v>
      </c>
      <c r="I843" s="195">
        <v>1000</v>
      </c>
      <c r="J843" s="195">
        <v>1080</v>
      </c>
      <c r="K843" s="195" t="s">
        <v>2364</v>
      </c>
      <c r="L843" s="195" t="s">
        <v>526</v>
      </c>
      <c r="N843" s="382" t="s">
        <v>456</v>
      </c>
    </row>
    <row r="844" spans="1:14" ht="12.75" customHeight="1" x14ac:dyDescent="0.2">
      <c r="A844" s="195" t="s">
        <v>2367</v>
      </c>
      <c r="B844" s="195" t="s">
        <v>2360</v>
      </c>
      <c r="C844" s="195" t="s">
        <v>244</v>
      </c>
      <c r="D844" s="195" t="s">
        <v>2368</v>
      </c>
      <c r="E844" s="195" t="s">
        <v>2369</v>
      </c>
      <c r="F844" s="197" t="s">
        <v>2363</v>
      </c>
      <c r="G844" s="197"/>
      <c r="H844" s="195">
        <v>1</v>
      </c>
      <c r="I844" s="195">
        <v>150</v>
      </c>
      <c r="J844" s="195">
        <v>190</v>
      </c>
      <c r="K844" s="195" t="s">
        <v>2367</v>
      </c>
      <c r="L844" s="195" t="s">
        <v>526</v>
      </c>
      <c r="N844" s="382" t="s">
        <v>456</v>
      </c>
    </row>
    <row r="845" spans="1:14" ht="12.75" customHeight="1" x14ac:dyDescent="0.2">
      <c r="A845" s="195" t="s">
        <v>2370</v>
      </c>
      <c r="B845" s="195" t="s">
        <v>2360</v>
      </c>
      <c r="C845" s="195" t="s">
        <v>244</v>
      </c>
      <c r="D845" s="195" t="s">
        <v>2371</v>
      </c>
      <c r="E845" s="195" t="s">
        <v>2372</v>
      </c>
      <c r="F845" s="197" t="s">
        <v>2363</v>
      </c>
      <c r="G845" s="197"/>
      <c r="H845" s="195">
        <v>1</v>
      </c>
      <c r="I845" s="195">
        <v>1500</v>
      </c>
      <c r="J845" s="195">
        <v>1610</v>
      </c>
      <c r="K845" s="195" t="s">
        <v>2370</v>
      </c>
      <c r="L845" s="195" t="s">
        <v>526</v>
      </c>
      <c r="N845" s="382" t="s">
        <v>456</v>
      </c>
    </row>
    <row r="846" spans="1:14" ht="12.75" customHeight="1" x14ac:dyDescent="0.2">
      <c r="A846" s="195" t="s">
        <v>2373</v>
      </c>
      <c r="B846" s="195" t="s">
        <v>2360</v>
      </c>
      <c r="C846" s="195" t="s">
        <v>244</v>
      </c>
      <c r="D846" s="195" t="s">
        <v>2374</v>
      </c>
      <c r="E846" s="195" t="s">
        <v>2375</v>
      </c>
      <c r="F846" s="197" t="s">
        <v>2363</v>
      </c>
      <c r="G846" s="197"/>
      <c r="H846" s="195">
        <v>1</v>
      </c>
      <c r="I846" s="195">
        <v>175</v>
      </c>
      <c r="J846" s="195">
        <v>215</v>
      </c>
      <c r="K846" s="195" t="s">
        <v>2373</v>
      </c>
      <c r="L846" s="195" t="s">
        <v>526</v>
      </c>
      <c r="N846" s="382" t="s">
        <v>456</v>
      </c>
    </row>
    <row r="847" spans="1:14" ht="12.75" customHeight="1" x14ac:dyDescent="0.2">
      <c r="A847" s="195" t="s">
        <v>2376</v>
      </c>
      <c r="B847" s="195" t="s">
        <v>2360</v>
      </c>
      <c r="C847" s="195" t="s">
        <v>244</v>
      </c>
      <c r="D847" s="195" t="s">
        <v>2377</v>
      </c>
      <c r="E847" s="195" t="s">
        <v>2378</v>
      </c>
      <c r="F847" s="197" t="s">
        <v>2363</v>
      </c>
      <c r="G847" s="197"/>
      <c r="H847" s="195">
        <v>1</v>
      </c>
      <c r="I847" s="195">
        <v>1800</v>
      </c>
      <c r="J847" s="195">
        <v>1875</v>
      </c>
      <c r="K847" s="195" t="s">
        <v>2376</v>
      </c>
      <c r="L847" s="195" t="s">
        <v>526</v>
      </c>
      <c r="N847" s="382" t="s">
        <v>918</v>
      </c>
    </row>
    <row r="848" spans="1:14" ht="12.75" customHeight="1" x14ac:dyDescent="0.2">
      <c r="A848" s="195" t="s">
        <v>2379</v>
      </c>
      <c r="B848" s="195" t="s">
        <v>2360</v>
      </c>
      <c r="C848" s="195" t="s">
        <v>244</v>
      </c>
      <c r="D848" s="195" t="s">
        <v>2380</v>
      </c>
      <c r="E848" s="195" t="s">
        <v>2381</v>
      </c>
      <c r="F848" s="197" t="s">
        <v>2363</v>
      </c>
      <c r="G848" s="197"/>
      <c r="H848" s="195">
        <v>1</v>
      </c>
      <c r="I848" s="195">
        <v>200</v>
      </c>
      <c r="J848" s="195">
        <v>232</v>
      </c>
      <c r="K848" s="195" t="s">
        <v>2379</v>
      </c>
      <c r="L848" s="195" t="s">
        <v>526</v>
      </c>
      <c r="N848" s="382" t="s">
        <v>456</v>
      </c>
    </row>
    <row r="849" spans="1:14" ht="12.75" customHeight="1" x14ac:dyDescent="0.2">
      <c r="A849" s="195" t="s">
        <v>2382</v>
      </c>
      <c r="B849" s="195" t="s">
        <v>2360</v>
      </c>
      <c r="C849" s="195" t="s">
        <v>244</v>
      </c>
      <c r="D849" s="195" t="s">
        <v>2383</v>
      </c>
      <c r="E849" s="195" t="s">
        <v>2384</v>
      </c>
      <c r="F849" s="197" t="s">
        <v>2363</v>
      </c>
      <c r="G849" s="197"/>
      <c r="H849" s="195">
        <v>1</v>
      </c>
      <c r="I849" s="195">
        <v>250</v>
      </c>
      <c r="J849" s="195">
        <v>295</v>
      </c>
      <c r="K849" s="195" t="s">
        <v>2382</v>
      </c>
      <c r="L849" s="195" t="s">
        <v>526</v>
      </c>
      <c r="N849" s="382" t="s">
        <v>456</v>
      </c>
    </row>
    <row r="850" spans="1:14" ht="12.75" customHeight="1" x14ac:dyDescent="0.2">
      <c r="A850" s="195" t="s">
        <v>2385</v>
      </c>
      <c r="B850" s="195" t="s">
        <v>2360</v>
      </c>
      <c r="C850" s="195" t="s">
        <v>244</v>
      </c>
      <c r="D850" s="195" t="s">
        <v>2386</v>
      </c>
      <c r="E850" s="195" t="s">
        <v>2387</v>
      </c>
      <c r="F850" s="197" t="s">
        <v>2363</v>
      </c>
      <c r="G850" s="197"/>
      <c r="H850" s="195">
        <v>1</v>
      </c>
      <c r="I850" s="195">
        <v>32</v>
      </c>
      <c r="J850" s="195">
        <v>43</v>
      </c>
      <c r="K850" s="195" t="s">
        <v>2385</v>
      </c>
      <c r="L850" s="195" t="s">
        <v>526</v>
      </c>
      <c r="N850" s="382" t="s">
        <v>456</v>
      </c>
    </row>
    <row r="851" spans="1:14" ht="12.75" customHeight="1" x14ac:dyDescent="0.2">
      <c r="A851" s="195" t="s">
        <v>2388</v>
      </c>
      <c r="B851" s="195" t="s">
        <v>2360</v>
      </c>
      <c r="C851" s="195" t="s">
        <v>244</v>
      </c>
      <c r="D851" s="195" t="s">
        <v>2389</v>
      </c>
      <c r="E851" s="195" t="s">
        <v>2390</v>
      </c>
      <c r="F851" s="197" t="s">
        <v>2363</v>
      </c>
      <c r="G851" s="197"/>
      <c r="H851" s="195">
        <v>1</v>
      </c>
      <c r="I851" s="195">
        <v>300</v>
      </c>
      <c r="J851" s="195">
        <v>342</v>
      </c>
      <c r="K851" s="195" t="s">
        <v>2388</v>
      </c>
      <c r="L851" s="195" t="s">
        <v>526</v>
      </c>
      <c r="N851" s="382" t="s">
        <v>456</v>
      </c>
    </row>
    <row r="852" spans="1:14" ht="12.75" customHeight="1" x14ac:dyDescent="0.2">
      <c r="A852" s="195" t="s">
        <v>2391</v>
      </c>
      <c r="B852" s="195" t="s">
        <v>2360</v>
      </c>
      <c r="C852" s="195" t="s">
        <v>244</v>
      </c>
      <c r="D852" s="195" t="s">
        <v>2392</v>
      </c>
      <c r="E852" s="195" t="s">
        <v>2393</v>
      </c>
      <c r="F852" s="197" t="s">
        <v>2363</v>
      </c>
      <c r="G852" s="197"/>
      <c r="H852" s="195">
        <v>1</v>
      </c>
      <c r="I852" s="195">
        <v>320</v>
      </c>
      <c r="J852" s="195">
        <v>365</v>
      </c>
      <c r="K852" s="195" t="s">
        <v>2391</v>
      </c>
      <c r="L852" s="195" t="s">
        <v>526</v>
      </c>
      <c r="N852" s="382" t="s">
        <v>456</v>
      </c>
    </row>
    <row r="853" spans="1:14" ht="12.75" customHeight="1" x14ac:dyDescent="0.2">
      <c r="A853" s="195" t="s">
        <v>2394</v>
      </c>
      <c r="B853" s="195" t="s">
        <v>2360</v>
      </c>
      <c r="C853" s="195" t="s">
        <v>244</v>
      </c>
      <c r="D853" s="195" t="s">
        <v>2395</v>
      </c>
      <c r="E853" s="195" t="s">
        <v>2396</v>
      </c>
      <c r="F853" s="197" t="s">
        <v>2363</v>
      </c>
      <c r="G853" s="197"/>
      <c r="H853" s="195">
        <v>1</v>
      </c>
      <c r="I853" s="195">
        <v>350</v>
      </c>
      <c r="J853" s="195">
        <v>400</v>
      </c>
      <c r="K853" s="195" t="s">
        <v>2394</v>
      </c>
      <c r="L853" s="195" t="s">
        <v>526</v>
      </c>
      <c r="N853" s="382" t="s">
        <v>456</v>
      </c>
    </row>
    <row r="854" spans="1:14" ht="12.75" customHeight="1" x14ac:dyDescent="0.2">
      <c r="A854" s="195" t="s">
        <v>2397</v>
      </c>
      <c r="B854" s="195" t="s">
        <v>2360</v>
      </c>
      <c r="C854" s="195" t="s">
        <v>244</v>
      </c>
      <c r="D854" s="195" t="s">
        <v>2398</v>
      </c>
      <c r="E854" s="195" t="s">
        <v>2399</v>
      </c>
      <c r="F854" s="197" t="s">
        <v>2363</v>
      </c>
      <c r="G854" s="197"/>
      <c r="H854" s="195">
        <v>1</v>
      </c>
      <c r="I854" s="195">
        <v>360</v>
      </c>
      <c r="J854" s="195">
        <v>430</v>
      </c>
      <c r="K854" s="195" t="s">
        <v>2397</v>
      </c>
      <c r="L854" s="195" t="s">
        <v>526</v>
      </c>
      <c r="N854" s="382" t="s">
        <v>456</v>
      </c>
    </row>
    <row r="855" spans="1:14" ht="12.75" customHeight="1" x14ac:dyDescent="0.2">
      <c r="A855" s="195" t="s">
        <v>2400</v>
      </c>
      <c r="B855" s="195" t="s">
        <v>2360</v>
      </c>
      <c r="C855" s="195" t="s">
        <v>244</v>
      </c>
      <c r="D855" s="195" t="s">
        <v>2401</v>
      </c>
      <c r="E855" s="195" t="s">
        <v>2402</v>
      </c>
      <c r="F855" s="197" t="s">
        <v>2363</v>
      </c>
      <c r="G855" s="197"/>
      <c r="H855" s="195">
        <v>1</v>
      </c>
      <c r="I855" s="195">
        <v>400</v>
      </c>
      <c r="J855" s="195">
        <v>458</v>
      </c>
      <c r="K855" s="195" t="s">
        <v>2400</v>
      </c>
      <c r="L855" s="195" t="s">
        <v>526</v>
      </c>
      <c r="N855" s="382" t="s">
        <v>456</v>
      </c>
    </row>
    <row r="856" spans="1:14" ht="12.75" customHeight="1" x14ac:dyDescent="0.2">
      <c r="A856" s="195" t="s">
        <v>2403</v>
      </c>
      <c r="B856" s="195" t="s">
        <v>2360</v>
      </c>
      <c r="C856" s="195" t="s">
        <v>244</v>
      </c>
      <c r="D856" s="195" t="s">
        <v>2404</v>
      </c>
      <c r="E856" s="195" t="s">
        <v>2405</v>
      </c>
      <c r="F856" s="197" t="s">
        <v>2363</v>
      </c>
      <c r="G856" s="197"/>
      <c r="H856" s="195">
        <v>1</v>
      </c>
      <c r="I856" s="195">
        <v>450</v>
      </c>
      <c r="J856" s="195">
        <v>508</v>
      </c>
      <c r="K856" s="195" t="s">
        <v>2403</v>
      </c>
      <c r="L856" s="195" t="s">
        <v>526</v>
      </c>
      <c r="N856" s="382" t="s">
        <v>918</v>
      </c>
    </row>
    <row r="857" spans="1:14" ht="12.75" customHeight="1" x14ac:dyDescent="0.2">
      <c r="A857" s="195" t="s">
        <v>2406</v>
      </c>
      <c r="B857" s="195" t="s">
        <v>2360</v>
      </c>
      <c r="C857" s="195" t="s">
        <v>244</v>
      </c>
      <c r="D857" s="195" t="s">
        <v>2407</v>
      </c>
      <c r="E857" s="195" t="s">
        <v>2408</v>
      </c>
      <c r="F857" s="197" t="s">
        <v>2363</v>
      </c>
      <c r="G857" s="197"/>
      <c r="H857" s="195">
        <v>1</v>
      </c>
      <c r="I857" s="195">
        <v>35</v>
      </c>
      <c r="J857" s="195">
        <v>44</v>
      </c>
      <c r="K857" s="195" t="s">
        <v>2406</v>
      </c>
      <c r="L857" s="195" t="s">
        <v>526</v>
      </c>
      <c r="N857" s="382" t="s">
        <v>456</v>
      </c>
    </row>
    <row r="858" spans="1:14" ht="12.75" customHeight="1" x14ac:dyDescent="0.2">
      <c r="A858" s="195" t="s">
        <v>2409</v>
      </c>
      <c r="B858" s="195" t="s">
        <v>2360</v>
      </c>
      <c r="C858" s="195" t="s">
        <v>244</v>
      </c>
      <c r="D858" s="195" t="s">
        <v>2410</v>
      </c>
      <c r="E858" s="195" t="s">
        <v>2411</v>
      </c>
      <c r="F858" s="197" t="s">
        <v>2363</v>
      </c>
      <c r="G858" s="197"/>
      <c r="H858" s="195">
        <v>1</v>
      </c>
      <c r="I858" s="195">
        <v>50</v>
      </c>
      <c r="J858" s="195">
        <v>72</v>
      </c>
      <c r="K858" s="195" t="s">
        <v>2409</v>
      </c>
      <c r="L858" s="195" t="s">
        <v>526</v>
      </c>
      <c r="N858" s="382" t="s">
        <v>456</v>
      </c>
    </row>
    <row r="859" spans="1:14" ht="12.75" customHeight="1" x14ac:dyDescent="0.2">
      <c r="A859" s="195" t="s">
        <v>2412</v>
      </c>
      <c r="B859" s="195" t="s">
        <v>2360</v>
      </c>
      <c r="C859" s="195" t="s">
        <v>244</v>
      </c>
      <c r="D859" s="195" t="s">
        <v>2413</v>
      </c>
      <c r="E859" s="195" t="s">
        <v>2414</v>
      </c>
      <c r="F859" s="197" t="s">
        <v>2363</v>
      </c>
      <c r="G859" s="197"/>
      <c r="H859" s="195">
        <v>1</v>
      </c>
      <c r="I859" s="195">
        <v>70</v>
      </c>
      <c r="J859" s="195">
        <v>95</v>
      </c>
      <c r="K859" s="195" t="s">
        <v>2412</v>
      </c>
      <c r="L859" s="195" t="s">
        <v>526</v>
      </c>
      <c r="N859" s="382" t="s">
        <v>456</v>
      </c>
    </row>
    <row r="860" spans="1:14" ht="12.75" customHeight="1" x14ac:dyDescent="0.2">
      <c r="A860" s="195" t="s">
        <v>2415</v>
      </c>
      <c r="B860" s="195" t="s">
        <v>2360</v>
      </c>
      <c r="C860" s="195" t="s">
        <v>244</v>
      </c>
      <c r="D860" s="195" t="s">
        <v>2416</v>
      </c>
      <c r="E860" s="195" t="s">
        <v>2417</v>
      </c>
      <c r="F860" s="197" t="s">
        <v>2363</v>
      </c>
      <c r="G860" s="197"/>
      <c r="H860" s="195">
        <v>1</v>
      </c>
      <c r="I860" s="195">
        <v>750</v>
      </c>
      <c r="J860" s="195">
        <v>850</v>
      </c>
      <c r="K860" s="195" t="s">
        <v>2415</v>
      </c>
      <c r="L860" s="195" t="s">
        <v>526</v>
      </c>
      <c r="N860" s="382" t="s">
        <v>456</v>
      </c>
    </row>
    <row r="861" spans="1:14" ht="12.75" customHeight="1" x14ac:dyDescent="0.2">
      <c r="A861" s="195" t="s">
        <v>2418</v>
      </c>
      <c r="B861" s="195" t="s">
        <v>2360</v>
      </c>
      <c r="C861" s="195" t="s">
        <v>244</v>
      </c>
      <c r="D861" s="195" t="s">
        <v>2401</v>
      </c>
      <c r="E861" s="195" t="s">
        <v>2419</v>
      </c>
      <c r="F861" s="197" t="s">
        <v>2363</v>
      </c>
      <c r="G861" s="197"/>
      <c r="H861" s="195">
        <v>2</v>
      </c>
      <c r="I861" s="195">
        <v>400</v>
      </c>
      <c r="J861" s="195">
        <v>916</v>
      </c>
      <c r="K861" s="195" t="s">
        <v>2418</v>
      </c>
      <c r="L861" s="195" t="s">
        <v>526</v>
      </c>
      <c r="N861" s="382" t="s">
        <v>456</v>
      </c>
    </row>
    <row r="862" spans="1:14" ht="12.75" customHeight="1" x14ac:dyDescent="0.2">
      <c r="A862" s="195" t="s">
        <v>2420</v>
      </c>
      <c r="B862" s="195" t="s">
        <v>2360</v>
      </c>
      <c r="C862" s="195" t="s">
        <v>2421</v>
      </c>
      <c r="D862" s="195" t="s">
        <v>2422</v>
      </c>
      <c r="E862" s="195" t="s">
        <v>2423</v>
      </c>
      <c r="F862" s="197" t="s">
        <v>432</v>
      </c>
      <c r="G862" s="197"/>
      <c r="H862" s="195">
        <v>1</v>
      </c>
      <c r="I862" s="195">
        <v>100</v>
      </c>
      <c r="J862" s="195">
        <v>118</v>
      </c>
      <c r="K862" s="195" t="s">
        <v>2420</v>
      </c>
      <c r="L862" s="195" t="s">
        <v>526</v>
      </c>
      <c r="N862" s="382" t="s">
        <v>456</v>
      </c>
    </row>
    <row r="863" spans="1:14" ht="12.75" customHeight="1" x14ac:dyDescent="0.2">
      <c r="A863" s="195" t="s">
        <v>2424</v>
      </c>
      <c r="B863" s="195" t="s">
        <v>2360</v>
      </c>
      <c r="C863" s="195" t="s">
        <v>2421</v>
      </c>
      <c r="D863" s="195" t="s">
        <v>2425</v>
      </c>
      <c r="E863" s="195" t="s">
        <v>2426</v>
      </c>
      <c r="F863" s="197" t="s">
        <v>432</v>
      </c>
      <c r="G863" s="197"/>
      <c r="H863" s="195">
        <v>1</v>
      </c>
      <c r="I863" s="195">
        <v>150</v>
      </c>
      <c r="J863" s="195">
        <v>170</v>
      </c>
      <c r="K863" s="195" t="s">
        <v>2424</v>
      </c>
      <c r="L863" s="195" t="s">
        <v>526</v>
      </c>
      <c r="N863" s="382" t="s">
        <v>456</v>
      </c>
    </row>
    <row r="864" spans="1:14" ht="12.75" customHeight="1" x14ac:dyDescent="0.2">
      <c r="A864" s="195" t="s">
        <v>2427</v>
      </c>
      <c r="B864" s="195" t="s">
        <v>2360</v>
      </c>
      <c r="C864" s="195" t="s">
        <v>2421</v>
      </c>
      <c r="D864" s="195" t="s">
        <v>2428</v>
      </c>
      <c r="E864" s="195" t="s">
        <v>2429</v>
      </c>
      <c r="F864" s="197" t="s">
        <v>432</v>
      </c>
      <c r="G864" s="197"/>
      <c r="H864" s="195">
        <v>1</v>
      </c>
      <c r="I864" s="195">
        <v>175</v>
      </c>
      <c r="J864" s="195">
        <v>194</v>
      </c>
      <c r="K864" s="195" t="s">
        <v>2427</v>
      </c>
      <c r="L864" s="195" t="s">
        <v>526</v>
      </c>
      <c r="N864" s="382" t="s">
        <v>456</v>
      </c>
    </row>
    <row r="865" spans="1:14" ht="12.75" customHeight="1" x14ac:dyDescent="0.2">
      <c r="A865" s="195" t="s">
        <v>2430</v>
      </c>
      <c r="B865" s="195" t="s">
        <v>2360</v>
      </c>
      <c r="C865" s="195" t="s">
        <v>2421</v>
      </c>
      <c r="D865" s="195" t="s">
        <v>2431</v>
      </c>
      <c r="E865" s="195" t="s">
        <v>2432</v>
      </c>
      <c r="F865" s="197" t="s">
        <v>432</v>
      </c>
      <c r="G865" s="197"/>
      <c r="H865" s="195">
        <v>1</v>
      </c>
      <c r="I865" s="195">
        <v>200</v>
      </c>
      <c r="J865" s="195">
        <v>219</v>
      </c>
      <c r="K865" s="195" t="s">
        <v>2430</v>
      </c>
      <c r="L865" s="195" t="s">
        <v>526</v>
      </c>
      <c r="N865" s="382" t="s">
        <v>456</v>
      </c>
    </row>
    <row r="866" spans="1:14" ht="12.75" customHeight="1" x14ac:dyDescent="0.2">
      <c r="A866" s="195" t="s">
        <v>2433</v>
      </c>
      <c r="B866" s="195" t="s">
        <v>2360</v>
      </c>
      <c r="C866" s="195" t="s">
        <v>2421</v>
      </c>
      <c r="D866" s="195" t="s">
        <v>2434</v>
      </c>
      <c r="E866" s="195" t="s">
        <v>2435</v>
      </c>
      <c r="F866" s="197" t="s">
        <v>432</v>
      </c>
      <c r="G866" s="197"/>
      <c r="H866" s="195">
        <v>1</v>
      </c>
      <c r="I866" s="195">
        <v>250</v>
      </c>
      <c r="J866" s="195">
        <v>275</v>
      </c>
      <c r="K866" s="195" t="s">
        <v>2433</v>
      </c>
      <c r="L866" s="195" t="s">
        <v>526</v>
      </c>
      <c r="N866" s="382" t="s">
        <v>456</v>
      </c>
    </row>
    <row r="867" spans="1:14" ht="12.75" customHeight="1" x14ac:dyDescent="0.2">
      <c r="A867" s="195" t="s">
        <v>2436</v>
      </c>
      <c r="B867" s="195" t="s">
        <v>2360</v>
      </c>
      <c r="C867" s="195" t="s">
        <v>2421</v>
      </c>
      <c r="D867" s="195" t="s">
        <v>2437</v>
      </c>
      <c r="E867" s="195" t="s">
        <v>2438</v>
      </c>
      <c r="F867" s="197" t="s">
        <v>432</v>
      </c>
      <c r="G867" s="197"/>
      <c r="H867" s="195">
        <v>1</v>
      </c>
      <c r="I867" s="195">
        <v>300</v>
      </c>
      <c r="J867" s="195">
        <v>324</v>
      </c>
      <c r="K867" s="195" t="s">
        <v>2436</v>
      </c>
      <c r="L867" s="195" t="s">
        <v>526</v>
      </c>
      <c r="N867" s="382" t="s">
        <v>456</v>
      </c>
    </row>
    <row r="868" spans="1:14" ht="12.75" customHeight="1" x14ac:dyDescent="0.2">
      <c r="A868" s="195" t="s">
        <v>2439</v>
      </c>
      <c r="B868" s="195" t="s">
        <v>2360</v>
      </c>
      <c r="C868" s="195" t="s">
        <v>2421</v>
      </c>
      <c r="D868" s="195" t="s">
        <v>2440</v>
      </c>
      <c r="E868" s="195" t="s">
        <v>2441</v>
      </c>
      <c r="F868" s="197" t="s">
        <v>432</v>
      </c>
      <c r="G868" s="197"/>
      <c r="H868" s="195">
        <v>1</v>
      </c>
      <c r="I868" s="195">
        <v>320</v>
      </c>
      <c r="J868" s="195">
        <v>349</v>
      </c>
      <c r="K868" s="195" t="s">
        <v>2439</v>
      </c>
      <c r="L868" s="195" t="s">
        <v>526</v>
      </c>
      <c r="N868" s="382" t="s">
        <v>456</v>
      </c>
    </row>
    <row r="869" spans="1:14" ht="12.75" customHeight="1" x14ac:dyDescent="0.2">
      <c r="A869" s="195" t="s">
        <v>2442</v>
      </c>
      <c r="B869" s="195" t="s">
        <v>2360</v>
      </c>
      <c r="C869" s="195" t="s">
        <v>2421</v>
      </c>
      <c r="D869" s="195" t="s">
        <v>2443</v>
      </c>
      <c r="E869" s="195" t="s">
        <v>2444</v>
      </c>
      <c r="F869" s="197" t="s">
        <v>432</v>
      </c>
      <c r="G869" s="197"/>
      <c r="H869" s="195">
        <v>1</v>
      </c>
      <c r="I869" s="195">
        <v>350</v>
      </c>
      <c r="J869" s="195">
        <v>380</v>
      </c>
      <c r="K869" s="195" t="s">
        <v>2442</v>
      </c>
      <c r="L869" s="195" t="s">
        <v>526</v>
      </c>
      <c r="N869" s="382" t="s">
        <v>456</v>
      </c>
    </row>
    <row r="870" spans="1:14" ht="12.75" customHeight="1" x14ac:dyDescent="0.2">
      <c r="A870" s="195" t="s">
        <v>2445</v>
      </c>
      <c r="B870" s="195" t="s">
        <v>2360</v>
      </c>
      <c r="C870" s="195" t="s">
        <v>2421</v>
      </c>
      <c r="D870" s="195" t="s">
        <v>2446</v>
      </c>
      <c r="E870" s="195" t="s">
        <v>2447</v>
      </c>
      <c r="F870" s="197" t="s">
        <v>432</v>
      </c>
      <c r="G870" s="197"/>
      <c r="H870" s="195">
        <v>1</v>
      </c>
      <c r="I870" s="195">
        <v>400</v>
      </c>
      <c r="J870" s="195">
        <v>435</v>
      </c>
      <c r="K870" s="195" t="s">
        <v>2445</v>
      </c>
      <c r="L870" s="195" t="s">
        <v>526</v>
      </c>
      <c r="N870" s="382" t="s">
        <v>456</v>
      </c>
    </row>
    <row r="871" spans="1:14" ht="12.75" customHeight="1" x14ac:dyDescent="0.2">
      <c r="A871" s="195" t="s">
        <v>2448</v>
      </c>
      <c r="B871" s="195" t="s">
        <v>2360</v>
      </c>
      <c r="C871" s="195" t="s">
        <v>2421</v>
      </c>
      <c r="D871" s="195" t="s">
        <v>2449</v>
      </c>
      <c r="E871" s="195" t="s">
        <v>2450</v>
      </c>
      <c r="F871" s="197" t="s">
        <v>432</v>
      </c>
      <c r="G871" s="197"/>
      <c r="H871" s="195">
        <v>1</v>
      </c>
      <c r="I871" s="195">
        <v>450</v>
      </c>
      <c r="J871" s="195">
        <v>485</v>
      </c>
      <c r="K871" s="195" t="s">
        <v>2448</v>
      </c>
      <c r="L871" s="195" t="s">
        <v>526</v>
      </c>
      <c r="N871" s="382" t="s">
        <v>918</v>
      </c>
    </row>
    <row r="872" spans="1:14" ht="12.75" customHeight="1" x14ac:dyDescent="0.2">
      <c r="A872" s="195" t="s">
        <v>2451</v>
      </c>
      <c r="B872" s="195" t="s">
        <v>2360</v>
      </c>
      <c r="C872" s="195" t="s">
        <v>2421</v>
      </c>
      <c r="D872" s="195" t="s">
        <v>2452</v>
      </c>
      <c r="E872" s="195" t="s">
        <v>2453</v>
      </c>
      <c r="F872" s="197" t="s">
        <v>432</v>
      </c>
      <c r="G872" s="197"/>
      <c r="H872" s="195">
        <v>1</v>
      </c>
      <c r="I872" s="195">
        <v>750</v>
      </c>
      <c r="J872" s="195">
        <v>805</v>
      </c>
      <c r="K872" s="195" t="s">
        <v>2451</v>
      </c>
      <c r="L872" s="195" t="s">
        <v>526</v>
      </c>
      <c r="N872" s="382" t="s">
        <v>456</v>
      </c>
    </row>
    <row r="873" spans="1:14" ht="12.75" customHeight="1" x14ac:dyDescent="0.2">
      <c r="A873" s="195" t="s">
        <v>2454</v>
      </c>
      <c r="B873" s="195" t="s">
        <v>2360</v>
      </c>
      <c r="C873" s="195" t="s">
        <v>2421</v>
      </c>
      <c r="D873" s="195" t="s">
        <v>2422</v>
      </c>
      <c r="E873" s="195" t="s">
        <v>2455</v>
      </c>
      <c r="F873" s="197" t="s">
        <v>434</v>
      </c>
      <c r="G873" s="197"/>
      <c r="H873" s="195">
        <v>1</v>
      </c>
      <c r="I873" s="195">
        <v>100</v>
      </c>
      <c r="J873" s="195">
        <v>128</v>
      </c>
      <c r="K873" s="195" t="s">
        <v>2454</v>
      </c>
      <c r="L873" s="195" t="s">
        <v>526</v>
      </c>
      <c r="N873" s="382" t="s">
        <v>456</v>
      </c>
    </row>
    <row r="874" spans="1:14" ht="12.75" customHeight="1" x14ac:dyDescent="0.2">
      <c r="A874" s="195" t="s">
        <v>2456</v>
      </c>
      <c r="B874" s="195" t="s">
        <v>2360</v>
      </c>
      <c r="C874" s="195" t="s">
        <v>2421</v>
      </c>
      <c r="D874" s="195" t="s">
        <v>2457</v>
      </c>
      <c r="E874" s="195" t="s">
        <v>2458</v>
      </c>
      <c r="F874" s="197" t="s">
        <v>434</v>
      </c>
      <c r="G874" s="197"/>
      <c r="H874" s="195">
        <v>1</v>
      </c>
      <c r="I874" s="195">
        <v>1000</v>
      </c>
      <c r="J874" s="195">
        <v>1080</v>
      </c>
      <c r="K874" s="195" t="s">
        <v>2456</v>
      </c>
      <c r="L874" s="195" t="s">
        <v>526</v>
      </c>
      <c r="N874" s="382" t="s">
        <v>456</v>
      </c>
    </row>
    <row r="875" spans="1:14" ht="12.75" customHeight="1" x14ac:dyDescent="0.2">
      <c r="A875" s="195" t="s">
        <v>2459</v>
      </c>
      <c r="B875" s="195" t="s">
        <v>2360</v>
      </c>
      <c r="C875" s="195" t="s">
        <v>2421</v>
      </c>
      <c r="D875" s="195" t="s">
        <v>2425</v>
      </c>
      <c r="E875" s="195" t="s">
        <v>2460</v>
      </c>
      <c r="F875" s="197" t="s">
        <v>434</v>
      </c>
      <c r="G875" s="197"/>
      <c r="H875" s="195">
        <v>1</v>
      </c>
      <c r="I875" s="195">
        <v>150</v>
      </c>
      <c r="J875" s="195">
        <v>190</v>
      </c>
      <c r="K875" s="195" t="s">
        <v>2459</v>
      </c>
      <c r="L875" s="195" t="s">
        <v>526</v>
      </c>
      <c r="N875" s="382" t="s">
        <v>456</v>
      </c>
    </row>
    <row r="876" spans="1:14" ht="12.75" customHeight="1" x14ac:dyDescent="0.2">
      <c r="A876" s="195" t="s">
        <v>2461</v>
      </c>
      <c r="B876" s="195" t="s">
        <v>2360</v>
      </c>
      <c r="C876" s="195" t="s">
        <v>2421</v>
      </c>
      <c r="D876" s="195" t="s">
        <v>2428</v>
      </c>
      <c r="E876" s="195" t="s">
        <v>2462</v>
      </c>
      <c r="F876" s="197" t="s">
        <v>434</v>
      </c>
      <c r="G876" s="197"/>
      <c r="H876" s="195">
        <v>1</v>
      </c>
      <c r="I876" s="195">
        <v>175</v>
      </c>
      <c r="J876" s="195">
        <v>208</v>
      </c>
      <c r="K876" s="195" t="s">
        <v>2461</v>
      </c>
      <c r="L876" s="195" t="s">
        <v>526</v>
      </c>
      <c r="N876" s="382" t="s">
        <v>456</v>
      </c>
    </row>
    <row r="877" spans="1:14" ht="12.75" customHeight="1" x14ac:dyDescent="0.2">
      <c r="A877" s="195" t="s">
        <v>2463</v>
      </c>
      <c r="B877" s="195" t="s">
        <v>2360</v>
      </c>
      <c r="C877" s="195" t="s">
        <v>2421</v>
      </c>
      <c r="D877" s="195" t="s">
        <v>2431</v>
      </c>
      <c r="E877" s="195" t="s">
        <v>2464</v>
      </c>
      <c r="F877" s="197" t="s">
        <v>434</v>
      </c>
      <c r="G877" s="197"/>
      <c r="H877" s="195">
        <v>1</v>
      </c>
      <c r="I877" s="195">
        <v>200</v>
      </c>
      <c r="J877" s="195">
        <v>232</v>
      </c>
      <c r="K877" s="195" t="s">
        <v>2463</v>
      </c>
      <c r="L877" s="195" t="s">
        <v>526</v>
      </c>
      <c r="N877" s="382" t="s">
        <v>456</v>
      </c>
    </row>
    <row r="878" spans="1:14" ht="12.75" customHeight="1" x14ac:dyDescent="0.2">
      <c r="A878" s="195" t="s">
        <v>2465</v>
      </c>
      <c r="B878" s="195" t="s">
        <v>2360</v>
      </c>
      <c r="C878" s="195" t="s">
        <v>2421</v>
      </c>
      <c r="D878" s="195" t="s">
        <v>2434</v>
      </c>
      <c r="E878" s="195" t="s">
        <v>2466</v>
      </c>
      <c r="F878" s="197" t="s">
        <v>434</v>
      </c>
      <c r="G878" s="197"/>
      <c r="H878" s="195">
        <v>1</v>
      </c>
      <c r="I878" s="195">
        <v>250</v>
      </c>
      <c r="J878" s="195">
        <v>288</v>
      </c>
      <c r="K878" s="195" t="s">
        <v>2465</v>
      </c>
      <c r="L878" s="195" t="s">
        <v>526</v>
      </c>
      <c r="N878" s="382" t="s">
        <v>456</v>
      </c>
    </row>
    <row r="879" spans="1:14" ht="12.75" customHeight="1" x14ac:dyDescent="0.2">
      <c r="A879" s="195" t="s">
        <v>2467</v>
      </c>
      <c r="B879" s="195" t="s">
        <v>2360</v>
      </c>
      <c r="C879" s="195" t="s">
        <v>2421</v>
      </c>
      <c r="D879" s="195" t="s">
        <v>2437</v>
      </c>
      <c r="E879" s="195" t="s">
        <v>2468</v>
      </c>
      <c r="F879" s="197" t="s">
        <v>434</v>
      </c>
      <c r="G879" s="197"/>
      <c r="H879" s="195">
        <v>1</v>
      </c>
      <c r="I879" s="195">
        <v>300</v>
      </c>
      <c r="J879" s="195">
        <v>342</v>
      </c>
      <c r="K879" s="195" t="s">
        <v>2467</v>
      </c>
      <c r="L879" s="195" t="s">
        <v>526</v>
      </c>
      <c r="N879" s="382" t="s">
        <v>456</v>
      </c>
    </row>
    <row r="880" spans="1:14" ht="12.75" customHeight="1" x14ac:dyDescent="0.2">
      <c r="A880" s="195" t="s">
        <v>2469</v>
      </c>
      <c r="B880" s="195" t="s">
        <v>2360</v>
      </c>
      <c r="C880" s="195" t="s">
        <v>2421</v>
      </c>
      <c r="D880" s="195" t="s">
        <v>2440</v>
      </c>
      <c r="E880" s="195" t="s">
        <v>2470</v>
      </c>
      <c r="F880" s="197" t="s">
        <v>434</v>
      </c>
      <c r="G880" s="197"/>
      <c r="H880" s="195">
        <v>1</v>
      </c>
      <c r="I880" s="195">
        <v>320</v>
      </c>
      <c r="J880" s="195">
        <v>368</v>
      </c>
      <c r="K880" s="195" t="s">
        <v>2469</v>
      </c>
      <c r="L880" s="195" t="s">
        <v>526</v>
      </c>
      <c r="N880" s="382" t="s">
        <v>456</v>
      </c>
    </row>
    <row r="881" spans="1:14" ht="12.75" customHeight="1" x14ac:dyDescent="0.2">
      <c r="A881" s="195" t="s">
        <v>2471</v>
      </c>
      <c r="B881" s="195" t="s">
        <v>2360</v>
      </c>
      <c r="C881" s="195" t="s">
        <v>2421</v>
      </c>
      <c r="D881" s="195" t="s">
        <v>2443</v>
      </c>
      <c r="E881" s="195" t="s">
        <v>2472</v>
      </c>
      <c r="F881" s="197" t="s">
        <v>434</v>
      </c>
      <c r="G881" s="197"/>
      <c r="H881" s="195">
        <v>1</v>
      </c>
      <c r="I881" s="195">
        <v>350</v>
      </c>
      <c r="J881" s="195">
        <v>400</v>
      </c>
      <c r="K881" s="195" t="s">
        <v>2471</v>
      </c>
      <c r="L881" s="195" t="s">
        <v>526</v>
      </c>
      <c r="N881" s="382" t="s">
        <v>456</v>
      </c>
    </row>
    <row r="882" spans="1:14" ht="12.75" customHeight="1" x14ac:dyDescent="0.2">
      <c r="A882" s="195" t="s">
        <v>2473</v>
      </c>
      <c r="B882" s="195" t="s">
        <v>2360</v>
      </c>
      <c r="C882" s="195" t="s">
        <v>2421</v>
      </c>
      <c r="D882" s="195" t="s">
        <v>2446</v>
      </c>
      <c r="E882" s="195" t="s">
        <v>2474</v>
      </c>
      <c r="F882" s="197" t="s">
        <v>434</v>
      </c>
      <c r="G882" s="197"/>
      <c r="H882" s="195">
        <v>1</v>
      </c>
      <c r="I882" s="195">
        <v>400</v>
      </c>
      <c r="J882" s="195">
        <v>450</v>
      </c>
      <c r="K882" s="195" t="s">
        <v>2473</v>
      </c>
      <c r="L882" s="195" t="s">
        <v>526</v>
      </c>
      <c r="N882" s="382" t="s">
        <v>456</v>
      </c>
    </row>
    <row r="883" spans="1:14" ht="12.75" customHeight="1" x14ac:dyDescent="0.2">
      <c r="A883" s="195" t="s">
        <v>2475</v>
      </c>
      <c r="B883" s="195" t="s">
        <v>2360</v>
      </c>
      <c r="C883" s="195" t="s">
        <v>2421</v>
      </c>
      <c r="D883" s="195" t="s">
        <v>2449</v>
      </c>
      <c r="E883" s="195" t="s">
        <v>2476</v>
      </c>
      <c r="F883" s="197" t="s">
        <v>434</v>
      </c>
      <c r="G883" s="197"/>
      <c r="H883" s="195">
        <v>1</v>
      </c>
      <c r="I883" s="195">
        <v>450</v>
      </c>
      <c r="J883" s="195">
        <v>506</v>
      </c>
      <c r="K883" s="195" t="s">
        <v>2475</v>
      </c>
      <c r="L883" s="195" t="s">
        <v>526</v>
      </c>
      <c r="N883" s="382" t="s">
        <v>456</v>
      </c>
    </row>
    <row r="884" spans="1:14" ht="12.75" customHeight="1" x14ac:dyDescent="0.2">
      <c r="A884" s="195" t="s">
        <v>2477</v>
      </c>
      <c r="B884" s="195" t="s">
        <v>2360</v>
      </c>
      <c r="C884" s="195" t="s">
        <v>2421</v>
      </c>
      <c r="D884" s="195" t="s">
        <v>2452</v>
      </c>
      <c r="E884" s="195" t="s">
        <v>2478</v>
      </c>
      <c r="F884" s="197" t="s">
        <v>434</v>
      </c>
      <c r="G884" s="197"/>
      <c r="H884" s="195">
        <v>1</v>
      </c>
      <c r="I884" s="195">
        <v>750</v>
      </c>
      <c r="J884" s="195">
        <v>815</v>
      </c>
      <c r="K884" s="195" t="s">
        <v>2477</v>
      </c>
      <c r="L884" s="195" t="s">
        <v>526</v>
      </c>
      <c r="N884" s="382" t="s">
        <v>456</v>
      </c>
    </row>
    <row r="885" spans="1:14" ht="12.75" customHeight="1" x14ac:dyDescent="0.2">
      <c r="A885" s="195" t="s">
        <v>2479</v>
      </c>
      <c r="B885" s="195" t="s">
        <v>2360</v>
      </c>
      <c r="C885" s="195" t="s">
        <v>231</v>
      </c>
      <c r="D885" s="195" t="s">
        <v>2480</v>
      </c>
      <c r="E885" s="195" t="s">
        <v>2481</v>
      </c>
      <c r="F885" s="197" t="s">
        <v>2363</v>
      </c>
      <c r="G885" s="197"/>
      <c r="H885" s="195">
        <v>1</v>
      </c>
      <c r="I885" s="195">
        <v>100</v>
      </c>
      <c r="J885" s="195">
        <v>138</v>
      </c>
      <c r="K885" s="195" t="s">
        <v>2479</v>
      </c>
      <c r="L885" s="195" t="s">
        <v>526</v>
      </c>
      <c r="N885" s="382" t="s">
        <v>456</v>
      </c>
    </row>
    <row r="886" spans="1:14" ht="12.75" customHeight="1" x14ac:dyDescent="0.2">
      <c r="A886" s="195" t="s">
        <v>2482</v>
      </c>
      <c r="B886" s="195" t="s">
        <v>2360</v>
      </c>
      <c r="C886" s="195" t="s">
        <v>231</v>
      </c>
      <c r="D886" s="195" t="s">
        <v>2483</v>
      </c>
      <c r="E886" s="195" t="s">
        <v>2484</v>
      </c>
      <c r="F886" s="197" t="s">
        <v>2363</v>
      </c>
      <c r="G886" s="197"/>
      <c r="H886" s="195">
        <v>1</v>
      </c>
      <c r="I886" s="195">
        <v>1000</v>
      </c>
      <c r="J886" s="195">
        <v>1100</v>
      </c>
      <c r="K886" s="195" t="s">
        <v>2482</v>
      </c>
      <c r="L886" s="195" t="s">
        <v>526</v>
      </c>
      <c r="N886" s="382" t="s">
        <v>456</v>
      </c>
    </row>
    <row r="887" spans="1:14" ht="12.75" customHeight="1" x14ac:dyDescent="0.2">
      <c r="A887" s="195" t="s">
        <v>2485</v>
      </c>
      <c r="B887" s="195" t="s">
        <v>2360</v>
      </c>
      <c r="C887" s="195" t="s">
        <v>231</v>
      </c>
      <c r="D887" s="195" t="s">
        <v>2486</v>
      </c>
      <c r="E887" s="195" t="s">
        <v>2487</v>
      </c>
      <c r="F887" s="197" t="s">
        <v>2363</v>
      </c>
      <c r="G887" s="197"/>
      <c r="H887" s="195">
        <v>1</v>
      </c>
      <c r="I887" s="195">
        <v>150</v>
      </c>
      <c r="J887" s="195">
        <v>188</v>
      </c>
      <c r="K887" s="195" t="s">
        <v>2485</v>
      </c>
      <c r="L887" s="195" t="s">
        <v>526</v>
      </c>
      <c r="N887" s="382" t="s">
        <v>456</v>
      </c>
    </row>
    <row r="888" spans="1:14" ht="12.75" customHeight="1" x14ac:dyDescent="0.2">
      <c r="A888" s="195" t="s">
        <v>2488</v>
      </c>
      <c r="B888" s="195" t="s">
        <v>2360</v>
      </c>
      <c r="C888" s="195" t="s">
        <v>231</v>
      </c>
      <c r="D888" s="195" t="s">
        <v>2489</v>
      </c>
      <c r="E888" s="195" t="s">
        <v>2490</v>
      </c>
      <c r="F888" s="197" t="s">
        <v>2363</v>
      </c>
      <c r="G888" s="197"/>
      <c r="H888" s="195">
        <v>1</v>
      </c>
      <c r="I888" s="195">
        <v>200</v>
      </c>
      <c r="J888" s="195">
        <v>250</v>
      </c>
      <c r="K888" s="195" t="s">
        <v>2488</v>
      </c>
      <c r="L888" s="195" t="s">
        <v>526</v>
      </c>
      <c r="N888" s="382" t="s">
        <v>456</v>
      </c>
    </row>
    <row r="889" spans="1:14" ht="12.75" customHeight="1" x14ac:dyDescent="0.2">
      <c r="A889" s="195" t="s">
        <v>2491</v>
      </c>
      <c r="B889" s="195" t="s">
        <v>2360</v>
      </c>
      <c r="C889" s="195" t="s">
        <v>231</v>
      </c>
      <c r="D889" s="195" t="s">
        <v>2492</v>
      </c>
      <c r="E889" s="195" t="s">
        <v>2493</v>
      </c>
      <c r="F889" s="197" t="s">
        <v>2363</v>
      </c>
      <c r="G889" s="197"/>
      <c r="H889" s="195">
        <v>1</v>
      </c>
      <c r="I889" s="195">
        <v>225</v>
      </c>
      <c r="J889" s="195">
        <v>275</v>
      </c>
      <c r="K889" s="195" t="s">
        <v>2491</v>
      </c>
      <c r="L889" s="195" t="s">
        <v>526</v>
      </c>
      <c r="N889" s="382" t="s">
        <v>456</v>
      </c>
    </row>
    <row r="890" spans="1:14" ht="12.75" customHeight="1" x14ac:dyDescent="0.2">
      <c r="A890" s="195" t="s">
        <v>2494</v>
      </c>
      <c r="B890" s="195" t="s">
        <v>2360</v>
      </c>
      <c r="C890" s="195" t="s">
        <v>231</v>
      </c>
      <c r="D890" s="195" t="s">
        <v>2495</v>
      </c>
      <c r="E890" s="195" t="s">
        <v>2496</v>
      </c>
      <c r="F890" s="197" t="s">
        <v>2363</v>
      </c>
      <c r="G890" s="197"/>
      <c r="H890" s="195">
        <v>1</v>
      </c>
      <c r="I890" s="195">
        <v>250</v>
      </c>
      <c r="J890" s="195">
        <v>295</v>
      </c>
      <c r="K890" s="195" t="s">
        <v>2494</v>
      </c>
      <c r="L890" s="195" t="s">
        <v>526</v>
      </c>
      <c r="N890" s="382" t="s">
        <v>456</v>
      </c>
    </row>
    <row r="891" spans="1:14" ht="12.75" customHeight="1" x14ac:dyDescent="0.2">
      <c r="A891" s="195" t="s">
        <v>2497</v>
      </c>
      <c r="B891" s="195" t="s">
        <v>2360</v>
      </c>
      <c r="C891" s="195" t="s">
        <v>231</v>
      </c>
      <c r="D891" s="195" t="s">
        <v>2498</v>
      </c>
      <c r="E891" s="195" t="s">
        <v>2499</v>
      </c>
      <c r="F891" s="197" t="s">
        <v>2363</v>
      </c>
      <c r="G891" s="197"/>
      <c r="H891" s="195">
        <v>1</v>
      </c>
      <c r="I891" s="195">
        <v>310</v>
      </c>
      <c r="J891" s="195">
        <v>365</v>
      </c>
      <c r="K891" s="195" t="s">
        <v>2497</v>
      </c>
      <c r="L891" s="195" t="s">
        <v>526</v>
      </c>
      <c r="N891" s="382" t="s">
        <v>456</v>
      </c>
    </row>
    <row r="892" spans="1:14" ht="12.75" customHeight="1" x14ac:dyDescent="0.2">
      <c r="A892" s="195" t="s">
        <v>2500</v>
      </c>
      <c r="B892" s="195" t="s">
        <v>2360</v>
      </c>
      <c r="C892" s="195" t="s">
        <v>231</v>
      </c>
      <c r="D892" s="195" t="s">
        <v>2501</v>
      </c>
      <c r="E892" s="195" t="s">
        <v>2502</v>
      </c>
      <c r="F892" s="197" t="s">
        <v>2363</v>
      </c>
      <c r="G892" s="197"/>
      <c r="H892" s="195">
        <v>1</v>
      </c>
      <c r="I892" s="195">
        <v>35</v>
      </c>
      <c r="J892" s="195">
        <v>46</v>
      </c>
      <c r="K892" s="195" t="s">
        <v>2500</v>
      </c>
      <c r="L892" s="195" t="s">
        <v>526</v>
      </c>
      <c r="N892" s="382" t="s">
        <v>456</v>
      </c>
    </row>
    <row r="893" spans="1:14" ht="12.75" customHeight="1" x14ac:dyDescent="0.2">
      <c r="A893" s="195" t="s">
        <v>2503</v>
      </c>
      <c r="B893" s="195" t="s">
        <v>2360</v>
      </c>
      <c r="C893" s="195" t="s">
        <v>231</v>
      </c>
      <c r="D893" s="195" t="s">
        <v>2504</v>
      </c>
      <c r="E893" s="195" t="s">
        <v>2505</v>
      </c>
      <c r="F893" s="197" t="s">
        <v>2363</v>
      </c>
      <c r="G893" s="197"/>
      <c r="H893" s="195">
        <v>1</v>
      </c>
      <c r="I893" s="195">
        <v>360</v>
      </c>
      <c r="J893" s="195">
        <v>414</v>
      </c>
      <c r="K893" s="195" t="s">
        <v>2503</v>
      </c>
      <c r="L893" s="195" t="s">
        <v>526</v>
      </c>
      <c r="N893" s="382" t="s">
        <v>456</v>
      </c>
    </row>
    <row r="894" spans="1:14" ht="12.75" customHeight="1" x14ac:dyDescent="0.2">
      <c r="A894" s="195" t="s">
        <v>2506</v>
      </c>
      <c r="B894" s="195" t="s">
        <v>2360</v>
      </c>
      <c r="C894" s="195" t="s">
        <v>231</v>
      </c>
      <c r="D894" s="195" t="s">
        <v>2507</v>
      </c>
      <c r="E894" s="195" t="s">
        <v>2508</v>
      </c>
      <c r="F894" s="197" t="s">
        <v>2363</v>
      </c>
      <c r="G894" s="197"/>
      <c r="H894" s="195">
        <v>1</v>
      </c>
      <c r="I894" s="195">
        <v>400</v>
      </c>
      <c r="J894" s="195">
        <v>465</v>
      </c>
      <c r="K894" s="195" t="s">
        <v>2506</v>
      </c>
      <c r="L894" s="195" t="s">
        <v>526</v>
      </c>
      <c r="N894" s="382" t="s">
        <v>456</v>
      </c>
    </row>
    <row r="895" spans="1:14" ht="12.75" customHeight="1" x14ac:dyDescent="0.2">
      <c r="A895" s="195" t="s">
        <v>2509</v>
      </c>
      <c r="B895" s="195" t="s">
        <v>2360</v>
      </c>
      <c r="C895" s="195" t="s">
        <v>231</v>
      </c>
      <c r="D895" s="195" t="s">
        <v>2510</v>
      </c>
      <c r="E895" s="195" t="s">
        <v>2511</v>
      </c>
      <c r="F895" s="197" t="s">
        <v>2363</v>
      </c>
      <c r="G895" s="197"/>
      <c r="H895" s="195">
        <v>1</v>
      </c>
      <c r="I895" s="195">
        <v>50</v>
      </c>
      <c r="J895" s="195">
        <v>66</v>
      </c>
      <c r="K895" s="195" t="s">
        <v>2509</v>
      </c>
      <c r="L895" s="195" t="s">
        <v>526</v>
      </c>
      <c r="N895" s="382" t="s">
        <v>456</v>
      </c>
    </row>
    <row r="896" spans="1:14" ht="12.75" customHeight="1" x14ac:dyDescent="0.2">
      <c r="A896" s="195" t="s">
        <v>2512</v>
      </c>
      <c r="B896" s="195" t="s">
        <v>2360</v>
      </c>
      <c r="C896" s="195" t="s">
        <v>231</v>
      </c>
      <c r="D896" s="195" t="s">
        <v>2513</v>
      </c>
      <c r="E896" s="195" t="s">
        <v>2514</v>
      </c>
      <c r="F896" s="197" t="s">
        <v>2363</v>
      </c>
      <c r="G896" s="197"/>
      <c r="H896" s="195">
        <v>1</v>
      </c>
      <c r="I896" s="195">
        <v>600</v>
      </c>
      <c r="J896" s="195">
        <v>675</v>
      </c>
      <c r="K896" s="195" t="s">
        <v>2512</v>
      </c>
      <c r="L896" s="195" t="s">
        <v>526</v>
      </c>
      <c r="N896" s="382" t="s">
        <v>918</v>
      </c>
    </row>
    <row r="897" spans="1:14" ht="12.75" customHeight="1" x14ac:dyDescent="0.2">
      <c r="A897" s="195" t="s">
        <v>2515</v>
      </c>
      <c r="B897" s="195" t="s">
        <v>2360</v>
      </c>
      <c r="C897" s="195" t="s">
        <v>231</v>
      </c>
      <c r="D897" s="195" t="s">
        <v>2516</v>
      </c>
      <c r="E897" s="195" t="s">
        <v>2517</v>
      </c>
      <c r="F897" s="197" t="s">
        <v>2363</v>
      </c>
      <c r="G897" s="197"/>
      <c r="H897" s="195">
        <v>1</v>
      </c>
      <c r="I897" s="195">
        <v>70</v>
      </c>
      <c r="J897" s="195">
        <v>95</v>
      </c>
      <c r="K897" s="195" t="s">
        <v>2515</v>
      </c>
      <c r="L897" s="195" t="s">
        <v>526</v>
      </c>
      <c r="N897" s="382" t="s">
        <v>456</v>
      </c>
    </row>
    <row r="898" spans="1:14" ht="12.75" customHeight="1" x14ac:dyDescent="0.2">
      <c r="A898" s="195" t="s">
        <v>2518</v>
      </c>
      <c r="B898" s="195" t="s">
        <v>2360</v>
      </c>
      <c r="C898" s="195" t="s">
        <v>231</v>
      </c>
      <c r="D898" s="195" t="s">
        <v>2519</v>
      </c>
      <c r="E898" s="195" t="s">
        <v>2520</v>
      </c>
      <c r="F898" s="197" t="s">
        <v>2363</v>
      </c>
      <c r="G898" s="197"/>
      <c r="H898" s="195">
        <v>1</v>
      </c>
      <c r="I898" s="195">
        <v>750</v>
      </c>
      <c r="J898" s="195">
        <v>835</v>
      </c>
      <c r="K898" s="195" t="s">
        <v>2518</v>
      </c>
      <c r="L898" s="195" t="s">
        <v>526</v>
      </c>
      <c r="N898" s="382" t="s">
        <v>456</v>
      </c>
    </row>
    <row r="899" spans="1:14" ht="12.75" customHeight="1" x14ac:dyDescent="0.2">
      <c r="A899" s="195" t="s">
        <v>2521</v>
      </c>
      <c r="B899" s="195" t="s">
        <v>2360</v>
      </c>
      <c r="C899" s="195" t="s">
        <v>250</v>
      </c>
      <c r="D899" s="195" t="s">
        <v>2522</v>
      </c>
      <c r="E899" s="195" t="s">
        <v>2523</v>
      </c>
      <c r="F899" s="197" t="s">
        <v>2363</v>
      </c>
      <c r="G899" s="197"/>
      <c r="H899" s="195">
        <v>1</v>
      </c>
      <c r="I899" s="195">
        <v>100</v>
      </c>
      <c r="J899" s="195">
        <v>125</v>
      </c>
      <c r="K899" s="195" t="s">
        <v>2521</v>
      </c>
      <c r="L899" s="195" t="s">
        <v>526</v>
      </c>
      <c r="N899" s="382" t="s">
        <v>456</v>
      </c>
    </row>
    <row r="900" spans="1:14" ht="12.75" customHeight="1" x14ac:dyDescent="0.2">
      <c r="A900" s="195" t="s">
        <v>2524</v>
      </c>
      <c r="B900" s="195" t="s">
        <v>2360</v>
      </c>
      <c r="C900" s="195" t="s">
        <v>250</v>
      </c>
      <c r="D900" s="195" t="s">
        <v>2525</v>
      </c>
      <c r="E900" s="195" t="s">
        <v>2526</v>
      </c>
      <c r="F900" s="197" t="s">
        <v>2363</v>
      </c>
      <c r="G900" s="197"/>
      <c r="H900" s="195">
        <v>1</v>
      </c>
      <c r="I900" s="195">
        <v>1000</v>
      </c>
      <c r="J900" s="195">
        <v>1075</v>
      </c>
      <c r="K900" s="195" t="s">
        <v>2524</v>
      </c>
      <c r="L900" s="195" t="s">
        <v>526</v>
      </c>
      <c r="N900" s="382" t="s">
        <v>456</v>
      </c>
    </row>
    <row r="901" spans="1:14" ht="12.75" customHeight="1" x14ac:dyDescent="0.2">
      <c r="A901" s="195" t="s">
        <v>2527</v>
      </c>
      <c r="B901" s="195" t="s">
        <v>2360</v>
      </c>
      <c r="C901" s="195" t="s">
        <v>250</v>
      </c>
      <c r="D901" s="195" t="s">
        <v>2528</v>
      </c>
      <c r="E901" s="195" t="s">
        <v>2529</v>
      </c>
      <c r="F901" s="197" t="s">
        <v>2363</v>
      </c>
      <c r="G901" s="197"/>
      <c r="H901" s="195">
        <v>1</v>
      </c>
      <c r="I901" s="195">
        <v>175</v>
      </c>
      <c r="J901" s="195">
        <v>205</v>
      </c>
      <c r="K901" s="195" t="s">
        <v>2527</v>
      </c>
      <c r="L901" s="195" t="s">
        <v>526</v>
      </c>
      <c r="N901" s="382" t="s">
        <v>456</v>
      </c>
    </row>
    <row r="902" spans="1:14" ht="12.75" customHeight="1" x14ac:dyDescent="0.2">
      <c r="A902" s="195" t="s">
        <v>2530</v>
      </c>
      <c r="B902" s="195" t="s">
        <v>2360</v>
      </c>
      <c r="C902" s="195" t="s">
        <v>250</v>
      </c>
      <c r="D902" s="195" t="s">
        <v>2531</v>
      </c>
      <c r="E902" s="195" t="s">
        <v>2532</v>
      </c>
      <c r="F902" s="197" t="s">
        <v>2363</v>
      </c>
      <c r="G902" s="197"/>
      <c r="H902" s="195">
        <v>1</v>
      </c>
      <c r="I902" s="195">
        <v>250</v>
      </c>
      <c r="J902" s="195">
        <v>290</v>
      </c>
      <c r="K902" s="195" t="s">
        <v>2530</v>
      </c>
      <c r="L902" s="195" t="s">
        <v>526</v>
      </c>
      <c r="N902" s="382" t="s">
        <v>456</v>
      </c>
    </row>
    <row r="903" spans="1:14" ht="12.75" customHeight="1" x14ac:dyDescent="0.2">
      <c r="A903" s="195" t="s">
        <v>2533</v>
      </c>
      <c r="B903" s="195" t="s">
        <v>2360</v>
      </c>
      <c r="C903" s="195" t="s">
        <v>250</v>
      </c>
      <c r="D903" s="195" t="s">
        <v>2534</v>
      </c>
      <c r="E903" s="195" t="s">
        <v>2535</v>
      </c>
      <c r="F903" s="197" t="s">
        <v>2363</v>
      </c>
      <c r="G903" s="197"/>
      <c r="H903" s="195">
        <v>1</v>
      </c>
      <c r="I903" s="195">
        <v>40</v>
      </c>
      <c r="J903" s="195">
        <v>50</v>
      </c>
      <c r="K903" s="195" t="s">
        <v>2533</v>
      </c>
      <c r="L903" s="195" t="s">
        <v>526</v>
      </c>
      <c r="N903" s="382" t="s">
        <v>456</v>
      </c>
    </row>
    <row r="904" spans="1:14" ht="12.75" customHeight="1" x14ac:dyDescent="0.2">
      <c r="A904" s="195" t="s">
        <v>2536</v>
      </c>
      <c r="B904" s="195" t="s">
        <v>2360</v>
      </c>
      <c r="C904" s="195" t="s">
        <v>250</v>
      </c>
      <c r="D904" s="195" t="s">
        <v>2537</v>
      </c>
      <c r="E904" s="195" t="s">
        <v>2538</v>
      </c>
      <c r="F904" s="197" t="s">
        <v>2363</v>
      </c>
      <c r="G904" s="197"/>
      <c r="H904" s="195">
        <v>1</v>
      </c>
      <c r="I904" s="195">
        <v>400</v>
      </c>
      <c r="J904" s="195">
        <v>455</v>
      </c>
      <c r="K904" s="195" t="s">
        <v>2536</v>
      </c>
      <c r="L904" s="195" t="s">
        <v>526</v>
      </c>
      <c r="N904" s="382" t="s">
        <v>456</v>
      </c>
    </row>
    <row r="905" spans="1:14" ht="12.75" customHeight="1" x14ac:dyDescent="0.2">
      <c r="A905" s="195" t="s">
        <v>2539</v>
      </c>
      <c r="B905" s="195" t="s">
        <v>2360</v>
      </c>
      <c r="C905" s="195" t="s">
        <v>250</v>
      </c>
      <c r="D905" s="195" t="s">
        <v>2540</v>
      </c>
      <c r="E905" s="195" t="s">
        <v>2541</v>
      </c>
      <c r="F905" s="197" t="s">
        <v>2363</v>
      </c>
      <c r="G905" s="197"/>
      <c r="H905" s="195">
        <v>1</v>
      </c>
      <c r="I905" s="195">
        <v>50</v>
      </c>
      <c r="J905" s="195">
        <v>74</v>
      </c>
      <c r="K905" s="195" t="s">
        <v>2539</v>
      </c>
      <c r="L905" s="195" t="s">
        <v>526</v>
      </c>
      <c r="N905" s="382" t="s">
        <v>456</v>
      </c>
    </row>
    <row r="906" spans="1:14" ht="12.75" customHeight="1" x14ac:dyDescent="0.2">
      <c r="A906" s="195" t="s">
        <v>2542</v>
      </c>
      <c r="B906" s="195" t="s">
        <v>2360</v>
      </c>
      <c r="C906" s="195" t="s">
        <v>250</v>
      </c>
      <c r="D906" s="195" t="s">
        <v>2543</v>
      </c>
      <c r="E906" s="195" t="s">
        <v>2544</v>
      </c>
      <c r="F906" s="197" t="s">
        <v>2363</v>
      </c>
      <c r="G906" s="197"/>
      <c r="H906" s="195">
        <v>1</v>
      </c>
      <c r="I906" s="195">
        <v>700</v>
      </c>
      <c r="J906" s="195">
        <v>780</v>
      </c>
      <c r="K906" s="195" t="s">
        <v>2542</v>
      </c>
      <c r="L906" s="195" t="s">
        <v>526</v>
      </c>
      <c r="N906" s="382" t="s">
        <v>456</v>
      </c>
    </row>
    <row r="907" spans="1:14" ht="12.75" customHeight="1" x14ac:dyDescent="0.2">
      <c r="A907" s="195" t="s">
        <v>2545</v>
      </c>
      <c r="B907" s="195" t="s">
        <v>2360</v>
      </c>
      <c r="C907" s="195" t="s">
        <v>250</v>
      </c>
      <c r="D907" s="195" t="s">
        <v>2546</v>
      </c>
      <c r="E907" s="195" t="s">
        <v>2547</v>
      </c>
      <c r="F907" s="197" t="s">
        <v>2363</v>
      </c>
      <c r="G907" s="197"/>
      <c r="H907" s="195">
        <v>1</v>
      </c>
      <c r="I907" s="195">
        <v>75</v>
      </c>
      <c r="J907" s="195">
        <v>93</v>
      </c>
      <c r="K907" s="195" t="s">
        <v>2545</v>
      </c>
      <c r="L907" s="195" t="s">
        <v>526</v>
      </c>
      <c r="N907" s="382" t="s">
        <v>456</v>
      </c>
    </row>
    <row r="908" spans="1:14" ht="12.75" customHeight="1" x14ac:dyDescent="0.2">
      <c r="A908" s="195" t="s">
        <v>2548</v>
      </c>
      <c r="B908" s="195" t="s">
        <v>2360</v>
      </c>
      <c r="C908" s="195" t="s">
        <v>250</v>
      </c>
      <c r="D908" s="195" t="s">
        <v>2537</v>
      </c>
      <c r="E908" s="195" t="s">
        <v>2549</v>
      </c>
      <c r="F908" s="197" t="s">
        <v>2363</v>
      </c>
      <c r="G908" s="197"/>
      <c r="H908" s="195">
        <v>2</v>
      </c>
      <c r="I908" s="195">
        <v>400</v>
      </c>
      <c r="J908" s="195">
        <v>910</v>
      </c>
      <c r="K908" s="195" t="s">
        <v>2548</v>
      </c>
      <c r="L908" s="195" t="s">
        <v>526</v>
      </c>
      <c r="N908" s="382" t="s">
        <v>456</v>
      </c>
    </row>
    <row r="909" spans="1:14" ht="12.75" customHeight="1" x14ac:dyDescent="0.2">
      <c r="A909" s="195" t="s">
        <v>1436</v>
      </c>
      <c r="B909" s="200" t="s">
        <v>2550</v>
      </c>
      <c r="C909" s="195" t="s">
        <v>2551</v>
      </c>
      <c r="D909" s="197"/>
      <c r="E909" s="197" t="s">
        <v>2552</v>
      </c>
      <c r="F909" s="197"/>
      <c r="G909" s="197">
        <f t="shared" ref="G909:G914" si="3">MID(A909,2,1)*12</f>
        <v>24</v>
      </c>
      <c r="H909" s="195">
        <v>6</v>
      </c>
      <c r="I909" s="195">
        <v>17</v>
      </c>
      <c r="J909" s="195">
        <f t="shared" ref="J909:J914" si="4">ROUND(H909*I909*0.85,0)</f>
        <v>87</v>
      </c>
      <c r="K909" s="195" t="s">
        <v>1632</v>
      </c>
      <c r="L909" s="195" t="s">
        <v>526</v>
      </c>
    </row>
    <row r="910" spans="1:14" ht="12.75" customHeight="1" x14ac:dyDescent="0.2">
      <c r="A910" s="195" t="s">
        <v>1484</v>
      </c>
      <c r="B910" s="200" t="s">
        <v>2550</v>
      </c>
      <c r="C910" s="195" t="s">
        <v>2551</v>
      </c>
      <c r="D910" s="197"/>
      <c r="E910" s="197" t="s">
        <v>2553</v>
      </c>
      <c r="F910" s="197"/>
      <c r="G910" s="197">
        <f t="shared" si="3"/>
        <v>36</v>
      </c>
      <c r="H910" s="195">
        <v>6</v>
      </c>
      <c r="I910" s="195">
        <v>25</v>
      </c>
      <c r="J910" s="195">
        <f t="shared" si="4"/>
        <v>128</v>
      </c>
      <c r="K910" s="195" t="s">
        <v>1632</v>
      </c>
      <c r="L910" s="195" t="s">
        <v>526</v>
      </c>
    </row>
    <row r="911" spans="1:14" ht="12.75" customHeight="1" x14ac:dyDescent="0.2">
      <c r="A911" s="195" t="s">
        <v>1659</v>
      </c>
      <c r="B911" s="200" t="s">
        <v>2550</v>
      </c>
      <c r="C911" s="195" t="s">
        <v>2551</v>
      </c>
      <c r="D911" s="197"/>
      <c r="E911" s="197" t="s">
        <v>2554</v>
      </c>
      <c r="F911" s="197"/>
      <c r="G911" s="197">
        <f t="shared" si="3"/>
        <v>72</v>
      </c>
      <c r="H911" s="195">
        <v>1</v>
      </c>
      <c r="I911" s="195">
        <v>65</v>
      </c>
      <c r="J911" s="195">
        <f t="shared" si="4"/>
        <v>55</v>
      </c>
      <c r="K911" s="195" t="s">
        <v>1632</v>
      </c>
      <c r="L911" s="195" t="s">
        <v>526</v>
      </c>
    </row>
    <row r="912" spans="1:14" ht="12.75" customHeight="1" x14ac:dyDescent="0.2">
      <c r="A912" s="195" t="s">
        <v>1671</v>
      </c>
      <c r="B912" s="200" t="s">
        <v>2550</v>
      </c>
      <c r="C912" s="195" t="s">
        <v>2551</v>
      </c>
      <c r="D912" s="197"/>
      <c r="E912" s="197" t="s">
        <v>2555</v>
      </c>
      <c r="F912" s="197"/>
      <c r="G912" s="197">
        <f t="shared" si="3"/>
        <v>72</v>
      </c>
      <c r="H912" s="195">
        <v>2</v>
      </c>
      <c r="I912" s="195">
        <v>65</v>
      </c>
      <c r="J912" s="195">
        <f t="shared" si="4"/>
        <v>111</v>
      </c>
      <c r="K912" s="195" t="s">
        <v>1632</v>
      </c>
      <c r="L912" s="195" t="s">
        <v>526</v>
      </c>
    </row>
    <row r="913" spans="1:12" ht="12.75" customHeight="1" x14ac:dyDescent="0.2">
      <c r="A913" s="195" t="s">
        <v>1683</v>
      </c>
      <c r="B913" s="200" t="s">
        <v>2550</v>
      </c>
      <c r="C913" s="195" t="s">
        <v>2551</v>
      </c>
      <c r="D913" s="197"/>
      <c r="E913" s="197" t="s">
        <v>2556</v>
      </c>
      <c r="F913" s="197"/>
      <c r="G913" s="197">
        <f t="shared" si="3"/>
        <v>72</v>
      </c>
      <c r="H913" s="195">
        <v>3</v>
      </c>
      <c r="I913" s="195">
        <v>65</v>
      </c>
      <c r="J913" s="195">
        <f t="shared" si="4"/>
        <v>166</v>
      </c>
      <c r="K913" s="195" t="s">
        <v>1632</v>
      </c>
      <c r="L913" s="195" t="s">
        <v>526</v>
      </c>
    </row>
    <row r="914" spans="1:12" ht="12.75" customHeight="1" x14ac:dyDescent="0.2">
      <c r="A914" s="195" t="s">
        <v>1688</v>
      </c>
      <c r="B914" s="200" t="s">
        <v>2550</v>
      </c>
      <c r="C914" s="195" t="s">
        <v>2551</v>
      </c>
      <c r="D914" s="197"/>
      <c r="E914" s="197" t="s">
        <v>2557</v>
      </c>
      <c r="F914" s="197"/>
      <c r="G914" s="197">
        <f t="shared" si="3"/>
        <v>72</v>
      </c>
      <c r="H914" s="195">
        <v>4</v>
      </c>
      <c r="I914" s="195">
        <v>65</v>
      </c>
      <c r="J914" s="195">
        <f t="shared" si="4"/>
        <v>221</v>
      </c>
      <c r="K914" s="195" t="s">
        <v>1632</v>
      </c>
      <c r="L914" s="195" t="s">
        <v>526</v>
      </c>
    </row>
    <row r="915" spans="1:12" ht="12.75" customHeight="1" x14ac:dyDescent="0.2">
      <c r="A915" s="195" t="s">
        <v>1756</v>
      </c>
      <c r="B915" s="200" t="s">
        <v>2550</v>
      </c>
      <c r="C915" s="195" t="s">
        <v>2551</v>
      </c>
      <c r="D915" s="197"/>
      <c r="E915" s="197" t="s">
        <v>2558</v>
      </c>
      <c r="F915" s="197"/>
      <c r="G915" s="195">
        <v>96</v>
      </c>
      <c r="H915" s="195">
        <v>3</v>
      </c>
      <c r="I915" s="195">
        <v>86</v>
      </c>
      <c r="J915" s="195">
        <f>ROUND(H915*I915*0.98,0)</f>
        <v>253</v>
      </c>
      <c r="K915" s="195" t="s">
        <v>1632</v>
      </c>
      <c r="L915" s="195" t="s">
        <v>526</v>
      </c>
    </row>
    <row r="916" spans="1:12" ht="12.75" customHeight="1" x14ac:dyDescent="0.2">
      <c r="A916" s="195" t="s">
        <v>1792</v>
      </c>
      <c r="B916" s="200" t="s">
        <v>2550</v>
      </c>
      <c r="C916" s="195" t="s">
        <v>2551</v>
      </c>
      <c r="D916" s="197"/>
      <c r="E916" s="197" t="s">
        <v>2559</v>
      </c>
      <c r="F916" s="197"/>
      <c r="G916" s="195">
        <v>96</v>
      </c>
      <c r="H916" s="195">
        <v>6</v>
      </c>
      <c r="I916" s="195">
        <v>86</v>
      </c>
      <c r="J916" s="195">
        <f>ROUND(H916*I916*0.98,0)</f>
        <v>506</v>
      </c>
      <c r="K916" s="195" t="s">
        <v>1632</v>
      </c>
      <c r="L916" s="195" t="s">
        <v>526</v>
      </c>
    </row>
    <row r="917" spans="1:12" ht="12.75" customHeight="1" x14ac:dyDescent="0.25">
      <c r="A917" s="476" t="s">
        <v>1976</v>
      </c>
      <c r="B917" s="474" t="s">
        <v>2560</v>
      </c>
      <c r="C917" s="474" t="s">
        <v>2561</v>
      </c>
      <c r="D917" s="474" t="s">
        <v>2562</v>
      </c>
      <c r="E917" s="475" t="s">
        <v>2563</v>
      </c>
      <c r="F917" s="474" t="s">
        <v>1632</v>
      </c>
      <c r="G917" s="474"/>
      <c r="H917" s="474">
        <v>1</v>
      </c>
      <c r="I917" s="474">
        <v>33</v>
      </c>
      <c r="J917" s="474">
        <v>33</v>
      </c>
      <c r="K917" s="474" t="s">
        <v>1632</v>
      </c>
      <c r="L917" s="474" t="s">
        <v>455</v>
      </c>
    </row>
    <row r="918" spans="1:12" ht="12.75" customHeight="1" x14ac:dyDescent="0.25">
      <c r="A918" s="476" t="s">
        <v>1983</v>
      </c>
      <c r="B918" s="474" t="s">
        <v>2560</v>
      </c>
      <c r="C918" s="474" t="s">
        <v>2561</v>
      </c>
      <c r="D918" s="474" t="s">
        <v>2564</v>
      </c>
      <c r="E918" s="475" t="s">
        <v>2565</v>
      </c>
      <c r="F918" s="474" t="s">
        <v>1632</v>
      </c>
      <c r="G918" s="474"/>
      <c r="H918" s="474">
        <v>1</v>
      </c>
      <c r="I918" s="474">
        <v>28</v>
      </c>
      <c r="J918" s="474">
        <v>28</v>
      </c>
      <c r="K918" s="474" t="s">
        <v>1632</v>
      </c>
      <c r="L918" s="474" t="s">
        <v>455</v>
      </c>
    </row>
    <row r="919" spans="1:12" ht="12.75" customHeight="1" x14ac:dyDescent="0.25">
      <c r="A919" s="476" t="s">
        <v>1990</v>
      </c>
      <c r="B919" s="474" t="s">
        <v>2560</v>
      </c>
      <c r="C919" s="474" t="s">
        <v>2561</v>
      </c>
      <c r="D919" s="474" t="s">
        <v>2566</v>
      </c>
      <c r="E919" s="475" t="s">
        <v>2567</v>
      </c>
      <c r="F919" s="474" t="s">
        <v>1632</v>
      </c>
      <c r="G919" s="474"/>
      <c r="H919" s="474">
        <v>1</v>
      </c>
      <c r="I919" s="474">
        <v>40</v>
      </c>
      <c r="J919" s="474">
        <v>40</v>
      </c>
      <c r="K919" s="474" t="s">
        <v>1632</v>
      </c>
      <c r="L919" s="474" t="s">
        <v>455</v>
      </c>
    </row>
    <row r="920" spans="1:12" ht="12.75" customHeight="1" x14ac:dyDescent="0.25">
      <c r="A920" s="476" t="s">
        <v>1994</v>
      </c>
      <c r="B920" s="474" t="s">
        <v>2560</v>
      </c>
      <c r="C920" s="474" t="s">
        <v>2561</v>
      </c>
      <c r="D920" s="474" t="s">
        <v>2568</v>
      </c>
      <c r="E920" s="475" t="s">
        <v>2569</v>
      </c>
      <c r="F920" s="474" t="s">
        <v>1632</v>
      </c>
      <c r="G920" s="474"/>
      <c r="H920" s="474">
        <v>1</v>
      </c>
      <c r="I920" s="474">
        <v>44</v>
      </c>
      <c r="J920" s="474">
        <v>44</v>
      </c>
      <c r="K920" s="474" t="s">
        <v>1632</v>
      </c>
      <c r="L920" s="474" t="s">
        <v>455</v>
      </c>
    </row>
    <row r="921" spans="1:12" ht="12.75" customHeight="1" x14ac:dyDescent="0.25">
      <c r="A921" s="476" t="s">
        <v>1998</v>
      </c>
      <c r="B921" s="474" t="s">
        <v>2560</v>
      </c>
      <c r="C921" s="474" t="s">
        <v>2561</v>
      </c>
      <c r="D921" s="474" t="s">
        <v>2570</v>
      </c>
      <c r="E921" s="475" t="s">
        <v>2571</v>
      </c>
      <c r="F921" s="474" t="s">
        <v>1632</v>
      </c>
      <c r="G921" s="474"/>
      <c r="H921" s="474">
        <v>1</v>
      </c>
      <c r="I921" s="474">
        <v>48</v>
      </c>
      <c r="J921" s="474">
        <v>48</v>
      </c>
      <c r="K921" s="474" t="s">
        <v>1632</v>
      </c>
      <c r="L921" s="474" t="s">
        <v>455</v>
      </c>
    </row>
    <row r="922" spans="1:12" ht="12.75" customHeight="1" x14ac:dyDescent="0.25">
      <c r="A922" s="476" t="s">
        <v>2004</v>
      </c>
      <c r="B922" s="474" t="s">
        <v>2560</v>
      </c>
      <c r="C922" s="474" t="s">
        <v>2561</v>
      </c>
      <c r="D922" s="474" t="s">
        <v>2572</v>
      </c>
      <c r="E922" s="475" t="s">
        <v>2573</v>
      </c>
      <c r="F922" s="474" t="s">
        <v>1632</v>
      </c>
      <c r="G922" s="474"/>
      <c r="H922" s="474">
        <v>1</v>
      </c>
      <c r="I922" s="474">
        <v>58</v>
      </c>
      <c r="J922" s="474">
        <v>58</v>
      </c>
      <c r="K922" s="474" t="s">
        <v>1632</v>
      </c>
      <c r="L922" s="474" t="s">
        <v>455</v>
      </c>
    </row>
    <row r="923" spans="1:12" ht="12.75" customHeight="1" x14ac:dyDescent="0.25">
      <c r="A923" s="476" t="s">
        <v>2017</v>
      </c>
      <c r="B923" s="474" t="s">
        <v>2560</v>
      </c>
      <c r="C923" s="474" t="s">
        <v>2561</v>
      </c>
      <c r="D923" s="474" t="s">
        <v>2574</v>
      </c>
      <c r="E923" s="475" t="s">
        <v>2575</v>
      </c>
      <c r="F923" s="474" t="s">
        <v>1632</v>
      </c>
      <c r="G923" s="474"/>
      <c r="H923" s="474">
        <v>1</v>
      </c>
      <c r="I923" s="474">
        <v>66</v>
      </c>
      <c r="J923" s="474">
        <v>66</v>
      </c>
      <c r="K923" s="474" t="s">
        <v>1632</v>
      </c>
      <c r="L923" s="474" t="s">
        <v>455</v>
      </c>
    </row>
    <row r="924" spans="1:12" ht="12.75" customHeight="1" x14ac:dyDescent="0.25">
      <c r="A924" s="476" t="s">
        <v>2039</v>
      </c>
      <c r="B924" s="474" t="s">
        <v>2560</v>
      </c>
      <c r="C924" s="474" t="s">
        <v>2561</v>
      </c>
      <c r="D924" s="474" t="s">
        <v>2576</v>
      </c>
      <c r="E924" s="475" t="s">
        <v>2577</v>
      </c>
      <c r="F924" s="474" t="s">
        <v>1632</v>
      </c>
      <c r="G924" s="474"/>
      <c r="H924" s="474">
        <v>1</v>
      </c>
      <c r="I924" s="474">
        <v>8</v>
      </c>
      <c r="J924" s="474">
        <v>8</v>
      </c>
      <c r="K924" s="474" t="s">
        <v>1632</v>
      </c>
      <c r="L924" s="474" t="s">
        <v>455</v>
      </c>
    </row>
    <row r="925" spans="1:12" ht="12.75" customHeight="1" x14ac:dyDescent="0.25">
      <c r="A925" s="476" t="s">
        <v>2045</v>
      </c>
      <c r="B925" s="474" t="s">
        <v>2560</v>
      </c>
      <c r="C925" s="474" t="s">
        <v>2561</v>
      </c>
      <c r="D925" s="474" t="s">
        <v>2578</v>
      </c>
      <c r="E925" s="475" t="s">
        <v>2579</v>
      </c>
      <c r="F925" s="474" t="s">
        <v>1632</v>
      </c>
      <c r="G925" s="474"/>
      <c r="H925" s="474">
        <v>1</v>
      </c>
      <c r="I925" s="474">
        <v>10</v>
      </c>
      <c r="J925" s="474">
        <v>10</v>
      </c>
      <c r="K925" s="474" t="s">
        <v>1632</v>
      </c>
      <c r="L925" s="474" t="s">
        <v>455</v>
      </c>
    </row>
    <row r="926" spans="1:12" ht="12.75" customHeight="1" x14ac:dyDescent="0.25">
      <c r="A926" s="476" t="s">
        <v>2058</v>
      </c>
      <c r="B926" s="474" t="s">
        <v>2560</v>
      </c>
      <c r="C926" s="474" t="s">
        <v>2561</v>
      </c>
      <c r="D926" s="474" t="s">
        <v>2580</v>
      </c>
      <c r="E926" s="475" t="s">
        <v>2581</v>
      </c>
      <c r="F926" s="474" t="s">
        <v>1632</v>
      </c>
      <c r="G926" s="474"/>
      <c r="H926" s="474">
        <v>1</v>
      </c>
      <c r="I926" s="474">
        <v>11</v>
      </c>
      <c r="J926" s="474">
        <v>11</v>
      </c>
      <c r="K926" s="474" t="s">
        <v>1632</v>
      </c>
      <c r="L926" s="474" t="s">
        <v>455</v>
      </c>
    </row>
    <row r="927" spans="1:12" ht="12.75" customHeight="1" x14ac:dyDescent="0.25">
      <c r="A927" s="476" t="s">
        <v>2067</v>
      </c>
      <c r="B927" s="474" t="s">
        <v>2560</v>
      </c>
      <c r="C927" s="474" t="s">
        <v>2561</v>
      </c>
      <c r="D927" s="474" t="s">
        <v>2582</v>
      </c>
      <c r="E927" s="475" t="s">
        <v>2583</v>
      </c>
      <c r="F927" s="474" t="s">
        <v>1632</v>
      </c>
      <c r="G927" s="474"/>
      <c r="H927" s="474">
        <v>1</v>
      </c>
      <c r="I927" s="474">
        <v>13</v>
      </c>
      <c r="J927" s="474">
        <v>13</v>
      </c>
      <c r="K927" s="474" t="s">
        <v>1632</v>
      </c>
      <c r="L927" s="474" t="s">
        <v>455</v>
      </c>
    </row>
    <row r="928" spans="1:12" ht="12.75" customHeight="1" x14ac:dyDescent="0.25">
      <c r="A928" s="476" t="s">
        <v>2077</v>
      </c>
      <c r="B928" s="474" t="s">
        <v>2560</v>
      </c>
      <c r="C928" s="474" t="s">
        <v>2561</v>
      </c>
      <c r="D928" s="474" t="s">
        <v>2584</v>
      </c>
      <c r="E928" s="475" t="s">
        <v>2585</v>
      </c>
      <c r="F928" s="474" t="s">
        <v>1632</v>
      </c>
      <c r="G928" s="474"/>
      <c r="H928" s="474">
        <v>1</v>
      </c>
      <c r="I928" s="474">
        <v>14</v>
      </c>
      <c r="J928" s="474">
        <v>14</v>
      </c>
      <c r="K928" s="474" t="s">
        <v>1632</v>
      </c>
      <c r="L928" s="474" t="s">
        <v>455</v>
      </c>
    </row>
    <row r="929" spans="1:12" ht="12.75" customHeight="1" x14ac:dyDescent="0.25">
      <c r="A929" s="476" t="s">
        <v>2084</v>
      </c>
      <c r="B929" s="474" t="s">
        <v>2560</v>
      </c>
      <c r="C929" s="474" t="s">
        <v>2561</v>
      </c>
      <c r="D929" s="474" t="s">
        <v>2586</v>
      </c>
      <c r="E929" s="475" t="s">
        <v>2587</v>
      </c>
      <c r="F929" s="474" t="s">
        <v>1632</v>
      </c>
      <c r="G929" s="474"/>
      <c r="H929" s="474">
        <v>1</v>
      </c>
      <c r="I929" s="474">
        <v>17</v>
      </c>
      <c r="J929" s="474">
        <v>17</v>
      </c>
      <c r="K929" s="474" t="s">
        <v>1632</v>
      </c>
      <c r="L929" s="474" t="s">
        <v>455</v>
      </c>
    </row>
    <row r="930" spans="1:12" ht="12.75" customHeight="1" x14ac:dyDescent="0.25">
      <c r="A930" s="476" t="s">
        <v>2094</v>
      </c>
      <c r="B930" s="474" t="s">
        <v>2560</v>
      </c>
      <c r="C930" s="474" t="s">
        <v>2561</v>
      </c>
      <c r="D930" s="474" t="s">
        <v>2588</v>
      </c>
      <c r="E930" s="475" t="s">
        <v>2589</v>
      </c>
      <c r="F930" s="474" t="s">
        <v>1632</v>
      </c>
      <c r="G930" s="474"/>
      <c r="H930" s="474">
        <v>1</v>
      </c>
      <c r="I930" s="474">
        <v>18</v>
      </c>
      <c r="J930" s="474">
        <v>18</v>
      </c>
      <c r="K930" s="474" t="s">
        <v>1632</v>
      </c>
      <c r="L930" s="474" t="s">
        <v>455</v>
      </c>
    </row>
    <row r="931" spans="1:12" ht="12.75" customHeight="1" x14ac:dyDescent="0.25">
      <c r="A931" s="476" t="s">
        <v>2098</v>
      </c>
      <c r="B931" s="474" t="s">
        <v>2560</v>
      </c>
      <c r="C931" s="474" t="s">
        <v>2561</v>
      </c>
      <c r="D931" s="474" t="s">
        <v>2590</v>
      </c>
      <c r="E931" s="475" t="s">
        <v>2591</v>
      </c>
      <c r="F931" s="474" t="s">
        <v>1632</v>
      </c>
      <c r="G931" s="474"/>
      <c r="H931" s="474">
        <v>1</v>
      </c>
      <c r="I931" s="474">
        <v>19</v>
      </c>
      <c r="J931" s="474">
        <v>19</v>
      </c>
      <c r="K931" s="474" t="s">
        <v>1632</v>
      </c>
      <c r="L931" s="474" t="s">
        <v>455</v>
      </c>
    </row>
    <row r="932" spans="1:12" ht="12.75" customHeight="1" x14ac:dyDescent="0.25">
      <c r="A932" s="476" t="s">
        <v>2107</v>
      </c>
      <c r="B932" s="474" t="s">
        <v>2560</v>
      </c>
      <c r="C932" s="474" t="s">
        <v>2561</v>
      </c>
      <c r="D932" s="474" t="s">
        <v>2592</v>
      </c>
      <c r="E932" s="475" t="s">
        <v>2593</v>
      </c>
      <c r="F932" s="474" t="s">
        <v>1632</v>
      </c>
      <c r="G932" s="474"/>
      <c r="H932" s="474">
        <v>1</v>
      </c>
      <c r="I932" s="474">
        <v>20</v>
      </c>
      <c r="J932" s="474">
        <v>20</v>
      </c>
      <c r="K932" s="474" t="s">
        <v>1632</v>
      </c>
      <c r="L932" s="474" t="s">
        <v>455</v>
      </c>
    </row>
    <row r="933" spans="1:12" ht="12.75" customHeight="1" x14ac:dyDescent="0.25">
      <c r="A933" s="476" t="s">
        <v>2111</v>
      </c>
      <c r="B933" s="474" t="s">
        <v>2560</v>
      </c>
      <c r="C933" s="474" t="s">
        <v>2561</v>
      </c>
      <c r="D933" s="474" t="s">
        <v>2594</v>
      </c>
      <c r="E933" s="475" t="s">
        <v>2595</v>
      </c>
      <c r="F933" s="474" t="s">
        <v>1632</v>
      </c>
      <c r="G933" s="474"/>
      <c r="H933" s="474">
        <v>1</v>
      </c>
      <c r="I933" s="474">
        <v>23</v>
      </c>
      <c r="J933" s="474">
        <v>23</v>
      </c>
      <c r="K933" s="474" t="s">
        <v>1632</v>
      </c>
      <c r="L933" s="474" t="s">
        <v>455</v>
      </c>
    </row>
    <row r="934" spans="1:12" ht="12.75" customHeight="1" x14ac:dyDescent="0.25">
      <c r="A934" s="476" t="s">
        <v>2124</v>
      </c>
      <c r="B934" s="474" t="s">
        <v>2560</v>
      </c>
      <c r="C934" s="474" t="s">
        <v>2561</v>
      </c>
      <c r="D934" s="474" t="s">
        <v>2596</v>
      </c>
      <c r="E934" s="475" t="s">
        <v>2597</v>
      </c>
      <c r="F934" s="474" t="s">
        <v>1632</v>
      </c>
      <c r="G934" s="474"/>
      <c r="H934" s="474">
        <v>1</v>
      </c>
      <c r="I934" s="474">
        <v>25</v>
      </c>
      <c r="J934" s="474">
        <v>25</v>
      </c>
      <c r="K934" s="474" t="s">
        <v>1632</v>
      </c>
      <c r="L934" s="474" t="s">
        <v>455</v>
      </c>
    </row>
    <row r="935" spans="1:12" ht="12.75" customHeight="1" x14ac:dyDescent="0.25">
      <c r="A935" s="476" t="s">
        <v>2128</v>
      </c>
      <c r="B935" s="474" t="s">
        <v>2560</v>
      </c>
      <c r="C935" s="474" t="s">
        <v>2561</v>
      </c>
      <c r="D935" s="474" t="s">
        <v>2598</v>
      </c>
      <c r="E935" s="475" t="s">
        <v>2599</v>
      </c>
      <c r="F935" s="474" t="s">
        <v>1632</v>
      </c>
      <c r="G935" s="474"/>
      <c r="H935" s="474">
        <v>1</v>
      </c>
      <c r="I935" s="474">
        <v>26</v>
      </c>
      <c r="J935" s="474">
        <v>26</v>
      </c>
      <c r="K935" s="474" t="s">
        <v>1632</v>
      </c>
      <c r="L935" s="474" t="s">
        <v>455</v>
      </c>
    </row>
    <row r="936" spans="1:12" ht="12.75" customHeight="1" x14ac:dyDescent="0.25">
      <c r="A936" s="476" t="s">
        <v>2135</v>
      </c>
      <c r="B936" s="474" t="s">
        <v>2560</v>
      </c>
      <c r="C936" s="474" t="s">
        <v>2561</v>
      </c>
      <c r="D936" s="474" t="s">
        <v>2600</v>
      </c>
      <c r="E936" s="475" t="s">
        <v>2601</v>
      </c>
      <c r="F936" s="474" t="s">
        <v>1632</v>
      </c>
      <c r="G936" s="474"/>
      <c r="H936" s="474">
        <v>1</v>
      </c>
      <c r="I936" s="474">
        <v>29</v>
      </c>
      <c r="J936" s="474">
        <v>29</v>
      </c>
      <c r="K936" s="474" t="s">
        <v>1632</v>
      </c>
      <c r="L936" s="474" t="s">
        <v>455</v>
      </c>
    </row>
    <row r="937" spans="1:12" ht="12.75" customHeight="1" x14ac:dyDescent="0.25">
      <c r="A937" s="476" t="s">
        <v>2139</v>
      </c>
      <c r="B937" s="474" t="s">
        <v>2560</v>
      </c>
      <c r="C937" s="474" t="s">
        <v>2561</v>
      </c>
      <c r="D937" s="474" t="s">
        <v>2602</v>
      </c>
      <c r="E937" s="475" t="s">
        <v>2603</v>
      </c>
      <c r="F937" s="474" t="s">
        <v>1632</v>
      </c>
      <c r="G937" s="474"/>
      <c r="H937" s="474">
        <v>1</v>
      </c>
      <c r="I937" s="474">
        <v>30</v>
      </c>
      <c r="J937" s="474">
        <v>30</v>
      </c>
      <c r="K937" s="474" t="s">
        <v>1632</v>
      </c>
      <c r="L937" s="474" t="s">
        <v>455</v>
      </c>
    </row>
    <row r="938" spans="1:12" ht="12.75" customHeight="1" x14ac:dyDescent="0.25">
      <c r="A938" s="476" t="s">
        <v>2142</v>
      </c>
      <c r="B938" s="474" t="s">
        <v>2560</v>
      </c>
      <c r="C938" s="474" t="s">
        <v>2561</v>
      </c>
      <c r="D938" s="474" t="s">
        <v>2562</v>
      </c>
      <c r="E938" s="475" t="s">
        <v>2604</v>
      </c>
      <c r="F938" s="474" t="s">
        <v>1632</v>
      </c>
      <c r="G938" s="474"/>
      <c r="H938" s="474">
        <v>2</v>
      </c>
      <c r="I938" s="474">
        <v>33</v>
      </c>
      <c r="J938" s="474">
        <v>66</v>
      </c>
      <c r="K938" s="474" t="s">
        <v>1632</v>
      </c>
      <c r="L938" s="474" t="s">
        <v>455</v>
      </c>
    </row>
    <row r="939" spans="1:12" ht="12.75" customHeight="1" x14ac:dyDescent="0.25">
      <c r="A939" s="476" t="s">
        <v>2145</v>
      </c>
      <c r="B939" s="474" t="s">
        <v>2560</v>
      </c>
      <c r="C939" s="474" t="s">
        <v>2561</v>
      </c>
      <c r="D939" s="474" t="s">
        <v>2566</v>
      </c>
      <c r="E939" s="475" t="s">
        <v>2605</v>
      </c>
      <c r="F939" s="474" t="s">
        <v>1632</v>
      </c>
      <c r="G939" s="474"/>
      <c r="H939" s="474">
        <v>2</v>
      </c>
      <c r="I939" s="474">
        <v>40</v>
      </c>
      <c r="J939" s="474">
        <v>80</v>
      </c>
      <c r="K939" s="474" t="s">
        <v>1632</v>
      </c>
      <c r="L939" s="474" t="s">
        <v>455</v>
      </c>
    </row>
    <row r="940" spans="1:12" ht="12.75" customHeight="1" x14ac:dyDescent="0.25">
      <c r="A940" s="476" t="s">
        <v>2148</v>
      </c>
      <c r="B940" s="474" t="s">
        <v>2560</v>
      </c>
      <c r="C940" s="474" t="s">
        <v>2561</v>
      </c>
      <c r="D940" s="474" t="s">
        <v>2570</v>
      </c>
      <c r="E940" s="475" t="s">
        <v>2606</v>
      </c>
      <c r="F940" s="474" t="s">
        <v>1632</v>
      </c>
      <c r="G940" s="474"/>
      <c r="H940" s="474">
        <v>2</v>
      </c>
      <c r="I940" s="474">
        <v>48</v>
      </c>
      <c r="J940" s="474">
        <v>96</v>
      </c>
      <c r="K940" s="474" t="s">
        <v>1632</v>
      </c>
      <c r="L940" s="474" t="s">
        <v>455</v>
      </c>
    </row>
    <row r="941" spans="1:12" ht="12.75" customHeight="1" x14ac:dyDescent="0.25">
      <c r="A941" s="476" t="s">
        <v>2153</v>
      </c>
      <c r="B941" s="474" t="s">
        <v>2560</v>
      </c>
      <c r="C941" s="474" t="s">
        <v>2561</v>
      </c>
      <c r="D941" s="474" t="s">
        <v>2572</v>
      </c>
      <c r="E941" s="475" t="s">
        <v>2607</v>
      </c>
      <c r="F941" s="474" t="s">
        <v>1632</v>
      </c>
      <c r="G941" s="474"/>
      <c r="H941" s="474">
        <v>2</v>
      </c>
      <c r="I941" s="474">
        <v>58</v>
      </c>
      <c r="J941" s="474">
        <v>116</v>
      </c>
      <c r="K941" s="474" t="s">
        <v>1632</v>
      </c>
      <c r="L941" s="474" t="s">
        <v>455</v>
      </c>
    </row>
    <row r="942" spans="1:12" ht="12.75" customHeight="1" x14ac:dyDescent="0.25">
      <c r="A942" s="476" t="s">
        <v>2162</v>
      </c>
      <c r="B942" s="474" t="s">
        <v>2560</v>
      </c>
      <c r="C942" s="474" t="s">
        <v>2561</v>
      </c>
      <c r="D942" s="474" t="s">
        <v>2576</v>
      </c>
      <c r="E942" s="475" t="s">
        <v>2608</v>
      </c>
      <c r="F942" s="474" t="s">
        <v>1632</v>
      </c>
      <c r="G942" s="474"/>
      <c r="H942" s="474">
        <v>2</v>
      </c>
      <c r="I942" s="474">
        <v>8</v>
      </c>
      <c r="J942" s="474">
        <v>16</v>
      </c>
      <c r="K942" s="474" t="s">
        <v>1632</v>
      </c>
      <c r="L942" s="474" t="s">
        <v>455</v>
      </c>
    </row>
    <row r="943" spans="1:12" ht="12.75" customHeight="1" x14ac:dyDescent="0.25">
      <c r="A943" s="476" t="s">
        <v>2165</v>
      </c>
      <c r="B943" s="474" t="s">
        <v>2560</v>
      </c>
      <c r="C943" s="474" t="s">
        <v>2561</v>
      </c>
      <c r="D943" s="474" t="s">
        <v>2578</v>
      </c>
      <c r="E943" s="475" t="s">
        <v>2609</v>
      </c>
      <c r="F943" s="474" t="s">
        <v>1632</v>
      </c>
      <c r="G943" s="474"/>
      <c r="H943" s="474">
        <v>2</v>
      </c>
      <c r="I943" s="474">
        <v>10</v>
      </c>
      <c r="J943" s="474">
        <v>20</v>
      </c>
      <c r="K943" s="474" t="s">
        <v>1632</v>
      </c>
      <c r="L943" s="474" t="s">
        <v>455</v>
      </c>
    </row>
    <row r="944" spans="1:12" ht="12.75" customHeight="1" x14ac:dyDescent="0.25">
      <c r="A944" s="476" t="s">
        <v>2168</v>
      </c>
      <c r="B944" s="474" t="s">
        <v>2560</v>
      </c>
      <c r="C944" s="474" t="s">
        <v>2561</v>
      </c>
      <c r="D944" s="474" t="s">
        <v>2582</v>
      </c>
      <c r="E944" s="475" t="s">
        <v>2610</v>
      </c>
      <c r="F944" s="474" t="s">
        <v>1632</v>
      </c>
      <c r="G944" s="474"/>
      <c r="H944" s="474">
        <v>2</v>
      </c>
      <c r="I944" s="474">
        <v>13</v>
      </c>
      <c r="J944" s="474">
        <v>26</v>
      </c>
      <c r="K944" s="474" t="s">
        <v>1632</v>
      </c>
      <c r="L944" s="474" t="s">
        <v>455</v>
      </c>
    </row>
    <row r="945" spans="1:12" ht="12.75" customHeight="1" x14ac:dyDescent="0.25">
      <c r="A945" s="476" t="s">
        <v>2173</v>
      </c>
      <c r="B945" s="474" t="s">
        <v>2560</v>
      </c>
      <c r="C945" s="474" t="s">
        <v>2561</v>
      </c>
      <c r="D945" s="474" t="s">
        <v>2584</v>
      </c>
      <c r="E945" s="475" t="s">
        <v>2611</v>
      </c>
      <c r="F945" s="474" t="s">
        <v>1632</v>
      </c>
      <c r="G945" s="474"/>
      <c r="H945" s="474">
        <v>2</v>
      </c>
      <c r="I945" s="474">
        <v>14</v>
      </c>
      <c r="J945" s="474">
        <v>28</v>
      </c>
      <c r="K945" s="474" t="s">
        <v>1632</v>
      </c>
      <c r="L945" s="474" t="s">
        <v>455</v>
      </c>
    </row>
    <row r="946" spans="1:12" ht="12.75" customHeight="1" x14ac:dyDescent="0.25">
      <c r="A946" s="476" t="s">
        <v>2178</v>
      </c>
      <c r="B946" s="474" t="s">
        <v>2560</v>
      </c>
      <c r="C946" s="474" t="s">
        <v>2561</v>
      </c>
      <c r="D946" s="474" t="s">
        <v>2586</v>
      </c>
      <c r="E946" s="475" t="s">
        <v>2612</v>
      </c>
      <c r="F946" s="474" t="s">
        <v>1632</v>
      </c>
      <c r="G946" s="474"/>
      <c r="H946" s="474">
        <v>2</v>
      </c>
      <c r="I946" s="474">
        <v>17</v>
      </c>
      <c r="J946" s="474">
        <v>34</v>
      </c>
      <c r="K946" s="474" t="s">
        <v>1632</v>
      </c>
      <c r="L946" s="474" t="s">
        <v>455</v>
      </c>
    </row>
    <row r="947" spans="1:12" ht="12.75" customHeight="1" x14ac:dyDescent="0.25">
      <c r="A947" s="476" t="s">
        <v>2181</v>
      </c>
      <c r="B947" s="474" t="s">
        <v>2560</v>
      </c>
      <c r="C947" s="474" t="s">
        <v>2561</v>
      </c>
      <c r="D947" s="474" t="s">
        <v>2588</v>
      </c>
      <c r="E947" s="475" t="s">
        <v>2613</v>
      </c>
      <c r="F947" s="474" t="s">
        <v>1632</v>
      </c>
      <c r="G947" s="474"/>
      <c r="H947" s="474">
        <v>2</v>
      </c>
      <c r="I947" s="474">
        <v>18</v>
      </c>
      <c r="J947" s="474">
        <v>36</v>
      </c>
      <c r="K947" s="474" t="s">
        <v>1632</v>
      </c>
      <c r="L947" s="474" t="s">
        <v>455</v>
      </c>
    </row>
    <row r="948" spans="1:12" ht="12.75" customHeight="1" x14ac:dyDescent="0.25">
      <c r="A948" s="476" t="s">
        <v>2184</v>
      </c>
      <c r="B948" s="474" t="s">
        <v>2560</v>
      </c>
      <c r="C948" s="474" t="s">
        <v>2561</v>
      </c>
      <c r="D948" s="474" t="s">
        <v>2590</v>
      </c>
      <c r="E948" s="475" t="s">
        <v>2614</v>
      </c>
      <c r="F948" s="474" t="s">
        <v>1632</v>
      </c>
      <c r="G948" s="474"/>
      <c r="H948" s="474">
        <v>2</v>
      </c>
      <c r="I948" s="474">
        <v>19</v>
      </c>
      <c r="J948" s="474">
        <v>38</v>
      </c>
      <c r="K948" s="474" t="s">
        <v>1632</v>
      </c>
      <c r="L948" s="474" t="s">
        <v>455</v>
      </c>
    </row>
    <row r="949" spans="1:12" ht="12.75" customHeight="1" x14ac:dyDescent="0.25">
      <c r="A949" s="476" t="s">
        <v>2189</v>
      </c>
      <c r="B949" s="474" t="s">
        <v>2560</v>
      </c>
      <c r="C949" s="474" t="s">
        <v>2561</v>
      </c>
      <c r="D949" s="474" t="s">
        <v>2594</v>
      </c>
      <c r="E949" s="475" t="s">
        <v>2615</v>
      </c>
      <c r="F949" s="474" t="s">
        <v>1632</v>
      </c>
      <c r="G949" s="474"/>
      <c r="H949" s="474">
        <v>2</v>
      </c>
      <c r="I949" s="474">
        <v>23</v>
      </c>
      <c r="J949" s="474">
        <v>46</v>
      </c>
      <c r="K949" s="474" t="s">
        <v>1632</v>
      </c>
      <c r="L949" s="474" t="s">
        <v>455</v>
      </c>
    </row>
    <row r="950" spans="1:12" ht="12.75" customHeight="1" x14ac:dyDescent="0.25">
      <c r="A950" s="476" t="s">
        <v>2192</v>
      </c>
      <c r="B950" s="474" t="s">
        <v>2560</v>
      </c>
      <c r="C950" s="474" t="s">
        <v>2561</v>
      </c>
      <c r="D950" s="474" t="s">
        <v>2564</v>
      </c>
      <c r="E950" s="475" t="s">
        <v>2616</v>
      </c>
      <c r="F950" s="474" t="s">
        <v>1632</v>
      </c>
      <c r="G950" s="474"/>
      <c r="H950" s="474">
        <v>2</v>
      </c>
      <c r="I950" s="474">
        <v>28</v>
      </c>
      <c r="J950" s="474">
        <v>56</v>
      </c>
      <c r="K950" s="474" t="s">
        <v>1632</v>
      </c>
      <c r="L950" s="474" t="s">
        <v>455</v>
      </c>
    </row>
    <row r="951" spans="1:12" ht="12.75" customHeight="1" x14ac:dyDescent="0.25">
      <c r="A951" s="476" t="s">
        <v>2195</v>
      </c>
      <c r="B951" s="474" t="s">
        <v>2560</v>
      </c>
      <c r="C951" s="474" t="s">
        <v>2561</v>
      </c>
      <c r="D951" s="474" t="s">
        <v>2602</v>
      </c>
      <c r="E951" s="475" t="s">
        <v>2617</v>
      </c>
      <c r="F951" s="474" t="s">
        <v>1632</v>
      </c>
      <c r="G951" s="474"/>
      <c r="H951" s="474">
        <v>2</v>
      </c>
      <c r="I951" s="474">
        <v>30</v>
      </c>
      <c r="J951" s="474">
        <v>60</v>
      </c>
      <c r="K951" s="474" t="s">
        <v>1632</v>
      </c>
      <c r="L951" s="474" t="s">
        <v>455</v>
      </c>
    </row>
    <row r="952" spans="1:12" ht="12.75" customHeight="1" x14ac:dyDescent="0.25">
      <c r="A952" s="476" t="s">
        <v>2198</v>
      </c>
      <c r="B952" s="474" t="s">
        <v>2560</v>
      </c>
      <c r="C952" s="474" t="s">
        <v>2561</v>
      </c>
      <c r="D952" s="474" t="s">
        <v>2562</v>
      </c>
      <c r="E952" s="475" t="s">
        <v>2618</v>
      </c>
      <c r="F952" s="474" t="s">
        <v>1632</v>
      </c>
      <c r="G952" s="474"/>
      <c r="H952" s="474">
        <v>3</v>
      </c>
      <c r="I952" s="474">
        <v>33</v>
      </c>
      <c r="J952" s="474">
        <v>99</v>
      </c>
      <c r="K952" s="474" t="s">
        <v>1632</v>
      </c>
      <c r="L952" s="474" t="s">
        <v>455</v>
      </c>
    </row>
    <row r="953" spans="1:12" ht="12.75" customHeight="1" x14ac:dyDescent="0.25">
      <c r="A953" s="476" t="s">
        <v>2201</v>
      </c>
      <c r="B953" s="474" t="s">
        <v>2560</v>
      </c>
      <c r="C953" s="474" t="s">
        <v>2561</v>
      </c>
      <c r="D953" s="474" t="s">
        <v>2586</v>
      </c>
      <c r="E953" s="475" t="s">
        <v>2619</v>
      </c>
      <c r="F953" s="474" t="s">
        <v>1632</v>
      </c>
      <c r="G953" s="474"/>
      <c r="H953" s="474">
        <v>3</v>
      </c>
      <c r="I953" s="474">
        <v>17</v>
      </c>
      <c r="J953" s="474">
        <v>51</v>
      </c>
      <c r="K953" s="474" t="s">
        <v>1632</v>
      </c>
      <c r="L953" s="474" t="s">
        <v>455</v>
      </c>
    </row>
    <row r="954" spans="1:12" ht="12.75" customHeight="1" x14ac:dyDescent="0.25">
      <c r="A954" s="476" t="s">
        <v>2204</v>
      </c>
      <c r="B954" s="474" t="s">
        <v>2560</v>
      </c>
      <c r="C954" s="474" t="s">
        <v>2561</v>
      </c>
      <c r="D954" s="474" t="s">
        <v>2590</v>
      </c>
      <c r="E954" s="475" t="s">
        <v>2620</v>
      </c>
      <c r="F954" s="474" t="s">
        <v>1632</v>
      </c>
      <c r="G954" s="474"/>
      <c r="H954" s="474">
        <v>3</v>
      </c>
      <c r="I954" s="474">
        <v>19</v>
      </c>
      <c r="J954" s="474">
        <v>57</v>
      </c>
      <c r="K954" s="474" t="s">
        <v>1632</v>
      </c>
      <c r="L954" s="474" t="s">
        <v>455</v>
      </c>
    </row>
    <row r="955" spans="1:12" ht="12.75" customHeight="1" x14ac:dyDescent="0.25">
      <c r="A955" s="476" t="s">
        <v>2207</v>
      </c>
      <c r="B955" s="474" t="s">
        <v>2560</v>
      </c>
      <c r="C955" s="474" t="s">
        <v>2561</v>
      </c>
      <c r="D955" s="474" t="s">
        <v>2594</v>
      </c>
      <c r="E955" s="475" t="s">
        <v>2621</v>
      </c>
      <c r="F955" s="474" t="s">
        <v>1632</v>
      </c>
      <c r="G955" s="474"/>
      <c r="H955" s="474">
        <v>3</v>
      </c>
      <c r="I955" s="474">
        <v>23</v>
      </c>
      <c r="J955" s="474">
        <v>69</v>
      </c>
      <c r="K955" s="474" t="s">
        <v>1632</v>
      </c>
      <c r="L955" s="474" t="s">
        <v>455</v>
      </c>
    </row>
    <row r="956" spans="1:12" ht="12.75" customHeight="1" x14ac:dyDescent="0.25">
      <c r="A956" s="476" t="s">
        <v>2210</v>
      </c>
      <c r="B956" s="474" t="s">
        <v>2560</v>
      </c>
      <c r="C956" s="474" t="s">
        <v>2561</v>
      </c>
      <c r="D956" s="474" t="s">
        <v>2564</v>
      </c>
      <c r="E956" s="475" t="s">
        <v>2622</v>
      </c>
      <c r="F956" s="474" t="s">
        <v>1632</v>
      </c>
      <c r="G956" s="474"/>
      <c r="H956" s="474">
        <v>3</v>
      </c>
      <c r="I956" s="474">
        <v>28</v>
      </c>
      <c r="J956" s="474">
        <v>84</v>
      </c>
      <c r="K956" s="474" t="s">
        <v>1632</v>
      </c>
      <c r="L956" s="474" t="s">
        <v>455</v>
      </c>
    </row>
    <row r="957" spans="1:12" ht="12.75" customHeight="1" x14ac:dyDescent="0.25">
      <c r="A957" s="476" t="s">
        <v>2213</v>
      </c>
      <c r="B957" s="474" t="s">
        <v>2560</v>
      </c>
      <c r="C957" s="474" t="s">
        <v>2561</v>
      </c>
      <c r="D957" s="474" t="s">
        <v>2562</v>
      </c>
      <c r="E957" s="475" t="s">
        <v>2623</v>
      </c>
      <c r="F957" s="474" t="s">
        <v>1632</v>
      </c>
      <c r="G957" s="474"/>
      <c r="H957" s="474">
        <v>4</v>
      </c>
      <c r="I957" s="474">
        <v>33</v>
      </c>
      <c r="J957" s="474">
        <v>132</v>
      </c>
      <c r="K957" s="474" t="s">
        <v>1632</v>
      </c>
      <c r="L957" s="474" t="s">
        <v>455</v>
      </c>
    </row>
    <row r="958" spans="1:12" ht="12.75" customHeight="1" x14ac:dyDescent="0.25">
      <c r="A958" s="476" t="s">
        <v>2218</v>
      </c>
      <c r="B958" s="474" t="s">
        <v>2560</v>
      </c>
      <c r="C958" s="474" t="s">
        <v>2561</v>
      </c>
      <c r="D958" s="474" t="s">
        <v>2586</v>
      </c>
      <c r="E958" s="475" t="s">
        <v>2624</v>
      </c>
      <c r="F958" s="474" t="s">
        <v>1632</v>
      </c>
      <c r="G958" s="474"/>
      <c r="H958" s="474">
        <v>4</v>
      </c>
      <c r="I958" s="474">
        <v>17</v>
      </c>
      <c r="J958" s="474">
        <v>68</v>
      </c>
      <c r="K958" s="474" t="s">
        <v>1632</v>
      </c>
      <c r="L958" s="474" t="s">
        <v>455</v>
      </c>
    </row>
    <row r="959" spans="1:12" ht="12.75" customHeight="1" x14ac:dyDescent="0.25">
      <c r="A959" s="476" t="s">
        <v>2221</v>
      </c>
      <c r="B959" s="474" t="s">
        <v>2560</v>
      </c>
      <c r="C959" s="474" t="s">
        <v>2561</v>
      </c>
      <c r="D959" s="474" t="s">
        <v>2594</v>
      </c>
      <c r="E959" s="475" t="s">
        <v>2625</v>
      </c>
      <c r="F959" s="474" t="s">
        <v>1632</v>
      </c>
      <c r="G959" s="474"/>
      <c r="H959" s="474">
        <v>4</v>
      </c>
      <c r="I959" s="474">
        <v>23</v>
      </c>
      <c r="J959" s="474">
        <v>92</v>
      </c>
      <c r="K959" s="474" t="s">
        <v>1632</v>
      </c>
      <c r="L959" s="474" t="s">
        <v>455</v>
      </c>
    </row>
    <row r="960" spans="1:12" ht="12.75" customHeight="1" x14ac:dyDescent="0.25">
      <c r="A960" s="476" t="s">
        <v>2224</v>
      </c>
      <c r="B960" s="474" t="s">
        <v>2560</v>
      </c>
      <c r="C960" s="474" t="s">
        <v>2561</v>
      </c>
      <c r="D960" s="474" t="s">
        <v>2562</v>
      </c>
      <c r="E960" s="475" t="s">
        <v>2626</v>
      </c>
      <c r="F960" s="474" t="s">
        <v>1632</v>
      </c>
      <c r="G960" s="474"/>
      <c r="H960" s="474">
        <v>5</v>
      </c>
      <c r="I960" s="474">
        <v>33</v>
      </c>
      <c r="J960" s="474">
        <v>165</v>
      </c>
      <c r="K960" s="474" t="s">
        <v>1632</v>
      </c>
      <c r="L960" s="474" t="s">
        <v>455</v>
      </c>
    </row>
    <row r="961" spans="1:13" ht="12.75" customHeight="1" x14ac:dyDescent="0.25">
      <c r="A961" s="476" t="s">
        <v>2227</v>
      </c>
      <c r="B961" s="474" t="s">
        <v>2560</v>
      </c>
      <c r="C961" s="474" t="s">
        <v>2561</v>
      </c>
      <c r="D961" s="474" t="s">
        <v>2586</v>
      </c>
      <c r="E961" s="475" t="s">
        <v>2627</v>
      </c>
      <c r="F961" s="474" t="s">
        <v>1632</v>
      </c>
      <c r="G961" s="474"/>
      <c r="H961" s="474">
        <v>5</v>
      </c>
      <c r="I961" s="474">
        <v>17</v>
      </c>
      <c r="J961" s="474">
        <v>85</v>
      </c>
      <c r="K961" s="474" t="s">
        <v>1632</v>
      </c>
      <c r="L961" s="474" t="s">
        <v>455</v>
      </c>
    </row>
    <row r="962" spans="1:13" ht="12.75" customHeight="1" x14ac:dyDescent="0.25">
      <c r="A962" s="476" t="s">
        <v>2232</v>
      </c>
      <c r="B962" s="474" t="s">
        <v>2560</v>
      </c>
      <c r="C962" s="474" t="s">
        <v>2561</v>
      </c>
      <c r="D962" s="474" t="s">
        <v>2628</v>
      </c>
      <c r="E962" s="475" t="s">
        <v>2629</v>
      </c>
      <c r="F962" s="474" t="s">
        <v>1632</v>
      </c>
      <c r="G962" s="474"/>
      <c r="H962" s="474">
        <v>1</v>
      </c>
      <c r="I962" s="474">
        <v>46</v>
      </c>
      <c r="J962" s="474">
        <v>46</v>
      </c>
      <c r="K962" s="474" t="s">
        <v>1632</v>
      </c>
      <c r="L962" s="474" t="s">
        <v>455</v>
      </c>
    </row>
    <row r="963" spans="1:13" ht="12.75" customHeight="1" x14ac:dyDescent="0.25">
      <c r="A963" s="476" t="s">
        <v>2242</v>
      </c>
      <c r="B963" s="474" t="s">
        <v>2560</v>
      </c>
      <c r="C963" s="474" t="s">
        <v>2561</v>
      </c>
      <c r="D963" s="474" t="s">
        <v>2630</v>
      </c>
      <c r="E963" s="475" t="s">
        <v>2631</v>
      </c>
      <c r="F963" s="474" t="s">
        <v>1632</v>
      </c>
      <c r="G963" s="474"/>
      <c r="H963" s="474">
        <v>1</v>
      </c>
      <c r="I963" s="474">
        <v>69</v>
      </c>
      <c r="J963" s="474">
        <v>69</v>
      </c>
      <c r="K963" s="474" t="s">
        <v>1632</v>
      </c>
      <c r="L963" s="474" t="s">
        <v>455</v>
      </c>
    </row>
    <row r="964" spans="1:13" ht="12.75" customHeight="1" x14ac:dyDescent="0.25">
      <c r="A964" s="476" t="s">
        <v>2258</v>
      </c>
      <c r="B964" s="474" t="s">
        <v>2560</v>
      </c>
      <c r="C964" s="474" t="s">
        <v>2561</v>
      </c>
      <c r="D964" s="474" t="s">
        <v>2632</v>
      </c>
      <c r="E964" s="475" t="s">
        <v>2633</v>
      </c>
      <c r="F964" s="474" t="s">
        <v>1632</v>
      </c>
      <c r="G964" s="474"/>
      <c r="H964" s="474">
        <v>1</v>
      </c>
      <c r="I964" s="474">
        <v>12</v>
      </c>
      <c r="J964" s="474">
        <v>12</v>
      </c>
      <c r="K964" s="474" t="s">
        <v>1632</v>
      </c>
      <c r="L964" s="474" t="s">
        <v>455</v>
      </c>
    </row>
    <row r="965" spans="1:13" ht="12.75" customHeight="1" x14ac:dyDescent="0.25">
      <c r="A965" s="476" t="s">
        <v>2289</v>
      </c>
      <c r="B965" s="474" t="s">
        <v>2560</v>
      </c>
      <c r="C965" s="474" t="s">
        <v>2561</v>
      </c>
      <c r="D965" s="474" t="s">
        <v>2634</v>
      </c>
      <c r="E965" s="475" t="s">
        <v>2635</v>
      </c>
      <c r="F965" s="474" t="s">
        <v>1632</v>
      </c>
      <c r="G965" s="474"/>
      <c r="H965" s="474">
        <v>1</v>
      </c>
      <c r="I965" s="474">
        <v>24</v>
      </c>
      <c r="J965" s="474">
        <v>24</v>
      </c>
      <c r="K965" s="474" t="s">
        <v>1632</v>
      </c>
      <c r="L965" s="474" t="s">
        <v>455</v>
      </c>
    </row>
    <row r="966" spans="1:13" ht="12.75" customHeight="1" x14ac:dyDescent="0.25">
      <c r="A966" s="476" t="s">
        <v>2299</v>
      </c>
      <c r="B966" s="474" t="s">
        <v>2560</v>
      </c>
      <c r="C966" s="474" t="s">
        <v>2561</v>
      </c>
      <c r="D966" s="474" t="s">
        <v>2636</v>
      </c>
      <c r="E966" s="475" t="s">
        <v>2637</v>
      </c>
      <c r="F966" s="474" t="s">
        <v>1632</v>
      </c>
      <c r="G966" s="474"/>
      <c r="H966" s="474">
        <v>1</v>
      </c>
      <c r="I966" s="474">
        <v>34</v>
      </c>
      <c r="J966" s="474">
        <v>34</v>
      </c>
      <c r="K966" s="474" t="s">
        <v>1632</v>
      </c>
      <c r="L966" s="474" t="s">
        <v>455</v>
      </c>
    </row>
    <row r="967" spans="1:13" ht="12.75" customHeight="1" x14ac:dyDescent="0.25">
      <c r="A967" s="476" t="s">
        <v>2306</v>
      </c>
      <c r="B967" s="474" t="s">
        <v>2560</v>
      </c>
      <c r="C967" s="474" t="s">
        <v>2561</v>
      </c>
      <c r="D967" s="474" t="s">
        <v>2638</v>
      </c>
      <c r="E967" s="475" t="s">
        <v>2639</v>
      </c>
      <c r="F967" s="474" t="s">
        <v>1632</v>
      </c>
      <c r="G967" s="474"/>
      <c r="H967" s="474">
        <v>1</v>
      </c>
      <c r="I967" s="474">
        <v>41</v>
      </c>
      <c r="J967" s="474">
        <v>41</v>
      </c>
      <c r="K967" s="474" t="s">
        <v>1632</v>
      </c>
      <c r="L967" s="474" t="s">
        <v>455</v>
      </c>
    </row>
    <row r="968" spans="1:13" ht="12.75" customHeight="1" x14ac:dyDescent="0.25">
      <c r="A968" s="476" t="s">
        <v>2316</v>
      </c>
      <c r="B968" s="474" t="s">
        <v>2560</v>
      </c>
      <c r="C968" s="474" t="s">
        <v>2561</v>
      </c>
      <c r="D968" s="474" t="s">
        <v>2640</v>
      </c>
      <c r="E968" s="475" t="s">
        <v>2641</v>
      </c>
      <c r="F968" s="474" t="s">
        <v>1632</v>
      </c>
      <c r="G968" s="474"/>
      <c r="H968" s="474">
        <v>1</v>
      </c>
      <c r="I968" s="474">
        <v>9</v>
      </c>
      <c r="J968" s="474">
        <v>9</v>
      </c>
      <c r="K968" s="474" t="s">
        <v>1632</v>
      </c>
      <c r="L968" s="474" t="s">
        <v>455</v>
      </c>
    </row>
    <row r="969" spans="1:13" ht="12.75" customHeight="1" x14ac:dyDescent="0.25">
      <c r="A969" s="476" t="s">
        <v>2334</v>
      </c>
      <c r="B969" s="474" t="s">
        <v>2560</v>
      </c>
      <c r="C969" s="474" t="s">
        <v>2561</v>
      </c>
      <c r="D969" s="474" t="s">
        <v>2630</v>
      </c>
      <c r="E969" s="475" t="s">
        <v>2642</v>
      </c>
      <c r="F969" s="474" t="s">
        <v>1632</v>
      </c>
      <c r="G969" s="474"/>
      <c r="H969" s="474">
        <v>2</v>
      </c>
      <c r="I969" s="474">
        <v>69</v>
      </c>
      <c r="J969" s="474">
        <v>138</v>
      </c>
      <c r="K969" s="474" t="s">
        <v>1632</v>
      </c>
      <c r="L969" s="474" t="s">
        <v>455</v>
      </c>
    </row>
    <row r="970" spans="1:13" ht="12.75" customHeight="1" x14ac:dyDescent="0.25">
      <c r="A970" s="476" t="s">
        <v>2341</v>
      </c>
      <c r="B970" s="474" t="s">
        <v>2560</v>
      </c>
      <c r="C970" s="474" t="s">
        <v>2561</v>
      </c>
      <c r="D970" s="474" t="s">
        <v>2634</v>
      </c>
      <c r="E970" s="475" t="s">
        <v>2643</v>
      </c>
      <c r="F970" s="474" t="s">
        <v>1632</v>
      </c>
      <c r="G970" s="474"/>
      <c r="H970" s="474">
        <v>2</v>
      </c>
      <c r="I970" s="474">
        <v>24</v>
      </c>
      <c r="J970" s="474">
        <v>48</v>
      </c>
      <c r="K970" s="474" t="s">
        <v>1632</v>
      </c>
      <c r="L970" s="474" t="s">
        <v>455</v>
      </c>
    </row>
    <row r="971" spans="1:13" ht="12.75" customHeight="1" x14ac:dyDescent="0.25">
      <c r="A971" s="476" t="s">
        <v>2344</v>
      </c>
      <c r="B971" s="474" t="s">
        <v>2560</v>
      </c>
      <c r="C971" s="474" t="s">
        <v>2561</v>
      </c>
      <c r="D971" s="474" t="s">
        <v>2636</v>
      </c>
      <c r="E971" s="475" t="s">
        <v>2644</v>
      </c>
      <c r="F971" s="474" t="s">
        <v>1632</v>
      </c>
      <c r="G971" s="474"/>
      <c r="H971" s="474">
        <v>2</v>
      </c>
      <c r="I971" s="474">
        <v>34</v>
      </c>
      <c r="J971" s="474">
        <v>68</v>
      </c>
      <c r="K971" s="474" t="s">
        <v>1632</v>
      </c>
      <c r="L971" s="474" t="s">
        <v>455</v>
      </c>
    </row>
    <row r="972" spans="1:13" ht="12.75" customHeight="1" thickBot="1" x14ac:dyDescent="0.3">
      <c r="A972" s="476" t="s">
        <v>2347</v>
      </c>
      <c r="B972" s="474" t="s">
        <v>2560</v>
      </c>
      <c r="C972" s="474" t="s">
        <v>2561</v>
      </c>
      <c r="D972" s="474" t="s">
        <v>2638</v>
      </c>
      <c r="E972" s="475" t="s">
        <v>2645</v>
      </c>
      <c r="F972" s="474" t="s">
        <v>1632</v>
      </c>
      <c r="G972" s="474"/>
      <c r="H972" s="474">
        <v>2</v>
      </c>
      <c r="I972" s="474">
        <v>41</v>
      </c>
      <c r="J972" s="474">
        <v>82</v>
      </c>
      <c r="K972" s="474" t="s">
        <v>1632</v>
      </c>
      <c r="L972" s="474" t="s">
        <v>455</v>
      </c>
    </row>
    <row r="973" spans="1:13" ht="25.5" x14ac:dyDescent="0.2">
      <c r="A973" s="431" t="s">
        <v>439</v>
      </c>
      <c r="B973" s="431" t="s">
        <v>440</v>
      </c>
      <c r="C973" s="998" t="s">
        <v>2646</v>
      </c>
      <c r="D973" s="999"/>
      <c r="E973" s="999"/>
      <c r="F973" s="999"/>
      <c r="G973" s="999"/>
      <c r="H973" s="1000"/>
      <c r="I973" s="431" t="s">
        <v>446</v>
      </c>
      <c r="J973" s="431" t="s">
        <v>447</v>
      </c>
      <c r="K973" s="431" t="s">
        <v>448</v>
      </c>
      <c r="L973" s="431" t="s">
        <v>449</v>
      </c>
      <c r="M973" s="431" t="s">
        <v>2647</v>
      </c>
    </row>
    <row r="974" spans="1:13" ht="12.75" customHeight="1" x14ac:dyDescent="0.2">
      <c r="A974" s="195" t="s">
        <v>2648</v>
      </c>
      <c r="B974" s="200" t="s">
        <v>2649</v>
      </c>
      <c r="C974" s="195" t="s">
        <v>2649</v>
      </c>
      <c r="D974" s="201"/>
      <c r="E974" s="202" t="s">
        <v>2650</v>
      </c>
      <c r="F974" s="201"/>
      <c r="G974" s="201"/>
      <c r="H974" s="201"/>
      <c r="I974" s="202" t="s">
        <v>2650</v>
      </c>
      <c r="J974" s="202" t="s">
        <v>2650</v>
      </c>
      <c r="K974" s="203" t="s">
        <v>2648</v>
      </c>
      <c r="L974" s="202" t="s">
        <v>2650</v>
      </c>
      <c r="M974" s="202" t="s">
        <v>2650</v>
      </c>
    </row>
    <row r="975" spans="1:13" ht="12.75" customHeight="1" x14ac:dyDescent="0.2">
      <c r="A975" s="195" t="s">
        <v>2651</v>
      </c>
      <c r="B975" s="200" t="s">
        <v>2649</v>
      </c>
      <c r="C975" s="195" t="s">
        <v>2649</v>
      </c>
      <c r="D975" s="201"/>
      <c r="E975" s="202" t="s">
        <v>2650</v>
      </c>
      <c r="F975" s="201"/>
      <c r="G975" s="201"/>
      <c r="H975" s="201"/>
      <c r="I975" s="202" t="s">
        <v>2650</v>
      </c>
      <c r="J975" s="202" t="s">
        <v>2650</v>
      </c>
      <c r="K975" s="203" t="s">
        <v>2651</v>
      </c>
      <c r="L975" s="202" t="s">
        <v>2650</v>
      </c>
      <c r="M975" s="202" t="s">
        <v>2650</v>
      </c>
    </row>
    <row r="976" spans="1:13" ht="12.75" customHeight="1" x14ac:dyDescent="0.2">
      <c r="A976" s="195" t="s">
        <v>2652</v>
      </c>
      <c r="B976" s="200" t="s">
        <v>2649</v>
      </c>
      <c r="C976" s="195" t="s">
        <v>2649</v>
      </c>
      <c r="D976" s="201"/>
      <c r="E976" s="202" t="s">
        <v>2650</v>
      </c>
      <c r="F976" s="201"/>
      <c r="G976" s="201"/>
      <c r="H976" s="201"/>
      <c r="I976" s="202" t="s">
        <v>2650</v>
      </c>
      <c r="J976" s="202" t="s">
        <v>2650</v>
      </c>
      <c r="K976" s="203" t="s">
        <v>2652</v>
      </c>
      <c r="L976" s="202" t="s">
        <v>2650</v>
      </c>
      <c r="M976" s="202" t="s">
        <v>2650</v>
      </c>
    </row>
    <row r="977" spans="1:13" ht="12.75" customHeight="1" x14ac:dyDescent="0.2">
      <c r="A977" s="195" t="s">
        <v>2653</v>
      </c>
      <c r="B977" s="200" t="s">
        <v>2649</v>
      </c>
      <c r="C977" s="195" t="s">
        <v>2649</v>
      </c>
      <c r="D977" s="201"/>
      <c r="E977" s="202" t="s">
        <v>2650</v>
      </c>
      <c r="F977" s="201"/>
      <c r="G977" s="201"/>
      <c r="H977" s="201"/>
      <c r="I977" s="202" t="s">
        <v>2650</v>
      </c>
      <c r="J977" s="202" t="s">
        <v>2650</v>
      </c>
      <c r="K977" s="203" t="s">
        <v>2653</v>
      </c>
      <c r="L977" s="202" t="s">
        <v>2650</v>
      </c>
      <c r="M977" s="202" t="s">
        <v>2650</v>
      </c>
    </row>
    <row r="978" spans="1:13" ht="12.75" customHeight="1" x14ac:dyDescent="0.2">
      <c r="A978" s="195" t="s">
        <v>2654</v>
      </c>
      <c r="B978" s="200" t="s">
        <v>2649</v>
      </c>
      <c r="C978" s="195" t="s">
        <v>2649</v>
      </c>
      <c r="D978" s="201"/>
      <c r="E978" s="202" t="s">
        <v>2650</v>
      </c>
      <c r="F978" s="201"/>
      <c r="G978" s="201"/>
      <c r="H978" s="201"/>
      <c r="I978" s="202" t="s">
        <v>2650</v>
      </c>
      <c r="J978" s="202" t="s">
        <v>2650</v>
      </c>
      <c r="K978" s="203" t="s">
        <v>2654</v>
      </c>
      <c r="L978" s="202" t="s">
        <v>2650</v>
      </c>
      <c r="M978" s="202" t="s">
        <v>2650</v>
      </c>
    </row>
    <row r="979" spans="1:13" ht="12.75" customHeight="1" x14ac:dyDescent="0.2">
      <c r="A979" s="195" t="s">
        <v>2655</v>
      </c>
      <c r="B979" s="200" t="s">
        <v>2649</v>
      </c>
      <c r="C979" s="195" t="s">
        <v>2649</v>
      </c>
      <c r="D979" s="201"/>
      <c r="E979" s="202" t="s">
        <v>2650</v>
      </c>
      <c r="F979" s="201"/>
      <c r="G979" s="201"/>
      <c r="H979" s="201"/>
      <c r="I979" s="202" t="s">
        <v>2650</v>
      </c>
      <c r="J979" s="202" t="s">
        <v>2650</v>
      </c>
      <c r="K979" s="203" t="s">
        <v>2655</v>
      </c>
      <c r="L979" s="202" t="s">
        <v>2650</v>
      </c>
      <c r="M979" s="202" t="s">
        <v>2650</v>
      </c>
    </row>
    <row r="980" spans="1:13" ht="12.75" customHeight="1" x14ac:dyDescent="0.2">
      <c r="A980" s="195" t="s">
        <v>2656</v>
      </c>
      <c r="B980" s="200" t="s">
        <v>2649</v>
      </c>
      <c r="C980" s="195" t="s">
        <v>2649</v>
      </c>
      <c r="D980" s="201"/>
      <c r="E980" s="202" t="s">
        <v>2650</v>
      </c>
      <c r="F980" s="201"/>
      <c r="G980" s="201"/>
      <c r="H980" s="201"/>
      <c r="I980" s="202" t="s">
        <v>2650</v>
      </c>
      <c r="J980" s="202" t="s">
        <v>2650</v>
      </c>
      <c r="K980" s="203" t="s">
        <v>2656</v>
      </c>
      <c r="L980" s="202" t="s">
        <v>2650</v>
      </c>
      <c r="M980" s="202" t="s">
        <v>2650</v>
      </c>
    </row>
    <row r="981" spans="1:13" ht="12.75" customHeight="1" x14ac:dyDescent="0.2">
      <c r="A981" s="195" t="s">
        <v>2657</v>
      </c>
      <c r="B981" s="200" t="s">
        <v>2649</v>
      </c>
      <c r="C981" s="195" t="s">
        <v>2649</v>
      </c>
      <c r="D981" s="201"/>
      <c r="E981" s="202" t="s">
        <v>2650</v>
      </c>
      <c r="F981" s="201"/>
      <c r="G981" s="201"/>
      <c r="H981" s="201"/>
      <c r="I981" s="202" t="s">
        <v>2650</v>
      </c>
      <c r="J981" s="202" t="s">
        <v>2650</v>
      </c>
      <c r="K981" s="203" t="s">
        <v>2657</v>
      </c>
      <c r="L981" s="202" t="s">
        <v>2650</v>
      </c>
      <c r="M981" s="202" t="s">
        <v>2650</v>
      </c>
    </row>
    <row r="982" spans="1:13" ht="12.75" customHeight="1" x14ac:dyDescent="0.2">
      <c r="A982" s="195" t="s">
        <v>2658</v>
      </c>
      <c r="B982" s="200" t="s">
        <v>2649</v>
      </c>
      <c r="C982" s="195" t="s">
        <v>2649</v>
      </c>
      <c r="D982" s="201"/>
      <c r="E982" s="202" t="s">
        <v>2650</v>
      </c>
      <c r="F982" s="201"/>
      <c r="G982" s="201"/>
      <c r="H982" s="201"/>
      <c r="I982" s="202" t="s">
        <v>2650</v>
      </c>
      <c r="J982" s="202" t="s">
        <v>2650</v>
      </c>
      <c r="K982" s="203" t="s">
        <v>2658</v>
      </c>
      <c r="L982" s="202" t="s">
        <v>2650</v>
      </c>
      <c r="M982" s="202" t="s">
        <v>2650</v>
      </c>
    </row>
    <row r="983" spans="1:13" ht="12.75" customHeight="1" x14ac:dyDescent="0.2">
      <c r="A983" s="195" t="s">
        <v>2659</v>
      </c>
      <c r="B983" s="200" t="s">
        <v>2649</v>
      </c>
      <c r="C983" s="195" t="s">
        <v>2649</v>
      </c>
      <c r="D983" s="201"/>
      <c r="E983" s="202" t="s">
        <v>2650</v>
      </c>
      <c r="F983" s="201"/>
      <c r="G983" s="201"/>
      <c r="H983" s="201"/>
      <c r="I983" s="202" t="s">
        <v>2650</v>
      </c>
      <c r="J983" s="202" t="s">
        <v>2650</v>
      </c>
      <c r="K983" s="203" t="s">
        <v>2659</v>
      </c>
      <c r="L983" s="202" t="s">
        <v>2650</v>
      </c>
      <c r="M983" s="202" t="s">
        <v>2650</v>
      </c>
    </row>
    <row r="984" spans="1:13" ht="12.75" customHeight="1" x14ac:dyDescent="0.2">
      <c r="A984" s="195" t="s">
        <v>2660</v>
      </c>
      <c r="B984" s="200" t="s">
        <v>2649</v>
      </c>
      <c r="C984" s="195" t="s">
        <v>2649</v>
      </c>
      <c r="D984" s="201"/>
      <c r="E984" s="202" t="s">
        <v>2650</v>
      </c>
      <c r="F984" s="201"/>
      <c r="G984" s="201"/>
      <c r="H984" s="201"/>
      <c r="I984" s="202" t="s">
        <v>2650</v>
      </c>
      <c r="J984" s="202" t="s">
        <v>2650</v>
      </c>
      <c r="K984" s="203" t="s">
        <v>2660</v>
      </c>
      <c r="L984" s="202" t="s">
        <v>2650</v>
      </c>
      <c r="M984" s="202" t="s">
        <v>2650</v>
      </c>
    </row>
    <row r="985" spans="1:13" ht="12.75" customHeight="1" x14ac:dyDescent="0.2">
      <c r="A985" s="195" t="s">
        <v>2661</v>
      </c>
      <c r="B985" s="200" t="s">
        <v>2649</v>
      </c>
      <c r="C985" s="195" t="s">
        <v>2649</v>
      </c>
      <c r="D985" s="201"/>
      <c r="E985" s="202" t="s">
        <v>2650</v>
      </c>
      <c r="F985" s="201"/>
      <c r="G985" s="201"/>
      <c r="H985" s="201"/>
      <c r="I985" s="202" t="s">
        <v>2650</v>
      </c>
      <c r="J985" s="202" t="s">
        <v>2650</v>
      </c>
      <c r="K985" s="203" t="s">
        <v>2661</v>
      </c>
      <c r="L985" s="202" t="s">
        <v>2650</v>
      </c>
      <c r="M985" s="202" t="s">
        <v>2650</v>
      </c>
    </row>
    <row r="986" spans="1:13" ht="12.75" customHeight="1" x14ac:dyDescent="0.2">
      <c r="A986" s="195" t="s">
        <v>2662</v>
      </c>
      <c r="B986" s="200" t="s">
        <v>2649</v>
      </c>
      <c r="C986" s="195" t="s">
        <v>2649</v>
      </c>
      <c r="D986" s="201"/>
      <c r="E986" s="202" t="s">
        <v>2650</v>
      </c>
      <c r="F986" s="201"/>
      <c r="G986" s="201"/>
      <c r="H986" s="201"/>
      <c r="I986" s="202" t="s">
        <v>2650</v>
      </c>
      <c r="J986" s="202" t="s">
        <v>2650</v>
      </c>
      <c r="K986" s="203" t="s">
        <v>2662</v>
      </c>
      <c r="L986" s="202" t="s">
        <v>2650</v>
      </c>
      <c r="M986" s="202" t="s">
        <v>2650</v>
      </c>
    </row>
    <row r="987" spans="1:13" ht="12.75" customHeight="1" x14ac:dyDescent="0.2">
      <c r="A987" s="195" t="s">
        <v>2663</v>
      </c>
      <c r="B987" s="200" t="s">
        <v>2649</v>
      </c>
      <c r="C987" s="195" t="s">
        <v>2649</v>
      </c>
      <c r="D987" s="201"/>
      <c r="E987" s="202" t="s">
        <v>2650</v>
      </c>
      <c r="F987" s="201"/>
      <c r="G987" s="201"/>
      <c r="H987" s="201"/>
      <c r="I987" s="202" t="s">
        <v>2650</v>
      </c>
      <c r="J987" s="202" t="s">
        <v>2650</v>
      </c>
      <c r="K987" s="203" t="s">
        <v>2663</v>
      </c>
      <c r="L987" s="202" t="s">
        <v>2650</v>
      </c>
      <c r="M987" s="202" t="s">
        <v>2650</v>
      </c>
    </row>
    <row r="988" spans="1:13" ht="12.75" customHeight="1" x14ac:dyDescent="0.2">
      <c r="A988" s="195" t="s">
        <v>2664</v>
      </c>
      <c r="B988" s="200" t="s">
        <v>2649</v>
      </c>
      <c r="C988" s="195" t="s">
        <v>2649</v>
      </c>
      <c r="D988" s="201"/>
      <c r="E988" s="202" t="s">
        <v>2650</v>
      </c>
      <c r="F988" s="201"/>
      <c r="G988" s="201"/>
      <c r="H988" s="201"/>
      <c r="I988" s="202" t="s">
        <v>2650</v>
      </c>
      <c r="J988" s="202" t="s">
        <v>2650</v>
      </c>
      <c r="K988" s="203" t="s">
        <v>2664</v>
      </c>
      <c r="L988" s="202" t="s">
        <v>2650</v>
      </c>
      <c r="M988" s="202" t="s">
        <v>2650</v>
      </c>
    </row>
    <row r="989" spans="1:13" ht="12.75" customHeight="1" x14ac:dyDescent="0.2">
      <c r="A989" s="195" t="s">
        <v>2665</v>
      </c>
      <c r="B989" s="200" t="s">
        <v>2649</v>
      </c>
      <c r="C989" s="195" t="s">
        <v>2649</v>
      </c>
      <c r="D989" s="201"/>
      <c r="E989" s="202" t="s">
        <v>2650</v>
      </c>
      <c r="F989" s="201"/>
      <c r="G989" s="201"/>
      <c r="H989" s="201"/>
      <c r="I989" s="202" t="s">
        <v>2650</v>
      </c>
      <c r="J989" s="202" t="s">
        <v>2650</v>
      </c>
      <c r="K989" s="203" t="s">
        <v>2665</v>
      </c>
      <c r="L989" s="202" t="s">
        <v>2650</v>
      </c>
      <c r="M989" s="202" t="s">
        <v>2650</v>
      </c>
    </row>
    <row r="990" spans="1:13" ht="12.75" customHeight="1" x14ac:dyDescent="0.2">
      <c r="A990" s="195" t="s">
        <v>2666</v>
      </c>
      <c r="B990" s="200" t="s">
        <v>2649</v>
      </c>
      <c r="C990" s="195" t="s">
        <v>2649</v>
      </c>
      <c r="D990" s="201"/>
      <c r="E990" s="202" t="s">
        <v>2650</v>
      </c>
      <c r="F990" s="201"/>
      <c r="G990" s="201"/>
      <c r="H990" s="201"/>
      <c r="I990" s="202" t="s">
        <v>2650</v>
      </c>
      <c r="J990" s="202" t="s">
        <v>2650</v>
      </c>
      <c r="K990" s="203" t="s">
        <v>2666</v>
      </c>
      <c r="L990" s="202" t="s">
        <v>2650</v>
      </c>
      <c r="M990" s="202" t="s">
        <v>2650</v>
      </c>
    </row>
    <row r="991" spans="1:13" ht="12.75" customHeight="1" x14ac:dyDescent="0.2">
      <c r="A991" s="195" t="s">
        <v>2667</v>
      </c>
      <c r="B991" s="200" t="s">
        <v>2649</v>
      </c>
      <c r="C991" s="195" t="s">
        <v>2649</v>
      </c>
      <c r="D991" s="201"/>
      <c r="E991" s="202" t="s">
        <v>2650</v>
      </c>
      <c r="F991" s="201"/>
      <c r="G991" s="201"/>
      <c r="H991" s="201"/>
      <c r="I991" s="202" t="s">
        <v>2650</v>
      </c>
      <c r="J991" s="202" t="s">
        <v>2650</v>
      </c>
      <c r="K991" s="203" t="s">
        <v>2667</v>
      </c>
      <c r="L991" s="202" t="s">
        <v>2650</v>
      </c>
      <c r="M991" s="202" t="s">
        <v>2650</v>
      </c>
    </row>
    <row r="992" spans="1:13" ht="12.75" customHeight="1" x14ac:dyDescent="0.2">
      <c r="A992" s="195" t="s">
        <v>2668</v>
      </c>
      <c r="B992" s="200" t="s">
        <v>2649</v>
      </c>
      <c r="C992" s="195" t="s">
        <v>2649</v>
      </c>
      <c r="D992" s="201"/>
      <c r="E992" s="202" t="s">
        <v>2650</v>
      </c>
      <c r="F992" s="201"/>
      <c r="G992" s="201"/>
      <c r="H992" s="201"/>
      <c r="I992" s="202" t="s">
        <v>2650</v>
      </c>
      <c r="J992" s="202" t="s">
        <v>2650</v>
      </c>
      <c r="K992" s="203" t="s">
        <v>2668</v>
      </c>
      <c r="L992" s="202" t="s">
        <v>2650</v>
      </c>
      <c r="M992" s="202" t="s">
        <v>2650</v>
      </c>
    </row>
    <row r="993" spans="1:13" ht="12.75" customHeight="1" x14ac:dyDescent="0.2">
      <c r="A993" s="195" t="s">
        <v>2669</v>
      </c>
      <c r="B993" s="200" t="s">
        <v>2649</v>
      </c>
      <c r="C993" s="195" t="s">
        <v>2649</v>
      </c>
      <c r="D993" s="201"/>
      <c r="E993" s="202" t="s">
        <v>2650</v>
      </c>
      <c r="F993" s="201"/>
      <c r="G993" s="201"/>
      <c r="H993" s="201"/>
      <c r="I993" s="202" t="s">
        <v>2650</v>
      </c>
      <c r="J993" s="202" t="s">
        <v>2650</v>
      </c>
      <c r="K993" s="203" t="s">
        <v>2669</v>
      </c>
      <c r="L993" s="202" t="s">
        <v>2650</v>
      </c>
      <c r="M993" s="202" t="s">
        <v>2650</v>
      </c>
    </row>
    <row r="994" spans="1:13" ht="12.75" customHeight="1" x14ac:dyDescent="0.2">
      <c r="A994" s="195" t="s">
        <v>2670</v>
      </c>
      <c r="B994" s="200" t="s">
        <v>2649</v>
      </c>
      <c r="C994" s="195" t="s">
        <v>2649</v>
      </c>
      <c r="D994" s="201"/>
      <c r="E994" s="202" t="s">
        <v>2650</v>
      </c>
      <c r="F994" s="201"/>
      <c r="G994" s="201"/>
      <c r="H994" s="201"/>
      <c r="I994" s="202" t="s">
        <v>2650</v>
      </c>
      <c r="J994" s="202" t="s">
        <v>2650</v>
      </c>
      <c r="K994" s="203" t="s">
        <v>2670</v>
      </c>
      <c r="L994" s="202" t="s">
        <v>2650</v>
      </c>
      <c r="M994" s="202" t="s">
        <v>2650</v>
      </c>
    </row>
    <row r="995" spans="1:13" ht="12.75" customHeight="1" x14ac:dyDescent="0.2">
      <c r="A995" s="195" t="s">
        <v>2671</v>
      </c>
      <c r="B995" s="200" t="s">
        <v>2649</v>
      </c>
      <c r="C995" s="195" t="s">
        <v>2649</v>
      </c>
      <c r="D995" s="201"/>
      <c r="E995" s="202" t="s">
        <v>2650</v>
      </c>
      <c r="F995" s="201"/>
      <c r="G995" s="201"/>
      <c r="H995" s="201"/>
      <c r="I995" s="202" t="s">
        <v>2650</v>
      </c>
      <c r="J995" s="202" t="s">
        <v>2650</v>
      </c>
      <c r="K995" s="203" t="s">
        <v>2671</v>
      </c>
      <c r="L995" s="202" t="s">
        <v>2650</v>
      </c>
      <c r="M995" s="202" t="s">
        <v>2650</v>
      </c>
    </row>
    <row r="996" spans="1:13" ht="12.75" customHeight="1" x14ac:dyDescent="0.2">
      <c r="A996" s="195" t="s">
        <v>2672</v>
      </c>
      <c r="B996" s="200" t="s">
        <v>2649</v>
      </c>
      <c r="C996" s="195" t="s">
        <v>2649</v>
      </c>
      <c r="D996" s="201"/>
      <c r="E996" s="202" t="s">
        <v>2650</v>
      </c>
      <c r="F996" s="201"/>
      <c r="G996" s="201"/>
      <c r="H996" s="201"/>
      <c r="I996" s="202" t="s">
        <v>2650</v>
      </c>
      <c r="J996" s="202" t="s">
        <v>2650</v>
      </c>
      <c r="K996" s="203" t="s">
        <v>2672</v>
      </c>
      <c r="L996" s="202" t="s">
        <v>2650</v>
      </c>
      <c r="M996" s="202" t="s">
        <v>2650</v>
      </c>
    </row>
    <row r="997" spans="1:13" ht="12.75" customHeight="1" x14ac:dyDescent="0.2">
      <c r="A997" s="195" t="s">
        <v>2673</v>
      </c>
      <c r="B997" s="200" t="s">
        <v>2649</v>
      </c>
      <c r="C997" s="195" t="s">
        <v>2649</v>
      </c>
      <c r="D997" s="201"/>
      <c r="E997" s="202" t="s">
        <v>2650</v>
      </c>
      <c r="F997" s="201"/>
      <c r="G997" s="201"/>
      <c r="H997" s="201"/>
      <c r="I997" s="202" t="s">
        <v>2650</v>
      </c>
      <c r="J997" s="202" t="s">
        <v>2650</v>
      </c>
      <c r="K997" s="203" t="s">
        <v>2673</v>
      </c>
      <c r="L997" s="202" t="s">
        <v>2650</v>
      </c>
      <c r="M997" s="202" t="s">
        <v>2650</v>
      </c>
    </row>
    <row r="998" spans="1:13" ht="12.75" customHeight="1" x14ac:dyDescent="0.2">
      <c r="A998" s="195" t="s">
        <v>2674</v>
      </c>
      <c r="B998" s="200" t="s">
        <v>2649</v>
      </c>
      <c r="C998" s="195" t="s">
        <v>2649</v>
      </c>
      <c r="D998" s="201"/>
      <c r="E998" s="202" t="s">
        <v>2650</v>
      </c>
      <c r="F998" s="201"/>
      <c r="G998" s="201"/>
      <c r="H998" s="201"/>
      <c r="I998" s="202" t="s">
        <v>2650</v>
      </c>
      <c r="J998" s="202" t="s">
        <v>2650</v>
      </c>
      <c r="K998" s="203" t="s">
        <v>2674</v>
      </c>
      <c r="L998" s="202" t="s">
        <v>2650</v>
      </c>
      <c r="M998" s="202" t="s">
        <v>2650</v>
      </c>
    </row>
    <row r="999" spans="1:13" ht="12.75" customHeight="1" x14ac:dyDescent="0.2">
      <c r="A999" s="195" t="s">
        <v>2675</v>
      </c>
      <c r="B999" s="200" t="s">
        <v>2649</v>
      </c>
      <c r="C999" s="195" t="s">
        <v>2649</v>
      </c>
      <c r="D999" s="201"/>
      <c r="E999" s="202" t="s">
        <v>2650</v>
      </c>
      <c r="F999" s="201"/>
      <c r="G999" s="201"/>
      <c r="H999" s="201"/>
      <c r="I999" s="202" t="s">
        <v>2650</v>
      </c>
      <c r="J999" s="202" t="s">
        <v>2650</v>
      </c>
      <c r="K999" s="203" t="s">
        <v>2675</v>
      </c>
      <c r="L999" s="202" t="s">
        <v>2650</v>
      </c>
      <c r="M999" s="202" t="s">
        <v>2650</v>
      </c>
    </row>
    <row r="1000" spans="1:13" ht="12.75" customHeight="1" x14ac:dyDescent="0.2">
      <c r="A1000" s="195" t="s">
        <v>2676</v>
      </c>
      <c r="B1000" s="200" t="s">
        <v>2649</v>
      </c>
      <c r="C1000" s="195" t="s">
        <v>2649</v>
      </c>
      <c r="D1000" s="201"/>
      <c r="E1000" s="202" t="s">
        <v>2650</v>
      </c>
      <c r="F1000" s="201"/>
      <c r="G1000" s="201"/>
      <c r="H1000" s="201"/>
      <c r="I1000" s="202" t="s">
        <v>2650</v>
      </c>
      <c r="J1000" s="202" t="s">
        <v>2650</v>
      </c>
      <c r="K1000" s="203" t="s">
        <v>2676</v>
      </c>
      <c r="L1000" s="202" t="s">
        <v>2650</v>
      </c>
      <c r="M1000" s="202" t="s">
        <v>2650</v>
      </c>
    </row>
    <row r="1001" spans="1:13" ht="12.75" customHeight="1" x14ac:dyDescent="0.2">
      <c r="A1001" s="195" t="s">
        <v>2677</v>
      </c>
      <c r="B1001" s="200" t="s">
        <v>2649</v>
      </c>
      <c r="C1001" s="195" t="s">
        <v>2649</v>
      </c>
      <c r="D1001" s="201"/>
      <c r="E1001" s="202" t="s">
        <v>2650</v>
      </c>
      <c r="F1001" s="201"/>
      <c r="G1001" s="201"/>
      <c r="H1001" s="201"/>
      <c r="I1001" s="202" t="s">
        <v>2650</v>
      </c>
      <c r="J1001" s="202" t="s">
        <v>2650</v>
      </c>
      <c r="K1001" s="203" t="s">
        <v>2677</v>
      </c>
      <c r="L1001" s="202" t="s">
        <v>2650</v>
      </c>
      <c r="M1001" s="202" t="s">
        <v>2650</v>
      </c>
    </row>
    <row r="1002" spans="1:13" ht="12.75" customHeight="1" x14ac:dyDescent="0.2">
      <c r="A1002" s="195" t="s">
        <v>2678</v>
      </c>
      <c r="B1002" s="200" t="s">
        <v>2649</v>
      </c>
      <c r="C1002" s="195" t="s">
        <v>2649</v>
      </c>
      <c r="D1002" s="201"/>
      <c r="E1002" s="202" t="s">
        <v>2650</v>
      </c>
      <c r="F1002" s="201"/>
      <c r="G1002" s="201"/>
      <c r="H1002" s="201"/>
      <c r="I1002" s="202" t="s">
        <v>2650</v>
      </c>
      <c r="J1002" s="202" t="s">
        <v>2650</v>
      </c>
      <c r="K1002" s="203" t="s">
        <v>2678</v>
      </c>
      <c r="L1002" s="202" t="s">
        <v>2650</v>
      </c>
      <c r="M1002" s="202" t="s">
        <v>2650</v>
      </c>
    </row>
    <row r="1003" spans="1:13" ht="12.75" customHeight="1" x14ac:dyDescent="0.2">
      <c r="A1003" s="195" t="s">
        <v>2679</v>
      </c>
      <c r="B1003" s="200" t="s">
        <v>2649</v>
      </c>
      <c r="C1003" s="195" t="s">
        <v>2649</v>
      </c>
      <c r="D1003" s="201"/>
      <c r="E1003" s="202" t="s">
        <v>2650</v>
      </c>
      <c r="F1003" s="201"/>
      <c r="G1003" s="201"/>
      <c r="H1003" s="201"/>
      <c r="I1003" s="202" t="s">
        <v>2650</v>
      </c>
      <c r="J1003" s="202" t="s">
        <v>2650</v>
      </c>
      <c r="K1003" s="203" t="s">
        <v>2679</v>
      </c>
      <c r="L1003" s="202" t="s">
        <v>2650</v>
      </c>
      <c r="M1003" s="202" t="s">
        <v>2650</v>
      </c>
    </row>
    <row r="1004" spans="1:13" ht="12.75" customHeight="1" x14ac:dyDescent="0.2">
      <c r="A1004" s="195" t="s">
        <v>2680</v>
      </c>
      <c r="B1004" s="200" t="s">
        <v>2649</v>
      </c>
      <c r="C1004" s="195" t="s">
        <v>2649</v>
      </c>
      <c r="D1004" s="201"/>
      <c r="E1004" s="202" t="s">
        <v>2650</v>
      </c>
      <c r="F1004" s="201"/>
      <c r="G1004" s="201"/>
      <c r="H1004" s="201"/>
      <c r="I1004" s="202" t="s">
        <v>2650</v>
      </c>
      <c r="J1004" s="202" t="s">
        <v>2650</v>
      </c>
      <c r="K1004" s="203" t="s">
        <v>2680</v>
      </c>
      <c r="L1004" s="202" t="s">
        <v>2650</v>
      </c>
      <c r="M1004" s="202" t="s">
        <v>2650</v>
      </c>
    </row>
    <row r="1005" spans="1:13" ht="12.75" customHeight="1" x14ac:dyDescent="0.2">
      <c r="A1005" s="195" t="s">
        <v>2681</v>
      </c>
      <c r="B1005" s="200" t="s">
        <v>2649</v>
      </c>
      <c r="C1005" s="195" t="s">
        <v>2649</v>
      </c>
      <c r="D1005" s="201"/>
      <c r="E1005" s="202" t="s">
        <v>2650</v>
      </c>
      <c r="F1005" s="201"/>
      <c r="G1005" s="201"/>
      <c r="H1005" s="201"/>
      <c r="I1005" s="202" t="s">
        <v>2650</v>
      </c>
      <c r="J1005" s="202" t="s">
        <v>2650</v>
      </c>
      <c r="K1005" s="203" t="s">
        <v>2681</v>
      </c>
      <c r="L1005" s="202" t="s">
        <v>2650</v>
      </c>
      <c r="M1005" s="202" t="s">
        <v>2650</v>
      </c>
    </row>
    <row r="1006" spans="1:13" ht="12.75" customHeight="1" x14ac:dyDescent="0.2">
      <c r="A1006" s="195" t="s">
        <v>2682</v>
      </c>
      <c r="B1006" s="200" t="s">
        <v>2649</v>
      </c>
      <c r="C1006" s="195" t="s">
        <v>2649</v>
      </c>
      <c r="D1006" s="201"/>
      <c r="E1006" s="202" t="s">
        <v>2650</v>
      </c>
      <c r="F1006" s="201"/>
      <c r="G1006" s="201"/>
      <c r="H1006" s="201"/>
      <c r="I1006" s="202" t="s">
        <v>2650</v>
      </c>
      <c r="J1006" s="202" t="s">
        <v>2650</v>
      </c>
      <c r="K1006" s="203" t="s">
        <v>2682</v>
      </c>
      <c r="L1006" s="202" t="s">
        <v>2650</v>
      </c>
      <c r="M1006" s="202" t="s">
        <v>2650</v>
      </c>
    </row>
    <row r="1007" spans="1:13" ht="12.75" customHeight="1" x14ac:dyDescent="0.2">
      <c r="A1007" s="195" t="s">
        <v>2683</v>
      </c>
      <c r="B1007" s="200" t="s">
        <v>2649</v>
      </c>
      <c r="C1007" s="195" t="s">
        <v>2649</v>
      </c>
      <c r="D1007" s="201"/>
      <c r="E1007" s="202" t="s">
        <v>2650</v>
      </c>
      <c r="F1007" s="201"/>
      <c r="G1007" s="201"/>
      <c r="H1007" s="201"/>
      <c r="I1007" s="202" t="s">
        <v>2650</v>
      </c>
      <c r="J1007" s="202" t="s">
        <v>2650</v>
      </c>
      <c r="K1007" s="203" t="s">
        <v>2683</v>
      </c>
      <c r="L1007" s="202" t="s">
        <v>2650</v>
      </c>
      <c r="M1007" s="202" t="s">
        <v>2650</v>
      </c>
    </row>
    <row r="1008" spans="1:13" ht="12.75" customHeight="1" x14ac:dyDescent="0.2">
      <c r="A1008" s="195" t="s">
        <v>2684</v>
      </c>
      <c r="B1008" s="200" t="s">
        <v>2649</v>
      </c>
      <c r="C1008" s="195" t="s">
        <v>2649</v>
      </c>
      <c r="D1008" s="201"/>
      <c r="E1008" s="202" t="s">
        <v>2650</v>
      </c>
      <c r="F1008" s="201"/>
      <c r="G1008" s="201"/>
      <c r="H1008" s="201"/>
      <c r="I1008" s="202" t="s">
        <v>2650</v>
      </c>
      <c r="J1008" s="202" t="s">
        <v>2650</v>
      </c>
      <c r="K1008" s="203" t="s">
        <v>2684</v>
      </c>
      <c r="L1008" s="202" t="s">
        <v>2650</v>
      </c>
      <c r="M1008" s="202" t="s">
        <v>2650</v>
      </c>
    </row>
    <row r="1009" spans="1:13" ht="12.75" customHeight="1" x14ac:dyDescent="0.2">
      <c r="A1009" s="195" t="s">
        <v>2685</v>
      </c>
      <c r="B1009" s="200" t="s">
        <v>2649</v>
      </c>
      <c r="C1009" s="195" t="s">
        <v>2649</v>
      </c>
      <c r="D1009" s="201"/>
      <c r="E1009" s="202" t="s">
        <v>2650</v>
      </c>
      <c r="F1009" s="201"/>
      <c r="G1009" s="201"/>
      <c r="H1009" s="201"/>
      <c r="I1009" s="202" t="s">
        <v>2650</v>
      </c>
      <c r="J1009" s="202" t="s">
        <v>2650</v>
      </c>
      <c r="K1009" s="203" t="s">
        <v>2685</v>
      </c>
      <c r="L1009" s="202" t="s">
        <v>2650</v>
      </c>
      <c r="M1009" s="202" t="s">
        <v>2650</v>
      </c>
    </row>
    <row r="1010" spans="1:13" ht="12.75" customHeight="1" x14ac:dyDescent="0.2">
      <c r="A1010" s="195" t="s">
        <v>2686</v>
      </c>
      <c r="B1010" s="200" t="s">
        <v>2649</v>
      </c>
      <c r="C1010" s="195" t="s">
        <v>2649</v>
      </c>
      <c r="D1010" s="201"/>
      <c r="E1010" s="202" t="s">
        <v>2650</v>
      </c>
      <c r="F1010" s="201"/>
      <c r="G1010" s="201"/>
      <c r="H1010" s="201"/>
      <c r="I1010" s="202" t="s">
        <v>2650</v>
      </c>
      <c r="J1010" s="202" t="s">
        <v>2650</v>
      </c>
      <c r="K1010" s="203" t="s">
        <v>2686</v>
      </c>
      <c r="L1010" s="202" t="s">
        <v>2650</v>
      </c>
      <c r="M1010" s="202" t="s">
        <v>2650</v>
      </c>
    </row>
    <row r="1011" spans="1:13" ht="12.75" customHeight="1" x14ac:dyDescent="0.2">
      <c r="A1011" s="195" t="s">
        <v>2687</v>
      </c>
      <c r="B1011" s="200" t="s">
        <v>2649</v>
      </c>
      <c r="C1011" s="195" t="s">
        <v>2649</v>
      </c>
      <c r="D1011" s="201"/>
      <c r="E1011" s="202" t="s">
        <v>2650</v>
      </c>
      <c r="F1011" s="201"/>
      <c r="G1011" s="201"/>
      <c r="H1011" s="201"/>
      <c r="I1011" s="202" t="s">
        <v>2650</v>
      </c>
      <c r="J1011" s="202" t="s">
        <v>2650</v>
      </c>
      <c r="K1011" s="203" t="s">
        <v>2687</v>
      </c>
      <c r="L1011" s="202" t="s">
        <v>2650</v>
      </c>
      <c r="M1011" s="202" t="s">
        <v>2650</v>
      </c>
    </row>
    <row r="1012" spans="1:13" ht="12.75" customHeight="1" x14ac:dyDescent="0.2">
      <c r="A1012" s="195" t="s">
        <v>2688</v>
      </c>
      <c r="B1012" s="200" t="s">
        <v>2649</v>
      </c>
      <c r="C1012" s="195" t="s">
        <v>2649</v>
      </c>
      <c r="D1012" s="201"/>
      <c r="E1012" s="202" t="s">
        <v>2650</v>
      </c>
      <c r="F1012" s="201"/>
      <c r="G1012" s="201"/>
      <c r="H1012" s="201"/>
      <c r="I1012" s="202" t="s">
        <v>2650</v>
      </c>
      <c r="J1012" s="202" t="s">
        <v>2650</v>
      </c>
      <c r="K1012" s="203" t="s">
        <v>2688</v>
      </c>
      <c r="L1012" s="202" t="s">
        <v>2650</v>
      </c>
      <c r="M1012" s="202" t="s">
        <v>2650</v>
      </c>
    </row>
    <row r="1013" spans="1:13" ht="12.75" customHeight="1" x14ac:dyDescent="0.2">
      <c r="A1013" s="195" t="s">
        <v>2689</v>
      </c>
      <c r="B1013" s="200" t="s">
        <v>2649</v>
      </c>
      <c r="C1013" s="195" t="s">
        <v>2649</v>
      </c>
      <c r="D1013" s="201"/>
      <c r="E1013" s="202" t="s">
        <v>2650</v>
      </c>
      <c r="F1013" s="201"/>
      <c r="G1013" s="201"/>
      <c r="H1013" s="201"/>
      <c r="I1013" s="202" t="s">
        <v>2650</v>
      </c>
      <c r="J1013" s="202" t="s">
        <v>2650</v>
      </c>
      <c r="K1013" s="203" t="s">
        <v>2689</v>
      </c>
      <c r="L1013" s="202" t="s">
        <v>2650</v>
      </c>
      <c r="M1013" s="202" t="s">
        <v>2650</v>
      </c>
    </row>
    <row r="1014" spans="1:13" ht="12.75" customHeight="1" x14ac:dyDescent="0.2">
      <c r="A1014" s="195" t="s">
        <v>2690</v>
      </c>
      <c r="B1014" s="200" t="s">
        <v>2649</v>
      </c>
      <c r="C1014" s="195" t="s">
        <v>2649</v>
      </c>
      <c r="D1014" s="201"/>
      <c r="E1014" s="202" t="s">
        <v>2650</v>
      </c>
      <c r="F1014" s="201"/>
      <c r="G1014" s="201"/>
      <c r="H1014" s="201"/>
      <c r="I1014" s="202" t="s">
        <v>2650</v>
      </c>
      <c r="J1014" s="202" t="s">
        <v>2650</v>
      </c>
      <c r="K1014" s="203" t="s">
        <v>2690</v>
      </c>
      <c r="L1014" s="202" t="s">
        <v>2650</v>
      </c>
      <c r="M1014" s="202" t="s">
        <v>2650</v>
      </c>
    </row>
    <row r="1015" spans="1:13" ht="12.75" customHeight="1" x14ac:dyDescent="0.2">
      <c r="A1015" s="195" t="s">
        <v>2691</v>
      </c>
      <c r="B1015" s="200" t="s">
        <v>2649</v>
      </c>
      <c r="C1015" s="195" t="s">
        <v>2649</v>
      </c>
      <c r="D1015" s="201"/>
      <c r="E1015" s="202" t="s">
        <v>2650</v>
      </c>
      <c r="F1015" s="201"/>
      <c r="G1015" s="201"/>
      <c r="H1015" s="201"/>
      <c r="I1015" s="202" t="s">
        <v>2650</v>
      </c>
      <c r="J1015" s="202" t="s">
        <v>2650</v>
      </c>
      <c r="K1015" s="203" t="s">
        <v>2691</v>
      </c>
      <c r="L1015" s="202" t="s">
        <v>2650</v>
      </c>
      <c r="M1015" s="202" t="s">
        <v>2650</v>
      </c>
    </row>
    <row r="1016" spans="1:13" ht="12.75" customHeight="1" x14ac:dyDescent="0.2">
      <c r="A1016" s="195" t="s">
        <v>2692</v>
      </c>
      <c r="B1016" s="200" t="s">
        <v>2649</v>
      </c>
      <c r="C1016" s="195" t="s">
        <v>2649</v>
      </c>
      <c r="D1016" s="201"/>
      <c r="E1016" s="202" t="s">
        <v>2650</v>
      </c>
      <c r="F1016" s="201"/>
      <c r="G1016" s="201"/>
      <c r="H1016" s="201"/>
      <c r="I1016" s="202" t="s">
        <v>2650</v>
      </c>
      <c r="J1016" s="202" t="s">
        <v>2650</v>
      </c>
      <c r="K1016" s="203" t="s">
        <v>2692</v>
      </c>
      <c r="L1016" s="202" t="s">
        <v>2650</v>
      </c>
      <c r="M1016" s="202" t="s">
        <v>2650</v>
      </c>
    </row>
    <row r="1017" spans="1:13" ht="12.75" customHeight="1" x14ac:dyDescent="0.2">
      <c r="A1017" s="195" t="s">
        <v>2693</v>
      </c>
      <c r="B1017" s="200" t="s">
        <v>2649</v>
      </c>
      <c r="C1017" s="195" t="s">
        <v>2649</v>
      </c>
      <c r="D1017" s="201"/>
      <c r="E1017" s="202" t="s">
        <v>2650</v>
      </c>
      <c r="F1017" s="201"/>
      <c r="G1017" s="201"/>
      <c r="H1017" s="201"/>
      <c r="I1017" s="202" t="s">
        <v>2650</v>
      </c>
      <c r="J1017" s="202" t="s">
        <v>2650</v>
      </c>
      <c r="K1017" s="203" t="s">
        <v>2693</v>
      </c>
      <c r="L1017" s="202" t="s">
        <v>2650</v>
      </c>
      <c r="M1017" s="202" t="s">
        <v>2650</v>
      </c>
    </row>
    <row r="1018" spans="1:13" ht="12.75" customHeight="1" x14ac:dyDescent="0.2">
      <c r="A1018" s="195" t="s">
        <v>2694</v>
      </c>
      <c r="B1018" s="200" t="s">
        <v>2649</v>
      </c>
      <c r="C1018" s="195" t="s">
        <v>2649</v>
      </c>
      <c r="D1018" s="201"/>
      <c r="E1018" s="202" t="s">
        <v>2650</v>
      </c>
      <c r="F1018" s="201"/>
      <c r="G1018" s="201"/>
      <c r="H1018" s="201"/>
      <c r="I1018" s="202" t="s">
        <v>2650</v>
      </c>
      <c r="J1018" s="202" t="s">
        <v>2650</v>
      </c>
      <c r="K1018" s="203" t="s">
        <v>2694</v>
      </c>
      <c r="L1018" s="202" t="s">
        <v>2650</v>
      </c>
      <c r="M1018" s="202" t="s">
        <v>2650</v>
      </c>
    </row>
    <row r="1019" spans="1:13" ht="12.75" customHeight="1" x14ac:dyDescent="0.2">
      <c r="A1019" s="195" t="s">
        <v>2695</v>
      </c>
      <c r="B1019" s="200" t="s">
        <v>2649</v>
      </c>
      <c r="C1019" s="195" t="s">
        <v>2649</v>
      </c>
      <c r="D1019" s="201"/>
      <c r="E1019" s="202" t="s">
        <v>2650</v>
      </c>
      <c r="F1019" s="201"/>
      <c r="G1019" s="201"/>
      <c r="H1019" s="201"/>
      <c r="I1019" s="202" t="s">
        <v>2650</v>
      </c>
      <c r="J1019" s="202" t="s">
        <v>2650</v>
      </c>
      <c r="K1019" s="203" t="s">
        <v>2695</v>
      </c>
      <c r="L1019" s="202" t="s">
        <v>2650</v>
      </c>
      <c r="M1019" s="202" t="s">
        <v>2650</v>
      </c>
    </row>
    <row r="1020" spans="1:13" ht="12.75" customHeight="1" x14ac:dyDescent="0.2">
      <c r="A1020" s="195" t="s">
        <v>2696</v>
      </c>
      <c r="B1020" s="200" t="s">
        <v>2649</v>
      </c>
      <c r="C1020" s="195" t="s">
        <v>2649</v>
      </c>
      <c r="D1020" s="201"/>
      <c r="E1020" s="202" t="s">
        <v>2650</v>
      </c>
      <c r="F1020" s="201"/>
      <c r="G1020" s="201"/>
      <c r="H1020" s="201"/>
      <c r="I1020" s="202" t="s">
        <v>2650</v>
      </c>
      <c r="J1020" s="202" t="s">
        <v>2650</v>
      </c>
      <c r="K1020" s="203" t="s">
        <v>2696</v>
      </c>
      <c r="L1020" s="202" t="s">
        <v>2650</v>
      </c>
      <c r="M1020" s="202" t="s">
        <v>2650</v>
      </c>
    </row>
    <row r="1021" spans="1:13" ht="12.75" customHeight="1" x14ac:dyDescent="0.2">
      <c r="A1021" s="195" t="s">
        <v>2697</v>
      </c>
      <c r="B1021" s="200" t="s">
        <v>2649</v>
      </c>
      <c r="C1021" s="195" t="s">
        <v>2649</v>
      </c>
      <c r="D1021" s="201"/>
      <c r="E1021" s="202" t="s">
        <v>2650</v>
      </c>
      <c r="F1021" s="201"/>
      <c r="G1021" s="201"/>
      <c r="H1021" s="201"/>
      <c r="I1021" s="202" t="s">
        <v>2650</v>
      </c>
      <c r="J1021" s="202" t="s">
        <v>2650</v>
      </c>
      <c r="K1021" s="203" t="s">
        <v>2697</v>
      </c>
      <c r="L1021" s="202" t="s">
        <v>2650</v>
      </c>
      <c r="M1021" s="202" t="s">
        <v>2650</v>
      </c>
    </row>
    <row r="1022" spans="1:13" ht="12.75" customHeight="1" x14ac:dyDescent="0.2">
      <c r="A1022" s="195" t="s">
        <v>2698</v>
      </c>
      <c r="B1022" s="200" t="s">
        <v>2649</v>
      </c>
      <c r="C1022" s="195" t="s">
        <v>2649</v>
      </c>
      <c r="D1022" s="201"/>
      <c r="E1022" s="202" t="s">
        <v>2650</v>
      </c>
      <c r="F1022" s="201"/>
      <c r="G1022" s="201"/>
      <c r="H1022" s="201"/>
      <c r="I1022" s="202" t="s">
        <v>2650</v>
      </c>
      <c r="J1022" s="202" t="s">
        <v>2650</v>
      </c>
      <c r="K1022" s="203" t="s">
        <v>2698</v>
      </c>
      <c r="L1022" s="202" t="s">
        <v>2650</v>
      </c>
      <c r="M1022" s="202" t="s">
        <v>2650</v>
      </c>
    </row>
    <row r="1023" spans="1:13" ht="12.75" customHeight="1" x14ac:dyDescent="0.2">
      <c r="A1023" s="195" t="s">
        <v>2699</v>
      </c>
      <c r="B1023" s="200" t="s">
        <v>2649</v>
      </c>
      <c r="C1023" s="195" t="s">
        <v>2649</v>
      </c>
      <c r="D1023" s="201"/>
      <c r="E1023" s="204" t="s">
        <v>2650</v>
      </c>
      <c r="F1023" s="201"/>
      <c r="G1023" s="201"/>
      <c r="H1023" s="201"/>
      <c r="I1023" s="202" t="s">
        <v>2650</v>
      </c>
      <c r="J1023" s="202" t="s">
        <v>2650</v>
      </c>
      <c r="K1023" s="205" t="s">
        <v>2699</v>
      </c>
      <c r="L1023" s="204" t="s">
        <v>2650</v>
      </c>
      <c r="M1023" s="202" t="s">
        <v>2650</v>
      </c>
    </row>
  </sheetData>
  <sheetProtection algorithmName="SHA-512" hashValue="OtdYwLfnHS4DEshc8ImGOO76hD7VMkdvm3OIKbehvvQmNVhDhz7NDVGvPOk2yzAEiU9+nZ08mv9AwGUcEAit8w==" saltValue="N0MaAwzxVDFkI4dPGs3cug==" spinCount="100000" sheet="1" formatColumns="0" sort="0" autoFilter="0"/>
  <autoFilter ref="A5:L1031" xr:uid="{00000000-0009-0000-0000-000003000000}"/>
  <mergeCells count="3">
    <mergeCell ref="A1:L2"/>
    <mergeCell ref="A3:L3"/>
    <mergeCell ref="C973:H973"/>
  </mergeCells>
  <dataValidations count="5">
    <dataValidation allowBlank="1" showInputMessage="1" showErrorMessage="1" prompt="Input fixture description to match submitted cut sheets." sqref="E974:E1023" xr:uid="{00000000-0002-0000-0300-000000000000}"/>
    <dataValidation allowBlank="1" showInputMessage="1" showErrorMessage="1" prompt="Input total fixture wattage." sqref="I974:J1023" xr:uid="{00000000-0002-0000-0300-000001000000}"/>
    <dataValidation type="list" allowBlank="1" showInputMessage="1" showErrorMessage="1" sqref="L974:L1023" xr:uid="{00000000-0002-0000-0300-000002000000}">
      <formula1>"General,Screw-In"</formula1>
    </dataValidation>
    <dataValidation allowBlank="1" showDropDown="1" showErrorMessage="1" prompt="Choose a fixture code that represents the mandated baseline to which this fixture will be compared." sqref="K974:K1023" xr:uid="{00000000-0002-0000-0300-000003000000}"/>
    <dataValidation type="list" allowBlank="1" showInputMessage="1" showErrorMessage="1" sqref="M974:M1023" xr:uid="{00000000-0002-0000-0300-000004000000}">
      <formula1>Reporting_Categories</formula1>
    </dataValidation>
  </dataValidation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4" tint="-0.499984740745262"/>
    <pageSetUpPr autoPageBreaks="0"/>
  </sheetPr>
  <dimension ref="A1:FS599"/>
  <sheetViews>
    <sheetView workbookViewId="0">
      <selection activeCell="F13" sqref="F13:O13"/>
    </sheetView>
  </sheetViews>
  <sheetFormatPr defaultRowHeight="15" x14ac:dyDescent="0.25"/>
  <cols>
    <col min="1" max="1" width="1.5703125" customWidth="1"/>
    <col min="2" max="2" width="5.85546875" customWidth="1"/>
    <col min="3" max="3" width="14.140625" customWidth="1"/>
    <col min="4" max="4" width="13.7109375" customWidth="1"/>
    <col min="5" max="28" width="4.28515625" customWidth="1"/>
    <col min="29" max="29" width="3.28515625" customWidth="1"/>
    <col min="30" max="30" width="5.42578125" customWidth="1"/>
    <col min="31" max="32" width="8.7109375" customWidth="1"/>
    <col min="33" max="33" width="5" customWidth="1"/>
    <col min="34" max="34" width="11.5703125" hidden="1" customWidth="1"/>
    <col min="35" max="38" width="4.85546875" hidden="1" customWidth="1"/>
    <col min="39" max="39" width="6.7109375" hidden="1" customWidth="1"/>
    <col min="40" max="40" width="11.5703125" hidden="1" customWidth="1"/>
    <col min="41" max="44" width="4.85546875" hidden="1" customWidth="1"/>
    <col min="45" max="50" width="9.7109375" customWidth="1"/>
    <col min="51" max="51" width="12.5703125" customWidth="1"/>
    <col min="52" max="70" width="9.140625" style="7"/>
    <col min="71" max="71" width="22.85546875" customWidth="1"/>
  </cols>
  <sheetData>
    <row r="1" spans="1:175" ht="8.25" customHeight="1" thickBot="1" x14ac:dyDescent="0.3">
      <c r="A1" s="262"/>
      <c r="B1" s="262"/>
      <c r="C1" s="262"/>
      <c r="D1" s="262"/>
      <c r="E1" s="262"/>
      <c r="F1" s="262"/>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331"/>
      <c r="AI1" s="331"/>
      <c r="AJ1" s="331"/>
      <c r="AK1" s="331"/>
      <c r="AL1" s="331"/>
      <c r="AM1" s="331"/>
      <c r="AN1" s="331"/>
      <c r="AO1" s="331"/>
      <c r="AP1" s="331"/>
      <c r="AQ1" s="331"/>
      <c r="AR1" s="331"/>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row>
    <row r="2" spans="1:175" ht="21" customHeight="1" x14ac:dyDescent="0.25">
      <c r="A2" s="332"/>
      <c r="B2" s="230"/>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2"/>
      <c r="AH2" s="213"/>
      <c r="AI2" s="213"/>
      <c r="AJ2" s="213"/>
      <c r="AK2" s="213"/>
      <c r="AL2" s="213"/>
      <c r="AM2" s="213"/>
      <c r="AN2" s="213"/>
      <c r="AO2" s="213"/>
      <c r="AP2" s="213"/>
      <c r="AQ2" s="213"/>
      <c r="AR2" s="213"/>
      <c r="AS2" s="262"/>
      <c r="AT2" s="262"/>
      <c r="AU2" s="262"/>
      <c r="AV2" s="262"/>
      <c r="AW2" s="262"/>
      <c r="AX2" s="262"/>
      <c r="AY2" s="262"/>
      <c r="AZ2" s="262"/>
      <c r="BA2" s="262"/>
      <c r="BB2" s="262"/>
      <c r="BC2" s="262"/>
      <c r="BD2" s="262"/>
      <c r="BE2" s="262"/>
      <c r="BF2" s="262"/>
      <c r="BG2" s="262"/>
      <c r="BH2" s="262"/>
      <c r="BI2" s="262"/>
      <c r="BJ2" s="262"/>
      <c r="BK2" s="262"/>
      <c r="BL2" s="262"/>
      <c r="BM2" s="262"/>
      <c r="BN2" s="262"/>
      <c r="BO2" s="262"/>
      <c r="BP2" s="262"/>
      <c r="BQ2" s="262"/>
      <c r="BR2" s="262"/>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row>
    <row r="3" spans="1:175" ht="42" customHeight="1" x14ac:dyDescent="0.25">
      <c r="A3" s="332"/>
      <c r="B3" s="233"/>
      <c r="C3" s="8"/>
      <c r="D3" s="8"/>
      <c r="E3" s="1001" t="s">
        <v>2700</v>
      </c>
      <c r="F3" s="1001"/>
      <c r="G3" s="1001"/>
      <c r="H3" s="1001"/>
      <c r="I3" s="1001"/>
      <c r="J3" s="1001"/>
      <c r="K3" s="1001"/>
      <c r="L3" s="1001"/>
      <c r="M3" s="1001"/>
      <c r="N3" s="1001"/>
      <c r="O3" s="1001"/>
      <c r="P3" s="1001"/>
      <c r="Q3" s="1001"/>
      <c r="R3" s="1001"/>
      <c r="S3" s="1001"/>
      <c r="T3" s="1001"/>
      <c r="U3" s="1001"/>
      <c r="V3" s="1001"/>
      <c r="W3" s="1001"/>
      <c r="X3" s="1001"/>
      <c r="Y3" s="1001"/>
      <c r="Z3" s="1001"/>
      <c r="AA3" s="1001"/>
      <c r="AB3" s="1001"/>
      <c r="AC3" s="1001"/>
      <c r="AD3" s="1001"/>
      <c r="AE3" s="1001"/>
      <c r="AF3" s="1001"/>
      <c r="AG3" s="1002"/>
      <c r="AH3" s="214"/>
      <c r="AI3" s="214"/>
      <c r="AJ3" s="214"/>
      <c r="AK3" s="214"/>
      <c r="AL3" s="215"/>
      <c r="AM3" s="215"/>
      <c r="AN3" s="215"/>
      <c r="AO3" s="215"/>
      <c r="AP3" s="215"/>
      <c r="AQ3" s="215"/>
      <c r="AR3" s="215"/>
      <c r="AS3" s="262"/>
      <c r="AT3" s="262"/>
      <c r="AU3" s="262"/>
      <c r="AV3" s="262"/>
      <c r="AW3" s="262"/>
      <c r="AX3" s="262"/>
      <c r="AY3" s="262"/>
      <c r="AZ3" s="262"/>
      <c r="BA3" s="262"/>
      <c r="BB3" s="262"/>
      <c r="BC3" s="262"/>
      <c r="BD3" s="262"/>
      <c r="BE3" s="262"/>
      <c r="BF3" s="262"/>
      <c r="BG3" s="262"/>
      <c r="BH3" s="262"/>
      <c r="BI3" s="262"/>
      <c r="BJ3" s="262"/>
      <c r="BK3" s="262"/>
      <c r="BL3" s="262"/>
      <c r="BM3" s="262"/>
      <c r="BN3" s="262"/>
      <c r="BO3" s="262"/>
      <c r="BP3" s="262"/>
      <c r="BQ3" s="262"/>
      <c r="BR3" s="262"/>
      <c r="BS3" s="235"/>
      <c r="BT3" s="7"/>
      <c r="BU3" s="7"/>
      <c r="BV3" s="7"/>
      <c r="BW3" s="7"/>
      <c r="BX3" s="7"/>
      <c r="BY3" s="7"/>
      <c r="BZ3" s="7"/>
      <c r="CA3" s="7"/>
      <c r="CB3" s="7"/>
      <c r="CC3" s="7"/>
      <c r="CD3" s="7"/>
      <c r="CE3" s="7"/>
      <c r="CF3" s="7"/>
      <c r="CG3" s="7"/>
      <c r="CH3" s="7"/>
      <c r="CI3" s="7"/>
      <c r="CJ3" s="7"/>
      <c r="CK3" s="216"/>
      <c r="CL3" s="216"/>
      <c r="CM3" s="217"/>
      <c r="CN3" s="460"/>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row>
    <row r="4" spans="1:175" ht="12" customHeight="1" thickBot="1" x14ac:dyDescent="0.3">
      <c r="A4" s="332"/>
      <c r="B4" s="233"/>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234"/>
      <c r="AH4" s="215"/>
      <c r="AI4" s="215"/>
      <c r="AJ4" s="215"/>
      <c r="AK4" s="215"/>
      <c r="AL4" s="215"/>
      <c r="AM4" s="215"/>
      <c r="AN4" s="215"/>
      <c r="AO4" s="215"/>
      <c r="AP4" s="215"/>
      <c r="AQ4" s="215"/>
      <c r="AR4" s="215"/>
      <c r="AS4" s="262"/>
      <c r="AT4" s="262"/>
      <c r="AU4" s="262"/>
      <c r="AV4" s="262"/>
      <c r="AW4" s="262"/>
      <c r="AX4" s="262"/>
      <c r="AY4" s="262"/>
      <c r="AZ4" s="262"/>
      <c r="BA4" s="262"/>
      <c r="BB4" s="262"/>
      <c r="BC4" s="262"/>
      <c r="BD4" s="262"/>
      <c r="BE4" s="262"/>
      <c r="BF4" s="262"/>
      <c r="BG4" s="262"/>
      <c r="BH4" s="262"/>
      <c r="BI4" s="262"/>
      <c r="BJ4" s="262"/>
      <c r="BK4" s="262"/>
      <c r="BL4" s="262"/>
      <c r="BM4" s="262"/>
      <c r="BN4" s="262"/>
      <c r="BO4" s="262"/>
      <c r="BP4" s="262"/>
      <c r="BQ4" s="262"/>
      <c r="BR4" s="262"/>
      <c r="BS4" s="235"/>
      <c r="BT4" s="7"/>
      <c r="BU4" s="7"/>
      <c r="BV4" s="7"/>
      <c r="BW4" s="7"/>
      <c r="BX4" s="7"/>
      <c r="BY4" s="7"/>
      <c r="BZ4" s="7"/>
      <c r="CA4" s="7"/>
      <c r="CB4" s="7"/>
      <c r="CC4" s="7"/>
      <c r="CD4" s="7"/>
      <c r="CE4" s="7"/>
      <c r="CF4" s="7"/>
      <c r="CG4" s="7"/>
      <c r="CH4" s="7"/>
      <c r="CI4" s="7"/>
      <c r="CJ4" s="7"/>
      <c r="CK4" s="216"/>
      <c r="CL4" s="216"/>
      <c r="CM4" s="217"/>
      <c r="CN4" s="460"/>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row>
    <row r="5" spans="1:175" ht="3.75" customHeight="1" thickBot="1" x14ac:dyDescent="0.3">
      <c r="A5" s="332"/>
      <c r="B5" s="1072"/>
      <c r="C5" s="1073"/>
      <c r="D5" s="1073"/>
      <c r="E5" s="1073"/>
      <c r="F5" s="1073"/>
      <c r="G5" s="1073"/>
      <c r="H5" s="1073"/>
      <c r="I5" s="1073"/>
      <c r="J5" s="1073"/>
      <c r="K5" s="1073"/>
      <c r="L5" s="1073"/>
      <c r="M5" s="1073"/>
      <c r="N5" s="1073"/>
      <c r="O5" s="1073"/>
      <c r="P5" s="1073"/>
      <c r="Q5" s="1073"/>
      <c r="R5" s="1073"/>
      <c r="S5" s="1073"/>
      <c r="T5" s="1073"/>
      <c r="U5" s="1073"/>
      <c r="V5" s="1073"/>
      <c r="W5" s="1073"/>
      <c r="X5" s="1073"/>
      <c r="Y5" s="1073"/>
      <c r="Z5" s="1073"/>
      <c r="AA5" s="1073"/>
      <c r="AB5" s="1073"/>
      <c r="AC5" s="1073"/>
      <c r="AD5" s="1073"/>
      <c r="AE5" s="1073"/>
      <c r="AF5" s="1073"/>
      <c r="AG5" s="1074"/>
      <c r="AH5" s="215"/>
      <c r="AI5" s="215"/>
      <c r="AJ5" s="215"/>
      <c r="AK5" s="215"/>
      <c r="AL5" s="215"/>
      <c r="AM5" s="215"/>
      <c r="AN5" s="215"/>
      <c r="AO5" s="215"/>
      <c r="AP5" s="215"/>
      <c r="AQ5" s="215"/>
      <c r="AR5" s="215"/>
      <c r="AS5" s="262"/>
      <c r="AT5" s="262"/>
      <c r="AU5" s="262"/>
      <c r="AV5" s="262"/>
      <c r="AW5" s="262"/>
      <c r="AX5" s="262"/>
      <c r="AY5" s="262"/>
      <c r="AZ5" s="262"/>
      <c r="BA5" s="262"/>
      <c r="BB5" s="262"/>
      <c r="BC5" s="262"/>
      <c r="BD5" s="262"/>
      <c r="BE5" s="262"/>
      <c r="BF5" s="262"/>
      <c r="BG5" s="262"/>
      <c r="BH5" s="262"/>
      <c r="BI5" s="262"/>
      <c r="BJ5" s="262"/>
      <c r="BK5" s="262"/>
      <c r="BL5" s="262"/>
      <c r="BM5" s="262"/>
      <c r="BN5" s="262"/>
      <c r="BO5" s="262"/>
      <c r="BP5" s="262"/>
      <c r="BQ5" s="262"/>
      <c r="BR5" s="262"/>
      <c r="BS5" s="235"/>
      <c r="BT5" s="7"/>
      <c r="BU5" s="7"/>
      <c r="BV5" s="7"/>
      <c r="BW5" s="7"/>
      <c r="BX5" s="7"/>
      <c r="BY5" s="7"/>
      <c r="BZ5" s="7"/>
      <c r="CA5" s="7"/>
      <c r="CB5" s="7"/>
      <c r="CC5" s="7"/>
      <c r="CD5" s="7"/>
      <c r="CE5" s="7"/>
      <c r="CF5" s="7"/>
      <c r="CG5" s="7"/>
      <c r="CH5" s="7"/>
      <c r="CI5" s="7"/>
      <c r="CJ5" s="7"/>
      <c r="CK5" s="216"/>
      <c r="CL5" s="216"/>
      <c r="CM5" s="217"/>
      <c r="CN5" s="460"/>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row>
    <row r="6" spans="1:175" ht="6.75" customHeight="1" x14ac:dyDescent="0.25">
      <c r="A6" s="332"/>
      <c r="B6" s="233"/>
      <c r="C6" s="297"/>
      <c r="D6" s="297"/>
      <c r="E6" s="297"/>
      <c r="F6" s="297"/>
      <c r="G6" s="297"/>
      <c r="H6" s="297"/>
      <c r="I6" s="297"/>
      <c r="J6" s="297"/>
      <c r="K6" s="297"/>
      <c r="L6" s="297"/>
      <c r="M6" s="297"/>
      <c r="N6" s="297"/>
      <c r="O6" s="297"/>
      <c r="P6" s="297"/>
      <c r="Q6" s="297"/>
      <c r="R6" s="297"/>
      <c r="S6" s="297"/>
      <c r="T6" s="297"/>
      <c r="U6" s="297"/>
      <c r="V6" s="297"/>
      <c r="W6" s="297"/>
      <c r="X6" s="297"/>
      <c r="Y6" s="297"/>
      <c r="Z6" s="297"/>
      <c r="AA6" s="297"/>
      <c r="AB6" s="297"/>
      <c r="AC6" s="297"/>
      <c r="AD6" s="297"/>
      <c r="AE6" s="297"/>
      <c r="AF6" s="297"/>
      <c r="AG6" s="298"/>
      <c r="AH6" s="215"/>
      <c r="AI6" s="215"/>
      <c r="AJ6" s="215"/>
      <c r="AK6" s="215"/>
      <c r="AL6" s="215"/>
      <c r="AM6" s="215"/>
      <c r="AN6" s="215"/>
      <c r="AO6" s="215"/>
      <c r="AP6" s="215"/>
      <c r="AQ6" s="215"/>
      <c r="AR6" s="215"/>
      <c r="AS6" s="262"/>
      <c r="AT6" s="262"/>
      <c r="AU6" s="262"/>
      <c r="AV6" s="262"/>
      <c r="AW6" s="262"/>
      <c r="AX6" s="262"/>
      <c r="AY6" s="262"/>
      <c r="AZ6" s="262"/>
      <c r="BA6" s="262"/>
      <c r="BB6" s="262"/>
      <c r="BC6" s="262"/>
      <c r="BD6" s="262"/>
      <c r="BE6" s="262"/>
      <c r="BF6" s="262"/>
      <c r="BG6" s="262"/>
      <c r="BH6" s="262"/>
      <c r="BI6" s="262"/>
      <c r="BJ6" s="262"/>
      <c r="BK6" s="262"/>
      <c r="BL6" s="262"/>
      <c r="BM6" s="262"/>
      <c r="BN6" s="262"/>
      <c r="BO6" s="262"/>
      <c r="BP6" s="262"/>
      <c r="BQ6" s="262"/>
      <c r="BR6" s="262"/>
      <c r="BS6" s="235"/>
      <c r="BT6" s="7"/>
      <c r="BU6" s="7"/>
      <c r="BV6" s="7"/>
      <c r="BW6" s="7"/>
      <c r="BX6" s="7"/>
      <c r="BY6" s="7"/>
      <c r="BZ6" s="7"/>
      <c r="CA6" s="7"/>
      <c r="CB6" s="7"/>
      <c r="CC6" s="7"/>
      <c r="CD6" s="7"/>
      <c r="CE6" s="7"/>
      <c r="CF6" s="7"/>
      <c r="CG6" s="7"/>
      <c r="CH6" s="7"/>
      <c r="CI6" s="7"/>
      <c r="CJ6" s="7"/>
      <c r="CK6" s="216"/>
      <c r="CL6" s="216"/>
      <c r="CM6" s="217"/>
      <c r="CN6" s="460"/>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row>
    <row r="7" spans="1:175" ht="73.5" customHeight="1" x14ac:dyDescent="0.25">
      <c r="A7" s="332"/>
      <c r="B7" s="233"/>
      <c r="C7" s="1029" t="s">
        <v>2701</v>
      </c>
      <c r="D7" s="1075"/>
      <c r="E7" s="1075"/>
      <c r="F7" s="1075"/>
      <c r="G7" s="1075"/>
      <c r="H7" s="1075"/>
      <c r="I7" s="1075"/>
      <c r="J7" s="1075"/>
      <c r="K7" s="1075"/>
      <c r="L7" s="1075"/>
      <c r="M7" s="1075"/>
      <c r="N7" s="1075"/>
      <c r="O7" s="1075"/>
      <c r="P7" s="1075"/>
      <c r="Q7" s="1075"/>
      <c r="R7" s="1075"/>
      <c r="S7" s="1075"/>
      <c r="T7" s="1075"/>
      <c r="U7" s="1075"/>
      <c r="V7" s="1075"/>
      <c r="W7" s="1075"/>
      <c r="X7" s="1075"/>
      <c r="Y7" s="1075"/>
      <c r="Z7" s="1075"/>
      <c r="AA7" s="1075"/>
      <c r="AB7" s="1075"/>
      <c r="AC7" s="1075"/>
      <c r="AD7" s="1075"/>
      <c r="AE7" s="1075"/>
      <c r="AF7" s="297"/>
      <c r="AG7" s="298"/>
      <c r="AH7" s="215"/>
      <c r="AI7" s="215"/>
      <c r="AJ7" s="215"/>
      <c r="AK7" s="215"/>
      <c r="AL7" s="215"/>
      <c r="AM7" s="215"/>
      <c r="AN7" s="215"/>
      <c r="AO7" s="215"/>
      <c r="AP7" s="215"/>
      <c r="AQ7" s="215"/>
      <c r="AR7" s="215"/>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35"/>
      <c r="BT7" s="7"/>
      <c r="BU7" s="7"/>
      <c r="BV7" s="7"/>
      <c r="BW7" s="7"/>
      <c r="BX7" s="7"/>
      <c r="BY7" s="7"/>
      <c r="BZ7" s="7"/>
      <c r="CA7" s="7"/>
      <c r="CB7" s="7"/>
      <c r="CC7" s="7"/>
      <c r="CD7" s="7"/>
      <c r="CE7" s="7"/>
      <c r="CF7" s="7"/>
      <c r="CG7" s="7"/>
      <c r="CH7" s="7"/>
      <c r="CI7" s="7"/>
      <c r="CJ7" s="7"/>
      <c r="CK7" s="216"/>
      <c r="CL7" s="216"/>
      <c r="CM7" s="217"/>
      <c r="CN7" s="460"/>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row>
    <row r="8" spans="1:175" ht="27.75" customHeight="1" thickBot="1" x14ac:dyDescent="0.3">
      <c r="A8" s="332"/>
      <c r="B8" s="233"/>
      <c r="C8" s="297"/>
      <c r="D8" s="297"/>
      <c r="E8" s="297"/>
      <c r="F8" s="297"/>
      <c r="G8" s="297"/>
      <c r="H8" s="297"/>
      <c r="I8" s="297"/>
      <c r="J8" s="297"/>
      <c r="K8" s="297"/>
      <c r="L8" s="297"/>
      <c r="M8" s="297"/>
      <c r="N8" s="297"/>
      <c r="O8" s="297"/>
      <c r="P8" s="297"/>
      <c r="Q8" s="297"/>
      <c r="R8" s="297"/>
      <c r="S8" s="1076" t="s">
        <v>2702</v>
      </c>
      <c r="T8" s="1076"/>
      <c r="U8" s="1076"/>
      <c r="V8" s="1076"/>
      <c r="W8" s="1076"/>
      <c r="X8" s="1076"/>
      <c r="Y8" s="1076"/>
      <c r="Z8" s="1076"/>
      <c r="AA8" s="1077" t="s">
        <v>2703</v>
      </c>
      <c r="AB8" s="1076"/>
      <c r="AC8" s="1078" t="s">
        <v>2704</v>
      </c>
      <c r="AD8" s="1079"/>
      <c r="AE8" s="461" t="s">
        <v>2705</v>
      </c>
      <c r="AF8" s="297"/>
      <c r="AG8" s="298"/>
      <c r="AH8" s="215"/>
      <c r="AI8" s="215"/>
      <c r="AJ8" s="215"/>
      <c r="AK8" s="215"/>
      <c r="AL8" s="215"/>
      <c r="AM8" s="215"/>
      <c r="AN8" s="215"/>
      <c r="AO8" s="215"/>
      <c r="AP8" s="215"/>
      <c r="AQ8" s="215"/>
      <c r="AR8" s="215"/>
      <c r="AS8" s="262"/>
      <c r="AT8" s="262"/>
      <c r="AU8" s="262"/>
      <c r="AV8" s="262"/>
      <c r="AW8" s="262"/>
      <c r="AX8" s="262"/>
      <c r="AY8" s="262"/>
      <c r="AZ8" s="262"/>
      <c r="BA8" s="262"/>
      <c r="BB8" s="262"/>
      <c r="BC8" s="262"/>
      <c r="BD8" s="262"/>
      <c r="BE8" s="262"/>
      <c r="BF8" s="262"/>
      <c r="BG8" s="262"/>
      <c r="BH8" s="262"/>
      <c r="BI8" s="262"/>
      <c r="BJ8" s="262"/>
      <c r="BK8" s="262"/>
      <c r="BL8" s="262"/>
      <c r="BM8" s="262"/>
      <c r="BN8" s="262"/>
      <c r="BO8" s="262"/>
      <c r="BP8" s="262"/>
      <c r="BQ8" s="262"/>
      <c r="BR8" s="262"/>
      <c r="BS8" s="235"/>
      <c r="BT8" s="7"/>
      <c r="BU8" s="7"/>
      <c r="BV8" s="7"/>
      <c r="BW8" s="7"/>
      <c r="BX8" s="7"/>
      <c r="BY8" s="7"/>
      <c r="BZ8" s="7"/>
      <c r="CA8" s="7"/>
      <c r="CB8" s="7"/>
      <c r="CC8" s="7"/>
      <c r="CD8" s="7"/>
      <c r="CE8" s="7"/>
      <c r="CF8" s="7"/>
      <c r="CG8" s="7"/>
      <c r="CH8" s="7"/>
      <c r="CI8" s="7"/>
      <c r="CJ8" s="7"/>
      <c r="CK8" s="216"/>
      <c r="CL8" s="216"/>
      <c r="CM8" s="217"/>
      <c r="CN8" s="460"/>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row>
    <row r="9" spans="1:175" ht="16.5" customHeight="1" x14ac:dyDescent="0.25">
      <c r="A9" s="332"/>
      <c r="B9" s="233"/>
      <c r="C9" s="1082" t="s">
        <v>2706</v>
      </c>
      <c r="D9" s="1083"/>
      <c r="E9" s="1083"/>
      <c r="F9" s="1084"/>
      <c r="G9" s="1084"/>
      <c r="H9" s="1084"/>
      <c r="I9" s="1084"/>
      <c r="J9" s="1084"/>
      <c r="K9" s="1084"/>
      <c r="L9" s="1084"/>
      <c r="M9" s="1084"/>
      <c r="N9" s="1084"/>
      <c r="O9" s="1085"/>
      <c r="P9" s="297"/>
      <c r="Q9" s="297"/>
      <c r="R9" s="297"/>
      <c r="S9" s="355">
        <v>1</v>
      </c>
      <c r="T9" s="1025" t="str">
        <f>$D$25</f>
        <v>&lt;&lt; Input Schedule Name 1 &gt;&gt;</v>
      </c>
      <c r="U9" s="1025"/>
      <c r="V9" s="1025"/>
      <c r="W9" s="1025"/>
      <c r="X9" s="1025"/>
      <c r="Y9" s="1025"/>
      <c r="Z9" s="1025"/>
      <c r="AA9" s="1026" t="str">
        <f>IF(Q36=0, "", Q36)</f>
        <v/>
      </c>
      <c r="AB9" s="1027"/>
      <c r="AC9" s="1028">
        <f>IF(Q37="", "", Q37)</f>
        <v>0</v>
      </c>
      <c r="AD9" s="1028"/>
      <c r="AE9" s="362">
        <f>IF(Q38="", "", Q38)</f>
        <v>0</v>
      </c>
      <c r="AF9" s="297"/>
      <c r="AG9" s="298"/>
      <c r="AH9" s="215"/>
      <c r="AI9" s="215"/>
      <c r="AJ9" s="215"/>
      <c r="AK9" s="215"/>
      <c r="AL9" s="215"/>
      <c r="AM9" s="215"/>
      <c r="AN9" s="215"/>
      <c r="AO9" s="215"/>
      <c r="AP9" s="215"/>
      <c r="AQ9" s="215"/>
      <c r="AR9" s="215"/>
      <c r="AS9" s="262"/>
      <c r="AT9" s="262"/>
      <c r="AU9" s="262"/>
      <c r="AV9" s="262"/>
      <c r="AW9" s="262"/>
      <c r="AX9" s="262"/>
      <c r="AY9" s="262"/>
      <c r="AZ9" s="262"/>
      <c r="BA9" s="262"/>
      <c r="BB9" s="262"/>
      <c r="BC9" s="262"/>
      <c r="BD9" s="262"/>
      <c r="BE9" s="262"/>
      <c r="BF9" s="262"/>
      <c r="BG9" s="262"/>
      <c r="BH9" s="262"/>
      <c r="BI9" s="262"/>
      <c r="BJ9" s="262"/>
      <c r="BK9" s="262"/>
      <c r="BL9" s="262"/>
      <c r="BM9" s="262"/>
      <c r="BN9" s="262"/>
      <c r="BO9" s="262"/>
      <c r="BP9" s="262"/>
      <c r="BQ9" s="262"/>
      <c r="BR9" s="262"/>
      <c r="BS9" s="235"/>
      <c r="BT9" s="7"/>
      <c r="BU9" s="7"/>
      <c r="BV9" s="7"/>
      <c r="BW9" s="7"/>
      <c r="BX9" s="7"/>
      <c r="BY9" s="7"/>
      <c r="BZ9" s="7"/>
      <c r="CA9" s="7"/>
      <c r="CB9" s="7"/>
      <c r="CC9" s="7"/>
      <c r="CD9" s="7"/>
      <c r="CE9" s="7"/>
      <c r="CF9" s="7"/>
      <c r="CG9" s="7"/>
      <c r="CH9" s="7"/>
      <c r="CI9" s="7"/>
      <c r="CJ9" s="7"/>
      <c r="CK9" s="216"/>
      <c r="CL9" s="216"/>
      <c r="CM9" s="217"/>
      <c r="CN9" s="460"/>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row>
    <row r="10" spans="1:175" ht="16.5" customHeight="1" x14ac:dyDescent="0.25">
      <c r="A10" s="332"/>
      <c r="B10" s="233"/>
      <c r="C10" s="1054" t="s">
        <v>2707</v>
      </c>
      <c r="D10" s="1055"/>
      <c r="E10" s="1055"/>
      <c r="F10" s="1058"/>
      <c r="G10" s="1058"/>
      <c r="H10" s="1058"/>
      <c r="I10" s="1058"/>
      <c r="J10" s="1058"/>
      <c r="K10" s="1058"/>
      <c r="L10" s="1058"/>
      <c r="M10" s="1058"/>
      <c r="N10" s="1058"/>
      <c r="O10" s="1059"/>
      <c r="P10" s="297"/>
      <c r="Q10" s="297"/>
      <c r="R10" s="297"/>
      <c r="S10" s="218">
        <v>2</v>
      </c>
      <c r="T10" s="1032" t="str">
        <f>$C$41</f>
        <v>&lt;&lt; Input Schedule Name 2 &gt;&gt;</v>
      </c>
      <c r="U10" s="1032"/>
      <c r="V10" s="1032"/>
      <c r="W10" s="1032"/>
      <c r="X10" s="1032"/>
      <c r="Y10" s="1032"/>
      <c r="Z10" s="1032"/>
      <c r="AA10" s="1033" t="str">
        <f>IF(Q52=0, "", Q52)</f>
        <v/>
      </c>
      <c r="AB10" s="1034"/>
      <c r="AC10" s="1035">
        <f>IF(Q53="", "", Q53)</f>
        <v>0</v>
      </c>
      <c r="AD10" s="1035"/>
      <c r="AE10" s="363">
        <f>IF(Q54="", "", Q54)</f>
        <v>0</v>
      </c>
      <c r="AF10" s="297"/>
      <c r="AG10" s="298"/>
      <c r="AH10" s="215"/>
      <c r="AI10" s="215"/>
      <c r="AJ10" s="215"/>
      <c r="AK10" s="215"/>
      <c r="AL10" s="215"/>
      <c r="AM10" s="215"/>
      <c r="AN10" s="215"/>
      <c r="AO10" s="215"/>
      <c r="AP10" s="215"/>
      <c r="AQ10" s="215"/>
      <c r="AR10" s="215"/>
      <c r="AS10" s="262"/>
      <c r="AT10" s="262"/>
      <c r="AU10" s="262"/>
      <c r="AV10" s="262"/>
      <c r="AW10" s="262"/>
      <c r="AX10" s="262"/>
      <c r="AY10" s="262"/>
      <c r="AZ10" s="262"/>
      <c r="BA10" s="262"/>
      <c r="BB10" s="262"/>
      <c r="BC10" s="262"/>
      <c r="BD10" s="262"/>
      <c r="BE10" s="262"/>
      <c r="BF10" s="262"/>
      <c r="BG10" s="262"/>
      <c r="BH10" s="262"/>
      <c r="BI10" s="262"/>
      <c r="BJ10" s="262"/>
      <c r="BK10" s="262"/>
      <c r="BL10" s="262"/>
      <c r="BM10" s="262"/>
      <c r="BN10" s="262"/>
      <c r="BO10" s="262"/>
      <c r="BP10" s="262"/>
      <c r="BQ10" s="262"/>
      <c r="BR10" s="262"/>
      <c r="BS10" s="235"/>
      <c r="BT10" s="7"/>
      <c r="BU10" s="7"/>
      <c r="BV10" s="7"/>
      <c r="BW10" s="7"/>
      <c r="BX10" s="7"/>
      <c r="BY10" s="7"/>
      <c r="BZ10" s="7"/>
      <c r="CA10" s="7"/>
      <c r="CB10" s="7"/>
      <c r="CC10" s="7"/>
      <c r="CD10" s="7"/>
      <c r="CE10" s="7"/>
      <c r="CF10" s="7"/>
      <c r="CG10" s="7"/>
      <c r="CH10" s="7"/>
      <c r="CI10" s="7"/>
      <c r="CJ10" s="7"/>
      <c r="CK10" s="216"/>
      <c r="CL10" s="216"/>
      <c r="CM10" s="217"/>
      <c r="CN10" s="460"/>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row>
    <row r="11" spans="1:175" ht="16.5" customHeight="1" x14ac:dyDescent="0.25">
      <c r="A11" s="332"/>
      <c r="B11" s="233"/>
      <c r="C11" s="1054" t="s">
        <v>2708</v>
      </c>
      <c r="D11" s="1055"/>
      <c r="E11" s="1055"/>
      <c r="F11" s="1058"/>
      <c r="G11" s="1058"/>
      <c r="H11" s="1058"/>
      <c r="I11" s="1058"/>
      <c r="J11" s="1058"/>
      <c r="K11" s="1058"/>
      <c r="L11" s="1058"/>
      <c r="M11" s="1058"/>
      <c r="N11" s="1058"/>
      <c r="O11" s="1059"/>
      <c r="P11" s="297"/>
      <c r="Q11" s="297"/>
      <c r="R11" s="297"/>
      <c r="S11" s="218">
        <v>3</v>
      </c>
      <c r="T11" s="1032" t="str">
        <f>$C$58</f>
        <v>&lt;&lt; Input Schedule Name 3 &gt;&gt;</v>
      </c>
      <c r="U11" s="1032"/>
      <c r="V11" s="1032"/>
      <c r="W11" s="1032"/>
      <c r="X11" s="1032"/>
      <c r="Y11" s="1032"/>
      <c r="Z11" s="1032"/>
      <c r="AA11" s="1033" t="str">
        <f>IF(Q69=0, "", Q69)</f>
        <v/>
      </c>
      <c r="AB11" s="1034"/>
      <c r="AC11" s="1035">
        <f>IF(Q70="", "", Q70)</f>
        <v>0</v>
      </c>
      <c r="AD11" s="1035"/>
      <c r="AE11" s="363">
        <f>IF(Q71="", "", Q71)</f>
        <v>0</v>
      </c>
      <c r="AF11" s="297"/>
      <c r="AG11" s="298"/>
      <c r="AH11" s="215"/>
      <c r="AI11" s="215"/>
      <c r="AJ11" s="215"/>
      <c r="AK11" s="215"/>
      <c r="AL11" s="215"/>
      <c r="AM11" s="215"/>
      <c r="AN11" s="215"/>
      <c r="AO11" s="215"/>
      <c r="AP11" s="215"/>
      <c r="AQ11" s="215"/>
      <c r="AR11" s="215"/>
      <c r="AS11" s="262"/>
      <c r="AT11" s="262"/>
      <c r="AU11" s="262"/>
      <c r="AV11" s="262"/>
      <c r="AW11" s="262"/>
      <c r="AX11" s="262"/>
      <c r="AY11" s="262"/>
      <c r="AZ11" s="262"/>
      <c r="BA11" s="262"/>
      <c r="BB11" s="262"/>
      <c r="BC11" s="262"/>
      <c r="BD11" s="262"/>
      <c r="BE11" s="262"/>
      <c r="BF11" s="262"/>
      <c r="BG11" s="262"/>
      <c r="BH11" s="262"/>
      <c r="BI11" s="262"/>
      <c r="BJ11" s="262"/>
      <c r="BK11" s="262"/>
      <c r="BL11" s="262"/>
      <c r="BM11" s="262"/>
      <c r="BN11" s="262"/>
      <c r="BO11" s="262"/>
      <c r="BP11" s="262"/>
      <c r="BQ11" s="262"/>
      <c r="BR11" s="262"/>
      <c r="BS11" s="235"/>
      <c r="BT11" s="7"/>
      <c r="BU11" s="7"/>
      <c r="BV11" s="7"/>
      <c r="BW11" s="7"/>
      <c r="BX11" s="7"/>
      <c r="BY11" s="7"/>
      <c r="BZ11" s="7"/>
      <c r="CA11" s="7"/>
      <c r="CB11" s="7"/>
      <c r="CC11" s="7"/>
      <c r="CD11" s="7"/>
      <c r="CE11" s="7"/>
      <c r="CF11" s="7"/>
      <c r="CG11" s="7"/>
      <c r="CH11" s="7"/>
      <c r="CI11" s="7"/>
      <c r="CJ11" s="7"/>
      <c r="CK11" s="216"/>
      <c r="CL11" s="216"/>
      <c r="CM11" s="217"/>
      <c r="CN11" s="460"/>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row>
    <row r="12" spans="1:175" ht="16.5" customHeight="1" x14ac:dyDescent="0.25">
      <c r="A12" s="332"/>
      <c r="B12" s="233"/>
      <c r="C12" s="1054" t="s">
        <v>2709</v>
      </c>
      <c r="D12" s="1055"/>
      <c r="E12" s="1055"/>
      <c r="F12" s="1058"/>
      <c r="G12" s="1058"/>
      <c r="H12" s="1058"/>
      <c r="I12" s="1058"/>
      <c r="J12" s="1058"/>
      <c r="K12" s="1058"/>
      <c r="L12" s="1058"/>
      <c r="M12" s="1058"/>
      <c r="N12" s="1058"/>
      <c r="O12" s="1059"/>
      <c r="P12" s="297"/>
      <c r="Q12" s="297"/>
      <c r="R12" s="297"/>
      <c r="S12" s="218">
        <v>4</v>
      </c>
      <c r="T12" s="1032" t="str">
        <f>$C$75</f>
        <v>&lt;&lt; Input Schedule Name 4 &gt;&gt;</v>
      </c>
      <c r="U12" s="1032"/>
      <c r="V12" s="1032"/>
      <c r="W12" s="1032"/>
      <c r="X12" s="1032"/>
      <c r="Y12" s="1032"/>
      <c r="Z12" s="1032"/>
      <c r="AA12" s="1033" t="str">
        <f>IF(Q86=0, "", Q86)</f>
        <v/>
      </c>
      <c r="AB12" s="1034"/>
      <c r="AC12" s="1035">
        <f>IF(Q87="", "", Q87)</f>
        <v>0</v>
      </c>
      <c r="AD12" s="1035"/>
      <c r="AE12" s="363">
        <f>IF(Q88="", "", Q88)</f>
        <v>0</v>
      </c>
      <c r="AF12" s="297"/>
      <c r="AG12" s="298"/>
      <c r="AH12" s="215"/>
      <c r="AI12" s="215"/>
      <c r="AJ12" s="215"/>
      <c r="AK12" s="215"/>
      <c r="AL12" s="215"/>
      <c r="AM12" s="215"/>
      <c r="AN12" s="215"/>
      <c r="AO12" s="215"/>
      <c r="AP12" s="215"/>
      <c r="AQ12" s="215"/>
      <c r="AR12" s="215"/>
      <c r="AS12" s="262"/>
      <c r="AT12" s="262"/>
      <c r="AU12" s="262"/>
      <c r="AV12" s="262"/>
      <c r="AW12" s="262"/>
      <c r="AX12" s="262"/>
      <c r="AY12" s="262"/>
      <c r="AZ12" s="262"/>
      <c r="BA12" s="262"/>
      <c r="BB12" s="262"/>
      <c r="BC12" s="262"/>
      <c r="BD12" s="262"/>
      <c r="BE12" s="262"/>
      <c r="BF12" s="262"/>
      <c r="BG12" s="262"/>
      <c r="BH12" s="262"/>
      <c r="BI12" s="262"/>
      <c r="BJ12" s="262"/>
      <c r="BK12" s="262"/>
      <c r="BL12" s="262"/>
      <c r="BM12" s="262"/>
      <c r="BN12" s="262"/>
      <c r="BO12" s="262"/>
      <c r="BP12" s="262"/>
      <c r="BQ12" s="262"/>
      <c r="BR12" s="262"/>
      <c r="BS12" s="235"/>
      <c r="BT12" s="7"/>
      <c r="BU12" s="7"/>
      <c r="BV12" s="7"/>
      <c r="BW12" s="7"/>
      <c r="BX12" s="7"/>
      <c r="BY12" s="7"/>
      <c r="BZ12" s="7"/>
      <c r="CA12" s="7"/>
      <c r="CB12" s="7"/>
      <c r="CC12" s="7"/>
      <c r="CD12" s="7"/>
      <c r="CE12" s="7"/>
      <c r="CF12" s="7"/>
      <c r="CG12" s="7"/>
      <c r="CH12" s="7"/>
      <c r="CI12" s="7"/>
      <c r="CJ12" s="7"/>
      <c r="CK12" s="216"/>
      <c r="CL12" s="216"/>
      <c r="CM12" s="217"/>
      <c r="CN12" s="460"/>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row>
    <row r="13" spans="1:175" ht="16.5" customHeight="1" x14ac:dyDescent="0.25">
      <c r="A13" s="332"/>
      <c r="B13" s="233"/>
      <c r="C13" s="1054" t="s">
        <v>4589</v>
      </c>
      <c r="D13" s="1055"/>
      <c r="E13" s="1055"/>
      <c r="F13" s="1056"/>
      <c r="G13" s="1056"/>
      <c r="H13" s="1056"/>
      <c r="I13" s="1056"/>
      <c r="J13" s="1056"/>
      <c r="K13" s="1056"/>
      <c r="L13" s="1056"/>
      <c r="M13" s="1056"/>
      <c r="N13" s="1056"/>
      <c r="O13" s="1057"/>
      <c r="P13" s="297"/>
      <c r="Q13" s="297"/>
      <c r="R13" s="297"/>
      <c r="S13" s="218">
        <v>5</v>
      </c>
      <c r="T13" s="1032" t="str">
        <f>$C$92</f>
        <v>&lt;&lt; Input Schedule Name 5 &gt;&gt;</v>
      </c>
      <c r="U13" s="1032"/>
      <c r="V13" s="1032"/>
      <c r="W13" s="1032"/>
      <c r="X13" s="1032"/>
      <c r="Y13" s="1032"/>
      <c r="Z13" s="1032"/>
      <c r="AA13" s="1033" t="str">
        <f>IF(Q103=0, "", Q103)</f>
        <v/>
      </c>
      <c r="AB13" s="1034"/>
      <c r="AC13" s="1035">
        <f>IF(Q104="", "", Q104)</f>
        <v>0</v>
      </c>
      <c r="AD13" s="1035"/>
      <c r="AE13" s="363">
        <f>IF(Q105="", "", Q105)</f>
        <v>0</v>
      </c>
      <c r="AF13" s="297"/>
      <c r="AG13" s="298"/>
      <c r="AH13" s="215"/>
      <c r="AI13" s="215"/>
      <c r="AJ13" s="215"/>
      <c r="AK13" s="215"/>
      <c r="AL13" s="215"/>
      <c r="AM13" s="215"/>
      <c r="AN13" s="215"/>
      <c r="AO13" s="215"/>
      <c r="AP13" s="215"/>
      <c r="AQ13" s="215"/>
      <c r="AR13" s="215"/>
      <c r="AS13" s="262"/>
      <c r="AT13" s="262"/>
      <c r="AU13" s="262"/>
      <c r="AV13" s="262"/>
      <c r="AW13" s="262"/>
      <c r="AX13" s="262"/>
      <c r="AY13" s="262"/>
      <c r="AZ13" s="262"/>
      <c r="BA13" s="262"/>
      <c r="BB13" s="262"/>
      <c r="BC13" s="262"/>
      <c r="BD13" s="262"/>
      <c r="BE13" s="262"/>
      <c r="BF13" s="262"/>
      <c r="BG13" s="262"/>
      <c r="BH13" s="262"/>
      <c r="BI13" s="262"/>
      <c r="BJ13" s="262"/>
      <c r="BK13" s="262"/>
      <c r="BL13" s="262"/>
      <c r="BM13" s="262"/>
      <c r="BN13" s="262"/>
      <c r="BO13" s="262"/>
      <c r="BP13" s="262"/>
      <c r="BQ13" s="262"/>
      <c r="BR13" s="262"/>
      <c r="BS13" s="235"/>
      <c r="BT13" s="7"/>
      <c r="BU13" s="7"/>
      <c r="BV13" s="7"/>
      <c r="BW13" s="7"/>
      <c r="BX13" s="7"/>
      <c r="BY13" s="7"/>
      <c r="BZ13" s="7"/>
      <c r="CA13" s="7"/>
      <c r="CB13" s="7"/>
      <c r="CC13" s="7"/>
      <c r="CD13" s="7"/>
      <c r="CE13" s="7"/>
      <c r="CF13" s="7"/>
      <c r="CG13" s="7"/>
      <c r="CH13" s="7"/>
      <c r="CI13" s="7"/>
      <c r="CJ13" s="7"/>
      <c r="CK13" s="216"/>
      <c r="CL13" s="216"/>
      <c r="CM13" s="217"/>
      <c r="CN13" s="460"/>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row>
    <row r="14" spans="1:175" ht="16.5" customHeight="1" thickBot="1" x14ac:dyDescent="0.3">
      <c r="A14" s="332"/>
      <c r="B14" s="233"/>
      <c r="C14" s="1086" t="s">
        <v>2710</v>
      </c>
      <c r="D14" s="1087"/>
      <c r="E14" s="1087"/>
      <c r="F14" s="1060"/>
      <c r="G14" s="1061"/>
      <c r="H14" s="1061"/>
      <c r="I14" s="1061"/>
      <c r="J14" s="1061"/>
      <c r="K14" s="1061"/>
      <c r="L14" s="1061"/>
      <c r="M14" s="1061"/>
      <c r="N14" s="1061"/>
      <c r="O14" s="1062"/>
      <c r="P14" s="297"/>
      <c r="Q14" s="297"/>
      <c r="R14" s="297"/>
      <c r="S14" s="218">
        <v>6</v>
      </c>
      <c r="T14" s="1032" t="str">
        <f>$C$109</f>
        <v>&lt;&lt; Input Schedule Name 6 &gt;&gt;</v>
      </c>
      <c r="U14" s="1032"/>
      <c r="V14" s="1032"/>
      <c r="W14" s="1032"/>
      <c r="X14" s="1032"/>
      <c r="Y14" s="1032"/>
      <c r="Z14" s="1032"/>
      <c r="AA14" s="1033" t="str">
        <f xml:space="preserve"> IF(Q120=0, "",Q120)</f>
        <v/>
      </c>
      <c r="AB14" s="1034"/>
      <c r="AC14" s="1035">
        <f>IF(Q121="", "", Q121)</f>
        <v>0</v>
      </c>
      <c r="AD14" s="1035"/>
      <c r="AE14" s="363">
        <f>IF(Q122="", "", Q122)</f>
        <v>0</v>
      </c>
      <c r="AF14" s="297"/>
      <c r="AG14" s="298"/>
      <c r="AH14" s="215"/>
      <c r="AI14" s="215"/>
      <c r="AJ14" s="215"/>
      <c r="AK14" s="215"/>
      <c r="AL14" s="215"/>
      <c r="AM14" s="215"/>
      <c r="AN14" s="215"/>
      <c r="AO14" s="215"/>
      <c r="AP14" s="215"/>
      <c r="AQ14" s="215"/>
      <c r="AR14" s="215"/>
      <c r="AS14" s="262"/>
      <c r="AT14" s="262"/>
      <c r="AU14" s="262"/>
      <c r="AV14" s="262"/>
      <c r="AW14" s="262"/>
      <c r="AX14" s="262"/>
      <c r="AY14" s="262"/>
      <c r="AZ14" s="262"/>
      <c r="BA14" s="262"/>
      <c r="BB14" s="262"/>
      <c r="BC14" s="262"/>
      <c r="BD14" s="262"/>
      <c r="BE14" s="262"/>
      <c r="BF14" s="262"/>
      <c r="BG14" s="262"/>
      <c r="BH14" s="262"/>
      <c r="BI14" s="262"/>
      <c r="BJ14" s="262"/>
      <c r="BK14" s="262"/>
      <c r="BL14" s="262"/>
      <c r="BM14" s="262"/>
      <c r="BN14" s="262"/>
      <c r="BO14" s="262"/>
      <c r="BP14" s="262"/>
      <c r="BQ14" s="262"/>
      <c r="BR14" s="262"/>
      <c r="BS14" s="235"/>
      <c r="BT14" s="7"/>
      <c r="BU14" s="7"/>
      <c r="BV14" s="7"/>
      <c r="BW14" s="7"/>
      <c r="BX14" s="7"/>
      <c r="BY14" s="7"/>
      <c r="BZ14" s="7"/>
      <c r="CA14" s="7"/>
      <c r="CB14" s="7"/>
      <c r="CC14" s="7"/>
      <c r="CD14" s="7"/>
      <c r="CE14" s="7"/>
      <c r="CF14" s="7"/>
      <c r="CG14" s="7"/>
      <c r="CH14" s="7"/>
      <c r="CI14" s="7"/>
      <c r="CJ14" s="7"/>
      <c r="CK14" s="216"/>
      <c r="CL14" s="216"/>
      <c r="CM14" s="217"/>
      <c r="CN14" s="460"/>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row>
    <row r="15" spans="1:175" ht="16.5" customHeight="1" thickBot="1" x14ac:dyDescent="0.3">
      <c r="A15" s="332"/>
      <c r="B15" s="233"/>
      <c r="C15" s="679" t="s">
        <v>2711</v>
      </c>
      <c r="D15" s="679"/>
      <c r="E15" s="679"/>
      <c r="F15" s="680"/>
      <c r="G15" s="680"/>
      <c r="H15" s="680"/>
      <c r="I15" s="680"/>
      <c r="J15" s="680"/>
      <c r="K15" s="680"/>
      <c r="L15" s="680"/>
      <c r="M15" s="680"/>
      <c r="N15" s="680"/>
      <c r="O15" s="680"/>
      <c r="P15" s="216"/>
      <c r="Q15" s="216"/>
      <c r="R15" s="216"/>
      <c r="S15" s="218">
        <v>7</v>
      </c>
      <c r="T15" s="1032" t="str">
        <f>$C$126</f>
        <v>&lt;&lt; Input Schedule Name 7 &gt;&gt;</v>
      </c>
      <c r="U15" s="1032"/>
      <c r="V15" s="1032"/>
      <c r="W15" s="1032"/>
      <c r="X15" s="1032"/>
      <c r="Y15" s="1032"/>
      <c r="Z15" s="1032"/>
      <c r="AA15" s="1033" t="str">
        <f xml:space="preserve"> IF(Q137=0, "",Q137)</f>
        <v/>
      </c>
      <c r="AB15" s="1034"/>
      <c r="AC15" s="1035">
        <f>IF(Q138="", "", Q138)</f>
        <v>0</v>
      </c>
      <c r="AD15" s="1035"/>
      <c r="AE15" s="363">
        <f>IF(Q139="", "", Q139)</f>
        <v>0</v>
      </c>
      <c r="AF15" s="216"/>
      <c r="AG15" s="299"/>
      <c r="AH15" s="219"/>
      <c r="AI15" s="219"/>
      <c r="AJ15" s="219"/>
      <c r="AK15" s="219"/>
      <c r="AL15" s="219"/>
      <c r="AM15" s="219"/>
      <c r="AN15" s="219"/>
      <c r="AO15" s="219"/>
      <c r="AP15" s="219"/>
      <c r="AQ15" s="219"/>
      <c r="AR15" s="219"/>
      <c r="AS15" s="262"/>
      <c r="AT15" s="262"/>
      <c r="AU15" s="262"/>
      <c r="AV15" s="262"/>
      <c r="AW15" s="262"/>
      <c r="AX15" s="262"/>
      <c r="AY15" s="262"/>
      <c r="AZ15" s="262"/>
      <c r="BA15" s="262"/>
      <c r="BB15" s="262"/>
      <c r="BC15" s="262"/>
      <c r="BD15" s="262"/>
      <c r="BE15" s="262"/>
      <c r="BF15" s="262"/>
      <c r="BG15" s="262"/>
      <c r="BH15" s="262"/>
      <c r="BI15" s="262"/>
      <c r="BJ15" s="262"/>
      <c r="BK15" s="262"/>
      <c r="BL15" s="262"/>
      <c r="BM15" s="262"/>
      <c r="BN15" s="262"/>
      <c r="BO15" s="262"/>
      <c r="BP15" s="262"/>
      <c r="BQ15" s="262"/>
      <c r="BR15" s="262"/>
      <c r="BS15" s="7"/>
      <c r="BT15" s="7"/>
      <c r="BU15" s="7"/>
      <c r="BV15" s="7"/>
      <c r="BW15" s="7"/>
      <c r="BX15" s="7"/>
      <c r="BY15" s="7"/>
      <c r="BZ15" s="7"/>
      <c r="CA15" s="7"/>
      <c r="CB15" s="7"/>
      <c r="CC15" s="7"/>
      <c r="CD15" s="7"/>
      <c r="CE15" s="7"/>
      <c r="CF15" s="7"/>
      <c r="CG15" s="7"/>
      <c r="CH15" s="7"/>
      <c r="CI15" s="7"/>
      <c r="CJ15" s="7"/>
      <c r="CK15" s="216"/>
      <c r="CL15" s="216"/>
      <c r="CM15" s="217"/>
      <c r="CN15" s="460"/>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row>
    <row r="16" spans="1:175" ht="16.5" customHeight="1" thickBot="1" x14ac:dyDescent="0.3">
      <c r="A16" s="332"/>
      <c r="B16" s="360"/>
      <c r="C16" s="1040" t="s">
        <v>2712</v>
      </c>
      <c r="D16" s="1041"/>
      <c r="E16" s="1042"/>
      <c r="F16" s="1051"/>
      <c r="G16" s="1052"/>
      <c r="H16" s="1052"/>
      <c r="I16" s="1052"/>
      <c r="J16" s="1052"/>
      <c r="K16" s="1052"/>
      <c r="L16" s="1052"/>
      <c r="M16" s="1052"/>
      <c r="N16" s="1052"/>
      <c r="O16" s="1053"/>
      <c r="P16" s="216"/>
      <c r="Q16" s="216"/>
      <c r="R16" s="216"/>
      <c r="S16" s="220">
        <v>8</v>
      </c>
      <c r="T16" s="1036" t="str">
        <f>$C$143</f>
        <v>&lt;&lt; Input Schedule Name 8 &gt;&gt;</v>
      </c>
      <c r="U16" s="1036"/>
      <c r="V16" s="1036"/>
      <c r="W16" s="1036"/>
      <c r="X16" s="1036"/>
      <c r="Y16" s="1036"/>
      <c r="Z16" s="1036"/>
      <c r="AA16" s="1037" t="str">
        <f xml:space="preserve"> IF(Q154=0, "",Q154)</f>
        <v/>
      </c>
      <c r="AB16" s="1038"/>
      <c r="AC16" s="1039">
        <f>IF(Q155="", "", Q155)</f>
        <v>0</v>
      </c>
      <c r="AD16" s="1039"/>
      <c r="AE16" s="364">
        <f>IF(Q156="", "", Q156)</f>
        <v>0</v>
      </c>
      <c r="AF16" s="216"/>
      <c r="AG16" s="299"/>
      <c r="AH16" s="219"/>
      <c r="AI16" s="219"/>
      <c r="AJ16" s="219"/>
      <c r="AK16" s="219"/>
      <c r="AL16" s="219"/>
      <c r="AM16" s="219"/>
      <c r="AN16" s="219"/>
      <c r="AO16" s="219"/>
      <c r="AP16" s="219"/>
      <c r="AQ16" s="219"/>
      <c r="AR16" s="219"/>
      <c r="AS16" s="262"/>
      <c r="AT16" s="262"/>
      <c r="AU16" s="262"/>
      <c r="AV16" s="262"/>
      <c r="AW16" s="262"/>
      <c r="AX16" s="262"/>
      <c r="AY16" s="262"/>
      <c r="AZ16" s="262"/>
      <c r="BA16" s="262"/>
      <c r="BB16" s="262"/>
      <c r="BC16" s="262"/>
      <c r="BD16" s="262"/>
      <c r="BE16" s="262"/>
      <c r="BF16" s="262"/>
      <c r="BG16" s="262"/>
      <c r="BH16" s="262"/>
      <c r="BI16" s="262"/>
      <c r="BJ16" s="262"/>
      <c r="BK16" s="262"/>
      <c r="BL16" s="262"/>
      <c r="BM16" s="262"/>
      <c r="BN16" s="262"/>
      <c r="BO16" s="262"/>
      <c r="BP16" s="262"/>
      <c r="BQ16" s="262"/>
      <c r="BR16" s="262"/>
      <c r="BS16" s="7"/>
      <c r="BT16" s="7"/>
      <c r="BU16" s="7"/>
      <c r="BV16" s="7"/>
      <c r="BW16" s="7"/>
      <c r="BX16" s="7"/>
      <c r="BY16" s="7"/>
      <c r="BZ16" s="7"/>
      <c r="CA16" s="7"/>
      <c r="CB16" s="7"/>
      <c r="CC16" s="7"/>
      <c r="CD16" s="7"/>
      <c r="CE16" s="7"/>
      <c r="CF16" s="7"/>
      <c r="CG16" s="7"/>
      <c r="CH16" s="7"/>
      <c r="CI16" s="7"/>
      <c r="CJ16" s="7"/>
      <c r="CK16" s="216"/>
      <c r="CL16" s="216"/>
      <c r="CM16" s="217"/>
      <c r="CN16" s="460"/>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row>
    <row r="17" spans="1:175" ht="16.5" customHeight="1" x14ac:dyDescent="0.25">
      <c r="A17" s="332"/>
      <c r="B17" s="233"/>
      <c r="C17" s="361"/>
      <c r="D17" s="361"/>
      <c r="E17" s="216" t="s">
        <v>2713</v>
      </c>
      <c r="G17" s="216"/>
      <c r="H17" s="216"/>
      <c r="I17" s="216"/>
      <c r="J17" s="216"/>
      <c r="K17" s="216"/>
      <c r="L17" s="216"/>
      <c r="M17" s="216"/>
      <c r="N17" s="216"/>
      <c r="O17" s="216"/>
      <c r="P17" s="216"/>
      <c r="Q17" s="216"/>
      <c r="R17" s="216"/>
      <c r="S17" s="216"/>
      <c r="T17" s="216"/>
      <c r="U17" s="216"/>
      <c r="V17" s="216"/>
      <c r="W17" s="216"/>
      <c r="X17" s="216"/>
      <c r="Y17" s="216"/>
      <c r="Z17" s="216"/>
      <c r="AA17" s="216"/>
      <c r="AB17" s="216"/>
      <c r="AC17" s="216"/>
      <c r="AD17" s="216"/>
      <c r="AE17" s="216"/>
      <c r="AF17" s="216"/>
      <c r="AG17" s="299"/>
      <c r="AH17" s="219"/>
      <c r="AI17" s="219"/>
      <c r="AJ17" s="219"/>
      <c r="AK17" s="219"/>
      <c r="AL17" s="219"/>
      <c r="AM17" s="219"/>
      <c r="AN17" s="219"/>
      <c r="AO17" s="219"/>
      <c r="AP17" s="219"/>
      <c r="AQ17" s="219"/>
      <c r="AR17" s="219"/>
      <c r="AS17" s="262"/>
      <c r="AT17" s="262"/>
      <c r="AU17" s="262"/>
      <c r="AV17" s="262"/>
      <c r="AW17" s="262"/>
      <c r="AX17" s="262"/>
      <c r="AY17" s="262"/>
      <c r="AZ17" s="262"/>
      <c r="BA17" s="262"/>
      <c r="BB17" s="262"/>
      <c r="BC17" s="262"/>
      <c r="BD17" s="262"/>
      <c r="BE17" s="262"/>
      <c r="BF17" s="262"/>
      <c r="BG17" s="262"/>
      <c r="BH17" s="262"/>
      <c r="BI17" s="262"/>
      <c r="BJ17" s="262"/>
      <c r="BK17" s="262"/>
      <c r="BL17" s="262"/>
      <c r="BM17" s="262"/>
      <c r="BN17" s="262"/>
      <c r="BO17" s="262"/>
      <c r="BP17" s="262"/>
      <c r="BQ17" s="262"/>
      <c r="BR17" s="262"/>
      <c r="BS17" s="7"/>
      <c r="BT17" s="7"/>
      <c r="BU17" s="7"/>
      <c r="BV17" s="7"/>
      <c r="BW17" s="7"/>
      <c r="BX17" s="7"/>
      <c r="BY17" s="7"/>
      <c r="BZ17" s="7"/>
      <c r="CA17" s="7"/>
      <c r="CB17" s="7"/>
      <c r="CC17" s="7"/>
      <c r="CD17" s="7"/>
      <c r="CE17" s="7"/>
      <c r="CF17" s="7"/>
      <c r="CG17" s="7"/>
      <c r="CH17" s="7"/>
      <c r="CI17" s="7"/>
      <c r="CJ17" s="7"/>
      <c r="CK17" s="216"/>
      <c r="CL17" s="216"/>
      <c r="CM17" s="217"/>
      <c r="CN17" s="460"/>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row>
    <row r="18" spans="1:175" ht="16.5" customHeight="1" thickBot="1" x14ac:dyDescent="0.3">
      <c r="A18" s="332"/>
      <c r="B18" s="233"/>
      <c r="C18" s="314"/>
      <c r="D18" s="314"/>
      <c r="E18" s="314"/>
      <c r="F18" s="314"/>
      <c r="G18" s="314"/>
      <c r="H18" s="314"/>
      <c r="I18" s="314"/>
      <c r="J18" s="314"/>
      <c r="K18" s="314"/>
      <c r="L18" s="314"/>
      <c r="M18" s="314"/>
      <c r="N18" s="314"/>
      <c r="O18" s="314"/>
      <c r="P18" s="216"/>
      <c r="Q18" s="216"/>
      <c r="R18" s="216"/>
      <c r="S18" s="1046" t="s">
        <v>2716</v>
      </c>
      <c r="T18" s="1046"/>
      <c r="U18" s="1046"/>
      <c r="V18" s="1046"/>
      <c r="W18" s="1046"/>
      <c r="X18" s="1047"/>
      <c r="Y18" s="1047"/>
      <c r="Z18" s="216"/>
      <c r="AA18" s="216"/>
      <c r="AB18" s="216"/>
      <c r="AC18" s="216"/>
      <c r="AD18" s="216"/>
      <c r="AE18" s="216"/>
      <c r="AF18" s="216"/>
      <c r="AG18" s="299"/>
      <c r="AH18" s="219"/>
      <c r="AI18" s="219"/>
      <c r="AJ18" s="219"/>
      <c r="AK18" s="219"/>
      <c r="AL18" s="219"/>
      <c r="AM18" s="219"/>
      <c r="AN18" s="219"/>
      <c r="AO18" s="219"/>
      <c r="AP18" s="219"/>
      <c r="AQ18" s="219"/>
      <c r="AR18" s="219"/>
      <c r="AS18" s="262"/>
      <c r="AT18" s="262"/>
      <c r="AU18" s="262"/>
      <c r="AV18" s="262"/>
      <c r="AW18" s="262"/>
      <c r="AX18" s="262"/>
      <c r="AY18" s="262"/>
      <c r="AZ18" s="262"/>
      <c r="BA18" s="262"/>
      <c r="BB18" s="262"/>
      <c r="BC18" s="262"/>
      <c r="BD18" s="262"/>
      <c r="BE18" s="262"/>
      <c r="BF18" s="262"/>
      <c r="BG18" s="262"/>
      <c r="BH18" s="262"/>
      <c r="BI18" s="262"/>
      <c r="BJ18" s="262"/>
      <c r="BK18" s="262"/>
      <c r="BL18" s="262"/>
      <c r="BM18" s="262"/>
      <c r="BN18" s="262"/>
      <c r="BO18" s="262"/>
      <c r="BP18" s="262"/>
      <c r="BQ18" s="262"/>
      <c r="BR18" s="262"/>
      <c r="BS18" s="7"/>
      <c r="BT18" s="7"/>
      <c r="BU18" s="7"/>
      <c r="BV18" s="7"/>
      <c r="BW18" s="7"/>
      <c r="BX18" s="7"/>
      <c r="BY18" s="7"/>
      <c r="BZ18" s="7"/>
      <c r="CA18" s="7"/>
      <c r="CB18" s="7"/>
      <c r="CC18" s="7"/>
      <c r="CD18" s="7"/>
      <c r="CE18" s="7"/>
      <c r="CF18" s="7"/>
      <c r="CG18" s="7"/>
      <c r="CH18" s="7"/>
      <c r="CI18" s="7"/>
      <c r="CJ18" s="7"/>
      <c r="CK18" s="216"/>
      <c r="CL18" s="216"/>
      <c r="CM18" s="217"/>
      <c r="CN18" s="460"/>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row>
    <row r="19" spans="1:175" ht="16.5" customHeight="1" thickBot="1" x14ac:dyDescent="0.3">
      <c r="A19" s="332"/>
      <c r="B19" s="233"/>
      <c r="C19" s="1040" t="s">
        <v>2715</v>
      </c>
      <c r="D19" s="1041"/>
      <c r="E19" s="1042"/>
      <c r="F19" s="1048">
        <f>SUM('Lighting Inventory'!AH11:AH260)+SUM('Lighting Inventory'!AS11:AS260)</f>
        <v>0</v>
      </c>
      <c r="G19" s="1049"/>
      <c r="H19" s="1049"/>
      <c r="I19" s="1049"/>
      <c r="J19" s="1049"/>
      <c r="K19" s="1049"/>
      <c r="L19" s="1049"/>
      <c r="M19" s="1049"/>
      <c r="N19" s="1049"/>
      <c r="O19" s="1050"/>
      <c r="P19" s="216"/>
      <c r="Q19" s="216"/>
      <c r="R19" s="216"/>
      <c r="S19" s="518"/>
      <c r="T19" s="518"/>
      <c r="U19" s="518"/>
      <c r="V19" s="518"/>
      <c r="W19" s="518"/>
      <c r="X19" s="519"/>
      <c r="Y19" s="519"/>
      <c r="Z19" s="216"/>
      <c r="AA19" s="216"/>
      <c r="AB19" s="216"/>
      <c r="AC19" s="216"/>
      <c r="AD19" s="216"/>
      <c r="AE19" s="216"/>
      <c r="AF19" s="216"/>
      <c r="AG19" s="299"/>
      <c r="AH19" s="219"/>
      <c r="AI19" s="219"/>
      <c r="AJ19" s="219"/>
      <c r="AK19" s="219"/>
      <c r="AL19" s="219"/>
      <c r="AM19" s="219"/>
      <c r="AN19" s="219"/>
      <c r="AO19" s="219"/>
      <c r="AP19" s="219"/>
      <c r="AQ19" s="219"/>
      <c r="AR19" s="219"/>
      <c r="AS19" s="262"/>
      <c r="AT19" s="262"/>
      <c r="AU19" s="262"/>
      <c r="AV19" s="262"/>
      <c r="AW19" s="262"/>
      <c r="AX19" s="262"/>
      <c r="AY19" s="262"/>
      <c r="AZ19" s="262"/>
      <c r="BA19" s="262"/>
      <c r="BB19" s="262"/>
      <c r="BC19" s="262"/>
      <c r="BD19" s="262"/>
      <c r="BE19" s="262"/>
      <c r="BF19" s="262"/>
      <c r="BG19" s="262"/>
      <c r="BH19" s="262"/>
      <c r="BI19" s="262"/>
      <c r="BJ19" s="262"/>
      <c r="BK19" s="262"/>
      <c r="BL19" s="262"/>
      <c r="BM19" s="262"/>
      <c r="BN19" s="262"/>
      <c r="BO19" s="262"/>
      <c r="BP19" s="262"/>
      <c r="BQ19" s="262"/>
      <c r="BR19" s="262"/>
      <c r="BS19" s="7"/>
      <c r="BT19" s="7"/>
      <c r="BU19" s="7"/>
      <c r="BV19" s="7"/>
      <c r="BW19" s="7"/>
      <c r="BX19" s="7"/>
      <c r="BY19" s="7"/>
      <c r="BZ19" s="7"/>
      <c r="CA19" s="7"/>
      <c r="CB19" s="7"/>
      <c r="CC19" s="7"/>
      <c r="CD19" s="7"/>
      <c r="CE19" s="7"/>
      <c r="CF19" s="7"/>
      <c r="CG19" s="7"/>
      <c r="CH19" s="7"/>
      <c r="CI19" s="7"/>
      <c r="CJ19" s="7"/>
      <c r="CK19" s="216"/>
      <c r="CL19" s="216"/>
      <c r="CM19" s="217"/>
      <c r="CN19" s="460"/>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row>
    <row r="20" spans="1:175" ht="16.5" customHeight="1" thickBot="1" x14ac:dyDescent="0.3">
      <c r="A20" s="332"/>
      <c r="B20" s="233"/>
      <c r="C20" s="1040" t="s">
        <v>2717</v>
      </c>
      <c r="D20" s="1041"/>
      <c r="E20" s="1042"/>
      <c r="F20" s="1043"/>
      <c r="G20" s="1044"/>
      <c r="H20" s="1044"/>
      <c r="I20" s="1044"/>
      <c r="J20" s="1044"/>
      <c r="K20" s="1044"/>
      <c r="L20" s="1044"/>
      <c r="M20" s="1044"/>
      <c r="N20" s="1044"/>
      <c r="O20" s="1045"/>
      <c r="P20" s="216"/>
      <c r="Q20" s="216"/>
      <c r="R20" s="216"/>
      <c r="S20" s="216"/>
      <c r="T20" s="216"/>
      <c r="U20" s="216"/>
      <c r="V20" s="216"/>
      <c r="W20" s="216"/>
      <c r="X20" s="216"/>
      <c r="Y20" s="216"/>
      <c r="Z20" s="216"/>
      <c r="AA20" s="216"/>
      <c r="AB20" s="216"/>
      <c r="AC20" s="216"/>
      <c r="AD20" s="216"/>
      <c r="AE20" s="216"/>
      <c r="AF20" s="216"/>
      <c r="AG20" s="299"/>
      <c r="AH20" s="219"/>
      <c r="AI20" s="219"/>
      <c r="AJ20" s="219"/>
      <c r="AK20" s="219"/>
      <c r="AL20" s="219"/>
      <c r="AM20" s="219"/>
      <c r="AN20" s="219"/>
      <c r="AO20" s="219"/>
      <c r="AP20" s="219"/>
      <c r="AQ20" s="219"/>
      <c r="AR20" s="219"/>
      <c r="AS20" s="262"/>
      <c r="AT20" s="262"/>
      <c r="AU20" s="262"/>
      <c r="AV20" s="262"/>
      <c r="AW20" s="262"/>
      <c r="AX20" s="262"/>
      <c r="AY20" s="262"/>
      <c r="AZ20" s="262"/>
      <c r="BA20" s="262"/>
      <c r="BB20" s="262"/>
      <c r="BC20" s="262"/>
      <c r="BD20" s="262"/>
      <c r="BE20" s="262"/>
      <c r="BF20" s="262"/>
      <c r="BG20" s="262"/>
      <c r="BH20" s="262"/>
      <c r="BI20" s="262"/>
      <c r="BJ20" s="262"/>
      <c r="BK20" s="262"/>
      <c r="BL20" s="262"/>
      <c r="BM20" s="262"/>
      <c r="BN20" s="262"/>
      <c r="BO20" s="262"/>
      <c r="BP20" s="262"/>
      <c r="BQ20" s="262"/>
      <c r="BR20" s="262"/>
      <c r="BS20" s="7"/>
      <c r="BT20" s="7"/>
      <c r="BU20" s="7"/>
      <c r="BV20" s="7"/>
      <c r="BW20" s="7"/>
      <c r="BX20" s="7"/>
      <c r="BY20" s="7"/>
      <c r="BZ20" s="7"/>
      <c r="CA20" s="7"/>
      <c r="CB20" s="7"/>
      <c r="CC20" s="7"/>
      <c r="CD20" s="7"/>
      <c r="CE20" s="7"/>
      <c r="CF20" s="7"/>
      <c r="CG20" s="7"/>
      <c r="CH20" s="7"/>
      <c r="CI20" s="7"/>
      <c r="CJ20" s="7"/>
      <c r="CK20" s="216"/>
      <c r="CL20" s="216"/>
      <c r="CM20" s="217"/>
      <c r="CN20" s="460"/>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row>
    <row r="21" spans="1:175" x14ac:dyDescent="0.25">
      <c r="A21" s="332"/>
      <c r="B21" s="233"/>
      <c r="C21" s="300"/>
      <c r="D21" s="301"/>
      <c r="E21" s="301"/>
      <c r="F21" s="301"/>
      <c r="G21" s="301"/>
      <c r="H21" s="301"/>
      <c r="I21" s="301"/>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99"/>
      <c r="AH21" s="219"/>
      <c r="AI21" s="219"/>
      <c r="AJ21" s="219"/>
      <c r="AK21" s="219"/>
      <c r="AL21" s="219"/>
      <c r="AM21" s="219"/>
      <c r="AN21" s="219"/>
      <c r="AO21" s="219"/>
      <c r="AP21" s="219"/>
      <c r="AQ21" s="219"/>
      <c r="AR21" s="219"/>
      <c r="AS21" s="262"/>
      <c r="AT21" s="262"/>
      <c r="AU21" s="262"/>
      <c r="AV21" s="262"/>
      <c r="AW21" s="262"/>
      <c r="AX21" s="262"/>
      <c r="AY21" s="262"/>
      <c r="AZ21" s="262"/>
      <c r="BA21" s="262"/>
      <c r="BB21" s="262"/>
      <c r="BC21" s="262"/>
      <c r="BD21" s="262"/>
      <c r="BE21" s="262"/>
      <c r="BF21" s="262"/>
      <c r="BG21" s="262"/>
      <c r="BH21" s="262"/>
      <c r="BI21" s="262"/>
      <c r="BJ21" s="262"/>
      <c r="BK21" s="262"/>
      <c r="BL21" s="262"/>
      <c r="BM21" s="262"/>
      <c r="BN21" s="262"/>
      <c r="BO21" s="262"/>
      <c r="BP21" s="262"/>
      <c r="BQ21" s="262"/>
      <c r="BR21" s="262"/>
      <c r="BS21" s="7"/>
      <c r="BT21" s="7"/>
      <c r="BU21" s="7"/>
      <c r="BV21" s="7"/>
      <c r="BW21" s="7"/>
      <c r="BX21" s="7"/>
      <c r="BY21" s="7"/>
      <c r="BZ21" s="7"/>
      <c r="CA21" s="7"/>
      <c r="CB21" s="7"/>
      <c r="CC21" s="7"/>
      <c r="CD21" s="7"/>
      <c r="CE21" s="7"/>
      <c r="CF21" s="7"/>
      <c r="CG21" s="7"/>
      <c r="CH21" s="7"/>
      <c r="CI21" s="7"/>
      <c r="CJ21" s="7"/>
      <c r="CK21" s="216"/>
      <c r="CL21" s="216"/>
      <c r="CM21" s="217"/>
      <c r="CN21" s="460"/>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row>
    <row r="22" spans="1:175" ht="6.75" customHeight="1" x14ac:dyDescent="0.25">
      <c r="A22" s="332"/>
      <c r="B22" s="233"/>
      <c r="C22" s="300"/>
      <c r="D22" s="301"/>
      <c r="E22" s="301"/>
      <c r="F22" s="301"/>
      <c r="G22" s="301"/>
      <c r="H22" s="301"/>
      <c r="I22" s="301"/>
      <c r="J22" s="216"/>
      <c r="K22" s="216"/>
      <c r="L22" s="216"/>
      <c r="M22" s="216"/>
      <c r="N22" s="216"/>
      <c r="O22" s="216"/>
      <c r="P22" s="216"/>
      <c r="Q22" s="216"/>
      <c r="R22" s="216"/>
      <c r="S22" s="302"/>
      <c r="T22" s="302"/>
      <c r="U22" s="302"/>
      <c r="V22" s="302"/>
      <c r="W22" s="302"/>
      <c r="X22" s="302"/>
      <c r="Y22" s="302"/>
      <c r="Z22" s="302"/>
      <c r="AA22" s="303"/>
      <c r="AB22" s="303"/>
      <c r="AC22" s="304"/>
      <c r="AD22" s="304"/>
      <c r="AE22" s="304"/>
      <c r="AF22" s="216"/>
      <c r="AG22" s="299"/>
      <c r="AH22" s="219"/>
      <c r="AI22" s="219"/>
      <c r="AJ22" s="219"/>
      <c r="AK22" s="219"/>
      <c r="AL22" s="219"/>
      <c r="AM22" s="219"/>
      <c r="AN22" s="219"/>
      <c r="AO22" s="219"/>
      <c r="AP22" s="219"/>
      <c r="AQ22" s="219"/>
      <c r="AR22" s="219"/>
      <c r="AS22" s="262"/>
      <c r="AT22" s="262"/>
      <c r="AU22" s="262"/>
      <c r="AV22" s="262"/>
      <c r="AW22" s="262"/>
      <c r="AX22" s="262"/>
      <c r="AY22" s="262"/>
      <c r="AZ22" s="262"/>
      <c r="BA22" s="262"/>
      <c r="BB22" s="262"/>
      <c r="BC22" s="262"/>
      <c r="BD22" s="262"/>
      <c r="BE22" s="262"/>
      <c r="BF22" s="262"/>
      <c r="BG22" s="262"/>
      <c r="BH22" s="262"/>
      <c r="BI22" s="262"/>
      <c r="BJ22" s="262"/>
      <c r="BK22" s="262"/>
      <c r="BL22" s="262"/>
      <c r="BM22" s="262"/>
      <c r="BN22" s="262"/>
      <c r="BO22" s="262"/>
      <c r="BP22" s="262"/>
      <c r="BQ22" s="262"/>
      <c r="BR22" s="262"/>
      <c r="BS22" s="7"/>
      <c r="BT22" s="7"/>
      <c r="BU22" s="7"/>
      <c r="BV22" s="7"/>
      <c r="BW22" s="7"/>
      <c r="BX22" s="7"/>
      <c r="BY22" s="7"/>
      <c r="BZ22" s="7"/>
      <c r="CA22" s="7"/>
      <c r="CB22" s="7"/>
      <c r="CC22" s="7"/>
      <c r="CD22" s="7"/>
      <c r="CE22" s="7"/>
      <c r="CF22" s="7"/>
      <c r="CG22" s="7"/>
      <c r="CH22" s="7"/>
      <c r="CI22" s="7"/>
      <c r="CJ22" s="7"/>
      <c r="CK22" s="216"/>
      <c r="CL22" s="216"/>
      <c r="CM22" s="217"/>
      <c r="CN22" s="460"/>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row>
    <row r="23" spans="1:175" ht="18.75" customHeight="1" x14ac:dyDescent="0.25">
      <c r="A23" s="332"/>
      <c r="B23" s="233"/>
      <c r="C23" s="1029" t="s">
        <v>2718</v>
      </c>
      <c r="D23" s="1030"/>
      <c r="E23" s="1030"/>
      <c r="F23" s="1030"/>
      <c r="G23" s="1030"/>
      <c r="H23" s="1030"/>
      <c r="I23" s="1030"/>
      <c r="J23" s="1030"/>
      <c r="K23" s="1030"/>
      <c r="L23" s="1030"/>
      <c r="M23" s="1030"/>
      <c r="N23" s="1030"/>
      <c r="O23" s="1030"/>
      <c r="P23" s="1030"/>
      <c r="Q23" s="1030"/>
      <c r="R23" s="1030"/>
      <c r="S23" s="1030"/>
      <c r="T23" s="1030"/>
      <c r="U23" s="1030"/>
      <c r="V23" s="1030"/>
      <c r="W23" s="1030"/>
      <c r="X23" s="1030"/>
      <c r="Y23" s="1030"/>
      <c r="Z23" s="1030"/>
      <c r="AA23" s="1030"/>
      <c r="AB23" s="1030"/>
      <c r="AC23" s="1030"/>
      <c r="AD23" s="1030"/>
      <c r="AE23" s="1030"/>
      <c r="AF23" s="216"/>
      <c r="AG23" s="299"/>
      <c r="AH23" s="219"/>
      <c r="AI23" s="219"/>
      <c r="AJ23" s="219"/>
      <c r="AK23" s="219"/>
      <c r="AL23" s="219"/>
      <c r="AM23" s="219"/>
      <c r="AN23" s="219"/>
      <c r="AO23" s="219"/>
      <c r="AP23" s="219"/>
      <c r="AQ23" s="219"/>
      <c r="AR23" s="219"/>
      <c r="AS23" s="262"/>
      <c r="AT23" s="262"/>
      <c r="AU23" s="262"/>
      <c r="AV23" s="262"/>
      <c r="AW23" s="262"/>
      <c r="AX23" s="262"/>
      <c r="AY23" s="262"/>
      <c r="AZ23" s="262"/>
      <c r="BA23" s="262"/>
      <c r="BB23" s="262"/>
      <c r="BC23" s="262"/>
      <c r="BD23" s="262"/>
      <c r="BE23" s="262"/>
      <c r="BF23" s="262"/>
      <c r="BG23" s="262"/>
      <c r="BH23" s="262"/>
      <c r="BI23" s="262"/>
      <c r="BJ23" s="262"/>
      <c r="BK23" s="262"/>
      <c r="BL23" s="262"/>
      <c r="BM23" s="262"/>
      <c r="BN23" s="262"/>
      <c r="BO23" s="262"/>
      <c r="BP23" s="262"/>
      <c r="BQ23" s="262"/>
      <c r="BR23" s="262"/>
      <c r="BS23" s="7"/>
      <c r="BT23" s="7"/>
      <c r="BU23" s="7"/>
      <c r="BV23" s="7"/>
      <c r="BW23" s="7"/>
      <c r="BX23" s="7"/>
      <c r="BY23" s="7"/>
      <c r="BZ23" s="7"/>
      <c r="CA23" s="7"/>
      <c r="CB23" s="7"/>
      <c r="CC23" s="7"/>
      <c r="CD23" s="7"/>
      <c r="CE23" s="7"/>
      <c r="CF23" s="7"/>
      <c r="CG23" s="7"/>
      <c r="CH23" s="7"/>
      <c r="CI23" s="7"/>
      <c r="CJ23" s="7"/>
      <c r="CK23" s="216"/>
      <c r="CL23" s="216"/>
      <c r="CM23" s="217"/>
      <c r="CN23" s="460"/>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row>
    <row r="24" spans="1:175" ht="145.5" customHeight="1" thickBot="1" x14ac:dyDescent="0.3">
      <c r="A24" s="332"/>
      <c r="B24" s="233"/>
      <c r="C24" s="1030"/>
      <c r="D24" s="1030"/>
      <c r="E24" s="1030"/>
      <c r="F24" s="1030"/>
      <c r="G24" s="1030"/>
      <c r="H24" s="1030"/>
      <c r="I24" s="1030"/>
      <c r="J24" s="1030"/>
      <c r="K24" s="1030"/>
      <c r="L24" s="1030"/>
      <c r="M24" s="1030"/>
      <c r="N24" s="1030"/>
      <c r="O24" s="1030"/>
      <c r="P24" s="1030"/>
      <c r="Q24" s="1030"/>
      <c r="R24" s="1030"/>
      <c r="S24" s="1030"/>
      <c r="T24" s="1030"/>
      <c r="U24" s="1030"/>
      <c r="V24" s="1030"/>
      <c r="W24" s="1030"/>
      <c r="X24" s="1030"/>
      <c r="Y24" s="1030"/>
      <c r="Z24" s="1030"/>
      <c r="AA24" s="1030"/>
      <c r="AB24" s="1030"/>
      <c r="AC24" s="1030"/>
      <c r="AD24" s="1030"/>
      <c r="AE24" s="1030"/>
      <c r="AF24" s="7"/>
      <c r="AG24" s="40"/>
      <c r="AH24" s="221"/>
      <c r="AI24" s="221"/>
      <c r="AJ24" s="221"/>
      <c r="AK24" s="221"/>
      <c r="AL24" s="221"/>
      <c r="AM24" s="221"/>
      <c r="AN24" s="221"/>
      <c r="AO24" s="221"/>
      <c r="AP24" s="221"/>
      <c r="AQ24" s="221"/>
      <c r="AR24" s="221"/>
      <c r="AS24" s="262"/>
      <c r="AT24" s="262"/>
      <c r="AU24" s="262"/>
      <c r="AV24" s="262"/>
      <c r="AW24" s="262"/>
      <c r="AX24" s="262"/>
      <c r="AY24" s="262"/>
      <c r="AZ24" s="262"/>
      <c r="BA24" s="262"/>
      <c r="BB24" s="262"/>
      <c r="BC24" s="262"/>
      <c r="BD24" s="262"/>
      <c r="BE24" s="262"/>
      <c r="BF24" s="262"/>
      <c r="BG24" s="262"/>
      <c r="BH24" s="262"/>
      <c r="BI24" s="262"/>
      <c r="BJ24" s="262"/>
      <c r="BK24" s="262"/>
      <c r="BL24" s="262"/>
      <c r="BM24" s="262"/>
      <c r="BN24" s="262"/>
      <c r="BO24" s="262"/>
      <c r="BP24" s="262"/>
      <c r="BQ24" s="262"/>
      <c r="BR24" s="262"/>
      <c r="BS24" s="7"/>
      <c r="BT24" s="7"/>
      <c r="BU24" s="7"/>
      <c r="BV24" s="7"/>
      <c r="BW24" s="7"/>
      <c r="BX24" s="7"/>
      <c r="BY24" s="7"/>
      <c r="BZ24" s="7"/>
      <c r="CA24" s="7"/>
      <c r="CB24" s="7"/>
      <c r="CC24" s="7"/>
      <c r="CD24" s="7"/>
      <c r="CE24" s="7"/>
      <c r="CF24" s="7"/>
      <c r="CG24" s="7"/>
      <c r="CH24" s="7"/>
      <c r="CI24" s="7"/>
      <c r="CJ24" s="7"/>
      <c r="CK24" s="460"/>
      <c r="CL24" s="460"/>
      <c r="CM24" s="1031"/>
      <c r="CN24" s="1031"/>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row>
    <row r="25" spans="1:175" ht="22.5" customHeight="1" thickBot="1" x14ac:dyDescent="0.3">
      <c r="A25" s="332"/>
      <c r="B25" s="233"/>
      <c r="C25" s="43"/>
      <c r="D25" s="1080" t="s">
        <v>4565</v>
      </c>
      <c r="E25" s="1080"/>
      <c r="F25" s="1080"/>
      <c r="G25" s="1080"/>
      <c r="H25" s="1080"/>
      <c r="I25" s="1080"/>
      <c r="J25" s="1080"/>
      <c r="K25" s="1080"/>
      <c r="L25" s="1080"/>
      <c r="M25" s="1080"/>
      <c r="N25" s="1080"/>
      <c r="O25" s="1080"/>
      <c r="P25" s="1080"/>
      <c r="Q25" s="1080"/>
      <c r="R25" s="1080"/>
      <c r="S25" s="1080"/>
      <c r="T25" s="1080"/>
      <c r="U25" s="1080"/>
      <c r="V25" s="1080"/>
      <c r="W25" s="1080"/>
      <c r="X25" s="1080"/>
      <c r="Y25" s="1080"/>
      <c r="Z25" s="1080"/>
      <c r="AA25" s="1080"/>
      <c r="AB25" s="1080"/>
      <c r="AC25" s="1080"/>
      <c r="AD25" s="1080"/>
      <c r="AE25" s="1080"/>
      <c r="AF25" s="305"/>
      <c r="AG25" s="306"/>
      <c r="AH25" s="1011" t="s">
        <v>2719</v>
      </c>
      <c r="AI25" s="1012"/>
      <c r="AJ25" s="1012"/>
      <c r="AK25" s="1012"/>
      <c r="AL25" s="1013"/>
      <c r="AM25" s="221"/>
      <c r="AN25" s="1016" t="s">
        <v>2720</v>
      </c>
      <c r="AO25" s="1012"/>
      <c r="AP25" s="1012"/>
      <c r="AQ25" s="1012"/>
      <c r="AR25" s="1013"/>
      <c r="AS25" s="262"/>
      <c r="AT25" s="262"/>
      <c r="AU25" s="262"/>
      <c r="AV25" s="262"/>
      <c r="AW25" s="262"/>
      <c r="AX25" s="262"/>
      <c r="AY25" s="262"/>
      <c r="AZ25" s="262"/>
      <c r="BA25" s="262"/>
      <c r="BB25" s="262"/>
      <c r="BC25" s="262"/>
      <c r="BD25" s="262"/>
      <c r="BE25" s="262"/>
      <c r="BF25" s="262"/>
      <c r="BG25" s="262"/>
      <c r="BH25" s="262"/>
      <c r="BI25" s="262"/>
      <c r="BJ25" s="262"/>
      <c r="BK25" s="262"/>
      <c r="BL25" s="262"/>
      <c r="BM25" s="262"/>
      <c r="BN25" s="262"/>
      <c r="BO25" s="262"/>
      <c r="BP25" s="262"/>
      <c r="BQ25" s="262"/>
      <c r="BR25" s="262"/>
      <c r="BS25" s="7"/>
      <c r="BT25" s="7"/>
      <c r="BU25" s="7"/>
      <c r="BV25" s="7"/>
      <c r="BW25" s="7"/>
      <c r="BX25" s="7"/>
      <c r="BY25" s="7"/>
      <c r="BZ25" s="7"/>
      <c r="CA25" s="7"/>
      <c r="CB25" s="7"/>
      <c r="CC25" s="7"/>
      <c r="CD25" s="7"/>
      <c r="CE25" s="7"/>
      <c r="CF25" s="7"/>
      <c r="CG25" s="7"/>
      <c r="CH25" s="7"/>
      <c r="CI25" s="7"/>
      <c r="CJ25" s="7"/>
      <c r="CK25" s="1031" t="s">
        <v>2721</v>
      </c>
      <c r="CL25" s="1031"/>
      <c r="CM25" s="1031"/>
      <c r="CN25" s="1031"/>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row>
    <row r="26" spans="1:175" ht="4.5" customHeight="1" thickBot="1" x14ac:dyDescent="0.3">
      <c r="A26" s="332"/>
      <c r="B26" s="233"/>
      <c r="C26" s="433"/>
      <c r="D26" s="434"/>
      <c r="E26" s="435"/>
      <c r="F26" s="435"/>
      <c r="G26" s="435"/>
      <c r="H26" s="435"/>
      <c r="I26" s="435"/>
      <c r="J26" s="435"/>
      <c r="K26" s="435"/>
      <c r="L26" s="435"/>
      <c r="M26" s="435"/>
      <c r="N26" s="435"/>
      <c r="O26" s="435"/>
      <c r="P26" s="435"/>
      <c r="Q26" s="435"/>
      <c r="R26" s="435"/>
      <c r="S26" s="435"/>
      <c r="T26" s="435"/>
      <c r="U26" s="435"/>
      <c r="V26" s="435"/>
      <c r="W26" s="435"/>
      <c r="X26" s="435"/>
      <c r="Y26" s="435"/>
      <c r="Z26" s="435"/>
      <c r="AA26" s="435"/>
      <c r="AB26" s="435"/>
      <c r="AC26" s="435"/>
      <c r="AD26" s="435"/>
      <c r="AE26" s="436"/>
      <c r="AF26" s="305"/>
      <c r="AG26" s="306"/>
      <c r="AH26" s="1014"/>
      <c r="AI26" s="1014"/>
      <c r="AJ26" s="1014"/>
      <c r="AK26" s="1014"/>
      <c r="AL26" s="1015"/>
      <c r="AM26" s="221"/>
      <c r="AN26" s="1017"/>
      <c r="AO26" s="1014"/>
      <c r="AP26" s="1014"/>
      <c r="AQ26" s="1014"/>
      <c r="AR26" s="1015"/>
      <c r="AS26" s="262"/>
      <c r="AT26" s="262"/>
      <c r="AU26" s="262"/>
      <c r="AV26" s="262"/>
      <c r="AW26" s="262"/>
      <c r="AX26" s="262"/>
      <c r="AY26" s="262"/>
      <c r="AZ26" s="262"/>
      <c r="BA26" s="262"/>
      <c r="BB26" s="262"/>
      <c r="BC26" s="262"/>
      <c r="BD26" s="262"/>
      <c r="BE26" s="262"/>
      <c r="BF26" s="262"/>
      <c r="BG26" s="262"/>
      <c r="BH26" s="262"/>
      <c r="BI26" s="262"/>
      <c r="BJ26" s="262"/>
      <c r="BK26" s="262"/>
      <c r="BL26" s="262"/>
      <c r="BM26" s="262"/>
      <c r="BN26" s="262"/>
      <c r="BO26" s="262"/>
      <c r="BP26" s="262"/>
      <c r="BQ26" s="262"/>
      <c r="BR26" s="262"/>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row>
    <row r="27" spans="1:175" ht="87" customHeight="1" x14ac:dyDescent="0.25">
      <c r="A27" s="332"/>
      <c r="B27" s="233"/>
      <c r="C27" s="1024" t="s">
        <v>2722</v>
      </c>
      <c r="D27" s="209"/>
      <c r="E27" s="343" t="s">
        <v>2723</v>
      </c>
      <c r="F27" s="344" t="s">
        <v>2724</v>
      </c>
      <c r="G27" s="344" t="s">
        <v>2725</v>
      </c>
      <c r="H27" s="344" t="s">
        <v>2726</v>
      </c>
      <c r="I27" s="344" t="s">
        <v>2727</v>
      </c>
      <c r="J27" s="344" t="s">
        <v>2728</v>
      </c>
      <c r="K27" s="344" t="s">
        <v>2729</v>
      </c>
      <c r="L27" s="344" t="s">
        <v>2730</v>
      </c>
      <c r="M27" s="344" t="s">
        <v>2731</v>
      </c>
      <c r="N27" s="344" t="s">
        <v>2732</v>
      </c>
      <c r="O27" s="344" t="s">
        <v>2733</v>
      </c>
      <c r="P27" s="344" t="s">
        <v>2734</v>
      </c>
      <c r="Q27" s="345" t="s">
        <v>2735</v>
      </c>
      <c r="R27" s="345" t="s">
        <v>2736</v>
      </c>
      <c r="S27" s="345" t="s">
        <v>2737</v>
      </c>
      <c r="T27" s="345" t="s">
        <v>2738</v>
      </c>
      <c r="U27" s="345" t="s">
        <v>2739</v>
      </c>
      <c r="V27" s="345" t="s">
        <v>2740</v>
      </c>
      <c r="W27" s="345" t="s">
        <v>2741</v>
      </c>
      <c r="X27" s="345" t="s">
        <v>2742</v>
      </c>
      <c r="Y27" s="345" t="s">
        <v>2743</v>
      </c>
      <c r="Z27" s="345" t="s">
        <v>2744</v>
      </c>
      <c r="AA27" s="345" t="s">
        <v>2745</v>
      </c>
      <c r="AB27" s="345" t="s">
        <v>2746</v>
      </c>
      <c r="AC27" s="1021" t="s">
        <v>2747</v>
      </c>
      <c r="AD27" s="1021"/>
      <c r="AE27" s="356" t="s">
        <v>2748</v>
      </c>
      <c r="AF27" s="305"/>
      <c r="AG27" s="306"/>
      <c r="AH27" s="7"/>
      <c r="AI27" s="222" t="s">
        <v>2749</v>
      </c>
      <c r="AJ27" s="222" t="s">
        <v>2750</v>
      </c>
      <c r="AK27" s="222" t="s">
        <v>2751</v>
      </c>
      <c r="AL27" s="223" t="s">
        <v>2752</v>
      </c>
      <c r="AM27" s="221"/>
      <c r="AN27" s="209"/>
      <c r="AO27" s="222" t="s">
        <v>2753</v>
      </c>
      <c r="AP27" s="222" t="s">
        <v>2754</v>
      </c>
      <c r="AQ27" s="222" t="s">
        <v>2755</v>
      </c>
      <c r="AR27" s="223" t="s">
        <v>2756</v>
      </c>
      <c r="AS27" s="262"/>
      <c r="AT27" s="262"/>
      <c r="AU27" s="262"/>
      <c r="AV27" s="262"/>
      <c r="AW27" s="262"/>
      <c r="AX27" s="262"/>
      <c r="AY27" s="262"/>
      <c r="AZ27" s="262"/>
      <c r="BA27" s="262"/>
      <c r="BB27" s="262"/>
      <c r="BC27" s="262"/>
      <c r="BD27" s="262"/>
      <c r="BE27" s="262"/>
      <c r="BF27" s="262"/>
      <c r="BG27" s="262"/>
      <c r="BH27" s="262"/>
      <c r="BI27" s="262"/>
      <c r="BJ27" s="262"/>
      <c r="BK27" s="262"/>
      <c r="BL27" s="262"/>
      <c r="BM27" s="262"/>
      <c r="BN27" s="262"/>
      <c r="BO27" s="262"/>
      <c r="BP27" s="262"/>
      <c r="BQ27" s="262"/>
      <c r="BR27" s="262"/>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row>
    <row r="28" spans="1:175" ht="21" customHeight="1" x14ac:dyDescent="0.25">
      <c r="A28" s="332"/>
      <c r="B28" s="233"/>
      <c r="C28" s="1019"/>
      <c r="D28" s="224" t="s">
        <v>2757</v>
      </c>
      <c r="E28" s="455"/>
      <c r="F28" s="455"/>
      <c r="G28" s="455"/>
      <c r="H28" s="455"/>
      <c r="I28" s="455"/>
      <c r="J28" s="455"/>
      <c r="K28" s="455"/>
      <c r="L28" s="455"/>
      <c r="M28" s="455"/>
      <c r="N28" s="455"/>
      <c r="O28" s="455"/>
      <c r="P28" s="455"/>
      <c r="Q28" s="455"/>
      <c r="R28" s="455"/>
      <c r="S28" s="455"/>
      <c r="T28" s="455"/>
      <c r="U28" s="455"/>
      <c r="V28" s="455"/>
      <c r="W28" s="455"/>
      <c r="X28" s="455"/>
      <c r="Y28" s="455"/>
      <c r="Z28" s="455"/>
      <c r="AA28" s="455"/>
      <c r="AB28" s="455"/>
      <c r="AC28" s="1022">
        <f>SUM(E28:AB28)</f>
        <v>0</v>
      </c>
      <c r="AD28" s="1022"/>
      <c r="AE28" s="225">
        <f>AC28*52</f>
        <v>0</v>
      </c>
      <c r="AF28" s="305"/>
      <c r="AG28" s="306"/>
      <c r="AH28" s="228" t="s">
        <v>2758</v>
      </c>
      <c r="AI28" s="206">
        <f>IF(S28&gt;0, S28,0)</f>
        <v>0</v>
      </c>
      <c r="AJ28" s="206">
        <f>IF(T28&gt;0,T28,0)</f>
        <v>0</v>
      </c>
      <c r="AK28" s="206">
        <f>IF(U28&gt;0, U28, 0)</f>
        <v>0</v>
      </c>
      <c r="AL28" s="207">
        <f>IF(V28&gt;0, V28,0)</f>
        <v>0</v>
      </c>
      <c r="AM28" s="221"/>
      <c r="AN28" s="210" t="s">
        <v>2758</v>
      </c>
      <c r="AO28" s="206">
        <f>IF(L28&gt;0, L28,0)</f>
        <v>0</v>
      </c>
      <c r="AP28" s="206">
        <f>IF(M28&gt;0, M28,0)</f>
        <v>0</v>
      </c>
      <c r="AQ28" s="206">
        <f>IF(W28&gt;0, W28,0)</f>
        <v>0</v>
      </c>
      <c r="AR28" s="207">
        <f>IF(X28&gt;0, X28,0)</f>
        <v>0</v>
      </c>
      <c r="AS28" s="262"/>
      <c r="AT28" s="262"/>
      <c r="AU28" s="262"/>
      <c r="AV28" s="262"/>
      <c r="AW28" s="262"/>
      <c r="AX28" s="262"/>
      <c r="AY28" s="262"/>
      <c r="AZ28" s="262"/>
      <c r="BA28" s="262"/>
      <c r="BB28" s="262"/>
      <c r="BC28" s="262"/>
      <c r="BD28" s="262"/>
      <c r="BE28" s="262"/>
      <c r="BF28" s="262"/>
      <c r="BG28" s="262"/>
      <c r="BH28" s="262"/>
      <c r="BI28" s="262"/>
      <c r="BJ28" s="262"/>
      <c r="BK28" s="262"/>
      <c r="BL28" s="262"/>
      <c r="BM28" s="262"/>
      <c r="BN28" s="262"/>
      <c r="BO28" s="262"/>
      <c r="BP28" s="262"/>
      <c r="BQ28" s="262"/>
      <c r="BR28" s="262"/>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row>
    <row r="29" spans="1:175" ht="21" customHeight="1" x14ac:dyDescent="0.25">
      <c r="A29" s="332"/>
      <c r="B29" s="233"/>
      <c r="C29" s="1019"/>
      <c r="D29" s="226" t="s">
        <v>2759</v>
      </c>
      <c r="E29" s="455"/>
      <c r="F29" s="455"/>
      <c r="G29" s="455"/>
      <c r="H29" s="455"/>
      <c r="I29" s="455"/>
      <c r="J29" s="455"/>
      <c r="K29" s="455"/>
      <c r="L29" s="455"/>
      <c r="M29" s="455"/>
      <c r="N29" s="455"/>
      <c r="O29" s="455"/>
      <c r="P29" s="455"/>
      <c r="Q29" s="455"/>
      <c r="R29" s="455"/>
      <c r="S29" s="455"/>
      <c r="T29" s="455"/>
      <c r="U29" s="455"/>
      <c r="V29" s="455"/>
      <c r="W29" s="455"/>
      <c r="X29" s="455"/>
      <c r="Y29" s="455"/>
      <c r="Z29" s="455"/>
      <c r="AA29" s="455"/>
      <c r="AB29" s="455"/>
      <c r="AC29" s="1022">
        <f t="shared" ref="AC29:AC34" si="0">SUM(E29:AB29)</f>
        <v>0</v>
      </c>
      <c r="AD29" s="1022"/>
      <c r="AE29" s="225">
        <f>AC29*52</f>
        <v>0</v>
      </c>
      <c r="AF29" s="305"/>
      <c r="AG29" s="306"/>
      <c r="AH29" s="228" t="s">
        <v>2760</v>
      </c>
      <c r="AI29" s="206">
        <f t="shared" ref="AI29:AI32" si="1">IF(S29&gt;0, S29,0)</f>
        <v>0</v>
      </c>
      <c r="AJ29" s="206">
        <f t="shared" ref="AJ29:AJ32" si="2">IF(T29&gt;0,T29,0)</f>
        <v>0</v>
      </c>
      <c r="AK29" s="206">
        <f t="shared" ref="AK29:AK32" si="3">IF(U29&gt;0, U29, 0)</f>
        <v>0</v>
      </c>
      <c r="AL29" s="207">
        <f t="shared" ref="AL29:AL32" si="4">IF(V29&gt;0, V29,0)</f>
        <v>0</v>
      </c>
      <c r="AM29" s="221"/>
      <c r="AN29" s="210" t="s">
        <v>2760</v>
      </c>
      <c r="AO29" s="206">
        <f t="shared" ref="AO29:AP32" si="5">IF(L29&gt;0, L29,0)</f>
        <v>0</v>
      </c>
      <c r="AP29" s="206">
        <f t="shared" si="5"/>
        <v>0</v>
      </c>
      <c r="AQ29" s="206">
        <f t="shared" ref="AQ29:AR32" si="6">IF(W29&gt;0, W29,0)</f>
        <v>0</v>
      </c>
      <c r="AR29" s="207">
        <f t="shared" si="6"/>
        <v>0</v>
      </c>
      <c r="AS29" s="262"/>
      <c r="AT29" s="262"/>
      <c r="AU29" s="262"/>
      <c r="AV29" s="262"/>
      <c r="AW29" s="262"/>
      <c r="AX29" s="262"/>
      <c r="AY29" s="262"/>
      <c r="AZ29" s="262"/>
      <c r="BA29" s="262"/>
      <c r="BB29" s="262"/>
      <c r="BC29" s="262"/>
      <c r="BD29" s="262"/>
      <c r="BE29" s="262"/>
      <c r="BF29" s="262"/>
      <c r="BG29" s="262"/>
      <c r="BH29" s="262"/>
      <c r="BI29" s="262"/>
      <c r="BJ29" s="262"/>
      <c r="BK29" s="262"/>
      <c r="BL29" s="262"/>
      <c r="BM29" s="262"/>
      <c r="BN29" s="262"/>
      <c r="BO29" s="262"/>
      <c r="BP29" s="262"/>
      <c r="BQ29" s="262"/>
      <c r="BR29" s="262"/>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row>
    <row r="30" spans="1:175" ht="21" customHeight="1" x14ac:dyDescent="0.25">
      <c r="A30" s="332"/>
      <c r="B30" s="233"/>
      <c r="C30" s="1019"/>
      <c r="D30" s="226" t="s">
        <v>2761</v>
      </c>
      <c r="E30" s="455"/>
      <c r="F30" s="455"/>
      <c r="G30" s="455"/>
      <c r="H30" s="455"/>
      <c r="I30" s="455"/>
      <c r="J30" s="455"/>
      <c r="K30" s="455"/>
      <c r="L30" s="455"/>
      <c r="M30" s="455"/>
      <c r="N30" s="455"/>
      <c r="O30" s="455"/>
      <c r="P30" s="455"/>
      <c r="Q30" s="455"/>
      <c r="R30" s="455"/>
      <c r="S30" s="455"/>
      <c r="T30" s="455"/>
      <c r="U30" s="455"/>
      <c r="V30" s="455"/>
      <c r="W30" s="455"/>
      <c r="X30" s="455"/>
      <c r="Y30" s="455"/>
      <c r="Z30" s="455"/>
      <c r="AA30" s="455"/>
      <c r="AB30" s="455"/>
      <c r="AC30" s="1022">
        <f t="shared" si="0"/>
        <v>0</v>
      </c>
      <c r="AD30" s="1022"/>
      <c r="AE30" s="225">
        <f t="shared" ref="AE30:AE34" si="7">AC30*52</f>
        <v>0</v>
      </c>
      <c r="AF30" s="305"/>
      <c r="AG30" s="306"/>
      <c r="AH30" s="228" t="s">
        <v>2762</v>
      </c>
      <c r="AI30" s="206">
        <f t="shared" si="1"/>
        <v>0</v>
      </c>
      <c r="AJ30" s="206">
        <f t="shared" si="2"/>
        <v>0</v>
      </c>
      <c r="AK30" s="206">
        <f t="shared" si="3"/>
        <v>0</v>
      </c>
      <c r="AL30" s="207">
        <f t="shared" si="4"/>
        <v>0</v>
      </c>
      <c r="AM30" s="221"/>
      <c r="AN30" s="210" t="s">
        <v>2762</v>
      </c>
      <c r="AO30" s="206">
        <f t="shared" si="5"/>
        <v>0</v>
      </c>
      <c r="AP30" s="206">
        <f t="shared" si="5"/>
        <v>0</v>
      </c>
      <c r="AQ30" s="206">
        <f t="shared" si="6"/>
        <v>0</v>
      </c>
      <c r="AR30" s="207">
        <f t="shared" si="6"/>
        <v>0</v>
      </c>
      <c r="AS30" s="262"/>
      <c r="AT30" s="262"/>
      <c r="AU30" s="262"/>
      <c r="AV30" s="262"/>
      <c r="AW30" s="262"/>
      <c r="AX30" s="262"/>
      <c r="AY30" s="262"/>
      <c r="AZ30" s="262"/>
      <c r="BA30" s="262"/>
      <c r="BB30" s="262"/>
      <c r="BC30" s="262"/>
      <c r="BD30" s="262"/>
      <c r="BE30" s="262"/>
      <c r="BF30" s="262"/>
      <c r="BG30" s="262"/>
      <c r="BH30" s="262"/>
      <c r="BI30" s="262"/>
      <c r="BJ30" s="262"/>
      <c r="BK30" s="262"/>
      <c r="BL30" s="262"/>
      <c r="BM30" s="262"/>
      <c r="BN30" s="262"/>
      <c r="BO30" s="262"/>
      <c r="BP30" s="262"/>
      <c r="BQ30" s="262"/>
      <c r="BR30" s="262"/>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row>
    <row r="31" spans="1:175" ht="21" customHeight="1" x14ac:dyDescent="0.25">
      <c r="A31" s="332"/>
      <c r="B31" s="233"/>
      <c r="C31" s="1019"/>
      <c r="D31" s="226" t="s">
        <v>2763</v>
      </c>
      <c r="E31" s="455"/>
      <c r="F31" s="455"/>
      <c r="G31" s="455"/>
      <c r="H31" s="455"/>
      <c r="I31" s="455"/>
      <c r="J31" s="455"/>
      <c r="K31" s="455"/>
      <c r="L31" s="455"/>
      <c r="M31" s="455"/>
      <c r="N31" s="455"/>
      <c r="O31" s="455"/>
      <c r="P31" s="455"/>
      <c r="Q31" s="455"/>
      <c r="R31" s="455"/>
      <c r="S31" s="455"/>
      <c r="T31" s="455"/>
      <c r="U31" s="455"/>
      <c r="V31" s="455"/>
      <c r="W31" s="455"/>
      <c r="X31" s="455"/>
      <c r="Y31" s="455"/>
      <c r="Z31" s="455"/>
      <c r="AA31" s="455"/>
      <c r="AB31" s="455"/>
      <c r="AC31" s="1022">
        <f t="shared" si="0"/>
        <v>0</v>
      </c>
      <c r="AD31" s="1022"/>
      <c r="AE31" s="225">
        <f t="shared" si="7"/>
        <v>0</v>
      </c>
      <c r="AF31" s="305"/>
      <c r="AG31" s="306"/>
      <c r="AH31" s="228" t="s">
        <v>2764</v>
      </c>
      <c r="AI31" s="206">
        <f t="shared" si="1"/>
        <v>0</v>
      </c>
      <c r="AJ31" s="206">
        <f t="shared" si="2"/>
        <v>0</v>
      </c>
      <c r="AK31" s="206">
        <f t="shared" si="3"/>
        <v>0</v>
      </c>
      <c r="AL31" s="207">
        <f t="shared" si="4"/>
        <v>0</v>
      </c>
      <c r="AM31" s="221"/>
      <c r="AN31" s="210" t="s">
        <v>2764</v>
      </c>
      <c r="AO31" s="206">
        <f t="shared" si="5"/>
        <v>0</v>
      </c>
      <c r="AP31" s="206">
        <f t="shared" si="5"/>
        <v>0</v>
      </c>
      <c r="AQ31" s="206">
        <f t="shared" si="6"/>
        <v>0</v>
      </c>
      <c r="AR31" s="207">
        <f t="shared" si="6"/>
        <v>0</v>
      </c>
      <c r="AS31" s="262"/>
      <c r="AT31" s="262"/>
      <c r="AU31" s="262"/>
      <c r="AV31" s="262"/>
      <c r="AW31" s="262"/>
      <c r="AX31" s="262"/>
      <c r="AY31" s="262"/>
      <c r="AZ31" s="262"/>
      <c r="BA31" s="262"/>
      <c r="BB31" s="262"/>
      <c r="BC31" s="262"/>
      <c r="BD31" s="262"/>
      <c r="BE31" s="262"/>
      <c r="BF31" s="262"/>
      <c r="BG31" s="262"/>
      <c r="BH31" s="262"/>
      <c r="BI31" s="262"/>
      <c r="BJ31" s="262"/>
      <c r="BK31" s="262"/>
      <c r="BL31" s="262"/>
      <c r="BM31" s="262"/>
      <c r="BN31" s="262"/>
      <c r="BO31" s="262"/>
      <c r="BP31" s="262"/>
      <c r="BQ31" s="262"/>
      <c r="BR31" s="262"/>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row>
    <row r="32" spans="1:175" ht="21" customHeight="1" x14ac:dyDescent="0.25">
      <c r="A32" s="332"/>
      <c r="B32" s="233"/>
      <c r="C32" s="1019"/>
      <c r="D32" s="226" t="s">
        <v>2765</v>
      </c>
      <c r="E32" s="455"/>
      <c r="F32" s="455"/>
      <c r="G32" s="455"/>
      <c r="H32" s="455"/>
      <c r="I32" s="455"/>
      <c r="J32" s="455"/>
      <c r="K32" s="455"/>
      <c r="L32" s="455"/>
      <c r="M32" s="455"/>
      <c r="N32" s="455"/>
      <c r="O32" s="455"/>
      <c r="P32" s="455"/>
      <c r="Q32" s="455"/>
      <c r="R32" s="455"/>
      <c r="S32" s="455"/>
      <c r="T32" s="455"/>
      <c r="U32" s="455"/>
      <c r="V32" s="455"/>
      <c r="W32" s="455"/>
      <c r="X32" s="455"/>
      <c r="Y32" s="455"/>
      <c r="Z32" s="455"/>
      <c r="AA32" s="455"/>
      <c r="AB32" s="455"/>
      <c r="AC32" s="1022">
        <f t="shared" si="0"/>
        <v>0</v>
      </c>
      <c r="AD32" s="1022"/>
      <c r="AE32" s="225">
        <f t="shared" si="7"/>
        <v>0</v>
      </c>
      <c r="AF32" s="305"/>
      <c r="AG32" s="306"/>
      <c r="AH32" s="228" t="s">
        <v>2766</v>
      </c>
      <c r="AI32" s="206">
        <f t="shared" si="1"/>
        <v>0</v>
      </c>
      <c r="AJ32" s="206">
        <f t="shared" si="2"/>
        <v>0</v>
      </c>
      <c r="AK32" s="206">
        <f t="shared" si="3"/>
        <v>0</v>
      </c>
      <c r="AL32" s="207">
        <f t="shared" si="4"/>
        <v>0</v>
      </c>
      <c r="AM32" s="221"/>
      <c r="AN32" s="210" t="s">
        <v>2766</v>
      </c>
      <c r="AO32" s="206">
        <f t="shared" si="5"/>
        <v>0</v>
      </c>
      <c r="AP32" s="206">
        <f t="shared" si="5"/>
        <v>0</v>
      </c>
      <c r="AQ32" s="206">
        <f t="shared" si="6"/>
        <v>0</v>
      </c>
      <c r="AR32" s="207">
        <f t="shared" si="6"/>
        <v>0</v>
      </c>
      <c r="AS32" s="262"/>
      <c r="AT32" s="262"/>
      <c r="AU32" s="262"/>
      <c r="AV32" s="262"/>
      <c r="AW32" s="262"/>
      <c r="AX32" s="262"/>
      <c r="AY32" s="262"/>
      <c r="AZ32" s="262"/>
      <c r="BA32" s="262"/>
      <c r="BB32" s="262"/>
      <c r="BC32" s="262"/>
      <c r="BD32" s="262"/>
      <c r="BE32" s="262"/>
      <c r="BF32" s="262"/>
      <c r="BG32" s="262"/>
      <c r="BH32" s="262"/>
      <c r="BI32" s="262"/>
      <c r="BJ32" s="262"/>
      <c r="BK32" s="262"/>
      <c r="BL32" s="262"/>
      <c r="BM32" s="262"/>
      <c r="BN32" s="262"/>
      <c r="BO32" s="262"/>
      <c r="BP32" s="262"/>
      <c r="BQ32" s="262"/>
      <c r="BR32" s="262"/>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row>
    <row r="33" spans="1:175" ht="21" customHeight="1" thickBot="1" x14ac:dyDescent="0.3">
      <c r="A33" s="332"/>
      <c r="B33" s="233"/>
      <c r="C33" s="1019"/>
      <c r="D33" s="226" t="s">
        <v>2767</v>
      </c>
      <c r="E33" s="455"/>
      <c r="F33" s="455"/>
      <c r="G33" s="455"/>
      <c r="H33" s="455"/>
      <c r="I33" s="455"/>
      <c r="J33" s="455"/>
      <c r="K33" s="455"/>
      <c r="L33" s="455"/>
      <c r="M33" s="455"/>
      <c r="N33" s="455"/>
      <c r="O33" s="455"/>
      <c r="P33" s="455"/>
      <c r="Q33" s="455"/>
      <c r="R33" s="455"/>
      <c r="S33" s="455"/>
      <c r="T33" s="455"/>
      <c r="U33" s="455"/>
      <c r="V33" s="455"/>
      <c r="W33" s="455"/>
      <c r="X33" s="455"/>
      <c r="Y33" s="455"/>
      <c r="Z33" s="455"/>
      <c r="AA33" s="455"/>
      <c r="AB33" s="455"/>
      <c r="AC33" s="1022">
        <f t="shared" si="0"/>
        <v>0</v>
      </c>
      <c r="AD33" s="1022"/>
      <c r="AE33" s="225">
        <f>AC33*52</f>
        <v>0</v>
      </c>
      <c r="AF33" s="305"/>
      <c r="AG33" s="306"/>
      <c r="AH33" s="229" t="s">
        <v>181</v>
      </c>
      <c r="AI33" s="208">
        <f>IFERROR(AVERAGE(AI28:AL32), "")</f>
        <v>0</v>
      </c>
      <c r="AJ33" s="221"/>
      <c r="AK33" s="221"/>
      <c r="AL33" s="221"/>
      <c r="AM33" s="221"/>
      <c r="AN33" s="211" t="s">
        <v>181</v>
      </c>
      <c r="AO33" s="208">
        <f>IFERROR(AVERAGE(AO28:AR32), "")</f>
        <v>0</v>
      </c>
      <c r="AP33" s="221"/>
      <c r="AQ33" s="221"/>
      <c r="AR33" s="221"/>
      <c r="AS33" s="262"/>
      <c r="AT33" s="262"/>
      <c r="AU33" s="262"/>
      <c r="AV33" s="262"/>
      <c r="AW33" s="262"/>
      <c r="AX33" s="262"/>
      <c r="AY33" s="262"/>
      <c r="AZ33" s="262"/>
      <c r="BA33" s="262"/>
      <c r="BB33" s="262"/>
      <c r="BC33" s="262"/>
      <c r="BD33" s="262"/>
      <c r="BE33" s="262"/>
      <c r="BF33" s="262"/>
      <c r="BG33" s="262"/>
      <c r="BH33" s="262"/>
      <c r="BI33" s="262"/>
      <c r="BJ33" s="262"/>
      <c r="BK33" s="262"/>
      <c r="BL33" s="262"/>
      <c r="BM33" s="262"/>
      <c r="BN33" s="262"/>
      <c r="BO33" s="262"/>
      <c r="BP33" s="262"/>
      <c r="BQ33" s="262"/>
      <c r="BR33" s="262"/>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row>
    <row r="34" spans="1:175" ht="21" customHeight="1" x14ac:dyDescent="0.25">
      <c r="A34" s="332"/>
      <c r="B34" s="233"/>
      <c r="C34" s="1019"/>
      <c r="D34" s="227" t="s">
        <v>2768</v>
      </c>
      <c r="E34" s="455"/>
      <c r="F34" s="455"/>
      <c r="G34" s="455"/>
      <c r="H34" s="455"/>
      <c r="I34" s="455"/>
      <c r="J34" s="455"/>
      <c r="K34" s="455"/>
      <c r="L34" s="455"/>
      <c r="M34" s="455"/>
      <c r="N34" s="455"/>
      <c r="O34" s="455"/>
      <c r="P34" s="455"/>
      <c r="Q34" s="455"/>
      <c r="R34" s="455"/>
      <c r="S34" s="455"/>
      <c r="T34" s="455"/>
      <c r="U34" s="455"/>
      <c r="V34" s="455"/>
      <c r="W34" s="455"/>
      <c r="X34" s="455"/>
      <c r="Y34" s="455"/>
      <c r="Z34" s="455"/>
      <c r="AA34" s="455"/>
      <c r="AB34" s="455"/>
      <c r="AC34" s="1022">
        <f t="shared" si="0"/>
        <v>0</v>
      </c>
      <c r="AD34" s="1022"/>
      <c r="AE34" s="225">
        <f t="shared" si="7"/>
        <v>0</v>
      </c>
      <c r="AF34" s="305"/>
      <c r="AG34" s="306"/>
      <c r="AH34" s="221"/>
      <c r="AI34" s="221"/>
      <c r="AJ34" s="221"/>
      <c r="AK34" s="221"/>
      <c r="AL34" s="221"/>
      <c r="AM34" s="221"/>
      <c r="AN34" s="221"/>
      <c r="AO34" s="221"/>
      <c r="AP34" s="221"/>
      <c r="AQ34" s="221"/>
      <c r="AR34" s="221"/>
      <c r="AS34" s="262"/>
      <c r="AT34" s="262"/>
      <c r="AU34" s="262"/>
      <c r="AV34" s="262"/>
      <c r="AW34" s="262"/>
      <c r="AX34" s="262"/>
      <c r="AY34" s="262"/>
      <c r="AZ34" s="262"/>
      <c r="BA34" s="262"/>
      <c r="BB34" s="262"/>
      <c r="BC34" s="262"/>
      <c r="BD34" s="262"/>
      <c r="BE34" s="262"/>
      <c r="BF34" s="262"/>
      <c r="BG34" s="262"/>
      <c r="BH34" s="262"/>
      <c r="BI34" s="262"/>
      <c r="BJ34" s="262"/>
      <c r="BK34" s="262"/>
      <c r="BL34" s="262"/>
      <c r="BM34" s="262"/>
      <c r="BN34" s="262"/>
      <c r="BO34" s="262"/>
      <c r="BP34" s="262"/>
      <c r="BQ34" s="262"/>
      <c r="BR34" s="262"/>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row>
    <row r="35" spans="1:175" ht="15.75" customHeight="1" thickBot="1" x14ac:dyDescent="0.3">
      <c r="A35" s="332"/>
      <c r="B35" s="233"/>
      <c r="C35" s="1020"/>
      <c r="D35" s="42"/>
      <c r="E35" s="43"/>
      <c r="F35" s="43"/>
      <c r="G35" s="43"/>
      <c r="H35" s="342"/>
      <c r="I35" s="342"/>
      <c r="J35" s="43"/>
      <c r="K35" s="43"/>
      <c r="L35" s="43"/>
      <c r="M35" s="43"/>
      <c r="N35" s="43"/>
      <c r="O35" s="43"/>
      <c r="P35" s="43"/>
      <c r="Q35" s="43"/>
      <c r="R35" s="43"/>
      <c r="S35" s="43"/>
      <c r="T35" s="43"/>
      <c r="U35" s="43"/>
      <c r="V35" s="43"/>
      <c r="W35" s="43"/>
      <c r="X35" s="43"/>
      <c r="Y35" s="43"/>
      <c r="Z35" s="43"/>
      <c r="AA35" s="43"/>
      <c r="AB35" s="43"/>
      <c r="AC35" s="43"/>
      <c r="AD35" s="43"/>
      <c r="AE35" s="44"/>
      <c r="AF35" s="305"/>
      <c r="AG35" s="306"/>
      <c r="AH35" s="221"/>
      <c r="AI35" s="221"/>
      <c r="AJ35" s="221"/>
      <c r="AK35" s="221"/>
      <c r="AL35" s="221"/>
      <c r="AM35" s="221"/>
      <c r="AN35" s="221"/>
      <c r="AO35" s="221"/>
      <c r="AP35" s="221"/>
      <c r="AQ35" s="221"/>
      <c r="AR35" s="221"/>
      <c r="AS35" s="262"/>
      <c r="AT35" s="262"/>
      <c r="AU35" s="262"/>
      <c r="AV35" s="262"/>
      <c r="AW35" s="262"/>
      <c r="AX35" s="262"/>
      <c r="AY35" s="262"/>
      <c r="AZ35" s="262"/>
      <c r="BA35" s="262"/>
      <c r="BB35" s="262"/>
      <c r="BC35" s="262"/>
      <c r="BD35" s="262"/>
      <c r="BE35" s="262"/>
      <c r="BF35" s="262"/>
      <c r="BG35" s="262"/>
      <c r="BH35" s="262"/>
      <c r="BI35" s="262"/>
      <c r="BJ35" s="262"/>
      <c r="BK35" s="262"/>
      <c r="BL35" s="262"/>
      <c r="BM35" s="262"/>
      <c r="BN35" s="262"/>
      <c r="BO35" s="262"/>
      <c r="BP35" s="262"/>
      <c r="BQ35" s="262"/>
      <c r="BR35" s="262"/>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row>
    <row r="36" spans="1:175" ht="15" customHeight="1" x14ac:dyDescent="0.25">
      <c r="A36" s="332"/>
      <c r="B36" s="233"/>
      <c r="C36" s="1003" t="s">
        <v>2769</v>
      </c>
      <c r="D36" s="1003"/>
      <c r="E36" s="1003"/>
      <c r="F36" s="1003"/>
      <c r="G36" s="1004"/>
      <c r="H36" s="1008"/>
      <c r="I36" s="1008"/>
      <c r="J36" s="307"/>
      <c r="K36" s="1009" t="s">
        <v>2770</v>
      </c>
      <c r="L36" s="1009"/>
      <c r="M36" s="1009"/>
      <c r="N36" s="1009"/>
      <c r="O36" s="1009"/>
      <c r="P36" s="1009"/>
      <c r="Q36" s="1010">
        <f>IFERROR((((SUM(AC28:AD34))*H37)/((7*24*52)/8760))-(H36*((AVERAGE(AC28:AD32)))), "")</f>
        <v>0</v>
      </c>
      <c r="R36" s="1010"/>
      <c r="S36" s="307"/>
      <c r="T36" s="307"/>
      <c r="U36" s="307"/>
      <c r="V36" s="307"/>
      <c r="W36" s="307"/>
      <c r="X36" s="307"/>
      <c r="Y36" s="307"/>
      <c r="Z36" s="307"/>
      <c r="AA36" s="307"/>
      <c r="AB36" s="307"/>
      <c r="AC36" s="307"/>
      <c r="AD36" s="307"/>
      <c r="AE36" s="307"/>
      <c r="AF36" s="305"/>
      <c r="AG36" s="306"/>
      <c r="AH36" s="221"/>
      <c r="AI36" s="221"/>
      <c r="AJ36" s="221"/>
      <c r="AK36" s="221"/>
      <c r="AL36" s="221"/>
      <c r="AM36" s="221"/>
      <c r="AN36" s="221"/>
      <c r="AO36" s="221"/>
      <c r="AP36" s="221"/>
      <c r="AQ36" s="221"/>
      <c r="AR36" s="221"/>
      <c r="AS36" s="262"/>
      <c r="AT36" s="262"/>
      <c r="AU36" s="262"/>
      <c r="AV36" s="262"/>
      <c r="AW36" s="262"/>
      <c r="AX36" s="262"/>
      <c r="AY36" s="262"/>
      <c r="AZ36" s="262"/>
      <c r="BA36" s="262"/>
      <c r="BB36" s="262"/>
      <c r="BC36" s="262"/>
      <c r="BD36" s="262"/>
      <c r="BE36" s="262"/>
      <c r="BF36" s="262"/>
      <c r="BG36" s="262"/>
      <c r="BH36" s="262"/>
      <c r="BI36" s="262"/>
      <c r="BJ36" s="262"/>
      <c r="BK36" s="262"/>
      <c r="BL36" s="262"/>
      <c r="BM36" s="262"/>
      <c r="BN36" s="262"/>
      <c r="BO36" s="262"/>
      <c r="BP36" s="262"/>
      <c r="BQ36" s="262"/>
      <c r="BR36" s="262"/>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row>
    <row r="37" spans="1:175" ht="15" customHeight="1" x14ac:dyDescent="0.25">
      <c r="A37" s="332"/>
      <c r="B37" s="233"/>
      <c r="C37" s="1003" t="s">
        <v>2771</v>
      </c>
      <c r="D37" s="1003"/>
      <c r="E37" s="1003"/>
      <c r="F37" s="1003"/>
      <c r="G37" s="1004"/>
      <c r="H37" s="1005"/>
      <c r="I37" s="1005"/>
      <c r="J37" s="307"/>
      <c r="K37" s="1003" t="s">
        <v>2772</v>
      </c>
      <c r="L37" s="1003"/>
      <c r="M37" s="1003"/>
      <c r="N37" s="1003"/>
      <c r="O37" s="1003"/>
      <c r="P37" s="1003"/>
      <c r="Q37" s="1006">
        <f>IFERROR(IF(Q36="","",AI33*(1-(H38/13))), 0)</f>
        <v>0</v>
      </c>
      <c r="R37" s="1007"/>
      <c r="S37" s="307"/>
      <c r="T37" s="307"/>
      <c r="U37" s="307"/>
      <c r="V37" s="307"/>
      <c r="W37" s="307"/>
      <c r="X37" s="307"/>
      <c r="Y37" s="307"/>
      <c r="Z37" s="307"/>
      <c r="AA37" s="307"/>
      <c r="AB37" s="307"/>
      <c r="AC37" s="307"/>
      <c r="AD37" s="307"/>
      <c r="AE37" s="307"/>
      <c r="AF37" s="305"/>
      <c r="AG37" s="306"/>
      <c r="AH37" s="221"/>
      <c r="AI37" s="221"/>
      <c r="AJ37" s="221"/>
      <c r="AK37" s="221"/>
      <c r="AL37" s="221"/>
      <c r="AM37" s="221"/>
      <c r="AN37" s="221"/>
      <c r="AO37" s="221"/>
      <c r="AP37" s="221"/>
      <c r="AQ37" s="221"/>
      <c r="AR37" s="221"/>
      <c r="AS37" s="262"/>
      <c r="AT37" s="262"/>
      <c r="AU37" s="262"/>
      <c r="AV37" s="262"/>
      <c r="AW37" s="262"/>
      <c r="AX37" s="262"/>
      <c r="AY37" s="262"/>
      <c r="AZ37" s="262"/>
      <c r="BA37" s="262"/>
      <c r="BB37" s="262"/>
      <c r="BC37" s="262"/>
      <c r="BD37" s="262"/>
      <c r="BE37" s="262"/>
      <c r="BF37" s="262"/>
      <c r="BG37" s="262"/>
      <c r="BH37" s="262"/>
      <c r="BI37" s="262"/>
      <c r="BJ37" s="262"/>
      <c r="BK37" s="262"/>
      <c r="BL37" s="262"/>
      <c r="BM37" s="262"/>
      <c r="BN37" s="262"/>
      <c r="BO37" s="262"/>
      <c r="BP37" s="262"/>
      <c r="BQ37" s="262"/>
      <c r="BR37" s="262"/>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row>
    <row r="38" spans="1:175" ht="15" customHeight="1" x14ac:dyDescent="0.25">
      <c r="A38" s="332"/>
      <c r="B38" s="233"/>
      <c r="C38" s="1003" t="s">
        <v>2773</v>
      </c>
      <c r="D38" s="1003"/>
      <c r="E38" s="1003"/>
      <c r="F38" s="1003"/>
      <c r="G38" s="1004"/>
      <c r="H38" s="1005"/>
      <c r="I38" s="1005"/>
      <c r="J38" s="307"/>
      <c r="K38" s="1003" t="s">
        <v>2774</v>
      </c>
      <c r="L38" s="1003"/>
      <c r="M38" s="1003"/>
      <c r="N38" s="1003"/>
      <c r="O38" s="1003"/>
      <c r="P38" s="1003"/>
      <c r="Q38" s="1006">
        <f>IFERROR(IF(Q36="","",AO33*(1-(H39/9))), 0)</f>
        <v>0</v>
      </c>
      <c r="R38" s="1007"/>
      <c r="S38" s="307"/>
      <c r="T38" s="307"/>
      <c r="U38" s="307"/>
      <c r="V38" s="307"/>
      <c r="W38" s="307"/>
      <c r="X38" s="307"/>
      <c r="Y38" s="307"/>
      <c r="Z38" s="307"/>
      <c r="AA38" s="307"/>
      <c r="AB38" s="307"/>
      <c r="AC38" s="307"/>
      <c r="AD38" s="307"/>
      <c r="AE38" s="307"/>
      <c r="AF38" s="305"/>
      <c r="AG38" s="306"/>
      <c r="AH38" s="221"/>
      <c r="AI38" s="221"/>
      <c r="AJ38" s="221"/>
      <c r="AK38" s="221"/>
      <c r="AL38" s="221"/>
      <c r="AM38" s="221"/>
      <c r="AN38" s="221"/>
      <c r="AO38" s="221"/>
      <c r="AP38" s="221"/>
      <c r="AQ38" s="221"/>
      <c r="AR38" s="221"/>
      <c r="AS38" s="262"/>
      <c r="AT38" s="262"/>
      <c r="AU38" s="262"/>
      <c r="AV38" s="262"/>
      <c r="AW38" s="262"/>
      <c r="AX38" s="262"/>
      <c r="AY38" s="262"/>
      <c r="AZ38" s="262"/>
      <c r="BA38" s="262"/>
      <c r="BB38" s="262"/>
      <c r="BC38" s="262"/>
      <c r="BD38" s="262"/>
      <c r="BE38" s="262"/>
      <c r="BF38" s="262"/>
      <c r="BG38" s="262"/>
      <c r="BH38" s="262"/>
      <c r="BI38" s="262"/>
      <c r="BJ38" s="262"/>
      <c r="BK38" s="262"/>
      <c r="BL38" s="262"/>
      <c r="BM38" s="262"/>
      <c r="BN38" s="262"/>
      <c r="BO38" s="262"/>
      <c r="BP38" s="262"/>
      <c r="BQ38" s="262"/>
      <c r="BR38" s="262"/>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row>
    <row r="39" spans="1:175" ht="15" customHeight="1" x14ac:dyDescent="0.25">
      <c r="A39" s="332"/>
      <c r="B39" s="233"/>
      <c r="C39" s="1003" t="s">
        <v>2775</v>
      </c>
      <c r="D39" s="1003"/>
      <c r="E39" s="1003"/>
      <c r="F39" s="1003"/>
      <c r="G39" s="1004"/>
      <c r="H39" s="1005"/>
      <c r="I39" s="1005"/>
      <c r="J39" s="307"/>
      <c r="K39" s="307"/>
      <c r="L39" s="307"/>
      <c r="M39" s="307"/>
      <c r="N39" s="307"/>
      <c r="O39" s="307"/>
      <c r="P39" s="307"/>
      <c r="Q39" s="307"/>
      <c r="R39" s="308"/>
      <c r="S39" s="307"/>
      <c r="T39" s="307"/>
      <c r="U39" s="307"/>
      <c r="V39" s="307"/>
      <c r="W39" s="307"/>
      <c r="X39" s="307"/>
      <c r="Y39" s="307"/>
      <c r="Z39" s="307"/>
      <c r="AA39" s="307"/>
      <c r="AB39" s="307"/>
      <c r="AC39" s="307"/>
      <c r="AD39" s="307"/>
      <c r="AE39" s="307"/>
      <c r="AF39" s="305"/>
      <c r="AG39" s="306"/>
      <c r="AH39" s="221"/>
      <c r="AI39" s="221"/>
      <c r="AJ39" s="221"/>
      <c r="AK39" s="221"/>
      <c r="AL39" s="221"/>
      <c r="AM39" s="221"/>
      <c r="AN39" s="221"/>
      <c r="AO39" s="221"/>
      <c r="AP39" s="221"/>
      <c r="AQ39" s="221"/>
      <c r="AR39" s="221"/>
      <c r="AS39" s="262"/>
      <c r="AT39" s="262"/>
      <c r="AU39" s="262"/>
      <c r="AV39" s="262"/>
      <c r="AW39" s="262"/>
      <c r="AX39" s="262"/>
      <c r="AY39" s="262"/>
      <c r="AZ39" s="262"/>
      <c r="BA39" s="262"/>
      <c r="BB39" s="262"/>
      <c r="BC39" s="262"/>
      <c r="BD39" s="262"/>
      <c r="BE39" s="262"/>
      <c r="BF39" s="262"/>
      <c r="BG39" s="262"/>
      <c r="BH39" s="262"/>
      <c r="BI39" s="262"/>
      <c r="BJ39" s="262"/>
      <c r="BK39" s="262"/>
      <c r="BL39" s="262"/>
      <c r="BM39" s="262"/>
      <c r="BN39" s="262"/>
      <c r="BO39" s="262"/>
      <c r="BP39" s="262"/>
      <c r="BQ39" s="262"/>
      <c r="BR39" s="262"/>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row>
    <row r="40" spans="1:175" ht="19.5" thickBot="1" x14ac:dyDescent="0.3">
      <c r="A40" s="332"/>
      <c r="B40" s="233"/>
      <c r="C40" s="307"/>
      <c r="D40" s="307"/>
      <c r="E40" s="307"/>
      <c r="F40" s="307"/>
      <c r="G40" s="307"/>
      <c r="H40" s="308"/>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5"/>
      <c r="AG40" s="306"/>
      <c r="AH40" s="221"/>
      <c r="AI40" s="221"/>
      <c r="AJ40" s="221"/>
      <c r="AK40" s="221"/>
      <c r="AL40" s="221"/>
      <c r="AM40" s="221"/>
      <c r="AN40" s="221"/>
      <c r="AO40" s="221"/>
      <c r="AP40" s="221"/>
      <c r="AQ40" s="221"/>
      <c r="AR40" s="221"/>
      <c r="AS40" s="262"/>
      <c r="AT40" s="262"/>
      <c r="AU40" s="262"/>
      <c r="AV40" s="262"/>
      <c r="AW40" s="262"/>
      <c r="AX40" s="262"/>
      <c r="AY40" s="262"/>
      <c r="AZ40" s="262"/>
      <c r="BA40" s="262"/>
      <c r="BB40" s="262"/>
      <c r="BC40" s="262"/>
      <c r="BD40" s="262"/>
      <c r="BE40" s="262"/>
      <c r="BF40" s="262"/>
      <c r="BG40" s="262"/>
      <c r="BH40" s="262"/>
      <c r="BI40" s="262"/>
      <c r="BJ40" s="262"/>
      <c r="BK40" s="262"/>
      <c r="BL40" s="262"/>
      <c r="BM40" s="262"/>
      <c r="BN40" s="262"/>
      <c r="BO40" s="262"/>
      <c r="BP40" s="262"/>
      <c r="BQ40" s="262"/>
      <c r="BR40" s="262"/>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row>
    <row r="41" spans="1:175" ht="22.5" customHeight="1" thickBot="1" x14ac:dyDescent="0.3">
      <c r="A41" s="332"/>
      <c r="B41" s="233"/>
      <c r="C41" s="1081" t="s">
        <v>2776</v>
      </c>
      <c r="D41" s="1081"/>
      <c r="E41" s="1081"/>
      <c r="F41" s="1081"/>
      <c r="G41" s="1081"/>
      <c r="H41" s="1081"/>
      <c r="I41" s="1081"/>
      <c r="J41" s="1081"/>
      <c r="K41" s="1081"/>
      <c r="L41" s="1081"/>
      <c r="M41" s="1081"/>
      <c r="N41" s="1081"/>
      <c r="O41" s="1081"/>
      <c r="P41" s="1081"/>
      <c r="Q41" s="1081"/>
      <c r="R41" s="1081"/>
      <c r="S41" s="1081"/>
      <c r="T41" s="1081"/>
      <c r="U41" s="1081"/>
      <c r="V41" s="1081"/>
      <c r="W41" s="1081"/>
      <c r="X41" s="1081"/>
      <c r="Y41" s="1081"/>
      <c r="Z41" s="1081"/>
      <c r="AA41" s="1081"/>
      <c r="AB41" s="1081"/>
      <c r="AC41" s="1081"/>
      <c r="AD41" s="1081"/>
      <c r="AE41" s="1081"/>
      <c r="AF41" s="305"/>
      <c r="AG41" s="306"/>
      <c r="AH41" s="1011" t="s">
        <v>2719</v>
      </c>
      <c r="AI41" s="1012"/>
      <c r="AJ41" s="1012"/>
      <c r="AK41" s="1012"/>
      <c r="AL41" s="1013"/>
      <c r="AM41" s="221"/>
      <c r="AN41" s="1016" t="s">
        <v>2720</v>
      </c>
      <c r="AO41" s="1012"/>
      <c r="AP41" s="1012"/>
      <c r="AQ41" s="1012"/>
      <c r="AR41" s="1013"/>
      <c r="AS41" s="262"/>
      <c r="AT41" s="262"/>
      <c r="AU41" s="262"/>
      <c r="AV41" s="262"/>
      <c r="AW41" s="262"/>
      <c r="AX41" s="262"/>
      <c r="AY41" s="262"/>
      <c r="AZ41" s="262"/>
      <c r="BA41" s="262"/>
      <c r="BB41" s="262"/>
      <c r="BC41" s="262"/>
      <c r="BD41" s="262"/>
      <c r="BE41" s="262"/>
      <c r="BF41" s="262"/>
      <c r="BG41" s="262"/>
      <c r="BH41" s="262"/>
      <c r="BI41" s="262"/>
      <c r="BJ41" s="262"/>
      <c r="BK41" s="262"/>
      <c r="BL41" s="262"/>
      <c r="BM41" s="262"/>
      <c r="BN41" s="262"/>
      <c r="BO41" s="262"/>
      <c r="BP41" s="262"/>
      <c r="BQ41" s="262"/>
      <c r="BR41" s="262"/>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row>
    <row r="42" spans="1:175" ht="4.5" customHeight="1" thickBot="1" x14ac:dyDescent="0.3">
      <c r="A42" s="332"/>
      <c r="B42" s="233"/>
      <c r="C42" s="437"/>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438"/>
      <c r="AE42" s="439"/>
      <c r="AF42" s="305"/>
      <c r="AG42" s="306"/>
      <c r="AH42" s="1014"/>
      <c r="AI42" s="1014"/>
      <c r="AJ42" s="1014"/>
      <c r="AK42" s="1014"/>
      <c r="AL42" s="1015"/>
      <c r="AM42" s="221"/>
      <c r="AN42" s="1017"/>
      <c r="AO42" s="1014"/>
      <c r="AP42" s="1014"/>
      <c r="AQ42" s="1014"/>
      <c r="AR42" s="1015"/>
      <c r="AS42" s="262"/>
      <c r="AT42" s="262"/>
      <c r="AU42" s="262"/>
      <c r="AV42" s="262"/>
      <c r="AW42" s="262"/>
      <c r="AX42" s="262"/>
      <c r="AY42" s="262"/>
      <c r="AZ42" s="262"/>
      <c r="BA42" s="262"/>
      <c r="BB42" s="262"/>
      <c r="BC42" s="262"/>
      <c r="BD42" s="262"/>
      <c r="BE42" s="262"/>
      <c r="BF42" s="262"/>
      <c r="BG42" s="262"/>
      <c r="BH42" s="262"/>
      <c r="BI42" s="262"/>
      <c r="BJ42" s="262"/>
      <c r="BK42" s="262"/>
      <c r="BL42" s="262"/>
      <c r="BM42" s="262"/>
      <c r="BN42" s="262"/>
      <c r="BO42" s="262"/>
      <c r="BP42" s="262"/>
      <c r="BQ42" s="262"/>
      <c r="BR42" s="262"/>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row>
    <row r="43" spans="1:175" ht="87" customHeight="1" x14ac:dyDescent="0.25">
      <c r="A43" s="332"/>
      <c r="B43" s="233"/>
      <c r="C43" s="1018" t="s">
        <v>2777</v>
      </c>
      <c r="D43" s="209"/>
      <c r="E43" s="343" t="s">
        <v>2723</v>
      </c>
      <c r="F43" s="344" t="s">
        <v>2724</v>
      </c>
      <c r="G43" s="344" t="s">
        <v>2725</v>
      </c>
      <c r="H43" s="344" t="s">
        <v>2726</v>
      </c>
      <c r="I43" s="344" t="s">
        <v>2727</v>
      </c>
      <c r="J43" s="344" t="s">
        <v>2728</v>
      </c>
      <c r="K43" s="344" t="s">
        <v>2729</v>
      </c>
      <c r="L43" s="344" t="s">
        <v>2730</v>
      </c>
      <c r="M43" s="344" t="s">
        <v>2731</v>
      </c>
      <c r="N43" s="344" t="s">
        <v>2732</v>
      </c>
      <c r="O43" s="344" t="s">
        <v>2733</v>
      </c>
      <c r="P43" s="344" t="s">
        <v>2734</v>
      </c>
      <c r="Q43" s="345" t="s">
        <v>2735</v>
      </c>
      <c r="R43" s="345" t="s">
        <v>2736</v>
      </c>
      <c r="S43" s="345" t="s">
        <v>2737</v>
      </c>
      <c r="T43" s="345" t="s">
        <v>2738</v>
      </c>
      <c r="U43" s="345" t="s">
        <v>2739</v>
      </c>
      <c r="V43" s="345" t="s">
        <v>2740</v>
      </c>
      <c r="W43" s="345" t="s">
        <v>2741</v>
      </c>
      <c r="X43" s="345" t="s">
        <v>2742</v>
      </c>
      <c r="Y43" s="345" t="s">
        <v>2743</v>
      </c>
      <c r="Z43" s="345" t="s">
        <v>2744</v>
      </c>
      <c r="AA43" s="345" t="s">
        <v>2745</v>
      </c>
      <c r="AB43" s="345" t="s">
        <v>2746</v>
      </c>
      <c r="AC43" s="1021" t="s">
        <v>2747</v>
      </c>
      <c r="AD43" s="1021"/>
      <c r="AE43" s="356" t="s">
        <v>2748</v>
      </c>
      <c r="AF43" s="305"/>
      <c r="AG43" s="306"/>
      <c r="AH43" s="7"/>
      <c r="AI43" s="222" t="s">
        <v>2749</v>
      </c>
      <c r="AJ43" s="222" t="s">
        <v>2750</v>
      </c>
      <c r="AK43" s="222" t="s">
        <v>2751</v>
      </c>
      <c r="AL43" s="223" t="s">
        <v>2752</v>
      </c>
      <c r="AM43" s="221"/>
      <c r="AN43" s="209"/>
      <c r="AO43" s="222" t="s">
        <v>2753</v>
      </c>
      <c r="AP43" s="222" t="s">
        <v>2754</v>
      </c>
      <c r="AQ43" s="222" t="s">
        <v>2755</v>
      </c>
      <c r="AR43" s="223" t="s">
        <v>2756</v>
      </c>
      <c r="AS43" s="262"/>
      <c r="AT43" s="262"/>
      <c r="AU43" s="262"/>
      <c r="AV43" s="262"/>
      <c r="AW43" s="262"/>
      <c r="AX43" s="262"/>
      <c r="AY43" s="262"/>
      <c r="AZ43" s="262"/>
      <c r="BA43" s="262"/>
      <c r="BB43" s="262"/>
      <c r="BC43" s="262"/>
      <c r="BD43" s="262"/>
      <c r="BE43" s="262"/>
      <c r="BF43" s="262"/>
      <c r="BG43" s="262"/>
      <c r="BH43" s="262"/>
      <c r="BI43" s="262"/>
      <c r="BJ43" s="262"/>
      <c r="BK43" s="262"/>
      <c r="BL43" s="262"/>
      <c r="BM43" s="262"/>
      <c r="BN43" s="262"/>
      <c r="BO43" s="262"/>
      <c r="BP43" s="262"/>
      <c r="BQ43" s="262"/>
      <c r="BR43" s="262"/>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row>
    <row r="44" spans="1:175" ht="21" customHeight="1" x14ac:dyDescent="0.25">
      <c r="A44" s="332"/>
      <c r="B44" s="233"/>
      <c r="C44" s="1019"/>
      <c r="D44" s="224" t="s">
        <v>2757</v>
      </c>
      <c r="E44" s="455"/>
      <c r="F44" s="455"/>
      <c r="G44" s="455"/>
      <c r="H44" s="455"/>
      <c r="I44" s="455"/>
      <c r="J44" s="455"/>
      <c r="K44" s="455"/>
      <c r="L44" s="455"/>
      <c r="M44" s="455"/>
      <c r="N44" s="455"/>
      <c r="O44" s="455"/>
      <c r="P44" s="455"/>
      <c r="Q44" s="455"/>
      <c r="R44" s="455"/>
      <c r="S44" s="455"/>
      <c r="T44" s="455"/>
      <c r="U44" s="455"/>
      <c r="V44" s="455"/>
      <c r="W44" s="455"/>
      <c r="X44" s="455"/>
      <c r="Y44" s="455"/>
      <c r="Z44" s="455"/>
      <c r="AA44" s="455"/>
      <c r="AB44" s="455"/>
      <c r="AC44" s="1022">
        <f>SUM(E44:AB44)</f>
        <v>0</v>
      </c>
      <c r="AD44" s="1022"/>
      <c r="AE44" s="225">
        <f>AC44*52</f>
        <v>0</v>
      </c>
      <c r="AF44" s="305"/>
      <c r="AG44" s="306"/>
      <c r="AH44" s="228" t="s">
        <v>2758</v>
      </c>
      <c r="AI44" s="206">
        <f>IF(S44&gt;0, S44,0)</f>
        <v>0</v>
      </c>
      <c r="AJ44" s="206">
        <f>IF(T44&gt;0,T44,0)</f>
        <v>0</v>
      </c>
      <c r="AK44" s="206">
        <f>IF(U44&gt;0, U44, 0)</f>
        <v>0</v>
      </c>
      <c r="AL44" s="207">
        <f>IF(V44&gt;0, V44,0)</f>
        <v>0</v>
      </c>
      <c r="AM44" s="221"/>
      <c r="AN44" s="210" t="s">
        <v>2758</v>
      </c>
      <c r="AO44" s="206">
        <f>IF(L44&gt;0, L44,0)</f>
        <v>0</v>
      </c>
      <c r="AP44" s="206">
        <f>IF(M44&gt;0, M44,0)</f>
        <v>0</v>
      </c>
      <c r="AQ44" s="206">
        <f>IF(W44&gt;0, W44,0)</f>
        <v>0</v>
      </c>
      <c r="AR44" s="207">
        <f>IF(X44&gt;0, X44,0)</f>
        <v>0</v>
      </c>
      <c r="AS44" s="262"/>
      <c r="AT44" s="262"/>
      <c r="AU44" s="262"/>
      <c r="AV44" s="262"/>
      <c r="AW44" s="262"/>
      <c r="AX44" s="262"/>
      <c r="AY44" s="262"/>
      <c r="AZ44" s="262"/>
      <c r="BA44" s="262"/>
      <c r="BB44" s="262"/>
      <c r="BC44" s="262"/>
      <c r="BD44" s="262"/>
      <c r="BE44" s="262"/>
      <c r="BF44" s="262"/>
      <c r="BG44" s="262"/>
      <c r="BH44" s="262"/>
      <c r="BI44" s="262"/>
      <c r="BJ44" s="262"/>
      <c r="BK44" s="262"/>
      <c r="BL44" s="262"/>
      <c r="BM44" s="262"/>
      <c r="BN44" s="262"/>
      <c r="BO44" s="262"/>
      <c r="BP44" s="262"/>
      <c r="BQ44" s="262"/>
      <c r="BR44" s="262"/>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row>
    <row r="45" spans="1:175" ht="21" customHeight="1" x14ac:dyDescent="0.25">
      <c r="A45" s="332"/>
      <c r="B45" s="233"/>
      <c r="C45" s="1019"/>
      <c r="D45" s="226" t="s">
        <v>2759</v>
      </c>
      <c r="E45" s="455"/>
      <c r="F45" s="455"/>
      <c r="G45" s="455"/>
      <c r="H45" s="455"/>
      <c r="I45" s="455"/>
      <c r="J45" s="455"/>
      <c r="K45" s="455"/>
      <c r="L45" s="455"/>
      <c r="M45" s="455"/>
      <c r="N45" s="455"/>
      <c r="O45" s="455"/>
      <c r="P45" s="455"/>
      <c r="Q45" s="455"/>
      <c r="R45" s="455"/>
      <c r="S45" s="455"/>
      <c r="T45" s="455"/>
      <c r="U45" s="455"/>
      <c r="V45" s="455"/>
      <c r="W45" s="455"/>
      <c r="X45" s="455"/>
      <c r="Y45" s="455"/>
      <c r="Z45" s="455"/>
      <c r="AA45" s="455"/>
      <c r="AB45" s="455"/>
      <c r="AC45" s="1022">
        <f t="shared" ref="AC45:AC50" si="8">SUM(E45:AB45)</f>
        <v>0</v>
      </c>
      <c r="AD45" s="1022"/>
      <c r="AE45" s="225">
        <f t="shared" ref="AE45:AE50" si="9">AC45*52</f>
        <v>0</v>
      </c>
      <c r="AF45" s="305"/>
      <c r="AG45" s="306"/>
      <c r="AH45" s="228" t="s">
        <v>2760</v>
      </c>
      <c r="AI45" s="206">
        <f t="shared" ref="AI45:AI48" si="10">IF(S45&gt;0, S45,0)</f>
        <v>0</v>
      </c>
      <c r="AJ45" s="206">
        <f t="shared" ref="AJ45:AJ48" si="11">IF(T45&gt;0,T45,0)</f>
        <v>0</v>
      </c>
      <c r="AK45" s="206">
        <f t="shared" ref="AK45:AK48" si="12">IF(U45&gt;0, U45, 0)</f>
        <v>0</v>
      </c>
      <c r="AL45" s="207">
        <f t="shared" ref="AL45:AL48" si="13">IF(V45&gt;0, V45,0)</f>
        <v>0</v>
      </c>
      <c r="AM45" s="221"/>
      <c r="AN45" s="210" t="s">
        <v>2760</v>
      </c>
      <c r="AO45" s="206">
        <f t="shared" ref="AO45:AP48" si="14">IF(L45&gt;0, L45,0)</f>
        <v>0</v>
      </c>
      <c r="AP45" s="206">
        <f t="shared" si="14"/>
        <v>0</v>
      </c>
      <c r="AQ45" s="206">
        <f t="shared" ref="AQ45:AR48" si="15">IF(W45&gt;0, W45,0)</f>
        <v>0</v>
      </c>
      <c r="AR45" s="207">
        <f t="shared" si="15"/>
        <v>0</v>
      </c>
      <c r="AS45" s="262"/>
      <c r="AT45" s="262"/>
      <c r="AU45" s="262"/>
      <c r="AV45" s="262"/>
      <c r="AW45" s="262"/>
      <c r="AX45" s="262"/>
      <c r="AY45" s="262"/>
      <c r="AZ45" s="262"/>
      <c r="BA45" s="262"/>
      <c r="BB45" s="262"/>
      <c r="BC45" s="262"/>
      <c r="BD45" s="262"/>
      <c r="BE45" s="262"/>
      <c r="BF45" s="262"/>
      <c r="BG45" s="262"/>
      <c r="BH45" s="262"/>
      <c r="BI45" s="262"/>
      <c r="BJ45" s="262"/>
      <c r="BK45" s="262"/>
      <c r="BL45" s="262"/>
      <c r="BM45" s="262"/>
      <c r="BN45" s="262"/>
      <c r="BO45" s="262"/>
      <c r="BP45" s="262"/>
      <c r="BQ45" s="262"/>
      <c r="BR45" s="262"/>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row>
    <row r="46" spans="1:175" ht="21" customHeight="1" x14ac:dyDescent="0.25">
      <c r="A46" s="332"/>
      <c r="B46" s="233"/>
      <c r="C46" s="1019"/>
      <c r="D46" s="226" t="s">
        <v>2761</v>
      </c>
      <c r="E46" s="455"/>
      <c r="F46" s="455"/>
      <c r="G46" s="455"/>
      <c r="H46" s="455"/>
      <c r="I46" s="455"/>
      <c r="J46" s="455"/>
      <c r="K46" s="455"/>
      <c r="L46" s="455"/>
      <c r="M46" s="455"/>
      <c r="N46" s="455"/>
      <c r="O46" s="455"/>
      <c r="P46" s="455"/>
      <c r="Q46" s="455"/>
      <c r="R46" s="455"/>
      <c r="S46" s="455"/>
      <c r="T46" s="455"/>
      <c r="U46" s="455"/>
      <c r="V46" s="455"/>
      <c r="W46" s="455"/>
      <c r="X46" s="455"/>
      <c r="Y46" s="455"/>
      <c r="Z46" s="455"/>
      <c r="AA46" s="455"/>
      <c r="AB46" s="455"/>
      <c r="AC46" s="1022">
        <f t="shared" si="8"/>
        <v>0</v>
      </c>
      <c r="AD46" s="1022"/>
      <c r="AE46" s="225">
        <f t="shared" si="9"/>
        <v>0</v>
      </c>
      <c r="AF46" s="305"/>
      <c r="AG46" s="306"/>
      <c r="AH46" s="228" t="s">
        <v>2762</v>
      </c>
      <c r="AI46" s="206">
        <f t="shared" si="10"/>
        <v>0</v>
      </c>
      <c r="AJ46" s="206">
        <f t="shared" si="11"/>
        <v>0</v>
      </c>
      <c r="AK46" s="206">
        <f t="shared" si="12"/>
        <v>0</v>
      </c>
      <c r="AL46" s="207">
        <f t="shared" si="13"/>
        <v>0</v>
      </c>
      <c r="AM46" s="221"/>
      <c r="AN46" s="210" t="s">
        <v>2762</v>
      </c>
      <c r="AO46" s="206">
        <f t="shared" si="14"/>
        <v>0</v>
      </c>
      <c r="AP46" s="206">
        <f t="shared" si="14"/>
        <v>0</v>
      </c>
      <c r="AQ46" s="206">
        <f t="shared" si="15"/>
        <v>0</v>
      </c>
      <c r="AR46" s="207">
        <f t="shared" si="15"/>
        <v>0</v>
      </c>
      <c r="AS46" s="262"/>
      <c r="AT46" s="262"/>
      <c r="AU46" s="262"/>
      <c r="AV46" s="262"/>
      <c r="AW46" s="262"/>
      <c r="AX46" s="262"/>
      <c r="AY46" s="262"/>
      <c r="AZ46" s="262"/>
      <c r="BA46" s="262"/>
      <c r="BB46" s="262"/>
      <c r="BC46" s="262"/>
      <c r="BD46" s="262"/>
      <c r="BE46" s="262"/>
      <c r="BF46" s="262"/>
      <c r="BG46" s="262"/>
      <c r="BH46" s="262"/>
      <c r="BI46" s="262"/>
      <c r="BJ46" s="262"/>
      <c r="BK46" s="262"/>
      <c r="BL46" s="262"/>
      <c r="BM46" s="262"/>
      <c r="BN46" s="262"/>
      <c r="BO46" s="262"/>
      <c r="BP46" s="262"/>
      <c r="BQ46" s="262"/>
      <c r="BR46" s="262"/>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row>
    <row r="47" spans="1:175" ht="21" customHeight="1" x14ac:dyDescent="0.25">
      <c r="A47" s="332"/>
      <c r="B47" s="233"/>
      <c r="C47" s="1019"/>
      <c r="D47" s="226" t="s">
        <v>2763</v>
      </c>
      <c r="E47" s="455"/>
      <c r="F47" s="455"/>
      <c r="G47" s="455"/>
      <c r="H47" s="455"/>
      <c r="I47" s="455"/>
      <c r="J47" s="455"/>
      <c r="K47" s="455"/>
      <c r="L47" s="455"/>
      <c r="M47" s="455"/>
      <c r="N47" s="455"/>
      <c r="O47" s="455"/>
      <c r="P47" s="455"/>
      <c r="Q47" s="455"/>
      <c r="R47" s="455"/>
      <c r="S47" s="455"/>
      <c r="T47" s="455"/>
      <c r="U47" s="455"/>
      <c r="V47" s="455"/>
      <c r="W47" s="455"/>
      <c r="X47" s="455"/>
      <c r="Y47" s="455"/>
      <c r="Z47" s="455"/>
      <c r="AA47" s="455"/>
      <c r="AB47" s="455"/>
      <c r="AC47" s="1022">
        <f t="shared" si="8"/>
        <v>0</v>
      </c>
      <c r="AD47" s="1022"/>
      <c r="AE47" s="225">
        <f t="shared" si="9"/>
        <v>0</v>
      </c>
      <c r="AF47" s="305"/>
      <c r="AG47" s="306"/>
      <c r="AH47" s="228" t="s">
        <v>2764</v>
      </c>
      <c r="AI47" s="206">
        <f t="shared" si="10"/>
        <v>0</v>
      </c>
      <c r="AJ47" s="206">
        <f t="shared" si="11"/>
        <v>0</v>
      </c>
      <c r="AK47" s="206">
        <f t="shared" si="12"/>
        <v>0</v>
      </c>
      <c r="AL47" s="207">
        <f t="shared" si="13"/>
        <v>0</v>
      </c>
      <c r="AM47" s="221"/>
      <c r="AN47" s="210" t="s">
        <v>2764</v>
      </c>
      <c r="AO47" s="206">
        <f t="shared" si="14"/>
        <v>0</v>
      </c>
      <c r="AP47" s="206">
        <f t="shared" si="14"/>
        <v>0</v>
      </c>
      <c r="AQ47" s="206">
        <f t="shared" si="15"/>
        <v>0</v>
      </c>
      <c r="AR47" s="207">
        <f t="shared" si="15"/>
        <v>0</v>
      </c>
      <c r="AS47" s="262"/>
      <c r="AT47" s="262"/>
      <c r="AU47" s="262"/>
      <c r="AV47" s="262"/>
      <c r="AW47" s="262"/>
      <c r="AX47" s="262"/>
      <c r="AY47" s="262"/>
      <c r="AZ47" s="262"/>
      <c r="BA47" s="262"/>
      <c r="BB47" s="262"/>
      <c r="BC47" s="262"/>
      <c r="BD47" s="262"/>
      <c r="BE47" s="262"/>
      <c r="BF47" s="262"/>
      <c r="BG47" s="262"/>
      <c r="BH47" s="262"/>
      <c r="BI47" s="262"/>
      <c r="BJ47" s="262"/>
      <c r="BK47" s="262"/>
      <c r="BL47" s="262"/>
      <c r="BM47" s="262"/>
      <c r="BN47" s="262"/>
      <c r="BO47" s="262"/>
      <c r="BP47" s="262"/>
      <c r="BQ47" s="262"/>
      <c r="BR47" s="262"/>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row>
    <row r="48" spans="1:175" ht="21" customHeight="1" x14ac:dyDescent="0.25">
      <c r="A48" s="332"/>
      <c r="B48" s="233"/>
      <c r="C48" s="1019"/>
      <c r="D48" s="226" t="s">
        <v>2765</v>
      </c>
      <c r="E48" s="455"/>
      <c r="F48" s="455"/>
      <c r="G48" s="455"/>
      <c r="H48" s="455"/>
      <c r="I48" s="455"/>
      <c r="J48" s="455"/>
      <c r="K48" s="455"/>
      <c r="L48" s="455"/>
      <c r="M48" s="455"/>
      <c r="N48" s="455"/>
      <c r="O48" s="455"/>
      <c r="P48" s="455"/>
      <c r="Q48" s="455"/>
      <c r="R48" s="455"/>
      <c r="S48" s="455"/>
      <c r="T48" s="455"/>
      <c r="U48" s="455"/>
      <c r="V48" s="455"/>
      <c r="W48" s="455"/>
      <c r="X48" s="455"/>
      <c r="Y48" s="455"/>
      <c r="Z48" s="455"/>
      <c r="AA48" s="455"/>
      <c r="AB48" s="455"/>
      <c r="AC48" s="1022">
        <f t="shared" si="8"/>
        <v>0</v>
      </c>
      <c r="AD48" s="1022"/>
      <c r="AE48" s="225">
        <f t="shared" si="9"/>
        <v>0</v>
      </c>
      <c r="AF48" s="305"/>
      <c r="AG48" s="306"/>
      <c r="AH48" s="228" t="s">
        <v>2766</v>
      </c>
      <c r="AI48" s="206">
        <f t="shared" si="10"/>
        <v>0</v>
      </c>
      <c r="AJ48" s="206">
        <f t="shared" si="11"/>
        <v>0</v>
      </c>
      <c r="AK48" s="206">
        <f t="shared" si="12"/>
        <v>0</v>
      </c>
      <c r="AL48" s="207">
        <f t="shared" si="13"/>
        <v>0</v>
      </c>
      <c r="AM48" s="221"/>
      <c r="AN48" s="210" t="s">
        <v>2766</v>
      </c>
      <c r="AO48" s="206">
        <f t="shared" si="14"/>
        <v>0</v>
      </c>
      <c r="AP48" s="206">
        <f t="shared" si="14"/>
        <v>0</v>
      </c>
      <c r="AQ48" s="206">
        <f t="shared" si="15"/>
        <v>0</v>
      </c>
      <c r="AR48" s="207">
        <f t="shared" si="15"/>
        <v>0</v>
      </c>
      <c r="AS48" s="262"/>
      <c r="AT48" s="262"/>
      <c r="AU48" s="262"/>
      <c r="AV48" s="262"/>
      <c r="AW48" s="262"/>
      <c r="AX48" s="262"/>
      <c r="AY48" s="262"/>
      <c r="AZ48" s="262"/>
      <c r="BA48" s="262"/>
      <c r="BB48" s="262"/>
      <c r="BC48" s="262"/>
      <c r="BD48" s="262"/>
      <c r="BE48" s="262"/>
      <c r="BF48" s="262"/>
      <c r="BG48" s="262"/>
      <c r="BH48" s="262"/>
      <c r="BI48" s="262"/>
      <c r="BJ48" s="262"/>
      <c r="BK48" s="262"/>
      <c r="BL48" s="262"/>
      <c r="BM48" s="262"/>
      <c r="BN48" s="262"/>
      <c r="BO48" s="262"/>
      <c r="BP48" s="262"/>
      <c r="BQ48" s="262"/>
      <c r="BR48" s="262"/>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row>
    <row r="49" spans="1:175" ht="21" customHeight="1" thickBot="1" x14ac:dyDescent="0.3">
      <c r="A49" s="332"/>
      <c r="B49" s="233"/>
      <c r="C49" s="1019"/>
      <c r="D49" s="226" t="s">
        <v>2767</v>
      </c>
      <c r="E49" s="455"/>
      <c r="F49" s="455"/>
      <c r="G49" s="455"/>
      <c r="H49" s="455"/>
      <c r="I49" s="455"/>
      <c r="J49" s="455"/>
      <c r="K49" s="455"/>
      <c r="L49" s="455"/>
      <c r="M49" s="455"/>
      <c r="N49" s="455"/>
      <c r="O49" s="455"/>
      <c r="P49" s="455"/>
      <c r="Q49" s="455"/>
      <c r="R49" s="455"/>
      <c r="S49" s="455"/>
      <c r="T49" s="455"/>
      <c r="U49" s="455"/>
      <c r="V49" s="455"/>
      <c r="W49" s="455"/>
      <c r="X49" s="455"/>
      <c r="Y49" s="455"/>
      <c r="Z49" s="455"/>
      <c r="AA49" s="455"/>
      <c r="AB49" s="455"/>
      <c r="AC49" s="1022">
        <f t="shared" si="8"/>
        <v>0</v>
      </c>
      <c r="AD49" s="1022"/>
      <c r="AE49" s="225">
        <f t="shared" si="9"/>
        <v>0</v>
      </c>
      <c r="AF49" s="305"/>
      <c r="AG49" s="306"/>
      <c r="AH49" s="229" t="s">
        <v>181</v>
      </c>
      <c r="AI49" s="208">
        <f>IFERROR(AVERAGE(AI44:AL48), "")</f>
        <v>0</v>
      </c>
      <c r="AJ49" s="221"/>
      <c r="AK49" s="221"/>
      <c r="AL49" s="221"/>
      <c r="AM49" s="221"/>
      <c r="AN49" s="211" t="s">
        <v>181</v>
      </c>
      <c r="AO49" s="208">
        <f>IFERROR(AVERAGE(AO44:AR48), "")</f>
        <v>0</v>
      </c>
      <c r="AP49" s="221"/>
      <c r="AQ49" s="221"/>
      <c r="AR49" s="221"/>
      <c r="AS49" s="262"/>
      <c r="AT49" s="262"/>
      <c r="AU49" s="262"/>
      <c r="AV49" s="262"/>
      <c r="AW49" s="262"/>
      <c r="AX49" s="262"/>
      <c r="AY49" s="262"/>
      <c r="AZ49" s="262"/>
      <c r="BA49" s="262"/>
      <c r="BB49" s="262"/>
      <c r="BC49" s="262"/>
      <c r="BD49" s="262"/>
      <c r="BE49" s="262"/>
      <c r="BF49" s="262"/>
      <c r="BG49" s="262"/>
      <c r="BH49" s="262"/>
      <c r="BI49" s="262"/>
      <c r="BJ49" s="262"/>
      <c r="BK49" s="262"/>
      <c r="BL49" s="262"/>
      <c r="BM49" s="262"/>
      <c r="BN49" s="262"/>
      <c r="BO49" s="262"/>
      <c r="BP49" s="262"/>
      <c r="BQ49" s="262"/>
      <c r="BR49" s="262"/>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row>
    <row r="50" spans="1:175" ht="21" customHeight="1" x14ac:dyDescent="0.25">
      <c r="A50" s="332"/>
      <c r="B50" s="233"/>
      <c r="C50" s="1019"/>
      <c r="D50" s="227" t="s">
        <v>2768</v>
      </c>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1022">
        <f t="shared" si="8"/>
        <v>0</v>
      </c>
      <c r="AD50" s="1022"/>
      <c r="AE50" s="225">
        <f t="shared" si="9"/>
        <v>0</v>
      </c>
      <c r="AF50" s="305"/>
      <c r="AG50" s="306"/>
      <c r="AH50" s="221"/>
      <c r="AI50" s="221"/>
      <c r="AJ50" s="221"/>
      <c r="AK50" s="221"/>
      <c r="AL50" s="221"/>
      <c r="AM50" s="221"/>
      <c r="AN50" s="221"/>
      <c r="AO50" s="221"/>
      <c r="AP50" s="221"/>
      <c r="AQ50" s="221"/>
      <c r="AR50" s="221"/>
      <c r="AS50" s="262"/>
      <c r="AT50" s="262"/>
      <c r="AU50" s="262"/>
      <c r="AV50" s="262"/>
      <c r="AW50" s="262"/>
      <c r="AX50" s="262"/>
      <c r="AY50" s="262"/>
      <c r="AZ50" s="262"/>
      <c r="BA50" s="262"/>
      <c r="BB50" s="262"/>
      <c r="BC50" s="262"/>
      <c r="BD50" s="262"/>
      <c r="BE50" s="262"/>
      <c r="BF50" s="262"/>
      <c r="BG50" s="262"/>
      <c r="BH50" s="262"/>
      <c r="BI50" s="262"/>
      <c r="BJ50" s="262"/>
      <c r="BK50" s="262"/>
      <c r="BL50" s="262"/>
      <c r="BM50" s="262"/>
      <c r="BN50" s="262"/>
      <c r="BO50" s="262"/>
      <c r="BP50" s="262"/>
      <c r="BQ50" s="262"/>
      <c r="BR50" s="262"/>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row>
    <row r="51" spans="1:175" ht="15.75" customHeight="1" thickBot="1" x14ac:dyDescent="0.3">
      <c r="A51" s="332"/>
      <c r="B51" s="233"/>
      <c r="C51" s="1020"/>
      <c r="D51" s="42"/>
      <c r="E51" s="43"/>
      <c r="F51" s="43"/>
      <c r="G51" s="43"/>
      <c r="H51" s="342"/>
      <c r="I51" s="342"/>
      <c r="J51" s="43"/>
      <c r="K51" s="43"/>
      <c r="L51" s="43"/>
      <c r="M51" s="43"/>
      <c r="N51" s="43"/>
      <c r="O51" s="43"/>
      <c r="P51" s="43"/>
      <c r="Q51" s="43"/>
      <c r="R51" s="43"/>
      <c r="S51" s="43"/>
      <c r="T51" s="43"/>
      <c r="U51" s="43"/>
      <c r="V51" s="43"/>
      <c r="W51" s="43"/>
      <c r="X51" s="43"/>
      <c r="Y51" s="43"/>
      <c r="Z51" s="43"/>
      <c r="AA51" s="43"/>
      <c r="AB51" s="43"/>
      <c r="AC51" s="43"/>
      <c r="AD51" s="43"/>
      <c r="AE51" s="44"/>
      <c r="AF51" s="305"/>
      <c r="AG51" s="306"/>
      <c r="AH51" s="221"/>
      <c r="AI51" s="221"/>
      <c r="AJ51" s="221"/>
      <c r="AK51" s="221"/>
      <c r="AL51" s="221"/>
      <c r="AM51" s="221"/>
      <c r="AN51" s="221"/>
      <c r="AO51" s="221"/>
      <c r="AP51" s="221"/>
      <c r="AQ51" s="221"/>
      <c r="AR51" s="221"/>
      <c r="AS51" s="262"/>
      <c r="AT51" s="262"/>
      <c r="AU51" s="262"/>
      <c r="AV51" s="262"/>
      <c r="AW51" s="262"/>
      <c r="AX51" s="262"/>
      <c r="AY51" s="262"/>
      <c r="AZ51" s="262"/>
      <c r="BA51" s="262"/>
      <c r="BB51" s="262"/>
      <c r="BC51" s="262"/>
      <c r="BD51" s="262"/>
      <c r="BE51" s="262"/>
      <c r="BF51" s="262"/>
      <c r="BG51" s="262"/>
      <c r="BH51" s="262"/>
      <c r="BI51" s="262"/>
      <c r="BJ51" s="262"/>
      <c r="BK51" s="262"/>
      <c r="BL51" s="262"/>
      <c r="BM51" s="262"/>
      <c r="BN51" s="262"/>
      <c r="BO51" s="262"/>
      <c r="BP51" s="262"/>
      <c r="BQ51" s="262"/>
      <c r="BR51" s="262"/>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row>
    <row r="52" spans="1:175" ht="15" customHeight="1" x14ac:dyDescent="0.25">
      <c r="A52" s="332"/>
      <c r="B52" s="233"/>
      <c r="C52" s="1003" t="s">
        <v>2769</v>
      </c>
      <c r="D52" s="1003"/>
      <c r="E52" s="1003"/>
      <c r="F52" s="1003"/>
      <c r="G52" s="1004"/>
      <c r="H52" s="1008"/>
      <c r="I52" s="1008"/>
      <c r="J52" s="307"/>
      <c r="K52" s="1009" t="s">
        <v>2770</v>
      </c>
      <c r="L52" s="1009"/>
      <c r="M52" s="1009"/>
      <c r="N52" s="1009"/>
      <c r="O52" s="1009"/>
      <c r="P52" s="1009"/>
      <c r="Q52" s="1010">
        <f>IFERROR((((SUM(AC44:AD50))*H53)/((7*24*52)/8760))-(H52*((AVERAGE(AC44:AD48)))), "")</f>
        <v>0</v>
      </c>
      <c r="R52" s="1010"/>
      <c r="S52" s="315"/>
      <c r="T52" s="315"/>
      <c r="U52" s="315"/>
      <c r="V52" s="315"/>
      <c r="W52" s="315"/>
      <c r="X52" s="315"/>
      <c r="Y52" s="315"/>
      <c r="Z52" s="315"/>
      <c r="AA52" s="315"/>
      <c r="AB52" s="315"/>
      <c r="AC52" s="315"/>
      <c r="AD52" s="315"/>
      <c r="AE52" s="315"/>
      <c r="AF52" s="305"/>
      <c r="AG52" s="306"/>
      <c r="AH52" s="221"/>
      <c r="AI52" s="221"/>
      <c r="AJ52" s="221"/>
      <c r="AK52" s="221"/>
      <c r="AL52" s="221"/>
      <c r="AM52" s="221"/>
      <c r="AN52" s="221"/>
      <c r="AO52" s="221"/>
      <c r="AP52" s="221"/>
      <c r="AQ52" s="221"/>
      <c r="AR52" s="221"/>
      <c r="AS52" s="262"/>
      <c r="AT52" s="262"/>
      <c r="AU52" s="262"/>
      <c r="AV52" s="262"/>
      <c r="AW52" s="262"/>
      <c r="AX52" s="262"/>
      <c r="AY52" s="262"/>
      <c r="AZ52" s="262"/>
      <c r="BA52" s="262"/>
      <c r="BB52" s="262"/>
      <c r="BC52" s="262"/>
      <c r="BD52" s="262"/>
      <c r="BE52" s="262"/>
      <c r="BF52" s="262"/>
      <c r="BG52" s="262"/>
      <c r="BH52" s="262"/>
      <c r="BI52" s="262"/>
      <c r="BJ52" s="262"/>
      <c r="BK52" s="262"/>
      <c r="BL52" s="262"/>
      <c r="BM52" s="262"/>
      <c r="BN52" s="262"/>
      <c r="BO52" s="262"/>
      <c r="BP52" s="262"/>
      <c r="BQ52" s="262"/>
      <c r="BR52" s="262"/>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row>
    <row r="53" spans="1:175" ht="15" customHeight="1" x14ac:dyDescent="0.25">
      <c r="A53" s="332"/>
      <c r="B53" s="233"/>
      <c r="C53" s="1003" t="s">
        <v>2771</v>
      </c>
      <c r="D53" s="1003"/>
      <c r="E53" s="1003"/>
      <c r="F53" s="1003"/>
      <c r="G53" s="1004"/>
      <c r="H53" s="1005"/>
      <c r="I53" s="1005"/>
      <c r="J53" s="307"/>
      <c r="K53" s="1003" t="s">
        <v>2772</v>
      </c>
      <c r="L53" s="1003"/>
      <c r="M53" s="1003"/>
      <c r="N53" s="1003"/>
      <c r="O53" s="1003"/>
      <c r="P53" s="1003"/>
      <c r="Q53" s="1006">
        <f>IFERROR(IF(Q52="","",AI49*(1-(H54/13))), 0)</f>
        <v>0</v>
      </c>
      <c r="R53" s="1007"/>
      <c r="S53" s="315"/>
      <c r="T53" s="315"/>
      <c r="U53" s="315"/>
      <c r="V53" s="315"/>
      <c r="W53" s="315"/>
      <c r="X53" s="315"/>
      <c r="Y53" s="315"/>
      <c r="Z53" s="315"/>
      <c r="AA53" s="315"/>
      <c r="AB53" s="315"/>
      <c r="AC53" s="315"/>
      <c r="AD53" s="315"/>
      <c r="AE53" s="315"/>
      <c r="AF53" s="305"/>
      <c r="AG53" s="306"/>
      <c r="AH53" s="221"/>
      <c r="AI53" s="221"/>
      <c r="AJ53" s="221"/>
      <c r="AK53" s="221"/>
      <c r="AL53" s="221"/>
      <c r="AM53" s="221"/>
      <c r="AN53" s="221"/>
      <c r="AO53" s="221"/>
      <c r="AP53" s="221"/>
      <c r="AQ53" s="221"/>
      <c r="AR53" s="221"/>
      <c r="AS53" s="262"/>
      <c r="AT53" s="262"/>
      <c r="AU53" s="262"/>
      <c r="AV53" s="262"/>
      <c r="AW53" s="262"/>
      <c r="AX53" s="262"/>
      <c r="AY53" s="262"/>
      <c r="AZ53" s="262"/>
      <c r="BA53" s="262"/>
      <c r="BB53" s="262"/>
      <c r="BC53" s="262"/>
      <c r="BD53" s="262"/>
      <c r="BE53" s="262"/>
      <c r="BF53" s="262"/>
      <c r="BG53" s="262"/>
      <c r="BH53" s="262"/>
      <c r="BI53" s="262"/>
      <c r="BJ53" s="262"/>
      <c r="BK53" s="262"/>
      <c r="BL53" s="262"/>
      <c r="BM53" s="262"/>
      <c r="BN53" s="262"/>
      <c r="BO53" s="262"/>
      <c r="BP53" s="262"/>
      <c r="BQ53" s="262"/>
      <c r="BR53" s="262"/>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row>
    <row r="54" spans="1:175" ht="15" customHeight="1" x14ac:dyDescent="0.25">
      <c r="A54" s="332"/>
      <c r="B54" s="233"/>
      <c r="C54" s="1003" t="s">
        <v>2773</v>
      </c>
      <c r="D54" s="1003"/>
      <c r="E54" s="1003"/>
      <c r="F54" s="1003"/>
      <c r="G54" s="1004"/>
      <c r="H54" s="1005"/>
      <c r="I54" s="1005"/>
      <c r="J54" s="307"/>
      <c r="K54" s="1003" t="s">
        <v>2774</v>
      </c>
      <c r="L54" s="1003"/>
      <c r="M54" s="1003"/>
      <c r="N54" s="1003"/>
      <c r="O54" s="1003"/>
      <c r="P54" s="1003"/>
      <c r="Q54" s="1006">
        <f>IFERROR(IF(Q52="","",AO49*(1-(H55/9))), 0)</f>
        <v>0</v>
      </c>
      <c r="R54" s="1007"/>
      <c r="S54" s="315"/>
      <c r="T54" s="315"/>
      <c r="U54" s="315"/>
      <c r="V54" s="315"/>
      <c r="W54" s="315"/>
      <c r="X54" s="315"/>
      <c r="Y54" s="315"/>
      <c r="Z54" s="315"/>
      <c r="AA54" s="315"/>
      <c r="AB54" s="315"/>
      <c r="AC54" s="315"/>
      <c r="AD54" s="315"/>
      <c r="AE54" s="315"/>
      <c r="AF54" s="305"/>
      <c r="AG54" s="306"/>
      <c r="AH54" s="221"/>
      <c r="AI54" s="221"/>
      <c r="AJ54" s="221"/>
      <c r="AK54" s="221"/>
      <c r="AL54" s="221"/>
      <c r="AM54" s="221"/>
      <c r="AN54" s="221"/>
      <c r="AO54" s="221"/>
      <c r="AP54" s="221"/>
      <c r="AQ54" s="221"/>
      <c r="AR54" s="221"/>
      <c r="AS54" s="262"/>
      <c r="AT54" s="262"/>
      <c r="AU54" s="262"/>
      <c r="AV54" s="262"/>
      <c r="AW54" s="262"/>
      <c r="AX54" s="262"/>
      <c r="AY54" s="262"/>
      <c r="AZ54" s="262"/>
      <c r="BA54" s="262"/>
      <c r="BB54" s="262"/>
      <c r="BC54" s="262"/>
      <c r="BD54" s="262"/>
      <c r="BE54" s="262"/>
      <c r="BF54" s="262"/>
      <c r="BG54" s="262"/>
      <c r="BH54" s="262"/>
      <c r="BI54" s="262"/>
      <c r="BJ54" s="262"/>
      <c r="BK54" s="262"/>
      <c r="BL54" s="262"/>
      <c r="BM54" s="262"/>
      <c r="BN54" s="262"/>
      <c r="BO54" s="262"/>
      <c r="BP54" s="262"/>
      <c r="BQ54" s="262"/>
      <c r="BR54" s="262"/>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row>
    <row r="55" spans="1:175" ht="15" customHeight="1" x14ac:dyDescent="0.25">
      <c r="A55" s="332"/>
      <c r="B55" s="233"/>
      <c r="C55" s="1003" t="s">
        <v>2775</v>
      </c>
      <c r="D55" s="1003"/>
      <c r="E55" s="1003"/>
      <c r="F55" s="1003"/>
      <c r="G55" s="1004"/>
      <c r="H55" s="1005"/>
      <c r="I55" s="1005"/>
      <c r="J55" s="315"/>
      <c r="K55" s="315"/>
      <c r="L55" s="315"/>
      <c r="M55" s="315"/>
      <c r="N55" s="315"/>
      <c r="O55" s="315"/>
      <c r="P55" s="315"/>
      <c r="Q55" s="315"/>
      <c r="R55" s="315"/>
      <c r="S55" s="315"/>
      <c r="T55" s="315"/>
      <c r="U55" s="315"/>
      <c r="V55" s="315"/>
      <c r="W55" s="315"/>
      <c r="X55" s="315"/>
      <c r="Y55" s="315"/>
      <c r="Z55" s="315"/>
      <c r="AA55" s="315"/>
      <c r="AB55" s="315"/>
      <c r="AC55" s="315"/>
      <c r="AD55" s="315"/>
      <c r="AE55" s="315"/>
      <c r="AF55" s="305"/>
      <c r="AG55" s="306"/>
      <c r="AH55" s="221"/>
      <c r="AI55" s="221"/>
      <c r="AJ55" s="221"/>
      <c r="AK55" s="221"/>
      <c r="AL55" s="221"/>
      <c r="AM55" s="221"/>
      <c r="AN55" s="221"/>
      <c r="AO55" s="221"/>
      <c r="AP55" s="221"/>
      <c r="AQ55" s="221"/>
      <c r="AR55" s="221"/>
      <c r="AS55" s="262"/>
      <c r="AT55" s="262"/>
      <c r="AU55" s="262"/>
      <c r="AV55" s="262"/>
      <c r="AW55" s="262"/>
      <c r="AX55" s="262"/>
      <c r="AY55" s="262"/>
      <c r="AZ55" s="262"/>
      <c r="BA55" s="262"/>
      <c r="BB55" s="262"/>
      <c r="BC55" s="262"/>
      <c r="BD55" s="262"/>
      <c r="BE55" s="262"/>
      <c r="BF55" s="262"/>
      <c r="BG55" s="262"/>
      <c r="BH55" s="262"/>
      <c r="BI55" s="262"/>
      <c r="BJ55" s="262"/>
      <c r="BK55" s="262"/>
      <c r="BL55" s="262"/>
      <c r="BM55" s="262"/>
      <c r="BN55" s="262"/>
      <c r="BO55" s="262"/>
      <c r="BP55" s="262"/>
      <c r="BQ55" s="262"/>
      <c r="BR55" s="262"/>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row>
    <row r="56" spans="1:175" ht="18.75" x14ac:dyDescent="0.25">
      <c r="A56" s="332"/>
      <c r="B56" s="233"/>
      <c r="C56" s="307"/>
      <c r="D56" s="307"/>
      <c r="E56" s="307"/>
      <c r="F56" s="307"/>
      <c r="G56" s="307"/>
      <c r="H56" s="307"/>
      <c r="I56" s="307"/>
      <c r="J56" s="315"/>
      <c r="K56" s="315"/>
      <c r="L56" s="315"/>
      <c r="M56" s="315"/>
      <c r="N56" s="315"/>
      <c r="O56" s="315"/>
      <c r="P56" s="315"/>
      <c r="Q56" s="315"/>
      <c r="R56" s="315"/>
      <c r="S56" s="315"/>
      <c r="T56" s="315"/>
      <c r="U56" s="315"/>
      <c r="V56" s="315"/>
      <c r="W56" s="315"/>
      <c r="X56" s="315"/>
      <c r="Y56" s="315"/>
      <c r="Z56" s="315"/>
      <c r="AA56" s="315"/>
      <c r="AB56" s="315"/>
      <c r="AC56" s="315"/>
      <c r="AD56" s="315"/>
      <c r="AE56" s="315"/>
      <c r="AF56" s="305"/>
      <c r="AG56" s="306"/>
      <c r="AH56" s="221"/>
      <c r="AI56" s="221"/>
      <c r="AJ56" s="221"/>
      <c r="AK56" s="221"/>
      <c r="AL56" s="221"/>
      <c r="AM56" s="221"/>
      <c r="AN56" s="221"/>
      <c r="AO56" s="221"/>
      <c r="AP56" s="221"/>
      <c r="AQ56" s="221"/>
      <c r="AR56" s="221"/>
      <c r="AS56" s="262"/>
      <c r="AT56" s="262"/>
      <c r="AU56" s="262"/>
      <c r="AV56" s="262"/>
      <c r="AW56" s="262"/>
      <c r="AX56" s="262"/>
      <c r="AY56" s="262"/>
      <c r="AZ56" s="262"/>
      <c r="BA56" s="262"/>
      <c r="BB56" s="262"/>
      <c r="BC56" s="262"/>
      <c r="BD56" s="262"/>
      <c r="BE56" s="262"/>
      <c r="BF56" s="262"/>
      <c r="BG56" s="262"/>
      <c r="BH56" s="262"/>
      <c r="BI56" s="262"/>
      <c r="BJ56" s="262"/>
      <c r="BK56" s="262"/>
      <c r="BL56" s="262"/>
      <c r="BM56" s="262"/>
      <c r="BN56" s="262"/>
      <c r="BO56" s="262"/>
      <c r="BP56" s="262"/>
      <c r="BQ56" s="262"/>
      <c r="BR56" s="262"/>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row>
    <row r="57" spans="1:175" ht="19.5" thickBot="1" x14ac:dyDescent="0.3">
      <c r="A57" s="332"/>
      <c r="B57" s="233"/>
      <c r="C57" s="307"/>
      <c r="D57" s="307"/>
      <c r="E57" s="307"/>
      <c r="F57" s="307"/>
      <c r="G57" s="307"/>
      <c r="H57" s="307"/>
      <c r="I57" s="307"/>
      <c r="J57" s="315"/>
      <c r="K57" s="315"/>
      <c r="L57" s="315"/>
      <c r="M57" s="315"/>
      <c r="N57" s="315"/>
      <c r="O57" s="315"/>
      <c r="P57" s="315"/>
      <c r="Q57" s="315"/>
      <c r="R57" s="315"/>
      <c r="S57" s="315"/>
      <c r="T57" s="315"/>
      <c r="U57" s="315"/>
      <c r="V57" s="315"/>
      <c r="W57" s="315"/>
      <c r="X57" s="315"/>
      <c r="Y57" s="315"/>
      <c r="Z57" s="315"/>
      <c r="AA57" s="315"/>
      <c r="AB57" s="315"/>
      <c r="AC57" s="315"/>
      <c r="AD57" s="315"/>
      <c r="AE57" s="315"/>
      <c r="AF57" s="305"/>
      <c r="AG57" s="306"/>
      <c r="AH57" s="221"/>
      <c r="AI57" s="221"/>
      <c r="AJ57" s="221"/>
      <c r="AK57" s="221"/>
      <c r="AL57" s="221"/>
      <c r="AM57" s="221"/>
      <c r="AN57" s="221"/>
      <c r="AO57" s="221"/>
      <c r="AP57" s="221"/>
      <c r="AQ57" s="221"/>
      <c r="AR57" s="221"/>
      <c r="AS57" s="262"/>
      <c r="AT57" s="262"/>
      <c r="AU57" s="262"/>
      <c r="AV57" s="262"/>
      <c r="AW57" s="262"/>
      <c r="AX57" s="262"/>
      <c r="AY57" s="262"/>
      <c r="AZ57" s="262"/>
      <c r="BA57" s="262"/>
      <c r="BB57" s="262"/>
      <c r="BC57" s="262"/>
      <c r="BD57" s="262"/>
      <c r="BE57" s="262"/>
      <c r="BF57" s="262"/>
      <c r="BG57" s="262"/>
      <c r="BH57" s="262"/>
      <c r="BI57" s="262"/>
      <c r="BJ57" s="262"/>
      <c r="BK57" s="262"/>
      <c r="BL57" s="262"/>
      <c r="BM57" s="262"/>
      <c r="BN57" s="262"/>
      <c r="BO57" s="262"/>
      <c r="BP57" s="262"/>
      <c r="BQ57" s="262"/>
      <c r="BR57" s="262"/>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row>
    <row r="58" spans="1:175" ht="26.25" customHeight="1" thickBot="1" x14ac:dyDescent="0.3">
      <c r="A58" s="332"/>
      <c r="B58" s="233"/>
      <c r="C58" s="1023" t="s">
        <v>2778</v>
      </c>
      <c r="D58" s="1023"/>
      <c r="E58" s="1023"/>
      <c r="F58" s="1023"/>
      <c r="G58" s="1023"/>
      <c r="H58" s="1023"/>
      <c r="I58" s="1023"/>
      <c r="J58" s="1023"/>
      <c r="K58" s="1023"/>
      <c r="L58" s="1023"/>
      <c r="M58" s="1023"/>
      <c r="N58" s="1023"/>
      <c r="O58" s="1023"/>
      <c r="P58" s="1023"/>
      <c r="Q58" s="1023"/>
      <c r="R58" s="1023"/>
      <c r="S58" s="1023"/>
      <c r="T58" s="1023"/>
      <c r="U58" s="1023"/>
      <c r="V58" s="1023"/>
      <c r="W58" s="1023"/>
      <c r="X58" s="1023"/>
      <c r="Y58" s="1023"/>
      <c r="Z58" s="1023"/>
      <c r="AA58" s="1023"/>
      <c r="AB58" s="1023"/>
      <c r="AC58" s="1023"/>
      <c r="AD58" s="1023"/>
      <c r="AE58" s="1023"/>
      <c r="AF58" s="305"/>
      <c r="AG58" s="306"/>
      <c r="AH58" s="1011" t="s">
        <v>2719</v>
      </c>
      <c r="AI58" s="1012"/>
      <c r="AJ58" s="1012"/>
      <c r="AK58" s="1012"/>
      <c r="AL58" s="1013"/>
      <c r="AM58" s="221"/>
      <c r="AN58" s="1016" t="s">
        <v>2720</v>
      </c>
      <c r="AO58" s="1012"/>
      <c r="AP58" s="1012"/>
      <c r="AQ58" s="1012"/>
      <c r="AR58" s="1013"/>
      <c r="AS58" s="262"/>
      <c r="AT58" s="262"/>
      <c r="AU58" s="262"/>
      <c r="AV58" s="262"/>
      <c r="AW58" s="262"/>
      <c r="AX58" s="262"/>
      <c r="AY58" s="262"/>
      <c r="AZ58" s="262"/>
      <c r="BA58" s="262"/>
      <c r="BB58" s="262"/>
      <c r="BC58" s="262"/>
      <c r="BD58" s="262"/>
      <c r="BE58" s="262"/>
      <c r="BF58" s="262"/>
      <c r="BG58" s="262"/>
      <c r="BH58" s="262"/>
      <c r="BI58" s="262"/>
      <c r="BJ58" s="262"/>
      <c r="BK58" s="262"/>
      <c r="BL58" s="262"/>
      <c r="BM58" s="262"/>
      <c r="BN58" s="262"/>
      <c r="BO58" s="262"/>
      <c r="BP58" s="262"/>
      <c r="BQ58" s="262"/>
      <c r="BR58" s="262"/>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row>
    <row r="59" spans="1:175" ht="4.5" customHeight="1" thickBot="1" x14ac:dyDescent="0.3">
      <c r="A59" s="332"/>
      <c r="B59" s="233"/>
      <c r="C59" s="437"/>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438"/>
      <c r="AB59" s="438"/>
      <c r="AC59" s="438"/>
      <c r="AD59" s="438"/>
      <c r="AE59" s="439"/>
      <c r="AF59" s="305"/>
      <c r="AG59" s="306"/>
      <c r="AH59" s="1014"/>
      <c r="AI59" s="1014"/>
      <c r="AJ59" s="1014"/>
      <c r="AK59" s="1014"/>
      <c r="AL59" s="1015"/>
      <c r="AM59" s="221"/>
      <c r="AN59" s="1017"/>
      <c r="AO59" s="1014"/>
      <c r="AP59" s="1014"/>
      <c r="AQ59" s="1014"/>
      <c r="AR59" s="1015"/>
      <c r="AS59" s="262"/>
      <c r="AT59" s="262"/>
      <c r="AU59" s="262"/>
      <c r="AV59" s="262"/>
      <c r="AW59" s="262"/>
      <c r="AX59" s="262"/>
      <c r="AY59" s="262"/>
      <c r="AZ59" s="262"/>
      <c r="BA59" s="262"/>
      <c r="BB59" s="262"/>
      <c r="BC59" s="262"/>
      <c r="BD59" s="262"/>
      <c r="BE59" s="262"/>
      <c r="BF59" s="262"/>
      <c r="BG59" s="262"/>
      <c r="BH59" s="262"/>
      <c r="BI59" s="262"/>
      <c r="BJ59" s="262"/>
      <c r="BK59" s="262"/>
      <c r="BL59" s="262"/>
      <c r="BM59" s="262"/>
      <c r="BN59" s="262"/>
      <c r="BO59" s="262"/>
      <c r="BP59" s="262"/>
      <c r="BQ59" s="262"/>
      <c r="BR59" s="262"/>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row>
    <row r="60" spans="1:175" ht="87" customHeight="1" x14ac:dyDescent="0.25">
      <c r="A60" s="332"/>
      <c r="B60" s="233"/>
      <c r="C60" s="1018" t="s">
        <v>2779</v>
      </c>
      <c r="D60" s="209"/>
      <c r="E60" s="343" t="s">
        <v>2723</v>
      </c>
      <c r="F60" s="344" t="s">
        <v>2724</v>
      </c>
      <c r="G60" s="344" t="s">
        <v>2725</v>
      </c>
      <c r="H60" s="344" t="s">
        <v>2726</v>
      </c>
      <c r="I60" s="344" t="s">
        <v>2727</v>
      </c>
      <c r="J60" s="344" t="s">
        <v>2728</v>
      </c>
      <c r="K60" s="344" t="s">
        <v>2729</v>
      </c>
      <c r="L60" s="344" t="s">
        <v>2730</v>
      </c>
      <c r="M60" s="344" t="s">
        <v>2731</v>
      </c>
      <c r="N60" s="344" t="s">
        <v>2732</v>
      </c>
      <c r="O60" s="344" t="s">
        <v>2733</v>
      </c>
      <c r="P60" s="344" t="s">
        <v>2734</v>
      </c>
      <c r="Q60" s="345" t="s">
        <v>2735</v>
      </c>
      <c r="R60" s="345" t="s">
        <v>2736</v>
      </c>
      <c r="S60" s="345" t="s">
        <v>2737</v>
      </c>
      <c r="T60" s="345" t="s">
        <v>2738</v>
      </c>
      <c r="U60" s="345" t="s">
        <v>2739</v>
      </c>
      <c r="V60" s="345" t="s">
        <v>2740</v>
      </c>
      <c r="W60" s="345" t="s">
        <v>2741</v>
      </c>
      <c r="X60" s="345" t="s">
        <v>2742</v>
      </c>
      <c r="Y60" s="345" t="s">
        <v>2743</v>
      </c>
      <c r="Z60" s="345" t="s">
        <v>2744</v>
      </c>
      <c r="AA60" s="345" t="s">
        <v>2745</v>
      </c>
      <c r="AB60" s="345" t="s">
        <v>2746</v>
      </c>
      <c r="AC60" s="1021" t="s">
        <v>2747</v>
      </c>
      <c r="AD60" s="1021"/>
      <c r="AE60" s="356" t="s">
        <v>2748</v>
      </c>
      <c r="AF60" s="305"/>
      <c r="AG60" s="306"/>
      <c r="AH60" s="7"/>
      <c r="AI60" s="222" t="s">
        <v>2749</v>
      </c>
      <c r="AJ60" s="222" t="s">
        <v>2750</v>
      </c>
      <c r="AK60" s="222" t="s">
        <v>2751</v>
      </c>
      <c r="AL60" s="223" t="s">
        <v>2752</v>
      </c>
      <c r="AM60" s="221"/>
      <c r="AN60" s="209"/>
      <c r="AO60" s="222" t="s">
        <v>2753</v>
      </c>
      <c r="AP60" s="222" t="s">
        <v>2754</v>
      </c>
      <c r="AQ60" s="222" t="s">
        <v>2755</v>
      </c>
      <c r="AR60" s="223" t="s">
        <v>2756</v>
      </c>
      <c r="AS60" s="262"/>
      <c r="AT60" s="262"/>
      <c r="AU60" s="262"/>
      <c r="AV60" s="262"/>
      <c r="AW60" s="262"/>
      <c r="AX60" s="262"/>
      <c r="AY60" s="262"/>
      <c r="AZ60" s="262"/>
      <c r="BA60" s="262"/>
      <c r="BB60" s="262"/>
      <c r="BC60" s="262"/>
      <c r="BD60" s="262"/>
      <c r="BE60" s="262"/>
      <c r="BF60" s="262"/>
      <c r="BG60" s="262"/>
      <c r="BH60" s="262"/>
      <c r="BI60" s="262"/>
      <c r="BJ60" s="262"/>
      <c r="BK60" s="262"/>
      <c r="BL60" s="262"/>
      <c r="BM60" s="262"/>
      <c r="BN60" s="262"/>
      <c r="BO60" s="262"/>
      <c r="BP60" s="262"/>
      <c r="BQ60" s="262"/>
      <c r="BR60" s="262"/>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row>
    <row r="61" spans="1:175" ht="21" customHeight="1" x14ac:dyDescent="0.25">
      <c r="A61" s="332"/>
      <c r="B61" s="233"/>
      <c r="C61" s="1019"/>
      <c r="D61" s="224" t="s">
        <v>2757</v>
      </c>
      <c r="E61" s="455"/>
      <c r="F61" s="455"/>
      <c r="G61" s="455"/>
      <c r="H61" s="455"/>
      <c r="I61" s="455"/>
      <c r="J61" s="455"/>
      <c r="K61" s="455"/>
      <c r="L61" s="455"/>
      <c r="M61" s="455"/>
      <c r="N61" s="455"/>
      <c r="O61" s="455"/>
      <c r="P61" s="455"/>
      <c r="Q61" s="455"/>
      <c r="R61" s="455"/>
      <c r="S61" s="455"/>
      <c r="T61" s="455"/>
      <c r="U61" s="455"/>
      <c r="V61" s="455"/>
      <c r="W61" s="455"/>
      <c r="X61" s="455"/>
      <c r="Y61" s="455"/>
      <c r="Z61" s="455"/>
      <c r="AA61" s="455"/>
      <c r="AB61" s="455"/>
      <c r="AC61" s="1022">
        <f>SUM(E61:AB61)</f>
        <v>0</v>
      </c>
      <c r="AD61" s="1022"/>
      <c r="AE61" s="225">
        <f>AC61*52</f>
        <v>0</v>
      </c>
      <c r="AF61" s="305"/>
      <c r="AG61" s="306"/>
      <c r="AH61" s="228" t="s">
        <v>2758</v>
      </c>
      <c r="AI61" s="206">
        <f>IF(S61&gt;0, S61,0)</f>
        <v>0</v>
      </c>
      <c r="AJ61" s="206">
        <f>IF(T61&gt;0,T61,0)</f>
        <v>0</v>
      </c>
      <c r="AK61" s="206">
        <f>IF(U61&gt;0, U61, 0)</f>
        <v>0</v>
      </c>
      <c r="AL61" s="207">
        <f>IF(V61&gt;0, V61,0)</f>
        <v>0</v>
      </c>
      <c r="AM61" s="221"/>
      <c r="AN61" s="210" t="s">
        <v>2758</v>
      </c>
      <c r="AO61" s="206">
        <f>IF(L61&gt;0, L61,0)</f>
        <v>0</v>
      </c>
      <c r="AP61" s="206">
        <f>IF(M61&gt;0, M61,0)</f>
        <v>0</v>
      </c>
      <c r="AQ61" s="206">
        <f>IF(W61&gt;0, W61,0)</f>
        <v>0</v>
      </c>
      <c r="AR61" s="207">
        <f>IF(X61&gt;0, X61,0)</f>
        <v>0</v>
      </c>
      <c r="AS61" s="262"/>
      <c r="AT61" s="262"/>
      <c r="AU61" s="262"/>
      <c r="AV61" s="262"/>
      <c r="AW61" s="262"/>
      <c r="AX61" s="262"/>
      <c r="AY61" s="262"/>
      <c r="AZ61" s="262"/>
      <c r="BA61" s="262"/>
      <c r="BB61" s="262"/>
      <c r="BC61" s="262"/>
      <c r="BD61" s="262"/>
      <c r="BE61" s="262"/>
      <c r="BF61" s="262"/>
      <c r="BG61" s="262"/>
      <c r="BH61" s="262"/>
      <c r="BI61" s="262"/>
      <c r="BJ61" s="262"/>
      <c r="BK61" s="262"/>
      <c r="BL61" s="262"/>
      <c r="BM61" s="262"/>
      <c r="BN61" s="262"/>
      <c r="BO61" s="262"/>
      <c r="BP61" s="262"/>
      <c r="BQ61" s="262"/>
      <c r="BR61" s="262"/>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row>
    <row r="62" spans="1:175" ht="21" customHeight="1" x14ac:dyDescent="0.25">
      <c r="A62" s="332"/>
      <c r="B62" s="233"/>
      <c r="C62" s="1019"/>
      <c r="D62" s="226" t="s">
        <v>2759</v>
      </c>
      <c r="E62" s="455"/>
      <c r="F62" s="455"/>
      <c r="G62" s="455"/>
      <c r="H62" s="455"/>
      <c r="I62" s="455"/>
      <c r="J62" s="455"/>
      <c r="K62" s="455"/>
      <c r="L62" s="455"/>
      <c r="M62" s="455"/>
      <c r="N62" s="455"/>
      <c r="O62" s="455"/>
      <c r="P62" s="455"/>
      <c r="Q62" s="455"/>
      <c r="R62" s="455"/>
      <c r="S62" s="455"/>
      <c r="T62" s="455"/>
      <c r="U62" s="455"/>
      <c r="V62" s="455"/>
      <c r="W62" s="455"/>
      <c r="X62" s="455"/>
      <c r="Y62" s="455"/>
      <c r="Z62" s="455"/>
      <c r="AA62" s="455"/>
      <c r="AB62" s="455"/>
      <c r="AC62" s="1022">
        <f t="shared" ref="AC62:AC67" si="16">SUM(E62:AB62)</f>
        <v>0</v>
      </c>
      <c r="AD62" s="1022"/>
      <c r="AE62" s="225">
        <f t="shared" ref="AE62:AE67" si="17">AC62*52</f>
        <v>0</v>
      </c>
      <c r="AF62" s="305"/>
      <c r="AG62" s="306"/>
      <c r="AH62" s="228" t="s">
        <v>2760</v>
      </c>
      <c r="AI62" s="206">
        <f t="shared" ref="AI62:AI65" si="18">IF(S62&gt;0, S62,0)</f>
        <v>0</v>
      </c>
      <c r="AJ62" s="206">
        <f t="shared" ref="AJ62:AJ65" si="19">IF(T62&gt;0,T62,0)</f>
        <v>0</v>
      </c>
      <c r="AK62" s="206">
        <f t="shared" ref="AK62:AK65" si="20">IF(U62&gt;0, U62, 0)</f>
        <v>0</v>
      </c>
      <c r="AL62" s="207">
        <f t="shared" ref="AL62:AL65" si="21">IF(V62&gt;0, V62,0)</f>
        <v>0</v>
      </c>
      <c r="AM62" s="221"/>
      <c r="AN62" s="210" t="s">
        <v>2760</v>
      </c>
      <c r="AO62" s="206">
        <f t="shared" ref="AO62:AP65" si="22">IF(L62&gt;0, L62,0)</f>
        <v>0</v>
      </c>
      <c r="AP62" s="206">
        <f t="shared" si="22"/>
        <v>0</v>
      </c>
      <c r="AQ62" s="206">
        <f t="shared" ref="AQ62:AR65" si="23">IF(W62&gt;0, W62,0)</f>
        <v>0</v>
      </c>
      <c r="AR62" s="207">
        <f t="shared" si="23"/>
        <v>0</v>
      </c>
      <c r="AS62" s="262"/>
      <c r="AT62" s="262"/>
      <c r="AU62" s="262"/>
      <c r="AV62" s="262"/>
      <c r="AW62" s="262"/>
      <c r="AX62" s="262"/>
      <c r="AY62" s="262"/>
      <c r="AZ62" s="262"/>
      <c r="BA62" s="262"/>
      <c r="BB62" s="262"/>
      <c r="BC62" s="262"/>
      <c r="BD62" s="262"/>
      <c r="BE62" s="262"/>
      <c r="BF62" s="262"/>
      <c r="BG62" s="262"/>
      <c r="BH62" s="262"/>
      <c r="BI62" s="262"/>
      <c r="BJ62" s="262"/>
      <c r="BK62" s="262"/>
      <c r="BL62" s="262"/>
      <c r="BM62" s="262"/>
      <c r="BN62" s="262"/>
      <c r="BO62" s="262"/>
      <c r="BP62" s="262"/>
      <c r="BQ62" s="262"/>
      <c r="BR62" s="262"/>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row>
    <row r="63" spans="1:175" ht="21" customHeight="1" x14ac:dyDescent="0.25">
      <c r="A63" s="332"/>
      <c r="B63" s="233"/>
      <c r="C63" s="1019"/>
      <c r="D63" s="226" t="s">
        <v>2761</v>
      </c>
      <c r="E63" s="455"/>
      <c r="F63" s="455"/>
      <c r="G63" s="455"/>
      <c r="H63" s="455"/>
      <c r="I63" s="455"/>
      <c r="J63" s="455"/>
      <c r="K63" s="455"/>
      <c r="L63" s="455"/>
      <c r="M63" s="455"/>
      <c r="N63" s="455"/>
      <c r="O63" s="455"/>
      <c r="P63" s="455"/>
      <c r="Q63" s="455"/>
      <c r="R63" s="455"/>
      <c r="S63" s="455"/>
      <c r="T63" s="455"/>
      <c r="U63" s="455"/>
      <c r="V63" s="455"/>
      <c r="W63" s="455"/>
      <c r="X63" s="455"/>
      <c r="Y63" s="455"/>
      <c r="Z63" s="455"/>
      <c r="AA63" s="455"/>
      <c r="AB63" s="455"/>
      <c r="AC63" s="1022">
        <f t="shared" si="16"/>
        <v>0</v>
      </c>
      <c r="AD63" s="1022"/>
      <c r="AE63" s="225">
        <f t="shared" si="17"/>
        <v>0</v>
      </c>
      <c r="AF63" s="305"/>
      <c r="AG63" s="306"/>
      <c r="AH63" s="228" t="s">
        <v>2762</v>
      </c>
      <c r="AI63" s="206">
        <f t="shared" si="18"/>
        <v>0</v>
      </c>
      <c r="AJ63" s="206">
        <f t="shared" si="19"/>
        <v>0</v>
      </c>
      <c r="AK63" s="206">
        <f t="shared" si="20"/>
        <v>0</v>
      </c>
      <c r="AL63" s="207">
        <f t="shared" si="21"/>
        <v>0</v>
      </c>
      <c r="AM63" s="221"/>
      <c r="AN63" s="210" t="s">
        <v>2762</v>
      </c>
      <c r="AO63" s="206">
        <f t="shared" si="22"/>
        <v>0</v>
      </c>
      <c r="AP63" s="206">
        <f t="shared" si="22"/>
        <v>0</v>
      </c>
      <c r="AQ63" s="206">
        <f t="shared" si="23"/>
        <v>0</v>
      </c>
      <c r="AR63" s="207">
        <f t="shared" si="23"/>
        <v>0</v>
      </c>
      <c r="AS63" s="262"/>
      <c r="AT63" s="262"/>
      <c r="AU63" s="262"/>
      <c r="AV63" s="262"/>
      <c r="AW63" s="262"/>
      <c r="AX63" s="262"/>
      <c r="AY63" s="262"/>
      <c r="AZ63" s="262"/>
      <c r="BA63" s="262"/>
      <c r="BB63" s="262"/>
      <c r="BC63" s="262"/>
      <c r="BD63" s="262"/>
      <c r="BE63" s="262"/>
      <c r="BF63" s="262"/>
      <c r="BG63" s="262"/>
      <c r="BH63" s="262"/>
      <c r="BI63" s="262"/>
      <c r="BJ63" s="262"/>
      <c r="BK63" s="262"/>
      <c r="BL63" s="262"/>
      <c r="BM63" s="262"/>
      <c r="BN63" s="262"/>
      <c r="BO63" s="262"/>
      <c r="BP63" s="262"/>
      <c r="BQ63" s="262"/>
      <c r="BR63" s="262"/>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row>
    <row r="64" spans="1:175" ht="21" customHeight="1" x14ac:dyDescent="0.25">
      <c r="A64" s="332"/>
      <c r="B64" s="233"/>
      <c r="C64" s="1019"/>
      <c r="D64" s="226" t="s">
        <v>2763</v>
      </c>
      <c r="E64" s="455"/>
      <c r="F64" s="455"/>
      <c r="G64" s="455"/>
      <c r="H64" s="455"/>
      <c r="I64" s="455"/>
      <c r="J64" s="455"/>
      <c r="K64" s="455"/>
      <c r="L64" s="455"/>
      <c r="M64" s="455"/>
      <c r="N64" s="455"/>
      <c r="O64" s="455"/>
      <c r="P64" s="455"/>
      <c r="Q64" s="455"/>
      <c r="R64" s="455"/>
      <c r="S64" s="455"/>
      <c r="T64" s="455"/>
      <c r="U64" s="455"/>
      <c r="V64" s="455"/>
      <c r="W64" s="455"/>
      <c r="X64" s="455"/>
      <c r="Y64" s="455"/>
      <c r="Z64" s="455"/>
      <c r="AA64" s="455"/>
      <c r="AB64" s="455"/>
      <c r="AC64" s="1022">
        <f t="shared" si="16"/>
        <v>0</v>
      </c>
      <c r="AD64" s="1022"/>
      <c r="AE64" s="225">
        <f t="shared" si="17"/>
        <v>0</v>
      </c>
      <c r="AF64" s="305"/>
      <c r="AG64" s="306"/>
      <c r="AH64" s="228" t="s">
        <v>2764</v>
      </c>
      <c r="AI64" s="206">
        <f t="shared" si="18"/>
        <v>0</v>
      </c>
      <c r="AJ64" s="206">
        <f t="shared" si="19"/>
        <v>0</v>
      </c>
      <c r="AK64" s="206">
        <f t="shared" si="20"/>
        <v>0</v>
      </c>
      <c r="AL64" s="207">
        <f t="shared" si="21"/>
        <v>0</v>
      </c>
      <c r="AM64" s="221"/>
      <c r="AN64" s="210" t="s">
        <v>2764</v>
      </c>
      <c r="AO64" s="206">
        <f t="shared" si="22"/>
        <v>0</v>
      </c>
      <c r="AP64" s="206">
        <f t="shared" si="22"/>
        <v>0</v>
      </c>
      <c r="AQ64" s="206">
        <f t="shared" si="23"/>
        <v>0</v>
      </c>
      <c r="AR64" s="207">
        <f t="shared" si="23"/>
        <v>0</v>
      </c>
      <c r="AS64" s="262"/>
      <c r="AT64" s="262"/>
      <c r="AU64" s="262"/>
      <c r="AV64" s="262"/>
      <c r="AW64" s="262"/>
      <c r="AX64" s="262"/>
      <c r="AY64" s="262"/>
      <c r="AZ64" s="262"/>
      <c r="BA64" s="262"/>
      <c r="BB64" s="262"/>
      <c r="BC64" s="262"/>
      <c r="BD64" s="262"/>
      <c r="BE64" s="262"/>
      <c r="BF64" s="262"/>
      <c r="BG64" s="262"/>
      <c r="BH64" s="262"/>
      <c r="BI64" s="262"/>
      <c r="BJ64" s="262"/>
      <c r="BK64" s="262"/>
      <c r="BL64" s="262"/>
      <c r="BM64" s="262"/>
      <c r="BN64" s="262"/>
      <c r="BO64" s="262"/>
      <c r="BP64" s="262"/>
      <c r="BQ64" s="262"/>
      <c r="BR64" s="262"/>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row>
    <row r="65" spans="1:175" ht="21" customHeight="1" x14ac:dyDescent="0.25">
      <c r="A65" s="332"/>
      <c r="B65" s="233"/>
      <c r="C65" s="1019"/>
      <c r="D65" s="226" t="s">
        <v>2765</v>
      </c>
      <c r="E65" s="455"/>
      <c r="F65" s="455"/>
      <c r="G65" s="455"/>
      <c r="H65" s="455"/>
      <c r="I65" s="455"/>
      <c r="J65" s="455"/>
      <c r="K65" s="455"/>
      <c r="L65" s="455"/>
      <c r="M65" s="455"/>
      <c r="N65" s="455"/>
      <c r="O65" s="455"/>
      <c r="P65" s="455"/>
      <c r="Q65" s="455"/>
      <c r="R65" s="455"/>
      <c r="S65" s="455"/>
      <c r="T65" s="455"/>
      <c r="U65" s="455"/>
      <c r="V65" s="455"/>
      <c r="W65" s="455"/>
      <c r="X65" s="455"/>
      <c r="Y65" s="455"/>
      <c r="Z65" s="455"/>
      <c r="AA65" s="455"/>
      <c r="AB65" s="455"/>
      <c r="AC65" s="1022">
        <f t="shared" si="16"/>
        <v>0</v>
      </c>
      <c r="AD65" s="1022"/>
      <c r="AE65" s="225">
        <f t="shared" si="17"/>
        <v>0</v>
      </c>
      <c r="AF65" s="305"/>
      <c r="AG65" s="306"/>
      <c r="AH65" s="228" t="s">
        <v>2766</v>
      </c>
      <c r="AI65" s="206">
        <f t="shared" si="18"/>
        <v>0</v>
      </c>
      <c r="AJ65" s="206">
        <f t="shared" si="19"/>
        <v>0</v>
      </c>
      <c r="AK65" s="206">
        <f t="shared" si="20"/>
        <v>0</v>
      </c>
      <c r="AL65" s="207">
        <f t="shared" si="21"/>
        <v>0</v>
      </c>
      <c r="AM65" s="221"/>
      <c r="AN65" s="210" t="s">
        <v>2766</v>
      </c>
      <c r="AO65" s="206">
        <f t="shared" si="22"/>
        <v>0</v>
      </c>
      <c r="AP65" s="206">
        <f t="shared" si="22"/>
        <v>0</v>
      </c>
      <c r="AQ65" s="206">
        <f t="shared" si="23"/>
        <v>0</v>
      </c>
      <c r="AR65" s="207">
        <f t="shared" si="23"/>
        <v>0</v>
      </c>
      <c r="AS65" s="262"/>
      <c r="AT65" s="262"/>
      <c r="AU65" s="262"/>
      <c r="AV65" s="262"/>
      <c r="AW65" s="262"/>
      <c r="AX65" s="262"/>
      <c r="AY65" s="262"/>
      <c r="AZ65" s="262"/>
      <c r="BA65" s="262"/>
      <c r="BB65" s="262"/>
      <c r="BC65" s="262"/>
      <c r="BD65" s="262"/>
      <c r="BE65" s="262"/>
      <c r="BF65" s="262"/>
      <c r="BG65" s="262"/>
      <c r="BH65" s="262"/>
      <c r="BI65" s="262"/>
      <c r="BJ65" s="262"/>
      <c r="BK65" s="262"/>
      <c r="BL65" s="262"/>
      <c r="BM65" s="262"/>
      <c r="BN65" s="262"/>
      <c r="BO65" s="262"/>
      <c r="BP65" s="262"/>
      <c r="BQ65" s="262"/>
      <c r="BR65" s="262"/>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row>
    <row r="66" spans="1:175" ht="21" customHeight="1" thickBot="1" x14ac:dyDescent="0.3">
      <c r="A66" s="332"/>
      <c r="B66" s="233"/>
      <c r="C66" s="1019"/>
      <c r="D66" s="226" t="s">
        <v>2767</v>
      </c>
      <c r="E66" s="455"/>
      <c r="F66" s="455"/>
      <c r="G66" s="455"/>
      <c r="H66" s="455"/>
      <c r="I66" s="455"/>
      <c r="J66" s="455"/>
      <c r="K66" s="455"/>
      <c r="L66" s="455"/>
      <c r="M66" s="455"/>
      <c r="N66" s="455"/>
      <c r="O66" s="455"/>
      <c r="P66" s="455"/>
      <c r="Q66" s="455"/>
      <c r="R66" s="455"/>
      <c r="S66" s="455"/>
      <c r="T66" s="455"/>
      <c r="U66" s="455"/>
      <c r="V66" s="455"/>
      <c r="W66" s="455"/>
      <c r="X66" s="455"/>
      <c r="Y66" s="455"/>
      <c r="Z66" s="455"/>
      <c r="AA66" s="455"/>
      <c r="AB66" s="455"/>
      <c r="AC66" s="1022">
        <f t="shared" si="16"/>
        <v>0</v>
      </c>
      <c r="AD66" s="1022"/>
      <c r="AE66" s="225">
        <f t="shared" si="17"/>
        <v>0</v>
      </c>
      <c r="AF66" s="305"/>
      <c r="AG66" s="306"/>
      <c r="AH66" s="229" t="s">
        <v>181</v>
      </c>
      <c r="AI66" s="208">
        <f>IFERROR(AVERAGE(AI61:AL65), "")</f>
        <v>0</v>
      </c>
      <c r="AJ66" s="221"/>
      <c r="AK66" s="221"/>
      <c r="AL66" s="221"/>
      <c r="AM66" s="221"/>
      <c r="AN66" s="211" t="s">
        <v>181</v>
      </c>
      <c r="AO66" s="208">
        <f>IFERROR(AVERAGE(AO61:AR65), "")</f>
        <v>0</v>
      </c>
      <c r="AP66" s="221"/>
      <c r="AQ66" s="221"/>
      <c r="AR66" s="221"/>
      <c r="AS66" s="262"/>
      <c r="AT66" s="262"/>
      <c r="AU66" s="262"/>
      <c r="AV66" s="262"/>
      <c r="AW66" s="262"/>
      <c r="AX66" s="262"/>
      <c r="AY66" s="262"/>
      <c r="AZ66" s="262"/>
      <c r="BA66" s="262"/>
      <c r="BB66" s="262"/>
      <c r="BC66" s="262"/>
      <c r="BD66" s="262"/>
      <c r="BE66" s="262"/>
      <c r="BF66" s="262"/>
      <c r="BG66" s="262"/>
      <c r="BH66" s="262"/>
      <c r="BI66" s="262"/>
      <c r="BJ66" s="262"/>
      <c r="BK66" s="262"/>
      <c r="BL66" s="262"/>
      <c r="BM66" s="262"/>
      <c r="BN66" s="262"/>
      <c r="BO66" s="262"/>
      <c r="BP66" s="262"/>
      <c r="BQ66" s="262"/>
      <c r="BR66" s="262"/>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row>
    <row r="67" spans="1:175" ht="21" customHeight="1" x14ac:dyDescent="0.25">
      <c r="A67" s="332"/>
      <c r="B67" s="233"/>
      <c r="C67" s="1019"/>
      <c r="D67" s="227" t="s">
        <v>2768</v>
      </c>
      <c r="E67" s="455"/>
      <c r="F67" s="455"/>
      <c r="G67" s="455"/>
      <c r="H67" s="455"/>
      <c r="I67" s="455"/>
      <c r="J67" s="455"/>
      <c r="K67" s="455"/>
      <c r="L67" s="455"/>
      <c r="M67" s="455"/>
      <c r="N67" s="455"/>
      <c r="O67" s="455"/>
      <c r="P67" s="455"/>
      <c r="Q67" s="455"/>
      <c r="R67" s="455"/>
      <c r="S67" s="455"/>
      <c r="T67" s="455"/>
      <c r="U67" s="455"/>
      <c r="V67" s="455"/>
      <c r="W67" s="455"/>
      <c r="X67" s="455"/>
      <c r="Y67" s="455"/>
      <c r="Z67" s="455"/>
      <c r="AA67" s="455"/>
      <c r="AB67" s="455"/>
      <c r="AC67" s="1022">
        <f t="shared" si="16"/>
        <v>0</v>
      </c>
      <c r="AD67" s="1022"/>
      <c r="AE67" s="225">
        <f t="shared" si="17"/>
        <v>0</v>
      </c>
      <c r="AF67" s="305"/>
      <c r="AG67" s="306"/>
      <c r="AH67" s="221"/>
      <c r="AI67" s="221"/>
      <c r="AJ67" s="221"/>
      <c r="AK67" s="221"/>
      <c r="AL67" s="221"/>
      <c r="AM67" s="221"/>
      <c r="AN67" s="221"/>
      <c r="AO67" s="221"/>
      <c r="AP67" s="221"/>
      <c r="AQ67" s="221"/>
      <c r="AR67" s="221"/>
      <c r="AS67" s="262"/>
      <c r="AT67" s="262"/>
      <c r="AU67" s="262"/>
      <c r="AV67" s="262"/>
      <c r="AW67" s="262"/>
      <c r="AX67" s="262"/>
      <c r="AY67" s="262"/>
      <c r="AZ67" s="262"/>
      <c r="BA67" s="262"/>
      <c r="BB67" s="262"/>
      <c r="BC67" s="262"/>
      <c r="BD67" s="262"/>
      <c r="BE67" s="262"/>
      <c r="BF67" s="262"/>
      <c r="BG67" s="262"/>
      <c r="BH67" s="262"/>
      <c r="BI67" s="262"/>
      <c r="BJ67" s="262"/>
      <c r="BK67" s="262"/>
      <c r="BL67" s="262"/>
      <c r="BM67" s="262"/>
      <c r="BN67" s="262"/>
      <c r="BO67" s="262"/>
      <c r="BP67" s="262"/>
      <c r="BQ67" s="262"/>
      <c r="BR67" s="262"/>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row>
    <row r="68" spans="1:175" ht="15.75" customHeight="1" thickBot="1" x14ac:dyDescent="0.3">
      <c r="A68" s="332"/>
      <c r="B68" s="233"/>
      <c r="C68" s="1020"/>
      <c r="D68" s="42"/>
      <c r="E68" s="43"/>
      <c r="F68" s="43"/>
      <c r="G68" s="43"/>
      <c r="H68" s="342"/>
      <c r="I68" s="342"/>
      <c r="J68" s="43"/>
      <c r="K68" s="43"/>
      <c r="L68" s="43"/>
      <c r="M68" s="43"/>
      <c r="N68" s="43"/>
      <c r="O68" s="43"/>
      <c r="P68" s="43"/>
      <c r="Q68" s="43"/>
      <c r="R68" s="43"/>
      <c r="S68" s="43"/>
      <c r="T68" s="43"/>
      <c r="U68" s="43"/>
      <c r="V68" s="43"/>
      <c r="W68" s="43"/>
      <c r="X68" s="43"/>
      <c r="Y68" s="43"/>
      <c r="Z68" s="43"/>
      <c r="AA68" s="43"/>
      <c r="AB68" s="43"/>
      <c r="AC68" s="43"/>
      <c r="AD68" s="43"/>
      <c r="AE68" s="44"/>
      <c r="AF68" s="305"/>
      <c r="AG68" s="306"/>
      <c r="AH68" s="221"/>
      <c r="AI68" s="221"/>
      <c r="AJ68" s="221"/>
      <c r="AK68" s="221"/>
      <c r="AL68" s="221"/>
      <c r="AM68" s="221"/>
      <c r="AN68" s="221"/>
      <c r="AO68" s="221"/>
      <c r="AP68" s="221"/>
      <c r="AQ68" s="221"/>
      <c r="AR68" s="221"/>
      <c r="AS68" s="262"/>
      <c r="AT68" s="262"/>
      <c r="AU68" s="262"/>
      <c r="AV68" s="262"/>
      <c r="AW68" s="262"/>
      <c r="AX68" s="262"/>
      <c r="AY68" s="262"/>
      <c r="AZ68" s="262"/>
      <c r="BA68" s="262"/>
      <c r="BB68" s="262"/>
      <c r="BC68" s="262"/>
      <c r="BD68" s="262"/>
      <c r="BE68" s="262"/>
      <c r="BF68" s="262"/>
      <c r="BG68" s="262"/>
      <c r="BH68" s="262"/>
      <c r="BI68" s="262"/>
      <c r="BJ68" s="262"/>
      <c r="BK68" s="262"/>
      <c r="BL68" s="262"/>
      <c r="BM68" s="262"/>
      <c r="BN68" s="262"/>
      <c r="BO68" s="262"/>
      <c r="BP68" s="262"/>
      <c r="BQ68" s="262"/>
      <c r="BR68" s="262"/>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row>
    <row r="69" spans="1:175" ht="15" customHeight="1" x14ac:dyDescent="0.25">
      <c r="A69" s="332"/>
      <c r="B69" s="233"/>
      <c r="C69" s="1003" t="s">
        <v>2769</v>
      </c>
      <c r="D69" s="1003"/>
      <c r="E69" s="1003"/>
      <c r="F69" s="1003"/>
      <c r="G69" s="1004"/>
      <c r="H69" s="1008"/>
      <c r="I69" s="1008"/>
      <c r="J69" s="216"/>
      <c r="K69" s="1009" t="s">
        <v>2770</v>
      </c>
      <c r="L69" s="1009"/>
      <c r="M69" s="1009"/>
      <c r="N69" s="1009"/>
      <c r="O69" s="1009"/>
      <c r="P69" s="1009"/>
      <c r="Q69" s="1010">
        <f>IFERROR((((SUM(AC61:AD67))*H70)/((7*24*52)/8760))-(H69*((AVERAGE(AC61:AD65)))), "")</f>
        <v>0</v>
      </c>
      <c r="R69" s="1010"/>
      <c r="S69" s="315"/>
      <c r="T69" s="315"/>
      <c r="U69" s="315"/>
      <c r="V69" s="315"/>
      <c r="W69" s="315"/>
      <c r="X69" s="315"/>
      <c r="Y69" s="315"/>
      <c r="Z69" s="315"/>
      <c r="AA69" s="315"/>
      <c r="AB69" s="315"/>
      <c r="AC69" s="315"/>
      <c r="AD69" s="315"/>
      <c r="AE69" s="315"/>
      <c r="AF69" s="305"/>
      <c r="AG69" s="306"/>
      <c r="AH69" s="221"/>
      <c r="AI69" s="221"/>
      <c r="AJ69" s="221"/>
      <c r="AK69" s="221"/>
      <c r="AL69" s="221"/>
      <c r="AM69" s="221"/>
      <c r="AN69" s="221"/>
      <c r="AO69" s="221"/>
      <c r="AP69" s="221"/>
      <c r="AQ69" s="221"/>
      <c r="AR69" s="221"/>
      <c r="AS69" s="262"/>
      <c r="AT69" s="262"/>
      <c r="AU69" s="262"/>
      <c r="AV69" s="262"/>
      <c r="AW69" s="262"/>
      <c r="AX69" s="262"/>
      <c r="AY69" s="262"/>
      <c r="AZ69" s="262"/>
      <c r="BA69" s="262"/>
      <c r="BB69" s="262"/>
      <c r="BC69" s="262"/>
      <c r="BD69" s="262"/>
      <c r="BE69" s="262"/>
      <c r="BF69" s="262"/>
      <c r="BG69" s="262"/>
      <c r="BH69" s="262"/>
      <c r="BI69" s="262"/>
      <c r="BJ69" s="262"/>
      <c r="BK69" s="262"/>
      <c r="BL69" s="262"/>
      <c r="BM69" s="262"/>
      <c r="BN69" s="262"/>
      <c r="BO69" s="262"/>
      <c r="BP69" s="262"/>
      <c r="BQ69" s="262"/>
      <c r="BR69" s="262"/>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row>
    <row r="70" spans="1:175" ht="15" customHeight="1" x14ac:dyDescent="0.25">
      <c r="A70" s="332"/>
      <c r="B70" s="233"/>
      <c r="C70" s="1003" t="s">
        <v>2771</v>
      </c>
      <c r="D70" s="1003"/>
      <c r="E70" s="1003"/>
      <c r="F70" s="1003"/>
      <c r="G70" s="1004"/>
      <c r="H70" s="1005"/>
      <c r="I70" s="1005"/>
      <c r="J70" s="216"/>
      <c r="K70" s="1003" t="s">
        <v>2772</v>
      </c>
      <c r="L70" s="1003"/>
      <c r="M70" s="1003"/>
      <c r="N70" s="1003"/>
      <c r="O70" s="1003"/>
      <c r="P70" s="1003"/>
      <c r="Q70" s="1006">
        <f>IFERROR(IF(Q69="","",AI66*(1-(H71/13))), 0)</f>
        <v>0</v>
      </c>
      <c r="R70" s="1007"/>
      <c r="S70" s="315"/>
      <c r="T70" s="315"/>
      <c r="U70" s="315"/>
      <c r="V70" s="315"/>
      <c r="W70" s="315"/>
      <c r="X70" s="315"/>
      <c r="Y70" s="315"/>
      <c r="Z70" s="315"/>
      <c r="AA70" s="315"/>
      <c r="AB70" s="315"/>
      <c r="AC70" s="315"/>
      <c r="AD70" s="315"/>
      <c r="AE70" s="315"/>
      <c r="AF70" s="305"/>
      <c r="AG70" s="306"/>
      <c r="AH70" s="221"/>
      <c r="AI70" s="221"/>
      <c r="AJ70" s="221"/>
      <c r="AK70" s="221"/>
      <c r="AL70" s="221"/>
      <c r="AM70" s="221"/>
      <c r="AN70" s="221"/>
      <c r="AO70" s="221"/>
      <c r="AP70" s="221"/>
      <c r="AQ70" s="221"/>
      <c r="AR70" s="221"/>
      <c r="AS70" s="262"/>
      <c r="AT70" s="262"/>
      <c r="AU70" s="262"/>
      <c r="AV70" s="262"/>
      <c r="AW70" s="262"/>
      <c r="AX70" s="262"/>
      <c r="AY70" s="262"/>
      <c r="AZ70" s="262"/>
      <c r="BA70" s="262"/>
      <c r="BB70" s="262"/>
      <c r="BC70" s="262"/>
      <c r="BD70" s="262"/>
      <c r="BE70" s="262"/>
      <c r="BF70" s="262"/>
      <c r="BG70" s="262"/>
      <c r="BH70" s="262"/>
      <c r="BI70" s="262"/>
      <c r="BJ70" s="262"/>
      <c r="BK70" s="262"/>
      <c r="BL70" s="262"/>
      <c r="BM70" s="262"/>
      <c r="BN70" s="262"/>
      <c r="BO70" s="262"/>
      <c r="BP70" s="262"/>
      <c r="BQ70" s="262"/>
      <c r="BR70" s="262"/>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row>
    <row r="71" spans="1:175" ht="15" customHeight="1" x14ac:dyDescent="0.25">
      <c r="A71" s="332"/>
      <c r="B71" s="233"/>
      <c r="C71" s="1003" t="s">
        <v>2773</v>
      </c>
      <c r="D71" s="1003"/>
      <c r="E71" s="1003"/>
      <c r="F71" s="1003"/>
      <c r="G71" s="1004"/>
      <c r="H71" s="1005"/>
      <c r="I71" s="1005"/>
      <c r="J71" s="216"/>
      <c r="K71" s="1003" t="s">
        <v>2774</v>
      </c>
      <c r="L71" s="1003"/>
      <c r="M71" s="1003"/>
      <c r="N71" s="1003"/>
      <c r="O71" s="1003"/>
      <c r="P71" s="1003"/>
      <c r="Q71" s="1006">
        <f>IFERROR(IF(Q69="","",AO66*(1-(H72/9))), 0)</f>
        <v>0</v>
      </c>
      <c r="R71" s="1007"/>
      <c r="S71" s="315"/>
      <c r="T71" s="315"/>
      <c r="U71" s="315"/>
      <c r="V71" s="315"/>
      <c r="W71" s="315"/>
      <c r="X71" s="315"/>
      <c r="Y71" s="315"/>
      <c r="Z71" s="315"/>
      <c r="AA71" s="315"/>
      <c r="AB71" s="315"/>
      <c r="AC71" s="315"/>
      <c r="AD71" s="315"/>
      <c r="AE71" s="315"/>
      <c r="AF71" s="305"/>
      <c r="AG71" s="306"/>
      <c r="AH71" s="221"/>
      <c r="AI71" s="221"/>
      <c r="AJ71" s="221"/>
      <c r="AK71" s="221"/>
      <c r="AL71" s="221"/>
      <c r="AM71" s="221"/>
      <c r="AN71" s="221"/>
      <c r="AO71" s="221"/>
      <c r="AP71" s="221"/>
      <c r="AQ71" s="221"/>
      <c r="AR71" s="221"/>
      <c r="AS71" s="262"/>
      <c r="AT71" s="262"/>
      <c r="AU71" s="262"/>
      <c r="AV71" s="262"/>
      <c r="AW71" s="262"/>
      <c r="AX71" s="262"/>
      <c r="AY71" s="262"/>
      <c r="AZ71" s="262"/>
      <c r="BA71" s="262"/>
      <c r="BB71" s="262"/>
      <c r="BC71" s="262"/>
      <c r="BD71" s="262"/>
      <c r="BE71" s="262"/>
      <c r="BF71" s="262"/>
      <c r="BG71" s="262"/>
      <c r="BH71" s="262"/>
      <c r="BI71" s="262"/>
      <c r="BJ71" s="262"/>
      <c r="BK71" s="262"/>
      <c r="BL71" s="262"/>
      <c r="BM71" s="262"/>
      <c r="BN71" s="262"/>
      <c r="BO71" s="262"/>
      <c r="BP71" s="262"/>
      <c r="BQ71" s="262"/>
      <c r="BR71" s="262"/>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row>
    <row r="72" spans="1:175" ht="15" customHeight="1" x14ac:dyDescent="0.25">
      <c r="A72" s="332"/>
      <c r="B72" s="233"/>
      <c r="C72" s="1003" t="s">
        <v>2775</v>
      </c>
      <c r="D72" s="1003"/>
      <c r="E72" s="1003"/>
      <c r="F72" s="1003"/>
      <c r="G72" s="1004"/>
      <c r="H72" s="1005"/>
      <c r="I72" s="1005"/>
      <c r="J72" s="314"/>
      <c r="K72" s="314"/>
      <c r="L72" s="314"/>
      <c r="M72" s="314"/>
      <c r="N72" s="314"/>
      <c r="O72" s="314"/>
      <c r="P72" s="314"/>
      <c r="Q72" s="315"/>
      <c r="R72" s="315"/>
      <c r="S72" s="315"/>
      <c r="T72" s="315"/>
      <c r="U72" s="315"/>
      <c r="V72" s="315"/>
      <c r="W72" s="315"/>
      <c r="X72" s="315"/>
      <c r="Y72" s="315"/>
      <c r="Z72" s="315"/>
      <c r="AA72" s="315"/>
      <c r="AB72" s="315"/>
      <c r="AC72" s="315"/>
      <c r="AD72" s="315"/>
      <c r="AE72" s="315"/>
      <c r="AF72" s="305"/>
      <c r="AG72" s="306"/>
      <c r="AH72" s="221"/>
      <c r="AI72" s="221"/>
      <c r="AJ72" s="221"/>
      <c r="AK72" s="221"/>
      <c r="AL72" s="221"/>
      <c r="AM72" s="221"/>
      <c r="AN72" s="221"/>
      <c r="AO72" s="221"/>
      <c r="AP72" s="221"/>
      <c r="AQ72" s="221"/>
      <c r="AR72" s="221"/>
      <c r="AS72" s="262"/>
      <c r="AT72" s="262"/>
      <c r="AU72" s="262"/>
      <c r="AV72" s="262"/>
      <c r="AW72" s="262"/>
      <c r="AX72" s="262"/>
      <c r="AY72" s="262"/>
      <c r="AZ72" s="262"/>
      <c r="BA72" s="262"/>
      <c r="BB72" s="262"/>
      <c r="BC72" s="262"/>
      <c r="BD72" s="262"/>
      <c r="BE72" s="262"/>
      <c r="BF72" s="262"/>
      <c r="BG72" s="262"/>
      <c r="BH72" s="262"/>
      <c r="BI72" s="262"/>
      <c r="BJ72" s="262"/>
      <c r="BK72" s="262"/>
      <c r="BL72" s="262"/>
      <c r="BM72" s="262"/>
      <c r="BN72" s="262"/>
      <c r="BO72" s="262"/>
      <c r="BP72" s="262"/>
      <c r="BQ72" s="262"/>
      <c r="BR72" s="262"/>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row>
    <row r="73" spans="1:175" ht="18.75" x14ac:dyDescent="0.25">
      <c r="A73" s="332"/>
      <c r="B73" s="233"/>
      <c r="C73" s="216"/>
      <c r="D73" s="216"/>
      <c r="E73" s="216"/>
      <c r="F73" s="216"/>
      <c r="G73" s="216"/>
      <c r="H73" s="216"/>
      <c r="I73" s="216"/>
      <c r="J73" s="315"/>
      <c r="K73" s="315"/>
      <c r="L73" s="315"/>
      <c r="M73" s="315"/>
      <c r="N73" s="315"/>
      <c r="O73" s="315"/>
      <c r="P73" s="315"/>
      <c r="Q73" s="315"/>
      <c r="R73" s="315"/>
      <c r="S73" s="315"/>
      <c r="T73" s="315"/>
      <c r="U73" s="315"/>
      <c r="V73" s="315"/>
      <c r="W73" s="315"/>
      <c r="X73" s="315"/>
      <c r="Y73" s="315"/>
      <c r="Z73" s="315"/>
      <c r="AA73" s="315"/>
      <c r="AB73" s="315"/>
      <c r="AC73" s="315"/>
      <c r="AD73" s="315"/>
      <c r="AE73" s="315"/>
      <c r="AF73" s="305"/>
      <c r="AG73" s="306"/>
      <c r="AH73" s="221"/>
      <c r="AI73" s="221"/>
      <c r="AJ73" s="221"/>
      <c r="AK73" s="221"/>
      <c r="AL73" s="221"/>
      <c r="AM73" s="221"/>
      <c r="AN73" s="221"/>
      <c r="AO73" s="221"/>
      <c r="AP73" s="221"/>
      <c r="AQ73" s="221"/>
      <c r="AR73" s="221"/>
      <c r="AS73" s="262"/>
      <c r="AT73" s="262"/>
      <c r="AU73" s="262"/>
      <c r="AV73" s="262"/>
      <c r="AW73" s="262"/>
      <c r="AX73" s="262"/>
      <c r="AY73" s="262"/>
      <c r="AZ73" s="262"/>
      <c r="BA73" s="262"/>
      <c r="BB73" s="262"/>
      <c r="BC73" s="262"/>
      <c r="BD73" s="262"/>
      <c r="BE73" s="262"/>
      <c r="BF73" s="262"/>
      <c r="BG73" s="262"/>
      <c r="BH73" s="262"/>
      <c r="BI73" s="262"/>
      <c r="BJ73" s="262"/>
      <c r="BK73" s="262"/>
      <c r="BL73" s="262"/>
      <c r="BM73" s="262"/>
      <c r="BN73" s="262"/>
      <c r="BO73" s="262"/>
      <c r="BP73" s="262"/>
      <c r="BQ73" s="262"/>
      <c r="BR73" s="262"/>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row>
    <row r="74" spans="1:175" ht="19.5" thickBot="1" x14ac:dyDescent="0.3">
      <c r="A74" s="332"/>
      <c r="B74" s="233"/>
      <c r="C74" s="216"/>
      <c r="D74" s="216"/>
      <c r="E74" s="216"/>
      <c r="F74" s="216"/>
      <c r="G74" s="216"/>
      <c r="H74" s="216"/>
      <c r="I74" s="216"/>
      <c r="J74" s="315"/>
      <c r="K74" s="315"/>
      <c r="L74" s="315"/>
      <c r="M74" s="315"/>
      <c r="N74" s="315"/>
      <c r="O74" s="315"/>
      <c r="P74" s="315"/>
      <c r="Q74" s="315"/>
      <c r="R74" s="315"/>
      <c r="S74" s="315"/>
      <c r="T74" s="315"/>
      <c r="U74" s="315"/>
      <c r="V74" s="315"/>
      <c r="W74" s="315"/>
      <c r="X74" s="315"/>
      <c r="Y74" s="315"/>
      <c r="Z74" s="315"/>
      <c r="AA74" s="315"/>
      <c r="AB74" s="315"/>
      <c r="AC74" s="315"/>
      <c r="AD74" s="315"/>
      <c r="AE74" s="315"/>
      <c r="AF74" s="305"/>
      <c r="AG74" s="306"/>
      <c r="AH74" s="221"/>
      <c r="AI74" s="221"/>
      <c r="AJ74" s="221"/>
      <c r="AK74" s="221"/>
      <c r="AL74" s="221"/>
      <c r="AM74" s="221"/>
      <c r="AN74" s="221"/>
      <c r="AO74" s="221"/>
      <c r="AP74" s="221"/>
      <c r="AQ74" s="221"/>
      <c r="AR74" s="221"/>
      <c r="AS74" s="262"/>
      <c r="AT74" s="262"/>
      <c r="AU74" s="262"/>
      <c r="AV74" s="262"/>
      <c r="AW74" s="262"/>
      <c r="AX74" s="262"/>
      <c r="AY74" s="262"/>
      <c r="AZ74" s="262"/>
      <c r="BA74" s="262"/>
      <c r="BB74" s="262"/>
      <c r="BC74" s="262"/>
      <c r="BD74" s="262"/>
      <c r="BE74" s="262"/>
      <c r="BF74" s="262"/>
      <c r="BG74" s="262"/>
      <c r="BH74" s="262"/>
      <c r="BI74" s="262"/>
      <c r="BJ74" s="262"/>
      <c r="BK74" s="262"/>
      <c r="BL74" s="262"/>
      <c r="BM74" s="262"/>
      <c r="BN74" s="262"/>
      <c r="BO74" s="262"/>
      <c r="BP74" s="262"/>
      <c r="BQ74" s="262"/>
      <c r="BR74" s="262"/>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row>
    <row r="75" spans="1:175" ht="26.25" customHeight="1" thickBot="1" x14ac:dyDescent="0.3">
      <c r="A75" s="332"/>
      <c r="B75" s="233"/>
      <c r="C75" s="1023" t="s">
        <v>2780</v>
      </c>
      <c r="D75" s="1023"/>
      <c r="E75" s="1023"/>
      <c r="F75" s="1023"/>
      <c r="G75" s="1023"/>
      <c r="H75" s="1023"/>
      <c r="I75" s="1023"/>
      <c r="J75" s="1023"/>
      <c r="K75" s="1023"/>
      <c r="L75" s="1023"/>
      <c r="M75" s="1023"/>
      <c r="N75" s="1023"/>
      <c r="O75" s="1023"/>
      <c r="P75" s="1023"/>
      <c r="Q75" s="1023"/>
      <c r="R75" s="1023"/>
      <c r="S75" s="1023"/>
      <c r="T75" s="1023"/>
      <c r="U75" s="1023"/>
      <c r="V75" s="1023"/>
      <c r="W75" s="1023"/>
      <c r="X75" s="1023"/>
      <c r="Y75" s="1023"/>
      <c r="Z75" s="1023"/>
      <c r="AA75" s="1023"/>
      <c r="AB75" s="1023"/>
      <c r="AC75" s="1023"/>
      <c r="AD75" s="1023"/>
      <c r="AE75" s="1023"/>
      <c r="AF75" s="305"/>
      <c r="AG75" s="306"/>
      <c r="AH75" s="1011" t="s">
        <v>2719</v>
      </c>
      <c r="AI75" s="1012"/>
      <c r="AJ75" s="1012"/>
      <c r="AK75" s="1012"/>
      <c r="AL75" s="1013"/>
      <c r="AM75" s="221"/>
      <c r="AN75" s="1016" t="s">
        <v>2720</v>
      </c>
      <c r="AO75" s="1012"/>
      <c r="AP75" s="1012"/>
      <c r="AQ75" s="1012"/>
      <c r="AR75" s="1013"/>
      <c r="AS75" s="262"/>
      <c r="AT75" s="262"/>
      <c r="AU75" s="262"/>
      <c r="AV75" s="262"/>
      <c r="AW75" s="262"/>
      <c r="AX75" s="262"/>
      <c r="AY75" s="262"/>
      <c r="AZ75" s="262"/>
      <c r="BA75" s="262"/>
      <c r="BB75" s="262"/>
      <c r="BC75" s="262"/>
      <c r="BD75" s="262"/>
      <c r="BE75" s="262"/>
      <c r="BF75" s="262"/>
      <c r="BG75" s="262"/>
      <c r="BH75" s="262"/>
      <c r="BI75" s="262"/>
      <c r="BJ75" s="262"/>
      <c r="BK75" s="262"/>
      <c r="BL75" s="262"/>
      <c r="BM75" s="262"/>
      <c r="BN75" s="262"/>
      <c r="BO75" s="262"/>
      <c r="BP75" s="262"/>
      <c r="BQ75" s="262"/>
      <c r="BR75" s="262"/>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row>
    <row r="76" spans="1:175" ht="4.5" customHeight="1" thickBot="1" x14ac:dyDescent="0.3">
      <c r="A76" s="332"/>
      <c r="B76" s="233"/>
      <c r="C76" s="437"/>
      <c r="D76" s="438"/>
      <c r="E76" s="438"/>
      <c r="F76" s="438"/>
      <c r="G76" s="438"/>
      <c r="H76" s="438"/>
      <c r="I76" s="438"/>
      <c r="J76" s="438"/>
      <c r="K76" s="438"/>
      <c r="L76" s="438"/>
      <c r="M76" s="438"/>
      <c r="N76" s="438"/>
      <c r="O76" s="438"/>
      <c r="P76" s="438"/>
      <c r="Q76" s="438"/>
      <c r="R76" s="438"/>
      <c r="S76" s="438"/>
      <c r="T76" s="438"/>
      <c r="U76" s="438"/>
      <c r="V76" s="438"/>
      <c r="W76" s="438"/>
      <c r="X76" s="438"/>
      <c r="Y76" s="438"/>
      <c r="Z76" s="438"/>
      <c r="AA76" s="438"/>
      <c r="AB76" s="438"/>
      <c r="AC76" s="438"/>
      <c r="AD76" s="438"/>
      <c r="AE76" s="439"/>
      <c r="AF76" s="305"/>
      <c r="AG76" s="306"/>
      <c r="AH76" s="1014"/>
      <c r="AI76" s="1014"/>
      <c r="AJ76" s="1014"/>
      <c r="AK76" s="1014"/>
      <c r="AL76" s="1015"/>
      <c r="AM76" s="221"/>
      <c r="AN76" s="1017"/>
      <c r="AO76" s="1014"/>
      <c r="AP76" s="1014"/>
      <c r="AQ76" s="1014"/>
      <c r="AR76" s="1015"/>
      <c r="AS76" s="262"/>
      <c r="AT76" s="262"/>
      <c r="AU76" s="262"/>
      <c r="AV76" s="262"/>
      <c r="AW76" s="262"/>
      <c r="AX76" s="262"/>
      <c r="AY76" s="262"/>
      <c r="AZ76" s="262"/>
      <c r="BA76" s="262"/>
      <c r="BB76" s="262"/>
      <c r="BC76" s="262"/>
      <c r="BD76" s="262"/>
      <c r="BE76" s="262"/>
      <c r="BF76" s="262"/>
      <c r="BG76" s="262"/>
      <c r="BH76" s="262"/>
      <c r="BI76" s="262"/>
      <c r="BJ76" s="262"/>
      <c r="BK76" s="262"/>
      <c r="BL76" s="262"/>
      <c r="BM76" s="262"/>
      <c r="BN76" s="262"/>
      <c r="BO76" s="262"/>
      <c r="BP76" s="262"/>
      <c r="BQ76" s="262"/>
      <c r="BR76" s="262"/>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row>
    <row r="77" spans="1:175" ht="87" customHeight="1" x14ac:dyDescent="0.25">
      <c r="A77" s="332"/>
      <c r="B77" s="233"/>
      <c r="C77" s="1018" t="s">
        <v>2781</v>
      </c>
      <c r="D77" s="209"/>
      <c r="E77" s="343" t="s">
        <v>2723</v>
      </c>
      <c r="F77" s="344" t="s">
        <v>2724</v>
      </c>
      <c r="G77" s="344" t="s">
        <v>2725</v>
      </c>
      <c r="H77" s="344" t="s">
        <v>2726</v>
      </c>
      <c r="I77" s="344" t="s">
        <v>2727</v>
      </c>
      <c r="J77" s="344" t="s">
        <v>2728</v>
      </c>
      <c r="K77" s="344" t="s">
        <v>2729</v>
      </c>
      <c r="L77" s="344" t="s">
        <v>2730</v>
      </c>
      <c r="M77" s="344" t="s">
        <v>2731</v>
      </c>
      <c r="N77" s="344" t="s">
        <v>2732</v>
      </c>
      <c r="O77" s="344" t="s">
        <v>2733</v>
      </c>
      <c r="P77" s="344" t="s">
        <v>2734</v>
      </c>
      <c r="Q77" s="345" t="s">
        <v>2735</v>
      </c>
      <c r="R77" s="345" t="s">
        <v>2736</v>
      </c>
      <c r="S77" s="345" t="s">
        <v>2737</v>
      </c>
      <c r="T77" s="345" t="s">
        <v>2738</v>
      </c>
      <c r="U77" s="345" t="s">
        <v>2739</v>
      </c>
      <c r="V77" s="345" t="s">
        <v>2740</v>
      </c>
      <c r="W77" s="345" t="s">
        <v>2741</v>
      </c>
      <c r="X77" s="345" t="s">
        <v>2742</v>
      </c>
      <c r="Y77" s="345" t="s">
        <v>2743</v>
      </c>
      <c r="Z77" s="345" t="s">
        <v>2744</v>
      </c>
      <c r="AA77" s="345" t="s">
        <v>2745</v>
      </c>
      <c r="AB77" s="345" t="s">
        <v>2746</v>
      </c>
      <c r="AC77" s="1021" t="s">
        <v>2747</v>
      </c>
      <c r="AD77" s="1021"/>
      <c r="AE77" s="356" t="s">
        <v>2748</v>
      </c>
      <c r="AF77" s="305"/>
      <c r="AG77" s="306"/>
      <c r="AH77" s="7"/>
      <c r="AI77" s="222" t="s">
        <v>2749</v>
      </c>
      <c r="AJ77" s="222" t="s">
        <v>2750</v>
      </c>
      <c r="AK77" s="222" t="s">
        <v>2751</v>
      </c>
      <c r="AL77" s="223" t="s">
        <v>2752</v>
      </c>
      <c r="AM77" s="221"/>
      <c r="AN77" s="209"/>
      <c r="AO77" s="222" t="s">
        <v>2753</v>
      </c>
      <c r="AP77" s="222" t="s">
        <v>2754</v>
      </c>
      <c r="AQ77" s="222" t="s">
        <v>2755</v>
      </c>
      <c r="AR77" s="223" t="s">
        <v>2756</v>
      </c>
      <c r="AS77" s="262"/>
      <c r="AT77" s="262"/>
      <c r="AU77" s="262"/>
      <c r="AV77" s="262"/>
      <c r="AW77" s="262"/>
      <c r="AX77" s="262"/>
      <c r="AY77" s="262"/>
      <c r="AZ77" s="262"/>
      <c r="BA77" s="262"/>
      <c r="BB77" s="262"/>
      <c r="BC77" s="262"/>
      <c r="BD77" s="262"/>
      <c r="BE77" s="262"/>
      <c r="BF77" s="262"/>
      <c r="BG77" s="262"/>
      <c r="BH77" s="262"/>
      <c r="BI77" s="262"/>
      <c r="BJ77" s="262"/>
      <c r="BK77" s="262"/>
      <c r="BL77" s="262"/>
      <c r="BM77" s="262"/>
      <c r="BN77" s="262"/>
      <c r="BO77" s="262"/>
      <c r="BP77" s="262"/>
      <c r="BQ77" s="262"/>
      <c r="BR77" s="262"/>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row>
    <row r="78" spans="1:175" ht="21" customHeight="1" x14ac:dyDescent="0.25">
      <c r="A78" s="332"/>
      <c r="B78" s="233"/>
      <c r="C78" s="1019"/>
      <c r="D78" s="224" t="s">
        <v>2757</v>
      </c>
      <c r="E78" s="455"/>
      <c r="F78" s="455"/>
      <c r="G78" s="455"/>
      <c r="H78" s="455"/>
      <c r="I78" s="455"/>
      <c r="J78" s="455"/>
      <c r="K78" s="455"/>
      <c r="L78" s="455"/>
      <c r="M78" s="455"/>
      <c r="N78" s="455"/>
      <c r="O78" s="455"/>
      <c r="P78" s="455"/>
      <c r="Q78" s="455"/>
      <c r="R78" s="455"/>
      <c r="S78" s="455"/>
      <c r="T78" s="455"/>
      <c r="U78" s="455"/>
      <c r="V78" s="455"/>
      <c r="W78" s="455"/>
      <c r="X78" s="455"/>
      <c r="Y78" s="455"/>
      <c r="Z78" s="455"/>
      <c r="AA78" s="455"/>
      <c r="AB78" s="455"/>
      <c r="AC78" s="1022">
        <f>SUM(E78:AB78)</f>
        <v>0</v>
      </c>
      <c r="AD78" s="1022"/>
      <c r="AE78" s="225">
        <f>AC78*52</f>
        <v>0</v>
      </c>
      <c r="AF78" s="305"/>
      <c r="AG78" s="306"/>
      <c r="AH78" s="228" t="s">
        <v>2758</v>
      </c>
      <c r="AI78" s="206">
        <f>IF(S78&gt;0, S78,0)</f>
        <v>0</v>
      </c>
      <c r="AJ78" s="206">
        <f>IF(T78&gt;0,T78,0)</f>
        <v>0</v>
      </c>
      <c r="AK78" s="206">
        <f>IF(U78&gt;0, U78, 0)</f>
        <v>0</v>
      </c>
      <c r="AL78" s="207">
        <f>IF(V78&gt;0, V78,0)</f>
        <v>0</v>
      </c>
      <c r="AM78" s="221"/>
      <c r="AN78" s="210" t="s">
        <v>2758</v>
      </c>
      <c r="AO78" s="206">
        <f>IF(L78&gt;0, L78,0)</f>
        <v>0</v>
      </c>
      <c r="AP78" s="206">
        <f>IF(M78&gt;0, M78,0)</f>
        <v>0</v>
      </c>
      <c r="AQ78" s="206">
        <f>IF(W78&gt;0, W78,0)</f>
        <v>0</v>
      </c>
      <c r="AR78" s="207">
        <f>IF(X78&gt;0, X78,0)</f>
        <v>0</v>
      </c>
      <c r="AS78" s="262"/>
      <c r="AT78" s="262"/>
      <c r="AU78" s="262"/>
      <c r="AV78" s="262"/>
      <c r="AW78" s="262"/>
      <c r="AX78" s="262"/>
      <c r="AY78" s="262"/>
      <c r="AZ78" s="262"/>
      <c r="BA78" s="262"/>
      <c r="BB78" s="262"/>
      <c r="BC78" s="262"/>
      <c r="BD78" s="262"/>
      <c r="BE78" s="262"/>
      <c r="BF78" s="262"/>
      <c r="BG78" s="262"/>
      <c r="BH78" s="262"/>
      <c r="BI78" s="262"/>
      <c r="BJ78" s="262"/>
      <c r="BK78" s="262"/>
      <c r="BL78" s="262"/>
      <c r="BM78" s="262"/>
      <c r="BN78" s="262"/>
      <c r="BO78" s="262"/>
      <c r="BP78" s="262"/>
      <c r="BQ78" s="262"/>
      <c r="BR78" s="262"/>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row>
    <row r="79" spans="1:175" ht="21" customHeight="1" x14ac:dyDescent="0.25">
      <c r="A79" s="332"/>
      <c r="B79" s="233"/>
      <c r="C79" s="1019"/>
      <c r="D79" s="226" t="s">
        <v>2759</v>
      </c>
      <c r="E79" s="455"/>
      <c r="F79" s="455"/>
      <c r="G79" s="455"/>
      <c r="H79" s="455"/>
      <c r="I79" s="455"/>
      <c r="J79" s="455"/>
      <c r="K79" s="455"/>
      <c r="L79" s="455"/>
      <c r="M79" s="455"/>
      <c r="N79" s="455"/>
      <c r="O79" s="455"/>
      <c r="P79" s="455"/>
      <c r="Q79" s="455"/>
      <c r="R79" s="455"/>
      <c r="S79" s="455"/>
      <c r="T79" s="455"/>
      <c r="U79" s="455"/>
      <c r="V79" s="455"/>
      <c r="W79" s="455"/>
      <c r="X79" s="455"/>
      <c r="Y79" s="455"/>
      <c r="Z79" s="455"/>
      <c r="AA79" s="455"/>
      <c r="AB79" s="455"/>
      <c r="AC79" s="1022">
        <f t="shared" ref="AC79:AC84" si="24">SUM(E79:AB79)</f>
        <v>0</v>
      </c>
      <c r="AD79" s="1022"/>
      <c r="AE79" s="225">
        <f t="shared" ref="AE79:AE84" si="25">AC79*52</f>
        <v>0</v>
      </c>
      <c r="AF79" s="305"/>
      <c r="AG79" s="306"/>
      <c r="AH79" s="228" t="s">
        <v>2760</v>
      </c>
      <c r="AI79" s="206">
        <f t="shared" ref="AI79:AI82" si="26">IF(S79&gt;0, S79,0)</f>
        <v>0</v>
      </c>
      <c r="AJ79" s="206">
        <f t="shared" ref="AJ79:AJ82" si="27">IF(T79&gt;0,T79,0)</f>
        <v>0</v>
      </c>
      <c r="AK79" s="206">
        <f t="shared" ref="AK79:AK82" si="28">IF(U79&gt;0, U79, 0)</f>
        <v>0</v>
      </c>
      <c r="AL79" s="207">
        <f t="shared" ref="AL79:AL82" si="29">IF(V79&gt;0, V79,0)</f>
        <v>0</v>
      </c>
      <c r="AM79" s="221"/>
      <c r="AN79" s="210" t="s">
        <v>2760</v>
      </c>
      <c r="AO79" s="206">
        <f t="shared" ref="AO79:AP82" si="30">IF(L79&gt;0, L79,0)</f>
        <v>0</v>
      </c>
      <c r="AP79" s="206">
        <f t="shared" si="30"/>
        <v>0</v>
      </c>
      <c r="AQ79" s="206">
        <f t="shared" ref="AQ79:AR82" si="31">IF(W79&gt;0, W79,0)</f>
        <v>0</v>
      </c>
      <c r="AR79" s="207">
        <f t="shared" si="31"/>
        <v>0</v>
      </c>
      <c r="AS79" s="262"/>
      <c r="AT79" s="262"/>
      <c r="AU79" s="262"/>
      <c r="AV79" s="262"/>
      <c r="AW79" s="262"/>
      <c r="AX79" s="262"/>
      <c r="AY79" s="262"/>
      <c r="AZ79" s="262"/>
      <c r="BA79" s="262"/>
      <c r="BB79" s="262"/>
      <c r="BC79" s="262"/>
      <c r="BD79" s="262"/>
      <c r="BE79" s="262"/>
      <c r="BF79" s="262"/>
      <c r="BG79" s="262"/>
      <c r="BH79" s="262"/>
      <c r="BI79" s="262"/>
      <c r="BJ79" s="262"/>
      <c r="BK79" s="262"/>
      <c r="BL79" s="262"/>
      <c r="BM79" s="262"/>
      <c r="BN79" s="262"/>
      <c r="BO79" s="262"/>
      <c r="BP79" s="262"/>
      <c r="BQ79" s="262"/>
      <c r="BR79" s="262"/>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row>
    <row r="80" spans="1:175" ht="21" customHeight="1" x14ac:dyDescent="0.25">
      <c r="A80" s="332"/>
      <c r="B80" s="233"/>
      <c r="C80" s="1019"/>
      <c r="D80" s="226" t="s">
        <v>2761</v>
      </c>
      <c r="E80" s="455"/>
      <c r="F80" s="455"/>
      <c r="G80" s="455"/>
      <c r="H80" s="455"/>
      <c r="I80" s="455"/>
      <c r="J80" s="455"/>
      <c r="K80" s="455"/>
      <c r="L80" s="455"/>
      <c r="M80" s="455"/>
      <c r="N80" s="455"/>
      <c r="O80" s="455"/>
      <c r="P80" s="455"/>
      <c r="Q80" s="455"/>
      <c r="R80" s="455"/>
      <c r="S80" s="455"/>
      <c r="T80" s="455"/>
      <c r="U80" s="455"/>
      <c r="V80" s="455"/>
      <c r="W80" s="455"/>
      <c r="X80" s="455"/>
      <c r="Y80" s="455"/>
      <c r="Z80" s="455"/>
      <c r="AA80" s="455"/>
      <c r="AB80" s="455"/>
      <c r="AC80" s="1022">
        <f t="shared" si="24"/>
        <v>0</v>
      </c>
      <c r="AD80" s="1022"/>
      <c r="AE80" s="225">
        <f t="shared" si="25"/>
        <v>0</v>
      </c>
      <c r="AF80" s="305"/>
      <c r="AG80" s="306"/>
      <c r="AH80" s="228" t="s">
        <v>2762</v>
      </c>
      <c r="AI80" s="206">
        <f t="shared" si="26"/>
        <v>0</v>
      </c>
      <c r="AJ80" s="206">
        <f t="shared" si="27"/>
        <v>0</v>
      </c>
      <c r="AK80" s="206">
        <f t="shared" si="28"/>
        <v>0</v>
      </c>
      <c r="AL80" s="207">
        <f t="shared" si="29"/>
        <v>0</v>
      </c>
      <c r="AM80" s="221"/>
      <c r="AN80" s="210" t="s">
        <v>2762</v>
      </c>
      <c r="AO80" s="206">
        <f t="shared" si="30"/>
        <v>0</v>
      </c>
      <c r="AP80" s="206">
        <f t="shared" si="30"/>
        <v>0</v>
      </c>
      <c r="AQ80" s="206">
        <f t="shared" si="31"/>
        <v>0</v>
      </c>
      <c r="AR80" s="207">
        <f t="shared" si="31"/>
        <v>0</v>
      </c>
      <c r="AS80" s="262"/>
      <c r="AT80" s="262"/>
      <c r="AU80" s="262"/>
      <c r="AV80" s="262"/>
      <c r="AW80" s="262"/>
      <c r="AX80" s="262"/>
      <c r="AY80" s="262"/>
      <c r="AZ80" s="262"/>
      <c r="BA80" s="262"/>
      <c r="BB80" s="262"/>
      <c r="BC80" s="262"/>
      <c r="BD80" s="262"/>
      <c r="BE80" s="262"/>
      <c r="BF80" s="262"/>
      <c r="BG80" s="262"/>
      <c r="BH80" s="262"/>
      <c r="BI80" s="262"/>
      <c r="BJ80" s="262"/>
      <c r="BK80" s="262"/>
      <c r="BL80" s="262"/>
      <c r="BM80" s="262"/>
      <c r="BN80" s="262"/>
      <c r="BO80" s="262"/>
      <c r="BP80" s="262"/>
      <c r="BQ80" s="262"/>
      <c r="BR80" s="262"/>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row>
    <row r="81" spans="1:175" ht="21" customHeight="1" x14ac:dyDescent="0.25">
      <c r="A81" s="332"/>
      <c r="B81" s="233"/>
      <c r="C81" s="1019"/>
      <c r="D81" s="226" t="s">
        <v>2763</v>
      </c>
      <c r="E81" s="455"/>
      <c r="F81" s="455"/>
      <c r="G81" s="455"/>
      <c r="H81" s="455"/>
      <c r="I81" s="455"/>
      <c r="J81" s="455"/>
      <c r="K81" s="455"/>
      <c r="L81" s="455"/>
      <c r="M81" s="455"/>
      <c r="N81" s="455"/>
      <c r="O81" s="455"/>
      <c r="P81" s="455"/>
      <c r="Q81" s="455"/>
      <c r="R81" s="455"/>
      <c r="S81" s="455"/>
      <c r="T81" s="455"/>
      <c r="U81" s="455"/>
      <c r="V81" s="455"/>
      <c r="W81" s="455"/>
      <c r="X81" s="455"/>
      <c r="Y81" s="455"/>
      <c r="Z81" s="455"/>
      <c r="AA81" s="455"/>
      <c r="AB81" s="455"/>
      <c r="AC81" s="1022">
        <f t="shared" si="24"/>
        <v>0</v>
      </c>
      <c r="AD81" s="1022"/>
      <c r="AE81" s="225">
        <f t="shared" si="25"/>
        <v>0</v>
      </c>
      <c r="AF81" s="305"/>
      <c r="AG81" s="306"/>
      <c r="AH81" s="228" t="s">
        <v>2764</v>
      </c>
      <c r="AI81" s="206">
        <f t="shared" si="26"/>
        <v>0</v>
      </c>
      <c r="AJ81" s="206">
        <f t="shared" si="27"/>
        <v>0</v>
      </c>
      <c r="AK81" s="206">
        <f t="shared" si="28"/>
        <v>0</v>
      </c>
      <c r="AL81" s="207">
        <f t="shared" si="29"/>
        <v>0</v>
      </c>
      <c r="AM81" s="221"/>
      <c r="AN81" s="210" t="s">
        <v>2764</v>
      </c>
      <c r="AO81" s="206">
        <f t="shared" si="30"/>
        <v>0</v>
      </c>
      <c r="AP81" s="206">
        <f t="shared" si="30"/>
        <v>0</v>
      </c>
      <c r="AQ81" s="206">
        <f t="shared" si="31"/>
        <v>0</v>
      </c>
      <c r="AR81" s="207">
        <f t="shared" si="31"/>
        <v>0</v>
      </c>
      <c r="AS81" s="262"/>
      <c r="AT81" s="262"/>
      <c r="AU81" s="262"/>
      <c r="AV81" s="262"/>
      <c r="AW81" s="262"/>
      <c r="AX81" s="262"/>
      <c r="AY81" s="262"/>
      <c r="AZ81" s="262"/>
      <c r="BA81" s="262"/>
      <c r="BB81" s="262"/>
      <c r="BC81" s="262"/>
      <c r="BD81" s="262"/>
      <c r="BE81" s="262"/>
      <c r="BF81" s="262"/>
      <c r="BG81" s="262"/>
      <c r="BH81" s="262"/>
      <c r="BI81" s="262"/>
      <c r="BJ81" s="262"/>
      <c r="BK81" s="262"/>
      <c r="BL81" s="262"/>
      <c r="BM81" s="262"/>
      <c r="BN81" s="262"/>
      <c r="BO81" s="262"/>
      <c r="BP81" s="262"/>
      <c r="BQ81" s="262"/>
      <c r="BR81" s="262"/>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row>
    <row r="82" spans="1:175" ht="21" customHeight="1" x14ac:dyDescent="0.25">
      <c r="A82" s="332"/>
      <c r="B82" s="233"/>
      <c r="C82" s="1019"/>
      <c r="D82" s="226" t="s">
        <v>2765</v>
      </c>
      <c r="E82" s="455"/>
      <c r="F82" s="455"/>
      <c r="G82" s="455"/>
      <c r="H82" s="455"/>
      <c r="I82" s="455"/>
      <c r="J82" s="455"/>
      <c r="K82" s="455"/>
      <c r="L82" s="455"/>
      <c r="M82" s="455"/>
      <c r="N82" s="455"/>
      <c r="O82" s="455"/>
      <c r="P82" s="455"/>
      <c r="Q82" s="455"/>
      <c r="R82" s="455"/>
      <c r="S82" s="455"/>
      <c r="T82" s="455"/>
      <c r="U82" s="455"/>
      <c r="V82" s="455"/>
      <c r="W82" s="455"/>
      <c r="X82" s="455"/>
      <c r="Y82" s="455"/>
      <c r="Z82" s="455"/>
      <c r="AA82" s="455"/>
      <c r="AB82" s="455"/>
      <c r="AC82" s="1022">
        <f t="shared" si="24"/>
        <v>0</v>
      </c>
      <c r="AD82" s="1022"/>
      <c r="AE82" s="225">
        <f t="shared" si="25"/>
        <v>0</v>
      </c>
      <c r="AF82" s="305"/>
      <c r="AG82" s="306"/>
      <c r="AH82" s="228" t="s">
        <v>2766</v>
      </c>
      <c r="AI82" s="206">
        <f t="shared" si="26"/>
        <v>0</v>
      </c>
      <c r="AJ82" s="206">
        <f t="shared" si="27"/>
        <v>0</v>
      </c>
      <c r="AK82" s="206">
        <f t="shared" si="28"/>
        <v>0</v>
      </c>
      <c r="AL82" s="207">
        <f t="shared" si="29"/>
        <v>0</v>
      </c>
      <c r="AM82" s="221"/>
      <c r="AN82" s="210" t="s">
        <v>2766</v>
      </c>
      <c r="AO82" s="206">
        <f t="shared" si="30"/>
        <v>0</v>
      </c>
      <c r="AP82" s="206">
        <f t="shared" si="30"/>
        <v>0</v>
      </c>
      <c r="AQ82" s="206">
        <f t="shared" si="31"/>
        <v>0</v>
      </c>
      <c r="AR82" s="207">
        <f t="shared" si="31"/>
        <v>0</v>
      </c>
      <c r="AS82" s="262"/>
      <c r="AT82" s="262"/>
      <c r="AU82" s="262"/>
      <c r="AV82" s="262"/>
      <c r="AW82" s="262"/>
      <c r="AX82" s="262"/>
      <c r="AY82" s="262"/>
      <c r="AZ82" s="262"/>
      <c r="BA82" s="262"/>
      <c r="BB82" s="262"/>
      <c r="BC82" s="262"/>
      <c r="BD82" s="262"/>
      <c r="BE82" s="262"/>
      <c r="BF82" s="262"/>
      <c r="BG82" s="262"/>
      <c r="BH82" s="262"/>
      <c r="BI82" s="262"/>
      <c r="BJ82" s="262"/>
      <c r="BK82" s="262"/>
      <c r="BL82" s="262"/>
      <c r="BM82" s="262"/>
      <c r="BN82" s="262"/>
      <c r="BO82" s="262"/>
      <c r="BP82" s="262"/>
      <c r="BQ82" s="262"/>
      <c r="BR82" s="262"/>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row>
    <row r="83" spans="1:175" ht="21" customHeight="1" thickBot="1" x14ac:dyDescent="0.3">
      <c r="A83" s="332"/>
      <c r="B83" s="233"/>
      <c r="C83" s="1019"/>
      <c r="D83" s="226" t="s">
        <v>2767</v>
      </c>
      <c r="E83" s="455"/>
      <c r="F83" s="455"/>
      <c r="G83" s="455"/>
      <c r="H83" s="455"/>
      <c r="I83" s="455"/>
      <c r="J83" s="455"/>
      <c r="K83" s="455"/>
      <c r="L83" s="455"/>
      <c r="M83" s="455"/>
      <c r="N83" s="455"/>
      <c r="O83" s="455"/>
      <c r="P83" s="455"/>
      <c r="Q83" s="455"/>
      <c r="R83" s="455"/>
      <c r="S83" s="455"/>
      <c r="T83" s="455"/>
      <c r="U83" s="455"/>
      <c r="V83" s="455"/>
      <c r="W83" s="455"/>
      <c r="X83" s="455"/>
      <c r="Y83" s="455"/>
      <c r="Z83" s="455"/>
      <c r="AA83" s="455"/>
      <c r="AB83" s="455"/>
      <c r="AC83" s="1022">
        <f t="shared" si="24"/>
        <v>0</v>
      </c>
      <c r="AD83" s="1022"/>
      <c r="AE83" s="225">
        <f t="shared" si="25"/>
        <v>0</v>
      </c>
      <c r="AF83" s="305"/>
      <c r="AG83" s="306"/>
      <c r="AH83" s="229" t="s">
        <v>181</v>
      </c>
      <c r="AI83" s="208">
        <f>IFERROR(AVERAGE(AI78:AL82), "")</f>
        <v>0</v>
      </c>
      <c r="AJ83" s="221"/>
      <c r="AK83" s="221"/>
      <c r="AL83" s="221"/>
      <c r="AM83" s="221"/>
      <c r="AN83" s="211" t="s">
        <v>181</v>
      </c>
      <c r="AO83" s="208">
        <f>IFERROR(AVERAGE(AO78:AR82), "")</f>
        <v>0</v>
      </c>
      <c r="AP83" s="221"/>
      <c r="AQ83" s="221"/>
      <c r="AR83" s="221"/>
      <c r="AS83" s="262"/>
      <c r="AT83" s="262"/>
      <c r="AU83" s="262"/>
      <c r="AV83" s="262"/>
      <c r="AW83" s="262"/>
      <c r="AX83" s="262"/>
      <c r="AY83" s="262"/>
      <c r="AZ83" s="262"/>
      <c r="BA83" s="262"/>
      <c r="BB83" s="262"/>
      <c r="BC83" s="262"/>
      <c r="BD83" s="262"/>
      <c r="BE83" s="262"/>
      <c r="BF83" s="262"/>
      <c r="BG83" s="262"/>
      <c r="BH83" s="262"/>
      <c r="BI83" s="262"/>
      <c r="BJ83" s="262"/>
      <c r="BK83" s="262"/>
      <c r="BL83" s="262"/>
      <c r="BM83" s="262"/>
      <c r="BN83" s="262"/>
      <c r="BO83" s="262"/>
      <c r="BP83" s="262"/>
      <c r="BQ83" s="262"/>
      <c r="BR83" s="262"/>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row>
    <row r="84" spans="1:175" ht="21" customHeight="1" x14ac:dyDescent="0.25">
      <c r="A84" s="332"/>
      <c r="B84" s="233"/>
      <c r="C84" s="1019"/>
      <c r="D84" s="227" t="s">
        <v>2768</v>
      </c>
      <c r="E84" s="455"/>
      <c r="F84" s="455"/>
      <c r="G84" s="455"/>
      <c r="H84" s="455"/>
      <c r="I84" s="455"/>
      <c r="J84" s="455"/>
      <c r="K84" s="455"/>
      <c r="L84" s="455"/>
      <c r="M84" s="455"/>
      <c r="N84" s="455"/>
      <c r="O84" s="455"/>
      <c r="P84" s="455"/>
      <c r="Q84" s="455"/>
      <c r="R84" s="455"/>
      <c r="S84" s="455"/>
      <c r="T84" s="455"/>
      <c r="U84" s="455"/>
      <c r="V84" s="455"/>
      <c r="W84" s="455"/>
      <c r="X84" s="455"/>
      <c r="Y84" s="455"/>
      <c r="Z84" s="455"/>
      <c r="AA84" s="455"/>
      <c r="AB84" s="455"/>
      <c r="AC84" s="1022">
        <f t="shared" si="24"/>
        <v>0</v>
      </c>
      <c r="AD84" s="1022"/>
      <c r="AE84" s="225">
        <f t="shared" si="25"/>
        <v>0</v>
      </c>
      <c r="AF84" s="305"/>
      <c r="AG84" s="306"/>
      <c r="AH84" s="221"/>
      <c r="AI84" s="221"/>
      <c r="AJ84" s="221"/>
      <c r="AK84" s="221"/>
      <c r="AL84" s="221"/>
      <c r="AM84" s="221"/>
      <c r="AN84" s="221"/>
      <c r="AO84" s="221"/>
      <c r="AP84" s="221"/>
      <c r="AQ84" s="221"/>
      <c r="AR84" s="221"/>
      <c r="AS84" s="262"/>
      <c r="AT84" s="262"/>
      <c r="AU84" s="262"/>
      <c r="AV84" s="262"/>
      <c r="AW84" s="262"/>
      <c r="AX84" s="262"/>
      <c r="AY84" s="262"/>
      <c r="AZ84" s="262"/>
      <c r="BA84" s="262"/>
      <c r="BB84" s="262"/>
      <c r="BC84" s="262"/>
      <c r="BD84" s="262"/>
      <c r="BE84" s="262"/>
      <c r="BF84" s="262"/>
      <c r="BG84" s="262"/>
      <c r="BH84" s="262"/>
      <c r="BI84" s="262"/>
      <c r="BJ84" s="262"/>
      <c r="BK84" s="262"/>
      <c r="BL84" s="262"/>
      <c r="BM84" s="262"/>
      <c r="BN84" s="262"/>
      <c r="BO84" s="262"/>
      <c r="BP84" s="262"/>
      <c r="BQ84" s="262"/>
      <c r="BR84" s="262"/>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row>
    <row r="85" spans="1:175" ht="19.5" thickBot="1" x14ac:dyDescent="0.3">
      <c r="A85" s="332"/>
      <c r="B85" s="233"/>
      <c r="C85" s="1020"/>
      <c r="D85" s="42"/>
      <c r="E85" s="43"/>
      <c r="F85" s="43"/>
      <c r="G85" s="43"/>
      <c r="H85" s="342"/>
      <c r="I85" s="342"/>
      <c r="J85" s="43"/>
      <c r="K85" s="43"/>
      <c r="L85" s="43"/>
      <c r="M85" s="43"/>
      <c r="N85" s="43"/>
      <c r="O85" s="43"/>
      <c r="P85" s="43"/>
      <c r="Q85" s="43"/>
      <c r="R85" s="43"/>
      <c r="S85" s="43"/>
      <c r="T85" s="43"/>
      <c r="U85" s="43"/>
      <c r="V85" s="43"/>
      <c r="W85" s="43"/>
      <c r="X85" s="43"/>
      <c r="Y85" s="43"/>
      <c r="Z85" s="43"/>
      <c r="AA85" s="43"/>
      <c r="AB85" s="43"/>
      <c r="AC85" s="43"/>
      <c r="AD85" s="43"/>
      <c r="AE85" s="44"/>
      <c r="AF85" s="305"/>
      <c r="AG85" s="306"/>
      <c r="AH85" s="221"/>
      <c r="AI85" s="221"/>
      <c r="AJ85" s="221"/>
      <c r="AK85" s="221"/>
      <c r="AL85" s="221"/>
      <c r="AM85" s="221"/>
      <c r="AN85" s="221"/>
      <c r="AO85" s="221"/>
      <c r="AP85" s="221"/>
      <c r="AQ85" s="221"/>
      <c r="AR85" s="221"/>
      <c r="AS85" s="262"/>
      <c r="AT85" s="262"/>
      <c r="AU85" s="262"/>
      <c r="AV85" s="262"/>
      <c r="AW85" s="262"/>
      <c r="AX85" s="262"/>
      <c r="AY85" s="262"/>
      <c r="AZ85" s="262"/>
      <c r="BA85" s="262"/>
      <c r="BB85" s="262"/>
      <c r="BC85" s="262"/>
      <c r="BD85" s="262"/>
      <c r="BE85" s="262"/>
      <c r="BF85" s="262"/>
      <c r="BG85" s="262"/>
      <c r="BH85" s="262"/>
      <c r="BI85" s="262"/>
      <c r="BJ85" s="262"/>
      <c r="BK85" s="262"/>
      <c r="BL85" s="262"/>
      <c r="BM85" s="262"/>
      <c r="BN85" s="262"/>
      <c r="BO85" s="262"/>
      <c r="BP85" s="262"/>
      <c r="BQ85" s="262"/>
      <c r="BR85" s="262"/>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row>
    <row r="86" spans="1:175" ht="15" customHeight="1" x14ac:dyDescent="0.25">
      <c r="A86" s="332"/>
      <c r="B86" s="233"/>
      <c r="C86" s="1003" t="s">
        <v>2769</v>
      </c>
      <c r="D86" s="1003"/>
      <c r="E86" s="1003"/>
      <c r="F86" s="1003"/>
      <c r="G86" s="1004"/>
      <c r="H86" s="1008"/>
      <c r="I86" s="1008"/>
      <c r="J86" s="7"/>
      <c r="K86" s="1009" t="s">
        <v>2770</v>
      </c>
      <c r="L86" s="1009"/>
      <c r="M86" s="1009"/>
      <c r="N86" s="1009"/>
      <c r="O86" s="1009"/>
      <c r="P86" s="1009"/>
      <c r="Q86" s="1010">
        <f>IFERROR((((SUM(AC78:AD84))*H87)/((7*24*52)/8760))-(H86*((AVERAGE(AC78:AD82)))), "")</f>
        <v>0</v>
      </c>
      <c r="R86" s="1010"/>
      <c r="S86" s="7"/>
      <c r="T86" s="7"/>
      <c r="U86" s="7"/>
      <c r="V86" s="7"/>
      <c r="W86" s="7"/>
      <c r="X86" s="7"/>
      <c r="Y86" s="7"/>
      <c r="Z86" s="7"/>
      <c r="AA86" s="7"/>
      <c r="AB86" s="7"/>
      <c r="AC86" s="7"/>
      <c r="AD86" s="7"/>
      <c r="AE86" s="7"/>
      <c r="AF86" s="305"/>
      <c r="AG86" s="306"/>
      <c r="AH86" s="221"/>
      <c r="AI86" s="221"/>
      <c r="AJ86" s="221"/>
      <c r="AK86" s="221"/>
      <c r="AL86" s="221"/>
      <c r="AM86" s="221"/>
      <c r="AN86" s="221"/>
      <c r="AO86" s="221"/>
      <c r="AP86" s="221"/>
      <c r="AQ86" s="221"/>
      <c r="AR86" s="221"/>
      <c r="AS86" s="262"/>
      <c r="AT86" s="262"/>
      <c r="AU86" s="262"/>
      <c r="AV86" s="262"/>
      <c r="AW86" s="262"/>
      <c r="AX86" s="262"/>
      <c r="AY86" s="262"/>
      <c r="AZ86" s="262"/>
      <c r="BA86" s="262"/>
      <c r="BB86" s="262"/>
      <c r="BC86" s="262"/>
      <c r="BD86" s="262"/>
      <c r="BE86" s="262"/>
      <c r="BF86" s="262"/>
      <c r="BG86" s="262"/>
      <c r="BH86" s="262"/>
      <c r="BI86" s="262"/>
      <c r="BJ86" s="262"/>
      <c r="BK86" s="262"/>
      <c r="BL86" s="262"/>
      <c r="BM86" s="262"/>
      <c r="BN86" s="262"/>
      <c r="BO86" s="262"/>
      <c r="BP86" s="262"/>
      <c r="BQ86" s="262"/>
      <c r="BR86" s="262"/>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row>
    <row r="87" spans="1:175" ht="15" customHeight="1" x14ac:dyDescent="0.25">
      <c r="A87" s="332"/>
      <c r="B87" s="233"/>
      <c r="C87" s="1003" t="s">
        <v>2771</v>
      </c>
      <c r="D87" s="1003"/>
      <c r="E87" s="1003"/>
      <c r="F87" s="1003"/>
      <c r="G87" s="1004"/>
      <c r="H87" s="1005"/>
      <c r="I87" s="1005"/>
      <c r="J87" s="7"/>
      <c r="K87" s="1003" t="s">
        <v>2772</v>
      </c>
      <c r="L87" s="1003"/>
      <c r="M87" s="1003"/>
      <c r="N87" s="1003"/>
      <c r="O87" s="1003"/>
      <c r="P87" s="1003"/>
      <c r="Q87" s="1006">
        <f>IFERROR(IF(Q86="","",AI83*(1-(H88/13))), 0)</f>
        <v>0</v>
      </c>
      <c r="R87" s="1007"/>
      <c r="S87" s="7"/>
      <c r="T87" s="7"/>
      <c r="U87" s="7"/>
      <c r="V87" s="7"/>
      <c r="W87" s="7"/>
      <c r="X87" s="7"/>
      <c r="Y87" s="7"/>
      <c r="Z87" s="7"/>
      <c r="AA87" s="7"/>
      <c r="AB87" s="7"/>
      <c r="AC87" s="7"/>
      <c r="AD87" s="7"/>
      <c r="AE87" s="7"/>
      <c r="AF87" s="305"/>
      <c r="AG87" s="306"/>
      <c r="AH87" s="221"/>
      <c r="AI87" s="221"/>
      <c r="AJ87" s="221"/>
      <c r="AK87" s="221"/>
      <c r="AL87" s="221"/>
      <c r="AM87" s="221"/>
      <c r="AN87" s="221"/>
      <c r="AO87" s="221"/>
      <c r="AP87" s="221"/>
      <c r="AQ87" s="221"/>
      <c r="AR87" s="221"/>
      <c r="AS87" s="262"/>
      <c r="AT87" s="262"/>
      <c r="AU87" s="262"/>
      <c r="AV87" s="262"/>
      <c r="AW87" s="262"/>
      <c r="AX87" s="262"/>
      <c r="AY87" s="262"/>
      <c r="AZ87" s="262"/>
      <c r="BA87" s="262"/>
      <c r="BB87" s="262"/>
      <c r="BC87" s="262"/>
      <c r="BD87" s="262"/>
      <c r="BE87" s="262"/>
      <c r="BF87" s="262"/>
      <c r="BG87" s="262"/>
      <c r="BH87" s="262"/>
      <c r="BI87" s="262"/>
      <c r="BJ87" s="262"/>
      <c r="BK87" s="262"/>
      <c r="BL87" s="262"/>
      <c r="BM87" s="262"/>
      <c r="BN87" s="262"/>
      <c r="BO87" s="262"/>
      <c r="BP87" s="262"/>
      <c r="BQ87" s="262"/>
      <c r="BR87" s="262"/>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row>
    <row r="88" spans="1:175" ht="15" customHeight="1" x14ac:dyDescent="0.25">
      <c r="A88" s="332"/>
      <c r="B88" s="233"/>
      <c r="C88" s="1003" t="s">
        <v>2773</v>
      </c>
      <c r="D88" s="1003"/>
      <c r="E88" s="1003"/>
      <c r="F88" s="1003"/>
      <c r="G88" s="1004"/>
      <c r="H88" s="1005"/>
      <c r="I88" s="1005"/>
      <c r="J88" s="7"/>
      <c r="K88" s="1003" t="s">
        <v>2774</v>
      </c>
      <c r="L88" s="1003"/>
      <c r="M88" s="1003"/>
      <c r="N88" s="1003"/>
      <c r="O88" s="1003"/>
      <c r="P88" s="1003"/>
      <c r="Q88" s="1006">
        <f>IFERROR(IF(Q86="","",AO83*(1-(H89/9))), 0)</f>
        <v>0</v>
      </c>
      <c r="R88" s="1007"/>
      <c r="S88" s="7"/>
      <c r="T88" s="7"/>
      <c r="U88" s="7"/>
      <c r="V88" s="7"/>
      <c r="W88" s="7"/>
      <c r="X88" s="7"/>
      <c r="Y88" s="7"/>
      <c r="Z88" s="7"/>
      <c r="AA88" s="7"/>
      <c r="AB88" s="7"/>
      <c r="AC88" s="7"/>
      <c r="AD88" s="7"/>
      <c r="AE88" s="7"/>
      <c r="AF88" s="305"/>
      <c r="AG88" s="306"/>
      <c r="AH88" s="221"/>
      <c r="AI88" s="221"/>
      <c r="AJ88" s="221"/>
      <c r="AK88" s="221"/>
      <c r="AL88" s="221"/>
      <c r="AM88" s="221"/>
      <c r="AN88" s="221"/>
      <c r="AO88" s="221"/>
      <c r="AP88" s="221"/>
      <c r="AQ88" s="221"/>
      <c r="AR88" s="221"/>
      <c r="AS88" s="262"/>
      <c r="AT88" s="262"/>
      <c r="AU88" s="262"/>
      <c r="AV88" s="262"/>
      <c r="AW88" s="262"/>
      <c r="AX88" s="262"/>
      <c r="AY88" s="262"/>
      <c r="AZ88" s="262"/>
      <c r="BA88" s="262"/>
      <c r="BB88" s="262"/>
      <c r="BC88" s="262"/>
      <c r="BD88" s="262"/>
      <c r="BE88" s="262"/>
      <c r="BF88" s="262"/>
      <c r="BG88" s="262"/>
      <c r="BH88" s="262"/>
      <c r="BI88" s="262"/>
      <c r="BJ88" s="262"/>
      <c r="BK88" s="262"/>
      <c r="BL88" s="262"/>
      <c r="BM88" s="262"/>
      <c r="BN88" s="262"/>
      <c r="BO88" s="262"/>
      <c r="BP88" s="262"/>
      <c r="BQ88" s="262"/>
      <c r="BR88" s="262"/>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row>
    <row r="89" spans="1:175" ht="15" customHeight="1" x14ac:dyDescent="0.25">
      <c r="A89" s="332"/>
      <c r="B89" s="233"/>
      <c r="C89" s="1003" t="s">
        <v>2775</v>
      </c>
      <c r="D89" s="1003"/>
      <c r="E89" s="1003"/>
      <c r="F89" s="1003"/>
      <c r="G89" s="1004"/>
      <c r="H89" s="1005"/>
      <c r="I89" s="1005"/>
      <c r="J89" s="7"/>
      <c r="K89" s="7"/>
      <c r="L89" s="7"/>
      <c r="M89" s="7"/>
      <c r="N89" s="7"/>
      <c r="O89" s="7"/>
      <c r="P89" s="7"/>
      <c r="Q89" s="7"/>
      <c r="R89" s="7"/>
      <c r="S89" s="7"/>
      <c r="T89" s="7"/>
      <c r="U89" s="7"/>
      <c r="V89" s="7"/>
      <c r="W89" s="7"/>
      <c r="X89" s="7"/>
      <c r="Y89" s="7"/>
      <c r="Z89" s="7"/>
      <c r="AA89" s="7"/>
      <c r="AB89" s="7"/>
      <c r="AC89" s="7"/>
      <c r="AD89" s="7"/>
      <c r="AE89" s="7"/>
      <c r="AF89" s="305"/>
      <c r="AG89" s="306"/>
      <c r="AH89" s="221"/>
      <c r="AI89" s="221"/>
      <c r="AJ89" s="221"/>
      <c r="AK89" s="221"/>
      <c r="AL89" s="221"/>
      <c r="AM89" s="221"/>
      <c r="AN89" s="221"/>
      <c r="AO89" s="221"/>
      <c r="AP89" s="221"/>
      <c r="AQ89" s="221"/>
      <c r="AR89" s="221"/>
      <c r="AS89" s="262"/>
      <c r="AT89" s="262"/>
      <c r="AU89" s="262"/>
      <c r="AV89" s="262"/>
      <c r="AW89" s="262"/>
      <c r="AX89" s="262"/>
      <c r="AY89" s="262"/>
      <c r="AZ89" s="262"/>
      <c r="BA89" s="262"/>
      <c r="BB89" s="262"/>
      <c r="BC89" s="262"/>
      <c r="BD89" s="262"/>
      <c r="BE89" s="262"/>
      <c r="BF89" s="262"/>
      <c r="BG89" s="262"/>
      <c r="BH89" s="262"/>
      <c r="BI89" s="262"/>
      <c r="BJ89" s="262"/>
      <c r="BK89" s="262"/>
      <c r="BL89" s="262"/>
      <c r="BM89" s="262"/>
      <c r="BN89" s="262"/>
      <c r="BO89" s="262"/>
      <c r="BP89" s="262"/>
      <c r="BQ89" s="262"/>
      <c r="BR89" s="262"/>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row>
    <row r="90" spans="1:175" ht="18.75" x14ac:dyDescent="0.25">
      <c r="A90" s="332"/>
      <c r="B90" s="233"/>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305"/>
      <c r="AG90" s="306"/>
      <c r="AH90" s="221"/>
      <c r="AI90" s="221"/>
      <c r="AJ90" s="221"/>
      <c r="AK90" s="221"/>
      <c r="AL90" s="221"/>
      <c r="AM90" s="221"/>
      <c r="AN90" s="221"/>
      <c r="AO90" s="221"/>
      <c r="AP90" s="221"/>
      <c r="AQ90" s="221"/>
      <c r="AR90" s="221"/>
      <c r="AS90" s="262"/>
      <c r="AT90" s="262"/>
      <c r="AU90" s="262"/>
      <c r="AV90" s="262"/>
      <c r="AW90" s="262"/>
      <c r="AX90" s="262"/>
      <c r="AY90" s="262"/>
      <c r="AZ90" s="262"/>
      <c r="BA90" s="262"/>
      <c r="BB90" s="262"/>
      <c r="BC90" s="262"/>
      <c r="BD90" s="262"/>
      <c r="BE90" s="262"/>
      <c r="BF90" s="262"/>
      <c r="BG90" s="262"/>
      <c r="BH90" s="262"/>
      <c r="BI90" s="262"/>
      <c r="BJ90" s="262"/>
      <c r="BK90" s="262"/>
      <c r="BL90" s="262"/>
      <c r="BM90" s="262"/>
      <c r="BN90" s="262"/>
      <c r="BO90" s="262"/>
      <c r="BP90" s="262"/>
      <c r="BQ90" s="262"/>
      <c r="BR90" s="262"/>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row>
    <row r="91" spans="1:175" ht="19.5" thickBot="1" x14ac:dyDescent="0.3">
      <c r="A91" s="332"/>
      <c r="B91" s="233"/>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305"/>
      <c r="AG91" s="306"/>
      <c r="AH91" s="221"/>
      <c r="AI91" s="221"/>
      <c r="AJ91" s="221"/>
      <c r="AK91" s="221"/>
      <c r="AL91" s="221"/>
      <c r="AM91" s="221"/>
      <c r="AN91" s="221"/>
      <c r="AO91" s="221"/>
      <c r="AP91" s="221"/>
      <c r="AQ91" s="221"/>
      <c r="AR91" s="221"/>
      <c r="AS91" s="262"/>
      <c r="AT91" s="262"/>
      <c r="AU91" s="262"/>
      <c r="AV91" s="262"/>
      <c r="AW91" s="262"/>
      <c r="AX91" s="262"/>
      <c r="AY91" s="262"/>
      <c r="AZ91" s="262"/>
      <c r="BA91" s="262"/>
      <c r="BB91" s="262"/>
      <c r="BC91" s="262"/>
      <c r="BD91" s="262"/>
      <c r="BE91" s="262"/>
      <c r="BF91" s="262"/>
      <c r="BG91" s="262"/>
      <c r="BH91" s="262"/>
      <c r="BI91" s="262"/>
      <c r="BJ91" s="262"/>
      <c r="BK91" s="262"/>
      <c r="BL91" s="262"/>
      <c r="BM91" s="262"/>
      <c r="BN91" s="262"/>
      <c r="BO91" s="262"/>
      <c r="BP91" s="262"/>
      <c r="BQ91" s="262"/>
      <c r="BR91" s="262"/>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row>
    <row r="92" spans="1:175" ht="26.25" customHeight="1" thickBot="1" x14ac:dyDescent="0.3">
      <c r="A92" s="332"/>
      <c r="B92" s="233"/>
      <c r="C92" s="1023" t="s">
        <v>2782</v>
      </c>
      <c r="D92" s="1023"/>
      <c r="E92" s="1023"/>
      <c r="F92" s="1023"/>
      <c r="G92" s="1023"/>
      <c r="H92" s="1023"/>
      <c r="I92" s="1023"/>
      <c r="J92" s="1023"/>
      <c r="K92" s="1023"/>
      <c r="L92" s="1023"/>
      <c r="M92" s="1023"/>
      <c r="N92" s="1023"/>
      <c r="O92" s="1023"/>
      <c r="P92" s="1023"/>
      <c r="Q92" s="1023"/>
      <c r="R92" s="1023"/>
      <c r="S92" s="1023"/>
      <c r="T92" s="1023"/>
      <c r="U92" s="1023"/>
      <c r="V92" s="1023"/>
      <c r="W92" s="1023"/>
      <c r="X92" s="1023"/>
      <c r="Y92" s="1023"/>
      <c r="Z92" s="1023"/>
      <c r="AA92" s="1023"/>
      <c r="AB92" s="1023"/>
      <c r="AC92" s="1023"/>
      <c r="AD92" s="1023"/>
      <c r="AE92" s="1023"/>
      <c r="AF92" s="305"/>
      <c r="AG92" s="306"/>
      <c r="AH92" s="1011" t="s">
        <v>2719</v>
      </c>
      <c r="AI92" s="1012"/>
      <c r="AJ92" s="1012"/>
      <c r="AK92" s="1012"/>
      <c r="AL92" s="1013"/>
      <c r="AM92" s="221"/>
      <c r="AN92" s="1016" t="s">
        <v>2720</v>
      </c>
      <c r="AO92" s="1012"/>
      <c r="AP92" s="1012"/>
      <c r="AQ92" s="1012"/>
      <c r="AR92" s="1013"/>
      <c r="AS92" s="262"/>
      <c r="AT92" s="262"/>
      <c r="AU92" s="262"/>
      <c r="AV92" s="262"/>
      <c r="AW92" s="262"/>
      <c r="AX92" s="262"/>
      <c r="AY92" s="262"/>
      <c r="AZ92" s="262"/>
      <c r="BA92" s="262"/>
      <c r="BB92" s="262"/>
      <c r="BC92" s="262"/>
      <c r="BD92" s="262"/>
      <c r="BE92" s="262"/>
      <c r="BF92" s="262"/>
      <c r="BG92" s="262"/>
      <c r="BH92" s="262"/>
      <c r="BI92" s="262"/>
      <c r="BJ92" s="262"/>
      <c r="BK92" s="262"/>
      <c r="BL92" s="262"/>
      <c r="BM92" s="262"/>
      <c r="BN92" s="262"/>
      <c r="BO92" s="262"/>
      <c r="BP92" s="262"/>
      <c r="BQ92" s="262"/>
      <c r="BR92" s="262"/>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row>
    <row r="93" spans="1:175" ht="4.5" customHeight="1" thickBot="1" x14ac:dyDescent="0.3">
      <c r="A93" s="332"/>
      <c r="B93" s="233"/>
      <c r="C93" s="437"/>
      <c r="D93" s="438"/>
      <c r="E93" s="438"/>
      <c r="F93" s="438"/>
      <c r="G93" s="438"/>
      <c r="H93" s="438"/>
      <c r="I93" s="438"/>
      <c r="J93" s="438"/>
      <c r="K93" s="438"/>
      <c r="L93" s="438"/>
      <c r="M93" s="438"/>
      <c r="N93" s="438"/>
      <c r="O93" s="438"/>
      <c r="P93" s="438"/>
      <c r="Q93" s="438"/>
      <c r="R93" s="438"/>
      <c r="S93" s="438"/>
      <c r="T93" s="438"/>
      <c r="U93" s="438"/>
      <c r="V93" s="438"/>
      <c r="W93" s="438"/>
      <c r="X93" s="438"/>
      <c r="Y93" s="438"/>
      <c r="Z93" s="438"/>
      <c r="AA93" s="438"/>
      <c r="AB93" s="438"/>
      <c r="AC93" s="438"/>
      <c r="AD93" s="438"/>
      <c r="AE93" s="439"/>
      <c r="AF93" s="305"/>
      <c r="AG93" s="306"/>
      <c r="AH93" s="1014"/>
      <c r="AI93" s="1014"/>
      <c r="AJ93" s="1014"/>
      <c r="AK93" s="1014"/>
      <c r="AL93" s="1015"/>
      <c r="AM93" s="221"/>
      <c r="AN93" s="1017"/>
      <c r="AO93" s="1014"/>
      <c r="AP93" s="1014"/>
      <c r="AQ93" s="1014"/>
      <c r="AR93" s="1015"/>
      <c r="AS93" s="262"/>
      <c r="AT93" s="262"/>
      <c r="AU93" s="262"/>
      <c r="AV93" s="262"/>
      <c r="AW93" s="262"/>
      <c r="AX93" s="262"/>
      <c r="AY93" s="262"/>
      <c r="AZ93" s="262"/>
      <c r="BA93" s="262"/>
      <c r="BB93" s="262"/>
      <c r="BC93" s="262"/>
      <c r="BD93" s="262"/>
      <c r="BE93" s="262"/>
      <c r="BF93" s="262"/>
      <c r="BG93" s="262"/>
      <c r="BH93" s="262"/>
      <c r="BI93" s="262"/>
      <c r="BJ93" s="262"/>
      <c r="BK93" s="262"/>
      <c r="BL93" s="262"/>
      <c r="BM93" s="262"/>
      <c r="BN93" s="262"/>
      <c r="BO93" s="262"/>
      <c r="BP93" s="262"/>
      <c r="BQ93" s="262"/>
      <c r="BR93" s="262"/>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row>
    <row r="94" spans="1:175" ht="87" customHeight="1" x14ac:dyDescent="0.25">
      <c r="A94" s="332"/>
      <c r="B94" s="233"/>
      <c r="C94" s="1018" t="s">
        <v>2783</v>
      </c>
      <c r="D94" s="209"/>
      <c r="E94" s="343" t="s">
        <v>2723</v>
      </c>
      <c r="F94" s="344" t="s">
        <v>2724</v>
      </c>
      <c r="G94" s="344" t="s">
        <v>2725</v>
      </c>
      <c r="H94" s="344" t="s">
        <v>2726</v>
      </c>
      <c r="I94" s="344" t="s">
        <v>2727</v>
      </c>
      <c r="J94" s="344" t="s">
        <v>2728</v>
      </c>
      <c r="K94" s="344" t="s">
        <v>2729</v>
      </c>
      <c r="L94" s="344" t="s">
        <v>2730</v>
      </c>
      <c r="M94" s="344" t="s">
        <v>2731</v>
      </c>
      <c r="N94" s="344" t="s">
        <v>2732</v>
      </c>
      <c r="O94" s="344" t="s">
        <v>2733</v>
      </c>
      <c r="P94" s="344" t="s">
        <v>2734</v>
      </c>
      <c r="Q94" s="345" t="s">
        <v>2735</v>
      </c>
      <c r="R94" s="345" t="s">
        <v>2736</v>
      </c>
      <c r="S94" s="345" t="s">
        <v>2737</v>
      </c>
      <c r="T94" s="345" t="s">
        <v>2738</v>
      </c>
      <c r="U94" s="345" t="s">
        <v>2739</v>
      </c>
      <c r="V94" s="345" t="s">
        <v>2740</v>
      </c>
      <c r="W94" s="345" t="s">
        <v>2741</v>
      </c>
      <c r="X94" s="345" t="s">
        <v>2742</v>
      </c>
      <c r="Y94" s="345" t="s">
        <v>2743</v>
      </c>
      <c r="Z94" s="345" t="s">
        <v>2744</v>
      </c>
      <c r="AA94" s="345" t="s">
        <v>2745</v>
      </c>
      <c r="AB94" s="345" t="s">
        <v>2746</v>
      </c>
      <c r="AC94" s="1021" t="s">
        <v>2747</v>
      </c>
      <c r="AD94" s="1021"/>
      <c r="AE94" s="356" t="s">
        <v>2748</v>
      </c>
      <c r="AF94" s="305"/>
      <c r="AG94" s="306"/>
      <c r="AH94" s="7"/>
      <c r="AI94" s="222" t="s">
        <v>2749</v>
      </c>
      <c r="AJ94" s="222" t="s">
        <v>2750</v>
      </c>
      <c r="AK94" s="222" t="s">
        <v>2751</v>
      </c>
      <c r="AL94" s="223" t="s">
        <v>2752</v>
      </c>
      <c r="AM94" s="221"/>
      <c r="AN94" s="209"/>
      <c r="AO94" s="222" t="s">
        <v>2753</v>
      </c>
      <c r="AP94" s="222" t="s">
        <v>2754</v>
      </c>
      <c r="AQ94" s="222" t="s">
        <v>2755</v>
      </c>
      <c r="AR94" s="223" t="s">
        <v>2756</v>
      </c>
      <c r="AS94" s="262"/>
      <c r="AT94" s="262"/>
      <c r="AU94" s="262"/>
      <c r="AV94" s="262"/>
      <c r="AW94" s="262"/>
      <c r="AX94" s="262"/>
      <c r="AY94" s="262"/>
      <c r="AZ94" s="262"/>
      <c r="BA94" s="262"/>
      <c r="BB94" s="262"/>
      <c r="BC94" s="262"/>
      <c r="BD94" s="262"/>
      <c r="BE94" s="262"/>
      <c r="BF94" s="262"/>
      <c r="BG94" s="262"/>
      <c r="BH94" s="262"/>
      <c r="BI94" s="262"/>
      <c r="BJ94" s="262"/>
      <c r="BK94" s="262"/>
      <c r="BL94" s="262"/>
      <c r="BM94" s="262"/>
      <c r="BN94" s="262"/>
      <c r="BO94" s="262"/>
      <c r="BP94" s="262"/>
      <c r="BQ94" s="262"/>
      <c r="BR94" s="262"/>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row>
    <row r="95" spans="1:175" ht="21" customHeight="1" x14ac:dyDescent="0.25">
      <c r="A95" s="332"/>
      <c r="B95" s="233"/>
      <c r="C95" s="1019"/>
      <c r="D95" s="224" t="s">
        <v>2757</v>
      </c>
      <c r="E95" s="455"/>
      <c r="F95" s="455"/>
      <c r="G95" s="455"/>
      <c r="H95" s="455"/>
      <c r="I95" s="455"/>
      <c r="J95" s="455"/>
      <c r="K95" s="455"/>
      <c r="L95" s="455"/>
      <c r="M95" s="455"/>
      <c r="N95" s="455"/>
      <c r="O95" s="455"/>
      <c r="P95" s="455"/>
      <c r="Q95" s="455"/>
      <c r="R95" s="455"/>
      <c r="S95" s="455"/>
      <c r="T95" s="455"/>
      <c r="U95" s="455"/>
      <c r="V95" s="455"/>
      <c r="W95" s="455"/>
      <c r="X95" s="455"/>
      <c r="Y95" s="455"/>
      <c r="Z95" s="455"/>
      <c r="AA95" s="455"/>
      <c r="AB95" s="455"/>
      <c r="AC95" s="1022">
        <f>SUM(E95:AB95)</f>
        <v>0</v>
      </c>
      <c r="AD95" s="1022"/>
      <c r="AE95" s="225">
        <f>AC95*52</f>
        <v>0</v>
      </c>
      <c r="AF95" s="305"/>
      <c r="AG95" s="306"/>
      <c r="AH95" s="228" t="s">
        <v>2758</v>
      </c>
      <c r="AI95" s="206">
        <f>IF(S95&gt;0, S95,0)</f>
        <v>0</v>
      </c>
      <c r="AJ95" s="206">
        <f>IF(T95&gt;0,T95,0)</f>
        <v>0</v>
      </c>
      <c r="AK95" s="206">
        <f>IF(U95&gt;0, U95, 0)</f>
        <v>0</v>
      </c>
      <c r="AL95" s="207">
        <f>IF(V95&gt;0, V95,0)</f>
        <v>0</v>
      </c>
      <c r="AM95" s="221"/>
      <c r="AN95" s="210" t="s">
        <v>2758</v>
      </c>
      <c r="AO95" s="206">
        <f>IF(L95&gt;0, L95,0)</f>
        <v>0</v>
      </c>
      <c r="AP95" s="206">
        <f>IF(M95&gt;0, M95,0)</f>
        <v>0</v>
      </c>
      <c r="AQ95" s="206">
        <f>IF(W95&gt;0, W95,0)</f>
        <v>0</v>
      </c>
      <c r="AR95" s="207">
        <f>IF(X95&gt;0, X95,0)</f>
        <v>0</v>
      </c>
      <c r="AS95" s="262"/>
      <c r="AT95" s="262"/>
      <c r="AU95" s="262"/>
      <c r="AV95" s="262"/>
      <c r="AW95" s="262"/>
      <c r="AX95" s="262"/>
      <c r="AY95" s="262"/>
      <c r="AZ95" s="262"/>
      <c r="BA95" s="262"/>
      <c r="BB95" s="262"/>
      <c r="BC95" s="262"/>
      <c r="BD95" s="262"/>
      <c r="BE95" s="262"/>
      <c r="BF95" s="262"/>
      <c r="BG95" s="262"/>
      <c r="BH95" s="262"/>
      <c r="BI95" s="262"/>
      <c r="BJ95" s="262"/>
      <c r="BK95" s="262"/>
      <c r="BL95" s="262"/>
      <c r="BM95" s="262"/>
      <c r="BN95" s="262"/>
      <c r="BO95" s="262"/>
      <c r="BP95" s="262"/>
      <c r="BQ95" s="262"/>
      <c r="BR95" s="262"/>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row>
    <row r="96" spans="1:175" ht="21" customHeight="1" x14ac:dyDescent="0.25">
      <c r="A96" s="332"/>
      <c r="B96" s="233"/>
      <c r="C96" s="1019"/>
      <c r="D96" s="226" t="s">
        <v>2759</v>
      </c>
      <c r="E96" s="455"/>
      <c r="F96" s="455"/>
      <c r="G96" s="455"/>
      <c r="H96" s="455"/>
      <c r="I96" s="455"/>
      <c r="J96" s="455"/>
      <c r="K96" s="455"/>
      <c r="L96" s="455"/>
      <c r="M96" s="455"/>
      <c r="N96" s="455"/>
      <c r="O96" s="455"/>
      <c r="P96" s="455"/>
      <c r="Q96" s="455"/>
      <c r="R96" s="455"/>
      <c r="S96" s="455"/>
      <c r="T96" s="455"/>
      <c r="U96" s="455"/>
      <c r="V96" s="455"/>
      <c r="W96" s="455"/>
      <c r="X96" s="455"/>
      <c r="Y96" s="455"/>
      <c r="Z96" s="455"/>
      <c r="AA96" s="455"/>
      <c r="AB96" s="455"/>
      <c r="AC96" s="1022">
        <f t="shared" ref="AC96:AC101" si="32">SUM(E96:AB96)</f>
        <v>0</v>
      </c>
      <c r="AD96" s="1022"/>
      <c r="AE96" s="225">
        <f t="shared" ref="AE96:AE101" si="33">AC96*52</f>
        <v>0</v>
      </c>
      <c r="AF96" s="305"/>
      <c r="AG96" s="306"/>
      <c r="AH96" s="228" t="s">
        <v>2760</v>
      </c>
      <c r="AI96" s="206">
        <f t="shared" ref="AI96:AI99" si="34">IF(S96&gt;0, S96,0)</f>
        <v>0</v>
      </c>
      <c r="AJ96" s="206">
        <f t="shared" ref="AJ96:AJ99" si="35">IF(T96&gt;0,T96,0)</f>
        <v>0</v>
      </c>
      <c r="AK96" s="206">
        <f t="shared" ref="AK96:AK99" si="36">IF(U96&gt;0, U96, 0)</f>
        <v>0</v>
      </c>
      <c r="AL96" s="207">
        <f t="shared" ref="AL96:AL99" si="37">IF(V96&gt;0, V96,0)</f>
        <v>0</v>
      </c>
      <c r="AM96" s="221"/>
      <c r="AN96" s="210" t="s">
        <v>2760</v>
      </c>
      <c r="AO96" s="206">
        <f t="shared" ref="AO96:AP99" si="38">IF(L96&gt;0, L96,0)</f>
        <v>0</v>
      </c>
      <c r="AP96" s="206">
        <f t="shared" si="38"/>
        <v>0</v>
      </c>
      <c r="AQ96" s="206">
        <f t="shared" ref="AQ96:AR99" si="39">IF(W96&gt;0, W96,0)</f>
        <v>0</v>
      </c>
      <c r="AR96" s="207">
        <f t="shared" si="39"/>
        <v>0</v>
      </c>
      <c r="AS96" s="262"/>
      <c r="AT96" s="262"/>
      <c r="AU96" s="262"/>
      <c r="AV96" s="262"/>
      <c r="AW96" s="262"/>
      <c r="AX96" s="262"/>
      <c r="AY96" s="262"/>
      <c r="AZ96" s="262"/>
      <c r="BA96" s="262"/>
      <c r="BB96" s="262"/>
      <c r="BC96" s="262"/>
      <c r="BD96" s="262"/>
      <c r="BE96" s="262"/>
      <c r="BF96" s="262"/>
      <c r="BG96" s="262"/>
      <c r="BH96" s="262"/>
      <c r="BI96" s="262"/>
      <c r="BJ96" s="262"/>
      <c r="BK96" s="262"/>
      <c r="BL96" s="262"/>
      <c r="BM96" s="262"/>
      <c r="BN96" s="262"/>
      <c r="BO96" s="262"/>
      <c r="BP96" s="262"/>
      <c r="BQ96" s="262"/>
      <c r="BR96" s="262"/>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row>
    <row r="97" spans="1:175" ht="21" customHeight="1" x14ac:dyDescent="0.25">
      <c r="A97" s="332"/>
      <c r="B97" s="233"/>
      <c r="C97" s="1019"/>
      <c r="D97" s="226" t="s">
        <v>2761</v>
      </c>
      <c r="E97" s="455"/>
      <c r="F97" s="455"/>
      <c r="G97" s="455"/>
      <c r="H97" s="455"/>
      <c r="I97" s="455"/>
      <c r="J97" s="455"/>
      <c r="K97" s="455"/>
      <c r="L97" s="455"/>
      <c r="M97" s="455"/>
      <c r="N97" s="455"/>
      <c r="O97" s="455"/>
      <c r="P97" s="455"/>
      <c r="Q97" s="455"/>
      <c r="R97" s="455"/>
      <c r="S97" s="455"/>
      <c r="T97" s="455"/>
      <c r="U97" s="455"/>
      <c r="V97" s="455"/>
      <c r="W97" s="455"/>
      <c r="X97" s="455"/>
      <c r="Y97" s="455"/>
      <c r="Z97" s="455"/>
      <c r="AA97" s="455"/>
      <c r="AB97" s="455"/>
      <c r="AC97" s="1022">
        <f t="shared" si="32"/>
        <v>0</v>
      </c>
      <c r="AD97" s="1022"/>
      <c r="AE97" s="225">
        <f t="shared" si="33"/>
        <v>0</v>
      </c>
      <c r="AF97" s="305"/>
      <c r="AG97" s="306"/>
      <c r="AH97" s="228" t="s">
        <v>2762</v>
      </c>
      <c r="AI97" s="206">
        <f t="shared" si="34"/>
        <v>0</v>
      </c>
      <c r="AJ97" s="206">
        <f t="shared" si="35"/>
        <v>0</v>
      </c>
      <c r="AK97" s="206">
        <f t="shared" si="36"/>
        <v>0</v>
      </c>
      <c r="AL97" s="207">
        <f t="shared" si="37"/>
        <v>0</v>
      </c>
      <c r="AM97" s="221"/>
      <c r="AN97" s="210" t="s">
        <v>2762</v>
      </c>
      <c r="AO97" s="206">
        <f t="shared" si="38"/>
        <v>0</v>
      </c>
      <c r="AP97" s="206">
        <f t="shared" si="38"/>
        <v>0</v>
      </c>
      <c r="AQ97" s="206">
        <f t="shared" si="39"/>
        <v>0</v>
      </c>
      <c r="AR97" s="207">
        <f t="shared" si="39"/>
        <v>0</v>
      </c>
      <c r="AS97" s="262"/>
      <c r="AT97" s="262"/>
      <c r="AU97" s="262"/>
      <c r="AV97" s="262"/>
      <c r="AW97" s="262"/>
      <c r="AX97" s="262"/>
      <c r="AY97" s="262"/>
      <c r="AZ97" s="262"/>
      <c r="BA97" s="262"/>
      <c r="BB97" s="262"/>
      <c r="BC97" s="262"/>
      <c r="BD97" s="262"/>
      <c r="BE97" s="262"/>
      <c r="BF97" s="262"/>
      <c r="BG97" s="262"/>
      <c r="BH97" s="262"/>
      <c r="BI97" s="262"/>
      <c r="BJ97" s="262"/>
      <c r="BK97" s="262"/>
      <c r="BL97" s="262"/>
      <c r="BM97" s="262"/>
      <c r="BN97" s="262"/>
      <c r="BO97" s="262"/>
      <c r="BP97" s="262"/>
      <c r="BQ97" s="262"/>
      <c r="BR97" s="262"/>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row>
    <row r="98" spans="1:175" ht="21" customHeight="1" x14ac:dyDescent="0.25">
      <c r="A98" s="332"/>
      <c r="B98" s="233"/>
      <c r="C98" s="1019"/>
      <c r="D98" s="226" t="s">
        <v>2763</v>
      </c>
      <c r="E98" s="455"/>
      <c r="F98" s="455"/>
      <c r="G98" s="455"/>
      <c r="H98" s="455"/>
      <c r="I98" s="455"/>
      <c r="J98" s="455"/>
      <c r="K98" s="455"/>
      <c r="L98" s="455"/>
      <c r="M98" s="455"/>
      <c r="N98" s="455"/>
      <c r="O98" s="455"/>
      <c r="P98" s="455"/>
      <c r="Q98" s="455"/>
      <c r="R98" s="455"/>
      <c r="S98" s="455"/>
      <c r="T98" s="455"/>
      <c r="U98" s="455"/>
      <c r="V98" s="455"/>
      <c r="W98" s="455"/>
      <c r="X98" s="455"/>
      <c r="Y98" s="455"/>
      <c r="Z98" s="455"/>
      <c r="AA98" s="455"/>
      <c r="AB98" s="455"/>
      <c r="AC98" s="1022">
        <f t="shared" si="32"/>
        <v>0</v>
      </c>
      <c r="AD98" s="1022"/>
      <c r="AE98" s="225">
        <f t="shared" si="33"/>
        <v>0</v>
      </c>
      <c r="AF98" s="305"/>
      <c r="AG98" s="306"/>
      <c r="AH98" s="228" t="s">
        <v>2764</v>
      </c>
      <c r="AI98" s="206">
        <f t="shared" si="34"/>
        <v>0</v>
      </c>
      <c r="AJ98" s="206">
        <f t="shared" si="35"/>
        <v>0</v>
      </c>
      <c r="AK98" s="206">
        <f t="shared" si="36"/>
        <v>0</v>
      </c>
      <c r="AL98" s="207">
        <f t="shared" si="37"/>
        <v>0</v>
      </c>
      <c r="AM98" s="221"/>
      <c r="AN98" s="210" t="s">
        <v>2764</v>
      </c>
      <c r="AO98" s="206">
        <f t="shared" si="38"/>
        <v>0</v>
      </c>
      <c r="AP98" s="206">
        <f t="shared" si="38"/>
        <v>0</v>
      </c>
      <c r="AQ98" s="206">
        <f t="shared" si="39"/>
        <v>0</v>
      </c>
      <c r="AR98" s="207">
        <f t="shared" si="39"/>
        <v>0</v>
      </c>
      <c r="AS98" s="262"/>
      <c r="AT98" s="262"/>
      <c r="AU98" s="262"/>
      <c r="AV98" s="262"/>
      <c r="AW98" s="262"/>
      <c r="AX98" s="262"/>
      <c r="AY98" s="262"/>
      <c r="AZ98" s="262"/>
      <c r="BA98" s="262"/>
      <c r="BB98" s="262"/>
      <c r="BC98" s="262"/>
      <c r="BD98" s="262"/>
      <c r="BE98" s="262"/>
      <c r="BF98" s="262"/>
      <c r="BG98" s="262"/>
      <c r="BH98" s="262"/>
      <c r="BI98" s="262"/>
      <c r="BJ98" s="262"/>
      <c r="BK98" s="262"/>
      <c r="BL98" s="262"/>
      <c r="BM98" s="262"/>
      <c r="BN98" s="262"/>
      <c r="BO98" s="262"/>
      <c r="BP98" s="262"/>
      <c r="BQ98" s="262"/>
      <c r="BR98" s="262"/>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row>
    <row r="99" spans="1:175" ht="21" customHeight="1" x14ac:dyDescent="0.25">
      <c r="A99" s="332"/>
      <c r="B99" s="233"/>
      <c r="C99" s="1019"/>
      <c r="D99" s="226" t="s">
        <v>2765</v>
      </c>
      <c r="E99" s="455"/>
      <c r="F99" s="455"/>
      <c r="G99" s="455"/>
      <c r="H99" s="455"/>
      <c r="I99" s="455"/>
      <c r="J99" s="455"/>
      <c r="K99" s="455"/>
      <c r="L99" s="455"/>
      <c r="M99" s="455"/>
      <c r="N99" s="455"/>
      <c r="O99" s="455"/>
      <c r="P99" s="455"/>
      <c r="Q99" s="455"/>
      <c r="R99" s="455"/>
      <c r="S99" s="455"/>
      <c r="T99" s="455"/>
      <c r="U99" s="455"/>
      <c r="V99" s="455"/>
      <c r="W99" s="455"/>
      <c r="X99" s="455"/>
      <c r="Y99" s="455"/>
      <c r="Z99" s="455"/>
      <c r="AA99" s="455"/>
      <c r="AB99" s="455"/>
      <c r="AC99" s="1022">
        <f t="shared" si="32"/>
        <v>0</v>
      </c>
      <c r="AD99" s="1022"/>
      <c r="AE99" s="225">
        <f t="shared" si="33"/>
        <v>0</v>
      </c>
      <c r="AF99" s="305"/>
      <c r="AG99" s="306"/>
      <c r="AH99" s="228" t="s">
        <v>2766</v>
      </c>
      <c r="AI99" s="206">
        <f t="shared" si="34"/>
        <v>0</v>
      </c>
      <c r="AJ99" s="206">
        <f t="shared" si="35"/>
        <v>0</v>
      </c>
      <c r="AK99" s="206">
        <f t="shared" si="36"/>
        <v>0</v>
      </c>
      <c r="AL99" s="207">
        <f t="shared" si="37"/>
        <v>0</v>
      </c>
      <c r="AM99" s="221"/>
      <c r="AN99" s="210" t="s">
        <v>2766</v>
      </c>
      <c r="AO99" s="206">
        <f t="shared" si="38"/>
        <v>0</v>
      </c>
      <c r="AP99" s="206">
        <f t="shared" si="38"/>
        <v>0</v>
      </c>
      <c r="AQ99" s="206">
        <f t="shared" si="39"/>
        <v>0</v>
      </c>
      <c r="AR99" s="207">
        <f t="shared" si="39"/>
        <v>0</v>
      </c>
      <c r="AS99" s="262"/>
      <c r="AT99" s="262"/>
      <c r="AU99" s="262"/>
      <c r="AV99" s="262"/>
      <c r="AW99" s="262"/>
      <c r="AX99" s="262"/>
      <c r="AY99" s="262"/>
      <c r="AZ99" s="262"/>
      <c r="BA99" s="262"/>
      <c r="BB99" s="262"/>
      <c r="BC99" s="262"/>
      <c r="BD99" s="262"/>
      <c r="BE99" s="262"/>
      <c r="BF99" s="262"/>
      <c r="BG99" s="262"/>
      <c r="BH99" s="262"/>
      <c r="BI99" s="262"/>
      <c r="BJ99" s="262"/>
      <c r="BK99" s="262"/>
      <c r="BL99" s="262"/>
      <c r="BM99" s="262"/>
      <c r="BN99" s="262"/>
      <c r="BO99" s="262"/>
      <c r="BP99" s="262"/>
      <c r="BQ99" s="262"/>
      <c r="BR99" s="262"/>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row>
    <row r="100" spans="1:175" ht="21" customHeight="1" thickBot="1" x14ac:dyDescent="0.3">
      <c r="A100" s="332"/>
      <c r="B100" s="233"/>
      <c r="C100" s="1019"/>
      <c r="D100" s="226" t="s">
        <v>2767</v>
      </c>
      <c r="E100" s="455"/>
      <c r="F100" s="455"/>
      <c r="G100" s="455"/>
      <c r="H100" s="455"/>
      <c r="I100" s="455"/>
      <c r="J100" s="455"/>
      <c r="K100" s="455"/>
      <c r="L100" s="455"/>
      <c r="M100" s="455"/>
      <c r="N100" s="455"/>
      <c r="O100" s="455"/>
      <c r="P100" s="455"/>
      <c r="Q100" s="455"/>
      <c r="R100" s="455"/>
      <c r="S100" s="455"/>
      <c r="T100" s="455"/>
      <c r="U100" s="455"/>
      <c r="V100" s="455"/>
      <c r="W100" s="455"/>
      <c r="X100" s="455"/>
      <c r="Y100" s="455"/>
      <c r="Z100" s="455"/>
      <c r="AA100" s="455"/>
      <c r="AB100" s="455"/>
      <c r="AC100" s="1022">
        <f t="shared" si="32"/>
        <v>0</v>
      </c>
      <c r="AD100" s="1022"/>
      <c r="AE100" s="225">
        <f t="shared" si="33"/>
        <v>0</v>
      </c>
      <c r="AF100" s="305"/>
      <c r="AG100" s="306"/>
      <c r="AH100" s="229" t="s">
        <v>181</v>
      </c>
      <c r="AI100" s="208">
        <f>IFERROR(AVERAGE(AI95:AL99), "")</f>
        <v>0</v>
      </c>
      <c r="AJ100" s="221"/>
      <c r="AK100" s="221"/>
      <c r="AL100" s="221"/>
      <c r="AM100" s="221"/>
      <c r="AN100" s="211" t="s">
        <v>181</v>
      </c>
      <c r="AO100" s="208">
        <f>IFERROR(AVERAGE(AO95:AR99), "")</f>
        <v>0</v>
      </c>
      <c r="AP100" s="221"/>
      <c r="AQ100" s="221"/>
      <c r="AR100" s="221"/>
      <c r="AS100" s="262"/>
      <c r="AT100" s="262"/>
      <c r="AU100" s="262"/>
      <c r="AV100" s="262"/>
      <c r="AW100" s="262"/>
      <c r="AX100" s="262"/>
      <c r="AY100" s="262"/>
      <c r="AZ100" s="262"/>
      <c r="BA100" s="262"/>
      <c r="BB100" s="262"/>
      <c r="BC100" s="262"/>
      <c r="BD100" s="262"/>
      <c r="BE100" s="262"/>
      <c r="BF100" s="262"/>
      <c r="BG100" s="262"/>
      <c r="BH100" s="262"/>
      <c r="BI100" s="262"/>
      <c r="BJ100" s="262"/>
      <c r="BK100" s="262"/>
      <c r="BL100" s="262"/>
      <c r="BM100" s="262"/>
      <c r="BN100" s="262"/>
      <c r="BO100" s="262"/>
      <c r="BP100" s="262"/>
      <c r="BQ100" s="262"/>
      <c r="BR100" s="262"/>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row>
    <row r="101" spans="1:175" ht="21" customHeight="1" x14ac:dyDescent="0.25">
      <c r="A101" s="332"/>
      <c r="B101" s="233"/>
      <c r="C101" s="1019"/>
      <c r="D101" s="227" t="s">
        <v>2768</v>
      </c>
      <c r="E101" s="455"/>
      <c r="F101" s="455"/>
      <c r="G101" s="455"/>
      <c r="H101" s="455"/>
      <c r="I101" s="455"/>
      <c r="J101" s="455"/>
      <c r="K101" s="455"/>
      <c r="L101" s="455"/>
      <c r="M101" s="455"/>
      <c r="N101" s="455"/>
      <c r="O101" s="455"/>
      <c r="P101" s="455"/>
      <c r="Q101" s="455"/>
      <c r="R101" s="455"/>
      <c r="S101" s="455"/>
      <c r="T101" s="455"/>
      <c r="U101" s="455"/>
      <c r="V101" s="455"/>
      <c r="W101" s="455"/>
      <c r="X101" s="455"/>
      <c r="Y101" s="455"/>
      <c r="Z101" s="455"/>
      <c r="AA101" s="455"/>
      <c r="AB101" s="455"/>
      <c r="AC101" s="1022">
        <f t="shared" si="32"/>
        <v>0</v>
      </c>
      <c r="AD101" s="1022"/>
      <c r="AE101" s="225">
        <f t="shared" si="33"/>
        <v>0</v>
      </c>
      <c r="AF101" s="305"/>
      <c r="AG101" s="306"/>
      <c r="AH101" s="221"/>
      <c r="AI101" s="221"/>
      <c r="AJ101" s="221"/>
      <c r="AK101" s="221"/>
      <c r="AL101" s="221"/>
      <c r="AM101" s="221"/>
      <c r="AN101" s="221"/>
      <c r="AO101" s="221"/>
      <c r="AP101" s="221"/>
      <c r="AQ101" s="221"/>
      <c r="AR101" s="221"/>
      <c r="AS101" s="262"/>
      <c r="AT101" s="262"/>
      <c r="AU101" s="262"/>
      <c r="AV101" s="262"/>
      <c r="AW101" s="262"/>
      <c r="AX101" s="262"/>
      <c r="AY101" s="262"/>
      <c r="AZ101" s="262"/>
      <c r="BA101" s="262"/>
      <c r="BB101" s="262"/>
      <c r="BC101" s="262"/>
      <c r="BD101" s="262"/>
      <c r="BE101" s="262"/>
      <c r="BF101" s="262"/>
      <c r="BG101" s="262"/>
      <c r="BH101" s="262"/>
      <c r="BI101" s="262"/>
      <c r="BJ101" s="262"/>
      <c r="BK101" s="262"/>
      <c r="BL101" s="262"/>
      <c r="BM101" s="262"/>
      <c r="BN101" s="262"/>
      <c r="BO101" s="262"/>
      <c r="BP101" s="262"/>
      <c r="BQ101" s="262"/>
      <c r="BR101" s="262"/>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row>
    <row r="102" spans="1:175" ht="19.5" thickBot="1" x14ac:dyDescent="0.3">
      <c r="A102" s="332"/>
      <c r="B102" s="233"/>
      <c r="C102" s="1020"/>
      <c r="D102" s="42"/>
      <c r="E102" s="43"/>
      <c r="F102" s="43"/>
      <c r="G102" s="43"/>
      <c r="H102" s="342"/>
      <c r="I102" s="342"/>
      <c r="J102" s="43"/>
      <c r="K102" s="43"/>
      <c r="L102" s="43"/>
      <c r="M102" s="43"/>
      <c r="N102" s="43"/>
      <c r="O102" s="43"/>
      <c r="P102" s="43"/>
      <c r="Q102" s="43"/>
      <c r="R102" s="43"/>
      <c r="S102" s="43"/>
      <c r="T102" s="43"/>
      <c r="U102" s="43"/>
      <c r="V102" s="43"/>
      <c r="W102" s="43"/>
      <c r="X102" s="43"/>
      <c r="Y102" s="43"/>
      <c r="Z102" s="43"/>
      <c r="AA102" s="43"/>
      <c r="AB102" s="43"/>
      <c r="AC102" s="43"/>
      <c r="AD102" s="43"/>
      <c r="AE102" s="44"/>
      <c r="AF102" s="305"/>
      <c r="AG102" s="306"/>
      <c r="AH102" s="221"/>
      <c r="AI102" s="221"/>
      <c r="AJ102" s="221"/>
      <c r="AK102" s="221"/>
      <c r="AL102" s="221"/>
      <c r="AM102" s="221"/>
      <c r="AN102" s="221"/>
      <c r="AO102" s="221"/>
      <c r="AP102" s="221"/>
      <c r="AQ102" s="221"/>
      <c r="AR102" s="221"/>
      <c r="AS102" s="262"/>
      <c r="AT102" s="262"/>
      <c r="AU102" s="262"/>
      <c r="AV102" s="262"/>
      <c r="AW102" s="262"/>
      <c r="AX102" s="262"/>
      <c r="AY102" s="262"/>
      <c r="AZ102" s="262"/>
      <c r="BA102" s="262"/>
      <c r="BB102" s="262"/>
      <c r="BC102" s="262"/>
      <c r="BD102" s="262"/>
      <c r="BE102" s="262"/>
      <c r="BF102" s="262"/>
      <c r="BG102" s="262"/>
      <c r="BH102" s="262"/>
      <c r="BI102" s="262"/>
      <c r="BJ102" s="262"/>
      <c r="BK102" s="262"/>
      <c r="BL102" s="262"/>
      <c r="BM102" s="262"/>
      <c r="BN102" s="262"/>
      <c r="BO102" s="262"/>
      <c r="BP102" s="262"/>
      <c r="BQ102" s="262"/>
      <c r="BR102" s="262"/>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row>
    <row r="103" spans="1:175" ht="15" customHeight="1" x14ac:dyDescent="0.25">
      <c r="A103" s="332"/>
      <c r="B103" s="233"/>
      <c r="C103" s="1003" t="s">
        <v>2769</v>
      </c>
      <c r="D103" s="1003"/>
      <c r="E103" s="1003"/>
      <c r="F103" s="1003"/>
      <c r="G103" s="1004"/>
      <c r="H103" s="1008"/>
      <c r="I103" s="1008"/>
      <c r="J103" s="313"/>
      <c r="K103" s="1009" t="s">
        <v>2770</v>
      </c>
      <c r="L103" s="1009"/>
      <c r="M103" s="1009"/>
      <c r="N103" s="1009"/>
      <c r="O103" s="1009"/>
      <c r="P103" s="1009"/>
      <c r="Q103" s="1010">
        <f>IFERROR((((SUM(AC95:AD101))*H104)/((7*24*52)/8760))-(H103*((AVERAGE(AC95:AD99)))), "")</f>
        <v>0</v>
      </c>
      <c r="R103" s="1010"/>
      <c r="S103" s="313"/>
      <c r="T103" s="313"/>
      <c r="U103" s="313"/>
      <c r="V103" s="313"/>
      <c r="W103" s="313"/>
      <c r="X103" s="313"/>
      <c r="Y103" s="313"/>
      <c r="Z103" s="313"/>
      <c r="AA103" s="313"/>
      <c r="AB103" s="313"/>
      <c r="AC103" s="313"/>
      <c r="AD103" s="313"/>
      <c r="AE103" s="313"/>
      <c r="AF103" s="305"/>
      <c r="AG103" s="306"/>
      <c r="AH103" s="221"/>
      <c r="AI103" s="221"/>
      <c r="AJ103" s="221"/>
      <c r="AK103" s="221"/>
      <c r="AL103" s="221"/>
      <c r="AM103" s="221"/>
      <c r="AN103" s="221"/>
      <c r="AO103" s="221"/>
      <c r="AP103" s="221"/>
      <c r="AQ103" s="221"/>
      <c r="AR103" s="221"/>
      <c r="AS103" s="262"/>
      <c r="AT103" s="262"/>
      <c r="AU103" s="262"/>
      <c r="AV103" s="262"/>
      <c r="AW103" s="262"/>
      <c r="AX103" s="262"/>
      <c r="AY103" s="262"/>
      <c r="AZ103" s="262"/>
      <c r="BA103" s="262"/>
      <c r="BB103" s="262"/>
      <c r="BC103" s="262"/>
      <c r="BD103" s="262"/>
      <c r="BE103" s="262"/>
      <c r="BF103" s="262"/>
      <c r="BG103" s="262"/>
      <c r="BH103" s="262"/>
      <c r="BI103" s="262"/>
      <c r="BJ103" s="262"/>
      <c r="BK103" s="262"/>
      <c r="BL103" s="262"/>
      <c r="BM103" s="262"/>
      <c r="BN103" s="262"/>
      <c r="BO103" s="262"/>
      <c r="BP103" s="262"/>
      <c r="BQ103" s="262"/>
      <c r="BR103" s="262"/>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row>
    <row r="104" spans="1:175" ht="15" customHeight="1" x14ac:dyDescent="0.25">
      <c r="A104" s="332"/>
      <c r="B104" s="233"/>
      <c r="C104" s="1003" t="s">
        <v>2771</v>
      </c>
      <c r="D104" s="1003"/>
      <c r="E104" s="1003"/>
      <c r="F104" s="1003"/>
      <c r="G104" s="1004"/>
      <c r="H104" s="1005"/>
      <c r="I104" s="1005"/>
      <c r="J104" s="313"/>
      <c r="K104" s="1003" t="s">
        <v>2772</v>
      </c>
      <c r="L104" s="1003"/>
      <c r="M104" s="1003"/>
      <c r="N104" s="1003"/>
      <c r="O104" s="1003"/>
      <c r="P104" s="1003"/>
      <c r="Q104" s="1006">
        <f>IFERROR(IF(Q103="","",AI100*(1-(H105/13))), 0)</f>
        <v>0</v>
      </c>
      <c r="R104" s="1007"/>
      <c r="S104" s="313"/>
      <c r="T104" s="313"/>
      <c r="U104" s="313"/>
      <c r="V104" s="313"/>
      <c r="W104" s="313"/>
      <c r="X104" s="313"/>
      <c r="Y104" s="313"/>
      <c r="Z104" s="313"/>
      <c r="AA104" s="313"/>
      <c r="AB104" s="313"/>
      <c r="AC104" s="313"/>
      <c r="AD104" s="313"/>
      <c r="AE104" s="313"/>
      <c r="AF104" s="305"/>
      <c r="AG104" s="306"/>
      <c r="AH104" s="221"/>
      <c r="AI104" s="221"/>
      <c r="AJ104" s="221"/>
      <c r="AK104" s="221"/>
      <c r="AL104" s="221"/>
      <c r="AM104" s="221"/>
      <c r="AN104" s="221"/>
      <c r="AO104" s="221"/>
      <c r="AP104" s="221"/>
      <c r="AQ104" s="221"/>
      <c r="AR104" s="221"/>
      <c r="AS104" s="262"/>
      <c r="AT104" s="262"/>
      <c r="AU104" s="262"/>
      <c r="AV104" s="262"/>
      <c r="AW104" s="262"/>
      <c r="AX104" s="262"/>
      <c r="AY104" s="262"/>
      <c r="AZ104" s="262"/>
      <c r="BA104" s="262"/>
      <c r="BB104" s="262"/>
      <c r="BC104" s="262"/>
      <c r="BD104" s="262"/>
      <c r="BE104" s="262"/>
      <c r="BF104" s="262"/>
      <c r="BG104" s="262"/>
      <c r="BH104" s="262"/>
      <c r="BI104" s="262"/>
      <c r="BJ104" s="262"/>
      <c r="BK104" s="262"/>
      <c r="BL104" s="262"/>
      <c r="BM104" s="262"/>
      <c r="BN104" s="262"/>
      <c r="BO104" s="262"/>
      <c r="BP104" s="262"/>
      <c r="BQ104" s="262"/>
      <c r="BR104" s="262"/>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row>
    <row r="105" spans="1:175" ht="15" customHeight="1" x14ac:dyDescent="0.25">
      <c r="A105" s="332"/>
      <c r="B105" s="233"/>
      <c r="C105" s="1003" t="s">
        <v>2773</v>
      </c>
      <c r="D105" s="1003"/>
      <c r="E105" s="1003"/>
      <c r="F105" s="1003"/>
      <c r="G105" s="1004"/>
      <c r="H105" s="1005"/>
      <c r="I105" s="1005"/>
      <c r="J105" s="313"/>
      <c r="K105" s="1003" t="s">
        <v>2774</v>
      </c>
      <c r="L105" s="1003"/>
      <c r="M105" s="1003"/>
      <c r="N105" s="1003"/>
      <c r="O105" s="1003"/>
      <c r="P105" s="1003"/>
      <c r="Q105" s="1006">
        <f>IFERROR(IF(Q103="","",AO100*(1-(H106/9))), 0)</f>
        <v>0</v>
      </c>
      <c r="R105" s="1007"/>
      <c r="S105" s="313"/>
      <c r="T105" s="313"/>
      <c r="U105" s="313"/>
      <c r="V105" s="313"/>
      <c r="W105" s="313"/>
      <c r="X105" s="313"/>
      <c r="Y105" s="313"/>
      <c r="Z105" s="313"/>
      <c r="AA105" s="313"/>
      <c r="AB105" s="313"/>
      <c r="AC105" s="313"/>
      <c r="AD105" s="313"/>
      <c r="AE105" s="313"/>
      <c r="AF105" s="305"/>
      <c r="AG105" s="306"/>
      <c r="AH105" s="221"/>
      <c r="AI105" s="221"/>
      <c r="AJ105" s="221"/>
      <c r="AK105" s="221"/>
      <c r="AL105" s="221"/>
      <c r="AM105" s="221"/>
      <c r="AN105" s="221"/>
      <c r="AO105" s="221"/>
      <c r="AP105" s="221"/>
      <c r="AQ105" s="221"/>
      <c r="AR105" s="221"/>
      <c r="AS105" s="262"/>
      <c r="AT105" s="262"/>
      <c r="AU105" s="262"/>
      <c r="AV105" s="262"/>
      <c r="AW105" s="262"/>
      <c r="AX105" s="262"/>
      <c r="AY105" s="262"/>
      <c r="AZ105" s="262"/>
      <c r="BA105" s="262"/>
      <c r="BB105" s="262"/>
      <c r="BC105" s="262"/>
      <c r="BD105" s="262"/>
      <c r="BE105" s="262"/>
      <c r="BF105" s="262"/>
      <c r="BG105" s="262"/>
      <c r="BH105" s="262"/>
      <c r="BI105" s="262"/>
      <c r="BJ105" s="262"/>
      <c r="BK105" s="262"/>
      <c r="BL105" s="262"/>
      <c r="BM105" s="262"/>
      <c r="BN105" s="262"/>
      <c r="BO105" s="262"/>
      <c r="BP105" s="262"/>
      <c r="BQ105" s="262"/>
      <c r="BR105" s="262"/>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row>
    <row r="106" spans="1:175" ht="15" customHeight="1" x14ac:dyDescent="0.25">
      <c r="A106" s="332"/>
      <c r="B106" s="233"/>
      <c r="C106" s="1003" t="s">
        <v>2775</v>
      </c>
      <c r="D106" s="1003"/>
      <c r="E106" s="1003"/>
      <c r="F106" s="1003"/>
      <c r="G106" s="1004"/>
      <c r="H106" s="1005"/>
      <c r="I106" s="1005"/>
      <c r="J106" s="313"/>
      <c r="K106" s="313"/>
      <c r="L106" s="313"/>
      <c r="M106" s="313"/>
      <c r="N106" s="313"/>
      <c r="O106" s="313"/>
      <c r="P106" s="313"/>
      <c r="Q106" s="313"/>
      <c r="R106" s="313"/>
      <c r="S106" s="313"/>
      <c r="T106" s="313"/>
      <c r="U106" s="313"/>
      <c r="V106" s="313"/>
      <c r="W106" s="313"/>
      <c r="X106" s="313"/>
      <c r="Y106" s="313"/>
      <c r="Z106" s="313"/>
      <c r="AA106" s="313"/>
      <c r="AB106" s="313"/>
      <c r="AC106" s="313"/>
      <c r="AD106" s="313"/>
      <c r="AE106" s="313"/>
      <c r="AF106" s="305"/>
      <c r="AG106" s="306"/>
      <c r="AH106" s="221"/>
      <c r="AI106" s="221"/>
      <c r="AJ106" s="221"/>
      <c r="AK106" s="221"/>
      <c r="AL106" s="221"/>
      <c r="AM106" s="221"/>
      <c r="AN106" s="221"/>
      <c r="AO106" s="221"/>
      <c r="AP106" s="221"/>
      <c r="AQ106" s="221"/>
      <c r="AR106" s="221"/>
      <c r="AS106" s="262"/>
      <c r="AT106" s="262"/>
      <c r="AU106" s="262"/>
      <c r="AV106" s="262"/>
      <c r="AW106" s="262"/>
      <c r="AX106" s="262"/>
      <c r="AY106" s="262"/>
      <c r="AZ106" s="262"/>
      <c r="BA106" s="262"/>
      <c r="BB106" s="262"/>
      <c r="BC106" s="262"/>
      <c r="BD106" s="262"/>
      <c r="BE106" s="262"/>
      <c r="BF106" s="262"/>
      <c r="BG106" s="262"/>
      <c r="BH106" s="262"/>
      <c r="BI106" s="262"/>
      <c r="BJ106" s="262"/>
      <c r="BK106" s="262"/>
      <c r="BL106" s="262"/>
      <c r="BM106" s="262"/>
      <c r="BN106" s="262"/>
      <c r="BO106" s="262"/>
      <c r="BP106" s="262"/>
      <c r="BQ106" s="262"/>
      <c r="BR106" s="262"/>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row>
    <row r="107" spans="1:175" ht="18.75" x14ac:dyDescent="0.25">
      <c r="A107" s="332"/>
      <c r="B107" s="233"/>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305"/>
      <c r="AG107" s="306"/>
      <c r="AH107" s="221"/>
      <c r="AI107" s="221"/>
      <c r="AJ107" s="221"/>
      <c r="AK107" s="221"/>
      <c r="AL107" s="221"/>
      <c r="AM107" s="221"/>
      <c r="AN107" s="221"/>
      <c r="AO107" s="221"/>
      <c r="AP107" s="221"/>
      <c r="AQ107" s="221"/>
      <c r="AR107" s="221"/>
      <c r="AS107" s="262"/>
      <c r="AT107" s="262"/>
      <c r="AU107" s="262"/>
      <c r="AV107" s="262"/>
      <c r="AW107" s="262"/>
      <c r="AX107" s="262"/>
      <c r="AY107" s="262"/>
      <c r="AZ107" s="262"/>
      <c r="BA107" s="262"/>
      <c r="BB107" s="262"/>
      <c r="BC107" s="262"/>
      <c r="BD107" s="262"/>
      <c r="BE107" s="262"/>
      <c r="BF107" s="262"/>
      <c r="BG107" s="262"/>
      <c r="BH107" s="262"/>
      <c r="BI107" s="262"/>
      <c r="BJ107" s="262"/>
      <c r="BK107" s="262"/>
      <c r="BL107" s="262"/>
      <c r="BM107" s="262"/>
      <c r="BN107" s="262"/>
      <c r="BO107" s="262"/>
      <c r="BP107" s="262"/>
      <c r="BQ107" s="262"/>
      <c r="BR107" s="262"/>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row>
    <row r="108" spans="1:175" ht="19.5" thickBot="1" x14ac:dyDescent="0.3">
      <c r="A108" s="332"/>
      <c r="B108" s="233"/>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305"/>
      <c r="AG108" s="306"/>
      <c r="AH108" s="221"/>
      <c r="AI108" s="221"/>
      <c r="AJ108" s="221"/>
      <c r="AK108" s="221"/>
      <c r="AL108" s="221"/>
      <c r="AM108" s="221"/>
      <c r="AN108" s="221"/>
      <c r="AO108" s="221"/>
      <c r="AP108" s="221"/>
      <c r="AQ108" s="221"/>
      <c r="AR108" s="221"/>
      <c r="AS108" s="262"/>
      <c r="AT108" s="262"/>
      <c r="AU108" s="262"/>
      <c r="AV108" s="262"/>
      <c r="AW108" s="262"/>
      <c r="AX108" s="262"/>
      <c r="AY108" s="262"/>
      <c r="AZ108" s="262"/>
      <c r="BA108" s="262"/>
      <c r="BB108" s="262"/>
      <c r="BC108" s="262"/>
      <c r="BD108" s="262"/>
      <c r="BE108" s="262"/>
      <c r="BF108" s="262"/>
      <c r="BG108" s="262"/>
      <c r="BH108" s="262"/>
      <c r="BI108" s="262"/>
      <c r="BJ108" s="262"/>
      <c r="BK108" s="262"/>
      <c r="BL108" s="262"/>
      <c r="BM108" s="262"/>
      <c r="BN108" s="262"/>
      <c r="BO108" s="262"/>
      <c r="BP108" s="262"/>
      <c r="BQ108" s="262"/>
      <c r="BR108" s="262"/>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row>
    <row r="109" spans="1:175" ht="26.25" customHeight="1" thickBot="1" x14ac:dyDescent="0.3">
      <c r="A109" s="332"/>
      <c r="B109" s="233"/>
      <c r="C109" s="1023" t="s">
        <v>2784</v>
      </c>
      <c r="D109" s="1023"/>
      <c r="E109" s="1023"/>
      <c r="F109" s="1023"/>
      <c r="G109" s="1023"/>
      <c r="H109" s="1023"/>
      <c r="I109" s="1023"/>
      <c r="J109" s="1023"/>
      <c r="K109" s="1023"/>
      <c r="L109" s="1023"/>
      <c r="M109" s="1023"/>
      <c r="N109" s="1023"/>
      <c r="O109" s="1023"/>
      <c r="P109" s="1023"/>
      <c r="Q109" s="1023"/>
      <c r="R109" s="1023"/>
      <c r="S109" s="1023"/>
      <c r="T109" s="1023"/>
      <c r="U109" s="1023"/>
      <c r="V109" s="1023"/>
      <c r="W109" s="1023"/>
      <c r="X109" s="1023"/>
      <c r="Y109" s="1023"/>
      <c r="Z109" s="1023"/>
      <c r="AA109" s="1023"/>
      <c r="AB109" s="1023"/>
      <c r="AC109" s="1023"/>
      <c r="AD109" s="1023"/>
      <c r="AE109" s="1023"/>
      <c r="AF109" s="305"/>
      <c r="AG109" s="306"/>
      <c r="AH109" s="1011" t="s">
        <v>2719</v>
      </c>
      <c r="AI109" s="1012"/>
      <c r="AJ109" s="1012"/>
      <c r="AK109" s="1012"/>
      <c r="AL109" s="1013"/>
      <c r="AM109" s="221"/>
      <c r="AN109" s="1016" t="s">
        <v>2720</v>
      </c>
      <c r="AO109" s="1012"/>
      <c r="AP109" s="1012"/>
      <c r="AQ109" s="1012"/>
      <c r="AR109" s="1013"/>
      <c r="AS109" s="262"/>
      <c r="AT109" s="262"/>
      <c r="AU109" s="262"/>
      <c r="AV109" s="262"/>
      <c r="AW109" s="262"/>
      <c r="AX109" s="262"/>
      <c r="AY109" s="262"/>
      <c r="AZ109" s="262"/>
      <c r="BA109" s="262"/>
      <c r="BB109" s="262"/>
      <c r="BC109" s="262"/>
      <c r="BD109" s="262"/>
      <c r="BE109" s="262"/>
      <c r="BF109" s="262"/>
      <c r="BG109" s="262"/>
      <c r="BH109" s="262"/>
      <c r="BI109" s="262"/>
      <c r="BJ109" s="262"/>
      <c r="BK109" s="262"/>
      <c r="BL109" s="262"/>
      <c r="BM109" s="262"/>
      <c r="BN109" s="262"/>
      <c r="BO109" s="262"/>
      <c r="BP109" s="262"/>
      <c r="BQ109" s="262"/>
      <c r="BR109" s="262"/>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row>
    <row r="110" spans="1:175" ht="4.5" customHeight="1" thickBot="1" x14ac:dyDescent="0.3">
      <c r="A110" s="332"/>
      <c r="B110" s="233"/>
      <c r="C110" s="357"/>
      <c r="D110" s="358"/>
      <c r="E110" s="358"/>
      <c r="F110" s="358"/>
      <c r="G110" s="358"/>
      <c r="H110" s="358"/>
      <c r="I110" s="358"/>
      <c r="J110" s="358"/>
      <c r="K110" s="358"/>
      <c r="L110" s="358"/>
      <c r="M110" s="358"/>
      <c r="N110" s="358"/>
      <c r="O110" s="358"/>
      <c r="P110" s="358"/>
      <c r="Q110" s="358"/>
      <c r="R110" s="358"/>
      <c r="S110" s="358"/>
      <c r="T110" s="358"/>
      <c r="U110" s="358"/>
      <c r="V110" s="358"/>
      <c r="W110" s="358"/>
      <c r="X110" s="358"/>
      <c r="Y110" s="358"/>
      <c r="Z110" s="358"/>
      <c r="AA110" s="358"/>
      <c r="AB110" s="358"/>
      <c r="AC110" s="358"/>
      <c r="AD110" s="358"/>
      <c r="AE110" s="359"/>
      <c r="AF110" s="305"/>
      <c r="AG110" s="306"/>
      <c r="AH110" s="1014"/>
      <c r="AI110" s="1014"/>
      <c r="AJ110" s="1014"/>
      <c r="AK110" s="1014"/>
      <c r="AL110" s="1015"/>
      <c r="AM110" s="221"/>
      <c r="AN110" s="1017"/>
      <c r="AO110" s="1014"/>
      <c r="AP110" s="1014"/>
      <c r="AQ110" s="1014"/>
      <c r="AR110" s="1015"/>
      <c r="AS110" s="262"/>
      <c r="AT110" s="262"/>
      <c r="AU110" s="262"/>
      <c r="AV110" s="262"/>
      <c r="AW110" s="262"/>
      <c r="AX110" s="262"/>
      <c r="AY110" s="262"/>
      <c r="AZ110" s="262"/>
      <c r="BA110" s="262"/>
      <c r="BB110" s="262"/>
      <c r="BC110" s="262"/>
      <c r="BD110" s="262"/>
      <c r="BE110" s="262"/>
      <c r="BF110" s="262"/>
      <c r="BG110" s="262"/>
      <c r="BH110" s="262"/>
      <c r="BI110" s="262"/>
      <c r="BJ110" s="262"/>
      <c r="BK110" s="262"/>
      <c r="BL110" s="262"/>
      <c r="BM110" s="262"/>
      <c r="BN110" s="262"/>
      <c r="BO110" s="262"/>
      <c r="BP110" s="262"/>
      <c r="BQ110" s="262"/>
      <c r="BR110" s="262"/>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row>
    <row r="111" spans="1:175" ht="87" customHeight="1" x14ac:dyDescent="0.25">
      <c r="A111" s="332"/>
      <c r="B111" s="233"/>
      <c r="C111" s="1018" t="s">
        <v>2785</v>
      </c>
      <c r="D111" s="209"/>
      <c r="E111" s="343" t="s">
        <v>2723</v>
      </c>
      <c r="F111" s="344" t="s">
        <v>2724</v>
      </c>
      <c r="G111" s="344" t="s">
        <v>2725</v>
      </c>
      <c r="H111" s="344" t="s">
        <v>2726</v>
      </c>
      <c r="I111" s="344" t="s">
        <v>2727</v>
      </c>
      <c r="J111" s="344" t="s">
        <v>2728</v>
      </c>
      <c r="K111" s="344" t="s">
        <v>2729</v>
      </c>
      <c r="L111" s="344" t="s">
        <v>2730</v>
      </c>
      <c r="M111" s="344" t="s">
        <v>2731</v>
      </c>
      <c r="N111" s="344" t="s">
        <v>2732</v>
      </c>
      <c r="O111" s="344" t="s">
        <v>2733</v>
      </c>
      <c r="P111" s="344" t="s">
        <v>2734</v>
      </c>
      <c r="Q111" s="345" t="s">
        <v>2735</v>
      </c>
      <c r="R111" s="345" t="s">
        <v>2736</v>
      </c>
      <c r="S111" s="345" t="s">
        <v>2737</v>
      </c>
      <c r="T111" s="345" t="s">
        <v>2738</v>
      </c>
      <c r="U111" s="345" t="s">
        <v>2739</v>
      </c>
      <c r="V111" s="345" t="s">
        <v>2740</v>
      </c>
      <c r="W111" s="345" t="s">
        <v>2741</v>
      </c>
      <c r="X111" s="345" t="s">
        <v>2742</v>
      </c>
      <c r="Y111" s="345" t="s">
        <v>2743</v>
      </c>
      <c r="Z111" s="345" t="s">
        <v>2744</v>
      </c>
      <c r="AA111" s="345" t="s">
        <v>2745</v>
      </c>
      <c r="AB111" s="345" t="s">
        <v>2746</v>
      </c>
      <c r="AC111" s="1021" t="s">
        <v>2747</v>
      </c>
      <c r="AD111" s="1021"/>
      <c r="AE111" s="356" t="s">
        <v>2748</v>
      </c>
      <c r="AF111" s="305"/>
      <c r="AG111" s="306"/>
      <c r="AH111" s="7"/>
      <c r="AI111" s="222" t="s">
        <v>2749</v>
      </c>
      <c r="AJ111" s="222" t="s">
        <v>2750</v>
      </c>
      <c r="AK111" s="222" t="s">
        <v>2751</v>
      </c>
      <c r="AL111" s="223" t="s">
        <v>2752</v>
      </c>
      <c r="AM111" s="221"/>
      <c r="AN111" s="209"/>
      <c r="AO111" s="222" t="s">
        <v>2753</v>
      </c>
      <c r="AP111" s="222" t="s">
        <v>2754</v>
      </c>
      <c r="AQ111" s="222" t="s">
        <v>2755</v>
      </c>
      <c r="AR111" s="223" t="s">
        <v>2756</v>
      </c>
      <c r="AS111" s="262"/>
      <c r="AT111" s="262"/>
      <c r="AU111" s="262"/>
      <c r="AV111" s="262"/>
      <c r="AW111" s="262"/>
      <c r="AX111" s="262"/>
      <c r="AY111" s="262"/>
      <c r="AZ111" s="262"/>
      <c r="BA111" s="262"/>
      <c r="BB111" s="262"/>
      <c r="BC111" s="262"/>
      <c r="BD111" s="262"/>
      <c r="BE111" s="262"/>
      <c r="BF111" s="262"/>
      <c r="BG111" s="262"/>
      <c r="BH111" s="262"/>
      <c r="BI111" s="262"/>
      <c r="BJ111" s="262"/>
      <c r="BK111" s="262"/>
      <c r="BL111" s="262"/>
      <c r="BM111" s="262"/>
      <c r="BN111" s="262"/>
      <c r="BO111" s="262"/>
      <c r="BP111" s="262"/>
      <c r="BQ111" s="262"/>
      <c r="BR111" s="262"/>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row>
    <row r="112" spans="1:175" ht="21" customHeight="1" x14ac:dyDescent="0.25">
      <c r="A112" s="332"/>
      <c r="B112" s="233"/>
      <c r="C112" s="1019"/>
      <c r="D112" s="224" t="s">
        <v>2757</v>
      </c>
      <c r="E112" s="455"/>
      <c r="F112" s="455"/>
      <c r="G112" s="455"/>
      <c r="H112" s="455"/>
      <c r="I112" s="455"/>
      <c r="J112" s="455"/>
      <c r="K112" s="455"/>
      <c r="L112" s="455"/>
      <c r="M112" s="455"/>
      <c r="N112" s="455"/>
      <c r="O112" s="455"/>
      <c r="P112" s="455"/>
      <c r="Q112" s="455"/>
      <c r="R112" s="455"/>
      <c r="S112" s="455"/>
      <c r="T112" s="455"/>
      <c r="U112" s="455"/>
      <c r="V112" s="455"/>
      <c r="W112" s="455"/>
      <c r="X112" s="455"/>
      <c r="Y112" s="455"/>
      <c r="Z112" s="455"/>
      <c r="AA112" s="455"/>
      <c r="AB112" s="455"/>
      <c r="AC112" s="1022">
        <f>SUM(E112:AB112)</f>
        <v>0</v>
      </c>
      <c r="AD112" s="1022"/>
      <c r="AE112" s="225">
        <f>AC112*52</f>
        <v>0</v>
      </c>
      <c r="AF112" s="305"/>
      <c r="AG112" s="306"/>
      <c r="AH112" s="228" t="s">
        <v>2758</v>
      </c>
      <c r="AI112" s="206">
        <f>IF(S112&gt;0, S112,0)</f>
        <v>0</v>
      </c>
      <c r="AJ112" s="206">
        <f>IF(T112&gt;0,T112,0)</f>
        <v>0</v>
      </c>
      <c r="AK112" s="206">
        <f>IF(U112&gt;0, U112, 0)</f>
        <v>0</v>
      </c>
      <c r="AL112" s="207">
        <f>IF(V112&gt;0, V112,0)</f>
        <v>0</v>
      </c>
      <c r="AM112" s="221"/>
      <c r="AN112" s="210" t="s">
        <v>2758</v>
      </c>
      <c r="AO112" s="206">
        <f>IF(L112&gt;0, L112,0)</f>
        <v>0</v>
      </c>
      <c r="AP112" s="206">
        <f>IF(M112&gt;0, M112,0)</f>
        <v>0</v>
      </c>
      <c r="AQ112" s="206">
        <f>IF(W112&gt;0, W112,0)</f>
        <v>0</v>
      </c>
      <c r="AR112" s="207">
        <f>IF(X112&gt;0, X112,0)</f>
        <v>0</v>
      </c>
      <c r="AS112" s="262"/>
      <c r="AT112" s="262"/>
      <c r="AU112" s="262"/>
      <c r="AV112" s="262"/>
      <c r="AW112" s="262"/>
      <c r="AX112" s="262"/>
      <c r="AY112" s="262"/>
      <c r="AZ112" s="262"/>
      <c r="BA112" s="262"/>
      <c r="BB112" s="262"/>
      <c r="BC112" s="262"/>
      <c r="BD112" s="262"/>
      <c r="BE112" s="262"/>
      <c r="BF112" s="262"/>
      <c r="BG112" s="262"/>
      <c r="BH112" s="262"/>
      <c r="BI112" s="262"/>
      <c r="BJ112" s="262"/>
      <c r="BK112" s="262"/>
      <c r="BL112" s="262"/>
      <c r="BM112" s="262"/>
      <c r="BN112" s="262"/>
      <c r="BO112" s="262"/>
      <c r="BP112" s="262"/>
      <c r="BQ112" s="262"/>
      <c r="BR112" s="262"/>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row>
    <row r="113" spans="1:175" ht="21" customHeight="1" x14ac:dyDescent="0.25">
      <c r="A113" s="332"/>
      <c r="B113" s="233"/>
      <c r="C113" s="1019"/>
      <c r="D113" s="226" t="s">
        <v>2759</v>
      </c>
      <c r="E113" s="455"/>
      <c r="F113" s="455"/>
      <c r="G113" s="455"/>
      <c r="H113" s="455"/>
      <c r="I113" s="455"/>
      <c r="J113" s="455"/>
      <c r="K113" s="455"/>
      <c r="L113" s="455"/>
      <c r="M113" s="455"/>
      <c r="N113" s="455"/>
      <c r="O113" s="455"/>
      <c r="P113" s="455"/>
      <c r="Q113" s="455"/>
      <c r="R113" s="455"/>
      <c r="S113" s="455"/>
      <c r="T113" s="455"/>
      <c r="U113" s="455"/>
      <c r="V113" s="455"/>
      <c r="W113" s="455"/>
      <c r="X113" s="455"/>
      <c r="Y113" s="455"/>
      <c r="Z113" s="455"/>
      <c r="AA113" s="455"/>
      <c r="AB113" s="455"/>
      <c r="AC113" s="1022">
        <f t="shared" ref="AC113:AC118" si="40">SUM(E113:AB113)</f>
        <v>0</v>
      </c>
      <c r="AD113" s="1022"/>
      <c r="AE113" s="225">
        <f t="shared" ref="AE113:AE118" si="41">AC113*52</f>
        <v>0</v>
      </c>
      <c r="AF113" s="305"/>
      <c r="AG113" s="306"/>
      <c r="AH113" s="228" t="s">
        <v>2760</v>
      </c>
      <c r="AI113" s="206">
        <f t="shared" ref="AI113:AI116" si="42">IF(S113&gt;0, S113,0)</f>
        <v>0</v>
      </c>
      <c r="AJ113" s="206">
        <f t="shared" ref="AJ113:AJ116" si="43">IF(T113&gt;0,T113,0)</f>
        <v>0</v>
      </c>
      <c r="AK113" s="206">
        <f t="shared" ref="AK113:AK116" si="44">IF(U113&gt;0, U113, 0)</f>
        <v>0</v>
      </c>
      <c r="AL113" s="207">
        <f t="shared" ref="AL113:AL116" si="45">IF(V113&gt;0, V113,0)</f>
        <v>0</v>
      </c>
      <c r="AM113" s="221"/>
      <c r="AN113" s="210" t="s">
        <v>2760</v>
      </c>
      <c r="AO113" s="206">
        <f t="shared" ref="AO113:AP116" si="46">IF(L113&gt;0, L113,0)</f>
        <v>0</v>
      </c>
      <c r="AP113" s="206">
        <f t="shared" si="46"/>
        <v>0</v>
      </c>
      <c r="AQ113" s="206">
        <f t="shared" ref="AQ113:AR116" si="47">IF(W113&gt;0, W113,0)</f>
        <v>0</v>
      </c>
      <c r="AR113" s="207">
        <f t="shared" si="47"/>
        <v>0</v>
      </c>
      <c r="AS113" s="262"/>
      <c r="AT113" s="262"/>
      <c r="AU113" s="262"/>
      <c r="AV113" s="262"/>
      <c r="AW113" s="262"/>
      <c r="AX113" s="262"/>
      <c r="AY113" s="262"/>
      <c r="AZ113" s="262"/>
      <c r="BA113" s="262"/>
      <c r="BB113" s="262"/>
      <c r="BC113" s="262"/>
      <c r="BD113" s="262"/>
      <c r="BE113" s="262"/>
      <c r="BF113" s="262"/>
      <c r="BG113" s="262"/>
      <c r="BH113" s="262"/>
      <c r="BI113" s="262"/>
      <c r="BJ113" s="262"/>
      <c r="BK113" s="262"/>
      <c r="BL113" s="262"/>
      <c r="BM113" s="262"/>
      <c r="BN113" s="262"/>
      <c r="BO113" s="262"/>
      <c r="BP113" s="262"/>
      <c r="BQ113" s="262"/>
      <c r="BR113" s="262"/>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row>
    <row r="114" spans="1:175" ht="21" customHeight="1" x14ac:dyDescent="0.25">
      <c r="A114" s="332"/>
      <c r="B114" s="233"/>
      <c r="C114" s="1019"/>
      <c r="D114" s="226" t="s">
        <v>2761</v>
      </c>
      <c r="E114" s="455"/>
      <c r="F114" s="455"/>
      <c r="G114" s="455"/>
      <c r="H114" s="455"/>
      <c r="I114" s="455"/>
      <c r="J114" s="455"/>
      <c r="K114" s="455"/>
      <c r="L114" s="455"/>
      <c r="M114" s="455"/>
      <c r="N114" s="455"/>
      <c r="O114" s="455"/>
      <c r="P114" s="455"/>
      <c r="Q114" s="455"/>
      <c r="R114" s="455"/>
      <c r="S114" s="455"/>
      <c r="T114" s="455"/>
      <c r="U114" s="455"/>
      <c r="V114" s="455"/>
      <c r="W114" s="455"/>
      <c r="X114" s="455"/>
      <c r="Y114" s="455"/>
      <c r="Z114" s="455"/>
      <c r="AA114" s="455"/>
      <c r="AB114" s="455"/>
      <c r="AC114" s="1022">
        <f t="shared" si="40"/>
        <v>0</v>
      </c>
      <c r="AD114" s="1022"/>
      <c r="AE114" s="225">
        <f t="shared" si="41"/>
        <v>0</v>
      </c>
      <c r="AF114" s="305"/>
      <c r="AG114" s="306"/>
      <c r="AH114" s="228" t="s">
        <v>2762</v>
      </c>
      <c r="AI114" s="206">
        <f t="shared" si="42"/>
        <v>0</v>
      </c>
      <c r="AJ114" s="206">
        <f t="shared" si="43"/>
        <v>0</v>
      </c>
      <c r="AK114" s="206">
        <f t="shared" si="44"/>
        <v>0</v>
      </c>
      <c r="AL114" s="207">
        <f t="shared" si="45"/>
        <v>0</v>
      </c>
      <c r="AM114" s="221"/>
      <c r="AN114" s="210" t="s">
        <v>2762</v>
      </c>
      <c r="AO114" s="206">
        <f t="shared" si="46"/>
        <v>0</v>
      </c>
      <c r="AP114" s="206">
        <f t="shared" si="46"/>
        <v>0</v>
      </c>
      <c r="AQ114" s="206">
        <f t="shared" si="47"/>
        <v>0</v>
      </c>
      <c r="AR114" s="207">
        <f t="shared" si="47"/>
        <v>0</v>
      </c>
      <c r="AS114" s="262"/>
      <c r="AT114" s="262"/>
      <c r="AU114" s="262"/>
      <c r="AV114" s="262"/>
      <c r="AW114" s="262"/>
      <c r="AX114" s="262"/>
      <c r="AY114" s="262"/>
      <c r="AZ114" s="262"/>
      <c r="BA114" s="262"/>
      <c r="BB114" s="262"/>
      <c r="BC114" s="262"/>
      <c r="BD114" s="262"/>
      <c r="BE114" s="262"/>
      <c r="BF114" s="262"/>
      <c r="BG114" s="262"/>
      <c r="BH114" s="262"/>
      <c r="BI114" s="262"/>
      <c r="BJ114" s="262"/>
      <c r="BK114" s="262"/>
      <c r="BL114" s="262"/>
      <c r="BM114" s="262"/>
      <c r="BN114" s="262"/>
      <c r="BO114" s="262"/>
      <c r="BP114" s="262"/>
      <c r="BQ114" s="262"/>
      <c r="BR114" s="262"/>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row>
    <row r="115" spans="1:175" ht="21" customHeight="1" x14ac:dyDescent="0.25">
      <c r="A115" s="332"/>
      <c r="B115" s="233"/>
      <c r="C115" s="1019"/>
      <c r="D115" s="226" t="s">
        <v>2763</v>
      </c>
      <c r="E115" s="455"/>
      <c r="F115" s="455"/>
      <c r="G115" s="455"/>
      <c r="H115" s="455"/>
      <c r="I115" s="455"/>
      <c r="J115" s="455"/>
      <c r="K115" s="455"/>
      <c r="L115" s="455"/>
      <c r="M115" s="455"/>
      <c r="N115" s="455"/>
      <c r="O115" s="455"/>
      <c r="P115" s="455"/>
      <c r="Q115" s="455"/>
      <c r="R115" s="455"/>
      <c r="S115" s="455"/>
      <c r="T115" s="455"/>
      <c r="U115" s="455"/>
      <c r="V115" s="455"/>
      <c r="W115" s="455"/>
      <c r="X115" s="455"/>
      <c r="Y115" s="455"/>
      <c r="Z115" s="455"/>
      <c r="AA115" s="455"/>
      <c r="AB115" s="455"/>
      <c r="AC115" s="1022">
        <f t="shared" si="40"/>
        <v>0</v>
      </c>
      <c r="AD115" s="1022"/>
      <c r="AE115" s="225">
        <f t="shared" si="41"/>
        <v>0</v>
      </c>
      <c r="AF115" s="305"/>
      <c r="AG115" s="306"/>
      <c r="AH115" s="228" t="s">
        <v>2764</v>
      </c>
      <c r="AI115" s="206">
        <f t="shared" si="42"/>
        <v>0</v>
      </c>
      <c r="AJ115" s="206">
        <f t="shared" si="43"/>
        <v>0</v>
      </c>
      <c r="AK115" s="206">
        <f t="shared" si="44"/>
        <v>0</v>
      </c>
      <c r="AL115" s="207">
        <f t="shared" si="45"/>
        <v>0</v>
      </c>
      <c r="AM115" s="221"/>
      <c r="AN115" s="210" t="s">
        <v>2764</v>
      </c>
      <c r="AO115" s="206">
        <f t="shared" si="46"/>
        <v>0</v>
      </c>
      <c r="AP115" s="206">
        <f t="shared" si="46"/>
        <v>0</v>
      </c>
      <c r="AQ115" s="206">
        <f t="shared" si="47"/>
        <v>0</v>
      </c>
      <c r="AR115" s="207">
        <f t="shared" si="47"/>
        <v>0</v>
      </c>
      <c r="AS115" s="262"/>
      <c r="AT115" s="262"/>
      <c r="AU115" s="262"/>
      <c r="AV115" s="262"/>
      <c r="AW115" s="262"/>
      <c r="AX115" s="262"/>
      <c r="AY115" s="262"/>
      <c r="AZ115" s="262"/>
      <c r="BA115" s="262"/>
      <c r="BB115" s="262"/>
      <c r="BC115" s="262"/>
      <c r="BD115" s="262"/>
      <c r="BE115" s="262"/>
      <c r="BF115" s="262"/>
      <c r="BG115" s="262"/>
      <c r="BH115" s="262"/>
      <c r="BI115" s="262"/>
      <c r="BJ115" s="262"/>
      <c r="BK115" s="262"/>
      <c r="BL115" s="262"/>
      <c r="BM115" s="262"/>
      <c r="BN115" s="262"/>
      <c r="BO115" s="262"/>
      <c r="BP115" s="262"/>
      <c r="BQ115" s="262"/>
      <c r="BR115" s="262"/>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row>
    <row r="116" spans="1:175" ht="21" customHeight="1" x14ac:dyDescent="0.25">
      <c r="A116" s="332"/>
      <c r="B116" s="233"/>
      <c r="C116" s="1019"/>
      <c r="D116" s="226" t="s">
        <v>2765</v>
      </c>
      <c r="E116" s="455"/>
      <c r="F116" s="455"/>
      <c r="G116" s="455"/>
      <c r="H116" s="455"/>
      <c r="I116" s="455"/>
      <c r="J116" s="455"/>
      <c r="K116" s="455"/>
      <c r="L116" s="455"/>
      <c r="M116" s="455"/>
      <c r="N116" s="455"/>
      <c r="O116" s="455"/>
      <c r="P116" s="455"/>
      <c r="Q116" s="455"/>
      <c r="R116" s="455"/>
      <c r="S116" s="455"/>
      <c r="T116" s="455"/>
      <c r="U116" s="455"/>
      <c r="V116" s="455"/>
      <c r="W116" s="455"/>
      <c r="X116" s="455"/>
      <c r="Y116" s="455"/>
      <c r="Z116" s="455"/>
      <c r="AA116" s="455"/>
      <c r="AB116" s="455"/>
      <c r="AC116" s="1022">
        <f t="shared" si="40"/>
        <v>0</v>
      </c>
      <c r="AD116" s="1022"/>
      <c r="AE116" s="225">
        <f t="shared" si="41"/>
        <v>0</v>
      </c>
      <c r="AF116" s="305"/>
      <c r="AG116" s="306"/>
      <c r="AH116" s="228" t="s">
        <v>2766</v>
      </c>
      <c r="AI116" s="206">
        <f t="shared" si="42"/>
        <v>0</v>
      </c>
      <c r="AJ116" s="206">
        <f t="shared" si="43"/>
        <v>0</v>
      </c>
      <c r="AK116" s="206">
        <f t="shared" si="44"/>
        <v>0</v>
      </c>
      <c r="AL116" s="207">
        <f t="shared" si="45"/>
        <v>0</v>
      </c>
      <c r="AM116" s="221"/>
      <c r="AN116" s="210" t="s">
        <v>2766</v>
      </c>
      <c r="AO116" s="206">
        <f t="shared" si="46"/>
        <v>0</v>
      </c>
      <c r="AP116" s="206">
        <f t="shared" si="46"/>
        <v>0</v>
      </c>
      <c r="AQ116" s="206">
        <f t="shared" si="47"/>
        <v>0</v>
      </c>
      <c r="AR116" s="207">
        <f t="shared" si="47"/>
        <v>0</v>
      </c>
      <c r="AS116" s="262"/>
      <c r="AT116" s="262"/>
      <c r="AU116" s="262"/>
      <c r="AV116" s="262"/>
      <c r="AW116" s="262"/>
      <c r="AX116" s="262"/>
      <c r="AY116" s="262"/>
      <c r="AZ116" s="262"/>
      <c r="BA116" s="262"/>
      <c r="BB116" s="262"/>
      <c r="BC116" s="262"/>
      <c r="BD116" s="262"/>
      <c r="BE116" s="262"/>
      <c r="BF116" s="262"/>
      <c r="BG116" s="262"/>
      <c r="BH116" s="262"/>
      <c r="BI116" s="262"/>
      <c r="BJ116" s="262"/>
      <c r="BK116" s="262"/>
      <c r="BL116" s="262"/>
      <c r="BM116" s="262"/>
      <c r="BN116" s="262"/>
      <c r="BO116" s="262"/>
      <c r="BP116" s="262"/>
      <c r="BQ116" s="262"/>
      <c r="BR116" s="262"/>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row>
    <row r="117" spans="1:175" ht="21" customHeight="1" thickBot="1" x14ac:dyDescent="0.3">
      <c r="A117" s="332"/>
      <c r="B117" s="233"/>
      <c r="C117" s="1019"/>
      <c r="D117" s="226" t="s">
        <v>2767</v>
      </c>
      <c r="E117" s="455"/>
      <c r="F117" s="455"/>
      <c r="G117" s="455"/>
      <c r="H117" s="455"/>
      <c r="I117" s="455"/>
      <c r="J117" s="455"/>
      <c r="K117" s="455"/>
      <c r="L117" s="455"/>
      <c r="M117" s="455"/>
      <c r="N117" s="455"/>
      <c r="O117" s="455"/>
      <c r="P117" s="455"/>
      <c r="Q117" s="455"/>
      <c r="R117" s="455"/>
      <c r="S117" s="455"/>
      <c r="T117" s="455"/>
      <c r="U117" s="455"/>
      <c r="V117" s="455"/>
      <c r="W117" s="455"/>
      <c r="X117" s="455"/>
      <c r="Y117" s="455"/>
      <c r="Z117" s="455"/>
      <c r="AA117" s="455"/>
      <c r="AB117" s="455"/>
      <c r="AC117" s="1022">
        <f t="shared" si="40"/>
        <v>0</v>
      </c>
      <c r="AD117" s="1022"/>
      <c r="AE117" s="225">
        <f t="shared" si="41"/>
        <v>0</v>
      </c>
      <c r="AF117" s="305"/>
      <c r="AG117" s="306"/>
      <c r="AH117" s="229" t="s">
        <v>181</v>
      </c>
      <c r="AI117" s="208">
        <f>IFERROR(AVERAGE(AI112:AL116), "")</f>
        <v>0</v>
      </c>
      <c r="AJ117" s="221"/>
      <c r="AK117" s="221"/>
      <c r="AL117" s="221"/>
      <c r="AM117" s="221"/>
      <c r="AN117" s="211" t="s">
        <v>181</v>
      </c>
      <c r="AO117" s="208">
        <f>IFERROR(AVERAGE(AO112:AR116), "")</f>
        <v>0</v>
      </c>
      <c r="AP117" s="221"/>
      <c r="AQ117" s="221"/>
      <c r="AR117" s="221"/>
      <c r="AS117" s="262"/>
      <c r="AT117" s="262"/>
      <c r="AU117" s="262"/>
      <c r="AV117" s="262"/>
      <c r="AW117" s="262"/>
      <c r="AX117" s="262"/>
      <c r="AY117" s="262"/>
      <c r="AZ117" s="262"/>
      <c r="BA117" s="262"/>
      <c r="BB117" s="262"/>
      <c r="BC117" s="262"/>
      <c r="BD117" s="262"/>
      <c r="BE117" s="262"/>
      <c r="BF117" s="262"/>
      <c r="BG117" s="262"/>
      <c r="BH117" s="262"/>
      <c r="BI117" s="262"/>
      <c r="BJ117" s="262"/>
      <c r="BK117" s="262"/>
      <c r="BL117" s="262"/>
      <c r="BM117" s="262"/>
      <c r="BN117" s="262"/>
      <c r="BO117" s="262"/>
      <c r="BP117" s="262"/>
      <c r="BQ117" s="262"/>
      <c r="BR117" s="262"/>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row>
    <row r="118" spans="1:175" ht="21" customHeight="1" x14ac:dyDescent="0.25">
      <c r="A118" s="332"/>
      <c r="B118" s="233"/>
      <c r="C118" s="1019"/>
      <c r="D118" s="227" t="s">
        <v>2768</v>
      </c>
      <c r="E118" s="455"/>
      <c r="F118" s="455"/>
      <c r="G118" s="455"/>
      <c r="H118" s="455"/>
      <c r="I118" s="455"/>
      <c r="J118" s="455"/>
      <c r="K118" s="455"/>
      <c r="L118" s="455"/>
      <c r="M118" s="455"/>
      <c r="N118" s="455"/>
      <c r="O118" s="455"/>
      <c r="P118" s="455"/>
      <c r="Q118" s="455"/>
      <c r="R118" s="455"/>
      <c r="S118" s="455"/>
      <c r="T118" s="455"/>
      <c r="U118" s="455"/>
      <c r="V118" s="455"/>
      <c r="W118" s="455"/>
      <c r="X118" s="455"/>
      <c r="Y118" s="455"/>
      <c r="Z118" s="455"/>
      <c r="AA118" s="455"/>
      <c r="AB118" s="455"/>
      <c r="AC118" s="1022">
        <f t="shared" si="40"/>
        <v>0</v>
      </c>
      <c r="AD118" s="1022"/>
      <c r="AE118" s="225">
        <f t="shared" si="41"/>
        <v>0</v>
      </c>
      <c r="AF118" s="305"/>
      <c r="AG118" s="306"/>
      <c r="AH118" s="221"/>
      <c r="AI118" s="221"/>
      <c r="AJ118" s="221"/>
      <c r="AK118" s="221"/>
      <c r="AL118" s="221"/>
      <c r="AM118" s="221"/>
      <c r="AN118" s="221"/>
      <c r="AO118" s="221"/>
      <c r="AP118" s="221"/>
      <c r="AQ118" s="221"/>
      <c r="AR118" s="221"/>
      <c r="AS118" s="262"/>
      <c r="AT118" s="262"/>
      <c r="AU118" s="262"/>
      <c r="AV118" s="262"/>
      <c r="AW118" s="262"/>
      <c r="AX118" s="262"/>
      <c r="AY118" s="262"/>
      <c r="AZ118" s="262"/>
      <c r="BA118" s="262"/>
      <c r="BB118" s="262"/>
      <c r="BC118" s="262"/>
      <c r="BD118" s="262"/>
      <c r="BE118" s="262"/>
      <c r="BF118" s="262"/>
      <c r="BG118" s="262"/>
      <c r="BH118" s="262"/>
      <c r="BI118" s="262"/>
      <c r="BJ118" s="262"/>
      <c r="BK118" s="262"/>
      <c r="BL118" s="262"/>
      <c r="BM118" s="262"/>
      <c r="BN118" s="262"/>
      <c r="BO118" s="262"/>
      <c r="BP118" s="262"/>
      <c r="BQ118" s="262"/>
      <c r="BR118" s="262"/>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row>
    <row r="119" spans="1:175" ht="19.5" thickBot="1" x14ac:dyDescent="0.3">
      <c r="A119" s="332"/>
      <c r="B119" s="233"/>
      <c r="C119" s="1020"/>
      <c r="D119" s="42"/>
      <c r="E119" s="43"/>
      <c r="F119" s="43"/>
      <c r="G119" s="43"/>
      <c r="H119" s="342"/>
      <c r="I119" s="342"/>
      <c r="J119" s="43"/>
      <c r="K119" s="43"/>
      <c r="L119" s="43"/>
      <c r="M119" s="43"/>
      <c r="N119" s="43"/>
      <c r="O119" s="43"/>
      <c r="P119" s="43"/>
      <c r="Q119" s="43"/>
      <c r="R119" s="43"/>
      <c r="S119" s="43"/>
      <c r="T119" s="43"/>
      <c r="U119" s="43"/>
      <c r="V119" s="43"/>
      <c r="W119" s="43"/>
      <c r="X119" s="43"/>
      <c r="Y119" s="43"/>
      <c r="Z119" s="43"/>
      <c r="AA119" s="43"/>
      <c r="AB119" s="43"/>
      <c r="AC119" s="43"/>
      <c r="AD119" s="43"/>
      <c r="AE119" s="44"/>
      <c r="AF119" s="305"/>
      <c r="AG119" s="306"/>
      <c r="AH119" s="221"/>
      <c r="AI119" s="221"/>
      <c r="AJ119" s="221"/>
      <c r="AK119" s="221"/>
      <c r="AL119" s="221"/>
      <c r="AM119" s="221"/>
      <c r="AN119" s="221"/>
      <c r="AO119" s="221"/>
      <c r="AP119" s="221"/>
      <c r="AQ119" s="221"/>
      <c r="AR119" s="221"/>
      <c r="AS119" s="262"/>
      <c r="AT119" s="262"/>
      <c r="AU119" s="262"/>
      <c r="AV119" s="262"/>
      <c r="AW119" s="262"/>
      <c r="AX119" s="262"/>
      <c r="AY119" s="262"/>
      <c r="AZ119" s="262"/>
      <c r="BA119" s="262"/>
      <c r="BB119" s="262"/>
      <c r="BC119" s="262"/>
      <c r="BD119" s="262"/>
      <c r="BE119" s="262"/>
      <c r="BF119" s="262"/>
      <c r="BG119" s="262"/>
      <c r="BH119" s="262"/>
      <c r="BI119" s="262"/>
      <c r="BJ119" s="262"/>
      <c r="BK119" s="262"/>
      <c r="BL119" s="262"/>
      <c r="BM119" s="262"/>
      <c r="BN119" s="262"/>
      <c r="BO119" s="262"/>
      <c r="BP119" s="262"/>
      <c r="BQ119" s="262"/>
      <c r="BR119" s="262"/>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row>
    <row r="120" spans="1:175" ht="15" customHeight="1" x14ac:dyDescent="0.25">
      <c r="A120" s="332"/>
      <c r="B120" s="233"/>
      <c r="C120" s="1003" t="s">
        <v>2769</v>
      </c>
      <c r="D120" s="1003"/>
      <c r="E120" s="1003"/>
      <c r="F120" s="1003"/>
      <c r="G120" s="1004"/>
      <c r="H120" s="1008"/>
      <c r="I120" s="1008"/>
      <c r="J120" s="307"/>
      <c r="K120" s="1009" t="s">
        <v>2770</v>
      </c>
      <c r="L120" s="1009"/>
      <c r="M120" s="1009"/>
      <c r="N120" s="1009"/>
      <c r="O120" s="1009"/>
      <c r="P120" s="1009"/>
      <c r="Q120" s="1010">
        <f>IFERROR((((SUM(AC112:AD118))*H121)/((7*24*52)/8760))-(H120*((AVERAGE(AC112:AD116)))), "")</f>
        <v>0</v>
      </c>
      <c r="R120" s="1010"/>
      <c r="S120" s="307"/>
      <c r="T120" s="307"/>
      <c r="U120" s="307"/>
      <c r="V120" s="307"/>
      <c r="W120" s="307"/>
      <c r="X120" s="307"/>
      <c r="Y120" s="307"/>
      <c r="Z120" s="307"/>
      <c r="AA120" s="307"/>
      <c r="AB120" s="307"/>
      <c r="AC120" s="307"/>
      <c r="AD120" s="307"/>
      <c r="AE120" s="307"/>
      <c r="AF120" s="305"/>
      <c r="AG120" s="306"/>
      <c r="AH120" s="221"/>
      <c r="AI120" s="221"/>
      <c r="AJ120" s="221"/>
      <c r="AK120" s="221"/>
      <c r="AL120" s="221"/>
      <c r="AM120" s="221"/>
      <c r="AN120" s="221"/>
      <c r="AO120" s="221"/>
      <c r="AP120" s="221"/>
      <c r="AQ120" s="221"/>
      <c r="AR120" s="221"/>
      <c r="AS120" s="262"/>
      <c r="AT120" s="262"/>
      <c r="AU120" s="262"/>
      <c r="AV120" s="262"/>
      <c r="AW120" s="262"/>
      <c r="AX120" s="262"/>
      <c r="AY120" s="262"/>
      <c r="AZ120" s="262"/>
      <c r="BA120" s="262"/>
      <c r="BB120" s="262"/>
      <c r="BC120" s="262"/>
      <c r="BD120" s="262"/>
      <c r="BE120" s="262"/>
      <c r="BF120" s="262"/>
      <c r="BG120" s="262"/>
      <c r="BH120" s="262"/>
      <c r="BI120" s="262"/>
      <c r="BJ120" s="262"/>
      <c r="BK120" s="262"/>
      <c r="BL120" s="262"/>
      <c r="BM120" s="262"/>
      <c r="BN120" s="262"/>
      <c r="BO120" s="262"/>
      <c r="BP120" s="262"/>
      <c r="BQ120" s="262"/>
      <c r="BR120" s="262"/>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row>
    <row r="121" spans="1:175" ht="15" customHeight="1" x14ac:dyDescent="0.25">
      <c r="A121" s="332"/>
      <c r="B121" s="233"/>
      <c r="C121" s="1003" t="s">
        <v>2771</v>
      </c>
      <c r="D121" s="1003"/>
      <c r="E121" s="1003"/>
      <c r="F121" s="1003"/>
      <c r="G121" s="1004"/>
      <c r="H121" s="1005"/>
      <c r="I121" s="1005"/>
      <c r="J121" s="307"/>
      <c r="K121" s="1003" t="s">
        <v>2772</v>
      </c>
      <c r="L121" s="1003"/>
      <c r="M121" s="1003"/>
      <c r="N121" s="1003"/>
      <c r="O121" s="1003"/>
      <c r="P121" s="1003"/>
      <c r="Q121" s="1006">
        <f>IFERROR(IF(Q120="","",AI117*(1-(H122/13))), 0)</f>
        <v>0</v>
      </c>
      <c r="R121" s="1007"/>
      <c r="S121" s="307"/>
      <c r="T121" s="307"/>
      <c r="U121" s="307"/>
      <c r="V121" s="307"/>
      <c r="W121" s="307"/>
      <c r="X121" s="307"/>
      <c r="Y121" s="307"/>
      <c r="Z121" s="307"/>
      <c r="AA121" s="307"/>
      <c r="AB121" s="307"/>
      <c r="AC121" s="307"/>
      <c r="AD121" s="307"/>
      <c r="AE121" s="307"/>
      <c r="AF121" s="305"/>
      <c r="AG121" s="306"/>
      <c r="AH121" s="221"/>
      <c r="AI121" s="221"/>
      <c r="AJ121" s="221"/>
      <c r="AK121" s="221"/>
      <c r="AL121" s="221"/>
      <c r="AM121" s="221"/>
      <c r="AN121" s="221"/>
      <c r="AO121" s="221"/>
      <c r="AP121" s="221"/>
      <c r="AQ121" s="221"/>
      <c r="AR121" s="221"/>
      <c r="AS121" s="262"/>
      <c r="AT121" s="262"/>
      <c r="AU121" s="262"/>
      <c r="AV121" s="262"/>
      <c r="AW121" s="262"/>
      <c r="AX121" s="262"/>
      <c r="AY121" s="262"/>
      <c r="AZ121" s="262"/>
      <c r="BA121" s="262"/>
      <c r="BB121" s="262"/>
      <c r="BC121" s="262"/>
      <c r="BD121" s="262"/>
      <c r="BE121" s="262"/>
      <c r="BF121" s="262"/>
      <c r="BG121" s="262"/>
      <c r="BH121" s="262"/>
      <c r="BI121" s="262"/>
      <c r="BJ121" s="262"/>
      <c r="BK121" s="262"/>
      <c r="BL121" s="262"/>
      <c r="BM121" s="262"/>
      <c r="BN121" s="262"/>
      <c r="BO121" s="262"/>
      <c r="BP121" s="262"/>
      <c r="BQ121" s="262"/>
      <c r="BR121" s="262"/>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row>
    <row r="122" spans="1:175" ht="15" customHeight="1" x14ac:dyDescent="0.25">
      <c r="A122" s="332"/>
      <c r="B122" s="233"/>
      <c r="C122" s="1003" t="s">
        <v>2773</v>
      </c>
      <c r="D122" s="1003"/>
      <c r="E122" s="1003"/>
      <c r="F122" s="1003"/>
      <c r="G122" s="1004"/>
      <c r="H122" s="1005"/>
      <c r="I122" s="1005"/>
      <c r="J122" s="307"/>
      <c r="K122" s="1003" t="s">
        <v>2774</v>
      </c>
      <c r="L122" s="1003"/>
      <c r="M122" s="1003"/>
      <c r="N122" s="1003"/>
      <c r="O122" s="1003"/>
      <c r="P122" s="1003"/>
      <c r="Q122" s="1006">
        <f>IFERROR(IF(Q120="","",AO117*(1-(H123/9))), 0)</f>
        <v>0</v>
      </c>
      <c r="R122" s="1007"/>
      <c r="S122" s="307"/>
      <c r="T122" s="307"/>
      <c r="U122" s="307"/>
      <c r="V122" s="307"/>
      <c r="W122" s="307"/>
      <c r="X122" s="307"/>
      <c r="Y122" s="307"/>
      <c r="Z122" s="307"/>
      <c r="AA122" s="307"/>
      <c r="AB122" s="307"/>
      <c r="AC122" s="307"/>
      <c r="AD122" s="307"/>
      <c r="AE122" s="307"/>
      <c r="AF122" s="305"/>
      <c r="AG122" s="306"/>
      <c r="AH122" s="221"/>
      <c r="AI122" s="221"/>
      <c r="AJ122" s="221"/>
      <c r="AK122" s="221"/>
      <c r="AL122" s="221"/>
      <c r="AM122" s="221"/>
      <c r="AN122" s="221"/>
      <c r="AO122" s="221"/>
      <c r="AP122" s="221"/>
      <c r="AQ122" s="221"/>
      <c r="AR122" s="221"/>
      <c r="AS122" s="262"/>
      <c r="AT122" s="262"/>
      <c r="AU122" s="262"/>
      <c r="AV122" s="262"/>
      <c r="AW122" s="262"/>
      <c r="AX122" s="262"/>
      <c r="AY122" s="262"/>
      <c r="AZ122" s="262"/>
      <c r="BA122" s="262"/>
      <c r="BB122" s="262"/>
      <c r="BC122" s="262"/>
      <c r="BD122" s="262"/>
      <c r="BE122" s="262"/>
      <c r="BF122" s="262"/>
      <c r="BG122" s="262"/>
      <c r="BH122" s="262"/>
      <c r="BI122" s="262"/>
      <c r="BJ122" s="262"/>
      <c r="BK122" s="262"/>
      <c r="BL122" s="262"/>
      <c r="BM122" s="262"/>
      <c r="BN122" s="262"/>
      <c r="BO122" s="262"/>
      <c r="BP122" s="262"/>
      <c r="BQ122" s="262"/>
      <c r="BR122" s="262"/>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row>
    <row r="123" spans="1:175" ht="15" customHeight="1" x14ac:dyDescent="0.25">
      <c r="A123" s="332"/>
      <c r="B123" s="233"/>
      <c r="C123" s="1003" t="s">
        <v>2775</v>
      </c>
      <c r="D123" s="1003"/>
      <c r="E123" s="1003"/>
      <c r="F123" s="1003"/>
      <c r="G123" s="1004"/>
      <c r="H123" s="1005"/>
      <c r="I123" s="1005"/>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5"/>
      <c r="AG123" s="306"/>
      <c r="AH123" s="221"/>
      <c r="AI123" s="221"/>
      <c r="AJ123" s="221"/>
      <c r="AK123" s="221"/>
      <c r="AL123" s="221"/>
      <c r="AM123" s="221"/>
      <c r="AN123" s="221"/>
      <c r="AO123" s="221"/>
      <c r="AP123" s="221"/>
      <c r="AQ123" s="221"/>
      <c r="AR123" s="221"/>
      <c r="AS123" s="262"/>
      <c r="AT123" s="262"/>
      <c r="AU123" s="262"/>
      <c r="AV123" s="262"/>
      <c r="AW123" s="262"/>
      <c r="AX123" s="262"/>
      <c r="AY123" s="262"/>
      <c r="AZ123" s="262"/>
      <c r="BA123" s="262"/>
      <c r="BB123" s="262"/>
      <c r="BC123" s="262"/>
      <c r="BD123" s="262"/>
      <c r="BE123" s="262"/>
      <c r="BF123" s="262"/>
      <c r="BG123" s="262"/>
      <c r="BH123" s="262"/>
      <c r="BI123" s="262"/>
      <c r="BJ123" s="262"/>
      <c r="BK123" s="262"/>
      <c r="BL123" s="262"/>
      <c r="BM123" s="262"/>
      <c r="BN123" s="262"/>
      <c r="BO123" s="262"/>
      <c r="BP123" s="262"/>
      <c r="BQ123" s="262"/>
      <c r="BR123" s="262"/>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row>
    <row r="124" spans="1:175" ht="18.75" x14ac:dyDescent="0.25">
      <c r="A124" s="332"/>
      <c r="B124" s="233"/>
      <c r="C124" s="300"/>
      <c r="D124" s="300"/>
      <c r="E124" s="300"/>
      <c r="F124" s="300"/>
      <c r="G124" s="300"/>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5"/>
      <c r="AG124" s="306"/>
      <c r="AH124" s="221"/>
      <c r="AI124" s="221"/>
      <c r="AJ124" s="221"/>
      <c r="AK124" s="221"/>
      <c r="AL124" s="221"/>
      <c r="AM124" s="221"/>
      <c r="AN124" s="221"/>
      <c r="AO124" s="221"/>
      <c r="AP124" s="221"/>
      <c r="AQ124" s="221"/>
      <c r="AR124" s="221"/>
      <c r="AS124" s="262"/>
      <c r="AT124" s="262"/>
      <c r="AU124" s="262"/>
      <c r="AV124" s="262"/>
      <c r="AW124" s="262"/>
      <c r="AX124" s="262"/>
      <c r="AY124" s="262"/>
      <c r="AZ124" s="262"/>
      <c r="BA124" s="262"/>
      <c r="BB124" s="262"/>
      <c r="BC124" s="262"/>
      <c r="BD124" s="262"/>
      <c r="BE124" s="262"/>
      <c r="BF124" s="262"/>
      <c r="BG124" s="262"/>
      <c r="BH124" s="262"/>
      <c r="BI124" s="262"/>
      <c r="BJ124" s="262"/>
      <c r="BK124" s="262"/>
      <c r="BL124" s="262"/>
      <c r="BM124" s="262"/>
      <c r="BN124" s="262"/>
      <c r="BO124" s="262"/>
      <c r="BP124" s="262"/>
      <c r="BQ124" s="262"/>
      <c r="BR124" s="262"/>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row>
    <row r="125" spans="1:175" ht="19.5" thickBot="1" x14ac:dyDescent="0.3">
      <c r="A125" s="332"/>
      <c r="B125" s="233"/>
      <c r="C125" s="300"/>
      <c r="D125" s="300"/>
      <c r="E125" s="300"/>
      <c r="F125" s="300"/>
      <c r="G125" s="300"/>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5"/>
      <c r="AG125" s="306"/>
      <c r="AH125" s="221"/>
      <c r="AI125" s="221"/>
      <c r="AJ125" s="221"/>
      <c r="AK125" s="221"/>
      <c r="AL125" s="221"/>
      <c r="AM125" s="221"/>
      <c r="AN125" s="221"/>
      <c r="AO125" s="221"/>
      <c r="AP125" s="221"/>
      <c r="AQ125" s="221"/>
      <c r="AR125" s="221"/>
      <c r="AS125" s="262"/>
      <c r="AT125" s="262"/>
      <c r="AU125" s="262"/>
      <c r="AV125" s="262"/>
      <c r="AW125" s="262"/>
      <c r="AX125" s="262"/>
      <c r="AY125" s="262"/>
      <c r="AZ125" s="262"/>
      <c r="BA125" s="262"/>
      <c r="BB125" s="262"/>
      <c r="BC125" s="262"/>
      <c r="BD125" s="262"/>
      <c r="BE125" s="262"/>
      <c r="BF125" s="262"/>
      <c r="BG125" s="262"/>
      <c r="BH125" s="262"/>
      <c r="BI125" s="262"/>
      <c r="BJ125" s="262"/>
      <c r="BK125" s="262"/>
      <c r="BL125" s="262"/>
      <c r="BM125" s="262"/>
      <c r="BN125" s="262"/>
      <c r="BO125" s="262"/>
      <c r="BP125" s="262"/>
      <c r="BQ125" s="262"/>
      <c r="BR125" s="262"/>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row>
    <row r="126" spans="1:175" ht="26.25" customHeight="1" thickBot="1" x14ac:dyDescent="0.3">
      <c r="A126" s="332"/>
      <c r="B126" s="233"/>
      <c r="C126" s="1023" t="s">
        <v>2786</v>
      </c>
      <c r="D126" s="1023"/>
      <c r="E126" s="1023"/>
      <c r="F126" s="1023"/>
      <c r="G126" s="1023"/>
      <c r="H126" s="1023"/>
      <c r="I126" s="1023"/>
      <c r="J126" s="1023"/>
      <c r="K126" s="1023"/>
      <c r="L126" s="1023"/>
      <c r="M126" s="1023"/>
      <c r="N126" s="1023"/>
      <c r="O126" s="1023"/>
      <c r="P126" s="1023"/>
      <c r="Q126" s="1023"/>
      <c r="R126" s="1023"/>
      <c r="S126" s="1023"/>
      <c r="T126" s="1023"/>
      <c r="U126" s="1023"/>
      <c r="V126" s="1023"/>
      <c r="W126" s="1023"/>
      <c r="X126" s="1023"/>
      <c r="Y126" s="1023"/>
      <c r="Z126" s="1023"/>
      <c r="AA126" s="1023"/>
      <c r="AB126" s="1023"/>
      <c r="AC126" s="1023"/>
      <c r="AD126" s="1023"/>
      <c r="AE126" s="1023"/>
      <c r="AF126" s="305"/>
      <c r="AG126" s="306"/>
      <c r="AH126" s="1011" t="s">
        <v>2719</v>
      </c>
      <c r="AI126" s="1012"/>
      <c r="AJ126" s="1012"/>
      <c r="AK126" s="1012"/>
      <c r="AL126" s="1013"/>
      <c r="AM126" s="221"/>
      <c r="AN126" s="1016" t="s">
        <v>2720</v>
      </c>
      <c r="AO126" s="1012"/>
      <c r="AP126" s="1012"/>
      <c r="AQ126" s="1012"/>
      <c r="AR126" s="1013"/>
      <c r="AS126" s="262"/>
      <c r="AT126" s="262"/>
      <c r="AU126" s="262"/>
      <c r="AV126" s="262"/>
      <c r="AW126" s="262"/>
      <c r="AX126" s="262"/>
      <c r="AY126" s="262"/>
      <c r="AZ126" s="262"/>
      <c r="BA126" s="262"/>
      <c r="BB126" s="262"/>
      <c r="BC126" s="262"/>
      <c r="BD126" s="262"/>
      <c r="BE126" s="262"/>
      <c r="BF126" s="262"/>
      <c r="BG126" s="262"/>
      <c r="BH126" s="262"/>
      <c r="BI126" s="262"/>
      <c r="BJ126" s="262"/>
      <c r="BK126" s="262"/>
      <c r="BL126" s="262"/>
      <c r="BM126" s="262"/>
      <c r="BN126" s="262"/>
      <c r="BO126" s="262"/>
      <c r="BP126" s="262"/>
      <c r="BQ126" s="262"/>
      <c r="BR126" s="262"/>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row>
    <row r="127" spans="1:175" ht="4.5" customHeight="1" thickBot="1" x14ac:dyDescent="0.3">
      <c r="A127" s="332"/>
      <c r="B127" s="233"/>
      <c r="C127" s="437"/>
      <c r="D127" s="438"/>
      <c r="E127" s="438"/>
      <c r="F127" s="438"/>
      <c r="G127" s="438"/>
      <c r="H127" s="438"/>
      <c r="I127" s="438"/>
      <c r="J127" s="438"/>
      <c r="K127" s="438"/>
      <c r="L127" s="438"/>
      <c r="M127" s="438"/>
      <c r="N127" s="438"/>
      <c r="O127" s="438"/>
      <c r="P127" s="438"/>
      <c r="Q127" s="438"/>
      <c r="R127" s="438"/>
      <c r="S127" s="438"/>
      <c r="T127" s="438"/>
      <c r="U127" s="438"/>
      <c r="V127" s="438"/>
      <c r="W127" s="438"/>
      <c r="X127" s="438"/>
      <c r="Y127" s="438"/>
      <c r="Z127" s="438"/>
      <c r="AA127" s="438"/>
      <c r="AB127" s="438"/>
      <c r="AC127" s="438"/>
      <c r="AD127" s="438"/>
      <c r="AE127" s="439"/>
      <c r="AF127" s="305"/>
      <c r="AG127" s="306"/>
      <c r="AH127" s="1014"/>
      <c r="AI127" s="1014"/>
      <c r="AJ127" s="1014"/>
      <c r="AK127" s="1014"/>
      <c r="AL127" s="1015"/>
      <c r="AM127" s="221"/>
      <c r="AN127" s="1017"/>
      <c r="AO127" s="1014"/>
      <c r="AP127" s="1014"/>
      <c r="AQ127" s="1014"/>
      <c r="AR127" s="1015"/>
      <c r="AS127" s="262"/>
      <c r="AT127" s="262"/>
      <c r="AU127" s="262"/>
      <c r="AV127" s="262"/>
      <c r="AW127" s="262"/>
      <c r="AX127" s="262"/>
      <c r="AY127" s="262"/>
      <c r="AZ127" s="262"/>
      <c r="BA127" s="262"/>
      <c r="BB127" s="262"/>
      <c r="BC127" s="262"/>
      <c r="BD127" s="262"/>
      <c r="BE127" s="262"/>
      <c r="BF127" s="262"/>
      <c r="BG127" s="262"/>
      <c r="BH127" s="262"/>
      <c r="BI127" s="262"/>
      <c r="BJ127" s="262"/>
      <c r="BK127" s="262"/>
      <c r="BL127" s="262"/>
      <c r="BM127" s="262"/>
      <c r="BN127" s="262"/>
      <c r="BO127" s="262"/>
      <c r="BP127" s="262"/>
      <c r="BQ127" s="262"/>
      <c r="BR127" s="262"/>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row>
    <row r="128" spans="1:175" ht="87" customHeight="1" x14ac:dyDescent="0.25">
      <c r="A128" s="332"/>
      <c r="B128" s="233"/>
      <c r="C128" s="1018" t="s">
        <v>2787</v>
      </c>
      <c r="D128" s="209"/>
      <c r="E128" s="343" t="s">
        <v>2723</v>
      </c>
      <c r="F128" s="344" t="s">
        <v>2724</v>
      </c>
      <c r="G128" s="344" t="s">
        <v>2725</v>
      </c>
      <c r="H128" s="344" t="s">
        <v>2726</v>
      </c>
      <c r="I128" s="344" t="s">
        <v>2727</v>
      </c>
      <c r="J128" s="344" t="s">
        <v>2728</v>
      </c>
      <c r="K128" s="344" t="s">
        <v>2729</v>
      </c>
      <c r="L128" s="344" t="s">
        <v>2730</v>
      </c>
      <c r="M128" s="344" t="s">
        <v>2731</v>
      </c>
      <c r="N128" s="344" t="s">
        <v>2732</v>
      </c>
      <c r="O128" s="344" t="s">
        <v>2733</v>
      </c>
      <c r="P128" s="344" t="s">
        <v>2734</v>
      </c>
      <c r="Q128" s="345" t="s">
        <v>2735</v>
      </c>
      <c r="R128" s="345" t="s">
        <v>2736</v>
      </c>
      <c r="S128" s="345" t="s">
        <v>2737</v>
      </c>
      <c r="T128" s="345" t="s">
        <v>2738</v>
      </c>
      <c r="U128" s="345" t="s">
        <v>2739</v>
      </c>
      <c r="V128" s="345" t="s">
        <v>2740</v>
      </c>
      <c r="W128" s="345" t="s">
        <v>2741</v>
      </c>
      <c r="X128" s="345" t="s">
        <v>2742</v>
      </c>
      <c r="Y128" s="345" t="s">
        <v>2743</v>
      </c>
      <c r="Z128" s="345" t="s">
        <v>2744</v>
      </c>
      <c r="AA128" s="345" t="s">
        <v>2745</v>
      </c>
      <c r="AB128" s="345" t="s">
        <v>2746</v>
      </c>
      <c r="AC128" s="1021" t="s">
        <v>2747</v>
      </c>
      <c r="AD128" s="1021"/>
      <c r="AE128" s="356" t="s">
        <v>2748</v>
      </c>
      <c r="AF128" s="305"/>
      <c r="AG128" s="306"/>
      <c r="AH128" s="7"/>
      <c r="AI128" s="222" t="s">
        <v>2749</v>
      </c>
      <c r="AJ128" s="222" t="s">
        <v>2750</v>
      </c>
      <c r="AK128" s="222" t="s">
        <v>2751</v>
      </c>
      <c r="AL128" s="223" t="s">
        <v>2752</v>
      </c>
      <c r="AM128" s="221"/>
      <c r="AN128" s="209"/>
      <c r="AO128" s="222" t="s">
        <v>2753</v>
      </c>
      <c r="AP128" s="222" t="s">
        <v>2754</v>
      </c>
      <c r="AQ128" s="222" t="s">
        <v>2755</v>
      </c>
      <c r="AR128" s="223" t="s">
        <v>2756</v>
      </c>
      <c r="AS128" s="262"/>
      <c r="AT128" s="262"/>
      <c r="AU128" s="262"/>
      <c r="AV128" s="262"/>
      <c r="AW128" s="262"/>
      <c r="AX128" s="262"/>
      <c r="AY128" s="262"/>
      <c r="AZ128" s="262"/>
      <c r="BA128" s="262"/>
      <c r="BB128" s="262"/>
      <c r="BC128" s="262"/>
      <c r="BD128" s="262"/>
      <c r="BE128" s="262"/>
      <c r="BF128" s="262"/>
      <c r="BG128" s="262"/>
      <c r="BH128" s="262"/>
      <c r="BI128" s="262"/>
      <c r="BJ128" s="262"/>
      <c r="BK128" s="262"/>
      <c r="BL128" s="262"/>
      <c r="BM128" s="262"/>
      <c r="BN128" s="262"/>
      <c r="BO128" s="262"/>
      <c r="BP128" s="262"/>
      <c r="BQ128" s="262"/>
      <c r="BR128" s="262"/>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row>
    <row r="129" spans="1:175" ht="21" customHeight="1" x14ac:dyDescent="0.25">
      <c r="A129" s="332"/>
      <c r="B129" s="233"/>
      <c r="C129" s="1019"/>
      <c r="D129" s="224" t="s">
        <v>2757</v>
      </c>
      <c r="E129" s="455"/>
      <c r="F129" s="455"/>
      <c r="G129" s="455"/>
      <c r="H129" s="455"/>
      <c r="I129" s="455"/>
      <c r="J129" s="455"/>
      <c r="K129" s="455"/>
      <c r="L129" s="455"/>
      <c r="M129" s="455"/>
      <c r="N129" s="455"/>
      <c r="O129" s="455"/>
      <c r="P129" s="455"/>
      <c r="Q129" s="455"/>
      <c r="R129" s="455"/>
      <c r="S129" s="455"/>
      <c r="T129" s="455"/>
      <c r="U129" s="455"/>
      <c r="V129" s="455"/>
      <c r="W129" s="455"/>
      <c r="X129" s="455"/>
      <c r="Y129" s="455"/>
      <c r="Z129" s="455"/>
      <c r="AA129" s="455"/>
      <c r="AB129" s="455"/>
      <c r="AC129" s="1022">
        <f>SUM(E129:AB129)</f>
        <v>0</v>
      </c>
      <c r="AD129" s="1022"/>
      <c r="AE129" s="225">
        <f>AC129*52</f>
        <v>0</v>
      </c>
      <c r="AF129" s="305"/>
      <c r="AG129" s="306"/>
      <c r="AH129" s="228" t="s">
        <v>2758</v>
      </c>
      <c r="AI129" s="206">
        <f>IF(S129&gt;0, S129,0)</f>
        <v>0</v>
      </c>
      <c r="AJ129" s="206">
        <f>IF(T129&gt;0,T129,0)</f>
        <v>0</v>
      </c>
      <c r="AK129" s="206">
        <f>IF(U129&gt;0, U129, 0)</f>
        <v>0</v>
      </c>
      <c r="AL129" s="207">
        <f>IF(V129&gt;0, V129,0)</f>
        <v>0</v>
      </c>
      <c r="AM129" s="221"/>
      <c r="AN129" s="210" t="s">
        <v>2758</v>
      </c>
      <c r="AO129" s="206">
        <f>IF(L129&gt;0, L129,0)</f>
        <v>0</v>
      </c>
      <c r="AP129" s="206">
        <f>IF(M129&gt;0, M129,0)</f>
        <v>0</v>
      </c>
      <c r="AQ129" s="206">
        <f>IF(W129&gt;0, W129,0)</f>
        <v>0</v>
      </c>
      <c r="AR129" s="207">
        <f>IF(X129&gt;0, X129,0)</f>
        <v>0</v>
      </c>
      <c r="AS129" s="262"/>
      <c r="AT129" s="262"/>
      <c r="AU129" s="262"/>
      <c r="AV129" s="262"/>
      <c r="AW129" s="262"/>
      <c r="AX129" s="262"/>
      <c r="AY129" s="262"/>
      <c r="AZ129" s="262"/>
      <c r="BA129" s="262"/>
      <c r="BB129" s="262"/>
      <c r="BC129" s="262"/>
      <c r="BD129" s="262"/>
      <c r="BE129" s="262"/>
      <c r="BF129" s="262"/>
      <c r="BG129" s="262"/>
      <c r="BH129" s="262"/>
      <c r="BI129" s="262"/>
      <c r="BJ129" s="262"/>
      <c r="BK129" s="262"/>
      <c r="BL129" s="262"/>
      <c r="BM129" s="262"/>
      <c r="BN129" s="262"/>
      <c r="BO129" s="262"/>
      <c r="BP129" s="262"/>
      <c r="BQ129" s="262"/>
      <c r="BR129" s="262"/>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row>
    <row r="130" spans="1:175" ht="21" customHeight="1" x14ac:dyDescent="0.25">
      <c r="A130" s="332"/>
      <c r="B130" s="233"/>
      <c r="C130" s="1019"/>
      <c r="D130" s="226" t="s">
        <v>2759</v>
      </c>
      <c r="E130" s="455"/>
      <c r="F130" s="455"/>
      <c r="G130" s="455"/>
      <c r="H130" s="455"/>
      <c r="I130" s="455"/>
      <c r="J130" s="455"/>
      <c r="K130" s="455"/>
      <c r="L130" s="455"/>
      <c r="M130" s="455"/>
      <c r="N130" s="455"/>
      <c r="O130" s="455"/>
      <c r="P130" s="455"/>
      <c r="Q130" s="455"/>
      <c r="R130" s="455"/>
      <c r="S130" s="455"/>
      <c r="T130" s="455"/>
      <c r="U130" s="455"/>
      <c r="V130" s="455"/>
      <c r="W130" s="455"/>
      <c r="X130" s="455"/>
      <c r="Y130" s="455"/>
      <c r="Z130" s="455"/>
      <c r="AA130" s="455"/>
      <c r="AB130" s="455"/>
      <c r="AC130" s="1022">
        <f t="shared" ref="AC130:AC135" si="48">SUM(E130:AB130)</f>
        <v>0</v>
      </c>
      <c r="AD130" s="1022"/>
      <c r="AE130" s="225">
        <f t="shared" ref="AE130:AE135" si="49">AC130*52</f>
        <v>0</v>
      </c>
      <c r="AF130" s="305"/>
      <c r="AG130" s="306"/>
      <c r="AH130" s="228" t="s">
        <v>2760</v>
      </c>
      <c r="AI130" s="206">
        <f t="shared" ref="AI130:AI133" si="50">IF(S130&gt;0, S130,0)</f>
        <v>0</v>
      </c>
      <c r="AJ130" s="206">
        <f t="shared" ref="AJ130:AJ133" si="51">IF(T130&gt;0,T130,0)</f>
        <v>0</v>
      </c>
      <c r="AK130" s="206">
        <f t="shared" ref="AK130:AK133" si="52">IF(U130&gt;0, U130, 0)</f>
        <v>0</v>
      </c>
      <c r="AL130" s="207">
        <f t="shared" ref="AL130:AL133" si="53">IF(V130&gt;0, V130,0)</f>
        <v>0</v>
      </c>
      <c r="AM130" s="221"/>
      <c r="AN130" s="210" t="s">
        <v>2760</v>
      </c>
      <c r="AO130" s="206">
        <f t="shared" ref="AO130:AP133" si="54">IF(L130&gt;0, L130,0)</f>
        <v>0</v>
      </c>
      <c r="AP130" s="206">
        <f t="shared" si="54"/>
        <v>0</v>
      </c>
      <c r="AQ130" s="206">
        <f t="shared" ref="AQ130:AR133" si="55">IF(W130&gt;0, W130,0)</f>
        <v>0</v>
      </c>
      <c r="AR130" s="207">
        <f t="shared" si="55"/>
        <v>0</v>
      </c>
      <c r="AS130" s="262"/>
      <c r="AT130" s="262"/>
      <c r="AU130" s="262"/>
      <c r="AV130" s="262"/>
      <c r="AW130" s="262"/>
      <c r="AX130" s="262"/>
      <c r="AY130" s="262"/>
      <c r="AZ130" s="262"/>
      <c r="BA130" s="262"/>
      <c r="BB130" s="262"/>
      <c r="BC130" s="262"/>
      <c r="BD130" s="262"/>
      <c r="BE130" s="262"/>
      <c r="BF130" s="262"/>
      <c r="BG130" s="262"/>
      <c r="BH130" s="262"/>
      <c r="BI130" s="262"/>
      <c r="BJ130" s="262"/>
      <c r="BK130" s="262"/>
      <c r="BL130" s="262"/>
      <c r="BM130" s="262"/>
      <c r="BN130" s="262"/>
      <c r="BO130" s="262"/>
      <c r="BP130" s="262"/>
      <c r="BQ130" s="262"/>
      <c r="BR130" s="262"/>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row>
    <row r="131" spans="1:175" ht="21" customHeight="1" x14ac:dyDescent="0.25">
      <c r="A131" s="332"/>
      <c r="B131" s="233"/>
      <c r="C131" s="1019"/>
      <c r="D131" s="226" t="s">
        <v>2761</v>
      </c>
      <c r="E131" s="455"/>
      <c r="F131" s="455"/>
      <c r="G131" s="455"/>
      <c r="H131" s="455"/>
      <c r="I131" s="455"/>
      <c r="J131" s="455"/>
      <c r="K131" s="455"/>
      <c r="L131" s="455"/>
      <c r="M131" s="455"/>
      <c r="N131" s="455"/>
      <c r="O131" s="455"/>
      <c r="P131" s="455"/>
      <c r="Q131" s="455"/>
      <c r="R131" s="455"/>
      <c r="S131" s="455"/>
      <c r="T131" s="455"/>
      <c r="U131" s="455"/>
      <c r="V131" s="455"/>
      <c r="W131" s="455"/>
      <c r="X131" s="455"/>
      <c r="Y131" s="455"/>
      <c r="Z131" s="455"/>
      <c r="AA131" s="455"/>
      <c r="AB131" s="455"/>
      <c r="AC131" s="1022">
        <f t="shared" si="48"/>
        <v>0</v>
      </c>
      <c r="AD131" s="1022"/>
      <c r="AE131" s="225">
        <f t="shared" si="49"/>
        <v>0</v>
      </c>
      <c r="AF131" s="305"/>
      <c r="AG131" s="306"/>
      <c r="AH131" s="228" t="s">
        <v>2762</v>
      </c>
      <c r="AI131" s="206">
        <f t="shared" si="50"/>
        <v>0</v>
      </c>
      <c r="AJ131" s="206">
        <f t="shared" si="51"/>
        <v>0</v>
      </c>
      <c r="AK131" s="206">
        <f t="shared" si="52"/>
        <v>0</v>
      </c>
      <c r="AL131" s="207">
        <f t="shared" si="53"/>
        <v>0</v>
      </c>
      <c r="AM131" s="221"/>
      <c r="AN131" s="210" t="s">
        <v>2762</v>
      </c>
      <c r="AO131" s="206">
        <f t="shared" si="54"/>
        <v>0</v>
      </c>
      <c r="AP131" s="206">
        <f t="shared" si="54"/>
        <v>0</v>
      </c>
      <c r="AQ131" s="206">
        <f t="shared" si="55"/>
        <v>0</v>
      </c>
      <c r="AR131" s="207">
        <f t="shared" si="55"/>
        <v>0</v>
      </c>
      <c r="AS131" s="262"/>
      <c r="AT131" s="262"/>
      <c r="AU131" s="262"/>
      <c r="AV131" s="262"/>
      <c r="AW131" s="262"/>
      <c r="AX131" s="262"/>
      <c r="AY131" s="262"/>
      <c r="AZ131" s="262"/>
      <c r="BA131" s="262"/>
      <c r="BB131" s="262"/>
      <c r="BC131" s="262"/>
      <c r="BD131" s="262"/>
      <c r="BE131" s="262"/>
      <c r="BF131" s="262"/>
      <c r="BG131" s="262"/>
      <c r="BH131" s="262"/>
      <c r="BI131" s="262"/>
      <c r="BJ131" s="262"/>
      <c r="BK131" s="262"/>
      <c r="BL131" s="262"/>
      <c r="BM131" s="262"/>
      <c r="BN131" s="262"/>
      <c r="BO131" s="262"/>
      <c r="BP131" s="262"/>
      <c r="BQ131" s="262"/>
      <c r="BR131" s="262"/>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row>
    <row r="132" spans="1:175" ht="21" customHeight="1" x14ac:dyDescent="0.25">
      <c r="A132" s="332"/>
      <c r="B132" s="233"/>
      <c r="C132" s="1019"/>
      <c r="D132" s="226" t="s">
        <v>2763</v>
      </c>
      <c r="E132" s="455"/>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1022">
        <f t="shared" si="48"/>
        <v>0</v>
      </c>
      <c r="AD132" s="1022"/>
      <c r="AE132" s="225">
        <f t="shared" si="49"/>
        <v>0</v>
      </c>
      <c r="AF132" s="305"/>
      <c r="AG132" s="306"/>
      <c r="AH132" s="228" t="s">
        <v>2764</v>
      </c>
      <c r="AI132" s="206">
        <f t="shared" si="50"/>
        <v>0</v>
      </c>
      <c r="AJ132" s="206">
        <f t="shared" si="51"/>
        <v>0</v>
      </c>
      <c r="AK132" s="206">
        <f t="shared" si="52"/>
        <v>0</v>
      </c>
      <c r="AL132" s="207">
        <f t="shared" si="53"/>
        <v>0</v>
      </c>
      <c r="AM132" s="221"/>
      <c r="AN132" s="210" t="s">
        <v>2764</v>
      </c>
      <c r="AO132" s="206">
        <f t="shared" si="54"/>
        <v>0</v>
      </c>
      <c r="AP132" s="206">
        <f t="shared" si="54"/>
        <v>0</v>
      </c>
      <c r="AQ132" s="206">
        <f t="shared" si="55"/>
        <v>0</v>
      </c>
      <c r="AR132" s="207">
        <f t="shared" si="55"/>
        <v>0</v>
      </c>
      <c r="AS132" s="262"/>
      <c r="AT132" s="262"/>
      <c r="AU132" s="262"/>
      <c r="AV132" s="262"/>
      <c r="AW132" s="262"/>
      <c r="AX132" s="262"/>
      <c r="AY132" s="262"/>
      <c r="AZ132" s="262"/>
      <c r="BA132" s="262"/>
      <c r="BB132" s="262"/>
      <c r="BC132" s="262"/>
      <c r="BD132" s="262"/>
      <c r="BE132" s="262"/>
      <c r="BF132" s="262"/>
      <c r="BG132" s="262"/>
      <c r="BH132" s="262"/>
      <c r="BI132" s="262"/>
      <c r="BJ132" s="262"/>
      <c r="BK132" s="262"/>
      <c r="BL132" s="262"/>
      <c r="BM132" s="262"/>
      <c r="BN132" s="262"/>
      <c r="BO132" s="262"/>
      <c r="BP132" s="262"/>
      <c r="BQ132" s="262"/>
      <c r="BR132" s="262"/>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row>
    <row r="133" spans="1:175" ht="21" customHeight="1" x14ac:dyDescent="0.25">
      <c r="A133" s="332"/>
      <c r="B133" s="233"/>
      <c r="C133" s="1019"/>
      <c r="D133" s="226" t="s">
        <v>2765</v>
      </c>
      <c r="E133" s="455"/>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1022">
        <f t="shared" si="48"/>
        <v>0</v>
      </c>
      <c r="AD133" s="1022"/>
      <c r="AE133" s="225">
        <f t="shared" si="49"/>
        <v>0</v>
      </c>
      <c r="AF133" s="305"/>
      <c r="AG133" s="306"/>
      <c r="AH133" s="228" t="s">
        <v>2766</v>
      </c>
      <c r="AI133" s="206">
        <f t="shared" si="50"/>
        <v>0</v>
      </c>
      <c r="AJ133" s="206">
        <f t="shared" si="51"/>
        <v>0</v>
      </c>
      <c r="AK133" s="206">
        <f t="shared" si="52"/>
        <v>0</v>
      </c>
      <c r="AL133" s="207">
        <f t="shared" si="53"/>
        <v>0</v>
      </c>
      <c r="AM133" s="221"/>
      <c r="AN133" s="210" t="s">
        <v>2766</v>
      </c>
      <c r="AO133" s="206">
        <f t="shared" si="54"/>
        <v>0</v>
      </c>
      <c r="AP133" s="206">
        <f t="shared" si="54"/>
        <v>0</v>
      </c>
      <c r="AQ133" s="206">
        <f t="shared" si="55"/>
        <v>0</v>
      </c>
      <c r="AR133" s="207">
        <f t="shared" si="55"/>
        <v>0</v>
      </c>
      <c r="AS133" s="262"/>
      <c r="AT133" s="262"/>
      <c r="AU133" s="262"/>
      <c r="AV133" s="262"/>
      <c r="AW133" s="262"/>
      <c r="AX133" s="262"/>
      <c r="AY133" s="262"/>
      <c r="AZ133" s="262"/>
      <c r="BA133" s="262"/>
      <c r="BB133" s="262"/>
      <c r="BC133" s="262"/>
      <c r="BD133" s="262"/>
      <c r="BE133" s="262"/>
      <c r="BF133" s="262"/>
      <c r="BG133" s="262"/>
      <c r="BH133" s="262"/>
      <c r="BI133" s="262"/>
      <c r="BJ133" s="262"/>
      <c r="BK133" s="262"/>
      <c r="BL133" s="262"/>
      <c r="BM133" s="262"/>
      <c r="BN133" s="262"/>
      <c r="BO133" s="262"/>
      <c r="BP133" s="262"/>
      <c r="BQ133" s="262"/>
      <c r="BR133" s="262"/>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row>
    <row r="134" spans="1:175" ht="21" customHeight="1" thickBot="1" x14ac:dyDescent="0.3">
      <c r="A134" s="332"/>
      <c r="B134" s="233"/>
      <c r="C134" s="1019"/>
      <c r="D134" s="226" t="s">
        <v>2767</v>
      </c>
      <c r="E134" s="455"/>
      <c r="F134" s="455"/>
      <c r="G134" s="455"/>
      <c r="H134" s="455"/>
      <c r="I134" s="455"/>
      <c r="J134" s="455"/>
      <c r="K134" s="455"/>
      <c r="L134" s="455"/>
      <c r="M134" s="455"/>
      <c r="N134" s="455"/>
      <c r="O134" s="455"/>
      <c r="P134" s="455"/>
      <c r="Q134" s="455"/>
      <c r="R134" s="455"/>
      <c r="S134" s="455"/>
      <c r="T134" s="455"/>
      <c r="U134" s="455"/>
      <c r="V134" s="455"/>
      <c r="W134" s="455"/>
      <c r="X134" s="455"/>
      <c r="Y134" s="455"/>
      <c r="Z134" s="455"/>
      <c r="AA134" s="455"/>
      <c r="AB134" s="455"/>
      <c r="AC134" s="1022">
        <f t="shared" si="48"/>
        <v>0</v>
      </c>
      <c r="AD134" s="1022"/>
      <c r="AE134" s="225">
        <f t="shared" si="49"/>
        <v>0</v>
      </c>
      <c r="AF134" s="305"/>
      <c r="AG134" s="306"/>
      <c r="AH134" s="229" t="s">
        <v>181</v>
      </c>
      <c r="AI134" s="208">
        <f>IFERROR(AVERAGE(AI129:AL133), "")</f>
        <v>0</v>
      </c>
      <c r="AJ134" s="221"/>
      <c r="AK134" s="221"/>
      <c r="AL134" s="221"/>
      <c r="AM134" s="221"/>
      <c r="AN134" s="211" t="s">
        <v>181</v>
      </c>
      <c r="AO134" s="208">
        <f>IFERROR(AVERAGE(AO129:AR133), "")</f>
        <v>0</v>
      </c>
      <c r="AP134" s="221"/>
      <c r="AQ134" s="221"/>
      <c r="AR134" s="221"/>
      <c r="AS134" s="262"/>
      <c r="AT134" s="262"/>
      <c r="AU134" s="262"/>
      <c r="AV134" s="262"/>
      <c r="AW134" s="262"/>
      <c r="AX134" s="262"/>
      <c r="AY134" s="262"/>
      <c r="AZ134" s="262"/>
      <c r="BA134" s="262"/>
      <c r="BB134" s="262"/>
      <c r="BC134" s="262"/>
      <c r="BD134" s="262"/>
      <c r="BE134" s="262"/>
      <c r="BF134" s="262"/>
      <c r="BG134" s="262"/>
      <c r="BH134" s="262"/>
      <c r="BI134" s="262"/>
      <c r="BJ134" s="262"/>
      <c r="BK134" s="262"/>
      <c r="BL134" s="262"/>
      <c r="BM134" s="262"/>
      <c r="BN134" s="262"/>
      <c r="BO134" s="262"/>
      <c r="BP134" s="262"/>
      <c r="BQ134" s="262"/>
      <c r="BR134" s="262"/>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row>
    <row r="135" spans="1:175" ht="21" customHeight="1" x14ac:dyDescent="0.25">
      <c r="A135" s="332"/>
      <c r="B135" s="233"/>
      <c r="C135" s="1019"/>
      <c r="D135" s="227" t="s">
        <v>2768</v>
      </c>
      <c r="E135" s="455"/>
      <c r="F135" s="455"/>
      <c r="G135" s="455"/>
      <c r="H135" s="455"/>
      <c r="I135" s="455"/>
      <c r="J135" s="455"/>
      <c r="K135" s="455"/>
      <c r="L135" s="455"/>
      <c r="M135" s="455"/>
      <c r="N135" s="455"/>
      <c r="O135" s="455"/>
      <c r="P135" s="455"/>
      <c r="Q135" s="455"/>
      <c r="R135" s="455"/>
      <c r="S135" s="455"/>
      <c r="T135" s="455"/>
      <c r="U135" s="455"/>
      <c r="V135" s="455"/>
      <c r="W135" s="455"/>
      <c r="X135" s="455"/>
      <c r="Y135" s="455"/>
      <c r="Z135" s="455"/>
      <c r="AA135" s="455"/>
      <c r="AB135" s="455"/>
      <c r="AC135" s="1022">
        <f t="shared" si="48"/>
        <v>0</v>
      </c>
      <c r="AD135" s="1022"/>
      <c r="AE135" s="225">
        <f t="shared" si="49"/>
        <v>0</v>
      </c>
      <c r="AF135" s="305"/>
      <c r="AG135" s="306"/>
      <c r="AH135" s="221"/>
      <c r="AI135" s="221"/>
      <c r="AJ135" s="221"/>
      <c r="AK135" s="221"/>
      <c r="AL135" s="221"/>
      <c r="AM135" s="221"/>
      <c r="AN135" s="221"/>
      <c r="AO135" s="221"/>
      <c r="AP135" s="221"/>
      <c r="AQ135" s="221"/>
      <c r="AR135" s="221"/>
      <c r="AS135" s="262"/>
      <c r="AT135" s="262"/>
      <c r="AU135" s="262"/>
      <c r="AV135" s="262"/>
      <c r="AW135" s="262"/>
      <c r="AX135" s="262"/>
      <c r="AY135" s="262"/>
      <c r="AZ135" s="262"/>
      <c r="BA135" s="262"/>
      <c r="BB135" s="262"/>
      <c r="BC135" s="262"/>
      <c r="BD135" s="262"/>
      <c r="BE135" s="262"/>
      <c r="BF135" s="262"/>
      <c r="BG135" s="262"/>
      <c r="BH135" s="262"/>
      <c r="BI135" s="262"/>
      <c r="BJ135" s="262"/>
      <c r="BK135" s="262"/>
      <c r="BL135" s="262"/>
      <c r="BM135" s="262"/>
      <c r="BN135" s="262"/>
      <c r="BO135" s="262"/>
      <c r="BP135" s="262"/>
      <c r="BQ135" s="262"/>
      <c r="BR135" s="262"/>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row>
    <row r="136" spans="1:175" ht="19.5" thickBot="1" x14ac:dyDescent="0.3">
      <c r="A136" s="332"/>
      <c r="B136" s="233"/>
      <c r="C136" s="1020"/>
      <c r="D136" s="42"/>
      <c r="E136" s="43"/>
      <c r="F136" s="43"/>
      <c r="G136" s="43"/>
      <c r="H136" s="342"/>
      <c r="I136" s="342"/>
      <c r="J136" s="43"/>
      <c r="K136" s="43"/>
      <c r="L136" s="43"/>
      <c r="M136" s="43"/>
      <c r="N136" s="43"/>
      <c r="O136" s="43"/>
      <c r="P136" s="43"/>
      <c r="Q136" s="43"/>
      <c r="R136" s="43"/>
      <c r="S136" s="43"/>
      <c r="T136" s="43"/>
      <c r="U136" s="43"/>
      <c r="V136" s="43"/>
      <c r="W136" s="43"/>
      <c r="X136" s="43"/>
      <c r="Y136" s="43"/>
      <c r="Z136" s="43"/>
      <c r="AA136" s="43"/>
      <c r="AB136" s="43"/>
      <c r="AC136" s="43"/>
      <c r="AD136" s="43"/>
      <c r="AE136" s="44"/>
      <c r="AF136" s="305"/>
      <c r="AG136" s="306"/>
      <c r="AH136" s="221"/>
      <c r="AI136" s="221"/>
      <c r="AJ136" s="221"/>
      <c r="AK136" s="221"/>
      <c r="AL136" s="221"/>
      <c r="AM136" s="221"/>
      <c r="AN136" s="221"/>
      <c r="AO136" s="221"/>
      <c r="AP136" s="221"/>
      <c r="AQ136" s="221"/>
      <c r="AR136" s="221"/>
      <c r="AS136" s="262"/>
      <c r="AT136" s="262"/>
      <c r="AU136" s="262"/>
      <c r="AV136" s="262"/>
      <c r="AW136" s="262"/>
      <c r="AX136" s="262"/>
      <c r="AY136" s="262"/>
      <c r="AZ136" s="262"/>
      <c r="BA136" s="262"/>
      <c r="BB136" s="262"/>
      <c r="BC136" s="262"/>
      <c r="BD136" s="262"/>
      <c r="BE136" s="262"/>
      <c r="BF136" s="262"/>
      <c r="BG136" s="262"/>
      <c r="BH136" s="262"/>
      <c r="BI136" s="262"/>
      <c r="BJ136" s="262"/>
      <c r="BK136" s="262"/>
      <c r="BL136" s="262"/>
      <c r="BM136" s="262"/>
      <c r="BN136" s="262"/>
      <c r="BO136" s="262"/>
      <c r="BP136" s="262"/>
      <c r="BQ136" s="262"/>
      <c r="BR136" s="262"/>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row>
    <row r="137" spans="1:175" ht="14.25" customHeight="1" x14ac:dyDescent="0.25">
      <c r="A137" s="332"/>
      <c r="B137" s="233"/>
      <c r="C137" s="1003" t="s">
        <v>2769</v>
      </c>
      <c r="D137" s="1003"/>
      <c r="E137" s="1003"/>
      <c r="F137" s="1003"/>
      <c r="G137" s="1004"/>
      <c r="H137" s="1008"/>
      <c r="I137" s="1008"/>
      <c r="J137" s="307"/>
      <c r="K137" s="1009" t="s">
        <v>2770</v>
      </c>
      <c r="L137" s="1009"/>
      <c r="M137" s="1009"/>
      <c r="N137" s="1009"/>
      <c r="O137" s="1009"/>
      <c r="P137" s="1009"/>
      <c r="Q137" s="1010">
        <f>IFERROR((((SUM(AC129:AD135))*H138)/((7*24*52)/8760))-(H137*((AVERAGE(AC129:AD133)))), "")</f>
        <v>0</v>
      </c>
      <c r="R137" s="1010"/>
      <c r="S137" s="307"/>
      <c r="T137" s="307"/>
      <c r="U137" s="307"/>
      <c r="V137" s="307"/>
      <c r="W137" s="307"/>
      <c r="X137" s="307"/>
      <c r="Y137" s="307"/>
      <c r="Z137" s="307"/>
      <c r="AA137" s="307"/>
      <c r="AB137" s="307"/>
      <c r="AC137" s="307"/>
      <c r="AD137" s="307"/>
      <c r="AE137" s="307"/>
      <c r="AF137" s="305"/>
      <c r="AG137" s="306"/>
      <c r="AH137" s="221"/>
      <c r="AI137" s="221"/>
      <c r="AJ137" s="221"/>
      <c r="AK137" s="221"/>
      <c r="AL137" s="221"/>
      <c r="AM137" s="221"/>
      <c r="AN137" s="221"/>
      <c r="AO137" s="221"/>
      <c r="AP137" s="221"/>
      <c r="AQ137" s="221"/>
      <c r="AR137" s="221"/>
      <c r="AS137" s="262"/>
      <c r="AT137" s="262"/>
      <c r="AU137" s="262"/>
      <c r="AV137" s="262"/>
      <c r="AW137" s="262"/>
      <c r="AX137" s="262"/>
      <c r="AY137" s="262"/>
      <c r="AZ137" s="262"/>
      <c r="BA137" s="262"/>
      <c r="BB137" s="262"/>
      <c r="BC137" s="262"/>
      <c r="BD137" s="262"/>
      <c r="BE137" s="262"/>
      <c r="BF137" s="262"/>
      <c r="BG137" s="262"/>
      <c r="BH137" s="262"/>
      <c r="BI137" s="262"/>
      <c r="BJ137" s="262"/>
      <c r="BK137" s="262"/>
      <c r="BL137" s="262"/>
      <c r="BM137" s="262"/>
      <c r="BN137" s="262"/>
      <c r="BO137" s="262"/>
      <c r="BP137" s="262"/>
      <c r="BQ137" s="262"/>
      <c r="BR137" s="262"/>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row>
    <row r="138" spans="1:175" ht="14.25" customHeight="1" x14ac:dyDescent="0.25">
      <c r="A138" s="332"/>
      <c r="B138" s="233"/>
      <c r="C138" s="1003" t="s">
        <v>2771</v>
      </c>
      <c r="D138" s="1003"/>
      <c r="E138" s="1003"/>
      <c r="F138" s="1003"/>
      <c r="G138" s="1004"/>
      <c r="H138" s="1005"/>
      <c r="I138" s="1005"/>
      <c r="J138" s="307"/>
      <c r="K138" s="1003" t="s">
        <v>2772</v>
      </c>
      <c r="L138" s="1003"/>
      <c r="M138" s="1003"/>
      <c r="N138" s="1003"/>
      <c r="O138" s="1003"/>
      <c r="P138" s="1003"/>
      <c r="Q138" s="1006">
        <f>IFERROR(IF(Q137="","",AI134*(1-(H139/13))), 0)</f>
        <v>0</v>
      </c>
      <c r="R138" s="1007"/>
      <c r="S138" s="307"/>
      <c r="T138" s="307"/>
      <c r="U138" s="307"/>
      <c r="V138" s="307"/>
      <c r="W138" s="307"/>
      <c r="X138" s="307"/>
      <c r="Y138" s="307"/>
      <c r="Z138" s="307"/>
      <c r="AA138" s="307"/>
      <c r="AB138" s="307"/>
      <c r="AC138" s="307"/>
      <c r="AD138" s="307"/>
      <c r="AE138" s="307"/>
      <c r="AF138" s="305"/>
      <c r="AG138" s="306"/>
      <c r="AH138" s="221"/>
      <c r="AI138" s="221"/>
      <c r="AJ138" s="221"/>
      <c r="AK138" s="221"/>
      <c r="AL138" s="221"/>
      <c r="AM138" s="221"/>
      <c r="AN138" s="221"/>
      <c r="AO138" s="221"/>
      <c r="AP138" s="221"/>
      <c r="AQ138" s="221"/>
      <c r="AR138" s="221"/>
      <c r="AS138" s="262"/>
      <c r="AT138" s="262"/>
      <c r="AU138" s="262"/>
      <c r="AV138" s="262"/>
      <c r="AW138" s="262"/>
      <c r="AX138" s="262"/>
      <c r="AY138" s="262"/>
      <c r="AZ138" s="262"/>
      <c r="BA138" s="262"/>
      <c r="BB138" s="262"/>
      <c r="BC138" s="262"/>
      <c r="BD138" s="262"/>
      <c r="BE138" s="262"/>
      <c r="BF138" s="262"/>
      <c r="BG138" s="262"/>
      <c r="BH138" s="262"/>
      <c r="BI138" s="262"/>
      <c r="BJ138" s="262"/>
      <c r="BK138" s="262"/>
      <c r="BL138" s="262"/>
      <c r="BM138" s="262"/>
      <c r="BN138" s="262"/>
      <c r="BO138" s="262"/>
      <c r="BP138" s="262"/>
      <c r="BQ138" s="262"/>
      <c r="BR138" s="262"/>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row>
    <row r="139" spans="1:175" ht="14.25" customHeight="1" x14ac:dyDescent="0.25">
      <c r="A139" s="332"/>
      <c r="B139" s="233"/>
      <c r="C139" s="1003" t="s">
        <v>2773</v>
      </c>
      <c r="D139" s="1003"/>
      <c r="E139" s="1003"/>
      <c r="F139" s="1003"/>
      <c r="G139" s="1004"/>
      <c r="H139" s="1005"/>
      <c r="I139" s="1005"/>
      <c r="J139" s="307"/>
      <c r="K139" s="1003" t="s">
        <v>2774</v>
      </c>
      <c r="L139" s="1003"/>
      <c r="M139" s="1003"/>
      <c r="N139" s="1003"/>
      <c r="O139" s="1003"/>
      <c r="P139" s="1003"/>
      <c r="Q139" s="1006">
        <f>IFERROR(IF(Q137="","",AO134*(1-(H140/9))), 0)</f>
        <v>0</v>
      </c>
      <c r="R139" s="1007"/>
      <c r="S139" s="307"/>
      <c r="T139" s="307"/>
      <c r="U139" s="307"/>
      <c r="V139" s="307"/>
      <c r="W139" s="307"/>
      <c r="X139" s="307"/>
      <c r="Y139" s="307"/>
      <c r="Z139" s="307"/>
      <c r="AA139" s="307"/>
      <c r="AB139" s="307"/>
      <c r="AC139" s="307"/>
      <c r="AD139" s="307"/>
      <c r="AE139" s="307"/>
      <c r="AF139" s="305"/>
      <c r="AG139" s="306"/>
      <c r="AH139" s="221"/>
      <c r="AI139" s="221"/>
      <c r="AJ139" s="221"/>
      <c r="AK139" s="221"/>
      <c r="AL139" s="221"/>
      <c r="AM139" s="221"/>
      <c r="AN139" s="221"/>
      <c r="AO139" s="221"/>
      <c r="AP139" s="221"/>
      <c r="AQ139" s="221"/>
      <c r="AR139" s="221"/>
      <c r="AS139" s="262"/>
      <c r="AT139" s="262"/>
      <c r="AU139" s="262"/>
      <c r="AV139" s="262"/>
      <c r="AW139" s="262"/>
      <c r="AX139" s="262"/>
      <c r="AY139" s="262"/>
      <c r="AZ139" s="262"/>
      <c r="BA139" s="262"/>
      <c r="BB139" s="262"/>
      <c r="BC139" s="262"/>
      <c r="BD139" s="262"/>
      <c r="BE139" s="262"/>
      <c r="BF139" s="262"/>
      <c r="BG139" s="262"/>
      <c r="BH139" s="262"/>
      <c r="BI139" s="262"/>
      <c r="BJ139" s="262"/>
      <c r="BK139" s="262"/>
      <c r="BL139" s="262"/>
      <c r="BM139" s="262"/>
      <c r="BN139" s="262"/>
      <c r="BO139" s="262"/>
      <c r="BP139" s="262"/>
      <c r="BQ139" s="262"/>
      <c r="BR139" s="262"/>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row>
    <row r="140" spans="1:175" ht="14.25" customHeight="1" x14ac:dyDescent="0.25">
      <c r="A140" s="332"/>
      <c r="B140" s="233"/>
      <c r="C140" s="1003" t="s">
        <v>2775</v>
      </c>
      <c r="D140" s="1003"/>
      <c r="E140" s="1003"/>
      <c r="F140" s="1003"/>
      <c r="G140" s="1004"/>
      <c r="H140" s="1005"/>
      <c r="I140" s="1005"/>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5"/>
      <c r="AG140" s="306"/>
      <c r="AH140" s="221"/>
      <c r="AI140" s="221"/>
      <c r="AJ140" s="221"/>
      <c r="AK140" s="221"/>
      <c r="AL140" s="221"/>
      <c r="AM140" s="221"/>
      <c r="AN140" s="221"/>
      <c r="AO140" s="221"/>
      <c r="AP140" s="221"/>
      <c r="AQ140" s="221"/>
      <c r="AR140" s="221"/>
      <c r="AS140" s="262"/>
      <c r="AT140" s="262"/>
      <c r="AU140" s="262"/>
      <c r="AV140" s="262"/>
      <c r="AW140" s="262"/>
      <c r="AX140" s="262"/>
      <c r="AY140" s="262"/>
      <c r="AZ140" s="262"/>
      <c r="BA140" s="262"/>
      <c r="BB140" s="262"/>
      <c r="BC140" s="262"/>
      <c r="BD140" s="262"/>
      <c r="BE140" s="262"/>
      <c r="BF140" s="262"/>
      <c r="BG140" s="262"/>
      <c r="BH140" s="262"/>
      <c r="BI140" s="262"/>
      <c r="BJ140" s="262"/>
      <c r="BK140" s="262"/>
      <c r="BL140" s="262"/>
      <c r="BM140" s="262"/>
      <c r="BN140" s="262"/>
      <c r="BO140" s="262"/>
      <c r="BP140" s="262"/>
      <c r="BQ140" s="262"/>
      <c r="BR140" s="262"/>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row>
    <row r="141" spans="1:175" ht="18.75" x14ac:dyDescent="0.25">
      <c r="A141" s="332"/>
      <c r="B141" s="233"/>
      <c r="C141" s="307"/>
      <c r="D141" s="307"/>
      <c r="E141" s="307"/>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5"/>
      <c r="AG141" s="306"/>
      <c r="AH141" s="221"/>
      <c r="AI141" s="221"/>
      <c r="AJ141" s="221"/>
      <c r="AK141" s="221"/>
      <c r="AL141" s="221"/>
      <c r="AM141" s="221"/>
      <c r="AN141" s="221"/>
      <c r="AO141" s="221"/>
      <c r="AP141" s="221"/>
      <c r="AQ141" s="221"/>
      <c r="AR141" s="221"/>
      <c r="AS141" s="262"/>
      <c r="AT141" s="262"/>
      <c r="AU141" s="262"/>
      <c r="AV141" s="262"/>
      <c r="AW141" s="262"/>
      <c r="AX141" s="262"/>
      <c r="AY141" s="262"/>
      <c r="AZ141" s="262"/>
      <c r="BA141" s="262"/>
      <c r="BB141" s="262"/>
      <c r="BC141" s="262"/>
      <c r="BD141" s="262"/>
      <c r="BE141" s="262"/>
      <c r="BF141" s="262"/>
      <c r="BG141" s="262"/>
      <c r="BH141" s="262"/>
      <c r="BI141" s="262"/>
      <c r="BJ141" s="262"/>
      <c r="BK141" s="262"/>
      <c r="BL141" s="262"/>
      <c r="BM141" s="262"/>
      <c r="BN141" s="262"/>
      <c r="BO141" s="262"/>
      <c r="BP141" s="262"/>
      <c r="BQ141" s="262"/>
      <c r="BR141" s="262"/>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row>
    <row r="142" spans="1:175" ht="19.5" thickBot="1" x14ac:dyDescent="0.3">
      <c r="A142" s="332"/>
      <c r="B142" s="233"/>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5"/>
      <c r="AG142" s="306"/>
      <c r="AH142" s="221"/>
      <c r="AI142" s="221"/>
      <c r="AJ142" s="221"/>
      <c r="AK142" s="221"/>
      <c r="AL142" s="221"/>
      <c r="AM142" s="221"/>
      <c r="AN142" s="221"/>
      <c r="AO142" s="221"/>
      <c r="AP142" s="221"/>
      <c r="AQ142" s="221"/>
      <c r="AR142" s="221"/>
      <c r="AS142" s="262"/>
      <c r="AT142" s="262"/>
      <c r="AU142" s="262"/>
      <c r="AV142" s="262"/>
      <c r="AW142" s="262"/>
      <c r="AX142" s="262"/>
      <c r="AY142" s="262"/>
      <c r="AZ142" s="262"/>
      <c r="BA142" s="262"/>
      <c r="BB142" s="262"/>
      <c r="BC142" s="262"/>
      <c r="BD142" s="262"/>
      <c r="BE142" s="262"/>
      <c r="BF142" s="262"/>
      <c r="BG142" s="262"/>
      <c r="BH142" s="262"/>
      <c r="BI142" s="262"/>
      <c r="BJ142" s="262"/>
      <c r="BK142" s="262"/>
      <c r="BL142" s="262"/>
      <c r="BM142" s="262"/>
      <c r="BN142" s="262"/>
      <c r="BO142" s="262"/>
      <c r="BP142" s="262"/>
      <c r="BQ142" s="262"/>
      <c r="BR142" s="262"/>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row>
    <row r="143" spans="1:175" ht="26.25" customHeight="1" thickBot="1" x14ac:dyDescent="0.3">
      <c r="A143" s="332"/>
      <c r="B143" s="233"/>
      <c r="C143" s="1023" t="s">
        <v>2788</v>
      </c>
      <c r="D143" s="1023"/>
      <c r="E143" s="1023"/>
      <c r="F143" s="1023"/>
      <c r="G143" s="1023"/>
      <c r="H143" s="1023"/>
      <c r="I143" s="1023"/>
      <c r="J143" s="1023"/>
      <c r="K143" s="1023"/>
      <c r="L143" s="1023"/>
      <c r="M143" s="1023"/>
      <c r="N143" s="1023"/>
      <c r="O143" s="1023"/>
      <c r="P143" s="1023"/>
      <c r="Q143" s="1023"/>
      <c r="R143" s="1023"/>
      <c r="S143" s="1023"/>
      <c r="T143" s="1023"/>
      <c r="U143" s="1023"/>
      <c r="V143" s="1023"/>
      <c r="W143" s="1023"/>
      <c r="X143" s="1023"/>
      <c r="Y143" s="1023"/>
      <c r="Z143" s="1023"/>
      <c r="AA143" s="1023"/>
      <c r="AB143" s="1023"/>
      <c r="AC143" s="1023"/>
      <c r="AD143" s="1023"/>
      <c r="AE143" s="1023"/>
      <c r="AF143" s="305"/>
      <c r="AG143" s="306"/>
      <c r="AH143" s="1011" t="s">
        <v>2719</v>
      </c>
      <c r="AI143" s="1012"/>
      <c r="AJ143" s="1012"/>
      <c r="AK143" s="1012"/>
      <c r="AL143" s="1013"/>
      <c r="AM143" s="221"/>
      <c r="AN143" s="1016" t="s">
        <v>2720</v>
      </c>
      <c r="AO143" s="1012"/>
      <c r="AP143" s="1012"/>
      <c r="AQ143" s="1012"/>
      <c r="AR143" s="1013"/>
      <c r="AS143" s="262"/>
      <c r="AT143" s="262"/>
      <c r="AU143" s="262"/>
      <c r="AV143" s="262"/>
      <c r="AW143" s="262"/>
      <c r="AX143" s="262"/>
      <c r="AY143" s="262"/>
      <c r="AZ143" s="262"/>
      <c r="BA143" s="262"/>
      <c r="BB143" s="262"/>
      <c r="BC143" s="262"/>
      <c r="BD143" s="262"/>
      <c r="BE143" s="262"/>
      <c r="BF143" s="262"/>
      <c r="BG143" s="262"/>
      <c r="BH143" s="262"/>
      <c r="BI143" s="262"/>
      <c r="BJ143" s="262"/>
      <c r="BK143" s="262"/>
      <c r="BL143" s="262"/>
      <c r="BM143" s="262"/>
      <c r="BN143" s="262"/>
      <c r="BO143" s="262"/>
      <c r="BP143" s="262"/>
      <c r="BQ143" s="262"/>
      <c r="BR143" s="262"/>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row>
    <row r="144" spans="1:175" ht="4.5" customHeight="1" thickBot="1" x14ac:dyDescent="0.3">
      <c r="A144" s="332"/>
      <c r="B144" s="233"/>
      <c r="C144" s="437"/>
      <c r="D144" s="438"/>
      <c r="E144" s="438"/>
      <c r="F144" s="438"/>
      <c r="G144" s="438"/>
      <c r="H144" s="438"/>
      <c r="I144" s="438"/>
      <c r="J144" s="438"/>
      <c r="K144" s="438"/>
      <c r="L144" s="438"/>
      <c r="M144" s="438"/>
      <c r="N144" s="438"/>
      <c r="O144" s="438"/>
      <c r="P144" s="438"/>
      <c r="Q144" s="438"/>
      <c r="R144" s="438"/>
      <c r="S144" s="438"/>
      <c r="T144" s="438"/>
      <c r="U144" s="438"/>
      <c r="V144" s="438"/>
      <c r="W144" s="438"/>
      <c r="X144" s="438"/>
      <c r="Y144" s="438"/>
      <c r="Z144" s="438"/>
      <c r="AA144" s="438"/>
      <c r="AB144" s="438"/>
      <c r="AC144" s="438"/>
      <c r="AD144" s="438"/>
      <c r="AE144" s="439"/>
      <c r="AF144" s="305"/>
      <c r="AG144" s="306"/>
      <c r="AH144" s="1014"/>
      <c r="AI144" s="1014"/>
      <c r="AJ144" s="1014"/>
      <c r="AK144" s="1014"/>
      <c r="AL144" s="1015"/>
      <c r="AM144" s="221"/>
      <c r="AN144" s="1017"/>
      <c r="AO144" s="1014"/>
      <c r="AP144" s="1014"/>
      <c r="AQ144" s="1014"/>
      <c r="AR144" s="1015"/>
      <c r="AS144" s="262"/>
      <c r="AT144" s="262"/>
      <c r="AU144" s="262"/>
      <c r="AV144" s="262"/>
      <c r="AW144" s="262"/>
      <c r="AX144" s="262"/>
      <c r="AY144" s="262"/>
      <c r="AZ144" s="262"/>
      <c r="BA144" s="262"/>
      <c r="BB144" s="262"/>
      <c r="BC144" s="262"/>
      <c r="BD144" s="262"/>
      <c r="BE144" s="262"/>
      <c r="BF144" s="262"/>
      <c r="BG144" s="262"/>
      <c r="BH144" s="262"/>
      <c r="BI144" s="262"/>
      <c r="BJ144" s="262"/>
      <c r="BK144" s="262"/>
      <c r="BL144" s="262"/>
      <c r="BM144" s="262"/>
      <c r="BN144" s="262"/>
      <c r="BO144" s="262"/>
      <c r="BP144" s="262"/>
      <c r="BQ144" s="262"/>
      <c r="BR144" s="262"/>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row>
    <row r="145" spans="1:175" ht="90" customHeight="1" x14ac:dyDescent="0.25">
      <c r="A145" s="332"/>
      <c r="B145" s="233"/>
      <c r="C145" s="1018" t="s">
        <v>2789</v>
      </c>
      <c r="D145" s="209"/>
      <c r="E145" s="343" t="s">
        <v>2723</v>
      </c>
      <c r="F145" s="344" t="s">
        <v>2724</v>
      </c>
      <c r="G145" s="344" t="s">
        <v>2725</v>
      </c>
      <c r="H145" s="344" t="s">
        <v>2726</v>
      </c>
      <c r="I145" s="344" t="s">
        <v>2727</v>
      </c>
      <c r="J145" s="344" t="s">
        <v>2728</v>
      </c>
      <c r="K145" s="344" t="s">
        <v>2729</v>
      </c>
      <c r="L145" s="344" t="s">
        <v>2730</v>
      </c>
      <c r="M145" s="344" t="s">
        <v>2731</v>
      </c>
      <c r="N145" s="344" t="s">
        <v>2732</v>
      </c>
      <c r="O145" s="344" t="s">
        <v>2733</v>
      </c>
      <c r="P145" s="344" t="s">
        <v>2734</v>
      </c>
      <c r="Q145" s="345" t="s">
        <v>2735</v>
      </c>
      <c r="R145" s="345" t="s">
        <v>2736</v>
      </c>
      <c r="S145" s="345" t="s">
        <v>2737</v>
      </c>
      <c r="T145" s="345" t="s">
        <v>2738</v>
      </c>
      <c r="U145" s="345" t="s">
        <v>2739</v>
      </c>
      <c r="V145" s="345" t="s">
        <v>2740</v>
      </c>
      <c r="W145" s="345" t="s">
        <v>2741</v>
      </c>
      <c r="X145" s="345" t="s">
        <v>2742</v>
      </c>
      <c r="Y145" s="345" t="s">
        <v>2743</v>
      </c>
      <c r="Z145" s="345" t="s">
        <v>2744</v>
      </c>
      <c r="AA145" s="345" t="s">
        <v>2745</v>
      </c>
      <c r="AB145" s="345" t="s">
        <v>2746</v>
      </c>
      <c r="AC145" s="1021" t="s">
        <v>2747</v>
      </c>
      <c r="AD145" s="1021"/>
      <c r="AE145" s="356" t="s">
        <v>2748</v>
      </c>
      <c r="AF145" s="305"/>
      <c r="AG145" s="306"/>
      <c r="AH145" s="7"/>
      <c r="AI145" s="222" t="s">
        <v>2749</v>
      </c>
      <c r="AJ145" s="222" t="s">
        <v>2750</v>
      </c>
      <c r="AK145" s="222" t="s">
        <v>2751</v>
      </c>
      <c r="AL145" s="223" t="s">
        <v>2752</v>
      </c>
      <c r="AM145" s="221"/>
      <c r="AN145" s="209"/>
      <c r="AO145" s="222" t="s">
        <v>2753</v>
      </c>
      <c r="AP145" s="222" t="s">
        <v>2754</v>
      </c>
      <c r="AQ145" s="222" t="s">
        <v>2755</v>
      </c>
      <c r="AR145" s="223" t="s">
        <v>2756</v>
      </c>
      <c r="AS145" s="262"/>
      <c r="AT145" s="262"/>
      <c r="AU145" s="262"/>
      <c r="AV145" s="262"/>
      <c r="AW145" s="262"/>
      <c r="AX145" s="262"/>
      <c r="AY145" s="262"/>
      <c r="AZ145" s="262"/>
      <c r="BA145" s="262"/>
      <c r="BB145" s="262"/>
      <c r="BC145" s="262"/>
      <c r="BD145" s="262"/>
      <c r="BE145" s="262"/>
      <c r="BF145" s="262"/>
      <c r="BG145" s="262"/>
      <c r="BH145" s="262"/>
      <c r="BI145" s="262"/>
      <c r="BJ145" s="262"/>
      <c r="BK145" s="262"/>
      <c r="BL145" s="262"/>
      <c r="BM145" s="262"/>
      <c r="BN145" s="262"/>
      <c r="BO145" s="262"/>
      <c r="BP145" s="262"/>
      <c r="BQ145" s="262"/>
      <c r="BR145" s="262"/>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row>
    <row r="146" spans="1:175" ht="21" customHeight="1" x14ac:dyDescent="0.25">
      <c r="A146" s="332"/>
      <c r="B146" s="233"/>
      <c r="C146" s="1019"/>
      <c r="D146" s="224" t="s">
        <v>2757</v>
      </c>
      <c r="E146" s="455"/>
      <c r="F146" s="455"/>
      <c r="G146" s="455"/>
      <c r="H146" s="455"/>
      <c r="I146" s="455"/>
      <c r="J146" s="455"/>
      <c r="K146" s="455"/>
      <c r="L146" s="455"/>
      <c r="M146" s="455"/>
      <c r="N146" s="455"/>
      <c r="O146" s="455"/>
      <c r="P146" s="455"/>
      <c r="Q146" s="455"/>
      <c r="R146" s="455"/>
      <c r="S146" s="455"/>
      <c r="T146" s="455"/>
      <c r="U146" s="455"/>
      <c r="V146" s="455"/>
      <c r="W146" s="455"/>
      <c r="X146" s="455"/>
      <c r="Y146" s="455"/>
      <c r="Z146" s="455"/>
      <c r="AA146" s="455"/>
      <c r="AB146" s="455"/>
      <c r="AC146" s="1022">
        <f>SUM(E146:AB146)</f>
        <v>0</v>
      </c>
      <c r="AD146" s="1022"/>
      <c r="AE146" s="225">
        <f>AC146*52</f>
        <v>0</v>
      </c>
      <c r="AF146" s="305"/>
      <c r="AG146" s="306"/>
      <c r="AH146" s="228" t="s">
        <v>2758</v>
      </c>
      <c r="AI146" s="206">
        <f>IF(S146&gt;0, S146,0)</f>
        <v>0</v>
      </c>
      <c r="AJ146" s="206">
        <f>IF(T146&gt;0,T146,0)</f>
        <v>0</v>
      </c>
      <c r="AK146" s="206">
        <f>IF(U146&gt;0, U146, 0)</f>
        <v>0</v>
      </c>
      <c r="AL146" s="207">
        <f>IF(V146&gt;0, V146,0)</f>
        <v>0</v>
      </c>
      <c r="AM146" s="221"/>
      <c r="AN146" s="210" t="s">
        <v>2758</v>
      </c>
      <c r="AO146" s="206">
        <f>IF(L146&gt;0, L146,0)</f>
        <v>0</v>
      </c>
      <c r="AP146" s="206">
        <f>IF(M146&gt;0, M146,0)</f>
        <v>0</v>
      </c>
      <c r="AQ146" s="206">
        <f>IF(W146&gt;0, W146,0)</f>
        <v>0</v>
      </c>
      <c r="AR146" s="207">
        <f>IF(X146&gt;0, X146,0)</f>
        <v>0</v>
      </c>
      <c r="AS146" s="262"/>
      <c r="AT146" s="262"/>
      <c r="AU146" s="262"/>
      <c r="AV146" s="262"/>
      <c r="AW146" s="262"/>
      <c r="AX146" s="262"/>
      <c r="AY146" s="262"/>
      <c r="AZ146" s="262"/>
      <c r="BA146" s="262"/>
      <c r="BB146" s="262"/>
      <c r="BC146" s="262"/>
      <c r="BD146" s="262"/>
      <c r="BE146" s="262"/>
      <c r="BF146" s="262"/>
      <c r="BG146" s="262"/>
      <c r="BH146" s="262"/>
      <c r="BI146" s="262"/>
      <c r="BJ146" s="262"/>
      <c r="BK146" s="262"/>
      <c r="BL146" s="262"/>
      <c r="BM146" s="262"/>
      <c r="BN146" s="262"/>
      <c r="BO146" s="262"/>
      <c r="BP146" s="262"/>
      <c r="BQ146" s="262"/>
      <c r="BR146" s="262"/>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row>
    <row r="147" spans="1:175" ht="21" customHeight="1" x14ac:dyDescent="0.25">
      <c r="A147" s="332"/>
      <c r="B147" s="233"/>
      <c r="C147" s="1019"/>
      <c r="D147" s="226" t="s">
        <v>2759</v>
      </c>
      <c r="E147" s="455"/>
      <c r="F147" s="455"/>
      <c r="G147" s="455"/>
      <c r="H147" s="455"/>
      <c r="I147" s="455"/>
      <c r="J147" s="455"/>
      <c r="K147" s="455"/>
      <c r="L147" s="455"/>
      <c r="M147" s="455"/>
      <c r="N147" s="455"/>
      <c r="O147" s="455"/>
      <c r="P147" s="455"/>
      <c r="Q147" s="455"/>
      <c r="R147" s="455"/>
      <c r="S147" s="455"/>
      <c r="T147" s="455"/>
      <c r="U147" s="455"/>
      <c r="V147" s="455"/>
      <c r="W147" s="455"/>
      <c r="X147" s="455"/>
      <c r="Y147" s="455"/>
      <c r="Z147" s="455"/>
      <c r="AA147" s="455"/>
      <c r="AB147" s="455"/>
      <c r="AC147" s="1022">
        <f t="shared" ref="AC147:AC152" si="56">SUM(E147:AB147)</f>
        <v>0</v>
      </c>
      <c r="AD147" s="1022"/>
      <c r="AE147" s="225">
        <f t="shared" ref="AE147:AE152" si="57">AC147*52</f>
        <v>0</v>
      </c>
      <c r="AF147" s="305"/>
      <c r="AG147" s="306"/>
      <c r="AH147" s="228" t="s">
        <v>2760</v>
      </c>
      <c r="AI147" s="206">
        <f t="shared" ref="AI147:AI150" si="58">IF(S147&gt;0, S147,0)</f>
        <v>0</v>
      </c>
      <c r="AJ147" s="206">
        <f t="shared" ref="AJ147:AJ150" si="59">IF(T147&gt;0,T147,0)</f>
        <v>0</v>
      </c>
      <c r="AK147" s="206">
        <f t="shared" ref="AK147:AK150" si="60">IF(U147&gt;0, U147, 0)</f>
        <v>0</v>
      </c>
      <c r="AL147" s="207">
        <f t="shared" ref="AL147:AL150" si="61">IF(V147&gt;0, V147,0)</f>
        <v>0</v>
      </c>
      <c r="AM147" s="221"/>
      <c r="AN147" s="210" t="s">
        <v>2760</v>
      </c>
      <c r="AO147" s="206">
        <f t="shared" ref="AO147:AP150" si="62">IF(L147&gt;0, L147,0)</f>
        <v>0</v>
      </c>
      <c r="AP147" s="206">
        <f t="shared" si="62"/>
        <v>0</v>
      </c>
      <c r="AQ147" s="206">
        <f t="shared" ref="AQ147:AR150" si="63">IF(W147&gt;0, W147,0)</f>
        <v>0</v>
      </c>
      <c r="AR147" s="207">
        <f t="shared" si="63"/>
        <v>0</v>
      </c>
      <c r="AS147" s="262"/>
      <c r="AT147" s="262"/>
      <c r="AU147" s="262"/>
      <c r="AV147" s="262"/>
      <c r="AW147" s="262"/>
      <c r="AX147" s="262"/>
      <c r="AY147" s="262"/>
      <c r="AZ147" s="262"/>
      <c r="BA147" s="262"/>
      <c r="BB147" s="262"/>
      <c r="BC147" s="262"/>
      <c r="BD147" s="262"/>
      <c r="BE147" s="262"/>
      <c r="BF147" s="262"/>
      <c r="BG147" s="262"/>
      <c r="BH147" s="262"/>
      <c r="BI147" s="262"/>
      <c r="BJ147" s="262"/>
      <c r="BK147" s="262"/>
      <c r="BL147" s="262"/>
      <c r="BM147" s="262"/>
      <c r="BN147" s="262"/>
      <c r="BO147" s="262"/>
      <c r="BP147" s="262"/>
      <c r="BQ147" s="262"/>
      <c r="BR147" s="262"/>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row>
    <row r="148" spans="1:175" ht="21" customHeight="1" x14ac:dyDescent="0.25">
      <c r="A148" s="332"/>
      <c r="B148" s="233"/>
      <c r="C148" s="1019"/>
      <c r="D148" s="226" t="s">
        <v>2761</v>
      </c>
      <c r="E148" s="455"/>
      <c r="F148" s="455"/>
      <c r="G148" s="455"/>
      <c r="H148" s="455"/>
      <c r="I148" s="455"/>
      <c r="J148" s="455"/>
      <c r="K148" s="455"/>
      <c r="L148" s="455"/>
      <c r="M148" s="455"/>
      <c r="N148" s="455"/>
      <c r="O148" s="455"/>
      <c r="P148" s="455"/>
      <c r="Q148" s="455"/>
      <c r="R148" s="455"/>
      <c r="S148" s="455"/>
      <c r="T148" s="455"/>
      <c r="U148" s="455"/>
      <c r="V148" s="455"/>
      <c r="W148" s="455"/>
      <c r="X148" s="455"/>
      <c r="Y148" s="455"/>
      <c r="Z148" s="455"/>
      <c r="AA148" s="455"/>
      <c r="AB148" s="455"/>
      <c r="AC148" s="1022">
        <f t="shared" si="56"/>
        <v>0</v>
      </c>
      <c r="AD148" s="1022"/>
      <c r="AE148" s="225">
        <f t="shared" si="57"/>
        <v>0</v>
      </c>
      <c r="AF148" s="305"/>
      <c r="AG148" s="306"/>
      <c r="AH148" s="228" t="s">
        <v>2762</v>
      </c>
      <c r="AI148" s="206">
        <f t="shared" si="58"/>
        <v>0</v>
      </c>
      <c r="AJ148" s="206">
        <f t="shared" si="59"/>
        <v>0</v>
      </c>
      <c r="AK148" s="206">
        <f t="shared" si="60"/>
        <v>0</v>
      </c>
      <c r="AL148" s="207">
        <f t="shared" si="61"/>
        <v>0</v>
      </c>
      <c r="AM148" s="221"/>
      <c r="AN148" s="210" t="s">
        <v>2762</v>
      </c>
      <c r="AO148" s="206">
        <f t="shared" si="62"/>
        <v>0</v>
      </c>
      <c r="AP148" s="206">
        <f t="shared" si="62"/>
        <v>0</v>
      </c>
      <c r="AQ148" s="206">
        <f t="shared" si="63"/>
        <v>0</v>
      </c>
      <c r="AR148" s="207">
        <f t="shared" si="63"/>
        <v>0</v>
      </c>
      <c r="AS148" s="262"/>
      <c r="AT148" s="262"/>
      <c r="AU148" s="262"/>
      <c r="AV148" s="262"/>
      <c r="AW148" s="262"/>
      <c r="AX148" s="262"/>
      <c r="AY148" s="262"/>
      <c r="AZ148" s="262"/>
      <c r="BA148" s="262"/>
      <c r="BB148" s="262"/>
      <c r="BC148" s="262"/>
      <c r="BD148" s="262"/>
      <c r="BE148" s="262"/>
      <c r="BF148" s="262"/>
      <c r="BG148" s="262"/>
      <c r="BH148" s="262"/>
      <c r="BI148" s="262"/>
      <c r="BJ148" s="262"/>
      <c r="BK148" s="262"/>
      <c r="BL148" s="262"/>
      <c r="BM148" s="262"/>
      <c r="BN148" s="262"/>
      <c r="BO148" s="262"/>
      <c r="BP148" s="262"/>
      <c r="BQ148" s="262"/>
      <c r="BR148" s="262"/>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row>
    <row r="149" spans="1:175" ht="21" customHeight="1" x14ac:dyDescent="0.25">
      <c r="A149" s="332"/>
      <c r="B149" s="233"/>
      <c r="C149" s="1019"/>
      <c r="D149" s="226" t="s">
        <v>2763</v>
      </c>
      <c r="E149" s="455"/>
      <c r="F149" s="455"/>
      <c r="G149" s="455"/>
      <c r="H149" s="455"/>
      <c r="I149" s="455"/>
      <c r="J149" s="455"/>
      <c r="K149" s="455"/>
      <c r="L149" s="455"/>
      <c r="M149" s="455"/>
      <c r="N149" s="455"/>
      <c r="O149" s="455"/>
      <c r="P149" s="455"/>
      <c r="Q149" s="455"/>
      <c r="R149" s="455"/>
      <c r="S149" s="455"/>
      <c r="T149" s="455"/>
      <c r="U149" s="455"/>
      <c r="V149" s="455"/>
      <c r="W149" s="455"/>
      <c r="X149" s="455"/>
      <c r="Y149" s="455"/>
      <c r="Z149" s="455"/>
      <c r="AA149" s="455"/>
      <c r="AB149" s="455"/>
      <c r="AC149" s="1022">
        <f t="shared" si="56"/>
        <v>0</v>
      </c>
      <c r="AD149" s="1022"/>
      <c r="AE149" s="225">
        <f t="shared" si="57"/>
        <v>0</v>
      </c>
      <c r="AF149" s="305"/>
      <c r="AG149" s="306"/>
      <c r="AH149" s="228" t="s">
        <v>2764</v>
      </c>
      <c r="AI149" s="206">
        <f t="shared" si="58"/>
        <v>0</v>
      </c>
      <c r="AJ149" s="206">
        <f t="shared" si="59"/>
        <v>0</v>
      </c>
      <c r="AK149" s="206">
        <f t="shared" si="60"/>
        <v>0</v>
      </c>
      <c r="AL149" s="207">
        <f t="shared" si="61"/>
        <v>0</v>
      </c>
      <c r="AM149" s="221"/>
      <c r="AN149" s="210" t="s">
        <v>2764</v>
      </c>
      <c r="AO149" s="206">
        <f t="shared" si="62"/>
        <v>0</v>
      </c>
      <c r="AP149" s="206">
        <f t="shared" si="62"/>
        <v>0</v>
      </c>
      <c r="AQ149" s="206">
        <f t="shared" si="63"/>
        <v>0</v>
      </c>
      <c r="AR149" s="207">
        <f t="shared" si="63"/>
        <v>0</v>
      </c>
      <c r="AS149" s="262"/>
      <c r="AT149" s="262"/>
      <c r="AU149" s="262"/>
      <c r="AV149" s="262"/>
      <c r="AW149" s="262"/>
      <c r="AX149" s="262"/>
      <c r="AY149" s="262"/>
      <c r="AZ149" s="262"/>
      <c r="BA149" s="262"/>
      <c r="BB149" s="262"/>
      <c r="BC149" s="262"/>
      <c r="BD149" s="262"/>
      <c r="BE149" s="262"/>
      <c r="BF149" s="262"/>
      <c r="BG149" s="262"/>
      <c r="BH149" s="262"/>
      <c r="BI149" s="262"/>
      <c r="BJ149" s="262"/>
      <c r="BK149" s="262"/>
      <c r="BL149" s="262"/>
      <c r="BM149" s="262"/>
      <c r="BN149" s="262"/>
      <c r="BO149" s="262"/>
      <c r="BP149" s="262"/>
      <c r="BQ149" s="262"/>
      <c r="BR149" s="262"/>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row>
    <row r="150" spans="1:175" ht="21" customHeight="1" x14ac:dyDescent="0.25">
      <c r="A150" s="332"/>
      <c r="B150" s="233"/>
      <c r="C150" s="1019"/>
      <c r="D150" s="226" t="s">
        <v>2765</v>
      </c>
      <c r="E150" s="455"/>
      <c r="F150" s="455"/>
      <c r="G150" s="455"/>
      <c r="H150" s="455"/>
      <c r="I150" s="455"/>
      <c r="J150" s="455"/>
      <c r="K150" s="455"/>
      <c r="L150" s="455"/>
      <c r="M150" s="455"/>
      <c r="N150" s="455"/>
      <c r="O150" s="455"/>
      <c r="P150" s="455"/>
      <c r="Q150" s="455"/>
      <c r="R150" s="455"/>
      <c r="S150" s="455"/>
      <c r="T150" s="455"/>
      <c r="U150" s="455"/>
      <c r="V150" s="455"/>
      <c r="W150" s="455"/>
      <c r="X150" s="455"/>
      <c r="Y150" s="455"/>
      <c r="Z150" s="455"/>
      <c r="AA150" s="455"/>
      <c r="AB150" s="455"/>
      <c r="AC150" s="1022">
        <f t="shared" si="56"/>
        <v>0</v>
      </c>
      <c r="AD150" s="1022"/>
      <c r="AE150" s="225">
        <f t="shared" si="57"/>
        <v>0</v>
      </c>
      <c r="AF150" s="305"/>
      <c r="AG150" s="306"/>
      <c r="AH150" s="228" t="s">
        <v>2766</v>
      </c>
      <c r="AI150" s="206">
        <f t="shared" si="58"/>
        <v>0</v>
      </c>
      <c r="AJ150" s="206">
        <f t="shared" si="59"/>
        <v>0</v>
      </c>
      <c r="AK150" s="206">
        <f t="shared" si="60"/>
        <v>0</v>
      </c>
      <c r="AL150" s="207">
        <f t="shared" si="61"/>
        <v>0</v>
      </c>
      <c r="AM150" s="221"/>
      <c r="AN150" s="210" t="s">
        <v>2766</v>
      </c>
      <c r="AO150" s="206">
        <f t="shared" si="62"/>
        <v>0</v>
      </c>
      <c r="AP150" s="206">
        <f t="shared" si="62"/>
        <v>0</v>
      </c>
      <c r="AQ150" s="206">
        <f t="shared" si="63"/>
        <v>0</v>
      </c>
      <c r="AR150" s="207">
        <f t="shared" si="63"/>
        <v>0</v>
      </c>
      <c r="AS150" s="262"/>
      <c r="AT150" s="262"/>
      <c r="AU150" s="262"/>
      <c r="AV150" s="262"/>
      <c r="AW150" s="262"/>
      <c r="AX150" s="262"/>
      <c r="AY150" s="262"/>
      <c r="AZ150" s="262"/>
      <c r="BA150" s="262"/>
      <c r="BB150" s="262"/>
      <c r="BC150" s="262"/>
      <c r="BD150" s="262"/>
      <c r="BE150" s="262"/>
      <c r="BF150" s="262"/>
      <c r="BG150" s="262"/>
      <c r="BH150" s="262"/>
      <c r="BI150" s="262"/>
      <c r="BJ150" s="262"/>
      <c r="BK150" s="262"/>
      <c r="BL150" s="262"/>
      <c r="BM150" s="262"/>
      <c r="BN150" s="262"/>
      <c r="BO150" s="262"/>
      <c r="BP150" s="262"/>
      <c r="BQ150" s="262"/>
      <c r="BR150" s="262"/>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row>
    <row r="151" spans="1:175" ht="21" customHeight="1" thickBot="1" x14ac:dyDescent="0.3">
      <c r="A151" s="332"/>
      <c r="B151" s="233"/>
      <c r="C151" s="1019"/>
      <c r="D151" s="226" t="s">
        <v>2767</v>
      </c>
      <c r="E151" s="455"/>
      <c r="F151" s="455"/>
      <c r="G151" s="455"/>
      <c r="H151" s="455"/>
      <c r="I151" s="455"/>
      <c r="J151" s="455"/>
      <c r="K151" s="455"/>
      <c r="L151" s="455"/>
      <c r="M151" s="455"/>
      <c r="N151" s="455"/>
      <c r="O151" s="455"/>
      <c r="P151" s="455"/>
      <c r="Q151" s="455"/>
      <c r="R151" s="455"/>
      <c r="S151" s="455"/>
      <c r="T151" s="455"/>
      <c r="U151" s="455"/>
      <c r="V151" s="455"/>
      <c r="W151" s="455"/>
      <c r="X151" s="455"/>
      <c r="Y151" s="455"/>
      <c r="Z151" s="455"/>
      <c r="AA151" s="455"/>
      <c r="AB151" s="455"/>
      <c r="AC151" s="1022">
        <f t="shared" si="56"/>
        <v>0</v>
      </c>
      <c r="AD151" s="1022"/>
      <c r="AE151" s="225">
        <f t="shared" si="57"/>
        <v>0</v>
      </c>
      <c r="AF151" s="305"/>
      <c r="AG151" s="306"/>
      <c r="AH151" s="229" t="s">
        <v>181</v>
      </c>
      <c r="AI151" s="208">
        <f>IFERROR(AVERAGE(AI146:AL150), "")</f>
        <v>0</v>
      </c>
      <c r="AJ151" s="262"/>
      <c r="AK151" s="262"/>
      <c r="AL151" s="262"/>
      <c r="AM151" s="221"/>
      <c r="AN151" s="211" t="s">
        <v>181</v>
      </c>
      <c r="AO151" s="208">
        <f>IFERROR(AVERAGE(AO146:AR150), "")</f>
        <v>0</v>
      </c>
      <c r="AP151" s="262"/>
      <c r="AQ151" s="262"/>
      <c r="AR151" s="262"/>
      <c r="AS151" s="262"/>
      <c r="AT151" s="262"/>
      <c r="AU151" s="262"/>
      <c r="AV151" s="262"/>
      <c r="AW151" s="262"/>
      <c r="AX151" s="262"/>
      <c r="AY151" s="262"/>
      <c r="AZ151" s="262"/>
      <c r="BA151" s="262"/>
      <c r="BB151" s="262"/>
      <c r="BC151" s="262"/>
      <c r="BD151" s="262"/>
      <c r="BE151" s="262"/>
      <c r="BF151" s="262"/>
      <c r="BG151" s="262"/>
      <c r="BH151" s="262"/>
      <c r="BI151" s="262"/>
      <c r="BJ151" s="262"/>
      <c r="BK151" s="262"/>
      <c r="BL151" s="262"/>
      <c r="BM151" s="262"/>
      <c r="BN151" s="262"/>
      <c r="BO151" s="262"/>
      <c r="BP151" s="262"/>
      <c r="BQ151" s="262"/>
      <c r="BR151" s="262"/>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row>
    <row r="152" spans="1:175" ht="21" customHeight="1" x14ac:dyDescent="0.25">
      <c r="A152" s="332"/>
      <c r="B152" s="233"/>
      <c r="C152" s="1019"/>
      <c r="D152" s="227" t="s">
        <v>2768</v>
      </c>
      <c r="E152" s="455"/>
      <c r="F152" s="455"/>
      <c r="G152" s="455"/>
      <c r="H152" s="455"/>
      <c r="I152" s="455"/>
      <c r="J152" s="455"/>
      <c r="K152" s="455"/>
      <c r="L152" s="455"/>
      <c r="M152" s="455"/>
      <c r="N152" s="455"/>
      <c r="O152" s="455"/>
      <c r="P152" s="455"/>
      <c r="Q152" s="455"/>
      <c r="R152" s="455"/>
      <c r="S152" s="455"/>
      <c r="T152" s="455"/>
      <c r="U152" s="455"/>
      <c r="V152" s="455"/>
      <c r="W152" s="455"/>
      <c r="X152" s="455"/>
      <c r="Y152" s="455"/>
      <c r="Z152" s="455"/>
      <c r="AA152" s="455"/>
      <c r="AB152" s="455"/>
      <c r="AC152" s="1022">
        <f t="shared" si="56"/>
        <v>0</v>
      </c>
      <c r="AD152" s="1022"/>
      <c r="AE152" s="225">
        <f t="shared" si="57"/>
        <v>0</v>
      </c>
      <c r="AF152" s="305"/>
      <c r="AG152" s="306"/>
      <c r="AH152" s="262"/>
      <c r="AI152" s="262"/>
      <c r="AJ152" s="262"/>
      <c r="AK152" s="262"/>
      <c r="AL152" s="262"/>
      <c r="AM152" s="262"/>
      <c r="AN152" s="262"/>
      <c r="AO152" s="262"/>
      <c r="AP152" s="262"/>
      <c r="AQ152" s="262"/>
      <c r="AR152" s="262"/>
      <c r="AS152" s="262"/>
      <c r="AT152" s="262"/>
      <c r="AU152" s="262"/>
      <c r="AV152" s="262"/>
      <c r="AW152" s="262"/>
      <c r="AX152" s="262"/>
      <c r="AY152" s="262"/>
      <c r="AZ152" s="262"/>
      <c r="BA152" s="262"/>
      <c r="BB152" s="262"/>
      <c r="BC152" s="262"/>
      <c r="BD152" s="262"/>
      <c r="BE152" s="262"/>
      <c r="BF152" s="262"/>
      <c r="BG152" s="262"/>
      <c r="BH152" s="262"/>
      <c r="BI152" s="262"/>
      <c r="BJ152" s="262"/>
      <c r="BK152" s="262"/>
      <c r="BL152" s="262"/>
      <c r="BM152" s="262"/>
      <c r="BN152" s="262"/>
      <c r="BO152" s="262"/>
      <c r="BP152" s="262"/>
      <c r="BQ152" s="262"/>
      <c r="BR152" s="262"/>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row>
    <row r="153" spans="1:175" ht="19.5" thickBot="1" x14ac:dyDescent="0.3">
      <c r="A153" s="332"/>
      <c r="B153" s="233"/>
      <c r="C153" s="1020"/>
      <c r="D153" s="42"/>
      <c r="E153" s="43"/>
      <c r="F153" s="43"/>
      <c r="G153" s="43"/>
      <c r="H153" s="342"/>
      <c r="I153" s="342"/>
      <c r="J153" s="43"/>
      <c r="K153" s="43"/>
      <c r="L153" s="43"/>
      <c r="M153" s="43"/>
      <c r="N153" s="43"/>
      <c r="O153" s="43"/>
      <c r="P153" s="43"/>
      <c r="Q153" s="43"/>
      <c r="R153" s="43"/>
      <c r="S153" s="43"/>
      <c r="T153" s="43"/>
      <c r="U153" s="43"/>
      <c r="V153" s="43"/>
      <c r="W153" s="43"/>
      <c r="X153" s="43"/>
      <c r="Y153" s="43"/>
      <c r="Z153" s="43"/>
      <c r="AA153" s="43"/>
      <c r="AB153" s="43"/>
      <c r="AC153" s="43"/>
      <c r="AD153" s="43"/>
      <c r="AE153" s="44"/>
      <c r="AF153" s="305"/>
      <c r="AG153" s="306"/>
      <c r="AH153" s="262"/>
      <c r="AI153" s="262"/>
      <c r="AJ153" s="262"/>
      <c r="AK153" s="262"/>
      <c r="AL153" s="262"/>
      <c r="AM153" s="262"/>
      <c r="AN153" s="262"/>
      <c r="AO153" s="262"/>
      <c r="AP153" s="262"/>
      <c r="AQ153" s="262"/>
      <c r="AR153" s="262"/>
      <c r="AS153" s="262"/>
      <c r="AT153" s="262"/>
      <c r="AU153" s="262"/>
      <c r="AV153" s="262"/>
      <c r="AW153" s="262"/>
      <c r="AX153" s="262"/>
      <c r="AY153" s="262"/>
      <c r="AZ153" s="262"/>
      <c r="BA153" s="262"/>
      <c r="BB153" s="262"/>
      <c r="BC153" s="262"/>
      <c r="BD153" s="262"/>
      <c r="BE153" s="262"/>
      <c r="BF153" s="262"/>
      <c r="BG153" s="262"/>
      <c r="BH153" s="262"/>
      <c r="BI153" s="262"/>
      <c r="BJ153" s="262"/>
      <c r="BK153" s="262"/>
      <c r="BL153" s="262"/>
      <c r="BM153" s="262"/>
      <c r="BN153" s="262"/>
      <c r="BO153" s="262"/>
      <c r="BP153" s="262"/>
      <c r="BQ153" s="262"/>
      <c r="BR153" s="262"/>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row>
    <row r="154" spans="1:175" ht="15" customHeight="1" x14ac:dyDescent="0.25">
      <c r="A154" s="332"/>
      <c r="B154" s="233"/>
      <c r="C154" s="1003" t="s">
        <v>2769</v>
      </c>
      <c r="D154" s="1003"/>
      <c r="E154" s="1003"/>
      <c r="F154" s="1003"/>
      <c r="G154" s="1004"/>
      <c r="H154" s="1008"/>
      <c r="I154" s="1008"/>
      <c r="J154" s="307"/>
      <c r="K154" s="1009" t="s">
        <v>2770</v>
      </c>
      <c r="L154" s="1009"/>
      <c r="M154" s="1009"/>
      <c r="N154" s="1009"/>
      <c r="O154" s="1009"/>
      <c r="P154" s="1009"/>
      <c r="Q154" s="1010">
        <f>IFERROR((((SUM(AC146:AD152))*H155)/((7*24*52)/8760))-(H154*((AVERAGE(AC146:AD150)))), "")</f>
        <v>0</v>
      </c>
      <c r="R154" s="1010"/>
      <c r="S154" s="300"/>
      <c r="T154" s="300"/>
      <c r="U154" s="300"/>
      <c r="V154" s="300"/>
      <c r="W154" s="300"/>
      <c r="X154" s="300"/>
      <c r="Y154" s="300"/>
      <c r="Z154" s="300"/>
      <c r="AA154" s="300"/>
      <c r="AB154" s="300"/>
      <c r="AC154" s="300"/>
      <c r="AD154" s="300"/>
      <c r="AE154" s="300"/>
      <c r="AF154" s="305"/>
      <c r="AG154" s="306"/>
      <c r="AH154" s="262"/>
      <c r="AI154" s="262"/>
      <c r="AJ154" s="262"/>
      <c r="AK154" s="262"/>
      <c r="AL154" s="262"/>
      <c r="AM154" s="262"/>
      <c r="AN154" s="262"/>
      <c r="AO154" s="262"/>
      <c r="AP154" s="262"/>
      <c r="AQ154" s="262"/>
      <c r="AR154" s="262"/>
      <c r="AS154" s="262"/>
      <c r="AT154" s="262"/>
      <c r="AU154" s="262"/>
      <c r="AV154" s="262"/>
      <c r="AW154" s="262"/>
      <c r="AX154" s="262"/>
      <c r="AY154" s="262"/>
      <c r="AZ154" s="262"/>
      <c r="BA154" s="262"/>
      <c r="BB154" s="262"/>
      <c r="BC154" s="262"/>
      <c r="BD154" s="262"/>
      <c r="BE154" s="262"/>
      <c r="BF154" s="262"/>
      <c r="BG154" s="262"/>
      <c r="BH154" s="262"/>
      <c r="BI154" s="262"/>
      <c r="BJ154" s="262"/>
      <c r="BK154" s="262"/>
      <c r="BL154" s="262"/>
      <c r="BM154" s="262"/>
      <c r="BN154" s="262"/>
      <c r="BO154" s="262"/>
      <c r="BP154" s="262"/>
      <c r="BQ154" s="262"/>
      <c r="BR154" s="262"/>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row>
    <row r="155" spans="1:175" ht="15" customHeight="1" x14ac:dyDescent="0.25">
      <c r="A155" s="332"/>
      <c r="B155" s="233"/>
      <c r="C155" s="1003" t="s">
        <v>2771</v>
      </c>
      <c r="D155" s="1003"/>
      <c r="E155" s="1003"/>
      <c r="F155" s="1003"/>
      <c r="G155" s="1004"/>
      <c r="H155" s="1005"/>
      <c r="I155" s="1005"/>
      <c r="J155" s="307"/>
      <c r="K155" s="1003" t="s">
        <v>2772</v>
      </c>
      <c r="L155" s="1003"/>
      <c r="M155" s="1003"/>
      <c r="N155" s="1003"/>
      <c r="O155" s="1003"/>
      <c r="P155" s="1003"/>
      <c r="Q155" s="1006">
        <f>IFERROR(IF(Q154="","",AI151*(1-(H156/13))), 0)</f>
        <v>0</v>
      </c>
      <c r="R155" s="1007"/>
      <c r="S155" s="300"/>
      <c r="T155" s="300"/>
      <c r="U155" s="300"/>
      <c r="V155" s="300"/>
      <c r="W155" s="300"/>
      <c r="X155" s="300"/>
      <c r="Y155" s="300"/>
      <c r="Z155" s="300"/>
      <c r="AA155" s="300"/>
      <c r="AB155" s="300"/>
      <c r="AC155" s="300"/>
      <c r="AD155" s="300"/>
      <c r="AE155" s="300"/>
      <c r="AF155" s="305"/>
      <c r="AG155" s="306"/>
      <c r="AH155" s="262"/>
      <c r="AI155" s="262"/>
      <c r="AJ155" s="262"/>
      <c r="AK155" s="262"/>
      <c r="AL155" s="262"/>
      <c r="AM155" s="262"/>
      <c r="AN155" s="262"/>
      <c r="AO155" s="262"/>
      <c r="AP155" s="262"/>
      <c r="AQ155" s="262"/>
      <c r="AR155" s="262"/>
      <c r="AS155" s="262"/>
      <c r="AT155" s="262"/>
      <c r="AU155" s="262"/>
      <c r="AV155" s="262"/>
      <c r="AW155" s="262"/>
      <c r="AX155" s="262"/>
      <c r="AY155" s="262"/>
      <c r="AZ155" s="262"/>
      <c r="BA155" s="262"/>
      <c r="BB155" s="262"/>
      <c r="BC155" s="262"/>
      <c r="BD155" s="262"/>
      <c r="BE155" s="262"/>
      <c r="BF155" s="262"/>
      <c r="BG155" s="262"/>
      <c r="BH155" s="262"/>
      <c r="BI155" s="262"/>
      <c r="BJ155" s="262"/>
      <c r="BK155" s="262"/>
      <c r="BL155" s="262"/>
      <c r="BM155" s="262"/>
      <c r="BN155" s="262"/>
      <c r="BO155" s="262"/>
      <c r="BP155" s="262"/>
      <c r="BQ155" s="262"/>
      <c r="BR155" s="262"/>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row>
    <row r="156" spans="1:175" ht="15" customHeight="1" x14ac:dyDescent="0.25">
      <c r="A156" s="332"/>
      <c r="B156" s="233"/>
      <c r="C156" s="1003" t="s">
        <v>2773</v>
      </c>
      <c r="D156" s="1003"/>
      <c r="E156" s="1003"/>
      <c r="F156" s="1003"/>
      <c r="G156" s="1004"/>
      <c r="H156" s="1005"/>
      <c r="I156" s="1005"/>
      <c r="J156" s="307"/>
      <c r="K156" s="1003" t="s">
        <v>2774</v>
      </c>
      <c r="L156" s="1003"/>
      <c r="M156" s="1003"/>
      <c r="N156" s="1003"/>
      <c r="O156" s="1003"/>
      <c r="P156" s="1003"/>
      <c r="Q156" s="1006">
        <f>IFERROR(IF(Q154="","",AO151*(1-(H157/9))), 0)</f>
        <v>0</v>
      </c>
      <c r="R156" s="1007"/>
      <c r="S156" s="300"/>
      <c r="T156" s="300"/>
      <c r="U156" s="300"/>
      <c r="V156" s="300"/>
      <c r="W156" s="300"/>
      <c r="X156" s="300"/>
      <c r="Y156" s="300"/>
      <c r="Z156" s="300"/>
      <c r="AA156" s="300"/>
      <c r="AB156" s="300"/>
      <c r="AC156" s="300"/>
      <c r="AD156" s="300"/>
      <c r="AE156" s="300"/>
      <c r="AF156" s="305"/>
      <c r="AG156" s="306"/>
      <c r="AH156" s="262"/>
      <c r="AI156" s="262"/>
      <c r="AJ156" s="262"/>
      <c r="AK156" s="262"/>
      <c r="AL156" s="262"/>
      <c r="AM156" s="262"/>
      <c r="AN156" s="262"/>
      <c r="AO156" s="262"/>
      <c r="AP156" s="262"/>
      <c r="AQ156" s="262"/>
      <c r="AR156" s="262"/>
      <c r="AS156" s="262"/>
      <c r="AT156" s="262"/>
      <c r="AU156" s="262"/>
      <c r="AV156" s="262"/>
      <c r="AW156" s="262"/>
      <c r="AX156" s="262"/>
      <c r="AY156" s="262"/>
      <c r="AZ156" s="262"/>
      <c r="BA156" s="262"/>
      <c r="BB156" s="262"/>
      <c r="BC156" s="262"/>
      <c r="BD156" s="262"/>
      <c r="BE156" s="262"/>
      <c r="BF156" s="262"/>
      <c r="BG156" s="262"/>
      <c r="BH156" s="262"/>
      <c r="BI156" s="262"/>
      <c r="BJ156" s="262"/>
      <c r="BK156" s="262"/>
      <c r="BL156" s="262"/>
      <c r="BM156" s="262"/>
      <c r="BN156" s="262"/>
      <c r="BO156" s="262"/>
      <c r="BP156" s="262"/>
      <c r="BQ156" s="262"/>
      <c r="BR156" s="262"/>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row>
    <row r="157" spans="1:175" ht="15" customHeight="1" x14ac:dyDescent="0.25">
      <c r="A157" s="332"/>
      <c r="B157" s="233"/>
      <c r="C157" s="1003" t="s">
        <v>2775</v>
      </c>
      <c r="D157" s="1003"/>
      <c r="E157" s="1003"/>
      <c r="F157" s="1003"/>
      <c r="G157" s="1004"/>
      <c r="H157" s="1005"/>
      <c r="I157" s="1005"/>
      <c r="J157" s="307"/>
      <c r="K157" s="307"/>
      <c r="L157" s="307"/>
      <c r="M157" s="307"/>
      <c r="N157" s="307"/>
      <c r="O157" s="307"/>
      <c r="P157" s="307"/>
      <c r="Q157" s="307"/>
      <c r="R157" s="307"/>
      <c r="S157" s="300"/>
      <c r="T157" s="300"/>
      <c r="U157" s="300"/>
      <c r="V157" s="300"/>
      <c r="W157" s="300"/>
      <c r="X157" s="300"/>
      <c r="Y157" s="300"/>
      <c r="Z157" s="300"/>
      <c r="AA157" s="300"/>
      <c r="AB157" s="300"/>
      <c r="AC157" s="300"/>
      <c r="AD157" s="300"/>
      <c r="AE157" s="300"/>
      <c r="AF157" s="305"/>
      <c r="AG157" s="306"/>
      <c r="AH157" s="262"/>
      <c r="AI157" s="262"/>
      <c r="AJ157" s="262"/>
      <c r="AK157" s="262"/>
      <c r="AL157" s="262"/>
      <c r="AM157" s="262"/>
      <c r="AN157" s="262"/>
      <c r="AO157" s="262"/>
      <c r="AP157" s="262"/>
      <c r="AQ157" s="262"/>
      <c r="AR157" s="262"/>
      <c r="AS157" s="262"/>
      <c r="AT157" s="262"/>
      <c r="AU157" s="262"/>
      <c r="AV157" s="262"/>
      <c r="AW157" s="262"/>
      <c r="AX157" s="262"/>
      <c r="AY157" s="262"/>
      <c r="AZ157" s="262"/>
      <c r="BA157" s="262"/>
      <c r="BB157" s="262"/>
      <c r="BC157" s="262"/>
      <c r="BD157" s="262"/>
      <c r="BE157" s="262"/>
      <c r="BF157" s="262"/>
      <c r="BG157" s="262"/>
      <c r="BH157" s="262"/>
      <c r="BI157" s="262"/>
      <c r="BJ157" s="262"/>
      <c r="BK157" s="262"/>
      <c r="BL157" s="262"/>
      <c r="BM157" s="262"/>
      <c r="BN157" s="262"/>
      <c r="BO157" s="262"/>
      <c r="BP157" s="262"/>
      <c r="BQ157" s="262"/>
      <c r="BR157" s="262"/>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row>
    <row r="158" spans="1:175" ht="18.75" x14ac:dyDescent="0.25">
      <c r="A158" s="332"/>
      <c r="B158" s="233"/>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c r="AE158" s="300"/>
      <c r="AF158" s="305"/>
      <c r="AG158" s="306"/>
      <c r="AH158" s="262"/>
      <c r="AI158" s="262"/>
      <c r="AJ158" s="262"/>
      <c r="AK158" s="262"/>
      <c r="AL158" s="262"/>
      <c r="AM158" s="262"/>
      <c r="AN158" s="262"/>
      <c r="AO158" s="262"/>
      <c r="AP158" s="262"/>
      <c r="AQ158" s="262"/>
      <c r="AR158" s="262"/>
      <c r="AS158" s="262"/>
      <c r="AT158" s="262"/>
      <c r="AU158" s="262"/>
      <c r="AV158" s="262"/>
      <c r="AW158" s="262"/>
      <c r="AX158" s="262"/>
      <c r="AY158" s="262"/>
      <c r="AZ158" s="262"/>
      <c r="BA158" s="262"/>
      <c r="BB158" s="262"/>
      <c r="BC158" s="262"/>
      <c r="BD158" s="262"/>
      <c r="BE158" s="262"/>
      <c r="BF158" s="262"/>
      <c r="BG158" s="262"/>
      <c r="BH158" s="262"/>
      <c r="BI158" s="262"/>
      <c r="BJ158" s="262"/>
      <c r="BK158" s="262"/>
      <c r="BL158" s="262"/>
      <c r="BM158" s="262"/>
      <c r="BN158" s="262"/>
      <c r="BO158" s="262"/>
      <c r="BP158" s="262"/>
      <c r="BQ158" s="262"/>
      <c r="BR158" s="262"/>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row>
    <row r="159" spans="1:175" ht="19.5" thickBot="1" x14ac:dyDescent="0.3">
      <c r="A159" s="332"/>
      <c r="B159" s="233"/>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c r="AE159" s="300"/>
      <c r="AF159" s="305"/>
      <c r="AG159" s="306"/>
      <c r="AH159" s="262"/>
      <c r="AI159" s="262"/>
      <c r="AJ159" s="262"/>
      <c r="AK159" s="262"/>
      <c r="AL159" s="262"/>
      <c r="AM159" s="262"/>
      <c r="AN159" s="262"/>
      <c r="AO159" s="262"/>
      <c r="AP159" s="262"/>
      <c r="AQ159" s="262"/>
      <c r="AR159" s="262"/>
      <c r="AS159" s="262"/>
      <c r="AT159" s="262"/>
      <c r="AU159" s="262"/>
      <c r="AV159" s="262"/>
      <c r="AW159" s="262"/>
      <c r="AX159" s="262"/>
      <c r="AY159" s="262"/>
      <c r="AZ159" s="262"/>
      <c r="BA159" s="262"/>
      <c r="BB159" s="262"/>
      <c r="BC159" s="262"/>
      <c r="BD159" s="262"/>
      <c r="BE159" s="262"/>
      <c r="BF159" s="262"/>
      <c r="BG159" s="262"/>
      <c r="BH159" s="262"/>
      <c r="BI159" s="262"/>
      <c r="BJ159" s="262"/>
      <c r="BK159" s="262"/>
      <c r="BL159" s="262"/>
      <c r="BM159" s="262"/>
      <c r="BN159" s="262"/>
      <c r="BO159" s="262"/>
      <c r="BP159" s="262"/>
      <c r="BQ159" s="262"/>
      <c r="BR159" s="262"/>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row>
    <row r="160" spans="1:175" ht="18.75" x14ac:dyDescent="0.25">
      <c r="A160" s="332"/>
      <c r="B160" s="233"/>
      <c r="C160" s="1063" t="s">
        <v>2790</v>
      </c>
      <c r="D160" s="1064"/>
      <c r="E160" s="1064"/>
      <c r="F160" s="1064"/>
      <c r="G160" s="1064"/>
      <c r="H160" s="1064"/>
      <c r="I160" s="1064"/>
      <c r="J160" s="1064"/>
      <c r="K160" s="1064"/>
      <c r="L160" s="1064"/>
      <c r="M160" s="1064"/>
      <c r="N160" s="1064"/>
      <c r="O160" s="1064"/>
      <c r="P160" s="1064"/>
      <c r="Q160" s="1064"/>
      <c r="R160" s="1064"/>
      <c r="S160" s="1064"/>
      <c r="T160" s="1064"/>
      <c r="U160" s="1064"/>
      <c r="V160" s="1064"/>
      <c r="W160" s="1064"/>
      <c r="X160" s="1064"/>
      <c r="Y160" s="1064"/>
      <c r="Z160" s="1064"/>
      <c r="AA160" s="1064"/>
      <c r="AB160" s="1064"/>
      <c r="AC160" s="1064"/>
      <c r="AD160" s="1064"/>
      <c r="AE160" s="1065"/>
      <c r="AF160" s="305"/>
      <c r="AG160" s="306"/>
      <c r="AH160" s="262"/>
      <c r="AI160" s="262"/>
      <c r="AJ160" s="262"/>
      <c r="AK160" s="262"/>
      <c r="AL160" s="262"/>
      <c r="AM160" s="262"/>
      <c r="AN160" s="262"/>
      <c r="AO160" s="262"/>
      <c r="AP160" s="262"/>
      <c r="AQ160" s="262"/>
      <c r="AR160" s="262"/>
      <c r="AS160" s="262"/>
      <c r="AT160" s="262"/>
      <c r="AU160" s="262"/>
      <c r="AV160" s="262"/>
      <c r="AW160" s="262"/>
      <c r="AX160" s="262"/>
      <c r="AY160" s="262"/>
      <c r="AZ160" s="262"/>
      <c r="BA160" s="262"/>
      <c r="BB160" s="262"/>
      <c r="BC160" s="262"/>
      <c r="BD160" s="262"/>
      <c r="BE160" s="262"/>
      <c r="BF160" s="262"/>
      <c r="BG160" s="262"/>
      <c r="BH160" s="262"/>
      <c r="BI160" s="262"/>
      <c r="BJ160" s="262"/>
      <c r="BK160" s="262"/>
      <c r="BL160" s="262"/>
      <c r="BM160" s="262"/>
      <c r="BN160" s="262"/>
      <c r="BO160" s="262"/>
      <c r="BP160" s="262"/>
      <c r="BQ160" s="262"/>
      <c r="BR160" s="262"/>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row>
    <row r="161" spans="1:175" ht="18.75" x14ac:dyDescent="0.25">
      <c r="A161" s="332"/>
      <c r="B161" s="233"/>
      <c r="C161" s="1066"/>
      <c r="D161" s="1067"/>
      <c r="E161" s="1067"/>
      <c r="F161" s="1067"/>
      <c r="G161" s="1067"/>
      <c r="H161" s="1067"/>
      <c r="I161" s="1067"/>
      <c r="J161" s="1067"/>
      <c r="K161" s="1067"/>
      <c r="L161" s="1067"/>
      <c r="M161" s="1067"/>
      <c r="N161" s="1067"/>
      <c r="O161" s="1067"/>
      <c r="P161" s="1067"/>
      <c r="Q161" s="1067"/>
      <c r="R161" s="1067"/>
      <c r="S161" s="1067"/>
      <c r="T161" s="1067"/>
      <c r="U161" s="1067"/>
      <c r="V161" s="1067"/>
      <c r="W161" s="1067"/>
      <c r="X161" s="1067"/>
      <c r="Y161" s="1067"/>
      <c r="Z161" s="1067"/>
      <c r="AA161" s="1067"/>
      <c r="AB161" s="1067"/>
      <c r="AC161" s="1067"/>
      <c r="AD161" s="1067"/>
      <c r="AE161" s="1068"/>
      <c r="AF161" s="305"/>
      <c r="AG161" s="306"/>
      <c r="AH161" s="262"/>
      <c r="AI161" s="262"/>
      <c r="AJ161" s="262"/>
      <c r="AK161" s="262"/>
      <c r="AL161" s="262"/>
      <c r="AM161" s="262"/>
      <c r="AN161" s="262"/>
      <c r="AO161" s="262"/>
      <c r="AP161" s="262"/>
      <c r="AQ161" s="262"/>
      <c r="AR161" s="262"/>
      <c r="AS161" s="262"/>
      <c r="AT161" s="262"/>
      <c r="AU161" s="262"/>
      <c r="AV161" s="262"/>
      <c r="AW161" s="262"/>
      <c r="AX161" s="262"/>
      <c r="AY161" s="262"/>
      <c r="AZ161" s="262"/>
      <c r="BA161" s="262"/>
      <c r="BB161" s="262"/>
      <c r="BC161" s="262"/>
      <c r="BD161" s="262"/>
      <c r="BE161" s="262"/>
      <c r="BF161" s="262"/>
      <c r="BG161" s="262"/>
      <c r="BH161" s="262"/>
      <c r="BI161" s="262"/>
      <c r="BJ161" s="262"/>
      <c r="BK161" s="262"/>
      <c r="BL161" s="262"/>
      <c r="BM161" s="262"/>
      <c r="BN161" s="262"/>
      <c r="BO161" s="262"/>
      <c r="BP161" s="262"/>
      <c r="BQ161" s="262"/>
      <c r="BR161" s="262"/>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row>
    <row r="162" spans="1:175" ht="19.5" thickBot="1" x14ac:dyDescent="0.3">
      <c r="A162" s="332"/>
      <c r="B162" s="309"/>
      <c r="C162" s="1069"/>
      <c r="D162" s="1070"/>
      <c r="E162" s="1070"/>
      <c r="F162" s="1070"/>
      <c r="G162" s="1070"/>
      <c r="H162" s="1070"/>
      <c r="I162" s="1070"/>
      <c r="J162" s="1070"/>
      <c r="K162" s="1070"/>
      <c r="L162" s="1070"/>
      <c r="M162" s="1070"/>
      <c r="N162" s="1070"/>
      <c r="O162" s="1070"/>
      <c r="P162" s="1070"/>
      <c r="Q162" s="1070"/>
      <c r="R162" s="1070"/>
      <c r="S162" s="1070"/>
      <c r="T162" s="1070"/>
      <c r="U162" s="1070"/>
      <c r="V162" s="1070"/>
      <c r="W162" s="1070"/>
      <c r="X162" s="1070"/>
      <c r="Y162" s="1070"/>
      <c r="Z162" s="1070"/>
      <c r="AA162" s="1070"/>
      <c r="AB162" s="1070"/>
      <c r="AC162" s="1070"/>
      <c r="AD162" s="1070"/>
      <c r="AE162" s="1071"/>
      <c r="AF162" s="305"/>
      <c r="AG162" s="306"/>
      <c r="AH162" s="262"/>
      <c r="AI162" s="262"/>
      <c r="AJ162" s="262"/>
      <c r="AK162" s="262"/>
      <c r="AL162" s="262"/>
      <c r="AM162" s="262"/>
      <c r="AN162" s="262"/>
      <c r="AO162" s="262"/>
      <c r="AP162" s="262"/>
      <c r="AQ162" s="262"/>
      <c r="AR162" s="262"/>
      <c r="AS162" s="262"/>
      <c r="AT162" s="262"/>
      <c r="AU162" s="262"/>
      <c r="AV162" s="262"/>
      <c r="AW162" s="262"/>
      <c r="AX162" s="262"/>
      <c r="AY162" s="262"/>
      <c r="AZ162" s="262"/>
      <c r="BA162" s="262"/>
      <c r="BB162" s="262"/>
      <c r="BC162" s="262"/>
      <c r="BD162" s="262"/>
      <c r="BE162" s="262"/>
      <c r="BF162" s="262"/>
      <c r="BG162" s="262"/>
      <c r="BH162" s="262"/>
      <c r="BI162" s="262"/>
      <c r="BJ162" s="262"/>
      <c r="BK162" s="262"/>
      <c r="BL162" s="262"/>
      <c r="BM162" s="262"/>
      <c r="BN162" s="262"/>
      <c r="BO162" s="262"/>
      <c r="BP162" s="262"/>
      <c r="BQ162" s="262"/>
      <c r="BR162" s="262"/>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row>
    <row r="163" spans="1:175" ht="18.75" x14ac:dyDescent="0.25">
      <c r="A163" s="332"/>
      <c r="B163" s="309"/>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6"/>
      <c r="AH163" s="262"/>
      <c r="AI163" s="262"/>
      <c r="AJ163" s="262"/>
      <c r="AK163" s="262"/>
      <c r="AL163" s="262"/>
      <c r="AM163" s="262"/>
      <c r="AN163" s="262"/>
      <c r="AO163" s="262"/>
      <c r="AP163" s="262"/>
      <c r="AQ163" s="262"/>
      <c r="AR163" s="262"/>
      <c r="AS163" s="262"/>
      <c r="AT163" s="262"/>
      <c r="AU163" s="262"/>
      <c r="AV163" s="262"/>
      <c r="AW163" s="262"/>
      <c r="AX163" s="262"/>
      <c r="AY163" s="262"/>
      <c r="AZ163" s="262"/>
      <c r="BA163" s="262"/>
      <c r="BB163" s="262"/>
      <c r="BC163" s="262"/>
      <c r="BD163" s="262"/>
      <c r="BE163" s="262"/>
      <c r="BF163" s="262"/>
      <c r="BG163" s="262"/>
      <c r="BH163" s="262"/>
      <c r="BI163" s="262"/>
      <c r="BJ163" s="262"/>
      <c r="BK163" s="262"/>
      <c r="BL163" s="262"/>
      <c r="BM163" s="262"/>
      <c r="BN163" s="262"/>
      <c r="BO163" s="262"/>
      <c r="BP163" s="262"/>
      <c r="BQ163" s="262"/>
      <c r="BR163" s="262"/>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row>
    <row r="164" spans="1:175" ht="18.75" x14ac:dyDescent="0.25">
      <c r="A164" s="332"/>
      <c r="B164" s="309"/>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6"/>
      <c r="AH164" s="262"/>
      <c r="AI164" s="262"/>
      <c r="AJ164" s="262"/>
      <c r="AK164" s="262"/>
      <c r="AL164" s="262"/>
      <c r="AM164" s="262"/>
      <c r="AN164" s="262"/>
      <c r="AO164" s="262"/>
      <c r="AP164" s="262"/>
      <c r="AQ164" s="262"/>
      <c r="AR164" s="262"/>
      <c r="AS164" s="262"/>
      <c r="AT164" s="262"/>
      <c r="AU164" s="262"/>
      <c r="AV164" s="262"/>
      <c r="AW164" s="262"/>
      <c r="AX164" s="262"/>
      <c r="AY164" s="262"/>
      <c r="AZ164" s="262"/>
      <c r="BA164" s="262"/>
      <c r="BB164" s="262"/>
      <c r="BC164" s="262"/>
      <c r="BD164" s="262"/>
      <c r="BE164" s="262"/>
      <c r="BF164" s="262"/>
      <c r="BG164" s="262"/>
      <c r="BH164" s="262"/>
      <c r="BI164" s="262"/>
      <c r="BJ164" s="262"/>
      <c r="BK164" s="262"/>
      <c r="BL164" s="262"/>
      <c r="BM164" s="262"/>
      <c r="BN164" s="262"/>
      <c r="BO164" s="262"/>
      <c r="BP164" s="262"/>
      <c r="BQ164" s="262"/>
      <c r="BR164" s="262"/>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row>
    <row r="165" spans="1:175" ht="19.5" thickBot="1" x14ac:dyDescent="0.3">
      <c r="A165" s="332"/>
      <c r="B165" s="310"/>
      <c r="C165" s="311"/>
      <c r="D165" s="311"/>
      <c r="E165" s="311"/>
      <c r="F165" s="311"/>
      <c r="G165" s="311"/>
      <c r="H165" s="311"/>
      <c r="I165" s="311"/>
      <c r="J165" s="311"/>
      <c r="K165" s="311"/>
      <c r="L165" s="311"/>
      <c r="M165" s="311"/>
      <c r="N165" s="311"/>
      <c r="O165" s="311"/>
      <c r="P165" s="311"/>
      <c r="Q165" s="311"/>
      <c r="R165" s="311"/>
      <c r="S165" s="311"/>
      <c r="T165" s="311"/>
      <c r="U165" s="311"/>
      <c r="V165" s="311"/>
      <c r="W165" s="311"/>
      <c r="X165" s="311"/>
      <c r="Y165" s="311"/>
      <c r="Z165" s="311"/>
      <c r="AA165" s="311"/>
      <c r="AB165" s="311"/>
      <c r="AC165" s="311"/>
      <c r="AD165" s="311"/>
      <c r="AE165" s="311"/>
      <c r="AF165" s="311"/>
      <c r="AG165" s="312"/>
      <c r="AH165" s="262"/>
      <c r="AI165" s="262"/>
      <c r="AJ165" s="262"/>
      <c r="AK165" s="262"/>
      <c r="AL165" s="262"/>
      <c r="AM165" s="262"/>
      <c r="AN165" s="262"/>
      <c r="AO165" s="262"/>
      <c r="AP165" s="262"/>
      <c r="AQ165" s="262"/>
      <c r="AR165" s="262"/>
      <c r="AS165" s="262"/>
      <c r="AT165" s="262"/>
      <c r="AU165" s="262"/>
      <c r="AV165" s="262"/>
      <c r="AW165" s="262"/>
      <c r="AX165" s="262"/>
      <c r="AY165" s="262"/>
      <c r="AZ165" s="262"/>
      <c r="BA165" s="262"/>
      <c r="BB165" s="262"/>
      <c r="BC165" s="262"/>
      <c r="BD165" s="262"/>
      <c r="BE165" s="262"/>
      <c r="BF165" s="262"/>
      <c r="BG165" s="262"/>
      <c r="BH165" s="262"/>
      <c r="BI165" s="262"/>
      <c r="BJ165" s="262"/>
      <c r="BK165" s="262"/>
      <c r="BL165" s="262"/>
      <c r="BM165" s="262"/>
      <c r="BN165" s="262"/>
      <c r="BO165" s="262"/>
      <c r="BP165" s="262"/>
      <c r="BQ165" s="262"/>
      <c r="BR165" s="262"/>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row>
    <row r="166" spans="1:175" x14ac:dyDescent="0.25">
      <c r="A166" s="332"/>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62"/>
      <c r="AE166" s="262"/>
      <c r="AF166" s="262"/>
      <c r="AG166" s="262"/>
      <c r="AH166" s="262"/>
      <c r="AI166" s="262"/>
      <c r="AJ166" s="262"/>
      <c r="AK166" s="262"/>
      <c r="AL166" s="262"/>
      <c r="AM166" s="262"/>
      <c r="AN166" s="262"/>
      <c r="AO166" s="262"/>
      <c r="AP166" s="262"/>
      <c r="AQ166" s="262"/>
      <c r="AR166" s="262"/>
      <c r="AS166" s="262"/>
      <c r="AT166" s="262"/>
      <c r="AU166" s="262"/>
      <c r="AV166" s="262"/>
      <c r="AW166" s="262"/>
      <c r="AX166" s="262"/>
      <c r="AY166" s="262"/>
      <c r="AZ166" s="262"/>
      <c r="BA166" s="262"/>
      <c r="BB166" s="262"/>
      <c r="BC166" s="262"/>
      <c r="BD166" s="262"/>
      <c r="BE166" s="262"/>
      <c r="BF166" s="262"/>
      <c r="BG166" s="262"/>
      <c r="BH166" s="262"/>
      <c r="BI166" s="262"/>
      <c r="BJ166" s="262"/>
      <c r="BK166" s="262"/>
      <c r="BL166" s="262"/>
      <c r="BM166" s="262"/>
      <c r="BN166" s="262"/>
      <c r="BO166" s="262"/>
      <c r="BP166" s="262"/>
      <c r="BQ166" s="262"/>
      <c r="BR166" s="262"/>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row>
    <row r="167" spans="1:175" x14ac:dyDescent="0.25">
      <c r="A167" s="332"/>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62"/>
      <c r="AE167" s="262"/>
      <c r="AF167" s="262"/>
      <c r="AG167" s="262"/>
      <c r="AH167" s="262"/>
      <c r="AI167" s="262"/>
      <c r="AJ167" s="262"/>
      <c r="AK167" s="262"/>
      <c r="AL167" s="262"/>
      <c r="AM167" s="262"/>
      <c r="AN167" s="262"/>
      <c r="AO167" s="262"/>
      <c r="AP167" s="262"/>
      <c r="AQ167" s="262"/>
      <c r="AR167" s="262"/>
      <c r="AS167" s="262"/>
      <c r="AT167" s="262"/>
      <c r="AU167" s="262"/>
      <c r="AV167" s="262"/>
      <c r="AW167" s="262"/>
      <c r="AX167" s="262"/>
      <c r="AY167" s="262"/>
      <c r="AZ167" s="262"/>
      <c r="BA167" s="262"/>
      <c r="BB167" s="262"/>
      <c r="BC167" s="262"/>
      <c r="BD167" s="262"/>
      <c r="BE167" s="262"/>
      <c r="BF167" s="262"/>
      <c r="BG167" s="262"/>
      <c r="BH167" s="262"/>
      <c r="BI167" s="262"/>
      <c r="BJ167" s="262"/>
      <c r="BK167" s="262"/>
      <c r="BL167" s="262"/>
      <c r="BM167" s="262"/>
      <c r="BN167" s="262"/>
      <c r="BO167" s="262"/>
      <c r="BP167" s="262"/>
      <c r="BQ167" s="262"/>
      <c r="BR167" s="262"/>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row>
    <row r="168" spans="1:175" x14ac:dyDescent="0.25">
      <c r="A168" s="332"/>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62"/>
      <c r="AE168" s="262"/>
      <c r="AF168" s="262"/>
      <c r="AG168" s="262"/>
      <c r="AH168" s="262"/>
      <c r="AI168" s="262"/>
      <c r="AJ168" s="262"/>
      <c r="AK168" s="262"/>
      <c r="AL168" s="262"/>
      <c r="AM168" s="262"/>
      <c r="AN168" s="262"/>
      <c r="AO168" s="262"/>
      <c r="AP168" s="262"/>
      <c r="AQ168" s="262"/>
      <c r="AR168" s="262"/>
      <c r="AS168" s="262"/>
      <c r="AT168" s="262"/>
      <c r="AU168" s="262"/>
      <c r="AV168" s="262"/>
      <c r="AW168" s="262"/>
      <c r="AX168" s="262"/>
      <c r="AY168" s="262"/>
      <c r="AZ168" s="262"/>
      <c r="BA168" s="262"/>
      <c r="BB168" s="262"/>
      <c r="BC168" s="262"/>
      <c r="BD168" s="262"/>
      <c r="BE168" s="262"/>
      <c r="BF168" s="262"/>
      <c r="BG168" s="262"/>
      <c r="BH168" s="262"/>
      <c r="BI168" s="262"/>
      <c r="BJ168" s="262"/>
      <c r="BK168" s="262"/>
      <c r="BL168" s="262"/>
      <c r="BM168" s="262"/>
      <c r="BN168" s="262"/>
      <c r="BO168" s="262"/>
      <c r="BP168" s="262"/>
      <c r="BQ168" s="262"/>
      <c r="BR168" s="262"/>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row>
    <row r="169" spans="1:175" x14ac:dyDescent="0.25">
      <c r="A169" s="332"/>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62"/>
      <c r="AE169" s="262"/>
      <c r="AF169" s="262"/>
      <c r="AG169" s="262"/>
      <c r="AH169" s="262"/>
      <c r="AI169" s="262"/>
      <c r="AJ169" s="262"/>
      <c r="AK169" s="262"/>
      <c r="AL169" s="262"/>
      <c r="AM169" s="262"/>
      <c r="AN169" s="262"/>
      <c r="AO169" s="262"/>
      <c r="AP169" s="262"/>
      <c r="AQ169" s="262"/>
      <c r="AR169" s="262"/>
      <c r="AS169" s="262"/>
      <c r="AT169" s="262"/>
      <c r="AU169" s="262"/>
      <c r="AV169" s="262"/>
      <c r="AW169" s="262"/>
      <c r="AX169" s="262"/>
      <c r="AY169" s="262"/>
      <c r="AZ169" s="262"/>
      <c r="BA169" s="262"/>
      <c r="BB169" s="262"/>
      <c r="BC169" s="262"/>
      <c r="BD169" s="262"/>
      <c r="BE169" s="262"/>
      <c r="BF169" s="262"/>
      <c r="BG169" s="262"/>
      <c r="BH169" s="262"/>
      <c r="BI169" s="262"/>
      <c r="BJ169" s="262"/>
      <c r="BK169" s="262"/>
      <c r="BL169" s="262"/>
      <c r="BM169" s="262"/>
      <c r="BN169" s="262"/>
      <c r="BO169" s="262"/>
      <c r="BP169" s="262"/>
      <c r="BQ169" s="262"/>
      <c r="BR169" s="262"/>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row>
    <row r="170" spans="1:175" x14ac:dyDescent="0.25">
      <c r="A170" s="332"/>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262"/>
      <c r="AE170" s="262"/>
      <c r="AF170" s="262"/>
      <c r="AG170" s="262"/>
      <c r="AH170" s="262"/>
      <c r="AI170" s="262"/>
      <c r="AJ170" s="262"/>
      <c r="AK170" s="262"/>
      <c r="AL170" s="262"/>
      <c r="AM170" s="262"/>
      <c r="AN170" s="262"/>
      <c r="AO170" s="262"/>
      <c r="AP170" s="262"/>
      <c r="AQ170" s="262"/>
      <c r="AR170" s="262"/>
      <c r="AS170" s="262"/>
      <c r="AT170" s="262"/>
      <c r="AU170" s="262"/>
      <c r="AV170" s="262"/>
      <c r="AW170" s="262"/>
      <c r="AX170" s="262"/>
      <c r="AY170" s="262"/>
      <c r="AZ170" s="262"/>
      <c r="BA170" s="262"/>
      <c r="BB170" s="262"/>
      <c r="BC170" s="262"/>
      <c r="BD170" s="262"/>
      <c r="BE170" s="262"/>
      <c r="BF170" s="262"/>
      <c r="BG170" s="262"/>
      <c r="BH170" s="262"/>
      <c r="BI170" s="262"/>
      <c r="BJ170" s="262"/>
      <c r="BK170" s="262"/>
      <c r="BL170" s="262"/>
      <c r="BM170" s="262"/>
      <c r="BN170" s="262"/>
      <c r="BO170" s="262"/>
      <c r="BP170" s="262"/>
      <c r="BQ170" s="262"/>
      <c r="BR170" s="262"/>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row>
    <row r="171" spans="1:175" x14ac:dyDescent="0.25">
      <c r="A171" s="332"/>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262"/>
      <c r="AE171" s="262"/>
      <c r="AF171" s="262"/>
      <c r="AG171" s="262"/>
      <c r="AH171" s="262"/>
      <c r="AI171" s="262"/>
      <c r="AJ171" s="262"/>
      <c r="AK171" s="262"/>
      <c r="AL171" s="262"/>
      <c r="AM171" s="262"/>
      <c r="AN171" s="262"/>
      <c r="AO171" s="262"/>
      <c r="AP171" s="262"/>
      <c r="AQ171" s="262"/>
      <c r="AR171" s="262"/>
      <c r="AS171" s="262"/>
      <c r="AT171" s="262"/>
      <c r="AU171" s="262"/>
      <c r="AV171" s="262"/>
      <c r="AW171" s="262"/>
      <c r="AX171" s="262"/>
      <c r="AY171" s="262"/>
      <c r="AZ171" s="262"/>
      <c r="BA171" s="262"/>
      <c r="BB171" s="262"/>
      <c r="BC171" s="262"/>
      <c r="BD171" s="262"/>
      <c r="BE171" s="262"/>
      <c r="BF171" s="262"/>
      <c r="BG171" s="262"/>
      <c r="BH171" s="262"/>
      <c r="BI171" s="262"/>
      <c r="BJ171" s="262"/>
      <c r="BK171" s="262"/>
      <c r="BL171" s="262"/>
      <c r="BM171" s="262"/>
      <c r="BN171" s="262"/>
      <c r="BO171" s="262"/>
      <c r="BP171" s="262"/>
      <c r="BQ171" s="262"/>
      <c r="BR171" s="262"/>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row>
    <row r="172" spans="1:175" x14ac:dyDescent="0.25">
      <c r="A172" s="332"/>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262"/>
      <c r="AE172" s="262"/>
      <c r="AF172" s="262"/>
      <c r="AG172" s="262"/>
      <c r="AH172" s="262"/>
      <c r="AI172" s="262"/>
      <c r="AJ172" s="262"/>
      <c r="AK172" s="262"/>
      <c r="AL172" s="262"/>
      <c r="AM172" s="262"/>
      <c r="AN172" s="262"/>
      <c r="AO172" s="262"/>
      <c r="AP172" s="262"/>
      <c r="AQ172" s="262"/>
      <c r="AR172" s="262"/>
      <c r="AS172" s="262"/>
      <c r="AT172" s="262"/>
      <c r="AU172" s="262"/>
      <c r="AV172" s="262"/>
      <c r="AW172" s="262"/>
      <c r="AX172" s="262"/>
      <c r="AY172" s="262"/>
      <c r="AZ172" s="262"/>
      <c r="BA172" s="262"/>
      <c r="BB172" s="262"/>
      <c r="BC172" s="262"/>
      <c r="BD172" s="262"/>
      <c r="BE172" s="262"/>
      <c r="BF172" s="262"/>
      <c r="BG172" s="262"/>
      <c r="BH172" s="262"/>
      <c r="BI172" s="262"/>
      <c r="BJ172" s="262"/>
      <c r="BK172" s="262"/>
      <c r="BL172" s="262"/>
      <c r="BM172" s="262"/>
      <c r="BN172" s="262"/>
      <c r="BO172" s="262"/>
      <c r="BP172" s="262"/>
      <c r="BQ172" s="262"/>
      <c r="BR172" s="262"/>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row>
    <row r="173" spans="1:175" x14ac:dyDescent="0.25">
      <c r="A173" s="332"/>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262"/>
      <c r="AE173" s="262"/>
      <c r="AF173" s="262"/>
      <c r="AG173" s="262"/>
      <c r="AH173" s="262"/>
      <c r="AI173" s="262"/>
      <c r="AJ173" s="262"/>
      <c r="AK173" s="262"/>
      <c r="AL173" s="262"/>
      <c r="AM173" s="262"/>
      <c r="AN173" s="262"/>
      <c r="AO173" s="262"/>
      <c r="AP173" s="262"/>
      <c r="AQ173" s="262"/>
      <c r="AR173" s="262"/>
      <c r="AS173" s="262"/>
      <c r="AT173" s="262"/>
      <c r="AU173" s="262"/>
      <c r="AV173" s="262"/>
      <c r="AW173" s="262"/>
      <c r="AX173" s="262"/>
      <c r="AY173" s="262"/>
      <c r="AZ173" s="262"/>
      <c r="BA173" s="262"/>
      <c r="BB173" s="262"/>
      <c r="BC173" s="262"/>
      <c r="BD173" s="262"/>
      <c r="BE173" s="262"/>
      <c r="BF173" s="262"/>
      <c r="BG173" s="262"/>
      <c r="BH173" s="262"/>
      <c r="BI173" s="262"/>
      <c r="BJ173" s="262"/>
      <c r="BK173" s="262"/>
      <c r="BL173" s="262"/>
      <c r="BM173" s="262"/>
      <c r="BN173" s="262"/>
      <c r="BO173" s="262"/>
      <c r="BP173" s="262"/>
      <c r="BQ173" s="262"/>
      <c r="BR173" s="262"/>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row>
    <row r="174" spans="1:175" x14ac:dyDescent="0.25">
      <c r="A174" s="332"/>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262"/>
      <c r="AE174" s="262"/>
      <c r="AF174" s="262"/>
      <c r="AG174" s="262"/>
      <c r="AH174" s="262"/>
      <c r="AI174" s="262"/>
      <c r="AJ174" s="262"/>
      <c r="AK174" s="262"/>
      <c r="AL174" s="262"/>
      <c r="AM174" s="262"/>
      <c r="AN174" s="262"/>
      <c r="AO174" s="262"/>
      <c r="AP174" s="262"/>
      <c r="AQ174" s="262"/>
      <c r="AR174" s="262"/>
      <c r="AS174" s="262"/>
      <c r="AT174" s="262"/>
      <c r="AU174" s="262"/>
      <c r="AV174" s="262"/>
      <c r="AW174" s="262"/>
      <c r="AX174" s="262"/>
      <c r="AY174" s="262"/>
      <c r="AZ174" s="262"/>
      <c r="BA174" s="262"/>
      <c r="BB174" s="262"/>
      <c r="BC174" s="262"/>
      <c r="BD174" s="262"/>
      <c r="BE174" s="262"/>
      <c r="BF174" s="262"/>
      <c r="BG174" s="262"/>
      <c r="BH174" s="262"/>
      <c r="BI174" s="262"/>
      <c r="BJ174" s="262"/>
      <c r="BK174" s="262"/>
      <c r="BL174" s="262"/>
      <c r="BM174" s="262"/>
      <c r="BN174" s="262"/>
      <c r="BO174" s="262"/>
      <c r="BP174" s="262"/>
      <c r="BQ174" s="262"/>
      <c r="BR174" s="262"/>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row>
    <row r="175" spans="1:175" x14ac:dyDescent="0.25">
      <c r="A175" s="332"/>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262"/>
      <c r="AE175" s="262"/>
      <c r="AF175" s="262"/>
      <c r="AG175" s="262"/>
      <c r="AH175" s="262"/>
      <c r="AI175" s="262"/>
      <c r="AJ175" s="262"/>
      <c r="AK175" s="262"/>
      <c r="AL175" s="262"/>
      <c r="AM175" s="262"/>
      <c r="AN175" s="262"/>
      <c r="AO175" s="262"/>
      <c r="AP175" s="262"/>
      <c r="AQ175" s="262"/>
      <c r="AR175" s="262"/>
      <c r="AS175" s="262"/>
      <c r="AT175" s="262"/>
      <c r="AU175" s="262"/>
      <c r="AV175" s="262"/>
      <c r="AW175" s="262"/>
      <c r="AX175" s="262"/>
      <c r="AY175" s="262"/>
      <c r="AZ175" s="262"/>
      <c r="BA175" s="262"/>
      <c r="BB175" s="262"/>
      <c r="BC175" s="262"/>
      <c r="BD175" s="262"/>
      <c r="BE175" s="262"/>
      <c r="BF175" s="262"/>
      <c r="BG175" s="262"/>
      <c r="BH175" s="262"/>
      <c r="BI175" s="262"/>
      <c r="BJ175" s="262"/>
      <c r="BK175" s="262"/>
      <c r="BL175" s="262"/>
      <c r="BM175" s="262"/>
      <c r="BN175" s="262"/>
      <c r="BO175" s="262"/>
      <c r="BP175" s="262"/>
      <c r="BQ175" s="262"/>
      <c r="BR175" s="262"/>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row>
    <row r="176" spans="1:175" x14ac:dyDescent="0.25">
      <c r="A176" s="332"/>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2"/>
      <c r="AD176" s="262"/>
      <c r="AE176" s="262"/>
      <c r="AF176" s="262"/>
      <c r="AG176" s="262"/>
      <c r="AH176" s="262"/>
      <c r="AI176" s="262"/>
      <c r="AJ176" s="262"/>
      <c r="AK176" s="262"/>
      <c r="AL176" s="262"/>
      <c r="AM176" s="262"/>
      <c r="AN176" s="262"/>
      <c r="AO176" s="262"/>
      <c r="AP176" s="262"/>
      <c r="AQ176" s="262"/>
      <c r="AR176" s="262"/>
      <c r="AS176" s="262"/>
      <c r="AT176" s="262"/>
      <c r="AU176" s="262"/>
      <c r="AV176" s="262"/>
      <c r="AW176" s="262"/>
      <c r="AX176" s="262"/>
      <c r="AY176" s="262"/>
      <c r="AZ176" s="262"/>
      <c r="BA176" s="262"/>
      <c r="BB176" s="262"/>
      <c r="BC176" s="262"/>
      <c r="BD176" s="262"/>
      <c r="BE176" s="262"/>
      <c r="BF176" s="262"/>
      <c r="BG176" s="262"/>
      <c r="BH176" s="262"/>
      <c r="BI176" s="262"/>
      <c r="BJ176" s="262"/>
      <c r="BK176" s="262"/>
      <c r="BL176" s="262"/>
      <c r="BM176" s="262"/>
      <c r="BN176" s="262"/>
      <c r="BO176" s="262"/>
      <c r="BP176" s="262"/>
      <c r="BQ176" s="262"/>
      <c r="BR176" s="262"/>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row>
    <row r="177" spans="1:175" x14ac:dyDescent="0.25">
      <c r="A177" s="332"/>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c r="Z177" s="262"/>
      <c r="AA177" s="262"/>
      <c r="AB177" s="262"/>
      <c r="AC177" s="262"/>
      <c r="AD177" s="262"/>
      <c r="AE177" s="262"/>
      <c r="AF177" s="262"/>
      <c r="AG177" s="262"/>
      <c r="AH177" s="262"/>
      <c r="AI177" s="262"/>
      <c r="AJ177" s="262"/>
      <c r="AK177" s="262"/>
      <c r="AL177" s="262"/>
      <c r="AM177" s="262"/>
      <c r="AN177" s="262"/>
      <c r="AO177" s="262"/>
      <c r="AP177" s="262"/>
      <c r="AQ177" s="262"/>
      <c r="AR177" s="262"/>
      <c r="AS177" s="262"/>
      <c r="AT177" s="262"/>
      <c r="AU177" s="262"/>
      <c r="AV177" s="262"/>
      <c r="AW177" s="262"/>
      <c r="AX177" s="262"/>
      <c r="AY177" s="262"/>
      <c r="AZ177" s="262"/>
      <c r="BA177" s="262"/>
      <c r="BB177" s="262"/>
      <c r="BC177" s="262"/>
      <c r="BD177" s="262"/>
      <c r="BE177" s="262"/>
      <c r="BF177" s="262"/>
      <c r="BG177" s="262"/>
      <c r="BH177" s="262"/>
      <c r="BI177" s="262"/>
      <c r="BJ177" s="262"/>
      <c r="BK177" s="262"/>
      <c r="BL177" s="262"/>
      <c r="BM177" s="262"/>
      <c r="BN177" s="262"/>
      <c r="BO177" s="262"/>
      <c r="BP177" s="262"/>
      <c r="BQ177" s="262"/>
      <c r="BR177" s="262"/>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row>
    <row r="178" spans="1:175" x14ac:dyDescent="0.25">
      <c r="A178" s="332"/>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c r="Z178" s="262"/>
      <c r="AA178" s="262"/>
      <c r="AB178" s="262"/>
      <c r="AC178" s="262"/>
      <c r="AD178" s="262"/>
      <c r="AE178" s="262"/>
      <c r="AF178" s="262"/>
      <c r="AG178" s="262"/>
      <c r="AH178" s="262"/>
      <c r="AI178" s="262"/>
      <c r="AJ178" s="262"/>
      <c r="AK178" s="262"/>
      <c r="AL178" s="262"/>
      <c r="AM178" s="262"/>
      <c r="AN178" s="262"/>
      <c r="AO178" s="262"/>
      <c r="AP178" s="262"/>
      <c r="AQ178" s="262"/>
      <c r="AR178" s="262"/>
      <c r="AS178" s="262"/>
      <c r="AT178" s="262"/>
      <c r="AU178" s="262"/>
      <c r="AV178" s="262"/>
      <c r="AW178" s="262"/>
      <c r="AX178" s="262"/>
      <c r="AY178" s="262"/>
      <c r="AZ178" s="262"/>
      <c r="BA178" s="262"/>
      <c r="BB178" s="262"/>
      <c r="BC178" s="262"/>
      <c r="BD178" s="262"/>
      <c r="BE178" s="262"/>
      <c r="BF178" s="262"/>
      <c r="BG178" s="262"/>
      <c r="BH178" s="262"/>
      <c r="BI178" s="262"/>
      <c r="BJ178" s="262"/>
      <c r="BK178" s="262"/>
      <c r="BL178" s="262"/>
      <c r="BM178" s="262"/>
      <c r="BN178" s="262"/>
      <c r="BO178" s="262"/>
      <c r="BP178" s="262"/>
      <c r="BQ178" s="262"/>
      <c r="BR178" s="262"/>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row>
    <row r="179" spans="1:175" x14ac:dyDescent="0.25">
      <c r="A179" s="332"/>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c r="Z179" s="262"/>
      <c r="AA179" s="262"/>
      <c r="AB179" s="262"/>
      <c r="AC179" s="262"/>
      <c r="AD179" s="262"/>
      <c r="AE179" s="262"/>
      <c r="AF179" s="262"/>
      <c r="AG179" s="262"/>
      <c r="AH179" s="262"/>
      <c r="AI179" s="262"/>
      <c r="AJ179" s="262"/>
      <c r="AK179" s="262"/>
      <c r="AL179" s="262"/>
      <c r="AM179" s="262"/>
      <c r="AN179" s="262"/>
      <c r="AO179" s="262"/>
      <c r="AP179" s="262"/>
      <c r="AQ179" s="262"/>
      <c r="AR179" s="262"/>
      <c r="AS179" s="262"/>
      <c r="AT179" s="262"/>
      <c r="AU179" s="262"/>
      <c r="AV179" s="262"/>
      <c r="AW179" s="262"/>
      <c r="AX179" s="262"/>
      <c r="AY179" s="262"/>
      <c r="AZ179" s="262"/>
      <c r="BA179" s="262"/>
      <c r="BB179" s="262"/>
      <c r="BC179" s="262"/>
      <c r="BD179" s="262"/>
      <c r="BE179" s="262"/>
      <c r="BF179" s="262"/>
      <c r="BG179" s="262"/>
      <c r="BH179" s="262"/>
      <c r="BI179" s="262"/>
      <c r="BJ179" s="262"/>
      <c r="BK179" s="262"/>
      <c r="BL179" s="262"/>
      <c r="BM179" s="262"/>
      <c r="BN179" s="262"/>
      <c r="BO179" s="262"/>
      <c r="BP179" s="262"/>
      <c r="BQ179" s="262"/>
      <c r="BR179" s="262"/>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row>
    <row r="180" spans="1:175" x14ac:dyDescent="0.25">
      <c r="A180" s="332"/>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262"/>
      <c r="AE180" s="262"/>
      <c r="AF180" s="262"/>
      <c r="AG180" s="262"/>
      <c r="AH180" s="262"/>
      <c r="AI180" s="262"/>
      <c r="AJ180" s="262"/>
      <c r="AK180" s="262"/>
      <c r="AL180" s="262"/>
      <c r="AM180" s="262"/>
      <c r="AN180" s="262"/>
      <c r="AO180" s="262"/>
      <c r="AP180" s="262"/>
      <c r="AQ180" s="262"/>
      <c r="AR180" s="262"/>
      <c r="AS180" s="262"/>
      <c r="AT180" s="262"/>
      <c r="AU180" s="262"/>
      <c r="AV180" s="262"/>
      <c r="AW180" s="262"/>
      <c r="AX180" s="262"/>
      <c r="AY180" s="262"/>
      <c r="AZ180" s="262"/>
      <c r="BA180" s="262"/>
      <c r="BB180" s="262"/>
      <c r="BC180" s="262"/>
      <c r="BD180" s="262"/>
      <c r="BE180" s="262"/>
      <c r="BF180" s="262"/>
      <c r="BG180" s="262"/>
      <c r="BH180" s="262"/>
      <c r="BI180" s="262"/>
      <c r="BJ180" s="262"/>
      <c r="BK180" s="262"/>
      <c r="BL180" s="262"/>
      <c r="BM180" s="262"/>
      <c r="BN180" s="262"/>
      <c r="BO180" s="262"/>
      <c r="BP180" s="262"/>
      <c r="BQ180" s="262"/>
      <c r="BR180" s="262"/>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row>
    <row r="181" spans="1:175" x14ac:dyDescent="0.25">
      <c r="A181" s="332"/>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262"/>
      <c r="AE181" s="262"/>
      <c r="AF181" s="262"/>
      <c r="AG181" s="262"/>
      <c r="AH181" s="262"/>
      <c r="AI181" s="262"/>
      <c r="AJ181" s="262"/>
      <c r="AK181" s="262"/>
      <c r="AL181" s="262"/>
      <c r="AM181" s="262"/>
      <c r="AN181" s="262"/>
      <c r="AO181" s="262"/>
      <c r="AP181" s="262"/>
      <c r="AQ181" s="262"/>
      <c r="AR181" s="262"/>
      <c r="AS181" s="262"/>
      <c r="AT181" s="262"/>
      <c r="AU181" s="262"/>
      <c r="AV181" s="262"/>
      <c r="AW181" s="262"/>
      <c r="AX181" s="262"/>
      <c r="AY181" s="262"/>
      <c r="AZ181" s="262"/>
      <c r="BA181" s="262"/>
      <c r="BB181" s="262"/>
      <c r="BC181" s="262"/>
      <c r="BD181" s="262"/>
      <c r="BE181" s="262"/>
      <c r="BF181" s="262"/>
      <c r="BG181" s="262"/>
      <c r="BH181" s="262"/>
      <c r="BI181" s="262"/>
      <c r="BJ181" s="262"/>
      <c r="BK181" s="262"/>
      <c r="BL181" s="262"/>
      <c r="BM181" s="262"/>
      <c r="BN181" s="262"/>
      <c r="BO181" s="262"/>
      <c r="BP181" s="262"/>
      <c r="BQ181" s="262"/>
      <c r="BR181" s="262"/>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c r="FN181" s="7"/>
      <c r="FO181" s="7"/>
      <c r="FP181" s="7"/>
      <c r="FQ181" s="7"/>
      <c r="FR181" s="7"/>
      <c r="FS181" s="7"/>
    </row>
    <row r="182" spans="1:175" x14ac:dyDescent="0.25">
      <c r="A182" s="332"/>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262"/>
      <c r="AE182" s="262"/>
      <c r="AF182" s="262"/>
      <c r="AG182" s="262"/>
      <c r="AH182" s="262"/>
      <c r="AI182" s="262"/>
      <c r="AJ182" s="262"/>
      <c r="AK182" s="262"/>
      <c r="AL182" s="262"/>
      <c r="AM182" s="262"/>
      <c r="AN182" s="262"/>
      <c r="AO182" s="262"/>
      <c r="AP182" s="262"/>
      <c r="AQ182" s="262"/>
      <c r="AR182" s="262"/>
      <c r="AS182" s="262"/>
      <c r="AT182" s="262"/>
      <c r="AU182" s="262"/>
      <c r="AV182" s="262"/>
      <c r="AW182" s="262"/>
      <c r="AX182" s="262"/>
      <c r="AY182" s="262"/>
      <c r="AZ182" s="262"/>
      <c r="BA182" s="262"/>
      <c r="BB182" s="262"/>
      <c r="BC182" s="262"/>
      <c r="BD182" s="262"/>
      <c r="BE182" s="262"/>
      <c r="BF182" s="262"/>
      <c r="BG182" s="262"/>
      <c r="BH182" s="262"/>
      <c r="BI182" s="262"/>
      <c r="BJ182" s="262"/>
      <c r="BK182" s="262"/>
      <c r="BL182" s="262"/>
      <c r="BM182" s="262"/>
      <c r="BN182" s="262"/>
      <c r="BO182" s="262"/>
      <c r="BP182" s="262"/>
      <c r="BQ182" s="262"/>
      <c r="BR182" s="262"/>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row>
    <row r="183" spans="1:175" x14ac:dyDescent="0.25">
      <c r="A183" s="332"/>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262"/>
      <c r="AE183" s="262"/>
      <c r="AF183" s="262"/>
      <c r="AG183" s="262"/>
      <c r="AH183" s="262"/>
      <c r="AI183" s="262"/>
      <c r="AJ183" s="262"/>
      <c r="AK183" s="262"/>
      <c r="AL183" s="262"/>
      <c r="AM183" s="262"/>
      <c r="AN183" s="262"/>
      <c r="AO183" s="262"/>
      <c r="AP183" s="262"/>
      <c r="AQ183" s="262"/>
      <c r="AR183" s="262"/>
      <c r="AS183" s="262"/>
      <c r="AT183" s="262"/>
      <c r="AU183" s="262"/>
      <c r="AV183" s="262"/>
      <c r="AW183" s="262"/>
      <c r="AX183" s="262"/>
      <c r="AY183" s="262"/>
      <c r="AZ183" s="262"/>
      <c r="BA183" s="262"/>
      <c r="BB183" s="262"/>
      <c r="BC183" s="262"/>
      <c r="BD183" s="262"/>
      <c r="BE183" s="262"/>
      <c r="BF183" s="262"/>
      <c r="BG183" s="262"/>
      <c r="BH183" s="262"/>
      <c r="BI183" s="262"/>
      <c r="BJ183" s="262"/>
      <c r="BK183" s="262"/>
      <c r="BL183" s="262"/>
      <c r="BM183" s="262"/>
      <c r="BN183" s="262"/>
      <c r="BO183" s="262"/>
      <c r="BP183" s="262"/>
      <c r="BQ183" s="262"/>
      <c r="BR183" s="262"/>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row>
    <row r="184" spans="1:175" x14ac:dyDescent="0.25">
      <c r="A184" s="332"/>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262"/>
      <c r="AE184" s="262"/>
      <c r="AF184" s="262"/>
      <c r="AG184" s="262"/>
      <c r="AH184" s="262"/>
      <c r="AI184" s="262"/>
      <c r="AJ184" s="262"/>
      <c r="AK184" s="262"/>
      <c r="AL184" s="262"/>
      <c r="AM184" s="262"/>
      <c r="AN184" s="262"/>
      <c r="AO184" s="262"/>
      <c r="AP184" s="262"/>
      <c r="AQ184" s="262"/>
      <c r="AR184" s="262"/>
      <c r="AS184" s="262"/>
      <c r="AT184" s="262"/>
      <c r="AU184" s="262"/>
      <c r="AV184" s="262"/>
      <c r="AW184" s="262"/>
      <c r="AX184" s="262"/>
      <c r="AY184" s="262"/>
      <c r="AZ184" s="262"/>
      <c r="BA184" s="262"/>
      <c r="BB184" s="262"/>
      <c r="BC184" s="262"/>
      <c r="BD184" s="262"/>
      <c r="BE184" s="262"/>
      <c r="BF184" s="262"/>
      <c r="BG184" s="262"/>
      <c r="BH184" s="262"/>
      <c r="BI184" s="262"/>
      <c r="BJ184" s="262"/>
      <c r="BK184" s="262"/>
      <c r="BL184" s="262"/>
      <c r="BM184" s="262"/>
      <c r="BN184" s="262"/>
      <c r="BO184" s="262"/>
      <c r="BP184" s="262"/>
      <c r="BQ184" s="262"/>
      <c r="BR184" s="262"/>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row>
    <row r="185" spans="1:175" x14ac:dyDescent="0.25">
      <c r="A185" s="332"/>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262"/>
      <c r="AF185" s="262"/>
      <c r="AG185" s="262"/>
      <c r="AH185" s="262"/>
      <c r="AI185" s="262"/>
      <c r="AJ185" s="262"/>
      <c r="AK185" s="262"/>
      <c r="AL185" s="262"/>
      <c r="AM185" s="262"/>
      <c r="AN185" s="262"/>
      <c r="AO185" s="262"/>
      <c r="AP185" s="262"/>
      <c r="AQ185" s="262"/>
      <c r="AR185" s="262"/>
      <c r="AS185" s="262"/>
      <c r="AT185" s="262"/>
      <c r="AU185" s="262"/>
      <c r="AV185" s="262"/>
      <c r="AW185" s="262"/>
      <c r="AX185" s="262"/>
      <c r="AY185" s="262"/>
      <c r="AZ185" s="262"/>
      <c r="BA185" s="262"/>
      <c r="BB185" s="262"/>
      <c r="BC185" s="262"/>
      <c r="BD185" s="262"/>
      <c r="BE185" s="262"/>
      <c r="BF185" s="262"/>
      <c r="BG185" s="262"/>
      <c r="BH185" s="262"/>
      <c r="BI185" s="262"/>
      <c r="BJ185" s="262"/>
      <c r="BK185" s="262"/>
      <c r="BL185" s="262"/>
      <c r="BM185" s="262"/>
      <c r="BN185" s="262"/>
      <c r="BO185" s="262"/>
      <c r="BP185" s="262"/>
      <c r="BQ185" s="262"/>
      <c r="BR185" s="262"/>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row>
    <row r="186" spans="1:175" x14ac:dyDescent="0.25">
      <c r="A186" s="332"/>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c r="Z186" s="262"/>
      <c r="AA186" s="262"/>
      <c r="AB186" s="262"/>
      <c r="AC186" s="262"/>
      <c r="AD186" s="262"/>
      <c r="AE186" s="262"/>
      <c r="AF186" s="262"/>
      <c r="AG186" s="262"/>
      <c r="AH186" s="262"/>
      <c r="AI186" s="262"/>
      <c r="AJ186" s="262"/>
      <c r="AK186" s="262"/>
      <c r="AL186" s="262"/>
      <c r="AM186" s="262"/>
      <c r="AN186" s="262"/>
      <c r="AO186" s="262"/>
      <c r="AP186" s="262"/>
      <c r="AQ186" s="262"/>
      <c r="AR186" s="262"/>
      <c r="AS186" s="262"/>
      <c r="AT186" s="262"/>
      <c r="AU186" s="262"/>
      <c r="AV186" s="262"/>
      <c r="AW186" s="262"/>
      <c r="AX186" s="262"/>
      <c r="AY186" s="262"/>
      <c r="AZ186" s="262"/>
      <c r="BA186" s="262"/>
      <c r="BB186" s="262"/>
      <c r="BC186" s="262"/>
      <c r="BD186" s="262"/>
      <c r="BE186" s="262"/>
      <c r="BF186" s="262"/>
      <c r="BG186" s="262"/>
      <c r="BH186" s="262"/>
      <c r="BI186" s="262"/>
      <c r="BJ186" s="262"/>
      <c r="BK186" s="262"/>
      <c r="BL186" s="262"/>
      <c r="BM186" s="262"/>
      <c r="BN186" s="262"/>
      <c r="BO186" s="262"/>
      <c r="BP186" s="262"/>
      <c r="BQ186" s="262"/>
      <c r="BR186" s="262"/>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row>
    <row r="187" spans="1:175" x14ac:dyDescent="0.25">
      <c r="A187" s="332"/>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c r="Z187" s="262"/>
      <c r="AA187" s="262"/>
      <c r="AB187" s="262"/>
      <c r="AC187" s="262"/>
      <c r="AD187" s="262"/>
      <c r="AE187" s="262"/>
      <c r="AF187" s="262"/>
      <c r="AG187" s="262"/>
      <c r="AH187" s="262"/>
      <c r="AI187" s="262"/>
      <c r="AJ187" s="262"/>
      <c r="AK187" s="262"/>
      <c r="AL187" s="262"/>
      <c r="AM187" s="262"/>
      <c r="AN187" s="262"/>
      <c r="AO187" s="262"/>
      <c r="AP187" s="262"/>
      <c r="AQ187" s="262"/>
      <c r="AR187" s="262"/>
      <c r="AS187" s="262"/>
      <c r="AT187" s="262"/>
      <c r="AU187" s="262"/>
      <c r="AV187" s="262"/>
      <c r="AW187" s="262"/>
      <c r="AX187" s="262"/>
      <c r="AY187" s="262"/>
      <c r="AZ187" s="262"/>
      <c r="BA187" s="262"/>
      <c r="BB187" s="262"/>
      <c r="BC187" s="262"/>
      <c r="BD187" s="262"/>
      <c r="BE187" s="262"/>
      <c r="BF187" s="262"/>
      <c r="BG187" s="262"/>
      <c r="BH187" s="262"/>
      <c r="BI187" s="262"/>
      <c r="BJ187" s="262"/>
      <c r="BK187" s="262"/>
      <c r="BL187" s="262"/>
      <c r="BM187" s="262"/>
      <c r="BN187" s="262"/>
      <c r="BO187" s="262"/>
      <c r="BP187" s="262"/>
      <c r="BQ187" s="262"/>
      <c r="BR187" s="262"/>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row>
    <row r="188" spans="1:175" x14ac:dyDescent="0.25">
      <c r="A188" s="332"/>
      <c r="B188" s="262"/>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c r="Z188" s="262"/>
      <c r="AA188" s="262"/>
      <c r="AB188" s="262"/>
      <c r="AC188" s="262"/>
      <c r="AD188" s="262"/>
      <c r="AE188" s="262"/>
      <c r="AF188" s="262"/>
      <c r="AG188" s="262"/>
      <c r="AH188" s="262"/>
      <c r="AI188" s="262"/>
      <c r="AJ188" s="262"/>
      <c r="AK188" s="262"/>
      <c r="AL188" s="262"/>
      <c r="AM188" s="262"/>
      <c r="AN188" s="262"/>
      <c r="AO188" s="262"/>
      <c r="AP188" s="262"/>
      <c r="AQ188" s="262"/>
      <c r="AR188" s="262"/>
      <c r="AS188" s="262"/>
      <c r="AT188" s="262"/>
      <c r="AU188" s="262"/>
      <c r="AV188" s="262"/>
      <c r="AW188" s="262"/>
      <c r="AX188" s="262"/>
      <c r="AY188" s="262"/>
      <c r="AZ188" s="262"/>
      <c r="BA188" s="262"/>
      <c r="BB188" s="262"/>
      <c r="BC188" s="262"/>
      <c r="BD188" s="262"/>
      <c r="BE188" s="262"/>
      <c r="BF188" s="262"/>
      <c r="BG188" s="262"/>
      <c r="BH188" s="262"/>
      <c r="BI188" s="262"/>
      <c r="BJ188" s="262"/>
      <c r="BK188" s="262"/>
      <c r="BL188" s="262"/>
      <c r="BM188" s="262"/>
      <c r="BN188" s="262"/>
      <c r="BO188" s="262"/>
      <c r="BP188" s="262"/>
      <c r="BQ188" s="262"/>
      <c r="BR188" s="262"/>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row>
    <row r="189" spans="1:175" x14ac:dyDescent="0.25">
      <c r="A189" s="332"/>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c r="Z189" s="262"/>
      <c r="AA189" s="262"/>
      <c r="AB189" s="262"/>
      <c r="AC189" s="262"/>
      <c r="AD189" s="262"/>
      <c r="AE189" s="262"/>
      <c r="AF189" s="262"/>
      <c r="AG189" s="262"/>
      <c r="AH189" s="262"/>
      <c r="AI189" s="262"/>
      <c r="AJ189" s="262"/>
      <c r="AK189" s="262"/>
      <c r="AL189" s="262"/>
      <c r="AM189" s="262"/>
      <c r="AN189" s="262"/>
      <c r="AO189" s="262"/>
      <c r="AP189" s="262"/>
      <c r="AQ189" s="262"/>
      <c r="AR189" s="262"/>
      <c r="AS189" s="262"/>
      <c r="AT189" s="262"/>
      <c r="AU189" s="262"/>
      <c r="AV189" s="262"/>
      <c r="AW189" s="262"/>
      <c r="AX189" s="262"/>
      <c r="AY189" s="262"/>
      <c r="AZ189" s="262"/>
      <c r="BA189" s="262"/>
      <c r="BB189" s="262"/>
      <c r="BC189" s="262"/>
      <c r="BD189" s="262"/>
      <c r="BE189" s="262"/>
      <c r="BF189" s="262"/>
      <c r="BG189" s="262"/>
      <c r="BH189" s="262"/>
      <c r="BI189" s="262"/>
      <c r="BJ189" s="262"/>
      <c r="BK189" s="262"/>
      <c r="BL189" s="262"/>
      <c r="BM189" s="262"/>
      <c r="BN189" s="262"/>
      <c r="BO189" s="262"/>
      <c r="BP189" s="262"/>
      <c r="BQ189" s="262"/>
      <c r="BR189" s="262"/>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row>
    <row r="190" spans="1:175" x14ac:dyDescent="0.25">
      <c r="A190" s="332"/>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c r="Z190" s="262"/>
      <c r="AA190" s="262"/>
      <c r="AB190" s="262"/>
      <c r="AC190" s="262"/>
      <c r="AD190" s="262"/>
      <c r="AE190" s="262"/>
      <c r="AF190" s="262"/>
      <c r="AG190" s="262"/>
      <c r="AH190" s="262"/>
      <c r="AI190" s="262"/>
      <c r="AJ190" s="262"/>
      <c r="AK190" s="262"/>
      <c r="AL190" s="262"/>
      <c r="AM190" s="262"/>
      <c r="AN190" s="262"/>
      <c r="AO190" s="262"/>
      <c r="AP190" s="262"/>
      <c r="AQ190" s="262"/>
      <c r="AR190" s="262"/>
      <c r="AS190" s="262"/>
      <c r="AT190" s="262"/>
      <c r="AU190" s="262"/>
      <c r="AV190" s="262"/>
      <c r="AW190" s="262"/>
      <c r="AX190" s="262"/>
      <c r="AY190" s="262"/>
      <c r="AZ190" s="262"/>
      <c r="BA190" s="262"/>
      <c r="BB190" s="262"/>
      <c r="BC190" s="262"/>
      <c r="BD190" s="262"/>
      <c r="BE190" s="262"/>
      <c r="BF190" s="262"/>
      <c r="BG190" s="262"/>
      <c r="BH190" s="262"/>
      <c r="BI190" s="262"/>
      <c r="BJ190" s="262"/>
      <c r="BK190" s="262"/>
      <c r="BL190" s="262"/>
      <c r="BM190" s="262"/>
      <c r="BN190" s="262"/>
      <c r="BO190" s="262"/>
      <c r="BP190" s="262"/>
      <c r="BQ190" s="262"/>
      <c r="BR190" s="262"/>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row>
    <row r="191" spans="1:175" x14ac:dyDescent="0.25">
      <c r="A191" s="332"/>
      <c r="B191" s="262"/>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2"/>
      <c r="Z191" s="262"/>
      <c r="AA191" s="262"/>
      <c r="AB191" s="262"/>
      <c r="AC191" s="262"/>
      <c r="AD191" s="262"/>
      <c r="AE191" s="262"/>
      <c r="AF191" s="262"/>
      <c r="AG191" s="262"/>
      <c r="AH191" s="262"/>
      <c r="AI191" s="262"/>
      <c r="AJ191" s="262"/>
      <c r="AK191" s="262"/>
      <c r="AL191" s="262"/>
      <c r="AM191" s="262"/>
      <c r="AN191" s="262"/>
      <c r="AO191" s="262"/>
      <c r="AP191" s="262"/>
      <c r="AQ191" s="262"/>
      <c r="AR191" s="262"/>
      <c r="AS191" s="262"/>
      <c r="AT191" s="262"/>
      <c r="AU191" s="262"/>
      <c r="AV191" s="262"/>
      <c r="AW191" s="262"/>
      <c r="AX191" s="262"/>
      <c r="AY191" s="262"/>
      <c r="AZ191" s="262"/>
      <c r="BA191" s="262"/>
      <c r="BB191" s="262"/>
      <c r="BC191" s="262"/>
      <c r="BD191" s="262"/>
      <c r="BE191" s="262"/>
      <c r="BF191" s="262"/>
      <c r="BG191" s="262"/>
      <c r="BH191" s="262"/>
      <c r="BI191" s="262"/>
      <c r="BJ191" s="262"/>
      <c r="BK191" s="262"/>
      <c r="BL191" s="262"/>
      <c r="BM191" s="262"/>
      <c r="BN191" s="262"/>
      <c r="BO191" s="262"/>
      <c r="BP191" s="262"/>
      <c r="BQ191" s="262"/>
      <c r="BR191" s="262"/>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row>
    <row r="192" spans="1:175" x14ac:dyDescent="0.25">
      <c r="A192" s="332"/>
      <c r="B192" s="262"/>
      <c r="C192" s="262"/>
      <c r="D192" s="262"/>
      <c r="E192" s="262"/>
      <c r="F192" s="262"/>
      <c r="G192" s="262"/>
      <c r="H192" s="262"/>
      <c r="I192" s="262"/>
      <c r="J192" s="262"/>
      <c r="K192" s="262"/>
      <c r="L192" s="262"/>
      <c r="M192" s="262"/>
      <c r="N192" s="262"/>
      <c r="O192" s="262"/>
      <c r="P192" s="262"/>
      <c r="Q192" s="262"/>
      <c r="R192" s="262"/>
      <c r="S192" s="262"/>
      <c r="T192" s="262"/>
      <c r="U192" s="262"/>
      <c r="V192" s="262"/>
      <c r="W192" s="262"/>
      <c r="X192" s="262"/>
      <c r="Y192" s="262"/>
      <c r="Z192" s="262"/>
      <c r="AA192" s="262"/>
      <c r="AB192" s="262"/>
      <c r="AC192" s="262"/>
      <c r="AD192" s="262"/>
      <c r="AE192" s="262"/>
      <c r="AF192" s="262"/>
      <c r="AG192" s="262"/>
      <c r="AH192" s="262"/>
      <c r="AI192" s="262"/>
      <c r="AJ192" s="262"/>
      <c r="AK192" s="262"/>
      <c r="AL192" s="262"/>
      <c r="AM192" s="262"/>
      <c r="AN192" s="262"/>
      <c r="AO192" s="262"/>
      <c r="AP192" s="262"/>
      <c r="AQ192" s="262"/>
      <c r="AR192" s="262"/>
      <c r="AS192" s="262"/>
      <c r="AT192" s="262"/>
      <c r="AU192" s="262"/>
      <c r="AV192" s="262"/>
      <c r="AW192" s="262"/>
      <c r="AX192" s="262"/>
      <c r="AY192" s="262"/>
      <c r="AZ192" s="262"/>
      <c r="BA192" s="262"/>
      <c r="BB192" s="262"/>
      <c r="BC192" s="262"/>
      <c r="BD192" s="262"/>
      <c r="BE192" s="262"/>
      <c r="BF192" s="262"/>
      <c r="BG192" s="262"/>
      <c r="BH192" s="262"/>
      <c r="BI192" s="262"/>
      <c r="BJ192" s="262"/>
      <c r="BK192" s="262"/>
      <c r="BL192" s="262"/>
      <c r="BM192" s="262"/>
      <c r="BN192" s="262"/>
      <c r="BO192" s="262"/>
      <c r="BP192" s="262"/>
      <c r="BQ192" s="262"/>
      <c r="BR192" s="262"/>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row>
    <row r="193" spans="1:175" x14ac:dyDescent="0.25">
      <c r="A193" s="332"/>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262"/>
      <c r="AE193" s="262"/>
      <c r="AF193" s="262"/>
      <c r="AG193" s="262"/>
      <c r="AH193" s="262"/>
      <c r="AI193" s="262"/>
      <c r="AJ193" s="262"/>
      <c r="AK193" s="262"/>
      <c r="AL193" s="262"/>
      <c r="AM193" s="262"/>
      <c r="AN193" s="262"/>
      <c r="AO193" s="262"/>
      <c r="AP193" s="262"/>
      <c r="AQ193" s="262"/>
      <c r="AR193" s="262"/>
      <c r="AS193" s="262"/>
      <c r="AT193" s="262"/>
      <c r="AU193" s="262"/>
      <c r="AV193" s="262"/>
      <c r="AW193" s="262"/>
      <c r="AX193" s="262"/>
      <c r="AY193" s="262"/>
      <c r="AZ193" s="262"/>
      <c r="BA193" s="262"/>
      <c r="BB193" s="262"/>
      <c r="BC193" s="262"/>
      <c r="BD193" s="262"/>
      <c r="BE193" s="262"/>
      <c r="BF193" s="262"/>
      <c r="BG193" s="262"/>
      <c r="BH193" s="262"/>
      <c r="BI193" s="262"/>
      <c r="BJ193" s="262"/>
      <c r="BK193" s="262"/>
      <c r="BL193" s="262"/>
      <c r="BM193" s="262"/>
      <c r="BN193" s="262"/>
      <c r="BO193" s="262"/>
      <c r="BP193" s="262"/>
      <c r="BQ193" s="262"/>
      <c r="BR193" s="262"/>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row>
    <row r="194" spans="1:175" x14ac:dyDescent="0.25">
      <c r="A194" s="332"/>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262"/>
      <c r="AE194" s="262"/>
      <c r="AF194" s="262"/>
      <c r="AG194" s="262"/>
      <c r="AH194" s="262"/>
      <c r="AI194" s="262"/>
      <c r="AJ194" s="262"/>
      <c r="AK194" s="262"/>
      <c r="AL194" s="262"/>
      <c r="AM194" s="262"/>
      <c r="AN194" s="262"/>
      <c r="AO194" s="262"/>
      <c r="AP194" s="262"/>
      <c r="AQ194" s="262"/>
      <c r="AR194" s="262"/>
      <c r="AS194" s="262"/>
      <c r="AT194" s="262"/>
      <c r="AU194" s="262"/>
      <c r="AV194" s="262"/>
      <c r="AW194" s="262"/>
      <c r="AX194" s="262"/>
      <c r="AY194" s="262"/>
      <c r="AZ194" s="262"/>
      <c r="BA194" s="262"/>
      <c r="BB194" s="262"/>
      <c r="BC194" s="262"/>
      <c r="BD194" s="262"/>
      <c r="BE194" s="262"/>
      <c r="BF194" s="262"/>
      <c r="BG194" s="262"/>
      <c r="BH194" s="262"/>
      <c r="BI194" s="262"/>
      <c r="BJ194" s="262"/>
      <c r="BK194" s="262"/>
      <c r="BL194" s="262"/>
      <c r="BM194" s="262"/>
      <c r="BN194" s="262"/>
      <c r="BO194" s="262"/>
      <c r="BP194" s="262"/>
      <c r="BQ194" s="262"/>
      <c r="BR194" s="262"/>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row>
    <row r="195" spans="1:175" x14ac:dyDescent="0.25">
      <c r="A195" s="332"/>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262"/>
      <c r="AE195" s="262"/>
      <c r="AF195" s="262"/>
      <c r="AG195" s="262"/>
      <c r="AH195" s="262"/>
      <c r="AI195" s="262"/>
      <c r="AJ195" s="262"/>
      <c r="AK195" s="262"/>
      <c r="AL195" s="262"/>
      <c r="AM195" s="262"/>
      <c r="AN195" s="262"/>
      <c r="AO195" s="262"/>
      <c r="AP195" s="262"/>
      <c r="AQ195" s="262"/>
      <c r="AR195" s="262"/>
      <c r="AS195" s="262"/>
      <c r="AT195" s="262"/>
      <c r="AU195" s="262"/>
      <c r="AV195" s="262"/>
      <c r="AW195" s="262"/>
      <c r="AX195" s="262"/>
      <c r="AY195" s="262"/>
      <c r="AZ195" s="262"/>
      <c r="BA195" s="262"/>
      <c r="BB195" s="262"/>
      <c r="BC195" s="262"/>
      <c r="BD195" s="262"/>
      <c r="BE195" s="262"/>
      <c r="BF195" s="262"/>
      <c r="BG195" s="262"/>
      <c r="BH195" s="262"/>
      <c r="BI195" s="262"/>
      <c r="BJ195" s="262"/>
      <c r="BK195" s="262"/>
      <c r="BL195" s="262"/>
      <c r="BM195" s="262"/>
      <c r="BN195" s="262"/>
      <c r="BO195" s="262"/>
      <c r="BP195" s="262"/>
      <c r="BQ195" s="262"/>
      <c r="BR195" s="262"/>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row>
    <row r="196" spans="1:175" x14ac:dyDescent="0.25">
      <c r="A196" s="332"/>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262"/>
      <c r="AE196" s="262"/>
      <c r="AF196" s="262"/>
      <c r="AG196" s="262"/>
      <c r="AH196" s="262"/>
      <c r="AI196" s="262"/>
      <c r="AJ196" s="262"/>
      <c r="AK196" s="262"/>
      <c r="AL196" s="262"/>
      <c r="AM196" s="262"/>
      <c r="AN196" s="262"/>
      <c r="AO196" s="262"/>
      <c r="AP196" s="262"/>
      <c r="AQ196" s="262"/>
      <c r="AR196" s="262"/>
      <c r="AS196" s="262"/>
      <c r="AT196" s="262"/>
      <c r="AU196" s="262"/>
      <c r="AV196" s="262"/>
      <c r="AW196" s="262"/>
      <c r="AX196" s="262"/>
      <c r="AY196" s="262"/>
      <c r="AZ196" s="262"/>
      <c r="BA196" s="262"/>
      <c r="BB196" s="262"/>
      <c r="BC196" s="262"/>
      <c r="BD196" s="262"/>
      <c r="BE196" s="262"/>
      <c r="BF196" s="262"/>
      <c r="BG196" s="262"/>
      <c r="BH196" s="262"/>
      <c r="BI196" s="262"/>
      <c r="BJ196" s="262"/>
      <c r="BK196" s="262"/>
      <c r="BL196" s="262"/>
      <c r="BM196" s="262"/>
      <c r="BN196" s="262"/>
      <c r="BO196" s="262"/>
      <c r="BP196" s="262"/>
      <c r="BQ196" s="262"/>
      <c r="BR196" s="262"/>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row>
    <row r="197" spans="1:175" x14ac:dyDescent="0.25">
      <c r="A197" s="332"/>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262"/>
      <c r="AE197" s="262"/>
      <c r="AF197" s="262"/>
      <c r="AG197" s="262"/>
      <c r="AH197" s="262"/>
      <c r="AI197" s="262"/>
      <c r="AJ197" s="262"/>
      <c r="AK197" s="262"/>
      <c r="AL197" s="262"/>
      <c r="AM197" s="262"/>
      <c r="AN197" s="262"/>
      <c r="AO197" s="262"/>
      <c r="AP197" s="262"/>
      <c r="AQ197" s="262"/>
      <c r="AR197" s="262"/>
      <c r="AS197" s="262"/>
      <c r="AT197" s="262"/>
      <c r="AU197" s="262"/>
      <c r="AV197" s="262"/>
      <c r="AW197" s="262"/>
      <c r="AX197" s="262"/>
      <c r="AY197" s="262"/>
      <c r="AZ197" s="262"/>
      <c r="BA197" s="262"/>
      <c r="BB197" s="262"/>
      <c r="BC197" s="262"/>
      <c r="BD197" s="262"/>
      <c r="BE197" s="262"/>
      <c r="BF197" s="262"/>
      <c r="BG197" s="262"/>
      <c r="BH197" s="262"/>
      <c r="BI197" s="262"/>
      <c r="BJ197" s="262"/>
      <c r="BK197" s="262"/>
      <c r="BL197" s="262"/>
      <c r="BM197" s="262"/>
      <c r="BN197" s="262"/>
      <c r="BO197" s="262"/>
      <c r="BP197" s="262"/>
      <c r="BQ197" s="262"/>
      <c r="BR197" s="262"/>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row>
    <row r="198" spans="1:175" x14ac:dyDescent="0.25">
      <c r="A198" s="332"/>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262"/>
      <c r="AE198" s="262"/>
      <c r="AF198" s="262"/>
      <c r="AG198" s="262"/>
      <c r="AH198" s="262"/>
      <c r="AI198" s="262"/>
      <c r="AJ198" s="262"/>
      <c r="AK198" s="262"/>
      <c r="AL198" s="262"/>
      <c r="AM198" s="262"/>
      <c r="AN198" s="262"/>
      <c r="AO198" s="262"/>
      <c r="AP198" s="262"/>
      <c r="AQ198" s="262"/>
      <c r="AR198" s="262"/>
      <c r="AS198" s="262"/>
      <c r="AT198" s="262"/>
      <c r="AU198" s="262"/>
      <c r="AV198" s="262"/>
      <c r="AW198" s="262"/>
      <c r="AX198" s="262"/>
      <c r="AY198" s="262"/>
      <c r="AZ198" s="262"/>
      <c r="BA198" s="262"/>
      <c r="BB198" s="262"/>
      <c r="BC198" s="262"/>
      <c r="BD198" s="262"/>
      <c r="BE198" s="262"/>
      <c r="BF198" s="262"/>
      <c r="BG198" s="262"/>
      <c r="BH198" s="262"/>
      <c r="BI198" s="262"/>
      <c r="BJ198" s="262"/>
      <c r="BK198" s="262"/>
      <c r="BL198" s="262"/>
      <c r="BM198" s="262"/>
      <c r="BN198" s="262"/>
      <c r="BO198" s="262"/>
      <c r="BP198" s="262"/>
      <c r="BQ198" s="262"/>
      <c r="BR198" s="262"/>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row>
    <row r="199" spans="1:175" x14ac:dyDescent="0.25">
      <c r="A199" s="332"/>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262"/>
      <c r="AE199" s="262"/>
      <c r="AF199" s="262"/>
      <c r="AG199" s="262"/>
      <c r="AH199" s="262"/>
      <c r="AI199" s="262"/>
      <c r="AJ199" s="262"/>
      <c r="AK199" s="262"/>
      <c r="AL199" s="262"/>
      <c r="AM199" s="262"/>
      <c r="AN199" s="262"/>
      <c r="AO199" s="262"/>
      <c r="AP199" s="262"/>
      <c r="AQ199" s="262"/>
      <c r="AR199" s="262"/>
      <c r="AS199" s="262"/>
      <c r="AT199" s="262"/>
      <c r="AU199" s="262"/>
      <c r="AV199" s="262"/>
      <c r="AW199" s="262"/>
      <c r="AX199" s="262"/>
      <c r="AY199" s="262"/>
      <c r="AZ199" s="262"/>
      <c r="BA199" s="262"/>
      <c r="BB199" s="262"/>
      <c r="BC199" s="262"/>
      <c r="BD199" s="262"/>
      <c r="BE199" s="262"/>
      <c r="BF199" s="262"/>
      <c r="BG199" s="262"/>
      <c r="BH199" s="262"/>
      <c r="BI199" s="262"/>
      <c r="BJ199" s="262"/>
      <c r="BK199" s="262"/>
      <c r="BL199" s="262"/>
      <c r="BM199" s="262"/>
      <c r="BN199" s="262"/>
      <c r="BO199" s="262"/>
      <c r="BP199" s="262"/>
      <c r="BQ199" s="262"/>
      <c r="BR199" s="262"/>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row>
    <row r="200" spans="1:175" x14ac:dyDescent="0.25">
      <c r="A200" s="332"/>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262"/>
      <c r="AE200" s="262"/>
      <c r="AF200" s="262"/>
      <c r="AG200" s="262"/>
      <c r="AH200" s="262"/>
      <c r="AI200" s="262"/>
      <c r="AJ200" s="262"/>
      <c r="AK200" s="262"/>
      <c r="AL200" s="262"/>
      <c r="AM200" s="262"/>
      <c r="AN200" s="262"/>
      <c r="AO200" s="262"/>
      <c r="AP200" s="262"/>
      <c r="AQ200" s="262"/>
      <c r="AR200" s="262"/>
      <c r="AS200" s="262"/>
      <c r="AT200" s="262"/>
      <c r="AU200" s="262"/>
      <c r="AV200" s="262"/>
      <c r="AW200" s="262"/>
      <c r="AX200" s="262"/>
      <c r="AY200" s="262"/>
      <c r="AZ200" s="262"/>
      <c r="BA200" s="262"/>
      <c r="BB200" s="262"/>
      <c r="BC200" s="262"/>
      <c r="BD200" s="262"/>
      <c r="BE200" s="262"/>
      <c r="BF200" s="262"/>
      <c r="BG200" s="262"/>
      <c r="BH200" s="262"/>
      <c r="BI200" s="262"/>
      <c r="BJ200" s="262"/>
      <c r="BK200" s="262"/>
      <c r="BL200" s="262"/>
      <c r="BM200" s="262"/>
      <c r="BN200" s="262"/>
      <c r="BO200" s="262"/>
      <c r="BP200" s="262"/>
      <c r="BQ200" s="262"/>
      <c r="BR200" s="262"/>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row>
    <row r="201" spans="1:175" x14ac:dyDescent="0.25">
      <c r="A201" s="332"/>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262"/>
      <c r="AE201" s="262"/>
      <c r="AF201" s="262"/>
      <c r="AG201" s="262"/>
      <c r="AH201" s="262"/>
      <c r="AI201" s="262"/>
      <c r="AJ201" s="262"/>
      <c r="AK201" s="262"/>
      <c r="AL201" s="262"/>
      <c r="AM201" s="262"/>
      <c r="AN201" s="262"/>
      <c r="AO201" s="262"/>
      <c r="AP201" s="262"/>
      <c r="AQ201" s="262"/>
      <c r="AR201" s="262"/>
      <c r="AS201" s="262"/>
      <c r="AT201" s="262"/>
      <c r="AU201" s="262"/>
      <c r="AV201" s="262"/>
      <c r="AW201" s="262"/>
      <c r="AX201" s="262"/>
      <c r="AY201" s="262"/>
      <c r="AZ201" s="262"/>
      <c r="BA201" s="262"/>
      <c r="BB201" s="262"/>
      <c r="BC201" s="262"/>
      <c r="BD201" s="262"/>
      <c r="BE201" s="262"/>
      <c r="BF201" s="262"/>
      <c r="BG201" s="262"/>
      <c r="BH201" s="262"/>
      <c r="BI201" s="262"/>
      <c r="BJ201" s="262"/>
      <c r="BK201" s="262"/>
      <c r="BL201" s="262"/>
      <c r="BM201" s="262"/>
      <c r="BN201" s="262"/>
      <c r="BO201" s="262"/>
      <c r="BP201" s="262"/>
      <c r="BQ201" s="262"/>
      <c r="BR201" s="262"/>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row>
    <row r="202" spans="1:175" x14ac:dyDescent="0.25">
      <c r="A202" s="332"/>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262"/>
      <c r="AE202" s="262"/>
      <c r="AF202" s="262"/>
      <c r="AG202" s="262"/>
      <c r="AH202" s="262"/>
      <c r="AI202" s="262"/>
      <c r="AJ202" s="262"/>
      <c r="AK202" s="262"/>
      <c r="AL202" s="262"/>
      <c r="AM202" s="262"/>
      <c r="AN202" s="262"/>
      <c r="AO202" s="262"/>
      <c r="AP202" s="262"/>
      <c r="AQ202" s="262"/>
      <c r="AR202" s="262"/>
      <c r="AS202" s="262"/>
      <c r="AT202" s="262"/>
      <c r="AU202" s="262"/>
      <c r="AV202" s="262"/>
      <c r="AW202" s="262"/>
      <c r="AX202" s="262"/>
      <c r="AY202" s="262"/>
      <c r="AZ202" s="262"/>
      <c r="BA202" s="262"/>
      <c r="BB202" s="262"/>
      <c r="BC202" s="262"/>
      <c r="BD202" s="262"/>
      <c r="BE202" s="262"/>
      <c r="BF202" s="262"/>
      <c r="BG202" s="262"/>
      <c r="BH202" s="262"/>
      <c r="BI202" s="262"/>
      <c r="BJ202" s="262"/>
      <c r="BK202" s="262"/>
      <c r="BL202" s="262"/>
      <c r="BM202" s="262"/>
      <c r="BN202" s="262"/>
      <c r="BO202" s="262"/>
      <c r="BP202" s="262"/>
      <c r="BQ202" s="262"/>
      <c r="BR202" s="262"/>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row>
    <row r="203" spans="1:175" x14ac:dyDescent="0.25">
      <c r="A203" s="332"/>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262"/>
      <c r="AE203" s="262"/>
      <c r="AF203" s="262"/>
      <c r="AG203" s="262"/>
      <c r="AH203" s="262"/>
      <c r="AI203" s="262"/>
      <c r="AJ203" s="262"/>
      <c r="AK203" s="262"/>
      <c r="AL203" s="262"/>
      <c r="AM203" s="262"/>
      <c r="AN203" s="262"/>
      <c r="AO203" s="262"/>
      <c r="AP203" s="262"/>
      <c r="AQ203" s="262"/>
      <c r="AR203" s="262"/>
      <c r="AS203" s="262"/>
      <c r="AT203" s="262"/>
      <c r="AU203" s="262"/>
      <c r="AV203" s="262"/>
      <c r="AW203" s="262"/>
      <c r="AX203" s="262"/>
      <c r="AY203" s="262"/>
      <c r="AZ203" s="262"/>
      <c r="BA203" s="262"/>
      <c r="BB203" s="262"/>
      <c r="BC203" s="262"/>
      <c r="BD203" s="262"/>
      <c r="BE203" s="262"/>
      <c r="BF203" s="262"/>
      <c r="BG203" s="262"/>
      <c r="BH203" s="262"/>
      <c r="BI203" s="262"/>
      <c r="BJ203" s="262"/>
      <c r="BK203" s="262"/>
      <c r="BL203" s="262"/>
      <c r="BM203" s="262"/>
      <c r="BN203" s="262"/>
      <c r="BO203" s="262"/>
      <c r="BP203" s="262"/>
      <c r="BQ203" s="262"/>
      <c r="BR203" s="262"/>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row>
    <row r="204" spans="1:175" x14ac:dyDescent="0.25">
      <c r="A204" s="332"/>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262"/>
      <c r="AE204" s="262"/>
      <c r="AF204" s="262"/>
      <c r="AG204" s="262"/>
      <c r="AH204" s="262"/>
      <c r="AI204" s="262"/>
      <c r="AJ204" s="262"/>
      <c r="AK204" s="262"/>
      <c r="AL204" s="262"/>
      <c r="AM204" s="262"/>
      <c r="AN204" s="262"/>
      <c r="AO204" s="262"/>
      <c r="AP204" s="262"/>
      <c r="AQ204" s="262"/>
      <c r="AR204" s="262"/>
      <c r="AS204" s="262"/>
      <c r="AT204" s="262"/>
      <c r="AU204" s="262"/>
      <c r="AV204" s="262"/>
      <c r="AW204" s="262"/>
      <c r="AX204" s="262"/>
      <c r="AY204" s="262"/>
      <c r="AZ204" s="262"/>
      <c r="BA204" s="262"/>
      <c r="BB204" s="262"/>
      <c r="BC204" s="262"/>
      <c r="BD204" s="262"/>
      <c r="BE204" s="262"/>
      <c r="BF204" s="262"/>
      <c r="BG204" s="262"/>
      <c r="BH204" s="262"/>
      <c r="BI204" s="262"/>
      <c r="BJ204" s="262"/>
      <c r="BK204" s="262"/>
      <c r="BL204" s="262"/>
      <c r="BM204" s="262"/>
      <c r="BN204" s="262"/>
      <c r="BO204" s="262"/>
      <c r="BP204" s="262"/>
      <c r="BQ204" s="262"/>
      <c r="BR204" s="262"/>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row>
    <row r="205" spans="1:175" x14ac:dyDescent="0.25">
      <c r="A205" s="332"/>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262"/>
      <c r="AE205" s="262"/>
      <c r="AF205" s="262"/>
      <c r="AG205" s="262"/>
      <c r="AH205" s="262"/>
      <c r="AI205" s="262"/>
      <c r="AJ205" s="262"/>
      <c r="AK205" s="262"/>
      <c r="AL205" s="262"/>
      <c r="AM205" s="262"/>
      <c r="AN205" s="262"/>
      <c r="AO205" s="262"/>
      <c r="AP205" s="262"/>
      <c r="AQ205" s="262"/>
      <c r="AR205" s="262"/>
      <c r="AS205" s="262"/>
      <c r="AT205" s="262"/>
      <c r="AU205" s="262"/>
      <c r="AV205" s="262"/>
      <c r="AW205" s="262"/>
      <c r="AX205" s="262"/>
      <c r="AY205" s="262"/>
      <c r="AZ205" s="262"/>
      <c r="BA205" s="262"/>
      <c r="BB205" s="262"/>
      <c r="BC205" s="262"/>
      <c r="BD205" s="262"/>
      <c r="BE205" s="262"/>
      <c r="BF205" s="262"/>
      <c r="BG205" s="262"/>
      <c r="BH205" s="262"/>
      <c r="BI205" s="262"/>
      <c r="BJ205" s="262"/>
      <c r="BK205" s="262"/>
      <c r="BL205" s="262"/>
      <c r="BM205" s="262"/>
      <c r="BN205" s="262"/>
      <c r="BO205" s="262"/>
      <c r="BP205" s="262"/>
      <c r="BQ205" s="262"/>
      <c r="BR205" s="262"/>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row>
    <row r="206" spans="1:175" x14ac:dyDescent="0.25">
      <c r="A206" s="332"/>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262"/>
      <c r="AE206" s="262"/>
      <c r="AF206" s="262"/>
      <c r="AG206" s="262"/>
      <c r="AH206" s="262"/>
      <c r="AI206" s="262"/>
      <c r="AJ206" s="262"/>
      <c r="AK206" s="262"/>
      <c r="AL206" s="262"/>
      <c r="AM206" s="262"/>
      <c r="AN206" s="262"/>
      <c r="AO206" s="262"/>
      <c r="AP206" s="262"/>
      <c r="AQ206" s="262"/>
      <c r="AR206" s="262"/>
      <c r="AS206" s="262"/>
      <c r="AT206" s="262"/>
      <c r="AU206" s="262"/>
      <c r="AV206" s="262"/>
      <c r="AW206" s="262"/>
      <c r="AX206" s="262"/>
      <c r="AY206" s="262"/>
      <c r="AZ206" s="262"/>
      <c r="BA206" s="262"/>
      <c r="BB206" s="262"/>
      <c r="BC206" s="262"/>
      <c r="BD206" s="262"/>
      <c r="BE206" s="262"/>
      <c r="BF206" s="262"/>
      <c r="BG206" s="262"/>
      <c r="BH206" s="262"/>
      <c r="BI206" s="262"/>
      <c r="BJ206" s="262"/>
      <c r="BK206" s="262"/>
      <c r="BL206" s="262"/>
      <c r="BM206" s="262"/>
      <c r="BN206" s="262"/>
      <c r="BO206" s="262"/>
      <c r="BP206" s="262"/>
      <c r="BQ206" s="262"/>
      <c r="BR206" s="262"/>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row>
    <row r="207" spans="1:175" x14ac:dyDescent="0.25">
      <c r="A207" s="332"/>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262"/>
      <c r="AE207" s="262"/>
      <c r="AF207" s="262"/>
      <c r="AG207" s="262"/>
      <c r="AH207" s="262"/>
      <c r="AI207" s="262"/>
      <c r="AJ207" s="262"/>
      <c r="AK207" s="262"/>
      <c r="AL207" s="262"/>
      <c r="AM207" s="262"/>
      <c r="AN207" s="262"/>
      <c r="AO207" s="262"/>
      <c r="AP207" s="262"/>
      <c r="AQ207" s="262"/>
      <c r="AR207" s="262"/>
      <c r="AS207" s="262"/>
      <c r="AT207" s="262"/>
      <c r="AU207" s="262"/>
      <c r="AV207" s="262"/>
      <c r="AW207" s="262"/>
      <c r="AX207" s="262"/>
      <c r="AY207" s="262"/>
      <c r="AZ207" s="262"/>
      <c r="BA207" s="262"/>
      <c r="BB207" s="262"/>
      <c r="BC207" s="262"/>
      <c r="BD207" s="262"/>
      <c r="BE207" s="262"/>
      <c r="BF207" s="262"/>
      <c r="BG207" s="262"/>
      <c r="BH207" s="262"/>
      <c r="BI207" s="262"/>
      <c r="BJ207" s="262"/>
      <c r="BK207" s="262"/>
      <c r="BL207" s="262"/>
      <c r="BM207" s="262"/>
      <c r="BN207" s="262"/>
      <c r="BO207" s="262"/>
      <c r="BP207" s="262"/>
      <c r="BQ207" s="262"/>
      <c r="BR207" s="262"/>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row>
    <row r="208" spans="1:175" x14ac:dyDescent="0.25">
      <c r="A208" s="332"/>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262"/>
      <c r="AE208" s="262"/>
      <c r="AF208" s="262"/>
      <c r="AG208" s="262"/>
      <c r="AH208" s="262"/>
      <c r="AI208" s="262"/>
      <c r="AJ208" s="262"/>
      <c r="AK208" s="262"/>
      <c r="AL208" s="262"/>
      <c r="AM208" s="262"/>
      <c r="AN208" s="262"/>
      <c r="AO208" s="262"/>
      <c r="AP208" s="262"/>
      <c r="AQ208" s="262"/>
      <c r="AR208" s="262"/>
      <c r="AS208" s="262"/>
      <c r="AT208" s="262"/>
      <c r="AU208" s="262"/>
      <c r="AV208" s="262"/>
      <c r="AW208" s="262"/>
      <c r="AX208" s="262"/>
      <c r="AY208" s="262"/>
      <c r="AZ208" s="262"/>
      <c r="BA208" s="262"/>
      <c r="BB208" s="262"/>
      <c r="BC208" s="262"/>
      <c r="BD208" s="262"/>
      <c r="BE208" s="262"/>
      <c r="BF208" s="262"/>
      <c r="BG208" s="262"/>
      <c r="BH208" s="262"/>
      <c r="BI208" s="262"/>
      <c r="BJ208" s="262"/>
      <c r="BK208" s="262"/>
      <c r="BL208" s="262"/>
      <c r="BM208" s="262"/>
      <c r="BN208" s="262"/>
      <c r="BO208" s="262"/>
      <c r="BP208" s="262"/>
      <c r="BQ208" s="262"/>
      <c r="BR208" s="262"/>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row>
    <row r="209" spans="1:175" x14ac:dyDescent="0.25">
      <c r="A209" s="332"/>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262"/>
      <c r="AE209" s="262"/>
      <c r="AF209" s="262"/>
      <c r="AG209" s="262"/>
      <c r="AH209" s="262"/>
      <c r="AI209" s="262"/>
      <c r="AJ209" s="262"/>
      <c r="AK209" s="262"/>
      <c r="AL209" s="262"/>
      <c r="AM209" s="262"/>
      <c r="AN209" s="262"/>
      <c r="AO209" s="262"/>
      <c r="AP209" s="262"/>
      <c r="AQ209" s="262"/>
      <c r="AR209" s="262"/>
      <c r="AS209" s="262"/>
      <c r="AT209" s="262"/>
      <c r="AU209" s="262"/>
      <c r="AV209" s="262"/>
      <c r="AW209" s="262"/>
      <c r="AX209" s="262"/>
      <c r="AY209" s="262"/>
      <c r="AZ209" s="262"/>
      <c r="BA209" s="262"/>
      <c r="BB209" s="262"/>
      <c r="BC209" s="262"/>
      <c r="BD209" s="262"/>
      <c r="BE209" s="262"/>
      <c r="BF209" s="262"/>
      <c r="BG209" s="262"/>
      <c r="BH209" s="262"/>
      <c r="BI209" s="262"/>
      <c r="BJ209" s="262"/>
      <c r="BK209" s="262"/>
      <c r="BL209" s="262"/>
      <c r="BM209" s="262"/>
      <c r="BN209" s="262"/>
      <c r="BO209" s="262"/>
      <c r="BP209" s="262"/>
      <c r="BQ209" s="262"/>
      <c r="BR209" s="262"/>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row>
    <row r="210" spans="1:175" x14ac:dyDescent="0.25">
      <c r="A210" s="332"/>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262"/>
      <c r="AE210" s="262"/>
      <c r="AF210" s="262"/>
      <c r="AG210" s="262"/>
      <c r="AH210" s="262"/>
      <c r="AI210" s="262"/>
      <c r="AJ210" s="262"/>
      <c r="AK210" s="262"/>
      <c r="AL210" s="262"/>
      <c r="AM210" s="262"/>
      <c r="AN210" s="262"/>
      <c r="AO210" s="262"/>
      <c r="AP210" s="262"/>
      <c r="AQ210" s="262"/>
      <c r="AR210" s="262"/>
      <c r="AS210" s="262"/>
      <c r="AT210" s="262"/>
      <c r="AU210" s="262"/>
      <c r="AV210" s="262"/>
      <c r="AW210" s="262"/>
      <c r="AX210" s="262"/>
      <c r="AY210" s="262"/>
      <c r="AZ210" s="262"/>
      <c r="BA210" s="262"/>
      <c r="BB210" s="262"/>
      <c r="BC210" s="262"/>
      <c r="BD210" s="262"/>
      <c r="BE210" s="262"/>
      <c r="BF210" s="262"/>
      <c r="BG210" s="262"/>
      <c r="BH210" s="262"/>
      <c r="BI210" s="262"/>
      <c r="BJ210" s="262"/>
      <c r="BK210" s="262"/>
      <c r="BL210" s="262"/>
      <c r="BM210" s="262"/>
      <c r="BN210" s="262"/>
      <c r="BO210" s="262"/>
      <c r="BP210" s="262"/>
      <c r="BQ210" s="262"/>
      <c r="BR210" s="262"/>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row>
    <row r="211" spans="1:175" x14ac:dyDescent="0.25">
      <c r="A211" s="332"/>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262"/>
      <c r="AE211" s="262"/>
      <c r="AF211" s="262"/>
      <c r="AG211" s="262"/>
      <c r="AH211" s="262"/>
      <c r="AI211" s="262"/>
      <c r="AJ211" s="262"/>
      <c r="AK211" s="262"/>
      <c r="AL211" s="262"/>
      <c r="AM211" s="262"/>
      <c r="AN211" s="262"/>
      <c r="AO211" s="262"/>
      <c r="AP211" s="262"/>
      <c r="AQ211" s="262"/>
      <c r="AR211" s="262"/>
      <c r="AS211" s="262"/>
      <c r="AT211" s="262"/>
      <c r="AU211" s="262"/>
      <c r="AV211" s="262"/>
      <c r="AW211" s="262"/>
      <c r="AX211" s="262"/>
      <c r="AY211" s="262"/>
      <c r="AZ211" s="262"/>
      <c r="BA211" s="262"/>
      <c r="BB211" s="262"/>
      <c r="BC211" s="262"/>
      <c r="BD211" s="262"/>
      <c r="BE211" s="262"/>
      <c r="BF211" s="262"/>
      <c r="BG211" s="262"/>
      <c r="BH211" s="262"/>
      <c r="BI211" s="262"/>
      <c r="BJ211" s="262"/>
      <c r="BK211" s="262"/>
      <c r="BL211" s="262"/>
      <c r="BM211" s="262"/>
      <c r="BN211" s="262"/>
      <c r="BO211" s="262"/>
      <c r="BP211" s="262"/>
      <c r="BQ211" s="262"/>
      <c r="BR211" s="262"/>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row>
    <row r="212" spans="1:175" x14ac:dyDescent="0.25">
      <c r="A212" s="332"/>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262"/>
      <c r="AE212" s="262"/>
      <c r="AF212" s="262"/>
      <c r="AG212" s="262"/>
      <c r="AH212" s="262"/>
      <c r="AI212" s="262"/>
      <c r="AJ212" s="262"/>
      <c r="AK212" s="262"/>
      <c r="AL212" s="262"/>
      <c r="AM212" s="262"/>
      <c r="AN212" s="262"/>
      <c r="AO212" s="262"/>
      <c r="AP212" s="262"/>
      <c r="AQ212" s="262"/>
      <c r="AR212" s="262"/>
      <c r="AS212" s="262"/>
      <c r="AT212" s="262"/>
      <c r="AU212" s="262"/>
      <c r="AV212" s="262"/>
      <c r="AW212" s="262"/>
      <c r="AX212" s="262"/>
      <c r="AY212" s="262"/>
      <c r="AZ212" s="262"/>
      <c r="BA212" s="262"/>
      <c r="BB212" s="262"/>
      <c r="BC212" s="262"/>
      <c r="BD212" s="262"/>
      <c r="BE212" s="262"/>
      <c r="BF212" s="262"/>
      <c r="BG212" s="262"/>
      <c r="BH212" s="262"/>
      <c r="BI212" s="262"/>
      <c r="BJ212" s="262"/>
      <c r="BK212" s="262"/>
      <c r="BL212" s="262"/>
      <c r="BM212" s="262"/>
      <c r="BN212" s="262"/>
      <c r="BO212" s="262"/>
      <c r="BP212" s="262"/>
      <c r="BQ212" s="262"/>
      <c r="BR212" s="262"/>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row>
    <row r="213" spans="1:175" x14ac:dyDescent="0.25">
      <c r="A213" s="332"/>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262"/>
      <c r="AE213" s="262"/>
      <c r="AF213" s="262"/>
      <c r="AG213" s="262"/>
      <c r="AH213" s="262"/>
      <c r="AI213" s="262"/>
      <c r="AJ213" s="262"/>
      <c r="AK213" s="262"/>
      <c r="AL213" s="262"/>
      <c r="AM213" s="262"/>
      <c r="AN213" s="262"/>
      <c r="AO213" s="262"/>
      <c r="AP213" s="262"/>
      <c r="AQ213" s="262"/>
      <c r="AR213" s="262"/>
      <c r="AS213" s="262"/>
      <c r="AT213" s="262"/>
      <c r="AU213" s="262"/>
      <c r="AV213" s="262"/>
      <c r="AW213" s="262"/>
      <c r="AX213" s="262"/>
      <c r="AY213" s="262"/>
      <c r="AZ213" s="262"/>
      <c r="BA213" s="262"/>
      <c r="BB213" s="262"/>
      <c r="BC213" s="262"/>
      <c r="BD213" s="262"/>
      <c r="BE213" s="262"/>
      <c r="BF213" s="262"/>
      <c r="BG213" s="262"/>
      <c r="BH213" s="262"/>
      <c r="BI213" s="262"/>
      <c r="BJ213" s="262"/>
      <c r="BK213" s="262"/>
      <c r="BL213" s="262"/>
      <c r="BM213" s="262"/>
      <c r="BN213" s="262"/>
      <c r="BO213" s="262"/>
      <c r="BP213" s="262"/>
      <c r="BQ213" s="262"/>
      <c r="BR213" s="262"/>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row>
    <row r="214" spans="1:175" x14ac:dyDescent="0.25">
      <c r="A214" s="332"/>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262"/>
      <c r="AE214" s="262"/>
      <c r="AF214" s="262"/>
      <c r="AG214" s="262"/>
      <c r="AH214" s="262"/>
      <c r="AI214" s="262"/>
      <c r="AJ214" s="262"/>
      <c r="AK214" s="262"/>
      <c r="AL214" s="262"/>
      <c r="AM214" s="262"/>
      <c r="AN214" s="262"/>
      <c r="AO214" s="262"/>
      <c r="AP214" s="262"/>
      <c r="AQ214" s="262"/>
      <c r="AR214" s="262"/>
      <c r="AS214" s="262"/>
      <c r="AT214" s="262"/>
      <c r="AU214" s="262"/>
      <c r="AV214" s="262"/>
      <c r="AW214" s="262"/>
      <c r="AX214" s="262"/>
      <c r="AY214" s="262"/>
      <c r="AZ214" s="262"/>
      <c r="BA214" s="262"/>
      <c r="BB214" s="262"/>
      <c r="BC214" s="262"/>
      <c r="BD214" s="262"/>
      <c r="BE214" s="262"/>
      <c r="BF214" s="262"/>
      <c r="BG214" s="262"/>
      <c r="BH214" s="262"/>
      <c r="BI214" s="262"/>
      <c r="BJ214" s="262"/>
      <c r="BK214" s="262"/>
      <c r="BL214" s="262"/>
      <c r="BM214" s="262"/>
      <c r="BN214" s="262"/>
      <c r="BO214" s="262"/>
      <c r="BP214" s="262"/>
      <c r="BQ214" s="262"/>
      <c r="BR214" s="262"/>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row>
    <row r="215" spans="1:175" x14ac:dyDescent="0.25">
      <c r="A215" s="332"/>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c r="AA215" s="262"/>
      <c r="AB215" s="262"/>
      <c r="AC215" s="262"/>
      <c r="AD215" s="262"/>
      <c r="AE215" s="262"/>
      <c r="AF215" s="262"/>
      <c r="AG215" s="262"/>
      <c r="AH215" s="262"/>
      <c r="AI215" s="262"/>
      <c r="AJ215" s="262"/>
      <c r="AK215" s="262"/>
      <c r="AL215" s="262"/>
      <c r="AM215" s="262"/>
      <c r="AN215" s="262"/>
      <c r="AO215" s="262"/>
      <c r="AP215" s="262"/>
      <c r="AQ215" s="262"/>
      <c r="AR215" s="262"/>
      <c r="AS215" s="262"/>
      <c r="AT215" s="262"/>
      <c r="AU215" s="262"/>
      <c r="AV215" s="262"/>
      <c r="AW215" s="262"/>
      <c r="AX215" s="262"/>
      <c r="AY215" s="262"/>
      <c r="AZ215" s="262"/>
      <c r="BA215" s="262"/>
      <c r="BB215" s="262"/>
      <c r="BC215" s="262"/>
      <c r="BD215" s="262"/>
      <c r="BE215" s="262"/>
      <c r="BF215" s="262"/>
      <c r="BG215" s="262"/>
      <c r="BH215" s="262"/>
      <c r="BI215" s="262"/>
      <c r="BJ215" s="262"/>
      <c r="BK215" s="262"/>
      <c r="BL215" s="262"/>
      <c r="BM215" s="262"/>
      <c r="BN215" s="262"/>
      <c r="BO215" s="262"/>
      <c r="BP215" s="262"/>
      <c r="BQ215" s="262"/>
      <c r="BR215" s="262"/>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row>
    <row r="216" spans="1:175" x14ac:dyDescent="0.25">
      <c r="A216" s="332"/>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c r="Z216" s="262"/>
      <c r="AA216" s="262"/>
      <c r="AB216" s="262"/>
      <c r="AC216" s="262"/>
      <c r="AD216" s="262"/>
      <c r="AE216" s="262"/>
      <c r="AF216" s="262"/>
      <c r="AG216" s="262"/>
      <c r="AH216" s="262"/>
      <c r="AI216" s="262"/>
      <c r="AJ216" s="262"/>
      <c r="AK216" s="262"/>
      <c r="AL216" s="262"/>
      <c r="AM216" s="262"/>
      <c r="AN216" s="262"/>
      <c r="AO216" s="262"/>
      <c r="AP216" s="262"/>
      <c r="AQ216" s="262"/>
      <c r="AR216" s="262"/>
      <c r="AS216" s="262"/>
      <c r="AT216" s="262"/>
      <c r="AU216" s="262"/>
      <c r="AV216" s="262"/>
      <c r="AW216" s="262"/>
      <c r="AX216" s="262"/>
      <c r="AY216" s="262"/>
      <c r="AZ216" s="262"/>
      <c r="BA216" s="262"/>
      <c r="BB216" s="262"/>
      <c r="BC216" s="262"/>
      <c r="BD216" s="262"/>
      <c r="BE216" s="262"/>
      <c r="BF216" s="262"/>
      <c r="BG216" s="262"/>
      <c r="BH216" s="262"/>
      <c r="BI216" s="262"/>
      <c r="BJ216" s="262"/>
      <c r="BK216" s="262"/>
      <c r="BL216" s="262"/>
      <c r="BM216" s="262"/>
      <c r="BN216" s="262"/>
      <c r="BO216" s="262"/>
      <c r="BP216" s="262"/>
      <c r="BQ216" s="262"/>
      <c r="BR216" s="262"/>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row>
    <row r="217" spans="1:175" x14ac:dyDescent="0.25">
      <c r="A217" s="332"/>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c r="Z217" s="262"/>
      <c r="AA217" s="262"/>
      <c r="AB217" s="262"/>
      <c r="AC217" s="262"/>
      <c r="AD217" s="262"/>
      <c r="AE217" s="262"/>
      <c r="AF217" s="262"/>
      <c r="AG217" s="262"/>
      <c r="AH217" s="262"/>
      <c r="AI217" s="262"/>
      <c r="AJ217" s="262"/>
      <c r="AK217" s="262"/>
      <c r="AL217" s="262"/>
      <c r="AM217" s="262"/>
      <c r="AN217" s="262"/>
      <c r="AO217" s="262"/>
      <c r="AP217" s="262"/>
      <c r="AQ217" s="262"/>
      <c r="AR217" s="262"/>
      <c r="AS217" s="262"/>
      <c r="AT217" s="262"/>
      <c r="AU217" s="262"/>
      <c r="AV217" s="262"/>
      <c r="AW217" s="262"/>
      <c r="AX217" s="262"/>
      <c r="AY217" s="262"/>
      <c r="AZ217" s="262"/>
      <c r="BA217" s="262"/>
      <c r="BB217" s="262"/>
      <c r="BC217" s="262"/>
      <c r="BD217" s="262"/>
      <c r="BE217" s="262"/>
      <c r="BF217" s="262"/>
      <c r="BG217" s="262"/>
      <c r="BH217" s="262"/>
      <c r="BI217" s="262"/>
      <c r="BJ217" s="262"/>
      <c r="BK217" s="262"/>
      <c r="BL217" s="262"/>
      <c r="BM217" s="262"/>
      <c r="BN217" s="262"/>
      <c r="BO217" s="262"/>
      <c r="BP217" s="262"/>
      <c r="BQ217" s="262"/>
      <c r="BR217" s="262"/>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row>
    <row r="218" spans="1:175" x14ac:dyDescent="0.25">
      <c r="A218" s="332"/>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c r="Z218" s="262"/>
      <c r="AA218" s="262"/>
      <c r="AB218" s="262"/>
      <c r="AC218" s="262"/>
      <c r="AD218" s="262"/>
      <c r="AE218" s="262"/>
      <c r="AF218" s="262"/>
      <c r="AG218" s="262"/>
      <c r="AH218" s="262"/>
      <c r="AI218" s="262"/>
      <c r="AJ218" s="262"/>
      <c r="AK218" s="262"/>
      <c r="AL218" s="262"/>
      <c r="AM218" s="262"/>
      <c r="AN218" s="262"/>
      <c r="AO218" s="262"/>
      <c r="AP218" s="262"/>
      <c r="AQ218" s="262"/>
      <c r="AR218" s="262"/>
      <c r="AS218" s="262"/>
      <c r="AT218" s="262"/>
      <c r="AU218" s="262"/>
      <c r="AV218" s="262"/>
      <c r="AW218" s="262"/>
      <c r="AX218" s="262"/>
      <c r="AY218" s="262"/>
      <c r="AZ218" s="262"/>
      <c r="BA218" s="262"/>
      <c r="BB218" s="262"/>
      <c r="BC218" s="262"/>
      <c r="BD218" s="262"/>
      <c r="BE218" s="262"/>
      <c r="BF218" s="262"/>
      <c r="BG218" s="262"/>
      <c r="BH218" s="262"/>
      <c r="BI218" s="262"/>
      <c r="BJ218" s="262"/>
      <c r="BK218" s="262"/>
      <c r="BL218" s="262"/>
      <c r="BM218" s="262"/>
      <c r="BN218" s="262"/>
      <c r="BO218" s="262"/>
      <c r="BP218" s="262"/>
      <c r="BQ218" s="262"/>
      <c r="BR218" s="262"/>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row>
    <row r="219" spans="1:175" x14ac:dyDescent="0.25">
      <c r="A219" s="332"/>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c r="AA219" s="262"/>
      <c r="AB219" s="262"/>
      <c r="AC219" s="262"/>
      <c r="AD219" s="262"/>
      <c r="AE219" s="262"/>
      <c r="AF219" s="262"/>
      <c r="AG219" s="262"/>
      <c r="AH219" s="262"/>
      <c r="AI219" s="262"/>
      <c r="AJ219" s="262"/>
      <c r="AK219" s="262"/>
      <c r="AL219" s="262"/>
      <c r="AM219" s="262"/>
      <c r="AN219" s="262"/>
      <c r="AO219" s="262"/>
      <c r="AP219" s="262"/>
      <c r="AQ219" s="262"/>
      <c r="AR219" s="262"/>
      <c r="AS219" s="262"/>
      <c r="AT219" s="262"/>
      <c r="AU219" s="262"/>
      <c r="AV219" s="262"/>
      <c r="AW219" s="262"/>
      <c r="AX219" s="262"/>
      <c r="AY219" s="262"/>
      <c r="AZ219" s="262"/>
      <c r="BA219" s="262"/>
      <c r="BB219" s="262"/>
      <c r="BC219" s="262"/>
      <c r="BD219" s="262"/>
      <c r="BE219" s="262"/>
      <c r="BF219" s="262"/>
      <c r="BG219" s="262"/>
      <c r="BH219" s="262"/>
      <c r="BI219" s="262"/>
      <c r="BJ219" s="262"/>
      <c r="BK219" s="262"/>
      <c r="BL219" s="262"/>
      <c r="BM219" s="262"/>
      <c r="BN219" s="262"/>
      <c r="BO219" s="262"/>
      <c r="BP219" s="262"/>
      <c r="BQ219" s="262"/>
      <c r="BR219" s="262"/>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row>
    <row r="220" spans="1:175" x14ac:dyDescent="0.25">
      <c r="A220" s="332"/>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262"/>
      <c r="AE220" s="262"/>
      <c r="AF220" s="262"/>
      <c r="AG220" s="262"/>
      <c r="AH220" s="262"/>
      <c r="AI220" s="262"/>
      <c r="AJ220" s="262"/>
      <c r="AK220" s="262"/>
      <c r="AL220" s="262"/>
      <c r="AM220" s="262"/>
      <c r="AN220" s="262"/>
      <c r="AO220" s="262"/>
      <c r="AP220" s="262"/>
      <c r="AQ220" s="262"/>
      <c r="AR220" s="262"/>
      <c r="AS220" s="262"/>
      <c r="AT220" s="262"/>
      <c r="AU220" s="262"/>
      <c r="AV220" s="262"/>
      <c r="AW220" s="262"/>
      <c r="AX220" s="262"/>
      <c r="AY220" s="262"/>
      <c r="AZ220" s="262"/>
      <c r="BA220" s="262"/>
      <c r="BB220" s="262"/>
      <c r="BC220" s="262"/>
      <c r="BD220" s="262"/>
      <c r="BE220" s="262"/>
      <c r="BF220" s="262"/>
      <c r="BG220" s="262"/>
      <c r="BH220" s="262"/>
      <c r="BI220" s="262"/>
      <c r="BJ220" s="262"/>
      <c r="BK220" s="262"/>
      <c r="BL220" s="262"/>
      <c r="BM220" s="262"/>
      <c r="BN220" s="262"/>
      <c r="BO220" s="262"/>
      <c r="BP220" s="262"/>
      <c r="BQ220" s="262"/>
      <c r="BR220" s="262"/>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row>
    <row r="221" spans="1:175" x14ac:dyDescent="0.25">
      <c r="A221" s="332"/>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262"/>
      <c r="AE221" s="262"/>
      <c r="AF221" s="262"/>
      <c r="AG221" s="262"/>
      <c r="AH221" s="262"/>
      <c r="AI221" s="262"/>
      <c r="AJ221" s="262"/>
      <c r="AK221" s="262"/>
      <c r="AL221" s="262"/>
      <c r="AM221" s="262"/>
      <c r="AN221" s="262"/>
      <c r="AO221" s="262"/>
      <c r="AP221" s="262"/>
      <c r="AQ221" s="262"/>
      <c r="AR221" s="262"/>
      <c r="AS221" s="262"/>
      <c r="AT221" s="262"/>
      <c r="AU221" s="262"/>
      <c r="AV221" s="262"/>
      <c r="AW221" s="262"/>
      <c r="AX221" s="262"/>
      <c r="AY221" s="262"/>
      <c r="AZ221" s="262"/>
      <c r="BA221" s="262"/>
      <c r="BB221" s="262"/>
      <c r="BC221" s="262"/>
      <c r="BD221" s="262"/>
      <c r="BE221" s="262"/>
      <c r="BF221" s="262"/>
      <c r="BG221" s="262"/>
      <c r="BH221" s="262"/>
      <c r="BI221" s="262"/>
      <c r="BJ221" s="262"/>
      <c r="BK221" s="262"/>
      <c r="BL221" s="262"/>
      <c r="BM221" s="262"/>
      <c r="BN221" s="262"/>
      <c r="BO221" s="262"/>
      <c r="BP221" s="262"/>
      <c r="BQ221" s="262"/>
      <c r="BR221" s="262"/>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row>
    <row r="222" spans="1:175" x14ac:dyDescent="0.25">
      <c r="A222" s="332"/>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c r="AF222" s="262"/>
      <c r="AG222" s="262"/>
      <c r="AH222" s="262"/>
      <c r="AI222" s="262"/>
      <c r="AJ222" s="262"/>
      <c r="AK222" s="262"/>
      <c r="AL222" s="262"/>
      <c r="AM222" s="262"/>
      <c r="AN222" s="262"/>
      <c r="AO222" s="262"/>
      <c r="AP222" s="262"/>
      <c r="AQ222" s="262"/>
      <c r="AR222" s="262"/>
      <c r="AS222" s="262"/>
      <c r="AT222" s="262"/>
      <c r="AU222" s="262"/>
      <c r="AV222" s="262"/>
      <c r="AW222" s="262"/>
      <c r="AX222" s="262"/>
      <c r="AY222" s="262"/>
      <c r="AZ222" s="262"/>
      <c r="BA222" s="262"/>
      <c r="BB222" s="262"/>
      <c r="BC222" s="262"/>
      <c r="BD222" s="262"/>
      <c r="BE222" s="262"/>
      <c r="BF222" s="262"/>
      <c r="BG222" s="262"/>
      <c r="BH222" s="262"/>
      <c r="BI222" s="262"/>
      <c r="BJ222" s="262"/>
      <c r="BK222" s="262"/>
      <c r="BL222" s="262"/>
      <c r="BM222" s="262"/>
      <c r="BN222" s="262"/>
      <c r="BO222" s="262"/>
      <c r="BP222" s="262"/>
      <c r="BQ222" s="262"/>
      <c r="BR222" s="262"/>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row>
    <row r="223" spans="1:175" x14ac:dyDescent="0.25">
      <c r="A223" s="332"/>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262"/>
      <c r="AE223" s="262"/>
      <c r="AF223" s="262"/>
      <c r="AG223" s="262"/>
      <c r="AH223" s="262"/>
      <c r="AI223" s="262"/>
      <c r="AJ223" s="262"/>
      <c r="AK223" s="262"/>
      <c r="AL223" s="262"/>
      <c r="AM223" s="262"/>
      <c r="AN223" s="262"/>
      <c r="AO223" s="262"/>
      <c r="AP223" s="262"/>
      <c r="AQ223" s="262"/>
      <c r="AR223" s="262"/>
      <c r="AS223" s="262"/>
      <c r="AT223" s="262"/>
      <c r="AU223" s="262"/>
      <c r="AV223" s="262"/>
      <c r="AW223" s="262"/>
      <c r="AX223" s="262"/>
      <c r="AY223" s="262"/>
      <c r="AZ223" s="262"/>
      <c r="BA223" s="262"/>
      <c r="BB223" s="262"/>
      <c r="BC223" s="262"/>
      <c r="BD223" s="262"/>
      <c r="BE223" s="262"/>
      <c r="BF223" s="262"/>
      <c r="BG223" s="262"/>
      <c r="BH223" s="262"/>
      <c r="BI223" s="262"/>
      <c r="BJ223" s="262"/>
      <c r="BK223" s="262"/>
      <c r="BL223" s="262"/>
      <c r="BM223" s="262"/>
      <c r="BN223" s="262"/>
      <c r="BO223" s="262"/>
      <c r="BP223" s="262"/>
      <c r="BQ223" s="262"/>
      <c r="BR223" s="262"/>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row>
    <row r="224" spans="1:175" x14ac:dyDescent="0.25">
      <c r="A224" s="332"/>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c r="AA224" s="262"/>
      <c r="AB224" s="262"/>
      <c r="AC224" s="262"/>
      <c r="AD224" s="262"/>
      <c r="AE224" s="262"/>
      <c r="AF224" s="262"/>
      <c r="AG224" s="262"/>
      <c r="AH224" s="262"/>
      <c r="AI224" s="262"/>
      <c r="AJ224" s="262"/>
      <c r="AK224" s="262"/>
      <c r="AL224" s="262"/>
      <c r="AM224" s="262"/>
      <c r="AN224" s="262"/>
      <c r="AO224" s="262"/>
      <c r="AP224" s="262"/>
      <c r="AQ224" s="262"/>
      <c r="AR224" s="262"/>
      <c r="AS224" s="262"/>
      <c r="AT224" s="262"/>
      <c r="AU224" s="262"/>
      <c r="AV224" s="262"/>
      <c r="AW224" s="262"/>
      <c r="AX224" s="262"/>
      <c r="AY224" s="262"/>
      <c r="AZ224" s="262"/>
      <c r="BA224" s="262"/>
      <c r="BB224" s="262"/>
      <c r="BC224" s="262"/>
      <c r="BD224" s="262"/>
      <c r="BE224" s="262"/>
      <c r="BF224" s="262"/>
      <c r="BG224" s="262"/>
      <c r="BH224" s="262"/>
      <c r="BI224" s="262"/>
      <c r="BJ224" s="262"/>
      <c r="BK224" s="262"/>
      <c r="BL224" s="262"/>
      <c r="BM224" s="262"/>
      <c r="BN224" s="262"/>
      <c r="BO224" s="262"/>
      <c r="BP224" s="262"/>
      <c r="BQ224" s="262"/>
      <c r="BR224" s="262"/>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row>
    <row r="225" spans="1:175" x14ac:dyDescent="0.25">
      <c r="A225" s="332"/>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c r="Z225" s="262"/>
      <c r="AA225" s="262"/>
      <c r="AB225" s="262"/>
      <c r="AC225" s="262"/>
      <c r="AD225" s="262"/>
      <c r="AE225" s="262"/>
      <c r="AF225" s="262"/>
      <c r="AG225" s="262"/>
      <c r="AH225" s="262"/>
      <c r="AI225" s="262"/>
      <c r="AJ225" s="262"/>
      <c r="AK225" s="262"/>
      <c r="AL225" s="262"/>
      <c r="AM225" s="262"/>
      <c r="AN225" s="262"/>
      <c r="AO225" s="262"/>
      <c r="AP225" s="262"/>
      <c r="AQ225" s="262"/>
      <c r="AR225" s="262"/>
      <c r="AS225" s="262"/>
      <c r="AT225" s="262"/>
      <c r="AU225" s="262"/>
      <c r="AV225" s="262"/>
      <c r="AW225" s="262"/>
      <c r="AX225" s="262"/>
      <c r="AY225" s="262"/>
      <c r="AZ225" s="262"/>
      <c r="BA225" s="262"/>
      <c r="BB225" s="262"/>
      <c r="BC225" s="262"/>
      <c r="BD225" s="262"/>
      <c r="BE225" s="262"/>
      <c r="BF225" s="262"/>
      <c r="BG225" s="262"/>
      <c r="BH225" s="262"/>
      <c r="BI225" s="262"/>
      <c r="BJ225" s="262"/>
      <c r="BK225" s="262"/>
      <c r="BL225" s="262"/>
      <c r="BM225" s="262"/>
      <c r="BN225" s="262"/>
      <c r="BO225" s="262"/>
      <c r="BP225" s="262"/>
      <c r="BQ225" s="262"/>
      <c r="BR225" s="262"/>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row>
    <row r="226" spans="1:175" x14ac:dyDescent="0.25">
      <c r="A226" s="332"/>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c r="Z226" s="262"/>
      <c r="AA226" s="262"/>
      <c r="AB226" s="262"/>
      <c r="AC226" s="262"/>
      <c r="AD226" s="262"/>
      <c r="AE226" s="262"/>
      <c r="AF226" s="262"/>
      <c r="AG226" s="262"/>
      <c r="AH226" s="262"/>
      <c r="AI226" s="262"/>
      <c r="AJ226" s="262"/>
      <c r="AK226" s="262"/>
      <c r="AL226" s="262"/>
      <c r="AM226" s="262"/>
      <c r="AN226" s="262"/>
      <c r="AO226" s="262"/>
      <c r="AP226" s="262"/>
      <c r="AQ226" s="262"/>
      <c r="AR226" s="262"/>
      <c r="AS226" s="262"/>
      <c r="AT226" s="262"/>
      <c r="AU226" s="262"/>
      <c r="AV226" s="262"/>
      <c r="AW226" s="262"/>
      <c r="AX226" s="262"/>
      <c r="AY226" s="262"/>
      <c r="AZ226" s="262"/>
      <c r="BA226" s="262"/>
      <c r="BB226" s="262"/>
      <c r="BC226" s="262"/>
      <c r="BD226" s="262"/>
      <c r="BE226" s="262"/>
      <c r="BF226" s="262"/>
      <c r="BG226" s="262"/>
      <c r="BH226" s="262"/>
      <c r="BI226" s="262"/>
      <c r="BJ226" s="262"/>
      <c r="BK226" s="262"/>
      <c r="BL226" s="262"/>
      <c r="BM226" s="262"/>
      <c r="BN226" s="262"/>
      <c r="BO226" s="262"/>
      <c r="BP226" s="262"/>
      <c r="BQ226" s="262"/>
      <c r="BR226" s="262"/>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row>
    <row r="227" spans="1:175" x14ac:dyDescent="0.25">
      <c r="A227" s="332"/>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c r="Z227" s="262"/>
      <c r="AA227" s="262"/>
      <c r="AB227" s="262"/>
      <c r="AC227" s="262"/>
      <c r="AD227" s="262"/>
      <c r="AE227" s="262"/>
      <c r="AF227" s="262"/>
      <c r="AG227" s="262"/>
      <c r="AH227" s="262"/>
      <c r="AI227" s="262"/>
      <c r="AJ227" s="262"/>
      <c r="AK227" s="262"/>
      <c r="AL227" s="262"/>
      <c r="AM227" s="262"/>
      <c r="AN227" s="262"/>
      <c r="AO227" s="262"/>
      <c r="AP227" s="262"/>
      <c r="AQ227" s="262"/>
      <c r="AR227" s="262"/>
      <c r="AS227" s="262"/>
      <c r="AT227" s="262"/>
      <c r="AU227" s="262"/>
      <c r="AV227" s="262"/>
      <c r="AW227" s="262"/>
      <c r="AX227" s="262"/>
      <c r="AY227" s="262"/>
      <c r="AZ227" s="262"/>
      <c r="BA227" s="262"/>
      <c r="BB227" s="262"/>
      <c r="BC227" s="262"/>
      <c r="BD227" s="262"/>
      <c r="BE227" s="262"/>
      <c r="BF227" s="262"/>
      <c r="BG227" s="262"/>
      <c r="BH227" s="262"/>
      <c r="BI227" s="262"/>
      <c r="BJ227" s="262"/>
      <c r="BK227" s="262"/>
      <c r="BL227" s="262"/>
      <c r="BM227" s="262"/>
      <c r="BN227" s="262"/>
      <c r="BO227" s="262"/>
      <c r="BP227" s="262"/>
      <c r="BQ227" s="262"/>
      <c r="BR227" s="262"/>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row>
    <row r="228" spans="1:175" x14ac:dyDescent="0.25">
      <c r="A228" s="332"/>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c r="Z228" s="262"/>
      <c r="AA228" s="262"/>
      <c r="AB228" s="262"/>
      <c r="AC228" s="262"/>
      <c r="AD228" s="262"/>
      <c r="AE228" s="262"/>
      <c r="AF228" s="262"/>
      <c r="AG228" s="262"/>
      <c r="AH228" s="262"/>
      <c r="AI228" s="262"/>
      <c r="AJ228" s="262"/>
      <c r="AK228" s="262"/>
      <c r="AL228" s="262"/>
      <c r="AM228" s="262"/>
      <c r="AN228" s="262"/>
      <c r="AO228" s="262"/>
      <c r="AP228" s="262"/>
      <c r="AQ228" s="262"/>
      <c r="AR228" s="262"/>
      <c r="AS228" s="262"/>
      <c r="AT228" s="262"/>
      <c r="AU228" s="262"/>
      <c r="AV228" s="262"/>
      <c r="AW228" s="262"/>
      <c r="AX228" s="262"/>
      <c r="AY228" s="262"/>
      <c r="AZ228" s="262"/>
      <c r="BA228" s="262"/>
      <c r="BB228" s="262"/>
      <c r="BC228" s="262"/>
      <c r="BD228" s="262"/>
      <c r="BE228" s="262"/>
      <c r="BF228" s="262"/>
      <c r="BG228" s="262"/>
      <c r="BH228" s="262"/>
      <c r="BI228" s="262"/>
      <c r="BJ228" s="262"/>
      <c r="BK228" s="262"/>
      <c r="BL228" s="262"/>
      <c r="BM228" s="262"/>
      <c r="BN228" s="262"/>
      <c r="BO228" s="262"/>
      <c r="BP228" s="262"/>
      <c r="BQ228" s="262"/>
      <c r="BR228" s="262"/>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row>
    <row r="229" spans="1:175" x14ac:dyDescent="0.25">
      <c r="A229" s="332"/>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c r="Z229" s="262"/>
      <c r="AA229" s="262"/>
      <c r="AB229" s="262"/>
      <c r="AC229" s="262"/>
      <c r="AD229" s="262"/>
      <c r="AE229" s="262"/>
      <c r="AF229" s="262"/>
      <c r="AG229" s="262"/>
      <c r="AH229" s="262"/>
      <c r="AI229" s="262"/>
      <c r="AJ229" s="262"/>
      <c r="AK229" s="262"/>
      <c r="AL229" s="262"/>
      <c r="AM229" s="262"/>
      <c r="AN229" s="262"/>
      <c r="AO229" s="262"/>
      <c r="AP229" s="262"/>
      <c r="AQ229" s="262"/>
      <c r="AR229" s="262"/>
      <c r="AS229" s="262"/>
      <c r="AT229" s="262"/>
      <c r="AU229" s="262"/>
      <c r="AV229" s="262"/>
      <c r="AW229" s="262"/>
      <c r="AX229" s="262"/>
      <c r="AY229" s="262"/>
      <c r="AZ229" s="262"/>
      <c r="BA229" s="262"/>
      <c r="BB229" s="262"/>
      <c r="BC229" s="262"/>
      <c r="BD229" s="262"/>
      <c r="BE229" s="262"/>
      <c r="BF229" s="262"/>
      <c r="BG229" s="262"/>
      <c r="BH229" s="262"/>
      <c r="BI229" s="262"/>
      <c r="BJ229" s="262"/>
      <c r="BK229" s="262"/>
      <c r="BL229" s="262"/>
      <c r="BM229" s="262"/>
      <c r="BN229" s="262"/>
      <c r="BO229" s="262"/>
      <c r="BP229" s="262"/>
      <c r="BQ229" s="262"/>
      <c r="BR229" s="262"/>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row>
    <row r="230" spans="1:175" x14ac:dyDescent="0.25">
      <c r="A230" s="332"/>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c r="Z230" s="262"/>
      <c r="AA230" s="262"/>
      <c r="AB230" s="262"/>
      <c r="AC230" s="262"/>
      <c r="AD230" s="262"/>
      <c r="AE230" s="262"/>
      <c r="AF230" s="262"/>
      <c r="AG230" s="262"/>
      <c r="AH230" s="262"/>
      <c r="AI230" s="262"/>
      <c r="AJ230" s="262"/>
      <c r="AK230" s="262"/>
      <c r="AL230" s="262"/>
      <c r="AM230" s="262"/>
      <c r="AN230" s="262"/>
      <c r="AO230" s="262"/>
      <c r="AP230" s="262"/>
      <c r="AQ230" s="262"/>
      <c r="AR230" s="262"/>
      <c r="AS230" s="262"/>
      <c r="AT230" s="262"/>
      <c r="AU230" s="262"/>
      <c r="AV230" s="262"/>
      <c r="AW230" s="262"/>
      <c r="AX230" s="262"/>
      <c r="AY230" s="262"/>
      <c r="AZ230" s="262"/>
      <c r="BA230" s="262"/>
      <c r="BB230" s="262"/>
      <c r="BC230" s="262"/>
      <c r="BD230" s="262"/>
      <c r="BE230" s="262"/>
      <c r="BF230" s="262"/>
      <c r="BG230" s="262"/>
      <c r="BH230" s="262"/>
      <c r="BI230" s="262"/>
      <c r="BJ230" s="262"/>
      <c r="BK230" s="262"/>
      <c r="BL230" s="262"/>
      <c r="BM230" s="262"/>
      <c r="BN230" s="262"/>
      <c r="BO230" s="262"/>
      <c r="BP230" s="262"/>
      <c r="BQ230" s="262"/>
      <c r="BR230" s="262"/>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row>
    <row r="231" spans="1:175" x14ac:dyDescent="0.25">
      <c r="A231" s="332"/>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c r="Z231" s="262"/>
      <c r="AA231" s="262"/>
      <c r="AB231" s="262"/>
      <c r="AC231" s="262"/>
      <c r="AD231" s="262"/>
      <c r="AE231" s="262"/>
      <c r="AF231" s="262"/>
      <c r="AG231" s="262"/>
      <c r="AH231" s="262"/>
      <c r="AI231" s="262"/>
      <c r="AJ231" s="262"/>
      <c r="AK231" s="262"/>
      <c r="AL231" s="262"/>
      <c r="AM231" s="262"/>
      <c r="AN231" s="262"/>
      <c r="AO231" s="262"/>
      <c r="AP231" s="262"/>
      <c r="AQ231" s="262"/>
      <c r="AR231" s="262"/>
      <c r="AS231" s="262"/>
      <c r="AT231" s="262"/>
      <c r="AU231" s="262"/>
      <c r="AV231" s="262"/>
      <c r="AW231" s="262"/>
      <c r="AX231" s="262"/>
      <c r="AY231" s="262"/>
      <c r="AZ231" s="262"/>
      <c r="BA231" s="262"/>
      <c r="BB231" s="262"/>
      <c r="BC231" s="262"/>
      <c r="BD231" s="262"/>
      <c r="BE231" s="262"/>
      <c r="BF231" s="262"/>
      <c r="BG231" s="262"/>
      <c r="BH231" s="262"/>
      <c r="BI231" s="262"/>
      <c r="BJ231" s="262"/>
      <c r="BK231" s="262"/>
      <c r="BL231" s="262"/>
      <c r="BM231" s="262"/>
      <c r="BN231" s="262"/>
      <c r="BO231" s="262"/>
      <c r="BP231" s="262"/>
      <c r="BQ231" s="262"/>
      <c r="BR231" s="262"/>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row>
    <row r="232" spans="1:175" x14ac:dyDescent="0.25">
      <c r="A232" s="332"/>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262"/>
      <c r="AE232" s="262"/>
      <c r="AF232" s="262"/>
      <c r="AG232" s="262"/>
      <c r="AH232" s="262"/>
      <c r="AI232" s="262"/>
      <c r="AJ232" s="262"/>
      <c r="AK232" s="262"/>
      <c r="AL232" s="262"/>
      <c r="AM232" s="262"/>
      <c r="AN232" s="262"/>
      <c r="AO232" s="262"/>
      <c r="AP232" s="262"/>
      <c r="AQ232" s="262"/>
      <c r="AR232" s="262"/>
      <c r="AS232" s="262"/>
      <c r="AT232" s="262"/>
      <c r="AU232" s="262"/>
      <c r="AV232" s="262"/>
      <c r="AW232" s="262"/>
      <c r="AX232" s="262"/>
      <c r="AY232" s="262"/>
      <c r="AZ232" s="262"/>
      <c r="BA232" s="262"/>
      <c r="BB232" s="262"/>
      <c r="BC232" s="262"/>
      <c r="BD232" s="262"/>
      <c r="BE232" s="262"/>
      <c r="BF232" s="262"/>
      <c r="BG232" s="262"/>
      <c r="BH232" s="262"/>
      <c r="BI232" s="262"/>
      <c r="BJ232" s="262"/>
      <c r="BK232" s="262"/>
      <c r="BL232" s="262"/>
      <c r="BM232" s="262"/>
      <c r="BN232" s="262"/>
      <c r="BO232" s="262"/>
      <c r="BP232" s="262"/>
      <c r="BQ232" s="262"/>
      <c r="BR232" s="262"/>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row>
    <row r="233" spans="1:175" x14ac:dyDescent="0.25">
      <c r="A233" s="332"/>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262"/>
      <c r="AE233" s="262"/>
      <c r="AF233" s="262"/>
      <c r="AG233" s="262"/>
      <c r="AH233" s="262"/>
      <c r="AI233" s="262"/>
      <c r="AJ233" s="262"/>
      <c r="AK233" s="262"/>
      <c r="AL233" s="262"/>
      <c r="AM233" s="262"/>
      <c r="AN233" s="262"/>
      <c r="AO233" s="262"/>
      <c r="AP233" s="262"/>
      <c r="AQ233" s="262"/>
      <c r="AR233" s="262"/>
      <c r="AS233" s="262"/>
      <c r="AT233" s="262"/>
      <c r="AU233" s="262"/>
      <c r="AV233" s="262"/>
      <c r="AW233" s="262"/>
      <c r="AX233" s="262"/>
      <c r="AY233" s="262"/>
      <c r="AZ233" s="262"/>
      <c r="BA233" s="262"/>
      <c r="BB233" s="262"/>
      <c r="BC233" s="262"/>
      <c r="BD233" s="262"/>
      <c r="BE233" s="262"/>
      <c r="BF233" s="262"/>
      <c r="BG233" s="262"/>
      <c r="BH233" s="262"/>
      <c r="BI233" s="262"/>
      <c r="BJ233" s="262"/>
      <c r="BK233" s="262"/>
      <c r="BL233" s="262"/>
      <c r="BM233" s="262"/>
      <c r="BN233" s="262"/>
      <c r="BO233" s="262"/>
      <c r="BP233" s="262"/>
      <c r="BQ233" s="262"/>
      <c r="BR233" s="262"/>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row>
    <row r="234" spans="1:175" x14ac:dyDescent="0.25">
      <c r="A234" s="332"/>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c r="AA234" s="262"/>
      <c r="AB234" s="262"/>
      <c r="AC234" s="262"/>
      <c r="AD234" s="262"/>
      <c r="AE234" s="262"/>
      <c r="AF234" s="262"/>
      <c r="AG234" s="262"/>
      <c r="AH234" s="262"/>
      <c r="AI234" s="262"/>
      <c r="AJ234" s="262"/>
      <c r="AK234" s="262"/>
      <c r="AL234" s="262"/>
      <c r="AM234" s="262"/>
      <c r="AN234" s="262"/>
      <c r="AO234" s="262"/>
      <c r="AP234" s="262"/>
      <c r="AQ234" s="262"/>
      <c r="AR234" s="262"/>
      <c r="AS234" s="262"/>
      <c r="AT234" s="262"/>
      <c r="AU234" s="262"/>
      <c r="AV234" s="262"/>
      <c r="AW234" s="262"/>
      <c r="AX234" s="262"/>
      <c r="AY234" s="262"/>
      <c r="AZ234" s="262"/>
      <c r="BA234" s="262"/>
      <c r="BB234" s="262"/>
      <c r="BC234" s="262"/>
      <c r="BD234" s="262"/>
      <c r="BE234" s="262"/>
      <c r="BF234" s="262"/>
      <c r="BG234" s="262"/>
      <c r="BH234" s="262"/>
      <c r="BI234" s="262"/>
      <c r="BJ234" s="262"/>
      <c r="BK234" s="262"/>
      <c r="BL234" s="262"/>
      <c r="BM234" s="262"/>
      <c r="BN234" s="262"/>
      <c r="BO234" s="262"/>
      <c r="BP234" s="262"/>
      <c r="BQ234" s="262"/>
      <c r="BR234" s="262"/>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row>
    <row r="235" spans="1:175" x14ac:dyDescent="0.25">
      <c r="A235" s="332"/>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c r="AA235" s="262"/>
      <c r="AB235" s="262"/>
      <c r="AC235" s="262"/>
      <c r="AD235" s="262"/>
      <c r="AE235" s="262"/>
      <c r="AF235" s="262"/>
      <c r="AG235" s="262"/>
      <c r="AH235" s="262"/>
      <c r="AI235" s="262"/>
      <c r="AJ235" s="262"/>
      <c r="AK235" s="262"/>
      <c r="AL235" s="262"/>
      <c r="AM235" s="262"/>
      <c r="AN235" s="262"/>
      <c r="AO235" s="262"/>
      <c r="AP235" s="262"/>
      <c r="AQ235" s="262"/>
      <c r="AR235" s="262"/>
      <c r="AS235" s="262"/>
      <c r="AT235" s="262"/>
      <c r="AU235" s="262"/>
      <c r="AV235" s="262"/>
      <c r="AW235" s="262"/>
      <c r="AX235" s="262"/>
      <c r="AY235" s="262"/>
      <c r="AZ235" s="262"/>
      <c r="BA235" s="262"/>
      <c r="BB235" s="262"/>
      <c r="BC235" s="262"/>
      <c r="BD235" s="262"/>
      <c r="BE235" s="262"/>
      <c r="BF235" s="262"/>
      <c r="BG235" s="262"/>
      <c r="BH235" s="262"/>
      <c r="BI235" s="262"/>
      <c r="BJ235" s="262"/>
      <c r="BK235" s="262"/>
      <c r="BL235" s="262"/>
      <c r="BM235" s="262"/>
      <c r="BN235" s="262"/>
      <c r="BO235" s="262"/>
      <c r="BP235" s="262"/>
      <c r="BQ235" s="262"/>
      <c r="BR235" s="262"/>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row>
    <row r="236" spans="1:175" x14ac:dyDescent="0.25">
      <c r="A236" s="332"/>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262"/>
      <c r="AE236" s="262"/>
      <c r="AF236" s="262"/>
      <c r="AG236" s="262"/>
      <c r="AH236" s="262"/>
      <c r="AI236" s="262"/>
      <c r="AJ236" s="262"/>
      <c r="AK236" s="262"/>
      <c r="AL236" s="262"/>
      <c r="AM236" s="262"/>
      <c r="AN236" s="262"/>
      <c r="AO236" s="262"/>
      <c r="AP236" s="262"/>
      <c r="AQ236" s="262"/>
      <c r="AR236" s="262"/>
      <c r="AS236" s="262"/>
      <c r="AT236" s="262"/>
      <c r="AU236" s="262"/>
      <c r="AV236" s="262"/>
      <c r="AW236" s="262"/>
      <c r="AX236" s="262"/>
      <c r="AY236" s="262"/>
      <c r="AZ236" s="262"/>
      <c r="BA236" s="262"/>
      <c r="BB236" s="262"/>
      <c r="BC236" s="262"/>
      <c r="BD236" s="262"/>
      <c r="BE236" s="262"/>
      <c r="BF236" s="262"/>
      <c r="BG236" s="262"/>
      <c r="BH236" s="262"/>
      <c r="BI236" s="262"/>
      <c r="BJ236" s="262"/>
      <c r="BK236" s="262"/>
      <c r="BL236" s="262"/>
      <c r="BM236" s="262"/>
      <c r="BN236" s="262"/>
      <c r="BO236" s="262"/>
      <c r="BP236" s="262"/>
      <c r="BQ236" s="262"/>
      <c r="BR236" s="262"/>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row>
    <row r="237" spans="1:175" x14ac:dyDescent="0.25">
      <c r="A237" s="332"/>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262"/>
      <c r="AE237" s="262"/>
      <c r="AF237" s="262"/>
      <c r="AG237" s="262"/>
      <c r="AH237" s="262"/>
      <c r="AI237" s="262"/>
      <c r="AJ237" s="262"/>
      <c r="AK237" s="262"/>
      <c r="AL237" s="262"/>
      <c r="AM237" s="262"/>
      <c r="AN237" s="262"/>
      <c r="AO237" s="262"/>
      <c r="AP237" s="262"/>
      <c r="AQ237" s="262"/>
      <c r="AR237" s="262"/>
      <c r="AS237" s="262"/>
      <c r="AT237" s="262"/>
      <c r="AU237" s="262"/>
      <c r="AV237" s="262"/>
      <c r="AW237" s="262"/>
      <c r="AX237" s="262"/>
      <c r="AY237" s="262"/>
      <c r="AZ237" s="262"/>
      <c r="BA237" s="262"/>
      <c r="BB237" s="262"/>
      <c r="BC237" s="262"/>
      <c r="BD237" s="262"/>
      <c r="BE237" s="262"/>
      <c r="BF237" s="262"/>
      <c r="BG237" s="262"/>
      <c r="BH237" s="262"/>
      <c r="BI237" s="262"/>
      <c r="BJ237" s="262"/>
      <c r="BK237" s="262"/>
      <c r="BL237" s="262"/>
      <c r="BM237" s="262"/>
      <c r="BN237" s="262"/>
      <c r="BO237" s="262"/>
      <c r="BP237" s="262"/>
      <c r="BQ237" s="262"/>
      <c r="BR237" s="262"/>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row>
    <row r="238" spans="1:175" x14ac:dyDescent="0.25">
      <c r="A238" s="332"/>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262"/>
      <c r="AE238" s="262"/>
      <c r="AF238" s="262"/>
      <c r="AG238" s="262"/>
      <c r="AH238" s="262"/>
      <c r="AI238" s="262"/>
      <c r="AJ238" s="262"/>
      <c r="AK238" s="262"/>
      <c r="AL238" s="262"/>
      <c r="AM238" s="262"/>
      <c r="AN238" s="262"/>
      <c r="AO238" s="262"/>
      <c r="AP238" s="262"/>
      <c r="AQ238" s="262"/>
      <c r="AR238" s="262"/>
      <c r="AS238" s="262"/>
      <c r="AT238" s="262"/>
      <c r="AU238" s="262"/>
      <c r="AV238" s="262"/>
      <c r="AW238" s="262"/>
      <c r="AX238" s="262"/>
      <c r="AY238" s="262"/>
      <c r="AZ238" s="262"/>
      <c r="BA238" s="262"/>
      <c r="BB238" s="262"/>
      <c r="BC238" s="262"/>
      <c r="BD238" s="262"/>
      <c r="BE238" s="262"/>
      <c r="BF238" s="262"/>
      <c r="BG238" s="262"/>
      <c r="BH238" s="262"/>
      <c r="BI238" s="262"/>
      <c r="BJ238" s="262"/>
      <c r="BK238" s="262"/>
      <c r="BL238" s="262"/>
      <c r="BM238" s="262"/>
      <c r="BN238" s="262"/>
      <c r="BO238" s="262"/>
      <c r="BP238" s="262"/>
      <c r="BQ238" s="262"/>
      <c r="BR238" s="262"/>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row>
    <row r="239" spans="1:175" x14ac:dyDescent="0.25">
      <c r="A239" s="332"/>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262"/>
      <c r="AE239" s="262"/>
      <c r="AF239" s="262"/>
      <c r="AG239" s="262"/>
      <c r="AH239" s="262"/>
      <c r="AI239" s="262"/>
      <c r="AJ239" s="262"/>
      <c r="AK239" s="262"/>
      <c r="AL239" s="262"/>
      <c r="AM239" s="262"/>
      <c r="AN239" s="262"/>
      <c r="AO239" s="262"/>
      <c r="AP239" s="262"/>
      <c r="AQ239" s="262"/>
      <c r="AR239" s="262"/>
      <c r="AS239" s="262"/>
      <c r="AT239" s="262"/>
      <c r="AU239" s="262"/>
      <c r="AV239" s="262"/>
      <c r="AW239" s="262"/>
      <c r="AX239" s="262"/>
      <c r="AY239" s="262"/>
      <c r="AZ239" s="262"/>
      <c r="BA239" s="262"/>
      <c r="BB239" s="262"/>
      <c r="BC239" s="262"/>
      <c r="BD239" s="262"/>
      <c r="BE239" s="262"/>
      <c r="BF239" s="262"/>
      <c r="BG239" s="262"/>
      <c r="BH239" s="262"/>
      <c r="BI239" s="262"/>
      <c r="BJ239" s="262"/>
      <c r="BK239" s="262"/>
      <c r="BL239" s="262"/>
      <c r="BM239" s="262"/>
      <c r="BN239" s="262"/>
      <c r="BO239" s="262"/>
      <c r="BP239" s="262"/>
      <c r="BQ239" s="262"/>
      <c r="BR239" s="262"/>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row>
    <row r="240" spans="1:175" x14ac:dyDescent="0.25">
      <c r="A240" s="332"/>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262"/>
      <c r="AE240" s="262"/>
      <c r="AF240" s="262"/>
      <c r="AG240" s="262"/>
      <c r="AH240" s="262"/>
      <c r="AI240" s="262"/>
      <c r="AJ240" s="262"/>
      <c r="AK240" s="262"/>
      <c r="AL240" s="262"/>
      <c r="AM240" s="262"/>
      <c r="AN240" s="262"/>
      <c r="AO240" s="262"/>
      <c r="AP240" s="262"/>
      <c r="AQ240" s="262"/>
      <c r="AR240" s="262"/>
      <c r="AS240" s="262"/>
      <c r="AT240" s="262"/>
      <c r="AU240" s="262"/>
      <c r="AV240" s="262"/>
      <c r="AW240" s="262"/>
      <c r="AX240" s="262"/>
      <c r="AY240" s="262"/>
      <c r="AZ240" s="262"/>
      <c r="BA240" s="262"/>
      <c r="BB240" s="262"/>
      <c r="BC240" s="262"/>
      <c r="BD240" s="262"/>
      <c r="BE240" s="262"/>
      <c r="BF240" s="262"/>
      <c r="BG240" s="262"/>
      <c r="BH240" s="262"/>
      <c r="BI240" s="262"/>
      <c r="BJ240" s="262"/>
      <c r="BK240" s="262"/>
      <c r="BL240" s="262"/>
      <c r="BM240" s="262"/>
      <c r="BN240" s="262"/>
      <c r="BO240" s="262"/>
      <c r="BP240" s="262"/>
      <c r="BQ240" s="262"/>
      <c r="BR240" s="262"/>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row>
    <row r="241" spans="1:175" x14ac:dyDescent="0.25">
      <c r="A241" s="332"/>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262"/>
      <c r="AE241" s="262"/>
      <c r="AF241" s="262"/>
      <c r="AG241" s="262"/>
      <c r="AH241" s="262"/>
      <c r="AI241" s="262"/>
      <c r="AJ241" s="262"/>
      <c r="AK241" s="262"/>
      <c r="AL241" s="262"/>
      <c r="AM241" s="262"/>
      <c r="AN241" s="262"/>
      <c r="AO241" s="262"/>
      <c r="AP241" s="262"/>
      <c r="AQ241" s="262"/>
      <c r="AR241" s="262"/>
      <c r="AS241" s="262"/>
      <c r="AT241" s="262"/>
      <c r="AU241" s="262"/>
      <c r="AV241" s="262"/>
      <c r="AW241" s="262"/>
      <c r="AX241" s="262"/>
      <c r="AY241" s="262"/>
      <c r="AZ241" s="262"/>
      <c r="BA241" s="262"/>
      <c r="BB241" s="262"/>
      <c r="BC241" s="262"/>
      <c r="BD241" s="262"/>
      <c r="BE241" s="262"/>
      <c r="BF241" s="262"/>
      <c r="BG241" s="262"/>
      <c r="BH241" s="262"/>
      <c r="BI241" s="262"/>
      <c r="BJ241" s="262"/>
      <c r="BK241" s="262"/>
      <c r="BL241" s="262"/>
      <c r="BM241" s="262"/>
      <c r="BN241" s="262"/>
      <c r="BO241" s="262"/>
      <c r="BP241" s="262"/>
      <c r="BQ241" s="262"/>
      <c r="BR241" s="262"/>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row>
    <row r="242" spans="1:175" x14ac:dyDescent="0.25">
      <c r="A242" s="332"/>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262"/>
      <c r="AE242" s="262"/>
      <c r="AF242" s="262"/>
      <c r="AG242" s="262"/>
      <c r="AH242" s="262"/>
      <c r="AI242" s="262"/>
      <c r="AJ242" s="262"/>
      <c r="AK242" s="262"/>
      <c r="AL242" s="262"/>
      <c r="AM242" s="262"/>
      <c r="AN242" s="262"/>
      <c r="AO242" s="262"/>
      <c r="AP242" s="262"/>
      <c r="AQ242" s="262"/>
      <c r="AR242" s="262"/>
      <c r="AS242" s="262"/>
      <c r="AT242" s="262"/>
      <c r="AU242" s="262"/>
      <c r="AV242" s="262"/>
      <c r="AW242" s="262"/>
      <c r="AX242" s="262"/>
      <c r="AY242" s="262"/>
      <c r="AZ242" s="262"/>
      <c r="BA242" s="262"/>
      <c r="BB242" s="262"/>
      <c r="BC242" s="262"/>
      <c r="BD242" s="262"/>
      <c r="BE242" s="262"/>
      <c r="BF242" s="262"/>
      <c r="BG242" s="262"/>
      <c r="BH242" s="262"/>
      <c r="BI242" s="262"/>
      <c r="BJ242" s="262"/>
      <c r="BK242" s="262"/>
      <c r="BL242" s="262"/>
      <c r="BM242" s="262"/>
      <c r="BN242" s="262"/>
      <c r="BO242" s="262"/>
      <c r="BP242" s="262"/>
      <c r="BQ242" s="262"/>
      <c r="BR242" s="262"/>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row>
    <row r="243" spans="1:175" x14ac:dyDescent="0.25">
      <c r="A243" s="332"/>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c r="AA243" s="262"/>
      <c r="AB243" s="262"/>
      <c r="AC243" s="262"/>
      <c r="AD243" s="262"/>
      <c r="AE243" s="262"/>
      <c r="AF243" s="262"/>
      <c r="AG243" s="262"/>
      <c r="AH243" s="262"/>
      <c r="AI243" s="262"/>
      <c r="AJ243" s="262"/>
      <c r="AK243" s="262"/>
      <c r="AL243" s="262"/>
      <c r="AM243" s="262"/>
      <c r="AN243" s="262"/>
      <c r="AO243" s="262"/>
      <c r="AP243" s="262"/>
      <c r="AQ243" s="262"/>
      <c r="AR243" s="262"/>
      <c r="AS243" s="262"/>
      <c r="AT243" s="262"/>
      <c r="AU243" s="262"/>
      <c r="AV243" s="262"/>
      <c r="AW243" s="262"/>
      <c r="AX243" s="262"/>
      <c r="AY243" s="262"/>
      <c r="AZ243" s="262"/>
      <c r="BA243" s="262"/>
      <c r="BB243" s="262"/>
      <c r="BC243" s="262"/>
      <c r="BD243" s="262"/>
      <c r="BE243" s="262"/>
      <c r="BF243" s="262"/>
      <c r="BG243" s="262"/>
      <c r="BH243" s="262"/>
      <c r="BI243" s="262"/>
      <c r="BJ243" s="262"/>
      <c r="BK243" s="262"/>
      <c r="BL243" s="262"/>
      <c r="BM243" s="262"/>
      <c r="BN243" s="262"/>
      <c r="BO243" s="262"/>
      <c r="BP243" s="262"/>
      <c r="BQ243" s="262"/>
      <c r="BR243" s="262"/>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row>
    <row r="244" spans="1:175" x14ac:dyDescent="0.25">
      <c r="A244" s="332"/>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c r="Z244" s="262"/>
      <c r="AA244" s="262"/>
      <c r="AB244" s="262"/>
      <c r="AC244" s="262"/>
      <c r="AD244" s="262"/>
      <c r="AE244" s="262"/>
      <c r="AF244" s="262"/>
      <c r="AG244" s="262"/>
      <c r="AH244" s="262"/>
      <c r="AI244" s="262"/>
      <c r="AJ244" s="262"/>
      <c r="AK244" s="262"/>
      <c r="AL244" s="262"/>
      <c r="AM244" s="262"/>
      <c r="AN244" s="262"/>
      <c r="AO244" s="262"/>
      <c r="AP244" s="262"/>
      <c r="AQ244" s="262"/>
      <c r="AR244" s="262"/>
      <c r="AS244" s="262"/>
      <c r="AT244" s="262"/>
      <c r="AU244" s="262"/>
      <c r="AV244" s="262"/>
      <c r="AW244" s="262"/>
      <c r="AX244" s="262"/>
      <c r="AY244" s="262"/>
      <c r="AZ244" s="262"/>
      <c r="BA244" s="262"/>
      <c r="BB244" s="262"/>
      <c r="BC244" s="262"/>
      <c r="BD244" s="262"/>
      <c r="BE244" s="262"/>
      <c r="BF244" s="262"/>
      <c r="BG244" s="262"/>
      <c r="BH244" s="262"/>
      <c r="BI244" s="262"/>
      <c r="BJ244" s="262"/>
      <c r="BK244" s="262"/>
      <c r="BL244" s="262"/>
      <c r="BM244" s="262"/>
      <c r="BN244" s="262"/>
      <c r="BO244" s="262"/>
      <c r="BP244" s="262"/>
      <c r="BQ244" s="262"/>
      <c r="BR244" s="262"/>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row>
    <row r="245" spans="1:175" x14ac:dyDescent="0.25">
      <c r="A245" s="332"/>
      <c r="B245" s="262"/>
      <c r="C245" s="262"/>
      <c r="D245" s="262"/>
      <c r="E245" s="262"/>
      <c r="F245" s="262"/>
      <c r="G245" s="262"/>
      <c r="H245" s="262"/>
      <c r="I245" s="262"/>
      <c r="J245" s="262"/>
      <c r="K245" s="262"/>
      <c r="L245" s="262"/>
      <c r="M245" s="262"/>
      <c r="N245" s="262"/>
      <c r="O245" s="262"/>
      <c r="P245" s="262"/>
      <c r="Q245" s="262"/>
      <c r="R245" s="262"/>
      <c r="S245" s="262"/>
      <c r="T245" s="262"/>
      <c r="U245" s="262"/>
      <c r="V245" s="262"/>
      <c r="W245" s="262"/>
      <c r="X245" s="262"/>
      <c r="Y245" s="262"/>
      <c r="Z245" s="262"/>
      <c r="AA245" s="262"/>
      <c r="AB245" s="262"/>
      <c r="AC245" s="262"/>
      <c r="AD245" s="262"/>
      <c r="AE245" s="262"/>
      <c r="AF245" s="262"/>
      <c r="AG245" s="262"/>
      <c r="AH245" s="262"/>
      <c r="AI245" s="262"/>
      <c r="AJ245" s="262"/>
      <c r="AK245" s="262"/>
      <c r="AL245" s="262"/>
      <c r="AM245" s="262"/>
      <c r="AN245" s="262"/>
      <c r="AO245" s="262"/>
      <c r="AP245" s="262"/>
      <c r="AQ245" s="262"/>
      <c r="AR245" s="262"/>
      <c r="AS245" s="262"/>
      <c r="AT245" s="262"/>
      <c r="AU245" s="262"/>
      <c r="AV245" s="262"/>
      <c r="AW245" s="262"/>
      <c r="AX245" s="262"/>
      <c r="AY245" s="262"/>
      <c r="AZ245" s="262"/>
      <c r="BA245" s="262"/>
      <c r="BB245" s="262"/>
      <c r="BC245" s="262"/>
      <c r="BD245" s="262"/>
      <c r="BE245" s="262"/>
      <c r="BF245" s="262"/>
      <c r="BG245" s="262"/>
      <c r="BH245" s="262"/>
      <c r="BI245" s="262"/>
      <c r="BJ245" s="262"/>
      <c r="BK245" s="262"/>
      <c r="BL245" s="262"/>
      <c r="BM245" s="262"/>
      <c r="BN245" s="262"/>
      <c r="BO245" s="262"/>
      <c r="BP245" s="262"/>
      <c r="BQ245" s="262"/>
      <c r="BR245" s="262"/>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row>
    <row r="246" spans="1:175" x14ac:dyDescent="0.25">
      <c r="A246" s="332"/>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c r="Z246" s="262"/>
      <c r="AA246" s="262"/>
      <c r="AB246" s="262"/>
      <c r="AC246" s="262"/>
      <c r="AD246" s="262"/>
      <c r="AE246" s="262"/>
      <c r="AF246" s="262"/>
      <c r="AG246" s="262"/>
      <c r="AH246" s="262"/>
      <c r="AI246" s="262"/>
      <c r="AJ246" s="262"/>
      <c r="AK246" s="262"/>
      <c r="AL246" s="262"/>
      <c r="AM246" s="262"/>
      <c r="AN246" s="262"/>
      <c r="AO246" s="262"/>
      <c r="AP246" s="262"/>
      <c r="AQ246" s="262"/>
      <c r="AR246" s="262"/>
      <c r="AS246" s="262"/>
      <c r="AT246" s="262"/>
      <c r="AU246" s="262"/>
      <c r="AV246" s="262"/>
      <c r="AW246" s="262"/>
      <c r="AX246" s="262"/>
      <c r="AY246" s="262"/>
      <c r="AZ246" s="262"/>
      <c r="BA246" s="262"/>
      <c r="BB246" s="262"/>
      <c r="BC246" s="262"/>
      <c r="BD246" s="262"/>
      <c r="BE246" s="262"/>
      <c r="BF246" s="262"/>
      <c r="BG246" s="262"/>
      <c r="BH246" s="262"/>
      <c r="BI246" s="262"/>
      <c r="BJ246" s="262"/>
      <c r="BK246" s="262"/>
      <c r="BL246" s="262"/>
      <c r="BM246" s="262"/>
      <c r="BN246" s="262"/>
      <c r="BO246" s="262"/>
      <c r="BP246" s="262"/>
      <c r="BQ246" s="262"/>
      <c r="BR246" s="262"/>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row>
    <row r="247" spans="1:175" x14ac:dyDescent="0.25">
      <c r="A247" s="332"/>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262"/>
      <c r="AE247" s="262"/>
      <c r="AF247" s="262"/>
      <c r="AG247" s="262"/>
      <c r="AH247" s="262"/>
      <c r="AI247" s="262"/>
      <c r="AJ247" s="262"/>
      <c r="AK247" s="262"/>
      <c r="AL247" s="262"/>
      <c r="AM247" s="262"/>
      <c r="AN247" s="262"/>
      <c r="AO247" s="262"/>
      <c r="AP247" s="262"/>
      <c r="AQ247" s="262"/>
      <c r="AR247" s="262"/>
      <c r="AS247" s="262"/>
      <c r="AT247" s="262"/>
      <c r="AU247" s="262"/>
      <c r="AV247" s="262"/>
      <c r="AW247" s="262"/>
      <c r="AX247" s="262"/>
      <c r="AY247" s="262"/>
      <c r="AZ247" s="262"/>
      <c r="BA247" s="262"/>
      <c r="BB247" s="262"/>
      <c r="BC247" s="262"/>
      <c r="BD247" s="262"/>
      <c r="BE247" s="262"/>
      <c r="BF247" s="262"/>
      <c r="BG247" s="262"/>
      <c r="BH247" s="262"/>
      <c r="BI247" s="262"/>
      <c r="BJ247" s="262"/>
      <c r="BK247" s="262"/>
      <c r="BL247" s="262"/>
      <c r="BM247" s="262"/>
      <c r="BN247" s="262"/>
      <c r="BO247" s="262"/>
      <c r="BP247" s="262"/>
      <c r="BQ247" s="262"/>
      <c r="BR247" s="262"/>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row>
    <row r="248" spans="1:175" x14ac:dyDescent="0.25">
      <c r="A248" s="332"/>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c r="AF248" s="262"/>
      <c r="AG248" s="262"/>
      <c r="AH248" s="262"/>
      <c r="AI248" s="262"/>
      <c r="AJ248" s="262"/>
      <c r="AK248" s="262"/>
      <c r="AL248" s="262"/>
      <c r="AM248" s="262"/>
      <c r="AN248" s="262"/>
      <c r="AO248" s="262"/>
      <c r="AP248" s="262"/>
      <c r="AQ248" s="262"/>
      <c r="AR248" s="262"/>
      <c r="AS248" s="262"/>
      <c r="AT248" s="262"/>
      <c r="AU248" s="262"/>
      <c r="AV248" s="262"/>
      <c r="AW248" s="262"/>
      <c r="AX248" s="262"/>
      <c r="AY248" s="262"/>
      <c r="AZ248" s="262"/>
      <c r="BA248" s="262"/>
      <c r="BB248" s="262"/>
      <c r="BC248" s="262"/>
      <c r="BD248" s="262"/>
      <c r="BE248" s="262"/>
      <c r="BF248" s="262"/>
      <c r="BG248" s="262"/>
      <c r="BH248" s="262"/>
      <c r="BI248" s="262"/>
      <c r="BJ248" s="262"/>
      <c r="BK248" s="262"/>
      <c r="BL248" s="262"/>
      <c r="BM248" s="262"/>
      <c r="BN248" s="262"/>
      <c r="BO248" s="262"/>
      <c r="BP248" s="262"/>
      <c r="BQ248" s="262"/>
      <c r="BR248" s="262"/>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row>
    <row r="249" spans="1:175" x14ac:dyDescent="0.25">
      <c r="A249" s="332"/>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262"/>
      <c r="AE249" s="262"/>
      <c r="AF249" s="262"/>
      <c r="AG249" s="262"/>
      <c r="AH249" s="262"/>
      <c r="AI249" s="262"/>
      <c r="AJ249" s="262"/>
      <c r="AK249" s="262"/>
      <c r="AL249" s="262"/>
      <c r="AM249" s="262"/>
      <c r="AN249" s="262"/>
      <c r="AO249" s="262"/>
      <c r="AP249" s="262"/>
      <c r="AQ249" s="262"/>
      <c r="AR249" s="262"/>
      <c r="AS249" s="262"/>
      <c r="AT249" s="262"/>
      <c r="AU249" s="262"/>
      <c r="AV249" s="262"/>
      <c r="AW249" s="262"/>
      <c r="AX249" s="262"/>
      <c r="AY249" s="262"/>
      <c r="AZ249" s="262"/>
      <c r="BA249" s="262"/>
      <c r="BB249" s="262"/>
      <c r="BC249" s="262"/>
      <c r="BD249" s="262"/>
      <c r="BE249" s="262"/>
      <c r="BF249" s="262"/>
      <c r="BG249" s="262"/>
      <c r="BH249" s="262"/>
      <c r="BI249" s="262"/>
      <c r="BJ249" s="262"/>
      <c r="BK249" s="262"/>
      <c r="BL249" s="262"/>
      <c r="BM249" s="262"/>
      <c r="BN249" s="262"/>
      <c r="BO249" s="262"/>
      <c r="BP249" s="262"/>
      <c r="BQ249" s="262"/>
      <c r="BR249" s="262"/>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row>
    <row r="250" spans="1:175" x14ac:dyDescent="0.25">
      <c r="A250" s="332"/>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262"/>
      <c r="AE250" s="262"/>
      <c r="AF250" s="262"/>
      <c r="AG250" s="262"/>
      <c r="AH250" s="262"/>
      <c r="AI250" s="262"/>
      <c r="AJ250" s="262"/>
      <c r="AK250" s="262"/>
      <c r="AL250" s="262"/>
      <c r="AM250" s="262"/>
      <c r="AN250" s="262"/>
      <c r="AO250" s="262"/>
      <c r="AP250" s="262"/>
      <c r="AQ250" s="262"/>
      <c r="AR250" s="262"/>
      <c r="AS250" s="262"/>
      <c r="AT250" s="262"/>
      <c r="AU250" s="262"/>
      <c r="AV250" s="262"/>
      <c r="AW250" s="262"/>
      <c r="AX250" s="262"/>
      <c r="AY250" s="262"/>
      <c r="AZ250" s="262"/>
      <c r="BA250" s="262"/>
      <c r="BB250" s="262"/>
      <c r="BC250" s="262"/>
      <c r="BD250" s="262"/>
      <c r="BE250" s="262"/>
      <c r="BF250" s="262"/>
      <c r="BG250" s="262"/>
      <c r="BH250" s="262"/>
      <c r="BI250" s="262"/>
      <c r="BJ250" s="262"/>
      <c r="BK250" s="262"/>
      <c r="BL250" s="262"/>
      <c r="BM250" s="262"/>
      <c r="BN250" s="262"/>
      <c r="BO250" s="262"/>
      <c r="BP250" s="262"/>
      <c r="BQ250" s="262"/>
      <c r="BR250" s="262"/>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row>
    <row r="251" spans="1:175" x14ac:dyDescent="0.25">
      <c r="A251" s="332"/>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262"/>
      <c r="AE251" s="262"/>
      <c r="AF251" s="262"/>
      <c r="AG251" s="262"/>
      <c r="AH251" s="262"/>
      <c r="AI251" s="262"/>
      <c r="AJ251" s="262"/>
      <c r="AK251" s="262"/>
      <c r="AL251" s="262"/>
      <c r="AM251" s="262"/>
      <c r="AN251" s="262"/>
      <c r="AO251" s="262"/>
      <c r="AP251" s="262"/>
      <c r="AQ251" s="262"/>
      <c r="AR251" s="262"/>
      <c r="AS251" s="262"/>
      <c r="AT251" s="262"/>
      <c r="AU251" s="262"/>
      <c r="AV251" s="262"/>
      <c r="AW251" s="262"/>
      <c r="AX251" s="262"/>
      <c r="AY251" s="262"/>
      <c r="AZ251" s="262"/>
      <c r="BA251" s="262"/>
      <c r="BB251" s="262"/>
      <c r="BC251" s="262"/>
      <c r="BD251" s="262"/>
      <c r="BE251" s="262"/>
      <c r="BF251" s="262"/>
      <c r="BG251" s="262"/>
      <c r="BH251" s="262"/>
      <c r="BI251" s="262"/>
      <c r="BJ251" s="262"/>
      <c r="BK251" s="262"/>
      <c r="BL251" s="262"/>
      <c r="BM251" s="262"/>
      <c r="BN251" s="262"/>
      <c r="BO251" s="262"/>
      <c r="BP251" s="262"/>
      <c r="BQ251" s="262"/>
      <c r="BR251" s="262"/>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row>
    <row r="252" spans="1:175" x14ac:dyDescent="0.25">
      <c r="A252" s="332"/>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c r="AA252" s="262"/>
      <c r="AB252" s="262"/>
      <c r="AC252" s="262"/>
      <c r="AD252" s="262"/>
      <c r="AE252" s="262"/>
      <c r="AF252" s="262"/>
      <c r="AG252" s="262"/>
      <c r="AH252" s="262"/>
      <c r="AI252" s="262"/>
      <c r="AJ252" s="262"/>
      <c r="AK252" s="262"/>
      <c r="AL252" s="262"/>
      <c r="AM252" s="262"/>
      <c r="AN252" s="262"/>
      <c r="AO252" s="262"/>
      <c r="AP252" s="262"/>
      <c r="AQ252" s="262"/>
      <c r="AR252" s="262"/>
      <c r="AS252" s="262"/>
      <c r="AT252" s="262"/>
      <c r="AU252" s="262"/>
      <c r="AV252" s="262"/>
      <c r="AW252" s="262"/>
      <c r="AX252" s="262"/>
      <c r="AY252" s="262"/>
      <c r="AZ252" s="262"/>
      <c r="BA252" s="262"/>
      <c r="BB252" s="262"/>
      <c r="BC252" s="262"/>
      <c r="BD252" s="262"/>
      <c r="BE252" s="262"/>
      <c r="BF252" s="262"/>
      <c r="BG252" s="262"/>
      <c r="BH252" s="262"/>
      <c r="BI252" s="262"/>
      <c r="BJ252" s="262"/>
      <c r="BK252" s="262"/>
      <c r="BL252" s="262"/>
      <c r="BM252" s="262"/>
      <c r="BN252" s="262"/>
      <c r="BO252" s="262"/>
      <c r="BP252" s="262"/>
      <c r="BQ252" s="262"/>
      <c r="BR252" s="262"/>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row>
    <row r="253" spans="1:175" x14ac:dyDescent="0.25">
      <c r="A253" s="332"/>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c r="AA253" s="262"/>
      <c r="AB253" s="262"/>
      <c r="AC253" s="262"/>
      <c r="AD253" s="262"/>
      <c r="AE253" s="262"/>
      <c r="AF253" s="262"/>
      <c r="AG253" s="262"/>
      <c r="AH253" s="262"/>
      <c r="AI253" s="262"/>
      <c r="AJ253" s="262"/>
      <c r="AK253" s="262"/>
      <c r="AL253" s="262"/>
      <c r="AM253" s="262"/>
      <c r="AN253" s="262"/>
      <c r="AO253" s="262"/>
      <c r="AP253" s="262"/>
      <c r="AQ253" s="262"/>
      <c r="AR253" s="262"/>
      <c r="AS253" s="262"/>
      <c r="AT253" s="262"/>
      <c r="AU253" s="262"/>
      <c r="AV253" s="262"/>
      <c r="AW253" s="262"/>
      <c r="AX253" s="262"/>
      <c r="AY253" s="262"/>
      <c r="AZ253" s="262"/>
      <c r="BA253" s="262"/>
      <c r="BB253" s="262"/>
      <c r="BC253" s="262"/>
      <c r="BD253" s="262"/>
      <c r="BE253" s="262"/>
      <c r="BF253" s="262"/>
      <c r="BG253" s="262"/>
      <c r="BH253" s="262"/>
      <c r="BI253" s="262"/>
      <c r="BJ253" s="262"/>
      <c r="BK253" s="262"/>
      <c r="BL253" s="262"/>
      <c r="BM253" s="262"/>
      <c r="BN253" s="262"/>
      <c r="BO253" s="262"/>
      <c r="BP253" s="262"/>
      <c r="BQ253" s="262"/>
      <c r="BR253" s="262"/>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row>
    <row r="254" spans="1:175" x14ac:dyDescent="0.25">
      <c r="A254" s="332"/>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c r="Z254" s="262"/>
      <c r="AA254" s="262"/>
      <c r="AB254" s="262"/>
      <c r="AC254" s="262"/>
      <c r="AD254" s="262"/>
      <c r="AE254" s="262"/>
      <c r="AF254" s="262"/>
      <c r="AG254" s="262"/>
      <c r="AH254" s="262"/>
      <c r="AI254" s="262"/>
      <c r="AJ254" s="262"/>
      <c r="AK254" s="262"/>
      <c r="AL254" s="262"/>
      <c r="AM254" s="262"/>
      <c r="AN254" s="262"/>
      <c r="AO254" s="262"/>
      <c r="AP254" s="262"/>
      <c r="AQ254" s="262"/>
      <c r="AR254" s="262"/>
      <c r="AS254" s="262"/>
      <c r="AT254" s="262"/>
      <c r="AU254" s="262"/>
      <c r="AV254" s="262"/>
      <c r="AW254" s="262"/>
      <c r="AX254" s="262"/>
      <c r="AY254" s="262"/>
      <c r="AZ254" s="262"/>
      <c r="BA254" s="262"/>
      <c r="BB254" s="262"/>
      <c r="BC254" s="262"/>
      <c r="BD254" s="262"/>
      <c r="BE254" s="262"/>
      <c r="BF254" s="262"/>
      <c r="BG254" s="262"/>
      <c r="BH254" s="262"/>
      <c r="BI254" s="262"/>
      <c r="BJ254" s="262"/>
      <c r="BK254" s="262"/>
      <c r="BL254" s="262"/>
      <c r="BM254" s="262"/>
      <c r="BN254" s="262"/>
      <c r="BO254" s="262"/>
      <c r="BP254" s="262"/>
      <c r="BQ254" s="262"/>
      <c r="BR254" s="262"/>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row>
    <row r="255" spans="1:175" x14ac:dyDescent="0.25">
      <c r="A255" s="332"/>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c r="Z255" s="262"/>
      <c r="AA255" s="262"/>
      <c r="AB255" s="262"/>
      <c r="AC255" s="262"/>
      <c r="AD255" s="262"/>
      <c r="AE255" s="262"/>
      <c r="AF255" s="262"/>
      <c r="AG255" s="262"/>
      <c r="AH255" s="262"/>
      <c r="AI255" s="262"/>
      <c r="AJ255" s="262"/>
      <c r="AK255" s="262"/>
      <c r="AL255" s="262"/>
      <c r="AM255" s="262"/>
      <c r="AN255" s="262"/>
      <c r="AO255" s="262"/>
      <c r="AP255" s="262"/>
      <c r="AQ255" s="262"/>
      <c r="AR255" s="262"/>
      <c r="AS255" s="262"/>
      <c r="AT255" s="262"/>
      <c r="AU255" s="262"/>
      <c r="AV255" s="262"/>
      <c r="AW255" s="262"/>
      <c r="AX255" s="262"/>
      <c r="AY255" s="262"/>
      <c r="AZ255" s="262"/>
      <c r="BA255" s="262"/>
      <c r="BB255" s="262"/>
      <c r="BC255" s="262"/>
      <c r="BD255" s="262"/>
      <c r="BE255" s="262"/>
      <c r="BF255" s="262"/>
      <c r="BG255" s="262"/>
      <c r="BH255" s="262"/>
      <c r="BI255" s="262"/>
      <c r="BJ255" s="262"/>
      <c r="BK255" s="262"/>
      <c r="BL255" s="262"/>
      <c r="BM255" s="262"/>
      <c r="BN255" s="262"/>
      <c r="BO255" s="262"/>
      <c r="BP255" s="262"/>
      <c r="BQ255" s="262"/>
      <c r="BR255" s="262"/>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row>
    <row r="256" spans="1:175" x14ac:dyDescent="0.25">
      <c r="A256" s="332"/>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c r="Z256" s="262"/>
      <c r="AA256" s="262"/>
      <c r="AB256" s="262"/>
      <c r="AC256" s="262"/>
      <c r="AD256" s="262"/>
      <c r="AE256" s="262"/>
      <c r="AF256" s="262"/>
      <c r="AG256" s="262"/>
      <c r="AH256" s="262"/>
      <c r="AI256" s="262"/>
      <c r="AJ256" s="262"/>
      <c r="AK256" s="262"/>
      <c r="AL256" s="262"/>
      <c r="AM256" s="262"/>
      <c r="AN256" s="262"/>
      <c r="AO256" s="262"/>
      <c r="AP256" s="262"/>
      <c r="AQ256" s="262"/>
      <c r="AR256" s="262"/>
      <c r="AS256" s="262"/>
      <c r="AT256" s="262"/>
      <c r="AU256" s="262"/>
      <c r="AV256" s="262"/>
      <c r="AW256" s="262"/>
      <c r="AX256" s="262"/>
      <c r="AY256" s="262"/>
      <c r="AZ256" s="262"/>
      <c r="BA256" s="262"/>
      <c r="BB256" s="262"/>
      <c r="BC256" s="262"/>
      <c r="BD256" s="262"/>
      <c r="BE256" s="262"/>
      <c r="BF256" s="262"/>
      <c r="BG256" s="262"/>
      <c r="BH256" s="262"/>
      <c r="BI256" s="262"/>
      <c r="BJ256" s="262"/>
      <c r="BK256" s="262"/>
      <c r="BL256" s="262"/>
      <c r="BM256" s="262"/>
      <c r="BN256" s="262"/>
      <c r="BO256" s="262"/>
      <c r="BP256" s="262"/>
      <c r="BQ256" s="262"/>
      <c r="BR256" s="262"/>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row>
    <row r="257" spans="1:175" x14ac:dyDescent="0.25">
      <c r="A257" s="332"/>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c r="Z257" s="262"/>
      <c r="AA257" s="262"/>
      <c r="AB257" s="262"/>
      <c r="AC257" s="262"/>
      <c r="AD257" s="262"/>
      <c r="AE257" s="262"/>
      <c r="AF257" s="262"/>
      <c r="AG257" s="262"/>
      <c r="AH257" s="262"/>
      <c r="AI257" s="262"/>
      <c r="AJ257" s="262"/>
      <c r="AK257" s="262"/>
      <c r="AL257" s="262"/>
      <c r="AM257" s="262"/>
      <c r="AN257" s="262"/>
      <c r="AO257" s="262"/>
      <c r="AP257" s="262"/>
      <c r="AQ257" s="262"/>
      <c r="AR257" s="262"/>
      <c r="AS257" s="262"/>
      <c r="AT257" s="262"/>
      <c r="AU257" s="262"/>
      <c r="AV257" s="262"/>
      <c r="AW257" s="262"/>
      <c r="AX257" s="262"/>
      <c r="AY257" s="262"/>
      <c r="AZ257" s="262"/>
      <c r="BA257" s="262"/>
      <c r="BB257" s="262"/>
      <c r="BC257" s="262"/>
      <c r="BD257" s="262"/>
      <c r="BE257" s="262"/>
      <c r="BF257" s="262"/>
      <c r="BG257" s="262"/>
      <c r="BH257" s="262"/>
      <c r="BI257" s="262"/>
      <c r="BJ257" s="262"/>
      <c r="BK257" s="262"/>
      <c r="BL257" s="262"/>
      <c r="BM257" s="262"/>
      <c r="BN257" s="262"/>
      <c r="BO257" s="262"/>
      <c r="BP257" s="262"/>
      <c r="BQ257" s="262"/>
      <c r="BR257" s="262"/>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c r="FN257" s="7"/>
      <c r="FO257" s="7"/>
      <c r="FP257" s="7"/>
      <c r="FQ257" s="7"/>
      <c r="FR257" s="7"/>
      <c r="FS257" s="7"/>
    </row>
    <row r="258" spans="1:175" x14ac:dyDescent="0.25">
      <c r="A258" s="332"/>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c r="Z258" s="262"/>
      <c r="AA258" s="262"/>
      <c r="AB258" s="262"/>
      <c r="AC258" s="262"/>
      <c r="AD258" s="262"/>
      <c r="AE258" s="262"/>
      <c r="AF258" s="262"/>
      <c r="AG258" s="262"/>
      <c r="AH258" s="262"/>
      <c r="AI258" s="262"/>
      <c r="AJ258" s="262"/>
      <c r="AK258" s="262"/>
      <c r="AL258" s="262"/>
      <c r="AM258" s="262"/>
      <c r="AN258" s="262"/>
      <c r="AO258" s="262"/>
      <c r="AP258" s="262"/>
      <c r="AQ258" s="262"/>
      <c r="AR258" s="262"/>
      <c r="AS258" s="262"/>
      <c r="AT258" s="262"/>
      <c r="AU258" s="262"/>
      <c r="AV258" s="262"/>
      <c r="AW258" s="262"/>
      <c r="AX258" s="262"/>
      <c r="AY258" s="262"/>
      <c r="AZ258" s="262"/>
      <c r="BA258" s="262"/>
      <c r="BB258" s="262"/>
      <c r="BC258" s="262"/>
      <c r="BD258" s="262"/>
      <c r="BE258" s="262"/>
      <c r="BF258" s="262"/>
      <c r="BG258" s="262"/>
      <c r="BH258" s="262"/>
      <c r="BI258" s="262"/>
      <c r="BJ258" s="262"/>
      <c r="BK258" s="262"/>
      <c r="BL258" s="262"/>
      <c r="BM258" s="262"/>
      <c r="BN258" s="262"/>
      <c r="BO258" s="262"/>
      <c r="BP258" s="262"/>
      <c r="BQ258" s="262"/>
      <c r="BR258" s="262"/>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c r="FN258" s="7"/>
      <c r="FO258" s="7"/>
      <c r="FP258" s="7"/>
      <c r="FQ258" s="7"/>
      <c r="FR258" s="7"/>
      <c r="FS258" s="7"/>
    </row>
    <row r="259" spans="1:175" x14ac:dyDescent="0.25">
      <c r="A259" s="332"/>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c r="Z259" s="262"/>
      <c r="AA259" s="262"/>
      <c r="AB259" s="262"/>
      <c r="AC259" s="262"/>
      <c r="AD259" s="262"/>
      <c r="AE259" s="262"/>
      <c r="AF259" s="262"/>
      <c r="AG259" s="262"/>
      <c r="AH259" s="262"/>
      <c r="AI259" s="262"/>
      <c r="AJ259" s="262"/>
      <c r="AK259" s="262"/>
      <c r="AL259" s="262"/>
      <c r="AM259" s="262"/>
      <c r="AN259" s="262"/>
      <c r="AO259" s="262"/>
      <c r="AP259" s="262"/>
      <c r="AQ259" s="262"/>
      <c r="AR259" s="262"/>
      <c r="AS259" s="262"/>
      <c r="AT259" s="262"/>
      <c r="AU259" s="262"/>
      <c r="AV259" s="262"/>
      <c r="AW259" s="262"/>
      <c r="AX259" s="262"/>
      <c r="AY259" s="262"/>
      <c r="AZ259" s="262"/>
      <c r="BA259" s="262"/>
      <c r="BB259" s="262"/>
      <c r="BC259" s="262"/>
      <c r="BD259" s="262"/>
      <c r="BE259" s="262"/>
      <c r="BF259" s="262"/>
      <c r="BG259" s="262"/>
      <c r="BH259" s="262"/>
      <c r="BI259" s="262"/>
      <c r="BJ259" s="262"/>
      <c r="BK259" s="262"/>
      <c r="BL259" s="262"/>
      <c r="BM259" s="262"/>
      <c r="BN259" s="262"/>
      <c r="BO259" s="262"/>
      <c r="BP259" s="262"/>
      <c r="BQ259" s="262"/>
      <c r="BR259" s="262"/>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c r="FQ259" s="7"/>
      <c r="FR259" s="7"/>
      <c r="FS259" s="7"/>
    </row>
    <row r="260" spans="1:175" x14ac:dyDescent="0.25">
      <c r="A260" s="332"/>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262"/>
      <c r="AE260" s="262"/>
      <c r="AF260" s="262"/>
      <c r="AG260" s="262"/>
      <c r="AH260" s="262"/>
      <c r="AI260" s="262"/>
      <c r="AJ260" s="262"/>
      <c r="AK260" s="262"/>
      <c r="AL260" s="262"/>
      <c r="AM260" s="262"/>
      <c r="AN260" s="262"/>
      <c r="AO260" s="262"/>
      <c r="AP260" s="262"/>
      <c r="AQ260" s="262"/>
      <c r="AR260" s="262"/>
      <c r="AS260" s="262"/>
      <c r="AT260" s="262"/>
      <c r="AU260" s="262"/>
      <c r="AV260" s="262"/>
      <c r="AW260" s="262"/>
      <c r="AX260" s="262"/>
      <c r="AY260" s="262"/>
      <c r="AZ260" s="262"/>
      <c r="BA260" s="262"/>
      <c r="BB260" s="262"/>
      <c r="BC260" s="262"/>
      <c r="BD260" s="262"/>
      <c r="BE260" s="262"/>
      <c r="BF260" s="262"/>
      <c r="BG260" s="262"/>
      <c r="BH260" s="262"/>
      <c r="BI260" s="262"/>
      <c r="BJ260" s="262"/>
      <c r="BK260" s="262"/>
      <c r="BL260" s="262"/>
      <c r="BM260" s="262"/>
      <c r="BN260" s="262"/>
      <c r="BO260" s="262"/>
      <c r="BP260" s="262"/>
      <c r="BQ260" s="262"/>
      <c r="BR260" s="262"/>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row>
    <row r="261" spans="1:175" x14ac:dyDescent="0.25">
      <c r="A261" s="332"/>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262"/>
      <c r="AE261" s="262"/>
      <c r="AF261" s="262"/>
      <c r="AG261" s="262"/>
      <c r="AH261" s="262"/>
      <c r="AI261" s="262"/>
      <c r="AJ261" s="262"/>
      <c r="AK261" s="262"/>
      <c r="AL261" s="262"/>
      <c r="AM261" s="262"/>
      <c r="AN261" s="262"/>
      <c r="AO261" s="262"/>
      <c r="AP261" s="262"/>
      <c r="AQ261" s="262"/>
      <c r="AR261" s="262"/>
      <c r="AS261" s="262"/>
      <c r="AT261" s="262"/>
      <c r="AU261" s="262"/>
      <c r="AV261" s="262"/>
      <c r="AW261" s="262"/>
      <c r="AX261" s="262"/>
      <c r="AY261" s="262"/>
      <c r="AZ261" s="262"/>
      <c r="BA261" s="262"/>
      <c r="BB261" s="262"/>
      <c r="BC261" s="262"/>
      <c r="BD261" s="262"/>
      <c r="BE261" s="262"/>
      <c r="BF261" s="262"/>
      <c r="BG261" s="262"/>
      <c r="BH261" s="262"/>
      <c r="BI261" s="262"/>
      <c r="BJ261" s="262"/>
      <c r="BK261" s="262"/>
      <c r="BL261" s="262"/>
      <c r="BM261" s="262"/>
      <c r="BN261" s="262"/>
      <c r="BO261" s="262"/>
      <c r="BP261" s="262"/>
      <c r="BQ261" s="262"/>
      <c r="BR261" s="262"/>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row>
    <row r="262" spans="1:175" x14ac:dyDescent="0.25">
      <c r="A262" s="332"/>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262"/>
      <c r="AE262" s="262"/>
      <c r="AF262" s="262"/>
      <c r="AG262" s="262"/>
      <c r="AH262" s="262"/>
      <c r="AI262" s="262"/>
      <c r="AJ262" s="262"/>
      <c r="AK262" s="262"/>
      <c r="AL262" s="262"/>
      <c r="AM262" s="262"/>
      <c r="AN262" s="262"/>
      <c r="AO262" s="262"/>
      <c r="AP262" s="262"/>
      <c r="AQ262" s="262"/>
      <c r="AR262" s="262"/>
      <c r="AS262" s="262"/>
      <c r="AT262" s="262"/>
      <c r="AU262" s="262"/>
      <c r="AV262" s="262"/>
      <c r="AW262" s="262"/>
      <c r="AX262" s="262"/>
      <c r="AY262" s="262"/>
      <c r="AZ262" s="262"/>
      <c r="BA262" s="262"/>
      <c r="BB262" s="262"/>
      <c r="BC262" s="262"/>
      <c r="BD262" s="262"/>
      <c r="BE262" s="262"/>
      <c r="BF262" s="262"/>
      <c r="BG262" s="262"/>
      <c r="BH262" s="262"/>
      <c r="BI262" s="262"/>
      <c r="BJ262" s="262"/>
      <c r="BK262" s="262"/>
      <c r="BL262" s="262"/>
      <c r="BM262" s="262"/>
      <c r="BN262" s="262"/>
      <c r="BO262" s="262"/>
      <c r="BP262" s="262"/>
      <c r="BQ262" s="262"/>
      <c r="BR262" s="262"/>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row>
    <row r="263" spans="1:175" x14ac:dyDescent="0.25">
      <c r="A263" s="332"/>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262"/>
      <c r="AE263" s="262"/>
      <c r="AF263" s="262"/>
      <c r="AG263" s="262"/>
      <c r="AH263" s="262"/>
      <c r="AI263" s="262"/>
      <c r="AJ263" s="262"/>
      <c r="AK263" s="262"/>
      <c r="AL263" s="262"/>
      <c r="AM263" s="262"/>
      <c r="AN263" s="262"/>
      <c r="AO263" s="262"/>
      <c r="AP263" s="262"/>
      <c r="AQ263" s="262"/>
      <c r="AR263" s="262"/>
      <c r="AS263" s="262"/>
      <c r="AT263" s="262"/>
      <c r="AU263" s="262"/>
      <c r="AV263" s="262"/>
      <c r="AW263" s="262"/>
      <c r="AX263" s="262"/>
      <c r="AY263" s="262"/>
      <c r="AZ263" s="262"/>
      <c r="BA263" s="262"/>
      <c r="BB263" s="262"/>
      <c r="BC263" s="262"/>
      <c r="BD263" s="262"/>
      <c r="BE263" s="262"/>
      <c r="BF263" s="262"/>
      <c r="BG263" s="262"/>
      <c r="BH263" s="262"/>
      <c r="BI263" s="262"/>
      <c r="BJ263" s="262"/>
      <c r="BK263" s="262"/>
      <c r="BL263" s="262"/>
      <c r="BM263" s="262"/>
      <c r="BN263" s="262"/>
      <c r="BO263" s="262"/>
      <c r="BP263" s="262"/>
      <c r="BQ263" s="262"/>
      <c r="BR263" s="262"/>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row>
    <row r="264" spans="1:175" x14ac:dyDescent="0.25">
      <c r="A264" s="332"/>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262"/>
      <c r="AE264" s="262"/>
      <c r="AF264" s="262"/>
      <c r="AG264" s="262"/>
      <c r="AH264" s="262"/>
      <c r="AI264" s="262"/>
      <c r="AJ264" s="262"/>
      <c r="AK264" s="262"/>
      <c r="AL264" s="262"/>
      <c r="AM264" s="262"/>
      <c r="AN264" s="262"/>
      <c r="AO264" s="262"/>
      <c r="AP264" s="262"/>
      <c r="AQ264" s="262"/>
      <c r="AR264" s="262"/>
      <c r="AS264" s="262"/>
      <c r="AT264" s="262"/>
      <c r="AU264" s="262"/>
      <c r="AV264" s="262"/>
      <c r="AW264" s="262"/>
      <c r="AX264" s="262"/>
      <c r="AY264" s="262"/>
      <c r="AZ264" s="262"/>
      <c r="BA264" s="262"/>
      <c r="BB264" s="262"/>
      <c r="BC264" s="262"/>
      <c r="BD264" s="262"/>
      <c r="BE264" s="262"/>
      <c r="BF264" s="262"/>
      <c r="BG264" s="262"/>
      <c r="BH264" s="262"/>
      <c r="BI264" s="262"/>
      <c r="BJ264" s="262"/>
      <c r="BK264" s="262"/>
      <c r="BL264" s="262"/>
      <c r="BM264" s="262"/>
      <c r="BN264" s="262"/>
      <c r="BO264" s="262"/>
      <c r="BP264" s="262"/>
      <c r="BQ264" s="262"/>
      <c r="BR264" s="262"/>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c r="FN264" s="7"/>
      <c r="FO264" s="7"/>
      <c r="FP264" s="7"/>
      <c r="FQ264" s="7"/>
      <c r="FR264" s="7"/>
      <c r="FS264" s="7"/>
    </row>
    <row r="265" spans="1:175" x14ac:dyDescent="0.25">
      <c r="A265" s="332"/>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262"/>
      <c r="AE265" s="262"/>
      <c r="AF265" s="262"/>
      <c r="AG265" s="262"/>
      <c r="AH265" s="262"/>
      <c r="AI265" s="262"/>
      <c r="AJ265" s="262"/>
      <c r="AK265" s="262"/>
      <c r="AL265" s="262"/>
      <c r="AM265" s="262"/>
      <c r="AN265" s="262"/>
      <c r="AO265" s="262"/>
      <c r="AP265" s="262"/>
      <c r="AQ265" s="262"/>
      <c r="AR265" s="262"/>
      <c r="AS265" s="262"/>
      <c r="AT265" s="262"/>
      <c r="AU265" s="262"/>
      <c r="AV265" s="262"/>
      <c r="AW265" s="262"/>
      <c r="AX265" s="262"/>
      <c r="AY265" s="262"/>
      <c r="AZ265" s="262"/>
      <c r="BA265" s="262"/>
      <c r="BB265" s="262"/>
      <c r="BC265" s="262"/>
      <c r="BD265" s="262"/>
      <c r="BE265" s="262"/>
      <c r="BF265" s="262"/>
      <c r="BG265" s="262"/>
      <c r="BH265" s="262"/>
      <c r="BI265" s="262"/>
      <c r="BJ265" s="262"/>
      <c r="BK265" s="262"/>
      <c r="BL265" s="262"/>
      <c r="BM265" s="262"/>
      <c r="BN265" s="262"/>
      <c r="BO265" s="262"/>
      <c r="BP265" s="262"/>
      <c r="BQ265" s="262"/>
      <c r="BR265" s="262"/>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c r="FQ265" s="7"/>
      <c r="FR265" s="7"/>
      <c r="FS265" s="7"/>
    </row>
    <row r="266" spans="1:175" x14ac:dyDescent="0.25">
      <c r="A266" s="332"/>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262"/>
      <c r="AE266" s="262"/>
      <c r="AF266" s="262"/>
      <c r="AG266" s="262"/>
      <c r="AH266" s="262"/>
      <c r="AI266" s="262"/>
      <c r="AJ266" s="262"/>
      <c r="AK266" s="262"/>
      <c r="AL266" s="262"/>
      <c r="AM266" s="262"/>
      <c r="AN266" s="262"/>
      <c r="AO266" s="262"/>
      <c r="AP266" s="262"/>
      <c r="AQ266" s="262"/>
      <c r="AR266" s="262"/>
      <c r="AS266" s="262"/>
      <c r="AT266" s="262"/>
      <c r="AU266" s="262"/>
      <c r="AV266" s="262"/>
      <c r="AW266" s="262"/>
      <c r="AX266" s="262"/>
      <c r="AY266" s="262"/>
      <c r="AZ266" s="262"/>
      <c r="BA266" s="262"/>
      <c r="BB266" s="262"/>
      <c r="BC266" s="262"/>
      <c r="BD266" s="262"/>
      <c r="BE266" s="262"/>
      <c r="BF266" s="262"/>
      <c r="BG266" s="262"/>
      <c r="BH266" s="262"/>
      <c r="BI266" s="262"/>
      <c r="BJ266" s="262"/>
      <c r="BK266" s="262"/>
      <c r="BL266" s="262"/>
      <c r="BM266" s="262"/>
      <c r="BN266" s="262"/>
      <c r="BO266" s="262"/>
      <c r="BP266" s="262"/>
      <c r="BQ266" s="262"/>
      <c r="BR266" s="262"/>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c r="ET266" s="7"/>
      <c r="EU266" s="7"/>
      <c r="EV266" s="7"/>
      <c r="EW266" s="7"/>
      <c r="EX266" s="7"/>
      <c r="EY266" s="7"/>
      <c r="EZ266" s="7"/>
      <c r="FA266" s="7"/>
      <c r="FB266" s="7"/>
      <c r="FC266" s="7"/>
      <c r="FD266" s="7"/>
      <c r="FE266" s="7"/>
      <c r="FF266" s="7"/>
      <c r="FG266" s="7"/>
      <c r="FH266" s="7"/>
      <c r="FI266" s="7"/>
      <c r="FJ266" s="7"/>
      <c r="FK266" s="7"/>
      <c r="FL266" s="7"/>
      <c r="FM266" s="7"/>
      <c r="FN266" s="7"/>
      <c r="FO266" s="7"/>
      <c r="FP266" s="7"/>
      <c r="FQ266" s="7"/>
      <c r="FR266" s="7"/>
      <c r="FS266" s="7"/>
    </row>
    <row r="267" spans="1:175" x14ac:dyDescent="0.25">
      <c r="A267" s="332"/>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262"/>
      <c r="AE267" s="262"/>
      <c r="AF267" s="262"/>
      <c r="AG267" s="262"/>
      <c r="AH267" s="262"/>
      <c r="AI267" s="262"/>
      <c r="AJ267" s="262"/>
      <c r="AK267" s="262"/>
      <c r="AL267" s="262"/>
      <c r="AM267" s="262"/>
      <c r="AN267" s="262"/>
      <c r="AO267" s="262"/>
      <c r="AP267" s="262"/>
      <c r="AQ267" s="262"/>
      <c r="AR267" s="262"/>
      <c r="AS267" s="262"/>
      <c r="AT267" s="262"/>
      <c r="AU267" s="262"/>
      <c r="AV267" s="262"/>
      <c r="AW267" s="262"/>
      <c r="AX267" s="262"/>
      <c r="AY267" s="262"/>
      <c r="AZ267" s="262"/>
      <c r="BA267" s="262"/>
      <c r="BB267" s="262"/>
      <c r="BC267" s="262"/>
      <c r="BD267" s="262"/>
      <c r="BE267" s="262"/>
      <c r="BF267" s="262"/>
      <c r="BG267" s="262"/>
      <c r="BH267" s="262"/>
      <c r="BI267" s="262"/>
      <c r="BJ267" s="262"/>
      <c r="BK267" s="262"/>
      <c r="BL267" s="262"/>
      <c r="BM267" s="262"/>
      <c r="BN267" s="262"/>
      <c r="BO267" s="262"/>
      <c r="BP267" s="262"/>
      <c r="BQ267" s="262"/>
      <c r="BR267" s="262"/>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row>
    <row r="268" spans="1:175" x14ac:dyDescent="0.25">
      <c r="A268" s="332"/>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262"/>
      <c r="AE268" s="262"/>
      <c r="AF268" s="262"/>
      <c r="AG268" s="262"/>
      <c r="AH268" s="262"/>
      <c r="AI268" s="262"/>
      <c r="AJ268" s="262"/>
      <c r="AK268" s="262"/>
      <c r="AL268" s="262"/>
      <c r="AM268" s="262"/>
      <c r="AN268" s="262"/>
      <c r="AO268" s="262"/>
      <c r="AP268" s="262"/>
      <c r="AQ268" s="262"/>
      <c r="AR268" s="262"/>
      <c r="AS268" s="262"/>
      <c r="AT268" s="262"/>
      <c r="AU268" s="262"/>
      <c r="AV268" s="262"/>
      <c r="AW268" s="262"/>
      <c r="AX268" s="262"/>
      <c r="AY268" s="262"/>
      <c r="AZ268" s="262"/>
      <c r="BA268" s="262"/>
      <c r="BB268" s="262"/>
      <c r="BC268" s="262"/>
      <c r="BD268" s="262"/>
      <c r="BE268" s="262"/>
      <c r="BF268" s="262"/>
      <c r="BG268" s="262"/>
      <c r="BH268" s="262"/>
      <c r="BI268" s="262"/>
      <c r="BJ268" s="262"/>
      <c r="BK268" s="262"/>
      <c r="BL268" s="262"/>
      <c r="BM268" s="262"/>
      <c r="BN268" s="262"/>
      <c r="BO268" s="262"/>
      <c r="BP268" s="262"/>
      <c r="BQ268" s="262"/>
      <c r="BR268" s="262"/>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row>
    <row r="269" spans="1:175" x14ac:dyDescent="0.25">
      <c r="A269" s="332"/>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262"/>
      <c r="AE269" s="262"/>
      <c r="AF269" s="262"/>
      <c r="AG269" s="262"/>
      <c r="AH269" s="262"/>
      <c r="AI269" s="262"/>
      <c r="AJ269" s="262"/>
      <c r="AK269" s="262"/>
      <c r="AL269" s="262"/>
      <c r="AM269" s="262"/>
      <c r="AN269" s="262"/>
      <c r="AO269" s="262"/>
      <c r="AP269" s="262"/>
      <c r="AQ269" s="262"/>
      <c r="AR269" s="262"/>
      <c r="AS269" s="262"/>
      <c r="AT269" s="262"/>
      <c r="AU269" s="262"/>
      <c r="AV269" s="262"/>
      <c r="AW269" s="262"/>
      <c r="AX269" s="262"/>
      <c r="AY269" s="262"/>
      <c r="AZ269" s="262"/>
      <c r="BA269" s="262"/>
      <c r="BB269" s="262"/>
      <c r="BC269" s="262"/>
      <c r="BD269" s="262"/>
      <c r="BE269" s="262"/>
      <c r="BF269" s="262"/>
      <c r="BG269" s="262"/>
      <c r="BH269" s="262"/>
      <c r="BI269" s="262"/>
      <c r="BJ269" s="262"/>
      <c r="BK269" s="262"/>
      <c r="BL269" s="262"/>
      <c r="BM269" s="262"/>
      <c r="BN269" s="262"/>
      <c r="BO269" s="262"/>
      <c r="BP269" s="262"/>
      <c r="BQ269" s="262"/>
      <c r="BR269" s="262"/>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row>
    <row r="270" spans="1:175" x14ac:dyDescent="0.25">
      <c r="A270" s="332"/>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262"/>
      <c r="AE270" s="262"/>
      <c r="AF270" s="262"/>
      <c r="AG270" s="262"/>
      <c r="AH270" s="262"/>
      <c r="AI270" s="262"/>
      <c r="AJ270" s="262"/>
      <c r="AK270" s="262"/>
      <c r="AL270" s="262"/>
      <c r="AM270" s="262"/>
      <c r="AN270" s="262"/>
      <c r="AO270" s="262"/>
      <c r="AP270" s="262"/>
      <c r="AQ270" s="262"/>
      <c r="AR270" s="262"/>
      <c r="AS270" s="262"/>
      <c r="AT270" s="262"/>
      <c r="AU270" s="262"/>
      <c r="AV270" s="262"/>
      <c r="AW270" s="262"/>
      <c r="AX270" s="262"/>
      <c r="AY270" s="262"/>
      <c r="AZ270" s="262"/>
      <c r="BA270" s="262"/>
      <c r="BB270" s="262"/>
      <c r="BC270" s="262"/>
      <c r="BD270" s="262"/>
      <c r="BE270" s="262"/>
      <c r="BF270" s="262"/>
      <c r="BG270" s="262"/>
      <c r="BH270" s="262"/>
      <c r="BI270" s="262"/>
      <c r="BJ270" s="262"/>
      <c r="BK270" s="262"/>
      <c r="BL270" s="262"/>
      <c r="BM270" s="262"/>
      <c r="BN270" s="262"/>
      <c r="BO270" s="262"/>
      <c r="BP270" s="262"/>
      <c r="BQ270" s="262"/>
      <c r="BR270" s="262"/>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row>
    <row r="271" spans="1:175" x14ac:dyDescent="0.25">
      <c r="A271" s="332"/>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262"/>
      <c r="AE271" s="262"/>
      <c r="AF271" s="262"/>
      <c r="AG271" s="262"/>
      <c r="AH271" s="262"/>
      <c r="AI271" s="262"/>
      <c r="AJ271" s="262"/>
      <c r="AK271" s="262"/>
      <c r="AL271" s="262"/>
      <c r="AM271" s="262"/>
      <c r="AN271" s="262"/>
      <c r="AO271" s="262"/>
      <c r="AP271" s="262"/>
      <c r="AQ271" s="262"/>
      <c r="AR271" s="262"/>
      <c r="AS271" s="262"/>
      <c r="AT271" s="262"/>
      <c r="AU271" s="262"/>
      <c r="AV271" s="262"/>
      <c r="AW271" s="262"/>
      <c r="AX271" s="262"/>
      <c r="AY271" s="262"/>
      <c r="AZ271" s="262"/>
      <c r="BA271" s="262"/>
      <c r="BB271" s="262"/>
      <c r="BC271" s="262"/>
      <c r="BD271" s="262"/>
      <c r="BE271" s="262"/>
      <c r="BF271" s="262"/>
      <c r="BG271" s="262"/>
      <c r="BH271" s="262"/>
      <c r="BI271" s="262"/>
      <c r="BJ271" s="262"/>
      <c r="BK271" s="262"/>
      <c r="BL271" s="262"/>
      <c r="BM271" s="262"/>
      <c r="BN271" s="262"/>
      <c r="BO271" s="262"/>
      <c r="BP271" s="262"/>
      <c r="BQ271" s="262"/>
      <c r="BR271" s="262"/>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row>
    <row r="272" spans="1:175" x14ac:dyDescent="0.25">
      <c r="A272" s="332"/>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62"/>
      <c r="AE272" s="262"/>
      <c r="AF272" s="262"/>
      <c r="AG272" s="262"/>
      <c r="AH272" s="262"/>
      <c r="AI272" s="262"/>
      <c r="AJ272" s="262"/>
      <c r="AK272" s="262"/>
      <c r="AL272" s="262"/>
      <c r="AM272" s="262"/>
      <c r="AN272" s="262"/>
      <c r="AO272" s="262"/>
      <c r="AP272" s="262"/>
      <c r="AQ272" s="262"/>
      <c r="AR272" s="262"/>
      <c r="AS272" s="262"/>
      <c r="AT272" s="262"/>
      <c r="AU272" s="262"/>
      <c r="AV272" s="262"/>
      <c r="AW272" s="262"/>
      <c r="AX272" s="262"/>
      <c r="AY272" s="262"/>
      <c r="AZ272" s="262"/>
      <c r="BA272" s="262"/>
      <c r="BB272" s="262"/>
      <c r="BC272" s="262"/>
      <c r="BD272" s="262"/>
      <c r="BE272" s="262"/>
      <c r="BF272" s="262"/>
      <c r="BG272" s="262"/>
      <c r="BH272" s="262"/>
      <c r="BI272" s="262"/>
      <c r="BJ272" s="262"/>
      <c r="BK272" s="262"/>
      <c r="BL272" s="262"/>
      <c r="BM272" s="262"/>
      <c r="BN272" s="262"/>
      <c r="BO272" s="262"/>
      <c r="BP272" s="262"/>
      <c r="BQ272" s="262"/>
      <c r="BR272" s="262"/>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row>
    <row r="273" spans="1:175" x14ac:dyDescent="0.25">
      <c r="A273" s="332"/>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62"/>
      <c r="AE273" s="262"/>
      <c r="AF273" s="262"/>
      <c r="AG273" s="262"/>
      <c r="AH273" s="262"/>
      <c r="AI273" s="262"/>
      <c r="AJ273" s="262"/>
      <c r="AK273" s="262"/>
      <c r="AL273" s="262"/>
      <c r="AM273" s="262"/>
      <c r="AN273" s="262"/>
      <c r="AO273" s="262"/>
      <c r="AP273" s="262"/>
      <c r="AQ273" s="262"/>
      <c r="AR273" s="262"/>
      <c r="AS273" s="262"/>
      <c r="AT273" s="262"/>
      <c r="AU273" s="262"/>
      <c r="AV273" s="262"/>
      <c r="AW273" s="262"/>
      <c r="AX273" s="262"/>
      <c r="AY273" s="262"/>
      <c r="AZ273" s="262"/>
      <c r="BA273" s="262"/>
      <c r="BB273" s="262"/>
      <c r="BC273" s="262"/>
      <c r="BD273" s="262"/>
      <c r="BE273" s="262"/>
      <c r="BF273" s="262"/>
      <c r="BG273" s="262"/>
      <c r="BH273" s="262"/>
      <c r="BI273" s="262"/>
      <c r="BJ273" s="262"/>
      <c r="BK273" s="262"/>
      <c r="BL273" s="262"/>
      <c r="BM273" s="262"/>
      <c r="BN273" s="262"/>
      <c r="BO273" s="262"/>
      <c r="BP273" s="262"/>
      <c r="BQ273" s="262"/>
      <c r="BR273" s="262"/>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row>
    <row r="274" spans="1:175" x14ac:dyDescent="0.25">
      <c r="A274" s="332"/>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62"/>
      <c r="AE274" s="262"/>
      <c r="AF274" s="262"/>
      <c r="AG274" s="262"/>
      <c r="AH274" s="262"/>
      <c r="AI274" s="262"/>
      <c r="AJ274" s="262"/>
      <c r="AK274" s="262"/>
      <c r="AL274" s="262"/>
      <c r="AM274" s="262"/>
      <c r="AN274" s="262"/>
      <c r="AO274" s="262"/>
      <c r="AP274" s="262"/>
      <c r="AQ274" s="262"/>
      <c r="AR274" s="262"/>
      <c r="AS274" s="262"/>
      <c r="AT274" s="262"/>
      <c r="AU274" s="262"/>
      <c r="AV274" s="262"/>
      <c r="AW274" s="262"/>
      <c r="AX274" s="262"/>
      <c r="AY274" s="262"/>
      <c r="AZ274" s="262"/>
      <c r="BA274" s="262"/>
      <c r="BB274" s="262"/>
      <c r="BC274" s="262"/>
      <c r="BD274" s="262"/>
      <c r="BE274" s="262"/>
      <c r="BF274" s="262"/>
      <c r="BG274" s="262"/>
      <c r="BH274" s="262"/>
      <c r="BI274" s="262"/>
      <c r="BJ274" s="262"/>
      <c r="BK274" s="262"/>
      <c r="BL274" s="262"/>
      <c r="BM274" s="262"/>
      <c r="BN274" s="262"/>
      <c r="BO274" s="262"/>
      <c r="BP274" s="262"/>
      <c r="BQ274" s="262"/>
      <c r="BR274" s="262"/>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row>
    <row r="275" spans="1:175" x14ac:dyDescent="0.25">
      <c r="A275" s="332"/>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262"/>
      <c r="AE275" s="262"/>
      <c r="AF275" s="262"/>
      <c r="AG275" s="262"/>
      <c r="AH275" s="262"/>
      <c r="AI275" s="262"/>
      <c r="AJ275" s="262"/>
      <c r="AK275" s="262"/>
      <c r="AL275" s="262"/>
      <c r="AM275" s="262"/>
      <c r="AN275" s="262"/>
      <c r="AO275" s="262"/>
      <c r="AP275" s="262"/>
      <c r="AQ275" s="262"/>
      <c r="AR275" s="262"/>
      <c r="AS275" s="262"/>
      <c r="AT275" s="262"/>
      <c r="AU275" s="262"/>
      <c r="AV275" s="262"/>
      <c r="AW275" s="262"/>
      <c r="AX275" s="262"/>
      <c r="AY275" s="262"/>
      <c r="AZ275" s="262"/>
      <c r="BA275" s="262"/>
      <c r="BB275" s="262"/>
      <c r="BC275" s="262"/>
      <c r="BD275" s="262"/>
      <c r="BE275" s="262"/>
      <c r="BF275" s="262"/>
      <c r="BG275" s="262"/>
      <c r="BH275" s="262"/>
      <c r="BI275" s="262"/>
      <c r="BJ275" s="262"/>
      <c r="BK275" s="262"/>
      <c r="BL275" s="262"/>
      <c r="BM275" s="262"/>
      <c r="BN275" s="262"/>
      <c r="BO275" s="262"/>
      <c r="BP275" s="262"/>
      <c r="BQ275" s="262"/>
      <c r="BR275" s="262"/>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row>
    <row r="276" spans="1:175" x14ac:dyDescent="0.25">
      <c r="A276" s="332"/>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262"/>
      <c r="AE276" s="262"/>
      <c r="AF276" s="262"/>
      <c r="AG276" s="262"/>
      <c r="AH276" s="262"/>
      <c r="AI276" s="262"/>
      <c r="AJ276" s="262"/>
      <c r="AK276" s="262"/>
      <c r="AL276" s="262"/>
      <c r="AM276" s="262"/>
      <c r="AN276" s="262"/>
      <c r="AO276" s="262"/>
      <c r="AP276" s="262"/>
      <c r="AQ276" s="262"/>
      <c r="AR276" s="262"/>
      <c r="AS276" s="262"/>
      <c r="AT276" s="262"/>
      <c r="AU276" s="262"/>
      <c r="AV276" s="262"/>
      <c r="AW276" s="262"/>
      <c r="AX276" s="262"/>
      <c r="AY276" s="262"/>
      <c r="AZ276" s="262"/>
      <c r="BA276" s="262"/>
      <c r="BB276" s="262"/>
      <c r="BC276" s="262"/>
      <c r="BD276" s="262"/>
      <c r="BE276" s="262"/>
      <c r="BF276" s="262"/>
      <c r="BG276" s="262"/>
      <c r="BH276" s="262"/>
      <c r="BI276" s="262"/>
      <c r="BJ276" s="262"/>
      <c r="BK276" s="262"/>
      <c r="BL276" s="262"/>
      <c r="BM276" s="262"/>
      <c r="BN276" s="262"/>
      <c r="BO276" s="262"/>
      <c r="BP276" s="262"/>
      <c r="BQ276" s="262"/>
      <c r="BR276" s="262"/>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7"/>
      <c r="FC276" s="7"/>
      <c r="FD276" s="7"/>
      <c r="FE276" s="7"/>
      <c r="FF276" s="7"/>
      <c r="FG276" s="7"/>
      <c r="FH276" s="7"/>
      <c r="FI276" s="7"/>
      <c r="FJ276" s="7"/>
      <c r="FK276" s="7"/>
      <c r="FL276" s="7"/>
      <c r="FM276" s="7"/>
      <c r="FN276" s="7"/>
      <c r="FO276" s="7"/>
      <c r="FP276" s="7"/>
      <c r="FQ276" s="7"/>
      <c r="FR276" s="7"/>
      <c r="FS276" s="7"/>
    </row>
    <row r="277" spans="1:175" x14ac:dyDescent="0.25">
      <c r="A277" s="332"/>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262"/>
      <c r="AE277" s="262"/>
      <c r="AF277" s="262"/>
      <c r="AG277" s="262"/>
      <c r="AH277" s="262"/>
      <c r="AI277" s="262"/>
      <c r="AJ277" s="262"/>
      <c r="AK277" s="262"/>
      <c r="AL277" s="262"/>
      <c r="AM277" s="262"/>
      <c r="AN277" s="262"/>
      <c r="AO277" s="262"/>
      <c r="AP277" s="262"/>
      <c r="AQ277" s="262"/>
      <c r="AR277" s="262"/>
      <c r="AS277" s="262"/>
      <c r="AT277" s="262"/>
      <c r="AU277" s="262"/>
      <c r="AV277" s="262"/>
      <c r="AW277" s="262"/>
      <c r="AX277" s="262"/>
      <c r="AY277" s="262"/>
      <c r="AZ277" s="262"/>
      <c r="BA277" s="262"/>
      <c r="BB277" s="262"/>
      <c r="BC277" s="262"/>
      <c r="BD277" s="262"/>
      <c r="BE277" s="262"/>
      <c r="BF277" s="262"/>
      <c r="BG277" s="262"/>
      <c r="BH277" s="262"/>
      <c r="BI277" s="262"/>
      <c r="BJ277" s="262"/>
      <c r="BK277" s="262"/>
      <c r="BL277" s="262"/>
      <c r="BM277" s="262"/>
      <c r="BN277" s="262"/>
      <c r="BO277" s="262"/>
      <c r="BP277" s="262"/>
      <c r="BQ277" s="262"/>
      <c r="BR277" s="262"/>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row>
    <row r="278" spans="1:175" x14ac:dyDescent="0.25">
      <c r="A278" s="332"/>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262"/>
      <c r="AE278" s="262"/>
      <c r="AF278" s="262"/>
      <c r="AG278" s="262"/>
      <c r="AH278" s="262"/>
      <c r="AI278" s="262"/>
      <c r="AJ278" s="262"/>
      <c r="AK278" s="262"/>
      <c r="AL278" s="262"/>
      <c r="AM278" s="262"/>
      <c r="AN278" s="262"/>
      <c r="AO278" s="262"/>
      <c r="AP278" s="262"/>
      <c r="AQ278" s="262"/>
      <c r="AR278" s="262"/>
      <c r="AS278" s="262"/>
      <c r="AT278" s="262"/>
      <c r="AU278" s="262"/>
      <c r="AV278" s="262"/>
      <c r="AW278" s="262"/>
      <c r="AX278" s="262"/>
      <c r="AY278" s="262"/>
      <c r="AZ278" s="262"/>
      <c r="BA278" s="262"/>
      <c r="BB278" s="262"/>
      <c r="BC278" s="262"/>
      <c r="BD278" s="262"/>
      <c r="BE278" s="262"/>
      <c r="BF278" s="262"/>
      <c r="BG278" s="262"/>
      <c r="BH278" s="262"/>
      <c r="BI278" s="262"/>
      <c r="BJ278" s="262"/>
      <c r="BK278" s="262"/>
      <c r="BL278" s="262"/>
      <c r="BM278" s="262"/>
      <c r="BN278" s="262"/>
      <c r="BO278" s="262"/>
      <c r="BP278" s="262"/>
      <c r="BQ278" s="262"/>
      <c r="BR278" s="262"/>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c r="EY278" s="7"/>
      <c r="EZ278" s="7"/>
      <c r="FA278" s="7"/>
      <c r="FB278" s="7"/>
      <c r="FC278" s="7"/>
      <c r="FD278" s="7"/>
      <c r="FE278" s="7"/>
      <c r="FF278" s="7"/>
      <c r="FG278" s="7"/>
      <c r="FH278" s="7"/>
      <c r="FI278" s="7"/>
      <c r="FJ278" s="7"/>
      <c r="FK278" s="7"/>
      <c r="FL278" s="7"/>
      <c r="FM278" s="7"/>
      <c r="FN278" s="7"/>
      <c r="FO278" s="7"/>
      <c r="FP278" s="7"/>
      <c r="FQ278" s="7"/>
      <c r="FR278" s="7"/>
      <c r="FS278" s="7"/>
    </row>
    <row r="279" spans="1:175" x14ac:dyDescent="0.25">
      <c r="A279" s="332"/>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262"/>
      <c r="AE279" s="262"/>
      <c r="AF279" s="262"/>
      <c r="AG279" s="262"/>
      <c r="AH279" s="262"/>
      <c r="AI279" s="262"/>
      <c r="AJ279" s="262"/>
      <c r="AK279" s="262"/>
      <c r="AL279" s="262"/>
      <c r="AM279" s="262"/>
      <c r="AN279" s="262"/>
      <c r="AO279" s="262"/>
      <c r="AP279" s="262"/>
      <c r="AQ279" s="262"/>
      <c r="AR279" s="262"/>
      <c r="AS279" s="262"/>
      <c r="AT279" s="262"/>
      <c r="AU279" s="262"/>
      <c r="AV279" s="262"/>
      <c r="AW279" s="262"/>
      <c r="AX279" s="262"/>
      <c r="AY279" s="262"/>
      <c r="AZ279" s="262"/>
      <c r="BA279" s="262"/>
      <c r="BB279" s="262"/>
      <c r="BC279" s="262"/>
      <c r="BD279" s="262"/>
      <c r="BE279" s="262"/>
      <c r="BF279" s="262"/>
      <c r="BG279" s="262"/>
      <c r="BH279" s="262"/>
      <c r="BI279" s="262"/>
      <c r="BJ279" s="262"/>
      <c r="BK279" s="262"/>
      <c r="BL279" s="262"/>
      <c r="BM279" s="262"/>
      <c r="BN279" s="262"/>
      <c r="BO279" s="262"/>
      <c r="BP279" s="262"/>
      <c r="BQ279" s="262"/>
      <c r="BR279" s="262"/>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7"/>
      <c r="FC279" s="7"/>
      <c r="FD279" s="7"/>
      <c r="FE279" s="7"/>
      <c r="FF279" s="7"/>
      <c r="FG279" s="7"/>
      <c r="FH279" s="7"/>
      <c r="FI279" s="7"/>
      <c r="FJ279" s="7"/>
      <c r="FK279" s="7"/>
      <c r="FL279" s="7"/>
      <c r="FM279" s="7"/>
      <c r="FN279" s="7"/>
      <c r="FO279" s="7"/>
      <c r="FP279" s="7"/>
      <c r="FQ279" s="7"/>
      <c r="FR279" s="7"/>
      <c r="FS279" s="7"/>
    </row>
    <row r="280" spans="1:175" x14ac:dyDescent="0.25">
      <c r="A280" s="332"/>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262"/>
      <c r="AE280" s="262"/>
      <c r="AF280" s="262"/>
      <c r="AG280" s="262"/>
      <c r="AH280" s="262"/>
      <c r="AI280" s="262"/>
      <c r="AJ280" s="262"/>
      <c r="AK280" s="262"/>
      <c r="AL280" s="262"/>
      <c r="AM280" s="262"/>
      <c r="AN280" s="262"/>
      <c r="AO280" s="262"/>
      <c r="AP280" s="262"/>
      <c r="AQ280" s="262"/>
      <c r="AR280" s="262"/>
      <c r="AS280" s="262"/>
      <c r="AT280" s="262"/>
      <c r="AU280" s="262"/>
      <c r="AV280" s="262"/>
      <c r="AW280" s="262"/>
      <c r="AX280" s="262"/>
      <c r="AY280" s="262"/>
      <c r="AZ280" s="262"/>
      <c r="BA280" s="262"/>
      <c r="BB280" s="262"/>
      <c r="BC280" s="262"/>
      <c r="BD280" s="262"/>
      <c r="BE280" s="262"/>
      <c r="BF280" s="262"/>
      <c r="BG280" s="262"/>
      <c r="BH280" s="262"/>
      <c r="BI280" s="262"/>
      <c r="BJ280" s="262"/>
      <c r="BK280" s="262"/>
      <c r="BL280" s="262"/>
      <c r="BM280" s="262"/>
      <c r="BN280" s="262"/>
      <c r="BO280" s="262"/>
      <c r="BP280" s="262"/>
      <c r="BQ280" s="262"/>
      <c r="BR280" s="262"/>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A280" s="7"/>
      <c r="FB280" s="7"/>
      <c r="FC280" s="7"/>
      <c r="FD280" s="7"/>
      <c r="FE280" s="7"/>
      <c r="FF280" s="7"/>
      <c r="FG280" s="7"/>
      <c r="FH280" s="7"/>
      <c r="FI280" s="7"/>
      <c r="FJ280" s="7"/>
      <c r="FK280" s="7"/>
      <c r="FL280" s="7"/>
      <c r="FM280" s="7"/>
      <c r="FN280" s="7"/>
      <c r="FO280" s="7"/>
      <c r="FP280" s="7"/>
      <c r="FQ280" s="7"/>
      <c r="FR280" s="7"/>
      <c r="FS280" s="7"/>
    </row>
    <row r="281" spans="1:175" x14ac:dyDescent="0.25">
      <c r="A281" s="332"/>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262"/>
      <c r="AE281" s="262"/>
      <c r="AF281" s="262"/>
      <c r="AG281" s="262"/>
      <c r="AH281" s="262"/>
      <c r="AI281" s="262"/>
      <c r="AJ281" s="262"/>
      <c r="AK281" s="262"/>
      <c r="AL281" s="262"/>
      <c r="AM281" s="262"/>
      <c r="AN281" s="262"/>
      <c r="AO281" s="262"/>
      <c r="AP281" s="262"/>
      <c r="AQ281" s="262"/>
      <c r="AR281" s="262"/>
      <c r="AS281" s="262"/>
      <c r="AT281" s="262"/>
      <c r="AU281" s="262"/>
      <c r="AV281" s="262"/>
      <c r="AW281" s="262"/>
      <c r="AX281" s="262"/>
      <c r="AY281" s="262"/>
      <c r="AZ281" s="262"/>
      <c r="BA281" s="262"/>
      <c r="BB281" s="262"/>
      <c r="BC281" s="262"/>
      <c r="BD281" s="262"/>
      <c r="BE281" s="262"/>
      <c r="BF281" s="262"/>
      <c r="BG281" s="262"/>
      <c r="BH281" s="262"/>
      <c r="BI281" s="262"/>
      <c r="BJ281" s="262"/>
      <c r="BK281" s="262"/>
      <c r="BL281" s="262"/>
      <c r="BM281" s="262"/>
      <c r="BN281" s="262"/>
      <c r="BO281" s="262"/>
      <c r="BP281" s="262"/>
      <c r="BQ281" s="262"/>
      <c r="BR281" s="262"/>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c r="ET281" s="7"/>
      <c r="EU281" s="7"/>
      <c r="EV281" s="7"/>
      <c r="EW281" s="7"/>
      <c r="EX281" s="7"/>
      <c r="EY281" s="7"/>
      <c r="EZ281" s="7"/>
      <c r="FA281" s="7"/>
      <c r="FB281" s="7"/>
      <c r="FC281" s="7"/>
      <c r="FD281" s="7"/>
      <c r="FE281" s="7"/>
      <c r="FF281" s="7"/>
      <c r="FG281" s="7"/>
      <c r="FH281" s="7"/>
      <c r="FI281" s="7"/>
      <c r="FJ281" s="7"/>
      <c r="FK281" s="7"/>
      <c r="FL281" s="7"/>
      <c r="FM281" s="7"/>
      <c r="FN281" s="7"/>
      <c r="FO281" s="7"/>
      <c r="FP281" s="7"/>
      <c r="FQ281" s="7"/>
      <c r="FR281" s="7"/>
      <c r="FS281" s="7"/>
    </row>
    <row r="282" spans="1:175" x14ac:dyDescent="0.25">
      <c r="A282" s="332"/>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262"/>
      <c r="AE282" s="262"/>
      <c r="AF282" s="262"/>
      <c r="AG282" s="262"/>
      <c r="AH282" s="262"/>
      <c r="AI282" s="262"/>
      <c r="AJ282" s="262"/>
      <c r="AK282" s="262"/>
      <c r="AL282" s="262"/>
      <c r="AM282" s="262"/>
      <c r="AN282" s="262"/>
      <c r="AO282" s="262"/>
      <c r="AP282" s="262"/>
      <c r="AQ282" s="262"/>
      <c r="AR282" s="262"/>
      <c r="AS282" s="262"/>
      <c r="AT282" s="262"/>
      <c r="AU282" s="262"/>
      <c r="AV282" s="262"/>
      <c r="AW282" s="262"/>
      <c r="AX282" s="262"/>
      <c r="AY282" s="262"/>
      <c r="AZ282" s="262"/>
      <c r="BA282" s="262"/>
      <c r="BB282" s="262"/>
      <c r="BC282" s="262"/>
      <c r="BD282" s="262"/>
      <c r="BE282" s="262"/>
      <c r="BF282" s="262"/>
      <c r="BG282" s="262"/>
      <c r="BH282" s="262"/>
      <c r="BI282" s="262"/>
      <c r="BJ282" s="262"/>
      <c r="BK282" s="262"/>
      <c r="BL282" s="262"/>
      <c r="BM282" s="262"/>
      <c r="BN282" s="262"/>
      <c r="BO282" s="262"/>
      <c r="BP282" s="262"/>
      <c r="BQ282" s="262"/>
      <c r="BR282" s="262"/>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c r="ET282" s="7"/>
      <c r="EU282" s="7"/>
      <c r="EV282" s="7"/>
      <c r="EW282" s="7"/>
      <c r="EX282" s="7"/>
      <c r="EY282" s="7"/>
      <c r="EZ282" s="7"/>
      <c r="FA282" s="7"/>
      <c r="FB282" s="7"/>
      <c r="FC282" s="7"/>
      <c r="FD282" s="7"/>
      <c r="FE282" s="7"/>
      <c r="FF282" s="7"/>
      <c r="FG282" s="7"/>
      <c r="FH282" s="7"/>
      <c r="FI282" s="7"/>
      <c r="FJ282" s="7"/>
      <c r="FK282" s="7"/>
      <c r="FL282" s="7"/>
      <c r="FM282" s="7"/>
      <c r="FN282" s="7"/>
      <c r="FO282" s="7"/>
      <c r="FP282" s="7"/>
      <c r="FQ282" s="7"/>
      <c r="FR282" s="7"/>
      <c r="FS282" s="7"/>
    </row>
    <row r="283" spans="1:175" x14ac:dyDescent="0.25">
      <c r="A283" s="332"/>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262"/>
      <c r="AE283" s="262"/>
      <c r="AF283" s="262"/>
      <c r="AG283" s="262"/>
      <c r="AH283" s="262"/>
      <c r="AI283" s="262"/>
      <c r="AJ283" s="262"/>
      <c r="AK283" s="262"/>
      <c r="AL283" s="262"/>
      <c r="AM283" s="262"/>
      <c r="AN283" s="262"/>
      <c r="AO283" s="262"/>
      <c r="AP283" s="262"/>
      <c r="AQ283" s="262"/>
      <c r="AR283" s="262"/>
      <c r="AS283" s="262"/>
      <c r="AT283" s="262"/>
      <c r="AU283" s="262"/>
      <c r="AV283" s="262"/>
      <c r="AW283" s="262"/>
      <c r="AX283" s="262"/>
      <c r="AY283" s="262"/>
      <c r="AZ283" s="262"/>
      <c r="BA283" s="262"/>
      <c r="BB283" s="262"/>
      <c r="BC283" s="262"/>
      <c r="BD283" s="262"/>
      <c r="BE283" s="262"/>
      <c r="BF283" s="262"/>
      <c r="BG283" s="262"/>
      <c r="BH283" s="262"/>
      <c r="BI283" s="262"/>
      <c r="BJ283" s="262"/>
      <c r="BK283" s="262"/>
      <c r="BL283" s="262"/>
      <c r="BM283" s="262"/>
      <c r="BN283" s="262"/>
      <c r="BO283" s="262"/>
      <c r="BP283" s="262"/>
      <c r="BQ283" s="262"/>
      <c r="BR283" s="262"/>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7"/>
      <c r="ET283" s="7"/>
      <c r="EU283" s="7"/>
      <c r="EV283" s="7"/>
      <c r="EW283" s="7"/>
      <c r="EX283" s="7"/>
      <c r="EY283" s="7"/>
      <c r="EZ283" s="7"/>
      <c r="FA283" s="7"/>
      <c r="FB283" s="7"/>
      <c r="FC283" s="7"/>
      <c r="FD283" s="7"/>
      <c r="FE283" s="7"/>
      <c r="FF283" s="7"/>
      <c r="FG283" s="7"/>
      <c r="FH283" s="7"/>
      <c r="FI283" s="7"/>
      <c r="FJ283" s="7"/>
      <c r="FK283" s="7"/>
      <c r="FL283" s="7"/>
      <c r="FM283" s="7"/>
      <c r="FN283" s="7"/>
      <c r="FO283" s="7"/>
      <c r="FP283" s="7"/>
      <c r="FQ283" s="7"/>
      <c r="FR283" s="7"/>
      <c r="FS283" s="7"/>
    </row>
    <row r="284" spans="1:175" x14ac:dyDescent="0.25">
      <c r="A284" s="332"/>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262"/>
      <c r="AE284" s="262"/>
      <c r="AF284" s="262"/>
      <c r="AG284" s="262"/>
      <c r="AH284" s="262"/>
      <c r="AI284" s="262"/>
      <c r="AJ284" s="262"/>
      <c r="AK284" s="262"/>
      <c r="AL284" s="262"/>
      <c r="AM284" s="262"/>
      <c r="AN284" s="262"/>
      <c r="AO284" s="262"/>
      <c r="AP284" s="262"/>
      <c r="AQ284" s="262"/>
      <c r="AR284" s="262"/>
      <c r="AS284" s="262"/>
      <c r="AT284" s="262"/>
      <c r="AU284" s="262"/>
      <c r="AV284" s="262"/>
      <c r="AW284" s="262"/>
      <c r="AX284" s="262"/>
      <c r="AY284" s="262"/>
      <c r="AZ284" s="262"/>
      <c r="BA284" s="262"/>
      <c r="BB284" s="262"/>
      <c r="BC284" s="262"/>
      <c r="BD284" s="262"/>
      <c r="BE284" s="262"/>
      <c r="BF284" s="262"/>
      <c r="BG284" s="262"/>
      <c r="BH284" s="262"/>
      <c r="BI284" s="262"/>
      <c r="BJ284" s="262"/>
      <c r="BK284" s="262"/>
      <c r="BL284" s="262"/>
      <c r="BM284" s="262"/>
      <c r="BN284" s="262"/>
      <c r="BO284" s="262"/>
      <c r="BP284" s="262"/>
      <c r="BQ284" s="262"/>
      <c r="BR284" s="262"/>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c r="ET284" s="7"/>
      <c r="EU284" s="7"/>
      <c r="EV284" s="7"/>
      <c r="EW284" s="7"/>
      <c r="EX284" s="7"/>
      <c r="EY284" s="7"/>
      <c r="EZ284" s="7"/>
      <c r="FA284" s="7"/>
      <c r="FB284" s="7"/>
      <c r="FC284" s="7"/>
      <c r="FD284" s="7"/>
      <c r="FE284" s="7"/>
      <c r="FF284" s="7"/>
      <c r="FG284" s="7"/>
      <c r="FH284" s="7"/>
      <c r="FI284" s="7"/>
      <c r="FJ284" s="7"/>
      <c r="FK284" s="7"/>
      <c r="FL284" s="7"/>
      <c r="FM284" s="7"/>
      <c r="FN284" s="7"/>
      <c r="FO284" s="7"/>
      <c r="FP284" s="7"/>
      <c r="FQ284" s="7"/>
      <c r="FR284" s="7"/>
      <c r="FS284" s="7"/>
    </row>
    <row r="285" spans="1:175" x14ac:dyDescent="0.25">
      <c r="A285" s="332"/>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262"/>
      <c r="AE285" s="262"/>
      <c r="AF285" s="262"/>
      <c r="AG285" s="262"/>
      <c r="AH285" s="262"/>
      <c r="AI285" s="262"/>
      <c r="AJ285" s="262"/>
      <c r="AK285" s="262"/>
      <c r="AL285" s="262"/>
      <c r="AM285" s="262"/>
      <c r="AN285" s="262"/>
      <c r="AO285" s="262"/>
      <c r="AP285" s="262"/>
      <c r="AQ285" s="262"/>
      <c r="AR285" s="262"/>
      <c r="AS285" s="262"/>
      <c r="AT285" s="262"/>
      <c r="AU285" s="262"/>
      <c r="AV285" s="262"/>
      <c r="AW285" s="262"/>
      <c r="AX285" s="262"/>
      <c r="AY285" s="262"/>
      <c r="AZ285" s="262"/>
      <c r="BA285" s="262"/>
      <c r="BB285" s="262"/>
      <c r="BC285" s="262"/>
      <c r="BD285" s="262"/>
      <c r="BE285" s="262"/>
      <c r="BF285" s="262"/>
      <c r="BG285" s="262"/>
      <c r="BH285" s="262"/>
      <c r="BI285" s="262"/>
      <c r="BJ285" s="262"/>
      <c r="BK285" s="262"/>
      <c r="BL285" s="262"/>
      <c r="BM285" s="262"/>
      <c r="BN285" s="262"/>
      <c r="BO285" s="262"/>
      <c r="BP285" s="262"/>
      <c r="BQ285" s="262"/>
      <c r="BR285" s="262"/>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c r="ET285" s="7"/>
      <c r="EU285" s="7"/>
      <c r="EV285" s="7"/>
      <c r="EW285" s="7"/>
      <c r="EX285" s="7"/>
      <c r="EY285" s="7"/>
      <c r="EZ285" s="7"/>
      <c r="FA285" s="7"/>
      <c r="FB285" s="7"/>
      <c r="FC285" s="7"/>
      <c r="FD285" s="7"/>
      <c r="FE285" s="7"/>
      <c r="FF285" s="7"/>
      <c r="FG285" s="7"/>
      <c r="FH285" s="7"/>
      <c r="FI285" s="7"/>
      <c r="FJ285" s="7"/>
      <c r="FK285" s="7"/>
      <c r="FL285" s="7"/>
      <c r="FM285" s="7"/>
      <c r="FN285" s="7"/>
      <c r="FO285" s="7"/>
      <c r="FP285" s="7"/>
      <c r="FQ285" s="7"/>
      <c r="FR285" s="7"/>
      <c r="FS285" s="7"/>
    </row>
    <row r="286" spans="1:175" x14ac:dyDescent="0.25">
      <c r="A286" s="332"/>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262"/>
      <c r="AE286" s="262"/>
      <c r="AF286" s="262"/>
      <c r="AG286" s="262"/>
      <c r="AH286" s="262"/>
      <c r="AI286" s="262"/>
      <c r="AJ286" s="262"/>
      <c r="AK286" s="262"/>
      <c r="AL286" s="262"/>
      <c r="AM286" s="262"/>
      <c r="AN286" s="262"/>
      <c r="AO286" s="262"/>
      <c r="AP286" s="262"/>
      <c r="AQ286" s="262"/>
      <c r="AR286" s="262"/>
      <c r="AS286" s="262"/>
      <c r="AT286" s="262"/>
      <c r="AU286" s="262"/>
      <c r="AV286" s="262"/>
      <c r="AW286" s="262"/>
      <c r="AX286" s="262"/>
      <c r="AY286" s="262"/>
      <c r="AZ286" s="262"/>
      <c r="BA286" s="262"/>
      <c r="BB286" s="262"/>
      <c r="BC286" s="262"/>
      <c r="BD286" s="262"/>
      <c r="BE286" s="262"/>
      <c r="BF286" s="262"/>
      <c r="BG286" s="262"/>
      <c r="BH286" s="262"/>
      <c r="BI286" s="262"/>
      <c r="BJ286" s="262"/>
      <c r="BK286" s="262"/>
      <c r="BL286" s="262"/>
      <c r="BM286" s="262"/>
      <c r="BN286" s="262"/>
      <c r="BO286" s="262"/>
      <c r="BP286" s="262"/>
      <c r="BQ286" s="262"/>
      <c r="BR286" s="262"/>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7"/>
      <c r="EV286" s="7"/>
      <c r="EW286" s="7"/>
      <c r="EX286" s="7"/>
      <c r="EY286" s="7"/>
      <c r="EZ286" s="7"/>
      <c r="FA286" s="7"/>
      <c r="FB286" s="7"/>
      <c r="FC286" s="7"/>
      <c r="FD286" s="7"/>
      <c r="FE286" s="7"/>
      <c r="FF286" s="7"/>
      <c r="FG286" s="7"/>
      <c r="FH286" s="7"/>
      <c r="FI286" s="7"/>
      <c r="FJ286" s="7"/>
      <c r="FK286" s="7"/>
      <c r="FL286" s="7"/>
      <c r="FM286" s="7"/>
      <c r="FN286" s="7"/>
      <c r="FO286" s="7"/>
      <c r="FP286" s="7"/>
      <c r="FQ286" s="7"/>
      <c r="FR286" s="7"/>
      <c r="FS286" s="7"/>
    </row>
    <row r="287" spans="1:175" x14ac:dyDescent="0.25">
      <c r="A287" s="332"/>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262"/>
      <c r="AE287" s="262"/>
      <c r="AF287" s="262"/>
      <c r="AG287" s="262"/>
      <c r="AH287" s="262"/>
      <c r="AI287" s="262"/>
      <c r="AJ287" s="262"/>
      <c r="AK287" s="262"/>
      <c r="AL287" s="262"/>
      <c r="AM287" s="262"/>
      <c r="AN287" s="262"/>
      <c r="AO287" s="262"/>
      <c r="AP287" s="262"/>
      <c r="AQ287" s="262"/>
      <c r="AR287" s="262"/>
      <c r="AS287" s="262"/>
      <c r="AT287" s="262"/>
      <c r="AU287" s="262"/>
      <c r="AV287" s="262"/>
      <c r="AW287" s="262"/>
      <c r="AX287" s="262"/>
      <c r="AY287" s="262"/>
      <c r="AZ287" s="262"/>
      <c r="BA287" s="262"/>
      <c r="BB287" s="262"/>
      <c r="BC287" s="262"/>
      <c r="BD287" s="262"/>
      <c r="BE287" s="262"/>
      <c r="BF287" s="262"/>
      <c r="BG287" s="262"/>
      <c r="BH287" s="262"/>
      <c r="BI287" s="262"/>
      <c r="BJ287" s="262"/>
      <c r="BK287" s="262"/>
      <c r="BL287" s="262"/>
      <c r="BM287" s="262"/>
      <c r="BN287" s="262"/>
      <c r="BO287" s="262"/>
      <c r="BP287" s="262"/>
      <c r="BQ287" s="262"/>
      <c r="BR287" s="262"/>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7"/>
      <c r="ET287" s="7"/>
      <c r="EU287" s="7"/>
      <c r="EV287" s="7"/>
      <c r="EW287" s="7"/>
      <c r="EX287" s="7"/>
      <c r="EY287" s="7"/>
      <c r="EZ287" s="7"/>
      <c r="FA287" s="7"/>
      <c r="FB287" s="7"/>
      <c r="FC287" s="7"/>
      <c r="FD287" s="7"/>
      <c r="FE287" s="7"/>
      <c r="FF287" s="7"/>
      <c r="FG287" s="7"/>
      <c r="FH287" s="7"/>
      <c r="FI287" s="7"/>
      <c r="FJ287" s="7"/>
      <c r="FK287" s="7"/>
      <c r="FL287" s="7"/>
      <c r="FM287" s="7"/>
      <c r="FN287" s="7"/>
      <c r="FO287" s="7"/>
      <c r="FP287" s="7"/>
      <c r="FQ287" s="7"/>
      <c r="FR287" s="7"/>
      <c r="FS287" s="7"/>
    </row>
    <row r="288" spans="1:175" x14ac:dyDescent="0.25">
      <c r="A288" s="332"/>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262"/>
      <c r="AE288" s="262"/>
      <c r="AF288" s="262"/>
      <c r="AG288" s="262"/>
      <c r="AH288" s="262"/>
      <c r="AI288" s="262"/>
      <c r="AJ288" s="262"/>
      <c r="AK288" s="262"/>
      <c r="AL288" s="262"/>
      <c r="AM288" s="262"/>
      <c r="AN288" s="262"/>
      <c r="AO288" s="262"/>
      <c r="AP288" s="262"/>
      <c r="AQ288" s="262"/>
      <c r="AR288" s="262"/>
      <c r="AS288" s="262"/>
      <c r="AT288" s="262"/>
      <c r="AU288" s="262"/>
      <c r="AV288" s="262"/>
      <c r="AW288" s="262"/>
      <c r="AX288" s="262"/>
      <c r="AY288" s="262"/>
      <c r="AZ288" s="262"/>
      <c r="BA288" s="262"/>
      <c r="BB288" s="262"/>
      <c r="BC288" s="262"/>
      <c r="BD288" s="262"/>
      <c r="BE288" s="262"/>
      <c r="BF288" s="262"/>
      <c r="BG288" s="262"/>
      <c r="BH288" s="262"/>
      <c r="BI288" s="262"/>
      <c r="BJ288" s="262"/>
      <c r="BK288" s="262"/>
      <c r="BL288" s="262"/>
      <c r="BM288" s="262"/>
      <c r="BN288" s="262"/>
      <c r="BO288" s="262"/>
      <c r="BP288" s="262"/>
      <c r="BQ288" s="262"/>
      <c r="BR288" s="262"/>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c r="ET288" s="7"/>
      <c r="EU288" s="7"/>
      <c r="EV288" s="7"/>
      <c r="EW288" s="7"/>
      <c r="EX288" s="7"/>
      <c r="EY288" s="7"/>
      <c r="EZ288" s="7"/>
      <c r="FA288" s="7"/>
      <c r="FB288" s="7"/>
      <c r="FC288" s="7"/>
      <c r="FD288" s="7"/>
      <c r="FE288" s="7"/>
      <c r="FF288" s="7"/>
      <c r="FG288" s="7"/>
      <c r="FH288" s="7"/>
      <c r="FI288" s="7"/>
      <c r="FJ288" s="7"/>
      <c r="FK288" s="7"/>
      <c r="FL288" s="7"/>
      <c r="FM288" s="7"/>
      <c r="FN288" s="7"/>
      <c r="FO288" s="7"/>
      <c r="FP288" s="7"/>
      <c r="FQ288" s="7"/>
      <c r="FR288" s="7"/>
      <c r="FS288" s="7"/>
    </row>
    <row r="289" spans="1:175" x14ac:dyDescent="0.25">
      <c r="A289" s="332"/>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262"/>
      <c r="AE289" s="262"/>
      <c r="AF289" s="262"/>
      <c r="AG289" s="262"/>
      <c r="AH289" s="262"/>
      <c r="AI289" s="262"/>
      <c r="AJ289" s="262"/>
      <c r="AK289" s="262"/>
      <c r="AL289" s="262"/>
      <c r="AM289" s="262"/>
      <c r="AN289" s="262"/>
      <c r="AO289" s="262"/>
      <c r="AP289" s="262"/>
      <c r="AQ289" s="262"/>
      <c r="AR289" s="262"/>
      <c r="AS289" s="262"/>
      <c r="AT289" s="262"/>
      <c r="AU289" s="262"/>
      <c r="AV289" s="262"/>
      <c r="AW289" s="262"/>
      <c r="AX289" s="262"/>
      <c r="AY289" s="262"/>
      <c r="AZ289" s="262"/>
      <c r="BA289" s="262"/>
      <c r="BB289" s="262"/>
      <c r="BC289" s="262"/>
      <c r="BD289" s="262"/>
      <c r="BE289" s="262"/>
      <c r="BF289" s="262"/>
      <c r="BG289" s="262"/>
      <c r="BH289" s="262"/>
      <c r="BI289" s="262"/>
      <c r="BJ289" s="262"/>
      <c r="BK289" s="262"/>
      <c r="BL289" s="262"/>
      <c r="BM289" s="262"/>
      <c r="BN289" s="262"/>
      <c r="BO289" s="262"/>
      <c r="BP289" s="262"/>
      <c r="BQ289" s="262"/>
      <c r="BR289" s="262"/>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c r="ET289" s="7"/>
      <c r="EU289" s="7"/>
      <c r="EV289" s="7"/>
      <c r="EW289" s="7"/>
      <c r="EX289" s="7"/>
      <c r="EY289" s="7"/>
      <c r="EZ289" s="7"/>
      <c r="FA289" s="7"/>
      <c r="FB289" s="7"/>
      <c r="FC289" s="7"/>
      <c r="FD289" s="7"/>
      <c r="FE289" s="7"/>
      <c r="FF289" s="7"/>
      <c r="FG289" s="7"/>
      <c r="FH289" s="7"/>
      <c r="FI289" s="7"/>
      <c r="FJ289" s="7"/>
      <c r="FK289" s="7"/>
      <c r="FL289" s="7"/>
      <c r="FM289" s="7"/>
      <c r="FN289" s="7"/>
      <c r="FO289" s="7"/>
      <c r="FP289" s="7"/>
      <c r="FQ289" s="7"/>
      <c r="FR289" s="7"/>
      <c r="FS289" s="7"/>
    </row>
    <row r="290" spans="1:175" x14ac:dyDescent="0.25">
      <c r="A290" s="332"/>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262"/>
      <c r="AE290" s="262"/>
      <c r="AF290" s="262"/>
      <c r="AG290" s="262"/>
      <c r="AH290" s="262"/>
      <c r="AI290" s="262"/>
      <c r="AJ290" s="262"/>
      <c r="AK290" s="262"/>
      <c r="AL290" s="262"/>
      <c r="AM290" s="262"/>
      <c r="AN290" s="262"/>
      <c r="AO290" s="262"/>
      <c r="AP290" s="262"/>
      <c r="AQ290" s="262"/>
      <c r="AR290" s="262"/>
      <c r="AS290" s="262"/>
      <c r="AT290" s="262"/>
      <c r="AU290" s="262"/>
      <c r="AV290" s="262"/>
      <c r="AW290" s="262"/>
      <c r="AX290" s="262"/>
      <c r="AY290" s="262"/>
      <c r="AZ290" s="262"/>
      <c r="BA290" s="262"/>
      <c r="BB290" s="262"/>
      <c r="BC290" s="262"/>
      <c r="BD290" s="262"/>
      <c r="BE290" s="262"/>
      <c r="BF290" s="262"/>
      <c r="BG290" s="262"/>
      <c r="BH290" s="262"/>
      <c r="BI290" s="262"/>
      <c r="BJ290" s="262"/>
      <c r="BK290" s="262"/>
      <c r="BL290" s="262"/>
      <c r="BM290" s="262"/>
      <c r="BN290" s="262"/>
      <c r="BO290" s="262"/>
      <c r="BP290" s="262"/>
      <c r="BQ290" s="262"/>
      <c r="BR290" s="262"/>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c r="ET290" s="7"/>
      <c r="EU290" s="7"/>
      <c r="EV290" s="7"/>
      <c r="EW290" s="7"/>
      <c r="EX290" s="7"/>
      <c r="EY290" s="7"/>
      <c r="EZ290" s="7"/>
      <c r="FA290" s="7"/>
      <c r="FB290" s="7"/>
      <c r="FC290" s="7"/>
      <c r="FD290" s="7"/>
      <c r="FE290" s="7"/>
      <c r="FF290" s="7"/>
      <c r="FG290" s="7"/>
      <c r="FH290" s="7"/>
      <c r="FI290" s="7"/>
      <c r="FJ290" s="7"/>
      <c r="FK290" s="7"/>
      <c r="FL290" s="7"/>
      <c r="FM290" s="7"/>
      <c r="FN290" s="7"/>
      <c r="FO290" s="7"/>
      <c r="FP290" s="7"/>
      <c r="FQ290" s="7"/>
      <c r="FR290" s="7"/>
      <c r="FS290" s="7"/>
    </row>
    <row r="291" spans="1:175" x14ac:dyDescent="0.25">
      <c r="A291" s="332"/>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262"/>
      <c r="AE291" s="262"/>
      <c r="AF291" s="262"/>
      <c r="AG291" s="262"/>
      <c r="AH291" s="262"/>
      <c r="AI291" s="262"/>
      <c r="AJ291" s="262"/>
      <c r="AK291" s="262"/>
      <c r="AL291" s="262"/>
      <c r="AM291" s="262"/>
      <c r="AN291" s="262"/>
      <c r="AO291" s="262"/>
      <c r="AP291" s="262"/>
      <c r="AQ291" s="262"/>
      <c r="AR291" s="262"/>
      <c r="AS291" s="262"/>
      <c r="AT291" s="262"/>
      <c r="AU291" s="262"/>
      <c r="AV291" s="262"/>
      <c r="AW291" s="262"/>
      <c r="AX291" s="262"/>
      <c r="AY291" s="262"/>
      <c r="AZ291" s="262"/>
      <c r="BA291" s="262"/>
      <c r="BB291" s="262"/>
      <c r="BC291" s="262"/>
      <c r="BD291" s="262"/>
      <c r="BE291" s="262"/>
      <c r="BF291" s="262"/>
      <c r="BG291" s="262"/>
      <c r="BH291" s="262"/>
      <c r="BI291" s="262"/>
      <c r="BJ291" s="262"/>
      <c r="BK291" s="262"/>
      <c r="BL291" s="262"/>
      <c r="BM291" s="262"/>
      <c r="BN291" s="262"/>
      <c r="BO291" s="262"/>
      <c r="BP291" s="262"/>
      <c r="BQ291" s="262"/>
      <c r="BR291" s="262"/>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c r="ET291" s="7"/>
      <c r="EU291" s="7"/>
      <c r="EV291" s="7"/>
      <c r="EW291" s="7"/>
      <c r="EX291" s="7"/>
      <c r="EY291" s="7"/>
      <c r="EZ291" s="7"/>
      <c r="FA291" s="7"/>
      <c r="FB291" s="7"/>
      <c r="FC291" s="7"/>
      <c r="FD291" s="7"/>
      <c r="FE291" s="7"/>
      <c r="FF291" s="7"/>
      <c r="FG291" s="7"/>
      <c r="FH291" s="7"/>
      <c r="FI291" s="7"/>
      <c r="FJ291" s="7"/>
      <c r="FK291" s="7"/>
      <c r="FL291" s="7"/>
      <c r="FM291" s="7"/>
      <c r="FN291" s="7"/>
      <c r="FO291" s="7"/>
      <c r="FP291" s="7"/>
      <c r="FQ291" s="7"/>
      <c r="FR291" s="7"/>
      <c r="FS291" s="7"/>
    </row>
    <row r="292" spans="1:175" x14ac:dyDescent="0.25">
      <c r="A292" s="332"/>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262"/>
      <c r="AE292" s="262"/>
      <c r="AF292" s="262"/>
      <c r="AG292" s="262"/>
      <c r="AH292" s="262"/>
      <c r="AI292" s="262"/>
      <c r="AJ292" s="262"/>
      <c r="AK292" s="262"/>
      <c r="AL292" s="262"/>
      <c r="AM292" s="262"/>
      <c r="AN292" s="262"/>
      <c r="AO292" s="262"/>
      <c r="AP292" s="262"/>
      <c r="AQ292" s="262"/>
      <c r="AR292" s="262"/>
      <c r="AS292" s="262"/>
      <c r="AT292" s="262"/>
      <c r="AU292" s="262"/>
      <c r="AV292" s="262"/>
      <c r="AW292" s="262"/>
      <c r="AX292" s="262"/>
      <c r="AY292" s="262"/>
      <c r="AZ292" s="262"/>
      <c r="BA292" s="262"/>
      <c r="BB292" s="262"/>
      <c r="BC292" s="262"/>
      <c r="BD292" s="262"/>
      <c r="BE292" s="262"/>
      <c r="BF292" s="262"/>
      <c r="BG292" s="262"/>
      <c r="BH292" s="262"/>
      <c r="BI292" s="262"/>
      <c r="BJ292" s="262"/>
      <c r="BK292" s="262"/>
      <c r="BL292" s="262"/>
      <c r="BM292" s="262"/>
      <c r="BN292" s="262"/>
      <c r="BO292" s="262"/>
      <c r="BP292" s="262"/>
      <c r="BQ292" s="262"/>
      <c r="BR292" s="262"/>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c r="ET292" s="7"/>
      <c r="EU292" s="7"/>
      <c r="EV292" s="7"/>
      <c r="EW292" s="7"/>
      <c r="EX292" s="7"/>
      <c r="EY292" s="7"/>
      <c r="EZ292" s="7"/>
      <c r="FA292" s="7"/>
      <c r="FB292" s="7"/>
      <c r="FC292" s="7"/>
      <c r="FD292" s="7"/>
      <c r="FE292" s="7"/>
      <c r="FF292" s="7"/>
      <c r="FG292" s="7"/>
      <c r="FH292" s="7"/>
      <c r="FI292" s="7"/>
      <c r="FJ292" s="7"/>
      <c r="FK292" s="7"/>
      <c r="FL292" s="7"/>
      <c r="FM292" s="7"/>
      <c r="FN292" s="7"/>
      <c r="FO292" s="7"/>
      <c r="FP292" s="7"/>
      <c r="FQ292" s="7"/>
      <c r="FR292" s="7"/>
      <c r="FS292" s="7"/>
    </row>
    <row r="293" spans="1:175" x14ac:dyDescent="0.25">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c r="ET293" s="7"/>
      <c r="EU293" s="7"/>
      <c r="EV293" s="7"/>
      <c r="EW293" s="7"/>
      <c r="EX293" s="7"/>
      <c r="EY293" s="7"/>
      <c r="EZ293" s="7"/>
      <c r="FA293" s="7"/>
      <c r="FB293" s="7"/>
      <c r="FC293" s="7"/>
      <c r="FD293" s="7"/>
      <c r="FE293" s="7"/>
      <c r="FF293" s="7"/>
      <c r="FG293" s="7"/>
      <c r="FH293" s="7"/>
      <c r="FI293" s="7"/>
      <c r="FJ293" s="7"/>
      <c r="FK293" s="7"/>
      <c r="FL293" s="7"/>
      <c r="FM293" s="7"/>
      <c r="FN293" s="7"/>
      <c r="FO293" s="7"/>
      <c r="FP293" s="7"/>
      <c r="FQ293" s="7"/>
      <c r="FR293" s="7"/>
      <c r="FS293" s="7"/>
    </row>
    <row r="294" spans="1:175" x14ac:dyDescent="0.25">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c r="ET294" s="7"/>
      <c r="EU294" s="7"/>
      <c r="EV294" s="7"/>
      <c r="EW294" s="7"/>
      <c r="EX294" s="7"/>
      <c r="EY294" s="7"/>
      <c r="EZ294" s="7"/>
      <c r="FA294" s="7"/>
      <c r="FB294" s="7"/>
      <c r="FC294" s="7"/>
      <c r="FD294" s="7"/>
      <c r="FE294" s="7"/>
      <c r="FF294" s="7"/>
      <c r="FG294" s="7"/>
      <c r="FH294" s="7"/>
      <c r="FI294" s="7"/>
      <c r="FJ294" s="7"/>
      <c r="FK294" s="7"/>
      <c r="FL294" s="7"/>
      <c r="FM294" s="7"/>
      <c r="FN294" s="7"/>
      <c r="FO294" s="7"/>
      <c r="FP294" s="7"/>
      <c r="FQ294" s="7"/>
      <c r="FR294" s="7"/>
      <c r="FS294" s="7"/>
    </row>
    <row r="295" spans="1:175" x14ac:dyDescent="0.25">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c r="ET295" s="7"/>
      <c r="EU295" s="7"/>
      <c r="EV295" s="7"/>
      <c r="EW295" s="7"/>
      <c r="EX295" s="7"/>
      <c r="EY295" s="7"/>
      <c r="EZ295" s="7"/>
      <c r="FA295" s="7"/>
      <c r="FB295" s="7"/>
      <c r="FC295" s="7"/>
      <c r="FD295" s="7"/>
      <c r="FE295" s="7"/>
      <c r="FF295" s="7"/>
      <c r="FG295" s="7"/>
      <c r="FH295" s="7"/>
      <c r="FI295" s="7"/>
      <c r="FJ295" s="7"/>
      <c r="FK295" s="7"/>
      <c r="FL295" s="7"/>
      <c r="FM295" s="7"/>
      <c r="FN295" s="7"/>
      <c r="FO295" s="7"/>
      <c r="FP295" s="7"/>
      <c r="FQ295" s="7"/>
      <c r="FR295" s="7"/>
      <c r="FS295" s="7"/>
    </row>
    <row r="296" spans="1:175" x14ac:dyDescent="0.25">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c r="ET296" s="7"/>
      <c r="EU296" s="7"/>
      <c r="EV296" s="7"/>
      <c r="EW296" s="7"/>
      <c r="EX296" s="7"/>
      <c r="EY296" s="7"/>
      <c r="EZ296" s="7"/>
      <c r="FA296" s="7"/>
      <c r="FB296" s="7"/>
      <c r="FC296" s="7"/>
      <c r="FD296" s="7"/>
      <c r="FE296" s="7"/>
      <c r="FF296" s="7"/>
      <c r="FG296" s="7"/>
      <c r="FH296" s="7"/>
      <c r="FI296" s="7"/>
      <c r="FJ296" s="7"/>
      <c r="FK296" s="7"/>
      <c r="FL296" s="7"/>
      <c r="FM296" s="7"/>
      <c r="FN296" s="7"/>
      <c r="FO296" s="7"/>
      <c r="FP296" s="7"/>
      <c r="FQ296" s="7"/>
      <c r="FR296" s="7"/>
      <c r="FS296" s="7"/>
    </row>
    <row r="297" spans="1:175" x14ac:dyDescent="0.25">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c r="ET297" s="7"/>
      <c r="EU297" s="7"/>
      <c r="EV297" s="7"/>
      <c r="EW297" s="7"/>
      <c r="EX297" s="7"/>
      <c r="EY297" s="7"/>
      <c r="EZ297" s="7"/>
      <c r="FA297" s="7"/>
      <c r="FB297" s="7"/>
      <c r="FC297" s="7"/>
      <c r="FD297" s="7"/>
      <c r="FE297" s="7"/>
      <c r="FF297" s="7"/>
      <c r="FG297" s="7"/>
      <c r="FH297" s="7"/>
      <c r="FI297" s="7"/>
      <c r="FJ297" s="7"/>
      <c r="FK297" s="7"/>
      <c r="FL297" s="7"/>
      <c r="FM297" s="7"/>
      <c r="FN297" s="7"/>
      <c r="FO297" s="7"/>
      <c r="FP297" s="7"/>
      <c r="FQ297" s="7"/>
      <c r="FR297" s="7"/>
      <c r="FS297" s="7"/>
    </row>
    <row r="298" spans="1:175" x14ac:dyDescent="0.25">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c r="FQ298" s="7"/>
      <c r="FR298" s="7"/>
      <c r="FS298" s="7"/>
    </row>
    <row r="299" spans="1:175" x14ac:dyDescent="0.25">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row>
    <row r="300" spans="1:175" x14ac:dyDescent="0.25">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c r="ET300" s="7"/>
      <c r="EU300" s="7"/>
      <c r="EV300" s="7"/>
      <c r="EW300" s="7"/>
      <c r="EX300" s="7"/>
      <c r="EY300" s="7"/>
      <c r="EZ300" s="7"/>
      <c r="FA300" s="7"/>
      <c r="FB300" s="7"/>
      <c r="FC300" s="7"/>
      <c r="FD300" s="7"/>
      <c r="FE300" s="7"/>
      <c r="FF300" s="7"/>
      <c r="FG300" s="7"/>
      <c r="FH300" s="7"/>
      <c r="FI300" s="7"/>
      <c r="FJ300" s="7"/>
      <c r="FK300" s="7"/>
      <c r="FL300" s="7"/>
      <c r="FM300" s="7"/>
      <c r="FN300" s="7"/>
      <c r="FO300" s="7"/>
      <c r="FP300" s="7"/>
      <c r="FQ300" s="7"/>
      <c r="FR300" s="7"/>
      <c r="FS300" s="7"/>
    </row>
    <row r="301" spans="1:175" x14ac:dyDescent="0.25">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c r="ET301" s="7"/>
      <c r="EU301" s="7"/>
      <c r="EV301" s="7"/>
      <c r="EW301" s="7"/>
      <c r="EX301" s="7"/>
      <c r="EY301" s="7"/>
      <c r="EZ301" s="7"/>
      <c r="FA301" s="7"/>
      <c r="FB301" s="7"/>
      <c r="FC301" s="7"/>
      <c r="FD301" s="7"/>
      <c r="FE301" s="7"/>
      <c r="FF301" s="7"/>
      <c r="FG301" s="7"/>
      <c r="FH301" s="7"/>
      <c r="FI301" s="7"/>
      <c r="FJ301" s="7"/>
      <c r="FK301" s="7"/>
      <c r="FL301" s="7"/>
      <c r="FM301" s="7"/>
      <c r="FN301" s="7"/>
      <c r="FO301" s="7"/>
      <c r="FP301" s="7"/>
      <c r="FQ301" s="7"/>
      <c r="FR301" s="7"/>
      <c r="FS301" s="7"/>
    </row>
    <row r="302" spans="1:175" x14ac:dyDescent="0.25">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7"/>
      <c r="EV302" s="7"/>
      <c r="EW302" s="7"/>
      <c r="EX302" s="7"/>
      <c r="EY302" s="7"/>
      <c r="EZ302" s="7"/>
      <c r="FA302" s="7"/>
      <c r="FB302" s="7"/>
      <c r="FC302" s="7"/>
      <c r="FD302" s="7"/>
      <c r="FE302" s="7"/>
      <c r="FF302" s="7"/>
      <c r="FG302" s="7"/>
      <c r="FH302" s="7"/>
      <c r="FI302" s="7"/>
      <c r="FJ302" s="7"/>
      <c r="FK302" s="7"/>
      <c r="FL302" s="7"/>
      <c r="FM302" s="7"/>
      <c r="FN302" s="7"/>
      <c r="FO302" s="7"/>
      <c r="FP302" s="7"/>
      <c r="FQ302" s="7"/>
      <c r="FR302" s="7"/>
      <c r="FS302" s="7"/>
    </row>
    <row r="303" spans="1:175" x14ac:dyDescent="0.25">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c r="ET303" s="7"/>
      <c r="EU303" s="7"/>
      <c r="EV303" s="7"/>
      <c r="EW303" s="7"/>
      <c r="EX303" s="7"/>
      <c r="EY303" s="7"/>
      <c r="EZ303" s="7"/>
      <c r="FA303" s="7"/>
      <c r="FB303" s="7"/>
      <c r="FC303" s="7"/>
      <c r="FD303" s="7"/>
      <c r="FE303" s="7"/>
      <c r="FF303" s="7"/>
      <c r="FG303" s="7"/>
      <c r="FH303" s="7"/>
      <c r="FI303" s="7"/>
      <c r="FJ303" s="7"/>
      <c r="FK303" s="7"/>
      <c r="FL303" s="7"/>
      <c r="FM303" s="7"/>
      <c r="FN303" s="7"/>
      <c r="FO303" s="7"/>
      <c r="FP303" s="7"/>
      <c r="FQ303" s="7"/>
      <c r="FR303" s="7"/>
      <c r="FS303" s="7"/>
    </row>
    <row r="304" spans="1:175" x14ac:dyDescent="0.25">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c r="ET304" s="7"/>
      <c r="EU304" s="7"/>
      <c r="EV304" s="7"/>
      <c r="EW304" s="7"/>
      <c r="EX304" s="7"/>
      <c r="EY304" s="7"/>
      <c r="EZ304" s="7"/>
      <c r="FA304" s="7"/>
      <c r="FB304" s="7"/>
      <c r="FC304" s="7"/>
      <c r="FD304" s="7"/>
      <c r="FE304" s="7"/>
      <c r="FF304" s="7"/>
      <c r="FG304" s="7"/>
      <c r="FH304" s="7"/>
      <c r="FI304" s="7"/>
      <c r="FJ304" s="7"/>
      <c r="FK304" s="7"/>
      <c r="FL304" s="7"/>
      <c r="FM304" s="7"/>
      <c r="FN304" s="7"/>
      <c r="FO304" s="7"/>
      <c r="FP304" s="7"/>
      <c r="FQ304" s="7"/>
      <c r="FR304" s="7"/>
      <c r="FS304" s="7"/>
    </row>
    <row r="305" spans="84:175" x14ac:dyDescent="0.25">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7"/>
      <c r="ET305" s="7"/>
      <c r="EU305" s="7"/>
      <c r="EV305" s="7"/>
      <c r="EW305" s="7"/>
      <c r="EX305" s="7"/>
      <c r="EY305" s="7"/>
      <c r="EZ305" s="7"/>
      <c r="FA305" s="7"/>
      <c r="FB305" s="7"/>
      <c r="FC305" s="7"/>
      <c r="FD305" s="7"/>
      <c r="FE305" s="7"/>
      <c r="FF305" s="7"/>
      <c r="FG305" s="7"/>
      <c r="FH305" s="7"/>
      <c r="FI305" s="7"/>
      <c r="FJ305" s="7"/>
      <c r="FK305" s="7"/>
      <c r="FL305" s="7"/>
      <c r="FM305" s="7"/>
      <c r="FN305" s="7"/>
      <c r="FO305" s="7"/>
      <c r="FP305" s="7"/>
      <c r="FQ305" s="7"/>
      <c r="FR305" s="7"/>
      <c r="FS305" s="7"/>
    </row>
    <row r="306" spans="84:175" x14ac:dyDescent="0.25">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7"/>
      <c r="ET306" s="7"/>
      <c r="EU306" s="7"/>
      <c r="EV306" s="7"/>
      <c r="EW306" s="7"/>
      <c r="EX306" s="7"/>
      <c r="EY306" s="7"/>
      <c r="EZ306" s="7"/>
      <c r="FA306" s="7"/>
      <c r="FB306" s="7"/>
      <c r="FC306" s="7"/>
      <c r="FD306" s="7"/>
      <c r="FE306" s="7"/>
      <c r="FF306" s="7"/>
      <c r="FG306" s="7"/>
      <c r="FH306" s="7"/>
      <c r="FI306" s="7"/>
      <c r="FJ306" s="7"/>
      <c r="FK306" s="7"/>
      <c r="FL306" s="7"/>
      <c r="FM306" s="7"/>
      <c r="FN306" s="7"/>
      <c r="FO306" s="7"/>
      <c r="FP306" s="7"/>
      <c r="FQ306" s="7"/>
      <c r="FR306" s="7"/>
      <c r="FS306" s="7"/>
    </row>
    <row r="307" spans="84:175" x14ac:dyDescent="0.25">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7"/>
      <c r="ET307" s="7"/>
      <c r="EU307" s="7"/>
      <c r="EV307" s="7"/>
      <c r="EW307" s="7"/>
      <c r="EX307" s="7"/>
      <c r="EY307" s="7"/>
      <c r="EZ307" s="7"/>
      <c r="FA307" s="7"/>
      <c r="FB307" s="7"/>
      <c r="FC307" s="7"/>
      <c r="FD307" s="7"/>
      <c r="FE307" s="7"/>
      <c r="FF307" s="7"/>
      <c r="FG307" s="7"/>
      <c r="FH307" s="7"/>
      <c r="FI307" s="7"/>
      <c r="FJ307" s="7"/>
      <c r="FK307" s="7"/>
      <c r="FL307" s="7"/>
      <c r="FM307" s="7"/>
      <c r="FN307" s="7"/>
      <c r="FO307" s="7"/>
      <c r="FP307" s="7"/>
      <c r="FQ307" s="7"/>
      <c r="FR307" s="7"/>
      <c r="FS307" s="7"/>
    </row>
    <row r="308" spans="84:175" x14ac:dyDescent="0.25">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c r="ET308" s="7"/>
      <c r="EU308" s="7"/>
      <c r="EV308" s="7"/>
      <c r="EW308" s="7"/>
      <c r="EX308" s="7"/>
      <c r="EY308" s="7"/>
      <c r="EZ308" s="7"/>
      <c r="FA308" s="7"/>
      <c r="FB308" s="7"/>
      <c r="FC308" s="7"/>
      <c r="FD308" s="7"/>
      <c r="FE308" s="7"/>
      <c r="FF308" s="7"/>
      <c r="FG308" s="7"/>
      <c r="FH308" s="7"/>
      <c r="FI308" s="7"/>
      <c r="FJ308" s="7"/>
      <c r="FK308" s="7"/>
      <c r="FL308" s="7"/>
      <c r="FM308" s="7"/>
      <c r="FN308" s="7"/>
      <c r="FO308" s="7"/>
      <c r="FP308" s="7"/>
      <c r="FQ308" s="7"/>
      <c r="FR308" s="7"/>
      <c r="FS308" s="7"/>
    </row>
    <row r="309" spans="84:175" x14ac:dyDescent="0.25">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c r="ET309" s="7"/>
      <c r="EU309" s="7"/>
      <c r="EV309" s="7"/>
      <c r="EW309" s="7"/>
      <c r="EX309" s="7"/>
      <c r="EY309" s="7"/>
      <c r="EZ309" s="7"/>
      <c r="FA309" s="7"/>
      <c r="FB309" s="7"/>
      <c r="FC309" s="7"/>
      <c r="FD309" s="7"/>
      <c r="FE309" s="7"/>
      <c r="FF309" s="7"/>
      <c r="FG309" s="7"/>
      <c r="FH309" s="7"/>
      <c r="FI309" s="7"/>
      <c r="FJ309" s="7"/>
      <c r="FK309" s="7"/>
      <c r="FL309" s="7"/>
      <c r="FM309" s="7"/>
      <c r="FN309" s="7"/>
      <c r="FO309" s="7"/>
      <c r="FP309" s="7"/>
      <c r="FQ309" s="7"/>
      <c r="FR309" s="7"/>
      <c r="FS309" s="7"/>
    </row>
    <row r="310" spans="84:175" x14ac:dyDescent="0.25">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c r="ET310" s="7"/>
      <c r="EU310" s="7"/>
      <c r="EV310" s="7"/>
      <c r="EW310" s="7"/>
      <c r="EX310" s="7"/>
      <c r="EY310" s="7"/>
      <c r="EZ310" s="7"/>
      <c r="FA310" s="7"/>
      <c r="FB310" s="7"/>
      <c r="FC310" s="7"/>
      <c r="FD310" s="7"/>
      <c r="FE310" s="7"/>
      <c r="FF310" s="7"/>
      <c r="FG310" s="7"/>
      <c r="FH310" s="7"/>
      <c r="FI310" s="7"/>
      <c r="FJ310" s="7"/>
      <c r="FK310" s="7"/>
      <c r="FL310" s="7"/>
      <c r="FM310" s="7"/>
      <c r="FN310" s="7"/>
      <c r="FO310" s="7"/>
      <c r="FP310" s="7"/>
      <c r="FQ310" s="7"/>
      <c r="FR310" s="7"/>
      <c r="FS310" s="7"/>
    </row>
    <row r="311" spans="84:175" x14ac:dyDescent="0.25">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c r="ET311" s="7"/>
      <c r="EU311" s="7"/>
      <c r="EV311" s="7"/>
      <c r="EW311" s="7"/>
      <c r="EX311" s="7"/>
      <c r="EY311" s="7"/>
      <c r="EZ311" s="7"/>
      <c r="FA311" s="7"/>
      <c r="FB311" s="7"/>
      <c r="FC311" s="7"/>
      <c r="FD311" s="7"/>
      <c r="FE311" s="7"/>
      <c r="FF311" s="7"/>
      <c r="FG311" s="7"/>
      <c r="FH311" s="7"/>
      <c r="FI311" s="7"/>
      <c r="FJ311" s="7"/>
      <c r="FK311" s="7"/>
      <c r="FL311" s="7"/>
      <c r="FM311" s="7"/>
      <c r="FN311" s="7"/>
      <c r="FO311" s="7"/>
      <c r="FP311" s="7"/>
      <c r="FQ311" s="7"/>
      <c r="FR311" s="7"/>
      <c r="FS311" s="7"/>
    </row>
    <row r="312" spans="84:175" x14ac:dyDescent="0.25">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7"/>
      <c r="EK312" s="7"/>
      <c r="EL312" s="7"/>
      <c r="EM312" s="7"/>
      <c r="EN312" s="7"/>
      <c r="EO312" s="7"/>
      <c r="EP312" s="7"/>
      <c r="EQ312" s="7"/>
      <c r="ER312" s="7"/>
      <c r="ES312" s="7"/>
      <c r="ET312" s="7"/>
      <c r="EU312" s="7"/>
      <c r="EV312" s="7"/>
      <c r="EW312" s="7"/>
      <c r="EX312" s="7"/>
      <c r="EY312" s="7"/>
      <c r="EZ312" s="7"/>
      <c r="FA312" s="7"/>
      <c r="FB312" s="7"/>
      <c r="FC312" s="7"/>
      <c r="FD312" s="7"/>
      <c r="FE312" s="7"/>
      <c r="FF312" s="7"/>
      <c r="FG312" s="7"/>
      <c r="FH312" s="7"/>
      <c r="FI312" s="7"/>
      <c r="FJ312" s="7"/>
      <c r="FK312" s="7"/>
      <c r="FL312" s="7"/>
      <c r="FM312" s="7"/>
      <c r="FN312" s="7"/>
      <c r="FO312" s="7"/>
      <c r="FP312" s="7"/>
      <c r="FQ312" s="7"/>
      <c r="FR312" s="7"/>
      <c r="FS312" s="7"/>
    </row>
    <row r="313" spans="84:175" x14ac:dyDescent="0.25">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7"/>
      <c r="ET313" s="7"/>
      <c r="EU313" s="7"/>
      <c r="EV313" s="7"/>
      <c r="EW313" s="7"/>
      <c r="EX313" s="7"/>
      <c r="EY313" s="7"/>
      <c r="EZ313" s="7"/>
      <c r="FA313" s="7"/>
      <c r="FB313" s="7"/>
      <c r="FC313" s="7"/>
      <c r="FD313" s="7"/>
      <c r="FE313" s="7"/>
      <c r="FF313" s="7"/>
      <c r="FG313" s="7"/>
      <c r="FH313" s="7"/>
      <c r="FI313" s="7"/>
      <c r="FJ313" s="7"/>
      <c r="FK313" s="7"/>
      <c r="FL313" s="7"/>
      <c r="FM313" s="7"/>
      <c r="FN313" s="7"/>
      <c r="FO313" s="7"/>
      <c r="FP313" s="7"/>
      <c r="FQ313" s="7"/>
      <c r="FR313" s="7"/>
      <c r="FS313" s="7"/>
    </row>
    <row r="314" spans="84:175" x14ac:dyDescent="0.25">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7"/>
      <c r="ET314" s="7"/>
      <c r="EU314" s="7"/>
      <c r="EV314" s="7"/>
      <c r="EW314" s="7"/>
      <c r="EX314" s="7"/>
      <c r="EY314" s="7"/>
      <c r="EZ314" s="7"/>
      <c r="FA314" s="7"/>
      <c r="FB314" s="7"/>
      <c r="FC314" s="7"/>
      <c r="FD314" s="7"/>
      <c r="FE314" s="7"/>
      <c r="FF314" s="7"/>
      <c r="FG314" s="7"/>
      <c r="FH314" s="7"/>
      <c r="FI314" s="7"/>
      <c r="FJ314" s="7"/>
      <c r="FK314" s="7"/>
      <c r="FL314" s="7"/>
      <c r="FM314" s="7"/>
      <c r="FN314" s="7"/>
      <c r="FO314" s="7"/>
      <c r="FP314" s="7"/>
      <c r="FQ314" s="7"/>
      <c r="FR314" s="7"/>
      <c r="FS314" s="7"/>
    </row>
    <row r="315" spans="84:175" x14ac:dyDescent="0.25">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c r="EJ315" s="7"/>
      <c r="EK315" s="7"/>
      <c r="EL315" s="7"/>
      <c r="EM315" s="7"/>
      <c r="EN315" s="7"/>
      <c r="EO315" s="7"/>
      <c r="EP315" s="7"/>
      <c r="EQ315" s="7"/>
      <c r="ER315" s="7"/>
      <c r="ES315" s="7"/>
      <c r="ET315" s="7"/>
      <c r="EU315" s="7"/>
      <c r="EV315" s="7"/>
      <c r="EW315" s="7"/>
      <c r="EX315" s="7"/>
      <c r="EY315" s="7"/>
      <c r="EZ315" s="7"/>
      <c r="FA315" s="7"/>
      <c r="FB315" s="7"/>
      <c r="FC315" s="7"/>
      <c r="FD315" s="7"/>
      <c r="FE315" s="7"/>
      <c r="FF315" s="7"/>
      <c r="FG315" s="7"/>
      <c r="FH315" s="7"/>
      <c r="FI315" s="7"/>
      <c r="FJ315" s="7"/>
      <c r="FK315" s="7"/>
      <c r="FL315" s="7"/>
      <c r="FM315" s="7"/>
      <c r="FN315" s="7"/>
      <c r="FO315" s="7"/>
      <c r="FP315" s="7"/>
      <c r="FQ315" s="7"/>
      <c r="FR315" s="7"/>
      <c r="FS315" s="7"/>
    </row>
    <row r="316" spans="84:175" x14ac:dyDescent="0.25">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c r="EJ316" s="7"/>
      <c r="EK316" s="7"/>
      <c r="EL316" s="7"/>
      <c r="EM316" s="7"/>
      <c r="EN316" s="7"/>
      <c r="EO316" s="7"/>
      <c r="EP316" s="7"/>
      <c r="EQ316" s="7"/>
      <c r="ER316" s="7"/>
      <c r="ES316" s="7"/>
      <c r="ET316" s="7"/>
      <c r="EU316" s="7"/>
      <c r="EV316" s="7"/>
      <c r="EW316" s="7"/>
      <c r="EX316" s="7"/>
      <c r="EY316" s="7"/>
      <c r="EZ316" s="7"/>
      <c r="FA316" s="7"/>
      <c r="FB316" s="7"/>
      <c r="FC316" s="7"/>
      <c r="FD316" s="7"/>
      <c r="FE316" s="7"/>
      <c r="FF316" s="7"/>
      <c r="FG316" s="7"/>
      <c r="FH316" s="7"/>
      <c r="FI316" s="7"/>
      <c r="FJ316" s="7"/>
      <c r="FK316" s="7"/>
      <c r="FL316" s="7"/>
      <c r="FM316" s="7"/>
      <c r="FN316" s="7"/>
      <c r="FO316" s="7"/>
      <c r="FP316" s="7"/>
      <c r="FQ316" s="7"/>
      <c r="FR316" s="7"/>
      <c r="FS316" s="7"/>
    </row>
    <row r="317" spans="84:175" x14ac:dyDescent="0.25">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c r="EJ317" s="7"/>
      <c r="EK317" s="7"/>
      <c r="EL317" s="7"/>
      <c r="EM317" s="7"/>
      <c r="EN317" s="7"/>
      <c r="EO317" s="7"/>
      <c r="EP317" s="7"/>
      <c r="EQ317" s="7"/>
      <c r="ER317" s="7"/>
      <c r="ES317" s="7"/>
      <c r="ET317" s="7"/>
      <c r="EU317" s="7"/>
      <c r="EV317" s="7"/>
      <c r="EW317" s="7"/>
      <c r="EX317" s="7"/>
      <c r="EY317" s="7"/>
      <c r="EZ317" s="7"/>
      <c r="FA317" s="7"/>
      <c r="FB317" s="7"/>
      <c r="FC317" s="7"/>
      <c r="FD317" s="7"/>
      <c r="FE317" s="7"/>
      <c r="FF317" s="7"/>
      <c r="FG317" s="7"/>
      <c r="FH317" s="7"/>
      <c r="FI317" s="7"/>
      <c r="FJ317" s="7"/>
      <c r="FK317" s="7"/>
      <c r="FL317" s="7"/>
      <c r="FM317" s="7"/>
      <c r="FN317" s="7"/>
      <c r="FO317" s="7"/>
      <c r="FP317" s="7"/>
      <c r="FQ317" s="7"/>
      <c r="FR317" s="7"/>
      <c r="FS317" s="7"/>
    </row>
    <row r="318" spans="84:175" x14ac:dyDescent="0.25">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c r="ET318" s="7"/>
      <c r="EU318" s="7"/>
      <c r="EV318" s="7"/>
      <c r="EW318" s="7"/>
      <c r="EX318" s="7"/>
      <c r="EY318" s="7"/>
      <c r="EZ318" s="7"/>
      <c r="FA318" s="7"/>
      <c r="FB318" s="7"/>
      <c r="FC318" s="7"/>
      <c r="FD318" s="7"/>
      <c r="FE318" s="7"/>
      <c r="FF318" s="7"/>
      <c r="FG318" s="7"/>
      <c r="FH318" s="7"/>
      <c r="FI318" s="7"/>
      <c r="FJ318" s="7"/>
      <c r="FK318" s="7"/>
      <c r="FL318" s="7"/>
      <c r="FM318" s="7"/>
      <c r="FN318" s="7"/>
      <c r="FO318" s="7"/>
      <c r="FP318" s="7"/>
      <c r="FQ318" s="7"/>
      <c r="FR318" s="7"/>
      <c r="FS318" s="7"/>
    </row>
    <row r="319" spans="84:175" x14ac:dyDescent="0.25">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c r="EJ319" s="7"/>
      <c r="EK319" s="7"/>
      <c r="EL319" s="7"/>
      <c r="EM319" s="7"/>
      <c r="EN319" s="7"/>
      <c r="EO319" s="7"/>
      <c r="EP319" s="7"/>
      <c r="EQ319" s="7"/>
      <c r="ER319" s="7"/>
      <c r="ES319" s="7"/>
      <c r="ET319" s="7"/>
      <c r="EU319" s="7"/>
      <c r="EV319" s="7"/>
      <c r="EW319" s="7"/>
      <c r="EX319" s="7"/>
      <c r="EY319" s="7"/>
      <c r="EZ319" s="7"/>
      <c r="FA319" s="7"/>
      <c r="FB319" s="7"/>
      <c r="FC319" s="7"/>
      <c r="FD319" s="7"/>
      <c r="FE319" s="7"/>
      <c r="FF319" s="7"/>
      <c r="FG319" s="7"/>
      <c r="FH319" s="7"/>
      <c r="FI319" s="7"/>
      <c r="FJ319" s="7"/>
      <c r="FK319" s="7"/>
      <c r="FL319" s="7"/>
      <c r="FM319" s="7"/>
      <c r="FN319" s="7"/>
      <c r="FO319" s="7"/>
      <c r="FP319" s="7"/>
      <c r="FQ319" s="7"/>
      <c r="FR319" s="7"/>
      <c r="FS319" s="7"/>
    </row>
    <row r="320" spans="84:175" x14ac:dyDescent="0.25">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c r="EJ320" s="7"/>
      <c r="EK320" s="7"/>
      <c r="EL320" s="7"/>
      <c r="EM320" s="7"/>
      <c r="EN320" s="7"/>
      <c r="EO320" s="7"/>
      <c r="EP320" s="7"/>
      <c r="EQ320" s="7"/>
      <c r="ER320" s="7"/>
      <c r="ES320" s="7"/>
      <c r="ET320" s="7"/>
      <c r="EU320" s="7"/>
      <c r="EV320" s="7"/>
      <c r="EW320" s="7"/>
      <c r="EX320" s="7"/>
      <c r="EY320" s="7"/>
      <c r="EZ320" s="7"/>
      <c r="FA320" s="7"/>
      <c r="FB320" s="7"/>
      <c r="FC320" s="7"/>
      <c r="FD320" s="7"/>
      <c r="FE320" s="7"/>
      <c r="FF320" s="7"/>
      <c r="FG320" s="7"/>
      <c r="FH320" s="7"/>
      <c r="FI320" s="7"/>
      <c r="FJ320" s="7"/>
      <c r="FK320" s="7"/>
      <c r="FL320" s="7"/>
      <c r="FM320" s="7"/>
      <c r="FN320" s="7"/>
      <c r="FO320" s="7"/>
      <c r="FP320" s="7"/>
      <c r="FQ320" s="7"/>
      <c r="FR320" s="7"/>
      <c r="FS320" s="7"/>
    </row>
    <row r="321" spans="84:175" x14ac:dyDescent="0.25">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c r="EL321" s="7"/>
      <c r="EM321" s="7"/>
      <c r="EN321" s="7"/>
      <c r="EO321" s="7"/>
      <c r="EP321" s="7"/>
      <c r="EQ321" s="7"/>
      <c r="ER321" s="7"/>
      <c r="ES321" s="7"/>
      <c r="ET321" s="7"/>
      <c r="EU321" s="7"/>
      <c r="EV321" s="7"/>
      <c r="EW321" s="7"/>
      <c r="EX321" s="7"/>
      <c r="EY321" s="7"/>
      <c r="EZ321" s="7"/>
      <c r="FA321" s="7"/>
      <c r="FB321" s="7"/>
      <c r="FC321" s="7"/>
      <c r="FD321" s="7"/>
      <c r="FE321" s="7"/>
      <c r="FF321" s="7"/>
      <c r="FG321" s="7"/>
      <c r="FH321" s="7"/>
      <c r="FI321" s="7"/>
      <c r="FJ321" s="7"/>
      <c r="FK321" s="7"/>
      <c r="FL321" s="7"/>
      <c r="FM321" s="7"/>
      <c r="FN321" s="7"/>
      <c r="FO321" s="7"/>
      <c r="FP321" s="7"/>
      <c r="FQ321" s="7"/>
      <c r="FR321" s="7"/>
      <c r="FS321" s="7"/>
    </row>
    <row r="322" spans="84:175" x14ac:dyDescent="0.25">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c r="EJ322" s="7"/>
      <c r="EK322" s="7"/>
      <c r="EL322" s="7"/>
      <c r="EM322" s="7"/>
      <c r="EN322" s="7"/>
      <c r="EO322" s="7"/>
      <c r="EP322" s="7"/>
      <c r="EQ322" s="7"/>
      <c r="ER322" s="7"/>
      <c r="ES322" s="7"/>
      <c r="ET322" s="7"/>
      <c r="EU322" s="7"/>
      <c r="EV322" s="7"/>
      <c r="EW322" s="7"/>
      <c r="EX322" s="7"/>
      <c r="EY322" s="7"/>
      <c r="EZ322" s="7"/>
      <c r="FA322" s="7"/>
      <c r="FB322" s="7"/>
      <c r="FC322" s="7"/>
      <c r="FD322" s="7"/>
      <c r="FE322" s="7"/>
      <c r="FF322" s="7"/>
      <c r="FG322" s="7"/>
      <c r="FH322" s="7"/>
      <c r="FI322" s="7"/>
      <c r="FJ322" s="7"/>
      <c r="FK322" s="7"/>
      <c r="FL322" s="7"/>
      <c r="FM322" s="7"/>
      <c r="FN322" s="7"/>
      <c r="FO322" s="7"/>
      <c r="FP322" s="7"/>
      <c r="FQ322" s="7"/>
      <c r="FR322" s="7"/>
      <c r="FS322" s="7"/>
    </row>
    <row r="323" spans="84:175" x14ac:dyDescent="0.25">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c r="EJ323" s="7"/>
      <c r="EK323" s="7"/>
      <c r="EL323" s="7"/>
      <c r="EM323" s="7"/>
      <c r="EN323" s="7"/>
      <c r="EO323" s="7"/>
      <c r="EP323" s="7"/>
      <c r="EQ323" s="7"/>
      <c r="ER323" s="7"/>
      <c r="ES323" s="7"/>
      <c r="ET323" s="7"/>
      <c r="EU323" s="7"/>
      <c r="EV323" s="7"/>
      <c r="EW323" s="7"/>
      <c r="EX323" s="7"/>
      <c r="EY323" s="7"/>
      <c r="EZ323" s="7"/>
      <c r="FA323" s="7"/>
      <c r="FB323" s="7"/>
      <c r="FC323" s="7"/>
      <c r="FD323" s="7"/>
      <c r="FE323" s="7"/>
      <c r="FF323" s="7"/>
      <c r="FG323" s="7"/>
      <c r="FH323" s="7"/>
      <c r="FI323" s="7"/>
      <c r="FJ323" s="7"/>
      <c r="FK323" s="7"/>
      <c r="FL323" s="7"/>
      <c r="FM323" s="7"/>
      <c r="FN323" s="7"/>
      <c r="FO323" s="7"/>
      <c r="FP323" s="7"/>
      <c r="FQ323" s="7"/>
      <c r="FR323" s="7"/>
      <c r="FS323" s="7"/>
    </row>
    <row r="324" spans="84:175" x14ac:dyDescent="0.25">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c r="EJ324" s="7"/>
      <c r="EK324" s="7"/>
      <c r="EL324" s="7"/>
      <c r="EM324" s="7"/>
      <c r="EN324" s="7"/>
      <c r="EO324" s="7"/>
      <c r="EP324" s="7"/>
      <c r="EQ324" s="7"/>
      <c r="ER324" s="7"/>
      <c r="ES324" s="7"/>
      <c r="ET324" s="7"/>
      <c r="EU324" s="7"/>
      <c r="EV324" s="7"/>
      <c r="EW324" s="7"/>
      <c r="EX324" s="7"/>
      <c r="EY324" s="7"/>
      <c r="EZ324" s="7"/>
      <c r="FA324" s="7"/>
      <c r="FB324" s="7"/>
      <c r="FC324" s="7"/>
      <c r="FD324" s="7"/>
      <c r="FE324" s="7"/>
      <c r="FF324" s="7"/>
      <c r="FG324" s="7"/>
      <c r="FH324" s="7"/>
      <c r="FI324" s="7"/>
      <c r="FJ324" s="7"/>
      <c r="FK324" s="7"/>
      <c r="FL324" s="7"/>
      <c r="FM324" s="7"/>
      <c r="FN324" s="7"/>
      <c r="FO324" s="7"/>
      <c r="FP324" s="7"/>
      <c r="FQ324" s="7"/>
      <c r="FR324" s="7"/>
      <c r="FS324" s="7"/>
    </row>
    <row r="325" spans="84:175" x14ac:dyDescent="0.25">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c r="EL325" s="7"/>
      <c r="EM325" s="7"/>
      <c r="EN325" s="7"/>
      <c r="EO325" s="7"/>
      <c r="EP325" s="7"/>
      <c r="EQ325" s="7"/>
      <c r="ER325" s="7"/>
      <c r="ES325" s="7"/>
      <c r="ET325" s="7"/>
      <c r="EU325" s="7"/>
      <c r="EV325" s="7"/>
      <c r="EW325" s="7"/>
      <c r="EX325" s="7"/>
      <c r="EY325" s="7"/>
      <c r="EZ325" s="7"/>
      <c r="FA325" s="7"/>
      <c r="FB325" s="7"/>
      <c r="FC325" s="7"/>
      <c r="FD325" s="7"/>
      <c r="FE325" s="7"/>
      <c r="FF325" s="7"/>
      <c r="FG325" s="7"/>
      <c r="FH325" s="7"/>
      <c r="FI325" s="7"/>
      <c r="FJ325" s="7"/>
      <c r="FK325" s="7"/>
      <c r="FL325" s="7"/>
      <c r="FM325" s="7"/>
      <c r="FN325" s="7"/>
      <c r="FO325" s="7"/>
      <c r="FP325" s="7"/>
      <c r="FQ325" s="7"/>
      <c r="FR325" s="7"/>
      <c r="FS325" s="7"/>
    </row>
    <row r="326" spans="84:175" x14ac:dyDescent="0.25">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c r="EL326" s="7"/>
      <c r="EM326" s="7"/>
      <c r="EN326" s="7"/>
      <c r="EO326" s="7"/>
      <c r="EP326" s="7"/>
      <c r="EQ326" s="7"/>
      <c r="ER326" s="7"/>
      <c r="ES326" s="7"/>
      <c r="ET326" s="7"/>
      <c r="EU326" s="7"/>
      <c r="EV326" s="7"/>
      <c r="EW326" s="7"/>
      <c r="EX326" s="7"/>
      <c r="EY326" s="7"/>
      <c r="EZ326" s="7"/>
      <c r="FA326" s="7"/>
      <c r="FB326" s="7"/>
      <c r="FC326" s="7"/>
      <c r="FD326" s="7"/>
      <c r="FE326" s="7"/>
      <c r="FF326" s="7"/>
      <c r="FG326" s="7"/>
      <c r="FH326" s="7"/>
      <c r="FI326" s="7"/>
      <c r="FJ326" s="7"/>
      <c r="FK326" s="7"/>
      <c r="FL326" s="7"/>
      <c r="FM326" s="7"/>
      <c r="FN326" s="7"/>
      <c r="FO326" s="7"/>
      <c r="FP326" s="7"/>
      <c r="FQ326" s="7"/>
      <c r="FR326" s="7"/>
      <c r="FS326" s="7"/>
    </row>
    <row r="327" spans="84:175" x14ac:dyDescent="0.25">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c r="EJ327" s="7"/>
      <c r="EK327" s="7"/>
      <c r="EL327" s="7"/>
      <c r="EM327" s="7"/>
      <c r="EN327" s="7"/>
      <c r="EO327" s="7"/>
      <c r="EP327" s="7"/>
      <c r="EQ327" s="7"/>
      <c r="ER327" s="7"/>
      <c r="ES327" s="7"/>
      <c r="ET327" s="7"/>
      <c r="EU327" s="7"/>
      <c r="EV327" s="7"/>
      <c r="EW327" s="7"/>
      <c r="EX327" s="7"/>
      <c r="EY327" s="7"/>
      <c r="EZ327" s="7"/>
      <c r="FA327" s="7"/>
      <c r="FB327" s="7"/>
      <c r="FC327" s="7"/>
      <c r="FD327" s="7"/>
      <c r="FE327" s="7"/>
      <c r="FF327" s="7"/>
      <c r="FG327" s="7"/>
      <c r="FH327" s="7"/>
      <c r="FI327" s="7"/>
      <c r="FJ327" s="7"/>
      <c r="FK327" s="7"/>
      <c r="FL327" s="7"/>
      <c r="FM327" s="7"/>
      <c r="FN327" s="7"/>
      <c r="FO327" s="7"/>
      <c r="FP327" s="7"/>
      <c r="FQ327" s="7"/>
      <c r="FR327" s="7"/>
      <c r="FS327" s="7"/>
    </row>
    <row r="328" spans="84:175" x14ac:dyDescent="0.25">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row>
    <row r="329" spans="84:175" x14ac:dyDescent="0.25">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7"/>
      <c r="FQ329" s="7"/>
      <c r="FR329" s="7"/>
      <c r="FS329" s="7"/>
    </row>
    <row r="330" spans="84:175" x14ac:dyDescent="0.25">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7"/>
      <c r="EK330" s="7"/>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7"/>
      <c r="FQ330" s="7"/>
      <c r="FR330" s="7"/>
      <c r="FS330" s="7"/>
    </row>
    <row r="331" spans="84:175" x14ac:dyDescent="0.25">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7"/>
      <c r="EK331" s="7"/>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7"/>
      <c r="FQ331" s="7"/>
      <c r="FR331" s="7"/>
      <c r="FS331" s="7"/>
    </row>
    <row r="332" spans="84:175" x14ac:dyDescent="0.25">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c r="EJ332" s="7"/>
      <c r="EK332" s="7"/>
      <c r="EL332" s="7"/>
      <c r="EM332" s="7"/>
      <c r="EN332" s="7"/>
      <c r="EO332" s="7"/>
      <c r="EP332" s="7"/>
      <c r="EQ332" s="7"/>
      <c r="ER332" s="7"/>
      <c r="ES332" s="7"/>
      <c r="ET332" s="7"/>
      <c r="EU332" s="7"/>
      <c r="EV332" s="7"/>
      <c r="EW332" s="7"/>
      <c r="EX332" s="7"/>
      <c r="EY332" s="7"/>
      <c r="EZ332" s="7"/>
      <c r="FA332" s="7"/>
      <c r="FB332" s="7"/>
      <c r="FC332" s="7"/>
      <c r="FD332" s="7"/>
      <c r="FE332" s="7"/>
      <c r="FF332" s="7"/>
      <c r="FG332" s="7"/>
      <c r="FH332" s="7"/>
      <c r="FI332" s="7"/>
      <c r="FJ332" s="7"/>
      <c r="FK332" s="7"/>
      <c r="FL332" s="7"/>
      <c r="FM332" s="7"/>
      <c r="FN332" s="7"/>
      <c r="FO332" s="7"/>
      <c r="FP332" s="7"/>
      <c r="FQ332" s="7"/>
      <c r="FR332" s="7"/>
      <c r="FS332" s="7"/>
    </row>
    <row r="333" spans="84:175" x14ac:dyDescent="0.25">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c r="EJ333" s="7"/>
      <c r="EK333" s="7"/>
      <c r="EL333" s="7"/>
      <c r="EM333" s="7"/>
      <c r="EN333" s="7"/>
      <c r="EO333" s="7"/>
      <c r="EP333" s="7"/>
      <c r="EQ333" s="7"/>
      <c r="ER333" s="7"/>
      <c r="ES333" s="7"/>
      <c r="ET333" s="7"/>
      <c r="EU333" s="7"/>
      <c r="EV333" s="7"/>
      <c r="EW333" s="7"/>
      <c r="EX333" s="7"/>
      <c r="EY333" s="7"/>
      <c r="EZ333" s="7"/>
      <c r="FA333" s="7"/>
      <c r="FB333" s="7"/>
      <c r="FC333" s="7"/>
      <c r="FD333" s="7"/>
      <c r="FE333" s="7"/>
      <c r="FF333" s="7"/>
      <c r="FG333" s="7"/>
      <c r="FH333" s="7"/>
      <c r="FI333" s="7"/>
      <c r="FJ333" s="7"/>
      <c r="FK333" s="7"/>
      <c r="FL333" s="7"/>
      <c r="FM333" s="7"/>
      <c r="FN333" s="7"/>
      <c r="FO333" s="7"/>
      <c r="FP333" s="7"/>
      <c r="FQ333" s="7"/>
      <c r="FR333" s="7"/>
      <c r="FS333" s="7"/>
    </row>
    <row r="334" spans="84:175" x14ac:dyDescent="0.25">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7"/>
      <c r="ET334" s="7"/>
      <c r="EU334" s="7"/>
      <c r="EV334" s="7"/>
      <c r="EW334" s="7"/>
      <c r="EX334" s="7"/>
      <c r="EY334" s="7"/>
      <c r="EZ334" s="7"/>
      <c r="FA334" s="7"/>
      <c r="FB334" s="7"/>
      <c r="FC334" s="7"/>
      <c r="FD334" s="7"/>
      <c r="FE334" s="7"/>
      <c r="FF334" s="7"/>
      <c r="FG334" s="7"/>
      <c r="FH334" s="7"/>
      <c r="FI334" s="7"/>
      <c r="FJ334" s="7"/>
      <c r="FK334" s="7"/>
      <c r="FL334" s="7"/>
      <c r="FM334" s="7"/>
      <c r="FN334" s="7"/>
      <c r="FO334" s="7"/>
      <c r="FP334" s="7"/>
      <c r="FQ334" s="7"/>
      <c r="FR334" s="7"/>
      <c r="FS334" s="7"/>
    </row>
    <row r="335" spans="84:175" x14ac:dyDescent="0.25">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c r="EJ335" s="7"/>
      <c r="EK335" s="7"/>
      <c r="EL335" s="7"/>
      <c r="EM335" s="7"/>
      <c r="EN335" s="7"/>
      <c r="EO335" s="7"/>
      <c r="EP335" s="7"/>
      <c r="EQ335" s="7"/>
      <c r="ER335" s="7"/>
      <c r="ES335" s="7"/>
      <c r="ET335" s="7"/>
      <c r="EU335" s="7"/>
      <c r="EV335" s="7"/>
      <c r="EW335" s="7"/>
      <c r="EX335" s="7"/>
      <c r="EY335" s="7"/>
      <c r="EZ335" s="7"/>
      <c r="FA335" s="7"/>
      <c r="FB335" s="7"/>
      <c r="FC335" s="7"/>
      <c r="FD335" s="7"/>
      <c r="FE335" s="7"/>
      <c r="FF335" s="7"/>
      <c r="FG335" s="7"/>
      <c r="FH335" s="7"/>
      <c r="FI335" s="7"/>
      <c r="FJ335" s="7"/>
      <c r="FK335" s="7"/>
      <c r="FL335" s="7"/>
      <c r="FM335" s="7"/>
      <c r="FN335" s="7"/>
      <c r="FO335" s="7"/>
      <c r="FP335" s="7"/>
      <c r="FQ335" s="7"/>
      <c r="FR335" s="7"/>
      <c r="FS335" s="7"/>
    </row>
    <row r="336" spans="84:175" x14ac:dyDescent="0.25">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c r="EJ336" s="7"/>
      <c r="EK336" s="7"/>
      <c r="EL336" s="7"/>
      <c r="EM336" s="7"/>
      <c r="EN336" s="7"/>
      <c r="EO336" s="7"/>
      <c r="EP336" s="7"/>
      <c r="EQ336" s="7"/>
      <c r="ER336" s="7"/>
      <c r="ES336" s="7"/>
      <c r="ET336" s="7"/>
      <c r="EU336" s="7"/>
      <c r="EV336" s="7"/>
      <c r="EW336" s="7"/>
      <c r="EX336" s="7"/>
      <c r="EY336" s="7"/>
      <c r="EZ336" s="7"/>
      <c r="FA336" s="7"/>
      <c r="FB336" s="7"/>
      <c r="FC336" s="7"/>
      <c r="FD336" s="7"/>
      <c r="FE336" s="7"/>
      <c r="FF336" s="7"/>
      <c r="FG336" s="7"/>
      <c r="FH336" s="7"/>
      <c r="FI336" s="7"/>
      <c r="FJ336" s="7"/>
      <c r="FK336" s="7"/>
      <c r="FL336" s="7"/>
      <c r="FM336" s="7"/>
      <c r="FN336" s="7"/>
      <c r="FO336" s="7"/>
      <c r="FP336" s="7"/>
      <c r="FQ336" s="7"/>
      <c r="FR336" s="7"/>
      <c r="FS336" s="7"/>
    </row>
    <row r="337" spans="84:175" x14ac:dyDescent="0.25">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row>
    <row r="338" spans="84:175" x14ac:dyDescent="0.25">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7"/>
      <c r="EZ338" s="7"/>
      <c r="FA338" s="7"/>
      <c r="FB338" s="7"/>
      <c r="FC338" s="7"/>
      <c r="FD338" s="7"/>
      <c r="FE338" s="7"/>
      <c r="FF338" s="7"/>
      <c r="FG338" s="7"/>
      <c r="FH338" s="7"/>
      <c r="FI338" s="7"/>
      <c r="FJ338" s="7"/>
      <c r="FK338" s="7"/>
      <c r="FL338" s="7"/>
      <c r="FM338" s="7"/>
      <c r="FN338" s="7"/>
      <c r="FO338" s="7"/>
      <c r="FP338" s="7"/>
      <c r="FQ338" s="7"/>
      <c r="FR338" s="7"/>
      <c r="FS338" s="7"/>
    </row>
    <row r="339" spans="84:175" x14ac:dyDescent="0.25">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7"/>
      <c r="EZ339" s="7"/>
      <c r="FA339" s="7"/>
      <c r="FB339" s="7"/>
      <c r="FC339" s="7"/>
      <c r="FD339" s="7"/>
      <c r="FE339" s="7"/>
      <c r="FF339" s="7"/>
      <c r="FG339" s="7"/>
      <c r="FH339" s="7"/>
      <c r="FI339" s="7"/>
      <c r="FJ339" s="7"/>
      <c r="FK339" s="7"/>
      <c r="FL339" s="7"/>
      <c r="FM339" s="7"/>
      <c r="FN339" s="7"/>
      <c r="FO339" s="7"/>
      <c r="FP339" s="7"/>
      <c r="FQ339" s="7"/>
      <c r="FR339" s="7"/>
      <c r="FS339" s="7"/>
    </row>
    <row r="340" spans="84:175" x14ac:dyDescent="0.25">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7"/>
      <c r="EZ340" s="7"/>
      <c r="FA340" s="7"/>
      <c r="FB340" s="7"/>
      <c r="FC340" s="7"/>
      <c r="FD340" s="7"/>
      <c r="FE340" s="7"/>
      <c r="FF340" s="7"/>
      <c r="FG340" s="7"/>
      <c r="FH340" s="7"/>
      <c r="FI340" s="7"/>
      <c r="FJ340" s="7"/>
      <c r="FK340" s="7"/>
      <c r="FL340" s="7"/>
      <c r="FM340" s="7"/>
      <c r="FN340" s="7"/>
      <c r="FO340" s="7"/>
      <c r="FP340" s="7"/>
      <c r="FQ340" s="7"/>
      <c r="FR340" s="7"/>
      <c r="FS340" s="7"/>
    </row>
    <row r="341" spans="84:175" x14ac:dyDescent="0.25">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7"/>
      <c r="EZ341" s="7"/>
      <c r="FA341" s="7"/>
      <c r="FB341" s="7"/>
      <c r="FC341" s="7"/>
      <c r="FD341" s="7"/>
      <c r="FE341" s="7"/>
      <c r="FF341" s="7"/>
      <c r="FG341" s="7"/>
      <c r="FH341" s="7"/>
      <c r="FI341" s="7"/>
      <c r="FJ341" s="7"/>
      <c r="FK341" s="7"/>
      <c r="FL341" s="7"/>
      <c r="FM341" s="7"/>
      <c r="FN341" s="7"/>
      <c r="FO341" s="7"/>
      <c r="FP341" s="7"/>
      <c r="FQ341" s="7"/>
      <c r="FR341" s="7"/>
      <c r="FS341" s="7"/>
    </row>
    <row r="342" spans="84:175" x14ac:dyDescent="0.25">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7"/>
      <c r="EZ342" s="7"/>
      <c r="FA342" s="7"/>
      <c r="FB342" s="7"/>
      <c r="FC342" s="7"/>
      <c r="FD342" s="7"/>
      <c r="FE342" s="7"/>
      <c r="FF342" s="7"/>
      <c r="FG342" s="7"/>
      <c r="FH342" s="7"/>
      <c r="FI342" s="7"/>
      <c r="FJ342" s="7"/>
      <c r="FK342" s="7"/>
      <c r="FL342" s="7"/>
      <c r="FM342" s="7"/>
      <c r="FN342" s="7"/>
      <c r="FO342" s="7"/>
      <c r="FP342" s="7"/>
      <c r="FQ342" s="7"/>
      <c r="FR342" s="7"/>
      <c r="FS342" s="7"/>
    </row>
    <row r="343" spans="84:175" x14ac:dyDescent="0.25">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7"/>
      <c r="EZ343" s="7"/>
      <c r="FA343" s="7"/>
      <c r="FB343" s="7"/>
      <c r="FC343" s="7"/>
      <c r="FD343" s="7"/>
      <c r="FE343" s="7"/>
      <c r="FF343" s="7"/>
      <c r="FG343" s="7"/>
      <c r="FH343" s="7"/>
      <c r="FI343" s="7"/>
      <c r="FJ343" s="7"/>
      <c r="FK343" s="7"/>
      <c r="FL343" s="7"/>
      <c r="FM343" s="7"/>
      <c r="FN343" s="7"/>
      <c r="FO343" s="7"/>
      <c r="FP343" s="7"/>
      <c r="FQ343" s="7"/>
      <c r="FR343" s="7"/>
      <c r="FS343" s="7"/>
    </row>
    <row r="344" spans="84:175" x14ac:dyDescent="0.25">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7"/>
      <c r="EZ344" s="7"/>
      <c r="FA344" s="7"/>
      <c r="FB344" s="7"/>
      <c r="FC344" s="7"/>
      <c r="FD344" s="7"/>
      <c r="FE344" s="7"/>
      <c r="FF344" s="7"/>
      <c r="FG344" s="7"/>
      <c r="FH344" s="7"/>
      <c r="FI344" s="7"/>
      <c r="FJ344" s="7"/>
      <c r="FK344" s="7"/>
      <c r="FL344" s="7"/>
      <c r="FM344" s="7"/>
      <c r="FN344" s="7"/>
      <c r="FO344" s="7"/>
      <c r="FP344" s="7"/>
      <c r="FQ344" s="7"/>
      <c r="FR344" s="7"/>
      <c r="FS344" s="7"/>
    </row>
    <row r="345" spans="84:175" x14ac:dyDescent="0.25">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7"/>
      <c r="EZ345" s="7"/>
      <c r="FA345" s="7"/>
      <c r="FB345" s="7"/>
      <c r="FC345" s="7"/>
      <c r="FD345" s="7"/>
      <c r="FE345" s="7"/>
      <c r="FF345" s="7"/>
      <c r="FG345" s="7"/>
      <c r="FH345" s="7"/>
      <c r="FI345" s="7"/>
      <c r="FJ345" s="7"/>
      <c r="FK345" s="7"/>
      <c r="FL345" s="7"/>
      <c r="FM345" s="7"/>
      <c r="FN345" s="7"/>
      <c r="FO345" s="7"/>
      <c r="FP345" s="7"/>
      <c r="FQ345" s="7"/>
      <c r="FR345" s="7"/>
      <c r="FS345" s="7"/>
    </row>
    <row r="346" spans="84:175" x14ac:dyDescent="0.25">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7"/>
      <c r="EZ346" s="7"/>
      <c r="FA346" s="7"/>
      <c r="FB346" s="7"/>
      <c r="FC346" s="7"/>
      <c r="FD346" s="7"/>
      <c r="FE346" s="7"/>
      <c r="FF346" s="7"/>
      <c r="FG346" s="7"/>
      <c r="FH346" s="7"/>
      <c r="FI346" s="7"/>
      <c r="FJ346" s="7"/>
      <c r="FK346" s="7"/>
      <c r="FL346" s="7"/>
      <c r="FM346" s="7"/>
      <c r="FN346" s="7"/>
      <c r="FO346" s="7"/>
      <c r="FP346" s="7"/>
      <c r="FQ346" s="7"/>
      <c r="FR346" s="7"/>
      <c r="FS346" s="7"/>
    </row>
    <row r="347" spans="84:175" x14ac:dyDescent="0.25">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7"/>
      <c r="EZ347" s="7"/>
      <c r="FA347" s="7"/>
      <c r="FB347" s="7"/>
      <c r="FC347" s="7"/>
      <c r="FD347" s="7"/>
      <c r="FE347" s="7"/>
      <c r="FF347" s="7"/>
      <c r="FG347" s="7"/>
      <c r="FH347" s="7"/>
      <c r="FI347" s="7"/>
      <c r="FJ347" s="7"/>
      <c r="FK347" s="7"/>
      <c r="FL347" s="7"/>
      <c r="FM347" s="7"/>
      <c r="FN347" s="7"/>
      <c r="FO347" s="7"/>
      <c r="FP347" s="7"/>
      <c r="FQ347" s="7"/>
      <c r="FR347" s="7"/>
      <c r="FS347" s="7"/>
    </row>
    <row r="348" spans="84:175" x14ac:dyDescent="0.25">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7"/>
      <c r="EZ348" s="7"/>
      <c r="FA348" s="7"/>
      <c r="FB348" s="7"/>
      <c r="FC348" s="7"/>
      <c r="FD348" s="7"/>
      <c r="FE348" s="7"/>
      <c r="FF348" s="7"/>
      <c r="FG348" s="7"/>
      <c r="FH348" s="7"/>
      <c r="FI348" s="7"/>
      <c r="FJ348" s="7"/>
      <c r="FK348" s="7"/>
      <c r="FL348" s="7"/>
      <c r="FM348" s="7"/>
      <c r="FN348" s="7"/>
      <c r="FO348" s="7"/>
      <c r="FP348" s="7"/>
      <c r="FQ348" s="7"/>
      <c r="FR348" s="7"/>
      <c r="FS348" s="7"/>
    </row>
    <row r="349" spans="84:175" x14ac:dyDescent="0.25">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7"/>
      <c r="EZ349" s="7"/>
      <c r="FA349" s="7"/>
      <c r="FB349" s="7"/>
      <c r="FC349" s="7"/>
      <c r="FD349" s="7"/>
      <c r="FE349" s="7"/>
      <c r="FF349" s="7"/>
      <c r="FG349" s="7"/>
      <c r="FH349" s="7"/>
      <c r="FI349" s="7"/>
      <c r="FJ349" s="7"/>
      <c r="FK349" s="7"/>
      <c r="FL349" s="7"/>
      <c r="FM349" s="7"/>
      <c r="FN349" s="7"/>
      <c r="FO349" s="7"/>
      <c r="FP349" s="7"/>
      <c r="FQ349" s="7"/>
      <c r="FR349" s="7"/>
      <c r="FS349" s="7"/>
    </row>
    <row r="350" spans="84:175" x14ac:dyDescent="0.25">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c r="ET350" s="7"/>
      <c r="EU350" s="7"/>
      <c r="EV350" s="7"/>
      <c r="EW350" s="7"/>
      <c r="EX350" s="7"/>
      <c r="EY350" s="7"/>
      <c r="EZ350" s="7"/>
      <c r="FA350" s="7"/>
      <c r="FB350" s="7"/>
      <c r="FC350" s="7"/>
      <c r="FD350" s="7"/>
      <c r="FE350" s="7"/>
      <c r="FF350" s="7"/>
      <c r="FG350" s="7"/>
      <c r="FH350" s="7"/>
      <c r="FI350" s="7"/>
      <c r="FJ350" s="7"/>
      <c r="FK350" s="7"/>
      <c r="FL350" s="7"/>
      <c r="FM350" s="7"/>
      <c r="FN350" s="7"/>
      <c r="FO350" s="7"/>
      <c r="FP350" s="7"/>
      <c r="FQ350" s="7"/>
      <c r="FR350" s="7"/>
      <c r="FS350" s="7"/>
    </row>
    <row r="351" spans="84:175" x14ac:dyDescent="0.25">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c r="EL351" s="7"/>
      <c r="EM351" s="7"/>
      <c r="EN351" s="7"/>
      <c r="EO351" s="7"/>
      <c r="EP351" s="7"/>
      <c r="EQ351" s="7"/>
      <c r="ER351" s="7"/>
      <c r="ES351" s="7"/>
      <c r="ET351" s="7"/>
      <c r="EU351" s="7"/>
      <c r="EV351" s="7"/>
      <c r="EW351" s="7"/>
      <c r="EX351" s="7"/>
      <c r="EY351" s="7"/>
      <c r="EZ351" s="7"/>
      <c r="FA351" s="7"/>
      <c r="FB351" s="7"/>
      <c r="FC351" s="7"/>
      <c r="FD351" s="7"/>
      <c r="FE351" s="7"/>
      <c r="FF351" s="7"/>
      <c r="FG351" s="7"/>
      <c r="FH351" s="7"/>
      <c r="FI351" s="7"/>
      <c r="FJ351" s="7"/>
      <c r="FK351" s="7"/>
      <c r="FL351" s="7"/>
      <c r="FM351" s="7"/>
      <c r="FN351" s="7"/>
      <c r="FO351" s="7"/>
      <c r="FP351" s="7"/>
      <c r="FQ351" s="7"/>
      <c r="FR351" s="7"/>
      <c r="FS351" s="7"/>
    </row>
    <row r="352" spans="84:175" x14ac:dyDescent="0.25">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c r="EJ352" s="7"/>
      <c r="EK352" s="7"/>
      <c r="EL352" s="7"/>
      <c r="EM352" s="7"/>
      <c r="EN352" s="7"/>
      <c r="EO352" s="7"/>
      <c r="EP352" s="7"/>
      <c r="EQ352" s="7"/>
      <c r="ER352" s="7"/>
      <c r="ES352" s="7"/>
      <c r="ET352" s="7"/>
      <c r="EU352" s="7"/>
      <c r="EV352" s="7"/>
      <c r="EW352" s="7"/>
      <c r="EX352" s="7"/>
      <c r="EY352" s="7"/>
      <c r="EZ352" s="7"/>
      <c r="FA352" s="7"/>
      <c r="FB352" s="7"/>
      <c r="FC352" s="7"/>
      <c r="FD352" s="7"/>
      <c r="FE352" s="7"/>
      <c r="FF352" s="7"/>
      <c r="FG352" s="7"/>
      <c r="FH352" s="7"/>
      <c r="FI352" s="7"/>
      <c r="FJ352" s="7"/>
      <c r="FK352" s="7"/>
      <c r="FL352" s="7"/>
      <c r="FM352" s="7"/>
      <c r="FN352" s="7"/>
      <c r="FO352" s="7"/>
      <c r="FP352" s="7"/>
      <c r="FQ352" s="7"/>
      <c r="FR352" s="7"/>
      <c r="FS352" s="7"/>
    </row>
    <row r="353" spans="84:175" x14ac:dyDescent="0.25">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c r="EJ353" s="7"/>
      <c r="EK353" s="7"/>
      <c r="EL353" s="7"/>
      <c r="EM353" s="7"/>
      <c r="EN353" s="7"/>
      <c r="EO353" s="7"/>
      <c r="EP353" s="7"/>
      <c r="EQ353" s="7"/>
      <c r="ER353" s="7"/>
      <c r="ES353" s="7"/>
      <c r="ET353" s="7"/>
      <c r="EU353" s="7"/>
      <c r="EV353" s="7"/>
      <c r="EW353" s="7"/>
      <c r="EX353" s="7"/>
      <c r="EY353" s="7"/>
      <c r="EZ353" s="7"/>
      <c r="FA353" s="7"/>
      <c r="FB353" s="7"/>
      <c r="FC353" s="7"/>
      <c r="FD353" s="7"/>
      <c r="FE353" s="7"/>
      <c r="FF353" s="7"/>
      <c r="FG353" s="7"/>
      <c r="FH353" s="7"/>
      <c r="FI353" s="7"/>
      <c r="FJ353" s="7"/>
      <c r="FK353" s="7"/>
      <c r="FL353" s="7"/>
      <c r="FM353" s="7"/>
      <c r="FN353" s="7"/>
      <c r="FO353" s="7"/>
      <c r="FP353" s="7"/>
      <c r="FQ353" s="7"/>
      <c r="FR353" s="7"/>
      <c r="FS353" s="7"/>
    </row>
    <row r="354" spans="84:175" x14ac:dyDescent="0.25">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row>
    <row r="355" spans="84:175" x14ac:dyDescent="0.25">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7"/>
      <c r="FJ355" s="7"/>
      <c r="FK355" s="7"/>
      <c r="FL355" s="7"/>
      <c r="FM355" s="7"/>
      <c r="FN355" s="7"/>
      <c r="FO355" s="7"/>
      <c r="FP355" s="7"/>
      <c r="FQ355" s="7"/>
      <c r="FR355" s="7"/>
      <c r="FS355" s="7"/>
    </row>
    <row r="356" spans="84:175" x14ac:dyDescent="0.25">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7"/>
      <c r="FJ356" s="7"/>
      <c r="FK356" s="7"/>
      <c r="FL356" s="7"/>
      <c r="FM356" s="7"/>
      <c r="FN356" s="7"/>
      <c r="FO356" s="7"/>
      <c r="FP356" s="7"/>
      <c r="FQ356" s="7"/>
      <c r="FR356" s="7"/>
      <c r="FS356" s="7"/>
    </row>
    <row r="357" spans="84:175" x14ac:dyDescent="0.25">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7"/>
      <c r="FJ357" s="7"/>
      <c r="FK357" s="7"/>
      <c r="FL357" s="7"/>
      <c r="FM357" s="7"/>
      <c r="FN357" s="7"/>
      <c r="FO357" s="7"/>
      <c r="FP357" s="7"/>
      <c r="FQ357" s="7"/>
      <c r="FR357" s="7"/>
      <c r="FS357" s="7"/>
    </row>
    <row r="358" spans="84:175" x14ac:dyDescent="0.25">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c r="ET358" s="7"/>
      <c r="EU358" s="7"/>
      <c r="EV358" s="7"/>
      <c r="EW358" s="7"/>
      <c r="EX358" s="7"/>
      <c r="EY358" s="7"/>
      <c r="EZ358" s="7"/>
      <c r="FA358" s="7"/>
      <c r="FB358" s="7"/>
      <c r="FC358" s="7"/>
      <c r="FD358" s="7"/>
      <c r="FE358" s="7"/>
      <c r="FF358" s="7"/>
      <c r="FG358" s="7"/>
      <c r="FH358" s="7"/>
      <c r="FI358" s="7"/>
      <c r="FJ358" s="7"/>
      <c r="FK358" s="7"/>
      <c r="FL358" s="7"/>
      <c r="FM358" s="7"/>
      <c r="FN358" s="7"/>
      <c r="FO358" s="7"/>
      <c r="FP358" s="7"/>
      <c r="FQ358" s="7"/>
      <c r="FR358" s="7"/>
      <c r="FS358" s="7"/>
    </row>
    <row r="359" spans="84:175" x14ac:dyDescent="0.25">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c r="EL359" s="7"/>
      <c r="EM359" s="7"/>
      <c r="EN359" s="7"/>
      <c r="EO359" s="7"/>
      <c r="EP359" s="7"/>
      <c r="EQ359" s="7"/>
      <c r="ER359" s="7"/>
      <c r="ES359" s="7"/>
      <c r="ET359" s="7"/>
      <c r="EU359" s="7"/>
      <c r="EV359" s="7"/>
      <c r="EW359" s="7"/>
      <c r="EX359" s="7"/>
      <c r="EY359" s="7"/>
      <c r="EZ359" s="7"/>
      <c r="FA359" s="7"/>
      <c r="FB359" s="7"/>
      <c r="FC359" s="7"/>
      <c r="FD359" s="7"/>
      <c r="FE359" s="7"/>
      <c r="FF359" s="7"/>
      <c r="FG359" s="7"/>
      <c r="FH359" s="7"/>
      <c r="FI359" s="7"/>
      <c r="FJ359" s="7"/>
      <c r="FK359" s="7"/>
      <c r="FL359" s="7"/>
      <c r="FM359" s="7"/>
      <c r="FN359" s="7"/>
      <c r="FO359" s="7"/>
      <c r="FP359" s="7"/>
      <c r="FQ359" s="7"/>
      <c r="FR359" s="7"/>
      <c r="FS359" s="7"/>
    </row>
    <row r="360" spans="84:175" x14ac:dyDescent="0.25">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c r="EL360" s="7"/>
      <c r="EM360" s="7"/>
      <c r="EN360" s="7"/>
      <c r="EO360" s="7"/>
      <c r="EP360" s="7"/>
      <c r="EQ360" s="7"/>
      <c r="ER360" s="7"/>
      <c r="ES360" s="7"/>
      <c r="ET360" s="7"/>
      <c r="EU360" s="7"/>
      <c r="EV360" s="7"/>
      <c r="EW360" s="7"/>
      <c r="EX360" s="7"/>
      <c r="EY360" s="7"/>
      <c r="EZ360" s="7"/>
      <c r="FA360" s="7"/>
      <c r="FB360" s="7"/>
      <c r="FC360" s="7"/>
      <c r="FD360" s="7"/>
      <c r="FE360" s="7"/>
      <c r="FF360" s="7"/>
      <c r="FG360" s="7"/>
      <c r="FH360" s="7"/>
      <c r="FI360" s="7"/>
      <c r="FJ360" s="7"/>
      <c r="FK360" s="7"/>
      <c r="FL360" s="7"/>
      <c r="FM360" s="7"/>
      <c r="FN360" s="7"/>
      <c r="FO360" s="7"/>
      <c r="FP360" s="7"/>
      <c r="FQ360" s="7"/>
      <c r="FR360" s="7"/>
      <c r="FS360" s="7"/>
    </row>
    <row r="361" spans="84:175" x14ac:dyDescent="0.25">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row>
    <row r="362" spans="84:175" x14ac:dyDescent="0.25">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7"/>
      <c r="FI362" s="7"/>
      <c r="FJ362" s="7"/>
      <c r="FK362" s="7"/>
      <c r="FL362" s="7"/>
      <c r="FM362" s="7"/>
      <c r="FN362" s="7"/>
      <c r="FO362" s="7"/>
      <c r="FP362" s="7"/>
      <c r="FQ362" s="7"/>
      <c r="FR362" s="7"/>
      <c r="FS362" s="7"/>
    </row>
    <row r="363" spans="84:175" x14ac:dyDescent="0.25">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7"/>
      <c r="FI363" s="7"/>
      <c r="FJ363" s="7"/>
      <c r="FK363" s="7"/>
      <c r="FL363" s="7"/>
      <c r="FM363" s="7"/>
      <c r="FN363" s="7"/>
      <c r="FO363" s="7"/>
      <c r="FP363" s="7"/>
      <c r="FQ363" s="7"/>
      <c r="FR363" s="7"/>
      <c r="FS363" s="7"/>
    </row>
    <row r="364" spans="84:175" x14ac:dyDescent="0.25">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7"/>
      <c r="FI364" s="7"/>
      <c r="FJ364" s="7"/>
      <c r="FK364" s="7"/>
      <c r="FL364" s="7"/>
      <c r="FM364" s="7"/>
      <c r="FN364" s="7"/>
      <c r="FO364" s="7"/>
      <c r="FP364" s="7"/>
      <c r="FQ364" s="7"/>
      <c r="FR364" s="7"/>
      <c r="FS364" s="7"/>
    </row>
    <row r="365" spans="84:175" x14ac:dyDescent="0.25">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c r="EE365" s="7"/>
      <c r="EF365" s="7"/>
      <c r="EG365" s="7"/>
      <c r="EH365" s="7"/>
      <c r="EI365" s="7"/>
      <c r="EJ365" s="7"/>
      <c r="EK365" s="7"/>
      <c r="EL365" s="7"/>
      <c r="EM365" s="7"/>
      <c r="EN365" s="7"/>
      <c r="EO365" s="7"/>
      <c r="EP365" s="7"/>
      <c r="EQ365" s="7"/>
      <c r="ER365" s="7"/>
      <c r="ES365" s="7"/>
      <c r="ET365" s="7"/>
      <c r="EU365" s="7"/>
      <c r="EV365" s="7"/>
      <c r="EW365" s="7"/>
      <c r="EX365" s="7"/>
      <c r="EY365" s="7"/>
      <c r="EZ365" s="7"/>
      <c r="FA365" s="7"/>
      <c r="FB365" s="7"/>
      <c r="FC365" s="7"/>
      <c r="FD365" s="7"/>
      <c r="FE365" s="7"/>
      <c r="FF365" s="7"/>
      <c r="FG365" s="7"/>
      <c r="FH365" s="7"/>
      <c r="FI365" s="7"/>
      <c r="FJ365" s="7"/>
      <c r="FK365" s="7"/>
      <c r="FL365" s="7"/>
      <c r="FM365" s="7"/>
      <c r="FN365" s="7"/>
      <c r="FO365" s="7"/>
      <c r="FP365" s="7"/>
      <c r="FQ365" s="7"/>
      <c r="FR365" s="7"/>
      <c r="FS365" s="7"/>
    </row>
    <row r="366" spans="84:175" x14ac:dyDescent="0.25">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c r="EL366" s="7"/>
      <c r="EM366" s="7"/>
      <c r="EN366" s="7"/>
      <c r="EO366" s="7"/>
      <c r="EP366" s="7"/>
      <c r="EQ366" s="7"/>
      <c r="ER366" s="7"/>
      <c r="ES366" s="7"/>
      <c r="ET366" s="7"/>
      <c r="EU366" s="7"/>
      <c r="EV366" s="7"/>
      <c r="EW366" s="7"/>
      <c r="EX366" s="7"/>
      <c r="EY366" s="7"/>
      <c r="EZ366" s="7"/>
      <c r="FA366" s="7"/>
      <c r="FB366" s="7"/>
      <c r="FC366" s="7"/>
      <c r="FD366" s="7"/>
      <c r="FE366" s="7"/>
      <c r="FF366" s="7"/>
      <c r="FG366" s="7"/>
      <c r="FH366" s="7"/>
      <c r="FI366" s="7"/>
      <c r="FJ366" s="7"/>
      <c r="FK366" s="7"/>
      <c r="FL366" s="7"/>
      <c r="FM366" s="7"/>
      <c r="FN366" s="7"/>
      <c r="FO366" s="7"/>
      <c r="FP366" s="7"/>
      <c r="FQ366" s="7"/>
      <c r="FR366" s="7"/>
      <c r="FS366" s="7"/>
    </row>
    <row r="367" spans="84:175" x14ac:dyDescent="0.25">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c r="EL367" s="7"/>
      <c r="EM367" s="7"/>
      <c r="EN367" s="7"/>
      <c r="EO367" s="7"/>
      <c r="EP367" s="7"/>
      <c r="EQ367" s="7"/>
      <c r="ER367" s="7"/>
      <c r="ES367" s="7"/>
      <c r="ET367" s="7"/>
      <c r="EU367" s="7"/>
      <c r="EV367" s="7"/>
      <c r="EW367" s="7"/>
      <c r="EX367" s="7"/>
      <c r="EY367" s="7"/>
      <c r="EZ367" s="7"/>
      <c r="FA367" s="7"/>
      <c r="FB367" s="7"/>
      <c r="FC367" s="7"/>
      <c r="FD367" s="7"/>
      <c r="FE367" s="7"/>
      <c r="FF367" s="7"/>
      <c r="FG367" s="7"/>
      <c r="FH367" s="7"/>
      <c r="FI367" s="7"/>
      <c r="FJ367" s="7"/>
      <c r="FK367" s="7"/>
      <c r="FL367" s="7"/>
      <c r="FM367" s="7"/>
      <c r="FN367" s="7"/>
      <c r="FO367" s="7"/>
      <c r="FP367" s="7"/>
      <c r="FQ367" s="7"/>
      <c r="FR367" s="7"/>
      <c r="FS367" s="7"/>
    </row>
    <row r="368" spans="84:175" x14ac:dyDescent="0.25">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row>
    <row r="369" spans="84:175" x14ac:dyDescent="0.25">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7"/>
      <c r="FJ369" s="7"/>
      <c r="FK369" s="7"/>
      <c r="FL369" s="7"/>
      <c r="FM369" s="7"/>
      <c r="FN369" s="7"/>
      <c r="FO369" s="7"/>
      <c r="FP369" s="7"/>
      <c r="FQ369" s="7"/>
      <c r="FR369" s="7"/>
      <c r="FS369" s="7"/>
    </row>
    <row r="370" spans="84:175" x14ac:dyDescent="0.25">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7"/>
      <c r="FJ370" s="7"/>
      <c r="FK370" s="7"/>
      <c r="FL370" s="7"/>
      <c r="FM370" s="7"/>
      <c r="FN370" s="7"/>
      <c r="FO370" s="7"/>
      <c r="FP370" s="7"/>
      <c r="FQ370" s="7"/>
      <c r="FR370" s="7"/>
      <c r="FS370" s="7"/>
    </row>
    <row r="371" spans="84:175" x14ac:dyDescent="0.25">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7"/>
      <c r="FJ371" s="7"/>
      <c r="FK371" s="7"/>
      <c r="FL371" s="7"/>
      <c r="FM371" s="7"/>
      <c r="FN371" s="7"/>
      <c r="FO371" s="7"/>
      <c r="FP371" s="7"/>
      <c r="FQ371" s="7"/>
      <c r="FR371" s="7"/>
      <c r="FS371" s="7"/>
    </row>
    <row r="372" spans="84:175" x14ac:dyDescent="0.25">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c r="EJ372" s="7"/>
      <c r="EK372" s="7"/>
      <c r="EL372" s="7"/>
      <c r="EM372" s="7"/>
      <c r="EN372" s="7"/>
      <c r="EO372" s="7"/>
      <c r="EP372" s="7"/>
      <c r="EQ372" s="7"/>
      <c r="ER372" s="7"/>
      <c r="ES372" s="7"/>
      <c r="ET372" s="7"/>
      <c r="EU372" s="7"/>
      <c r="EV372" s="7"/>
      <c r="EW372" s="7"/>
      <c r="EX372" s="7"/>
      <c r="EY372" s="7"/>
      <c r="EZ372" s="7"/>
      <c r="FA372" s="7"/>
      <c r="FB372" s="7"/>
      <c r="FC372" s="7"/>
      <c r="FD372" s="7"/>
      <c r="FE372" s="7"/>
      <c r="FF372" s="7"/>
      <c r="FG372" s="7"/>
      <c r="FH372" s="7"/>
      <c r="FI372" s="7"/>
      <c r="FJ372" s="7"/>
      <c r="FK372" s="7"/>
      <c r="FL372" s="7"/>
      <c r="FM372" s="7"/>
      <c r="FN372" s="7"/>
      <c r="FO372" s="7"/>
      <c r="FP372" s="7"/>
      <c r="FQ372" s="7"/>
      <c r="FR372" s="7"/>
      <c r="FS372" s="7"/>
    </row>
    <row r="373" spans="84:175" x14ac:dyDescent="0.25">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c r="EJ373" s="7"/>
      <c r="EK373" s="7"/>
      <c r="EL373" s="7"/>
      <c r="EM373" s="7"/>
      <c r="EN373" s="7"/>
      <c r="EO373" s="7"/>
      <c r="EP373" s="7"/>
      <c r="EQ373" s="7"/>
      <c r="ER373" s="7"/>
      <c r="ES373" s="7"/>
      <c r="ET373" s="7"/>
      <c r="EU373" s="7"/>
      <c r="EV373" s="7"/>
      <c r="EW373" s="7"/>
      <c r="EX373" s="7"/>
      <c r="EY373" s="7"/>
      <c r="EZ373" s="7"/>
      <c r="FA373" s="7"/>
      <c r="FB373" s="7"/>
      <c r="FC373" s="7"/>
      <c r="FD373" s="7"/>
      <c r="FE373" s="7"/>
      <c r="FF373" s="7"/>
      <c r="FG373" s="7"/>
      <c r="FH373" s="7"/>
      <c r="FI373" s="7"/>
      <c r="FJ373" s="7"/>
      <c r="FK373" s="7"/>
      <c r="FL373" s="7"/>
      <c r="FM373" s="7"/>
      <c r="FN373" s="7"/>
      <c r="FO373" s="7"/>
      <c r="FP373" s="7"/>
      <c r="FQ373" s="7"/>
      <c r="FR373" s="7"/>
      <c r="FS373" s="7"/>
    </row>
    <row r="374" spans="84:175" x14ac:dyDescent="0.25">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7"/>
      <c r="ET374" s="7"/>
      <c r="EU374" s="7"/>
      <c r="EV374" s="7"/>
      <c r="EW374" s="7"/>
      <c r="EX374" s="7"/>
      <c r="EY374" s="7"/>
      <c r="EZ374" s="7"/>
      <c r="FA374" s="7"/>
      <c r="FB374" s="7"/>
      <c r="FC374" s="7"/>
      <c r="FD374" s="7"/>
      <c r="FE374" s="7"/>
      <c r="FF374" s="7"/>
      <c r="FG374" s="7"/>
      <c r="FH374" s="7"/>
      <c r="FI374" s="7"/>
      <c r="FJ374" s="7"/>
      <c r="FK374" s="7"/>
      <c r="FL374" s="7"/>
      <c r="FM374" s="7"/>
      <c r="FN374" s="7"/>
      <c r="FO374" s="7"/>
      <c r="FP374" s="7"/>
      <c r="FQ374" s="7"/>
      <c r="FR374" s="7"/>
      <c r="FS374" s="7"/>
    </row>
    <row r="375" spans="84:175" x14ac:dyDescent="0.25">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7"/>
      <c r="FH375" s="7"/>
      <c r="FI375" s="7"/>
      <c r="FJ375" s="7"/>
      <c r="FK375" s="7"/>
      <c r="FL375" s="7"/>
      <c r="FM375" s="7"/>
      <c r="FN375" s="7"/>
      <c r="FO375" s="7"/>
      <c r="FP375" s="7"/>
      <c r="FQ375" s="7"/>
      <c r="FR375" s="7"/>
      <c r="FS375" s="7"/>
    </row>
    <row r="376" spans="84:175" x14ac:dyDescent="0.25">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7"/>
      <c r="EF376" s="7"/>
      <c r="EG376" s="7"/>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7"/>
      <c r="FH376" s="7"/>
      <c r="FI376" s="7"/>
      <c r="FJ376" s="7"/>
      <c r="FK376" s="7"/>
      <c r="FL376" s="7"/>
      <c r="FM376" s="7"/>
      <c r="FN376" s="7"/>
      <c r="FO376" s="7"/>
      <c r="FP376" s="7"/>
      <c r="FQ376" s="7"/>
      <c r="FR376" s="7"/>
      <c r="FS376" s="7"/>
    </row>
    <row r="377" spans="84:175" x14ac:dyDescent="0.25">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7"/>
      <c r="FH377" s="7"/>
      <c r="FI377" s="7"/>
      <c r="FJ377" s="7"/>
      <c r="FK377" s="7"/>
      <c r="FL377" s="7"/>
      <c r="FM377" s="7"/>
      <c r="FN377" s="7"/>
      <c r="FO377" s="7"/>
      <c r="FP377" s="7"/>
      <c r="FQ377" s="7"/>
      <c r="FR377" s="7"/>
      <c r="FS377" s="7"/>
    </row>
    <row r="378" spans="84:175" x14ac:dyDescent="0.25">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7"/>
      <c r="FH378" s="7"/>
      <c r="FI378" s="7"/>
      <c r="FJ378" s="7"/>
      <c r="FK378" s="7"/>
      <c r="FL378" s="7"/>
      <c r="FM378" s="7"/>
      <c r="FN378" s="7"/>
      <c r="FO378" s="7"/>
      <c r="FP378" s="7"/>
      <c r="FQ378" s="7"/>
      <c r="FR378" s="7"/>
      <c r="FS378" s="7"/>
    </row>
    <row r="379" spans="84:175" x14ac:dyDescent="0.25">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7"/>
      <c r="FH379" s="7"/>
      <c r="FI379" s="7"/>
      <c r="FJ379" s="7"/>
      <c r="FK379" s="7"/>
      <c r="FL379" s="7"/>
      <c r="FM379" s="7"/>
      <c r="FN379" s="7"/>
      <c r="FO379" s="7"/>
      <c r="FP379" s="7"/>
      <c r="FQ379" s="7"/>
      <c r="FR379" s="7"/>
      <c r="FS379" s="7"/>
    </row>
    <row r="380" spans="84:175" x14ac:dyDescent="0.25">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7"/>
      <c r="FH380" s="7"/>
      <c r="FI380" s="7"/>
      <c r="FJ380" s="7"/>
      <c r="FK380" s="7"/>
      <c r="FL380" s="7"/>
      <c r="FM380" s="7"/>
      <c r="FN380" s="7"/>
      <c r="FO380" s="7"/>
      <c r="FP380" s="7"/>
      <c r="FQ380" s="7"/>
      <c r="FR380" s="7"/>
      <c r="FS380" s="7"/>
    </row>
    <row r="381" spans="84:175" x14ac:dyDescent="0.25">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7"/>
      <c r="FH381" s="7"/>
      <c r="FI381" s="7"/>
      <c r="FJ381" s="7"/>
      <c r="FK381" s="7"/>
      <c r="FL381" s="7"/>
      <c r="FM381" s="7"/>
      <c r="FN381" s="7"/>
      <c r="FO381" s="7"/>
      <c r="FP381" s="7"/>
      <c r="FQ381" s="7"/>
      <c r="FR381" s="7"/>
      <c r="FS381" s="7"/>
    </row>
    <row r="382" spans="84:175" x14ac:dyDescent="0.25">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7"/>
      <c r="FH382" s="7"/>
      <c r="FI382" s="7"/>
      <c r="FJ382" s="7"/>
      <c r="FK382" s="7"/>
      <c r="FL382" s="7"/>
      <c r="FM382" s="7"/>
      <c r="FN382" s="7"/>
      <c r="FO382" s="7"/>
      <c r="FP382" s="7"/>
      <c r="FQ382" s="7"/>
      <c r="FR382" s="7"/>
      <c r="FS382" s="7"/>
    </row>
    <row r="383" spans="84:175" x14ac:dyDescent="0.25">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7"/>
      <c r="EF383" s="7"/>
      <c r="EG383" s="7"/>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7"/>
      <c r="FH383" s="7"/>
      <c r="FI383" s="7"/>
      <c r="FJ383" s="7"/>
      <c r="FK383" s="7"/>
      <c r="FL383" s="7"/>
      <c r="FM383" s="7"/>
      <c r="FN383" s="7"/>
      <c r="FO383" s="7"/>
      <c r="FP383" s="7"/>
      <c r="FQ383" s="7"/>
      <c r="FR383" s="7"/>
      <c r="FS383" s="7"/>
    </row>
    <row r="384" spans="84:175" x14ac:dyDescent="0.25">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7"/>
      <c r="FH384" s="7"/>
      <c r="FI384" s="7"/>
      <c r="FJ384" s="7"/>
      <c r="FK384" s="7"/>
      <c r="FL384" s="7"/>
      <c r="FM384" s="7"/>
      <c r="FN384" s="7"/>
      <c r="FO384" s="7"/>
      <c r="FP384" s="7"/>
      <c r="FQ384" s="7"/>
      <c r="FR384" s="7"/>
      <c r="FS384" s="7"/>
    </row>
    <row r="385" spans="84:175" x14ac:dyDescent="0.25">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7"/>
      <c r="FH385" s="7"/>
      <c r="FI385" s="7"/>
      <c r="FJ385" s="7"/>
      <c r="FK385" s="7"/>
      <c r="FL385" s="7"/>
      <c r="FM385" s="7"/>
      <c r="FN385" s="7"/>
      <c r="FO385" s="7"/>
      <c r="FP385" s="7"/>
      <c r="FQ385" s="7"/>
      <c r="FR385" s="7"/>
      <c r="FS385" s="7"/>
    </row>
    <row r="386" spans="84:175" x14ac:dyDescent="0.25">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7"/>
      <c r="EF386" s="7"/>
      <c r="EG386" s="7"/>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7"/>
      <c r="FH386" s="7"/>
      <c r="FI386" s="7"/>
      <c r="FJ386" s="7"/>
      <c r="FK386" s="7"/>
      <c r="FL386" s="7"/>
      <c r="FM386" s="7"/>
      <c r="FN386" s="7"/>
      <c r="FO386" s="7"/>
      <c r="FP386" s="7"/>
      <c r="FQ386" s="7"/>
      <c r="FR386" s="7"/>
      <c r="FS386" s="7"/>
    </row>
    <row r="387" spans="84:175" x14ac:dyDescent="0.25">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7"/>
      <c r="EF387" s="7"/>
      <c r="EG387" s="7"/>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7"/>
      <c r="FH387" s="7"/>
      <c r="FI387" s="7"/>
      <c r="FJ387" s="7"/>
      <c r="FK387" s="7"/>
      <c r="FL387" s="7"/>
      <c r="FM387" s="7"/>
      <c r="FN387" s="7"/>
      <c r="FO387" s="7"/>
      <c r="FP387" s="7"/>
      <c r="FQ387" s="7"/>
      <c r="FR387" s="7"/>
      <c r="FS387" s="7"/>
    </row>
    <row r="388" spans="84:175" x14ac:dyDescent="0.25">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DM388" s="7"/>
      <c r="DN388" s="7"/>
      <c r="DO388" s="7"/>
      <c r="DP388" s="7"/>
      <c r="DQ388" s="7"/>
      <c r="DR388" s="7"/>
      <c r="DS388" s="7"/>
      <c r="DT388" s="7"/>
      <c r="DU388" s="7"/>
      <c r="DV388" s="7"/>
      <c r="DW388" s="7"/>
      <c r="DX388" s="7"/>
      <c r="DY388" s="7"/>
      <c r="DZ388" s="7"/>
      <c r="EA388" s="7"/>
      <c r="EB388" s="7"/>
      <c r="EC388" s="7"/>
      <c r="ED388" s="7"/>
      <c r="EE388" s="7"/>
      <c r="EF388" s="7"/>
      <c r="EG388" s="7"/>
      <c r="EH388" s="7"/>
      <c r="EI388" s="7"/>
      <c r="EJ388" s="7"/>
      <c r="EK388" s="7"/>
      <c r="EL388" s="7"/>
      <c r="EM388" s="7"/>
      <c r="EN388" s="7"/>
      <c r="EO388" s="7"/>
      <c r="EP388" s="7"/>
      <c r="EQ388" s="7"/>
      <c r="ER388" s="7"/>
      <c r="ES388" s="7"/>
      <c r="ET388" s="7"/>
      <c r="EU388" s="7"/>
      <c r="EV388" s="7"/>
      <c r="EW388" s="7"/>
      <c r="EX388" s="7"/>
      <c r="EY388" s="7"/>
      <c r="EZ388" s="7"/>
      <c r="FA388" s="7"/>
      <c r="FB388" s="7"/>
      <c r="FC388" s="7"/>
      <c r="FD388" s="7"/>
      <c r="FE388" s="7"/>
      <c r="FF388" s="7"/>
      <c r="FG388" s="7"/>
      <c r="FH388" s="7"/>
      <c r="FI388" s="7"/>
      <c r="FJ388" s="7"/>
      <c r="FK388" s="7"/>
      <c r="FL388" s="7"/>
      <c r="FM388" s="7"/>
      <c r="FN388" s="7"/>
      <c r="FO388" s="7"/>
      <c r="FP388" s="7"/>
      <c r="FQ388" s="7"/>
      <c r="FR388" s="7"/>
      <c r="FS388" s="7"/>
    </row>
    <row r="389" spans="84:175" x14ac:dyDescent="0.25">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7"/>
      <c r="EC389" s="7"/>
      <c r="ED389" s="7"/>
      <c r="EE389" s="7"/>
      <c r="EF389" s="7"/>
      <c r="EG389" s="7"/>
      <c r="EH389" s="7"/>
      <c r="EI389" s="7"/>
      <c r="EJ389" s="7"/>
      <c r="EK389" s="7"/>
      <c r="EL389" s="7"/>
      <c r="EM389" s="7"/>
      <c r="EN389" s="7"/>
      <c r="EO389" s="7"/>
      <c r="EP389" s="7"/>
      <c r="EQ389" s="7"/>
      <c r="ER389" s="7"/>
      <c r="ES389" s="7"/>
      <c r="ET389" s="7"/>
      <c r="EU389" s="7"/>
      <c r="EV389" s="7"/>
      <c r="EW389" s="7"/>
      <c r="EX389" s="7"/>
      <c r="EY389" s="7"/>
      <c r="EZ389" s="7"/>
      <c r="FA389" s="7"/>
      <c r="FB389" s="7"/>
      <c r="FC389" s="7"/>
      <c r="FD389" s="7"/>
      <c r="FE389" s="7"/>
      <c r="FF389" s="7"/>
      <c r="FG389" s="7"/>
      <c r="FH389" s="7"/>
      <c r="FI389" s="7"/>
      <c r="FJ389" s="7"/>
      <c r="FK389" s="7"/>
      <c r="FL389" s="7"/>
      <c r="FM389" s="7"/>
      <c r="FN389" s="7"/>
      <c r="FO389" s="7"/>
      <c r="FP389" s="7"/>
      <c r="FQ389" s="7"/>
      <c r="FR389" s="7"/>
      <c r="FS389" s="7"/>
    </row>
    <row r="390" spans="84:175" x14ac:dyDescent="0.25">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c r="EJ390" s="7"/>
      <c r="EK390" s="7"/>
      <c r="EL390" s="7"/>
      <c r="EM390" s="7"/>
      <c r="EN390" s="7"/>
      <c r="EO390" s="7"/>
      <c r="EP390" s="7"/>
      <c r="EQ390" s="7"/>
      <c r="ER390" s="7"/>
      <c r="ES390" s="7"/>
      <c r="ET390" s="7"/>
      <c r="EU390" s="7"/>
      <c r="EV390" s="7"/>
      <c r="EW390" s="7"/>
      <c r="EX390" s="7"/>
      <c r="EY390" s="7"/>
      <c r="EZ390" s="7"/>
      <c r="FA390" s="7"/>
      <c r="FB390" s="7"/>
      <c r="FC390" s="7"/>
      <c r="FD390" s="7"/>
      <c r="FE390" s="7"/>
      <c r="FF390" s="7"/>
      <c r="FG390" s="7"/>
      <c r="FH390" s="7"/>
      <c r="FI390" s="7"/>
      <c r="FJ390" s="7"/>
      <c r="FK390" s="7"/>
      <c r="FL390" s="7"/>
      <c r="FM390" s="7"/>
      <c r="FN390" s="7"/>
      <c r="FO390" s="7"/>
      <c r="FP390" s="7"/>
      <c r="FQ390" s="7"/>
      <c r="FR390" s="7"/>
      <c r="FS390" s="7"/>
    </row>
    <row r="391" spans="84:175" x14ac:dyDescent="0.25">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7"/>
      <c r="FH391" s="7"/>
      <c r="FI391" s="7"/>
      <c r="FJ391" s="7"/>
      <c r="FK391" s="7"/>
      <c r="FL391" s="7"/>
      <c r="FM391" s="7"/>
      <c r="FN391" s="7"/>
      <c r="FO391" s="7"/>
      <c r="FP391" s="7"/>
      <c r="FQ391" s="7"/>
      <c r="FR391" s="7"/>
      <c r="FS391" s="7"/>
    </row>
    <row r="392" spans="84:175" x14ac:dyDescent="0.25">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7"/>
      <c r="FH392" s="7"/>
      <c r="FI392" s="7"/>
      <c r="FJ392" s="7"/>
      <c r="FK392" s="7"/>
      <c r="FL392" s="7"/>
      <c r="FM392" s="7"/>
      <c r="FN392" s="7"/>
      <c r="FO392" s="7"/>
      <c r="FP392" s="7"/>
      <c r="FQ392" s="7"/>
      <c r="FR392" s="7"/>
      <c r="FS392" s="7"/>
    </row>
    <row r="393" spans="84:175" x14ac:dyDescent="0.25">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7"/>
      <c r="FH393" s="7"/>
      <c r="FI393" s="7"/>
      <c r="FJ393" s="7"/>
      <c r="FK393" s="7"/>
      <c r="FL393" s="7"/>
      <c r="FM393" s="7"/>
      <c r="FN393" s="7"/>
      <c r="FO393" s="7"/>
      <c r="FP393" s="7"/>
      <c r="FQ393" s="7"/>
      <c r="FR393" s="7"/>
      <c r="FS393" s="7"/>
    </row>
    <row r="394" spans="84:175" x14ac:dyDescent="0.25">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7"/>
      <c r="FH394" s="7"/>
      <c r="FI394" s="7"/>
      <c r="FJ394" s="7"/>
      <c r="FK394" s="7"/>
      <c r="FL394" s="7"/>
      <c r="FM394" s="7"/>
      <c r="FN394" s="7"/>
      <c r="FO394" s="7"/>
      <c r="FP394" s="7"/>
      <c r="FQ394" s="7"/>
      <c r="FR394" s="7"/>
      <c r="FS394" s="7"/>
    </row>
    <row r="395" spans="84:175" x14ac:dyDescent="0.25">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c r="EJ395" s="7"/>
      <c r="EK395" s="7"/>
      <c r="EL395" s="7"/>
      <c r="EM395" s="7"/>
      <c r="EN395" s="7"/>
      <c r="EO395" s="7"/>
      <c r="EP395" s="7"/>
      <c r="EQ395" s="7"/>
      <c r="ER395" s="7"/>
      <c r="ES395" s="7"/>
      <c r="ET395" s="7"/>
      <c r="EU395" s="7"/>
      <c r="EV395" s="7"/>
      <c r="EW395" s="7"/>
      <c r="EX395" s="7"/>
      <c r="EY395" s="7"/>
      <c r="EZ395" s="7"/>
      <c r="FA395" s="7"/>
      <c r="FB395" s="7"/>
      <c r="FC395" s="7"/>
      <c r="FD395" s="7"/>
      <c r="FE395" s="7"/>
      <c r="FF395" s="7"/>
      <c r="FG395" s="7"/>
      <c r="FH395" s="7"/>
      <c r="FI395" s="7"/>
      <c r="FJ395" s="7"/>
      <c r="FK395" s="7"/>
      <c r="FL395" s="7"/>
      <c r="FM395" s="7"/>
      <c r="FN395" s="7"/>
      <c r="FO395" s="7"/>
      <c r="FP395" s="7"/>
      <c r="FQ395" s="7"/>
      <c r="FR395" s="7"/>
      <c r="FS395" s="7"/>
    </row>
    <row r="396" spans="84:175" x14ac:dyDescent="0.25">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c r="EJ396" s="7"/>
      <c r="EK396" s="7"/>
      <c r="EL396" s="7"/>
      <c r="EM396" s="7"/>
      <c r="EN396" s="7"/>
      <c r="EO396" s="7"/>
      <c r="EP396" s="7"/>
      <c r="EQ396" s="7"/>
      <c r="ER396" s="7"/>
      <c r="ES396" s="7"/>
      <c r="ET396" s="7"/>
      <c r="EU396" s="7"/>
      <c r="EV396" s="7"/>
      <c r="EW396" s="7"/>
      <c r="EX396" s="7"/>
      <c r="EY396" s="7"/>
      <c r="EZ396" s="7"/>
      <c r="FA396" s="7"/>
      <c r="FB396" s="7"/>
      <c r="FC396" s="7"/>
      <c r="FD396" s="7"/>
      <c r="FE396" s="7"/>
      <c r="FF396" s="7"/>
      <c r="FG396" s="7"/>
      <c r="FH396" s="7"/>
      <c r="FI396" s="7"/>
      <c r="FJ396" s="7"/>
      <c r="FK396" s="7"/>
      <c r="FL396" s="7"/>
      <c r="FM396" s="7"/>
      <c r="FN396" s="7"/>
      <c r="FO396" s="7"/>
      <c r="FP396" s="7"/>
      <c r="FQ396" s="7"/>
      <c r="FR396" s="7"/>
      <c r="FS396" s="7"/>
    </row>
    <row r="397" spans="84:175" x14ac:dyDescent="0.25">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c r="EH397" s="7"/>
      <c r="EI397" s="7"/>
      <c r="EJ397" s="7"/>
      <c r="EK397" s="7"/>
      <c r="EL397" s="7"/>
      <c r="EM397" s="7"/>
      <c r="EN397" s="7"/>
      <c r="EO397" s="7"/>
      <c r="EP397" s="7"/>
      <c r="EQ397" s="7"/>
      <c r="ER397" s="7"/>
      <c r="ES397" s="7"/>
      <c r="ET397" s="7"/>
      <c r="EU397" s="7"/>
      <c r="EV397" s="7"/>
      <c r="EW397" s="7"/>
      <c r="EX397" s="7"/>
      <c r="EY397" s="7"/>
      <c r="EZ397" s="7"/>
      <c r="FA397" s="7"/>
      <c r="FB397" s="7"/>
      <c r="FC397" s="7"/>
      <c r="FD397" s="7"/>
      <c r="FE397" s="7"/>
      <c r="FF397" s="7"/>
      <c r="FG397" s="7"/>
      <c r="FH397" s="7"/>
      <c r="FI397" s="7"/>
      <c r="FJ397" s="7"/>
      <c r="FK397" s="7"/>
      <c r="FL397" s="7"/>
      <c r="FM397" s="7"/>
      <c r="FN397" s="7"/>
      <c r="FO397" s="7"/>
      <c r="FP397" s="7"/>
      <c r="FQ397" s="7"/>
      <c r="FR397" s="7"/>
      <c r="FS397" s="7"/>
    </row>
    <row r="398" spans="84:175" x14ac:dyDescent="0.25">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row>
    <row r="399" spans="84:175" x14ac:dyDescent="0.25">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7"/>
      <c r="FB399" s="7"/>
      <c r="FC399" s="7"/>
      <c r="FD399" s="7"/>
      <c r="FE399" s="7"/>
      <c r="FF399" s="7"/>
      <c r="FG399" s="7"/>
      <c r="FH399" s="7"/>
      <c r="FI399" s="7"/>
      <c r="FJ399" s="7"/>
      <c r="FK399" s="7"/>
      <c r="FL399" s="7"/>
      <c r="FM399" s="7"/>
      <c r="FN399" s="7"/>
      <c r="FO399" s="7"/>
      <c r="FP399" s="7"/>
      <c r="FQ399" s="7"/>
      <c r="FR399" s="7"/>
      <c r="FS399" s="7"/>
    </row>
    <row r="400" spans="84:175" x14ac:dyDescent="0.25">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7"/>
      <c r="FB400" s="7"/>
      <c r="FC400" s="7"/>
      <c r="FD400" s="7"/>
      <c r="FE400" s="7"/>
      <c r="FF400" s="7"/>
      <c r="FG400" s="7"/>
      <c r="FH400" s="7"/>
      <c r="FI400" s="7"/>
      <c r="FJ400" s="7"/>
      <c r="FK400" s="7"/>
      <c r="FL400" s="7"/>
      <c r="FM400" s="7"/>
      <c r="FN400" s="7"/>
      <c r="FO400" s="7"/>
      <c r="FP400" s="7"/>
      <c r="FQ400" s="7"/>
      <c r="FR400" s="7"/>
      <c r="FS400" s="7"/>
    </row>
    <row r="401" spans="84:175" x14ac:dyDescent="0.25">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7"/>
      <c r="FB401" s="7"/>
      <c r="FC401" s="7"/>
      <c r="FD401" s="7"/>
      <c r="FE401" s="7"/>
      <c r="FF401" s="7"/>
      <c r="FG401" s="7"/>
      <c r="FH401" s="7"/>
      <c r="FI401" s="7"/>
      <c r="FJ401" s="7"/>
      <c r="FK401" s="7"/>
      <c r="FL401" s="7"/>
      <c r="FM401" s="7"/>
      <c r="FN401" s="7"/>
      <c r="FO401" s="7"/>
      <c r="FP401" s="7"/>
      <c r="FQ401" s="7"/>
      <c r="FR401" s="7"/>
      <c r="FS401" s="7"/>
    </row>
    <row r="402" spans="84:175" x14ac:dyDescent="0.25">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c r="ET402" s="7"/>
      <c r="EU402" s="7"/>
      <c r="EV402" s="7"/>
      <c r="EW402" s="7"/>
      <c r="EX402" s="7"/>
      <c r="EY402" s="7"/>
      <c r="EZ402" s="7"/>
      <c r="FA402" s="7"/>
      <c r="FB402" s="7"/>
      <c r="FC402" s="7"/>
      <c r="FD402" s="7"/>
      <c r="FE402" s="7"/>
      <c r="FF402" s="7"/>
      <c r="FG402" s="7"/>
      <c r="FH402" s="7"/>
      <c r="FI402" s="7"/>
      <c r="FJ402" s="7"/>
      <c r="FK402" s="7"/>
      <c r="FL402" s="7"/>
      <c r="FM402" s="7"/>
      <c r="FN402" s="7"/>
      <c r="FO402" s="7"/>
      <c r="FP402" s="7"/>
      <c r="FQ402" s="7"/>
      <c r="FR402" s="7"/>
      <c r="FS402" s="7"/>
    </row>
    <row r="403" spans="84:175" x14ac:dyDescent="0.25">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c r="EJ403" s="7"/>
      <c r="EK403" s="7"/>
      <c r="EL403" s="7"/>
      <c r="EM403" s="7"/>
      <c r="EN403" s="7"/>
      <c r="EO403" s="7"/>
      <c r="EP403" s="7"/>
      <c r="EQ403" s="7"/>
      <c r="ER403" s="7"/>
      <c r="ES403" s="7"/>
      <c r="ET403" s="7"/>
      <c r="EU403" s="7"/>
      <c r="EV403" s="7"/>
      <c r="EW403" s="7"/>
      <c r="EX403" s="7"/>
      <c r="EY403" s="7"/>
      <c r="EZ403" s="7"/>
      <c r="FA403" s="7"/>
      <c r="FB403" s="7"/>
      <c r="FC403" s="7"/>
      <c r="FD403" s="7"/>
      <c r="FE403" s="7"/>
      <c r="FF403" s="7"/>
      <c r="FG403" s="7"/>
      <c r="FH403" s="7"/>
      <c r="FI403" s="7"/>
      <c r="FJ403" s="7"/>
      <c r="FK403" s="7"/>
      <c r="FL403" s="7"/>
      <c r="FM403" s="7"/>
      <c r="FN403" s="7"/>
      <c r="FO403" s="7"/>
      <c r="FP403" s="7"/>
      <c r="FQ403" s="7"/>
      <c r="FR403" s="7"/>
      <c r="FS403" s="7"/>
    </row>
    <row r="404" spans="84:175" x14ac:dyDescent="0.25">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7"/>
      <c r="ET404" s="7"/>
      <c r="EU404" s="7"/>
      <c r="EV404" s="7"/>
      <c r="EW404" s="7"/>
      <c r="EX404" s="7"/>
      <c r="EY404" s="7"/>
      <c r="EZ404" s="7"/>
      <c r="FA404" s="7"/>
      <c r="FB404" s="7"/>
      <c r="FC404" s="7"/>
      <c r="FD404" s="7"/>
      <c r="FE404" s="7"/>
      <c r="FF404" s="7"/>
      <c r="FG404" s="7"/>
      <c r="FH404" s="7"/>
      <c r="FI404" s="7"/>
      <c r="FJ404" s="7"/>
      <c r="FK404" s="7"/>
      <c r="FL404" s="7"/>
      <c r="FM404" s="7"/>
      <c r="FN404" s="7"/>
      <c r="FO404" s="7"/>
      <c r="FP404" s="7"/>
      <c r="FQ404" s="7"/>
      <c r="FR404" s="7"/>
      <c r="FS404" s="7"/>
    </row>
    <row r="405" spans="84:175" x14ac:dyDescent="0.25">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row>
    <row r="406" spans="84:175" x14ac:dyDescent="0.25">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7"/>
      <c r="FJ406" s="7"/>
      <c r="FK406" s="7"/>
      <c r="FL406" s="7"/>
      <c r="FM406" s="7"/>
      <c r="FN406" s="7"/>
      <c r="FO406" s="7"/>
      <c r="FP406" s="7"/>
      <c r="FQ406" s="7"/>
      <c r="FR406" s="7"/>
      <c r="FS406" s="7"/>
    </row>
    <row r="407" spans="84:175" x14ac:dyDescent="0.25">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7"/>
      <c r="FJ407" s="7"/>
      <c r="FK407" s="7"/>
      <c r="FL407" s="7"/>
      <c r="FM407" s="7"/>
      <c r="FN407" s="7"/>
      <c r="FO407" s="7"/>
      <c r="FP407" s="7"/>
      <c r="FQ407" s="7"/>
      <c r="FR407" s="7"/>
      <c r="FS407" s="7"/>
    </row>
    <row r="408" spans="84:175" x14ac:dyDescent="0.25">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7"/>
      <c r="FJ408" s="7"/>
      <c r="FK408" s="7"/>
      <c r="FL408" s="7"/>
      <c r="FM408" s="7"/>
      <c r="FN408" s="7"/>
      <c r="FO408" s="7"/>
      <c r="FP408" s="7"/>
      <c r="FQ408" s="7"/>
      <c r="FR408" s="7"/>
      <c r="FS408" s="7"/>
    </row>
    <row r="409" spans="84:175" x14ac:dyDescent="0.25">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7"/>
      <c r="ET409" s="7"/>
      <c r="EU409" s="7"/>
      <c r="EV409" s="7"/>
      <c r="EW409" s="7"/>
      <c r="EX409" s="7"/>
      <c r="EY409" s="7"/>
      <c r="EZ409" s="7"/>
      <c r="FA409" s="7"/>
      <c r="FB409" s="7"/>
      <c r="FC409" s="7"/>
      <c r="FD409" s="7"/>
      <c r="FE409" s="7"/>
      <c r="FF409" s="7"/>
      <c r="FG409" s="7"/>
      <c r="FH409" s="7"/>
      <c r="FI409" s="7"/>
      <c r="FJ409" s="7"/>
      <c r="FK409" s="7"/>
      <c r="FL409" s="7"/>
      <c r="FM409" s="7"/>
      <c r="FN409" s="7"/>
      <c r="FO409" s="7"/>
      <c r="FP409" s="7"/>
      <c r="FQ409" s="7"/>
      <c r="FR409" s="7"/>
      <c r="FS409" s="7"/>
    </row>
    <row r="410" spans="84:175" x14ac:dyDescent="0.25">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c r="EL410" s="7"/>
      <c r="EM410" s="7"/>
      <c r="EN410" s="7"/>
      <c r="EO410" s="7"/>
      <c r="EP410" s="7"/>
      <c r="EQ410" s="7"/>
      <c r="ER410" s="7"/>
      <c r="ES410" s="7"/>
      <c r="ET410" s="7"/>
      <c r="EU410" s="7"/>
      <c r="EV410" s="7"/>
      <c r="EW410" s="7"/>
      <c r="EX410" s="7"/>
      <c r="EY410" s="7"/>
      <c r="EZ410" s="7"/>
      <c r="FA410" s="7"/>
      <c r="FB410" s="7"/>
      <c r="FC410" s="7"/>
      <c r="FD410" s="7"/>
      <c r="FE410" s="7"/>
      <c r="FF410" s="7"/>
      <c r="FG410" s="7"/>
      <c r="FH410" s="7"/>
      <c r="FI410" s="7"/>
      <c r="FJ410" s="7"/>
      <c r="FK410" s="7"/>
      <c r="FL410" s="7"/>
      <c r="FM410" s="7"/>
      <c r="FN410" s="7"/>
      <c r="FO410" s="7"/>
      <c r="FP410" s="7"/>
      <c r="FQ410" s="7"/>
      <c r="FR410" s="7"/>
      <c r="FS410" s="7"/>
    </row>
    <row r="411" spans="84:175" x14ac:dyDescent="0.25">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c r="EJ411" s="7"/>
      <c r="EK411" s="7"/>
      <c r="EL411" s="7"/>
      <c r="EM411" s="7"/>
      <c r="EN411" s="7"/>
      <c r="EO411" s="7"/>
      <c r="EP411" s="7"/>
      <c r="EQ411" s="7"/>
      <c r="ER411" s="7"/>
      <c r="ES411" s="7"/>
      <c r="ET411" s="7"/>
      <c r="EU411" s="7"/>
      <c r="EV411" s="7"/>
      <c r="EW411" s="7"/>
      <c r="EX411" s="7"/>
      <c r="EY411" s="7"/>
      <c r="EZ411" s="7"/>
      <c r="FA411" s="7"/>
      <c r="FB411" s="7"/>
      <c r="FC411" s="7"/>
      <c r="FD411" s="7"/>
      <c r="FE411" s="7"/>
      <c r="FF411" s="7"/>
      <c r="FG411" s="7"/>
      <c r="FH411" s="7"/>
      <c r="FI411" s="7"/>
      <c r="FJ411" s="7"/>
      <c r="FK411" s="7"/>
      <c r="FL411" s="7"/>
      <c r="FM411" s="7"/>
      <c r="FN411" s="7"/>
      <c r="FO411" s="7"/>
      <c r="FP411" s="7"/>
      <c r="FQ411" s="7"/>
      <c r="FR411" s="7"/>
      <c r="FS411" s="7"/>
    </row>
    <row r="412" spans="84:175" x14ac:dyDescent="0.25">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c r="EJ412" s="7"/>
      <c r="EK412" s="7"/>
      <c r="EL412" s="7"/>
      <c r="EM412" s="7"/>
      <c r="EN412" s="7"/>
      <c r="EO412" s="7"/>
      <c r="EP412" s="7"/>
      <c r="EQ412" s="7"/>
      <c r="ER412" s="7"/>
      <c r="ES412" s="7"/>
      <c r="ET412" s="7"/>
      <c r="EU412" s="7"/>
      <c r="EV412" s="7"/>
      <c r="EW412" s="7"/>
      <c r="EX412" s="7"/>
      <c r="EY412" s="7"/>
      <c r="EZ412" s="7"/>
      <c r="FA412" s="7"/>
      <c r="FB412" s="7"/>
      <c r="FC412" s="7"/>
      <c r="FD412" s="7"/>
      <c r="FE412" s="7"/>
      <c r="FF412" s="7"/>
      <c r="FG412" s="7"/>
      <c r="FH412" s="7"/>
      <c r="FI412" s="7"/>
      <c r="FJ412" s="7"/>
      <c r="FK412" s="7"/>
      <c r="FL412" s="7"/>
      <c r="FM412" s="7"/>
      <c r="FN412" s="7"/>
      <c r="FO412" s="7"/>
      <c r="FP412" s="7"/>
      <c r="FQ412" s="7"/>
      <c r="FR412" s="7"/>
      <c r="FS412" s="7"/>
    </row>
    <row r="413" spans="84:175" x14ac:dyDescent="0.25">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c r="EJ413" s="7"/>
      <c r="EK413" s="7"/>
      <c r="EL413" s="7"/>
      <c r="EM413" s="7"/>
      <c r="EN413" s="7"/>
      <c r="EO413" s="7"/>
      <c r="EP413" s="7"/>
      <c r="EQ413" s="7"/>
      <c r="ER413" s="7"/>
      <c r="ES413" s="7"/>
      <c r="ET413" s="7"/>
      <c r="EU413" s="7"/>
      <c r="EV413" s="7"/>
      <c r="EW413" s="7"/>
      <c r="EX413" s="7"/>
      <c r="EY413" s="7"/>
      <c r="EZ413" s="7"/>
      <c r="FA413" s="7"/>
      <c r="FB413" s="7"/>
      <c r="FC413" s="7"/>
      <c r="FD413" s="7"/>
      <c r="FE413" s="7"/>
      <c r="FF413" s="7"/>
      <c r="FG413" s="7"/>
      <c r="FH413" s="7"/>
      <c r="FI413" s="7"/>
      <c r="FJ413" s="7"/>
      <c r="FK413" s="7"/>
      <c r="FL413" s="7"/>
      <c r="FM413" s="7"/>
      <c r="FN413" s="7"/>
      <c r="FO413" s="7"/>
      <c r="FP413" s="7"/>
      <c r="FQ413" s="7"/>
      <c r="FR413" s="7"/>
      <c r="FS413" s="7"/>
    </row>
    <row r="414" spans="84:175" x14ac:dyDescent="0.25">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7"/>
      <c r="FC414" s="7"/>
      <c r="FD414" s="7"/>
      <c r="FE414" s="7"/>
      <c r="FF414" s="7"/>
      <c r="FG414" s="7"/>
      <c r="FH414" s="7"/>
      <c r="FI414" s="7"/>
      <c r="FJ414" s="7"/>
      <c r="FK414" s="7"/>
      <c r="FL414" s="7"/>
      <c r="FM414" s="7"/>
      <c r="FN414" s="7"/>
      <c r="FO414" s="7"/>
      <c r="FP414" s="7"/>
      <c r="FQ414" s="7"/>
      <c r="FR414" s="7"/>
      <c r="FS414" s="7"/>
    </row>
    <row r="415" spans="84:175" x14ac:dyDescent="0.25">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c r="EJ415" s="7"/>
      <c r="EK415" s="7"/>
      <c r="EL415" s="7"/>
      <c r="EM415" s="7"/>
      <c r="EN415" s="7"/>
      <c r="EO415" s="7"/>
      <c r="EP415" s="7"/>
      <c r="EQ415" s="7"/>
      <c r="ER415" s="7"/>
      <c r="ES415" s="7"/>
      <c r="ET415" s="7"/>
      <c r="EU415" s="7"/>
      <c r="EV415" s="7"/>
      <c r="EW415" s="7"/>
      <c r="EX415" s="7"/>
      <c r="EY415" s="7"/>
      <c r="EZ415" s="7"/>
      <c r="FA415" s="7"/>
      <c r="FB415" s="7"/>
      <c r="FC415" s="7"/>
      <c r="FD415" s="7"/>
      <c r="FE415" s="7"/>
      <c r="FF415" s="7"/>
      <c r="FG415" s="7"/>
      <c r="FH415" s="7"/>
      <c r="FI415" s="7"/>
      <c r="FJ415" s="7"/>
      <c r="FK415" s="7"/>
      <c r="FL415" s="7"/>
      <c r="FM415" s="7"/>
      <c r="FN415" s="7"/>
      <c r="FO415" s="7"/>
      <c r="FP415" s="7"/>
      <c r="FQ415" s="7"/>
      <c r="FR415" s="7"/>
      <c r="FS415" s="7"/>
    </row>
    <row r="416" spans="84:175" x14ac:dyDescent="0.25">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7"/>
      <c r="ET416" s="7"/>
      <c r="EU416" s="7"/>
      <c r="EV416" s="7"/>
      <c r="EW416" s="7"/>
      <c r="EX416" s="7"/>
      <c r="EY416" s="7"/>
      <c r="EZ416" s="7"/>
      <c r="FA416" s="7"/>
      <c r="FB416" s="7"/>
      <c r="FC416" s="7"/>
      <c r="FD416" s="7"/>
      <c r="FE416" s="7"/>
      <c r="FF416" s="7"/>
      <c r="FG416" s="7"/>
      <c r="FH416" s="7"/>
      <c r="FI416" s="7"/>
      <c r="FJ416" s="7"/>
      <c r="FK416" s="7"/>
      <c r="FL416" s="7"/>
      <c r="FM416" s="7"/>
      <c r="FN416" s="7"/>
      <c r="FO416" s="7"/>
      <c r="FP416" s="7"/>
      <c r="FQ416" s="7"/>
      <c r="FR416" s="7"/>
      <c r="FS416" s="7"/>
    </row>
    <row r="417" spans="84:175" x14ac:dyDescent="0.25">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c r="FL417" s="7"/>
      <c r="FM417" s="7"/>
      <c r="FN417" s="7"/>
      <c r="FO417" s="7"/>
      <c r="FP417" s="7"/>
      <c r="FQ417" s="7"/>
      <c r="FR417" s="7"/>
      <c r="FS417" s="7"/>
    </row>
    <row r="418" spans="84:175" x14ac:dyDescent="0.25">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c r="FL418" s="7"/>
      <c r="FM418" s="7"/>
      <c r="FN418" s="7"/>
      <c r="FO418" s="7"/>
      <c r="FP418" s="7"/>
      <c r="FQ418" s="7"/>
      <c r="FR418" s="7"/>
      <c r="FS418" s="7"/>
    </row>
    <row r="419" spans="84:175" x14ac:dyDescent="0.25">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c r="ET419" s="7"/>
      <c r="EU419" s="7"/>
      <c r="EV419" s="7"/>
      <c r="EW419" s="7"/>
      <c r="EX419" s="7"/>
      <c r="EY419" s="7"/>
      <c r="EZ419" s="7"/>
      <c r="FA419" s="7"/>
      <c r="FB419" s="7"/>
      <c r="FC419" s="7"/>
      <c r="FD419" s="7"/>
      <c r="FE419" s="7"/>
      <c r="FF419" s="7"/>
      <c r="FG419" s="7"/>
      <c r="FH419" s="7"/>
      <c r="FI419" s="7"/>
      <c r="FJ419" s="7"/>
      <c r="FK419" s="7"/>
      <c r="FL419" s="7"/>
      <c r="FM419" s="7"/>
      <c r="FN419" s="7"/>
      <c r="FO419" s="7"/>
      <c r="FP419" s="7"/>
      <c r="FQ419" s="7"/>
      <c r="FR419" s="7"/>
      <c r="FS419" s="7"/>
    </row>
    <row r="420" spans="84:175" x14ac:dyDescent="0.25">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c r="EJ420" s="7"/>
      <c r="EK420" s="7"/>
      <c r="EL420" s="7"/>
      <c r="EM420" s="7"/>
      <c r="EN420" s="7"/>
      <c r="EO420" s="7"/>
      <c r="EP420" s="7"/>
      <c r="EQ420" s="7"/>
      <c r="ER420" s="7"/>
      <c r="ES420" s="7"/>
      <c r="ET420" s="7"/>
      <c r="EU420" s="7"/>
      <c r="EV420" s="7"/>
      <c r="EW420" s="7"/>
      <c r="EX420" s="7"/>
      <c r="EY420" s="7"/>
      <c r="EZ420" s="7"/>
      <c r="FA420" s="7"/>
      <c r="FB420" s="7"/>
      <c r="FC420" s="7"/>
      <c r="FD420" s="7"/>
      <c r="FE420" s="7"/>
      <c r="FF420" s="7"/>
      <c r="FG420" s="7"/>
      <c r="FH420" s="7"/>
      <c r="FI420" s="7"/>
      <c r="FJ420" s="7"/>
      <c r="FK420" s="7"/>
      <c r="FL420" s="7"/>
      <c r="FM420" s="7"/>
      <c r="FN420" s="7"/>
      <c r="FO420" s="7"/>
      <c r="FP420" s="7"/>
      <c r="FQ420" s="7"/>
      <c r="FR420" s="7"/>
      <c r="FS420" s="7"/>
    </row>
    <row r="421" spans="84:175" x14ac:dyDescent="0.25">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c r="EL421" s="7"/>
      <c r="EM421" s="7"/>
      <c r="EN421" s="7"/>
      <c r="EO421" s="7"/>
      <c r="EP421" s="7"/>
      <c r="EQ421" s="7"/>
      <c r="ER421" s="7"/>
      <c r="ES421" s="7"/>
      <c r="ET421" s="7"/>
      <c r="EU421" s="7"/>
      <c r="EV421" s="7"/>
      <c r="EW421" s="7"/>
      <c r="EX421" s="7"/>
      <c r="EY421" s="7"/>
      <c r="EZ421" s="7"/>
      <c r="FA421" s="7"/>
      <c r="FB421" s="7"/>
      <c r="FC421" s="7"/>
      <c r="FD421" s="7"/>
      <c r="FE421" s="7"/>
      <c r="FF421" s="7"/>
      <c r="FG421" s="7"/>
      <c r="FH421" s="7"/>
      <c r="FI421" s="7"/>
      <c r="FJ421" s="7"/>
      <c r="FK421" s="7"/>
      <c r="FL421" s="7"/>
      <c r="FM421" s="7"/>
      <c r="FN421" s="7"/>
      <c r="FO421" s="7"/>
      <c r="FP421" s="7"/>
      <c r="FQ421" s="7"/>
      <c r="FR421" s="7"/>
      <c r="FS421" s="7"/>
    </row>
    <row r="422" spans="84:175" x14ac:dyDescent="0.25">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7"/>
      <c r="ET422" s="7"/>
      <c r="EU422" s="7"/>
      <c r="EV422" s="7"/>
      <c r="EW422" s="7"/>
      <c r="EX422" s="7"/>
      <c r="EY422" s="7"/>
      <c r="EZ422" s="7"/>
      <c r="FA422" s="7"/>
      <c r="FB422" s="7"/>
      <c r="FC422" s="7"/>
      <c r="FD422" s="7"/>
      <c r="FE422" s="7"/>
      <c r="FF422" s="7"/>
      <c r="FG422" s="7"/>
      <c r="FH422" s="7"/>
      <c r="FI422" s="7"/>
      <c r="FJ422" s="7"/>
      <c r="FK422" s="7"/>
      <c r="FL422" s="7"/>
      <c r="FM422" s="7"/>
      <c r="FN422" s="7"/>
      <c r="FO422" s="7"/>
      <c r="FP422" s="7"/>
      <c r="FQ422" s="7"/>
      <c r="FR422" s="7"/>
      <c r="FS422" s="7"/>
    </row>
    <row r="423" spans="84:175" x14ac:dyDescent="0.25">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c r="EE423" s="7"/>
      <c r="EF423" s="7"/>
      <c r="EG423" s="7"/>
      <c r="EH423" s="7"/>
      <c r="EI423" s="7"/>
      <c r="EJ423" s="7"/>
      <c r="EK423" s="7"/>
      <c r="EL423" s="7"/>
      <c r="EM423" s="7"/>
      <c r="EN423" s="7"/>
      <c r="EO423" s="7"/>
      <c r="EP423" s="7"/>
      <c r="EQ423" s="7"/>
      <c r="ER423" s="7"/>
      <c r="ES423" s="7"/>
      <c r="ET423" s="7"/>
      <c r="EU423" s="7"/>
      <c r="EV423" s="7"/>
      <c r="EW423" s="7"/>
      <c r="EX423" s="7"/>
      <c r="EY423" s="7"/>
      <c r="EZ423" s="7"/>
      <c r="FA423" s="7"/>
      <c r="FB423" s="7"/>
      <c r="FC423" s="7"/>
      <c r="FD423" s="7"/>
      <c r="FE423" s="7"/>
      <c r="FF423" s="7"/>
      <c r="FG423" s="7"/>
      <c r="FH423" s="7"/>
      <c r="FI423" s="7"/>
      <c r="FJ423" s="7"/>
      <c r="FK423" s="7"/>
      <c r="FL423" s="7"/>
      <c r="FM423" s="7"/>
      <c r="FN423" s="7"/>
      <c r="FO423" s="7"/>
      <c r="FP423" s="7"/>
      <c r="FQ423" s="7"/>
      <c r="FR423" s="7"/>
      <c r="FS423" s="7"/>
    </row>
    <row r="424" spans="84:175" x14ac:dyDescent="0.25">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c r="EE424" s="7"/>
      <c r="EF424" s="7"/>
      <c r="EG424" s="7"/>
      <c r="EH424" s="7"/>
      <c r="EI424" s="7"/>
      <c r="EJ424" s="7"/>
      <c r="EK424" s="7"/>
      <c r="EL424" s="7"/>
      <c r="EM424" s="7"/>
      <c r="EN424" s="7"/>
      <c r="EO424" s="7"/>
      <c r="EP424" s="7"/>
      <c r="EQ424" s="7"/>
      <c r="ER424" s="7"/>
      <c r="ES424" s="7"/>
      <c r="ET424" s="7"/>
      <c r="EU424" s="7"/>
      <c r="EV424" s="7"/>
      <c r="EW424" s="7"/>
      <c r="EX424" s="7"/>
      <c r="EY424" s="7"/>
      <c r="EZ424" s="7"/>
      <c r="FA424" s="7"/>
      <c r="FB424" s="7"/>
      <c r="FC424" s="7"/>
      <c r="FD424" s="7"/>
      <c r="FE424" s="7"/>
      <c r="FF424" s="7"/>
      <c r="FG424" s="7"/>
      <c r="FH424" s="7"/>
      <c r="FI424" s="7"/>
      <c r="FJ424" s="7"/>
      <c r="FK424" s="7"/>
      <c r="FL424" s="7"/>
      <c r="FM424" s="7"/>
      <c r="FN424" s="7"/>
      <c r="FO424" s="7"/>
      <c r="FP424" s="7"/>
      <c r="FQ424" s="7"/>
      <c r="FR424" s="7"/>
      <c r="FS424" s="7"/>
    </row>
    <row r="425" spans="84:175" x14ac:dyDescent="0.25">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c r="EE425" s="7"/>
      <c r="EF425" s="7"/>
      <c r="EG425" s="7"/>
      <c r="EH425" s="7"/>
      <c r="EI425" s="7"/>
      <c r="EJ425" s="7"/>
      <c r="EK425" s="7"/>
      <c r="EL425" s="7"/>
      <c r="EM425" s="7"/>
      <c r="EN425" s="7"/>
      <c r="EO425" s="7"/>
      <c r="EP425" s="7"/>
      <c r="EQ425" s="7"/>
      <c r="ER425" s="7"/>
      <c r="ES425" s="7"/>
      <c r="ET425" s="7"/>
      <c r="EU425" s="7"/>
      <c r="EV425" s="7"/>
      <c r="EW425" s="7"/>
      <c r="EX425" s="7"/>
      <c r="EY425" s="7"/>
      <c r="EZ425" s="7"/>
      <c r="FA425" s="7"/>
      <c r="FB425" s="7"/>
      <c r="FC425" s="7"/>
      <c r="FD425" s="7"/>
      <c r="FE425" s="7"/>
      <c r="FF425" s="7"/>
      <c r="FG425" s="7"/>
      <c r="FH425" s="7"/>
      <c r="FI425" s="7"/>
      <c r="FJ425" s="7"/>
      <c r="FK425" s="7"/>
      <c r="FL425" s="7"/>
      <c r="FM425" s="7"/>
      <c r="FN425" s="7"/>
      <c r="FO425" s="7"/>
      <c r="FP425" s="7"/>
      <c r="FQ425" s="7"/>
      <c r="FR425" s="7"/>
      <c r="FS425" s="7"/>
    </row>
    <row r="426" spans="84:175" x14ac:dyDescent="0.25">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DM426" s="7"/>
      <c r="DN426" s="7"/>
      <c r="DO426" s="7"/>
      <c r="DP426" s="7"/>
      <c r="DQ426" s="7"/>
      <c r="DR426" s="7"/>
      <c r="DS426" s="7"/>
      <c r="DT426" s="7"/>
      <c r="DU426" s="7"/>
      <c r="DV426" s="7"/>
      <c r="DW426" s="7"/>
      <c r="DX426" s="7"/>
      <c r="DY426" s="7"/>
      <c r="DZ426" s="7"/>
      <c r="EA426" s="7"/>
      <c r="EB426" s="7"/>
      <c r="EC426" s="7"/>
      <c r="ED426" s="7"/>
      <c r="EE426" s="7"/>
      <c r="EF426" s="7"/>
      <c r="EG426" s="7"/>
      <c r="EH426" s="7"/>
      <c r="EI426" s="7"/>
      <c r="EJ426" s="7"/>
      <c r="EK426" s="7"/>
      <c r="EL426" s="7"/>
      <c r="EM426" s="7"/>
      <c r="EN426" s="7"/>
      <c r="EO426" s="7"/>
      <c r="EP426" s="7"/>
      <c r="EQ426" s="7"/>
      <c r="ER426" s="7"/>
      <c r="ES426" s="7"/>
      <c r="ET426" s="7"/>
      <c r="EU426" s="7"/>
      <c r="EV426" s="7"/>
      <c r="EW426" s="7"/>
      <c r="EX426" s="7"/>
      <c r="EY426" s="7"/>
      <c r="EZ426" s="7"/>
      <c r="FA426" s="7"/>
      <c r="FB426" s="7"/>
      <c r="FC426" s="7"/>
      <c r="FD426" s="7"/>
      <c r="FE426" s="7"/>
      <c r="FF426" s="7"/>
      <c r="FG426" s="7"/>
      <c r="FH426" s="7"/>
      <c r="FI426" s="7"/>
      <c r="FJ426" s="7"/>
      <c r="FK426" s="7"/>
      <c r="FL426" s="7"/>
      <c r="FM426" s="7"/>
      <c r="FN426" s="7"/>
      <c r="FO426" s="7"/>
      <c r="FP426" s="7"/>
      <c r="FQ426" s="7"/>
      <c r="FR426" s="7"/>
      <c r="FS426" s="7"/>
    </row>
    <row r="427" spans="84:175" x14ac:dyDescent="0.25">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c r="EJ427" s="7"/>
      <c r="EK427" s="7"/>
      <c r="EL427" s="7"/>
      <c r="EM427" s="7"/>
      <c r="EN427" s="7"/>
      <c r="EO427" s="7"/>
      <c r="EP427" s="7"/>
      <c r="EQ427" s="7"/>
      <c r="ER427" s="7"/>
      <c r="ES427" s="7"/>
      <c r="ET427" s="7"/>
      <c r="EU427" s="7"/>
      <c r="EV427" s="7"/>
      <c r="EW427" s="7"/>
      <c r="EX427" s="7"/>
      <c r="EY427" s="7"/>
      <c r="EZ427" s="7"/>
      <c r="FA427" s="7"/>
      <c r="FB427" s="7"/>
      <c r="FC427" s="7"/>
      <c r="FD427" s="7"/>
      <c r="FE427" s="7"/>
      <c r="FF427" s="7"/>
      <c r="FG427" s="7"/>
      <c r="FH427" s="7"/>
      <c r="FI427" s="7"/>
      <c r="FJ427" s="7"/>
      <c r="FK427" s="7"/>
      <c r="FL427" s="7"/>
      <c r="FM427" s="7"/>
      <c r="FN427" s="7"/>
      <c r="FO427" s="7"/>
      <c r="FP427" s="7"/>
      <c r="FQ427" s="7"/>
      <c r="FR427" s="7"/>
      <c r="FS427" s="7"/>
    </row>
    <row r="428" spans="84:175" x14ac:dyDescent="0.25">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c r="EJ428" s="7"/>
      <c r="EK428" s="7"/>
      <c r="EL428" s="7"/>
      <c r="EM428" s="7"/>
      <c r="EN428" s="7"/>
      <c r="EO428" s="7"/>
      <c r="EP428" s="7"/>
      <c r="EQ428" s="7"/>
      <c r="ER428" s="7"/>
      <c r="ES428" s="7"/>
      <c r="ET428" s="7"/>
      <c r="EU428" s="7"/>
      <c r="EV428" s="7"/>
      <c r="EW428" s="7"/>
      <c r="EX428" s="7"/>
      <c r="EY428" s="7"/>
      <c r="EZ428" s="7"/>
      <c r="FA428" s="7"/>
      <c r="FB428" s="7"/>
      <c r="FC428" s="7"/>
      <c r="FD428" s="7"/>
      <c r="FE428" s="7"/>
      <c r="FF428" s="7"/>
      <c r="FG428" s="7"/>
      <c r="FH428" s="7"/>
      <c r="FI428" s="7"/>
      <c r="FJ428" s="7"/>
      <c r="FK428" s="7"/>
      <c r="FL428" s="7"/>
      <c r="FM428" s="7"/>
      <c r="FN428" s="7"/>
      <c r="FO428" s="7"/>
      <c r="FP428" s="7"/>
      <c r="FQ428" s="7"/>
      <c r="FR428" s="7"/>
      <c r="FS428" s="7"/>
    </row>
    <row r="429" spans="84:175" x14ac:dyDescent="0.25">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c r="EE429" s="7"/>
      <c r="EF429" s="7"/>
      <c r="EG429" s="7"/>
      <c r="EH429" s="7"/>
      <c r="EI429" s="7"/>
      <c r="EJ429" s="7"/>
      <c r="EK429" s="7"/>
      <c r="EL429" s="7"/>
      <c r="EM429" s="7"/>
      <c r="EN429" s="7"/>
      <c r="EO429" s="7"/>
      <c r="EP429" s="7"/>
      <c r="EQ429" s="7"/>
      <c r="ER429" s="7"/>
      <c r="ES429" s="7"/>
      <c r="ET429" s="7"/>
      <c r="EU429" s="7"/>
      <c r="EV429" s="7"/>
      <c r="EW429" s="7"/>
      <c r="EX429" s="7"/>
      <c r="EY429" s="7"/>
      <c r="EZ429" s="7"/>
      <c r="FA429" s="7"/>
      <c r="FB429" s="7"/>
      <c r="FC429" s="7"/>
      <c r="FD429" s="7"/>
      <c r="FE429" s="7"/>
      <c r="FF429" s="7"/>
      <c r="FG429" s="7"/>
      <c r="FH429" s="7"/>
      <c r="FI429" s="7"/>
      <c r="FJ429" s="7"/>
      <c r="FK429" s="7"/>
      <c r="FL429" s="7"/>
      <c r="FM429" s="7"/>
      <c r="FN429" s="7"/>
      <c r="FO429" s="7"/>
      <c r="FP429" s="7"/>
      <c r="FQ429" s="7"/>
      <c r="FR429" s="7"/>
      <c r="FS429" s="7"/>
    </row>
    <row r="430" spans="84:175" x14ac:dyDescent="0.25">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c r="EJ430" s="7"/>
      <c r="EK430" s="7"/>
      <c r="EL430" s="7"/>
      <c r="EM430" s="7"/>
      <c r="EN430" s="7"/>
      <c r="EO430" s="7"/>
      <c r="EP430" s="7"/>
      <c r="EQ430" s="7"/>
      <c r="ER430" s="7"/>
      <c r="ES430" s="7"/>
      <c r="ET430" s="7"/>
      <c r="EU430" s="7"/>
      <c r="EV430" s="7"/>
      <c r="EW430" s="7"/>
      <c r="EX430" s="7"/>
      <c r="EY430" s="7"/>
      <c r="EZ430" s="7"/>
      <c r="FA430" s="7"/>
      <c r="FB430" s="7"/>
      <c r="FC430" s="7"/>
      <c r="FD430" s="7"/>
      <c r="FE430" s="7"/>
      <c r="FF430" s="7"/>
      <c r="FG430" s="7"/>
      <c r="FH430" s="7"/>
      <c r="FI430" s="7"/>
      <c r="FJ430" s="7"/>
      <c r="FK430" s="7"/>
      <c r="FL430" s="7"/>
      <c r="FM430" s="7"/>
      <c r="FN430" s="7"/>
      <c r="FO430" s="7"/>
      <c r="FP430" s="7"/>
      <c r="FQ430" s="7"/>
      <c r="FR430" s="7"/>
      <c r="FS430" s="7"/>
    </row>
    <row r="431" spans="84:175" x14ac:dyDescent="0.25">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DM431" s="7"/>
      <c r="DN431" s="7"/>
      <c r="DO431" s="7"/>
      <c r="DP431" s="7"/>
      <c r="DQ431" s="7"/>
      <c r="DR431" s="7"/>
      <c r="DS431" s="7"/>
      <c r="DT431" s="7"/>
      <c r="DU431" s="7"/>
      <c r="DV431" s="7"/>
      <c r="DW431" s="7"/>
      <c r="DX431" s="7"/>
      <c r="DY431" s="7"/>
      <c r="DZ431" s="7"/>
      <c r="EA431" s="7"/>
      <c r="EB431" s="7"/>
      <c r="EC431" s="7"/>
      <c r="ED431" s="7"/>
      <c r="EE431" s="7"/>
      <c r="EF431" s="7"/>
      <c r="EG431" s="7"/>
      <c r="EH431" s="7"/>
      <c r="EI431" s="7"/>
      <c r="EJ431" s="7"/>
      <c r="EK431" s="7"/>
      <c r="EL431" s="7"/>
      <c r="EM431" s="7"/>
      <c r="EN431" s="7"/>
      <c r="EO431" s="7"/>
      <c r="EP431" s="7"/>
      <c r="EQ431" s="7"/>
      <c r="ER431" s="7"/>
      <c r="ES431" s="7"/>
      <c r="ET431" s="7"/>
      <c r="EU431" s="7"/>
      <c r="EV431" s="7"/>
      <c r="EW431" s="7"/>
      <c r="EX431" s="7"/>
      <c r="EY431" s="7"/>
      <c r="EZ431" s="7"/>
      <c r="FA431" s="7"/>
      <c r="FB431" s="7"/>
      <c r="FC431" s="7"/>
      <c r="FD431" s="7"/>
      <c r="FE431" s="7"/>
      <c r="FF431" s="7"/>
      <c r="FG431" s="7"/>
      <c r="FH431" s="7"/>
      <c r="FI431" s="7"/>
      <c r="FJ431" s="7"/>
      <c r="FK431" s="7"/>
      <c r="FL431" s="7"/>
      <c r="FM431" s="7"/>
      <c r="FN431" s="7"/>
      <c r="FO431" s="7"/>
      <c r="FP431" s="7"/>
      <c r="FQ431" s="7"/>
      <c r="FR431" s="7"/>
      <c r="FS431" s="7"/>
    </row>
    <row r="432" spans="84:175" x14ac:dyDescent="0.25">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c r="EE432" s="7"/>
      <c r="EF432" s="7"/>
      <c r="EG432" s="7"/>
      <c r="EH432" s="7"/>
      <c r="EI432" s="7"/>
      <c r="EJ432" s="7"/>
      <c r="EK432" s="7"/>
      <c r="EL432" s="7"/>
      <c r="EM432" s="7"/>
      <c r="EN432" s="7"/>
      <c r="EO432" s="7"/>
      <c r="EP432" s="7"/>
      <c r="EQ432" s="7"/>
      <c r="ER432" s="7"/>
      <c r="ES432" s="7"/>
      <c r="ET432" s="7"/>
      <c r="EU432" s="7"/>
      <c r="EV432" s="7"/>
      <c r="EW432" s="7"/>
      <c r="EX432" s="7"/>
      <c r="EY432" s="7"/>
      <c r="EZ432" s="7"/>
      <c r="FA432" s="7"/>
      <c r="FB432" s="7"/>
      <c r="FC432" s="7"/>
      <c r="FD432" s="7"/>
      <c r="FE432" s="7"/>
      <c r="FF432" s="7"/>
      <c r="FG432" s="7"/>
      <c r="FH432" s="7"/>
      <c r="FI432" s="7"/>
      <c r="FJ432" s="7"/>
      <c r="FK432" s="7"/>
      <c r="FL432" s="7"/>
      <c r="FM432" s="7"/>
      <c r="FN432" s="7"/>
      <c r="FO432" s="7"/>
      <c r="FP432" s="7"/>
      <c r="FQ432" s="7"/>
      <c r="FR432" s="7"/>
      <c r="FS432" s="7"/>
    </row>
    <row r="433" spans="84:175" x14ac:dyDescent="0.25">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c r="EJ433" s="7"/>
      <c r="EK433" s="7"/>
      <c r="EL433" s="7"/>
      <c r="EM433" s="7"/>
      <c r="EN433" s="7"/>
      <c r="EO433" s="7"/>
      <c r="EP433" s="7"/>
      <c r="EQ433" s="7"/>
      <c r="ER433" s="7"/>
      <c r="ES433" s="7"/>
      <c r="ET433" s="7"/>
      <c r="EU433" s="7"/>
      <c r="EV433" s="7"/>
      <c r="EW433" s="7"/>
      <c r="EX433" s="7"/>
      <c r="EY433" s="7"/>
      <c r="EZ433" s="7"/>
      <c r="FA433" s="7"/>
      <c r="FB433" s="7"/>
      <c r="FC433" s="7"/>
      <c r="FD433" s="7"/>
      <c r="FE433" s="7"/>
      <c r="FF433" s="7"/>
      <c r="FG433" s="7"/>
      <c r="FH433" s="7"/>
      <c r="FI433" s="7"/>
      <c r="FJ433" s="7"/>
      <c r="FK433" s="7"/>
      <c r="FL433" s="7"/>
      <c r="FM433" s="7"/>
      <c r="FN433" s="7"/>
      <c r="FO433" s="7"/>
      <c r="FP433" s="7"/>
      <c r="FQ433" s="7"/>
      <c r="FR433" s="7"/>
      <c r="FS433" s="7"/>
    </row>
    <row r="434" spans="84:175" x14ac:dyDescent="0.25">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7"/>
      <c r="EF434" s="7"/>
      <c r="EG434" s="7"/>
      <c r="EH434" s="7"/>
      <c r="EI434" s="7"/>
      <c r="EJ434" s="7"/>
      <c r="EK434" s="7"/>
      <c r="EL434" s="7"/>
      <c r="EM434" s="7"/>
      <c r="EN434" s="7"/>
      <c r="EO434" s="7"/>
      <c r="EP434" s="7"/>
      <c r="EQ434" s="7"/>
      <c r="ER434" s="7"/>
      <c r="ES434" s="7"/>
      <c r="ET434" s="7"/>
      <c r="EU434" s="7"/>
      <c r="EV434" s="7"/>
      <c r="EW434" s="7"/>
      <c r="EX434" s="7"/>
      <c r="EY434" s="7"/>
      <c r="EZ434" s="7"/>
      <c r="FA434" s="7"/>
      <c r="FB434" s="7"/>
      <c r="FC434" s="7"/>
      <c r="FD434" s="7"/>
      <c r="FE434" s="7"/>
      <c r="FF434" s="7"/>
      <c r="FG434" s="7"/>
      <c r="FH434" s="7"/>
      <c r="FI434" s="7"/>
      <c r="FJ434" s="7"/>
      <c r="FK434" s="7"/>
      <c r="FL434" s="7"/>
      <c r="FM434" s="7"/>
      <c r="FN434" s="7"/>
      <c r="FO434" s="7"/>
      <c r="FP434" s="7"/>
      <c r="FQ434" s="7"/>
      <c r="FR434" s="7"/>
      <c r="FS434" s="7"/>
    </row>
    <row r="435" spans="84:175" x14ac:dyDescent="0.25">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c r="EJ435" s="7"/>
      <c r="EK435" s="7"/>
      <c r="EL435" s="7"/>
      <c r="EM435" s="7"/>
      <c r="EN435" s="7"/>
      <c r="EO435" s="7"/>
      <c r="EP435" s="7"/>
      <c r="EQ435" s="7"/>
      <c r="ER435" s="7"/>
      <c r="ES435" s="7"/>
      <c r="ET435" s="7"/>
      <c r="EU435" s="7"/>
      <c r="EV435" s="7"/>
      <c r="EW435" s="7"/>
      <c r="EX435" s="7"/>
      <c r="EY435" s="7"/>
      <c r="EZ435" s="7"/>
      <c r="FA435" s="7"/>
      <c r="FB435" s="7"/>
      <c r="FC435" s="7"/>
      <c r="FD435" s="7"/>
      <c r="FE435" s="7"/>
      <c r="FF435" s="7"/>
      <c r="FG435" s="7"/>
      <c r="FH435" s="7"/>
      <c r="FI435" s="7"/>
      <c r="FJ435" s="7"/>
      <c r="FK435" s="7"/>
      <c r="FL435" s="7"/>
      <c r="FM435" s="7"/>
      <c r="FN435" s="7"/>
      <c r="FO435" s="7"/>
      <c r="FP435" s="7"/>
      <c r="FQ435" s="7"/>
      <c r="FR435" s="7"/>
      <c r="FS435" s="7"/>
    </row>
    <row r="436" spans="84:175" x14ac:dyDescent="0.25">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7"/>
      <c r="EF436" s="7"/>
      <c r="EG436" s="7"/>
      <c r="EH436" s="7"/>
      <c r="EI436" s="7"/>
      <c r="EJ436" s="7"/>
      <c r="EK436" s="7"/>
      <c r="EL436" s="7"/>
      <c r="EM436" s="7"/>
      <c r="EN436" s="7"/>
      <c r="EO436" s="7"/>
      <c r="EP436" s="7"/>
      <c r="EQ436" s="7"/>
      <c r="ER436" s="7"/>
      <c r="ES436" s="7"/>
      <c r="ET436" s="7"/>
      <c r="EU436" s="7"/>
      <c r="EV436" s="7"/>
      <c r="EW436" s="7"/>
      <c r="EX436" s="7"/>
      <c r="EY436" s="7"/>
      <c r="EZ436" s="7"/>
      <c r="FA436" s="7"/>
      <c r="FB436" s="7"/>
      <c r="FC436" s="7"/>
      <c r="FD436" s="7"/>
      <c r="FE436" s="7"/>
      <c r="FF436" s="7"/>
      <c r="FG436" s="7"/>
      <c r="FH436" s="7"/>
      <c r="FI436" s="7"/>
      <c r="FJ436" s="7"/>
      <c r="FK436" s="7"/>
      <c r="FL436" s="7"/>
      <c r="FM436" s="7"/>
      <c r="FN436" s="7"/>
      <c r="FO436" s="7"/>
      <c r="FP436" s="7"/>
      <c r="FQ436" s="7"/>
      <c r="FR436" s="7"/>
      <c r="FS436" s="7"/>
    </row>
    <row r="437" spans="84:175" x14ac:dyDescent="0.25">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7"/>
      <c r="EF437" s="7"/>
      <c r="EG437" s="7"/>
      <c r="EH437" s="7"/>
      <c r="EI437" s="7"/>
      <c r="EJ437" s="7"/>
      <c r="EK437" s="7"/>
      <c r="EL437" s="7"/>
      <c r="EM437" s="7"/>
      <c r="EN437" s="7"/>
      <c r="EO437" s="7"/>
      <c r="EP437" s="7"/>
      <c r="EQ437" s="7"/>
      <c r="ER437" s="7"/>
      <c r="ES437" s="7"/>
      <c r="ET437" s="7"/>
      <c r="EU437" s="7"/>
      <c r="EV437" s="7"/>
      <c r="EW437" s="7"/>
      <c r="EX437" s="7"/>
      <c r="EY437" s="7"/>
      <c r="EZ437" s="7"/>
      <c r="FA437" s="7"/>
      <c r="FB437" s="7"/>
      <c r="FC437" s="7"/>
      <c r="FD437" s="7"/>
      <c r="FE437" s="7"/>
      <c r="FF437" s="7"/>
      <c r="FG437" s="7"/>
      <c r="FH437" s="7"/>
      <c r="FI437" s="7"/>
      <c r="FJ437" s="7"/>
      <c r="FK437" s="7"/>
      <c r="FL437" s="7"/>
      <c r="FM437" s="7"/>
      <c r="FN437" s="7"/>
      <c r="FO437" s="7"/>
      <c r="FP437" s="7"/>
      <c r="FQ437" s="7"/>
      <c r="FR437" s="7"/>
      <c r="FS437" s="7"/>
    </row>
    <row r="438" spans="84:175" x14ac:dyDescent="0.25">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c r="EH438" s="7"/>
      <c r="EI438" s="7"/>
      <c r="EJ438" s="7"/>
      <c r="EK438" s="7"/>
      <c r="EL438" s="7"/>
      <c r="EM438" s="7"/>
      <c r="EN438" s="7"/>
      <c r="EO438" s="7"/>
      <c r="EP438" s="7"/>
      <c r="EQ438" s="7"/>
      <c r="ER438" s="7"/>
      <c r="ES438" s="7"/>
      <c r="ET438" s="7"/>
      <c r="EU438" s="7"/>
      <c r="EV438" s="7"/>
      <c r="EW438" s="7"/>
      <c r="EX438" s="7"/>
      <c r="EY438" s="7"/>
      <c r="EZ438" s="7"/>
      <c r="FA438" s="7"/>
      <c r="FB438" s="7"/>
      <c r="FC438" s="7"/>
      <c r="FD438" s="7"/>
      <c r="FE438" s="7"/>
      <c r="FF438" s="7"/>
      <c r="FG438" s="7"/>
      <c r="FH438" s="7"/>
      <c r="FI438" s="7"/>
      <c r="FJ438" s="7"/>
      <c r="FK438" s="7"/>
      <c r="FL438" s="7"/>
      <c r="FM438" s="7"/>
      <c r="FN438" s="7"/>
      <c r="FO438" s="7"/>
      <c r="FP438" s="7"/>
      <c r="FQ438" s="7"/>
      <c r="FR438" s="7"/>
      <c r="FS438" s="7"/>
    </row>
    <row r="439" spans="84:175" x14ac:dyDescent="0.25">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c r="EJ439" s="7"/>
      <c r="EK439" s="7"/>
      <c r="EL439" s="7"/>
      <c r="EM439" s="7"/>
      <c r="EN439" s="7"/>
      <c r="EO439" s="7"/>
      <c r="EP439" s="7"/>
      <c r="EQ439" s="7"/>
      <c r="ER439" s="7"/>
      <c r="ES439" s="7"/>
      <c r="ET439" s="7"/>
      <c r="EU439" s="7"/>
      <c r="EV439" s="7"/>
      <c r="EW439" s="7"/>
      <c r="EX439" s="7"/>
      <c r="EY439" s="7"/>
      <c r="EZ439" s="7"/>
      <c r="FA439" s="7"/>
      <c r="FB439" s="7"/>
      <c r="FC439" s="7"/>
      <c r="FD439" s="7"/>
      <c r="FE439" s="7"/>
      <c r="FF439" s="7"/>
      <c r="FG439" s="7"/>
      <c r="FH439" s="7"/>
      <c r="FI439" s="7"/>
      <c r="FJ439" s="7"/>
      <c r="FK439" s="7"/>
      <c r="FL439" s="7"/>
      <c r="FM439" s="7"/>
      <c r="FN439" s="7"/>
      <c r="FO439" s="7"/>
      <c r="FP439" s="7"/>
      <c r="FQ439" s="7"/>
      <c r="FR439" s="7"/>
      <c r="FS439" s="7"/>
    </row>
    <row r="440" spans="84:175" x14ac:dyDescent="0.25">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c r="EH440" s="7"/>
      <c r="EI440" s="7"/>
      <c r="EJ440" s="7"/>
      <c r="EK440" s="7"/>
      <c r="EL440" s="7"/>
      <c r="EM440" s="7"/>
      <c r="EN440" s="7"/>
      <c r="EO440" s="7"/>
      <c r="EP440" s="7"/>
      <c r="EQ440" s="7"/>
      <c r="ER440" s="7"/>
      <c r="ES440" s="7"/>
      <c r="ET440" s="7"/>
      <c r="EU440" s="7"/>
      <c r="EV440" s="7"/>
      <c r="EW440" s="7"/>
      <c r="EX440" s="7"/>
      <c r="EY440" s="7"/>
      <c r="EZ440" s="7"/>
      <c r="FA440" s="7"/>
      <c r="FB440" s="7"/>
      <c r="FC440" s="7"/>
      <c r="FD440" s="7"/>
      <c r="FE440" s="7"/>
      <c r="FF440" s="7"/>
      <c r="FG440" s="7"/>
      <c r="FH440" s="7"/>
      <c r="FI440" s="7"/>
      <c r="FJ440" s="7"/>
      <c r="FK440" s="7"/>
      <c r="FL440" s="7"/>
      <c r="FM440" s="7"/>
      <c r="FN440" s="7"/>
      <c r="FO440" s="7"/>
      <c r="FP440" s="7"/>
      <c r="FQ440" s="7"/>
      <c r="FR440" s="7"/>
      <c r="FS440" s="7"/>
    </row>
    <row r="441" spans="84:175" x14ac:dyDescent="0.25">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c r="EJ441" s="7"/>
      <c r="EK441" s="7"/>
      <c r="EL441" s="7"/>
      <c r="EM441" s="7"/>
      <c r="EN441" s="7"/>
      <c r="EO441" s="7"/>
      <c r="EP441" s="7"/>
      <c r="EQ441" s="7"/>
      <c r="ER441" s="7"/>
      <c r="ES441" s="7"/>
      <c r="ET441" s="7"/>
      <c r="EU441" s="7"/>
      <c r="EV441" s="7"/>
      <c r="EW441" s="7"/>
      <c r="EX441" s="7"/>
      <c r="EY441" s="7"/>
      <c r="EZ441" s="7"/>
      <c r="FA441" s="7"/>
      <c r="FB441" s="7"/>
      <c r="FC441" s="7"/>
      <c r="FD441" s="7"/>
      <c r="FE441" s="7"/>
      <c r="FF441" s="7"/>
      <c r="FG441" s="7"/>
      <c r="FH441" s="7"/>
      <c r="FI441" s="7"/>
      <c r="FJ441" s="7"/>
      <c r="FK441" s="7"/>
      <c r="FL441" s="7"/>
      <c r="FM441" s="7"/>
      <c r="FN441" s="7"/>
      <c r="FO441" s="7"/>
      <c r="FP441" s="7"/>
      <c r="FQ441" s="7"/>
      <c r="FR441" s="7"/>
      <c r="FS441" s="7"/>
    </row>
    <row r="442" spans="84:175" x14ac:dyDescent="0.25">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c r="EE442" s="7"/>
      <c r="EF442" s="7"/>
      <c r="EG442" s="7"/>
      <c r="EH442" s="7"/>
      <c r="EI442" s="7"/>
      <c r="EJ442" s="7"/>
      <c r="EK442" s="7"/>
      <c r="EL442" s="7"/>
      <c r="EM442" s="7"/>
      <c r="EN442" s="7"/>
      <c r="EO442" s="7"/>
      <c r="EP442" s="7"/>
      <c r="EQ442" s="7"/>
      <c r="ER442" s="7"/>
      <c r="ES442" s="7"/>
      <c r="ET442" s="7"/>
      <c r="EU442" s="7"/>
      <c r="EV442" s="7"/>
      <c r="EW442" s="7"/>
      <c r="EX442" s="7"/>
      <c r="EY442" s="7"/>
      <c r="EZ442" s="7"/>
      <c r="FA442" s="7"/>
      <c r="FB442" s="7"/>
      <c r="FC442" s="7"/>
      <c r="FD442" s="7"/>
      <c r="FE442" s="7"/>
      <c r="FF442" s="7"/>
      <c r="FG442" s="7"/>
      <c r="FH442" s="7"/>
      <c r="FI442" s="7"/>
      <c r="FJ442" s="7"/>
      <c r="FK442" s="7"/>
      <c r="FL442" s="7"/>
      <c r="FM442" s="7"/>
      <c r="FN442" s="7"/>
      <c r="FO442" s="7"/>
      <c r="FP442" s="7"/>
      <c r="FQ442" s="7"/>
      <c r="FR442" s="7"/>
      <c r="FS442" s="7"/>
    </row>
    <row r="443" spans="84:175" x14ac:dyDescent="0.25">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c r="DI443" s="7"/>
      <c r="DJ443" s="7"/>
      <c r="DK443" s="7"/>
      <c r="DL443" s="7"/>
      <c r="DM443" s="7"/>
      <c r="DN443" s="7"/>
      <c r="DO443" s="7"/>
      <c r="DP443" s="7"/>
      <c r="DQ443" s="7"/>
      <c r="DR443" s="7"/>
      <c r="DS443" s="7"/>
      <c r="DT443" s="7"/>
      <c r="DU443" s="7"/>
      <c r="DV443" s="7"/>
      <c r="DW443" s="7"/>
      <c r="DX443" s="7"/>
      <c r="DY443" s="7"/>
      <c r="DZ443" s="7"/>
      <c r="EA443" s="7"/>
      <c r="EB443" s="7"/>
      <c r="EC443" s="7"/>
      <c r="ED443" s="7"/>
      <c r="EE443" s="7"/>
      <c r="EF443" s="7"/>
      <c r="EG443" s="7"/>
      <c r="EH443" s="7"/>
      <c r="EI443" s="7"/>
      <c r="EJ443" s="7"/>
      <c r="EK443" s="7"/>
      <c r="EL443" s="7"/>
      <c r="EM443" s="7"/>
      <c r="EN443" s="7"/>
      <c r="EO443" s="7"/>
      <c r="EP443" s="7"/>
      <c r="EQ443" s="7"/>
      <c r="ER443" s="7"/>
      <c r="ES443" s="7"/>
      <c r="ET443" s="7"/>
      <c r="EU443" s="7"/>
      <c r="EV443" s="7"/>
      <c r="EW443" s="7"/>
      <c r="EX443" s="7"/>
      <c r="EY443" s="7"/>
      <c r="EZ443" s="7"/>
      <c r="FA443" s="7"/>
      <c r="FB443" s="7"/>
      <c r="FC443" s="7"/>
      <c r="FD443" s="7"/>
      <c r="FE443" s="7"/>
      <c r="FF443" s="7"/>
      <c r="FG443" s="7"/>
      <c r="FH443" s="7"/>
      <c r="FI443" s="7"/>
      <c r="FJ443" s="7"/>
      <c r="FK443" s="7"/>
      <c r="FL443" s="7"/>
      <c r="FM443" s="7"/>
      <c r="FN443" s="7"/>
      <c r="FO443" s="7"/>
      <c r="FP443" s="7"/>
      <c r="FQ443" s="7"/>
      <c r="FR443" s="7"/>
      <c r="FS443" s="7"/>
    </row>
    <row r="444" spans="84:175" x14ac:dyDescent="0.25">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c r="DI444" s="7"/>
      <c r="DJ444" s="7"/>
      <c r="DK444" s="7"/>
      <c r="DL444" s="7"/>
      <c r="DM444" s="7"/>
      <c r="DN444" s="7"/>
      <c r="DO444" s="7"/>
      <c r="DP444" s="7"/>
      <c r="DQ444" s="7"/>
      <c r="DR444" s="7"/>
      <c r="DS444" s="7"/>
      <c r="DT444" s="7"/>
      <c r="DU444" s="7"/>
      <c r="DV444" s="7"/>
      <c r="DW444" s="7"/>
      <c r="DX444" s="7"/>
      <c r="DY444" s="7"/>
      <c r="DZ444" s="7"/>
      <c r="EA444" s="7"/>
      <c r="EB444" s="7"/>
      <c r="EC444" s="7"/>
      <c r="ED444" s="7"/>
      <c r="EE444" s="7"/>
      <c r="EF444" s="7"/>
      <c r="EG444" s="7"/>
      <c r="EH444" s="7"/>
      <c r="EI444" s="7"/>
      <c r="EJ444" s="7"/>
      <c r="EK444" s="7"/>
      <c r="EL444" s="7"/>
      <c r="EM444" s="7"/>
      <c r="EN444" s="7"/>
      <c r="EO444" s="7"/>
      <c r="EP444" s="7"/>
      <c r="EQ444" s="7"/>
      <c r="ER444" s="7"/>
      <c r="ES444" s="7"/>
      <c r="ET444" s="7"/>
      <c r="EU444" s="7"/>
      <c r="EV444" s="7"/>
      <c r="EW444" s="7"/>
      <c r="EX444" s="7"/>
      <c r="EY444" s="7"/>
      <c r="EZ444" s="7"/>
      <c r="FA444" s="7"/>
      <c r="FB444" s="7"/>
      <c r="FC444" s="7"/>
      <c r="FD444" s="7"/>
      <c r="FE444" s="7"/>
      <c r="FF444" s="7"/>
      <c r="FG444" s="7"/>
      <c r="FH444" s="7"/>
      <c r="FI444" s="7"/>
      <c r="FJ444" s="7"/>
      <c r="FK444" s="7"/>
      <c r="FL444" s="7"/>
      <c r="FM444" s="7"/>
      <c r="FN444" s="7"/>
      <c r="FO444" s="7"/>
      <c r="FP444" s="7"/>
      <c r="FQ444" s="7"/>
      <c r="FR444" s="7"/>
      <c r="FS444" s="7"/>
    </row>
    <row r="445" spans="84:175" x14ac:dyDescent="0.25">
      <c r="CF445" s="7"/>
      <c r="CG445" s="7"/>
      <c r="CH445" s="7"/>
      <c r="CI445" s="7"/>
      <c r="CJ445" s="7"/>
      <c r="CK445" s="7"/>
      <c r="CL445" s="7"/>
      <c r="CM445" s="7"/>
      <c r="CN445" s="7"/>
      <c r="CO445" s="7"/>
      <c r="CP445" s="7"/>
      <c r="CQ445" s="7"/>
      <c r="CR445" s="7"/>
      <c r="CS445" s="7"/>
      <c r="CT445" s="7"/>
      <c r="CU445" s="7"/>
      <c r="CV445" s="7"/>
      <c r="CW445" s="7"/>
      <c r="CX445" s="7"/>
      <c r="CY445" s="7"/>
      <c r="CZ445" s="7"/>
      <c r="DA445" s="7"/>
      <c r="DB445" s="7"/>
      <c r="DC445" s="7"/>
      <c r="DD445" s="7"/>
      <c r="DE445" s="7"/>
      <c r="DF445" s="7"/>
      <c r="DG445" s="7"/>
      <c r="DH445" s="7"/>
      <c r="DI445" s="7"/>
      <c r="DJ445" s="7"/>
      <c r="DK445" s="7"/>
      <c r="DL445" s="7"/>
      <c r="DM445" s="7"/>
      <c r="DN445" s="7"/>
      <c r="DO445" s="7"/>
      <c r="DP445" s="7"/>
      <c r="DQ445" s="7"/>
      <c r="DR445" s="7"/>
      <c r="DS445" s="7"/>
      <c r="DT445" s="7"/>
      <c r="DU445" s="7"/>
      <c r="DV445" s="7"/>
      <c r="DW445" s="7"/>
      <c r="DX445" s="7"/>
      <c r="DY445" s="7"/>
      <c r="DZ445" s="7"/>
      <c r="EA445" s="7"/>
      <c r="EB445" s="7"/>
      <c r="EC445" s="7"/>
      <c r="ED445" s="7"/>
      <c r="EE445" s="7"/>
      <c r="EF445" s="7"/>
      <c r="EG445" s="7"/>
      <c r="EH445" s="7"/>
      <c r="EI445" s="7"/>
      <c r="EJ445" s="7"/>
      <c r="EK445" s="7"/>
      <c r="EL445" s="7"/>
      <c r="EM445" s="7"/>
      <c r="EN445" s="7"/>
      <c r="EO445" s="7"/>
      <c r="EP445" s="7"/>
      <c r="EQ445" s="7"/>
      <c r="ER445" s="7"/>
      <c r="ES445" s="7"/>
      <c r="ET445" s="7"/>
      <c r="EU445" s="7"/>
      <c r="EV445" s="7"/>
      <c r="EW445" s="7"/>
      <c r="EX445" s="7"/>
      <c r="EY445" s="7"/>
      <c r="EZ445" s="7"/>
      <c r="FA445" s="7"/>
      <c r="FB445" s="7"/>
      <c r="FC445" s="7"/>
      <c r="FD445" s="7"/>
      <c r="FE445" s="7"/>
      <c r="FF445" s="7"/>
      <c r="FG445" s="7"/>
      <c r="FH445" s="7"/>
      <c r="FI445" s="7"/>
      <c r="FJ445" s="7"/>
      <c r="FK445" s="7"/>
      <c r="FL445" s="7"/>
      <c r="FM445" s="7"/>
      <c r="FN445" s="7"/>
      <c r="FO445" s="7"/>
      <c r="FP445" s="7"/>
      <c r="FQ445" s="7"/>
      <c r="FR445" s="7"/>
      <c r="FS445" s="7"/>
    </row>
    <row r="446" spans="84:175" x14ac:dyDescent="0.25">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7"/>
      <c r="EF446" s="7"/>
      <c r="EG446" s="7"/>
      <c r="EH446" s="7"/>
      <c r="EI446" s="7"/>
      <c r="EJ446" s="7"/>
      <c r="EK446" s="7"/>
      <c r="EL446" s="7"/>
      <c r="EM446" s="7"/>
      <c r="EN446" s="7"/>
      <c r="EO446" s="7"/>
      <c r="EP446" s="7"/>
      <c r="EQ446" s="7"/>
      <c r="ER446" s="7"/>
      <c r="ES446" s="7"/>
      <c r="ET446" s="7"/>
      <c r="EU446" s="7"/>
      <c r="EV446" s="7"/>
      <c r="EW446" s="7"/>
      <c r="EX446" s="7"/>
      <c r="EY446" s="7"/>
      <c r="EZ446" s="7"/>
      <c r="FA446" s="7"/>
      <c r="FB446" s="7"/>
      <c r="FC446" s="7"/>
      <c r="FD446" s="7"/>
      <c r="FE446" s="7"/>
      <c r="FF446" s="7"/>
      <c r="FG446" s="7"/>
      <c r="FH446" s="7"/>
      <c r="FI446" s="7"/>
      <c r="FJ446" s="7"/>
      <c r="FK446" s="7"/>
      <c r="FL446" s="7"/>
      <c r="FM446" s="7"/>
      <c r="FN446" s="7"/>
      <c r="FO446" s="7"/>
      <c r="FP446" s="7"/>
      <c r="FQ446" s="7"/>
      <c r="FR446" s="7"/>
      <c r="FS446" s="7"/>
    </row>
    <row r="447" spans="84:175" x14ac:dyDescent="0.25">
      <c r="CF447" s="7"/>
      <c r="CG447" s="7"/>
      <c r="CH447" s="7"/>
      <c r="CI447" s="7"/>
      <c r="CJ447" s="7"/>
      <c r="CK447" s="7"/>
      <c r="CL447" s="7"/>
      <c r="CM447" s="7"/>
      <c r="CN447" s="7"/>
      <c r="CO447" s="7"/>
      <c r="CP447" s="7"/>
      <c r="CQ447" s="7"/>
      <c r="CR447" s="7"/>
      <c r="CS447" s="7"/>
      <c r="CT447" s="7"/>
      <c r="CU447" s="7"/>
      <c r="CV447" s="7"/>
      <c r="CW447" s="7"/>
      <c r="CX447" s="7"/>
      <c r="CY447" s="7"/>
      <c r="CZ447" s="7"/>
      <c r="DA447" s="7"/>
      <c r="DB447" s="7"/>
      <c r="DC447" s="7"/>
      <c r="DD447" s="7"/>
      <c r="DE447" s="7"/>
      <c r="DF447" s="7"/>
      <c r="DG447" s="7"/>
      <c r="DH447" s="7"/>
      <c r="DI447" s="7"/>
      <c r="DJ447" s="7"/>
      <c r="DK447" s="7"/>
      <c r="DL447" s="7"/>
      <c r="DM447" s="7"/>
      <c r="DN447" s="7"/>
      <c r="DO447" s="7"/>
      <c r="DP447" s="7"/>
      <c r="DQ447" s="7"/>
      <c r="DR447" s="7"/>
      <c r="DS447" s="7"/>
      <c r="DT447" s="7"/>
      <c r="DU447" s="7"/>
      <c r="DV447" s="7"/>
      <c r="DW447" s="7"/>
      <c r="DX447" s="7"/>
      <c r="DY447" s="7"/>
      <c r="DZ447" s="7"/>
      <c r="EA447" s="7"/>
      <c r="EB447" s="7"/>
      <c r="EC447" s="7"/>
      <c r="ED447" s="7"/>
      <c r="EE447" s="7"/>
      <c r="EF447" s="7"/>
      <c r="EG447" s="7"/>
      <c r="EH447" s="7"/>
      <c r="EI447" s="7"/>
      <c r="EJ447" s="7"/>
      <c r="EK447" s="7"/>
      <c r="EL447" s="7"/>
      <c r="EM447" s="7"/>
      <c r="EN447" s="7"/>
      <c r="EO447" s="7"/>
      <c r="EP447" s="7"/>
      <c r="EQ447" s="7"/>
      <c r="ER447" s="7"/>
      <c r="ES447" s="7"/>
      <c r="ET447" s="7"/>
      <c r="EU447" s="7"/>
      <c r="EV447" s="7"/>
      <c r="EW447" s="7"/>
      <c r="EX447" s="7"/>
      <c r="EY447" s="7"/>
      <c r="EZ447" s="7"/>
      <c r="FA447" s="7"/>
      <c r="FB447" s="7"/>
      <c r="FC447" s="7"/>
      <c r="FD447" s="7"/>
      <c r="FE447" s="7"/>
      <c r="FF447" s="7"/>
      <c r="FG447" s="7"/>
      <c r="FH447" s="7"/>
      <c r="FI447" s="7"/>
      <c r="FJ447" s="7"/>
      <c r="FK447" s="7"/>
      <c r="FL447" s="7"/>
      <c r="FM447" s="7"/>
      <c r="FN447" s="7"/>
      <c r="FO447" s="7"/>
      <c r="FP447" s="7"/>
      <c r="FQ447" s="7"/>
      <c r="FR447" s="7"/>
      <c r="FS447" s="7"/>
    </row>
    <row r="448" spans="84:175" x14ac:dyDescent="0.25">
      <c r="CF448" s="7"/>
      <c r="CG448" s="7"/>
      <c r="CH448" s="7"/>
      <c r="CI448" s="7"/>
      <c r="CJ448" s="7"/>
      <c r="CK448" s="7"/>
      <c r="CL448" s="7"/>
      <c r="CM448" s="7"/>
      <c r="CN448" s="7"/>
      <c r="CO448" s="7"/>
      <c r="CP448" s="7"/>
      <c r="CQ448" s="7"/>
      <c r="CR448" s="7"/>
      <c r="CS448" s="7"/>
      <c r="CT448" s="7"/>
      <c r="CU448" s="7"/>
      <c r="CV448" s="7"/>
      <c r="CW448" s="7"/>
      <c r="CX448" s="7"/>
      <c r="CY448" s="7"/>
      <c r="CZ448" s="7"/>
      <c r="DA448" s="7"/>
      <c r="DB448" s="7"/>
      <c r="DC448" s="7"/>
      <c r="DD448" s="7"/>
      <c r="DE448" s="7"/>
      <c r="DF448" s="7"/>
      <c r="DG448" s="7"/>
      <c r="DH448" s="7"/>
      <c r="DI448" s="7"/>
      <c r="DJ448" s="7"/>
      <c r="DK448" s="7"/>
      <c r="DL448" s="7"/>
      <c r="DM448" s="7"/>
      <c r="DN448" s="7"/>
      <c r="DO448" s="7"/>
      <c r="DP448" s="7"/>
      <c r="DQ448" s="7"/>
      <c r="DR448" s="7"/>
      <c r="DS448" s="7"/>
      <c r="DT448" s="7"/>
      <c r="DU448" s="7"/>
      <c r="DV448" s="7"/>
      <c r="DW448" s="7"/>
      <c r="DX448" s="7"/>
      <c r="DY448" s="7"/>
      <c r="DZ448" s="7"/>
      <c r="EA448" s="7"/>
      <c r="EB448" s="7"/>
      <c r="EC448" s="7"/>
      <c r="ED448" s="7"/>
      <c r="EE448" s="7"/>
      <c r="EF448" s="7"/>
      <c r="EG448" s="7"/>
      <c r="EH448" s="7"/>
      <c r="EI448" s="7"/>
      <c r="EJ448" s="7"/>
      <c r="EK448" s="7"/>
      <c r="EL448" s="7"/>
      <c r="EM448" s="7"/>
      <c r="EN448" s="7"/>
      <c r="EO448" s="7"/>
      <c r="EP448" s="7"/>
      <c r="EQ448" s="7"/>
      <c r="ER448" s="7"/>
      <c r="ES448" s="7"/>
      <c r="ET448" s="7"/>
      <c r="EU448" s="7"/>
      <c r="EV448" s="7"/>
      <c r="EW448" s="7"/>
      <c r="EX448" s="7"/>
      <c r="EY448" s="7"/>
      <c r="EZ448" s="7"/>
      <c r="FA448" s="7"/>
      <c r="FB448" s="7"/>
      <c r="FC448" s="7"/>
      <c r="FD448" s="7"/>
      <c r="FE448" s="7"/>
      <c r="FF448" s="7"/>
      <c r="FG448" s="7"/>
      <c r="FH448" s="7"/>
      <c r="FI448" s="7"/>
      <c r="FJ448" s="7"/>
      <c r="FK448" s="7"/>
      <c r="FL448" s="7"/>
      <c r="FM448" s="7"/>
      <c r="FN448" s="7"/>
      <c r="FO448" s="7"/>
      <c r="FP448" s="7"/>
      <c r="FQ448" s="7"/>
      <c r="FR448" s="7"/>
      <c r="FS448" s="7"/>
    </row>
    <row r="449" spans="84:175" x14ac:dyDescent="0.25">
      <c r="CF449" s="7"/>
      <c r="CG449" s="7"/>
      <c r="CH449" s="7"/>
      <c r="CI449" s="7"/>
      <c r="CJ449" s="7"/>
      <c r="CK449" s="7"/>
      <c r="CL449" s="7"/>
      <c r="CM449" s="7"/>
      <c r="CN449" s="7"/>
      <c r="CO449" s="7"/>
      <c r="CP449" s="7"/>
      <c r="CQ449" s="7"/>
      <c r="CR449" s="7"/>
      <c r="CS449" s="7"/>
      <c r="CT449" s="7"/>
      <c r="CU449" s="7"/>
      <c r="CV449" s="7"/>
      <c r="CW449" s="7"/>
      <c r="CX449" s="7"/>
      <c r="CY449" s="7"/>
      <c r="CZ449" s="7"/>
      <c r="DA449" s="7"/>
      <c r="DB449" s="7"/>
      <c r="DC449" s="7"/>
      <c r="DD449" s="7"/>
      <c r="DE449" s="7"/>
      <c r="DF449" s="7"/>
      <c r="DG449" s="7"/>
      <c r="DH449" s="7"/>
      <c r="DI449" s="7"/>
      <c r="DJ449" s="7"/>
      <c r="DK449" s="7"/>
      <c r="DL449" s="7"/>
      <c r="DM449" s="7"/>
      <c r="DN449" s="7"/>
      <c r="DO449" s="7"/>
      <c r="DP449" s="7"/>
      <c r="DQ449" s="7"/>
      <c r="DR449" s="7"/>
      <c r="DS449" s="7"/>
      <c r="DT449" s="7"/>
      <c r="DU449" s="7"/>
      <c r="DV449" s="7"/>
      <c r="DW449" s="7"/>
      <c r="DX449" s="7"/>
      <c r="DY449" s="7"/>
      <c r="DZ449" s="7"/>
      <c r="EA449" s="7"/>
      <c r="EB449" s="7"/>
      <c r="EC449" s="7"/>
      <c r="ED449" s="7"/>
      <c r="EE449" s="7"/>
      <c r="EF449" s="7"/>
      <c r="EG449" s="7"/>
      <c r="EH449" s="7"/>
      <c r="EI449" s="7"/>
      <c r="EJ449" s="7"/>
      <c r="EK449" s="7"/>
      <c r="EL449" s="7"/>
      <c r="EM449" s="7"/>
      <c r="EN449" s="7"/>
      <c r="EO449" s="7"/>
      <c r="EP449" s="7"/>
      <c r="EQ449" s="7"/>
      <c r="ER449" s="7"/>
      <c r="ES449" s="7"/>
      <c r="ET449" s="7"/>
      <c r="EU449" s="7"/>
      <c r="EV449" s="7"/>
      <c r="EW449" s="7"/>
      <c r="EX449" s="7"/>
      <c r="EY449" s="7"/>
      <c r="EZ449" s="7"/>
      <c r="FA449" s="7"/>
      <c r="FB449" s="7"/>
      <c r="FC449" s="7"/>
      <c r="FD449" s="7"/>
      <c r="FE449" s="7"/>
      <c r="FF449" s="7"/>
      <c r="FG449" s="7"/>
      <c r="FH449" s="7"/>
      <c r="FI449" s="7"/>
      <c r="FJ449" s="7"/>
      <c r="FK449" s="7"/>
      <c r="FL449" s="7"/>
      <c r="FM449" s="7"/>
      <c r="FN449" s="7"/>
      <c r="FO449" s="7"/>
      <c r="FP449" s="7"/>
      <c r="FQ449" s="7"/>
      <c r="FR449" s="7"/>
      <c r="FS449" s="7"/>
    </row>
    <row r="450" spans="84:175" x14ac:dyDescent="0.25">
      <c r="CF450" s="7"/>
      <c r="CG450" s="7"/>
      <c r="CH450" s="7"/>
      <c r="CI450" s="7"/>
      <c r="CJ450" s="7"/>
      <c r="CK450" s="7"/>
      <c r="CL450" s="7"/>
      <c r="CM450" s="7"/>
      <c r="CN450" s="7"/>
      <c r="CO450" s="7"/>
      <c r="CP450" s="7"/>
      <c r="CQ450" s="7"/>
      <c r="CR450" s="7"/>
      <c r="CS450" s="7"/>
      <c r="CT450" s="7"/>
      <c r="CU450" s="7"/>
      <c r="CV450" s="7"/>
      <c r="CW450" s="7"/>
      <c r="CX450" s="7"/>
      <c r="CY450" s="7"/>
      <c r="CZ450" s="7"/>
      <c r="DA450" s="7"/>
      <c r="DB450" s="7"/>
      <c r="DC450" s="7"/>
      <c r="DD450" s="7"/>
      <c r="DE450" s="7"/>
      <c r="DF450" s="7"/>
      <c r="DG450" s="7"/>
      <c r="DH450" s="7"/>
      <c r="DI450" s="7"/>
      <c r="DJ450" s="7"/>
      <c r="DK450" s="7"/>
      <c r="DL450" s="7"/>
      <c r="DM450" s="7"/>
      <c r="DN450" s="7"/>
      <c r="DO450" s="7"/>
      <c r="DP450" s="7"/>
      <c r="DQ450" s="7"/>
      <c r="DR450" s="7"/>
      <c r="DS450" s="7"/>
      <c r="DT450" s="7"/>
      <c r="DU450" s="7"/>
      <c r="DV450" s="7"/>
      <c r="DW450" s="7"/>
      <c r="DX450" s="7"/>
      <c r="DY450" s="7"/>
      <c r="DZ450" s="7"/>
      <c r="EA450" s="7"/>
      <c r="EB450" s="7"/>
      <c r="EC450" s="7"/>
      <c r="ED450" s="7"/>
      <c r="EE450" s="7"/>
      <c r="EF450" s="7"/>
      <c r="EG450" s="7"/>
      <c r="EH450" s="7"/>
      <c r="EI450" s="7"/>
      <c r="EJ450" s="7"/>
      <c r="EK450" s="7"/>
      <c r="EL450" s="7"/>
      <c r="EM450" s="7"/>
      <c r="EN450" s="7"/>
      <c r="EO450" s="7"/>
      <c r="EP450" s="7"/>
      <c r="EQ450" s="7"/>
      <c r="ER450" s="7"/>
      <c r="ES450" s="7"/>
      <c r="ET450" s="7"/>
      <c r="EU450" s="7"/>
      <c r="EV450" s="7"/>
      <c r="EW450" s="7"/>
      <c r="EX450" s="7"/>
      <c r="EY450" s="7"/>
      <c r="EZ450" s="7"/>
      <c r="FA450" s="7"/>
      <c r="FB450" s="7"/>
      <c r="FC450" s="7"/>
      <c r="FD450" s="7"/>
      <c r="FE450" s="7"/>
      <c r="FF450" s="7"/>
      <c r="FG450" s="7"/>
      <c r="FH450" s="7"/>
      <c r="FI450" s="7"/>
      <c r="FJ450" s="7"/>
      <c r="FK450" s="7"/>
      <c r="FL450" s="7"/>
      <c r="FM450" s="7"/>
      <c r="FN450" s="7"/>
      <c r="FO450" s="7"/>
      <c r="FP450" s="7"/>
      <c r="FQ450" s="7"/>
      <c r="FR450" s="7"/>
      <c r="FS450" s="7"/>
    </row>
    <row r="451" spans="84:175" x14ac:dyDescent="0.25">
      <c r="CF451" s="7"/>
      <c r="CG451" s="7"/>
      <c r="CH451" s="7"/>
      <c r="CI451" s="7"/>
      <c r="CJ451" s="7"/>
      <c r="CK451" s="7"/>
      <c r="CL451" s="7"/>
      <c r="CM451" s="7"/>
      <c r="CN451" s="7"/>
      <c r="CO451" s="7"/>
      <c r="CP451" s="7"/>
      <c r="CQ451" s="7"/>
      <c r="CR451" s="7"/>
      <c r="CS451" s="7"/>
      <c r="CT451" s="7"/>
      <c r="CU451" s="7"/>
      <c r="CV451" s="7"/>
      <c r="CW451" s="7"/>
      <c r="CX451" s="7"/>
      <c r="CY451" s="7"/>
      <c r="CZ451" s="7"/>
      <c r="DA451" s="7"/>
      <c r="DB451" s="7"/>
      <c r="DC451" s="7"/>
      <c r="DD451" s="7"/>
      <c r="DE451" s="7"/>
      <c r="DF451" s="7"/>
      <c r="DG451" s="7"/>
      <c r="DH451" s="7"/>
      <c r="DI451" s="7"/>
      <c r="DJ451" s="7"/>
      <c r="DK451" s="7"/>
      <c r="DL451" s="7"/>
      <c r="DM451" s="7"/>
      <c r="DN451" s="7"/>
      <c r="DO451" s="7"/>
      <c r="DP451" s="7"/>
      <c r="DQ451" s="7"/>
      <c r="DR451" s="7"/>
      <c r="DS451" s="7"/>
      <c r="DT451" s="7"/>
      <c r="DU451" s="7"/>
      <c r="DV451" s="7"/>
      <c r="DW451" s="7"/>
      <c r="DX451" s="7"/>
      <c r="DY451" s="7"/>
      <c r="DZ451" s="7"/>
      <c r="EA451" s="7"/>
      <c r="EB451" s="7"/>
      <c r="EC451" s="7"/>
      <c r="ED451" s="7"/>
      <c r="EE451" s="7"/>
      <c r="EF451" s="7"/>
      <c r="EG451" s="7"/>
      <c r="EH451" s="7"/>
      <c r="EI451" s="7"/>
      <c r="EJ451" s="7"/>
      <c r="EK451" s="7"/>
      <c r="EL451" s="7"/>
      <c r="EM451" s="7"/>
      <c r="EN451" s="7"/>
      <c r="EO451" s="7"/>
      <c r="EP451" s="7"/>
      <c r="EQ451" s="7"/>
      <c r="ER451" s="7"/>
      <c r="ES451" s="7"/>
      <c r="ET451" s="7"/>
      <c r="EU451" s="7"/>
      <c r="EV451" s="7"/>
      <c r="EW451" s="7"/>
      <c r="EX451" s="7"/>
      <c r="EY451" s="7"/>
      <c r="EZ451" s="7"/>
      <c r="FA451" s="7"/>
      <c r="FB451" s="7"/>
      <c r="FC451" s="7"/>
      <c r="FD451" s="7"/>
      <c r="FE451" s="7"/>
      <c r="FF451" s="7"/>
      <c r="FG451" s="7"/>
      <c r="FH451" s="7"/>
      <c r="FI451" s="7"/>
      <c r="FJ451" s="7"/>
      <c r="FK451" s="7"/>
      <c r="FL451" s="7"/>
      <c r="FM451" s="7"/>
      <c r="FN451" s="7"/>
      <c r="FO451" s="7"/>
      <c r="FP451" s="7"/>
      <c r="FQ451" s="7"/>
      <c r="FR451" s="7"/>
      <c r="FS451" s="7"/>
    </row>
    <row r="452" spans="84:175" x14ac:dyDescent="0.25">
      <c r="CF452" s="7"/>
      <c r="CG452" s="7"/>
      <c r="CH452" s="7"/>
      <c r="CI452" s="7"/>
      <c r="CJ452" s="7"/>
      <c r="CK452" s="7"/>
      <c r="CL452" s="7"/>
      <c r="CM452" s="7"/>
      <c r="CN452" s="7"/>
      <c r="CO452" s="7"/>
      <c r="CP452" s="7"/>
      <c r="CQ452" s="7"/>
      <c r="CR452" s="7"/>
      <c r="CS452" s="7"/>
      <c r="CT452" s="7"/>
      <c r="CU452" s="7"/>
      <c r="CV452" s="7"/>
      <c r="CW452" s="7"/>
      <c r="CX452" s="7"/>
      <c r="CY452" s="7"/>
      <c r="CZ452" s="7"/>
      <c r="DA452" s="7"/>
      <c r="DB452" s="7"/>
      <c r="DC452" s="7"/>
      <c r="DD452" s="7"/>
      <c r="DE452" s="7"/>
      <c r="DF452" s="7"/>
      <c r="DG452" s="7"/>
      <c r="DH452" s="7"/>
      <c r="DI452" s="7"/>
      <c r="DJ452" s="7"/>
      <c r="DK452" s="7"/>
      <c r="DL452" s="7"/>
      <c r="DM452" s="7"/>
      <c r="DN452" s="7"/>
      <c r="DO452" s="7"/>
      <c r="DP452" s="7"/>
      <c r="DQ452" s="7"/>
      <c r="DR452" s="7"/>
      <c r="DS452" s="7"/>
      <c r="DT452" s="7"/>
      <c r="DU452" s="7"/>
      <c r="DV452" s="7"/>
      <c r="DW452" s="7"/>
      <c r="DX452" s="7"/>
      <c r="DY452" s="7"/>
      <c r="DZ452" s="7"/>
      <c r="EA452" s="7"/>
      <c r="EB452" s="7"/>
      <c r="EC452" s="7"/>
      <c r="ED452" s="7"/>
      <c r="EE452" s="7"/>
      <c r="EF452" s="7"/>
      <c r="EG452" s="7"/>
      <c r="EH452" s="7"/>
      <c r="EI452" s="7"/>
      <c r="EJ452" s="7"/>
      <c r="EK452" s="7"/>
      <c r="EL452" s="7"/>
      <c r="EM452" s="7"/>
      <c r="EN452" s="7"/>
      <c r="EO452" s="7"/>
      <c r="EP452" s="7"/>
      <c r="EQ452" s="7"/>
      <c r="ER452" s="7"/>
      <c r="ES452" s="7"/>
      <c r="ET452" s="7"/>
      <c r="EU452" s="7"/>
      <c r="EV452" s="7"/>
      <c r="EW452" s="7"/>
      <c r="EX452" s="7"/>
      <c r="EY452" s="7"/>
      <c r="EZ452" s="7"/>
      <c r="FA452" s="7"/>
      <c r="FB452" s="7"/>
      <c r="FC452" s="7"/>
      <c r="FD452" s="7"/>
      <c r="FE452" s="7"/>
      <c r="FF452" s="7"/>
      <c r="FG452" s="7"/>
      <c r="FH452" s="7"/>
      <c r="FI452" s="7"/>
      <c r="FJ452" s="7"/>
      <c r="FK452" s="7"/>
      <c r="FL452" s="7"/>
      <c r="FM452" s="7"/>
      <c r="FN452" s="7"/>
      <c r="FO452" s="7"/>
      <c r="FP452" s="7"/>
      <c r="FQ452" s="7"/>
      <c r="FR452" s="7"/>
      <c r="FS452" s="7"/>
    </row>
    <row r="453" spans="84:175" x14ac:dyDescent="0.25">
      <c r="CF453" s="7"/>
      <c r="CG453" s="7"/>
      <c r="CH453" s="7"/>
      <c r="CI453" s="7"/>
      <c r="CJ453" s="7"/>
      <c r="CK453" s="7"/>
      <c r="CL453" s="7"/>
      <c r="CM453" s="7"/>
      <c r="CN453" s="7"/>
      <c r="CO453" s="7"/>
      <c r="CP453" s="7"/>
      <c r="CQ453" s="7"/>
      <c r="CR453" s="7"/>
      <c r="CS453" s="7"/>
      <c r="CT453" s="7"/>
      <c r="CU453" s="7"/>
      <c r="CV453" s="7"/>
      <c r="CW453" s="7"/>
      <c r="CX453" s="7"/>
      <c r="CY453" s="7"/>
      <c r="CZ453" s="7"/>
      <c r="DA453" s="7"/>
      <c r="DB453" s="7"/>
      <c r="DC453" s="7"/>
      <c r="DD453" s="7"/>
      <c r="DE453" s="7"/>
      <c r="DF453" s="7"/>
      <c r="DG453" s="7"/>
      <c r="DH453" s="7"/>
      <c r="DI453" s="7"/>
      <c r="DJ453" s="7"/>
      <c r="DK453" s="7"/>
      <c r="DL453" s="7"/>
      <c r="DM453" s="7"/>
      <c r="DN453" s="7"/>
      <c r="DO453" s="7"/>
      <c r="DP453" s="7"/>
      <c r="DQ453" s="7"/>
      <c r="DR453" s="7"/>
      <c r="DS453" s="7"/>
      <c r="DT453" s="7"/>
      <c r="DU453" s="7"/>
      <c r="DV453" s="7"/>
      <c r="DW453" s="7"/>
      <c r="DX453" s="7"/>
      <c r="DY453" s="7"/>
      <c r="DZ453" s="7"/>
      <c r="EA453" s="7"/>
      <c r="EB453" s="7"/>
      <c r="EC453" s="7"/>
      <c r="ED453" s="7"/>
      <c r="EE453" s="7"/>
      <c r="EF453" s="7"/>
      <c r="EG453" s="7"/>
      <c r="EH453" s="7"/>
      <c r="EI453" s="7"/>
      <c r="EJ453" s="7"/>
      <c r="EK453" s="7"/>
      <c r="EL453" s="7"/>
      <c r="EM453" s="7"/>
      <c r="EN453" s="7"/>
      <c r="EO453" s="7"/>
      <c r="EP453" s="7"/>
      <c r="EQ453" s="7"/>
      <c r="ER453" s="7"/>
      <c r="ES453" s="7"/>
      <c r="ET453" s="7"/>
      <c r="EU453" s="7"/>
      <c r="EV453" s="7"/>
      <c r="EW453" s="7"/>
      <c r="EX453" s="7"/>
      <c r="EY453" s="7"/>
      <c r="EZ453" s="7"/>
      <c r="FA453" s="7"/>
      <c r="FB453" s="7"/>
      <c r="FC453" s="7"/>
      <c r="FD453" s="7"/>
      <c r="FE453" s="7"/>
      <c r="FF453" s="7"/>
      <c r="FG453" s="7"/>
      <c r="FH453" s="7"/>
      <c r="FI453" s="7"/>
      <c r="FJ453" s="7"/>
      <c r="FK453" s="7"/>
      <c r="FL453" s="7"/>
      <c r="FM453" s="7"/>
      <c r="FN453" s="7"/>
      <c r="FO453" s="7"/>
      <c r="FP453" s="7"/>
      <c r="FQ453" s="7"/>
      <c r="FR453" s="7"/>
      <c r="FS453" s="7"/>
    </row>
    <row r="454" spans="84:175" x14ac:dyDescent="0.25">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c r="DL454" s="7"/>
      <c r="DM454" s="7"/>
      <c r="DN454" s="7"/>
      <c r="DO454" s="7"/>
      <c r="DP454" s="7"/>
      <c r="DQ454" s="7"/>
      <c r="DR454" s="7"/>
      <c r="DS454" s="7"/>
      <c r="DT454" s="7"/>
      <c r="DU454" s="7"/>
      <c r="DV454" s="7"/>
      <c r="DW454" s="7"/>
      <c r="DX454" s="7"/>
      <c r="DY454" s="7"/>
      <c r="DZ454" s="7"/>
      <c r="EA454" s="7"/>
      <c r="EB454" s="7"/>
      <c r="EC454" s="7"/>
      <c r="ED454" s="7"/>
      <c r="EE454" s="7"/>
      <c r="EF454" s="7"/>
      <c r="EG454" s="7"/>
      <c r="EH454" s="7"/>
      <c r="EI454" s="7"/>
      <c r="EJ454" s="7"/>
      <c r="EK454" s="7"/>
      <c r="EL454" s="7"/>
      <c r="EM454" s="7"/>
      <c r="EN454" s="7"/>
      <c r="EO454" s="7"/>
      <c r="EP454" s="7"/>
      <c r="EQ454" s="7"/>
      <c r="ER454" s="7"/>
      <c r="ES454" s="7"/>
      <c r="ET454" s="7"/>
      <c r="EU454" s="7"/>
      <c r="EV454" s="7"/>
      <c r="EW454" s="7"/>
      <c r="EX454" s="7"/>
      <c r="EY454" s="7"/>
      <c r="EZ454" s="7"/>
      <c r="FA454" s="7"/>
      <c r="FB454" s="7"/>
      <c r="FC454" s="7"/>
      <c r="FD454" s="7"/>
      <c r="FE454" s="7"/>
      <c r="FF454" s="7"/>
      <c r="FG454" s="7"/>
      <c r="FH454" s="7"/>
      <c r="FI454" s="7"/>
      <c r="FJ454" s="7"/>
      <c r="FK454" s="7"/>
      <c r="FL454" s="7"/>
      <c r="FM454" s="7"/>
      <c r="FN454" s="7"/>
      <c r="FO454" s="7"/>
      <c r="FP454" s="7"/>
      <c r="FQ454" s="7"/>
      <c r="FR454" s="7"/>
      <c r="FS454" s="7"/>
    </row>
    <row r="455" spans="84:175" x14ac:dyDescent="0.25">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c r="DG455" s="7"/>
      <c r="DH455" s="7"/>
      <c r="DI455" s="7"/>
      <c r="DJ455" s="7"/>
      <c r="DK455" s="7"/>
      <c r="DL455" s="7"/>
      <c r="DM455" s="7"/>
      <c r="DN455" s="7"/>
      <c r="DO455" s="7"/>
      <c r="DP455" s="7"/>
      <c r="DQ455" s="7"/>
      <c r="DR455" s="7"/>
      <c r="DS455" s="7"/>
      <c r="DT455" s="7"/>
      <c r="DU455" s="7"/>
      <c r="DV455" s="7"/>
      <c r="DW455" s="7"/>
      <c r="DX455" s="7"/>
      <c r="DY455" s="7"/>
      <c r="DZ455" s="7"/>
      <c r="EA455" s="7"/>
      <c r="EB455" s="7"/>
      <c r="EC455" s="7"/>
      <c r="ED455" s="7"/>
      <c r="EE455" s="7"/>
      <c r="EF455" s="7"/>
      <c r="EG455" s="7"/>
      <c r="EH455" s="7"/>
      <c r="EI455" s="7"/>
      <c r="EJ455" s="7"/>
      <c r="EK455" s="7"/>
      <c r="EL455" s="7"/>
      <c r="EM455" s="7"/>
      <c r="EN455" s="7"/>
      <c r="EO455" s="7"/>
      <c r="EP455" s="7"/>
      <c r="EQ455" s="7"/>
      <c r="ER455" s="7"/>
      <c r="ES455" s="7"/>
      <c r="ET455" s="7"/>
      <c r="EU455" s="7"/>
      <c r="EV455" s="7"/>
      <c r="EW455" s="7"/>
      <c r="EX455" s="7"/>
      <c r="EY455" s="7"/>
      <c r="EZ455" s="7"/>
      <c r="FA455" s="7"/>
      <c r="FB455" s="7"/>
      <c r="FC455" s="7"/>
      <c r="FD455" s="7"/>
      <c r="FE455" s="7"/>
      <c r="FF455" s="7"/>
      <c r="FG455" s="7"/>
      <c r="FH455" s="7"/>
      <c r="FI455" s="7"/>
      <c r="FJ455" s="7"/>
      <c r="FK455" s="7"/>
      <c r="FL455" s="7"/>
      <c r="FM455" s="7"/>
      <c r="FN455" s="7"/>
      <c r="FO455" s="7"/>
      <c r="FP455" s="7"/>
      <c r="FQ455" s="7"/>
      <c r="FR455" s="7"/>
      <c r="FS455" s="7"/>
    </row>
    <row r="456" spans="84:175" x14ac:dyDescent="0.25">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c r="FL456" s="7"/>
      <c r="FM456" s="7"/>
      <c r="FN456" s="7"/>
      <c r="FO456" s="7"/>
      <c r="FP456" s="7"/>
      <c r="FQ456" s="7"/>
      <c r="FR456" s="7"/>
      <c r="FS456" s="7"/>
    </row>
    <row r="457" spans="84:175" x14ac:dyDescent="0.25">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c r="FL457" s="7"/>
      <c r="FM457" s="7"/>
      <c r="FN457" s="7"/>
      <c r="FO457" s="7"/>
      <c r="FP457" s="7"/>
      <c r="FQ457" s="7"/>
      <c r="FR457" s="7"/>
      <c r="FS457" s="7"/>
    </row>
    <row r="458" spans="84:175" x14ac:dyDescent="0.25">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7"/>
      <c r="DO458" s="7"/>
      <c r="DP458" s="7"/>
      <c r="DQ458" s="7"/>
      <c r="DR458" s="7"/>
      <c r="DS458" s="7"/>
      <c r="DT458" s="7"/>
      <c r="DU458" s="7"/>
      <c r="DV458" s="7"/>
      <c r="DW458" s="7"/>
      <c r="DX458" s="7"/>
      <c r="DY458" s="7"/>
      <c r="DZ458" s="7"/>
      <c r="EA458" s="7"/>
      <c r="EB458" s="7"/>
      <c r="EC458" s="7"/>
      <c r="ED458" s="7"/>
      <c r="EE458" s="7"/>
      <c r="EF458" s="7"/>
      <c r="EG458" s="7"/>
      <c r="EH458" s="7"/>
      <c r="EI458" s="7"/>
      <c r="EJ458" s="7"/>
      <c r="EK458" s="7"/>
      <c r="EL458" s="7"/>
      <c r="EM458" s="7"/>
      <c r="EN458" s="7"/>
      <c r="EO458" s="7"/>
      <c r="EP458" s="7"/>
      <c r="EQ458" s="7"/>
      <c r="ER458" s="7"/>
      <c r="ES458" s="7"/>
      <c r="ET458" s="7"/>
      <c r="EU458" s="7"/>
      <c r="EV458" s="7"/>
      <c r="EW458" s="7"/>
      <c r="EX458" s="7"/>
      <c r="EY458" s="7"/>
      <c r="EZ458" s="7"/>
      <c r="FA458" s="7"/>
      <c r="FB458" s="7"/>
      <c r="FC458" s="7"/>
      <c r="FD458" s="7"/>
      <c r="FE458" s="7"/>
      <c r="FF458" s="7"/>
      <c r="FG458" s="7"/>
      <c r="FH458" s="7"/>
      <c r="FI458" s="7"/>
      <c r="FJ458" s="7"/>
      <c r="FK458" s="7"/>
      <c r="FL458" s="7"/>
      <c r="FM458" s="7"/>
      <c r="FN458" s="7"/>
      <c r="FO458" s="7"/>
      <c r="FP458" s="7"/>
      <c r="FQ458" s="7"/>
      <c r="FR458" s="7"/>
      <c r="FS458" s="7"/>
    </row>
    <row r="459" spans="84:175" x14ac:dyDescent="0.25">
      <c r="CF459" s="7"/>
      <c r="CG459" s="7"/>
      <c r="CH459" s="7"/>
      <c r="CI459" s="7"/>
      <c r="CJ459" s="7"/>
      <c r="CK459" s="7"/>
      <c r="CL459" s="7"/>
      <c r="CM459" s="7"/>
      <c r="CN459" s="7"/>
      <c r="CO459" s="7"/>
      <c r="CP459" s="7"/>
      <c r="CQ459" s="7"/>
      <c r="CR459" s="7"/>
      <c r="CS459" s="7"/>
      <c r="CT459" s="7"/>
      <c r="CU459" s="7"/>
      <c r="CV459" s="7"/>
      <c r="CW459" s="7"/>
      <c r="CX459" s="7"/>
      <c r="CY459" s="7"/>
      <c r="CZ459" s="7"/>
      <c r="DA459" s="7"/>
      <c r="DB459" s="7"/>
      <c r="DC459" s="7"/>
      <c r="DD459" s="7"/>
      <c r="DE459" s="7"/>
      <c r="DF459" s="7"/>
      <c r="DG459" s="7"/>
      <c r="DH459" s="7"/>
      <c r="DI459" s="7"/>
      <c r="DJ459" s="7"/>
      <c r="DK459" s="7"/>
      <c r="DL459" s="7"/>
      <c r="DM459" s="7"/>
      <c r="DN459" s="7"/>
      <c r="DO459" s="7"/>
      <c r="DP459" s="7"/>
      <c r="DQ459" s="7"/>
      <c r="DR459" s="7"/>
      <c r="DS459" s="7"/>
      <c r="DT459" s="7"/>
      <c r="DU459" s="7"/>
      <c r="DV459" s="7"/>
      <c r="DW459" s="7"/>
      <c r="DX459" s="7"/>
      <c r="DY459" s="7"/>
      <c r="DZ459" s="7"/>
      <c r="EA459" s="7"/>
      <c r="EB459" s="7"/>
      <c r="EC459" s="7"/>
      <c r="ED459" s="7"/>
      <c r="EE459" s="7"/>
      <c r="EF459" s="7"/>
      <c r="EG459" s="7"/>
      <c r="EH459" s="7"/>
      <c r="EI459" s="7"/>
      <c r="EJ459" s="7"/>
      <c r="EK459" s="7"/>
      <c r="EL459" s="7"/>
      <c r="EM459" s="7"/>
      <c r="EN459" s="7"/>
      <c r="EO459" s="7"/>
      <c r="EP459" s="7"/>
      <c r="EQ459" s="7"/>
      <c r="ER459" s="7"/>
      <c r="ES459" s="7"/>
      <c r="ET459" s="7"/>
      <c r="EU459" s="7"/>
      <c r="EV459" s="7"/>
      <c r="EW459" s="7"/>
      <c r="EX459" s="7"/>
      <c r="EY459" s="7"/>
      <c r="EZ459" s="7"/>
      <c r="FA459" s="7"/>
      <c r="FB459" s="7"/>
      <c r="FC459" s="7"/>
      <c r="FD459" s="7"/>
      <c r="FE459" s="7"/>
      <c r="FF459" s="7"/>
      <c r="FG459" s="7"/>
      <c r="FH459" s="7"/>
      <c r="FI459" s="7"/>
      <c r="FJ459" s="7"/>
      <c r="FK459" s="7"/>
      <c r="FL459" s="7"/>
      <c r="FM459" s="7"/>
      <c r="FN459" s="7"/>
      <c r="FO459" s="7"/>
      <c r="FP459" s="7"/>
      <c r="FQ459" s="7"/>
      <c r="FR459" s="7"/>
      <c r="FS459" s="7"/>
    </row>
    <row r="460" spans="84:175" x14ac:dyDescent="0.25">
      <c r="CF460" s="7"/>
      <c r="CG460" s="7"/>
      <c r="CH460" s="7"/>
      <c r="CI460" s="7"/>
      <c r="CJ460" s="7"/>
      <c r="CK460" s="7"/>
      <c r="CL460" s="7"/>
      <c r="CM460" s="7"/>
      <c r="CN460" s="7"/>
      <c r="CO460" s="7"/>
      <c r="CP460" s="7"/>
      <c r="CQ460" s="7"/>
      <c r="CR460" s="7"/>
      <c r="CS460" s="7"/>
      <c r="CT460" s="7"/>
      <c r="CU460" s="7"/>
      <c r="CV460" s="7"/>
      <c r="CW460" s="7"/>
      <c r="CX460" s="7"/>
      <c r="CY460" s="7"/>
      <c r="CZ460" s="7"/>
      <c r="DA460" s="7"/>
      <c r="DB460" s="7"/>
      <c r="DC460" s="7"/>
      <c r="DD460" s="7"/>
      <c r="DE460" s="7"/>
      <c r="DF460" s="7"/>
      <c r="DG460" s="7"/>
      <c r="DH460" s="7"/>
      <c r="DI460" s="7"/>
      <c r="DJ460" s="7"/>
      <c r="DK460" s="7"/>
      <c r="DL460" s="7"/>
      <c r="DM460" s="7"/>
      <c r="DN460" s="7"/>
      <c r="DO460" s="7"/>
      <c r="DP460" s="7"/>
      <c r="DQ460" s="7"/>
      <c r="DR460" s="7"/>
      <c r="DS460" s="7"/>
      <c r="DT460" s="7"/>
      <c r="DU460" s="7"/>
      <c r="DV460" s="7"/>
      <c r="DW460" s="7"/>
      <c r="DX460" s="7"/>
      <c r="DY460" s="7"/>
      <c r="DZ460" s="7"/>
      <c r="EA460" s="7"/>
      <c r="EB460" s="7"/>
      <c r="EC460" s="7"/>
      <c r="ED460" s="7"/>
      <c r="EE460" s="7"/>
      <c r="EF460" s="7"/>
      <c r="EG460" s="7"/>
      <c r="EH460" s="7"/>
      <c r="EI460" s="7"/>
      <c r="EJ460" s="7"/>
      <c r="EK460" s="7"/>
      <c r="EL460" s="7"/>
      <c r="EM460" s="7"/>
      <c r="EN460" s="7"/>
      <c r="EO460" s="7"/>
      <c r="EP460" s="7"/>
      <c r="EQ460" s="7"/>
      <c r="ER460" s="7"/>
      <c r="ES460" s="7"/>
      <c r="ET460" s="7"/>
      <c r="EU460" s="7"/>
      <c r="EV460" s="7"/>
      <c r="EW460" s="7"/>
      <c r="EX460" s="7"/>
      <c r="EY460" s="7"/>
      <c r="EZ460" s="7"/>
      <c r="FA460" s="7"/>
      <c r="FB460" s="7"/>
      <c r="FC460" s="7"/>
      <c r="FD460" s="7"/>
      <c r="FE460" s="7"/>
      <c r="FF460" s="7"/>
      <c r="FG460" s="7"/>
      <c r="FH460" s="7"/>
      <c r="FI460" s="7"/>
      <c r="FJ460" s="7"/>
      <c r="FK460" s="7"/>
      <c r="FL460" s="7"/>
      <c r="FM460" s="7"/>
      <c r="FN460" s="7"/>
      <c r="FO460" s="7"/>
      <c r="FP460" s="7"/>
      <c r="FQ460" s="7"/>
      <c r="FR460" s="7"/>
      <c r="FS460" s="7"/>
    </row>
    <row r="461" spans="84:175" x14ac:dyDescent="0.25">
      <c r="CF461" s="7"/>
      <c r="CG461" s="7"/>
      <c r="CH461" s="7"/>
      <c r="CI461" s="7"/>
      <c r="CJ461" s="7"/>
      <c r="CK461" s="7"/>
      <c r="CL461" s="7"/>
      <c r="CM461" s="7"/>
      <c r="CN461" s="7"/>
      <c r="CO461" s="7"/>
      <c r="CP461" s="7"/>
      <c r="CQ461" s="7"/>
      <c r="CR461" s="7"/>
      <c r="CS461" s="7"/>
      <c r="CT461" s="7"/>
      <c r="CU461" s="7"/>
      <c r="CV461" s="7"/>
      <c r="CW461" s="7"/>
      <c r="CX461" s="7"/>
      <c r="CY461" s="7"/>
      <c r="CZ461" s="7"/>
      <c r="DA461" s="7"/>
      <c r="DB461" s="7"/>
      <c r="DC461" s="7"/>
      <c r="DD461" s="7"/>
      <c r="DE461" s="7"/>
      <c r="DF461" s="7"/>
      <c r="DG461" s="7"/>
      <c r="DH461" s="7"/>
      <c r="DI461" s="7"/>
      <c r="DJ461" s="7"/>
      <c r="DK461" s="7"/>
      <c r="DL461" s="7"/>
      <c r="DM461" s="7"/>
      <c r="DN461" s="7"/>
      <c r="DO461" s="7"/>
      <c r="DP461" s="7"/>
      <c r="DQ461" s="7"/>
      <c r="DR461" s="7"/>
      <c r="DS461" s="7"/>
      <c r="DT461" s="7"/>
      <c r="DU461" s="7"/>
      <c r="DV461" s="7"/>
      <c r="DW461" s="7"/>
      <c r="DX461" s="7"/>
      <c r="DY461" s="7"/>
      <c r="DZ461" s="7"/>
      <c r="EA461" s="7"/>
      <c r="EB461" s="7"/>
      <c r="EC461" s="7"/>
      <c r="ED461" s="7"/>
      <c r="EE461" s="7"/>
      <c r="EF461" s="7"/>
      <c r="EG461" s="7"/>
      <c r="EH461" s="7"/>
      <c r="EI461" s="7"/>
      <c r="EJ461" s="7"/>
      <c r="EK461" s="7"/>
      <c r="EL461" s="7"/>
      <c r="EM461" s="7"/>
      <c r="EN461" s="7"/>
      <c r="EO461" s="7"/>
      <c r="EP461" s="7"/>
      <c r="EQ461" s="7"/>
      <c r="ER461" s="7"/>
      <c r="ES461" s="7"/>
      <c r="ET461" s="7"/>
      <c r="EU461" s="7"/>
      <c r="EV461" s="7"/>
      <c r="EW461" s="7"/>
      <c r="EX461" s="7"/>
      <c r="EY461" s="7"/>
      <c r="EZ461" s="7"/>
      <c r="FA461" s="7"/>
      <c r="FB461" s="7"/>
      <c r="FC461" s="7"/>
      <c r="FD461" s="7"/>
      <c r="FE461" s="7"/>
      <c r="FF461" s="7"/>
      <c r="FG461" s="7"/>
      <c r="FH461" s="7"/>
      <c r="FI461" s="7"/>
      <c r="FJ461" s="7"/>
      <c r="FK461" s="7"/>
      <c r="FL461" s="7"/>
      <c r="FM461" s="7"/>
      <c r="FN461" s="7"/>
      <c r="FO461" s="7"/>
      <c r="FP461" s="7"/>
      <c r="FQ461" s="7"/>
      <c r="FR461" s="7"/>
      <c r="FS461" s="7"/>
    </row>
    <row r="462" spans="84:175" x14ac:dyDescent="0.25">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c r="EE462" s="7"/>
      <c r="EF462" s="7"/>
      <c r="EG462" s="7"/>
      <c r="EH462" s="7"/>
      <c r="EI462" s="7"/>
      <c r="EJ462" s="7"/>
      <c r="EK462" s="7"/>
      <c r="EL462" s="7"/>
      <c r="EM462" s="7"/>
      <c r="EN462" s="7"/>
      <c r="EO462" s="7"/>
      <c r="EP462" s="7"/>
      <c r="EQ462" s="7"/>
      <c r="ER462" s="7"/>
      <c r="ES462" s="7"/>
      <c r="ET462" s="7"/>
      <c r="EU462" s="7"/>
      <c r="EV462" s="7"/>
      <c r="EW462" s="7"/>
      <c r="EX462" s="7"/>
      <c r="EY462" s="7"/>
      <c r="EZ462" s="7"/>
      <c r="FA462" s="7"/>
      <c r="FB462" s="7"/>
      <c r="FC462" s="7"/>
      <c r="FD462" s="7"/>
      <c r="FE462" s="7"/>
      <c r="FF462" s="7"/>
      <c r="FG462" s="7"/>
      <c r="FH462" s="7"/>
      <c r="FI462" s="7"/>
      <c r="FJ462" s="7"/>
      <c r="FK462" s="7"/>
      <c r="FL462" s="7"/>
      <c r="FM462" s="7"/>
      <c r="FN462" s="7"/>
      <c r="FO462" s="7"/>
      <c r="FP462" s="7"/>
      <c r="FQ462" s="7"/>
      <c r="FR462" s="7"/>
      <c r="FS462" s="7"/>
    </row>
    <row r="463" spans="84:175" x14ac:dyDescent="0.25">
      <c r="CF463" s="7"/>
      <c r="CG463" s="7"/>
      <c r="CH463" s="7"/>
      <c r="CI463" s="7"/>
      <c r="CJ463" s="7"/>
      <c r="CK463" s="7"/>
      <c r="CL463" s="7"/>
      <c r="CM463" s="7"/>
      <c r="CN463" s="7"/>
      <c r="CO463" s="7"/>
      <c r="CP463" s="7"/>
      <c r="CQ463" s="7"/>
      <c r="CR463" s="7"/>
      <c r="CS463" s="7"/>
      <c r="CT463" s="7"/>
      <c r="CU463" s="7"/>
      <c r="CV463" s="7"/>
      <c r="CW463" s="7"/>
      <c r="CX463" s="7"/>
      <c r="CY463" s="7"/>
      <c r="CZ463" s="7"/>
      <c r="DA463" s="7"/>
      <c r="DB463" s="7"/>
      <c r="DC463" s="7"/>
      <c r="DD463" s="7"/>
      <c r="DE463" s="7"/>
      <c r="DF463" s="7"/>
      <c r="DG463" s="7"/>
      <c r="DH463" s="7"/>
      <c r="DI463" s="7"/>
      <c r="DJ463" s="7"/>
      <c r="DK463" s="7"/>
      <c r="DL463" s="7"/>
      <c r="DM463" s="7"/>
      <c r="DN463" s="7"/>
      <c r="DO463" s="7"/>
      <c r="DP463" s="7"/>
      <c r="DQ463" s="7"/>
      <c r="DR463" s="7"/>
      <c r="DS463" s="7"/>
      <c r="DT463" s="7"/>
      <c r="DU463" s="7"/>
      <c r="DV463" s="7"/>
      <c r="DW463" s="7"/>
      <c r="DX463" s="7"/>
      <c r="DY463" s="7"/>
      <c r="DZ463" s="7"/>
      <c r="EA463" s="7"/>
      <c r="EB463" s="7"/>
      <c r="EC463" s="7"/>
      <c r="ED463" s="7"/>
      <c r="EE463" s="7"/>
      <c r="EF463" s="7"/>
      <c r="EG463" s="7"/>
      <c r="EH463" s="7"/>
      <c r="EI463" s="7"/>
      <c r="EJ463" s="7"/>
      <c r="EK463" s="7"/>
      <c r="EL463" s="7"/>
      <c r="EM463" s="7"/>
      <c r="EN463" s="7"/>
      <c r="EO463" s="7"/>
      <c r="EP463" s="7"/>
      <c r="EQ463" s="7"/>
      <c r="ER463" s="7"/>
      <c r="ES463" s="7"/>
      <c r="ET463" s="7"/>
      <c r="EU463" s="7"/>
      <c r="EV463" s="7"/>
      <c r="EW463" s="7"/>
      <c r="EX463" s="7"/>
      <c r="EY463" s="7"/>
      <c r="EZ463" s="7"/>
      <c r="FA463" s="7"/>
      <c r="FB463" s="7"/>
      <c r="FC463" s="7"/>
      <c r="FD463" s="7"/>
      <c r="FE463" s="7"/>
      <c r="FF463" s="7"/>
      <c r="FG463" s="7"/>
      <c r="FH463" s="7"/>
      <c r="FI463" s="7"/>
      <c r="FJ463" s="7"/>
      <c r="FK463" s="7"/>
      <c r="FL463" s="7"/>
      <c r="FM463" s="7"/>
      <c r="FN463" s="7"/>
      <c r="FO463" s="7"/>
      <c r="FP463" s="7"/>
      <c r="FQ463" s="7"/>
      <c r="FR463" s="7"/>
      <c r="FS463" s="7"/>
    </row>
    <row r="464" spans="84:175" x14ac:dyDescent="0.25">
      <c r="CF464" s="7"/>
      <c r="CG464" s="7"/>
      <c r="CH464" s="7"/>
      <c r="CI464" s="7"/>
      <c r="CJ464" s="7"/>
      <c r="CK464" s="7"/>
      <c r="CL464" s="7"/>
      <c r="CM464" s="7"/>
      <c r="CN464" s="7"/>
      <c r="CO464" s="7"/>
      <c r="CP464" s="7"/>
      <c r="CQ464" s="7"/>
      <c r="CR464" s="7"/>
      <c r="CS464" s="7"/>
      <c r="CT464" s="7"/>
      <c r="CU464" s="7"/>
      <c r="CV464" s="7"/>
      <c r="CW464" s="7"/>
      <c r="CX464" s="7"/>
      <c r="CY464" s="7"/>
      <c r="CZ464" s="7"/>
      <c r="DA464" s="7"/>
      <c r="DB464" s="7"/>
      <c r="DC464" s="7"/>
      <c r="DD464" s="7"/>
      <c r="DE464" s="7"/>
      <c r="DF464" s="7"/>
      <c r="DG464" s="7"/>
      <c r="DH464" s="7"/>
      <c r="DI464" s="7"/>
      <c r="DJ464" s="7"/>
      <c r="DK464" s="7"/>
      <c r="DL464" s="7"/>
      <c r="DM464" s="7"/>
      <c r="DN464" s="7"/>
      <c r="DO464" s="7"/>
      <c r="DP464" s="7"/>
      <c r="DQ464" s="7"/>
      <c r="DR464" s="7"/>
      <c r="DS464" s="7"/>
      <c r="DT464" s="7"/>
      <c r="DU464" s="7"/>
      <c r="DV464" s="7"/>
      <c r="DW464" s="7"/>
      <c r="DX464" s="7"/>
      <c r="DY464" s="7"/>
      <c r="DZ464" s="7"/>
      <c r="EA464" s="7"/>
      <c r="EB464" s="7"/>
      <c r="EC464" s="7"/>
      <c r="ED464" s="7"/>
      <c r="EE464" s="7"/>
      <c r="EF464" s="7"/>
      <c r="EG464" s="7"/>
      <c r="EH464" s="7"/>
      <c r="EI464" s="7"/>
      <c r="EJ464" s="7"/>
      <c r="EK464" s="7"/>
      <c r="EL464" s="7"/>
      <c r="EM464" s="7"/>
      <c r="EN464" s="7"/>
      <c r="EO464" s="7"/>
      <c r="EP464" s="7"/>
      <c r="EQ464" s="7"/>
      <c r="ER464" s="7"/>
      <c r="ES464" s="7"/>
      <c r="ET464" s="7"/>
      <c r="EU464" s="7"/>
      <c r="EV464" s="7"/>
      <c r="EW464" s="7"/>
      <c r="EX464" s="7"/>
      <c r="EY464" s="7"/>
      <c r="EZ464" s="7"/>
      <c r="FA464" s="7"/>
      <c r="FB464" s="7"/>
      <c r="FC464" s="7"/>
      <c r="FD464" s="7"/>
      <c r="FE464" s="7"/>
      <c r="FF464" s="7"/>
      <c r="FG464" s="7"/>
      <c r="FH464" s="7"/>
      <c r="FI464" s="7"/>
      <c r="FJ464" s="7"/>
      <c r="FK464" s="7"/>
      <c r="FL464" s="7"/>
      <c r="FM464" s="7"/>
      <c r="FN464" s="7"/>
      <c r="FO464" s="7"/>
      <c r="FP464" s="7"/>
      <c r="FQ464" s="7"/>
      <c r="FR464" s="7"/>
      <c r="FS464" s="7"/>
    </row>
    <row r="465" spans="84:175" x14ac:dyDescent="0.25">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c r="EE465" s="7"/>
      <c r="EF465" s="7"/>
      <c r="EG465" s="7"/>
      <c r="EH465" s="7"/>
      <c r="EI465" s="7"/>
      <c r="EJ465" s="7"/>
      <c r="EK465" s="7"/>
      <c r="EL465" s="7"/>
      <c r="EM465" s="7"/>
      <c r="EN465" s="7"/>
      <c r="EO465" s="7"/>
      <c r="EP465" s="7"/>
      <c r="EQ465" s="7"/>
      <c r="ER465" s="7"/>
      <c r="ES465" s="7"/>
      <c r="ET465" s="7"/>
      <c r="EU465" s="7"/>
      <c r="EV465" s="7"/>
      <c r="EW465" s="7"/>
      <c r="EX465" s="7"/>
      <c r="EY465" s="7"/>
      <c r="EZ465" s="7"/>
      <c r="FA465" s="7"/>
      <c r="FB465" s="7"/>
      <c r="FC465" s="7"/>
      <c r="FD465" s="7"/>
      <c r="FE465" s="7"/>
      <c r="FF465" s="7"/>
      <c r="FG465" s="7"/>
      <c r="FH465" s="7"/>
      <c r="FI465" s="7"/>
      <c r="FJ465" s="7"/>
      <c r="FK465" s="7"/>
      <c r="FL465" s="7"/>
      <c r="FM465" s="7"/>
      <c r="FN465" s="7"/>
      <c r="FO465" s="7"/>
      <c r="FP465" s="7"/>
      <c r="FQ465" s="7"/>
      <c r="FR465" s="7"/>
      <c r="FS465" s="7"/>
    </row>
    <row r="466" spans="84:175" x14ac:dyDescent="0.25">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c r="EH466" s="7"/>
      <c r="EI466" s="7"/>
      <c r="EJ466" s="7"/>
      <c r="EK466" s="7"/>
      <c r="EL466" s="7"/>
      <c r="EM466" s="7"/>
      <c r="EN466" s="7"/>
      <c r="EO466" s="7"/>
      <c r="EP466" s="7"/>
      <c r="EQ466" s="7"/>
      <c r="ER466" s="7"/>
      <c r="ES466" s="7"/>
      <c r="ET466" s="7"/>
      <c r="EU466" s="7"/>
      <c r="EV466" s="7"/>
      <c r="EW466" s="7"/>
      <c r="EX466" s="7"/>
      <c r="EY466" s="7"/>
      <c r="EZ466" s="7"/>
      <c r="FA466" s="7"/>
      <c r="FB466" s="7"/>
      <c r="FC466" s="7"/>
      <c r="FD466" s="7"/>
      <c r="FE466" s="7"/>
      <c r="FF466" s="7"/>
      <c r="FG466" s="7"/>
      <c r="FH466" s="7"/>
      <c r="FI466" s="7"/>
      <c r="FJ466" s="7"/>
      <c r="FK466" s="7"/>
      <c r="FL466" s="7"/>
      <c r="FM466" s="7"/>
      <c r="FN466" s="7"/>
      <c r="FO466" s="7"/>
      <c r="FP466" s="7"/>
      <c r="FQ466" s="7"/>
      <c r="FR466" s="7"/>
      <c r="FS466" s="7"/>
    </row>
    <row r="467" spans="84:175" x14ac:dyDescent="0.25">
      <c r="CF467" s="7"/>
      <c r="CG467" s="7"/>
      <c r="CH467" s="7"/>
      <c r="CI467" s="7"/>
      <c r="CJ467" s="7"/>
      <c r="CK467" s="7"/>
      <c r="CL467" s="7"/>
      <c r="CM467" s="7"/>
      <c r="CN467" s="7"/>
      <c r="CO467" s="7"/>
      <c r="CP467" s="7"/>
      <c r="CQ467" s="7"/>
      <c r="CR467" s="7"/>
      <c r="CS467" s="7"/>
      <c r="CT467" s="7"/>
      <c r="CU467" s="7"/>
      <c r="CV467" s="7"/>
      <c r="CW467" s="7"/>
      <c r="CX467" s="7"/>
      <c r="CY467" s="7"/>
      <c r="CZ467" s="7"/>
      <c r="DA467" s="7"/>
      <c r="DB467" s="7"/>
      <c r="DC467" s="7"/>
      <c r="DD467" s="7"/>
      <c r="DE467" s="7"/>
      <c r="DF467" s="7"/>
      <c r="DG467" s="7"/>
      <c r="DH467" s="7"/>
      <c r="DI467" s="7"/>
      <c r="DJ467" s="7"/>
      <c r="DK467" s="7"/>
      <c r="DL467" s="7"/>
      <c r="DM467" s="7"/>
      <c r="DN467" s="7"/>
      <c r="DO467" s="7"/>
      <c r="DP467" s="7"/>
      <c r="DQ467" s="7"/>
      <c r="DR467" s="7"/>
      <c r="DS467" s="7"/>
      <c r="DT467" s="7"/>
      <c r="DU467" s="7"/>
      <c r="DV467" s="7"/>
      <c r="DW467" s="7"/>
      <c r="DX467" s="7"/>
      <c r="DY467" s="7"/>
      <c r="DZ467" s="7"/>
      <c r="EA467" s="7"/>
      <c r="EB467" s="7"/>
      <c r="EC467" s="7"/>
      <c r="ED467" s="7"/>
      <c r="EE467" s="7"/>
      <c r="EF467" s="7"/>
      <c r="EG467" s="7"/>
      <c r="EH467" s="7"/>
      <c r="EI467" s="7"/>
      <c r="EJ467" s="7"/>
      <c r="EK467" s="7"/>
      <c r="EL467" s="7"/>
      <c r="EM467" s="7"/>
      <c r="EN467" s="7"/>
      <c r="EO467" s="7"/>
      <c r="EP467" s="7"/>
      <c r="EQ467" s="7"/>
      <c r="ER467" s="7"/>
      <c r="ES467" s="7"/>
      <c r="ET467" s="7"/>
      <c r="EU467" s="7"/>
      <c r="EV467" s="7"/>
      <c r="EW467" s="7"/>
      <c r="EX467" s="7"/>
      <c r="EY467" s="7"/>
      <c r="EZ467" s="7"/>
      <c r="FA467" s="7"/>
      <c r="FB467" s="7"/>
      <c r="FC467" s="7"/>
      <c r="FD467" s="7"/>
      <c r="FE467" s="7"/>
      <c r="FF467" s="7"/>
      <c r="FG467" s="7"/>
      <c r="FH467" s="7"/>
      <c r="FI467" s="7"/>
      <c r="FJ467" s="7"/>
      <c r="FK467" s="7"/>
      <c r="FL467" s="7"/>
      <c r="FM467" s="7"/>
      <c r="FN467" s="7"/>
      <c r="FO467" s="7"/>
      <c r="FP467" s="7"/>
      <c r="FQ467" s="7"/>
      <c r="FR467" s="7"/>
      <c r="FS467" s="7"/>
    </row>
    <row r="468" spans="84:175" x14ac:dyDescent="0.25">
      <c r="CF468" s="7"/>
      <c r="CG468" s="7"/>
      <c r="CH468" s="7"/>
      <c r="CI468" s="7"/>
      <c r="CJ468" s="7"/>
      <c r="CK468" s="7"/>
      <c r="CL468" s="7"/>
      <c r="CM468" s="7"/>
      <c r="CN468" s="7"/>
      <c r="CO468" s="7"/>
      <c r="CP468" s="7"/>
      <c r="CQ468" s="7"/>
      <c r="CR468" s="7"/>
      <c r="CS468" s="7"/>
      <c r="CT468" s="7"/>
      <c r="CU468" s="7"/>
      <c r="CV468" s="7"/>
      <c r="CW468" s="7"/>
      <c r="CX468" s="7"/>
      <c r="CY468" s="7"/>
      <c r="CZ468" s="7"/>
      <c r="DA468" s="7"/>
      <c r="DB468" s="7"/>
      <c r="DC468" s="7"/>
      <c r="DD468" s="7"/>
      <c r="DE468" s="7"/>
      <c r="DF468" s="7"/>
      <c r="DG468" s="7"/>
      <c r="DH468" s="7"/>
      <c r="DI468" s="7"/>
      <c r="DJ468" s="7"/>
      <c r="DK468" s="7"/>
      <c r="DL468" s="7"/>
      <c r="DM468" s="7"/>
      <c r="DN468" s="7"/>
      <c r="DO468" s="7"/>
      <c r="DP468" s="7"/>
      <c r="DQ468" s="7"/>
      <c r="DR468" s="7"/>
      <c r="DS468" s="7"/>
      <c r="DT468" s="7"/>
      <c r="DU468" s="7"/>
      <c r="DV468" s="7"/>
      <c r="DW468" s="7"/>
      <c r="DX468" s="7"/>
      <c r="DY468" s="7"/>
      <c r="DZ468" s="7"/>
      <c r="EA468" s="7"/>
      <c r="EB468" s="7"/>
      <c r="EC468" s="7"/>
      <c r="ED468" s="7"/>
      <c r="EE468" s="7"/>
      <c r="EF468" s="7"/>
      <c r="EG468" s="7"/>
      <c r="EH468" s="7"/>
      <c r="EI468" s="7"/>
      <c r="EJ468" s="7"/>
      <c r="EK468" s="7"/>
      <c r="EL468" s="7"/>
      <c r="EM468" s="7"/>
      <c r="EN468" s="7"/>
      <c r="EO468" s="7"/>
      <c r="EP468" s="7"/>
      <c r="EQ468" s="7"/>
      <c r="ER468" s="7"/>
      <c r="ES468" s="7"/>
      <c r="ET468" s="7"/>
      <c r="EU468" s="7"/>
      <c r="EV468" s="7"/>
      <c r="EW468" s="7"/>
      <c r="EX468" s="7"/>
      <c r="EY468" s="7"/>
      <c r="EZ468" s="7"/>
      <c r="FA468" s="7"/>
      <c r="FB468" s="7"/>
      <c r="FC468" s="7"/>
      <c r="FD468" s="7"/>
      <c r="FE468" s="7"/>
      <c r="FF468" s="7"/>
      <c r="FG468" s="7"/>
      <c r="FH468" s="7"/>
      <c r="FI468" s="7"/>
      <c r="FJ468" s="7"/>
      <c r="FK468" s="7"/>
      <c r="FL468" s="7"/>
      <c r="FM468" s="7"/>
      <c r="FN468" s="7"/>
      <c r="FO468" s="7"/>
      <c r="FP468" s="7"/>
      <c r="FQ468" s="7"/>
      <c r="FR468" s="7"/>
      <c r="FS468" s="7"/>
    </row>
    <row r="469" spans="84:175" x14ac:dyDescent="0.25">
      <c r="CF469" s="7"/>
      <c r="CG469" s="7"/>
      <c r="CH469" s="7"/>
      <c r="CI469" s="7"/>
      <c r="CJ469" s="7"/>
      <c r="CK469" s="7"/>
      <c r="CL469" s="7"/>
      <c r="CM469" s="7"/>
      <c r="CN469" s="7"/>
      <c r="CO469" s="7"/>
      <c r="CP469" s="7"/>
      <c r="CQ469" s="7"/>
      <c r="CR469" s="7"/>
      <c r="CS469" s="7"/>
      <c r="CT469" s="7"/>
      <c r="CU469" s="7"/>
      <c r="CV469" s="7"/>
      <c r="CW469" s="7"/>
      <c r="CX469" s="7"/>
      <c r="CY469" s="7"/>
      <c r="CZ469" s="7"/>
      <c r="DA469" s="7"/>
      <c r="DB469" s="7"/>
      <c r="DC469" s="7"/>
      <c r="DD469" s="7"/>
      <c r="DE469" s="7"/>
      <c r="DF469" s="7"/>
      <c r="DG469" s="7"/>
      <c r="DH469" s="7"/>
      <c r="DI469" s="7"/>
      <c r="DJ469" s="7"/>
      <c r="DK469" s="7"/>
      <c r="DL469" s="7"/>
      <c r="DM469" s="7"/>
      <c r="DN469" s="7"/>
      <c r="DO469" s="7"/>
      <c r="DP469" s="7"/>
      <c r="DQ469" s="7"/>
      <c r="DR469" s="7"/>
      <c r="DS469" s="7"/>
      <c r="DT469" s="7"/>
      <c r="DU469" s="7"/>
      <c r="DV469" s="7"/>
      <c r="DW469" s="7"/>
      <c r="DX469" s="7"/>
      <c r="DY469" s="7"/>
      <c r="DZ469" s="7"/>
      <c r="EA469" s="7"/>
      <c r="EB469" s="7"/>
      <c r="EC469" s="7"/>
      <c r="ED469" s="7"/>
      <c r="EE469" s="7"/>
      <c r="EF469" s="7"/>
      <c r="EG469" s="7"/>
      <c r="EH469" s="7"/>
      <c r="EI469" s="7"/>
      <c r="EJ469" s="7"/>
      <c r="EK469" s="7"/>
      <c r="EL469" s="7"/>
      <c r="EM469" s="7"/>
      <c r="EN469" s="7"/>
      <c r="EO469" s="7"/>
      <c r="EP469" s="7"/>
      <c r="EQ469" s="7"/>
      <c r="ER469" s="7"/>
      <c r="ES469" s="7"/>
      <c r="ET469" s="7"/>
      <c r="EU469" s="7"/>
      <c r="EV469" s="7"/>
      <c r="EW469" s="7"/>
      <c r="EX469" s="7"/>
      <c r="EY469" s="7"/>
      <c r="EZ469" s="7"/>
      <c r="FA469" s="7"/>
      <c r="FB469" s="7"/>
      <c r="FC469" s="7"/>
      <c r="FD469" s="7"/>
      <c r="FE469" s="7"/>
      <c r="FF469" s="7"/>
      <c r="FG469" s="7"/>
      <c r="FH469" s="7"/>
      <c r="FI469" s="7"/>
      <c r="FJ469" s="7"/>
      <c r="FK469" s="7"/>
      <c r="FL469" s="7"/>
      <c r="FM469" s="7"/>
      <c r="FN469" s="7"/>
      <c r="FO469" s="7"/>
      <c r="FP469" s="7"/>
      <c r="FQ469" s="7"/>
      <c r="FR469" s="7"/>
      <c r="FS469" s="7"/>
    </row>
    <row r="470" spans="84:175" x14ac:dyDescent="0.25">
      <c r="CF470" s="7"/>
      <c r="CG470" s="7"/>
      <c r="CH470" s="7"/>
      <c r="CI470" s="7"/>
      <c r="CJ470" s="7"/>
      <c r="CK470" s="7"/>
      <c r="CL470" s="7"/>
      <c r="CM470" s="7"/>
      <c r="CN470" s="7"/>
      <c r="CO470" s="7"/>
      <c r="CP470" s="7"/>
      <c r="CQ470" s="7"/>
      <c r="CR470" s="7"/>
      <c r="CS470" s="7"/>
      <c r="CT470" s="7"/>
      <c r="CU470" s="7"/>
      <c r="CV470" s="7"/>
      <c r="CW470" s="7"/>
      <c r="CX470" s="7"/>
      <c r="CY470" s="7"/>
      <c r="CZ470" s="7"/>
      <c r="DA470" s="7"/>
      <c r="DB470" s="7"/>
      <c r="DC470" s="7"/>
      <c r="DD470" s="7"/>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c r="EE470" s="7"/>
      <c r="EF470" s="7"/>
      <c r="EG470" s="7"/>
      <c r="EH470" s="7"/>
      <c r="EI470" s="7"/>
      <c r="EJ470" s="7"/>
      <c r="EK470" s="7"/>
      <c r="EL470" s="7"/>
      <c r="EM470" s="7"/>
      <c r="EN470" s="7"/>
      <c r="EO470" s="7"/>
      <c r="EP470" s="7"/>
      <c r="EQ470" s="7"/>
      <c r="ER470" s="7"/>
      <c r="ES470" s="7"/>
      <c r="ET470" s="7"/>
      <c r="EU470" s="7"/>
      <c r="EV470" s="7"/>
      <c r="EW470" s="7"/>
      <c r="EX470" s="7"/>
      <c r="EY470" s="7"/>
      <c r="EZ470" s="7"/>
      <c r="FA470" s="7"/>
      <c r="FB470" s="7"/>
      <c r="FC470" s="7"/>
      <c r="FD470" s="7"/>
      <c r="FE470" s="7"/>
      <c r="FF470" s="7"/>
      <c r="FG470" s="7"/>
      <c r="FH470" s="7"/>
      <c r="FI470" s="7"/>
      <c r="FJ470" s="7"/>
      <c r="FK470" s="7"/>
      <c r="FL470" s="7"/>
      <c r="FM470" s="7"/>
      <c r="FN470" s="7"/>
      <c r="FO470" s="7"/>
      <c r="FP470" s="7"/>
      <c r="FQ470" s="7"/>
      <c r="FR470" s="7"/>
      <c r="FS470" s="7"/>
    </row>
    <row r="471" spans="84:175" x14ac:dyDescent="0.25">
      <c r="CF471" s="7"/>
      <c r="CG471" s="7"/>
      <c r="CH471" s="7"/>
      <c r="CI471" s="7"/>
      <c r="CJ471" s="7"/>
      <c r="CK471" s="7"/>
      <c r="CL471" s="7"/>
      <c r="CM471" s="7"/>
      <c r="CN471" s="7"/>
      <c r="CO471" s="7"/>
      <c r="CP471" s="7"/>
      <c r="CQ471" s="7"/>
      <c r="CR471" s="7"/>
      <c r="CS471" s="7"/>
      <c r="CT471" s="7"/>
      <c r="CU471" s="7"/>
      <c r="CV471" s="7"/>
      <c r="CW471" s="7"/>
      <c r="CX471" s="7"/>
      <c r="CY471" s="7"/>
      <c r="CZ471" s="7"/>
      <c r="DA471" s="7"/>
      <c r="DB471" s="7"/>
      <c r="DC471" s="7"/>
      <c r="DD471" s="7"/>
      <c r="DE471" s="7"/>
      <c r="DF471" s="7"/>
      <c r="DG471" s="7"/>
      <c r="DH471" s="7"/>
      <c r="DI471" s="7"/>
      <c r="DJ471" s="7"/>
      <c r="DK471" s="7"/>
      <c r="DL471" s="7"/>
      <c r="DM471" s="7"/>
      <c r="DN471" s="7"/>
      <c r="DO471" s="7"/>
      <c r="DP471" s="7"/>
      <c r="DQ471" s="7"/>
      <c r="DR471" s="7"/>
      <c r="DS471" s="7"/>
      <c r="DT471" s="7"/>
      <c r="DU471" s="7"/>
      <c r="DV471" s="7"/>
      <c r="DW471" s="7"/>
      <c r="DX471" s="7"/>
      <c r="DY471" s="7"/>
      <c r="DZ471" s="7"/>
      <c r="EA471" s="7"/>
      <c r="EB471" s="7"/>
      <c r="EC471" s="7"/>
      <c r="ED471" s="7"/>
      <c r="EE471" s="7"/>
      <c r="EF471" s="7"/>
      <c r="EG471" s="7"/>
      <c r="EH471" s="7"/>
      <c r="EI471" s="7"/>
      <c r="EJ471" s="7"/>
      <c r="EK471" s="7"/>
      <c r="EL471" s="7"/>
      <c r="EM471" s="7"/>
      <c r="EN471" s="7"/>
      <c r="EO471" s="7"/>
      <c r="EP471" s="7"/>
      <c r="EQ471" s="7"/>
      <c r="ER471" s="7"/>
      <c r="ES471" s="7"/>
      <c r="ET471" s="7"/>
      <c r="EU471" s="7"/>
      <c r="EV471" s="7"/>
      <c r="EW471" s="7"/>
      <c r="EX471" s="7"/>
      <c r="EY471" s="7"/>
      <c r="EZ471" s="7"/>
      <c r="FA471" s="7"/>
      <c r="FB471" s="7"/>
      <c r="FC471" s="7"/>
      <c r="FD471" s="7"/>
      <c r="FE471" s="7"/>
      <c r="FF471" s="7"/>
      <c r="FG471" s="7"/>
      <c r="FH471" s="7"/>
      <c r="FI471" s="7"/>
      <c r="FJ471" s="7"/>
      <c r="FK471" s="7"/>
      <c r="FL471" s="7"/>
      <c r="FM471" s="7"/>
      <c r="FN471" s="7"/>
      <c r="FO471" s="7"/>
      <c r="FP471" s="7"/>
      <c r="FQ471" s="7"/>
      <c r="FR471" s="7"/>
      <c r="FS471" s="7"/>
    </row>
    <row r="472" spans="84:175" x14ac:dyDescent="0.25">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c r="DI472" s="7"/>
      <c r="DJ472" s="7"/>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c r="EJ472" s="7"/>
      <c r="EK472" s="7"/>
      <c r="EL472" s="7"/>
      <c r="EM472" s="7"/>
      <c r="EN472" s="7"/>
      <c r="EO472" s="7"/>
      <c r="EP472" s="7"/>
      <c r="EQ472" s="7"/>
      <c r="ER472" s="7"/>
      <c r="ES472" s="7"/>
      <c r="ET472" s="7"/>
      <c r="EU472" s="7"/>
      <c r="EV472" s="7"/>
      <c r="EW472" s="7"/>
      <c r="EX472" s="7"/>
      <c r="EY472" s="7"/>
      <c r="EZ472" s="7"/>
      <c r="FA472" s="7"/>
      <c r="FB472" s="7"/>
      <c r="FC472" s="7"/>
      <c r="FD472" s="7"/>
      <c r="FE472" s="7"/>
      <c r="FF472" s="7"/>
      <c r="FG472" s="7"/>
      <c r="FH472" s="7"/>
      <c r="FI472" s="7"/>
      <c r="FJ472" s="7"/>
      <c r="FK472" s="7"/>
      <c r="FL472" s="7"/>
      <c r="FM472" s="7"/>
      <c r="FN472" s="7"/>
      <c r="FO472" s="7"/>
      <c r="FP472" s="7"/>
      <c r="FQ472" s="7"/>
      <c r="FR472" s="7"/>
      <c r="FS472" s="7"/>
    </row>
    <row r="473" spans="84:175" x14ac:dyDescent="0.25">
      <c r="CF473" s="7"/>
      <c r="CG473" s="7"/>
      <c r="CH473" s="7"/>
      <c r="CI473" s="7"/>
      <c r="CJ473" s="7"/>
      <c r="CK473" s="7"/>
      <c r="CL473" s="7"/>
      <c r="CM473" s="7"/>
      <c r="CN473" s="7"/>
      <c r="CO473" s="7"/>
      <c r="CP473" s="7"/>
      <c r="CQ473" s="7"/>
      <c r="CR473" s="7"/>
      <c r="CS473" s="7"/>
      <c r="CT473" s="7"/>
      <c r="CU473" s="7"/>
      <c r="CV473" s="7"/>
      <c r="CW473" s="7"/>
      <c r="CX473" s="7"/>
      <c r="CY473" s="7"/>
      <c r="CZ473" s="7"/>
      <c r="DA473" s="7"/>
      <c r="DB473" s="7"/>
      <c r="DC473" s="7"/>
      <c r="DD473" s="7"/>
      <c r="DE473" s="7"/>
      <c r="DF473" s="7"/>
      <c r="DG473" s="7"/>
      <c r="DH473" s="7"/>
      <c r="DI473" s="7"/>
      <c r="DJ473" s="7"/>
      <c r="DK473" s="7"/>
      <c r="DL473" s="7"/>
      <c r="DM473" s="7"/>
      <c r="DN473" s="7"/>
      <c r="DO473" s="7"/>
      <c r="DP473" s="7"/>
      <c r="DQ473" s="7"/>
      <c r="DR473" s="7"/>
      <c r="DS473" s="7"/>
      <c r="DT473" s="7"/>
      <c r="DU473" s="7"/>
      <c r="DV473" s="7"/>
      <c r="DW473" s="7"/>
      <c r="DX473" s="7"/>
      <c r="DY473" s="7"/>
      <c r="DZ473" s="7"/>
      <c r="EA473" s="7"/>
      <c r="EB473" s="7"/>
      <c r="EC473" s="7"/>
      <c r="ED473" s="7"/>
      <c r="EE473" s="7"/>
      <c r="EF473" s="7"/>
      <c r="EG473" s="7"/>
      <c r="EH473" s="7"/>
      <c r="EI473" s="7"/>
      <c r="EJ473" s="7"/>
      <c r="EK473" s="7"/>
      <c r="EL473" s="7"/>
      <c r="EM473" s="7"/>
      <c r="EN473" s="7"/>
      <c r="EO473" s="7"/>
      <c r="EP473" s="7"/>
      <c r="EQ473" s="7"/>
      <c r="ER473" s="7"/>
      <c r="ES473" s="7"/>
      <c r="ET473" s="7"/>
      <c r="EU473" s="7"/>
      <c r="EV473" s="7"/>
      <c r="EW473" s="7"/>
      <c r="EX473" s="7"/>
      <c r="EY473" s="7"/>
      <c r="EZ473" s="7"/>
      <c r="FA473" s="7"/>
      <c r="FB473" s="7"/>
      <c r="FC473" s="7"/>
      <c r="FD473" s="7"/>
      <c r="FE473" s="7"/>
      <c r="FF473" s="7"/>
      <c r="FG473" s="7"/>
      <c r="FH473" s="7"/>
      <c r="FI473" s="7"/>
      <c r="FJ473" s="7"/>
      <c r="FK473" s="7"/>
      <c r="FL473" s="7"/>
      <c r="FM473" s="7"/>
      <c r="FN473" s="7"/>
      <c r="FO473" s="7"/>
      <c r="FP473" s="7"/>
      <c r="FQ473" s="7"/>
      <c r="FR473" s="7"/>
      <c r="FS473" s="7"/>
    </row>
    <row r="474" spans="84:175" x14ac:dyDescent="0.25">
      <c r="CF474" s="7"/>
      <c r="CG474" s="7"/>
      <c r="CH474" s="7"/>
      <c r="CI474" s="7"/>
      <c r="CJ474" s="7"/>
      <c r="CK474" s="7"/>
      <c r="CL474" s="7"/>
      <c r="CM474" s="7"/>
      <c r="CN474" s="7"/>
      <c r="CO474" s="7"/>
      <c r="CP474" s="7"/>
      <c r="CQ474" s="7"/>
      <c r="CR474" s="7"/>
      <c r="CS474" s="7"/>
      <c r="CT474" s="7"/>
      <c r="CU474" s="7"/>
      <c r="CV474" s="7"/>
      <c r="CW474" s="7"/>
      <c r="CX474" s="7"/>
      <c r="CY474" s="7"/>
      <c r="CZ474" s="7"/>
      <c r="DA474" s="7"/>
      <c r="DB474" s="7"/>
      <c r="DC474" s="7"/>
      <c r="DD474" s="7"/>
      <c r="DE474" s="7"/>
      <c r="DF474" s="7"/>
      <c r="DG474" s="7"/>
      <c r="DH474" s="7"/>
      <c r="DI474" s="7"/>
      <c r="DJ474" s="7"/>
      <c r="DK474" s="7"/>
      <c r="DL474" s="7"/>
      <c r="DM474" s="7"/>
      <c r="DN474" s="7"/>
      <c r="DO474" s="7"/>
      <c r="DP474" s="7"/>
      <c r="DQ474" s="7"/>
      <c r="DR474" s="7"/>
      <c r="DS474" s="7"/>
      <c r="DT474" s="7"/>
      <c r="DU474" s="7"/>
      <c r="DV474" s="7"/>
      <c r="DW474" s="7"/>
      <c r="DX474" s="7"/>
      <c r="DY474" s="7"/>
      <c r="DZ474" s="7"/>
      <c r="EA474" s="7"/>
      <c r="EB474" s="7"/>
      <c r="EC474" s="7"/>
      <c r="ED474" s="7"/>
      <c r="EE474" s="7"/>
      <c r="EF474" s="7"/>
      <c r="EG474" s="7"/>
      <c r="EH474" s="7"/>
      <c r="EI474" s="7"/>
      <c r="EJ474" s="7"/>
      <c r="EK474" s="7"/>
      <c r="EL474" s="7"/>
      <c r="EM474" s="7"/>
      <c r="EN474" s="7"/>
      <c r="EO474" s="7"/>
      <c r="EP474" s="7"/>
      <c r="EQ474" s="7"/>
      <c r="ER474" s="7"/>
      <c r="ES474" s="7"/>
      <c r="ET474" s="7"/>
      <c r="EU474" s="7"/>
      <c r="EV474" s="7"/>
      <c r="EW474" s="7"/>
      <c r="EX474" s="7"/>
      <c r="EY474" s="7"/>
      <c r="EZ474" s="7"/>
      <c r="FA474" s="7"/>
      <c r="FB474" s="7"/>
      <c r="FC474" s="7"/>
      <c r="FD474" s="7"/>
      <c r="FE474" s="7"/>
      <c r="FF474" s="7"/>
      <c r="FG474" s="7"/>
      <c r="FH474" s="7"/>
      <c r="FI474" s="7"/>
      <c r="FJ474" s="7"/>
      <c r="FK474" s="7"/>
      <c r="FL474" s="7"/>
      <c r="FM474" s="7"/>
      <c r="FN474" s="7"/>
      <c r="FO474" s="7"/>
      <c r="FP474" s="7"/>
      <c r="FQ474" s="7"/>
      <c r="FR474" s="7"/>
      <c r="FS474" s="7"/>
    </row>
    <row r="475" spans="84:175" x14ac:dyDescent="0.25">
      <c r="CF475" s="7"/>
      <c r="CG475" s="7"/>
      <c r="CH475" s="7"/>
      <c r="CI475" s="7"/>
      <c r="CJ475" s="7"/>
      <c r="CK475" s="7"/>
      <c r="CL475" s="7"/>
      <c r="CM475" s="7"/>
      <c r="CN475" s="7"/>
      <c r="CO475" s="7"/>
      <c r="CP475" s="7"/>
      <c r="CQ475" s="7"/>
      <c r="CR475" s="7"/>
      <c r="CS475" s="7"/>
      <c r="CT475" s="7"/>
      <c r="CU475" s="7"/>
      <c r="CV475" s="7"/>
      <c r="CW475" s="7"/>
      <c r="CX475" s="7"/>
      <c r="CY475" s="7"/>
      <c r="CZ475" s="7"/>
      <c r="DA475" s="7"/>
      <c r="DB475" s="7"/>
      <c r="DC475" s="7"/>
      <c r="DD475" s="7"/>
      <c r="DE475" s="7"/>
      <c r="DF475" s="7"/>
      <c r="DG475" s="7"/>
      <c r="DH475" s="7"/>
      <c r="DI475" s="7"/>
      <c r="DJ475" s="7"/>
      <c r="DK475" s="7"/>
      <c r="DL475" s="7"/>
      <c r="DM475" s="7"/>
      <c r="DN475" s="7"/>
      <c r="DO475" s="7"/>
      <c r="DP475" s="7"/>
      <c r="DQ475" s="7"/>
      <c r="DR475" s="7"/>
      <c r="DS475" s="7"/>
      <c r="DT475" s="7"/>
      <c r="DU475" s="7"/>
      <c r="DV475" s="7"/>
      <c r="DW475" s="7"/>
      <c r="DX475" s="7"/>
      <c r="DY475" s="7"/>
      <c r="DZ475" s="7"/>
      <c r="EA475" s="7"/>
      <c r="EB475" s="7"/>
      <c r="EC475" s="7"/>
      <c r="ED475" s="7"/>
      <c r="EE475" s="7"/>
      <c r="EF475" s="7"/>
      <c r="EG475" s="7"/>
      <c r="EH475" s="7"/>
      <c r="EI475" s="7"/>
      <c r="EJ475" s="7"/>
      <c r="EK475" s="7"/>
      <c r="EL475" s="7"/>
      <c r="EM475" s="7"/>
      <c r="EN475" s="7"/>
      <c r="EO475" s="7"/>
      <c r="EP475" s="7"/>
      <c r="EQ475" s="7"/>
      <c r="ER475" s="7"/>
      <c r="ES475" s="7"/>
      <c r="ET475" s="7"/>
      <c r="EU475" s="7"/>
      <c r="EV475" s="7"/>
      <c r="EW475" s="7"/>
      <c r="EX475" s="7"/>
      <c r="EY475" s="7"/>
      <c r="EZ475" s="7"/>
      <c r="FA475" s="7"/>
      <c r="FB475" s="7"/>
      <c r="FC475" s="7"/>
      <c r="FD475" s="7"/>
      <c r="FE475" s="7"/>
      <c r="FF475" s="7"/>
      <c r="FG475" s="7"/>
      <c r="FH475" s="7"/>
      <c r="FI475" s="7"/>
      <c r="FJ475" s="7"/>
      <c r="FK475" s="7"/>
      <c r="FL475" s="7"/>
      <c r="FM475" s="7"/>
      <c r="FN475" s="7"/>
      <c r="FO475" s="7"/>
      <c r="FP475" s="7"/>
      <c r="FQ475" s="7"/>
      <c r="FR475" s="7"/>
      <c r="FS475" s="7"/>
    </row>
    <row r="476" spans="84:175" x14ac:dyDescent="0.25">
      <c r="CF476" s="7"/>
      <c r="CG476" s="7"/>
      <c r="CH476" s="7"/>
      <c r="CI476" s="7"/>
      <c r="CJ476" s="7"/>
      <c r="CK476" s="7"/>
      <c r="CL476" s="7"/>
      <c r="CM476" s="7"/>
      <c r="CN476" s="7"/>
      <c r="CO476" s="7"/>
      <c r="CP476" s="7"/>
      <c r="CQ476" s="7"/>
      <c r="CR476" s="7"/>
      <c r="CS476" s="7"/>
      <c r="CT476" s="7"/>
      <c r="CU476" s="7"/>
      <c r="CV476" s="7"/>
      <c r="CW476" s="7"/>
      <c r="CX476" s="7"/>
      <c r="CY476" s="7"/>
      <c r="CZ476" s="7"/>
      <c r="DA476" s="7"/>
      <c r="DB476" s="7"/>
      <c r="DC476" s="7"/>
      <c r="DD476" s="7"/>
      <c r="DE476" s="7"/>
      <c r="DF476" s="7"/>
      <c r="DG476" s="7"/>
      <c r="DH476" s="7"/>
      <c r="DI476" s="7"/>
      <c r="DJ476" s="7"/>
      <c r="DK476" s="7"/>
      <c r="DL476" s="7"/>
      <c r="DM476" s="7"/>
      <c r="DN476" s="7"/>
      <c r="DO476" s="7"/>
      <c r="DP476" s="7"/>
      <c r="DQ476" s="7"/>
      <c r="DR476" s="7"/>
      <c r="DS476" s="7"/>
      <c r="DT476" s="7"/>
      <c r="DU476" s="7"/>
      <c r="DV476" s="7"/>
      <c r="DW476" s="7"/>
      <c r="DX476" s="7"/>
      <c r="DY476" s="7"/>
      <c r="DZ476" s="7"/>
      <c r="EA476" s="7"/>
      <c r="EB476" s="7"/>
      <c r="EC476" s="7"/>
      <c r="ED476" s="7"/>
      <c r="EE476" s="7"/>
      <c r="EF476" s="7"/>
      <c r="EG476" s="7"/>
      <c r="EH476" s="7"/>
      <c r="EI476" s="7"/>
      <c r="EJ476" s="7"/>
      <c r="EK476" s="7"/>
      <c r="EL476" s="7"/>
      <c r="EM476" s="7"/>
      <c r="EN476" s="7"/>
      <c r="EO476" s="7"/>
      <c r="EP476" s="7"/>
      <c r="EQ476" s="7"/>
      <c r="ER476" s="7"/>
      <c r="ES476" s="7"/>
      <c r="ET476" s="7"/>
      <c r="EU476" s="7"/>
      <c r="EV476" s="7"/>
      <c r="EW476" s="7"/>
      <c r="EX476" s="7"/>
      <c r="EY476" s="7"/>
      <c r="EZ476" s="7"/>
      <c r="FA476" s="7"/>
      <c r="FB476" s="7"/>
      <c r="FC476" s="7"/>
      <c r="FD476" s="7"/>
      <c r="FE476" s="7"/>
      <c r="FF476" s="7"/>
      <c r="FG476" s="7"/>
      <c r="FH476" s="7"/>
      <c r="FI476" s="7"/>
      <c r="FJ476" s="7"/>
      <c r="FK476" s="7"/>
      <c r="FL476" s="7"/>
      <c r="FM476" s="7"/>
      <c r="FN476" s="7"/>
      <c r="FO476" s="7"/>
      <c r="FP476" s="7"/>
      <c r="FQ476" s="7"/>
      <c r="FR476" s="7"/>
      <c r="FS476" s="7"/>
    </row>
    <row r="477" spans="84:175" x14ac:dyDescent="0.25">
      <c r="CF477" s="7"/>
      <c r="CG477" s="7"/>
      <c r="CH477" s="7"/>
      <c r="CI477" s="7"/>
      <c r="CJ477" s="7"/>
      <c r="CK477" s="7"/>
      <c r="CL477" s="7"/>
      <c r="CM477" s="7"/>
      <c r="CN477" s="7"/>
      <c r="CO477" s="7"/>
      <c r="CP477" s="7"/>
      <c r="CQ477" s="7"/>
      <c r="CR477" s="7"/>
      <c r="CS477" s="7"/>
      <c r="CT477" s="7"/>
      <c r="CU477" s="7"/>
      <c r="CV477" s="7"/>
      <c r="CW477" s="7"/>
      <c r="CX477" s="7"/>
      <c r="CY477" s="7"/>
      <c r="CZ477" s="7"/>
      <c r="DA477" s="7"/>
      <c r="DB477" s="7"/>
      <c r="DC477" s="7"/>
      <c r="DD477" s="7"/>
      <c r="DE477" s="7"/>
      <c r="DF477" s="7"/>
      <c r="DG477" s="7"/>
      <c r="DH477" s="7"/>
      <c r="DI477" s="7"/>
      <c r="DJ477" s="7"/>
      <c r="DK477" s="7"/>
      <c r="DL477" s="7"/>
      <c r="DM477" s="7"/>
      <c r="DN477" s="7"/>
      <c r="DO477" s="7"/>
      <c r="DP477" s="7"/>
      <c r="DQ477" s="7"/>
      <c r="DR477" s="7"/>
      <c r="DS477" s="7"/>
      <c r="DT477" s="7"/>
      <c r="DU477" s="7"/>
      <c r="DV477" s="7"/>
      <c r="DW477" s="7"/>
      <c r="DX477" s="7"/>
      <c r="DY477" s="7"/>
      <c r="DZ477" s="7"/>
      <c r="EA477" s="7"/>
      <c r="EB477" s="7"/>
      <c r="EC477" s="7"/>
      <c r="ED477" s="7"/>
      <c r="EE477" s="7"/>
      <c r="EF477" s="7"/>
      <c r="EG477" s="7"/>
      <c r="EH477" s="7"/>
      <c r="EI477" s="7"/>
      <c r="EJ477" s="7"/>
      <c r="EK477" s="7"/>
      <c r="EL477" s="7"/>
      <c r="EM477" s="7"/>
      <c r="EN477" s="7"/>
      <c r="EO477" s="7"/>
      <c r="EP477" s="7"/>
      <c r="EQ477" s="7"/>
      <c r="ER477" s="7"/>
      <c r="ES477" s="7"/>
      <c r="ET477" s="7"/>
      <c r="EU477" s="7"/>
      <c r="EV477" s="7"/>
      <c r="EW477" s="7"/>
      <c r="EX477" s="7"/>
      <c r="EY477" s="7"/>
      <c r="EZ477" s="7"/>
      <c r="FA477" s="7"/>
      <c r="FB477" s="7"/>
      <c r="FC477" s="7"/>
      <c r="FD477" s="7"/>
      <c r="FE477" s="7"/>
      <c r="FF477" s="7"/>
      <c r="FG477" s="7"/>
      <c r="FH477" s="7"/>
      <c r="FI477" s="7"/>
      <c r="FJ477" s="7"/>
      <c r="FK477" s="7"/>
      <c r="FL477" s="7"/>
      <c r="FM477" s="7"/>
      <c r="FN477" s="7"/>
      <c r="FO477" s="7"/>
      <c r="FP477" s="7"/>
      <c r="FQ477" s="7"/>
      <c r="FR477" s="7"/>
      <c r="FS477" s="7"/>
    </row>
    <row r="478" spans="84:175" x14ac:dyDescent="0.25">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c r="EJ478" s="7"/>
      <c r="EK478" s="7"/>
      <c r="EL478" s="7"/>
      <c r="EM478" s="7"/>
      <c r="EN478" s="7"/>
      <c r="EO478" s="7"/>
      <c r="EP478" s="7"/>
      <c r="EQ478" s="7"/>
      <c r="ER478" s="7"/>
      <c r="ES478" s="7"/>
      <c r="ET478" s="7"/>
      <c r="EU478" s="7"/>
      <c r="EV478" s="7"/>
      <c r="EW478" s="7"/>
      <c r="EX478" s="7"/>
      <c r="EY478" s="7"/>
      <c r="EZ478" s="7"/>
      <c r="FA478" s="7"/>
      <c r="FB478" s="7"/>
      <c r="FC478" s="7"/>
      <c r="FD478" s="7"/>
      <c r="FE478" s="7"/>
      <c r="FF478" s="7"/>
      <c r="FG478" s="7"/>
      <c r="FH478" s="7"/>
      <c r="FI478" s="7"/>
      <c r="FJ478" s="7"/>
      <c r="FK478" s="7"/>
      <c r="FL478" s="7"/>
      <c r="FM478" s="7"/>
      <c r="FN478" s="7"/>
      <c r="FO478" s="7"/>
      <c r="FP478" s="7"/>
      <c r="FQ478" s="7"/>
      <c r="FR478" s="7"/>
      <c r="FS478" s="7"/>
    </row>
    <row r="479" spans="84:175" x14ac:dyDescent="0.25">
      <c r="CF479" s="7"/>
      <c r="CG479" s="7"/>
      <c r="CH479" s="7"/>
      <c r="CI479" s="7"/>
      <c r="CJ479" s="7"/>
      <c r="CK479" s="7"/>
      <c r="CL479" s="7"/>
      <c r="CM479" s="7"/>
      <c r="CN479" s="7"/>
      <c r="CO479" s="7"/>
      <c r="CP479" s="7"/>
      <c r="CQ479" s="7"/>
      <c r="CR479" s="7"/>
      <c r="CS479" s="7"/>
      <c r="CT479" s="7"/>
      <c r="CU479" s="7"/>
      <c r="CV479" s="7"/>
      <c r="CW479" s="7"/>
      <c r="CX479" s="7"/>
      <c r="CY479" s="7"/>
      <c r="CZ479" s="7"/>
      <c r="DA479" s="7"/>
      <c r="DB479" s="7"/>
      <c r="DC479" s="7"/>
      <c r="DD479" s="7"/>
      <c r="DE479" s="7"/>
      <c r="DF479" s="7"/>
      <c r="DG479" s="7"/>
      <c r="DH479" s="7"/>
      <c r="DI479" s="7"/>
      <c r="DJ479" s="7"/>
      <c r="DK479" s="7"/>
      <c r="DL479" s="7"/>
      <c r="DM479" s="7"/>
      <c r="DN479" s="7"/>
      <c r="DO479" s="7"/>
      <c r="DP479" s="7"/>
      <c r="DQ479" s="7"/>
      <c r="DR479" s="7"/>
      <c r="DS479" s="7"/>
      <c r="DT479" s="7"/>
      <c r="DU479" s="7"/>
      <c r="DV479" s="7"/>
      <c r="DW479" s="7"/>
      <c r="DX479" s="7"/>
      <c r="DY479" s="7"/>
      <c r="DZ479" s="7"/>
      <c r="EA479" s="7"/>
      <c r="EB479" s="7"/>
      <c r="EC479" s="7"/>
      <c r="ED479" s="7"/>
      <c r="EE479" s="7"/>
      <c r="EF479" s="7"/>
      <c r="EG479" s="7"/>
      <c r="EH479" s="7"/>
      <c r="EI479" s="7"/>
      <c r="EJ479" s="7"/>
      <c r="EK479" s="7"/>
      <c r="EL479" s="7"/>
      <c r="EM479" s="7"/>
      <c r="EN479" s="7"/>
      <c r="EO479" s="7"/>
      <c r="EP479" s="7"/>
      <c r="EQ479" s="7"/>
      <c r="ER479" s="7"/>
      <c r="ES479" s="7"/>
      <c r="ET479" s="7"/>
      <c r="EU479" s="7"/>
      <c r="EV479" s="7"/>
      <c r="EW479" s="7"/>
      <c r="EX479" s="7"/>
      <c r="EY479" s="7"/>
      <c r="EZ479" s="7"/>
      <c r="FA479" s="7"/>
      <c r="FB479" s="7"/>
      <c r="FC479" s="7"/>
      <c r="FD479" s="7"/>
      <c r="FE479" s="7"/>
      <c r="FF479" s="7"/>
      <c r="FG479" s="7"/>
      <c r="FH479" s="7"/>
      <c r="FI479" s="7"/>
      <c r="FJ479" s="7"/>
      <c r="FK479" s="7"/>
      <c r="FL479" s="7"/>
      <c r="FM479" s="7"/>
      <c r="FN479" s="7"/>
      <c r="FO479" s="7"/>
      <c r="FP479" s="7"/>
      <c r="FQ479" s="7"/>
      <c r="FR479" s="7"/>
      <c r="FS479" s="7"/>
    </row>
    <row r="480" spans="84:175" x14ac:dyDescent="0.25">
      <c r="CF480" s="7"/>
      <c r="CG480" s="7"/>
      <c r="CH480" s="7"/>
      <c r="CI480" s="7"/>
      <c r="CJ480" s="7"/>
      <c r="CK480" s="7"/>
      <c r="CL480" s="7"/>
      <c r="CM480" s="7"/>
      <c r="CN480" s="7"/>
      <c r="CO480" s="7"/>
      <c r="CP480" s="7"/>
      <c r="CQ480" s="7"/>
      <c r="CR480" s="7"/>
      <c r="CS480" s="7"/>
      <c r="CT480" s="7"/>
      <c r="CU480" s="7"/>
      <c r="CV480" s="7"/>
      <c r="CW480" s="7"/>
      <c r="CX480" s="7"/>
      <c r="CY480" s="7"/>
      <c r="CZ480" s="7"/>
      <c r="DA480" s="7"/>
      <c r="DB480" s="7"/>
      <c r="DC480" s="7"/>
      <c r="DD480" s="7"/>
      <c r="DE480" s="7"/>
      <c r="DF480" s="7"/>
      <c r="DG480" s="7"/>
      <c r="DH480" s="7"/>
      <c r="DI480" s="7"/>
      <c r="DJ480" s="7"/>
      <c r="DK480" s="7"/>
      <c r="DL480" s="7"/>
      <c r="DM480" s="7"/>
      <c r="DN480" s="7"/>
      <c r="DO480" s="7"/>
      <c r="DP480" s="7"/>
      <c r="DQ480" s="7"/>
      <c r="DR480" s="7"/>
      <c r="DS480" s="7"/>
      <c r="DT480" s="7"/>
      <c r="DU480" s="7"/>
      <c r="DV480" s="7"/>
      <c r="DW480" s="7"/>
      <c r="DX480" s="7"/>
      <c r="DY480" s="7"/>
      <c r="DZ480" s="7"/>
      <c r="EA480" s="7"/>
      <c r="EB480" s="7"/>
      <c r="EC480" s="7"/>
      <c r="ED480" s="7"/>
      <c r="EE480" s="7"/>
      <c r="EF480" s="7"/>
      <c r="EG480" s="7"/>
      <c r="EH480" s="7"/>
      <c r="EI480" s="7"/>
      <c r="EJ480" s="7"/>
      <c r="EK480" s="7"/>
      <c r="EL480" s="7"/>
      <c r="EM480" s="7"/>
      <c r="EN480" s="7"/>
      <c r="EO480" s="7"/>
      <c r="EP480" s="7"/>
      <c r="EQ480" s="7"/>
      <c r="ER480" s="7"/>
      <c r="ES480" s="7"/>
      <c r="ET480" s="7"/>
      <c r="EU480" s="7"/>
      <c r="EV480" s="7"/>
      <c r="EW480" s="7"/>
      <c r="EX480" s="7"/>
      <c r="EY480" s="7"/>
      <c r="EZ480" s="7"/>
      <c r="FA480" s="7"/>
      <c r="FB480" s="7"/>
      <c r="FC480" s="7"/>
      <c r="FD480" s="7"/>
      <c r="FE480" s="7"/>
      <c r="FF480" s="7"/>
      <c r="FG480" s="7"/>
      <c r="FH480" s="7"/>
      <c r="FI480" s="7"/>
      <c r="FJ480" s="7"/>
      <c r="FK480" s="7"/>
      <c r="FL480" s="7"/>
      <c r="FM480" s="7"/>
      <c r="FN480" s="7"/>
      <c r="FO480" s="7"/>
      <c r="FP480" s="7"/>
      <c r="FQ480" s="7"/>
      <c r="FR480" s="7"/>
      <c r="FS480" s="7"/>
    </row>
    <row r="481" spans="84:175" x14ac:dyDescent="0.25">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c r="EA481" s="7"/>
      <c r="EB481" s="7"/>
      <c r="EC481" s="7"/>
      <c r="ED481" s="7"/>
      <c r="EE481" s="7"/>
      <c r="EF481" s="7"/>
      <c r="EG481" s="7"/>
      <c r="EH481" s="7"/>
      <c r="EI481" s="7"/>
      <c r="EJ481" s="7"/>
      <c r="EK481" s="7"/>
      <c r="EL481" s="7"/>
      <c r="EM481" s="7"/>
      <c r="EN481" s="7"/>
      <c r="EO481" s="7"/>
      <c r="EP481" s="7"/>
      <c r="EQ481" s="7"/>
      <c r="ER481" s="7"/>
      <c r="ES481" s="7"/>
      <c r="ET481" s="7"/>
      <c r="EU481" s="7"/>
      <c r="EV481" s="7"/>
      <c r="EW481" s="7"/>
      <c r="EX481" s="7"/>
      <c r="EY481" s="7"/>
      <c r="EZ481" s="7"/>
      <c r="FA481" s="7"/>
      <c r="FB481" s="7"/>
      <c r="FC481" s="7"/>
      <c r="FD481" s="7"/>
      <c r="FE481" s="7"/>
      <c r="FF481" s="7"/>
      <c r="FG481" s="7"/>
      <c r="FH481" s="7"/>
      <c r="FI481" s="7"/>
      <c r="FJ481" s="7"/>
      <c r="FK481" s="7"/>
      <c r="FL481" s="7"/>
      <c r="FM481" s="7"/>
      <c r="FN481" s="7"/>
      <c r="FO481" s="7"/>
      <c r="FP481" s="7"/>
      <c r="FQ481" s="7"/>
      <c r="FR481" s="7"/>
      <c r="FS481" s="7"/>
    </row>
    <row r="482" spans="84:175" x14ac:dyDescent="0.25">
      <c r="CF482" s="7"/>
      <c r="CG482" s="7"/>
      <c r="CH482" s="7"/>
      <c r="CI482" s="7"/>
      <c r="CJ482" s="7"/>
      <c r="CK482" s="7"/>
      <c r="CL482" s="7"/>
      <c r="CM482" s="7"/>
      <c r="CN482" s="7"/>
      <c r="CO482" s="7"/>
      <c r="CP482" s="7"/>
      <c r="CQ482" s="7"/>
      <c r="CR482" s="7"/>
      <c r="CS482" s="7"/>
      <c r="CT482" s="7"/>
      <c r="CU482" s="7"/>
      <c r="CV482" s="7"/>
      <c r="CW482" s="7"/>
      <c r="CX482" s="7"/>
      <c r="CY482" s="7"/>
      <c r="CZ482" s="7"/>
      <c r="DA482" s="7"/>
      <c r="DB482" s="7"/>
      <c r="DC482" s="7"/>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7"/>
      <c r="EC482" s="7"/>
      <c r="ED482" s="7"/>
      <c r="EE482" s="7"/>
      <c r="EF482" s="7"/>
      <c r="EG482" s="7"/>
      <c r="EH482" s="7"/>
      <c r="EI482" s="7"/>
      <c r="EJ482" s="7"/>
      <c r="EK482" s="7"/>
      <c r="EL482" s="7"/>
      <c r="EM482" s="7"/>
      <c r="EN482" s="7"/>
      <c r="EO482" s="7"/>
      <c r="EP482" s="7"/>
      <c r="EQ482" s="7"/>
      <c r="ER482" s="7"/>
      <c r="ES482" s="7"/>
      <c r="ET482" s="7"/>
      <c r="EU482" s="7"/>
      <c r="EV482" s="7"/>
      <c r="EW482" s="7"/>
      <c r="EX482" s="7"/>
      <c r="EY482" s="7"/>
      <c r="EZ482" s="7"/>
      <c r="FA482" s="7"/>
      <c r="FB482" s="7"/>
      <c r="FC482" s="7"/>
      <c r="FD482" s="7"/>
      <c r="FE482" s="7"/>
      <c r="FF482" s="7"/>
      <c r="FG482" s="7"/>
      <c r="FH482" s="7"/>
      <c r="FI482" s="7"/>
      <c r="FJ482" s="7"/>
      <c r="FK482" s="7"/>
      <c r="FL482" s="7"/>
      <c r="FM482" s="7"/>
      <c r="FN482" s="7"/>
      <c r="FO482" s="7"/>
      <c r="FP482" s="7"/>
      <c r="FQ482" s="7"/>
      <c r="FR482" s="7"/>
      <c r="FS482" s="7"/>
    </row>
    <row r="483" spans="84:175" x14ac:dyDescent="0.25">
      <c r="CF483" s="7"/>
      <c r="CG483" s="7"/>
      <c r="CH483" s="7"/>
      <c r="CI483" s="7"/>
      <c r="CJ483" s="7"/>
      <c r="CK483" s="7"/>
      <c r="CL483" s="7"/>
      <c r="CM483" s="7"/>
      <c r="CN483" s="7"/>
      <c r="CO483" s="7"/>
      <c r="CP483" s="7"/>
      <c r="CQ483" s="7"/>
      <c r="CR483" s="7"/>
      <c r="CS483" s="7"/>
      <c r="CT483" s="7"/>
      <c r="CU483" s="7"/>
      <c r="CV483" s="7"/>
      <c r="CW483" s="7"/>
      <c r="CX483" s="7"/>
      <c r="CY483" s="7"/>
      <c r="CZ483" s="7"/>
      <c r="DA483" s="7"/>
      <c r="DB483" s="7"/>
      <c r="DC483" s="7"/>
      <c r="DD483" s="7"/>
      <c r="DE483" s="7"/>
      <c r="DF483" s="7"/>
      <c r="DG483" s="7"/>
      <c r="DH483" s="7"/>
      <c r="DI483" s="7"/>
      <c r="DJ483" s="7"/>
      <c r="DK483" s="7"/>
      <c r="DL483" s="7"/>
      <c r="DM483" s="7"/>
      <c r="DN483" s="7"/>
      <c r="DO483" s="7"/>
      <c r="DP483" s="7"/>
      <c r="DQ483" s="7"/>
      <c r="DR483" s="7"/>
      <c r="DS483" s="7"/>
      <c r="DT483" s="7"/>
      <c r="DU483" s="7"/>
      <c r="DV483" s="7"/>
      <c r="DW483" s="7"/>
      <c r="DX483" s="7"/>
      <c r="DY483" s="7"/>
      <c r="DZ483" s="7"/>
      <c r="EA483" s="7"/>
      <c r="EB483" s="7"/>
      <c r="EC483" s="7"/>
      <c r="ED483" s="7"/>
      <c r="EE483" s="7"/>
      <c r="EF483" s="7"/>
      <c r="EG483" s="7"/>
      <c r="EH483" s="7"/>
      <c r="EI483" s="7"/>
      <c r="EJ483" s="7"/>
      <c r="EK483" s="7"/>
      <c r="EL483" s="7"/>
      <c r="EM483" s="7"/>
      <c r="EN483" s="7"/>
      <c r="EO483" s="7"/>
      <c r="EP483" s="7"/>
      <c r="EQ483" s="7"/>
      <c r="ER483" s="7"/>
      <c r="ES483" s="7"/>
      <c r="ET483" s="7"/>
      <c r="EU483" s="7"/>
      <c r="EV483" s="7"/>
      <c r="EW483" s="7"/>
      <c r="EX483" s="7"/>
      <c r="EY483" s="7"/>
      <c r="EZ483" s="7"/>
      <c r="FA483" s="7"/>
      <c r="FB483" s="7"/>
      <c r="FC483" s="7"/>
      <c r="FD483" s="7"/>
      <c r="FE483" s="7"/>
      <c r="FF483" s="7"/>
      <c r="FG483" s="7"/>
      <c r="FH483" s="7"/>
      <c r="FI483" s="7"/>
      <c r="FJ483" s="7"/>
      <c r="FK483" s="7"/>
      <c r="FL483" s="7"/>
      <c r="FM483" s="7"/>
      <c r="FN483" s="7"/>
      <c r="FO483" s="7"/>
      <c r="FP483" s="7"/>
      <c r="FQ483" s="7"/>
      <c r="FR483" s="7"/>
      <c r="FS483" s="7"/>
    </row>
    <row r="484" spans="84:175" x14ac:dyDescent="0.25">
      <c r="CF484" s="7"/>
      <c r="CG484" s="7"/>
      <c r="CH484" s="7"/>
      <c r="CI484" s="7"/>
      <c r="CJ484" s="7"/>
      <c r="CK484" s="7"/>
      <c r="CL484" s="7"/>
      <c r="CM484" s="7"/>
      <c r="CN484" s="7"/>
      <c r="CO484" s="7"/>
      <c r="CP484" s="7"/>
      <c r="CQ484" s="7"/>
      <c r="CR484" s="7"/>
      <c r="CS484" s="7"/>
      <c r="CT484" s="7"/>
      <c r="CU484" s="7"/>
      <c r="CV484" s="7"/>
      <c r="CW484" s="7"/>
      <c r="CX484" s="7"/>
      <c r="CY484" s="7"/>
      <c r="CZ484" s="7"/>
      <c r="DA484" s="7"/>
      <c r="DB484" s="7"/>
      <c r="DC484" s="7"/>
      <c r="DD484" s="7"/>
      <c r="DE484" s="7"/>
      <c r="DF484" s="7"/>
      <c r="DG484" s="7"/>
      <c r="DH484" s="7"/>
      <c r="DI484" s="7"/>
      <c r="DJ484" s="7"/>
      <c r="DK484" s="7"/>
      <c r="DL484" s="7"/>
      <c r="DM484" s="7"/>
      <c r="DN484" s="7"/>
      <c r="DO484" s="7"/>
      <c r="DP484" s="7"/>
      <c r="DQ484" s="7"/>
      <c r="DR484" s="7"/>
      <c r="DS484" s="7"/>
      <c r="DT484" s="7"/>
      <c r="DU484" s="7"/>
      <c r="DV484" s="7"/>
      <c r="DW484" s="7"/>
      <c r="DX484" s="7"/>
      <c r="DY484" s="7"/>
      <c r="DZ484" s="7"/>
      <c r="EA484" s="7"/>
      <c r="EB484" s="7"/>
      <c r="EC484" s="7"/>
      <c r="ED484" s="7"/>
      <c r="EE484" s="7"/>
      <c r="EF484" s="7"/>
      <c r="EG484" s="7"/>
      <c r="EH484" s="7"/>
      <c r="EI484" s="7"/>
      <c r="EJ484" s="7"/>
      <c r="EK484" s="7"/>
      <c r="EL484" s="7"/>
      <c r="EM484" s="7"/>
      <c r="EN484" s="7"/>
      <c r="EO484" s="7"/>
      <c r="EP484" s="7"/>
      <c r="EQ484" s="7"/>
      <c r="ER484" s="7"/>
      <c r="ES484" s="7"/>
      <c r="ET484" s="7"/>
      <c r="EU484" s="7"/>
      <c r="EV484" s="7"/>
      <c r="EW484" s="7"/>
      <c r="EX484" s="7"/>
      <c r="EY484" s="7"/>
      <c r="EZ484" s="7"/>
      <c r="FA484" s="7"/>
      <c r="FB484" s="7"/>
      <c r="FC484" s="7"/>
      <c r="FD484" s="7"/>
      <c r="FE484" s="7"/>
      <c r="FF484" s="7"/>
      <c r="FG484" s="7"/>
      <c r="FH484" s="7"/>
      <c r="FI484" s="7"/>
      <c r="FJ484" s="7"/>
      <c r="FK484" s="7"/>
      <c r="FL484" s="7"/>
      <c r="FM484" s="7"/>
      <c r="FN484" s="7"/>
      <c r="FO484" s="7"/>
      <c r="FP484" s="7"/>
      <c r="FQ484" s="7"/>
      <c r="FR484" s="7"/>
      <c r="FS484" s="7"/>
    </row>
    <row r="485" spans="84:175" x14ac:dyDescent="0.25">
      <c r="CF485" s="7"/>
      <c r="CG485" s="7"/>
      <c r="CH485" s="7"/>
      <c r="CI485" s="7"/>
      <c r="CJ485" s="7"/>
      <c r="CK485" s="7"/>
      <c r="CL485" s="7"/>
      <c r="CM485" s="7"/>
      <c r="CN485" s="7"/>
      <c r="CO485" s="7"/>
      <c r="CP485" s="7"/>
      <c r="CQ485" s="7"/>
      <c r="CR485" s="7"/>
      <c r="CS485" s="7"/>
      <c r="CT485" s="7"/>
      <c r="CU485" s="7"/>
      <c r="CV485" s="7"/>
      <c r="CW485" s="7"/>
      <c r="CX485" s="7"/>
      <c r="CY485" s="7"/>
      <c r="CZ485" s="7"/>
      <c r="DA485" s="7"/>
      <c r="DB485" s="7"/>
      <c r="DC485" s="7"/>
      <c r="DD485" s="7"/>
      <c r="DE485" s="7"/>
      <c r="DF485" s="7"/>
      <c r="DG485" s="7"/>
      <c r="DH485" s="7"/>
      <c r="DI485" s="7"/>
      <c r="DJ485" s="7"/>
      <c r="DK485" s="7"/>
      <c r="DL485" s="7"/>
      <c r="DM485" s="7"/>
      <c r="DN485" s="7"/>
      <c r="DO485" s="7"/>
      <c r="DP485" s="7"/>
      <c r="DQ485" s="7"/>
      <c r="DR485" s="7"/>
      <c r="DS485" s="7"/>
      <c r="DT485" s="7"/>
      <c r="DU485" s="7"/>
      <c r="DV485" s="7"/>
      <c r="DW485" s="7"/>
      <c r="DX485" s="7"/>
      <c r="DY485" s="7"/>
      <c r="DZ485" s="7"/>
      <c r="EA485" s="7"/>
      <c r="EB485" s="7"/>
      <c r="EC485" s="7"/>
      <c r="ED485" s="7"/>
      <c r="EE485" s="7"/>
      <c r="EF485" s="7"/>
      <c r="EG485" s="7"/>
      <c r="EH485" s="7"/>
      <c r="EI485" s="7"/>
      <c r="EJ485" s="7"/>
      <c r="EK485" s="7"/>
      <c r="EL485" s="7"/>
      <c r="EM485" s="7"/>
      <c r="EN485" s="7"/>
      <c r="EO485" s="7"/>
      <c r="EP485" s="7"/>
      <c r="EQ485" s="7"/>
      <c r="ER485" s="7"/>
      <c r="ES485" s="7"/>
      <c r="ET485" s="7"/>
      <c r="EU485" s="7"/>
      <c r="EV485" s="7"/>
      <c r="EW485" s="7"/>
      <c r="EX485" s="7"/>
      <c r="EY485" s="7"/>
      <c r="EZ485" s="7"/>
      <c r="FA485" s="7"/>
      <c r="FB485" s="7"/>
      <c r="FC485" s="7"/>
      <c r="FD485" s="7"/>
      <c r="FE485" s="7"/>
      <c r="FF485" s="7"/>
      <c r="FG485" s="7"/>
      <c r="FH485" s="7"/>
      <c r="FI485" s="7"/>
      <c r="FJ485" s="7"/>
      <c r="FK485" s="7"/>
      <c r="FL485" s="7"/>
      <c r="FM485" s="7"/>
      <c r="FN485" s="7"/>
      <c r="FO485" s="7"/>
      <c r="FP485" s="7"/>
      <c r="FQ485" s="7"/>
      <c r="FR485" s="7"/>
      <c r="FS485" s="7"/>
    </row>
    <row r="486" spans="84:175" x14ac:dyDescent="0.25">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c r="EJ486" s="7"/>
      <c r="EK486" s="7"/>
      <c r="EL486" s="7"/>
      <c r="EM486" s="7"/>
      <c r="EN486" s="7"/>
      <c r="EO486" s="7"/>
      <c r="EP486" s="7"/>
      <c r="EQ486" s="7"/>
      <c r="ER486" s="7"/>
      <c r="ES486" s="7"/>
      <c r="ET486" s="7"/>
      <c r="EU486" s="7"/>
      <c r="EV486" s="7"/>
      <c r="EW486" s="7"/>
      <c r="EX486" s="7"/>
      <c r="EY486" s="7"/>
      <c r="EZ486" s="7"/>
      <c r="FA486" s="7"/>
      <c r="FB486" s="7"/>
      <c r="FC486" s="7"/>
      <c r="FD486" s="7"/>
      <c r="FE486" s="7"/>
      <c r="FF486" s="7"/>
      <c r="FG486" s="7"/>
      <c r="FH486" s="7"/>
      <c r="FI486" s="7"/>
      <c r="FJ486" s="7"/>
      <c r="FK486" s="7"/>
      <c r="FL486" s="7"/>
      <c r="FM486" s="7"/>
      <c r="FN486" s="7"/>
      <c r="FO486" s="7"/>
      <c r="FP486" s="7"/>
      <c r="FQ486" s="7"/>
      <c r="FR486" s="7"/>
      <c r="FS486" s="7"/>
    </row>
    <row r="487" spans="84:175" x14ac:dyDescent="0.25">
      <c r="CF487" s="7"/>
      <c r="CG487" s="7"/>
      <c r="CH487" s="7"/>
      <c r="CI487" s="7"/>
      <c r="CJ487" s="7"/>
      <c r="CK487" s="7"/>
      <c r="CL487" s="7"/>
      <c r="CM487" s="7"/>
      <c r="CN487" s="7"/>
      <c r="CO487" s="7"/>
      <c r="CP487" s="7"/>
      <c r="CQ487" s="7"/>
      <c r="CR487" s="7"/>
      <c r="CS487" s="7"/>
      <c r="CT487" s="7"/>
      <c r="CU487" s="7"/>
      <c r="CV487" s="7"/>
      <c r="CW487" s="7"/>
      <c r="CX487" s="7"/>
      <c r="CY487" s="7"/>
      <c r="CZ487" s="7"/>
      <c r="DA487" s="7"/>
      <c r="DB487" s="7"/>
      <c r="DC487" s="7"/>
      <c r="DD487" s="7"/>
      <c r="DE487" s="7"/>
      <c r="DF487" s="7"/>
      <c r="DG487" s="7"/>
      <c r="DH487" s="7"/>
      <c r="DI487" s="7"/>
      <c r="DJ487" s="7"/>
      <c r="DK487" s="7"/>
      <c r="DL487" s="7"/>
      <c r="DM487" s="7"/>
      <c r="DN487" s="7"/>
      <c r="DO487" s="7"/>
      <c r="DP487" s="7"/>
      <c r="DQ487" s="7"/>
      <c r="DR487" s="7"/>
      <c r="DS487" s="7"/>
      <c r="DT487" s="7"/>
      <c r="DU487" s="7"/>
      <c r="DV487" s="7"/>
      <c r="DW487" s="7"/>
      <c r="DX487" s="7"/>
      <c r="DY487" s="7"/>
      <c r="DZ487" s="7"/>
      <c r="EA487" s="7"/>
      <c r="EB487" s="7"/>
      <c r="EC487" s="7"/>
      <c r="ED487" s="7"/>
      <c r="EE487" s="7"/>
      <c r="EF487" s="7"/>
      <c r="EG487" s="7"/>
      <c r="EH487" s="7"/>
      <c r="EI487" s="7"/>
      <c r="EJ487" s="7"/>
      <c r="EK487" s="7"/>
      <c r="EL487" s="7"/>
      <c r="EM487" s="7"/>
      <c r="EN487" s="7"/>
      <c r="EO487" s="7"/>
      <c r="EP487" s="7"/>
      <c r="EQ487" s="7"/>
      <c r="ER487" s="7"/>
      <c r="ES487" s="7"/>
      <c r="ET487" s="7"/>
      <c r="EU487" s="7"/>
      <c r="EV487" s="7"/>
      <c r="EW487" s="7"/>
      <c r="EX487" s="7"/>
      <c r="EY487" s="7"/>
      <c r="EZ487" s="7"/>
      <c r="FA487" s="7"/>
      <c r="FB487" s="7"/>
      <c r="FC487" s="7"/>
      <c r="FD487" s="7"/>
      <c r="FE487" s="7"/>
      <c r="FF487" s="7"/>
      <c r="FG487" s="7"/>
      <c r="FH487" s="7"/>
      <c r="FI487" s="7"/>
      <c r="FJ487" s="7"/>
      <c r="FK487" s="7"/>
      <c r="FL487" s="7"/>
      <c r="FM487" s="7"/>
      <c r="FN487" s="7"/>
      <c r="FO487" s="7"/>
      <c r="FP487" s="7"/>
      <c r="FQ487" s="7"/>
      <c r="FR487" s="7"/>
      <c r="FS487" s="7"/>
    </row>
    <row r="488" spans="84:175" x14ac:dyDescent="0.25">
      <c r="CF488" s="7"/>
      <c r="CG488" s="7"/>
      <c r="CH488" s="7"/>
      <c r="CI488" s="7"/>
      <c r="CJ488" s="7"/>
      <c r="CK488" s="7"/>
      <c r="CL488" s="7"/>
      <c r="CM488" s="7"/>
      <c r="CN488" s="7"/>
      <c r="CO488" s="7"/>
      <c r="CP488" s="7"/>
      <c r="CQ488" s="7"/>
      <c r="CR488" s="7"/>
      <c r="CS488" s="7"/>
      <c r="CT488" s="7"/>
      <c r="CU488" s="7"/>
      <c r="CV488" s="7"/>
      <c r="CW488" s="7"/>
      <c r="CX488" s="7"/>
      <c r="CY488" s="7"/>
      <c r="CZ488" s="7"/>
      <c r="DA488" s="7"/>
      <c r="DB488" s="7"/>
      <c r="DC488" s="7"/>
      <c r="DD488" s="7"/>
      <c r="DE488" s="7"/>
      <c r="DF488" s="7"/>
      <c r="DG488" s="7"/>
      <c r="DH488" s="7"/>
      <c r="DI488" s="7"/>
      <c r="DJ488" s="7"/>
      <c r="DK488" s="7"/>
      <c r="DL488" s="7"/>
      <c r="DM488" s="7"/>
      <c r="DN488" s="7"/>
      <c r="DO488" s="7"/>
      <c r="DP488" s="7"/>
      <c r="DQ488" s="7"/>
      <c r="DR488" s="7"/>
      <c r="DS488" s="7"/>
      <c r="DT488" s="7"/>
      <c r="DU488" s="7"/>
      <c r="DV488" s="7"/>
      <c r="DW488" s="7"/>
      <c r="DX488" s="7"/>
      <c r="DY488" s="7"/>
      <c r="DZ488" s="7"/>
      <c r="EA488" s="7"/>
      <c r="EB488" s="7"/>
      <c r="EC488" s="7"/>
      <c r="ED488" s="7"/>
      <c r="EE488" s="7"/>
      <c r="EF488" s="7"/>
      <c r="EG488" s="7"/>
      <c r="EH488" s="7"/>
      <c r="EI488" s="7"/>
      <c r="EJ488" s="7"/>
      <c r="EK488" s="7"/>
      <c r="EL488" s="7"/>
      <c r="EM488" s="7"/>
      <c r="EN488" s="7"/>
      <c r="EO488" s="7"/>
      <c r="EP488" s="7"/>
      <c r="EQ488" s="7"/>
      <c r="ER488" s="7"/>
      <c r="ES488" s="7"/>
      <c r="ET488" s="7"/>
      <c r="EU488" s="7"/>
      <c r="EV488" s="7"/>
      <c r="EW488" s="7"/>
      <c r="EX488" s="7"/>
      <c r="EY488" s="7"/>
      <c r="EZ488" s="7"/>
      <c r="FA488" s="7"/>
      <c r="FB488" s="7"/>
      <c r="FC488" s="7"/>
      <c r="FD488" s="7"/>
      <c r="FE488" s="7"/>
      <c r="FF488" s="7"/>
      <c r="FG488" s="7"/>
      <c r="FH488" s="7"/>
      <c r="FI488" s="7"/>
      <c r="FJ488" s="7"/>
      <c r="FK488" s="7"/>
      <c r="FL488" s="7"/>
      <c r="FM488" s="7"/>
      <c r="FN488" s="7"/>
      <c r="FO488" s="7"/>
      <c r="FP488" s="7"/>
      <c r="FQ488" s="7"/>
      <c r="FR488" s="7"/>
      <c r="FS488" s="7"/>
    </row>
    <row r="489" spans="84:175" x14ac:dyDescent="0.25">
      <c r="CF489" s="7"/>
      <c r="CG489" s="7"/>
      <c r="CH489" s="7"/>
      <c r="CI489" s="7"/>
      <c r="CJ489" s="7"/>
      <c r="CK489" s="7"/>
      <c r="CL489" s="7"/>
      <c r="CM489" s="7"/>
      <c r="CN489" s="7"/>
      <c r="CO489" s="7"/>
      <c r="CP489" s="7"/>
      <c r="CQ489" s="7"/>
      <c r="CR489" s="7"/>
      <c r="CS489" s="7"/>
      <c r="CT489" s="7"/>
      <c r="CU489" s="7"/>
      <c r="CV489" s="7"/>
      <c r="CW489" s="7"/>
      <c r="CX489" s="7"/>
      <c r="CY489" s="7"/>
      <c r="CZ489" s="7"/>
      <c r="DA489" s="7"/>
      <c r="DB489" s="7"/>
      <c r="DC489" s="7"/>
      <c r="DD489" s="7"/>
      <c r="DE489" s="7"/>
      <c r="DF489" s="7"/>
      <c r="DG489" s="7"/>
      <c r="DH489" s="7"/>
      <c r="DI489" s="7"/>
      <c r="DJ489" s="7"/>
      <c r="DK489" s="7"/>
      <c r="DL489" s="7"/>
      <c r="DM489" s="7"/>
      <c r="DN489" s="7"/>
      <c r="DO489" s="7"/>
      <c r="DP489" s="7"/>
      <c r="DQ489" s="7"/>
      <c r="DR489" s="7"/>
      <c r="DS489" s="7"/>
      <c r="DT489" s="7"/>
      <c r="DU489" s="7"/>
      <c r="DV489" s="7"/>
      <c r="DW489" s="7"/>
      <c r="DX489" s="7"/>
      <c r="DY489" s="7"/>
      <c r="DZ489" s="7"/>
      <c r="EA489" s="7"/>
      <c r="EB489" s="7"/>
      <c r="EC489" s="7"/>
      <c r="ED489" s="7"/>
      <c r="EE489" s="7"/>
      <c r="EF489" s="7"/>
      <c r="EG489" s="7"/>
      <c r="EH489" s="7"/>
      <c r="EI489" s="7"/>
      <c r="EJ489" s="7"/>
      <c r="EK489" s="7"/>
      <c r="EL489" s="7"/>
      <c r="EM489" s="7"/>
      <c r="EN489" s="7"/>
      <c r="EO489" s="7"/>
      <c r="EP489" s="7"/>
      <c r="EQ489" s="7"/>
      <c r="ER489" s="7"/>
      <c r="ES489" s="7"/>
      <c r="ET489" s="7"/>
      <c r="EU489" s="7"/>
      <c r="EV489" s="7"/>
      <c r="EW489" s="7"/>
      <c r="EX489" s="7"/>
      <c r="EY489" s="7"/>
      <c r="EZ489" s="7"/>
      <c r="FA489" s="7"/>
      <c r="FB489" s="7"/>
      <c r="FC489" s="7"/>
      <c r="FD489" s="7"/>
      <c r="FE489" s="7"/>
      <c r="FF489" s="7"/>
      <c r="FG489" s="7"/>
      <c r="FH489" s="7"/>
      <c r="FI489" s="7"/>
      <c r="FJ489" s="7"/>
      <c r="FK489" s="7"/>
      <c r="FL489" s="7"/>
      <c r="FM489" s="7"/>
      <c r="FN489" s="7"/>
      <c r="FO489" s="7"/>
      <c r="FP489" s="7"/>
      <c r="FQ489" s="7"/>
      <c r="FR489" s="7"/>
      <c r="FS489" s="7"/>
    </row>
    <row r="490" spans="84:175" x14ac:dyDescent="0.25">
      <c r="CF490" s="7"/>
      <c r="CG490" s="7"/>
      <c r="CH490" s="7"/>
      <c r="CI490" s="7"/>
      <c r="CJ490" s="7"/>
      <c r="CK490" s="7"/>
      <c r="CL490" s="7"/>
      <c r="CM490" s="7"/>
      <c r="CN490" s="7"/>
      <c r="CO490" s="7"/>
      <c r="CP490" s="7"/>
      <c r="CQ490" s="7"/>
      <c r="CR490" s="7"/>
      <c r="CS490" s="7"/>
      <c r="CT490" s="7"/>
      <c r="CU490" s="7"/>
      <c r="CV490" s="7"/>
      <c r="CW490" s="7"/>
      <c r="CX490" s="7"/>
      <c r="CY490" s="7"/>
      <c r="CZ490" s="7"/>
      <c r="DA490" s="7"/>
      <c r="DB490" s="7"/>
      <c r="DC490" s="7"/>
      <c r="DD490" s="7"/>
      <c r="DE490" s="7"/>
      <c r="DF490" s="7"/>
      <c r="DG490" s="7"/>
      <c r="DH490" s="7"/>
      <c r="DI490" s="7"/>
      <c r="DJ490" s="7"/>
      <c r="DK490" s="7"/>
      <c r="DL490" s="7"/>
      <c r="DM490" s="7"/>
      <c r="DN490" s="7"/>
      <c r="DO490" s="7"/>
      <c r="DP490" s="7"/>
      <c r="DQ490" s="7"/>
      <c r="DR490" s="7"/>
      <c r="DS490" s="7"/>
      <c r="DT490" s="7"/>
      <c r="DU490" s="7"/>
      <c r="DV490" s="7"/>
      <c r="DW490" s="7"/>
      <c r="DX490" s="7"/>
      <c r="DY490" s="7"/>
      <c r="DZ490" s="7"/>
      <c r="EA490" s="7"/>
      <c r="EB490" s="7"/>
      <c r="EC490" s="7"/>
      <c r="ED490" s="7"/>
      <c r="EE490" s="7"/>
      <c r="EF490" s="7"/>
      <c r="EG490" s="7"/>
      <c r="EH490" s="7"/>
      <c r="EI490" s="7"/>
      <c r="EJ490" s="7"/>
      <c r="EK490" s="7"/>
      <c r="EL490" s="7"/>
      <c r="EM490" s="7"/>
      <c r="EN490" s="7"/>
      <c r="EO490" s="7"/>
      <c r="EP490" s="7"/>
      <c r="EQ490" s="7"/>
      <c r="ER490" s="7"/>
      <c r="ES490" s="7"/>
      <c r="ET490" s="7"/>
      <c r="EU490" s="7"/>
      <c r="EV490" s="7"/>
      <c r="EW490" s="7"/>
      <c r="EX490" s="7"/>
      <c r="EY490" s="7"/>
      <c r="EZ490" s="7"/>
      <c r="FA490" s="7"/>
      <c r="FB490" s="7"/>
      <c r="FC490" s="7"/>
      <c r="FD490" s="7"/>
      <c r="FE490" s="7"/>
      <c r="FF490" s="7"/>
      <c r="FG490" s="7"/>
      <c r="FH490" s="7"/>
      <c r="FI490" s="7"/>
      <c r="FJ490" s="7"/>
      <c r="FK490" s="7"/>
      <c r="FL490" s="7"/>
      <c r="FM490" s="7"/>
      <c r="FN490" s="7"/>
      <c r="FO490" s="7"/>
      <c r="FP490" s="7"/>
      <c r="FQ490" s="7"/>
      <c r="FR490" s="7"/>
      <c r="FS490" s="7"/>
    </row>
    <row r="491" spans="84:175" x14ac:dyDescent="0.25">
      <c r="CF491" s="7"/>
      <c r="CG491" s="7"/>
      <c r="CH491" s="7"/>
      <c r="CI491" s="7"/>
      <c r="CJ491" s="7"/>
      <c r="CK491" s="7"/>
      <c r="CL491" s="7"/>
      <c r="CM491" s="7"/>
      <c r="CN491" s="7"/>
      <c r="CO491" s="7"/>
      <c r="CP491" s="7"/>
      <c r="CQ491" s="7"/>
      <c r="CR491" s="7"/>
      <c r="CS491" s="7"/>
      <c r="CT491" s="7"/>
      <c r="CU491" s="7"/>
      <c r="CV491" s="7"/>
      <c r="CW491" s="7"/>
      <c r="CX491" s="7"/>
      <c r="CY491" s="7"/>
      <c r="CZ491" s="7"/>
      <c r="DA491" s="7"/>
      <c r="DB491" s="7"/>
      <c r="DC491" s="7"/>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7"/>
      <c r="EC491" s="7"/>
      <c r="ED491" s="7"/>
      <c r="EE491" s="7"/>
      <c r="EF491" s="7"/>
      <c r="EG491" s="7"/>
      <c r="EH491" s="7"/>
      <c r="EI491" s="7"/>
      <c r="EJ491" s="7"/>
      <c r="EK491" s="7"/>
      <c r="EL491" s="7"/>
      <c r="EM491" s="7"/>
      <c r="EN491" s="7"/>
      <c r="EO491" s="7"/>
      <c r="EP491" s="7"/>
      <c r="EQ491" s="7"/>
      <c r="ER491" s="7"/>
      <c r="ES491" s="7"/>
      <c r="ET491" s="7"/>
      <c r="EU491" s="7"/>
      <c r="EV491" s="7"/>
      <c r="EW491" s="7"/>
      <c r="EX491" s="7"/>
      <c r="EY491" s="7"/>
      <c r="EZ491" s="7"/>
      <c r="FA491" s="7"/>
      <c r="FB491" s="7"/>
      <c r="FC491" s="7"/>
      <c r="FD491" s="7"/>
      <c r="FE491" s="7"/>
      <c r="FF491" s="7"/>
      <c r="FG491" s="7"/>
      <c r="FH491" s="7"/>
      <c r="FI491" s="7"/>
      <c r="FJ491" s="7"/>
      <c r="FK491" s="7"/>
      <c r="FL491" s="7"/>
      <c r="FM491" s="7"/>
      <c r="FN491" s="7"/>
      <c r="FO491" s="7"/>
      <c r="FP491" s="7"/>
      <c r="FQ491" s="7"/>
      <c r="FR491" s="7"/>
      <c r="FS491" s="7"/>
    </row>
    <row r="492" spans="84:175" x14ac:dyDescent="0.25">
      <c r="CF492" s="7"/>
      <c r="CG492" s="7"/>
      <c r="CH492" s="7"/>
      <c r="CI492" s="7"/>
      <c r="CJ492" s="7"/>
      <c r="CK492" s="7"/>
      <c r="CL492" s="7"/>
      <c r="CM492" s="7"/>
      <c r="CN492" s="7"/>
      <c r="CO492" s="7"/>
      <c r="CP492" s="7"/>
      <c r="CQ492" s="7"/>
      <c r="CR492" s="7"/>
      <c r="CS492" s="7"/>
      <c r="CT492" s="7"/>
      <c r="CU492" s="7"/>
      <c r="CV492" s="7"/>
      <c r="CW492" s="7"/>
      <c r="CX492" s="7"/>
      <c r="CY492" s="7"/>
      <c r="CZ492" s="7"/>
      <c r="DA492" s="7"/>
      <c r="DB492" s="7"/>
      <c r="DC492" s="7"/>
      <c r="DD492" s="7"/>
      <c r="DE492" s="7"/>
      <c r="DF492" s="7"/>
      <c r="DG492" s="7"/>
      <c r="DH492" s="7"/>
      <c r="DI492" s="7"/>
      <c r="DJ492" s="7"/>
      <c r="DK492" s="7"/>
      <c r="DL492" s="7"/>
      <c r="DM492" s="7"/>
      <c r="DN492" s="7"/>
      <c r="DO492" s="7"/>
      <c r="DP492" s="7"/>
      <c r="DQ492" s="7"/>
      <c r="DR492" s="7"/>
      <c r="DS492" s="7"/>
      <c r="DT492" s="7"/>
      <c r="DU492" s="7"/>
      <c r="DV492" s="7"/>
      <c r="DW492" s="7"/>
      <c r="DX492" s="7"/>
      <c r="DY492" s="7"/>
      <c r="DZ492" s="7"/>
      <c r="EA492" s="7"/>
      <c r="EB492" s="7"/>
      <c r="EC492" s="7"/>
      <c r="ED492" s="7"/>
      <c r="EE492" s="7"/>
      <c r="EF492" s="7"/>
      <c r="EG492" s="7"/>
      <c r="EH492" s="7"/>
      <c r="EI492" s="7"/>
      <c r="EJ492" s="7"/>
      <c r="EK492" s="7"/>
      <c r="EL492" s="7"/>
      <c r="EM492" s="7"/>
      <c r="EN492" s="7"/>
      <c r="EO492" s="7"/>
      <c r="EP492" s="7"/>
      <c r="EQ492" s="7"/>
      <c r="ER492" s="7"/>
      <c r="ES492" s="7"/>
      <c r="ET492" s="7"/>
      <c r="EU492" s="7"/>
      <c r="EV492" s="7"/>
      <c r="EW492" s="7"/>
      <c r="EX492" s="7"/>
      <c r="EY492" s="7"/>
      <c r="EZ492" s="7"/>
      <c r="FA492" s="7"/>
      <c r="FB492" s="7"/>
      <c r="FC492" s="7"/>
      <c r="FD492" s="7"/>
      <c r="FE492" s="7"/>
      <c r="FF492" s="7"/>
      <c r="FG492" s="7"/>
      <c r="FH492" s="7"/>
      <c r="FI492" s="7"/>
      <c r="FJ492" s="7"/>
      <c r="FK492" s="7"/>
      <c r="FL492" s="7"/>
      <c r="FM492" s="7"/>
      <c r="FN492" s="7"/>
      <c r="FO492" s="7"/>
      <c r="FP492" s="7"/>
      <c r="FQ492" s="7"/>
      <c r="FR492" s="7"/>
      <c r="FS492" s="7"/>
    </row>
    <row r="493" spans="84:175" x14ac:dyDescent="0.25">
      <c r="CF493" s="7"/>
      <c r="CG493" s="7"/>
      <c r="CH493" s="7"/>
      <c r="CI493" s="7"/>
      <c r="CJ493" s="7"/>
      <c r="CK493" s="7"/>
      <c r="CL493" s="7"/>
      <c r="CM493" s="7"/>
      <c r="CN493" s="7"/>
      <c r="CO493" s="7"/>
      <c r="CP493" s="7"/>
      <c r="CQ493" s="7"/>
      <c r="CR493" s="7"/>
      <c r="CS493" s="7"/>
      <c r="CT493" s="7"/>
      <c r="CU493" s="7"/>
      <c r="CV493" s="7"/>
      <c r="CW493" s="7"/>
      <c r="CX493" s="7"/>
      <c r="CY493" s="7"/>
      <c r="CZ493" s="7"/>
      <c r="DA493" s="7"/>
      <c r="DB493" s="7"/>
      <c r="DC493" s="7"/>
      <c r="DD493" s="7"/>
      <c r="DE493" s="7"/>
      <c r="DF493" s="7"/>
      <c r="DG493" s="7"/>
      <c r="DH493" s="7"/>
      <c r="DI493" s="7"/>
      <c r="DJ493" s="7"/>
      <c r="DK493" s="7"/>
      <c r="DL493" s="7"/>
      <c r="DM493" s="7"/>
      <c r="DN493" s="7"/>
      <c r="DO493" s="7"/>
      <c r="DP493" s="7"/>
      <c r="DQ493" s="7"/>
      <c r="DR493" s="7"/>
      <c r="DS493" s="7"/>
      <c r="DT493" s="7"/>
      <c r="DU493" s="7"/>
      <c r="DV493" s="7"/>
      <c r="DW493" s="7"/>
      <c r="DX493" s="7"/>
      <c r="DY493" s="7"/>
      <c r="DZ493" s="7"/>
      <c r="EA493" s="7"/>
      <c r="EB493" s="7"/>
      <c r="EC493" s="7"/>
      <c r="ED493" s="7"/>
      <c r="EE493" s="7"/>
      <c r="EF493" s="7"/>
      <c r="EG493" s="7"/>
      <c r="EH493" s="7"/>
      <c r="EI493" s="7"/>
      <c r="EJ493" s="7"/>
      <c r="EK493" s="7"/>
      <c r="EL493" s="7"/>
      <c r="EM493" s="7"/>
      <c r="EN493" s="7"/>
      <c r="EO493" s="7"/>
      <c r="EP493" s="7"/>
      <c r="EQ493" s="7"/>
      <c r="ER493" s="7"/>
      <c r="ES493" s="7"/>
      <c r="ET493" s="7"/>
      <c r="EU493" s="7"/>
      <c r="EV493" s="7"/>
      <c r="EW493" s="7"/>
      <c r="EX493" s="7"/>
      <c r="EY493" s="7"/>
      <c r="EZ493" s="7"/>
      <c r="FA493" s="7"/>
      <c r="FB493" s="7"/>
      <c r="FC493" s="7"/>
      <c r="FD493" s="7"/>
      <c r="FE493" s="7"/>
      <c r="FF493" s="7"/>
      <c r="FG493" s="7"/>
      <c r="FH493" s="7"/>
      <c r="FI493" s="7"/>
      <c r="FJ493" s="7"/>
      <c r="FK493" s="7"/>
      <c r="FL493" s="7"/>
      <c r="FM493" s="7"/>
      <c r="FN493" s="7"/>
      <c r="FO493" s="7"/>
      <c r="FP493" s="7"/>
      <c r="FQ493" s="7"/>
      <c r="FR493" s="7"/>
      <c r="FS493" s="7"/>
    </row>
    <row r="494" spans="84:175" x14ac:dyDescent="0.25">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c r="FL494" s="7"/>
      <c r="FM494" s="7"/>
      <c r="FN494" s="7"/>
      <c r="FO494" s="7"/>
      <c r="FP494" s="7"/>
      <c r="FQ494" s="7"/>
      <c r="FR494" s="7"/>
      <c r="FS494" s="7"/>
    </row>
    <row r="495" spans="84:175" x14ac:dyDescent="0.25">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c r="FL495" s="7"/>
      <c r="FM495" s="7"/>
      <c r="FN495" s="7"/>
      <c r="FO495" s="7"/>
      <c r="FP495" s="7"/>
      <c r="FQ495" s="7"/>
      <c r="FR495" s="7"/>
      <c r="FS495" s="7"/>
    </row>
    <row r="496" spans="84:175" x14ac:dyDescent="0.25">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7"/>
      <c r="ET496" s="7"/>
      <c r="EU496" s="7"/>
      <c r="EV496" s="7"/>
      <c r="EW496" s="7"/>
      <c r="EX496" s="7"/>
      <c r="EY496" s="7"/>
      <c r="EZ496" s="7"/>
      <c r="FA496" s="7"/>
      <c r="FB496" s="7"/>
      <c r="FC496" s="7"/>
      <c r="FD496" s="7"/>
      <c r="FE496" s="7"/>
      <c r="FF496" s="7"/>
      <c r="FG496" s="7"/>
      <c r="FH496" s="7"/>
      <c r="FI496" s="7"/>
      <c r="FJ496" s="7"/>
      <c r="FK496" s="7"/>
      <c r="FL496" s="7"/>
      <c r="FM496" s="7"/>
      <c r="FN496" s="7"/>
      <c r="FO496" s="7"/>
      <c r="FP496" s="7"/>
      <c r="FQ496" s="7"/>
      <c r="FR496" s="7"/>
      <c r="FS496" s="7"/>
    </row>
    <row r="497" spans="84:175" x14ac:dyDescent="0.25">
      <c r="CF497" s="7"/>
      <c r="CG497" s="7"/>
      <c r="CH497" s="7"/>
      <c r="CI497" s="7"/>
      <c r="CJ497" s="7"/>
      <c r="CK497" s="7"/>
      <c r="CL497" s="7"/>
      <c r="CM497" s="7"/>
      <c r="CN497" s="7"/>
      <c r="CO497" s="7"/>
      <c r="CP497" s="7"/>
      <c r="CQ497" s="7"/>
      <c r="CR497" s="7"/>
      <c r="CS497" s="7"/>
      <c r="CT497" s="7"/>
      <c r="CU497" s="7"/>
      <c r="CV497" s="7"/>
      <c r="CW497" s="7"/>
      <c r="CX497" s="7"/>
      <c r="CY497" s="7"/>
      <c r="CZ497" s="7"/>
      <c r="DA497" s="7"/>
      <c r="DB497" s="7"/>
      <c r="DC497" s="7"/>
      <c r="DD497" s="7"/>
      <c r="DE497" s="7"/>
      <c r="DF497" s="7"/>
      <c r="DG497" s="7"/>
      <c r="DH497" s="7"/>
      <c r="DI497" s="7"/>
      <c r="DJ497" s="7"/>
      <c r="DK497" s="7"/>
      <c r="DL497" s="7"/>
      <c r="DM497" s="7"/>
      <c r="DN497" s="7"/>
      <c r="DO497" s="7"/>
      <c r="DP497" s="7"/>
      <c r="DQ497" s="7"/>
      <c r="DR497" s="7"/>
      <c r="DS497" s="7"/>
      <c r="DT497" s="7"/>
      <c r="DU497" s="7"/>
      <c r="DV497" s="7"/>
      <c r="DW497" s="7"/>
      <c r="DX497" s="7"/>
      <c r="DY497" s="7"/>
      <c r="DZ497" s="7"/>
      <c r="EA497" s="7"/>
      <c r="EB497" s="7"/>
      <c r="EC497" s="7"/>
      <c r="ED497" s="7"/>
      <c r="EE497" s="7"/>
      <c r="EF497" s="7"/>
      <c r="EG497" s="7"/>
      <c r="EH497" s="7"/>
      <c r="EI497" s="7"/>
      <c r="EJ497" s="7"/>
      <c r="EK497" s="7"/>
      <c r="EL497" s="7"/>
      <c r="EM497" s="7"/>
      <c r="EN497" s="7"/>
      <c r="EO497" s="7"/>
      <c r="EP497" s="7"/>
      <c r="EQ497" s="7"/>
      <c r="ER497" s="7"/>
      <c r="ES497" s="7"/>
      <c r="ET497" s="7"/>
      <c r="EU497" s="7"/>
      <c r="EV497" s="7"/>
      <c r="EW497" s="7"/>
      <c r="EX497" s="7"/>
      <c r="EY497" s="7"/>
      <c r="EZ497" s="7"/>
      <c r="FA497" s="7"/>
      <c r="FB497" s="7"/>
      <c r="FC497" s="7"/>
      <c r="FD497" s="7"/>
      <c r="FE497" s="7"/>
      <c r="FF497" s="7"/>
      <c r="FG497" s="7"/>
      <c r="FH497" s="7"/>
      <c r="FI497" s="7"/>
      <c r="FJ497" s="7"/>
      <c r="FK497" s="7"/>
      <c r="FL497" s="7"/>
      <c r="FM497" s="7"/>
      <c r="FN497" s="7"/>
      <c r="FO497" s="7"/>
      <c r="FP497" s="7"/>
      <c r="FQ497" s="7"/>
      <c r="FR497" s="7"/>
      <c r="FS497" s="7"/>
    </row>
    <row r="498" spans="84:175" x14ac:dyDescent="0.25">
      <c r="CF498" s="7"/>
      <c r="CG498" s="7"/>
      <c r="CH498" s="7"/>
      <c r="CI498" s="7"/>
      <c r="CJ498" s="7"/>
      <c r="CK498" s="7"/>
      <c r="CL498" s="7"/>
      <c r="CM498" s="7"/>
      <c r="CN498" s="7"/>
      <c r="CO498" s="7"/>
      <c r="CP498" s="7"/>
      <c r="CQ498" s="7"/>
      <c r="CR498" s="7"/>
      <c r="CS498" s="7"/>
      <c r="CT498" s="7"/>
      <c r="CU498" s="7"/>
      <c r="CV498" s="7"/>
      <c r="CW498" s="7"/>
      <c r="CX498" s="7"/>
      <c r="CY498" s="7"/>
      <c r="CZ498" s="7"/>
      <c r="DA498" s="7"/>
      <c r="DB498" s="7"/>
      <c r="DC498" s="7"/>
      <c r="DD498" s="7"/>
      <c r="DE498" s="7"/>
      <c r="DF498" s="7"/>
      <c r="DG498" s="7"/>
      <c r="DH498" s="7"/>
      <c r="DI498" s="7"/>
      <c r="DJ498" s="7"/>
      <c r="DK498" s="7"/>
      <c r="DL498" s="7"/>
      <c r="DM498" s="7"/>
      <c r="DN498" s="7"/>
      <c r="DO498" s="7"/>
      <c r="DP498" s="7"/>
      <c r="DQ498" s="7"/>
      <c r="DR498" s="7"/>
      <c r="DS498" s="7"/>
      <c r="DT498" s="7"/>
      <c r="DU498" s="7"/>
      <c r="DV498" s="7"/>
      <c r="DW498" s="7"/>
      <c r="DX498" s="7"/>
      <c r="DY498" s="7"/>
      <c r="DZ498" s="7"/>
      <c r="EA498" s="7"/>
      <c r="EB498" s="7"/>
      <c r="EC498" s="7"/>
      <c r="ED498" s="7"/>
      <c r="EE498" s="7"/>
      <c r="EF498" s="7"/>
      <c r="EG498" s="7"/>
      <c r="EH498" s="7"/>
      <c r="EI498" s="7"/>
      <c r="EJ498" s="7"/>
      <c r="EK498" s="7"/>
      <c r="EL498" s="7"/>
      <c r="EM498" s="7"/>
      <c r="EN498" s="7"/>
      <c r="EO498" s="7"/>
      <c r="EP498" s="7"/>
      <c r="EQ498" s="7"/>
      <c r="ER498" s="7"/>
      <c r="ES498" s="7"/>
      <c r="ET498" s="7"/>
      <c r="EU498" s="7"/>
      <c r="EV498" s="7"/>
      <c r="EW498" s="7"/>
      <c r="EX498" s="7"/>
      <c r="EY498" s="7"/>
      <c r="EZ498" s="7"/>
      <c r="FA498" s="7"/>
      <c r="FB498" s="7"/>
      <c r="FC498" s="7"/>
      <c r="FD498" s="7"/>
      <c r="FE498" s="7"/>
      <c r="FF498" s="7"/>
      <c r="FG498" s="7"/>
      <c r="FH498" s="7"/>
      <c r="FI498" s="7"/>
      <c r="FJ498" s="7"/>
      <c r="FK498" s="7"/>
      <c r="FL498" s="7"/>
      <c r="FM498" s="7"/>
      <c r="FN498" s="7"/>
      <c r="FO498" s="7"/>
      <c r="FP498" s="7"/>
      <c r="FQ498" s="7"/>
      <c r="FR498" s="7"/>
      <c r="FS498" s="7"/>
    </row>
    <row r="499" spans="84:175" x14ac:dyDescent="0.25">
      <c r="CF499" s="7"/>
      <c r="CG499" s="7"/>
      <c r="CH499" s="7"/>
      <c r="CI499" s="7"/>
      <c r="CJ499" s="7"/>
      <c r="CK499" s="7"/>
      <c r="CL499" s="7"/>
      <c r="CM499" s="7"/>
      <c r="CN499" s="7"/>
      <c r="CO499" s="7"/>
      <c r="CP499" s="7"/>
      <c r="CQ499" s="7"/>
      <c r="CR499" s="7"/>
      <c r="CS499" s="7"/>
      <c r="CT499" s="7"/>
      <c r="CU499" s="7"/>
      <c r="CV499" s="7"/>
      <c r="CW499" s="7"/>
      <c r="CX499" s="7"/>
      <c r="CY499" s="7"/>
      <c r="CZ499" s="7"/>
      <c r="DA499" s="7"/>
      <c r="DB499" s="7"/>
      <c r="DC499" s="7"/>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7"/>
      <c r="EC499" s="7"/>
      <c r="ED499" s="7"/>
      <c r="EE499" s="7"/>
      <c r="EF499" s="7"/>
      <c r="EG499" s="7"/>
      <c r="EH499" s="7"/>
      <c r="EI499" s="7"/>
      <c r="EJ499" s="7"/>
      <c r="EK499" s="7"/>
      <c r="EL499" s="7"/>
      <c r="EM499" s="7"/>
      <c r="EN499" s="7"/>
      <c r="EO499" s="7"/>
      <c r="EP499" s="7"/>
      <c r="EQ499" s="7"/>
      <c r="ER499" s="7"/>
      <c r="ES499" s="7"/>
      <c r="ET499" s="7"/>
      <c r="EU499" s="7"/>
      <c r="EV499" s="7"/>
      <c r="EW499" s="7"/>
      <c r="EX499" s="7"/>
      <c r="EY499" s="7"/>
      <c r="EZ499" s="7"/>
      <c r="FA499" s="7"/>
      <c r="FB499" s="7"/>
      <c r="FC499" s="7"/>
      <c r="FD499" s="7"/>
      <c r="FE499" s="7"/>
      <c r="FF499" s="7"/>
      <c r="FG499" s="7"/>
      <c r="FH499" s="7"/>
      <c r="FI499" s="7"/>
      <c r="FJ499" s="7"/>
      <c r="FK499" s="7"/>
      <c r="FL499" s="7"/>
      <c r="FM499" s="7"/>
      <c r="FN499" s="7"/>
      <c r="FO499" s="7"/>
      <c r="FP499" s="7"/>
      <c r="FQ499" s="7"/>
      <c r="FR499" s="7"/>
      <c r="FS499" s="7"/>
    </row>
    <row r="500" spans="84:175" x14ac:dyDescent="0.25">
      <c r="CF500" s="7"/>
      <c r="CG500" s="7"/>
      <c r="CH500" s="7"/>
      <c r="CI500" s="7"/>
      <c r="CJ500" s="7"/>
      <c r="CK500" s="7"/>
      <c r="CL500" s="7"/>
      <c r="CM500" s="7"/>
      <c r="CN500" s="7"/>
      <c r="CO500" s="7"/>
      <c r="CP500" s="7"/>
      <c r="CQ500" s="7"/>
      <c r="CR500" s="7"/>
      <c r="CS500" s="7"/>
      <c r="CT500" s="7"/>
      <c r="CU500" s="7"/>
      <c r="CV500" s="7"/>
      <c r="CW500" s="7"/>
      <c r="CX500" s="7"/>
      <c r="CY500" s="7"/>
      <c r="CZ500" s="7"/>
      <c r="DA500" s="7"/>
      <c r="DB500" s="7"/>
      <c r="DC500" s="7"/>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7"/>
      <c r="EC500" s="7"/>
      <c r="ED500" s="7"/>
      <c r="EE500" s="7"/>
      <c r="EF500" s="7"/>
      <c r="EG500" s="7"/>
      <c r="EH500" s="7"/>
      <c r="EI500" s="7"/>
      <c r="EJ500" s="7"/>
      <c r="EK500" s="7"/>
      <c r="EL500" s="7"/>
      <c r="EM500" s="7"/>
      <c r="EN500" s="7"/>
      <c r="EO500" s="7"/>
      <c r="EP500" s="7"/>
      <c r="EQ500" s="7"/>
      <c r="ER500" s="7"/>
      <c r="ES500" s="7"/>
      <c r="ET500" s="7"/>
      <c r="EU500" s="7"/>
      <c r="EV500" s="7"/>
      <c r="EW500" s="7"/>
      <c r="EX500" s="7"/>
      <c r="EY500" s="7"/>
      <c r="EZ500" s="7"/>
      <c r="FA500" s="7"/>
      <c r="FB500" s="7"/>
      <c r="FC500" s="7"/>
      <c r="FD500" s="7"/>
      <c r="FE500" s="7"/>
      <c r="FF500" s="7"/>
      <c r="FG500" s="7"/>
      <c r="FH500" s="7"/>
      <c r="FI500" s="7"/>
      <c r="FJ500" s="7"/>
      <c r="FK500" s="7"/>
      <c r="FL500" s="7"/>
      <c r="FM500" s="7"/>
      <c r="FN500" s="7"/>
      <c r="FO500" s="7"/>
      <c r="FP500" s="7"/>
      <c r="FQ500" s="7"/>
      <c r="FR500" s="7"/>
      <c r="FS500" s="7"/>
    </row>
    <row r="501" spans="84:175" x14ac:dyDescent="0.25">
      <c r="CF501" s="7"/>
      <c r="CG501" s="7"/>
      <c r="CH501" s="7"/>
      <c r="CI501" s="7"/>
      <c r="CJ501" s="7"/>
      <c r="CK501" s="7"/>
      <c r="CL501" s="7"/>
      <c r="CM501" s="7"/>
      <c r="CN501" s="7"/>
      <c r="CO501" s="7"/>
      <c r="CP501" s="7"/>
      <c r="CQ501" s="7"/>
      <c r="CR501" s="7"/>
      <c r="CS501" s="7"/>
      <c r="CT501" s="7"/>
      <c r="CU501" s="7"/>
      <c r="CV501" s="7"/>
      <c r="CW501" s="7"/>
      <c r="CX501" s="7"/>
      <c r="CY501" s="7"/>
      <c r="CZ501" s="7"/>
      <c r="DA501" s="7"/>
      <c r="DB501" s="7"/>
      <c r="DC501" s="7"/>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c r="EE501" s="7"/>
      <c r="EF501" s="7"/>
      <c r="EG501" s="7"/>
      <c r="EH501" s="7"/>
      <c r="EI501" s="7"/>
      <c r="EJ501" s="7"/>
      <c r="EK501" s="7"/>
      <c r="EL501" s="7"/>
      <c r="EM501" s="7"/>
      <c r="EN501" s="7"/>
      <c r="EO501" s="7"/>
      <c r="EP501" s="7"/>
      <c r="EQ501" s="7"/>
      <c r="ER501" s="7"/>
      <c r="ES501" s="7"/>
      <c r="ET501" s="7"/>
      <c r="EU501" s="7"/>
      <c r="EV501" s="7"/>
      <c r="EW501" s="7"/>
      <c r="EX501" s="7"/>
      <c r="EY501" s="7"/>
      <c r="EZ501" s="7"/>
      <c r="FA501" s="7"/>
      <c r="FB501" s="7"/>
      <c r="FC501" s="7"/>
      <c r="FD501" s="7"/>
      <c r="FE501" s="7"/>
      <c r="FF501" s="7"/>
      <c r="FG501" s="7"/>
      <c r="FH501" s="7"/>
      <c r="FI501" s="7"/>
      <c r="FJ501" s="7"/>
      <c r="FK501" s="7"/>
      <c r="FL501" s="7"/>
      <c r="FM501" s="7"/>
      <c r="FN501" s="7"/>
      <c r="FO501" s="7"/>
      <c r="FP501" s="7"/>
      <c r="FQ501" s="7"/>
      <c r="FR501" s="7"/>
      <c r="FS501" s="7"/>
    </row>
    <row r="502" spans="84:175" x14ac:dyDescent="0.25">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c r="EH502" s="7"/>
      <c r="EI502" s="7"/>
      <c r="EJ502" s="7"/>
      <c r="EK502" s="7"/>
      <c r="EL502" s="7"/>
      <c r="EM502" s="7"/>
      <c r="EN502" s="7"/>
      <c r="EO502" s="7"/>
      <c r="EP502" s="7"/>
      <c r="EQ502" s="7"/>
      <c r="ER502" s="7"/>
      <c r="ES502" s="7"/>
      <c r="ET502" s="7"/>
      <c r="EU502" s="7"/>
      <c r="EV502" s="7"/>
      <c r="EW502" s="7"/>
      <c r="EX502" s="7"/>
      <c r="EY502" s="7"/>
      <c r="EZ502" s="7"/>
      <c r="FA502" s="7"/>
      <c r="FB502" s="7"/>
      <c r="FC502" s="7"/>
      <c r="FD502" s="7"/>
      <c r="FE502" s="7"/>
      <c r="FF502" s="7"/>
      <c r="FG502" s="7"/>
      <c r="FH502" s="7"/>
      <c r="FI502" s="7"/>
      <c r="FJ502" s="7"/>
      <c r="FK502" s="7"/>
      <c r="FL502" s="7"/>
      <c r="FM502" s="7"/>
      <c r="FN502" s="7"/>
      <c r="FO502" s="7"/>
      <c r="FP502" s="7"/>
      <c r="FQ502" s="7"/>
      <c r="FR502" s="7"/>
      <c r="FS502" s="7"/>
    </row>
    <row r="503" spans="84:175" x14ac:dyDescent="0.25">
      <c r="CF503" s="7"/>
      <c r="CG503" s="7"/>
      <c r="CH503" s="7"/>
      <c r="CI503" s="7"/>
      <c r="CJ503" s="7"/>
      <c r="CK503" s="7"/>
      <c r="CL503" s="7"/>
      <c r="CM503" s="7"/>
      <c r="CN503" s="7"/>
      <c r="CO503" s="7"/>
      <c r="CP503" s="7"/>
      <c r="CQ503" s="7"/>
      <c r="CR503" s="7"/>
      <c r="CS503" s="7"/>
      <c r="CT503" s="7"/>
      <c r="CU503" s="7"/>
      <c r="CV503" s="7"/>
      <c r="CW503" s="7"/>
      <c r="CX503" s="7"/>
      <c r="CY503" s="7"/>
      <c r="CZ503" s="7"/>
      <c r="DA503" s="7"/>
      <c r="DB503" s="7"/>
      <c r="DC503" s="7"/>
      <c r="DD503" s="7"/>
      <c r="DE503" s="7"/>
      <c r="DF503" s="7"/>
      <c r="DG503" s="7"/>
      <c r="DH503" s="7"/>
      <c r="DI503" s="7"/>
      <c r="DJ503" s="7"/>
      <c r="DK503" s="7"/>
      <c r="DL503" s="7"/>
      <c r="DM503" s="7"/>
      <c r="DN503" s="7"/>
      <c r="DO503" s="7"/>
      <c r="DP503" s="7"/>
      <c r="DQ503" s="7"/>
      <c r="DR503" s="7"/>
      <c r="DS503" s="7"/>
      <c r="DT503" s="7"/>
      <c r="DU503" s="7"/>
      <c r="DV503" s="7"/>
      <c r="DW503" s="7"/>
      <c r="DX503" s="7"/>
      <c r="DY503" s="7"/>
      <c r="DZ503" s="7"/>
      <c r="EA503" s="7"/>
      <c r="EB503" s="7"/>
      <c r="EC503" s="7"/>
      <c r="ED503" s="7"/>
      <c r="EE503" s="7"/>
      <c r="EF503" s="7"/>
      <c r="EG503" s="7"/>
      <c r="EH503" s="7"/>
      <c r="EI503" s="7"/>
      <c r="EJ503" s="7"/>
      <c r="EK503" s="7"/>
      <c r="EL503" s="7"/>
      <c r="EM503" s="7"/>
      <c r="EN503" s="7"/>
      <c r="EO503" s="7"/>
      <c r="EP503" s="7"/>
      <c r="EQ503" s="7"/>
      <c r="ER503" s="7"/>
      <c r="ES503" s="7"/>
      <c r="ET503" s="7"/>
      <c r="EU503" s="7"/>
      <c r="EV503" s="7"/>
      <c r="EW503" s="7"/>
      <c r="EX503" s="7"/>
      <c r="EY503" s="7"/>
      <c r="EZ503" s="7"/>
      <c r="FA503" s="7"/>
      <c r="FB503" s="7"/>
      <c r="FC503" s="7"/>
      <c r="FD503" s="7"/>
      <c r="FE503" s="7"/>
      <c r="FF503" s="7"/>
      <c r="FG503" s="7"/>
      <c r="FH503" s="7"/>
      <c r="FI503" s="7"/>
      <c r="FJ503" s="7"/>
      <c r="FK503" s="7"/>
      <c r="FL503" s="7"/>
      <c r="FM503" s="7"/>
      <c r="FN503" s="7"/>
      <c r="FO503" s="7"/>
      <c r="FP503" s="7"/>
      <c r="FQ503" s="7"/>
      <c r="FR503" s="7"/>
      <c r="FS503" s="7"/>
    </row>
    <row r="504" spans="84:175" x14ac:dyDescent="0.25">
      <c r="CF504" s="7"/>
      <c r="CG504" s="7"/>
      <c r="CH504" s="7"/>
      <c r="CI504" s="7"/>
      <c r="CJ504" s="7"/>
      <c r="CK504" s="7"/>
      <c r="CL504" s="7"/>
      <c r="CM504" s="7"/>
      <c r="CN504" s="7"/>
      <c r="CO504" s="7"/>
      <c r="CP504" s="7"/>
      <c r="CQ504" s="7"/>
      <c r="CR504" s="7"/>
      <c r="CS504" s="7"/>
      <c r="CT504" s="7"/>
      <c r="CU504" s="7"/>
      <c r="CV504" s="7"/>
      <c r="CW504" s="7"/>
      <c r="CX504" s="7"/>
      <c r="CY504" s="7"/>
      <c r="CZ504" s="7"/>
      <c r="DA504" s="7"/>
      <c r="DB504" s="7"/>
      <c r="DC504" s="7"/>
      <c r="DD504" s="7"/>
      <c r="DE504" s="7"/>
      <c r="DF504" s="7"/>
      <c r="DG504" s="7"/>
      <c r="DH504" s="7"/>
      <c r="DI504" s="7"/>
      <c r="DJ504" s="7"/>
      <c r="DK504" s="7"/>
      <c r="DL504" s="7"/>
      <c r="DM504" s="7"/>
      <c r="DN504" s="7"/>
      <c r="DO504" s="7"/>
      <c r="DP504" s="7"/>
      <c r="DQ504" s="7"/>
      <c r="DR504" s="7"/>
      <c r="DS504" s="7"/>
      <c r="DT504" s="7"/>
      <c r="DU504" s="7"/>
      <c r="DV504" s="7"/>
      <c r="DW504" s="7"/>
      <c r="DX504" s="7"/>
      <c r="DY504" s="7"/>
      <c r="DZ504" s="7"/>
      <c r="EA504" s="7"/>
      <c r="EB504" s="7"/>
      <c r="EC504" s="7"/>
      <c r="ED504" s="7"/>
      <c r="EE504" s="7"/>
      <c r="EF504" s="7"/>
      <c r="EG504" s="7"/>
      <c r="EH504" s="7"/>
      <c r="EI504" s="7"/>
      <c r="EJ504" s="7"/>
      <c r="EK504" s="7"/>
      <c r="EL504" s="7"/>
      <c r="EM504" s="7"/>
      <c r="EN504" s="7"/>
      <c r="EO504" s="7"/>
      <c r="EP504" s="7"/>
      <c r="EQ504" s="7"/>
      <c r="ER504" s="7"/>
      <c r="ES504" s="7"/>
      <c r="ET504" s="7"/>
      <c r="EU504" s="7"/>
      <c r="EV504" s="7"/>
      <c r="EW504" s="7"/>
      <c r="EX504" s="7"/>
      <c r="EY504" s="7"/>
      <c r="EZ504" s="7"/>
      <c r="FA504" s="7"/>
      <c r="FB504" s="7"/>
      <c r="FC504" s="7"/>
      <c r="FD504" s="7"/>
      <c r="FE504" s="7"/>
      <c r="FF504" s="7"/>
      <c r="FG504" s="7"/>
      <c r="FH504" s="7"/>
      <c r="FI504" s="7"/>
      <c r="FJ504" s="7"/>
      <c r="FK504" s="7"/>
      <c r="FL504" s="7"/>
      <c r="FM504" s="7"/>
      <c r="FN504" s="7"/>
      <c r="FO504" s="7"/>
      <c r="FP504" s="7"/>
      <c r="FQ504" s="7"/>
      <c r="FR504" s="7"/>
      <c r="FS504" s="7"/>
    </row>
    <row r="505" spans="84:175" x14ac:dyDescent="0.25">
      <c r="CF505" s="7"/>
      <c r="CG505" s="7"/>
      <c r="CH505" s="7"/>
      <c r="CI505" s="7"/>
      <c r="CJ505" s="7"/>
      <c r="CK505" s="7"/>
      <c r="CL505" s="7"/>
      <c r="CM505" s="7"/>
      <c r="CN505" s="7"/>
      <c r="CO505" s="7"/>
      <c r="CP505" s="7"/>
      <c r="CQ505" s="7"/>
      <c r="CR505" s="7"/>
      <c r="CS505" s="7"/>
      <c r="CT505" s="7"/>
      <c r="CU505" s="7"/>
      <c r="CV505" s="7"/>
      <c r="CW505" s="7"/>
      <c r="CX505" s="7"/>
      <c r="CY505" s="7"/>
      <c r="CZ505" s="7"/>
      <c r="DA505" s="7"/>
      <c r="DB505" s="7"/>
      <c r="DC505" s="7"/>
      <c r="DD505" s="7"/>
      <c r="DE505" s="7"/>
      <c r="DF505" s="7"/>
      <c r="DG505" s="7"/>
      <c r="DH505" s="7"/>
      <c r="DI505" s="7"/>
      <c r="DJ505" s="7"/>
      <c r="DK505" s="7"/>
      <c r="DL505" s="7"/>
      <c r="DM505" s="7"/>
      <c r="DN505" s="7"/>
      <c r="DO505" s="7"/>
      <c r="DP505" s="7"/>
      <c r="DQ505" s="7"/>
      <c r="DR505" s="7"/>
      <c r="DS505" s="7"/>
      <c r="DT505" s="7"/>
      <c r="DU505" s="7"/>
      <c r="DV505" s="7"/>
      <c r="DW505" s="7"/>
      <c r="DX505" s="7"/>
      <c r="DY505" s="7"/>
      <c r="DZ505" s="7"/>
      <c r="EA505" s="7"/>
      <c r="EB505" s="7"/>
      <c r="EC505" s="7"/>
      <c r="ED505" s="7"/>
      <c r="EE505" s="7"/>
      <c r="EF505" s="7"/>
      <c r="EG505" s="7"/>
      <c r="EH505" s="7"/>
      <c r="EI505" s="7"/>
      <c r="EJ505" s="7"/>
      <c r="EK505" s="7"/>
      <c r="EL505" s="7"/>
      <c r="EM505" s="7"/>
      <c r="EN505" s="7"/>
      <c r="EO505" s="7"/>
      <c r="EP505" s="7"/>
      <c r="EQ505" s="7"/>
      <c r="ER505" s="7"/>
      <c r="ES505" s="7"/>
      <c r="ET505" s="7"/>
      <c r="EU505" s="7"/>
      <c r="EV505" s="7"/>
      <c r="EW505" s="7"/>
      <c r="EX505" s="7"/>
      <c r="EY505" s="7"/>
      <c r="EZ505" s="7"/>
      <c r="FA505" s="7"/>
      <c r="FB505" s="7"/>
      <c r="FC505" s="7"/>
      <c r="FD505" s="7"/>
      <c r="FE505" s="7"/>
      <c r="FF505" s="7"/>
      <c r="FG505" s="7"/>
      <c r="FH505" s="7"/>
      <c r="FI505" s="7"/>
      <c r="FJ505" s="7"/>
      <c r="FK505" s="7"/>
      <c r="FL505" s="7"/>
      <c r="FM505" s="7"/>
      <c r="FN505" s="7"/>
      <c r="FO505" s="7"/>
      <c r="FP505" s="7"/>
      <c r="FQ505" s="7"/>
      <c r="FR505" s="7"/>
      <c r="FS505" s="7"/>
    </row>
    <row r="506" spans="84:175" x14ac:dyDescent="0.25">
      <c r="CF506" s="7"/>
      <c r="CG506" s="7"/>
      <c r="CH506" s="7"/>
      <c r="CI506" s="7"/>
      <c r="CJ506" s="7"/>
      <c r="CK506" s="7"/>
      <c r="CL506" s="7"/>
      <c r="CM506" s="7"/>
      <c r="CN506" s="7"/>
      <c r="CO506" s="7"/>
      <c r="CP506" s="7"/>
      <c r="CQ506" s="7"/>
      <c r="CR506" s="7"/>
      <c r="CS506" s="7"/>
      <c r="CT506" s="7"/>
      <c r="CU506" s="7"/>
      <c r="CV506" s="7"/>
      <c r="CW506" s="7"/>
      <c r="CX506" s="7"/>
      <c r="CY506" s="7"/>
      <c r="CZ506" s="7"/>
      <c r="DA506" s="7"/>
      <c r="DB506" s="7"/>
      <c r="DC506" s="7"/>
      <c r="DD506" s="7"/>
      <c r="DE506" s="7"/>
      <c r="DF506" s="7"/>
      <c r="DG506" s="7"/>
      <c r="DH506" s="7"/>
      <c r="DI506" s="7"/>
      <c r="DJ506" s="7"/>
      <c r="DK506" s="7"/>
      <c r="DL506" s="7"/>
      <c r="DM506" s="7"/>
      <c r="DN506" s="7"/>
      <c r="DO506" s="7"/>
      <c r="DP506" s="7"/>
      <c r="DQ506" s="7"/>
      <c r="DR506" s="7"/>
      <c r="DS506" s="7"/>
      <c r="DT506" s="7"/>
      <c r="DU506" s="7"/>
      <c r="DV506" s="7"/>
      <c r="DW506" s="7"/>
      <c r="DX506" s="7"/>
      <c r="DY506" s="7"/>
      <c r="DZ506" s="7"/>
      <c r="EA506" s="7"/>
      <c r="EB506" s="7"/>
      <c r="EC506" s="7"/>
      <c r="ED506" s="7"/>
      <c r="EE506" s="7"/>
      <c r="EF506" s="7"/>
      <c r="EG506" s="7"/>
      <c r="EH506" s="7"/>
      <c r="EI506" s="7"/>
      <c r="EJ506" s="7"/>
      <c r="EK506" s="7"/>
      <c r="EL506" s="7"/>
      <c r="EM506" s="7"/>
      <c r="EN506" s="7"/>
      <c r="EO506" s="7"/>
      <c r="EP506" s="7"/>
      <c r="EQ506" s="7"/>
      <c r="ER506" s="7"/>
      <c r="ES506" s="7"/>
      <c r="ET506" s="7"/>
      <c r="EU506" s="7"/>
      <c r="EV506" s="7"/>
      <c r="EW506" s="7"/>
      <c r="EX506" s="7"/>
      <c r="EY506" s="7"/>
      <c r="EZ506" s="7"/>
      <c r="FA506" s="7"/>
      <c r="FB506" s="7"/>
      <c r="FC506" s="7"/>
      <c r="FD506" s="7"/>
      <c r="FE506" s="7"/>
      <c r="FF506" s="7"/>
      <c r="FG506" s="7"/>
      <c r="FH506" s="7"/>
      <c r="FI506" s="7"/>
      <c r="FJ506" s="7"/>
      <c r="FK506" s="7"/>
      <c r="FL506" s="7"/>
      <c r="FM506" s="7"/>
      <c r="FN506" s="7"/>
      <c r="FO506" s="7"/>
      <c r="FP506" s="7"/>
      <c r="FQ506" s="7"/>
      <c r="FR506" s="7"/>
      <c r="FS506" s="7"/>
    </row>
    <row r="507" spans="84:175" x14ac:dyDescent="0.25">
      <c r="CF507" s="7"/>
      <c r="CG507" s="7"/>
      <c r="CH507" s="7"/>
      <c r="CI507" s="7"/>
      <c r="CJ507" s="7"/>
      <c r="CK507" s="7"/>
      <c r="CL507" s="7"/>
      <c r="CM507" s="7"/>
      <c r="CN507" s="7"/>
      <c r="CO507" s="7"/>
      <c r="CP507" s="7"/>
      <c r="CQ507" s="7"/>
      <c r="CR507" s="7"/>
      <c r="CS507" s="7"/>
      <c r="CT507" s="7"/>
      <c r="CU507" s="7"/>
      <c r="CV507" s="7"/>
      <c r="CW507" s="7"/>
      <c r="CX507" s="7"/>
      <c r="CY507" s="7"/>
      <c r="CZ507" s="7"/>
      <c r="DA507" s="7"/>
      <c r="DB507" s="7"/>
      <c r="DC507" s="7"/>
      <c r="DD507" s="7"/>
      <c r="DE507" s="7"/>
      <c r="DF507" s="7"/>
      <c r="DG507" s="7"/>
      <c r="DH507" s="7"/>
      <c r="DI507" s="7"/>
      <c r="DJ507" s="7"/>
      <c r="DK507" s="7"/>
      <c r="DL507" s="7"/>
      <c r="DM507" s="7"/>
      <c r="DN507" s="7"/>
      <c r="DO507" s="7"/>
      <c r="DP507" s="7"/>
      <c r="DQ507" s="7"/>
      <c r="DR507" s="7"/>
      <c r="DS507" s="7"/>
      <c r="DT507" s="7"/>
      <c r="DU507" s="7"/>
      <c r="DV507" s="7"/>
      <c r="DW507" s="7"/>
      <c r="DX507" s="7"/>
      <c r="DY507" s="7"/>
      <c r="DZ507" s="7"/>
      <c r="EA507" s="7"/>
      <c r="EB507" s="7"/>
      <c r="EC507" s="7"/>
      <c r="ED507" s="7"/>
      <c r="EE507" s="7"/>
      <c r="EF507" s="7"/>
      <c r="EG507" s="7"/>
      <c r="EH507" s="7"/>
      <c r="EI507" s="7"/>
      <c r="EJ507" s="7"/>
      <c r="EK507" s="7"/>
      <c r="EL507" s="7"/>
      <c r="EM507" s="7"/>
      <c r="EN507" s="7"/>
      <c r="EO507" s="7"/>
      <c r="EP507" s="7"/>
      <c r="EQ507" s="7"/>
      <c r="ER507" s="7"/>
      <c r="ES507" s="7"/>
      <c r="ET507" s="7"/>
      <c r="EU507" s="7"/>
      <c r="EV507" s="7"/>
      <c r="EW507" s="7"/>
      <c r="EX507" s="7"/>
      <c r="EY507" s="7"/>
      <c r="EZ507" s="7"/>
      <c r="FA507" s="7"/>
      <c r="FB507" s="7"/>
      <c r="FC507" s="7"/>
      <c r="FD507" s="7"/>
      <c r="FE507" s="7"/>
      <c r="FF507" s="7"/>
      <c r="FG507" s="7"/>
      <c r="FH507" s="7"/>
      <c r="FI507" s="7"/>
      <c r="FJ507" s="7"/>
      <c r="FK507" s="7"/>
      <c r="FL507" s="7"/>
      <c r="FM507" s="7"/>
      <c r="FN507" s="7"/>
      <c r="FO507" s="7"/>
      <c r="FP507" s="7"/>
      <c r="FQ507" s="7"/>
      <c r="FR507" s="7"/>
      <c r="FS507" s="7"/>
    </row>
    <row r="508" spans="84:175" x14ac:dyDescent="0.25">
      <c r="CF508" s="7"/>
      <c r="CG508" s="7"/>
      <c r="CH508" s="7"/>
      <c r="CI508" s="7"/>
      <c r="CJ508" s="7"/>
      <c r="CK508" s="7"/>
      <c r="CL508" s="7"/>
      <c r="CM508" s="7"/>
      <c r="CN508" s="7"/>
      <c r="CO508" s="7"/>
      <c r="CP508" s="7"/>
      <c r="CQ508" s="7"/>
      <c r="CR508" s="7"/>
      <c r="CS508" s="7"/>
      <c r="CT508" s="7"/>
      <c r="CU508" s="7"/>
      <c r="CV508" s="7"/>
      <c r="CW508" s="7"/>
      <c r="CX508" s="7"/>
      <c r="CY508" s="7"/>
      <c r="CZ508" s="7"/>
      <c r="DA508" s="7"/>
      <c r="DB508" s="7"/>
      <c r="DC508" s="7"/>
      <c r="DD508" s="7"/>
      <c r="DE508" s="7"/>
      <c r="DF508" s="7"/>
      <c r="DG508" s="7"/>
      <c r="DH508" s="7"/>
      <c r="DI508" s="7"/>
      <c r="DJ508" s="7"/>
      <c r="DK508" s="7"/>
      <c r="DL508" s="7"/>
      <c r="DM508" s="7"/>
      <c r="DN508" s="7"/>
      <c r="DO508" s="7"/>
      <c r="DP508" s="7"/>
      <c r="DQ508" s="7"/>
      <c r="DR508" s="7"/>
      <c r="DS508" s="7"/>
      <c r="DT508" s="7"/>
      <c r="DU508" s="7"/>
      <c r="DV508" s="7"/>
      <c r="DW508" s="7"/>
      <c r="DX508" s="7"/>
      <c r="DY508" s="7"/>
      <c r="DZ508" s="7"/>
      <c r="EA508" s="7"/>
      <c r="EB508" s="7"/>
      <c r="EC508" s="7"/>
      <c r="ED508" s="7"/>
      <c r="EE508" s="7"/>
      <c r="EF508" s="7"/>
      <c r="EG508" s="7"/>
      <c r="EH508" s="7"/>
      <c r="EI508" s="7"/>
      <c r="EJ508" s="7"/>
      <c r="EK508" s="7"/>
      <c r="EL508" s="7"/>
      <c r="EM508" s="7"/>
      <c r="EN508" s="7"/>
      <c r="EO508" s="7"/>
      <c r="EP508" s="7"/>
      <c r="EQ508" s="7"/>
      <c r="ER508" s="7"/>
      <c r="ES508" s="7"/>
      <c r="ET508" s="7"/>
      <c r="EU508" s="7"/>
      <c r="EV508" s="7"/>
      <c r="EW508" s="7"/>
      <c r="EX508" s="7"/>
      <c r="EY508" s="7"/>
      <c r="EZ508" s="7"/>
      <c r="FA508" s="7"/>
      <c r="FB508" s="7"/>
      <c r="FC508" s="7"/>
      <c r="FD508" s="7"/>
      <c r="FE508" s="7"/>
      <c r="FF508" s="7"/>
      <c r="FG508" s="7"/>
      <c r="FH508" s="7"/>
      <c r="FI508" s="7"/>
      <c r="FJ508" s="7"/>
      <c r="FK508" s="7"/>
      <c r="FL508" s="7"/>
      <c r="FM508" s="7"/>
      <c r="FN508" s="7"/>
      <c r="FO508" s="7"/>
      <c r="FP508" s="7"/>
      <c r="FQ508" s="7"/>
      <c r="FR508" s="7"/>
      <c r="FS508" s="7"/>
    </row>
    <row r="509" spans="84:175" x14ac:dyDescent="0.25">
      <c r="CF509" s="7"/>
      <c r="CG509" s="7"/>
      <c r="CH509" s="7"/>
      <c r="CI509" s="7"/>
      <c r="CJ509" s="7"/>
      <c r="CK509" s="7"/>
      <c r="CL509" s="7"/>
      <c r="CM509" s="7"/>
      <c r="CN509" s="7"/>
      <c r="CO509" s="7"/>
      <c r="CP509" s="7"/>
      <c r="CQ509" s="7"/>
      <c r="CR509" s="7"/>
      <c r="CS509" s="7"/>
      <c r="CT509" s="7"/>
      <c r="CU509" s="7"/>
      <c r="CV509" s="7"/>
      <c r="CW509" s="7"/>
      <c r="CX509" s="7"/>
      <c r="CY509" s="7"/>
      <c r="CZ509" s="7"/>
      <c r="DA509" s="7"/>
      <c r="DB509" s="7"/>
      <c r="DC509" s="7"/>
      <c r="DD509" s="7"/>
      <c r="DE509" s="7"/>
      <c r="DF509" s="7"/>
      <c r="DG509" s="7"/>
      <c r="DH509" s="7"/>
      <c r="DI509" s="7"/>
      <c r="DJ509" s="7"/>
      <c r="DK509" s="7"/>
      <c r="DL509" s="7"/>
      <c r="DM509" s="7"/>
      <c r="DN509" s="7"/>
      <c r="DO509" s="7"/>
      <c r="DP509" s="7"/>
      <c r="DQ509" s="7"/>
      <c r="DR509" s="7"/>
      <c r="DS509" s="7"/>
      <c r="DT509" s="7"/>
      <c r="DU509" s="7"/>
      <c r="DV509" s="7"/>
      <c r="DW509" s="7"/>
      <c r="DX509" s="7"/>
      <c r="DY509" s="7"/>
      <c r="DZ509" s="7"/>
      <c r="EA509" s="7"/>
      <c r="EB509" s="7"/>
      <c r="EC509" s="7"/>
      <c r="ED509" s="7"/>
      <c r="EE509" s="7"/>
      <c r="EF509" s="7"/>
      <c r="EG509" s="7"/>
      <c r="EH509" s="7"/>
      <c r="EI509" s="7"/>
      <c r="EJ509" s="7"/>
      <c r="EK509" s="7"/>
      <c r="EL509" s="7"/>
      <c r="EM509" s="7"/>
      <c r="EN509" s="7"/>
      <c r="EO509" s="7"/>
      <c r="EP509" s="7"/>
      <c r="EQ509" s="7"/>
      <c r="ER509" s="7"/>
      <c r="ES509" s="7"/>
      <c r="ET509" s="7"/>
      <c r="EU509" s="7"/>
      <c r="EV509" s="7"/>
      <c r="EW509" s="7"/>
      <c r="EX509" s="7"/>
      <c r="EY509" s="7"/>
      <c r="EZ509" s="7"/>
      <c r="FA509" s="7"/>
      <c r="FB509" s="7"/>
      <c r="FC509" s="7"/>
      <c r="FD509" s="7"/>
      <c r="FE509" s="7"/>
      <c r="FF509" s="7"/>
      <c r="FG509" s="7"/>
      <c r="FH509" s="7"/>
      <c r="FI509" s="7"/>
      <c r="FJ509" s="7"/>
      <c r="FK509" s="7"/>
      <c r="FL509" s="7"/>
      <c r="FM509" s="7"/>
      <c r="FN509" s="7"/>
      <c r="FO509" s="7"/>
      <c r="FP509" s="7"/>
      <c r="FQ509" s="7"/>
      <c r="FR509" s="7"/>
      <c r="FS509" s="7"/>
    </row>
    <row r="510" spans="84:175" x14ac:dyDescent="0.25">
      <c r="CF510" s="7"/>
      <c r="CG510" s="7"/>
      <c r="CH510" s="7"/>
      <c r="CI510" s="7"/>
      <c r="CJ510" s="7"/>
      <c r="CK510" s="7"/>
      <c r="CL510" s="7"/>
      <c r="CM510" s="7"/>
      <c r="CN510" s="7"/>
      <c r="CO510" s="7"/>
      <c r="CP510" s="7"/>
      <c r="CQ510" s="7"/>
      <c r="CR510" s="7"/>
      <c r="CS510" s="7"/>
      <c r="CT510" s="7"/>
      <c r="CU510" s="7"/>
      <c r="CV510" s="7"/>
      <c r="CW510" s="7"/>
      <c r="CX510" s="7"/>
      <c r="CY510" s="7"/>
      <c r="CZ510" s="7"/>
      <c r="DA510" s="7"/>
      <c r="DB510" s="7"/>
      <c r="DC510" s="7"/>
      <c r="DD510" s="7"/>
      <c r="DE510" s="7"/>
      <c r="DF510" s="7"/>
      <c r="DG510" s="7"/>
      <c r="DH510" s="7"/>
      <c r="DI510" s="7"/>
      <c r="DJ510" s="7"/>
      <c r="DK510" s="7"/>
      <c r="DL510" s="7"/>
      <c r="DM510" s="7"/>
      <c r="DN510" s="7"/>
      <c r="DO510" s="7"/>
      <c r="DP510" s="7"/>
      <c r="DQ510" s="7"/>
      <c r="DR510" s="7"/>
      <c r="DS510" s="7"/>
      <c r="DT510" s="7"/>
      <c r="DU510" s="7"/>
      <c r="DV510" s="7"/>
      <c r="DW510" s="7"/>
      <c r="DX510" s="7"/>
      <c r="DY510" s="7"/>
      <c r="DZ510" s="7"/>
      <c r="EA510" s="7"/>
      <c r="EB510" s="7"/>
      <c r="EC510" s="7"/>
      <c r="ED510" s="7"/>
      <c r="EE510" s="7"/>
      <c r="EF510" s="7"/>
      <c r="EG510" s="7"/>
      <c r="EH510" s="7"/>
      <c r="EI510" s="7"/>
      <c r="EJ510" s="7"/>
      <c r="EK510" s="7"/>
      <c r="EL510" s="7"/>
      <c r="EM510" s="7"/>
      <c r="EN510" s="7"/>
      <c r="EO510" s="7"/>
      <c r="EP510" s="7"/>
      <c r="EQ510" s="7"/>
      <c r="ER510" s="7"/>
      <c r="ES510" s="7"/>
      <c r="ET510" s="7"/>
      <c r="EU510" s="7"/>
      <c r="EV510" s="7"/>
      <c r="EW510" s="7"/>
      <c r="EX510" s="7"/>
      <c r="EY510" s="7"/>
      <c r="EZ510" s="7"/>
      <c r="FA510" s="7"/>
      <c r="FB510" s="7"/>
      <c r="FC510" s="7"/>
      <c r="FD510" s="7"/>
      <c r="FE510" s="7"/>
      <c r="FF510" s="7"/>
      <c r="FG510" s="7"/>
      <c r="FH510" s="7"/>
      <c r="FI510" s="7"/>
      <c r="FJ510" s="7"/>
      <c r="FK510" s="7"/>
      <c r="FL510" s="7"/>
      <c r="FM510" s="7"/>
      <c r="FN510" s="7"/>
      <c r="FO510" s="7"/>
      <c r="FP510" s="7"/>
      <c r="FQ510" s="7"/>
      <c r="FR510" s="7"/>
      <c r="FS510" s="7"/>
    </row>
    <row r="511" spans="84:175" x14ac:dyDescent="0.25">
      <c r="CF511" s="7"/>
      <c r="CG511" s="7"/>
      <c r="CH511" s="7"/>
      <c r="CI511" s="7"/>
      <c r="CJ511" s="7"/>
      <c r="CK511" s="7"/>
      <c r="CL511" s="7"/>
      <c r="CM511" s="7"/>
      <c r="CN511" s="7"/>
      <c r="CO511" s="7"/>
      <c r="CP511" s="7"/>
      <c r="CQ511" s="7"/>
      <c r="CR511" s="7"/>
      <c r="CS511" s="7"/>
      <c r="CT511" s="7"/>
      <c r="CU511" s="7"/>
      <c r="CV511" s="7"/>
      <c r="CW511" s="7"/>
      <c r="CX511" s="7"/>
      <c r="CY511" s="7"/>
      <c r="CZ511" s="7"/>
      <c r="DA511" s="7"/>
      <c r="DB511" s="7"/>
      <c r="DC511" s="7"/>
      <c r="DD511" s="7"/>
      <c r="DE511" s="7"/>
      <c r="DF511" s="7"/>
      <c r="DG511" s="7"/>
      <c r="DH511" s="7"/>
      <c r="DI511" s="7"/>
      <c r="DJ511" s="7"/>
      <c r="DK511" s="7"/>
      <c r="DL511" s="7"/>
      <c r="DM511" s="7"/>
      <c r="DN511" s="7"/>
      <c r="DO511" s="7"/>
      <c r="DP511" s="7"/>
      <c r="DQ511" s="7"/>
      <c r="DR511" s="7"/>
      <c r="DS511" s="7"/>
      <c r="DT511" s="7"/>
      <c r="DU511" s="7"/>
      <c r="DV511" s="7"/>
      <c r="DW511" s="7"/>
      <c r="DX511" s="7"/>
      <c r="DY511" s="7"/>
      <c r="DZ511" s="7"/>
      <c r="EA511" s="7"/>
      <c r="EB511" s="7"/>
      <c r="EC511" s="7"/>
      <c r="ED511" s="7"/>
      <c r="EE511" s="7"/>
      <c r="EF511" s="7"/>
      <c r="EG511" s="7"/>
      <c r="EH511" s="7"/>
      <c r="EI511" s="7"/>
      <c r="EJ511" s="7"/>
      <c r="EK511" s="7"/>
      <c r="EL511" s="7"/>
      <c r="EM511" s="7"/>
      <c r="EN511" s="7"/>
      <c r="EO511" s="7"/>
      <c r="EP511" s="7"/>
      <c r="EQ511" s="7"/>
      <c r="ER511" s="7"/>
      <c r="ES511" s="7"/>
      <c r="ET511" s="7"/>
      <c r="EU511" s="7"/>
      <c r="EV511" s="7"/>
      <c r="EW511" s="7"/>
      <c r="EX511" s="7"/>
      <c r="EY511" s="7"/>
      <c r="EZ511" s="7"/>
      <c r="FA511" s="7"/>
      <c r="FB511" s="7"/>
      <c r="FC511" s="7"/>
      <c r="FD511" s="7"/>
      <c r="FE511" s="7"/>
      <c r="FF511" s="7"/>
      <c r="FG511" s="7"/>
      <c r="FH511" s="7"/>
      <c r="FI511" s="7"/>
      <c r="FJ511" s="7"/>
      <c r="FK511" s="7"/>
      <c r="FL511" s="7"/>
      <c r="FM511" s="7"/>
      <c r="FN511" s="7"/>
      <c r="FO511" s="7"/>
      <c r="FP511" s="7"/>
      <c r="FQ511" s="7"/>
      <c r="FR511" s="7"/>
      <c r="FS511" s="7"/>
    </row>
    <row r="512" spans="84:175" x14ac:dyDescent="0.25">
      <c r="CF512" s="7"/>
      <c r="CG512" s="7"/>
      <c r="CH512" s="7"/>
      <c r="CI512" s="7"/>
      <c r="CJ512" s="7"/>
      <c r="CK512" s="7"/>
      <c r="CL512" s="7"/>
      <c r="CM512" s="7"/>
      <c r="CN512" s="7"/>
      <c r="CO512" s="7"/>
      <c r="CP512" s="7"/>
      <c r="CQ512" s="7"/>
      <c r="CR512" s="7"/>
      <c r="CS512" s="7"/>
      <c r="CT512" s="7"/>
      <c r="CU512" s="7"/>
      <c r="CV512" s="7"/>
      <c r="CW512" s="7"/>
      <c r="CX512" s="7"/>
      <c r="CY512" s="7"/>
      <c r="CZ512" s="7"/>
      <c r="DA512" s="7"/>
      <c r="DB512" s="7"/>
      <c r="DC512" s="7"/>
      <c r="DD512" s="7"/>
      <c r="DE512" s="7"/>
      <c r="DF512" s="7"/>
      <c r="DG512" s="7"/>
      <c r="DH512" s="7"/>
      <c r="DI512" s="7"/>
      <c r="DJ512" s="7"/>
      <c r="DK512" s="7"/>
      <c r="DL512" s="7"/>
      <c r="DM512" s="7"/>
      <c r="DN512" s="7"/>
      <c r="DO512" s="7"/>
      <c r="DP512" s="7"/>
      <c r="DQ512" s="7"/>
      <c r="DR512" s="7"/>
      <c r="DS512" s="7"/>
      <c r="DT512" s="7"/>
      <c r="DU512" s="7"/>
      <c r="DV512" s="7"/>
      <c r="DW512" s="7"/>
      <c r="DX512" s="7"/>
      <c r="DY512" s="7"/>
      <c r="DZ512" s="7"/>
      <c r="EA512" s="7"/>
      <c r="EB512" s="7"/>
      <c r="EC512" s="7"/>
      <c r="ED512" s="7"/>
      <c r="EE512" s="7"/>
      <c r="EF512" s="7"/>
      <c r="EG512" s="7"/>
      <c r="EH512" s="7"/>
      <c r="EI512" s="7"/>
      <c r="EJ512" s="7"/>
      <c r="EK512" s="7"/>
      <c r="EL512" s="7"/>
      <c r="EM512" s="7"/>
      <c r="EN512" s="7"/>
      <c r="EO512" s="7"/>
      <c r="EP512" s="7"/>
      <c r="EQ512" s="7"/>
      <c r="ER512" s="7"/>
      <c r="ES512" s="7"/>
      <c r="ET512" s="7"/>
      <c r="EU512" s="7"/>
      <c r="EV512" s="7"/>
      <c r="EW512" s="7"/>
      <c r="EX512" s="7"/>
      <c r="EY512" s="7"/>
      <c r="EZ512" s="7"/>
      <c r="FA512" s="7"/>
      <c r="FB512" s="7"/>
      <c r="FC512" s="7"/>
      <c r="FD512" s="7"/>
      <c r="FE512" s="7"/>
      <c r="FF512" s="7"/>
      <c r="FG512" s="7"/>
      <c r="FH512" s="7"/>
      <c r="FI512" s="7"/>
      <c r="FJ512" s="7"/>
      <c r="FK512" s="7"/>
      <c r="FL512" s="7"/>
      <c r="FM512" s="7"/>
      <c r="FN512" s="7"/>
      <c r="FO512" s="7"/>
      <c r="FP512" s="7"/>
      <c r="FQ512" s="7"/>
      <c r="FR512" s="7"/>
      <c r="FS512" s="7"/>
    </row>
    <row r="513" spans="84:175" x14ac:dyDescent="0.25">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c r="DI513" s="7"/>
      <c r="DJ513" s="7"/>
      <c r="DK513" s="7"/>
      <c r="DL513" s="7"/>
      <c r="DM513" s="7"/>
      <c r="DN513" s="7"/>
      <c r="DO513" s="7"/>
      <c r="DP513" s="7"/>
      <c r="DQ513" s="7"/>
      <c r="DR513" s="7"/>
      <c r="DS513" s="7"/>
      <c r="DT513" s="7"/>
      <c r="DU513" s="7"/>
      <c r="DV513" s="7"/>
      <c r="DW513" s="7"/>
      <c r="DX513" s="7"/>
      <c r="DY513" s="7"/>
      <c r="DZ513" s="7"/>
      <c r="EA513" s="7"/>
      <c r="EB513" s="7"/>
      <c r="EC513" s="7"/>
      <c r="ED513" s="7"/>
      <c r="EE513" s="7"/>
      <c r="EF513" s="7"/>
      <c r="EG513" s="7"/>
      <c r="EH513" s="7"/>
      <c r="EI513" s="7"/>
      <c r="EJ513" s="7"/>
      <c r="EK513" s="7"/>
      <c r="EL513" s="7"/>
      <c r="EM513" s="7"/>
      <c r="EN513" s="7"/>
      <c r="EO513" s="7"/>
      <c r="EP513" s="7"/>
      <c r="EQ513" s="7"/>
      <c r="ER513" s="7"/>
      <c r="ES513" s="7"/>
      <c r="ET513" s="7"/>
      <c r="EU513" s="7"/>
      <c r="EV513" s="7"/>
      <c r="EW513" s="7"/>
      <c r="EX513" s="7"/>
      <c r="EY513" s="7"/>
      <c r="EZ513" s="7"/>
      <c r="FA513" s="7"/>
      <c r="FB513" s="7"/>
      <c r="FC513" s="7"/>
      <c r="FD513" s="7"/>
      <c r="FE513" s="7"/>
      <c r="FF513" s="7"/>
      <c r="FG513" s="7"/>
      <c r="FH513" s="7"/>
      <c r="FI513" s="7"/>
      <c r="FJ513" s="7"/>
      <c r="FK513" s="7"/>
      <c r="FL513" s="7"/>
      <c r="FM513" s="7"/>
      <c r="FN513" s="7"/>
      <c r="FO513" s="7"/>
      <c r="FP513" s="7"/>
      <c r="FQ513" s="7"/>
      <c r="FR513" s="7"/>
      <c r="FS513" s="7"/>
    </row>
    <row r="514" spans="84:175" x14ac:dyDescent="0.25">
      <c r="CF514" s="7"/>
      <c r="CG514" s="7"/>
      <c r="CH514" s="7"/>
      <c r="CI514" s="7"/>
      <c r="CJ514" s="7"/>
      <c r="CK514" s="7"/>
      <c r="CL514" s="7"/>
      <c r="CM514" s="7"/>
      <c r="CN514" s="7"/>
      <c r="CO514" s="7"/>
      <c r="CP514" s="7"/>
      <c r="CQ514" s="7"/>
      <c r="CR514" s="7"/>
      <c r="CS514" s="7"/>
      <c r="CT514" s="7"/>
      <c r="CU514" s="7"/>
      <c r="CV514" s="7"/>
      <c r="CW514" s="7"/>
      <c r="CX514" s="7"/>
      <c r="CY514" s="7"/>
      <c r="CZ514" s="7"/>
      <c r="DA514" s="7"/>
      <c r="DB514" s="7"/>
      <c r="DC514" s="7"/>
      <c r="DD514" s="7"/>
      <c r="DE514" s="7"/>
      <c r="DF514" s="7"/>
      <c r="DG514" s="7"/>
      <c r="DH514" s="7"/>
      <c r="DI514" s="7"/>
      <c r="DJ514" s="7"/>
      <c r="DK514" s="7"/>
      <c r="DL514" s="7"/>
      <c r="DM514" s="7"/>
      <c r="DN514" s="7"/>
      <c r="DO514" s="7"/>
      <c r="DP514" s="7"/>
      <c r="DQ514" s="7"/>
      <c r="DR514" s="7"/>
      <c r="DS514" s="7"/>
      <c r="DT514" s="7"/>
      <c r="DU514" s="7"/>
      <c r="DV514" s="7"/>
      <c r="DW514" s="7"/>
      <c r="DX514" s="7"/>
      <c r="DY514" s="7"/>
      <c r="DZ514" s="7"/>
      <c r="EA514" s="7"/>
      <c r="EB514" s="7"/>
      <c r="EC514" s="7"/>
      <c r="ED514" s="7"/>
      <c r="EE514" s="7"/>
      <c r="EF514" s="7"/>
      <c r="EG514" s="7"/>
      <c r="EH514" s="7"/>
      <c r="EI514" s="7"/>
      <c r="EJ514" s="7"/>
      <c r="EK514" s="7"/>
      <c r="EL514" s="7"/>
      <c r="EM514" s="7"/>
      <c r="EN514" s="7"/>
      <c r="EO514" s="7"/>
      <c r="EP514" s="7"/>
      <c r="EQ514" s="7"/>
      <c r="ER514" s="7"/>
      <c r="ES514" s="7"/>
      <c r="ET514" s="7"/>
      <c r="EU514" s="7"/>
      <c r="EV514" s="7"/>
      <c r="EW514" s="7"/>
      <c r="EX514" s="7"/>
      <c r="EY514" s="7"/>
      <c r="EZ514" s="7"/>
      <c r="FA514" s="7"/>
      <c r="FB514" s="7"/>
      <c r="FC514" s="7"/>
      <c r="FD514" s="7"/>
      <c r="FE514" s="7"/>
      <c r="FF514" s="7"/>
      <c r="FG514" s="7"/>
      <c r="FH514" s="7"/>
      <c r="FI514" s="7"/>
      <c r="FJ514" s="7"/>
      <c r="FK514" s="7"/>
      <c r="FL514" s="7"/>
      <c r="FM514" s="7"/>
      <c r="FN514" s="7"/>
      <c r="FO514" s="7"/>
      <c r="FP514" s="7"/>
      <c r="FQ514" s="7"/>
      <c r="FR514" s="7"/>
      <c r="FS514" s="7"/>
    </row>
    <row r="515" spans="84:175" x14ac:dyDescent="0.25">
      <c r="CF515" s="7"/>
      <c r="CG515" s="7"/>
      <c r="CH515" s="7"/>
      <c r="CI515" s="7"/>
      <c r="CJ515" s="7"/>
      <c r="CK515" s="7"/>
      <c r="CL515" s="7"/>
      <c r="CM515" s="7"/>
      <c r="CN515" s="7"/>
      <c r="CO515" s="7"/>
      <c r="CP515" s="7"/>
      <c r="CQ515" s="7"/>
      <c r="CR515" s="7"/>
      <c r="CS515" s="7"/>
      <c r="CT515" s="7"/>
      <c r="CU515" s="7"/>
      <c r="CV515" s="7"/>
      <c r="CW515" s="7"/>
      <c r="CX515" s="7"/>
      <c r="CY515" s="7"/>
      <c r="CZ515" s="7"/>
      <c r="DA515" s="7"/>
      <c r="DB515" s="7"/>
      <c r="DC515" s="7"/>
      <c r="DD515" s="7"/>
      <c r="DE515" s="7"/>
      <c r="DF515" s="7"/>
      <c r="DG515" s="7"/>
      <c r="DH515" s="7"/>
      <c r="DI515" s="7"/>
      <c r="DJ515" s="7"/>
      <c r="DK515" s="7"/>
      <c r="DL515" s="7"/>
      <c r="DM515" s="7"/>
      <c r="DN515" s="7"/>
      <c r="DO515" s="7"/>
      <c r="DP515" s="7"/>
      <c r="DQ515" s="7"/>
      <c r="DR515" s="7"/>
      <c r="DS515" s="7"/>
      <c r="DT515" s="7"/>
      <c r="DU515" s="7"/>
      <c r="DV515" s="7"/>
      <c r="DW515" s="7"/>
      <c r="DX515" s="7"/>
      <c r="DY515" s="7"/>
      <c r="DZ515" s="7"/>
      <c r="EA515" s="7"/>
      <c r="EB515" s="7"/>
      <c r="EC515" s="7"/>
      <c r="ED515" s="7"/>
      <c r="EE515" s="7"/>
      <c r="EF515" s="7"/>
      <c r="EG515" s="7"/>
      <c r="EH515" s="7"/>
      <c r="EI515" s="7"/>
      <c r="EJ515" s="7"/>
      <c r="EK515" s="7"/>
      <c r="EL515" s="7"/>
      <c r="EM515" s="7"/>
      <c r="EN515" s="7"/>
      <c r="EO515" s="7"/>
      <c r="EP515" s="7"/>
      <c r="EQ515" s="7"/>
      <c r="ER515" s="7"/>
      <c r="ES515" s="7"/>
      <c r="ET515" s="7"/>
      <c r="EU515" s="7"/>
      <c r="EV515" s="7"/>
      <c r="EW515" s="7"/>
      <c r="EX515" s="7"/>
      <c r="EY515" s="7"/>
      <c r="EZ515" s="7"/>
      <c r="FA515" s="7"/>
      <c r="FB515" s="7"/>
      <c r="FC515" s="7"/>
      <c r="FD515" s="7"/>
      <c r="FE515" s="7"/>
      <c r="FF515" s="7"/>
      <c r="FG515" s="7"/>
      <c r="FH515" s="7"/>
      <c r="FI515" s="7"/>
      <c r="FJ515" s="7"/>
      <c r="FK515" s="7"/>
      <c r="FL515" s="7"/>
      <c r="FM515" s="7"/>
      <c r="FN515" s="7"/>
      <c r="FO515" s="7"/>
      <c r="FP515" s="7"/>
      <c r="FQ515" s="7"/>
      <c r="FR515" s="7"/>
      <c r="FS515" s="7"/>
    </row>
    <row r="516" spans="84:175" x14ac:dyDescent="0.25">
      <c r="CF516" s="7"/>
      <c r="CG516" s="7"/>
      <c r="CH516" s="7"/>
      <c r="CI516" s="7"/>
      <c r="CJ516" s="7"/>
      <c r="CK516" s="7"/>
      <c r="CL516" s="7"/>
      <c r="CM516" s="7"/>
      <c r="CN516" s="7"/>
      <c r="CO516" s="7"/>
      <c r="CP516" s="7"/>
      <c r="CQ516" s="7"/>
      <c r="CR516" s="7"/>
      <c r="CS516" s="7"/>
      <c r="CT516" s="7"/>
      <c r="CU516" s="7"/>
      <c r="CV516" s="7"/>
      <c r="CW516" s="7"/>
      <c r="CX516" s="7"/>
      <c r="CY516" s="7"/>
      <c r="CZ516" s="7"/>
      <c r="DA516" s="7"/>
      <c r="DB516" s="7"/>
      <c r="DC516" s="7"/>
      <c r="DD516" s="7"/>
      <c r="DE516" s="7"/>
      <c r="DF516" s="7"/>
      <c r="DG516" s="7"/>
      <c r="DH516" s="7"/>
      <c r="DI516" s="7"/>
      <c r="DJ516" s="7"/>
      <c r="DK516" s="7"/>
      <c r="DL516" s="7"/>
      <c r="DM516" s="7"/>
      <c r="DN516" s="7"/>
      <c r="DO516" s="7"/>
      <c r="DP516" s="7"/>
      <c r="DQ516" s="7"/>
      <c r="DR516" s="7"/>
      <c r="DS516" s="7"/>
      <c r="DT516" s="7"/>
      <c r="DU516" s="7"/>
      <c r="DV516" s="7"/>
      <c r="DW516" s="7"/>
      <c r="DX516" s="7"/>
      <c r="DY516" s="7"/>
      <c r="DZ516" s="7"/>
      <c r="EA516" s="7"/>
      <c r="EB516" s="7"/>
      <c r="EC516" s="7"/>
      <c r="ED516" s="7"/>
      <c r="EE516" s="7"/>
      <c r="EF516" s="7"/>
      <c r="EG516" s="7"/>
      <c r="EH516" s="7"/>
      <c r="EI516" s="7"/>
      <c r="EJ516" s="7"/>
      <c r="EK516" s="7"/>
      <c r="EL516" s="7"/>
      <c r="EM516" s="7"/>
      <c r="EN516" s="7"/>
      <c r="EO516" s="7"/>
      <c r="EP516" s="7"/>
      <c r="EQ516" s="7"/>
      <c r="ER516" s="7"/>
      <c r="ES516" s="7"/>
      <c r="ET516" s="7"/>
      <c r="EU516" s="7"/>
      <c r="EV516" s="7"/>
      <c r="EW516" s="7"/>
      <c r="EX516" s="7"/>
      <c r="EY516" s="7"/>
      <c r="EZ516" s="7"/>
      <c r="FA516" s="7"/>
      <c r="FB516" s="7"/>
      <c r="FC516" s="7"/>
      <c r="FD516" s="7"/>
      <c r="FE516" s="7"/>
      <c r="FF516" s="7"/>
      <c r="FG516" s="7"/>
      <c r="FH516" s="7"/>
      <c r="FI516" s="7"/>
      <c r="FJ516" s="7"/>
      <c r="FK516" s="7"/>
      <c r="FL516" s="7"/>
      <c r="FM516" s="7"/>
      <c r="FN516" s="7"/>
      <c r="FO516" s="7"/>
      <c r="FP516" s="7"/>
      <c r="FQ516" s="7"/>
      <c r="FR516" s="7"/>
      <c r="FS516" s="7"/>
    </row>
    <row r="517" spans="84:175" x14ac:dyDescent="0.25">
      <c r="CF517" s="7"/>
      <c r="CG517" s="7"/>
      <c r="CH517" s="7"/>
      <c r="CI517" s="7"/>
      <c r="CJ517" s="7"/>
      <c r="CK517" s="7"/>
      <c r="CL517" s="7"/>
      <c r="CM517" s="7"/>
      <c r="CN517" s="7"/>
      <c r="CO517" s="7"/>
      <c r="CP517" s="7"/>
      <c r="CQ517" s="7"/>
      <c r="CR517" s="7"/>
      <c r="CS517" s="7"/>
      <c r="CT517" s="7"/>
      <c r="CU517" s="7"/>
      <c r="CV517" s="7"/>
      <c r="CW517" s="7"/>
      <c r="CX517" s="7"/>
      <c r="CY517" s="7"/>
      <c r="CZ517" s="7"/>
      <c r="DA517" s="7"/>
      <c r="DB517" s="7"/>
      <c r="DC517" s="7"/>
      <c r="DD517" s="7"/>
      <c r="DE517" s="7"/>
      <c r="DF517" s="7"/>
      <c r="DG517" s="7"/>
      <c r="DH517" s="7"/>
      <c r="DI517" s="7"/>
      <c r="DJ517" s="7"/>
      <c r="DK517" s="7"/>
      <c r="DL517" s="7"/>
      <c r="DM517" s="7"/>
      <c r="DN517" s="7"/>
      <c r="DO517" s="7"/>
      <c r="DP517" s="7"/>
      <c r="DQ517" s="7"/>
      <c r="DR517" s="7"/>
      <c r="DS517" s="7"/>
      <c r="DT517" s="7"/>
      <c r="DU517" s="7"/>
      <c r="DV517" s="7"/>
      <c r="DW517" s="7"/>
      <c r="DX517" s="7"/>
      <c r="DY517" s="7"/>
      <c r="DZ517" s="7"/>
      <c r="EA517" s="7"/>
      <c r="EB517" s="7"/>
      <c r="EC517" s="7"/>
      <c r="ED517" s="7"/>
      <c r="EE517" s="7"/>
      <c r="EF517" s="7"/>
      <c r="EG517" s="7"/>
      <c r="EH517" s="7"/>
      <c r="EI517" s="7"/>
      <c r="EJ517" s="7"/>
      <c r="EK517" s="7"/>
      <c r="EL517" s="7"/>
      <c r="EM517" s="7"/>
      <c r="EN517" s="7"/>
      <c r="EO517" s="7"/>
      <c r="EP517" s="7"/>
      <c r="EQ517" s="7"/>
      <c r="ER517" s="7"/>
      <c r="ES517" s="7"/>
      <c r="ET517" s="7"/>
      <c r="EU517" s="7"/>
      <c r="EV517" s="7"/>
      <c r="EW517" s="7"/>
      <c r="EX517" s="7"/>
      <c r="EY517" s="7"/>
      <c r="EZ517" s="7"/>
      <c r="FA517" s="7"/>
      <c r="FB517" s="7"/>
      <c r="FC517" s="7"/>
      <c r="FD517" s="7"/>
      <c r="FE517" s="7"/>
      <c r="FF517" s="7"/>
      <c r="FG517" s="7"/>
      <c r="FH517" s="7"/>
      <c r="FI517" s="7"/>
      <c r="FJ517" s="7"/>
      <c r="FK517" s="7"/>
      <c r="FL517" s="7"/>
      <c r="FM517" s="7"/>
      <c r="FN517" s="7"/>
      <c r="FO517" s="7"/>
      <c r="FP517" s="7"/>
      <c r="FQ517" s="7"/>
      <c r="FR517" s="7"/>
      <c r="FS517" s="7"/>
    </row>
    <row r="518" spans="84:175" x14ac:dyDescent="0.25">
      <c r="CF518" s="7"/>
      <c r="CG518" s="7"/>
      <c r="CH518" s="7"/>
      <c r="CI518" s="7"/>
      <c r="CJ518" s="7"/>
      <c r="CK518" s="7"/>
      <c r="CL518" s="7"/>
      <c r="CM518" s="7"/>
      <c r="CN518" s="7"/>
      <c r="CO518" s="7"/>
      <c r="CP518" s="7"/>
      <c r="CQ518" s="7"/>
      <c r="CR518" s="7"/>
      <c r="CS518" s="7"/>
      <c r="CT518" s="7"/>
      <c r="CU518" s="7"/>
      <c r="CV518" s="7"/>
      <c r="CW518" s="7"/>
      <c r="CX518" s="7"/>
      <c r="CY518" s="7"/>
      <c r="CZ518" s="7"/>
      <c r="DA518" s="7"/>
      <c r="DB518" s="7"/>
      <c r="DC518" s="7"/>
      <c r="DD518" s="7"/>
      <c r="DE518" s="7"/>
      <c r="DF518" s="7"/>
      <c r="DG518" s="7"/>
      <c r="DH518" s="7"/>
      <c r="DI518" s="7"/>
      <c r="DJ518" s="7"/>
      <c r="DK518" s="7"/>
      <c r="DL518" s="7"/>
      <c r="DM518" s="7"/>
      <c r="DN518" s="7"/>
      <c r="DO518" s="7"/>
      <c r="DP518" s="7"/>
      <c r="DQ518" s="7"/>
      <c r="DR518" s="7"/>
      <c r="DS518" s="7"/>
      <c r="DT518" s="7"/>
      <c r="DU518" s="7"/>
      <c r="DV518" s="7"/>
      <c r="DW518" s="7"/>
      <c r="DX518" s="7"/>
      <c r="DY518" s="7"/>
      <c r="DZ518" s="7"/>
      <c r="EA518" s="7"/>
      <c r="EB518" s="7"/>
      <c r="EC518" s="7"/>
      <c r="ED518" s="7"/>
      <c r="EE518" s="7"/>
      <c r="EF518" s="7"/>
      <c r="EG518" s="7"/>
      <c r="EH518" s="7"/>
      <c r="EI518" s="7"/>
      <c r="EJ518" s="7"/>
      <c r="EK518" s="7"/>
      <c r="EL518" s="7"/>
      <c r="EM518" s="7"/>
      <c r="EN518" s="7"/>
      <c r="EO518" s="7"/>
      <c r="EP518" s="7"/>
      <c r="EQ518" s="7"/>
      <c r="ER518" s="7"/>
      <c r="ES518" s="7"/>
      <c r="ET518" s="7"/>
      <c r="EU518" s="7"/>
      <c r="EV518" s="7"/>
      <c r="EW518" s="7"/>
      <c r="EX518" s="7"/>
      <c r="EY518" s="7"/>
      <c r="EZ518" s="7"/>
      <c r="FA518" s="7"/>
      <c r="FB518" s="7"/>
      <c r="FC518" s="7"/>
      <c r="FD518" s="7"/>
      <c r="FE518" s="7"/>
      <c r="FF518" s="7"/>
      <c r="FG518" s="7"/>
      <c r="FH518" s="7"/>
      <c r="FI518" s="7"/>
      <c r="FJ518" s="7"/>
      <c r="FK518" s="7"/>
      <c r="FL518" s="7"/>
      <c r="FM518" s="7"/>
      <c r="FN518" s="7"/>
      <c r="FO518" s="7"/>
      <c r="FP518" s="7"/>
      <c r="FQ518" s="7"/>
      <c r="FR518" s="7"/>
      <c r="FS518" s="7"/>
    </row>
    <row r="519" spans="84:175" x14ac:dyDescent="0.25">
      <c r="CF519" s="7"/>
      <c r="CG519" s="7"/>
      <c r="CH519" s="7"/>
      <c r="CI519" s="7"/>
      <c r="CJ519" s="7"/>
      <c r="CK519" s="7"/>
      <c r="CL519" s="7"/>
      <c r="CM519" s="7"/>
      <c r="CN519" s="7"/>
      <c r="CO519" s="7"/>
      <c r="CP519" s="7"/>
      <c r="CQ519" s="7"/>
      <c r="CR519" s="7"/>
      <c r="CS519" s="7"/>
      <c r="CT519" s="7"/>
      <c r="CU519" s="7"/>
      <c r="CV519" s="7"/>
      <c r="CW519" s="7"/>
      <c r="CX519" s="7"/>
      <c r="CY519" s="7"/>
      <c r="CZ519" s="7"/>
      <c r="DA519" s="7"/>
      <c r="DB519" s="7"/>
      <c r="DC519" s="7"/>
      <c r="DD519" s="7"/>
      <c r="DE519" s="7"/>
      <c r="DF519" s="7"/>
      <c r="DG519" s="7"/>
      <c r="DH519" s="7"/>
      <c r="DI519" s="7"/>
      <c r="DJ519" s="7"/>
      <c r="DK519" s="7"/>
      <c r="DL519" s="7"/>
      <c r="DM519" s="7"/>
      <c r="DN519" s="7"/>
      <c r="DO519" s="7"/>
      <c r="DP519" s="7"/>
      <c r="DQ519" s="7"/>
      <c r="DR519" s="7"/>
      <c r="DS519" s="7"/>
      <c r="DT519" s="7"/>
      <c r="DU519" s="7"/>
      <c r="DV519" s="7"/>
      <c r="DW519" s="7"/>
      <c r="DX519" s="7"/>
      <c r="DY519" s="7"/>
      <c r="DZ519" s="7"/>
      <c r="EA519" s="7"/>
      <c r="EB519" s="7"/>
      <c r="EC519" s="7"/>
      <c r="ED519" s="7"/>
      <c r="EE519" s="7"/>
      <c r="EF519" s="7"/>
      <c r="EG519" s="7"/>
      <c r="EH519" s="7"/>
      <c r="EI519" s="7"/>
      <c r="EJ519" s="7"/>
      <c r="EK519" s="7"/>
      <c r="EL519" s="7"/>
      <c r="EM519" s="7"/>
      <c r="EN519" s="7"/>
      <c r="EO519" s="7"/>
      <c r="EP519" s="7"/>
      <c r="EQ519" s="7"/>
      <c r="ER519" s="7"/>
      <c r="ES519" s="7"/>
      <c r="ET519" s="7"/>
      <c r="EU519" s="7"/>
      <c r="EV519" s="7"/>
      <c r="EW519" s="7"/>
      <c r="EX519" s="7"/>
      <c r="EY519" s="7"/>
      <c r="EZ519" s="7"/>
      <c r="FA519" s="7"/>
      <c r="FB519" s="7"/>
      <c r="FC519" s="7"/>
      <c r="FD519" s="7"/>
      <c r="FE519" s="7"/>
      <c r="FF519" s="7"/>
      <c r="FG519" s="7"/>
      <c r="FH519" s="7"/>
      <c r="FI519" s="7"/>
      <c r="FJ519" s="7"/>
      <c r="FK519" s="7"/>
      <c r="FL519" s="7"/>
      <c r="FM519" s="7"/>
      <c r="FN519" s="7"/>
      <c r="FO519" s="7"/>
      <c r="FP519" s="7"/>
      <c r="FQ519" s="7"/>
      <c r="FR519" s="7"/>
      <c r="FS519" s="7"/>
    </row>
    <row r="520" spans="84:175" x14ac:dyDescent="0.25">
      <c r="CF520" s="7"/>
      <c r="CG520" s="7"/>
      <c r="CH520" s="7"/>
      <c r="CI520" s="7"/>
      <c r="CJ520" s="7"/>
      <c r="CK520" s="7"/>
      <c r="CL520" s="7"/>
      <c r="CM520" s="7"/>
      <c r="CN520" s="7"/>
      <c r="CO520" s="7"/>
      <c r="CP520" s="7"/>
      <c r="CQ520" s="7"/>
      <c r="CR520" s="7"/>
      <c r="CS520" s="7"/>
      <c r="CT520" s="7"/>
      <c r="CU520" s="7"/>
      <c r="CV520" s="7"/>
      <c r="CW520" s="7"/>
      <c r="CX520" s="7"/>
      <c r="CY520" s="7"/>
      <c r="CZ520" s="7"/>
      <c r="DA520" s="7"/>
      <c r="DB520" s="7"/>
      <c r="DC520" s="7"/>
      <c r="DD520" s="7"/>
      <c r="DE520" s="7"/>
      <c r="DF520" s="7"/>
      <c r="DG520" s="7"/>
      <c r="DH520" s="7"/>
      <c r="DI520" s="7"/>
      <c r="DJ520" s="7"/>
      <c r="DK520" s="7"/>
      <c r="DL520" s="7"/>
      <c r="DM520" s="7"/>
      <c r="DN520" s="7"/>
      <c r="DO520" s="7"/>
      <c r="DP520" s="7"/>
      <c r="DQ520" s="7"/>
      <c r="DR520" s="7"/>
      <c r="DS520" s="7"/>
      <c r="DT520" s="7"/>
      <c r="DU520" s="7"/>
      <c r="DV520" s="7"/>
      <c r="DW520" s="7"/>
      <c r="DX520" s="7"/>
      <c r="DY520" s="7"/>
      <c r="DZ520" s="7"/>
      <c r="EA520" s="7"/>
      <c r="EB520" s="7"/>
      <c r="EC520" s="7"/>
      <c r="ED520" s="7"/>
      <c r="EE520" s="7"/>
      <c r="EF520" s="7"/>
      <c r="EG520" s="7"/>
      <c r="EH520" s="7"/>
      <c r="EI520" s="7"/>
      <c r="EJ520" s="7"/>
      <c r="EK520" s="7"/>
      <c r="EL520" s="7"/>
      <c r="EM520" s="7"/>
      <c r="EN520" s="7"/>
      <c r="EO520" s="7"/>
      <c r="EP520" s="7"/>
      <c r="EQ520" s="7"/>
      <c r="ER520" s="7"/>
      <c r="ES520" s="7"/>
      <c r="ET520" s="7"/>
      <c r="EU520" s="7"/>
      <c r="EV520" s="7"/>
      <c r="EW520" s="7"/>
      <c r="EX520" s="7"/>
      <c r="EY520" s="7"/>
      <c r="EZ520" s="7"/>
      <c r="FA520" s="7"/>
      <c r="FB520" s="7"/>
      <c r="FC520" s="7"/>
      <c r="FD520" s="7"/>
      <c r="FE520" s="7"/>
      <c r="FF520" s="7"/>
      <c r="FG520" s="7"/>
      <c r="FH520" s="7"/>
      <c r="FI520" s="7"/>
      <c r="FJ520" s="7"/>
      <c r="FK520" s="7"/>
      <c r="FL520" s="7"/>
      <c r="FM520" s="7"/>
      <c r="FN520" s="7"/>
      <c r="FO520" s="7"/>
      <c r="FP520" s="7"/>
      <c r="FQ520" s="7"/>
      <c r="FR520" s="7"/>
      <c r="FS520" s="7"/>
    </row>
    <row r="521" spans="84:175" x14ac:dyDescent="0.25">
      <c r="CF521" s="7"/>
      <c r="CG521" s="7"/>
      <c r="CH521" s="7"/>
      <c r="CI521" s="7"/>
      <c r="CJ521" s="7"/>
      <c r="CK521" s="7"/>
      <c r="CL521" s="7"/>
      <c r="CM521" s="7"/>
      <c r="CN521" s="7"/>
      <c r="CO521" s="7"/>
      <c r="CP521" s="7"/>
      <c r="CQ521" s="7"/>
      <c r="CR521" s="7"/>
      <c r="CS521" s="7"/>
      <c r="CT521" s="7"/>
      <c r="CU521" s="7"/>
      <c r="CV521" s="7"/>
      <c r="CW521" s="7"/>
      <c r="CX521" s="7"/>
      <c r="CY521" s="7"/>
      <c r="CZ521" s="7"/>
      <c r="DA521" s="7"/>
      <c r="DB521" s="7"/>
      <c r="DC521" s="7"/>
      <c r="DD521" s="7"/>
      <c r="DE521" s="7"/>
      <c r="DF521" s="7"/>
      <c r="DG521" s="7"/>
      <c r="DH521" s="7"/>
      <c r="DI521" s="7"/>
      <c r="DJ521" s="7"/>
      <c r="DK521" s="7"/>
      <c r="DL521" s="7"/>
      <c r="DM521" s="7"/>
      <c r="DN521" s="7"/>
      <c r="DO521" s="7"/>
      <c r="DP521" s="7"/>
      <c r="DQ521" s="7"/>
      <c r="DR521" s="7"/>
      <c r="DS521" s="7"/>
      <c r="DT521" s="7"/>
      <c r="DU521" s="7"/>
      <c r="DV521" s="7"/>
      <c r="DW521" s="7"/>
      <c r="DX521" s="7"/>
      <c r="DY521" s="7"/>
      <c r="DZ521" s="7"/>
      <c r="EA521" s="7"/>
      <c r="EB521" s="7"/>
      <c r="EC521" s="7"/>
      <c r="ED521" s="7"/>
      <c r="EE521" s="7"/>
      <c r="EF521" s="7"/>
      <c r="EG521" s="7"/>
      <c r="EH521" s="7"/>
      <c r="EI521" s="7"/>
      <c r="EJ521" s="7"/>
      <c r="EK521" s="7"/>
      <c r="EL521" s="7"/>
      <c r="EM521" s="7"/>
      <c r="EN521" s="7"/>
      <c r="EO521" s="7"/>
      <c r="EP521" s="7"/>
      <c r="EQ521" s="7"/>
      <c r="ER521" s="7"/>
      <c r="ES521" s="7"/>
      <c r="ET521" s="7"/>
      <c r="EU521" s="7"/>
      <c r="EV521" s="7"/>
      <c r="EW521" s="7"/>
      <c r="EX521" s="7"/>
      <c r="EY521" s="7"/>
      <c r="EZ521" s="7"/>
      <c r="FA521" s="7"/>
      <c r="FB521" s="7"/>
      <c r="FC521" s="7"/>
      <c r="FD521" s="7"/>
      <c r="FE521" s="7"/>
      <c r="FF521" s="7"/>
      <c r="FG521" s="7"/>
      <c r="FH521" s="7"/>
      <c r="FI521" s="7"/>
      <c r="FJ521" s="7"/>
      <c r="FK521" s="7"/>
      <c r="FL521" s="7"/>
      <c r="FM521" s="7"/>
      <c r="FN521" s="7"/>
      <c r="FO521" s="7"/>
      <c r="FP521" s="7"/>
      <c r="FQ521" s="7"/>
      <c r="FR521" s="7"/>
      <c r="FS521" s="7"/>
    </row>
    <row r="522" spans="84:175" x14ac:dyDescent="0.25">
      <c r="CF522" s="7"/>
      <c r="CG522" s="7"/>
      <c r="CH522" s="7"/>
      <c r="CI522" s="7"/>
      <c r="CJ522" s="7"/>
      <c r="CK522" s="7"/>
      <c r="CL522" s="7"/>
      <c r="CM522" s="7"/>
      <c r="CN522" s="7"/>
      <c r="CO522" s="7"/>
      <c r="CP522" s="7"/>
      <c r="CQ522" s="7"/>
      <c r="CR522" s="7"/>
      <c r="CS522" s="7"/>
      <c r="CT522" s="7"/>
      <c r="CU522" s="7"/>
      <c r="CV522" s="7"/>
      <c r="CW522" s="7"/>
      <c r="CX522" s="7"/>
      <c r="CY522" s="7"/>
      <c r="CZ522" s="7"/>
      <c r="DA522" s="7"/>
      <c r="DB522" s="7"/>
      <c r="DC522" s="7"/>
      <c r="DD522" s="7"/>
      <c r="DE522" s="7"/>
      <c r="DF522" s="7"/>
      <c r="DG522" s="7"/>
      <c r="DH522" s="7"/>
      <c r="DI522" s="7"/>
      <c r="DJ522" s="7"/>
      <c r="DK522" s="7"/>
      <c r="DL522" s="7"/>
      <c r="DM522" s="7"/>
      <c r="DN522" s="7"/>
      <c r="DO522" s="7"/>
      <c r="DP522" s="7"/>
      <c r="DQ522" s="7"/>
      <c r="DR522" s="7"/>
      <c r="DS522" s="7"/>
      <c r="DT522" s="7"/>
      <c r="DU522" s="7"/>
      <c r="DV522" s="7"/>
      <c r="DW522" s="7"/>
      <c r="DX522" s="7"/>
      <c r="DY522" s="7"/>
      <c r="DZ522" s="7"/>
      <c r="EA522" s="7"/>
      <c r="EB522" s="7"/>
      <c r="EC522" s="7"/>
      <c r="ED522" s="7"/>
      <c r="EE522" s="7"/>
      <c r="EF522" s="7"/>
      <c r="EG522" s="7"/>
      <c r="EH522" s="7"/>
      <c r="EI522" s="7"/>
      <c r="EJ522" s="7"/>
      <c r="EK522" s="7"/>
      <c r="EL522" s="7"/>
      <c r="EM522" s="7"/>
      <c r="EN522" s="7"/>
      <c r="EO522" s="7"/>
      <c r="EP522" s="7"/>
      <c r="EQ522" s="7"/>
      <c r="ER522" s="7"/>
      <c r="ES522" s="7"/>
      <c r="ET522" s="7"/>
      <c r="EU522" s="7"/>
      <c r="EV522" s="7"/>
      <c r="EW522" s="7"/>
      <c r="EX522" s="7"/>
      <c r="EY522" s="7"/>
      <c r="EZ522" s="7"/>
      <c r="FA522" s="7"/>
      <c r="FB522" s="7"/>
      <c r="FC522" s="7"/>
      <c r="FD522" s="7"/>
      <c r="FE522" s="7"/>
      <c r="FF522" s="7"/>
      <c r="FG522" s="7"/>
      <c r="FH522" s="7"/>
      <c r="FI522" s="7"/>
      <c r="FJ522" s="7"/>
      <c r="FK522" s="7"/>
      <c r="FL522" s="7"/>
      <c r="FM522" s="7"/>
      <c r="FN522" s="7"/>
      <c r="FO522" s="7"/>
      <c r="FP522" s="7"/>
      <c r="FQ522" s="7"/>
      <c r="FR522" s="7"/>
      <c r="FS522" s="7"/>
    </row>
    <row r="523" spans="84:175" x14ac:dyDescent="0.25">
      <c r="CF523" s="7"/>
      <c r="CG523" s="7"/>
      <c r="CH523" s="7"/>
      <c r="CI523" s="7"/>
      <c r="CJ523" s="7"/>
      <c r="CK523" s="7"/>
      <c r="CL523" s="7"/>
      <c r="CM523" s="7"/>
      <c r="CN523" s="7"/>
      <c r="CO523" s="7"/>
      <c r="CP523" s="7"/>
      <c r="CQ523" s="7"/>
      <c r="CR523" s="7"/>
      <c r="CS523" s="7"/>
      <c r="CT523" s="7"/>
      <c r="CU523" s="7"/>
      <c r="CV523" s="7"/>
      <c r="CW523" s="7"/>
      <c r="CX523" s="7"/>
      <c r="CY523" s="7"/>
      <c r="CZ523" s="7"/>
      <c r="DA523" s="7"/>
      <c r="DB523" s="7"/>
      <c r="DC523" s="7"/>
      <c r="DD523" s="7"/>
      <c r="DE523" s="7"/>
      <c r="DF523" s="7"/>
      <c r="DG523" s="7"/>
      <c r="DH523" s="7"/>
      <c r="DI523" s="7"/>
      <c r="DJ523" s="7"/>
      <c r="DK523" s="7"/>
      <c r="DL523" s="7"/>
      <c r="DM523" s="7"/>
      <c r="DN523" s="7"/>
      <c r="DO523" s="7"/>
      <c r="DP523" s="7"/>
      <c r="DQ523" s="7"/>
      <c r="DR523" s="7"/>
      <c r="DS523" s="7"/>
      <c r="DT523" s="7"/>
      <c r="DU523" s="7"/>
      <c r="DV523" s="7"/>
      <c r="DW523" s="7"/>
      <c r="DX523" s="7"/>
      <c r="DY523" s="7"/>
      <c r="DZ523" s="7"/>
      <c r="EA523" s="7"/>
      <c r="EB523" s="7"/>
      <c r="EC523" s="7"/>
      <c r="ED523" s="7"/>
      <c r="EE523" s="7"/>
      <c r="EF523" s="7"/>
      <c r="EG523" s="7"/>
      <c r="EH523" s="7"/>
      <c r="EI523" s="7"/>
      <c r="EJ523" s="7"/>
      <c r="EK523" s="7"/>
      <c r="EL523" s="7"/>
      <c r="EM523" s="7"/>
      <c r="EN523" s="7"/>
      <c r="EO523" s="7"/>
      <c r="EP523" s="7"/>
      <c r="EQ523" s="7"/>
      <c r="ER523" s="7"/>
      <c r="ES523" s="7"/>
      <c r="ET523" s="7"/>
      <c r="EU523" s="7"/>
      <c r="EV523" s="7"/>
      <c r="EW523" s="7"/>
      <c r="EX523" s="7"/>
      <c r="EY523" s="7"/>
      <c r="EZ523" s="7"/>
      <c r="FA523" s="7"/>
      <c r="FB523" s="7"/>
      <c r="FC523" s="7"/>
      <c r="FD523" s="7"/>
      <c r="FE523" s="7"/>
      <c r="FF523" s="7"/>
      <c r="FG523" s="7"/>
      <c r="FH523" s="7"/>
      <c r="FI523" s="7"/>
      <c r="FJ523" s="7"/>
      <c r="FK523" s="7"/>
      <c r="FL523" s="7"/>
      <c r="FM523" s="7"/>
      <c r="FN523" s="7"/>
      <c r="FO523" s="7"/>
      <c r="FP523" s="7"/>
      <c r="FQ523" s="7"/>
      <c r="FR523" s="7"/>
      <c r="FS523" s="7"/>
    </row>
    <row r="524" spans="84:175" x14ac:dyDescent="0.25">
      <c r="CF524" s="7"/>
      <c r="CG524" s="7"/>
      <c r="CH524" s="7"/>
      <c r="CI524" s="7"/>
      <c r="CJ524" s="7"/>
      <c r="CK524" s="7"/>
      <c r="CL524" s="7"/>
      <c r="CM524" s="7"/>
      <c r="CN524" s="7"/>
      <c r="CO524" s="7"/>
      <c r="CP524" s="7"/>
      <c r="CQ524" s="7"/>
      <c r="CR524" s="7"/>
      <c r="CS524" s="7"/>
      <c r="CT524" s="7"/>
      <c r="CU524" s="7"/>
      <c r="CV524" s="7"/>
      <c r="CW524" s="7"/>
      <c r="CX524" s="7"/>
      <c r="CY524" s="7"/>
      <c r="CZ524" s="7"/>
      <c r="DA524" s="7"/>
      <c r="DB524" s="7"/>
      <c r="DC524" s="7"/>
      <c r="DD524" s="7"/>
      <c r="DE524" s="7"/>
      <c r="DF524" s="7"/>
      <c r="DG524" s="7"/>
      <c r="DH524" s="7"/>
      <c r="DI524" s="7"/>
      <c r="DJ524" s="7"/>
      <c r="DK524" s="7"/>
      <c r="DL524" s="7"/>
      <c r="DM524" s="7"/>
      <c r="DN524" s="7"/>
      <c r="DO524" s="7"/>
      <c r="DP524" s="7"/>
      <c r="DQ524" s="7"/>
      <c r="DR524" s="7"/>
      <c r="DS524" s="7"/>
      <c r="DT524" s="7"/>
      <c r="DU524" s="7"/>
      <c r="DV524" s="7"/>
      <c r="DW524" s="7"/>
      <c r="DX524" s="7"/>
      <c r="DY524" s="7"/>
      <c r="DZ524" s="7"/>
      <c r="EA524" s="7"/>
      <c r="EB524" s="7"/>
      <c r="EC524" s="7"/>
      <c r="ED524" s="7"/>
      <c r="EE524" s="7"/>
      <c r="EF524" s="7"/>
      <c r="EG524" s="7"/>
      <c r="EH524" s="7"/>
      <c r="EI524" s="7"/>
      <c r="EJ524" s="7"/>
      <c r="EK524" s="7"/>
      <c r="EL524" s="7"/>
      <c r="EM524" s="7"/>
      <c r="EN524" s="7"/>
      <c r="EO524" s="7"/>
      <c r="EP524" s="7"/>
      <c r="EQ524" s="7"/>
      <c r="ER524" s="7"/>
      <c r="ES524" s="7"/>
      <c r="ET524" s="7"/>
      <c r="EU524" s="7"/>
      <c r="EV524" s="7"/>
      <c r="EW524" s="7"/>
      <c r="EX524" s="7"/>
      <c r="EY524" s="7"/>
      <c r="EZ524" s="7"/>
      <c r="FA524" s="7"/>
      <c r="FB524" s="7"/>
      <c r="FC524" s="7"/>
      <c r="FD524" s="7"/>
      <c r="FE524" s="7"/>
      <c r="FF524" s="7"/>
      <c r="FG524" s="7"/>
      <c r="FH524" s="7"/>
      <c r="FI524" s="7"/>
      <c r="FJ524" s="7"/>
      <c r="FK524" s="7"/>
      <c r="FL524" s="7"/>
      <c r="FM524" s="7"/>
      <c r="FN524" s="7"/>
      <c r="FO524" s="7"/>
      <c r="FP524" s="7"/>
      <c r="FQ524" s="7"/>
      <c r="FR524" s="7"/>
      <c r="FS524" s="7"/>
    </row>
    <row r="525" spans="84:175" x14ac:dyDescent="0.25">
      <c r="CF525" s="7"/>
      <c r="CG525" s="7"/>
      <c r="CH525" s="7"/>
      <c r="CI525" s="7"/>
      <c r="CJ525" s="7"/>
      <c r="CK525" s="7"/>
      <c r="CL525" s="7"/>
      <c r="CM525" s="7"/>
      <c r="CN525" s="7"/>
      <c r="CO525" s="7"/>
      <c r="CP525" s="7"/>
      <c r="CQ525" s="7"/>
      <c r="CR525" s="7"/>
      <c r="CS525" s="7"/>
      <c r="CT525" s="7"/>
      <c r="CU525" s="7"/>
      <c r="CV525" s="7"/>
      <c r="CW525" s="7"/>
      <c r="CX525" s="7"/>
      <c r="CY525" s="7"/>
      <c r="CZ525" s="7"/>
      <c r="DA525" s="7"/>
      <c r="DB525" s="7"/>
      <c r="DC525" s="7"/>
      <c r="DD525" s="7"/>
      <c r="DE525" s="7"/>
      <c r="DF525" s="7"/>
      <c r="DG525" s="7"/>
      <c r="DH525" s="7"/>
      <c r="DI525" s="7"/>
      <c r="DJ525" s="7"/>
      <c r="DK525" s="7"/>
      <c r="DL525" s="7"/>
      <c r="DM525" s="7"/>
      <c r="DN525" s="7"/>
      <c r="DO525" s="7"/>
      <c r="DP525" s="7"/>
      <c r="DQ525" s="7"/>
      <c r="DR525" s="7"/>
      <c r="DS525" s="7"/>
      <c r="DT525" s="7"/>
      <c r="DU525" s="7"/>
      <c r="DV525" s="7"/>
      <c r="DW525" s="7"/>
      <c r="DX525" s="7"/>
      <c r="DY525" s="7"/>
      <c r="DZ525" s="7"/>
      <c r="EA525" s="7"/>
      <c r="EB525" s="7"/>
      <c r="EC525" s="7"/>
      <c r="ED525" s="7"/>
      <c r="EE525" s="7"/>
      <c r="EF525" s="7"/>
      <c r="EG525" s="7"/>
      <c r="EH525" s="7"/>
      <c r="EI525" s="7"/>
      <c r="EJ525" s="7"/>
      <c r="EK525" s="7"/>
      <c r="EL525" s="7"/>
      <c r="EM525" s="7"/>
      <c r="EN525" s="7"/>
      <c r="EO525" s="7"/>
      <c r="EP525" s="7"/>
      <c r="EQ525" s="7"/>
      <c r="ER525" s="7"/>
      <c r="ES525" s="7"/>
      <c r="ET525" s="7"/>
      <c r="EU525" s="7"/>
      <c r="EV525" s="7"/>
      <c r="EW525" s="7"/>
      <c r="EX525" s="7"/>
      <c r="EY525" s="7"/>
      <c r="EZ525" s="7"/>
      <c r="FA525" s="7"/>
      <c r="FB525" s="7"/>
      <c r="FC525" s="7"/>
      <c r="FD525" s="7"/>
      <c r="FE525" s="7"/>
      <c r="FF525" s="7"/>
      <c r="FG525" s="7"/>
      <c r="FH525" s="7"/>
      <c r="FI525" s="7"/>
      <c r="FJ525" s="7"/>
      <c r="FK525" s="7"/>
      <c r="FL525" s="7"/>
      <c r="FM525" s="7"/>
      <c r="FN525" s="7"/>
      <c r="FO525" s="7"/>
      <c r="FP525" s="7"/>
      <c r="FQ525" s="7"/>
      <c r="FR525" s="7"/>
      <c r="FS525" s="7"/>
    </row>
    <row r="526" spans="84:175" x14ac:dyDescent="0.25">
      <c r="CF526" s="7"/>
      <c r="CG526" s="7"/>
      <c r="CH526" s="7"/>
      <c r="CI526" s="7"/>
      <c r="CJ526" s="7"/>
      <c r="CK526" s="7"/>
      <c r="CL526" s="7"/>
      <c r="CM526" s="7"/>
      <c r="CN526" s="7"/>
      <c r="CO526" s="7"/>
      <c r="CP526" s="7"/>
      <c r="CQ526" s="7"/>
      <c r="CR526" s="7"/>
      <c r="CS526" s="7"/>
      <c r="CT526" s="7"/>
      <c r="CU526" s="7"/>
      <c r="CV526" s="7"/>
      <c r="CW526" s="7"/>
      <c r="CX526" s="7"/>
      <c r="CY526" s="7"/>
      <c r="CZ526" s="7"/>
      <c r="DA526" s="7"/>
      <c r="DB526" s="7"/>
      <c r="DC526" s="7"/>
      <c r="DD526" s="7"/>
      <c r="DE526" s="7"/>
      <c r="DF526" s="7"/>
      <c r="DG526" s="7"/>
      <c r="DH526" s="7"/>
      <c r="DI526" s="7"/>
      <c r="DJ526" s="7"/>
      <c r="DK526" s="7"/>
      <c r="DL526" s="7"/>
      <c r="DM526" s="7"/>
      <c r="DN526" s="7"/>
      <c r="DO526" s="7"/>
      <c r="DP526" s="7"/>
      <c r="DQ526" s="7"/>
      <c r="DR526" s="7"/>
      <c r="DS526" s="7"/>
      <c r="DT526" s="7"/>
      <c r="DU526" s="7"/>
      <c r="DV526" s="7"/>
      <c r="DW526" s="7"/>
      <c r="DX526" s="7"/>
      <c r="DY526" s="7"/>
      <c r="DZ526" s="7"/>
      <c r="EA526" s="7"/>
      <c r="EB526" s="7"/>
      <c r="EC526" s="7"/>
      <c r="ED526" s="7"/>
      <c r="EE526" s="7"/>
      <c r="EF526" s="7"/>
      <c r="EG526" s="7"/>
      <c r="EH526" s="7"/>
      <c r="EI526" s="7"/>
      <c r="EJ526" s="7"/>
      <c r="EK526" s="7"/>
      <c r="EL526" s="7"/>
      <c r="EM526" s="7"/>
      <c r="EN526" s="7"/>
      <c r="EO526" s="7"/>
      <c r="EP526" s="7"/>
      <c r="EQ526" s="7"/>
      <c r="ER526" s="7"/>
      <c r="ES526" s="7"/>
      <c r="ET526" s="7"/>
      <c r="EU526" s="7"/>
      <c r="EV526" s="7"/>
      <c r="EW526" s="7"/>
      <c r="EX526" s="7"/>
      <c r="EY526" s="7"/>
      <c r="EZ526" s="7"/>
      <c r="FA526" s="7"/>
      <c r="FB526" s="7"/>
      <c r="FC526" s="7"/>
      <c r="FD526" s="7"/>
      <c r="FE526" s="7"/>
      <c r="FF526" s="7"/>
      <c r="FG526" s="7"/>
      <c r="FH526" s="7"/>
      <c r="FI526" s="7"/>
      <c r="FJ526" s="7"/>
      <c r="FK526" s="7"/>
      <c r="FL526" s="7"/>
      <c r="FM526" s="7"/>
      <c r="FN526" s="7"/>
      <c r="FO526" s="7"/>
      <c r="FP526" s="7"/>
      <c r="FQ526" s="7"/>
      <c r="FR526" s="7"/>
      <c r="FS526" s="7"/>
    </row>
    <row r="527" spans="84:175" x14ac:dyDescent="0.25">
      <c r="CF527" s="7"/>
      <c r="CG527" s="7"/>
      <c r="CH527" s="7"/>
      <c r="CI527" s="7"/>
      <c r="CJ527" s="7"/>
      <c r="CK527" s="7"/>
      <c r="CL527" s="7"/>
      <c r="CM527" s="7"/>
      <c r="CN527" s="7"/>
      <c r="CO527" s="7"/>
      <c r="CP527" s="7"/>
      <c r="CQ527" s="7"/>
      <c r="CR527" s="7"/>
      <c r="CS527" s="7"/>
      <c r="CT527" s="7"/>
      <c r="CU527" s="7"/>
      <c r="CV527" s="7"/>
      <c r="CW527" s="7"/>
      <c r="CX527" s="7"/>
      <c r="CY527" s="7"/>
      <c r="CZ527" s="7"/>
      <c r="DA527" s="7"/>
      <c r="DB527" s="7"/>
      <c r="DC527" s="7"/>
      <c r="DD527" s="7"/>
      <c r="DE527" s="7"/>
      <c r="DF527" s="7"/>
      <c r="DG527" s="7"/>
      <c r="DH527" s="7"/>
      <c r="DI527" s="7"/>
      <c r="DJ527" s="7"/>
      <c r="DK527" s="7"/>
      <c r="DL527" s="7"/>
      <c r="DM527" s="7"/>
      <c r="DN527" s="7"/>
      <c r="DO527" s="7"/>
      <c r="DP527" s="7"/>
      <c r="DQ527" s="7"/>
      <c r="DR527" s="7"/>
      <c r="DS527" s="7"/>
      <c r="DT527" s="7"/>
      <c r="DU527" s="7"/>
      <c r="DV527" s="7"/>
      <c r="DW527" s="7"/>
      <c r="DX527" s="7"/>
      <c r="DY527" s="7"/>
      <c r="DZ527" s="7"/>
      <c r="EA527" s="7"/>
      <c r="EB527" s="7"/>
      <c r="EC527" s="7"/>
      <c r="ED527" s="7"/>
      <c r="EE527" s="7"/>
      <c r="EF527" s="7"/>
      <c r="EG527" s="7"/>
      <c r="EH527" s="7"/>
      <c r="EI527" s="7"/>
      <c r="EJ527" s="7"/>
      <c r="EK527" s="7"/>
      <c r="EL527" s="7"/>
      <c r="EM527" s="7"/>
      <c r="EN527" s="7"/>
      <c r="EO527" s="7"/>
      <c r="EP527" s="7"/>
      <c r="EQ527" s="7"/>
      <c r="ER527" s="7"/>
      <c r="ES527" s="7"/>
      <c r="ET527" s="7"/>
      <c r="EU527" s="7"/>
      <c r="EV527" s="7"/>
      <c r="EW527" s="7"/>
      <c r="EX527" s="7"/>
      <c r="EY527" s="7"/>
      <c r="EZ527" s="7"/>
      <c r="FA527" s="7"/>
      <c r="FB527" s="7"/>
      <c r="FC527" s="7"/>
      <c r="FD527" s="7"/>
      <c r="FE527" s="7"/>
      <c r="FF527" s="7"/>
      <c r="FG527" s="7"/>
      <c r="FH527" s="7"/>
      <c r="FI527" s="7"/>
      <c r="FJ527" s="7"/>
      <c r="FK527" s="7"/>
      <c r="FL527" s="7"/>
      <c r="FM527" s="7"/>
      <c r="FN527" s="7"/>
      <c r="FO527" s="7"/>
      <c r="FP527" s="7"/>
      <c r="FQ527" s="7"/>
      <c r="FR527" s="7"/>
      <c r="FS527" s="7"/>
    </row>
    <row r="528" spans="84:175" x14ac:dyDescent="0.25">
      <c r="CF528" s="7"/>
      <c r="CG528" s="7"/>
      <c r="CH528" s="7"/>
      <c r="CI528" s="7"/>
      <c r="CJ528" s="7"/>
      <c r="CK528" s="7"/>
      <c r="CL528" s="7"/>
      <c r="CM528" s="7"/>
      <c r="CN528" s="7"/>
      <c r="CO528" s="7"/>
      <c r="CP528" s="7"/>
      <c r="CQ528" s="7"/>
      <c r="CR528" s="7"/>
      <c r="CS528" s="7"/>
      <c r="CT528" s="7"/>
      <c r="CU528" s="7"/>
      <c r="CV528" s="7"/>
      <c r="CW528" s="7"/>
      <c r="CX528" s="7"/>
      <c r="CY528" s="7"/>
      <c r="CZ528" s="7"/>
      <c r="DA528" s="7"/>
      <c r="DB528" s="7"/>
      <c r="DC528" s="7"/>
      <c r="DD528" s="7"/>
      <c r="DE528" s="7"/>
      <c r="DF528" s="7"/>
      <c r="DG528" s="7"/>
      <c r="DH528" s="7"/>
      <c r="DI528" s="7"/>
      <c r="DJ528" s="7"/>
      <c r="DK528" s="7"/>
      <c r="DL528" s="7"/>
      <c r="DM528" s="7"/>
      <c r="DN528" s="7"/>
      <c r="DO528" s="7"/>
      <c r="DP528" s="7"/>
      <c r="DQ528" s="7"/>
      <c r="DR528" s="7"/>
      <c r="DS528" s="7"/>
      <c r="DT528" s="7"/>
      <c r="DU528" s="7"/>
      <c r="DV528" s="7"/>
      <c r="DW528" s="7"/>
      <c r="DX528" s="7"/>
      <c r="DY528" s="7"/>
      <c r="DZ528" s="7"/>
      <c r="EA528" s="7"/>
      <c r="EB528" s="7"/>
      <c r="EC528" s="7"/>
      <c r="ED528" s="7"/>
      <c r="EE528" s="7"/>
      <c r="EF528" s="7"/>
      <c r="EG528" s="7"/>
      <c r="EH528" s="7"/>
      <c r="EI528" s="7"/>
      <c r="EJ528" s="7"/>
      <c r="EK528" s="7"/>
      <c r="EL528" s="7"/>
      <c r="EM528" s="7"/>
      <c r="EN528" s="7"/>
      <c r="EO528" s="7"/>
      <c r="EP528" s="7"/>
      <c r="EQ528" s="7"/>
      <c r="ER528" s="7"/>
      <c r="ES528" s="7"/>
      <c r="ET528" s="7"/>
      <c r="EU528" s="7"/>
      <c r="EV528" s="7"/>
      <c r="EW528" s="7"/>
      <c r="EX528" s="7"/>
      <c r="EY528" s="7"/>
      <c r="EZ528" s="7"/>
      <c r="FA528" s="7"/>
      <c r="FB528" s="7"/>
      <c r="FC528" s="7"/>
      <c r="FD528" s="7"/>
      <c r="FE528" s="7"/>
      <c r="FF528" s="7"/>
      <c r="FG528" s="7"/>
      <c r="FH528" s="7"/>
      <c r="FI528" s="7"/>
      <c r="FJ528" s="7"/>
      <c r="FK528" s="7"/>
      <c r="FL528" s="7"/>
      <c r="FM528" s="7"/>
      <c r="FN528" s="7"/>
      <c r="FO528" s="7"/>
      <c r="FP528" s="7"/>
      <c r="FQ528" s="7"/>
      <c r="FR528" s="7"/>
      <c r="FS528" s="7"/>
    </row>
    <row r="529" spans="84:175" x14ac:dyDescent="0.25">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c r="DI529" s="7"/>
      <c r="DJ529" s="7"/>
      <c r="DK529" s="7"/>
      <c r="DL529" s="7"/>
      <c r="DM529" s="7"/>
      <c r="DN529" s="7"/>
      <c r="DO529" s="7"/>
      <c r="DP529" s="7"/>
      <c r="DQ529" s="7"/>
      <c r="DR529" s="7"/>
      <c r="DS529" s="7"/>
      <c r="DT529" s="7"/>
      <c r="DU529" s="7"/>
      <c r="DV529" s="7"/>
      <c r="DW529" s="7"/>
      <c r="DX529" s="7"/>
      <c r="DY529" s="7"/>
      <c r="DZ529" s="7"/>
      <c r="EA529" s="7"/>
      <c r="EB529" s="7"/>
      <c r="EC529" s="7"/>
      <c r="ED529" s="7"/>
      <c r="EE529" s="7"/>
      <c r="EF529" s="7"/>
      <c r="EG529" s="7"/>
      <c r="EH529" s="7"/>
      <c r="EI529" s="7"/>
      <c r="EJ529" s="7"/>
      <c r="EK529" s="7"/>
      <c r="EL529" s="7"/>
      <c r="EM529" s="7"/>
      <c r="EN529" s="7"/>
      <c r="EO529" s="7"/>
      <c r="EP529" s="7"/>
      <c r="EQ529" s="7"/>
      <c r="ER529" s="7"/>
      <c r="ES529" s="7"/>
      <c r="ET529" s="7"/>
      <c r="EU529" s="7"/>
      <c r="EV529" s="7"/>
      <c r="EW529" s="7"/>
      <c r="EX529" s="7"/>
      <c r="EY529" s="7"/>
      <c r="EZ529" s="7"/>
      <c r="FA529" s="7"/>
      <c r="FB529" s="7"/>
      <c r="FC529" s="7"/>
      <c r="FD529" s="7"/>
      <c r="FE529" s="7"/>
      <c r="FF529" s="7"/>
      <c r="FG529" s="7"/>
      <c r="FH529" s="7"/>
      <c r="FI529" s="7"/>
      <c r="FJ529" s="7"/>
      <c r="FK529" s="7"/>
      <c r="FL529" s="7"/>
      <c r="FM529" s="7"/>
      <c r="FN529" s="7"/>
      <c r="FO529" s="7"/>
      <c r="FP529" s="7"/>
      <c r="FQ529" s="7"/>
      <c r="FR529" s="7"/>
      <c r="FS529" s="7"/>
    </row>
    <row r="530" spans="84:175" x14ac:dyDescent="0.25">
      <c r="CF530" s="7"/>
      <c r="CG530" s="7"/>
      <c r="CH530" s="7"/>
      <c r="CI530" s="7"/>
      <c r="CJ530" s="7"/>
      <c r="CK530" s="7"/>
      <c r="CL530" s="7"/>
      <c r="CM530" s="7"/>
      <c r="CN530" s="7"/>
      <c r="CO530" s="7"/>
      <c r="CP530" s="7"/>
      <c r="CQ530" s="7"/>
      <c r="CR530" s="7"/>
      <c r="CS530" s="7"/>
      <c r="CT530" s="7"/>
      <c r="CU530" s="7"/>
      <c r="CV530" s="7"/>
      <c r="CW530" s="7"/>
      <c r="CX530" s="7"/>
      <c r="CY530" s="7"/>
      <c r="CZ530" s="7"/>
      <c r="DA530" s="7"/>
      <c r="DB530" s="7"/>
      <c r="DC530" s="7"/>
      <c r="DD530" s="7"/>
      <c r="DE530" s="7"/>
      <c r="DF530" s="7"/>
      <c r="DG530" s="7"/>
      <c r="DH530" s="7"/>
      <c r="DI530" s="7"/>
      <c r="DJ530" s="7"/>
      <c r="DK530" s="7"/>
      <c r="DL530" s="7"/>
      <c r="DM530" s="7"/>
      <c r="DN530" s="7"/>
      <c r="DO530" s="7"/>
      <c r="DP530" s="7"/>
      <c r="DQ530" s="7"/>
      <c r="DR530" s="7"/>
      <c r="DS530" s="7"/>
      <c r="DT530" s="7"/>
      <c r="DU530" s="7"/>
      <c r="DV530" s="7"/>
      <c r="DW530" s="7"/>
      <c r="DX530" s="7"/>
      <c r="DY530" s="7"/>
      <c r="DZ530" s="7"/>
      <c r="EA530" s="7"/>
      <c r="EB530" s="7"/>
      <c r="EC530" s="7"/>
      <c r="ED530" s="7"/>
      <c r="EE530" s="7"/>
      <c r="EF530" s="7"/>
      <c r="EG530" s="7"/>
      <c r="EH530" s="7"/>
      <c r="EI530" s="7"/>
      <c r="EJ530" s="7"/>
      <c r="EK530" s="7"/>
      <c r="EL530" s="7"/>
      <c r="EM530" s="7"/>
      <c r="EN530" s="7"/>
      <c r="EO530" s="7"/>
      <c r="EP530" s="7"/>
      <c r="EQ530" s="7"/>
      <c r="ER530" s="7"/>
      <c r="ES530" s="7"/>
      <c r="ET530" s="7"/>
      <c r="EU530" s="7"/>
      <c r="EV530" s="7"/>
      <c r="EW530" s="7"/>
      <c r="EX530" s="7"/>
      <c r="EY530" s="7"/>
      <c r="EZ530" s="7"/>
      <c r="FA530" s="7"/>
      <c r="FB530" s="7"/>
      <c r="FC530" s="7"/>
      <c r="FD530" s="7"/>
      <c r="FE530" s="7"/>
      <c r="FF530" s="7"/>
      <c r="FG530" s="7"/>
      <c r="FH530" s="7"/>
      <c r="FI530" s="7"/>
      <c r="FJ530" s="7"/>
      <c r="FK530" s="7"/>
      <c r="FL530" s="7"/>
      <c r="FM530" s="7"/>
      <c r="FN530" s="7"/>
      <c r="FO530" s="7"/>
      <c r="FP530" s="7"/>
      <c r="FQ530" s="7"/>
      <c r="FR530" s="7"/>
      <c r="FS530" s="7"/>
    </row>
    <row r="531" spans="84:175" x14ac:dyDescent="0.25">
      <c r="CF531" s="7"/>
      <c r="CG531" s="7"/>
      <c r="CH531" s="7"/>
      <c r="CI531" s="7"/>
      <c r="CJ531" s="7"/>
      <c r="CK531" s="7"/>
      <c r="CL531" s="7"/>
      <c r="CM531" s="7"/>
      <c r="CN531" s="7"/>
      <c r="CO531" s="7"/>
      <c r="CP531" s="7"/>
      <c r="CQ531" s="7"/>
      <c r="CR531" s="7"/>
      <c r="CS531" s="7"/>
      <c r="CT531" s="7"/>
      <c r="CU531" s="7"/>
      <c r="CV531" s="7"/>
      <c r="CW531" s="7"/>
      <c r="CX531" s="7"/>
      <c r="CY531" s="7"/>
      <c r="CZ531" s="7"/>
      <c r="DA531" s="7"/>
      <c r="DB531" s="7"/>
      <c r="DC531" s="7"/>
      <c r="DD531" s="7"/>
      <c r="DE531" s="7"/>
      <c r="DF531" s="7"/>
      <c r="DG531" s="7"/>
      <c r="DH531" s="7"/>
      <c r="DI531" s="7"/>
      <c r="DJ531" s="7"/>
      <c r="DK531" s="7"/>
      <c r="DL531" s="7"/>
      <c r="DM531" s="7"/>
      <c r="DN531" s="7"/>
      <c r="DO531" s="7"/>
      <c r="DP531" s="7"/>
      <c r="DQ531" s="7"/>
      <c r="DR531" s="7"/>
      <c r="DS531" s="7"/>
      <c r="DT531" s="7"/>
      <c r="DU531" s="7"/>
      <c r="DV531" s="7"/>
      <c r="DW531" s="7"/>
      <c r="DX531" s="7"/>
      <c r="DY531" s="7"/>
      <c r="DZ531" s="7"/>
      <c r="EA531" s="7"/>
      <c r="EB531" s="7"/>
      <c r="EC531" s="7"/>
      <c r="ED531" s="7"/>
      <c r="EE531" s="7"/>
      <c r="EF531" s="7"/>
      <c r="EG531" s="7"/>
      <c r="EH531" s="7"/>
      <c r="EI531" s="7"/>
      <c r="EJ531" s="7"/>
      <c r="EK531" s="7"/>
      <c r="EL531" s="7"/>
      <c r="EM531" s="7"/>
      <c r="EN531" s="7"/>
      <c r="EO531" s="7"/>
      <c r="EP531" s="7"/>
      <c r="EQ531" s="7"/>
      <c r="ER531" s="7"/>
      <c r="ES531" s="7"/>
      <c r="ET531" s="7"/>
      <c r="EU531" s="7"/>
      <c r="EV531" s="7"/>
      <c r="EW531" s="7"/>
      <c r="EX531" s="7"/>
      <c r="EY531" s="7"/>
      <c r="EZ531" s="7"/>
      <c r="FA531" s="7"/>
      <c r="FB531" s="7"/>
      <c r="FC531" s="7"/>
      <c r="FD531" s="7"/>
      <c r="FE531" s="7"/>
      <c r="FF531" s="7"/>
      <c r="FG531" s="7"/>
      <c r="FH531" s="7"/>
      <c r="FI531" s="7"/>
      <c r="FJ531" s="7"/>
      <c r="FK531" s="7"/>
      <c r="FL531" s="7"/>
      <c r="FM531" s="7"/>
      <c r="FN531" s="7"/>
      <c r="FO531" s="7"/>
      <c r="FP531" s="7"/>
      <c r="FQ531" s="7"/>
      <c r="FR531" s="7"/>
      <c r="FS531" s="7"/>
    </row>
    <row r="532" spans="84:175" x14ac:dyDescent="0.25">
      <c r="CF532" s="7"/>
      <c r="CG532" s="7"/>
      <c r="CH532" s="7"/>
      <c r="CI532" s="7"/>
      <c r="CJ532" s="7"/>
      <c r="CK532" s="7"/>
      <c r="CL532" s="7"/>
      <c r="CM532" s="7"/>
      <c r="CN532" s="7"/>
      <c r="CO532" s="7"/>
      <c r="CP532" s="7"/>
      <c r="CQ532" s="7"/>
      <c r="CR532" s="7"/>
      <c r="CS532" s="7"/>
      <c r="CT532" s="7"/>
      <c r="CU532" s="7"/>
      <c r="CV532" s="7"/>
      <c r="CW532" s="7"/>
      <c r="CX532" s="7"/>
      <c r="CY532" s="7"/>
      <c r="CZ532" s="7"/>
      <c r="DA532" s="7"/>
      <c r="DB532" s="7"/>
      <c r="DC532" s="7"/>
      <c r="DD532" s="7"/>
      <c r="DE532" s="7"/>
      <c r="DF532" s="7"/>
      <c r="DG532" s="7"/>
      <c r="DH532" s="7"/>
      <c r="DI532" s="7"/>
      <c r="DJ532" s="7"/>
      <c r="DK532" s="7"/>
      <c r="DL532" s="7"/>
      <c r="DM532" s="7"/>
      <c r="DN532" s="7"/>
      <c r="DO532" s="7"/>
      <c r="DP532" s="7"/>
      <c r="DQ532" s="7"/>
      <c r="DR532" s="7"/>
      <c r="DS532" s="7"/>
      <c r="DT532" s="7"/>
      <c r="DU532" s="7"/>
      <c r="DV532" s="7"/>
      <c r="DW532" s="7"/>
      <c r="DX532" s="7"/>
      <c r="DY532" s="7"/>
      <c r="DZ532" s="7"/>
      <c r="EA532" s="7"/>
      <c r="EB532" s="7"/>
      <c r="EC532" s="7"/>
      <c r="ED532" s="7"/>
      <c r="EE532" s="7"/>
      <c r="EF532" s="7"/>
      <c r="EG532" s="7"/>
      <c r="EH532" s="7"/>
      <c r="EI532" s="7"/>
      <c r="EJ532" s="7"/>
      <c r="EK532" s="7"/>
      <c r="EL532" s="7"/>
      <c r="EM532" s="7"/>
      <c r="EN532" s="7"/>
      <c r="EO532" s="7"/>
      <c r="EP532" s="7"/>
      <c r="EQ532" s="7"/>
      <c r="ER532" s="7"/>
      <c r="ES532" s="7"/>
      <c r="ET532" s="7"/>
      <c r="EU532" s="7"/>
      <c r="EV532" s="7"/>
      <c r="EW532" s="7"/>
      <c r="EX532" s="7"/>
      <c r="EY532" s="7"/>
      <c r="EZ532" s="7"/>
      <c r="FA532" s="7"/>
      <c r="FB532" s="7"/>
      <c r="FC532" s="7"/>
      <c r="FD532" s="7"/>
      <c r="FE532" s="7"/>
      <c r="FF532" s="7"/>
      <c r="FG532" s="7"/>
      <c r="FH532" s="7"/>
      <c r="FI532" s="7"/>
      <c r="FJ532" s="7"/>
      <c r="FK532" s="7"/>
      <c r="FL532" s="7"/>
      <c r="FM532" s="7"/>
      <c r="FN532" s="7"/>
      <c r="FO532" s="7"/>
      <c r="FP532" s="7"/>
      <c r="FQ532" s="7"/>
      <c r="FR532" s="7"/>
      <c r="FS532" s="7"/>
    </row>
    <row r="533" spans="84:175" x14ac:dyDescent="0.25">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c r="FL533" s="7"/>
      <c r="FM533" s="7"/>
      <c r="FN533" s="7"/>
      <c r="FO533" s="7"/>
      <c r="FP533" s="7"/>
      <c r="FQ533" s="7"/>
      <c r="FR533" s="7"/>
      <c r="FS533" s="7"/>
    </row>
    <row r="534" spans="84:175" x14ac:dyDescent="0.25">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c r="FL534" s="7"/>
      <c r="FM534" s="7"/>
      <c r="FN534" s="7"/>
      <c r="FO534" s="7"/>
      <c r="FP534" s="7"/>
      <c r="FQ534" s="7"/>
      <c r="FR534" s="7"/>
      <c r="FS534" s="7"/>
    </row>
    <row r="535" spans="84:175" x14ac:dyDescent="0.25">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c r="DL535" s="7"/>
      <c r="DM535" s="7"/>
      <c r="DN535" s="7"/>
      <c r="DO535" s="7"/>
      <c r="DP535" s="7"/>
      <c r="DQ535" s="7"/>
      <c r="DR535" s="7"/>
      <c r="DS535" s="7"/>
      <c r="DT535" s="7"/>
      <c r="DU535" s="7"/>
      <c r="DV535" s="7"/>
      <c r="DW535" s="7"/>
      <c r="DX535" s="7"/>
      <c r="DY535" s="7"/>
      <c r="DZ535" s="7"/>
      <c r="EA535" s="7"/>
      <c r="EB535" s="7"/>
      <c r="EC535" s="7"/>
      <c r="ED535" s="7"/>
      <c r="EE535" s="7"/>
      <c r="EF535" s="7"/>
      <c r="EG535" s="7"/>
      <c r="EH535" s="7"/>
      <c r="EI535" s="7"/>
      <c r="EJ535" s="7"/>
      <c r="EK535" s="7"/>
      <c r="EL535" s="7"/>
      <c r="EM535" s="7"/>
      <c r="EN535" s="7"/>
      <c r="EO535" s="7"/>
      <c r="EP535" s="7"/>
      <c r="EQ535" s="7"/>
      <c r="ER535" s="7"/>
      <c r="ES535" s="7"/>
      <c r="ET535" s="7"/>
      <c r="EU535" s="7"/>
      <c r="EV535" s="7"/>
      <c r="EW535" s="7"/>
      <c r="EX535" s="7"/>
      <c r="EY535" s="7"/>
      <c r="EZ535" s="7"/>
      <c r="FA535" s="7"/>
      <c r="FB535" s="7"/>
      <c r="FC535" s="7"/>
      <c r="FD535" s="7"/>
      <c r="FE535" s="7"/>
      <c r="FF535" s="7"/>
      <c r="FG535" s="7"/>
      <c r="FH535" s="7"/>
      <c r="FI535" s="7"/>
      <c r="FJ535" s="7"/>
      <c r="FK535" s="7"/>
      <c r="FL535" s="7"/>
      <c r="FM535" s="7"/>
      <c r="FN535" s="7"/>
      <c r="FO535" s="7"/>
      <c r="FP535" s="7"/>
      <c r="FQ535" s="7"/>
      <c r="FR535" s="7"/>
      <c r="FS535" s="7"/>
    </row>
    <row r="536" spans="84:175" x14ac:dyDescent="0.25">
      <c r="CF536" s="7"/>
      <c r="CG536" s="7"/>
      <c r="CH536" s="7"/>
      <c r="CI536" s="7"/>
      <c r="CJ536" s="7"/>
      <c r="CK536" s="7"/>
      <c r="CL536" s="7"/>
      <c r="CM536" s="7"/>
      <c r="CN536" s="7"/>
      <c r="CO536" s="7"/>
      <c r="CP536" s="7"/>
      <c r="CQ536" s="7"/>
      <c r="CR536" s="7"/>
      <c r="CS536" s="7"/>
      <c r="CT536" s="7"/>
      <c r="CU536" s="7"/>
      <c r="CV536" s="7"/>
      <c r="CW536" s="7"/>
      <c r="CX536" s="7"/>
      <c r="CY536" s="7"/>
      <c r="CZ536" s="7"/>
      <c r="DA536" s="7"/>
      <c r="DB536" s="7"/>
      <c r="DC536" s="7"/>
      <c r="DD536" s="7"/>
      <c r="DE536" s="7"/>
      <c r="DF536" s="7"/>
      <c r="DG536" s="7"/>
      <c r="DH536" s="7"/>
      <c r="DI536" s="7"/>
      <c r="DJ536" s="7"/>
      <c r="DK536" s="7"/>
      <c r="DL536" s="7"/>
      <c r="DM536" s="7"/>
      <c r="DN536" s="7"/>
      <c r="DO536" s="7"/>
      <c r="DP536" s="7"/>
      <c r="DQ536" s="7"/>
      <c r="DR536" s="7"/>
      <c r="DS536" s="7"/>
      <c r="DT536" s="7"/>
      <c r="DU536" s="7"/>
      <c r="DV536" s="7"/>
      <c r="DW536" s="7"/>
      <c r="DX536" s="7"/>
      <c r="DY536" s="7"/>
      <c r="DZ536" s="7"/>
      <c r="EA536" s="7"/>
      <c r="EB536" s="7"/>
      <c r="EC536" s="7"/>
      <c r="ED536" s="7"/>
      <c r="EE536" s="7"/>
      <c r="EF536" s="7"/>
      <c r="EG536" s="7"/>
      <c r="EH536" s="7"/>
      <c r="EI536" s="7"/>
      <c r="EJ536" s="7"/>
      <c r="EK536" s="7"/>
      <c r="EL536" s="7"/>
      <c r="EM536" s="7"/>
      <c r="EN536" s="7"/>
      <c r="EO536" s="7"/>
      <c r="EP536" s="7"/>
      <c r="EQ536" s="7"/>
      <c r="ER536" s="7"/>
      <c r="ES536" s="7"/>
      <c r="ET536" s="7"/>
      <c r="EU536" s="7"/>
      <c r="EV536" s="7"/>
      <c r="EW536" s="7"/>
      <c r="EX536" s="7"/>
      <c r="EY536" s="7"/>
      <c r="EZ536" s="7"/>
      <c r="FA536" s="7"/>
      <c r="FB536" s="7"/>
      <c r="FC536" s="7"/>
      <c r="FD536" s="7"/>
      <c r="FE536" s="7"/>
      <c r="FF536" s="7"/>
      <c r="FG536" s="7"/>
      <c r="FH536" s="7"/>
      <c r="FI536" s="7"/>
      <c r="FJ536" s="7"/>
      <c r="FK536" s="7"/>
      <c r="FL536" s="7"/>
      <c r="FM536" s="7"/>
      <c r="FN536" s="7"/>
      <c r="FO536" s="7"/>
      <c r="FP536" s="7"/>
      <c r="FQ536" s="7"/>
      <c r="FR536" s="7"/>
      <c r="FS536" s="7"/>
    </row>
    <row r="537" spans="84:175" x14ac:dyDescent="0.25">
      <c r="CF537" s="7"/>
      <c r="CG537" s="7"/>
      <c r="CH537" s="7"/>
      <c r="CI537" s="7"/>
      <c r="CJ537" s="7"/>
      <c r="CK537" s="7"/>
      <c r="CL537" s="7"/>
      <c r="CM537" s="7"/>
      <c r="CN537" s="7"/>
      <c r="CO537" s="7"/>
      <c r="CP537" s="7"/>
      <c r="CQ537" s="7"/>
      <c r="CR537" s="7"/>
      <c r="CS537" s="7"/>
      <c r="CT537" s="7"/>
      <c r="CU537" s="7"/>
      <c r="CV537" s="7"/>
      <c r="CW537" s="7"/>
      <c r="CX537" s="7"/>
      <c r="CY537" s="7"/>
      <c r="CZ537" s="7"/>
      <c r="DA537" s="7"/>
      <c r="DB537" s="7"/>
      <c r="DC537" s="7"/>
      <c r="DD537" s="7"/>
      <c r="DE537" s="7"/>
      <c r="DF537" s="7"/>
      <c r="DG537" s="7"/>
      <c r="DH537" s="7"/>
      <c r="DI537" s="7"/>
      <c r="DJ537" s="7"/>
      <c r="DK537" s="7"/>
      <c r="DL537" s="7"/>
      <c r="DM537" s="7"/>
      <c r="DN537" s="7"/>
      <c r="DO537" s="7"/>
      <c r="DP537" s="7"/>
      <c r="DQ537" s="7"/>
      <c r="DR537" s="7"/>
      <c r="DS537" s="7"/>
      <c r="DT537" s="7"/>
      <c r="DU537" s="7"/>
      <c r="DV537" s="7"/>
      <c r="DW537" s="7"/>
      <c r="DX537" s="7"/>
      <c r="DY537" s="7"/>
      <c r="DZ537" s="7"/>
      <c r="EA537" s="7"/>
      <c r="EB537" s="7"/>
      <c r="EC537" s="7"/>
      <c r="ED537" s="7"/>
      <c r="EE537" s="7"/>
      <c r="EF537" s="7"/>
      <c r="EG537" s="7"/>
      <c r="EH537" s="7"/>
      <c r="EI537" s="7"/>
      <c r="EJ537" s="7"/>
      <c r="EK537" s="7"/>
      <c r="EL537" s="7"/>
      <c r="EM537" s="7"/>
      <c r="EN537" s="7"/>
      <c r="EO537" s="7"/>
      <c r="EP537" s="7"/>
      <c r="EQ537" s="7"/>
      <c r="ER537" s="7"/>
      <c r="ES537" s="7"/>
      <c r="ET537" s="7"/>
      <c r="EU537" s="7"/>
      <c r="EV537" s="7"/>
      <c r="EW537" s="7"/>
      <c r="EX537" s="7"/>
      <c r="EY537" s="7"/>
      <c r="EZ537" s="7"/>
      <c r="FA537" s="7"/>
      <c r="FB537" s="7"/>
      <c r="FC537" s="7"/>
      <c r="FD537" s="7"/>
      <c r="FE537" s="7"/>
      <c r="FF537" s="7"/>
      <c r="FG537" s="7"/>
      <c r="FH537" s="7"/>
      <c r="FI537" s="7"/>
      <c r="FJ537" s="7"/>
      <c r="FK537" s="7"/>
      <c r="FL537" s="7"/>
      <c r="FM537" s="7"/>
      <c r="FN537" s="7"/>
      <c r="FO537" s="7"/>
      <c r="FP537" s="7"/>
      <c r="FQ537" s="7"/>
      <c r="FR537" s="7"/>
      <c r="FS537" s="7"/>
    </row>
    <row r="538" spans="84:175" x14ac:dyDescent="0.25">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c r="EH538" s="7"/>
      <c r="EI538" s="7"/>
      <c r="EJ538" s="7"/>
      <c r="EK538" s="7"/>
      <c r="EL538" s="7"/>
      <c r="EM538" s="7"/>
      <c r="EN538" s="7"/>
      <c r="EO538" s="7"/>
      <c r="EP538" s="7"/>
      <c r="EQ538" s="7"/>
      <c r="ER538" s="7"/>
      <c r="ES538" s="7"/>
      <c r="ET538" s="7"/>
      <c r="EU538" s="7"/>
      <c r="EV538" s="7"/>
      <c r="EW538" s="7"/>
      <c r="EX538" s="7"/>
      <c r="EY538" s="7"/>
      <c r="EZ538" s="7"/>
      <c r="FA538" s="7"/>
      <c r="FB538" s="7"/>
      <c r="FC538" s="7"/>
      <c r="FD538" s="7"/>
      <c r="FE538" s="7"/>
      <c r="FF538" s="7"/>
      <c r="FG538" s="7"/>
      <c r="FH538" s="7"/>
      <c r="FI538" s="7"/>
      <c r="FJ538" s="7"/>
      <c r="FK538" s="7"/>
      <c r="FL538" s="7"/>
      <c r="FM538" s="7"/>
      <c r="FN538" s="7"/>
      <c r="FO538" s="7"/>
      <c r="FP538" s="7"/>
      <c r="FQ538" s="7"/>
      <c r="FR538" s="7"/>
      <c r="FS538" s="7"/>
    </row>
    <row r="539" spans="84:175" x14ac:dyDescent="0.25">
      <c r="CF539" s="7"/>
      <c r="CG539" s="7"/>
      <c r="CH539" s="7"/>
      <c r="CI539" s="7"/>
      <c r="CJ539" s="7"/>
      <c r="CK539" s="7"/>
      <c r="CL539" s="7"/>
      <c r="CM539" s="7"/>
      <c r="CN539" s="7"/>
      <c r="CO539" s="7"/>
      <c r="CP539" s="7"/>
      <c r="CQ539" s="7"/>
      <c r="CR539" s="7"/>
      <c r="CS539" s="7"/>
      <c r="CT539" s="7"/>
      <c r="CU539" s="7"/>
      <c r="CV539" s="7"/>
      <c r="CW539" s="7"/>
      <c r="CX539" s="7"/>
      <c r="CY539" s="7"/>
      <c r="CZ539" s="7"/>
      <c r="DA539" s="7"/>
      <c r="DB539" s="7"/>
      <c r="DC539" s="7"/>
      <c r="DD539" s="7"/>
      <c r="DE539" s="7"/>
      <c r="DF539" s="7"/>
      <c r="DG539" s="7"/>
      <c r="DH539" s="7"/>
      <c r="DI539" s="7"/>
      <c r="DJ539" s="7"/>
      <c r="DK539" s="7"/>
      <c r="DL539" s="7"/>
      <c r="DM539" s="7"/>
      <c r="DN539" s="7"/>
      <c r="DO539" s="7"/>
      <c r="DP539" s="7"/>
      <c r="DQ539" s="7"/>
      <c r="DR539" s="7"/>
      <c r="DS539" s="7"/>
      <c r="DT539" s="7"/>
      <c r="DU539" s="7"/>
      <c r="DV539" s="7"/>
      <c r="DW539" s="7"/>
      <c r="DX539" s="7"/>
      <c r="DY539" s="7"/>
      <c r="DZ539" s="7"/>
      <c r="EA539" s="7"/>
      <c r="EB539" s="7"/>
      <c r="EC539" s="7"/>
      <c r="ED539" s="7"/>
      <c r="EE539" s="7"/>
      <c r="EF539" s="7"/>
      <c r="EG539" s="7"/>
      <c r="EH539" s="7"/>
      <c r="EI539" s="7"/>
      <c r="EJ539" s="7"/>
      <c r="EK539" s="7"/>
      <c r="EL539" s="7"/>
      <c r="EM539" s="7"/>
      <c r="EN539" s="7"/>
      <c r="EO539" s="7"/>
      <c r="EP539" s="7"/>
      <c r="EQ539" s="7"/>
      <c r="ER539" s="7"/>
      <c r="ES539" s="7"/>
      <c r="ET539" s="7"/>
      <c r="EU539" s="7"/>
      <c r="EV539" s="7"/>
      <c r="EW539" s="7"/>
      <c r="EX539" s="7"/>
      <c r="EY539" s="7"/>
      <c r="EZ539" s="7"/>
      <c r="FA539" s="7"/>
      <c r="FB539" s="7"/>
      <c r="FC539" s="7"/>
      <c r="FD539" s="7"/>
      <c r="FE539" s="7"/>
      <c r="FF539" s="7"/>
      <c r="FG539" s="7"/>
      <c r="FH539" s="7"/>
      <c r="FI539" s="7"/>
      <c r="FJ539" s="7"/>
      <c r="FK539" s="7"/>
      <c r="FL539" s="7"/>
      <c r="FM539" s="7"/>
      <c r="FN539" s="7"/>
      <c r="FO539" s="7"/>
      <c r="FP539" s="7"/>
      <c r="FQ539" s="7"/>
      <c r="FR539" s="7"/>
      <c r="FS539" s="7"/>
    </row>
    <row r="540" spans="84:175" x14ac:dyDescent="0.25">
      <c r="CF540" s="7"/>
      <c r="CG540" s="7"/>
      <c r="CH540" s="7"/>
      <c r="CI540" s="7"/>
      <c r="CJ540" s="7"/>
      <c r="CK540" s="7"/>
      <c r="CL540" s="7"/>
      <c r="CM540" s="7"/>
      <c r="CN540" s="7"/>
      <c r="CO540" s="7"/>
      <c r="CP540" s="7"/>
      <c r="CQ540" s="7"/>
      <c r="CR540" s="7"/>
      <c r="CS540" s="7"/>
      <c r="CT540" s="7"/>
      <c r="CU540" s="7"/>
      <c r="CV540" s="7"/>
      <c r="CW540" s="7"/>
      <c r="CX540" s="7"/>
      <c r="CY540" s="7"/>
      <c r="CZ540" s="7"/>
      <c r="DA540" s="7"/>
      <c r="DB540" s="7"/>
      <c r="DC540" s="7"/>
      <c r="DD540" s="7"/>
      <c r="DE540" s="7"/>
      <c r="DF540" s="7"/>
      <c r="DG540" s="7"/>
      <c r="DH540" s="7"/>
      <c r="DI540" s="7"/>
      <c r="DJ540" s="7"/>
      <c r="DK540" s="7"/>
      <c r="DL540" s="7"/>
      <c r="DM540" s="7"/>
      <c r="DN540" s="7"/>
      <c r="DO540" s="7"/>
      <c r="DP540" s="7"/>
      <c r="DQ540" s="7"/>
      <c r="DR540" s="7"/>
      <c r="DS540" s="7"/>
      <c r="DT540" s="7"/>
      <c r="DU540" s="7"/>
      <c r="DV540" s="7"/>
      <c r="DW540" s="7"/>
      <c r="DX540" s="7"/>
      <c r="DY540" s="7"/>
      <c r="DZ540" s="7"/>
      <c r="EA540" s="7"/>
      <c r="EB540" s="7"/>
      <c r="EC540" s="7"/>
      <c r="ED540" s="7"/>
      <c r="EE540" s="7"/>
      <c r="EF540" s="7"/>
      <c r="EG540" s="7"/>
      <c r="EH540" s="7"/>
      <c r="EI540" s="7"/>
      <c r="EJ540" s="7"/>
      <c r="EK540" s="7"/>
      <c r="EL540" s="7"/>
      <c r="EM540" s="7"/>
      <c r="EN540" s="7"/>
      <c r="EO540" s="7"/>
      <c r="EP540" s="7"/>
      <c r="EQ540" s="7"/>
      <c r="ER540" s="7"/>
      <c r="ES540" s="7"/>
      <c r="ET540" s="7"/>
      <c r="EU540" s="7"/>
      <c r="EV540" s="7"/>
      <c r="EW540" s="7"/>
      <c r="EX540" s="7"/>
      <c r="EY540" s="7"/>
      <c r="EZ540" s="7"/>
      <c r="FA540" s="7"/>
      <c r="FB540" s="7"/>
      <c r="FC540" s="7"/>
      <c r="FD540" s="7"/>
      <c r="FE540" s="7"/>
      <c r="FF540" s="7"/>
      <c r="FG540" s="7"/>
      <c r="FH540" s="7"/>
      <c r="FI540" s="7"/>
      <c r="FJ540" s="7"/>
      <c r="FK540" s="7"/>
      <c r="FL540" s="7"/>
      <c r="FM540" s="7"/>
      <c r="FN540" s="7"/>
      <c r="FO540" s="7"/>
      <c r="FP540" s="7"/>
      <c r="FQ540" s="7"/>
      <c r="FR540" s="7"/>
      <c r="FS540" s="7"/>
    </row>
    <row r="541" spans="84:175" x14ac:dyDescent="0.25">
      <c r="CF541" s="7"/>
      <c r="CG541" s="7"/>
      <c r="CH541" s="7"/>
      <c r="CI541" s="7"/>
      <c r="CJ541" s="7"/>
      <c r="CK541" s="7"/>
      <c r="CL541" s="7"/>
      <c r="CM541" s="7"/>
      <c r="CN541" s="7"/>
      <c r="CO541" s="7"/>
      <c r="CP541" s="7"/>
      <c r="CQ541" s="7"/>
      <c r="CR541" s="7"/>
      <c r="CS541" s="7"/>
      <c r="CT541" s="7"/>
      <c r="CU541" s="7"/>
      <c r="CV541" s="7"/>
      <c r="CW541" s="7"/>
      <c r="CX541" s="7"/>
      <c r="CY541" s="7"/>
      <c r="CZ541" s="7"/>
      <c r="DA541" s="7"/>
      <c r="DB541" s="7"/>
      <c r="DC541" s="7"/>
      <c r="DD541" s="7"/>
      <c r="DE541" s="7"/>
      <c r="DF541" s="7"/>
      <c r="DG541" s="7"/>
      <c r="DH541" s="7"/>
      <c r="DI541" s="7"/>
      <c r="DJ541" s="7"/>
      <c r="DK541" s="7"/>
      <c r="DL541" s="7"/>
      <c r="DM541" s="7"/>
      <c r="DN541" s="7"/>
      <c r="DO541" s="7"/>
      <c r="DP541" s="7"/>
      <c r="DQ541" s="7"/>
      <c r="DR541" s="7"/>
      <c r="DS541" s="7"/>
      <c r="DT541" s="7"/>
      <c r="DU541" s="7"/>
      <c r="DV541" s="7"/>
      <c r="DW541" s="7"/>
      <c r="DX541" s="7"/>
      <c r="DY541" s="7"/>
      <c r="DZ541" s="7"/>
      <c r="EA541" s="7"/>
      <c r="EB541" s="7"/>
      <c r="EC541" s="7"/>
      <c r="ED541" s="7"/>
      <c r="EE541" s="7"/>
      <c r="EF541" s="7"/>
      <c r="EG541" s="7"/>
      <c r="EH541" s="7"/>
      <c r="EI541" s="7"/>
      <c r="EJ541" s="7"/>
      <c r="EK541" s="7"/>
      <c r="EL541" s="7"/>
      <c r="EM541" s="7"/>
      <c r="EN541" s="7"/>
      <c r="EO541" s="7"/>
      <c r="EP541" s="7"/>
      <c r="EQ541" s="7"/>
      <c r="ER541" s="7"/>
      <c r="ES541" s="7"/>
      <c r="ET541" s="7"/>
      <c r="EU541" s="7"/>
      <c r="EV541" s="7"/>
      <c r="EW541" s="7"/>
      <c r="EX541" s="7"/>
      <c r="EY541" s="7"/>
      <c r="EZ541" s="7"/>
      <c r="FA541" s="7"/>
      <c r="FB541" s="7"/>
      <c r="FC541" s="7"/>
      <c r="FD541" s="7"/>
      <c r="FE541" s="7"/>
      <c r="FF541" s="7"/>
      <c r="FG541" s="7"/>
      <c r="FH541" s="7"/>
      <c r="FI541" s="7"/>
      <c r="FJ541" s="7"/>
      <c r="FK541" s="7"/>
      <c r="FL541" s="7"/>
      <c r="FM541" s="7"/>
      <c r="FN541" s="7"/>
      <c r="FO541" s="7"/>
      <c r="FP541" s="7"/>
      <c r="FQ541" s="7"/>
      <c r="FR541" s="7"/>
      <c r="FS541" s="7"/>
    </row>
    <row r="542" spans="84:175" x14ac:dyDescent="0.25">
      <c r="CF542" s="7"/>
      <c r="CG542" s="7"/>
      <c r="CH542" s="7"/>
      <c r="CI542" s="7"/>
      <c r="CJ542" s="7"/>
      <c r="CK542" s="7"/>
      <c r="CL542" s="7"/>
      <c r="CM542" s="7"/>
      <c r="CN542" s="7"/>
      <c r="CO542" s="7"/>
      <c r="CP542" s="7"/>
      <c r="CQ542" s="7"/>
      <c r="CR542" s="7"/>
      <c r="CS542" s="7"/>
      <c r="CT542" s="7"/>
      <c r="CU542" s="7"/>
      <c r="CV542" s="7"/>
      <c r="CW542" s="7"/>
      <c r="CX542" s="7"/>
      <c r="CY542" s="7"/>
      <c r="CZ542" s="7"/>
      <c r="DA542" s="7"/>
      <c r="DB542" s="7"/>
      <c r="DC542" s="7"/>
      <c r="DD542" s="7"/>
      <c r="DE542" s="7"/>
      <c r="DF542" s="7"/>
      <c r="DG542" s="7"/>
      <c r="DH542" s="7"/>
      <c r="DI542" s="7"/>
      <c r="DJ542" s="7"/>
      <c r="DK542" s="7"/>
      <c r="DL542" s="7"/>
      <c r="DM542" s="7"/>
      <c r="DN542" s="7"/>
      <c r="DO542" s="7"/>
      <c r="DP542" s="7"/>
      <c r="DQ542" s="7"/>
      <c r="DR542" s="7"/>
      <c r="DS542" s="7"/>
      <c r="DT542" s="7"/>
      <c r="DU542" s="7"/>
      <c r="DV542" s="7"/>
      <c r="DW542" s="7"/>
      <c r="DX542" s="7"/>
      <c r="DY542" s="7"/>
      <c r="DZ542" s="7"/>
      <c r="EA542" s="7"/>
      <c r="EB542" s="7"/>
      <c r="EC542" s="7"/>
      <c r="ED542" s="7"/>
      <c r="EE542" s="7"/>
      <c r="EF542" s="7"/>
      <c r="EG542" s="7"/>
      <c r="EH542" s="7"/>
      <c r="EI542" s="7"/>
      <c r="EJ542" s="7"/>
      <c r="EK542" s="7"/>
      <c r="EL542" s="7"/>
      <c r="EM542" s="7"/>
      <c r="EN542" s="7"/>
      <c r="EO542" s="7"/>
      <c r="EP542" s="7"/>
      <c r="EQ542" s="7"/>
      <c r="ER542" s="7"/>
      <c r="ES542" s="7"/>
      <c r="ET542" s="7"/>
      <c r="EU542" s="7"/>
      <c r="EV542" s="7"/>
      <c r="EW542" s="7"/>
      <c r="EX542" s="7"/>
      <c r="EY542" s="7"/>
      <c r="EZ542" s="7"/>
      <c r="FA542" s="7"/>
      <c r="FB542" s="7"/>
      <c r="FC542" s="7"/>
      <c r="FD542" s="7"/>
      <c r="FE542" s="7"/>
      <c r="FF542" s="7"/>
      <c r="FG542" s="7"/>
      <c r="FH542" s="7"/>
      <c r="FI542" s="7"/>
      <c r="FJ542" s="7"/>
      <c r="FK542" s="7"/>
      <c r="FL542" s="7"/>
      <c r="FM542" s="7"/>
      <c r="FN542" s="7"/>
      <c r="FO542" s="7"/>
      <c r="FP542" s="7"/>
      <c r="FQ542" s="7"/>
      <c r="FR542" s="7"/>
      <c r="FS542" s="7"/>
    </row>
    <row r="543" spans="84:175" x14ac:dyDescent="0.25">
      <c r="CF543" s="7"/>
      <c r="CG543" s="7"/>
      <c r="CH543" s="7"/>
      <c r="CI543" s="7"/>
      <c r="CJ543" s="7"/>
      <c r="CK543" s="7"/>
      <c r="CL543" s="7"/>
      <c r="CM543" s="7"/>
      <c r="CN543" s="7"/>
      <c r="CO543" s="7"/>
      <c r="CP543" s="7"/>
      <c r="CQ543" s="7"/>
      <c r="CR543" s="7"/>
      <c r="CS543" s="7"/>
      <c r="CT543" s="7"/>
      <c r="CU543" s="7"/>
      <c r="CV543" s="7"/>
      <c r="CW543" s="7"/>
      <c r="CX543" s="7"/>
      <c r="CY543" s="7"/>
      <c r="CZ543" s="7"/>
      <c r="DA543" s="7"/>
      <c r="DB543" s="7"/>
      <c r="DC543" s="7"/>
      <c r="DD543" s="7"/>
      <c r="DE543" s="7"/>
      <c r="DF543" s="7"/>
      <c r="DG543" s="7"/>
      <c r="DH543" s="7"/>
      <c r="DI543" s="7"/>
      <c r="DJ543" s="7"/>
      <c r="DK543" s="7"/>
      <c r="DL543" s="7"/>
      <c r="DM543" s="7"/>
      <c r="DN543" s="7"/>
      <c r="DO543" s="7"/>
      <c r="DP543" s="7"/>
      <c r="DQ543" s="7"/>
      <c r="DR543" s="7"/>
      <c r="DS543" s="7"/>
      <c r="DT543" s="7"/>
      <c r="DU543" s="7"/>
      <c r="DV543" s="7"/>
      <c r="DW543" s="7"/>
      <c r="DX543" s="7"/>
      <c r="DY543" s="7"/>
      <c r="DZ543" s="7"/>
      <c r="EA543" s="7"/>
      <c r="EB543" s="7"/>
      <c r="EC543" s="7"/>
      <c r="ED543" s="7"/>
      <c r="EE543" s="7"/>
      <c r="EF543" s="7"/>
      <c r="EG543" s="7"/>
      <c r="EH543" s="7"/>
      <c r="EI543" s="7"/>
      <c r="EJ543" s="7"/>
      <c r="EK543" s="7"/>
      <c r="EL543" s="7"/>
      <c r="EM543" s="7"/>
      <c r="EN543" s="7"/>
      <c r="EO543" s="7"/>
      <c r="EP543" s="7"/>
      <c r="EQ543" s="7"/>
      <c r="ER543" s="7"/>
      <c r="ES543" s="7"/>
      <c r="ET543" s="7"/>
      <c r="EU543" s="7"/>
      <c r="EV543" s="7"/>
      <c r="EW543" s="7"/>
      <c r="EX543" s="7"/>
      <c r="EY543" s="7"/>
      <c r="EZ543" s="7"/>
      <c r="FA543" s="7"/>
      <c r="FB543" s="7"/>
      <c r="FC543" s="7"/>
      <c r="FD543" s="7"/>
      <c r="FE543" s="7"/>
      <c r="FF543" s="7"/>
      <c r="FG543" s="7"/>
      <c r="FH543" s="7"/>
      <c r="FI543" s="7"/>
      <c r="FJ543" s="7"/>
      <c r="FK543" s="7"/>
      <c r="FL543" s="7"/>
      <c r="FM543" s="7"/>
      <c r="FN543" s="7"/>
      <c r="FO543" s="7"/>
      <c r="FP543" s="7"/>
      <c r="FQ543" s="7"/>
      <c r="FR543" s="7"/>
      <c r="FS543" s="7"/>
    </row>
    <row r="544" spans="84:175" x14ac:dyDescent="0.25">
      <c r="CF544" s="7"/>
      <c r="CG544" s="7"/>
      <c r="CH544" s="7"/>
      <c r="CI544" s="7"/>
      <c r="CJ544" s="7"/>
      <c r="CK544" s="7"/>
      <c r="CL544" s="7"/>
      <c r="CM544" s="7"/>
      <c r="CN544" s="7"/>
      <c r="CO544" s="7"/>
      <c r="CP544" s="7"/>
      <c r="CQ544" s="7"/>
      <c r="CR544" s="7"/>
      <c r="CS544" s="7"/>
      <c r="CT544" s="7"/>
      <c r="CU544" s="7"/>
      <c r="CV544" s="7"/>
      <c r="CW544" s="7"/>
      <c r="CX544" s="7"/>
      <c r="CY544" s="7"/>
      <c r="CZ544" s="7"/>
      <c r="DA544" s="7"/>
      <c r="DB544" s="7"/>
      <c r="DC544" s="7"/>
      <c r="DD544" s="7"/>
      <c r="DE544" s="7"/>
      <c r="DF544" s="7"/>
      <c r="DG544" s="7"/>
      <c r="DH544" s="7"/>
      <c r="DI544" s="7"/>
      <c r="DJ544" s="7"/>
      <c r="DK544" s="7"/>
      <c r="DL544" s="7"/>
      <c r="DM544" s="7"/>
      <c r="DN544" s="7"/>
      <c r="DO544" s="7"/>
      <c r="DP544" s="7"/>
      <c r="DQ544" s="7"/>
      <c r="DR544" s="7"/>
      <c r="DS544" s="7"/>
      <c r="DT544" s="7"/>
      <c r="DU544" s="7"/>
      <c r="DV544" s="7"/>
      <c r="DW544" s="7"/>
      <c r="DX544" s="7"/>
      <c r="DY544" s="7"/>
      <c r="DZ544" s="7"/>
      <c r="EA544" s="7"/>
      <c r="EB544" s="7"/>
      <c r="EC544" s="7"/>
      <c r="ED544" s="7"/>
      <c r="EE544" s="7"/>
      <c r="EF544" s="7"/>
      <c r="EG544" s="7"/>
      <c r="EH544" s="7"/>
      <c r="EI544" s="7"/>
      <c r="EJ544" s="7"/>
      <c r="EK544" s="7"/>
      <c r="EL544" s="7"/>
      <c r="EM544" s="7"/>
      <c r="EN544" s="7"/>
      <c r="EO544" s="7"/>
      <c r="EP544" s="7"/>
      <c r="EQ544" s="7"/>
      <c r="ER544" s="7"/>
      <c r="ES544" s="7"/>
      <c r="ET544" s="7"/>
      <c r="EU544" s="7"/>
      <c r="EV544" s="7"/>
      <c r="EW544" s="7"/>
      <c r="EX544" s="7"/>
      <c r="EY544" s="7"/>
      <c r="EZ544" s="7"/>
      <c r="FA544" s="7"/>
      <c r="FB544" s="7"/>
      <c r="FC544" s="7"/>
      <c r="FD544" s="7"/>
      <c r="FE544" s="7"/>
      <c r="FF544" s="7"/>
      <c r="FG544" s="7"/>
      <c r="FH544" s="7"/>
      <c r="FI544" s="7"/>
      <c r="FJ544" s="7"/>
      <c r="FK544" s="7"/>
      <c r="FL544" s="7"/>
      <c r="FM544" s="7"/>
      <c r="FN544" s="7"/>
      <c r="FO544" s="7"/>
      <c r="FP544" s="7"/>
      <c r="FQ544" s="7"/>
      <c r="FR544" s="7"/>
      <c r="FS544" s="7"/>
    </row>
    <row r="545" spans="84:175" x14ac:dyDescent="0.25">
      <c r="CF545" s="7"/>
      <c r="CG545" s="7"/>
      <c r="CH545" s="7"/>
      <c r="CI545" s="7"/>
      <c r="CJ545" s="7"/>
      <c r="CK545" s="7"/>
      <c r="CL545" s="7"/>
      <c r="CM545" s="7"/>
      <c r="CN545" s="7"/>
      <c r="CO545" s="7"/>
      <c r="CP545" s="7"/>
      <c r="CQ545" s="7"/>
      <c r="CR545" s="7"/>
      <c r="CS545" s="7"/>
      <c r="CT545" s="7"/>
      <c r="CU545" s="7"/>
      <c r="CV545" s="7"/>
      <c r="CW545" s="7"/>
      <c r="CX545" s="7"/>
      <c r="CY545" s="7"/>
      <c r="CZ545" s="7"/>
      <c r="DA545" s="7"/>
      <c r="DB545" s="7"/>
      <c r="DC545" s="7"/>
      <c r="DD545" s="7"/>
      <c r="DE545" s="7"/>
      <c r="DF545" s="7"/>
      <c r="DG545" s="7"/>
      <c r="DH545" s="7"/>
      <c r="DI545" s="7"/>
      <c r="DJ545" s="7"/>
      <c r="DK545" s="7"/>
      <c r="DL545" s="7"/>
      <c r="DM545" s="7"/>
      <c r="DN545" s="7"/>
      <c r="DO545" s="7"/>
      <c r="DP545" s="7"/>
      <c r="DQ545" s="7"/>
      <c r="DR545" s="7"/>
      <c r="DS545" s="7"/>
      <c r="DT545" s="7"/>
      <c r="DU545" s="7"/>
      <c r="DV545" s="7"/>
      <c r="DW545" s="7"/>
      <c r="DX545" s="7"/>
      <c r="DY545" s="7"/>
      <c r="DZ545" s="7"/>
      <c r="EA545" s="7"/>
      <c r="EB545" s="7"/>
      <c r="EC545" s="7"/>
      <c r="ED545" s="7"/>
      <c r="EE545" s="7"/>
      <c r="EF545" s="7"/>
      <c r="EG545" s="7"/>
      <c r="EH545" s="7"/>
      <c r="EI545" s="7"/>
      <c r="EJ545" s="7"/>
      <c r="EK545" s="7"/>
      <c r="EL545" s="7"/>
      <c r="EM545" s="7"/>
      <c r="EN545" s="7"/>
      <c r="EO545" s="7"/>
      <c r="EP545" s="7"/>
      <c r="EQ545" s="7"/>
      <c r="ER545" s="7"/>
      <c r="ES545" s="7"/>
      <c r="ET545" s="7"/>
      <c r="EU545" s="7"/>
      <c r="EV545" s="7"/>
      <c r="EW545" s="7"/>
      <c r="EX545" s="7"/>
      <c r="EY545" s="7"/>
      <c r="EZ545" s="7"/>
      <c r="FA545" s="7"/>
      <c r="FB545" s="7"/>
      <c r="FC545" s="7"/>
      <c r="FD545" s="7"/>
      <c r="FE545" s="7"/>
      <c r="FF545" s="7"/>
      <c r="FG545" s="7"/>
      <c r="FH545" s="7"/>
      <c r="FI545" s="7"/>
      <c r="FJ545" s="7"/>
      <c r="FK545" s="7"/>
      <c r="FL545" s="7"/>
      <c r="FM545" s="7"/>
      <c r="FN545" s="7"/>
      <c r="FO545" s="7"/>
      <c r="FP545" s="7"/>
      <c r="FQ545" s="7"/>
      <c r="FR545" s="7"/>
      <c r="FS545" s="7"/>
    </row>
    <row r="546" spans="84:175" x14ac:dyDescent="0.25">
      <c r="CF546" s="7"/>
      <c r="CG546" s="7"/>
      <c r="CH546" s="7"/>
      <c r="CI546" s="7"/>
      <c r="CJ546" s="7"/>
      <c r="CK546" s="7"/>
      <c r="CL546" s="7"/>
      <c r="CM546" s="7"/>
      <c r="CN546" s="7"/>
      <c r="CO546" s="7"/>
      <c r="CP546" s="7"/>
      <c r="CQ546" s="7"/>
      <c r="CR546" s="7"/>
      <c r="CS546" s="7"/>
      <c r="CT546" s="7"/>
      <c r="CU546" s="7"/>
      <c r="CV546" s="7"/>
      <c r="CW546" s="7"/>
      <c r="CX546" s="7"/>
      <c r="CY546" s="7"/>
      <c r="CZ546" s="7"/>
      <c r="DA546" s="7"/>
      <c r="DB546" s="7"/>
      <c r="DC546" s="7"/>
      <c r="DD546" s="7"/>
      <c r="DE546" s="7"/>
      <c r="DF546" s="7"/>
      <c r="DG546" s="7"/>
      <c r="DH546" s="7"/>
      <c r="DI546" s="7"/>
      <c r="DJ546" s="7"/>
      <c r="DK546" s="7"/>
      <c r="DL546" s="7"/>
      <c r="DM546" s="7"/>
      <c r="DN546" s="7"/>
      <c r="DO546" s="7"/>
      <c r="DP546" s="7"/>
      <c r="DQ546" s="7"/>
      <c r="DR546" s="7"/>
      <c r="DS546" s="7"/>
      <c r="DT546" s="7"/>
      <c r="DU546" s="7"/>
      <c r="DV546" s="7"/>
      <c r="DW546" s="7"/>
      <c r="DX546" s="7"/>
      <c r="DY546" s="7"/>
      <c r="DZ546" s="7"/>
      <c r="EA546" s="7"/>
      <c r="EB546" s="7"/>
      <c r="EC546" s="7"/>
      <c r="ED546" s="7"/>
      <c r="EE546" s="7"/>
      <c r="EF546" s="7"/>
      <c r="EG546" s="7"/>
      <c r="EH546" s="7"/>
      <c r="EI546" s="7"/>
      <c r="EJ546" s="7"/>
      <c r="EK546" s="7"/>
      <c r="EL546" s="7"/>
      <c r="EM546" s="7"/>
      <c r="EN546" s="7"/>
      <c r="EO546" s="7"/>
      <c r="EP546" s="7"/>
      <c r="EQ546" s="7"/>
      <c r="ER546" s="7"/>
      <c r="ES546" s="7"/>
      <c r="ET546" s="7"/>
      <c r="EU546" s="7"/>
      <c r="EV546" s="7"/>
      <c r="EW546" s="7"/>
      <c r="EX546" s="7"/>
      <c r="EY546" s="7"/>
      <c r="EZ546" s="7"/>
      <c r="FA546" s="7"/>
      <c r="FB546" s="7"/>
      <c r="FC546" s="7"/>
      <c r="FD546" s="7"/>
      <c r="FE546" s="7"/>
      <c r="FF546" s="7"/>
      <c r="FG546" s="7"/>
      <c r="FH546" s="7"/>
      <c r="FI546" s="7"/>
      <c r="FJ546" s="7"/>
      <c r="FK546" s="7"/>
      <c r="FL546" s="7"/>
      <c r="FM546" s="7"/>
      <c r="FN546" s="7"/>
      <c r="FO546" s="7"/>
      <c r="FP546" s="7"/>
      <c r="FQ546" s="7"/>
      <c r="FR546" s="7"/>
      <c r="FS546" s="7"/>
    </row>
    <row r="547" spans="84:175" x14ac:dyDescent="0.25">
      <c r="CF547" s="7"/>
      <c r="CG547" s="7"/>
      <c r="CH547" s="7"/>
      <c r="CI547" s="7"/>
      <c r="CJ547" s="7"/>
      <c r="CK547" s="7"/>
      <c r="CL547" s="7"/>
      <c r="CM547" s="7"/>
      <c r="CN547" s="7"/>
      <c r="CO547" s="7"/>
      <c r="CP547" s="7"/>
      <c r="CQ547" s="7"/>
      <c r="CR547" s="7"/>
      <c r="CS547" s="7"/>
      <c r="CT547" s="7"/>
      <c r="CU547" s="7"/>
      <c r="CV547" s="7"/>
      <c r="CW547" s="7"/>
      <c r="CX547" s="7"/>
      <c r="CY547" s="7"/>
      <c r="CZ547" s="7"/>
      <c r="DA547" s="7"/>
      <c r="DB547" s="7"/>
      <c r="DC547" s="7"/>
      <c r="DD547" s="7"/>
      <c r="DE547" s="7"/>
      <c r="DF547" s="7"/>
      <c r="DG547" s="7"/>
      <c r="DH547" s="7"/>
      <c r="DI547" s="7"/>
      <c r="DJ547" s="7"/>
      <c r="DK547" s="7"/>
      <c r="DL547" s="7"/>
      <c r="DM547" s="7"/>
      <c r="DN547" s="7"/>
      <c r="DO547" s="7"/>
      <c r="DP547" s="7"/>
      <c r="DQ547" s="7"/>
      <c r="DR547" s="7"/>
      <c r="DS547" s="7"/>
      <c r="DT547" s="7"/>
      <c r="DU547" s="7"/>
      <c r="DV547" s="7"/>
      <c r="DW547" s="7"/>
      <c r="DX547" s="7"/>
      <c r="DY547" s="7"/>
      <c r="DZ547" s="7"/>
      <c r="EA547" s="7"/>
      <c r="EB547" s="7"/>
      <c r="EC547" s="7"/>
      <c r="ED547" s="7"/>
      <c r="EE547" s="7"/>
      <c r="EF547" s="7"/>
      <c r="EG547" s="7"/>
      <c r="EH547" s="7"/>
      <c r="EI547" s="7"/>
      <c r="EJ547" s="7"/>
      <c r="EK547" s="7"/>
      <c r="EL547" s="7"/>
      <c r="EM547" s="7"/>
      <c r="EN547" s="7"/>
      <c r="EO547" s="7"/>
      <c r="EP547" s="7"/>
      <c r="EQ547" s="7"/>
      <c r="ER547" s="7"/>
      <c r="ES547" s="7"/>
      <c r="ET547" s="7"/>
      <c r="EU547" s="7"/>
      <c r="EV547" s="7"/>
      <c r="EW547" s="7"/>
      <c r="EX547" s="7"/>
      <c r="EY547" s="7"/>
      <c r="EZ547" s="7"/>
      <c r="FA547" s="7"/>
      <c r="FB547" s="7"/>
      <c r="FC547" s="7"/>
      <c r="FD547" s="7"/>
      <c r="FE547" s="7"/>
      <c r="FF547" s="7"/>
      <c r="FG547" s="7"/>
      <c r="FH547" s="7"/>
      <c r="FI547" s="7"/>
      <c r="FJ547" s="7"/>
      <c r="FK547" s="7"/>
      <c r="FL547" s="7"/>
      <c r="FM547" s="7"/>
      <c r="FN547" s="7"/>
      <c r="FO547" s="7"/>
      <c r="FP547" s="7"/>
      <c r="FQ547" s="7"/>
      <c r="FR547" s="7"/>
      <c r="FS547" s="7"/>
    </row>
    <row r="548" spans="84:175" x14ac:dyDescent="0.25">
      <c r="CF548" s="7"/>
      <c r="CG548" s="7"/>
      <c r="CH548" s="7"/>
      <c r="CI548" s="7"/>
      <c r="CJ548" s="7"/>
      <c r="CK548" s="7"/>
      <c r="CL548" s="7"/>
      <c r="CM548" s="7"/>
      <c r="CN548" s="7"/>
      <c r="CO548" s="7"/>
      <c r="CP548" s="7"/>
      <c r="CQ548" s="7"/>
      <c r="CR548" s="7"/>
      <c r="CS548" s="7"/>
      <c r="CT548" s="7"/>
      <c r="CU548" s="7"/>
      <c r="CV548" s="7"/>
      <c r="CW548" s="7"/>
      <c r="CX548" s="7"/>
      <c r="CY548" s="7"/>
      <c r="CZ548" s="7"/>
      <c r="DA548" s="7"/>
      <c r="DB548" s="7"/>
      <c r="DC548" s="7"/>
      <c r="DD548" s="7"/>
      <c r="DE548" s="7"/>
      <c r="DF548" s="7"/>
      <c r="DG548" s="7"/>
      <c r="DH548" s="7"/>
      <c r="DI548" s="7"/>
      <c r="DJ548" s="7"/>
      <c r="DK548" s="7"/>
      <c r="DL548" s="7"/>
      <c r="DM548" s="7"/>
      <c r="DN548" s="7"/>
      <c r="DO548" s="7"/>
      <c r="DP548" s="7"/>
      <c r="DQ548" s="7"/>
      <c r="DR548" s="7"/>
      <c r="DS548" s="7"/>
      <c r="DT548" s="7"/>
      <c r="DU548" s="7"/>
      <c r="DV548" s="7"/>
      <c r="DW548" s="7"/>
      <c r="DX548" s="7"/>
      <c r="DY548" s="7"/>
      <c r="DZ548" s="7"/>
      <c r="EA548" s="7"/>
      <c r="EB548" s="7"/>
      <c r="EC548" s="7"/>
      <c r="ED548" s="7"/>
      <c r="EE548" s="7"/>
      <c r="EF548" s="7"/>
      <c r="EG548" s="7"/>
      <c r="EH548" s="7"/>
      <c r="EI548" s="7"/>
      <c r="EJ548" s="7"/>
      <c r="EK548" s="7"/>
      <c r="EL548" s="7"/>
      <c r="EM548" s="7"/>
      <c r="EN548" s="7"/>
      <c r="EO548" s="7"/>
      <c r="EP548" s="7"/>
      <c r="EQ548" s="7"/>
      <c r="ER548" s="7"/>
      <c r="ES548" s="7"/>
      <c r="ET548" s="7"/>
      <c r="EU548" s="7"/>
      <c r="EV548" s="7"/>
      <c r="EW548" s="7"/>
      <c r="EX548" s="7"/>
      <c r="EY548" s="7"/>
      <c r="EZ548" s="7"/>
      <c r="FA548" s="7"/>
      <c r="FB548" s="7"/>
      <c r="FC548" s="7"/>
      <c r="FD548" s="7"/>
      <c r="FE548" s="7"/>
      <c r="FF548" s="7"/>
      <c r="FG548" s="7"/>
      <c r="FH548" s="7"/>
      <c r="FI548" s="7"/>
      <c r="FJ548" s="7"/>
      <c r="FK548" s="7"/>
      <c r="FL548" s="7"/>
      <c r="FM548" s="7"/>
      <c r="FN548" s="7"/>
      <c r="FO548" s="7"/>
      <c r="FP548" s="7"/>
      <c r="FQ548" s="7"/>
      <c r="FR548" s="7"/>
      <c r="FS548" s="7"/>
    </row>
    <row r="549" spans="84:175" x14ac:dyDescent="0.25">
      <c r="CF549" s="7"/>
      <c r="CG549" s="7"/>
      <c r="CH549" s="7"/>
      <c r="CI549" s="7"/>
      <c r="CJ549" s="7"/>
      <c r="CK549" s="7"/>
      <c r="CL549" s="7"/>
      <c r="CM549" s="7"/>
      <c r="CN549" s="7"/>
      <c r="CO549" s="7"/>
      <c r="CP549" s="7"/>
      <c r="CQ549" s="7"/>
      <c r="CR549" s="7"/>
      <c r="CS549" s="7"/>
      <c r="CT549" s="7"/>
      <c r="CU549" s="7"/>
      <c r="CV549" s="7"/>
      <c r="CW549" s="7"/>
      <c r="CX549" s="7"/>
      <c r="CY549" s="7"/>
      <c r="CZ549" s="7"/>
      <c r="DA549" s="7"/>
      <c r="DB549" s="7"/>
      <c r="DC549" s="7"/>
      <c r="DD549" s="7"/>
      <c r="DE549" s="7"/>
      <c r="DF549" s="7"/>
      <c r="DG549" s="7"/>
      <c r="DH549" s="7"/>
      <c r="DI549" s="7"/>
      <c r="DJ549" s="7"/>
      <c r="DK549" s="7"/>
      <c r="DL549" s="7"/>
      <c r="DM549" s="7"/>
      <c r="DN549" s="7"/>
      <c r="DO549" s="7"/>
      <c r="DP549" s="7"/>
      <c r="DQ549" s="7"/>
      <c r="DR549" s="7"/>
      <c r="DS549" s="7"/>
      <c r="DT549" s="7"/>
      <c r="DU549" s="7"/>
      <c r="DV549" s="7"/>
      <c r="DW549" s="7"/>
      <c r="DX549" s="7"/>
      <c r="DY549" s="7"/>
      <c r="DZ549" s="7"/>
      <c r="EA549" s="7"/>
      <c r="EB549" s="7"/>
      <c r="EC549" s="7"/>
      <c r="ED549" s="7"/>
      <c r="EE549" s="7"/>
      <c r="EF549" s="7"/>
      <c r="EG549" s="7"/>
      <c r="EH549" s="7"/>
      <c r="EI549" s="7"/>
      <c r="EJ549" s="7"/>
      <c r="EK549" s="7"/>
      <c r="EL549" s="7"/>
      <c r="EM549" s="7"/>
      <c r="EN549" s="7"/>
      <c r="EO549" s="7"/>
      <c r="EP549" s="7"/>
      <c r="EQ549" s="7"/>
      <c r="ER549" s="7"/>
      <c r="ES549" s="7"/>
      <c r="ET549" s="7"/>
      <c r="EU549" s="7"/>
      <c r="EV549" s="7"/>
      <c r="EW549" s="7"/>
      <c r="EX549" s="7"/>
      <c r="EY549" s="7"/>
      <c r="EZ549" s="7"/>
      <c r="FA549" s="7"/>
      <c r="FB549" s="7"/>
      <c r="FC549" s="7"/>
      <c r="FD549" s="7"/>
      <c r="FE549" s="7"/>
      <c r="FF549" s="7"/>
      <c r="FG549" s="7"/>
      <c r="FH549" s="7"/>
      <c r="FI549" s="7"/>
      <c r="FJ549" s="7"/>
      <c r="FK549" s="7"/>
      <c r="FL549" s="7"/>
      <c r="FM549" s="7"/>
      <c r="FN549" s="7"/>
      <c r="FO549" s="7"/>
      <c r="FP549" s="7"/>
      <c r="FQ549" s="7"/>
      <c r="FR549" s="7"/>
      <c r="FS549" s="7"/>
    </row>
    <row r="550" spans="84:175" x14ac:dyDescent="0.25">
      <c r="CF550" s="7"/>
      <c r="CG550" s="7"/>
      <c r="CH550" s="7"/>
      <c r="CI550" s="7"/>
      <c r="CJ550" s="7"/>
      <c r="CK550" s="7"/>
      <c r="CL550" s="7"/>
      <c r="CM550" s="7"/>
      <c r="CN550" s="7"/>
      <c r="CO550" s="7"/>
      <c r="CP550" s="7"/>
      <c r="CQ550" s="7"/>
      <c r="CR550" s="7"/>
      <c r="CS550" s="7"/>
      <c r="CT550" s="7"/>
      <c r="CU550" s="7"/>
      <c r="CV550" s="7"/>
      <c r="CW550" s="7"/>
      <c r="CX550" s="7"/>
      <c r="CY550" s="7"/>
      <c r="CZ550" s="7"/>
      <c r="DA550" s="7"/>
      <c r="DB550" s="7"/>
      <c r="DC550" s="7"/>
      <c r="DD550" s="7"/>
      <c r="DE550" s="7"/>
      <c r="DF550" s="7"/>
      <c r="DG550" s="7"/>
      <c r="DH550" s="7"/>
      <c r="DI550" s="7"/>
      <c r="DJ550" s="7"/>
      <c r="DK550" s="7"/>
      <c r="DL550" s="7"/>
      <c r="DM550" s="7"/>
      <c r="DN550" s="7"/>
      <c r="DO550" s="7"/>
      <c r="DP550" s="7"/>
      <c r="DQ550" s="7"/>
      <c r="DR550" s="7"/>
      <c r="DS550" s="7"/>
      <c r="DT550" s="7"/>
      <c r="DU550" s="7"/>
      <c r="DV550" s="7"/>
      <c r="DW550" s="7"/>
      <c r="DX550" s="7"/>
      <c r="DY550" s="7"/>
      <c r="DZ550" s="7"/>
      <c r="EA550" s="7"/>
      <c r="EB550" s="7"/>
      <c r="EC550" s="7"/>
      <c r="ED550" s="7"/>
      <c r="EE550" s="7"/>
      <c r="EF550" s="7"/>
      <c r="EG550" s="7"/>
      <c r="EH550" s="7"/>
      <c r="EI550" s="7"/>
      <c r="EJ550" s="7"/>
      <c r="EK550" s="7"/>
      <c r="EL550" s="7"/>
      <c r="EM550" s="7"/>
      <c r="EN550" s="7"/>
      <c r="EO550" s="7"/>
      <c r="EP550" s="7"/>
      <c r="EQ550" s="7"/>
      <c r="ER550" s="7"/>
      <c r="ES550" s="7"/>
      <c r="ET550" s="7"/>
      <c r="EU550" s="7"/>
      <c r="EV550" s="7"/>
      <c r="EW550" s="7"/>
      <c r="EX550" s="7"/>
      <c r="EY550" s="7"/>
      <c r="EZ550" s="7"/>
      <c r="FA550" s="7"/>
      <c r="FB550" s="7"/>
      <c r="FC550" s="7"/>
      <c r="FD550" s="7"/>
      <c r="FE550" s="7"/>
      <c r="FF550" s="7"/>
      <c r="FG550" s="7"/>
      <c r="FH550" s="7"/>
      <c r="FI550" s="7"/>
      <c r="FJ550" s="7"/>
      <c r="FK550" s="7"/>
      <c r="FL550" s="7"/>
      <c r="FM550" s="7"/>
      <c r="FN550" s="7"/>
      <c r="FO550" s="7"/>
      <c r="FP550" s="7"/>
      <c r="FQ550" s="7"/>
      <c r="FR550" s="7"/>
      <c r="FS550" s="7"/>
    </row>
    <row r="551" spans="84:175" x14ac:dyDescent="0.25">
      <c r="CF551" s="7"/>
      <c r="CG551" s="7"/>
      <c r="CH551" s="7"/>
      <c r="CI551" s="7"/>
      <c r="CJ551" s="7"/>
      <c r="CK551" s="7"/>
      <c r="CL551" s="7"/>
      <c r="CM551" s="7"/>
      <c r="CN551" s="7"/>
      <c r="CO551" s="7"/>
      <c r="CP551" s="7"/>
      <c r="CQ551" s="7"/>
      <c r="CR551" s="7"/>
      <c r="CS551" s="7"/>
      <c r="CT551" s="7"/>
      <c r="CU551" s="7"/>
      <c r="CV551" s="7"/>
      <c r="CW551" s="7"/>
      <c r="CX551" s="7"/>
      <c r="CY551" s="7"/>
      <c r="CZ551" s="7"/>
      <c r="DA551" s="7"/>
      <c r="DB551" s="7"/>
      <c r="DC551" s="7"/>
      <c r="DD551" s="7"/>
      <c r="DE551" s="7"/>
      <c r="DF551" s="7"/>
      <c r="DG551" s="7"/>
      <c r="DH551" s="7"/>
      <c r="DI551" s="7"/>
      <c r="DJ551" s="7"/>
      <c r="DK551" s="7"/>
      <c r="DL551" s="7"/>
      <c r="DM551" s="7"/>
      <c r="DN551" s="7"/>
      <c r="DO551" s="7"/>
      <c r="DP551" s="7"/>
      <c r="DQ551" s="7"/>
      <c r="DR551" s="7"/>
      <c r="DS551" s="7"/>
      <c r="DT551" s="7"/>
      <c r="DU551" s="7"/>
      <c r="DV551" s="7"/>
      <c r="DW551" s="7"/>
      <c r="DX551" s="7"/>
      <c r="DY551" s="7"/>
      <c r="DZ551" s="7"/>
      <c r="EA551" s="7"/>
      <c r="EB551" s="7"/>
      <c r="EC551" s="7"/>
      <c r="ED551" s="7"/>
      <c r="EE551" s="7"/>
      <c r="EF551" s="7"/>
      <c r="EG551" s="7"/>
      <c r="EH551" s="7"/>
      <c r="EI551" s="7"/>
      <c r="EJ551" s="7"/>
      <c r="EK551" s="7"/>
      <c r="EL551" s="7"/>
      <c r="EM551" s="7"/>
      <c r="EN551" s="7"/>
      <c r="EO551" s="7"/>
      <c r="EP551" s="7"/>
      <c r="EQ551" s="7"/>
      <c r="ER551" s="7"/>
      <c r="ES551" s="7"/>
      <c r="ET551" s="7"/>
      <c r="EU551" s="7"/>
      <c r="EV551" s="7"/>
      <c r="EW551" s="7"/>
      <c r="EX551" s="7"/>
      <c r="EY551" s="7"/>
      <c r="EZ551" s="7"/>
      <c r="FA551" s="7"/>
      <c r="FB551" s="7"/>
      <c r="FC551" s="7"/>
      <c r="FD551" s="7"/>
      <c r="FE551" s="7"/>
      <c r="FF551" s="7"/>
      <c r="FG551" s="7"/>
      <c r="FH551" s="7"/>
      <c r="FI551" s="7"/>
      <c r="FJ551" s="7"/>
      <c r="FK551" s="7"/>
      <c r="FL551" s="7"/>
      <c r="FM551" s="7"/>
      <c r="FN551" s="7"/>
      <c r="FO551" s="7"/>
      <c r="FP551" s="7"/>
      <c r="FQ551" s="7"/>
      <c r="FR551" s="7"/>
      <c r="FS551" s="7"/>
    </row>
    <row r="552" spans="84:175" x14ac:dyDescent="0.25">
      <c r="CF552" s="7"/>
      <c r="CG552" s="7"/>
      <c r="CH552" s="7"/>
      <c r="CI552" s="7"/>
      <c r="CJ552" s="7"/>
      <c r="CK552" s="7"/>
      <c r="CL552" s="7"/>
      <c r="CM552" s="7"/>
      <c r="CN552" s="7"/>
      <c r="CO552" s="7"/>
      <c r="CP552" s="7"/>
      <c r="CQ552" s="7"/>
      <c r="CR552" s="7"/>
      <c r="CS552" s="7"/>
      <c r="CT552" s="7"/>
      <c r="CU552" s="7"/>
      <c r="CV552" s="7"/>
      <c r="CW552" s="7"/>
      <c r="CX552" s="7"/>
      <c r="CY552" s="7"/>
      <c r="CZ552" s="7"/>
      <c r="DA552" s="7"/>
      <c r="DB552" s="7"/>
      <c r="DC552" s="7"/>
      <c r="DD552" s="7"/>
      <c r="DE552" s="7"/>
      <c r="DF552" s="7"/>
      <c r="DG552" s="7"/>
      <c r="DH552" s="7"/>
      <c r="DI552" s="7"/>
      <c r="DJ552" s="7"/>
      <c r="DK552" s="7"/>
      <c r="DL552" s="7"/>
      <c r="DM552" s="7"/>
      <c r="DN552" s="7"/>
      <c r="DO552" s="7"/>
      <c r="DP552" s="7"/>
      <c r="DQ552" s="7"/>
      <c r="DR552" s="7"/>
      <c r="DS552" s="7"/>
      <c r="DT552" s="7"/>
      <c r="DU552" s="7"/>
      <c r="DV552" s="7"/>
      <c r="DW552" s="7"/>
      <c r="DX552" s="7"/>
      <c r="DY552" s="7"/>
      <c r="DZ552" s="7"/>
      <c r="EA552" s="7"/>
      <c r="EB552" s="7"/>
      <c r="EC552" s="7"/>
      <c r="ED552" s="7"/>
      <c r="EE552" s="7"/>
      <c r="EF552" s="7"/>
      <c r="EG552" s="7"/>
      <c r="EH552" s="7"/>
      <c r="EI552" s="7"/>
      <c r="EJ552" s="7"/>
      <c r="EK552" s="7"/>
      <c r="EL552" s="7"/>
      <c r="EM552" s="7"/>
      <c r="EN552" s="7"/>
      <c r="EO552" s="7"/>
      <c r="EP552" s="7"/>
      <c r="EQ552" s="7"/>
      <c r="ER552" s="7"/>
      <c r="ES552" s="7"/>
      <c r="ET552" s="7"/>
      <c r="EU552" s="7"/>
      <c r="EV552" s="7"/>
      <c r="EW552" s="7"/>
      <c r="EX552" s="7"/>
      <c r="EY552" s="7"/>
      <c r="EZ552" s="7"/>
      <c r="FA552" s="7"/>
      <c r="FB552" s="7"/>
      <c r="FC552" s="7"/>
      <c r="FD552" s="7"/>
      <c r="FE552" s="7"/>
      <c r="FF552" s="7"/>
      <c r="FG552" s="7"/>
      <c r="FH552" s="7"/>
      <c r="FI552" s="7"/>
      <c r="FJ552" s="7"/>
      <c r="FK552" s="7"/>
      <c r="FL552" s="7"/>
      <c r="FM552" s="7"/>
      <c r="FN552" s="7"/>
      <c r="FO552" s="7"/>
      <c r="FP552" s="7"/>
      <c r="FQ552" s="7"/>
      <c r="FR552" s="7"/>
      <c r="FS552" s="7"/>
    </row>
    <row r="553" spans="84:175" x14ac:dyDescent="0.25">
      <c r="CF553" s="7"/>
      <c r="CG553" s="7"/>
      <c r="CH553" s="7"/>
      <c r="CI553" s="7"/>
      <c r="CJ553" s="7"/>
      <c r="CK553" s="7"/>
      <c r="CL553" s="7"/>
      <c r="CM553" s="7"/>
      <c r="CN553" s="7"/>
      <c r="CO553" s="7"/>
      <c r="CP553" s="7"/>
      <c r="CQ553" s="7"/>
      <c r="CR553" s="7"/>
      <c r="CS553" s="7"/>
      <c r="CT553" s="7"/>
      <c r="CU553" s="7"/>
      <c r="CV553" s="7"/>
      <c r="CW553" s="7"/>
      <c r="CX553" s="7"/>
      <c r="CY553" s="7"/>
      <c r="CZ553" s="7"/>
      <c r="DA553" s="7"/>
      <c r="DB553" s="7"/>
      <c r="DC553" s="7"/>
      <c r="DD553" s="7"/>
      <c r="DE553" s="7"/>
      <c r="DF553" s="7"/>
      <c r="DG553" s="7"/>
      <c r="DH553" s="7"/>
      <c r="DI553" s="7"/>
      <c r="DJ553" s="7"/>
      <c r="DK553" s="7"/>
      <c r="DL553" s="7"/>
      <c r="DM553" s="7"/>
      <c r="DN553" s="7"/>
      <c r="DO553" s="7"/>
      <c r="DP553" s="7"/>
      <c r="DQ553" s="7"/>
      <c r="DR553" s="7"/>
      <c r="DS553" s="7"/>
      <c r="DT553" s="7"/>
      <c r="DU553" s="7"/>
      <c r="DV553" s="7"/>
      <c r="DW553" s="7"/>
      <c r="DX553" s="7"/>
      <c r="DY553" s="7"/>
      <c r="DZ553" s="7"/>
      <c r="EA553" s="7"/>
      <c r="EB553" s="7"/>
      <c r="EC553" s="7"/>
      <c r="ED553" s="7"/>
      <c r="EE553" s="7"/>
      <c r="EF553" s="7"/>
      <c r="EG553" s="7"/>
      <c r="EH553" s="7"/>
      <c r="EI553" s="7"/>
      <c r="EJ553" s="7"/>
      <c r="EK553" s="7"/>
      <c r="EL553" s="7"/>
      <c r="EM553" s="7"/>
      <c r="EN553" s="7"/>
      <c r="EO553" s="7"/>
      <c r="EP553" s="7"/>
      <c r="EQ553" s="7"/>
      <c r="ER553" s="7"/>
      <c r="ES553" s="7"/>
      <c r="ET553" s="7"/>
      <c r="EU553" s="7"/>
      <c r="EV553" s="7"/>
      <c r="EW553" s="7"/>
      <c r="EX553" s="7"/>
      <c r="EY553" s="7"/>
      <c r="EZ553" s="7"/>
      <c r="FA553" s="7"/>
      <c r="FB553" s="7"/>
      <c r="FC553" s="7"/>
      <c r="FD553" s="7"/>
      <c r="FE553" s="7"/>
      <c r="FF553" s="7"/>
      <c r="FG553" s="7"/>
      <c r="FH553" s="7"/>
      <c r="FI553" s="7"/>
      <c r="FJ553" s="7"/>
      <c r="FK553" s="7"/>
      <c r="FL553" s="7"/>
      <c r="FM553" s="7"/>
      <c r="FN553" s="7"/>
      <c r="FO553" s="7"/>
      <c r="FP553" s="7"/>
      <c r="FQ553" s="7"/>
      <c r="FR553" s="7"/>
      <c r="FS553" s="7"/>
    </row>
    <row r="554" spans="84:175" x14ac:dyDescent="0.25">
      <c r="CF554" s="7"/>
      <c r="CG554" s="7"/>
      <c r="CH554" s="7"/>
      <c r="CI554" s="7"/>
      <c r="CJ554" s="7"/>
      <c r="CK554" s="7"/>
      <c r="CL554" s="7"/>
      <c r="CM554" s="7"/>
      <c r="CN554" s="7"/>
      <c r="CO554" s="7"/>
      <c r="CP554" s="7"/>
      <c r="CQ554" s="7"/>
      <c r="CR554" s="7"/>
      <c r="CS554" s="7"/>
      <c r="CT554" s="7"/>
      <c r="CU554" s="7"/>
      <c r="CV554" s="7"/>
      <c r="CW554" s="7"/>
      <c r="CX554" s="7"/>
      <c r="CY554" s="7"/>
      <c r="CZ554" s="7"/>
      <c r="DA554" s="7"/>
      <c r="DB554" s="7"/>
      <c r="DC554" s="7"/>
      <c r="DD554" s="7"/>
      <c r="DE554" s="7"/>
      <c r="DF554" s="7"/>
      <c r="DG554" s="7"/>
      <c r="DH554" s="7"/>
      <c r="DI554" s="7"/>
      <c r="DJ554" s="7"/>
      <c r="DK554" s="7"/>
      <c r="DL554" s="7"/>
      <c r="DM554" s="7"/>
      <c r="DN554" s="7"/>
      <c r="DO554" s="7"/>
      <c r="DP554" s="7"/>
      <c r="DQ554" s="7"/>
      <c r="DR554" s="7"/>
      <c r="DS554" s="7"/>
      <c r="DT554" s="7"/>
      <c r="DU554" s="7"/>
      <c r="DV554" s="7"/>
      <c r="DW554" s="7"/>
      <c r="DX554" s="7"/>
      <c r="DY554" s="7"/>
      <c r="DZ554" s="7"/>
      <c r="EA554" s="7"/>
      <c r="EB554" s="7"/>
      <c r="EC554" s="7"/>
      <c r="ED554" s="7"/>
      <c r="EE554" s="7"/>
      <c r="EF554" s="7"/>
      <c r="EG554" s="7"/>
      <c r="EH554" s="7"/>
      <c r="EI554" s="7"/>
      <c r="EJ554" s="7"/>
      <c r="EK554" s="7"/>
      <c r="EL554" s="7"/>
      <c r="EM554" s="7"/>
      <c r="EN554" s="7"/>
      <c r="EO554" s="7"/>
      <c r="EP554" s="7"/>
      <c r="EQ554" s="7"/>
      <c r="ER554" s="7"/>
      <c r="ES554" s="7"/>
      <c r="ET554" s="7"/>
      <c r="EU554" s="7"/>
      <c r="EV554" s="7"/>
      <c r="EW554" s="7"/>
      <c r="EX554" s="7"/>
      <c r="EY554" s="7"/>
      <c r="EZ554" s="7"/>
      <c r="FA554" s="7"/>
      <c r="FB554" s="7"/>
      <c r="FC554" s="7"/>
      <c r="FD554" s="7"/>
      <c r="FE554" s="7"/>
      <c r="FF554" s="7"/>
      <c r="FG554" s="7"/>
      <c r="FH554" s="7"/>
      <c r="FI554" s="7"/>
      <c r="FJ554" s="7"/>
      <c r="FK554" s="7"/>
      <c r="FL554" s="7"/>
      <c r="FM554" s="7"/>
      <c r="FN554" s="7"/>
      <c r="FO554" s="7"/>
      <c r="FP554" s="7"/>
      <c r="FQ554" s="7"/>
      <c r="FR554" s="7"/>
      <c r="FS554" s="7"/>
    </row>
    <row r="555" spans="84:175" x14ac:dyDescent="0.25">
      <c r="CF555" s="7"/>
      <c r="CG555" s="7"/>
      <c r="CH555" s="7"/>
      <c r="CI555" s="7"/>
      <c r="CJ555" s="7"/>
      <c r="CK555" s="7"/>
      <c r="CL555" s="7"/>
      <c r="CM555" s="7"/>
      <c r="CN555" s="7"/>
      <c r="CO555" s="7"/>
      <c r="CP555" s="7"/>
      <c r="CQ555" s="7"/>
      <c r="CR555" s="7"/>
      <c r="CS555" s="7"/>
      <c r="CT555" s="7"/>
      <c r="CU555" s="7"/>
      <c r="CV555" s="7"/>
      <c r="CW555" s="7"/>
      <c r="CX555" s="7"/>
      <c r="CY555" s="7"/>
      <c r="CZ555" s="7"/>
      <c r="DA555" s="7"/>
      <c r="DB555" s="7"/>
      <c r="DC555" s="7"/>
      <c r="DD555" s="7"/>
      <c r="DE555" s="7"/>
      <c r="DF555" s="7"/>
      <c r="DG555" s="7"/>
      <c r="DH555" s="7"/>
      <c r="DI555" s="7"/>
      <c r="DJ555" s="7"/>
      <c r="DK555" s="7"/>
      <c r="DL555" s="7"/>
      <c r="DM555" s="7"/>
      <c r="DN555" s="7"/>
      <c r="DO555" s="7"/>
      <c r="DP555" s="7"/>
      <c r="DQ555" s="7"/>
      <c r="DR555" s="7"/>
      <c r="DS555" s="7"/>
      <c r="DT555" s="7"/>
      <c r="DU555" s="7"/>
      <c r="DV555" s="7"/>
      <c r="DW555" s="7"/>
      <c r="DX555" s="7"/>
      <c r="DY555" s="7"/>
      <c r="DZ555" s="7"/>
      <c r="EA555" s="7"/>
      <c r="EB555" s="7"/>
      <c r="EC555" s="7"/>
      <c r="ED555" s="7"/>
      <c r="EE555" s="7"/>
      <c r="EF555" s="7"/>
      <c r="EG555" s="7"/>
      <c r="EH555" s="7"/>
      <c r="EI555" s="7"/>
      <c r="EJ555" s="7"/>
      <c r="EK555" s="7"/>
      <c r="EL555" s="7"/>
      <c r="EM555" s="7"/>
      <c r="EN555" s="7"/>
      <c r="EO555" s="7"/>
      <c r="EP555" s="7"/>
      <c r="EQ555" s="7"/>
      <c r="ER555" s="7"/>
      <c r="ES555" s="7"/>
      <c r="ET555" s="7"/>
      <c r="EU555" s="7"/>
      <c r="EV555" s="7"/>
      <c r="EW555" s="7"/>
      <c r="EX555" s="7"/>
      <c r="EY555" s="7"/>
      <c r="EZ555" s="7"/>
      <c r="FA555" s="7"/>
      <c r="FB555" s="7"/>
      <c r="FC555" s="7"/>
      <c r="FD555" s="7"/>
      <c r="FE555" s="7"/>
      <c r="FF555" s="7"/>
      <c r="FG555" s="7"/>
      <c r="FH555" s="7"/>
      <c r="FI555" s="7"/>
      <c r="FJ555" s="7"/>
      <c r="FK555" s="7"/>
      <c r="FL555" s="7"/>
      <c r="FM555" s="7"/>
      <c r="FN555" s="7"/>
      <c r="FO555" s="7"/>
      <c r="FP555" s="7"/>
      <c r="FQ555" s="7"/>
      <c r="FR555" s="7"/>
      <c r="FS555" s="7"/>
    </row>
    <row r="556" spans="84:175" x14ac:dyDescent="0.25">
      <c r="CF556" s="7"/>
      <c r="CG556" s="7"/>
      <c r="CH556" s="7"/>
      <c r="CI556" s="7"/>
      <c r="CJ556" s="7"/>
      <c r="CK556" s="7"/>
      <c r="CL556" s="7"/>
      <c r="CM556" s="7"/>
      <c r="CN556" s="7"/>
      <c r="CO556" s="7"/>
      <c r="CP556" s="7"/>
      <c r="CQ556" s="7"/>
      <c r="CR556" s="7"/>
      <c r="CS556" s="7"/>
      <c r="CT556" s="7"/>
      <c r="CU556" s="7"/>
      <c r="CV556" s="7"/>
      <c r="CW556" s="7"/>
      <c r="CX556" s="7"/>
      <c r="CY556" s="7"/>
      <c r="CZ556" s="7"/>
      <c r="DA556" s="7"/>
      <c r="DB556" s="7"/>
      <c r="DC556" s="7"/>
      <c r="DD556" s="7"/>
      <c r="DE556" s="7"/>
      <c r="DF556" s="7"/>
      <c r="DG556" s="7"/>
      <c r="DH556" s="7"/>
      <c r="DI556" s="7"/>
      <c r="DJ556" s="7"/>
      <c r="DK556" s="7"/>
      <c r="DL556" s="7"/>
      <c r="DM556" s="7"/>
      <c r="DN556" s="7"/>
      <c r="DO556" s="7"/>
      <c r="DP556" s="7"/>
      <c r="DQ556" s="7"/>
      <c r="DR556" s="7"/>
      <c r="DS556" s="7"/>
      <c r="DT556" s="7"/>
      <c r="DU556" s="7"/>
      <c r="DV556" s="7"/>
      <c r="DW556" s="7"/>
      <c r="DX556" s="7"/>
      <c r="DY556" s="7"/>
      <c r="DZ556" s="7"/>
      <c r="EA556" s="7"/>
      <c r="EB556" s="7"/>
      <c r="EC556" s="7"/>
      <c r="ED556" s="7"/>
      <c r="EE556" s="7"/>
      <c r="EF556" s="7"/>
      <c r="EG556" s="7"/>
      <c r="EH556" s="7"/>
      <c r="EI556" s="7"/>
      <c r="EJ556" s="7"/>
      <c r="EK556" s="7"/>
      <c r="EL556" s="7"/>
      <c r="EM556" s="7"/>
      <c r="EN556" s="7"/>
      <c r="EO556" s="7"/>
      <c r="EP556" s="7"/>
      <c r="EQ556" s="7"/>
      <c r="ER556" s="7"/>
      <c r="ES556" s="7"/>
      <c r="ET556" s="7"/>
      <c r="EU556" s="7"/>
      <c r="EV556" s="7"/>
      <c r="EW556" s="7"/>
      <c r="EX556" s="7"/>
      <c r="EY556" s="7"/>
      <c r="EZ556" s="7"/>
      <c r="FA556" s="7"/>
      <c r="FB556" s="7"/>
      <c r="FC556" s="7"/>
      <c r="FD556" s="7"/>
      <c r="FE556" s="7"/>
      <c r="FF556" s="7"/>
      <c r="FG556" s="7"/>
      <c r="FH556" s="7"/>
      <c r="FI556" s="7"/>
      <c r="FJ556" s="7"/>
      <c r="FK556" s="7"/>
      <c r="FL556" s="7"/>
      <c r="FM556" s="7"/>
      <c r="FN556" s="7"/>
      <c r="FO556" s="7"/>
      <c r="FP556" s="7"/>
      <c r="FQ556" s="7"/>
      <c r="FR556" s="7"/>
      <c r="FS556" s="7"/>
    </row>
    <row r="557" spans="84:175" x14ac:dyDescent="0.25">
      <c r="CF557" s="7"/>
      <c r="CG557" s="7"/>
      <c r="CH557" s="7"/>
      <c r="CI557" s="7"/>
      <c r="CJ557" s="7"/>
      <c r="CK557" s="7"/>
      <c r="CL557" s="7"/>
      <c r="CM557" s="7"/>
      <c r="CN557" s="7"/>
      <c r="CO557" s="7"/>
      <c r="CP557" s="7"/>
      <c r="CQ557" s="7"/>
      <c r="CR557" s="7"/>
      <c r="CS557" s="7"/>
      <c r="CT557" s="7"/>
      <c r="CU557" s="7"/>
      <c r="CV557" s="7"/>
      <c r="CW557" s="7"/>
      <c r="CX557" s="7"/>
      <c r="CY557" s="7"/>
      <c r="CZ557" s="7"/>
      <c r="DA557" s="7"/>
      <c r="DB557" s="7"/>
      <c r="DC557" s="7"/>
      <c r="DD557" s="7"/>
      <c r="DE557" s="7"/>
      <c r="DF557" s="7"/>
      <c r="DG557" s="7"/>
      <c r="DH557" s="7"/>
      <c r="DI557" s="7"/>
      <c r="DJ557" s="7"/>
      <c r="DK557" s="7"/>
      <c r="DL557" s="7"/>
      <c r="DM557" s="7"/>
      <c r="DN557" s="7"/>
      <c r="DO557" s="7"/>
      <c r="DP557" s="7"/>
      <c r="DQ557" s="7"/>
      <c r="DR557" s="7"/>
      <c r="DS557" s="7"/>
      <c r="DT557" s="7"/>
      <c r="DU557" s="7"/>
      <c r="DV557" s="7"/>
      <c r="DW557" s="7"/>
      <c r="DX557" s="7"/>
      <c r="DY557" s="7"/>
      <c r="DZ557" s="7"/>
      <c r="EA557" s="7"/>
      <c r="EB557" s="7"/>
      <c r="EC557" s="7"/>
      <c r="ED557" s="7"/>
      <c r="EE557" s="7"/>
      <c r="EF557" s="7"/>
      <c r="EG557" s="7"/>
      <c r="EH557" s="7"/>
      <c r="EI557" s="7"/>
      <c r="EJ557" s="7"/>
      <c r="EK557" s="7"/>
      <c r="EL557" s="7"/>
      <c r="EM557" s="7"/>
      <c r="EN557" s="7"/>
      <c r="EO557" s="7"/>
      <c r="EP557" s="7"/>
      <c r="EQ557" s="7"/>
      <c r="ER557" s="7"/>
      <c r="ES557" s="7"/>
      <c r="ET557" s="7"/>
      <c r="EU557" s="7"/>
      <c r="EV557" s="7"/>
      <c r="EW557" s="7"/>
      <c r="EX557" s="7"/>
      <c r="EY557" s="7"/>
      <c r="EZ557" s="7"/>
      <c r="FA557" s="7"/>
      <c r="FB557" s="7"/>
      <c r="FC557" s="7"/>
      <c r="FD557" s="7"/>
      <c r="FE557" s="7"/>
      <c r="FF557" s="7"/>
      <c r="FG557" s="7"/>
      <c r="FH557" s="7"/>
      <c r="FI557" s="7"/>
      <c r="FJ557" s="7"/>
      <c r="FK557" s="7"/>
      <c r="FL557" s="7"/>
      <c r="FM557" s="7"/>
      <c r="FN557" s="7"/>
      <c r="FO557" s="7"/>
      <c r="FP557" s="7"/>
      <c r="FQ557" s="7"/>
      <c r="FR557" s="7"/>
      <c r="FS557" s="7"/>
    </row>
    <row r="558" spans="84:175" x14ac:dyDescent="0.25">
      <c r="CF558" s="7"/>
      <c r="CG558" s="7"/>
      <c r="CH558" s="7"/>
      <c r="CI558" s="7"/>
      <c r="CJ558" s="7"/>
      <c r="CK558" s="7"/>
      <c r="CL558" s="7"/>
      <c r="CM558" s="7"/>
      <c r="CN558" s="7"/>
      <c r="CO558" s="7"/>
      <c r="CP558" s="7"/>
      <c r="CQ558" s="7"/>
      <c r="CR558" s="7"/>
      <c r="CS558" s="7"/>
      <c r="CT558" s="7"/>
      <c r="CU558" s="7"/>
      <c r="CV558" s="7"/>
      <c r="CW558" s="7"/>
      <c r="CX558" s="7"/>
      <c r="CY558" s="7"/>
      <c r="CZ558" s="7"/>
      <c r="DA558" s="7"/>
      <c r="DB558" s="7"/>
      <c r="DC558" s="7"/>
      <c r="DD558" s="7"/>
      <c r="DE558" s="7"/>
      <c r="DF558" s="7"/>
      <c r="DG558" s="7"/>
      <c r="DH558" s="7"/>
      <c r="DI558" s="7"/>
      <c r="DJ558" s="7"/>
      <c r="DK558" s="7"/>
      <c r="DL558" s="7"/>
      <c r="DM558" s="7"/>
      <c r="DN558" s="7"/>
      <c r="DO558" s="7"/>
      <c r="DP558" s="7"/>
      <c r="DQ558" s="7"/>
      <c r="DR558" s="7"/>
      <c r="DS558" s="7"/>
      <c r="DT558" s="7"/>
      <c r="DU558" s="7"/>
      <c r="DV558" s="7"/>
      <c r="DW558" s="7"/>
      <c r="DX558" s="7"/>
      <c r="DY558" s="7"/>
      <c r="DZ558" s="7"/>
      <c r="EA558" s="7"/>
      <c r="EB558" s="7"/>
      <c r="EC558" s="7"/>
      <c r="ED558" s="7"/>
      <c r="EE558" s="7"/>
      <c r="EF558" s="7"/>
      <c r="EG558" s="7"/>
      <c r="EH558" s="7"/>
      <c r="EI558" s="7"/>
      <c r="EJ558" s="7"/>
      <c r="EK558" s="7"/>
      <c r="EL558" s="7"/>
      <c r="EM558" s="7"/>
      <c r="EN558" s="7"/>
      <c r="EO558" s="7"/>
      <c r="EP558" s="7"/>
      <c r="EQ558" s="7"/>
      <c r="ER558" s="7"/>
      <c r="ES558" s="7"/>
      <c r="ET558" s="7"/>
      <c r="EU558" s="7"/>
      <c r="EV558" s="7"/>
      <c r="EW558" s="7"/>
      <c r="EX558" s="7"/>
      <c r="EY558" s="7"/>
      <c r="EZ558" s="7"/>
      <c r="FA558" s="7"/>
      <c r="FB558" s="7"/>
      <c r="FC558" s="7"/>
      <c r="FD558" s="7"/>
      <c r="FE558" s="7"/>
      <c r="FF558" s="7"/>
      <c r="FG558" s="7"/>
      <c r="FH558" s="7"/>
      <c r="FI558" s="7"/>
      <c r="FJ558" s="7"/>
      <c r="FK558" s="7"/>
      <c r="FL558" s="7"/>
      <c r="FM558" s="7"/>
      <c r="FN558" s="7"/>
      <c r="FO558" s="7"/>
      <c r="FP558" s="7"/>
      <c r="FQ558" s="7"/>
      <c r="FR558" s="7"/>
      <c r="FS558" s="7"/>
    </row>
    <row r="559" spans="84:175" x14ac:dyDescent="0.25">
      <c r="CF559" s="7"/>
      <c r="CG559" s="7"/>
      <c r="CH559" s="7"/>
      <c r="CI559" s="7"/>
      <c r="CJ559" s="7"/>
      <c r="CK559" s="7"/>
      <c r="CL559" s="7"/>
      <c r="CM559" s="7"/>
      <c r="CN559" s="7"/>
      <c r="CO559" s="7"/>
      <c r="CP559" s="7"/>
      <c r="CQ559" s="7"/>
      <c r="CR559" s="7"/>
      <c r="CS559" s="7"/>
      <c r="CT559" s="7"/>
      <c r="CU559" s="7"/>
      <c r="CV559" s="7"/>
      <c r="CW559" s="7"/>
      <c r="CX559" s="7"/>
      <c r="CY559" s="7"/>
      <c r="CZ559" s="7"/>
      <c r="DA559" s="7"/>
      <c r="DB559" s="7"/>
      <c r="DC559" s="7"/>
      <c r="DD559" s="7"/>
      <c r="DE559" s="7"/>
      <c r="DF559" s="7"/>
      <c r="DG559" s="7"/>
      <c r="DH559" s="7"/>
      <c r="DI559" s="7"/>
      <c r="DJ559" s="7"/>
      <c r="DK559" s="7"/>
      <c r="DL559" s="7"/>
      <c r="DM559" s="7"/>
      <c r="DN559" s="7"/>
      <c r="DO559" s="7"/>
      <c r="DP559" s="7"/>
      <c r="DQ559" s="7"/>
      <c r="DR559" s="7"/>
      <c r="DS559" s="7"/>
      <c r="DT559" s="7"/>
      <c r="DU559" s="7"/>
      <c r="DV559" s="7"/>
      <c r="DW559" s="7"/>
      <c r="DX559" s="7"/>
      <c r="DY559" s="7"/>
      <c r="DZ559" s="7"/>
      <c r="EA559" s="7"/>
      <c r="EB559" s="7"/>
      <c r="EC559" s="7"/>
      <c r="ED559" s="7"/>
      <c r="EE559" s="7"/>
      <c r="EF559" s="7"/>
      <c r="EG559" s="7"/>
      <c r="EH559" s="7"/>
      <c r="EI559" s="7"/>
      <c r="EJ559" s="7"/>
      <c r="EK559" s="7"/>
      <c r="EL559" s="7"/>
      <c r="EM559" s="7"/>
      <c r="EN559" s="7"/>
      <c r="EO559" s="7"/>
      <c r="EP559" s="7"/>
      <c r="EQ559" s="7"/>
      <c r="ER559" s="7"/>
      <c r="ES559" s="7"/>
      <c r="ET559" s="7"/>
      <c r="EU559" s="7"/>
      <c r="EV559" s="7"/>
      <c r="EW559" s="7"/>
      <c r="EX559" s="7"/>
      <c r="EY559" s="7"/>
      <c r="EZ559" s="7"/>
      <c r="FA559" s="7"/>
      <c r="FB559" s="7"/>
      <c r="FC559" s="7"/>
      <c r="FD559" s="7"/>
      <c r="FE559" s="7"/>
      <c r="FF559" s="7"/>
      <c r="FG559" s="7"/>
      <c r="FH559" s="7"/>
      <c r="FI559" s="7"/>
      <c r="FJ559" s="7"/>
      <c r="FK559" s="7"/>
      <c r="FL559" s="7"/>
      <c r="FM559" s="7"/>
      <c r="FN559" s="7"/>
      <c r="FO559" s="7"/>
      <c r="FP559" s="7"/>
      <c r="FQ559" s="7"/>
      <c r="FR559" s="7"/>
      <c r="FS559" s="7"/>
    </row>
    <row r="560" spans="84:175" x14ac:dyDescent="0.25">
      <c r="CF560" s="7"/>
      <c r="CG560" s="7"/>
      <c r="CH560" s="7"/>
      <c r="CI560" s="7"/>
      <c r="CJ560" s="7"/>
      <c r="CK560" s="7"/>
      <c r="CL560" s="7"/>
      <c r="CM560" s="7"/>
      <c r="CN560" s="7"/>
      <c r="CO560" s="7"/>
      <c r="CP560" s="7"/>
      <c r="CQ560" s="7"/>
      <c r="CR560" s="7"/>
      <c r="CS560" s="7"/>
      <c r="CT560" s="7"/>
      <c r="CU560" s="7"/>
      <c r="CV560" s="7"/>
      <c r="CW560" s="7"/>
      <c r="CX560" s="7"/>
      <c r="CY560" s="7"/>
      <c r="CZ560" s="7"/>
      <c r="DA560" s="7"/>
      <c r="DB560" s="7"/>
      <c r="DC560" s="7"/>
      <c r="DD560" s="7"/>
      <c r="DE560" s="7"/>
      <c r="DF560" s="7"/>
      <c r="DG560" s="7"/>
      <c r="DH560" s="7"/>
      <c r="DI560" s="7"/>
      <c r="DJ560" s="7"/>
      <c r="DK560" s="7"/>
      <c r="DL560" s="7"/>
      <c r="DM560" s="7"/>
      <c r="DN560" s="7"/>
      <c r="DO560" s="7"/>
      <c r="DP560" s="7"/>
      <c r="DQ560" s="7"/>
      <c r="DR560" s="7"/>
      <c r="DS560" s="7"/>
      <c r="DT560" s="7"/>
      <c r="DU560" s="7"/>
      <c r="DV560" s="7"/>
      <c r="DW560" s="7"/>
      <c r="DX560" s="7"/>
      <c r="DY560" s="7"/>
      <c r="DZ560" s="7"/>
      <c r="EA560" s="7"/>
      <c r="EB560" s="7"/>
      <c r="EC560" s="7"/>
      <c r="ED560" s="7"/>
      <c r="EE560" s="7"/>
      <c r="EF560" s="7"/>
      <c r="EG560" s="7"/>
      <c r="EH560" s="7"/>
      <c r="EI560" s="7"/>
      <c r="EJ560" s="7"/>
      <c r="EK560" s="7"/>
      <c r="EL560" s="7"/>
      <c r="EM560" s="7"/>
      <c r="EN560" s="7"/>
      <c r="EO560" s="7"/>
      <c r="EP560" s="7"/>
      <c r="EQ560" s="7"/>
      <c r="ER560" s="7"/>
      <c r="ES560" s="7"/>
      <c r="ET560" s="7"/>
      <c r="EU560" s="7"/>
      <c r="EV560" s="7"/>
      <c r="EW560" s="7"/>
      <c r="EX560" s="7"/>
      <c r="EY560" s="7"/>
      <c r="EZ560" s="7"/>
      <c r="FA560" s="7"/>
      <c r="FB560" s="7"/>
      <c r="FC560" s="7"/>
      <c r="FD560" s="7"/>
      <c r="FE560" s="7"/>
      <c r="FF560" s="7"/>
      <c r="FG560" s="7"/>
      <c r="FH560" s="7"/>
      <c r="FI560" s="7"/>
      <c r="FJ560" s="7"/>
      <c r="FK560" s="7"/>
      <c r="FL560" s="7"/>
      <c r="FM560" s="7"/>
      <c r="FN560" s="7"/>
      <c r="FO560" s="7"/>
      <c r="FP560" s="7"/>
      <c r="FQ560" s="7"/>
      <c r="FR560" s="7"/>
      <c r="FS560" s="7"/>
    </row>
    <row r="561" spans="84:175" x14ac:dyDescent="0.25">
      <c r="CF561" s="7"/>
      <c r="CG561" s="7"/>
      <c r="CH561" s="7"/>
      <c r="CI561" s="7"/>
      <c r="CJ561" s="7"/>
      <c r="CK561" s="7"/>
      <c r="CL561" s="7"/>
      <c r="CM561" s="7"/>
      <c r="CN561" s="7"/>
      <c r="CO561" s="7"/>
      <c r="CP561" s="7"/>
      <c r="CQ561" s="7"/>
      <c r="CR561" s="7"/>
      <c r="CS561" s="7"/>
      <c r="CT561" s="7"/>
      <c r="CU561" s="7"/>
      <c r="CV561" s="7"/>
      <c r="CW561" s="7"/>
      <c r="CX561" s="7"/>
      <c r="CY561" s="7"/>
      <c r="CZ561" s="7"/>
      <c r="DA561" s="7"/>
      <c r="DB561" s="7"/>
      <c r="DC561" s="7"/>
      <c r="DD561" s="7"/>
      <c r="DE561" s="7"/>
      <c r="DF561" s="7"/>
      <c r="DG561" s="7"/>
      <c r="DH561" s="7"/>
      <c r="DI561" s="7"/>
      <c r="DJ561" s="7"/>
      <c r="DK561" s="7"/>
      <c r="DL561" s="7"/>
      <c r="DM561" s="7"/>
      <c r="DN561" s="7"/>
      <c r="DO561" s="7"/>
      <c r="DP561" s="7"/>
      <c r="DQ561" s="7"/>
      <c r="DR561" s="7"/>
      <c r="DS561" s="7"/>
      <c r="DT561" s="7"/>
      <c r="DU561" s="7"/>
      <c r="DV561" s="7"/>
      <c r="DW561" s="7"/>
      <c r="DX561" s="7"/>
      <c r="DY561" s="7"/>
      <c r="DZ561" s="7"/>
      <c r="EA561" s="7"/>
      <c r="EB561" s="7"/>
      <c r="EC561" s="7"/>
      <c r="ED561" s="7"/>
      <c r="EE561" s="7"/>
      <c r="EF561" s="7"/>
      <c r="EG561" s="7"/>
      <c r="EH561" s="7"/>
      <c r="EI561" s="7"/>
      <c r="EJ561" s="7"/>
      <c r="EK561" s="7"/>
      <c r="EL561" s="7"/>
      <c r="EM561" s="7"/>
      <c r="EN561" s="7"/>
      <c r="EO561" s="7"/>
      <c r="EP561" s="7"/>
      <c r="EQ561" s="7"/>
      <c r="ER561" s="7"/>
      <c r="ES561" s="7"/>
      <c r="ET561" s="7"/>
      <c r="EU561" s="7"/>
      <c r="EV561" s="7"/>
      <c r="EW561" s="7"/>
      <c r="EX561" s="7"/>
      <c r="EY561" s="7"/>
      <c r="EZ561" s="7"/>
      <c r="FA561" s="7"/>
      <c r="FB561" s="7"/>
      <c r="FC561" s="7"/>
      <c r="FD561" s="7"/>
      <c r="FE561" s="7"/>
      <c r="FF561" s="7"/>
      <c r="FG561" s="7"/>
      <c r="FH561" s="7"/>
      <c r="FI561" s="7"/>
      <c r="FJ561" s="7"/>
      <c r="FK561" s="7"/>
      <c r="FL561" s="7"/>
      <c r="FM561" s="7"/>
      <c r="FN561" s="7"/>
      <c r="FO561" s="7"/>
      <c r="FP561" s="7"/>
      <c r="FQ561" s="7"/>
      <c r="FR561" s="7"/>
      <c r="FS561" s="7"/>
    </row>
    <row r="562" spans="84:175" x14ac:dyDescent="0.25">
      <c r="CF562" s="7"/>
      <c r="CG562" s="7"/>
      <c r="CH562" s="7"/>
      <c r="CI562" s="7"/>
      <c r="CJ562" s="7"/>
      <c r="CK562" s="7"/>
      <c r="CL562" s="7"/>
      <c r="CM562" s="7"/>
      <c r="CN562" s="7"/>
      <c r="CO562" s="7"/>
      <c r="CP562" s="7"/>
      <c r="CQ562" s="7"/>
      <c r="CR562" s="7"/>
      <c r="CS562" s="7"/>
      <c r="CT562" s="7"/>
      <c r="CU562" s="7"/>
      <c r="CV562" s="7"/>
      <c r="CW562" s="7"/>
      <c r="CX562" s="7"/>
      <c r="CY562" s="7"/>
      <c r="CZ562" s="7"/>
      <c r="DA562" s="7"/>
      <c r="DB562" s="7"/>
      <c r="DC562" s="7"/>
      <c r="DD562" s="7"/>
      <c r="DE562" s="7"/>
      <c r="DF562" s="7"/>
      <c r="DG562" s="7"/>
      <c r="DH562" s="7"/>
      <c r="DI562" s="7"/>
      <c r="DJ562" s="7"/>
      <c r="DK562" s="7"/>
      <c r="DL562" s="7"/>
      <c r="DM562" s="7"/>
      <c r="DN562" s="7"/>
      <c r="DO562" s="7"/>
      <c r="DP562" s="7"/>
      <c r="DQ562" s="7"/>
      <c r="DR562" s="7"/>
      <c r="DS562" s="7"/>
      <c r="DT562" s="7"/>
      <c r="DU562" s="7"/>
      <c r="DV562" s="7"/>
      <c r="DW562" s="7"/>
      <c r="DX562" s="7"/>
      <c r="DY562" s="7"/>
      <c r="DZ562" s="7"/>
      <c r="EA562" s="7"/>
      <c r="EB562" s="7"/>
      <c r="EC562" s="7"/>
      <c r="ED562" s="7"/>
      <c r="EE562" s="7"/>
      <c r="EF562" s="7"/>
      <c r="EG562" s="7"/>
      <c r="EH562" s="7"/>
      <c r="EI562" s="7"/>
      <c r="EJ562" s="7"/>
      <c r="EK562" s="7"/>
      <c r="EL562" s="7"/>
      <c r="EM562" s="7"/>
      <c r="EN562" s="7"/>
      <c r="EO562" s="7"/>
      <c r="EP562" s="7"/>
      <c r="EQ562" s="7"/>
      <c r="ER562" s="7"/>
      <c r="ES562" s="7"/>
      <c r="ET562" s="7"/>
      <c r="EU562" s="7"/>
      <c r="EV562" s="7"/>
      <c r="EW562" s="7"/>
      <c r="EX562" s="7"/>
      <c r="EY562" s="7"/>
      <c r="EZ562" s="7"/>
      <c r="FA562" s="7"/>
      <c r="FB562" s="7"/>
      <c r="FC562" s="7"/>
      <c r="FD562" s="7"/>
      <c r="FE562" s="7"/>
      <c r="FF562" s="7"/>
      <c r="FG562" s="7"/>
      <c r="FH562" s="7"/>
      <c r="FI562" s="7"/>
      <c r="FJ562" s="7"/>
      <c r="FK562" s="7"/>
      <c r="FL562" s="7"/>
      <c r="FM562" s="7"/>
      <c r="FN562" s="7"/>
      <c r="FO562" s="7"/>
      <c r="FP562" s="7"/>
      <c r="FQ562" s="7"/>
      <c r="FR562" s="7"/>
      <c r="FS562" s="7"/>
    </row>
    <row r="563" spans="84:175" x14ac:dyDescent="0.25">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7"/>
      <c r="EA563" s="7"/>
      <c r="EB563" s="7"/>
      <c r="EC563" s="7"/>
      <c r="ED563" s="7"/>
      <c r="EE563" s="7"/>
      <c r="EF563" s="7"/>
      <c r="EG563" s="7"/>
      <c r="EH563" s="7"/>
      <c r="EI563" s="7"/>
      <c r="EJ563" s="7"/>
      <c r="EK563" s="7"/>
      <c r="EL563" s="7"/>
      <c r="EM563" s="7"/>
      <c r="EN563" s="7"/>
      <c r="EO563" s="7"/>
      <c r="EP563" s="7"/>
      <c r="EQ563" s="7"/>
      <c r="ER563" s="7"/>
      <c r="ES563" s="7"/>
      <c r="ET563" s="7"/>
      <c r="EU563" s="7"/>
      <c r="EV563" s="7"/>
      <c r="EW563" s="7"/>
      <c r="EX563" s="7"/>
      <c r="EY563" s="7"/>
      <c r="EZ563" s="7"/>
      <c r="FA563" s="7"/>
      <c r="FB563" s="7"/>
      <c r="FC563" s="7"/>
      <c r="FD563" s="7"/>
      <c r="FE563" s="7"/>
      <c r="FF563" s="7"/>
      <c r="FG563" s="7"/>
      <c r="FH563" s="7"/>
      <c r="FI563" s="7"/>
      <c r="FJ563" s="7"/>
      <c r="FK563" s="7"/>
      <c r="FL563" s="7"/>
      <c r="FM563" s="7"/>
      <c r="FN563" s="7"/>
      <c r="FO563" s="7"/>
      <c r="FP563" s="7"/>
      <c r="FQ563" s="7"/>
      <c r="FR563" s="7"/>
      <c r="FS563" s="7"/>
    </row>
    <row r="564" spans="84:175" x14ac:dyDescent="0.25">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7"/>
      <c r="EA564" s="7"/>
      <c r="EB564" s="7"/>
      <c r="EC564" s="7"/>
      <c r="ED564" s="7"/>
      <c r="EE564" s="7"/>
      <c r="EF564" s="7"/>
      <c r="EG564" s="7"/>
      <c r="EH564" s="7"/>
      <c r="EI564" s="7"/>
      <c r="EJ564" s="7"/>
      <c r="EK564" s="7"/>
      <c r="EL564" s="7"/>
      <c r="EM564" s="7"/>
      <c r="EN564" s="7"/>
      <c r="EO564" s="7"/>
      <c r="EP564" s="7"/>
      <c r="EQ564" s="7"/>
      <c r="ER564" s="7"/>
      <c r="ES564" s="7"/>
      <c r="ET564" s="7"/>
      <c r="EU564" s="7"/>
      <c r="EV564" s="7"/>
      <c r="EW564" s="7"/>
      <c r="EX564" s="7"/>
      <c r="EY564" s="7"/>
      <c r="EZ564" s="7"/>
      <c r="FA564" s="7"/>
      <c r="FB564" s="7"/>
      <c r="FC564" s="7"/>
      <c r="FD564" s="7"/>
      <c r="FE564" s="7"/>
      <c r="FF564" s="7"/>
      <c r="FG564" s="7"/>
      <c r="FH564" s="7"/>
      <c r="FI564" s="7"/>
      <c r="FJ564" s="7"/>
      <c r="FK564" s="7"/>
      <c r="FL564" s="7"/>
      <c r="FM564" s="7"/>
      <c r="FN564" s="7"/>
      <c r="FO564" s="7"/>
      <c r="FP564" s="7"/>
      <c r="FQ564" s="7"/>
      <c r="FR564" s="7"/>
      <c r="FS564" s="7"/>
    </row>
    <row r="565" spans="84:175" x14ac:dyDescent="0.25">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7"/>
      <c r="EA565" s="7"/>
      <c r="EB565" s="7"/>
      <c r="EC565" s="7"/>
      <c r="ED565" s="7"/>
      <c r="EE565" s="7"/>
      <c r="EF565" s="7"/>
      <c r="EG565" s="7"/>
      <c r="EH565" s="7"/>
      <c r="EI565" s="7"/>
      <c r="EJ565" s="7"/>
      <c r="EK565" s="7"/>
      <c r="EL565" s="7"/>
      <c r="EM565" s="7"/>
      <c r="EN565" s="7"/>
      <c r="EO565" s="7"/>
      <c r="EP565" s="7"/>
      <c r="EQ565" s="7"/>
      <c r="ER565" s="7"/>
      <c r="ES565" s="7"/>
      <c r="ET565" s="7"/>
      <c r="EU565" s="7"/>
      <c r="EV565" s="7"/>
      <c r="EW565" s="7"/>
      <c r="EX565" s="7"/>
      <c r="EY565" s="7"/>
      <c r="EZ565" s="7"/>
      <c r="FA565" s="7"/>
      <c r="FB565" s="7"/>
      <c r="FC565" s="7"/>
      <c r="FD565" s="7"/>
      <c r="FE565" s="7"/>
      <c r="FF565" s="7"/>
      <c r="FG565" s="7"/>
      <c r="FH565" s="7"/>
      <c r="FI565" s="7"/>
      <c r="FJ565" s="7"/>
      <c r="FK565" s="7"/>
      <c r="FL565" s="7"/>
      <c r="FM565" s="7"/>
      <c r="FN565" s="7"/>
      <c r="FO565" s="7"/>
      <c r="FP565" s="7"/>
      <c r="FQ565" s="7"/>
      <c r="FR565" s="7"/>
      <c r="FS565" s="7"/>
    </row>
    <row r="566" spans="84:175" x14ac:dyDescent="0.25">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7"/>
      <c r="EA566" s="7"/>
      <c r="EB566" s="7"/>
      <c r="EC566" s="7"/>
      <c r="ED566" s="7"/>
      <c r="EE566" s="7"/>
      <c r="EF566" s="7"/>
      <c r="EG566" s="7"/>
      <c r="EH566" s="7"/>
      <c r="EI566" s="7"/>
      <c r="EJ566" s="7"/>
      <c r="EK566" s="7"/>
      <c r="EL566" s="7"/>
      <c r="EM566" s="7"/>
      <c r="EN566" s="7"/>
      <c r="EO566" s="7"/>
      <c r="EP566" s="7"/>
      <c r="EQ566" s="7"/>
      <c r="ER566" s="7"/>
      <c r="ES566" s="7"/>
      <c r="ET566" s="7"/>
      <c r="EU566" s="7"/>
      <c r="EV566" s="7"/>
      <c r="EW566" s="7"/>
      <c r="EX566" s="7"/>
      <c r="EY566" s="7"/>
      <c r="EZ566" s="7"/>
      <c r="FA566" s="7"/>
      <c r="FB566" s="7"/>
      <c r="FC566" s="7"/>
      <c r="FD566" s="7"/>
      <c r="FE566" s="7"/>
      <c r="FF566" s="7"/>
      <c r="FG566" s="7"/>
      <c r="FH566" s="7"/>
      <c r="FI566" s="7"/>
      <c r="FJ566" s="7"/>
      <c r="FK566" s="7"/>
      <c r="FL566" s="7"/>
      <c r="FM566" s="7"/>
      <c r="FN566" s="7"/>
      <c r="FO566" s="7"/>
      <c r="FP566" s="7"/>
      <c r="FQ566" s="7"/>
      <c r="FR566" s="7"/>
      <c r="FS566" s="7"/>
    </row>
    <row r="567" spans="84:175" x14ac:dyDescent="0.25">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7"/>
      <c r="EA567" s="7"/>
      <c r="EB567" s="7"/>
      <c r="EC567" s="7"/>
      <c r="ED567" s="7"/>
      <c r="EE567" s="7"/>
      <c r="EF567" s="7"/>
      <c r="EG567" s="7"/>
      <c r="EH567" s="7"/>
      <c r="EI567" s="7"/>
      <c r="EJ567" s="7"/>
      <c r="EK567" s="7"/>
      <c r="EL567" s="7"/>
      <c r="EM567" s="7"/>
      <c r="EN567" s="7"/>
      <c r="EO567" s="7"/>
      <c r="EP567" s="7"/>
      <c r="EQ567" s="7"/>
      <c r="ER567" s="7"/>
      <c r="ES567" s="7"/>
      <c r="ET567" s="7"/>
      <c r="EU567" s="7"/>
      <c r="EV567" s="7"/>
      <c r="EW567" s="7"/>
      <c r="EX567" s="7"/>
      <c r="EY567" s="7"/>
      <c r="EZ567" s="7"/>
      <c r="FA567" s="7"/>
      <c r="FB567" s="7"/>
      <c r="FC567" s="7"/>
      <c r="FD567" s="7"/>
      <c r="FE567" s="7"/>
      <c r="FF567" s="7"/>
      <c r="FG567" s="7"/>
      <c r="FH567" s="7"/>
      <c r="FI567" s="7"/>
      <c r="FJ567" s="7"/>
      <c r="FK567" s="7"/>
      <c r="FL567" s="7"/>
      <c r="FM567" s="7"/>
      <c r="FN567" s="7"/>
      <c r="FO567" s="7"/>
      <c r="FP567" s="7"/>
      <c r="FQ567" s="7"/>
      <c r="FR567" s="7"/>
      <c r="FS567" s="7"/>
    </row>
    <row r="568" spans="84:175" x14ac:dyDescent="0.25">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c r="DL568" s="7"/>
      <c r="DM568" s="7"/>
      <c r="DN568" s="7"/>
      <c r="DO568" s="7"/>
      <c r="DP568" s="7"/>
      <c r="DQ568" s="7"/>
      <c r="DR568" s="7"/>
      <c r="DS568" s="7"/>
      <c r="DT568" s="7"/>
      <c r="DU568" s="7"/>
      <c r="DV568" s="7"/>
      <c r="DW568" s="7"/>
      <c r="DX568" s="7"/>
      <c r="DY568" s="7"/>
      <c r="DZ568" s="7"/>
      <c r="EA568" s="7"/>
      <c r="EB568" s="7"/>
      <c r="EC568" s="7"/>
      <c r="ED568" s="7"/>
      <c r="EE568" s="7"/>
      <c r="EF568" s="7"/>
      <c r="EG568" s="7"/>
      <c r="EH568" s="7"/>
      <c r="EI568" s="7"/>
      <c r="EJ568" s="7"/>
      <c r="EK568" s="7"/>
      <c r="EL568" s="7"/>
      <c r="EM568" s="7"/>
      <c r="EN568" s="7"/>
      <c r="EO568" s="7"/>
      <c r="EP568" s="7"/>
      <c r="EQ568" s="7"/>
      <c r="ER568" s="7"/>
      <c r="ES568" s="7"/>
      <c r="ET568" s="7"/>
      <c r="EU568" s="7"/>
      <c r="EV568" s="7"/>
      <c r="EW568" s="7"/>
      <c r="EX568" s="7"/>
      <c r="EY568" s="7"/>
      <c r="EZ568" s="7"/>
      <c r="FA568" s="7"/>
      <c r="FB568" s="7"/>
      <c r="FC568" s="7"/>
      <c r="FD568" s="7"/>
      <c r="FE568" s="7"/>
      <c r="FF568" s="7"/>
      <c r="FG568" s="7"/>
      <c r="FH568" s="7"/>
      <c r="FI568" s="7"/>
      <c r="FJ568" s="7"/>
      <c r="FK568" s="7"/>
      <c r="FL568" s="7"/>
      <c r="FM568" s="7"/>
      <c r="FN568" s="7"/>
      <c r="FO568" s="7"/>
      <c r="FP568" s="7"/>
      <c r="FQ568" s="7"/>
      <c r="FR568" s="7"/>
      <c r="FS568" s="7"/>
    </row>
    <row r="569" spans="84:175" x14ac:dyDescent="0.25">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7"/>
      <c r="EA569" s="7"/>
      <c r="EB569" s="7"/>
      <c r="EC569" s="7"/>
      <c r="ED569" s="7"/>
      <c r="EE569" s="7"/>
      <c r="EF569" s="7"/>
      <c r="EG569" s="7"/>
      <c r="EH569" s="7"/>
      <c r="EI569" s="7"/>
      <c r="EJ569" s="7"/>
      <c r="EK569" s="7"/>
      <c r="EL569" s="7"/>
      <c r="EM569" s="7"/>
      <c r="EN569" s="7"/>
      <c r="EO569" s="7"/>
      <c r="EP569" s="7"/>
      <c r="EQ569" s="7"/>
      <c r="ER569" s="7"/>
      <c r="ES569" s="7"/>
      <c r="ET569" s="7"/>
      <c r="EU569" s="7"/>
      <c r="EV569" s="7"/>
      <c r="EW569" s="7"/>
      <c r="EX569" s="7"/>
      <c r="EY569" s="7"/>
      <c r="EZ569" s="7"/>
      <c r="FA569" s="7"/>
      <c r="FB569" s="7"/>
      <c r="FC569" s="7"/>
      <c r="FD569" s="7"/>
      <c r="FE569" s="7"/>
      <c r="FF569" s="7"/>
      <c r="FG569" s="7"/>
      <c r="FH569" s="7"/>
      <c r="FI569" s="7"/>
      <c r="FJ569" s="7"/>
      <c r="FK569" s="7"/>
      <c r="FL569" s="7"/>
      <c r="FM569" s="7"/>
      <c r="FN569" s="7"/>
      <c r="FO569" s="7"/>
      <c r="FP569" s="7"/>
      <c r="FQ569" s="7"/>
      <c r="FR569" s="7"/>
      <c r="FS569" s="7"/>
    </row>
    <row r="570" spans="84:175" x14ac:dyDescent="0.25">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7"/>
      <c r="EA570" s="7"/>
      <c r="EB570" s="7"/>
      <c r="EC570" s="7"/>
      <c r="ED570" s="7"/>
      <c r="EE570" s="7"/>
      <c r="EF570" s="7"/>
      <c r="EG570" s="7"/>
      <c r="EH570" s="7"/>
      <c r="EI570" s="7"/>
      <c r="EJ570" s="7"/>
      <c r="EK570" s="7"/>
      <c r="EL570" s="7"/>
      <c r="EM570" s="7"/>
      <c r="EN570" s="7"/>
      <c r="EO570" s="7"/>
      <c r="EP570" s="7"/>
      <c r="EQ570" s="7"/>
      <c r="ER570" s="7"/>
      <c r="ES570" s="7"/>
      <c r="ET570" s="7"/>
      <c r="EU570" s="7"/>
      <c r="EV570" s="7"/>
      <c r="EW570" s="7"/>
      <c r="EX570" s="7"/>
      <c r="EY570" s="7"/>
      <c r="EZ570" s="7"/>
      <c r="FA570" s="7"/>
      <c r="FB570" s="7"/>
      <c r="FC570" s="7"/>
      <c r="FD570" s="7"/>
      <c r="FE570" s="7"/>
      <c r="FF570" s="7"/>
      <c r="FG570" s="7"/>
      <c r="FH570" s="7"/>
      <c r="FI570" s="7"/>
      <c r="FJ570" s="7"/>
      <c r="FK570" s="7"/>
      <c r="FL570" s="7"/>
      <c r="FM570" s="7"/>
      <c r="FN570" s="7"/>
      <c r="FO570" s="7"/>
      <c r="FP570" s="7"/>
      <c r="FQ570" s="7"/>
      <c r="FR570" s="7"/>
      <c r="FS570" s="7"/>
    </row>
    <row r="571" spans="84:175" x14ac:dyDescent="0.25">
      <c r="CF571" s="7"/>
      <c r="CG571" s="7"/>
      <c r="CH571" s="7"/>
      <c r="CI571" s="7"/>
      <c r="CJ571" s="7"/>
      <c r="CK571" s="7"/>
      <c r="CL571" s="7"/>
      <c r="CM571" s="7"/>
      <c r="CN571" s="7"/>
      <c r="CO571" s="7"/>
      <c r="CP571" s="7"/>
      <c r="CQ571" s="7"/>
      <c r="CR571" s="7"/>
      <c r="CS571" s="7"/>
      <c r="CT571" s="7"/>
      <c r="CU571" s="7"/>
      <c r="CV571" s="7"/>
      <c r="CW571" s="7"/>
      <c r="CX571" s="7"/>
      <c r="CY571" s="7"/>
      <c r="CZ571" s="7"/>
      <c r="DA571" s="7"/>
      <c r="DB571" s="7"/>
      <c r="DC571" s="7"/>
      <c r="DD571" s="7"/>
      <c r="DE571" s="7"/>
      <c r="DF571" s="7"/>
      <c r="DG571" s="7"/>
      <c r="DH571" s="7"/>
      <c r="DI571" s="7"/>
      <c r="DJ571" s="7"/>
      <c r="DK571" s="7"/>
      <c r="DL571" s="7"/>
      <c r="DM571" s="7"/>
      <c r="DN571" s="7"/>
      <c r="DO571" s="7"/>
      <c r="DP571" s="7"/>
      <c r="DQ571" s="7"/>
      <c r="DR571" s="7"/>
      <c r="DS571" s="7"/>
      <c r="DT571" s="7"/>
      <c r="DU571" s="7"/>
      <c r="DV571" s="7"/>
      <c r="DW571" s="7"/>
      <c r="DX571" s="7"/>
      <c r="DY571" s="7"/>
      <c r="DZ571" s="7"/>
      <c r="EA571" s="7"/>
      <c r="EB571" s="7"/>
      <c r="EC571" s="7"/>
      <c r="ED571" s="7"/>
      <c r="EE571" s="7"/>
      <c r="EF571" s="7"/>
      <c r="EG571" s="7"/>
      <c r="EH571" s="7"/>
      <c r="EI571" s="7"/>
      <c r="EJ571" s="7"/>
      <c r="EK571" s="7"/>
      <c r="EL571" s="7"/>
      <c r="EM571" s="7"/>
      <c r="EN571" s="7"/>
      <c r="EO571" s="7"/>
      <c r="EP571" s="7"/>
      <c r="EQ571" s="7"/>
      <c r="ER571" s="7"/>
      <c r="ES571" s="7"/>
      <c r="ET571" s="7"/>
      <c r="EU571" s="7"/>
      <c r="EV571" s="7"/>
      <c r="EW571" s="7"/>
      <c r="EX571" s="7"/>
      <c r="EY571" s="7"/>
      <c r="EZ571" s="7"/>
      <c r="FA571" s="7"/>
      <c r="FB571" s="7"/>
      <c r="FC571" s="7"/>
      <c r="FD571" s="7"/>
      <c r="FE571" s="7"/>
      <c r="FF571" s="7"/>
      <c r="FG571" s="7"/>
      <c r="FH571" s="7"/>
      <c r="FI571" s="7"/>
      <c r="FJ571" s="7"/>
      <c r="FK571" s="7"/>
      <c r="FL571" s="7"/>
      <c r="FM571" s="7"/>
      <c r="FN571" s="7"/>
      <c r="FO571" s="7"/>
      <c r="FP571" s="7"/>
      <c r="FQ571" s="7"/>
      <c r="FR571" s="7"/>
      <c r="FS571" s="7"/>
    </row>
    <row r="572" spans="84:175" x14ac:dyDescent="0.25">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c r="FL572" s="7"/>
      <c r="FM572" s="7"/>
      <c r="FN572" s="7"/>
      <c r="FO572" s="7"/>
      <c r="FP572" s="7"/>
      <c r="FQ572" s="7"/>
      <c r="FR572" s="7"/>
      <c r="FS572" s="7"/>
    </row>
    <row r="573" spans="84:175" x14ac:dyDescent="0.25">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c r="FL573" s="7"/>
      <c r="FM573" s="7"/>
      <c r="FN573" s="7"/>
      <c r="FO573" s="7"/>
      <c r="FP573" s="7"/>
      <c r="FQ573" s="7"/>
      <c r="FR573" s="7"/>
      <c r="FS573" s="7"/>
    </row>
    <row r="574" spans="84:175" x14ac:dyDescent="0.25">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c r="FL574" s="7"/>
      <c r="FM574" s="7"/>
      <c r="FN574" s="7"/>
      <c r="FO574" s="7"/>
      <c r="FP574" s="7"/>
      <c r="FQ574" s="7"/>
      <c r="FR574" s="7"/>
      <c r="FS574" s="7"/>
    </row>
    <row r="575" spans="84:175" x14ac:dyDescent="0.25">
      <c r="CF575" s="7"/>
      <c r="CG575" s="7"/>
      <c r="CH575" s="7"/>
      <c r="CI575" s="7"/>
      <c r="CJ575" s="7"/>
      <c r="CK575" s="7"/>
      <c r="CL575" s="7"/>
      <c r="CM575" s="7"/>
      <c r="CN575" s="7"/>
      <c r="CO575" s="7"/>
      <c r="CP575" s="7"/>
      <c r="CQ575" s="7"/>
      <c r="CR575" s="7"/>
      <c r="CS575" s="7"/>
      <c r="CT575" s="7"/>
      <c r="CU575" s="7"/>
      <c r="CV575" s="7"/>
      <c r="CW575" s="7"/>
      <c r="CX575" s="7"/>
      <c r="CY575" s="7"/>
      <c r="CZ575" s="7"/>
      <c r="DA575" s="7"/>
      <c r="DB575" s="7"/>
      <c r="DC575" s="7"/>
      <c r="DD575" s="7"/>
      <c r="DE575" s="7"/>
      <c r="DF575" s="7"/>
      <c r="DG575" s="7"/>
      <c r="DH575" s="7"/>
      <c r="DI575" s="7"/>
      <c r="DJ575" s="7"/>
      <c r="DK575" s="7"/>
      <c r="DL575" s="7"/>
      <c r="DM575" s="7"/>
      <c r="DN575" s="7"/>
      <c r="DO575" s="7"/>
      <c r="DP575" s="7"/>
      <c r="DQ575" s="7"/>
      <c r="DR575" s="7"/>
      <c r="DS575" s="7"/>
      <c r="DT575" s="7"/>
      <c r="DU575" s="7"/>
      <c r="DV575" s="7"/>
      <c r="DW575" s="7"/>
      <c r="DX575" s="7"/>
      <c r="DY575" s="7"/>
      <c r="DZ575" s="7"/>
      <c r="EA575" s="7"/>
      <c r="EB575" s="7"/>
      <c r="EC575" s="7"/>
      <c r="ED575" s="7"/>
      <c r="EE575" s="7"/>
      <c r="EF575" s="7"/>
      <c r="EG575" s="7"/>
      <c r="EH575" s="7"/>
      <c r="EI575" s="7"/>
      <c r="EJ575" s="7"/>
      <c r="EK575" s="7"/>
      <c r="EL575" s="7"/>
      <c r="EM575" s="7"/>
      <c r="EN575" s="7"/>
      <c r="EO575" s="7"/>
      <c r="EP575" s="7"/>
      <c r="EQ575" s="7"/>
      <c r="ER575" s="7"/>
      <c r="ES575" s="7"/>
      <c r="ET575" s="7"/>
      <c r="EU575" s="7"/>
      <c r="EV575" s="7"/>
      <c r="EW575" s="7"/>
      <c r="EX575" s="7"/>
      <c r="EY575" s="7"/>
      <c r="EZ575" s="7"/>
      <c r="FA575" s="7"/>
      <c r="FB575" s="7"/>
      <c r="FC575" s="7"/>
      <c r="FD575" s="7"/>
      <c r="FE575" s="7"/>
      <c r="FF575" s="7"/>
      <c r="FG575" s="7"/>
      <c r="FH575" s="7"/>
      <c r="FI575" s="7"/>
      <c r="FJ575" s="7"/>
      <c r="FK575" s="7"/>
      <c r="FL575" s="7"/>
      <c r="FM575" s="7"/>
      <c r="FN575" s="7"/>
      <c r="FO575" s="7"/>
      <c r="FP575" s="7"/>
      <c r="FQ575" s="7"/>
      <c r="FR575" s="7"/>
      <c r="FS575" s="7"/>
    </row>
    <row r="576" spans="84:175" x14ac:dyDescent="0.25">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c r="FL576" s="7"/>
      <c r="FM576" s="7"/>
      <c r="FN576" s="7"/>
      <c r="FO576" s="7"/>
      <c r="FP576" s="7"/>
      <c r="FQ576" s="7"/>
      <c r="FR576" s="7"/>
      <c r="FS576" s="7"/>
    </row>
    <row r="577" spans="84:175" x14ac:dyDescent="0.25">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c r="FL577" s="7"/>
      <c r="FM577" s="7"/>
      <c r="FN577" s="7"/>
      <c r="FO577" s="7"/>
      <c r="FP577" s="7"/>
      <c r="FQ577" s="7"/>
      <c r="FR577" s="7"/>
      <c r="FS577" s="7"/>
    </row>
    <row r="578" spans="84:175" x14ac:dyDescent="0.25">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c r="FL578" s="7"/>
      <c r="FM578" s="7"/>
      <c r="FN578" s="7"/>
      <c r="FO578" s="7"/>
      <c r="FP578" s="7"/>
      <c r="FQ578" s="7"/>
      <c r="FR578" s="7"/>
      <c r="FS578" s="7"/>
    </row>
    <row r="579" spans="84:175" x14ac:dyDescent="0.25">
      <c r="CF579" s="7"/>
      <c r="CG579" s="7"/>
      <c r="CH579" s="7"/>
      <c r="CI579" s="7"/>
      <c r="CJ579" s="7"/>
      <c r="CK579" s="7"/>
      <c r="CL579" s="7"/>
      <c r="CM579" s="7"/>
      <c r="CN579" s="7"/>
      <c r="CO579" s="7"/>
      <c r="CP579" s="7"/>
      <c r="CQ579" s="7"/>
      <c r="CR579" s="7"/>
      <c r="CS579" s="7"/>
      <c r="CT579" s="7"/>
      <c r="CU579" s="7"/>
      <c r="CV579" s="7"/>
      <c r="CW579" s="7"/>
      <c r="CX579" s="7"/>
      <c r="CY579" s="7"/>
      <c r="CZ579" s="7"/>
      <c r="DA579" s="7"/>
      <c r="DB579" s="7"/>
      <c r="DC579" s="7"/>
      <c r="DD579" s="7"/>
      <c r="DE579" s="7"/>
      <c r="DF579" s="7"/>
      <c r="DG579" s="7"/>
      <c r="DH579" s="7"/>
      <c r="DI579" s="7"/>
      <c r="DJ579" s="7"/>
      <c r="DK579" s="7"/>
      <c r="DL579" s="7"/>
      <c r="DM579" s="7"/>
      <c r="DN579" s="7"/>
      <c r="DO579" s="7"/>
      <c r="DP579" s="7"/>
      <c r="DQ579" s="7"/>
      <c r="DR579" s="7"/>
      <c r="DS579" s="7"/>
      <c r="DT579" s="7"/>
      <c r="DU579" s="7"/>
      <c r="DV579" s="7"/>
      <c r="DW579" s="7"/>
      <c r="DX579" s="7"/>
      <c r="DY579" s="7"/>
      <c r="DZ579" s="7"/>
      <c r="EA579" s="7"/>
      <c r="EB579" s="7"/>
      <c r="EC579" s="7"/>
      <c r="ED579" s="7"/>
      <c r="EE579" s="7"/>
      <c r="EF579" s="7"/>
      <c r="EG579" s="7"/>
      <c r="EH579" s="7"/>
      <c r="EI579" s="7"/>
      <c r="EJ579" s="7"/>
      <c r="EK579" s="7"/>
      <c r="EL579" s="7"/>
      <c r="EM579" s="7"/>
      <c r="EN579" s="7"/>
      <c r="EO579" s="7"/>
      <c r="EP579" s="7"/>
      <c r="EQ579" s="7"/>
      <c r="ER579" s="7"/>
      <c r="ES579" s="7"/>
      <c r="ET579" s="7"/>
      <c r="EU579" s="7"/>
      <c r="EV579" s="7"/>
      <c r="EW579" s="7"/>
      <c r="EX579" s="7"/>
      <c r="EY579" s="7"/>
      <c r="EZ579" s="7"/>
      <c r="FA579" s="7"/>
      <c r="FB579" s="7"/>
      <c r="FC579" s="7"/>
      <c r="FD579" s="7"/>
      <c r="FE579" s="7"/>
      <c r="FF579" s="7"/>
      <c r="FG579" s="7"/>
      <c r="FH579" s="7"/>
      <c r="FI579" s="7"/>
      <c r="FJ579" s="7"/>
      <c r="FK579" s="7"/>
      <c r="FL579" s="7"/>
      <c r="FM579" s="7"/>
      <c r="FN579" s="7"/>
      <c r="FO579" s="7"/>
      <c r="FP579" s="7"/>
      <c r="FQ579" s="7"/>
      <c r="FR579" s="7"/>
      <c r="FS579" s="7"/>
    </row>
    <row r="580" spans="84:175" x14ac:dyDescent="0.25">
      <c r="CF580" s="7"/>
      <c r="CG580" s="7"/>
      <c r="CH580" s="7"/>
      <c r="CI580" s="7"/>
      <c r="CJ580" s="7"/>
      <c r="CK580" s="7"/>
      <c r="CL580" s="7"/>
      <c r="CM580" s="7"/>
      <c r="CN580" s="7"/>
      <c r="CO580" s="7"/>
      <c r="CP580" s="7"/>
      <c r="CQ580" s="7"/>
      <c r="CR580" s="7"/>
      <c r="CS580" s="7"/>
      <c r="CT580" s="7"/>
      <c r="CU580" s="7"/>
      <c r="CV580" s="7"/>
      <c r="CW580" s="7"/>
      <c r="CX580" s="7"/>
      <c r="CY580" s="7"/>
      <c r="CZ580" s="7"/>
      <c r="DA580" s="7"/>
      <c r="DB580" s="7"/>
      <c r="DC580" s="7"/>
      <c r="DD580" s="7"/>
      <c r="DE580" s="7"/>
      <c r="DF580" s="7"/>
      <c r="DG580" s="7"/>
      <c r="DH580" s="7"/>
      <c r="DI580" s="7"/>
      <c r="DJ580" s="7"/>
      <c r="DK580" s="7"/>
      <c r="DL580" s="7"/>
      <c r="DM580" s="7"/>
      <c r="DN580" s="7"/>
      <c r="DO580" s="7"/>
      <c r="DP580" s="7"/>
      <c r="DQ580" s="7"/>
      <c r="DR580" s="7"/>
      <c r="DS580" s="7"/>
      <c r="DT580" s="7"/>
      <c r="DU580" s="7"/>
      <c r="DV580" s="7"/>
      <c r="DW580" s="7"/>
      <c r="DX580" s="7"/>
      <c r="DY580" s="7"/>
      <c r="DZ580" s="7"/>
      <c r="EA580" s="7"/>
      <c r="EB580" s="7"/>
      <c r="EC580" s="7"/>
      <c r="ED580" s="7"/>
      <c r="EE580" s="7"/>
      <c r="EF580" s="7"/>
      <c r="EG580" s="7"/>
      <c r="EH580" s="7"/>
      <c r="EI580" s="7"/>
      <c r="EJ580" s="7"/>
      <c r="EK580" s="7"/>
      <c r="EL580" s="7"/>
      <c r="EM580" s="7"/>
      <c r="EN580" s="7"/>
      <c r="EO580" s="7"/>
      <c r="EP580" s="7"/>
      <c r="EQ580" s="7"/>
      <c r="ER580" s="7"/>
      <c r="ES580" s="7"/>
      <c r="ET580" s="7"/>
      <c r="EU580" s="7"/>
      <c r="EV580" s="7"/>
      <c r="EW580" s="7"/>
      <c r="EX580" s="7"/>
      <c r="EY580" s="7"/>
      <c r="EZ580" s="7"/>
      <c r="FA580" s="7"/>
      <c r="FB580" s="7"/>
      <c r="FC580" s="7"/>
      <c r="FD580" s="7"/>
      <c r="FE580" s="7"/>
      <c r="FF580" s="7"/>
      <c r="FG580" s="7"/>
      <c r="FH580" s="7"/>
      <c r="FI580" s="7"/>
      <c r="FJ580" s="7"/>
      <c r="FK580" s="7"/>
      <c r="FL580" s="7"/>
      <c r="FM580" s="7"/>
      <c r="FN580" s="7"/>
      <c r="FO580" s="7"/>
      <c r="FP580" s="7"/>
      <c r="FQ580" s="7"/>
      <c r="FR580" s="7"/>
      <c r="FS580" s="7"/>
    </row>
    <row r="581" spans="84:175" x14ac:dyDescent="0.25">
      <c r="CF581" s="7"/>
      <c r="CG581" s="7"/>
      <c r="CH581" s="7"/>
      <c r="CI581" s="7"/>
      <c r="CJ581" s="7"/>
      <c r="CK581" s="7"/>
      <c r="CL581" s="7"/>
      <c r="CM581" s="7"/>
      <c r="CN581" s="7"/>
      <c r="CO581" s="7"/>
      <c r="CP581" s="7"/>
      <c r="CQ581" s="7"/>
      <c r="CR581" s="7"/>
      <c r="CS581" s="7"/>
      <c r="CT581" s="7"/>
      <c r="CU581" s="7"/>
      <c r="CV581" s="7"/>
      <c r="CW581" s="7"/>
      <c r="CX581" s="7"/>
      <c r="CY581" s="7"/>
      <c r="CZ581" s="7"/>
      <c r="DA581" s="7"/>
      <c r="DB581" s="7"/>
      <c r="DC581" s="7"/>
      <c r="DD581" s="7"/>
      <c r="DE581" s="7"/>
      <c r="DF581" s="7"/>
      <c r="DG581" s="7"/>
      <c r="DH581" s="7"/>
      <c r="DI581" s="7"/>
      <c r="DJ581" s="7"/>
      <c r="DK581" s="7"/>
      <c r="DL581" s="7"/>
      <c r="DM581" s="7"/>
      <c r="DN581" s="7"/>
      <c r="DO581" s="7"/>
      <c r="DP581" s="7"/>
      <c r="DQ581" s="7"/>
      <c r="DR581" s="7"/>
      <c r="DS581" s="7"/>
      <c r="DT581" s="7"/>
      <c r="DU581" s="7"/>
      <c r="DV581" s="7"/>
      <c r="DW581" s="7"/>
      <c r="DX581" s="7"/>
      <c r="DY581" s="7"/>
      <c r="DZ581" s="7"/>
      <c r="EA581" s="7"/>
      <c r="EB581" s="7"/>
      <c r="EC581" s="7"/>
      <c r="ED581" s="7"/>
      <c r="EE581" s="7"/>
      <c r="EF581" s="7"/>
      <c r="EG581" s="7"/>
      <c r="EH581" s="7"/>
      <c r="EI581" s="7"/>
      <c r="EJ581" s="7"/>
      <c r="EK581" s="7"/>
      <c r="EL581" s="7"/>
      <c r="EM581" s="7"/>
      <c r="EN581" s="7"/>
      <c r="EO581" s="7"/>
      <c r="EP581" s="7"/>
      <c r="EQ581" s="7"/>
      <c r="ER581" s="7"/>
      <c r="ES581" s="7"/>
      <c r="ET581" s="7"/>
      <c r="EU581" s="7"/>
      <c r="EV581" s="7"/>
      <c r="EW581" s="7"/>
      <c r="EX581" s="7"/>
      <c r="EY581" s="7"/>
      <c r="EZ581" s="7"/>
      <c r="FA581" s="7"/>
      <c r="FB581" s="7"/>
      <c r="FC581" s="7"/>
      <c r="FD581" s="7"/>
      <c r="FE581" s="7"/>
      <c r="FF581" s="7"/>
      <c r="FG581" s="7"/>
      <c r="FH581" s="7"/>
      <c r="FI581" s="7"/>
      <c r="FJ581" s="7"/>
      <c r="FK581" s="7"/>
      <c r="FL581" s="7"/>
      <c r="FM581" s="7"/>
      <c r="FN581" s="7"/>
      <c r="FO581" s="7"/>
      <c r="FP581" s="7"/>
      <c r="FQ581" s="7"/>
      <c r="FR581" s="7"/>
      <c r="FS581" s="7"/>
    </row>
    <row r="582" spans="84:175" x14ac:dyDescent="0.25">
      <c r="CF582" s="7"/>
      <c r="CG582" s="7"/>
      <c r="CH582" s="7"/>
      <c r="CI582" s="7"/>
      <c r="CJ582" s="7"/>
      <c r="CK582" s="7"/>
      <c r="CL582" s="7"/>
      <c r="CM582" s="7"/>
      <c r="CN582" s="7"/>
      <c r="CO582" s="7"/>
      <c r="CP582" s="7"/>
      <c r="CQ582" s="7"/>
      <c r="CR582" s="7"/>
      <c r="CS582" s="7"/>
      <c r="CT582" s="7"/>
      <c r="CU582" s="7"/>
      <c r="CV582" s="7"/>
      <c r="CW582" s="7"/>
      <c r="CX582" s="7"/>
      <c r="CY582" s="7"/>
      <c r="CZ582" s="7"/>
      <c r="DA582" s="7"/>
      <c r="DB582" s="7"/>
      <c r="DC582" s="7"/>
      <c r="DD582" s="7"/>
      <c r="DE582" s="7"/>
      <c r="DF582" s="7"/>
      <c r="DG582" s="7"/>
      <c r="DH582" s="7"/>
      <c r="DI582" s="7"/>
      <c r="DJ582" s="7"/>
      <c r="DK582" s="7"/>
      <c r="DL582" s="7"/>
      <c r="DM582" s="7"/>
      <c r="DN582" s="7"/>
      <c r="DO582" s="7"/>
      <c r="DP582" s="7"/>
      <c r="DQ582" s="7"/>
      <c r="DR582" s="7"/>
      <c r="DS582" s="7"/>
      <c r="DT582" s="7"/>
      <c r="DU582" s="7"/>
      <c r="DV582" s="7"/>
      <c r="DW582" s="7"/>
      <c r="DX582" s="7"/>
      <c r="DY582" s="7"/>
      <c r="DZ582" s="7"/>
      <c r="EA582" s="7"/>
      <c r="EB582" s="7"/>
      <c r="EC582" s="7"/>
      <c r="ED582" s="7"/>
      <c r="EE582" s="7"/>
      <c r="EF582" s="7"/>
      <c r="EG582" s="7"/>
      <c r="EH582" s="7"/>
      <c r="EI582" s="7"/>
      <c r="EJ582" s="7"/>
      <c r="EK582" s="7"/>
      <c r="EL582" s="7"/>
      <c r="EM582" s="7"/>
      <c r="EN582" s="7"/>
      <c r="EO582" s="7"/>
      <c r="EP582" s="7"/>
      <c r="EQ582" s="7"/>
      <c r="ER582" s="7"/>
      <c r="ES582" s="7"/>
      <c r="ET582" s="7"/>
      <c r="EU582" s="7"/>
      <c r="EV582" s="7"/>
      <c r="EW582" s="7"/>
      <c r="EX582" s="7"/>
      <c r="EY582" s="7"/>
      <c r="EZ582" s="7"/>
      <c r="FA582" s="7"/>
      <c r="FB582" s="7"/>
      <c r="FC582" s="7"/>
      <c r="FD582" s="7"/>
      <c r="FE582" s="7"/>
      <c r="FF582" s="7"/>
      <c r="FG582" s="7"/>
      <c r="FH582" s="7"/>
      <c r="FI582" s="7"/>
      <c r="FJ582" s="7"/>
      <c r="FK582" s="7"/>
      <c r="FL582" s="7"/>
      <c r="FM582" s="7"/>
      <c r="FN582" s="7"/>
      <c r="FO582" s="7"/>
      <c r="FP582" s="7"/>
      <c r="FQ582" s="7"/>
      <c r="FR582" s="7"/>
      <c r="FS582" s="7"/>
    </row>
    <row r="583" spans="84:175" x14ac:dyDescent="0.25">
      <c r="CF583" s="7"/>
      <c r="CG583" s="7"/>
      <c r="CH583" s="7"/>
      <c r="CI583" s="7"/>
      <c r="CJ583" s="7"/>
      <c r="CK583" s="7"/>
      <c r="CL583" s="7"/>
      <c r="CM583" s="7"/>
      <c r="CN583" s="7"/>
      <c r="CO583" s="7"/>
      <c r="CP583" s="7"/>
      <c r="CQ583" s="7"/>
      <c r="CR583" s="7"/>
      <c r="CS583" s="7"/>
      <c r="CT583" s="7"/>
      <c r="CU583" s="7"/>
      <c r="CV583" s="7"/>
      <c r="CW583" s="7"/>
      <c r="CX583" s="7"/>
      <c r="CY583" s="7"/>
      <c r="CZ583" s="7"/>
      <c r="DA583" s="7"/>
      <c r="DB583" s="7"/>
      <c r="DC583" s="7"/>
      <c r="DD583" s="7"/>
      <c r="DE583" s="7"/>
      <c r="DF583" s="7"/>
      <c r="DG583" s="7"/>
      <c r="DH583" s="7"/>
      <c r="DI583" s="7"/>
      <c r="DJ583" s="7"/>
      <c r="DK583" s="7"/>
      <c r="DL583" s="7"/>
      <c r="DM583" s="7"/>
      <c r="DN583" s="7"/>
      <c r="DO583" s="7"/>
      <c r="DP583" s="7"/>
      <c r="DQ583" s="7"/>
      <c r="DR583" s="7"/>
      <c r="DS583" s="7"/>
      <c r="DT583" s="7"/>
      <c r="DU583" s="7"/>
      <c r="DV583" s="7"/>
      <c r="DW583" s="7"/>
      <c r="DX583" s="7"/>
      <c r="DY583" s="7"/>
      <c r="DZ583" s="7"/>
      <c r="EA583" s="7"/>
      <c r="EB583" s="7"/>
      <c r="EC583" s="7"/>
      <c r="ED583" s="7"/>
      <c r="EE583" s="7"/>
      <c r="EF583" s="7"/>
      <c r="EG583" s="7"/>
      <c r="EH583" s="7"/>
      <c r="EI583" s="7"/>
      <c r="EJ583" s="7"/>
      <c r="EK583" s="7"/>
      <c r="EL583" s="7"/>
      <c r="EM583" s="7"/>
      <c r="EN583" s="7"/>
      <c r="EO583" s="7"/>
      <c r="EP583" s="7"/>
      <c r="EQ583" s="7"/>
      <c r="ER583" s="7"/>
      <c r="ES583" s="7"/>
      <c r="ET583" s="7"/>
      <c r="EU583" s="7"/>
      <c r="EV583" s="7"/>
      <c r="EW583" s="7"/>
      <c r="EX583" s="7"/>
      <c r="EY583" s="7"/>
      <c r="EZ583" s="7"/>
      <c r="FA583" s="7"/>
      <c r="FB583" s="7"/>
      <c r="FC583" s="7"/>
      <c r="FD583" s="7"/>
      <c r="FE583" s="7"/>
      <c r="FF583" s="7"/>
      <c r="FG583" s="7"/>
      <c r="FH583" s="7"/>
      <c r="FI583" s="7"/>
      <c r="FJ583" s="7"/>
      <c r="FK583" s="7"/>
      <c r="FL583" s="7"/>
      <c r="FM583" s="7"/>
      <c r="FN583" s="7"/>
      <c r="FO583" s="7"/>
      <c r="FP583" s="7"/>
      <c r="FQ583" s="7"/>
      <c r="FR583" s="7"/>
      <c r="FS583" s="7"/>
    </row>
    <row r="584" spans="84:175" x14ac:dyDescent="0.25">
      <c r="CF584" s="7"/>
      <c r="CG584" s="7"/>
      <c r="CH584" s="7"/>
      <c r="CI584" s="7"/>
      <c r="CJ584" s="7"/>
      <c r="CK584" s="7"/>
      <c r="CL584" s="7"/>
      <c r="CM584" s="7"/>
      <c r="CN584" s="7"/>
      <c r="CO584" s="7"/>
      <c r="CP584" s="7"/>
      <c r="CQ584" s="7"/>
      <c r="CR584" s="7"/>
      <c r="CS584" s="7"/>
      <c r="CT584" s="7"/>
      <c r="CU584" s="7"/>
      <c r="CV584" s="7"/>
      <c r="CW584" s="7"/>
      <c r="CX584" s="7"/>
      <c r="CY584" s="7"/>
      <c r="CZ584" s="7"/>
      <c r="DA584" s="7"/>
      <c r="DB584" s="7"/>
      <c r="DC584" s="7"/>
      <c r="DD584" s="7"/>
      <c r="DE584" s="7"/>
      <c r="DF584" s="7"/>
      <c r="DG584" s="7"/>
      <c r="DH584" s="7"/>
      <c r="DI584" s="7"/>
      <c r="DJ584" s="7"/>
      <c r="DK584" s="7"/>
      <c r="DL584" s="7"/>
      <c r="DM584" s="7"/>
      <c r="DN584" s="7"/>
      <c r="DO584" s="7"/>
      <c r="DP584" s="7"/>
      <c r="DQ584" s="7"/>
      <c r="DR584" s="7"/>
      <c r="DS584" s="7"/>
      <c r="DT584" s="7"/>
      <c r="DU584" s="7"/>
      <c r="DV584" s="7"/>
      <c r="DW584" s="7"/>
      <c r="DX584" s="7"/>
      <c r="DY584" s="7"/>
      <c r="DZ584" s="7"/>
      <c r="EA584" s="7"/>
      <c r="EB584" s="7"/>
      <c r="EC584" s="7"/>
      <c r="ED584" s="7"/>
      <c r="EE584" s="7"/>
      <c r="EF584" s="7"/>
      <c r="EG584" s="7"/>
      <c r="EH584" s="7"/>
      <c r="EI584" s="7"/>
      <c r="EJ584" s="7"/>
      <c r="EK584" s="7"/>
      <c r="EL584" s="7"/>
      <c r="EM584" s="7"/>
      <c r="EN584" s="7"/>
      <c r="EO584" s="7"/>
      <c r="EP584" s="7"/>
      <c r="EQ584" s="7"/>
      <c r="ER584" s="7"/>
      <c r="ES584" s="7"/>
      <c r="ET584" s="7"/>
      <c r="EU584" s="7"/>
      <c r="EV584" s="7"/>
      <c r="EW584" s="7"/>
      <c r="EX584" s="7"/>
      <c r="EY584" s="7"/>
      <c r="EZ584" s="7"/>
      <c r="FA584" s="7"/>
      <c r="FB584" s="7"/>
      <c r="FC584" s="7"/>
      <c r="FD584" s="7"/>
      <c r="FE584" s="7"/>
      <c r="FF584" s="7"/>
      <c r="FG584" s="7"/>
      <c r="FH584" s="7"/>
      <c r="FI584" s="7"/>
      <c r="FJ584" s="7"/>
      <c r="FK584" s="7"/>
      <c r="FL584" s="7"/>
      <c r="FM584" s="7"/>
      <c r="FN584" s="7"/>
      <c r="FO584" s="7"/>
      <c r="FP584" s="7"/>
      <c r="FQ584" s="7"/>
      <c r="FR584" s="7"/>
      <c r="FS584" s="7"/>
    </row>
    <row r="585" spans="84:175" x14ac:dyDescent="0.25">
      <c r="CF585" s="7"/>
      <c r="CG585" s="7"/>
      <c r="CH585" s="7"/>
      <c r="CI585" s="7"/>
      <c r="CJ585" s="7"/>
      <c r="CK585" s="7"/>
      <c r="CL585" s="7"/>
      <c r="CM585" s="7"/>
      <c r="CN585" s="7"/>
      <c r="CO585" s="7"/>
      <c r="CP585" s="7"/>
      <c r="CQ585" s="7"/>
      <c r="CR585" s="7"/>
      <c r="CS585" s="7"/>
      <c r="CT585" s="7"/>
      <c r="CU585" s="7"/>
      <c r="CV585" s="7"/>
      <c r="CW585" s="7"/>
      <c r="CX585" s="7"/>
      <c r="CY585" s="7"/>
      <c r="CZ585" s="7"/>
      <c r="DA585" s="7"/>
      <c r="DB585" s="7"/>
      <c r="DC585" s="7"/>
      <c r="DD585" s="7"/>
      <c r="DE585" s="7"/>
      <c r="DF585" s="7"/>
      <c r="DG585" s="7"/>
      <c r="DH585" s="7"/>
      <c r="DI585" s="7"/>
      <c r="DJ585" s="7"/>
      <c r="DK585" s="7"/>
      <c r="DL585" s="7"/>
      <c r="DM585" s="7"/>
      <c r="DN585" s="7"/>
      <c r="DO585" s="7"/>
      <c r="DP585" s="7"/>
      <c r="DQ585" s="7"/>
      <c r="DR585" s="7"/>
      <c r="DS585" s="7"/>
      <c r="DT585" s="7"/>
      <c r="DU585" s="7"/>
      <c r="DV585" s="7"/>
      <c r="DW585" s="7"/>
      <c r="DX585" s="7"/>
      <c r="DY585" s="7"/>
      <c r="DZ585" s="7"/>
      <c r="EA585" s="7"/>
      <c r="EB585" s="7"/>
      <c r="EC585" s="7"/>
      <c r="ED585" s="7"/>
      <c r="EE585" s="7"/>
      <c r="EF585" s="7"/>
      <c r="EG585" s="7"/>
      <c r="EH585" s="7"/>
      <c r="EI585" s="7"/>
      <c r="EJ585" s="7"/>
      <c r="EK585" s="7"/>
      <c r="EL585" s="7"/>
      <c r="EM585" s="7"/>
      <c r="EN585" s="7"/>
      <c r="EO585" s="7"/>
      <c r="EP585" s="7"/>
      <c r="EQ585" s="7"/>
      <c r="ER585" s="7"/>
      <c r="ES585" s="7"/>
      <c r="ET585" s="7"/>
      <c r="EU585" s="7"/>
      <c r="EV585" s="7"/>
      <c r="EW585" s="7"/>
      <c r="EX585" s="7"/>
      <c r="EY585" s="7"/>
      <c r="EZ585" s="7"/>
      <c r="FA585" s="7"/>
      <c r="FB585" s="7"/>
      <c r="FC585" s="7"/>
      <c r="FD585" s="7"/>
      <c r="FE585" s="7"/>
      <c r="FF585" s="7"/>
      <c r="FG585" s="7"/>
      <c r="FH585" s="7"/>
      <c r="FI585" s="7"/>
      <c r="FJ585" s="7"/>
      <c r="FK585" s="7"/>
      <c r="FL585" s="7"/>
      <c r="FM585" s="7"/>
      <c r="FN585" s="7"/>
      <c r="FO585" s="7"/>
      <c r="FP585" s="7"/>
      <c r="FQ585" s="7"/>
      <c r="FR585" s="7"/>
      <c r="FS585" s="7"/>
    </row>
    <row r="586" spans="84:175" x14ac:dyDescent="0.25">
      <c r="CF586" s="7"/>
      <c r="CG586" s="7"/>
      <c r="CH586" s="7"/>
      <c r="CI586" s="7"/>
      <c r="CJ586" s="7"/>
      <c r="CK586" s="7"/>
      <c r="CL586" s="7"/>
      <c r="CM586" s="7"/>
      <c r="CN586" s="7"/>
      <c r="CO586" s="7"/>
      <c r="CP586" s="7"/>
      <c r="CQ586" s="7"/>
      <c r="CR586" s="7"/>
      <c r="CS586" s="7"/>
      <c r="CT586" s="7"/>
      <c r="CU586" s="7"/>
      <c r="CV586" s="7"/>
      <c r="CW586" s="7"/>
      <c r="CX586" s="7"/>
      <c r="CY586" s="7"/>
      <c r="CZ586" s="7"/>
      <c r="DA586" s="7"/>
      <c r="DB586" s="7"/>
      <c r="DC586" s="7"/>
      <c r="DD586" s="7"/>
      <c r="DE586" s="7"/>
      <c r="DF586" s="7"/>
      <c r="DG586" s="7"/>
      <c r="DH586" s="7"/>
      <c r="DI586" s="7"/>
      <c r="DJ586" s="7"/>
      <c r="DK586" s="7"/>
      <c r="DL586" s="7"/>
      <c r="DM586" s="7"/>
      <c r="DN586" s="7"/>
      <c r="DO586" s="7"/>
      <c r="DP586" s="7"/>
      <c r="DQ586" s="7"/>
      <c r="DR586" s="7"/>
      <c r="DS586" s="7"/>
      <c r="DT586" s="7"/>
      <c r="DU586" s="7"/>
      <c r="DV586" s="7"/>
      <c r="DW586" s="7"/>
      <c r="DX586" s="7"/>
      <c r="DY586" s="7"/>
      <c r="DZ586" s="7"/>
      <c r="EA586" s="7"/>
      <c r="EB586" s="7"/>
      <c r="EC586" s="7"/>
      <c r="ED586" s="7"/>
      <c r="EE586" s="7"/>
      <c r="EF586" s="7"/>
      <c r="EG586" s="7"/>
      <c r="EH586" s="7"/>
      <c r="EI586" s="7"/>
      <c r="EJ586" s="7"/>
      <c r="EK586" s="7"/>
      <c r="EL586" s="7"/>
      <c r="EM586" s="7"/>
      <c r="EN586" s="7"/>
      <c r="EO586" s="7"/>
      <c r="EP586" s="7"/>
      <c r="EQ586" s="7"/>
      <c r="ER586" s="7"/>
      <c r="ES586" s="7"/>
      <c r="ET586" s="7"/>
      <c r="EU586" s="7"/>
      <c r="EV586" s="7"/>
      <c r="EW586" s="7"/>
      <c r="EX586" s="7"/>
      <c r="EY586" s="7"/>
      <c r="EZ586" s="7"/>
      <c r="FA586" s="7"/>
      <c r="FB586" s="7"/>
      <c r="FC586" s="7"/>
      <c r="FD586" s="7"/>
      <c r="FE586" s="7"/>
      <c r="FF586" s="7"/>
      <c r="FG586" s="7"/>
      <c r="FH586" s="7"/>
      <c r="FI586" s="7"/>
      <c r="FJ586" s="7"/>
      <c r="FK586" s="7"/>
      <c r="FL586" s="7"/>
      <c r="FM586" s="7"/>
      <c r="FN586" s="7"/>
      <c r="FO586" s="7"/>
      <c r="FP586" s="7"/>
      <c r="FQ586" s="7"/>
      <c r="FR586" s="7"/>
      <c r="FS586" s="7"/>
    </row>
    <row r="587" spans="84:175" x14ac:dyDescent="0.25">
      <c r="CF587" s="7"/>
      <c r="CG587" s="7"/>
      <c r="CH587" s="7"/>
      <c r="CI587" s="7"/>
      <c r="CJ587" s="7"/>
      <c r="CK587" s="7"/>
      <c r="CL587" s="7"/>
      <c r="CM587" s="7"/>
      <c r="CN587" s="7"/>
      <c r="CO587" s="7"/>
      <c r="CP587" s="7"/>
      <c r="CQ587" s="7"/>
      <c r="CR587" s="7"/>
      <c r="CS587" s="7"/>
      <c r="CT587" s="7"/>
      <c r="CU587" s="7"/>
      <c r="CV587" s="7"/>
      <c r="CW587" s="7"/>
      <c r="CX587" s="7"/>
      <c r="CY587" s="7"/>
      <c r="CZ587" s="7"/>
      <c r="DA587" s="7"/>
      <c r="DB587" s="7"/>
      <c r="DC587" s="7"/>
      <c r="DD587" s="7"/>
      <c r="DE587" s="7"/>
      <c r="DF587" s="7"/>
      <c r="DG587" s="7"/>
      <c r="DH587" s="7"/>
      <c r="DI587" s="7"/>
      <c r="DJ587" s="7"/>
      <c r="DK587" s="7"/>
      <c r="DL587" s="7"/>
      <c r="DM587" s="7"/>
      <c r="DN587" s="7"/>
      <c r="DO587" s="7"/>
      <c r="DP587" s="7"/>
      <c r="DQ587" s="7"/>
      <c r="DR587" s="7"/>
      <c r="DS587" s="7"/>
      <c r="DT587" s="7"/>
      <c r="DU587" s="7"/>
      <c r="DV587" s="7"/>
      <c r="DW587" s="7"/>
      <c r="DX587" s="7"/>
      <c r="DY587" s="7"/>
      <c r="DZ587" s="7"/>
      <c r="EA587" s="7"/>
      <c r="EB587" s="7"/>
      <c r="EC587" s="7"/>
      <c r="ED587" s="7"/>
      <c r="EE587" s="7"/>
      <c r="EF587" s="7"/>
      <c r="EG587" s="7"/>
      <c r="EH587" s="7"/>
      <c r="EI587" s="7"/>
      <c r="EJ587" s="7"/>
      <c r="EK587" s="7"/>
      <c r="EL587" s="7"/>
      <c r="EM587" s="7"/>
      <c r="EN587" s="7"/>
      <c r="EO587" s="7"/>
      <c r="EP587" s="7"/>
      <c r="EQ587" s="7"/>
      <c r="ER587" s="7"/>
      <c r="ES587" s="7"/>
      <c r="ET587" s="7"/>
      <c r="EU587" s="7"/>
      <c r="EV587" s="7"/>
      <c r="EW587" s="7"/>
      <c r="EX587" s="7"/>
      <c r="EY587" s="7"/>
      <c r="EZ587" s="7"/>
      <c r="FA587" s="7"/>
      <c r="FB587" s="7"/>
      <c r="FC587" s="7"/>
      <c r="FD587" s="7"/>
      <c r="FE587" s="7"/>
      <c r="FF587" s="7"/>
      <c r="FG587" s="7"/>
      <c r="FH587" s="7"/>
      <c r="FI587" s="7"/>
      <c r="FJ587" s="7"/>
      <c r="FK587" s="7"/>
      <c r="FL587" s="7"/>
      <c r="FM587" s="7"/>
      <c r="FN587" s="7"/>
      <c r="FO587" s="7"/>
      <c r="FP587" s="7"/>
      <c r="FQ587" s="7"/>
      <c r="FR587" s="7"/>
      <c r="FS587" s="7"/>
    </row>
    <row r="588" spans="84:175" x14ac:dyDescent="0.25">
      <c r="CF588" s="7"/>
      <c r="CG588" s="7"/>
      <c r="CH588" s="7"/>
      <c r="CI588" s="7"/>
      <c r="CJ588" s="7"/>
      <c r="CK588" s="7"/>
      <c r="CL588" s="7"/>
      <c r="CM588" s="7"/>
      <c r="CN588" s="7"/>
      <c r="CO588" s="7"/>
      <c r="CP588" s="7"/>
      <c r="CQ588" s="7"/>
      <c r="CR588" s="7"/>
      <c r="CS588" s="7"/>
      <c r="CT588" s="7"/>
      <c r="CU588" s="7"/>
      <c r="CV588" s="7"/>
      <c r="CW588" s="7"/>
      <c r="CX588" s="7"/>
      <c r="CY588" s="7"/>
      <c r="CZ588" s="7"/>
      <c r="DA588" s="7"/>
      <c r="DB588" s="7"/>
      <c r="DC588" s="7"/>
      <c r="DD588" s="7"/>
      <c r="DE588" s="7"/>
      <c r="DF588" s="7"/>
      <c r="DG588" s="7"/>
      <c r="DH588" s="7"/>
      <c r="DI588" s="7"/>
      <c r="DJ588" s="7"/>
      <c r="DK588" s="7"/>
      <c r="DL588" s="7"/>
      <c r="DM588" s="7"/>
      <c r="DN588" s="7"/>
      <c r="DO588" s="7"/>
      <c r="DP588" s="7"/>
      <c r="DQ588" s="7"/>
      <c r="DR588" s="7"/>
      <c r="DS588" s="7"/>
      <c r="DT588" s="7"/>
      <c r="DU588" s="7"/>
      <c r="DV588" s="7"/>
      <c r="DW588" s="7"/>
      <c r="DX588" s="7"/>
      <c r="DY588" s="7"/>
      <c r="DZ588" s="7"/>
      <c r="EA588" s="7"/>
      <c r="EB588" s="7"/>
      <c r="EC588" s="7"/>
      <c r="ED588" s="7"/>
      <c r="EE588" s="7"/>
      <c r="EF588" s="7"/>
      <c r="EG588" s="7"/>
      <c r="EH588" s="7"/>
      <c r="EI588" s="7"/>
      <c r="EJ588" s="7"/>
      <c r="EK588" s="7"/>
      <c r="EL588" s="7"/>
      <c r="EM588" s="7"/>
      <c r="EN588" s="7"/>
      <c r="EO588" s="7"/>
      <c r="EP588" s="7"/>
      <c r="EQ588" s="7"/>
      <c r="ER588" s="7"/>
      <c r="ES588" s="7"/>
      <c r="ET588" s="7"/>
      <c r="EU588" s="7"/>
      <c r="EV588" s="7"/>
      <c r="EW588" s="7"/>
      <c r="EX588" s="7"/>
      <c r="EY588" s="7"/>
      <c r="EZ588" s="7"/>
      <c r="FA588" s="7"/>
      <c r="FB588" s="7"/>
      <c r="FC588" s="7"/>
      <c r="FD588" s="7"/>
      <c r="FE588" s="7"/>
      <c r="FF588" s="7"/>
      <c r="FG588" s="7"/>
      <c r="FH588" s="7"/>
      <c r="FI588" s="7"/>
      <c r="FJ588" s="7"/>
      <c r="FK588" s="7"/>
      <c r="FL588" s="7"/>
      <c r="FM588" s="7"/>
      <c r="FN588" s="7"/>
      <c r="FO588" s="7"/>
      <c r="FP588" s="7"/>
      <c r="FQ588" s="7"/>
      <c r="FR588" s="7"/>
      <c r="FS588" s="7"/>
    </row>
    <row r="589" spans="84:175" x14ac:dyDescent="0.25">
      <c r="CF589" s="7"/>
      <c r="CG589" s="7"/>
      <c r="CH589" s="7"/>
      <c r="CI589" s="7"/>
      <c r="CJ589" s="7"/>
      <c r="CK589" s="7"/>
      <c r="CL589" s="7"/>
      <c r="CM589" s="7"/>
      <c r="CN589" s="7"/>
      <c r="CO589" s="7"/>
      <c r="CP589" s="7"/>
      <c r="CQ589" s="7"/>
      <c r="CR589" s="7"/>
      <c r="CS589" s="7"/>
      <c r="CT589" s="7"/>
      <c r="CU589" s="7"/>
      <c r="CV589" s="7"/>
      <c r="CW589" s="7"/>
      <c r="CX589" s="7"/>
      <c r="CY589" s="7"/>
      <c r="CZ589" s="7"/>
      <c r="DA589" s="7"/>
      <c r="DB589" s="7"/>
      <c r="DC589" s="7"/>
      <c r="DD589" s="7"/>
      <c r="DE589" s="7"/>
      <c r="DF589" s="7"/>
      <c r="DG589" s="7"/>
      <c r="DH589" s="7"/>
      <c r="DI589" s="7"/>
      <c r="DJ589" s="7"/>
      <c r="DK589" s="7"/>
      <c r="DL589" s="7"/>
      <c r="DM589" s="7"/>
      <c r="DN589" s="7"/>
      <c r="DO589" s="7"/>
      <c r="DP589" s="7"/>
      <c r="DQ589" s="7"/>
      <c r="DR589" s="7"/>
      <c r="DS589" s="7"/>
      <c r="DT589" s="7"/>
      <c r="DU589" s="7"/>
      <c r="DV589" s="7"/>
      <c r="DW589" s="7"/>
      <c r="DX589" s="7"/>
      <c r="DY589" s="7"/>
      <c r="DZ589" s="7"/>
      <c r="EA589" s="7"/>
      <c r="EB589" s="7"/>
      <c r="EC589" s="7"/>
      <c r="ED589" s="7"/>
      <c r="EE589" s="7"/>
      <c r="EF589" s="7"/>
      <c r="EG589" s="7"/>
      <c r="EH589" s="7"/>
      <c r="EI589" s="7"/>
      <c r="EJ589" s="7"/>
      <c r="EK589" s="7"/>
      <c r="EL589" s="7"/>
      <c r="EM589" s="7"/>
      <c r="EN589" s="7"/>
      <c r="EO589" s="7"/>
      <c r="EP589" s="7"/>
      <c r="EQ589" s="7"/>
      <c r="ER589" s="7"/>
      <c r="ES589" s="7"/>
      <c r="ET589" s="7"/>
      <c r="EU589" s="7"/>
      <c r="EV589" s="7"/>
      <c r="EW589" s="7"/>
      <c r="EX589" s="7"/>
      <c r="EY589" s="7"/>
      <c r="EZ589" s="7"/>
      <c r="FA589" s="7"/>
      <c r="FB589" s="7"/>
      <c r="FC589" s="7"/>
      <c r="FD589" s="7"/>
      <c r="FE589" s="7"/>
      <c r="FF589" s="7"/>
      <c r="FG589" s="7"/>
      <c r="FH589" s="7"/>
      <c r="FI589" s="7"/>
      <c r="FJ589" s="7"/>
      <c r="FK589" s="7"/>
      <c r="FL589" s="7"/>
      <c r="FM589" s="7"/>
      <c r="FN589" s="7"/>
      <c r="FO589" s="7"/>
      <c r="FP589" s="7"/>
      <c r="FQ589" s="7"/>
      <c r="FR589" s="7"/>
      <c r="FS589" s="7"/>
    </row>
    <row r="590" spans="84:175" x14ac:dyDescent="0.25">
      <c r="CF590" s="7"/>
      <c r="CG590" s="7"/>
      <c r="CH590" s="7"/>
      <c r="CI590" s="7"/>
      <c r="CJ590" s="7"/>
      <c r="CK590" s="7"/>
      <c r="CL590" s="7"/>
      <c r="CM590" s="7"/>
      <c r="CN590" s="7"/>
      <c r="CO590" s="7"/>
      <c r="CP590" s="7"/>
      <c r="CQ590" s="7"/>
      <c r="CR590" s="7"/>
      <c r="CS590" s="7"/>
      <c r="CT590" s="7"/>
      <c r="CU590" s="7"/>
      <c r="CV590" s="7"/>
      <c r="CW590" s="7"/>
      <c r="CX590" s="7"/>
      <c r="CY590" s="7"/>
      <c r="CZ590" s="7"/>
      <c r="DA590" s="7"/>
      <c r="DB590" s="7"/>
      <c r="DC590" s="7"/>
      <c r="DD590" s="7"/>
      <c r="DE590" s="7"/>
      <c r="DF590" s="7"/>
      <c r="DG590" s="7"/>
      <c r="DH590" s="7"/>
      <c r="DI590" s="7"/>
      <c r="DJ590" s="7"/>
      <c r="DK590" s="7"/>
      <c r="DL590" s="7"/>
      <c r="DM590" s="7"/>
      <c r="DN590" s="7"/>
      <c r="DO590" s="7"/>
      <c r="DP590" s="7"/>
      <c r="DQ590" s="7"/>
      <c r="DR590" s="7"/>
      <c r="DS590" s="7"/>
      <c r="DT590" s="7"/>
      <c r="DU590" s="7"/>
      <c r="DV590" s="7"/>
      <c r="DW590" s="7"/>
      <c r="DX590" s="7"/>
      <c r="DY590" s="7"/>
      <c r="DZ590" s="7"/>
      <c r="EA590" s="7"/>
      <c r="EB590" s="7"/>
      <c r="EC590" s="7"/>
      <c r="ED590" s="7"/>
      <c r="EE590" s="7"/>
      <c r="EF590" s="7"/>
      <c r="EG590" s="7"/>
      <c r="EH590" s="7"/>
      <c r="EI590" s="7"/>
      <c r="EJ590" s="7"/>
      <c r="EK590" s="7"/>
      <c r="EL590" s="7"/>
      <c r="EM590" s="7"/>
      <c r="EN590" s="7"/>
      <c r="EO590" s="7"/>
      <c r="EP590" s="7"/>
      <c r="EQ590" s="7"/>
      <c r="ER590" s="7"/>
      <c r="ES590" s="7"/>
      <c r="ET590" s="7"/>
      <c r="EU590" s="7"/>
      <c r="EV590" s="7"/>
      <c r="EW590" s="7"/>
      <c r="EX590" s="7"/>
      <c r="EY590" s="7"/>
      <c r="EZ590" s="7"/>
      <c r="FA590" s="7"/>
      <c r="FB590" s="7"/>
      <c r="FC590" s="7"/>
      <c r="FD590" s="7"/>
      <c r="FE590" s="7"/>
      <c r="FF590" s="7"/>
      <c r="FG590" s="7"/>
      <c r="FH590" s="7"/>
      <c r="FI590" s="7"/>
      <c r="FJ590" s="7"/>
      <c r="FK590" s="7"/>
      <c r="FL590" s="7"/>
      <c r="FM590" s="7"/>
      <c r="FN590" s="7"/>
      <c r="FO590" s="7"/>
      <c r="FP590" s="7"/>
      <c r="FQ590" s="7"/>
      <c r="FR590" s="7"/>
      <c r="FS590" s="7"/>
    </row>
    <row r="591" spans="84:175" x14ac:dyDescent="0.25">
      <c r="CF591" s="7"/>
      <c r="CG591" s="7"/>
      <c r="CH591" s="7"/>
      <c r="CI591" s="7"/>
      <c r="CJ591" s="7"/>
      <c r="CK591" s="7"/>
      <c r="CL591" s="7"/>
      <c r="CM591" s="7"/>
      <c r="CN591" s="7"/>
      <c r="CO591" s="7"/>
      <c r="CP591" s="7"/>
      <c r="CQ591" s="7"/>
      <c r="CR591" s="7"/>
      <c r="CS591" s="7"/>
      <c r="CT591" s="7"/>
      <c r="CU591" s="7"/>
      <c r="CV591" s="7"/>
      <c r="CW591" s="7"/>
      <c r="CX591" s="7"/>
      <c r="CY591" s="7"/>
      <c r="CZ591" s="7"/>
      <c r="DA591" s="7"/>
      <c r="DB591" s="7"/>
      <c r="DC591" s="7"/>
      <c r="DD591" s="7"/>
      <c r="DE591" s="7"/>
      <c r="DF591" s="7"/>
      <c r="DG591" s="7"/>
      <c r="DH591" s="7"/>
      <c r="DI591" s="7"/>
      <c r="DJ591" s="7"/>
      <c r="DK591" s="7"/>
      <c r="DL591" s="7"/>
      <c r="DM591" s="7"/>
      <c r="DN591" s="7"/>
      <c r="DO591" s="7"/>
      <c r="DP591" s="7"/>
      <c r="DQ591" s="7"/>
      <c r="DR591" s="7"/>
      <c r="DS591" s="7"/>
      <c r="DT591" s="7"/>
      <c r="DU591" s="7"/>
      <c r="DV591" s="7"/>
      <c r="DW591" s="7"/>
      <c r="DX591" s="7"/>
      <c r="DY591" s="7"/>
      <c r="DZ591" s="7"/>
      <c r="EA591" s="7"/>
      <c r="EB591" s="7"/>
      <c r="EC591" s="7"/>
      <c r="ED591" s="7"/>
      <c r="EE591" s="7"/>
      <c r="EF591" s="7"/>
      <c r="EG591" s="7"/>
      <c r="EH591" s="7"/>
      <c r="EI591" s="7"/>
      <c r="EJ591" s="7"/>
      <c r="EK591" s="7"/>
      <c r="EL591" s="7"/>
      <c r="EM591" s="7"/>
      <c r="EN591" s="7"/>
      <c r="EO591" s="7"/>
      <c r="EP591" s="7"/>
      <c r="EQ591" s="7"/>
      <c r="ER591" s="7"/>
      <c r="ES591" s="7"/>
      <c r="ET591" s="7"/>
      <c r="EU591" s="7"/>
      <c r="EV591" s="7"/>
      <c r="EW591" s="7"/>
      <c r="EX591" s="7"/>
      <c r="EY591" s="7"/>
      <c r="EZ591" s="7"/>
      <c r="FA591" s="7"/>
      <c r="FB591" s="7"/>
      <c r="FC591" s="7"/>
      <c r="FD591" s="7"/>
      <c r="FE591" s="7"/>
      <c r="FF591" s="7"/>
      <c r="FG591" s="7"/>
      <c r="FH591" s="7"/>
      <c r="FI591" s="7"/>
      <c r="FJ591" s="7"/>
      <c r="FK591" s="7"/>
      <c r="FL591" s="7"/>
      <c r="FM591" s="7"/>
      <c r="FN591" s="7"/>
      <c r="FO591" s="7"/>
      <c r="FP591" s="7"/>
      <c r="FQ591" s="7"/>
      <c r="FR591" s="7"/>
      <c r="FS591" s="7"/>
    </row>
    <row r="592" spans="84:175" x14ac:dyDescent="0.25">
      <c r="CF592" s="7"/>
      <c r="CG592" s="7"/>
      <c r="CH592" s="7"/>
      <c r="CI592" s="7"/>
      <c r="CJ592" s="7"/>
      <c r="CK592" s="7"/>
      <c r="CL592" s="7"/>
      <c r="CM592" s="7"/>
      <c r="CN592" s="7"/>
      <c r="CO592" s="7"/>
      <c r="CP592" s="7"/>
      <c r="CQ592" s="7"/>
      <c r="CR592" s="7"/>
      <c r="CS592" s="7"/>
      <c r="CT592" s="7"/>
      <c r="CU592" s="7"/>
      <c r="CV592" s="7"/>
      <c r="CW592" s="7"/>
      <c r="CX592" s="7"/>
      <c r="CY592" s="7"/>
      <c r="CZ592" s="7"/>
      <c r="DA592" s="7"/>
      <c r="DB592" s="7"/>
      <c r="DC592" s="7"/>
      <c r="DD592" s="7"/>
      <c r="DE592" s="7"/>
      <c r="DF592" s="7"/>
      <c r="DG592" s="7"/>
      <c r="DH592" s="7"/>
      <c r="DI592" s="7"/>
      <c r="DJ592" s="7"/>
      <c r="DK592" s="7"/>
      <c r="DL592" s="7"/>
      <c r="DM592" s="7"/>
      <c r="DN592" s="7"/>
      <c r="DO592" s="7"/>
      <c r="DP592" s="7"/>
      <c r="DQ592" s="7"/>
      <c r="DR592" s="7"/>
      <c r="DS592" s="7"/>
      <c r="DT592" s="7"/>
      <c r="DU592" s="7"/>
      <c r="DV592" s="7"/>
      <c r="DW592" s="7"/>
      <c r="DX592" s="7"/>
      <c r="DY592" s="7"/>
      <c r="DZ592" s="7"/>
      <c r="EA592" s="7"/>
      <c r="EB592" s="7"/>
      <c r="EC592" s="7"/>
      <c r="ED592" s="7"/>
      <c r="EE592" s="7"/>
      <c r="EF592" s="7"/>
      <c r="EG592" s="7"/>
      <c r="EH592" s="7"/>
      <c r="EI592" s="7"/>
      <c r="EJ592" s="7"/>
      <c r="EK592" s="7"/>
      <c r="EL592" s="7"/>
      <c r="EM592" s="7"/>
      <c r="EN592" s="7"/>
      <c r="EO592" s="7"/>
      <c r="EP592" s="7"/>
      <c r="EQ592" s="7"/>
      <c r="ER592" s="7"/>
      <c r="ES592" s="7"/>
      <c r="ET592" s="7"/>
      <c r="EU592" s="7"/>
      <c r="EV592" s="7"/>
      <c r="EW592" s="7"/>
      <c r="EX592" s="7"/>
      <c r="EY592" s="7"/>
      <c r="EZ592" s="7"/>
      <c r="FA592" s="7"/>
      <c r="FB592" s="7"/>
      <c r="FC592" s="7"/>
      <c r="FD592" s="7"/>
      <c r="FE592" s="7"/>
      <c r="FF592" s="7"/>
      <c r="FG592" s="7"/>
      <c r="FH592" s="7"/>
      <c r="FI592" s="7"/>
      <c r="FJ592" s="7"/>
      <c r="FK592" s="7"/>
      <c r="FL592" s="7"/>
      <c r="FM592" s="7"/>
      <c r="FN592" s="7"/>
      <c r="FO592" s="7"/>
      <c r="FP592" s="7"/>
      <c r="FQ592" s="7"/>
      <c r="FR592" s="7"/>
      <c r="FS592" s="7"/>
    </row>
    <row r="593" spans="84:175" x14ac:dyDescent="0.25">
      <c r="CF593" s="7"/>
      <c r="CG593" s="7"/>
      <c r="CH593" s="7"/>
      <c r="CI593" s="7"/>
      <c r="CJ593" s="7"/>
      <c r="CK593" s="7"/>
      <c r="CL593" s="7"/>
      <c r="CM593" s="7"/>
      <c r="CN593" s="7"/>
      <c r="CO593" s="7"/>
      <c r="CP593" s="7"/>
      <c r="CQ593" s="7"/>
      <c r="CR593" s="7"/>
      <c r="CS593" s="7"/>
      <c r="CT593" s="7"/>
      <c r="CU593" s="7"/>
      <c r="CV593" s="7"/>
      <c r="CW593" s="7"/>
      <c r="CX593" s="7"/>
      <c r="CY593" s="7"/>
      <c r="CZ593" s="7"/>
      <c r="DA593" s="7"/>
      <c r="DB593" s="7"/>
      <c r="DC593" s="7"/>
      <c r="DD593" s="7"/>
      <c r="DE593" s="7"/>
      <c r="DF593" s="7"/>
      <c r="DG593" s="7"/>
      <c r="DH593" s="7"/>
      <c r="DI593" s="7"/>
      <c r="DJ593" s="7"/>
      <c r="DK593" s="7"/>
      <c r="DL593" s="7"/>
      <c r="DM593" s="7"/>
      <c r="DN593" s="7"/>
      <c r="DO593" s="7"/>
      <c r="DP593" s="7"/>
      <c r="DQ593" s="7"/>
      <c r="DR593" s="7"/>
      <c r="DS593" s="7"/>
      <c r="DT593" s="7"/>
      <c r="DU593" s="7"/>
      <c r="DV593" s="7"/>
      <c r="DW593" s="7"/>
      <c r="DX593" s="7"/>
      <c r="DY593" s="7"/>
      <c r="DZ593" s="7"/>
      <c r="EA593" s="7"/>
      <c r="EB593" s="7"/>
      <c r="EC593" s="7"/>
      <c r="ED593" s="7"/>
      <c r="EE593" s="7"/>
      <c r="EF593" s="7"/>
      <c r="EG593" s="7"/>
      <c r="EH593" s="7"/>
      <c r="EI593" s="7"/>
      <c r="EJ593" s="7"/>
      <c r="EK593" s="7"/>
      <c r="EL593" s="7"/>
      <c r="EM593" s="7"/>
      <c r="EN593" s="7"/>
      <c r="EO593" s="7"/>
      <c r="EP593" s="7"/>
      <c r="EQ593" s="7"/>
      <c r="ER593" s="7"/>
      <c r="ES593" s="7"/>
      <c r="ET593" s="7"/>
      <c r="EU593" s="7"/>
      <c r="EV593" s="7"/>
      <c r="EW593" s="7"/>
      <c r="EX593" s="7"/>
      <c r="EY593" s="7"/>
      <c r="EZ593" s="7"/>
      <c r="FA593" s="7"/>
      <c r="FB593" s="7"/>
      <c r="FC593" s="7"/>
      <c r="FD593" s="7"/>
      <c r="FE593" s="7"/>
      <c r="FF593" s="7"/>
      <c r="FG593" s="7"/>
      <c r="FH593" s="7"/>
      <c r="FI593" s="7"/>
      <c r="FJ593" s="7"/>
      <c r="FK593" s="7"/>
      <c r="FL593" s="7"/>
      <c r="FM593" s="7"/>
      <c r="FN593" s="7"/>
      <c r="FO593" s="7"/>
      <c r="FP593" s="7"/>
      <c r="FQ593" s="7"/>
      <c r="FR593" s="7"/>
      <c r="FS593" s="7"/>
    </row>
    <row r="594" spans="84:175" x14ac:dyDescent="0.25">
      <c r="CF594" s="7"/>
      <c r="CG594" s="7"/>
      <c r="CH594" s="7"/>
      <c r="CI594" s="7"/>
      <c r="CJ594" s="7"/>
      <c r="CK594" s="7"/>
      <c r="CL594" s="7"/>
      <c r="CM594" s="7"/>
      <c r="CN594" s="7"/>
      <c r="CO594" s="7"/>
      <c r="CP594" s="7"/>
      <c r="CQ594" s="7"/>
      <c r="CR594" s="7"/>
      <c r="CS594" s="7"/>
      <c r="CT594" s="7"/>
      <c r="CU594" s="7"/>
      <c r="CV594" s="7"/>
      <c r="CW594" s="7"/>
      <c r="CX594" s="7"/>
      <c r="CY594" s="7"/>
      <c r="CZ594" s="7"/>
      <c r="DA594" s="7"/>
      <c r="DB594" s="7"/>
      <c r="DC594" s="7"/>
      <c r="DD594" s="7"/>
      <c r="DE594" s="7"/>
      <c r="DF594" s="7"/>
      <c r="DG594" s="7"/>
      <c r="DH594" s="7"/>
      <c r="DI594" s="7"/>
      <c r="DJ594" s="7"/>
      <c r="DK594" s="7"/>
      <c r="DL594" s="7"/>
      <c r="DM594" s="7"/>
      <c r="DN594" s="7"/>
      <c r="DO594" s="7"/>
      <c r="DP594" s="7"/>
      <c r="DQ594" s="7"/>
      <c r="DR594" s="7"/>
      <c r="DS594" s="7"/>
      <c r="DT594" s="7"/>
      <c r="DU594" s="7"/>
      <c r="DV594" s="7"/>
      <c r="DW594" s="7"/>
      <c r="DX594" s="7"/>
      <c r="DY594" s="7"/>
      <c r="DZ594" s="7"/>
      <c r="EA594" s="7"/>
      <c r="EB594" s="7"/>
      <c r="EC594" s="7"/>
      <c r="ED594" s="7"/>
      <c r="EE594" s="7"/>
      <c r="EF594" s="7"/>
      <c r="EG594" s="7"/>
      <c r="EH594" s="7"/>
      <c r="EI594" s="7"/>
      <c r="EJ594" s="7"/>
      <c r="EK594" s="7"/>
      <c r="EL594" s="7"/>
      <c r="EM594" s="7"/>
      <c r="EN594" s="7"/>
      <c r="EO594" s="7"/>
      <c r="EP594" s="7"/>
      <c r="EQ594" s="7"/>
      <c r="ER594" s="7"/>
      <c r="ES594" s="7"/>
      <c r="ET594" s="7"/>
      <c r="EU594" s="7"/>
      <c r="EV594" s="7"/>
      <c r="EW594" s="7"/>
      <c r="EX594" s="7"/>
      <c r="EY594" s="7"/>
      <c r="EZ594" s="7"/>
      <c r="FA594" s="7"/>
      <c r="FB594" s="7"/>
      <c r="FC594" s="7"/>
      <c r="FD594" s="7"/>
      <c r="FE594" s="7"/>
      <c r="FF594" s="7"/>
      <c r="FG594" s="7"/>
      <c r="FH594" s="7"/>
      <c r="FI594" s="7"/>
      <c r="FJ594" s="7"/>
      <c r="FK594" s="7"/>
      <c r="FL594" s="7"/>
      <c r="FM594" s="7"/>
      <c r="FN594" s="7"/>
      <c r="FO594" s="7"/>
      <c r="FP594" s="7"/>
      <c r="FQ594" s="7"/>
      <c r="FR594" s="7"/>
      <c r="FS594" s="7"/>
    </row>
    <row r="595" spans="84:175" x14ac:dyDescent="0.25">
      <c r="CF595" s="7"/>
      <c r="CG595" s="7"/>
      <c r="CH595" s="7"/>
      <c r="CI595" s="7"/>
      <c r="CJ595" s="7"/>
      <c r="CK595" s="7"/>
      <c r="CL595" s="7"/>
      <c r="CM595" s="7"/>
      <c r="CN595" s="7"/>
      <c r="CO595" s="7"/>
      <c r="CP595" s="7"/>
      <c r="CQ595" s="7"/>
      <c r="CR595" s="7"/>
      <c r="CS595" s="7"/>
      <c r="CT595" s="7"/>
      <c r="CU595" s="7"/>
      <c r="CV595" s="7"/>
      <c r="CW595" s="7"/>
      <c r="CX595" s="7"/>
      <c r="CY595" s="7"/>
      <c r="CZ595" s="7"/>
      <c r="DA595" s="7"/>
      <c r="DB595" s="7"/>
      <c r="DC595" s="7"/>
      <c r="DD595" s="7"/>
      <c r="DE595" s="7"/>
      <c r="DF595" s="7"/>
      <c r="DG595" s="7"/>
      <c r="DH595" s="7"/>
      <c r="DI595" s="7"/>
      <c r="DJ595" s="7"/>
      <c r="DK595" s="7"/>
      <c r="DL595" s="7"/>
      <c r="DM595" s="7"/>
      <c r="DN595" s="7"/>
      <c r="DO595" s="7"/>
      <c r="DP595" s="7"/>
      <c r="DQ595" s="7"/>
      <c r="DR595" s="7"/>
      <c r="DS595" s="7"/>
      <c r="DT595" s="7"/>
      <c r="DU595" s="7"/>
      <c r="DV595" s="7"/>
      <c r="DW595" s="7"/>
      <c r="DX595" s="7"/>
      <c r="DY595" s="7"/>
      <c r="DZ595" s="7"/>
      <c r="EA595" s="7"/>
      <c r="EB595" s="7"/>
      <c r="EC595" s="7"/>
      <c r="ED595" s="7"/>
      <c r="EE595" s="7"/>
      <c r="EF595" s="7"/>
      <c r="EG595" s="7"/>
      <c r="EH595" s="7"/>
      <c r="EI595" s="7"/>
      <c r="EJ595" s="7"/>
      <c r="EK595" s="7"/>
      <c r="EL595" s="7"/>
      <c r="EM595" s="7"/>
      <c r="EN595" s="7"/>
      <c r="EO595" s="7"/>
      <c r="EP595" s="7"/>
      <c r="EQ595" s="7"/>
      <c r="ER595" s="7"/>
      <c r="ES595" s="7"/>
      <c r="ET595" s="7"/>
      <c r="EU595" s="7"/>
      <c r="EV595" s="7"/>
      <c r="EW595" s="7"/>
      <c r="EX595" s="7"/>
      <c r="EY595" s="7"/>
      <c r="EZ595" s="7"/>
      <c r="FA595" s="7"/>
      <c r="FB595" s="7"/>
      <c r="FC595" s="7"/>
      <c r="FD595" s="7"/>
      <c r="FE595" s="7"/>
      <c r="FF595" s="7"/>
      <c r="FG595" s="7"/>
      <c r="FH595" s="7"/>
      <c r="FI595" s="7"/>
      <c r="FJ595" s="7"/>
      <c r="FK595" s="7"/>
      <c r="FL595" s="7"/>
      <c r="FM595" s="7"/>
      <c r="FN595" s="7"/>
      <c r="FO595" s="7"/>
      <c r="FP595" s="7"/>
      <c r="FQ595" s="7"/>
      <c r="FR595" s="7"/>
      <c r="FS595" s="7"/>
    </row>
    <row r="596" spans="84:175" x14ac:dyDescent="0.25">
      <c r="CF596" s="7"/>
      <c r="CG596" s="7"/>
      <c r="CH596" s="7"/>
      <c r="CI596" s="7"/>
      <c r="CJ596" s="7"/>
      <c r="CK596" s="7"/>
      <c r="CL596" s="7"/>
      <c r="CM596" s="7"/>
      <c r="CN596" s="7"/>
      <c r="CO596" s="7"/>
      <c r="CP596" s="7"/>
      <c r="CQ596" s="7"/>
      <c r="CR596" s="7"/>
      <c r="CS596" s="7"/>
      <c r="CT596" s="7"/>
      <c r="CU596" s="7"/>
      <c r="CV596" s="7"/>
      <c r="CW596" s="7"/>
      <c r="CX596" s="7"/>
      <c r="CY596" s="7"/>
      <c r="CZ596" s="7"/>
      <c r="DA596" s="7"/>
      <c r="DB596" s="7"/>
      <c r="DC596" s="7"/>
      <c r="DD596" s="7"/>
      <c r="DE596" s="7"/>
      <c r="DF596" s="7"/>
      <c r="DG596" s="7"/>
      <c r="DH596" s="7"/>
      <c r="DI596" s="7"/>
      <c r="DJ596" s="7"/>
      <c r="DK596" s="7"/>
      <c r="DL596" s="7"/>
      <c r="DM596" s="7"/>
      <c r="DN596" s="7"/>
      <c r="DO596" s="7"/>
      <c r="DP596" s="7"/>
      <c r="DQ596" s="7"/>
      <c r="DR596" s="7"/>
      <c r="DS596" s="7"/>
      <c r="DT596" s="7"/>
      <c r="DU596" s="7"/>
      <c r="DV596" s="7"/>
      <c r="DW596" s="7"/>
      <c r="DX596" s="7"/>
      <c r="DY596" s="7"/>
      <c r="DZ596" s="7"/>
      <c r="EA596" s="7"/>
      <c r="EB596" s="7"/>
      <c r="EC596" s="7"/>
      <c r="ED596" s="7"/>
      <c r="EE596" s="7"/>
      <c r="EF596" s="7"/>
      <c r="EG596" s="7"/>
      <c r="EH596" s="7"/>
      <c r="EI596" s="7"/>
      <c r="EJ596" s="7"/>
      <c r="EK596" s="7"/>
      <c r="EL596" s="7"/>
      <c r="EM596" s="7"/>
      <c r="EN596" s="7"/>
      <c r="EO596" s="7"/>
      <c r="EP596" s="7"/>
      <c r="EQ596" s="7"/>
      <c r="ER596" s="7"/>
      <c r="ES596" s="7"/>
      <c r="ET596" s="7"/>
      <c r="EU596" s="7"/>
      <c r="EV596" s="7"/>
      <c r="EW596" s="7"/>
      <c r="EX596" s="7"/>
      <c r="EY596" s="7"/>
      <c r="EZ596" s="7"/>
      <c r="FA596" s="7"/>
      <c r="FB596" s="7"/>
      <c r="FC596" s="7"/>
      <c r="FD596" s="7"/>
      <c r="FE596" s="7"/>
      <c r="FF596" s="7"/>
      <c r="FG596" s="7"/>
      <c r="FH596" s="7"/>
      <c r="FI596" s="7"/>
      <c r="FJ596" s="7"/>
      <c r="FK596" s="7"/>
      <c r="FL596" s="7"/>
      <c r="FM596" s="7"/>
      <c r="FN596" s="7"/>
      <c r="FO596" s="7"/>
      <c r="FP596" s="7"/>
      <c r="FQ596" s="7"/>
      <c r="FR596" s="7"/>
      <c r="FS596" s="7"/>
    </row>
    <row r="597" spans="84:175" x14ac:dyDescent="0.25">
      <c r="CF597" s="7"/>
      <c r="CG597" s="7"/>
      <c r="CH597" s="7"/>
      <c r="CI597" s="7"/>
      <c r="CJ597" s="7"/>
      <c r="CK597" s="7"/>
      <c r="CL597" s="7"/>
      <c r="CM597" s="7"/>
      <c r="CN597" s="7"/>
      <c r="CO597" s="7"/>
      <c r="CP597" s="7"/>
      <c r="CQ597" s="7"/>
      <c r="CR597" s="7"/>
      <c r="CS597" s="7"/>
      <c r="CT597" s="7"/>
      <c r="CU597" s="7"/>
      <c r="CV597" s="7"/>
      <c r="CW597" s="7"/>
      <c r="CX597" s="7"/>
      <c r="CY597" s="7"/>
      <c r="CZ597" s="7"/>
      <c r="DA597" s="7"/>
      <c r="DB597" s="7"/>
      <c r="DC597" s="7"/>
      <c r="DD597" s="7"/>
      <c r="DE597" s="7"/>
      <c r="DF597" s="7"/>
      <c r="DG597" s="7"/>
      <c r="DH597" s="7"/>
      <c r="DI597" s="7"/>
      <c r="DJ597" s="7"/>
      <c r="DK597" s="7"/>
      <c r="DL597" s="7"/>
      <c r="DM597" s="7"/>
      <c r="DN597" s="7"/>
      <c r="DO597" s="7"/>
      <c r="DP597" s="7"/>
      <c r="DQ597" s="7"/>
      <c r="DR597" s="7"/>
      <c r="DS597" s="7"/>
      <c r="DT597" s="7"/>
      <c r="DU597" s="7"/>
      <c r="DV597" s="7"/>
      <c r="DW597" s="7"/>
      <c r="DX597" s="7"/>
      <c r="DY597" s="7"/>
      <c r="DZ597" s="7"/>
      <c r="EA597" s="7"/>
      <c r="EB597" s="7"/>
      <c r="EC597" s="7"/>
      <c r="ED597" s="7"/>
      <c r="EE597" s="7"/>
      <c r="EF597" s="7"/>
      <c r="EG597" s="7"/>
      <c r="EH597" s="7"/>
      <c r="EI597" s="7"/>
      <c r="EJ597" s="7"/>
      <c r="EK597" s="7"/>
      <c r="EL597" s="7"/>
      <c r="EM597" s="7"/>
      <c r="EN597" s="7"/>
      <c r="EO597" s="7"/>
      <c r="EP597" s="7"/>
      <c r="EQ597" s="7"/>
      <c r="ER597" s="7"/>
      <c r="ES597" s="7"/>
      <c r="ET597" s="7"/>
      <c r="EU597" s="7"/>
      <c r="EV597" s="7"/>
      <c r="EW597" s="7"/>
      <c r="EX597" s="7"/>
      <c r="EY597" s="7"/>
      <c r="EZ597" s="7"/>
      <c r="FA597" s="7"/>
      <c r="FB597" s="7"/>
      <c r="FC597" s="7"/>
      <c r="FD597" s="7"/>
      <c r="FE597" s="7"/>
      <c r="FF597" s="7"/>
      <c r="FG597" s="7"/>
      <c r="FH597" s="7"/>
      <c r="FI597" s="7"/>
      <c r="FJ597" s="7"/>
      <c r="FK597" s="7"/>
      <c r="FL597" s="7"/>
      <c r="FM597" s="7"/>
      <c r="FN597" s="7"/>
      <c r="FO597" s="7"/>
      <c r="FP597" s="7"/>
      <c r="FQ597" s="7"/>
      <c r="FR597" s="7"/>
      <c r="FS597" s="7"/>
    </row>
    <row r="598" spans="84:175" x14ac:dyDescent="0.25">
      <c r="CF598" s="7"/>
      <c r="CG598" s="7"/>
      <c r="CH598" s="7"/>
      <c r="CI598" s="7"/>
      <c r="CJ598" s="7"/>
      <c r="CK598" s="7"/>
      <c r="CL598" s="7"/>
      <c r="CM598" s="7"/>
      <c r="CN598" s="7"/>
      <c r="CO598" s="7"/>
      <c r="CP598" s="7"/>
      <c r="CQ598" s="7"/>
      <c r="CR598" s="7"/>
      <c r="CS598" s="7"/>
      <c r="CT598" s="7"/>
      <c r="CU598" s="7"/>
      <c r="CV598" s="7"/>
      <c r="CW598" s="7"/>
      <c r="CX598" s="7"/>
      <c r="CY598" s="7"/>
      <c r="CZ598" s="7"/>
      <c r="DA598" s="7"/>
      <c r="DB598" s="7"/>
      <c r="DC598" s="7"/>
      <c r="DD598" s="7"/>
      <c r="DE598" s="7"/>
      <c r="DF598" s="7"/>
      <c r="DG598" s="7"/>
      <c r="DH598" s="7"/>
      <c r="DI598" s="7"/>
      <c r="DJ598" s="7"/>
      <c r="DK598" s="7"/>
      <c r="DL598" s="7"/>
      <c r="DM598" s="7"/>
      <c r="DN598" s="7"/>
      <c r="DO598" s="7"/>
      <c r="DP598" s="7"/>
      <c r="DQ598" s="7"/>
      <c r="DR598" s="7"/>
      <c r="DS598" s="7"/>
      <c r="DT598" s="7"/>
      <c r="DU598" s="7"/>
      <c r="DV598" s="7"/>
      <c r="DW598" s="7"/>
      <c r="DX598" s="7"/>
      <c r="DY598" s="7"/>
      <c r="DZ598" s="7"/>
      <c r="EA598" s="7"/>
      <c r="EB598" s="7"/>
      <c r="EC598" s="7"/>
      <c r="ED598" s="7"/>
      <c r="EE598" s="7"/>
      <c r="EF598" s="7"/>
      <c r="EG598" s="7"/>
      <c r="EH598" s="7"/>
      <c r="EI598" s="7"/>
      <c r="EJ598" s="7"/>
      <c r="EK598" s="7"/>
      <c r="EL598" s="7"/>
      <c r="EM598" s="7"/>
      <c r="EN598" s="7"/>
      <c r="EO598" s="7"/>
      <c r="EP598" s="7"/>
      <c r="EQ598" s="7"/>
      <c r="ER598" s="7"/>
      <c r="ES598" s="7"/>
      <c r="ET598" s="7"/>
      <c r="EU598" s="7"/>
      <c r="EV598" s="7"/>
      <c r="EW598" s="7"/>
      <c r="EX598" s="7"/>
      <c r="EY598" s="7"/>
      <c r="EZ598" s="7"/>
      <c r="FA598" s="7"/>
      <c r="FB598" s="7"/>
      <c r="FC598" s="7"/>
      <c r="FD598" s="7"/>
      <c r="FE598" s="7"/>
      <c r="FF598" s="7"/>
      <c r="FG598" s="7"/>
      <c r="FH598" s="7"/>
      <c r="FI598" s="7"/>
      <c r="FJ598" s="7"/>
      <c r="FK598" s="7"/>
      <c r="FL598" s="7"/>
      <c r="FM598" s="7"/>
      <c r="FN598" s="7"/>
      <c r="FO598" s="7"/>
      <c r="FP598" s="7"/>
      <c r="FQ598" s="7"/>
      <c r="FR598" s="7"/>
      <c r="FS598" s="7"/>
    </row>
    <row r="599" spans="84:175" x14ac:dyDescent="0.25">
      <c r="CF599" s="7"/>
      <c r="CG599" s="7"/>
      <c r="CH599" s="7"/>
      <c r="CI599" s="7"/>
      <c r="CJ599" s="7"/>
      <c r="CK599" s="7"/>
      <c r="CL599" s="7"/>
      <c r="CM599" s="7"/>
      <c r="CN599" s="7"/>
      <c r="CO599" s="7"/>
      <c r="CP599" s="7"/>
      <c r="CQ599" s="7"/>
      <c r="CR599" s="7"/>
      <c r="CS599" s="7"/>
      <c r="CT599" s="7"/>
      <c r="CU599" s="7"/>
      <c r="CV599" s="7"/>
      <c r="CW599" s="7"/>
      <c r="CX599" s="7"/>
      <c r="CY599" s="7"/>
      <c r="CZ599" s="7"/>
      <c r="DA599" s="7"/>
      <c r="DB599" s="7"/>
      <c r="DC599" s="7"/>
      <c r="DD599" s="7"/>
      <c r="DE599" s="7"/>
      <c r="DF599" s="7"/>
      <c r="DG599" s="7"/>
      <c r="DH599" s="7"/>
      <c r="DI599" s="7"/>
      <c r="DJ599" s="7"/>
      <c r="DK599" s="7"/>
      <c r="DL599" s="7"/>
      <c r="DM599" s="7"/>
      <c r="DN599" s="7"/>
      <c r="DO599" s="7"/>
      <c r="DP599" s="7"/>
      <c r="DQ599" s="7"/>
      <c r="DR599" s="7"/>
      <c r="DS599" s="7"/>
      <c r="DT599" s="7"/>
      <c r="DU599" s="7"/>
      <c r="DV599" s="7"/>
      <c r="DW599" s="7"/>
      <c r="DX599" s="7"/>
      <c r="DY599" s="7"/>
      <c r="DZ599" s="7"/>
      <c r="EA599" s="7"/>
      <c r="EB599" s="7"/>
      <c r="EC599" s="7"/>
      <c r="ED599" s="7"/>
      <c r="EE599" s="7"/>
      <c r="EF599" s="7"/>
      <c r="EG599" s="7"/>
      <c r="EH599" s="7"/>
      <c r="EI599" s="7"/>
      <c r="EJ599" s="7"/>
      <c r="EK599" s="7"/>
      <c r="EL599" s="7"/>
      <c r="EM599" s="7"/>
      <c r="EN599" s="7"/>
      <c r="EO599" s="7"/>
      <c r="EP599" s="7"/>
      <c r="EQ599" s="7"/>
      <c r="ER599" s="7"/>
      <c r="ES599" s="7"/>
      <c r="ET599" s="7"/>
      <c r="EU599" s="7"/>
      <c r="EV599" s="7"/>
      <c r="EW599" s="7"/>
      <c r="EX599" s="7"/>
      <c r="EY599" s="7"/>
      <c r="EZ599" s="7"/>
      <c r="FA599" s="7"/>
      <c r="FB599" s="7"/>
      <c r="FC599" s="7"/>
      <c r="FD599" s="7"/>
      <c r="FE599" s="7"/>
      <c r="FF599" s="7"/>
      <c r="FG599" s="7"/>
      <c r="FH599" s="7"/>
      <c r="FI599" s="7"/>
      <c r="FJ599" s="7"/>
      <c r="FK599" s="7"/>
      <c r="FL599" s="7"/>
      <c r="FM599" s="7"/>
      <c r="FN599" s="7"/>
      <c r="FO599" s="7"/>
      <c r="FP599" s="7"/>
      <c r="FQ599" s="7"/>
      <c r="FR599" s="7"/>
      <c r="FS599" s="7"/>
    </row>
  </sheetData>
  <sheetProtection algorithmName="SHA-512" hashValue="djTSCwSSEbhW33HUBZkhW7TJobZr6FxPRvMnj72f9SS6Gq43BOTDKhd5ZCbu0Urz/6lbvisBJurzC1SnTbCLBw==" saltValue="9hSNFHCuvbY0yn2LQxzzwQ==" spinCount="100000" sheet="1" selectLockedCells="1" sort="0"/>
  <mergeCells count="262">
    <mergeCell ref="C160:AE162"/>
    <mergeCell ref="B5:AG5"/>
    <mergeCell ref="C12:E12"/>
    <mergeCell ref="F12:O12"/>
    <mergeCell ref="C7:AE7"/>
    <mergeCell ref="S8:Z8"/>
    <mergeCell ref="AA8:AB8"/>
    <mergeCell ref="AC8:AD8"/>
    <mergeCell ref="C52:G52"/>
    <mergeCell ref="H52:I52"/>
    <mergeCell ref="K52:P52"/>
    <mergeCell ref="Q52:R52"/>
    <mergeCell ref="D25:AE25"/>
    <mergeCell ref="C41:AE41"/>
    <mergeCell ref="C10:E10"/>
    <mergeCell ref="F10:O10"/>
    <mergeCell ref="T10:Z10"/>
    <mergeCell ref="AA10:AB10"/>
    <mergeCell ref="AC10:AD10"/>
    <mergeCell ref="C9:E9"/>
    <mergeCell ref="F9:O9"/>
    <mergeCell ref="T14:Z14"/>
    <mergeCell ref="C14:E14"/>
    <mergeCell ref="T12:Z12"/>
    <mergeCell ref="AA12:AB12"/>
    <mergeCell ref="AC12:AD12"/>
    <mergeCell ref="C11:E11"/>
    <mergeCell ref="F11:O11"/>
    <mergeCell ref="T11:Z11"/>
    <mergeCell ref="AA11:AB11"/>
    <mergeCell ref="AC11:AD11"/>
    <mergeCell ref="AA14:AB14"/>
    <mergeCell ref="AC14:AD14"/>
    <mergeCell ref="F14:O14"/>
    <mergeCell ref="T13:Z13"/>
    <mergeCell ref="AA13:AB13"/>
    <mergeCell ref="AC13:AD13"/>
    <mergeCell ref="T9:Z9"/>
    <mergeCell ref="AA9:AB9"/>
    <mergeCell ref="AC9:AD9"/>
    <mergeCell ref="C23:AE24"/>
    <mergeCell ref="CM24:CN24"/>
    <mergeCell ref="AH25:AL26"/>
    <mergeCell ref="AN25:AR26"/>
    <mergeCell ref="CK25:CN25"/>
    <mergeCell ref="T15:Z15"/>
    <mergeCell ref="AA15:AB15"/>
    <mergeCell ref="AC15:AD15"/>
    <mergeCell ref="T16:Z16"/>
    <mergeCell ref="AA16:AB16"/>
    <mergeCell ref="AC16:AD16"/>
    <mergeCell ref="C20:E20"/>
    <mergeCell ref="F20:O20"/>
    <mergeCell ref="S18:W18"/>
    <mergeCell ref="X18:Y18"/>
    <mergeCell ref="F19:O19"/>
    <mergeCell ref="C19:E19"/>
    <mergeCell ref="F16:O16"/>
    <mergeCell ref="C16:E16"/>
    <mergeCell ref="C13:E13"/>
    <mergeCell ref="F13:O13"/>
    <mergeCell ref="C27:C35"/>
    <mergeCell ref="AC27:AD27"/>
    <mergeCell ref="AC28:AD28"/>
    <mergeCell ref="AC29:AD29"/>
    <mergeCell ref="AC30:AD30"/>
    <mergeCell ref="AC31:AD31"/>
    <mergeCell ref="AC32:AD32"/>
    <mergeCell ref="AC33:AD33"/>
    <mergeCell ref="AC34:AD34"/>
    <mergeCell ref="C38:G38"/>
    <mergeCell ref="H38:I38"/>
    <mergeCell ref="K38:P38"/>
    <mergeCell ref="Q38:R38"/>
    <mergeCell ref="C39:G39"/>
    <mergeCell ref="H39:I39"/>
    <mergeCell ref="C36:G36"/>
    <mergeCell ref="H36:I36"/>
    <mergeCell ref="K36:P36"/>
    <mergeCell ref="Q36:R36"/>
    <mergeCell ref="C37:G37"/>
    <mergeCell ref="H37:I37"/>
    <mergeCell ref="K37:P37"/>
    <mergeCell ref="Q37:R37"/>
    <mergeCell ref="C54:G54"/>
    <mergeCell ref="H54:I54"/>
    <mergeCell ref="K54:P54"/>
    <mergeCell ref="Q54:R54"/>
    <mergeCell ref="C55:G55"/>
    <mergeCell ref="H55:I55"/>
    <mergeCell ref="AH41:AL42"/>
    <mergeCell ref="AN41:AR42"/>
    <mergeCell ref="C43:C51"/>
    <mergeCell ref="AC43:AD43"/>
    <mergeCell ref="AC44:AD44"/>
    <mergeCell ref="AC45:AD45"/>
    <mergeCell ref="AC46:AD46"/>
    <mergeCell ref="AC47:AD47"/>
    <mergeCell ref="AC48:AD48"/>
    <mergeCell ref="AC49:AD49"/>
    <mergeCell ref="AC50:AD50"/>
    <mergeCell ref="C53:G53"/>
    <mergeCell ref="H53:I53"/>
    <mergeCell ref="K53:P53"/>
    <mergeCell ref="Q53:R53"/>
    <mergeCell ref="AH58:AL59"/>
    <mergeCell ref="AN58:AR59"/>
    <mergeCell ref="C60:C68"/>
    <mergeCell ref="AC60:AD60"/>
    <mergeCell ref="AC61:AD61"/>
    <mergeCell ref="AC62:AD62"/>
    <mergeCell ref="AC63:AD63"/>
    <mergeCell ref="AC64:AD64"/>
    <mergeCell ref="AC65:AD65"/>
    <mergeCell ref="AC66:AD66"/>
    <mergeCell ref="AC67:AD67"/>
    <mergeCell ref="C58:AE58"/>
    <mergeCell ref="C71:G71"/>
    <mergeCell ref="H71:I71"/>
    <mergeCell ref="K71:P71"/>
    <mergeCell ref="Q71:R71"/>
    <mergeCell ref="C72:G72"/>
    <mergeCell ref="H72:I72"/>
    <mergeCell ref="C69:G69"/>
    <mergeCell ref="H69:I69"/>
    <mergeCell ref="K69:P69"/>
    <mergeCell ref="Q69:R69"/>
    <mergeCell ref="C70:G70"/>
    <mergeCell ref="H70:I70"/>
    <mergeCell ref="K70:P70"/>
    <mergeCell ref="Q70:R70"/>
    <mergeCell ref="AH75:AL76"/>
    <mergeCell ref="AN75:AR76"/>
    <mergeCell ref="C77:C85"/>
    <mergeCell ref="AC77:AD77"/>
    <mergeCell ref="AC78:AD78"/>
    <mergeCell ref="AC79:AD79"/>
    <mergeCell ref="AC80:AD80"/>
    <mergeCell ref="AC81:AD81"/>
    <mergeCell ref="AC82:AD82"/>
    <mergeCell ref="AC83:AD83"/>
    <mergeCell ref="AC84:AD84"/>
    <mergeCell ref="C75:AE75"/>
    <mergeCell ref="C88:G88"/>
    <mergeCell ref="H88:I88"/>
    <mergeCell ref="K88:P88"/>
    <mergeCell ref="Q88:R88"/>
    <mergeCell ref="C89:G89"/>
    <mergeCell ref="H89:I89"/>
    <mergeCell ref="C86:G86"/>
    <mergeCell ref="H86:I86"/>
    <mergeCell ref="K86:P86"/>
    <mergeCell ref="Q86:R86"/>
    <mergeCell ref="C87:G87"/>
    <mergeCell ref="H87:I87"/>
    <mergeCell ref="K87:P87"/>
    <mergeCell ref="Q87:R87"/>
    <mergeCell ref="AH92:AL93"/>
    <mergeCell ref="AN92:AR93"/>
    <mergeCell ref="C94:C102"/>
    <mergeCell ref="AC94:AD94"/>
    <mergeCell ref="AC95:AD95"/>
    <mergeCell ref="AC96:AD96"/>
    <mergeCell ref="AC97:AD97"/>
    <mergeCell ref="AC98:AD98"/>
    <mergeCell ref="AC99:AD99"/>
    <mergeCell ref="AC100:AD100"/>
    <mergeCell ref="AC101:AD101"/>
    <mergeCell ref="C92:AE92"/>
    <mergeCell ref="C105:G105"/>
    <mergeCell ref="H105:I105"/>
    <mergeCell ref="K105:P105"/>
    <mergeCell ref="Q105:R105"/>
    <mergeCell ref="C106:G106"/>
    <mergeCell ref="H106:I106"/>
    <mergeCell ref="C103:G103"/>
    <mergeCell ref="H103:I103"/>
    <mergeCell ref="K103:P103"/>
    <mergeCell ref="Q103:R103"/>
    <mergeCell ref="C104:G104"/>
    <mergeCell ref="H104:I104"/>
    <mergeCell ref="K104:P104"/>
    <mergeCell ref="Q104:R104"/>
    <mergeCell ref="AH109:AL110"/>
    <mergeCell ref="AN109:AR110"/>
    <mergeCell ref="C111:C119"/>
    <mergeCell ref="AC111:AD111"/>
    <mergeCell ref="AC112:AD112"/>
    <mergeCell ref="AC113:AD113"/>
    <mergeCell ref="AC114:AD114"/>
    <mergeCell ref="AC115:AD115"/>
    <mergeCell ref="AC116:AD116"/>
    <mergeCell ref="AC117:AD117"/>
    <mergeCell ref="AC118:AD118"/>
    <mergeCell ref="C109:AE109"/>
    <mergeCell ref="H123:I123"/>
    <mergeCell ref="C120:G120"/>
    <mergeCell ref="H120:I120"/>
    <mergeCell ref="K120:P120"/>
    <mergeCell ref="Q120:R120"/>
    <mergeCell ref="C121:G121"/>
    <mergeCell ref="H121:I121"/>
    <mergeCell ref="K121:P121"/>
    <mergeCell ref="Q121:R121"/>
    <mergeCell ref="AH126:AL127"/>
    <mergeCell ref="AN126:AR127"/>
    <mergeCell ref="C128:C136"/>
    <mergeCell ref="AC128:AD128"/>
    <mergeCell ref="AC129:AD129"/>
    <mergeCell ref="AC130:AD130"/>
    <mergeCell ref="AC131:AD131"/>
    <mergeCell ref="AC132:AD132"/>
    <mergeCell ref="AC133:AD133"/>
    <mergeCell ref="AC134:AD134"/>
    <mergeCell ref="AC135:AD135"/>
    <mergeCell ref="C126:AE126"/>
    <mergeCell ref="AH143:AL144"/>
    <mergeCell ref="AN143:AR144"/>
    <mergeCell ref="C145:C153"/>
    <mergeCell ref="AC145:AD145"/>
    <mergeCell ref="AC146:AD146"/>
    <mergeCell ref="AC147:AD147"/>
    <mergeCell ref="AC148:AD148"/>
    <mergeCell ref="AC149:AD149"/>
    <mergeCell ref="AC150:AD150"/>
    <mergeCell ref="AC151:AD151"/>
    <mergeCell ref="AC152:AD152"/>
    <mergeCell ref="C143:AE143"/>
    <mergeCell ref="C157:G157"/>
    <mergeCell ref="H157:I157"/>
    <mergeCell ref="C154:G154"/>
    <mergeCell ref="H154:I154"/>
    <mergeCell ref="K154:P154"/>
    <mergeCell ref="Q154:R154"/>
    <mergeCell ref="C155:G155"/>
    <mergeCell ref="H155:I155"/>
    <mergeCell ref="K155:P155"/>
    <mergeCell ref="Q155:R155"/>
    <mergeCell ref="E3:AG3"/>
    <mergeCell ref="C156:G156"/>
    <mergeCell ref="H156:I156"/>
    <mergeCell ref="K156:P156"/>
    <mergeCell ref="Q156:R156"/>
    <mergeCell ref="C139:G139"/>
    <mergeCell ref="H139:I139"/>
    <mergeCell ref="K139:P139"/>
    <mergeCell ref="Q139:R139"/>
    <mergeCell ref="C140:G140"/>
    <mergeCell ref="H140:I140"/>
    <mergeCell ref="C137:G137"/>
    <mergeCell ref="H137:I137"/>
    <mergeCell ref="K137:P137"/>
    <mergeCell ref="Q137:R137"/>
    <mergeCell ref="C138:G138"/>
    <mergeCell ref="H138:I138"/>
    <mergeCell ref="K138:P138"/>
    <mergeCell ref="Q138:R138"/>
    <mergeCell ref="C122:G122"/>
    <mergeCell ref="H122:I122"/>
    <mergeCell ref="K122:P122"/>
    <mergeCell ref="Q122:R122"/>
    <mergeCell ref="C123:G123"/>
  </mergeCells>
  <conditionalFormatting sqref="E28:AB34">
    <cfRule type="expression" dxfId="101" priority="6">
      <formula>IF(E28="", TRUE, FALSE)</formula>
    </cfRule>
    <cfRule type="expression" dxfId="100" priority="7">
      <formula>IF(E28=0.5, TRUE, FASLE)</formula>
    </cfRule>
    <cfRule type="expression" dxfId="99" priority="8">
      <formula>IF(E28=1, TRUE, FASLE)</formula>
    </cfRule>
    <cfRule type="expression" dxfId="98" priority="9">
      <formula>IF(E28=0, TRUE, FALSE)</formula>
    </cfRule>
  </conditionalFormatting>
  <conditionalFormatting sqref="E44:AB50">
    <cfRule type="expression" dxfId="97" priority="2">
      <formula>IF(E44="", TRUE, FALSE)</formula>
    </cfRule>
    <cfRule type="expression" dxfId="96" priority="3">
      <formula>IF(E44=0.5, TRUE, FASLE)</formula>
    </cfRule>
    <cfRule type="expression" dxfId="95" priority="4">
      <formula>IF(E44=1, TRUE, FASLE)</formula>
    </cfRule>
    <cfRule type="expression" dxfId="94" priority="5">
      <formula>IF(E44=0, TRUE, FALSE)</formula>
    </cfRule>
  </conditionalFormatting>
  <conditionalFormatting sqref="E61:AB67">
    <cfRule type="expression" dxfId="93" priority="53">
      <formula>IF(E61=0, TRUE, FALSE)</formula>
    </cfRule>
    <cfRule type="expression" dxfId="92" priority="50">
      <formula>IF(E61="", TRUE, FALSE)</formula>
    </cfRule>
    <cfRule type="expression" dxfId="91" priority="51">
      <formula>IF(E61=0.5, TRUE, FASLE)</formula>
    </cfRule>
    <cfRule type="expression" dxfId="90" priority="52">
      <formula>IF(E61=1, TRUE, FASLE)</formula>
    </cfRule>
  </conditionalFormatting>
  <conditionalFormatting sqref="E78:AB84">
    <cfRule type="expression" dxfId="89" priority="48">
      <formula>IF(E78=1, TRUE, FASLE)</formula>
    </cfRule>
    <cfRule type="expression" dxfId="88" priority="46">
      <formula>IF(E78="", TRUE, FALSE)</formula>
    </cfRule>
    <cfRule type="expression" dxfId="87" priority="47">
      <formula>IF(E78=0.5, TRUE, FASLE)</formula>
    </cfRule>
    <cfRule type="expression" dxfId="86" priority="49">
      <formula>IF(E78=0, TRUE, FALSE)</formula>
    </cfRule>
  </conditionalFormatting>
  <conditionalFormatting sqref="E95:AB101">
    <cfRule type="expression" dxfId="85" priority="42">
      <formula>IF(E95="", TRUE, FALSE)</formula>
    </cfRule>
    <cfRule type="expression" dxfId="84" priority="44">
      <formula>IF(E95=1, TRUE, FASLE)</formula>
    </cfRule>
    <cfRule type="expression" dxfId="83" priority="45">
      <formula>IF(E95=0, TRUE, FALSE)</formula>
    </cfRule>
    <cfRule type="expression" dxfId="82" priority="43">
      <formula>IF(E95=0.5, TRUE, FASLE)</formula>
    </cfRule>
  </conditionalFormatting>
  <conditionalFormatting sqref="E112:AB118">
    <cfRule type="expression" dxfId="81" priority="41">
      <formula>IF(E112=0, TRUE, FALSE)</formula>
    </cfRule>
    <cfRule type="expression" dxfId="80" priority="40">
      <formula>IF(E112=1, TRUE, FASLE)</formula>
    </cfRule>
    <cfRule type="expression" dxfId="79" priority="39">
      <formula>IF(E112=0.5, TRUE, FASLE)</formula>
    </cfRule>
    <cfRule type="expression" dxfId="78" priority="38">
      <formula>IF(E112="", TRUE, FALSE)</formula>
    </cfRule>
  </conditionalFormatting>
  <conditionalFormatting sqref="E129:AB135">
    <cfRule type="expression" dxfId="77" priority="36">
      <formula>IF(E129=1, TRUE, FASLE)</formula>
    </cfRule>
    <cfRule type="expression" dxfId="76" priority="37">
      <formula>IF(E129=0, TRUE, FALSE)</formula>
    </cfRule>
    <cfRule type="expression" dxfId="75" priority="35">
      <formula>IF(E129=0.5, TRUE, FASLE)</formula>
    </cfRule>
    <cfRule type="expression" dxfId="74" priority="34">
      <formula>IF(E129="", TRUE, FALSE)</formula>
    </cfRule>
  </conditionalFormatting>
  <conditionalFormatting sqref="E146:AB152">
    <cfRule type="expression" dxfId="73" priority="31">
      <formula>IF(E146=0.5, TRUE, FASLE)</formula>
    </cfRule>
    <cfRule type="expression" dxfId="72" priority="32">
      <formula>IF(E146=1, TRUE, FASLE)</formula>
    </cfRule>
    <cfRule type="expression" dxfId="71" priority="33">
      <formula>IF(E146=0, TRUE, FALSE)</formula>
    </cfRule>
    <cfRule type="expression" dxfId="70" priority="30">
      <formula>IF(E146="", TRUE, FALSE)</formula>
    </cfRule>
  </conditionalFormatting>
  <conditionalFormatting sqref="F14 F16 F19:F20">
    <cfRule type="expression" dxfId="69" priority="28">
      <formula>IF($F14="", TRUE, FALSE)</formula>
    </cfRule>
  </conditionalFormatting>
  <conditionalFormatting sqref="F9:O13">
    <cfRule type="expression" dxfId="68" priority="1">
      <formula>IF($F9="", TRUE, FALSE)</formula>
    </cfRule>
  </conditionalFormatting>
  <conditionalFormatting sqref="H36:I39">
    <cfRule type="expression" dxfId="67" priority="26">
      <formula>IF($H36="", TRUE, FALSE)</formula>
    </cfRule>
  </conditionalFormatting>
  <conditionalFormatting sqref="H52:I55">
    <cfRule type="expression" dxfId="66" priority="18">
      <formula>IF($H52="", TRUE, FALSE)</formula>
    </cfRule>
  </conditionalFormatting>
  <conditionalFormatting sqref="H69:I72">
    <cfRule type="expression" dxfId="65" priority="17">
      <formula>IF($H69="", TRUE, FALSE)</formula>
    </cfRule>
  </conditionalFormatting>
  <conditionalFormatting sqref="H86:I89">
    <cfRule type="expression" dxfId="64" priority="16">
      <formula>IF($H86="", TRUE, FALSE)</formula>
    </cfRule>
  </conditionalFormatting>
  <conditionalFormatting sqref="H103:I106">
    <cfRule type="expression" dxfId="63" priority="15">
      <formula>IF($H103="", TRUE, FALSE)</formula>
    </cfRule>
  </conditionalFormatting>
  <conditionalFormatting sqref="H120:I123">
    <cfRule type="expression" dxfId="62" priority="14">
      <formula>IF($H120="", TRUE, FALSE)</formula>
    </cfRule>
  </conditionalFormatting>
  <conditionalFormatting sqref="H137:I140">
    <cfRule type="expression" dxfId="61" priority="13">
      <formula>IF($H137="", TRUE, FALSE)</formula>
    </cfRule>
  </conditionalFormatting>
  <conditionalFormatting sqref="H154:I157">
    <cfRule type="expression" dxfId="60" priority="12">
      <formula>IF($H154="", TRUE, FALSE)</formula>
    </cfRule>
  </conditionalFormatting>
  <conditionalFormatting sqref="X18:Y19">
    <cfRule type="expression" dxfId="59" priority="11">
      <formula>IF($X$18="", FALSE, TRUE)</formula>
    </cfRule>
  </conditionalFormatting>
  <dataValidations count="8">
    <dataValidation type="decimal" allowBlank="1" showInputMessage="1" showErrorMessage="1" sqref="E146:AB152 E129:AB135 E44:AB50 E61:AB67 E78:AB84 E95:AB101 E112:AB118 E28:AB34" xr:uid="{00000000-0002-0000-0400-000000000000}">
      <formula1>0</formula1>
      <formula2>1</formula2>
    </dataValidation>
    <dataValidation type="list" allowBlank="1" showInputMessage="1" showErrorMessage="1" sqref="F12:O12" xr:uid="{00000000-0002-0000-0400-000001000000}">
      <formula1>Opcos</formula1>
    </dataValidation>
    <dataValidation type="decimal" allowBlank="1" showInputMessage="1" showErrorMessage="1" sqref="H39:I39 H55:I55 H72:I72 H89:I89 H106:I106 H123:I123 H140:I140 H157:I157" xr:uid="{00000000-0002-0000-0400-000002000000}">
      <formula1>0</formula1>
      <formula2>9</formula2>
    </dataValidation>
    <dataValidation type="decimal" allowBlank="1" showInputMessage="1" showErrorMessage="1" sqref="H38:I38 H54:I54 H71:I71 H88:I88 H105:I105 H122:I122 H139:I139 H156:I156" xr:uid="{00000000-0002-0000-0400-000003000000}">
      <formula1>0</formula1>
      <formula2>13</formula2>
    </dataValidation>
    <dataValidation type="decimal" allowBlank="1" showInputMessage="1" showErrorMessage="1" sqref="H37:I37 H53:I53 H70:I70 H87:I87 H104:I104 H121:I121 H138:I138 H155:I155" xr:uid="{00000000-0002-0000-0400-000004000000}">
      <formula1>0</formula1>
      <formula2>52</formula2>
    </dataValidation>
    <dataValidation type="decimal" allowBlank="1" showInputMessage="1" showErrorMessage="1" sqref="H36:I36 H52:I52 H69:I69 H86:I86 H103:I103 H120:I120 H137:I137 H154:I154" xr:uid="{00000000-0002-0000-0400-000005000000}">
      <formula1>0</formula1>
      <formula2>365</formula2>
    </dataValidation>
    <dataValidation type="list" allowBlank="1" showInputMessage="1" showErrorMessage="1" sqref="X18:Y19" xr:uid="{00000000-0002-0000-0400-000006000000}">
      <formula1>Sector</formula1>
    </dataValidation>
    <dataValidation type="list" allowBlank="1" showInputMessage="1" showErrorMessage="1" sqref="F16" xr:uid="{00000000-0002-0000-0400-000007000000}">
      <formula1>Calculation_Method_NC</formula1>
    </dataValidation>
  </dataValidation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4" tint="-0.499984740745262"/>
    <pageSetUpPr autoPageBreaks="0"/>
  </sheetPr>
  <dimension ref="A1:GY276"/>
  <sheetViews>
    <sheetView zoomScaleNormal="100" workbookViewId="0">
      <selection activeCell="AD12" sqref="AD12"/>
    </sheetView>
  </sheetViews>
  <sheetFormatPr defaultColWidth="9.140625" defaultRowHeight="12.75" x14ac:dyDescent="0.2"/>
  <cols>
    <col min="1" max="1" width="6" style="101" customWidth="1"/>
    <col min="2" max="2" width="18" style="101" customWidth="1"/>
    <col min="3" max="3" width="7.5703125" style="101" customWidth="1"/>
    <col min="4" max="4" width="24.85546875" style="101" customWidth="1"/>
    <col min="5" max="5" width="14.5703125" style="101" customWidth="1"/>
    <col min="6" max="6" width="30.140625" style="101" customWidth="1"/>
    <col min="7" max="7" width="27.7109375" style="101" customWidth="1"/>
    <col min="8" max="8" width="17.42578125" style="101" customWidth="1"/>
    <col min="9" max="9" width="9.140625" style="104" customWidth="1"/>
    <col min="10" max="10" width="15.28515625" style="101" bestFit="1" customWidth="1"/>
    <col min="11" max="11" width="14.140625" style="101" customWidth="1"/>
    <col min="12" max="12" width="11.7109375" style="101" customWidth="1"/>
    <col min="13" max="13" width="18.140625" style="101" customWidth="1"/>
    <col min="14" max="14" width="43.5703125" style="101" customWidth="1"/>
    <col min="15" max="15" width="17.85546875" style="101" customWidth="1"/>
    <col min="16" max="16" width="18.85546875" style="101" customWidth="1"/>
    <col min="17" max="17" width="8.5703125" style="101" customWidth="1"/>
    <col min="18" max="18" width="9.7109375" style="104" customWidth="1"/>
    <col min="19" max="19" width="11.28515625" style="101" bestFit="1" customWidth="1"/>
    <col min="20" max="20" width="16" style="101" hidden="1" customWidth="1"/>
    <col min="21" max="21" width="12.140625" style="101" hidden="1" customWidth="1"/>
    <col min="22" max="22" width="44.5703125" style="101" customWidth="1"/>
    <col min="23" max="23" width="41.28515625" style="101" customWidth="1"/>
    <col min="24" max="24" width="15.140625" style="101" hidden="1" customWidth="1"/>
    <col min="25" max="25" width="32.7109375" style="101" hidden="1" customWidth="1"/>
    <col min="26" max="26" width="47.28515625" style="101" hidden="1" customWidth="1"/>
    <col min="27" max="27" width="51.7109375" style="101" hidden="1" customWidth="1"/>
    <col min="28" max="28" width="7.28515625" style="101" hidden="1" customWidth="1"/>
    <col min="29" max="29" width="19.42578125" style="101" customWidth="1"/>
    <col min="30" max="30" width="7.28515625" style="101" customWidth="1"/>
    <col min="31" max="31" width="10.5703125" style="101" customWidth="1"/>
    <col min="32" max="34" width="14.28515625" style="101" customWidth="1"/>
    <col min="35" max="36" width="11.85546875" style="101" customWidth="1"/>
    <col min="37" max="37" width="12" style="101" customWidth="1"/>
    <col min="38" max="38" width="15" style="101" customWidth="1"/>
    <col min="39" max="39" width="15.5703125" style="101" customWidth="1"/>
    <col min="40" max="40" width="26.140625" style="101" customWidth="1"/>
    <col min="41" max="41" width="18.5703125" style="667" hidden="1" customWidth="1"/>
    <col min="42" max="42" width="13.42578125" style="101" customWidth="1"/>
    <col min="43" max="43" width="11.7109375" style="101" customWidth="1"/>
    <col min="44" max="45" width="15.7109375" style="101" customWidth="1"/>
    <col min="46" max="46" width="16.42578125" style="101" customWidth="1"/>
    <col min="47" max="47" width="17.85546875" style="101" hidden="1" customWidth="1"/>
    <col min="48" max="48" width="12.28515625" style="101" customWidth="1"/>
    <col min="49" max="49" width="30.28515625" style="101" customWidth="1"/>
    <col min="50" max="50" width="16" style="101" customWidth="1"/>
    <col min="51" max="51" width="11.85546875" style="101" hidden="1" customWidth="1"/>
    <col min="52" max="52" width="11.140625" style="101" customWidth="1"/>
    <col min="53" max="53" width="11.140625" style="527" hidden="1" customWidth="1"/>
    <col min="54" max="54" width="15.28515625" style="101" customWidth="1"/>
    <col min="55" max="55" width="11.5703125" style="527" hidden="1" customWidth="1"/>
    <col min="56" max="56" width="11.5703125" style="101" customWidth="1"/>
    <col min="57" max="58" width="9.42578125" style="101" customWidth="1"/>
    <col min="59" max="60" width="10.85546875" style="529" hidden="1" customWidth="1"/>
    <col min="61" max="61" width="10" style="101" bestFit="1" customWidth="1"/>
    <col min="62" max="62" width="10.85546875" style="101" hidden="1" customWidth="1"/>
    <col min="63" max="63" width="12" style="101" hidden="1" customWidth="1"/>
    <col min="64" max="64" width="12.28515625" style="101" customWidth="1"/>
    <col min="65" max="66" width="14.140625" style="527" hidden="1" customWidth="1"/>
    <col min="67" max="67" width="13.7109375" style="527" hidden="1" customWidth="1"/>
    <col min="68" max="69" width="12.5703125" style="101" hidden="1" customWidth="1"/>
    <col min="70" max="70" width="10.28515625" style="101" hidden="1" customWidth="1"/>
    <col min="71" max="71" width="11.140625" style="101" hidden="1" customWidth="1"/>
    <col min="72" max="72" width="18.140625" style="101" hidden="1" customWidth="1"/>
    <col min="73" max="73" width="21.7109375" style="101" hidden="1" customWidth="1"/>
    <col min="74" max="74" width="17.42578125" style="101" hidden="1" customWidth="1"/>
    <col min="75" max="75" width="0.140625" style="101" hidden="1" customWidth="1"/>
    <col min="76" max="77" width="12.28515625" style="101" hidden="1" customWidth="1"/>
    <col min="78" max="78" width="12.42578125" style="101" hidden="1" customWidth="1"/>
    <col min="79" max="79" width="12.85546875" style="101" hidden="1" customWidth="1"/>
    <col min="80" max="80" width="16" style="101" customWidth="1"/>
    <col min="81" max="81" width="13.5703125" style="101" customWidth="1"/>
    <col min="82" max="82" width="15" style="101" bestFit="1" customWidth="1"/>
    <col min="83" max="83" width="14.140625" style="101" hidden="1" customWidth="1"/>
    <col min="84" max="84" width="12.85546875" style="367" hidden="1" customWidth="1"/>
    <col min="85" max="85" width="14.28515625" style="101" hidden="1" customWidth="1"/>
    <col min="86" max="86" width="18.85546875" style="101" hidden="1" customWidth="1"/>
    <col min="87" max="87" width="11.28515625" style="101" hidden="1" customWidth="1"/>
    <col min="88" max="88" width="6.7109375" style="101" hidden="1" customWidth="1"/>
    <col min="89" max="89" width="7" style="101" hidden="1" customWidth="1"/>
    <col min="90" max="90" width="18.140625" style="101" hidden="1" customWidth="1"/>
    <col min="91" max="91" width="10.42578125" style="101" hidden="1" customWidth="1"/>
    <col min="92" max="92" width="14.7109375" style="101" hidden="1" customWidth="1"/>
    <col min="93" max="93" width="15.28515625" style="101" hidden="1" customWidth="1"/>
    <col min="94" max="94" width="7.5703125" style="594" hidden="1" customWidth="1"/>
    <col min="95" max="95" width="18.28515625" style="101" hidden="1" customWidth="1"/>
    <col min="96" max="96" width="10.85546875" style="101" hidden="1" customWidth="1"/>
    <col min="97" max="97" width="27.7109375" style="101" hidden="1" customWidth="1"/>
    <col min="98" max="98" width="7" style="101" hidden="1" customWidth="1"/>
    <col min="99" max="99" width="7.28515625" style="101" hidden="1" customWidth="1"/>
    <col min="100" max="100" width="7" style="101" hidden="1" customWidth="1"/>
    <col min="101" max="101" width="7.28515625" style="101" hidden="1" customWidth="1"/>
    <col min="102" max="102" width="7" style="101" hidden="1" customWidth="1"/>
    <col min="103" max="103" width="7.28515625" style="101" hidden="1" customWidth="1"/>
    <col min="104" max="104" width="7" style="101" hidden="1" customWidth="1"/>
    <col min="105" max="105" width="7.28515625" style="101" hidden="1" customWidth="1"/>
    <col min="106" max="106" width="7" style="101" hidden="1" customWidth="1"/>
    <col min="107" max="107" width="7.28515625" style="101" hidden="1" customWidth="1"/>
    <col min="108" max="108" width="7" style="101" hidden="1" customWidth="1"/>
    <col min="109" max="109" width="7.28515625" style="101" hidden="1" customWidth="1"/>
    <col min="110" max="110" width="7" style="101" hidden="1" customWidth="1"/>
    <col min="111" max="111" width="7.28515625" style="101" hidden="1" customWidth="1"/>
    <col min="112" max="112" width="7" style="101" hidden="1" customWidth="1"/>
    <col min="113" max="113" width="7.28515625" style="101" hidden="1" customWidth="1"/>
    <col min="114" max="114" width="33.42578125" style="101" hidden="1" customWidth="1"/>
    <col min="115" max="115" width="7" style="101" hidden="1" customWidth="1"/>
    <col min="116" max="116" width="7.28515625" style="101" hidden="1" customWidth="1"/>
    <col min="117" max="117" width="7" style="101" hidden="1" customWidth="1"/>
    <col min="118" max="118" width="7.28515625" style="101" hidden="1" customWidth="1"/>
    <col min="119" max="119" width="7.85546875" style="101" hidden="1" customWidth="1"/>
    <col min="120" max="120" width="27.7109375" style="101" hidden="1" customWidth="1"/>
    <col min="121" max="121" width="7" style="101" hidden="1" customWidth="1"/>
    <col min="122" max="122" width="7.28515625" style="101" hidden="1" customWidth="1"/>
    <col min="123" max="123" width="7" style="101" hidden="1" customWidth="1"/>
    <col min="124" max="124" width="7.28515625" style="101" hidden="1" customWidth="1"/>
    <col min="125" max="125" width="7" style="101" hidden="1" customWidth="1"/>
    <col min="126" max="126" width="7.28515625" style="101" hidden="1" customWidth="1"/>
    <col min="127" max="127" width="7" style="101" hidden="1" customWidth="1"/>
    <col min="128" max="128" width="7.28515625" style="101" hidden="1" customWidth="1"/>
    <col min="129" max="129" width="7" style="101" hidden="1" customWidth="1"/>
    <col min="130" max="130" width="7.28515625" style="101" hidden="1" customWidth="1"/>
    <col min="131" max="132" width="27.7109375" style="101" hidden="1" customWidth="1"/>
    <col min="133" max="133" width="7" style="101" hidden="1" customWidth="1"/>
    <col min="134" max="134" width="7.28515625" style="101" hidden="1" customWidth="1"/>
    <col min="135" max="135" width="33.42578125" style="101" hidden="1" customWidth="1"/>
    <col min="136" max="136" width="7" style="101" hidden="1" customWidth="1"/>
    <col min="137" max="137" width="7.28515625" style="101" hidden="1" customWidth="1"/>
    <col min="138" max="138" width="7" style="101" hidden="1" customWidth="1"/>
    <col min="139" max="139" width="7.28515625" style="101" hidden="1" customWidth="1"/>
    <col min="140" max="140" width="8.5703125" style="101" hidden="1" customWidth="1"/>
    <col min="141" max="141" width="27.7109375" style="101" hidden="1" customWidth="1"/>
    <col min="142" max="142" width="7" style="101" hidden="1" customWidth="1"/>
    <col min="143" max="143" width="7.28515625" style="101" hidden="1" customWidth="1"/>
    <col min="144" max="144" width="7" style="101" hidden="1" customWidth="1"/>
    <col min="145" max="145" width="7.28515625" style="101" hidden="1" customWidth="1"/>
    <col min="146" max="146" width="7" style="101" hidden="1" customWidth="1"/>
    <col min="147" max="147" width="7.28515625" style="101" hidden="1" customWidth="1"/>
    <col min="148" max="148" width="7" style="101" hidden="1" customWidth="1"/>
    <col min="149" max="149" width="7.28515625" style="101" hidden="1" customWidth="1"/>
    <col min="150" max="150" width="7" style="101" hidden="1" customWidth="1"/>
    <col min="151" max="151" width="7.28515625" style="101" hidden="1" customWidth="1"/>
    <col min="152" max="153" width="27.7109375" style="101" hidden="1" customWidth="1"/>
    <col min="154" max="154" width="7" style="101" hidden="1" customWidth="1"/>
    <col min="155" max="155" width="7.28515625" style="101" hidden="1" customWidth="1"/>
    <col min="156" max="156" width="33.42578125" style="101" hidden="1" customWidth="1"/>
    <col min="157" max="157" width="7" style="101" hidden="1" customWidth="1"/>
    <col min="158" max="158" width="7.28515625" style="101" hidden="1" customWidth="1"/>
    <col min="159" max="159" width="7" style="101" hidden="1" customWidth="1"/>
    <col min="160" max="160" width="7.28515625" style="101" hidden="1" customWidth="1"/>
    <col min="161" max="161" width="9.140625" style="101" hidden="1" customWidth="1"/>
    <col min="162" max="162" width="11.28515625" style="101" hidden="1" customWidth="1"/>
    <col min="163" max="163" width="7.28515625" style="101" hidden="1" customWidth="1"/>
    <col min="164" max="164" width="7.7109375" style="101" hidden="1" customWidth="1"/>
    <col min="165" max="165" width="7" style="101" hidden="1" customWidth="1"/>
    <col min="166" max="166" width="7.28515625" style="101" hidden="1" customWidth="1"/>
    <col min="167" max="167" width="7" style="101" hidden="1" customWidth="1"/>
    <col min="168" max="168" width="7.28515625" style="101" hidden="1" customWidth="1"/>
    <col min="169" max="169" width="7" style="101" hidden="1" customWidth="1"/>
    <col min="170" max="170" width="7.28515625" style="101" hidden="1" customWidth="1"/>
    <col min="171" max="171" width="7" style="101" hidden="1" customWidth="1"/>
    <col min="172" max="172" width="7.28515625" style="101" hidden="1" customWidth="1"/>
    <col min="173" max="173" width="7" style="101" hidden="1" customWidth="1"/>
    <col min="174" max="174" width="7.28515625" style="101" hidden="1" customWidth="1"/>
    <col min="175" max="176" width="27.7109375" style="101" hidden="1" customWidth="1"/>
    <col min="177" max="177" width="7" style="101" hidden="1" customWidth="1"/>
    <col min="178" max="178" width="7.28515625" style="101" hidden="1" customWidth="1"/>
    <col min="179" max="179" width="33.42578125" style="101" hidden="1" customWidth="1"/>
    <col min="180" max="180" width="7" style="101" hidden="1" customWidth="1"/>
    <col min="181" max="181" width="7.28515625" style="101" hidden="1" customWidth="1"/>
    <col min="182" max="182" width="7" style="101" hidden="1" customWidth="1"/>
    <col min="183" max="183" width="7.28515625" style="101" hidden="1" customWidth="1"/>
    <col min="184" max="190" width="13.7109375" style="101" hidden="1" customWidth="1"/>
    <col min="191" max="191" width="13.7109375" style="383" hidden="1" customWidth="1"/>
    <col min="192" max="195" width="13.7109375" style="2" hidden="1" customWidth="1"/>
    <col min="196" max="196" width="9.140625" style="394" hidden="1" customWidth="1"/>
    <col min="197" max="197" width="18.42578125" style="101" hidden="1" customWidth="1"/>
    <col min="198" max="198" width="14.5703125" style="101" hidden="1" customWidth="1"/>
    <col min="199" max="199" width="15.42578125" style="101" hidden="1" customWidth="1"/>
    <col min="200" max="200" width="14.140625" style="101" hidden="1" customWidth="1"/>
    <col min="201" max="201" width="9.140625" style="101" hidden="1" customWidth="1"/>
    <col min="202" max="203" width="9.140625" style="101" customWidth="1"/>
    <col min="204" max="16384" width="9.140625" style="101"/>
  </cols>
  <sheetData>
    <row r="1" spans="1:207" ht="21.75" customHeight="1" x14ac:dyDescent="0.2">
      <c r="A1" s="260"/>
      <c r="B1" s="1129" t="s">
        <v>2791</v>
      </c>
      <c r="C1" s="1129"/>
      <c r="D1" s="1129"/>
      <c r="E1" s="1129"/>
      <c r="F1" s="1129"/>
      <c r="G1" s="1129"/>
      <c r="H1" s="260"/>
      <c r="I1" s="261"/>
      <c r="J1" s="262"/>
      <c r="K1" s="262"/>
      <c r="L1" s="262"/>
      <c r="M1" s="262"/>
      <c r="N1" s="262"/>
      <c r="O1" s="262"/>
      <c r="P1" s="262"/>
      <c r="Q1" s="262"/>
      <c r="R1" s="261"/>
      <c r="S1" s="262"/>
      <c r="T1" s="81"/>
      <c r="U1" s="81"/>
      <c r="V1" s="262"/>
      <c r="W1" s="262"/>
      <c r="X1" s="81" t="s">
        <v>2792</v>
      </c>
      <c r="Y1" s="81"/>
      <c r="Z1" s="81"/>
      <c r="AA1" s="81"/>
      <c r="AB1" s="81"/>
      <c r="AC1" s="262"/>
      <c r="AD1" s="262"/>
      <c r="AE1" s="262"/>
      <c r="AF1" s="262"/>
      <c r="AG1" s="262"/>
      <c r="AH1" s="262"/>
      <c r="AI1" s="481" t="b">
        <f>IF(AND($V11="LED Reach-in Case Lighting",$BS11="Y"), FALSE, TRUE)</f>
        <v>1</v>
      </c>
      <c r="AJ1" s="262"/>
      <c r="AK1" s="262"/>
      <c r="AL1" s="262"/>
      <c r="AM1" s="262"/>
      <c r="AN1" s="262"/>
      <c r="AP1" s="262"/>
      <c r="AQ1" s="262"/>
      <c r="AR1" s="262"/>
      <c r="AS1" s="262"/>
      <c r="AT1" s="262"/>
      <c r="AU1" s="81"/>
      <c r="AV1" s="262"/>
      <c r="AW1" s="262"/>
      <c r="AX1" s="262"/>
      <c r="AY1" s="85"/>
      <c r="AZ1" s="262"/>
      <c r="BA1" s="520"/>
      <c r="BB1" s="262"/>
      <c r="BC1" s="520"/>
      <c r="BD1" s="262"/>
      <c r="BE1" s="262"/>
      <c r="BF1" s="262"/>
      <c r="BG1" s="81"/>
      <c r="BH1" s="81"/>
      <c r="BI1" s="262"/>
      <c r="BJ1" s="81"/>
      <c r="BK1" s="81"/>
      <c r="BL1" s="262"/>
      <c r="BM1" s="520"/>
      <c r="BN1" s="520"/>
      <c r="BO1" s="520"/>
      <c r="BP1" s="81"/>
      <c r="BQ1" s="81"/>
      <c r="BR1" s="81"/>
      <c r="BS1" s="81"/>
      <c r="BT1" s="81"/>
      <c r="BU1" s="81"/>
      <c r="BV1" s="81"/>
      <c r="BW1" s="81"/>
      <c r="BX1" s="81"/>
      <c r="BY1" s="81"/>
      <c r="BZ1" s="81"/>
      <c r="CA1" s="81"/>
      <c r="CB1" s="262"/>
      <c r="CC1" s="262"/>
      <c r="CD1" s="262"/>
      <c r="CE1" s="81"/>
      <c r="CF1" s="81"/>
      <c r="CG1" s="366"/>
      <c r="CH1" s="99" t="s">
        <v>2793</v>
      </c>
      <c r="CI1" s="99"/>
      <c r="CJ1" s="99"/>
      <c r="CK1" s="99"/>
      <c r="CL1" s="98"/>
      <c r="CM1" s="98"/>
      <c r="CN1" s="98"/>
      <c r="CO1" s="98"/>
      <c r="CP1" s="589"/>
      <c r="CQ1" s="98"/>
      <c r="CR1" s="100"/>
      <c r="CS1" s="98"/>
      <c r="CT1" s="98"/>
      <c r="CU1" s="98"/>
      <c r="CV1" s="98"/>
      <c r="CW1" s="98"/>
      <c r="CX1" s="98"/>
      <c r="CY1" s="98"/>
      <c r="CZ1" s="98"/>
      <c r="DA1" s="98"/>
      <c r="DB1" s="98"/>
      <c r="DC1" s="98"/>
      <c r="DD1" s="98"/>
      <c r="DE1" s="98"/>
      <c r="DF1" s="98"/>
      <c r="DG1" s="98"/>
      <c r="DH1" s="98"/>
      <c r="DI1" s="98"/>
      <c r="DJ1" s="98"/>
      <c r="DK1" s="98"/>
      <c r="DL1" s="98"/>
      <c r="DM1" s="98"/>
      <c r="DN1" s="98"/>
      <c r="DO1" s="100"/>
      <c r="DP1" s="98"/>
      <c r="DQ1" s="98"/>
      <c r="DR1" s="98"/>
      <c r="DS1" s="98"/>
      <c r="DT1" s="98"/>
      <c r="DU1" s="98"/>
      <c r="DV1" s="98"/>
      <c r="DW1" s="98"/>
      <c r="DX1" s="98"/>
      <c r="DY1" s="98"/>
      <c r="DZ1" s="98"/>
      <c r="EA1" s="98"/>
      <c r="EB1" s="98"/>
      <c r="EC1" s="98"/>
      <c r="ED1" s="98"/>
      <c r="EE1" s="98"/>
      <c r="EF1" s="98"/>
      <c r="EG1" s="98"/>
      <c r="EH1" s="98"/>
      <c r="EI1" s="98"/>
      <c r="EJ1" s="109"/>
      <c r="EK1" s="98"/>
      <c r="EL1" s="98"/>
      <c r="EM1" s="98"/>
      <c r="EN1" s="98"/>
      <c r="EO1" s="98"/>
      <c r="EP1" s="98"/>
      <c r="EQ1" s="98"/>
      <c r="ER1" s="98"/>
      <c r="ES1" s="98"/>
      <c r="ET1" s="98"/>
      <c r="EU1" s="98"/>
      <c r="EV1" s="98"/>
      <c r="EW1" s="98"/>
      <c r="EX1" s="98"/>
      <c r="EY1" s="98"/>
      <c r="EZ1" s="98"/>
      <c r="FA1" s="98"/>
      <c r="FB1" s="98"/>
      <c r="FC1" s="98"/>
      <c r="FD1" s="98"/>
      <c r="FF1" s="98"/>
      <c r="FG1" s="98"/>
      <c r="FH1" s="98"/>
      <c r="FI1" s="98"/>
      <c r="FJ1" s="98"/>
      <c r="FK1" s="98"/>
      <c r="FL1" s="98"/>
      <c r="FM1" s="98"/>
      <c r="FN1" s="98"/>
      <c r="FO1" s="98"/>
      <c r="FP1" s="98"/>
      <c r="FQ1" s="98"/>
      <c r="FR1" s="98"/>
      <c r="FS1" s="98"/>
      <c r="FT1" s="98"/>
      <c r="FU1" s="98"/>
      <c r="FV1" s="98"/>
      <c r="FW1" s="98"/>
      <c r="FX1" s="98"/>
      <c r="FY1" s="98"/>
      <c r="FZ1" s="98"/>
      <c r="GA1" s="98"/>
      <c r="GB1" s="98"/>
      <c r="GC1" s="98"/>
      <c r="GD1" s="98"/>
      <c r="GE1" s="98"/>
      <c r="GF1" s="98"/>
      <c r="GG1" s="98"/>
      <c r="GH1" s="98"/>
      <c r="GI1" s="98"/>
      <c r="GJ1" s="390"/>
      <c r="GK1" s="390"/>
      <c r="GL1" s="390"/>
      <c r="GM1" s="390"/>
    </row>
    <row r="2" spans="1:207" ht="15" customHeight="1" x14ac:dyDescent="0.25">
      <c r="A2" s="260"/>
      <c r="B2" s="1132"/>
      <c r="C2" s="1132"/>
      <c r="D2" s="263"/>
      <c r="E2" s="260"/>
      <c r="F2" s="1139" t="s">
        <v>2794</v>
      </c>
      <c r="G2" s="1139"/>
      <c r="H2" s="260"/>
      <c r="I2" s="261"/>
      <c r="J2" s="262"/>
      <c r="K2" s="262"/>
      <c r="L2" s="262"/>
      <c r="M2" s="262"/>
      <c r="N2" s="262"/>
      <c r="O2" s="262"/>
      <c r="P2" s="262"/>
      <c r="Q2" s="262"/>
      <c r="R2" s="261"/>
      <c r="S2" s="262"/>
      <c r="T2" s="81"/>
      <c r="U2" s="81"/>
      <c r="V2" s="1137" t="s">
        <v>2795</v>
      </c>
      <c r="W2" s="1137"/>
      <c r="X2" s="81"/>
      <c r="Y2" s="81"/>
      <c r="Z2" s="81"/>
      <c r="AA2" s="81"/>
      <c r="AB2" s="81"/>
      <c r="AC2" s="262"/>
      <c r="AD2" s="262"/>
      <c r="AE2" s="262"/>
      <c r="AF2" s="1142" t="str">
        <f>IF(OR($BW$261&gt;0, $GF$261&gt;0), $Y$1, "")</f>
        <v/>
      </c>
      <c r="AG2" s="1142"/>
      <c r="AH2" s="1142"/>
      <c r="AI2" s="1142"/>
      <c r="AJ2" s="1142"/>
      <c r="AK2" s="1142"/>
      <c r="AL2" s="1142"/>
      <c r="AM2" s="262"/>
      <c r="AN2" s="262"/>
      <c r="AP2" s="262"/>
      <c r="AQ2" s="262"/>
      <c r="AR2" s="262"/>
      <c r="AS2" s="262"/>
      <c r="AT2" s="262"/>
      <c r="AU2" s="81"/>
      <c r="AV2" s="262"/>
      <c r="AW2" s="262"/>
      <c r="AX2" s="262"/>
      <c r="AY2" s="85"/>
      <c r="AZ2" s="262"/>
      <c r="BA2" s="520"/>
      <c r="BB2" s="262"/>
      <c r="BC2" s="520"/>
      <c r="BD2" s="262"/>
      <c r="BE2" s="262"/>
      <c r="BF2" s="262"/>
      <c r="BG2" s="81"/>
      <c r="BH2" s="81"/>
      <c r="BI2" s="262"/>
      <c r="BJ2" s="81"/>
      <c r="BK2" s="81"/>
      <c r="BL2" s="262"/>
      <c r="BM2" s="520"/>
      <c r="BN2" s="520"/>
      <c r="BO2" s="520"/>
      <c r="BP2" s="81"/>
      <c r="BQ2" s="81"/>
      <c r="BR2" s="81"/>
      <c r="BS2" s="81"/>
      <c r="BT2" s="81"/>
      <c r="BU2" s="81"/>
      <c r="BV2" s="81"/>
      <c r="BW2" s="81"/>
      <c r="BX2" s="81"/>
      <c r="BY2" s="81"/>
      <c r="BZ2" s="81"/>
      <c r="CA2" s="81"/>
      <c r="CB2" s="262"/>
      <c r="CC2" s="262"/>
      <c r="CD2" s="262"/>
      <c r="CE2" s="81"/>
      <c r="CF2" s="81"/>
      <c r="CG2" s="366"/>
      <c r="CH2" s="98"/>
      <c r="CI2" s="98"/>
      <c r="CJ2" s="98"/>
      <c r="CK2" s="98"/>
      <c r="CL2" s="98"/>
      <c r="CM2" s="98"/>
      <c r="CN2" s="98"/>
      <c r="CO2" s="98"/>
      <c r="CP2" s="589"/>
      <c r="CQ2" s="98"/>
      <c r="CR2" s="100"/>
      <c r="CS2" s="98"/>
      <c r="CT2" s="98"/>
      <c r="CU2" s="98"/>
      <c r="CV2" s="98"/>
      <c r="CW2" s="98"/>
      <c r="CX2" s="98"/>
      <c r="CY2" s="98"/>
      <c r="CZ2" s="98"/>
      <c r="DA2" s="98"/>
      <c r="DB2" s="98"/>
      <c r="DC2" s="98"/>
      <c r="DD2" s="98"/>
      <c r="DE2" s="98"/>
      <c r="DF2" s="98"/>
      <c r="DG2" s="98"/>
      <c r="DH2" s="98"/>
      <c r="DI2" s="98"/>
      <c r="DJ2" s="98"/>
      <c r="DK2" s="98"/>
      <c r="DL2" s="98"/>
      <c r="DM2" s="98"/>
      <c r="DN2" s="98"/>
      <c r="DO2" s="100"/>
      <c r="DP2" s="98"/>
      <c r="DQ2" s="98"/>
      <c r="DR2" s="98"/>
      <c r="DS2" s="98"/>
      <c r="DT2" s="98"/>
      <c r="DU2" s="98"/>
      <c r="DV2" s="98"/>
      <c r="DW2" s="98"/>
      <c r="DX2" s="98"/>
      <c r="DY2" s="98"/>
      <c r="DZ2" s="98"/>
      <c r="EA2" s="98"/>
      <c r="EB2" s="98"/>
      <c r="EC2" s="98"/>
      <c r="ED2" s="98"/>
      <c r="EE2" s="98"/>
      <c r="EF2" s="98"/>
      <c r="EG2" s="98"/>
      <c r="EH2" s="98"/>
      <c r="EI2" s="98"/>
      <c r="EJ2" s="109"/>
      <c r="EK2" s="98"/>
      <c r="EL2" s="98"/>
      <c r="EM2" s="98"/>
      <c r="EN2" s="98"/>
      <c r="EO2" s="98"/>
      <c r="EP2" s="98"/>
      <c r="EQ2" s="98"/>
      <c r="ER2" s="98"/>
      <c r="ES2" s="98"/>
      <c r="ET2" s="98"/>
      <c r="EU2" s="98"/>
      <c r="EV2" s="98"/>
      <c r="EW2" s="98"/>
      <c r="EX2" s="98"/>
      <c r="EY2" s="98"/>
      <c r="EZ2" s="98"/>
      <c r="FA2" s="98"/>
      <c r="FB2" s="98"/>
      <c r="FC2" s="98"/>
      <c r="FD2" s="98"/>
      <c r="FF2" s="98"/>
      <c r="FG2" s="98"/>
      <c r="FH2" s="98"/>
      <c r="FI2" s="98"/>
      <c r="FJ2" s="98"/>
      <c r="FK2" s="98"/>
      <c r="FL2" s="98"/>
      <c r="FM2" s="98"/>
      <c r="FN2" s="98"/>
      <c r="FO2" s="98"/>
      <c r="FP2" s="98"/>
      <c r="FQ2" s="98"/>
      <c r="FR2" s="98"/>
      <c r="FS2" s="98"/>
      <c r="FT2" s="98"/>
      <c r="FU2" s="98"/>
      <c r="FV2" s="98"/>
      <c r="FW2" s="98"/>
      <c r="FX2" s="98"/>
      <c r="FY2" s="98"/>
      <c r="FZ2" s="98"/>
      <c r="GA2" s="98"/>
      <c r="GB2" s="98"/>
      <c r="GC2" s="98"/>
      <c r="GD2" s="98"/>
      <c r="GE2" s="98"/>
      <c r="GF2" s="98"/>
      <c r="GG2" s="98"/>
      <c r="GH2" s="98"/>
      <c r="GI2" s="98"/>
      <c r="GJ2" s="390"/>
      <c r="GK2" s="390"/>
      <c r="GL2" s="390"/>
      <c r="GM2" s="390"/>
      <c r="GO2" s="430" t="s">
        <v>2796</v>
      </c>
    </row>
    <row r="3" spans="1:207" ht="15" customHeight="1" x14ac:dyDescent="0.2">
      <c r="A3" s="264"/>
      <c r="B3" s="1132"/>
      <c r="C3" s="1132"/>
      <c r="D3" s="263"/>
      <c r="E3" s="265" t="s">
        <v>2797</v>
      </c>
      <c r="F3" s="1133">
        <f>'General Information'!$F$9</f>
        <v>0</v>
      </c>
      <c r="G3" s="1134"/>
      <c r="H3" s="260"/>
      <c r="I3" s="261"/>
      <c r="J3" s="262"/>
      <c r="K3" s="262"/>
      <c r="L3" s="262"/>
      <c r="M3" s="262"/>
      <c r="N3" s="262"/>
      <c r="O3" s="262"/>
      <c r="P3" s="262"/>
      <c r="Q3" s="262"/>
      <c r="R3" s="261"/>
      <c r="S3" s="262"/>
      <c r="T3" s="374"/>
      <c r="U3" s="374"/>
      <c r="V3" s="1137"/>
      <c r="W3" s="1137"/>
      <c r="X3" s="374"/>
      <c r="Y3" s="374"/>
      <c r="Z3" s="374"/>
      <c r="AA3" s="374"/>
      <c r="AB3" s="81"/>
      <c r="AC3" s="262"/>
      <c r="AD3" s="262"/>
      <c r="AE3" s="262"/>
      <c r="AF3" s="1142"/>
      <c r="AG3" s="1142"/>
      <c r="AH3" s="1142"/>
      <c r="AI3" s="1142"/>
      <c r="AJ3" s="1142"/>
      <c r="AK3" s="1142"/>
      <c r="AL3" s="1142"/>
      <c r="AM3" s="262"/>
      <c r="AN3" s="262"/>
      <c r="AP3" s="262"/>
      <c r="AQ3" s="262"/>
      <c r="AR3" s="262"/>
      <c r="AS3" s="262"/>
      <c r="AT3" s="262"/>
      <c r="AU3" s="81"/>
      <c r="AV3" s="262"/>
      <c r="AW3" s="262"/>
      <c r="AX3" s="262"/>
      <c r="AY3" s="85"/>
      <c r="AZ3" s="262"/>
      <c r="BA3" s="520"/>
      <c r="BB3" s="262"/>
      <c r="BC3" s="520"/>
      <c r="BD3" s="262"/>
      <c r="BE3" s="262"/>
      <c r="BF3" s="262"/>
      <c r="BG3" s="81"/>
      <c r="BH3" s="81"/>
      <c r="BI3" s="262"/>
      <c r="BJ3" s="81"/>
      <c r="BK3" s="81"/>
      <c r="BL3" s="262"/>
      <c r="BM3" s="520"/>
      <c r="BN3" s="520"/>
      <c r="BO3" s="520"/>
      <c r="BP3" s="81"/>
      <c r="BQ3" s="81"/>
      <c r="BR3" s="81"/>
      <c r="BS3" s="81"/>
      <c r="BT3" s="81"/>
      <c r="BU3" s="81"/>
      <c r="BV3" s="81"/>
      <c r="BW3" s="81"/>
      <c r="BX3" s="81"/>
      <c r="BY3" s="81"/>
      <c r="BZ3" s="81"/>
      <c r="CA3" s="81"/>
      <c r="CB3" s="262"/>
      <c r="CC3" s="262"/>
      <c r="CD3" s="262"/>
      <c r="CE3" s="81"/>
      <c r="CF3" s="81"/>
      <c r="CG3" s="366"/>
      <c r="CH3" s="98"/>
      <c r="CI3" s="98"/>
      <c r="CJ3" s="98"/>
      <c r="CK3" s="98"/>
      <c r="CL3" s="98"/>
      <c r="CM3" s="98"/>
      <c r="CN3" s="98"/>
      <c r="CO3" s="98"/>
      <c r="CP3" s="589"/>
      <c r="CQ3" s="98"/>
      <c r="CR3" s="100"/>
      <c r="CS3" s="98"/>
      <c r="CT3" s="98"/>
      <c r="CU3" s="98"/>
      <c r="CV3" s="98"/>
      <c r="CW3" s="98"/>
      <c r="CX3" s="98"/>
      <c r="CY3" s="98"/>
      <c r="CZ3" s="98"/>
      <c r="DA3" s="98"/>
      <c r="DB3" s="98"/>
      <c r="DC3" s="98"/>
      <c r="DD3" s="98"/>
      <c r="DE3" s="98"/>
      <c r="DF3" s="98"/>
      <c r="DG3" s="98"/>
      <c r="DH3" s="98"/>
      <c r="DI3" s="98"/>
      <c r="DJ3" s="98"/>
      <c r="DK3" s="98"/>
      <c r="DL3" s="98"/>
      <c r="DM3" s="98"/>
      <c r="DN3" s="98"/>
      <c r="DO3" s="100"/>
      <c r="DP3" s="98"/>
      <c r="DQ3" s="98"/>
      <c r="DR3" s="98"/>
      <c r="DS3" s="98"/>
      <c r="DT3" s="98"/>
      <c r="DU3" s="98"/>
      <c r="DV3" s="98"/>
      <c r="DW3" s="98"/>
      <c r="DX3" s="98"/>
      <c r="DY3" s="98"/>
      <c r="DZ3" s="98"/>
      <c r="EA3" s="98"/>
      <c r="EB3" s="98"/>
      <c r="EC3" s="98"/>
      <c r="ED3" s="98"/>
      <c r="EE3" s="98"/>
      <c r="EF3" s="98"/>
      <c r="EG3" s="98"/>
      <c r="EH3" s="98"/>
      <c r="EI3" s="98"/>
      <c r="EJ3" s="109"/>
      <c r="EK3" s="98"/>
      <c r="EL3" s="98"/>
      <c r="EM3" s="98"/>
      <c r="EN3" s="98"/>
      <c r="EO3" s="98"/>
      <c r="EP3" s="98"/>
      <c r="EQ3" s="98"/>
      <c r="ER3" s="98"/>
      <c r="ES3" s="98"/>
      <c r="ET3" s="98"/>
      <c r="EU3" s="98"/>
      <c r="EV3" s="98"/>
      <c r="EW3" s="98"/>
      <c r="EX3" s="98"/>
      <c r="EY3" s="98"/>
      <c r="EZ3" s="98"/>
      <c r="FA3" s="98"/>
      <c r="FB3" s="98"/>
      <c r="FC3" s="98"/>
      <c r="FD3" s="98"/>
      <c r="FF3" s="98"/>
      <c r="FG3" s="98"/>
      <c r="FH3" s="98"/>
      <c r="FI3" s="98"/>
      <c r="FJ3" s="98"/>
      <c r="FK3" s="98"/>
      <c r="FL3" s="98"/>
      <c r="FM3" s="98"/>
      <c r="FN3" s="98"/>
      <c r="FO3" s="98"/>
      <c r="FP3" s="98"/>
      <c r="FQ3" s="98"/>
      <c r="FR3" s="98"/>
      <c r="FS3" s="98"/>
      <c r="FT3" s="98"/>
      <c r="FU3" s="98"/>
      <c r="FV3" s="98"/>
      <c r="FW3" s="98"/>
      <c r="FX3" s="98"/>
      <c r="FY3" s="98"/>
      <c r="FZ3" s="98"/>
      <c r="GA3" s="98"/>
      <c r="GB3" s="98"/>
      <c r="GC3" s="98"/>
      <c r="GD3" s="98"/>
      <c r="GE3" s="98"/>
      <c r="GF3" s="98"/>
      <c r="GG3" s="98"/>
      <c r="GH3" s="98"/>
      <c r="GI3" s="98"/>
      <c r="GJ3" s="390"/>
      <c r="GK3" s="390"/>
      <c r="GL3" s="390"/>
      <c r="GM3" s="390"/>
      <c r="GO3" s="101" t="s">
        <v>2798</v>
      </c>
    </row>
    <row r="4" spans="1:207" ht="15" customHeight="1" x14ac:dyDescent="0.2">
      <c r="A4" s="264"/>
      <c r="B4" s="1132"/>
      <c r="C4" s="1132"/>
      <c r="D4" s="263"/>
      <c r="E4" s="265" t="s">
        <v>2799</v>
      </c>
      <c r="F4" s="1133">
        <f>'General Information'!$F$11</f>
        <v>0</v>
      </c>
      <c r="G4" s="1134"/>
      <c r="H4" s="260"/>
      <c r="I4" s="261"/>
      <c r="J4" s="262"/>
      <c r="K4" s="262"/>
      <c r="L4" s="262"/>
      <c r="M4" s="262"/>
      <c r="N4" s="262"/>
      <c r="O4" s="262"/>
      <c r="P4" s="262"/>
      <c r="Q4" s="262"/>
      <c r="R4" s="261"/>
      <c r="S4" s="262"/>
      <c r="T4" s="81"/>
      <c r="U4" s="81"/>
      <c r="V4" s="1137"/>
      <c r="W4" s="1137"/>
      <c r="X4" s="81"/>
      <c r="Y4" s="81"/>
      <c r="Z4" s="81"/>
      <c r="AA4" s="81"/>
      <c r="AB4" s="81"/>
      <c r="AC4" s="262"/>
      <c r="AD4" s="262"/>
      <c r="AE4" s="262"/>
      <c r="AF4" s="1142"/>
      <c r="AG4" s="1142"/>
      <c r="AH4" s="1142"/>
      <c r="AI4" s="1142"/>
      <c r="AJ4" s="1142"/>
      <c r="AK4" s="1142"/>
      <c r="AL4" s="1142"/>
      <c r="AM4" s="262"/>
      <c r="AN4" s="266"/>
      <c r="AO4" s="668"/>
      <c r="AP4" s="266"/>
      <c r="AQ4" s="266"/>
      <c r="AR4" s="266"/>
      <c r="AS4" s="266"/>
      <c r="AT4" s="262"/>
      <c r="AU4" s="81"/>
      <c r="AV4" s="262"/>
      <c r="AW4" s="262"/>
      <c r="AX4" s="262"/>
      <c r="AY4" s="85"/>
      <c r="AZ4" s="262"/>
      <c r="BA4" s="520"/>
      <c r="BB4" s="262"/>
      <c r="BC4" s="520"/>
      <c r="BD4" s="262"/>
      <c r="BE4" s="262"/>
      <c r="BF4" s="262"/>
      <c r="BG4" s="81"/>
      <c r="BH4" s="81"/>
      <c r="BI4" s="262"/>
      <c r="BJ4" s="81"/>
      <c r="BK4" s="81"/>
      <c r="BL4" s="262"/>
      <c r="BM4" s="520"/>
      <c r="BN4" s="520"/>
      <c r="BO4" s="520"/>
      <c r="BP4" s="81"/>
      <c r="BQ4" s="81"/>
      <c r="BR4" s="81"/>
      <c r="BS4" s="81"/>
      <c r="BT4" s="81"/>
      <c r="BU4" s="81"/>
      <c r="BV4" s="81"/>
      <c r="BW4" s="81"/>
      <c r="BX4" s="81"/>
      <c r="BY4" s="81"/>
      <c r="BZ4" s="81"/>
      <c r="CA4" s="81"/>
      <c r="CB4" s="262"/>
      <c r="CC4" s="262"/>
      <c r="CD4" s="262"/>
      <c r="CE4" s="81"/>
      <c r="CF4" s="81"/>
      <c r="CG4" s="366"/>
      <c r="CH4" s="98"/>
      <c r="CI4" s="98"/>
      <c r="CJ4" s="98"/>
      <c r="CK4" s="98"/>
      <c r="CL4" s="98"/>
      <c r="CM4" s="98"/>
      <c r="CN4" s="98"/>
      <c r="CO4" s="98"/>
      <c r="CP4" s="589"/>
      <c r="CQ4" s="98"/>
      <c r="CR4" s="100"/>
      <c r="CS4" s="98"/>
      <c r="CT4" s="98"/>
      <c r="CU4" s="98"/>
      <c r="CV4" s="98"/>
      <c r="CW4" s="98"/>
      <c r="CX4" s="98"/>
      <c r="CY4" s="98"/>
      <c r="CZ4" s="98"/>
      <c r="DA4" s="98"/>
      <c r="DB4" s="98"/>
      <c r="DC4" s="98"/>
      <c r="DD4" s="98"/>
      <c r="DE4" s="98"/>
      <c r="DF4" s="98"/>
      <c r="DG4" s="98"/>
      <c r="DH4" s="98"/>
      <c r="DI4" s="98"/>
      <c r="DJ4" s="98"/>
      <c r="DK4" s="98"/>
      <c r="DL4" s="98"/>
      <c r="DM4" s="98"/>
      <c r="DN4" s="98"/>
      <c r="DO4" s="100"/>
      <c r="DP4" s="98"/>
      <c r="DQ4" s="98"/>
      <c r="DR4" s="98"/>
      <c r="DS4" s="98"/>
      <c r="DT4" s="98"/>
      <c r="DU4" s="98"/>
      <c r="DV4" s="98"/>
      <c r="DW4" s="98"/>
      <c r="DX4" s="98"/>
      <c r="DY4" s="98"/>
      <c r="DZ4" s="98"/>
      <c r="EA4" s="98"/>
      <c r="EB4" s="98"/>
      <c r="EC4" s="98"/>
      <c r="ED4" s="98"/>
      <c r="EE4" s="98"/>
      <c r="EF4" s="98"/>
      <c r="EG4" s="98"/>
      <c r="EH4" s="98"/>
      <c r="EI4" s="98"/>
      <c r="EJ4" s="109"/>
      <c r="EK4" s="98"/>
      <c r="EL4" s="98"/>
      <c r="EM4" s="98"/>
      <c r="EN4" s="98"/>
      <c r="EO4" s="98"/>
      <c r="EP4" s="98"/>
      <c r="EQ4" s="98"/>
      <c r="ER4" s="98"/>
      <c r="ES4" s="98"/>
      <c r="ET4" s="98"/>
      <c r="EU4" s="98"/>
      <c r="EV4" s="98"/>
      <c r="EW4" s="98"/>
      <c r="EX4" s="98"/>
      <c r="EY4" s="98"/>
      <c r="EZ4" s="98"/>
      <c r="FA4" s="98"/>
      <c r="FB4" s="98"/>
      <c r="FC4" s="98"/>
      <c r="FD4" s="98"/>
      <c r="FF4" s="488"/>
      <c r="FG4" s="98"/>
      <c r="FH4" s="98"/>
      <c r="FI4" s="98"/>
      <c r="FJ4" s="98"/>
      <c r="FK4" s="98"/>
      <c r="FL4" s="98"/>
      <c r="FM4" s="98"/>
      <c r="FN4" s="98"/>
      <c r="FO4" s="98"/>
      <c r="FP4" s="98"/>
      <c r="FQ4" s="98"/>
      <c r="FR4" s="98"/>
      <c r="FS4" s="98"/>
      <c r="FT4" s="98"/>
      <c r="FU4" s="98"/>
      <c r="FV4" s="98"/>
      <c r="FW4" s="98"/>
      <c r="FX4" s="98"/>
      <c r="FY4" s="98"/>
      <c r="FZ4" s="98"/>
      <c r="GA4" s="98"/>
      <c r="GB4" s="98"/>
      <c r="GC4" s="98"/>
      <c r="GD4" s="98"/>
      <c r="GE4" s="98"/>
      <c r="GF4" s="98"/>
      <c r="GG4" s="98"/>
      <c r="GH4" s="98"/>
      <c r="GI4" s="98"/>
      <c r="GJ4" s="390"/>
      <c r="GK4" s="390"/>
      <c r="GL4" s="390"/>
      <c r="GM4" s="390"/>
      <c r="GO4" s="101">
        <f>'General Information'!F19</f>
        <v>0</v>
      </c>
    </row>
    <row r="5" spans="1:207" ht="15" customHeight="1" thickBot="1" x14ac:dyDescent="0.25">
      <c r="A5" s="264"/>
      <c r="B5" s="1132"/>
      <c r="C5" s="1132"/>
      <c r="D5" s="1130" t="s">
        <v>2800</v>
      </c>
      <c r="E5" s="1131"/>
      <c r="F5" s="481" t="str">
        <f>IF('General Information'!$F$16="", "", 'General Information'!$F$16)</f>
        <v/>
      </c>
      <c r="G5" s="260"/>
      <c r="H5" s="260"/>
      <c r="I5" s="261"/>
      <c r="J5" s="262"/>
      <c r="K5" s="262"/>
      <c r="L5" s="262"/>
      <c r="M5" s="262"/>
      <c r="N5" s="262"/>
      <c r="O5" s="262"/>
      <c r="P5" s="262"/>
      <c r="Q5" s="262"/>
      <c r="R5" s="261"/>
      <c r="S5" s="262"/>
      <c r="T5" s="81"/>
      <c r="U5" s="81"/>
      <c r="V5" s="1137"/>
      <c r="W5" s="1137"/>
      <c r="X5" s="81"/>
      <c r="Y5" s="81"/>
      <c r="Z5" s="81"/>
      <c r="AA5" s="81"/>
      <c r="AB5" s="81"/>
      <c r="AC5" s="262"/>
      <c r="AD5" s="262"/>
      <c r="AE5" s="262"/>
      <c r="AF5" s="1142"/>
      <c r="AG5" s="1142"/>
      <c r="AH5" s="1142"/>
      <c r="AI5" s="1142"/>
      <c r="AJ5" s="1142"/>
      <c r="AK5" s="1142"/>
      <c r="AL5" s="1142"/>
      <c r="AM5" s="262"/>
      <c r="AN5" s="262"/>
      <c r="AO5" s="673" t="s">
        <v>4581</v>
      </c>
      <c r="AP5" s="262"/>
      <c r="AQ5" s="262"/>
      <c r="AR5" s="262"/>
      <c r="AS5" s="262"/>
      <c r="AT5" s="262"/>
      <c r="AU5" s="81"/>
      <c r="AV5" s="262"/>
      <c r="AW5" s="262"/>
      <c r="AX5" s="262"/>
      <c r="AY5" s="85"/>
      <c r="AZ5" s="262"/>
      <c r="BA5" s="520"/>
      <c r="BB5" s="262"/>
      <c r="BC5" s="520"/>
      <c r="BD5" s="262"/>
      <c r="BE5" s="262"/>
      <c r="BF5" s="262"/>
      <c r="BG5" s="81"/>
      <c r="BH5" s="81"/>
      <c r="BI5" s="262"/>
      <c r="BJ5" s="81"/>
      <c r="BK5" s="81"/>
      <c r="BL5" s="262"/>
      <c r="BM5" s="520"/>
      <c r="BN5" s="520"/>
      <c r="BO5" s="520"/>
      <c r="BP5" s="81"/>
      <c r="BQ5" s="81"/>
      <c r="BR5" s="81"/>
      <c r="BS5" s="81"/>
      <c r="BT5" s="81"/>
      <c r="BU5" s="81"/>
      <c r="BV5" s="81"/>
      <c r="BW5" s="81"/>
      <c r="BX5" s="81"/>
      <c r="BY5" s="81"/>
      <c r="BZ5" s="81"/>
      <c r="CA5" s="81"/>
      <c r="CB5" s="262"/>
      <c r="CC5" s="262"/>
      <c r="CD5" s="262"/>
      <c r="CE5" s="81"/>
      <c r="CF5" s="81"/>
      <c r="CG5" s="366"/>
      <c r="CH5" s="98"/>
      <c r="CI5" s="98"/>
      <c r="CJ5" s="98"/>
      <c r="CK5" s="98"/>
      <c r="CL5" s="98"/>
      <c r="CM5" s="98"/>
      <c r="CN5" s="98"/>
      <c r="CO5" s="98"/>
      <c r="CP5" s="589"/>
      <c r="CQ5" s="98"/>
      <c r="CR5" s="100"/>
      <c r="CS5" s="98"/>
      <c r="CT5" s="98"/>
      <c r="CU5" s="98"/>
      <c r="CV5" s="98"/>
      <c r="CW5" s="98"/>
      <c r="CX5" s="98"/>
      <c r="CY5" s="98"/>
      <c r="CZ5" s="98"/>
      <c r="DA5" s="98"/>
      <c r="DB5" s="98"/>
      <c r="DC5" s="98"/>
      <c r="DD5" s="98"/>
      <c r="DE5" s="98"/>
      <c r="DF5" s="98"/>
      <c r="DG5" s="98"/>
      <c r="DH5" s="98"/>
      <c r="DI5" s="98"/>
      <c r="DJ5" s="98"/>
      <c r="DK5" s="98"/>
      <c r="DL5" s="98"/>
      <c r="DM5" s="98"/>
      <c r="DN5" s="98"/>
      <c r="DO5" s="100"/>
      <c r="DP5" s="98"/>
      <c r="DQ5" s="98"/>
      <c r="DR5" s="98"/>
      <c r="DS5" s="98"/>
      <c r="DT5" s="98"/>
      <c r="DU5" s="98"/>
      <c r="DV5" s="98"/>
      <c r="DW5" s="98"/>
      <c r="DX5" s="98"/>
      <c r="DY5" s="98"/>
      <c r="DZ5" s="98"/>
      <c r="EA5" s="98"/>
      <c r="EB5" s="98"/>
      <c r="EC5" s="98"/>
      <c r="ED5" s="98"/>
      <c r="EE5" s="98"/>
      <c r="EF5" s="98"/>
      <c r="EG5" s="98"/>
      <c r="EH5" s="98"/>
      <c r="EI5" s="98"/>
      <c r="EJ5" s="109"/>
      <c r="EK5" s="98"/>
      <c r="EL5" s="98"/>
      <c r="EM5" s="98"/>
      <c r="EN5" s="98"/>
      <c r="EO5" s="98"/>
      <c r="EP5" s="98"/>
      <c r="EQ5" s="98"/>
      <c r="ER5" s="98"/>
      <c r="ES5" s="98"/>
      <c r="ET5" s="98"/>
      <c r="EU5" s="98"/>
      <c r="EV5" s="98"/>
      <c r="EW5" s="98"/>
      <c r="EX5" s="98"/>
      <c r="EY5" s="98"/>
      <c r="EZ5" s="98"/>
      <c r="FA5" s="98"/>
      <c r="FB5" s="98"/>
      <c r="FC5" s="98"/>
      <c r="FD5" s="98"/>
      <c r="FF5" s="98"/>
      <c r="FG5" s="98"/>
      <c r="FH5" s="98"/>
      <c r="FI5" s="98"/>
      <c r="FJ5" s="98"/>
      <c r="FK5" s="98"/>
      <c r="FL5" s="98"/>
      <c r="FM5" s="98"/>
      <c r="FN5" s="98"/>
      <c r="FO5" s="98"/>
      <c r="FP5" s="98"/>
      <c r="FQ5" s="98"/>
      <c r="FR5" s="98"/>
      <c r="FS5" s="98"/>
      <c r="FT5" s="98"/>
      <c r="FU5" s="98"/>
      <c r="FV5" s="98"/>
      <c r="FW5" s="98"/>
      <c r="FX5" s="98"/>
      <c r="FY5" s="98"/>
      <c r="FZ5" s="98"/>
      <c r="GA5" s="98"/>
      <c r="GB5" s="98"/>
      <c r="GC5" s="98"/>
      <c r="GD5" s="98"/>
      <c r="GE5" s="98"/>
      <c r="GF5" s="98"/>
      <c r="GG5" s="98"/>
      <c r="GH5" s="98"/>
      <c r="GI5" s="98"/>
      <c r="GJ5" s="390"/>
      <c r="GK5" s="390"/>
      <c r="GL5" s="390"/>
      <c r="GM5" s="390"/>
    </row>
    <row r="6" spans="1:207" ht="14.25" customHeight="1" thickBot="1" x14ac:dyDescent="0.25">
      <c r="A6" s="264"/>
      <c r="B6" s="1132"/>
      <c r="C6" s="1132"/>
      <c r="D6" s="263"/>
      <c r="E6" s="260"/>
      <c r="F6" s="1141"/>
      <c r="G6" s="1141"/>
      <c r="H6" s="1141"/>
      <c r="I6" s="261"/>
      <c r="J6" s="262"/>
      <c r="K6" s="262"/>
      <c r="L6" s="262"/>
      <c r="M6" s="262"/>
      <c r="N6" s="262"/>
      <c r="O6" s="262"/>
      <c r="P6" s="262"/>
      <c r="Q6" s="262"/>
      <c r="R6" s="261"/>
      <c r="S6" s="262"/>
      <c r="T6" s="81"/>
      <c r="U6" s="81"/>
      <c r="V6" s="1138"/>
      <c r="W6" s="1138"/>
      <c r="X6" s="81"/>
      <c r="Y6" s="81"/>
      <c r="Z6" s="81"/>
      <c r="AA6" s="81"/>
      <c r="AB6" s="81"/>
      <c r="AC6" s="262"/>
      <c r="AD6" s="262"/>
      <c r="AE6" s="262"/>
      <c r="AF6" s="1143"/>
      <c r="AG6" s="1143"/>
      <c r="AH6" s="1143"/>
      <c r="AI6" s="1143"/>
      <c r="AJ6" s="1143"/>
      <c r="AK6" s="1143"/>
      <c r="AL6" s="1143"/>
      <c r="AM6" s="262"/>
      <c r="AN6" s="262"/>
      <c r="AP6" s="262"/>
      <c r="AQ6" s="262"/>
      <c r="AR6" s="678"/>
      <c r="AS6" s="262"/>
      <c r="AT6" s="262"/>
      <c r="AU6" s="81"/>
      <c r="AV6" s="262"/>
      <c r="AW6" s="262"/>
      <c r="AX6" s="262"/>
      <c r="AY6" s="85"/>
      <c r="AZ6" s="262"/>
      <c r="BA6" s="520"/>
      <c r="BB6" s="262"/>
      <c r="BC6" s="520"/>
      <c r="BD6" s="262"/>
      <c r="BE6" s="262"/>
      <c r="BF6" s="262"/>
      <c r="BG6" s="81"/>
      <c r="BH6" s="81"/>
      <c r="BI6" s="262"/>
      <c r="BJ6" s="81"/>
      <c r="BK6" s="81"/>
      <c r="BL6" s="262"/>
      <c r="BM6" s="520"/>
      <c r="BN6" s="520"/>
      <c r="BO6" s="520"/>
      <c r="BP6" s="81"/>
      <c r="BQ6" s="81"/>
      <c r="BR6" s="81"/>
      <c r="BS6" s="81"/>
      <c r="BT6" s="81"/>
      <c r="BU6" s="81"/>
      <c r="BV6" s="81"/>
      <c r="BW6" s="81"/>
      <c r="BX6" s="81"/>
      <c r="BY6" s="81"/>
      <c r="BZ6" s="81"/>
      <c r="CA6" s="81"/>
      <c r="CB6" s="262"/>
      <c r="CC6" s="262"/>
      <c r="CD6" s="262"/>
      <c r="CE6" s="81"/>
      <c r="CF6" s="81"/>
      <c r="CG6" s="366"/>
      <c r="CH6" s="98"/>
      <c r="CI6" s="102"/>
      <c r="CJ6" s="102"/>
      <c r="CK6" s="102"/>
      <c r="CL6" s="102"/>
      <c r="CM6" s="102"/>
      <c r="CN6" s="102"/>
      <c r="CO6" s="102"/>
      <c r="CP6" s="590"/>
      <c r="CQ6" s="102"/>
      <c r="CR6" s="100"/>
      <c r="CS6" s="553" t="s">
        <v>2801</v>
      </c>
      <c r="CT6" s="1107" t="s">
        <v>2802</v>
      </c>
      <c r="CU6" s="1107"/>
      <c r="CV6" s="1107" t="s">
        <v>2802</v>
      </c>
      <c r="CW6" s="1107"/>
      <c r="CX6" s="1107" t="s">
        <v>2803</v>
      </c>
      <c r="CY6" s="1107"/>
      <c r="CZ6" s="1107" t="s">
        <v>2804</v>
      </c>
      <c r="DA6" s="1107"/>
      <c r="DB6" s="1107" t="s">
        <v>2805</v>
      </c>
      <c r="DC6" s="1107"/>
      <c r="DD6" s="1107" t="s">
        <v>2806</v>
      </c>
      <c r="DE6" s="1107"/>
      <c r="DF6" s="1107" t="s">
        <v>2807</v>
      </c>
      <c r="DG6" s="1107"/>
      <c r="DH6" s="1107" t="s">
        <v>2808</v>
      </c>
      <c r="DI6" s="1107"/>
      <c r="DJ6" s="554" t="s">
        <v>2809</v>
      </c>
      <c r="DK6" s="1107" t="s">
        <v>2810</v>
      </c>
      <c r="DL6" s="1107"/>
      <c r="DM6" s="1107" t="s">
        <v>2811</v>
      </c>
      <c r="DN6" s="1108"/>
      <c r="DO6" s="100"/>
      <c r="DP6" s="553" t="s">
        <v>2801</v>
      </c>
      <c r="DQ6" s="1107" t="s">
        <v>2802</v>
      </c>
      <c r="DR6" s="1107"/>
      <c r="DS6" s="1111" t="s">
        <v>2802</v>
      </c>
      <c r="DT6" s="1111"/>
      <c r="DU6" s="1107" t="s">
        <v>2803</v>
      </c>
      <c r="DV6" s="1107"/>
      <c r="DW6" s="1107" t="s">
        <v>2804</v>
      </c>
      <c r="DX6" s="1107"/>
      <c r="DY6" s="1107" t="s">
        <v>2805</v>
      </c>
      <c r="DZ6" s="1107"/>
      <c r="EA6" s="554" t="s">
        <v>2806</v>
      </c>
      <c r="EB6" s="554" t="s">
        <v>2807</v>
      </c>
      <c r="EC6" s="1107" t="s">
        <v>2808</v>
      </c>
      <c r="ED6" s="1107"/>
      <c r="EE6" s="554" t="s">
        <v>2809</v>
      </c>
      <c r="EF6" s="1107" t="s">
        <v>2810</v>
      </c>
      <c r="EG6" s="1107"/>
      <c r="EH6" s="1107" t="s">
        <v>2811</v>
      </c>
      <c r="EI6" s="1108"/>
      <c r="EJ6" s="109"/>
      <c r="EK6" s="553" t="s">
        <v>2801</v>
      </c>
      <c r="EL6" s="1107" t="s">
        <v>2802</v>
      </c>
      <c r="EM6" s="1107"/>
      <c r="EN6" s="1111" t="s">
        <v>2802</v>
      </c>
      <c r="EO6" s="1111"/>
      <c r="EP6" s="1107" t="s">
        <v>2803</v>
      </c>
      <c r="EQ6" s="1107"/>
      <c r="ER6" s="1107" t="s">
        <v>2804</v>
      </c>
      <c r="ES6" s="1107"/>
      <c r="ET6" s="1107" t="s">
        <v>2805</v>
      </c>
      <c r="EU6" s="1107"/>
      <c r="EV6" s="554" t="s">
        <v>2806</v>
      </c>
      <c r="EW6" s="554" t="s">
        <v>2807</v>
      </c>
      <c r="EX6" s="1107" t="s">
        <v>2808</v>
      </c>
      <c r="EY6" s="1107"/>
      <c r="EZ6" s="554" t="s">
        <v>2809</v>
      </c>
      <c r="FA6" s="1107" t="s">
        <v>2810</v>
      </c>
      <c r="FB6" s="1107"/>
      <c r="FC6" s="1107" t="s">
        <v>2811</v>
      </c>
      <c r="FD6" s="1108"/>
      <c r="FF6" s="1109" t="s">
        <v>2801</v>
      </c>
      <c r="FG6" s="1110"/>
      <c r="FH6" s="568"/>
      <c r="FI6" s="1107" t="s">
        <v>2802</v>
      </c>
      <c r="FJ6" s="1107"/>
      <c r="FK6" s="1111" t="s">
        <v>2802</v>
      </c>
      <c r="FL6" s="1111"/>
      <c r="FM6" s="1107" t="s">
        <v>2803</v>
      </c>
      <c r="FN6" s="1107"/>
      <c r="FO6" s="1107" t="s">
        <v>2804</v>
      </c>
      <c r="FP6" s="1107"/>
      <c r="FQ6" s="1107" t="s">
        <v>2805</v>
      </c>
      <c r="FR6" s="1107"/>
      <c r="FS6" s="554" t="s">
        <v>2806</v>
      </c>
      <c r="FT6" s="554" t="s">
        <v>2807</v>
      </c>
      <c r="FU6" s="1107" t="s">
        <v>2808</v>
      </c>
      <c r="FV6" s="1107"/>
      <c r="FW6" s="554" t="s">
        <v>2809</v>
      </c>
      <c r="FX6" s="1107" t="s">
        <v>2810</v>
      </c>
      <c r="FY6" s="1107"/>
      <c r="FZ6" s="1107" t="s">
        <v>2811</v>
      </c>
      <c r="GA6" s="1108"/>
      <c r="GB6" s="1091" t="s">
        <v>2812</v>
      </c>
      <c r="GC6" s="1091" t="s">
        <v>2813</v>
      </c>
      <c r="GD6" s="1091" t="s">
        <v>2814</v>
      </c>
      <c r="GE6" s="1091" t="s">
        <v>2815</v>
      </c>
      <c r="GF6" s="1091" t="s">
        <v>2816</v>
      </c>
      <c r="GG6" s="1091" t="s">
        <v>2817</v>
      </c>
      <c r="GH6" s="1091" t="s">
        <v>2818</v>
      </c>
      <c r="GI6" s="1091" t="s">
        <v>2819</v>
      </c>
      <c r="GJ6" s="1098" t="s">
        <v>2820</v>
      </c>
      <c r="GK6" s="1098" t="s">
        <v>2821</v>
      </c>
      <c r="GL6" s="1098" t="s">
        <v>2822</v>
      </c>
      <c r="GM6" s="1098" t="s">
        <v>2823</v>
      </c>
      <c r="GO6" s="1146" t="s">
        <v>2824</v>
      </c>
      <c r="GP6" s="1146" t="s">
        <v>2825</v>
      </c>
      <c r="GQ6" s="1146" t="s">
        <v>2826</v>
      </c>
      <c r="GR6" s="1146" t="s">
        <v>2827</v>
      </c>
    </row>
    <row r="7" spans="1:207" ht="17.25" customHeight="1" thickBot="1" x14ac:dyDescent="0.25">
      <c r="A7" s="260"/>
      <c r="B7" s="260"/>
      <c r="C7" s="264"/>
      <c r="D7" s="1140" t="s">
        <v>2828</v>
      </c>
      <c r="E7" s="1140"/>
      <c r="F7" s="463" t="str">
        <f>IF(AND(COUNTIF(E11:E260, "=Exterior")&gt;0,'General Information'!F12=""),  "Please specify the FirstEnergy Operating Company on the General Information tab", "")</f>
        <v/>
      </c>
      <c r="G7" s="386"/>
      <c r="H7" s="387"/>
      <c r="I7" s="1135" t="s">
        <v>2829</v>
      </c>
      <c r="J7" s="1136"/>
      <c r="K7" s="1136"/>
      <c r="L7" s="1136"/>
      <c r="M7" s="1136"/>
      <c r="N7" s="1135" t="s">
        <v>2830</v>
      </c>
      <c r="O7" s="1136"/>
      <c r="P7" s="1136"/>
      <c r="Q7" s="1136"/>
      <c r="R7" s="1136"/>
      <c r="S7" s="1144" t="s">
        <v>2831</v>
      </c>
      <c r="T7" s="1145"/>
      <c r="U7" s="1145"/>
      <c r="V7" s="1145"/>
      <c r="W7" s="1145"/>
      <c r="X7" s="1145"/>
      <c r="Y7" s="1145"/>
      <c r="Z7" s="1145"/>
      <c r="AA7" s="1145"/>
      <c r="AB7" s="1145"/>
      <c r="AC7" s="1145"/>
      <c r="AD7" s="1145"/>
      <c r="AE7" s="1145"/>
      <c r="AF7" s="1145"/>
      <c r="AG7" s="1145"/>
      <c r="AH7" s="1145"/>
      <c r="AI7" s="1145"/>
      <c r="AJ7" s="1145"/>
      <c r="AK7" s="1145"/>
      <c r="AL7" s="1145"/>
      <c r="AM7" s="1145"/>
      <c r="AN7" s="1145"/>
      <c r="AO7" s="669"/>
      <c r="AP7" s="675"/>
      <c r="AQ7" s="675"/>
      <c r="AR7" s="676"/>
      <c r="AS7" s="262"/>
      <c r="AT7" s="267"/>
      <c r="AU7" s="87"/>
      <c r="AV7" s="267"/>
      <c r="AW7" s="267"/>
      <c r="AX7" s="267"/>
      <c r="AY7" s="86"/>
      <c r="AZ7" s="267"/>
      <c r="BA7" s="530"/>
      <c r="BB7" s="267"/>
      <c r="BC7" s="530"/>
      <c r="BD7" s="267"/>
      <c r="BE7" s="267"/>
      <c r="BF7" s="267"/>
      <c r="BG7" s="1125" t="s">
        <v>2832</v>
      </c>
      <c r="BH7" s="1126"/>
      <c r="BI7" s="267"/>
      <c r="BJ7" s="1125" t="s">
        <v>2833</v>
      </c>
      <c r="BK7" s="1126"/>
      <c r="BL7" s="268"/>
      <c r="BM7" s="1096" t="s">
        <v>2834</v>
      </c>
      <c r="BN7" s="1097"/>
      <c r="BO7" s="520"/>
      <c r="BP7" s="1125" t="s">
        <v>2835</v>
      </c>
      <c r="BQ7" s="1126"/>
      <c r="BR7" s="1098" t="s">
        <v>2836</v>
      </c>
      <c r="BS7" s="1098" t="s">
        <v>2837</v>
      </c>
      <c r="BT7" s="1098" t="s">
        <v>2838</v>
      </c>
      <c r="BU7" s="1098" t="s">
        <v>2839</v>
      </c>
      <c r="BV7" s="1098" t="s">
        <v>2840</v>
      </c>
      <c r="BW7" s="1098" t="s">
        <v>2841</v>
      </c>
      <c r="BX7" s="555"/>
      <c r="BY7" s="555"/>
      <c r="BZ7" s="555"/>
      <c r="CA7" s="555"/>
      <c r="CB7" s="267"/>
      <c r="CC7" s="267"/>
      <c r="CD7" s="267"/>
      <c r="CE7" s="81"/>
      <c r="CF7" s="81"/>
      <c r="CG7" s="366"/>
      <c r="CH7" s="98"/>
      <c r="CI7" s="102"/>
      <c r="CJ7" s="102"/>
      <c r="CK7" s="102"/>
      <c r="CL7" s="102"/>
      <c r="CM7" s="102"/>
      <c r="CN7" s="102"/>
      <c r="CO7" s="102"/>
      <c r="CP7" s="590"/>
      <c r="CQ7" s="102"/>
      <c r="CR7" s="100"/>
      <c r="CS7" s="462" t="str">
        <f>'Lookup Tables'!$Y$22</f>
        <v>Lighting Controls</v>
      </c>
      <c r="CT7" s="1088" t="s">
        <v>2842</v>
      </c>
      <c r="CU7" s="1089"/>
      <c r="CV7" s="1088" t="s">
        <v>2843</v>
      </c>
      <c r="CW7" s="1089"/>
      <c r="CX7" s="1088" t="str">
        <f>'Lookup Tables'!$Y$25</f>
        <v>LED Linear</v>
      </c>
      <c r="CY7" s="1089"/>
      <c r="CZ7" s="1088" t="str">
        <f>'Lookup Tables'!$Y$26</f>
        <v>LED Channel Signage</v>
      </c>
      <c r="DA7" s="1089"/>
      <c r="DB7" s="1088" t="str">
        <f>'Lookup Tables'!$Y$27</f>
        <v>Exit Signs</v>
      </c>
      <c r="DC7" s="1089"/>
      <c r="DD7" s="1088" t="str">
        <f>'Lookup Tables'!$Y$28</f>
        <v>LED Fixture - External</v>
      </c>
      <c r="DE7" s="1089"/>
      <c r="DF7" s="1088" t="str">
        <f>'Lookup Tables'!$Y$29</f>
        <v>LED Fixture - Internal</v>
      </c>
      <c r="DG7" s="1089"/>
      <c r="DH7" s="1112" t="e">
        <f>IF('General Information'!#REF!&gt;=DATE(2020, 1, 1), "LED Lamps (Post 2020)", "LED Lamps")</f>
        <v>#REF!</v>
      </c>
      <c r="DI7" s="1108"/>
      <c r="DJ7" s="1091" t="str">
        <f>'Lookup Tables'!Y32</f>
        <v>LED Reach-in Refrigerator/Freezer Lights</v>
      </c>
      <c r="DK7" s="1088" t="str">
        <f>'Lookup Tables'!$Y$33</f>
        <v>Street &amp; Area Lighting</v>
      </c>
      <c r="DL7" s="1090"/>
      <c r="DM7" s="1088" t="str">
        <f>'Lookup Tables'!$Y$34</f>
        <v>Custom - Process Improvement</v>
      </c>
      <c r="DN7" s="1090"/>
      <c r="DO7" s="100"/>
      <c r="DP7" s="462" t="str">
        <f>'Lookup Tables'!$Y$22</f>
        <v>Lighting Controls</v>
      </c>
      <c r="DQ7" s="1088" t="s">
        <v>2842</v>
      </c>
      <c r="DR7" s="1089"/>
      <c r="DS7" s="1088" t="s">
        <v>2843</v>
      </c>
      <c r="DT7" s="1089"/>
      <c r="DU7" s="1088" t="str">
        <f>'Lookup Tables'!$Y$25</f>
        <v>LED Linear</v>
      </c>
      <c r="DV7" s="1089"/>
      <c r="DW7" s="1088" t="str">
        <f>'Lookup Tables'!$Y$26</f>
        <v>LED Channel Signage</v>
      </c>
      <c r="DX7" s="1089"/>
      <c r="DY7" s="1088" t="str">
        <f>'Lookup Tables'!$Y$27</f>
        <v>Exit Signs</v>
      </c>
      <c r="DZ7" s="1089"/>
      <c r="EA7" s="462" t="str">
        <f>'Lookup Tables'!$Y$28</f>
        <v>LED Fixture - External</v>
      </c>
      <c r="EB7" s="462" t="str">
        <f>'Lookup Tables'!$Y$29</f>
        <v>LED Fixture - Internal</v>
      </c>
      <c r="EC7" s="1112" t="e">
        <f>IF('General Information'!#REF!&gt;=DATE(2020, 1, 1), "LED Lamps (Post 2020)", "LED Lamps")</f>
        <v>#REF!</v>
      </c>
      <c r="ED7" s="1108"/>
      <c r="EE7" s="1091" t="str">
        <f>'Lookup Tables'!$Y$32</f>
        <v>LED Reach-in Refrigerator/Freezer Lights</v>
      </c>
      <c r="EF7" s="1088" t="str">
        <f>'Lookup Tables'!$Y$33</f>
        <v>Street &amp; Area Lighting</v>
      </c>
      <c r="EG7" s="1090"/>
      <c r="EH7" s="1088" t="str">
        <f>'Lookup Tables'!$Y$34</f>
        <v>Custom - Process Improvement</v>
      </c>
      <c r="EI7" s="1090"/>
      <c r="EJ7" s="109"/>
      <c r="EK7" s="462" t="str">
        <f>'Lookup Tables'!$Y$22</f>
        <v>Lighting Controls</v>
      </c>
      <c r="EL7" s="1088" t="s">
        <v>2842</v>
      </c>
      <c r="EM7" s="1089"/>
      <c r="EN7" s="1088" t="s">
        <v>2843</v>
      </c>
      <c r="EO7" s="1089"/>
      <c r="EP7" s="1088" t="str">
        <f>'Lookup Tables'!$Y$25</f>
        <v>LED Linear</v>
      </c>
      <c r="EQ7" s="1089"/>
      <c r="ER7" s="1088" t="str">
        <f>'Lookup Tables'!$Y$26</f>
        <v>LED Channel Signage</v>
      </c>
      <c r="ES7" s="1089"/>
      <c r="ET7" s="1088" t="str">
        <f>'Lookup Tables'!$Y$27</f>
        <v>Exit Signs</v>
      </c>
      <c r="EU7" s="1089"/>
      <c r="EV7" s="462" t="str">
        <f>'Lookup Tables'!$Y$28</f>
        <v>LED Fixture - External</v>
      </c>
      <c r="EW7" s="462" t="str">
        <f>'Lookup Tables'!$Y$29</f>
        <v>LED Fixture - Internal</v>
      </c>
      <c r="EX7" s="1112" t="e">
        <f>IF('General Information'!#REF!&gt;=DATE(2020, 1, 1), "LED Lamps (Post 2020)", "LED Lamps")</f>
        <v>#REF!</v>
      </c>
      <c r="EY7" s="1108"/>
      <c r="EZ7" s="1091" t="s">
        <v>2844</v>
      </c>
      <c r="FA7" s="1088" t="str">
        <f>'Lookup Tables'!$Y$33</f>
        <v>Street &amp; Area Lighting</v>
      </c>
      <c r="FB7" s="1090"/>
      <c r="FC7" s="1088" t="str">
        <f>'Lookup Tables'!$Y$34</f>
        <v>Custom - Process Improvement</v>
      </c>
      <c r="FD7" s="1090"/>
      <c r="FF7" s="1088" t="str">
        <f>'Lookup Tables'!$Y$22</f>
        <v>Lighting Controls</v>
      </c>
      <c r="FG7" s="1089"/>
      <c r="FH7" s="1090"/>
      <c r="FI7" s="1088" t="s">
        <v>2842</v>
      </c>
      <c r="FJ7" s="1089"/>
      <c r="FK7" s="1088" t="s">
        <v>2843</v>
      </c>
      <c r="FL7" s="1089"/>
      <c r="FM7" s="1088" t="str">
        <f>'Lookup Tables'!$Y$25</f>
        <v>LED Linear</v>
      </c>
      <c r="FN7" s="1089"/>
      <c r="FO7" s="1088" t="str">
        <f>'Lookup Tables'!$Y$26</f>
        <v>LED Channel Signage</v>
      </c>
      <c r="FP7" s="1089"/>
      <c r="FQ7" s="1088" t="str">
        <f>'Lookup Tables'!$Y$27</f>
        <v>Exit Signs</v>
      </c>
      <c r="FR7" s="1089"/>
      <c r="FS7" s="462" t="str">
        <f>'Lookup Tables'!$Y$28</f>
        <v>LED Fixture - External</v>
      </c>
      <c r="FT7" s="462" t="str">
        <f>'Lookup Tables'!$Y$29</f>
        <v>LED Fixture - Internal</v>
      </c>
      <c r="FU7" s="1112" t="e">
        <f>IF('General Information'!#REF!&gt;=DATE(2020, 1, 1), "LED Lamps (Post 2020)", "LED Lamps")</f>
        <v>#REF!</v>
      </c>
      <c r="FV7" s="1108"/>
      <c r="FW7" s="1091" t="str">
        <f>'Lookup Tables'!$Y$32</f>
        <v>LED Reach-in Refrigerator/Freezer Lights</v>
      </c>
      <c r="FX7" s="1088" t="str">
        <f>'Lookup Tables'!$Y$33</f>
        <v>Street &amp; Area Lighting</v>
      </c>
      <c r="FY7" s="1090"/>
      <c r="FZ7" s="1088" t="str">
        <f>'Lookup Tables'!$Y$34</f>
        <v>Custom - Process Improvement</v>
      </c>
      <c r="GA7" s="1089"/>
      <c r="GB7" s="1147"/>
      <c r="GC7" s="1147"/>
      <c r="GD7" s="1147"/>
      <c r="GE7" s="1147"/>
      <c r="GF7" s="1147"/>
      <c r="GG7" s="1147"/>
      <c r="GH7" s="1147"/>
      <c r="GI7" s="1147"/>
      <c r="GJ7" s="1099"/>
      <c r="GK7" s="1099"/>
      <c r="GL7" s="1099"/>
      <c r="GM7" s="1099"/>
      <c r="GO7" s="1146"/>
      <c r="GP7" s="1146"/>
      <c r="GQ7" s="1146"/>
      <c r="GR7" s="1146"/>
    </row>
    <row r="8" spans="1:207" ht="41.25" customHeight="1" x14ac:dyDescent="0.2">
      <c r="A8" s="1113" t="s">
        <v>2845</v>
      </c>
      <c r="B8" s="1113" t="s">
        <v>2846</v>
      </c>
      <c r="C8" s="1118" t="s">
        <v>61</v>
      </c>
      <c r="D8" s="1118" t="s">
        <v>63</v>
      </c>
      <c r="E8" s="1113" t="s">
        <v>2847</v>
      </c>
      <c r="F8" s="1113" t="s">
        <v>2848</v>
      </c>
      <c r="G8" s="1113" t="s">
        <v>2849</v>
      </c>
      <c r="H8" s="1113" t="s">
        <v>2850</v>
      </c>
      <c r="I8" s="1113" t="s">
        <v>2851</v>
      </c>
      <c r="J8" s="1113" t="s">
        <v>2852</v>
      </c>
      <c r="K8" s="1113" t="s">
        <v>2853</v>
      </c>
      <c r="L8" s="1113" t="s">
        <v>2854</v>
      </c>
      <c r="M8" s="1113" t="s">
        <v>2855</v>
      </c>
      <c r="N8" s="1115" t="str">
        <f>IF(OR(F5="",F5="Not Applicable"),"New Construction Space/Building Type",IF(F5="Space-by-Space","New Construction Space Type","New Construction Building Type"))</f>
        <v>New Construction Space/Building Type</v>
      </c>
      <c r="O8" s="1119" t="s">
        <v>2856</v>
      </c>
      <c r="P8" s="1120"/>
      <c r="Q8" s="1115" t="s">
        <v>2857</v>
      </c>
      <c r="R8" s="1115" t="s">
        <v>92</v>
      </c>
      <c r="S8" s="1113" t="s">
        <v>2858</v>
      </c>
      <c r="T8" s="1113" t="s">
        <v>2859</v>
      </c>
      <c r="U8" s="1113" t="s">
        <v>4552</v>
      </c>
      <c r="V8" s="1113" t="s">
        <v>2860</v>
      </c>
      <c r="W8" s="1113" t="s">
        <v>2861</v>
      </c>
      <c r="X8" s="1113" t="s">
        <v>2862</v>
      </c>
      <c r="Y8" s="1113" t="s">
        <v>2647</v>
      </c>
      <c r="Z8" s="1113" t="s">
        <v>2863</v>
      </c>
      <c r="AA8" s="482" t="s">
        <v>2864</v>
      </c>
      <c r="AB8" s="1113" t="s">
        <v>2865</v>
      </c>
      <c r="AC8" s="1113" t="s">
        <v>2866</v>
      </c>
      <c r="AD8" s="1113" t="s">
        <v>102</v>
      </c>
      <c r="AE8" s="1113" t="s">
        <v>104</v>
      </c>
      <c r="AF8" s="1113" t="s">
        <v>106</v>
      </c>
      <c r="AG8" s="1113" t="s">
        <v>2867</v>
      </c>
      <c r="AH8" s="1113" t="s">
        <v>2868</v>
      </c>
      <c r="AI8" s="1113" t="s">
        <v>2869</v>
      </c>
      <c r="AJ8" s="1113" t="s">
        <v>2870</v>
      </c>
      <c r="AK8" s="1113" t="s">
        <v>114</v>
      </c>
      <c r="AL8" s="1113" t="s">
        <v>116</v>
      </c>
      <c r="AM8" s="1113" t="s">
        <v>2871</v>
      </c>
      <c r="AN8" s="1113" t="s">
        <v>2872</v>
      </c>
      <c r="AO8" s="1127" t="s">
        <v>4540</v>
      </c>
      <c r="AP8" s="482" t="s">
        <v>123</v>
      </c>
      <c r="AQ8" s="482" t="s">
        <v>125</v>
      </c>
      <c r="AR8" s="1113" t="s">
        <v>2873</v>
      </c>
      <c r="AS8" s="1113" t="s">
        <v>2874</v>
      </c>
      <c r="AT8" s="1113" t="s">
        <v>2875</v>
      </c>
      <c r="AU8" s="1113" t="s">
        <v>2876</v>
      </c>
      <c r="AV8" s="1113" t="s">
        <v>129</v>
      </c>
      <c r="AW8" s="1113" t="s">
        <v>2877</v>
      </c>
      <c r="AX8" s="1113" t="s">
        <v>2878</v>
      </c>
      <c r="AY8" s="1113" t="s">
        <v>2879</v>
      </c>
      <c r="AZ8" s="1113" t="s">
        <v>2880</v>
      </c>
      <c r="BA8" s="1121" t="s">
        <v>2881</v>
      </c>
      <c r="BB8" s="1113" t="s">
        <v>2882</v>
      </c>
      <c r="BC8" s="1121" t="s">
        <v>2883</v>
      </c>
      <c r="BD8" s="1113" t="s">
        <v>2884</v>
      </c>
      <c r="BE8" s="1113" t="s">
        <v>138</v>
      </c>
      <c r="BF8" s="1113" t="s">
        <v>140</v>
      </c>
      <c r="BG8" s="1113" t="s">
        <v>2885</v>
      </c>
      <c r="BH8" s="1113" t="s">
        <v>2886</v>
      </c>
      <c r="BI8" s="1113" t="s">
        <v>2887</v>
      </c>
      <c r="BJ8" s="1113" t="s">
        <v>2888</v>
      </c>
      <c r="BK8" s="1113" t="s">
        <v>2889</v>
      </c>
      <c r="BL8" s="1113" t="s">
        <v>2890</v>
      </c>
      <c r="BM8" s="1121" t="s">
        <v>2888</v>
      </c>
      <c r="BN8" s="1121" t="s">
        <v>2889</v>
      </c>
      <c r="BO8" s="1121" t="s">
        <v>2891</v>
      </c>
      <c r="BP8" s="1098" t="s">
        <v>2892</v>
      </c>
      <c r="BQ8" s="1098" t="s">
        <v>2893</v>
      </c>
      <c r="BR8" s="1099"/>
      <c r="BS8" s="1099"/>
      <c r="BT8" s="1099"/>
      <c r="BU8" s="1099"/>
      <c r="BV8" s="1099"/>
      <c r="BW8" s="1099"/>
      <c r="BX8" s="556" t="s">
        <v>2894</v>
      </c>
      <c r="BY8" s="556" t="s">
        <v>2895</v>
      </c>
      <c r="BZ8" s="556" t="s">
        <v>2896</v>
      </c>
      <c r="CA8" s="556" t="s">
        <v>2897</v>
      </c>
      <c r="CB8" s="1123" t="s">
        <v>143</v>
      </c>
      <c r="CC8" s="1103" t="s">
        <v>2825</v>
      </c>
      <c r="CD8" s="1093" t="s">
        <v>145</v>
      </c>
      <c r="CE8" s="1093" t="s">
        <v>2898</v>
      </c>
      <c r="CF8" s="1101" t="s">
        <v>2899</v>
      </c>
      <c r="CG8" s="366"/>
      <c r="CH8" s="1091" t="s">
        <v>2900</v>
      </c>
      <c r="CI8" s="1091" t="s">
        <v>2901</v>
      </c>
      <c r="CJ8" s="1091" t="s">
        <v>2902</v>
      </c>
      <c r="CK8" s="1091" t="s">
        <v>2903</v>
      </c>
      <c r="CL8" s="1091" t="s">
        <v>96</v>
      </c>
      <c r="CM8" s="1091" t="s">
        <v>2904</v>
      </c>
      <c r="CN8" s="1091" t="s">
        <v>130</v>
      </c>
      <c r="CO8" s="1091" t="s">
        <v>2905</v>
      </c>
      <c r="CP8" s="1105" t="s">
        <v>2906</v>
      </c>
      <c r="CQ8" s="587" t="s">
        <v>4563</v>
      </c>
      <c r="CR8" s="100"/>
      <c r="CS8" s="239" t="s">
        <v>2907</v>
      </c>
      <c r="CT8" s="239" t="s">
        <v>2908</v>
      </c>
      <c r="CU8" s="240" t="s">
        <v>2909</v>
      </c>
      <c r="CV8" s="239" t="s">
        <v>2908</v>
      </c>
      <c r="CW8" s="238" t="s">
        <v>2909</v>
      </c>
      <c r="CX8" s="239" t="s">
        <v>2908</v>
      </c>
      <c r="CY8" s="238" t="s">
        <v>2909</v>
      </c>
      <c r="CZ8" s="239" t="s">
        <v>2908</v>
      </c>
      <c r="DA8" s="239" t="s">
        <v>2909</v>
      </c>
      <c r="DB8" s="239" t="s">
        <v>2908</v>
      </c>
      <c r="DC8" s="239" t="s">
        <v>2909</v>
      </c>
      <c r="DD8" s="239" t="s">
        <v>2908</v>
      </c>
      <c r="DE8" s="238" t="s">
        <v>2909</v>
      </c>
      <c r="DF8" s="239" t="s">
        <v>2908</v>
      </c>
      <c r="DG8" s="239" t="s">
        <v>2909</v>
      </c>
      <c r="DH8" s="241" t="s">
        <v>2908</v>
      </c>
      <c r="DI8" s="241" t="s">
        <v>2909</v>
      </c>
      <c r="DJ8" s="1092"/>
      <c r="DK8" s="239" t="s">
        <v>2908</v>
      </c>
      <c r="DL8" s="242" t="s">
        <v>2909</v>
      </c>
      <c r="DM8" s="239" t="s">
        <v>2908</v>
      </c>
      <c r="DN8" s="242" t="s">
        <v>2909</v>
      </c>
      <c r="DO8" s="100"/>
      <c r="DP8" s="239" t="s">
        <v>2907</v>
      </c>
      <c r="DQ8" s="239" t="s">
        <v>2908</v>
      </c>
      <c r="DR8" s="240" t="s">
        <v>2909</v>
      </c>
      <c r="DS8" s="239" t="s">
        <v>2908</v>
      </c>
      <c r="DT8" s="238" t="s">
        <v>2909</v>
      </c>
      <c r="DU8" s="239" t="s">
        <v>2908</v>
      </c>
      <c r="DV8" s="238" t="s">
        <v>2909</v>
      </c>
      <c r="DW8" s="239" t="s">
        <v>2908</v>
      </c>
      <c r="DX8" s="239" t="s">
        <v>2909</v>
      </c>
      <c r="DY8" s="239" t="s">
        <v>2908</v>
      </c>
      <c r="DZ8" s="239" t="s">
        <v>2909</v>
      </c>
      <c r="EA8" s="239" t="s">
        <v>2909</v>
      </c>
      <c r="EB8" s="239" t="s">
        <v>2908</v>
      </c>
      <c r="EC8" s="241" t="s">
        <v>2908</v>
      </c>
      <c r="ED8" s="241" t="s">
        <v>2909</v>
      </c>
      <c r="EE8" s="1092"/>
      <c r="EF8" s="239" t="s">
        <v>2908</v>
      </c>
      <c r="EG8" s="242" t="s">
        <v>2909</v>
      </c>
      <c r="EH8" s="239" t="s">
        <v>2908</v>
      </c>
      <c r="EI8" s="242" t="s">
        <v>2909</v>
      </c>
      <c r="EJ8" s="109"/>
      <c r="EK8" s="239" t="s">
        <v>2907</v>
      </c>
      <c r="EL8" s="239" t="s">
        <v>2908</v>
      </c>
      <c r="EM8" s="240" t="s">
        <v>2909</v>
      </c>
      <c r="EN8" s="239" t="s">
        <v>2908</v>
      </c>
      <c r="EO8" s="238" t="s">
        <v>2909</v>
      </c>
      <c r="EP8" s="239" t="s">
        <v>2908</v>
      </c>
      <c r="EQ8" s="238" t="s">
        <v>2909</v>
      </c>
      <c r="ER8" s="239" t="s">
        <v>2908</v>
      </c>
      <c r="ES8" s="239" t="s">
        <v>2909</v>
      </c>
      <c r="ET8" s="239" t="s">
        <v>2908</v>
      </c>
      <c r="EU8" s="239" t="s">
        <v>2909</v>
      </c>
      <c r="EV8" s="239" t="s">
        <v>2909</v>
      </c>
      <c r="EW8" s="239" t="s">
        <v>2908</v>
      </c>
      <c r="EX8" s="241" t="s">
        <v>2908</v>
      </c>
      <c r="EY8" s="241" t="s">
        <v>2909</v>
      </c>
      <c r="EZ8" s="1092"/>
      <c r="FA8" s="239" t="s">
        <v>2908</v>
      </c>
      <c r="FB8" s="242" t="s">
        <v>2909</v>
      </c>
      <c r="FC8" s="239" t="s">
        <v>2908</v>
      </c>
      <c r="FD8" s="242" t="s">
        <v>2909</v>
      </c>
      <c r="FF8" s="239" t="s">
        <v>2907</v>
      </c>
      <c r="FG8" s="665" t="s">
        <v>2909</v>
      </c>
      <c r="FH8" s="665" t="s">
        <v>4543</v>
      </c>
      <c r="FI8" s="239" t="s">
        <v>2908</v>
      </c>
      <c r="FJ8" s="240" t="s">
        <v>2909</v>
      </c>
      <c r="FK8" s="239" t="s">
        <v>2908</v>
      </c>
      <c r="FL8" s="238" t="s">
        <v>2909</v>
      </c>
      <c r="FM8" s="239" t="s">
        <v>2908</v>
      </c>
      <c r="FN8" s="238" t="s">
        <v>2909</v>
      </c>
      <c r="FO8" s="239" t="s">
        <v>2908</v>
      </c>
      <c r="FP8" s="239" t="s">
        <v>2909</v>
      </c>
      <c r="FQ8" s="239" t="s">
        <v>2908</v>
      </c>
      <c r="FR8" s="239" t="s">
        <v>2909</v>
      </c>
      <c r="FS8" s="239" t="s">
        <v>2909</v>
      </c>
      <c r="FT8" s="239" t="s">
        <v>2908</v>
      </c>
      <c r="FU8" s="241" t="s">
        <v>2908</v>
      </c>
      <c r="FV8" s="241" t="s">
        <v>2909</v>
      </c>
      <c r="FW8" s="1092"/>
      <c r="FX8" s="239" t="s">
        <v>2908</v>
      </c>
      <c r="FY8" s="242" t="s">
        <v>2909</v>
      </c>
      <c r="FZ8" s="239" t="s">
        <v>2908</v>
      </c>
      <c r="GA8" s="238" t="s">
        <v>2909</v>
      </c>
      <c r="GB8" s="1147"/>
      <c r="GC8" s="1147"/>
      <c r="GD8" s="1147"/>
      <c r="GE8" s="1147"/>
      <c r="GF8" s="1147"/>
      <c r="GG8" s="1147"/>
      <c r="GH8" s="1147"/>
      <c r="GI8" s="1147"/>
      <c r="GJ8" s="1099"/>
      <c r="GK8" s="1099"/>
      <c r="GL8" s="1099"/>
      <c r="GM8" s="1099"/>
      <c r="GO8" s="1146"/>
      <c r="GP8" s="1146"/>
      <c r="GQ8" s="1146"/>
      <c r="GR8" s="1146"/>
    </row>
    <row r="9" spans="1:207" ht="17.25" customHeight="1" thickBot="1" x14ac:dyDescent="0.25">
      <c r="A9" s="1114"/>
      <c r="B9" s="1117"/>
      <c r="C9" s="1117"/>
      <c r="D9" s="1117"/>
      <c r="E9" s="1114"/>
      <c r="F9" s="1117"/>
      <c r="G9" s="1117"/>
      <c r="H9" s="1114"/>
      <c r="I9" s="1114"/>
      <c r="J9" s="1114"/>
      <c r="K9" s="1114"/>
      <c r="L9" s="1114"/>
      <c r="M9" s="1114"/>
      <c r="N9" s="1116"/>
      <c r="O9" s="440" t="s">
        <v>2910</v>
      </c>
      <c r="P9" s="441" t="s">
        <v>88</v>
      </c>
      <c r="Q9" s="1116"/>
      <c r="R9" s="1116"/>
      <c r="S9" s="1114"/>
      <c r="T9" s="1114"/>
      <c r="U9" s="1114"/>
      <c r="V9" s="1114"/>
      <c r="W9" s="1114"/>
      <c r="X9" s="1114"/>
      <c r="Y9" s="1114"/>
      <c r="Z9" s="1114"/>
      <c r="AA9" s="483"/>
      <c r="AB9" s="1114"/>
      <c r="AC9" s="1114"/>
      <c r="AD9" s="1114"/>
      <c r="AE9" s="1114"/>
      <c r="AF9" s="1114"/>
      <c r="AG9" s="1114"/>
      <c r="AH9" s="1114"/>
      <c r="AI9" s="1114"/>
      <c r="AJ9" s="1114"/>
      <c r="AK9" s="1114"/>
      <c r="AL9" s="1114"/>
      <c r="AM9" s="1114"/>
      <c r="AN9" s="1114"/>
      <c r="AO9" s="1128"/>
      <c r="AP9" s="483"/>
      <c r="AQ9" s="483"/>
      <c r="AR9" s="1114"/>
      <c r="AS9" s="1114"/>
      <c r="AT9" s="1114"/>
      <c r="AU9" s="1114"/>
      <c r="AV9" s="1114"/>
      <c r="AW9" s="1114"/>
      <c r="AX9" s="1114"/>
      <c r="AY9" s="1114"/>
      <c r="AZ9" s="1114"/>
      <c r="BA9" s="1122"/>
      <c r="BB9" s="1114"/>
      <c r="BC9" s="1122"/>
      <c r="BD9" s="1114"/>
      <c r="BE9" s="1114"/>
      <c r="BF9" s="1114"/>
      <c r="BG9" s="1114"/>
      <c r="BH9" s="1114"/>
      <c r="BI9" s="1114"/>
      <c r="BJ9" s="1114"/>
      <c r="BK9" s="1114"/>
      <c r="BL9" s="1114"/>
      <c r="BM9" s="1122"/>
      <c r="BN9" s="1122"/>
      <c r="BO9" s="1122"/>
      <c r="BP9" s="1100"/>
      <c r="BQ9" s="1100"/>
      <c r="BR9" s="1100"/>
      <c r="BS9" s="1100"/>
      <c r="BT9" s="1100"/>
      <c r="BU9" s="1100"/>
      <c r="BV9" s="1100"/>
      <c r="BW9" s="1100"/>
      <c r="BX9" s="557"/>
      <c r="BY9" s="557"/>
      <c r="BZ9" s="557"/>
      <c r="CA9" s="557"/>
      <c r="CB9" s="1124"/>
      <c r="CC9" s="1104"/>
      <c r="CD9" s="1094"/>
      <c r="CE9" s="1094"/>
      <c r="CF9" s="1102"/>
      <c r="CG9" s="366"/>
      <c r="CH9" s="1095"/>
      <c r="CI9" s="1095"/>
      <c r="CJ9" s="1095"/>
      <c r="CK9" s="1095"/>
      <c r="CL9" s="1095"/>
      <c r="CM9" s="1095"/>
      <c r="CN9" s="1095"/>
      <c r="CO9" s="1095"/>
      <c r="CP9" s="1106"/>
      <c r="CQ9" s="587"/>
      <c r="CR9" s="100"/>
      <c r="CS9" s="245" t="s">
        <v>2911</v>
      </c>
      <c r="CT9" s="245" t="s">
        <v>2911</v>
      </c>
      <c r="CU9" s="245" t="s">
        <v>2911</v>
      </c>
      <c r="CV9" s="244" t="s">
        <v>2911</v>
      </c>
      <c r="CW9" s="244" t="s">
        <v>2911</v>
      </c>
      <c r="CX9" s="246" t="s">
        <v>2911</v>
      </c>
      <c r="CY9" s="244" t="s">
        <v>2911</v>
      </c>
      <c r="CZ9" s="244" t="s">
        <v>2911</v>
      </c>
      <c r="DA9" s="244" t="s">
        <v>2911</v>
      </c>
      <c r="DB9" s="244" t="s">
        <v>2911</v>
      </c>
      <c r="DC9" s="244" t="s">
        <v>2911</v>
      </c>
      <c r="DD9" s="244" t="s">
        <v>2911</v>
      </c>
      <c r="DE9" s="244" t="s">
        <v>2911</v>
      </c>
      <c r="DF9" s="244" t="s">
        <v>2911</v>
      </c>
      <c r="DG9" s="244" t="s">
        <v>2911</v>
      </c>
      <c r="DH9" s="244" t="s">
        <v>2911</v>
      </c>
      <c r="DI9" s="244" t="s">
        <v>2911</v>
      </c>
      <c r="DJ9" s="244" t="s">
        <v>2911</v>
      </c>
      <c r="DK9" s="244" t="s">
        <v>2911</v>
      </c>
      <c r="DL9" s="244" t="s">
        <v>2911</v>
      </c>
      <c r="DM9" s="244" t="s">
        <v>2911</v>
      </c>
      <c r="DN9" s="244" t="s">
        <v>2911</v>
      </c>
      <c r="DO9" s="100"/>
      <c r="DP9" s="243" t="s">
        <v>322</v>
      </c>
      <c r="DQ9" s="243" t="s">
        <v>322</v>
      </c>
      <c r="DR9" s="243" t="s">
        <v>322</v>
      </c>
      <c r="DS9" s="243" t="s">
        <v>322</v>
      </c>
      <c r="DT9" s="243" t="s">
        <v>322</v>
      </c>
      <c r="DU9" s="243" t="s">
        <v>322</v>
      </c>
      <c r="DV9" s="243" t="s">
        <v>322</v>
      </c>
      <c r="DW9" s="243" t="s">
        <v>322</v>
      </c>
      <c r="DX9" s="243" t="s">
        <v>322</v>
      </c>
      <c r="DY9" s="243" t="s">
        <v>322</v>
      </c>
      <c r="DZ9" s="243" t="s">
        <v>322</v>
      </c>
      <c r="EA9" s="243" t="s">
        <v>322</v>
      </c>
      <c r="EB9" s="243" t="s">
        <v>322</v>
      </c>
      <c r="EC9" s="243" t="s">
        <v>322</v>
      </c>
      <c r="ED9" s="243" t="s">
        <v>322</v>
      </c>
      <c r="EE9" s="243" t="s">
        <v>322</v>
      </c>
      <c r="EF9" s="243" t="s">
        <v>322</v>
      </c>
      <c r="EG9" s="243" t="s">
        <v>322</v>
      </c>
      <c r="EH9" s="243" t="s">
        <v>322</v>
      </c>
      <c r="EI9" s="243" t="s">
        <v>322</v>
      </c>
      <c r="EJ9" s="109"/>
      <c r="EK9" s="243" t="s">
        <v>2912</v>
      </c>
      <c r="EL9" s="243" t="s">
        <v>2912</v>
      </c>
      <c r="EM9" s="243" t="s">
        <v>2912</v>
      </c>
      <c r="EN9" s="243" t="s">
        <v>2912</v>
      </c>
      <c r="EO9" s="243" t="s">
        <v>2912</v>
      </c>
      <c r="EP9" s="243" t="s">
        <v>2912</v>
      </c>
      <c r="EQ9" s="243" t="s">
        <v>2912</v>
      </c>
      <c r="ER9" s="243" t="s">
        <v>2912</v>
      </c>
      <c r="ES9" s="243" t="s">
        <v>2912</v>
      </c>
      <c r="ET9" s="243" t="s">
        <v>2912</v>
      </c>
      <c r="EU9" s="243" t="s">
        <v>2912</v>
      </c>
      <c r="EV9" s="243" t="s">
        <v>2912</v>
      </c>
      <c r="EW9" s="243" t="s">
        <v>2912</v>
      </c>
      <c r="EX9" s="243" t="s">
        <v>2912</v>
      </c>
      <c r="EY9" s="243" t="s">
        <v>2912</v>
      </c>
      <c r="EZ9" s="243" t="s">
        <v>2912</v>
      </c>
      <c r="FA9" s="243" t="s">
        <v>2912</v>
      </c>
      <c r="FB9" s="243" t="s">
        <v>2912</v>
      </c>
      <c r="FC9" s="243" t="s">
        <v>2912</v>
      </c>
      <c r="FD9" s="243" t="s">
        <v>2912</v>
      </c>
      <c r="FF9" s="243" t="s">
        <v>2913</v>
      </c>
      <c r="FG9" s="666" t="s">
        <v>2913</v>
      </c>
      <c r="FH9" s="666" t="s">
        <v>2913</v>
      </c>
      <c r="FI9" s="243" t="s">
        <v>2913</v>
      </c>
      <c r="FJ9" s="243" t="s">
        <v>2913</v>
      </c>
      <c r="FK9" s="243" t="s">
        <v>2913</v>
      </c>
      <c r="FL9" s="243" t="s">
        <v>2913</v>
      </c>
      <c r="FM9" s="243" t="s">
        <v>2913</v>
      </c>
      <c r="FN9" s="243" t="s">
        <v>2913</v>
      </c>
      <c r="FO9" s="243" t="s">
        <v>2913</v>
      </c>
      <c r="FP9" s="243" t="s">
        <v>2913</v>
      </c>
      <c r="FQ9" s="243" t="s">
        <v>2913</v>
      </c>
      <c r="FR9" s="243" t="s">
        <v>2913</v>
      </c>
      <c r="FS9" s="243" t="s">
        <v>2913</v>
      </c>
      <c r="FT9" s="243" t="s">
        <v>2913</v>
      </c>
      <c r="FU9" s="243" t="s">
        <v>2913</v>
      </c>
      <c r="FV9" s="243" t="s">
        <v>2913</v>
      </c>
      <c r="FW9" s="243" t="s">
        <v>2913</v>
      </c>
      <c r="FX9" s="243" t="s">
        <v>2913</v>
      </c>
      <c r="FY9" s="243" t="s">
        <v>2913</v>
      </c>
      <c r="FZ9" s="243" t="s">
        <v>2913</v>
      </c>
      <c r="GA9" s="247" t="s">
        <v>2913</v>
      </c>
      <c r="GB9" s="1095"/>
      <c r="GC9" s="1095"/>
      <c r="GD9" s="1095"/>
      <c r="GE9" s="1095"/>
      <c r="GF9" s="1095"/>
      <c r="GG9" s="1095"/>
      <c r="GH9" s="1095"/>
      <c r="GI9" s="1095"/>
      <c r="GJ9" s="1099"/>
      <c r="GK9" s="1099"/>
      <c r="GL9" s="1099"/>
      <c r="GM9" s="1099"/>
      <c r="GO9" s="1146"/>
      <c r="GP9" s="1146"/>
      <c r="GQ9" s="1146"/>
      <c r="GR9" s="1146"/>
    </row>
    <row r="10" spans="1:207" s="545" customFormat="1" ht="25.5" hidden="1" x14ac:dyDescent="0.2">
      <c r="A10" s="533" t="s">
        <v>2914</v>
      </c>
      <c r="B10" s="532" t="s">
        <v>2915</v>
      </c>
      <c r="C10" s="532"/>
      <c r="D10" s="532"/>
      <c r="E10" s="534" t="s">
        <v>2916</v>
      </c>
      <c r="F10" s="532" t="s">
        <v>2917</v>
      </c>
      <c r="G10" s="532" t="s">
        <v>2918</v>
      </c>
      <c r="H10" s="532" t="s">
        <v>2919</v>
      </c>
      <c r="I10" s="534" t="s">
        <v>2920</v>
      </c>
      <c r="J10" s="534" t="s">
        <v>2921</v>
      </c>
      <c r="K10" s="534" t="s">
        <v>2922</v>
      </c>
      <c r="L10" s="534"/>
      <c r="M10" s="534" t="s">
        <v>2923</v>
      </c>
      <c r="N10" s="534"/>
      <c r="O10" s="534"/>
      <c r="P10" s="534"/>
      <c r="Q10" s="534"/>
      <c r="R10" s="534"/>
      <c r="S10" s="534" t="s">
        <v>2924</v>
      </c>
      <c r="T10" s="534" t="s">
        <v>323</v>
      </c>
      <c r="U10" s="534" t="s">
        <v>4554</v>
      </c>
      <c r="V10" s="534" t="s">
        <v>2925</v>
      </c>
      <c r="W10" s="534" t="s">
        <v>2926</v>
      </c>
      <c r="X10" s="534"/>
      <c r="Y10" s="534"/>
      <c r="Z10" s="534"/>
      <c r="AA10" s="534" t="s">
        <v>2927</v>
      </c>
      <c r="AB10" s="534"/>
      <c r="AC10" s="534"/>
      <c r="AD10" s="534"/>
      <c r="AE10" s="534" t="s">
        <v>2928</v>
      </c>
      <c r="AF10" s="534"/>
      <c r="AG10" s="534"/>
      <c r="AH10" s="534" t="s">
        <v>2929</v>
      </c>
      <c r="AI10" s="534" t="s">
        <v>2930</v>
      </c>
      <c r="AJ10" s="534"/>
      <c r="AK10" s="534"/>
      <c r="AL10" s="534"/>
      <c r="AM10" s="534"/>
      <c r="AN10" s="534" t="s">
        <v>2931</v>
      </c>
      <c r="AO10" s="670" t="s">
        <v>4553</v>
      </c>
      <c r="AP10" s="534" t="s">
        <v>2932</v>
      </c>
      <c r="AQ10" s="534" t="s">
        <v>2933</v>
      </c>
      <c r="AR10" s="534"/>
      <c r="AS10" s="534" t="s">
        <v>2934</v>
      </c>
      <c r="AT10" s="534"/>
      <c r="AU10" s="534"/>
      <c r="AV10" s="534"/>
      <c r="AW10" s="534"/>
      <c r="AX10" s="534" t="s">
        <v>2935</v>
      </c>
      <c r="AY10" s="534"/>
      <c r="AZ10" s="534" t="s">
        <v>181</v>
      </c>
      <c r="BA10" s="534"/>
      <c r="BB10" s="534"/>
      <c r="BC10" s="534"/>
      <c r="BD10" s="534"/>
      <c r="BE10" s="534"/>
      <c r="BF10" s="534"/>
      <c r="BG10" s="534" t="s">
        <v>2936</v>
      </c>
      <c r="BH10" s="534" t="s">
        <v>2937</v>
      </c>
      <c r="BI10" s="534"/>
      <c r="BJ10" s="534" t="s">
        <v>2938</v>
      </c>
      <c r="BK10" s="534" t="s">
        <v>2939</v>
      </c>
      <c r="BL10" s="534"/>
      <c r="BM10" s="534"/>
      <c r="BN10" s="534"/>
      <c r="BO10" s="534"/>
      <c r="BP10" s="534" t="s">
        <v>322</v>
      </c>
      <c r="BQ10" s="534" t="s">
        <v>2940</v>
      </c>
      <c r="BR10" s="535"/>
      <c r="BS10" s="535"/>
      <c r="BT10" s="536"/>
      <c r="BU10" s="536"/>
      <c r="BV10" s="536"/>
      <c r="BW10" s="536"/>
      <c r="BX10" s="537" t="s">
        <v>2941</v>
      </c>
      <c r="BY10" s="536" t="s">
        <v>2942</v>
      </c>
      <c r="BZ10" s="537" t="s">
        <v>2943</v>
      </c>
      <c r="CA10" s="536" t="s">
        <v>2944</v>
      </c>
      <c r="CB10" s="537"/>
      <c r="CC10" s="536"/>
      <c r="CD10" s="538"/>
      <c r="CE10" s="536" t="s">
        <v>2945</v>
      </c>
      <c r="CF10" s="539"/>
      <c r="CG10" s="586"/>
      <c r="CH10" s="540"/>
      <c r="CI10" s="541"/>
      <c r="CJ10" s="541"/>
      <c r="CK10" s="542"/>
      <c r="CL10" s="543"/>
      <c r="CM10" s="543"/>
      <c r="CN10" s="543"/>
      <c r="CO10" s="544"/>
      <c r="CP10" s="591"/>
      <c r="CQ10" s="588"/>
      <c r="CS10" s="541"/>
      <c r="CT10" s="541"/>
      <c r="CU10" s="541"/>
      <c r="CV10" s="541"/>
      <c r="CW10" s="541"/>
      <c r="CX10" s="541"/>
      <c r="CY10" s="546"/>
      <c r="CZ10" s="541"/>
      <c r="DA10" s="541"/>
      <c r="DB10" s="547"/>
      <c r="DC10" s="541"/>
      <c r="DD10" s="541"/>
      <c r="DE10" s="541"/>
      <c r="DF10" s="541"/>
      <c r="DG10" s="541"/>
      <c r="DH10" s="547"/>
      <c r="DI10" s="547"/>
      <c r="DJ10" s="547"/>
      <c r="DK10" s="547"/>
      <c r="DL10" s="546"/>
      <c r="DM10" s="547"/>
      <c r="DN10" s="546"/>
      <c r="DP10" s="541"/>
      <c r="DQ10" s="541"/>
      <c r="DR10" s="541"/>
      <c r="DS10" s="541"/>
      <c r="DT10" s="541"/>
      <c r="DU10" s="541"/>
      <c r="DV10" s="546"/>
      <c r="DW10" s="541"/>
      <c r="DX10" s="541"/>
      <c r="DY10" s="547"/>
      <c r="DZ10" s="541"/>
      <c r="EA10" s="541"/>
      <c r="EB10" s="541"/>
      <c r="EC10" s="547"/>
      <c r="ED10" s="547"/>
      <c r="EE10" s="547"/>
      <c r="EF10" s="547"/>
      <c r="EG10" s="546"/>
      <c r="EH10" s="547"/>
      <c r="EI10" s="546"/>
      <c r="EJ10" s="548"/>
      <c r="EL10" s="547"/>
      <c r="EM10" s="541"/>
      <c r="EN10" s="541"/>
      <c r="EO10" s="541"/>
      <c r="EP10" s="541"/>
      <c r="EQ10" s="546"/>
      <c r="ER10" s="541"/>
      <c r="ES10" s="541"/>
      <c r="ET10" s="547"/>
      <c r="EU10" s="541"/>
      <c r="EV10" s="541"/>
      <c r="EW10" s="541"/>
      <c r="EX10" s="547"/>
      <c r="EY10" s="547"/>
      <c r="EZ10" s="547"/>
      <c r="FA10" s="547"/>
      <c r="FB10" s="546"/>
      <c r="FC10" s="547"/>
      <c r="FD10" s="546"/>
      <c r="FE10" s="586"/>
      <c r="FG10" s="547"/>
      <c r="FH10" s="547"/>
      <c r="FI10" s="541"/>
      <c r="FJ10" s="541"/>
      <c r="FK10" s="541"/>
      <c r="FL10" s="546"/>
      <c r="GG10" s="549"/>
      <c r="GJ10" s="550"/>
      <c r="GK10" s="550"/>
      <c r="GL10" s="550"/>
      <c r="GM10" s="550"/>
      <c r="GP10" s="551"/>
    </row>
    <row r="11" spans="1:207" s="103" customFormat="1" ht="13.5" customHeight="1" x14ac:dyDescent="0.2">
      <c r="A11" s="272">
        <v>1</v>
      </c>
      <c r="B11" s="110"/>
      <c r="C11" s="595"/>
      <c r="D11" s="595"/>
      <c r="E11" s="110"/>
      <c r="F11" s="110"/>
      <c r="G11" s="110"/>
      <c r="H11" s="110"/>
      <c r="I11" s="596"/>
      <c r="J11" s="29"/>
      <c r="K11" s="272" t="str">
        <f>IFERROR(IF(OR(VLOOKUP(J11, 'Fixture Identities'!$A$6:$L$1023, 3, FALSE)="T12 Linear Fluorescent", VLOOKUP(J11, 'Fixture Identities'!$A$6:$L$1023, 3, FALSE)="T12 U-Tube Fluorescent"), VLOOKUP(VLOOKUP(J11, 'Fixture Identities'!$A$6:$L$1023, 11, FALSE), 'Fixture Identities'!$A$6:$L$1023, 10, FALSE), VLOOKUP(J11, 'Fixture Identities'!$A$6:$L$1023, 10, FALSE)), "")</f>
        <v/>
      </c>
      <c r="L11" s="270" t="str">
        <f t="shared" ref="L11" si="0">IFERROR(IF(I11="", "", (K11*I11)/1000), "")</f>
        <v/>
      </c>
      <c r="M11" s="110"/>
      <c r="N11" s="110"/>
      <c r="O11" s="110"/>
      <c r="P11" s="272" t="str">
        <f>IFERROR(IF(OR(B11="Retrofit",B11=""),"",IF('Lighting Inventory'!E11="Exterior",VLOOKUP('Lighting Inventory'!N11,'Lookup Tables'!$B$83:$F$103,5,FALSE),IF(N11="Other - Please Estimate EFLH and CFs","Contact Prog. Rep.","ft^2"))), "")</f>
        <v/>
      </c>
      <c r="Q11" s="270" t="str">
        <f>IFERROR(IF(AND(B11="New Construction",E11="Interior",$F$5="Space-by-Space"),VLOOKUP('Lighting Inventory'!N11,'Lookup Tables'!$N$6:$O$97,2,FALSE),IF(AND(B11="New Construction",E11="Exterior"),VLOOKUP(N11,'Lookup Tables'!$B$83:$F$103,2,FALSE),IF(AND(B11="New Construction",'Lighting Inventory'!E11="Interior", $F$5="Building Area"),VLOOKUP(F11,'Lookup Tables'!$A$6:$J$59,10,FALSE),""))), "")</f>
        <v/>
      </c>
      <c r="R11" s="270" t="str">
        <f>IFERROR(IF(P11="Contact Prog. Rep.", "ERROR", IF(OR(B11="",B11="Retrofit"),"",IF(N11="Automated teller machines", ('Lookup Tables'!$A$82:$E$100+('Lighting Inventory'!O11-1)*'Lookup Tables'!$A$82:$E$100)/1000, (Q11*O11)/1000))), "")</f>
        <v/>
      </c>
      <c r="S11" s="595"/>
      <c r="T11" s="105" t="str">
        <f t="shared" ref="T11" si="1">IF(S11="","",S11)</f>
        <v/>
      </c>
      <c r="U11" s="105" t="str">
        <f>IF(S11="","",COUNT($S$11:S11))</f>
        <v/>
      </c>
      <c r="V11" s="111"/>
      <c r="W11" s="112"/>
      <c r="X11" s="105" t="str">
        <f>IF(W11="T8 Fluorescent - Retrofit","T8",IF(W11="T5 Fluorescent - Retrofit","T5",IF(W11="T8 Fluorescent - Delamp","T8",IF(W11="T5 Fluorescent - Delamp", "T5",""))))</f>
        <v/>
      </c>
      <c r="Y11" s="105" t="str">
        <f t="array" ref="Y11">IF(AND(OR(W11="Freezer Case Lighting", W11="Refrigerated Case Lighting with Doors"), 'General Information'!$X$18="LCI"),'Lookup Tables'!$Y$34, IF(V11="Custom", VLOOKUP(W11, 'Fixture Identities'!$A$974:$M$1023, 13, FALSE), IF(V11="No Change",'Lookup Tables'!$Y$29,IF(OR(V11="",W11=""),"",IF(AND(S11=0,S11&lt;I11,B11="Retrofit"),'Lookup Tables'!$Y$25, IF(B11="Retrofit", INDEX('Lookup Tables'!$AH$6:$AP$102, MATCH(1, ('Lookup Tables'!$AH$6:$AH$102=V11)*('Lookup Tables'!$AI$6:$AI$102=W11), 0), IF('Lighting Inventory'!E11="Interior", 4, 5)), INDEX('Lookup Tables'!$AH$114:$AP$154, MATCH(1, ('Lookup Tables'!$AH$114:$AH$154=V11)*('Lookup Tables'!$AI$114:$AI$154=W11), 0), IF('Lighting Inventory'!E11="Interior", 4, 5))))))))</f>
        <v/>
      </c>
      <c r="Z11" s="105" t="str">
        <f>IFERROR(INDEX('Lookup Tables'!$AH$158:$AH$172,MATCH('Lighting Inventory'!Y11,'Lookup Tables'!$AI$158:$AI$172,0)),"")</f>
        <v/>
      </c>
      <c r="AA11" s="105" t="str">
        <f>IF(AP11&gt;0,INDEX('Lookup Tables'!$AK$158:$AK$172,MATCH('Lighting Inventory'!Y11,'Lookup Tables'!$AI$158:$AI$172,0)),'Lighting Inventory'!Y11)</f>
        <v/>
      </c>
      <c r="AB11" s="105" t="str">
        <f t="array" ref="AB11">IF(V11="Custom", "Custom", IF(V11="", "", IF(V11="Not DLC or Energy Star", "General", IF(B11="New Construction", INDEX('Lookup Tables'!$AH$114:$AP$154,MATCH(1,('Lookup Tables'!$AH$114:$AH$154='Lighting Inventory'!V11)*('Lookup Tables'!$AI$114:$AI$154='Lighting Inventory'!W11),FALSE),8), INDEX('Lookup Tables'!$AH$6:$AP$102,MATCH(1,('Lookup Tables'!$AH$6:$AH$102='Lighting Inventory'!V11)*('Lookup Tables'!$AI$6:$AI$102='Lighting Inventory'!W11),FALSE),8)))))</f>
        <v/>
      </c>
      <c r="AC11" s="272" t="str">
        <f>IF(W11="","",IF(V11="Custom",CONCATENATE("$",'Lookup Tables'!$AM$101," ",'Lookup Tables'!$AN$101),CONCATENATE("$",INDEX('Lookup Tables'!$AM$6:$AM$102,MATCH('Lighting Inventory'!W11,'Lookup Tables'!$AI$6:$AI$102,0))," ",INDEX('Lookup Tables'!$AN$6:$AN$102,MATCH('Lighting Inventory'!W11,'Lookup Tables'!$AI$6:$AI$102,0)))))</f>
        <v/>
      </c>
      <c r="AD11" s="597"/>
      <c r="AE11" s="29"/>
      <c r="AF11" s="379"/>
      <c r="AG11" s="370" t="str">
        <f t="shared" ref="AG11:AG74" si="2">IFERROR(IF(AF11="", ((GD11/$CD$266)*$CF$266)/S11, (AF11*S11)/S11), "")</f>
        <v/>
      </c>
      <c r="AH11" s="370" t="str">
        <f>IF(S11="","",AF11*S11)</f>
        <v/>
      </c>
      <c r="AI11" s="29"/>
      <c r="AJ11" s="29"/>
      <c r="AK11" s="110"/>
      <c r="AL11" s="375" t="str">
        <f>IF(OR(B11="", V11="", W11=""), "", IF(V11="No Change", K11, IF(V11="Remove Fixture", 0, IF(V11="Custom",VLOOKUP(W11,'Fixture Identities'!$A$6:$K$1023,10,FALSE),IF(AE11="", "← ENTER POST WATTS", 'Lighting Inventory'!AE11)))))</f>
        <v/>
      </c>
      <c r="AM11" s="376" t="str">
        <f t="shared" ref="AM11:AM74" si="3">IFERROR(IF(S11="","", IF(V11="No Change",L11, (AL11*S11)/1000)), "← ENTER POST WATTS")</f>
        <v/>
      </c>
      <c r="AN11" s="29"/>
      <c r="AO11" s="671"/>
      <c r="AP11" s="29"/>
      <c r="AQ11" s="29"/>
      <c r="AR11" s="29"/>
      <c r="AS11" s="272" t="str">
        <f t="shared" ref="AS11:AS75" si="4">IF(AP11="","",AR11*AP11)</f>
        <v/>
      </c>
      <c r="AT11" s="270" t="str">
        <f t="shared" ref="AT11:AT22" si="5">IFERROR(IF(B11="Retrofit", L11-AM11, R11-AM11), "")</f>
        <v/>
      </c>
      <c r="AU11" s="88" t="str">
        <f t="shared" ref="AU11:AU22" si="6">IFERROR(ABS(AT11), "")</f>
        <v/>
      </c>
      <c r="AV11" s="29"/>
      <c r="AW11" s="73"/>
      <c r="AX11" s="271" t="str">
        <f>IF(AND(AV11="Applicant",OR(AW11="", AW11="Use Default Facility Hours")),"← Choose Schedule",IF(F11="","",IF(W11="LED Exit Signs",8760,IF(OR(AV11="Prescribed",AV11=""),VLOOKUP(F11,'Lookup Tables'!$A$6:$G$59,IF(AB11="General", 6, 3),FALSE),VLOOKUP(AW11,'Lookup Tables'!$S$36:$U$43,2,FALSE)))))</f>
        <v/>
      </c>
      <c r="AY11" s="88" t="str">
        <f t="shared" ref="AY11:AY74" si="7">IFERROR((AU11/$AU$261)*AX11, "")</f>
        <v/>
      </c>
      <c r="AZ11" s="270" t="str">
        <f>IFERROR(IF(F11="", "", IF(W11="LED Exit Signs", 1, IF(AV11="Applicant",VLOOKUP(AW11, 'Lookup Tables'!$S$36:$U$43,3, FALSE), VLOOKUP('Lighting Inventory'!F11, 'Lookup Tables'!$A$6:$H$59, IF('Lighting Inventory'!AB11="General",7,4), FALSE)))), "")</f>
        <v/>
      </c>
      <c r="BA11" s="522" t="str">
        <f>IFERROR(IF(F11="", "", IF(W11="LED Exit Signs", 1, VLOOKUP('Lighting Inventory'!F11, 'Lookup Tables'!$A$6:$H$59, IF('Lighting Inventory'!AB11="General",8,5), FALSE))), "")</f>
        <v/>
      </c>
      <c r="BB11" s="270" t="str">
        <f>IF(G11="", "", IF(E11="Exterior", 0, IF('Lighting Inventory'!G11="Air Conditioned", VLOOKUP(H11, 'Lookup Tables'!$R$6:$T$13, 2, FALSE), VLOOKUP('Lighting Inventory'!G11, 'Lookup Tables'!$R$6:$T$13, 2, FALSE))))</f>
        <v/>
      </c>
      <c r="BC11" s="522" t="str">
        <f>IF(G11="", "", IF(E11="Exterior", 0, IF('Lighting Inventory'!G11="Air Conditioned", VLOOKUP(H11, 'Lookup Tables'!$R$6:$T$13, 3, FALSE), VLOOKUP('Lighting Inventory'!G11, 'Lookup Tables'!$R$6:$T$13, 3, FALSE))))</f>
        <v/>
      </c>
      <c r="BD11" s="270" t="str">
        <f>IF(G11="", "", IF(E11="Exterior", 0, IF('Lighting Inventory'!G11="Air Conditioned", VLOOKUP(H11, 'Lookup Tables'!$R$6:$U$13, 4, FALSE), VLOOKUP('Lighting Inventory'!G11, 'Lookup Tables'!$R$6:$U$13, 4, FALSE))))</f>
        <v/>
      </c>
      <c r="BE11" s="270" t="str">
        <f>IFERROR(IF(B11="", "",  IF(B11="New Construction", VLOOKUP(F11, 'Lookup Tables'!$A$6:$K$59, 11, FALSE),IF(OR(AN11="", AN11="Light Switch"), 0, IF(OR(M11="",M11="None",V11= "LED Exit Signs"),0,_xlfn.XLOOKUP(M11,'Lookup Tables'!$R$91:$R$101,'Lookup Tables'!$V$91:$V$101))))), "")</f>
        <v/>
      </c>
      <c r="BF11" s="270" t="str">
        <f>IF(AND(OR(AN11="Light Switch",AN11=""),B11="New Construction"), VLOOKUP(F11, 'Lookup Tables'!$A$6:$K$59, 11, FALSE),IF(AN11="","",IF(B11="","",IF(OR(AN11="None",AN11="",V11="LED Exit Signs",AN11="Exterior Controls Not Eligible"),0,_xlfn.XLOOKUP(AN11,'Lookup Tables'!$R$91:$R$101,'Lookup Tables'!$V$91:$V$101)))))</f>
        <v/>
      </c>
      <c r="BG11" s="88" t="str">
        <f>IFERROR(IF(AND(B11="New Construction", V11="LED Exit Signs"), "", IF(B11="", "", IF(B11="Retrofit", ((L11-AM11)*(1-BE11)*(1+BB11)), (R11-AM11)*((1-BE11)*(1+BB11))))), "")</f>
        <v/>
      </c>
      <c r="BH11" s="88" t="str">
        <f>IFERROR(IF(OR(E11="",V11="LED Exit Signs"),"", AM11*(BF11-BE11)*(1+BB11)),0)</f>
        <v/>
      </c>
      <c r="BI11" s="558" t="str">
        <f>IFERROR(ROUND(IF(AND(B11="New Construction", V11="LED Exit Signs"), "", IF(B11="", "", SUM(BG11:BH11))),6),"")</f>
        <v/>
      </c>
      <c r="BJ11" s="560" t="str">
        <f>IFERROR(ROUND(IF(AND(B11="New Construction", V11="LED Exit Signs"), "", IF(B11="", "", IF(B11="Retrofit", ((L11-AM11)*AZ11*(1-BE11)*(1+BB11)), (R11-AM11)*(AZ11*(1-BE11)*(1+BB11))))),6), "")</f>
        <v/>
      </c>
      <c r="BK11" s="560" t="str">
        <f>IFERROR(ROUND(IF(OR(E11="",V11="LED Exit Signs"),"", AM11*AZ11*(BF11-BE11)*(1+BB11)),6),"")</f>
        <v/>
      </c>
      <c r="BL11" s="559" t="str">
        <f>IFERROR(ROUND(IF(AND(B11="New Construction", V11="LED Exit Signs"), "", IF(B11="", "", SUM(BJ11:BK11))),6),"")</f>
        <v/>
      </c>
      <c r="BM11" s="521" t="str">
        <f t="shared" ref="BM11:BM74" si="8">IFERROR(IF(AND(B11="New Construction", V11="LED Exit Signs"), "", IF(B11="", "", IF(B11="Retrofit", (L11-AM11)*BA11*(1-BE11)*(1+BC11), (R11-AM11)*BA11*(1-BE11)*(1+BC11)))), "")</f>
        <v/>
      </c>
      <c r="BN11" s="521" t="str">
        <f t="shared" ref="BN11:BN74" si="9">IFERROR(IF(OR(E11="",V11="LED Exit Signs"),"", BA11*(1+BC11)*AM11*(BF11-BE11)),0)</f>
        <v/>
      </c>
      <c r="BO11" s="522" t="str">
        <f t="shared" ref="BO11:BO74" si="10">IF(AND(E11="New Construction", AB11="LED Exit Signs"), "", IF(E11="", "", SUM(BM11:BN11)))</f>
        <v/>
      </c>
      <c r="BP11" s="83" t="str">
        <f>IFERROR(ROUND(IF(AND(B11="New Construction", V11="LED Exit Signs"), "",IF(B11="", "", IF(B11="Retrofit", ((L11-AM11)*AX11*(1-BE11)*(1+BD11)), (R11-AM11)*AX11*(1-BE11)*(1+BD11)))),4), "")</f>
        <v/>
      </c>
      <c r="BQ11" s="84" t="str">
        <f>IFERROR(ROUND(IF(B11="", "", IF(E11="",0, AM11*AX11*(BF11-BE11)*(1+BD11))),4),"")</f>
        <v/>
      </c>
      <c r="BR11" s="184" t="str">
        <f>IFERROR(IF(B11="", "", IF(OR(VLOOKUP(J11, 'Fixture Identities'!$A$6:$L$1023, 3, FALSE)="T12 Linear Fluorescent",VLOOKUP(J11, 'Fixture Identities'!$A$6:$L$1023, 3, FALSE)="T12 U-Tube Fluorescent"), "Y", "N")), "N")</f>
        <v/>
      </c>
      <c r="BS11" s="184" t="str">
        <f t="array" ref="BS11">IFERROR(IF(OR(B11="", V11="", W11=""), "", IF(V11="Custom", "N", IF(OR(W11="Freezer Case Lighting", W11="Refrigerated Case Lighting with Doors"), BT11, IF(B11="Retrofit", INDEX('Lookup Tables'!$AH$6:$AT$102,MATCH(1,('Lookup Tables'!$AH$6:$AH$102=V11)*('Lookup Tables'!$AI$6:$AI$102=W11),FALSE),IF(VLOOKUP(J11, 'Fixture Identities'!$A$6:$B$1023, 2, FALSE)="Incandescent",12, 13)), INDEX('Lookup Tables'!$AH$114:$AS$154,MATCH(1,('Lookup Tables'!$AH$114:$AH$154=V11)*('Lookup Tables'!$AI$114:$AI$154=W11),FALSE),12))))), "N")</f>
        <v/>
      </c>
      <c r="BT11" s="184" t="str">
        <f>IF(J11="", "", IF(AND(OR(W11="Freezer case Lighting", W11="Refrigerated Case Lighting with Doors"),'General Information'!$X$18="LCI"), "N", IF(OR(VLOOKUP(J11, 'Fixture Identities'!$A$6:$B$1023, 2, FALSE)="T12 EPACT/EISA Baseline", VLOOKUP(J11, 'Fixture Identities'!$A$6:$B$1023, 2, FALSE)="Linear Fluorescent", VLOOKUP(J11, 'Fixture Identities'!$A$6:$B$1023, 2, FALSE)="U-Tube Fluorescent"), "Y", "N")))</f>
        <v/>
      </c>
      <c r="BU11" s="184" t="str">
        <f>IFERROR(IF(B11="", "", IF(VLOOKUP(J11, 'Fixture Identities'!$A$6:$B$1023, 2, FALSE)="Exit Sign", "Y", "N")), "N")</f>
        <v/>
      </c>
      <c r="BV11" s="184" t="str">
        <f>IF(V11="Exit Signs", IF(VLOOKUP(J11, 'Fixture Identities'!$A$6:$B$1023, 2, FALSE)="Exit Sign", "N", "Y"), "")</f>
        <v/>
      </c>
      <c r="BW11" s="184" t="str">
        <f t="array" ref="BW11">IFERROR(IF(B11="", "", IF(B11="New Construction", "N", INDEX('Lookup Tables'!$AH$6:$AU$102, MATCH(1, ('Lookup Tables'!$AH$6:$AH$102='Lighting Inventory'!V11)*('Lookup Tables'!$AI$6:$AI$102='Lighting Inventory'!W11), 0), 14))), "N")</f>
        <v/>
      </c>
      <c r="BX11" s="598" t="str">
        <f>IFERROR(IF(B11="", "", SUM(FF11:FH11)), "")</f>
        <v/>
      </c>
      <c r="BY11" s="598" t="str">
        <f>IF(BX11="", "",IF(IF(BX11&gt;((AF11*S11)+(AP11*AR11)),((AF11*S11)+(AP11*AR11)),BX11)+CA11&gt;(AF11*S11)+(AP11*AR11),(AF11*S11)+(AP11*AR11)-CA11,IF(BX11&gt;((AF11*S11)+(AP11*AR11)),((AF11*S11)+(AP11*AR11)),BX11)))</f>
        <v/>
      </c>
      <c r="BZ11" s="598" t="str">
        <f>IFERROR(IF(B11="", "", SUM(FI11:GA11)), "")</f>
        <v/>
      </c>
      <c r="CA11" s="598" t="str">
        <f>IF(BZ11="", "",IF(BZ11&gt;(AF11*S11),(AF11*S11),BZ11))</f>
        <v/>
      </c>
      <c r="CB11" s="269" t="str">
        <f>IFERROR(ROUND(IF(B11="", "", SUM(FF11:GA11)),2), "")</f>
        <v/>
      </c>
      <c r="CC11" s="517" t="str">
        <f>IFERROR(ROUND(IF(CB11="", "",IF(CB11&gt;(BY11+CA11),(BY11+CA11),CB11)),2),"")</f>
        <v/>
      </c>
      <c r="CD11" s="565" t="str">
        <f t="shared" ref="CD11:CD74" si="11">IF(AM11="ERROR", "ERROR", IF(AND(B11="New Construction", V11="LED Exit Signs"), "", IF(AND(E11="Exterior", V11="LED Exit Signs"), "", IF(B11="", "", SUM(BP11:BQ11)))))</f>
        <v/>
      </c>
      <c r="CE11" s="368">
        <v>0</v>
      </c>
      <c r="CF11" s="368" t="str" cm="1">
        <f t="array" ref="CF11">IFERROR(IF(V11="Custom", "$0.1 per kWh", IF(B11="New Construction", CONCATENATE("$",INDEX('Lookup Tables'!$AH$114:$AN$154,MATCH(1,('Lookup Tables'!$AH$114:$AH$154='Lighting Inventory'!V11)*('Lookup Tables'!$AI$114:$AI$154='Lighting Inventory'!W11),FALSE),6)," ",INDEX('Lookup Tables'!$AH$114:$AN$154,MATCH(1,('Lookup Tables'!$AH$114:$AH$154='Lighting Inventory'!V11)*('Lookup Tables'!$AI$114:$AI$154='Lighting Inventory'!W11),FALSE),7)), IF(AND(BU11="N", V11="Exit Signs"), "$0.025 per kWh", CONCATENATE("$",INDEX('Lookup Tables'!$AH$6:$AN$102,MATCH(1,('Lookup Tables'!$AH$6:$AH$102='Lighting Inventory'!V11)*('Lookup Tables'!$AI$6:$AI$102='Lighting Inventory'!W11),FALSE),6)," ",INDEX('Lookup Tables'!$AH$6:$AN$102,MATCH(1,('Lookup Tables'!$AH$6:$AH$102='Lighting Inventory'!V11)*('Lookup Tables'!$AI$6:$AI$102='Lighting Inventory'!W11),FALSE),7))))), "")</f>
        <v/>
      </c>
      <c r="CG11" s="580"/>
      <c r="CH11" s="248" t="str">
        <f t="shared" ref="CH11:CH12" si="12">IF(E11="", "", IF(E11="Exterior", "Ext_Lighting_Description", "Int_Lighting_Description"))</f>
        <v/>
      </c>
      <c r="CI11" s="248" t="str">
        <f t="shared" ref="CI11:CI12" si="13">IF(E11="", "Select_IE", IF(E11="Interior", "Building_Type_Interior", "Building_Type_Exterior"))</f>
        <v>Select_IE</v>
      </c>
      <c r="CJ11" s="248" t="str">
        <f t="shared" ref="CJ11:CJ12" si="14">IF(F11="", "", IF(E11="Exterior", "Uncooled", IF(F11="Storage - Unconditioned", "Uncooled", "Cooled")))</f>
        <v/>
      </c>
      <c r="CK11" s="248" t="str">
        <f t="shared" ref="CK11:CK12" si="15">IF(E11="Exterior", "Unheated", IF(G11="", "", IF(OR(G11="Uncooled", G11="Air Conditioned"), "Heated", "Unheated")))</f>
        <v/>
      </c>
      <c r="CL11" s="248" t="str">
        <f t="shared" ref="CL11:CL12" si="16">IF(B11="", "", IF(AND(B11="New Construction", E11="Interior"), "NC_Fixture_Category_Int", IF(AND(B11="New Construction", E11="Exterior"), "NC_Fixture_Category_Ext", IF(AND(B11="Retrofit", E11="Interior"), "Ret_Fixture_Category_Int", IF(AND(B11="Retrofit", E11="Exterior"), "Ret_Fixture_Category_Ext", "Ret_Fixture_Category_Int")))))</f>
        <v/>
      </c>
      <c r="CM11" s="248" t="str">
        <f>IFERROR(IF(B11="", "", IF(B11="New Construction", VLOOKUP(V11, 'Lookup Tables'!$AF$114:$AG$120, 2, FALSE), VLOOKUP(V11, 'Lookup Tables'!$AD$6:$AE$25, 2, FALSE))), "")</f>
        <v/>
      </c>
      <c r="CN11" s="248" t="str">
        <f t="shared" ref="CN11:CN12" si="17">IF(AV11="", "", IF(AV11="Applicant", "EFLH_schedules", "EFLH_prescribed"))</f>
        <v/>
      </c>
      <c r="CO11" s="248" t="str">
        <f t="shared" ref="CO11:CO12" si="18">IF(B11="", "", IF(AND(B11="New Construction", OR($F$5="Not Applicable", $F$5="")), "NC_Calc_Method", IF(B11="Retrofit", "Not_Applicable", IF(AND(E11="Interior", $F$5="Building Area"), "NC_Facility_Type", IF(AND(E11="Interior", $F$5="Space-by-Space"), "NC_Space_Type_Int", IF(E11="Exterior", "NC_Space_Type_Ext", "Not_Applicable"))))))</f>
        <v/>
      </c>
      <c r="CP11" s="592" t="str">
        <f t="shared" ref="CP11:CP12" si="19">IF(E11="","",IF(E11="Exterior","ext_lighting_controls","Lighting_Controls"))</f>
        <v/>
      </c>
      <c r="CQ11" s="248" t="str">
        <f>IF(E11="","",IF(E11="Exterior","exterior_controls","interior_Controls"))</f>
        <v/>
      </c>
      <c r="CR11" s="100"/>
      <c r="CS11" s="250" t="str">
        <f t="shared" ref="CS11:CS12" si="20">IF(CD11="ERROR","ERROR",BK11)</f>
        <v/>
      </c>
      <c r="CT11" s="250" t="str">
        <f t="shared" ref="CT11:CT12" si="21">IF(CD11="ERROR", "ERROR", IF(AND(X11=$CT$7, E11="Interior"), BJ11, ""))</f>
        <v/>
      </c>
      <c r="CU11" s="250" t="str">
        <f t="shared" ref="CU11:CU12" si="22">IF(CD11="ERROR", "ERROR", IF(AND(X11=$CT$7, E11="Exterior"), BJ11, ""))</f>
        <v/>
      </c>
      <c r="CV11" s="250" t="str">
        <f t="shared" ref="CV11:CV12" si="23">IF(CD11="ERROR", "ERROR", IF(AND(X11=$CV$7, E11="Interior"), BJ11, ""))</f>
        <v/>
      </c>
      <c r="CW11" s="250" t="str">
        <f t="shared" ref="CW11:CW12" si="24">IF(CD11="ERROR", "ERROR", IF(AND(X11=$CV$7, E11="Exterior"), BJ11, ""))</f>
        <v/>
      </c>
      <c r="CX11" s="250" t="str">
        <f t="shared" ref="CX11:CX12" si="25">IF(CD11="ERROR", "ERROR", IF(AND(Y11=$CX$6, E11="Interior"), BJ11, ""))</f>
        <v/>
      </c>
      <c r="CY11" s="250" t="str">
        <f t="shared" ref="CY11:CY12" si="26">IF(CD11="ERROR", "ERROR", IF(AND(Y11=$CX$6, E11="Exterior"), BJ11, ""))</f>
        <v/>
      </c>
      <c r="CZ11" s="250" t="str">
        <f t="shared" ref="CZ11:CZ12" si="27">IF(CD11="ERROR", "ERROR", IF(AND(Y11=$CZ$6, E11="Interior"), BJ11, ""))</f>
        <v/>
      </c>
      <c r="DA11" s="250" t="str">
        <f t="shared" ref="DA11:DA12" si="28">IF(CD11="ERROR", "ERROR", IF(AND(Y11=$CZ$6, E11="Exterior"), BJ11, ""))</f>
        <v/>
      </c>
      <c r="DB11" s="250" t="str">
        <f t="shared" ref="DB11:DB12" si="29">IF(CD11="ERROR", "ERROR", IF(AND(Y11=$DB$6, E11="Interior"), BJ11, ""))</f>
        <v/>
      </c>
      <c r="DC11" s="250" t="str">
        <f t="shared" ref="DC11:DC12" si="30">IF(CD11="ERROR", "ERROR", IF(AND(Y11=$DB$6, E11="Exterior"), BJ11, ""))</f>
        <v/>
      </c>
      <c r="DD11" s="250" t="str">
        <f t="shared" ref="DD11:DD12" si="31">IF(CD11="ERROR", "ERROR", IF(AND(Y11=$DD$6, E11="Interior"), BJ11, ""))</f>
        <v/>
      </c>
      <c r="DE11" s="250" t="str">
        <f t="shared" ref="DE11:DE12" si="32">IF(CD11="ERROR", "ERROR", IF(AND(Y11=$DD$6, E11="Exterior"), BJ11, ""))</f>
        <v/>
      </c>
      <c r="DF11" s="250" t="str">
        <f t="shared" ref="DF11:DF12" si="33">IF(CD11="ERROR", "ERROR", IF(AND(Y11=$DF$6, E11="Interior"), BJ11, ""))</f>
        <v/>
      </c>
      <c r="DG11" s="250" t="str">
        <f t="shared" ref="DG11:DG12" si="34">IF(CD11="ERROR", "ERROR", IF(AND(Y11=$DF$6, E11="Exterior"), BJ11, ""))</f>
        <v/>
      </c>
      <c r="DH11" s="250" t="str">
        <f t="shared" ref="DH11:DH12" si="35">IF(CD11="ERROR", "ERROR", IF(AND(Y11=$DH$6, E11="Interior"), BJ11, ""))</f>
        <v/>
      </c>
      <c r="DI11" s="250" t="str">
        <f t="shared" ref="DI11:DI12" si="36">IF(CD11="ERROR", "ERROR", IF(AND(Y11=$DH$6, E11="Exterior"), BJ11, ""))</f>
        <v/>
      </c>
      <c r="DJ11" s="250" t="str">
        <f t="shared" ref="DJ11:DJ12" si="37">IF(CD11="ERROR", "ERROR", IF(Y11=$DJ$6, BJ11, ""))</f>
        <v/>
      </c>
      <c r="DK11" s="250" t="str">
        <f t="shared" ref="DK11:DK12" si="38">IF(CD11="ERROR", "ERROR", IF(AND(Y11=$DK$6, E11="Interior"), BJ11, ""))</f>
        <v/>
      </c>
      <c r="DL11" s="250" t="str">
        <f t="shared" ref="DL11:DL12" si="39">IF(CD11="ERROR", "ERROR", IF(AND(Y11=$DK$6, E11="Exterior"), BJ11, ""))</f>
        <v/>
      </c>
      <c r="DM11" s="250" t="str">
        <f>IF(CD11="ERROR", "ERROR", IF(AND(OR(Y11=$DM$6, Y11='Lookup Tables'!$AD$21, Y11='Lookup Tables'!$AD$22), E11="Interior"), BJ11, ""))</f>
        <v/>
      </c>
      <c r="DN11" s="250" t="str">
        <f>IF(CD11="ERROR", "ERROR", IF(AND(OR(Y11=$DM$6, Y11='Lookup Tables'!$AD$21, Y11='Lookup Tables'!$AD$22), E11="Exterior"), BJ11, ""))</f>
        <v/>
      </c>
      <c r="DO11" s="100"/>
      <c r="DP11" s="250" t="str">
        <f t="shared" ref="DP11:DP12" si="40">IF(CD11="ERROR","ERROR",BQ11)</f>
        <v/>
      </c>
      <c r="DQ11" s="250" t="str">
        <f t="shared" ref="DQ11:DQ12" si="41">IF(CD11="ERROR", "ERROR", IF(AND($DQ$7=X11,E11="Interior"), BP11, ""))</f>
        <v/>
      </c>
      <c r="DR11" s="250" t="str">
        <f t="shared" ref="DR11:DR12" si="42">IF(CD11="ERROR", "ERROR", IF(AND($DQ$7=X11,E11="Exterior"), BP11, ""))</f>
        <v/>
      </c>
      <c r="DS11" s="250" t="str">
        <f t="shared" ref="DS11:DS12" si="43">IF(CD11="ERROR", "ERROR", IF(AND($DS$7=X11,E11="Interior"), BP11, ""))</f>
        <v/>
      </c>
      <c r="DT11" s="250" t="str">
        <f t="shared" ref="DT11:DT12" si="44">IF(CD11="ERROR", "ERROR", IF(AND($DS$7=X11,E11="Exterior"), BP11, ""))</f>
        <v/>
      </c>
      <c r="DU11" s="250" t="str">
        <f t="shared" ref="DU11:DU12" si="45">IF(CD11="ERROR", "ERROR", IF(AND($DU$6=Y11,E11="Interior"), BP11, ""))</f>
        <v/>
      </c>
      <c r="DV11" s="250" t="str">
        <f t="shared" ref="DV11:DV12" si="46">IF(CD11="ERROR", "ERROR", IF(AND($DU$6=Y11,E11="Exterior"), BP11, ""))</f>
        <v/>
      </c>
      <c r="DW11" s="250" t="str">
        <f t="shared" ref="DW11:DW12" si="47">IF(CD11="ERROR", "ERROR", IF(AND($DW$6=Y11,E11="Interior"), BP11, ""))</f>
        <v/>
      </c>
      <c r="DX11" s="250" t="str">
        <f t="shared" ref="DX11:DX12" si="48">IF(CD11="ERROR", "ERROR", IF(AND($DW$6=Y11,E11="Exterior"), BP11, ""))</f>
        <v/>
      </c>
      <c r="DY11" s="250" t="str">
        <f t="shared" ref="DY11:DY12" si="49">IF(CD11="ERROR", "ERROR", IF(AND($DY$6=Y11,E11="Interior"), BP11, ""))</f>
        <v/>
      </c>
      <c r="DZ11" s="250" t="str">
        <f t="shared" ref="DZ11:DZ12" si="50">IF(CD11="ERROR", "ERROR", IF(AND($DY$6=Y11,E11="Exterior"), BP11, ""))</f>
        <v/>
      </c>
      <c r="EA11" s="250" t="str">
        <f t="shared" ref="EA11:EA12" si="51">IF(CD11="ERROR", "ERROR", IF(AND($EA$6=Y11,E11="Exterior"), BP11, ""))</f>
        <v/>
      </c>
      <c r="EB11" s="250" t="str">
        <f t="shared" ref="EB11:EB12" si="52">IF(CD11="ERROR", "ERROR", IF(AND(Y11=$EB$6, E11="Interior"), BP11, ""))</f>
        <v/>
      </c>
      <c r="EC11" s="250" t="str">
        <f t="shared" ref="EC11:EC12" si="53">IF(CD11="ERROR", "ERROR", IF(AND(Y11=$EC$6, E11="Interior"), BP11, ""))</f>
        <v/>
      </c>
      <c r="ED11" s="250" t="str">
        <f t="shared" ref="ED11:ED12" si="54">IF(CD11="ERROR", "ERROR", IF(AND(Y11=$EC$6, E11="Exterior"), BP11, ""))</f>
        <v/>
      </c>
      <c r="EE11" s="250" t="str">
        <f t="shared" ref="EE11:EE12" si="55">IF(CD11="ERROR", "ERROR", IF(Y11=$EE$6, BP11, ""))</f>
        <v/>
      </c>
      <c r="EF11" s="250" t="str">
        <f t="shared" ref="EF11:EF12" si="56">IF(CD11="ERROR", "ERROR", IF(AND($EF$6=Y11,E11="Interior"), BP11, ""))</f>
        <v/>
      </c>
      <c r="EG11" s="250" t="str">
        <f t="shared" ref="EG11:EG12" si="57">IF(CD11="ERROR", "ERROR", IF(AND($EF$6=Y11,E11="Exterior"), BP11, ""))</f>
        <v/>
      </c>
      <c r="EH11" s="250" t="str">
        <f>IF(CD11="ERROR", "ERROR", IF(AND(OR($EH$6=Y11, Y11='Lookup Tables'!$AD$21, Y11='Lookup Tables'!$AD$22),E11="Interior"), SUM(BP11:BP11), ""))</f>
        <v/>
      </c>
      <c r="EI11" s="250" t="str">
        <f>IF(CD11="ERROR", "ERROR", IF(AND(OR($EH$6=Y11, Y11='Lookup Tables'!$AD$21, Y11='Lookup Tables'!$AD$22),E11="Exterior"), SUM(BP11:BP11), ""))</f>
        <v/>
      </c>
      <c r="EJ11" s="109"/>
      <c r="EK11" s="485" t="str">
        <f t="shared" ref="EK11:EK74" si="58">IF(CD11="ERROR","ERROR",IF(E11="Exterior", "0", IF(OR(AN11="",AN11="Light Switch"), "",AP11)))</f>
        <v/>
      </c>
      <c r="EL11" s="252" t="str">
        <f t="shared" ref="EL11:EL12" si="59">IF(CD11="ERROR", "ERROR", IF(AND($EL$7=X11,E11="Interior"), S11, ""))</f>
        <v/>
      </c>
      <c r="EM11" s="252" t="str">
        <f t="shared" ref="EM11:EM12" si="60">IF(CD11="ERROR", "ERROR", IF(AND($EL$7=X11,E11="Exterior"), S11, ""))</f>
        <v/>
      </c>
      <c r="EN11" s="252" t="str">
        <f t="shared" ref="EN11:EN12" si="61">IF(CD11="ERROR", "ERROR", IF(AND($EN$7=X11,E11="Interior"), S11, ""))</f>
        <v/>
      </c>
      <c r="EO11" s="252" t="str">
        <f t="shared" ref="EO11:EO12" si="62">IF(CD11="ERROR", "ERROR", IF(AND($EN$7=X11,E11="Exterior"), S11, ""))</f>
        <v/>
      </c>
      <c r="EP11" s="252" t="str">
        <f t="shared" ref="EP11:EP12" si="63">IF(CD11="ERROR", "ERROR", IF(AND($EP$6=Y11,E11="Interior"), S11, ""))</f>
        <v/>
      </c>
      <c r="EQ11" s="252" t="str">
        <f t="shared" ref="EQ11:EQ12" si="64">IF(CD11="ERROR", "ERROR", IF(AND($EP$6=Y11,E11="Exterior"), S11, ""))</f>
        <v/>
      </c>
      <c r="ER11" s="252" t="str">
        <f t="shared" ref="ER11:ER12" si="65">IF(CD11="ERROR", "ERROR", IF(AND($ER$6=Y11,E11="Interior"), S11, ""))</f>
        <v/>
      </c>
      <c r="ES11" s="252" t="str">
        <f t="shared" ref="ES11:ES12" si="66">IF(CD11="ERROR", "ERROR", IF(AND($ER$6=Y11,E11="Exterior"), S11, ""))</f>
        <v/>
      </c>
      <c r="ET11" s="252" t="str">
        <f t="shared" ref="ET11:ET12" si="67">IF(CD11="ERROR", "ERROR", IF(AND($ET$6=Y11,E11="Interior"), S11, ""))</f>
        <v/>
      </c>
      <c r="EU11" s="252" t="str">
        <f t="shared" ref="EU11:EU12" si="68">IF(CD11="ERROR", "ERROR", IF(AND($ET$6=Y11,E11="Exterior"), S11, ""))</f>
        <v/>
      </c>
      <c r="EV11" s="252" t="str">
        <f t="shared" ref="EV11:EV12" si="69">IF(CD11="ERROR", "ERROR", IF(AND($EV$6=Y11,E11="Exterior"), S11, ""))</f>
        <v/>
      </c>
      <c r="EW11" s="252" t="str">
        <f t="shared" ref="EW11:EW12" si="70">IF(CD11="ERROR", "ERROR", IF(AND($EW$6=Y11,E11="Interior"), S11, ""))</f>
        <v/>
      </c>
      <c r="EX11" s="252" t="str">
        <f t="shared" ref="EX11:EX12" si="71">IF(CD11="ERROR", "ERROR", IF(AND(Y11=$EX$6, E11="Interior"), S11, ""))</f>
        <v/>
      </c>
      <c r="EY11" s="252" t="str">
        <f t="shared" ref="EY11:EY12" si="72">IF(CD11="ERROR", "ERROR", IF(AND(Y11=$EX$6, E11="Exterior"), S11, ""))</f>
        <v/>
      </c>
      <c r="EZ11" s="252" t="str">
        <f t="shared" ref="EZ11:EZ12" si="73">IF(CD11="ERROR", "ERROR", IF($EZ$6=Y11, AJ11, ""))</f>
        <v/>
      </c>
      <c r="FA11" s="252" t="str">
        <f t="shared" ref="FA11:FA12" si="74">IF(CD11="ERROR", "ERROR", IF(AND($FA$6=Y11, E11="Interior"), S11, ""))</f>
        <v/>
      </c>
      <c r="FB11" s="252" t="str">
        <f t="shared" ref="FB11:FB12" si="75">IF(CD11="ERROR", "ERROR", IF(AND($FA$6=Y11,E11="Exterior"), S11, ""))</f>
        <v/>
      </c>
      <c r="FC11" s="252" t="str">
        <f>IF(CD11="ERROR", "ERROR", IF(OR(V11="No Change", V11="Not DLC or Energy Star"), "", IF(AND(OR($FC$6=Y11,Y11='Lookup Tables'!$AD$21, Y11='Lookup Tables'!$AD$22),E11="Interior"), S11, "")))</f>
        <v/>
      </c>
      <c r="FD11" s="252" t="str">
        <f t="shared" ref="FD11:FD12" si="76">IF(CD11="ERROR", "ERROR", IF(V11="No Change", "", IF(AND($FC$6=Y11,E11="Exterior"), S11, "")))</f>
        <v/>
      </c>
      <c r="FE11" s="101"/>
      <c r="FF11" s="579" t="str" cm="1">
        <f t="array" ref="FF11">IFERROR(IF(OR(BQ11&lt;=0,AQ11&lt;20,AND(V11="Exit Signs",AN11&gt;0)),"",IF(AND(AQ11&gt;=20,AN11='Lookup Tables'!$R$101),'Lookup Tables'!$U$101*BQ11,AP11*LOOKUP(2,1/((AN11='Lookup Tables'!$R$91:$R$111)*(AQ11&gt;='Lookup Tables'!$S$91:$S$111)*(AQ11&lt;='Lookup Tables'!$T$91:$T$111)),'Lookup Tables'!$U$91:$U$111))),"")</f>
        <v/>
      </c>
      <c r="FG11" s="579"/>
      <c r="FH11" s="579"/>
      <c r="FI11" s="253" t="str">
        <f>IFERROR(ROUND(IF(CD11="ERROR", "ERROR", IF(AND($FI$7=X11,E11="Interior"),VLOOKUP(W11, 'Lookup Tables'!$AI$6:$AM$102, 5, FALSE)*BP11, "")), 2), "")</f>
        <v/>
      </c>
      <c r="FJ11" s="253" t="str">
        <f>IFERROR(ROUND(IF(CD11="ERROR", "ERROR", IF(AND($FI$7=X11,E11="Exterior"),VLOOKUP(W11, 'Lookup Tables'!$AI$6:$AM$102, 5, FALSE)*BP11, "")), 2), "")</f>
        <v/>
      </c>
      <c r="FK11" s="253" t="str">
        <f>IFERROR(ROUND(IF(CD11="ERROR", "ERROR", IF(AND($FK$7=X11,E11="Interior"),VLOOKUP(W11, 'Lookup Tables'!$AI$6:$AM$102, 5, FALSE)*BP11, "")), 2), "")</f>
        <v/>
      </c>
      <c r="FL11" s="253" t="str">
        <f>IFERROR(ROUND(IF(CD11="ERROR", "ERROR", IF(AND($FK$7=X11,E11="Exterior"),VLOOKUP(W11, 'Lookup Tables'!$AI$6:$AM$102, 5, FALSE)*BP11, "")), 2), "")</f>
        <v/>
      </c>
      <c r="FM11" s="253" t="str">
        <f>IFERROR(ROUND(IF(CD11="ERROR", "ERROR", IF(AND($FM$6=Y11,E11="Interior"), IF(GB11=0, VLOOKUP(W11, 'Lookup Tables'!$AI$6:$AM$102, 5, FALSE)*BP11, IF(VLOOKUP(W11, 'Lookup Tables'!$AI$6:$AM$102, 5, FALSE)*BP11&gt;GB11*'Lighting Inventory'!S11, GB11*'Lighting Inventory'!S11,VLOOKUP(W11, 'Lookup Tables'!$AI$6:$AM$102, 5, FALSE)*BP11)), "")), 2), "")</f>
        <v/>
      </c>
      <c r="FN11" s="253" t="str">
        <f>IFERROR(ROUND(IF(CD11="ERROR", "ERROR", IF(AND($FM$6=Y11,E11="Exterior"), IF(GB11=0, VLOOKUP(W11, 'Lookup Tables'!$AI$6:$AM$102, 5, FALSE)*BP11, IF(VLOOKUP(W11, 'Lookup Tables'!$AI$6:$AM$102, 5, FALSE)*BP11&gt;GB11*'Lighting Inventory'!S11, GB11*'Lighting Inventory'!S11,VLOOKUP(W11, 'Lookup Tables'!$AI$6:$AM$102, 5, FALSE)*BP11)), "")), 2), "")</f>
        <v/>
      </c>
      <c r="FO11" s="253" t="str">
        <f>IFERROR(ROUND(IF(CD11="ERROR", "ERROR", IF(AND($FO$6=Y11,E11="Interior"),VLOOKUP(W11, 'Lookup Tables'!$AI$6:$AM$102, 5, FALSE)*'Lighting Inventory'!AI11, "")), 2), "")</f>
        <v/>
      </c>
      <c r="FP11" s="253" t="str">
        <f>IFERROR(ROUND(IF(CD11="ERROR", "ERROR", IF(AND($FO$6=Y11,E11="Exterior"),VLOOKUP(W11, 'Lookup Tables'!$AI$6:$AM$102, 5, FALSE)*'Lighting Inventory'!AI11, "")), 2), "")</f>
        <v/>
      </c>
      <c r="FQ11" s="253" t="str">
        <f>IFERROR(ROUND(IF(CD11="ERROR", "ERROR", IF(AND($FQ$6=Y11,E11="Interior", BU11="Y"), VLOOKUP('Lighting Inventory'!W11, 'Lookup Tables'!$AI$6:$AM$102, 5, FALSE)*'Lighting Inventory'!S11, IF(AND($FQ$7=Y11,E11="Interior", BU11="N"), 0.025*CD11, ""))), 2), "")</f>
        <v/>
      </c>
      <c r="FR11" s="253" t="str">
        <f>IFERROR(ROUND(IF(CD11="ERROR", "ERROR", IF(AND($FQ$6=Y11,E11="Exterior"), VLOOKUP('Lighting Inventory'!W11, 'Lookup Tables'!$AI$6:$AM$102, 5, FALSE)*'Lighting Inventory'!S11, "")), 2), "")</f>
        <v/>
      </c>
      <c r="FS11" s="253" t="str">
        <f>IFERROR(ROUND(IF(CD11="ERROR", "ERROR", IF(AND($FS$6=Y11,E11="Exterior"), IF(GB11=0, VLOOKUP(W11, 'Lookup Tables'!$AI$6:$AM$102, 5, FALSE)*BP11, IF(VLOOKUP(W11, 'Lookup Tables'!$AI$6:$AM$102, 5, FALSE)*BP11&gt;GB11*'Lighting Inventory'!S11, GB11*'Lighting Inventory'!S11,VLOOKUP(W11, 'Lookup Tables'!$AI$6:$AM$102, 5, FALSE)*BP11)), "")), 2), "")</f>
        <v/>
      </c>
      <c r="FT11" s="253" t="str">
        <f>IFERROR(ROUND(IF(CD11="ERROR", "ERROR", IF(AND($FT$6=Y11,E11="Interior"), IF(GB11=0, VLOOKUP(W11, 'Lookup Tables'!$AI$6:$AM$102, 5, FALSE)*BP11, IF(VLOOKUP(W11, 'Lookup Tables'!$AI$6:$AM$102, 5, FALSE)*BP11&gt;GB11*'Lighting Inventory'!S11, GB11*'Lighting Inventory'!S11,VLOOKUP(W11, 'Lookup Tables'!$AI$6:$AM$102, 5, FALSE)*BP11)), "")), 2), "")</f>
        <v/>
      </c>
      <c r="FU11" s="253" t="str">
        <f>IFERROR(ROUND(IF(CD11="ERROR", "ERROR", IF(AND(Y11=$FU$6, E11="Interior"), IF(BS11="N", 'Lookup Tables'!$AM$101*BP11, VLOOKUP(W11, 'Lookup Tables'!$AI$6:$AM$102, 5, FALSE)*S11*AD11), "")), 2), "")</f>
        <v/>
      </c>
      <c r="FV11" s="253" t="str">
        <f>IFERROR(ROUND(IF(CD11="ERROR", "ERROR", IF(AND(Y11=$FU$6, E11="Exterior"), IF(BS11="N", 'Lookup Tables'!$AM$101*BP11, VLOOKUP(W11, 'Lookup Tables'!$AI$6:$AM$102, 5, FALSE)*S11*AD11), "")), 2), "")</f>
        <v/>
      </c>
      <c r="FW11" s="253" t="str">
        <f>IFERROR(ROUND(IF(CD11="ERROR", "ERROR", IF($FW$6=Y11, IF(BS11="N", 'Lookup Tables'!$AM$101*BP11, MIN((VLOOKUP(W11, 'Lookup Tables'!$AI$6:$AM$102, 5, FALSE)*BP11),GB11*AJ11)), "")), 2), "")</f>
        <v/>
      </c>
      <c r="FX11" s="253" t="str">
        <f>IFERROR(ROUND(IF(CD11="ERROR", "ERROR", IF(AND($FX$6=Y11, E11="Interior"), IF(VLOOKUP(W11, 'Lookup Tables'!$AI$6:$AM$102, 5, FALSE)*BP11&gt;'Lookup Tables'!$AQ$97*'Lighting Inventory'!S11,'Lighting Inventory'!S11*'Lookup Tables'!$AQ$97,VLOOKUP(W11, 'Lookup Tables'!$AI$6:$AM$102, 5, FALSE)*BP11), "")), 2), "")</f>
        <v/>
      </c>
      <c r="FY11" s="253" t="str">
        <f>IFERROR(ROUND(IF(CD11="ERROR", "ERROR", IF(AND($FX$6=Y11, E11="Exterior"), IF(VLOOKUP(W11, 'Lookup Tables'!$AI$6:$AM$102, 5, FALSE)*BP11&gt;'Lookup Tables'!$AQ$97*'Lighting Inventory'!S11,'Lighting Inventory'!S11*'Lookup Tables'!$AQ$97,VLOOKUP(W11, 'Lookup Tables'!$AI$6:$AM$102, 5, FALSE)*BP11), "")), 2), "")</f>
        <v/>
      </c>
      <c r="FZ11" s="253" t="str">
        <f>IFERROR(ROUND(IF(CD11="ERROR", "ERROR", IF(AND($FZ$6=Y11, E11="Interior"), IF(AND(OR(W11="Refrigerated Case Lighting with Doors", W11="Freezer Case Lighting"),Y11="Custom - Process Improvement"),CD11*'Lookup Tables'!$AM$101, IF(B11="Retrofit", IF(VLOOKUP(IF(V11="Custom", V11, W11), 'Lookup Tables'!$AI$6:$AM$102, 5, FALSE)*BP11&gt;GE11, GE11, VLOOKUP(IF(V11="Custom", V11, W11), 'Lookup Tables'!$AI$6:$AM$102, 5, FALSE)*BP11), IF(VLOOKUP(IF(V11="Custom", V11, W11), 'Lookup Tables'!$AI$114:$AM$154, 5, FALSE)*BP11&gt;GE11, GE11, VLOOKUP(IF(V11="Custom", V11, W11), 'Lookup Tables'!$AI$114:$AM$154, 5, FALSE)*BP11))), "")), 2),"")</f>
        <v/>
      </c>
      <c r="GA11" s="253" t="str">
        <f>IFERROR(ROUND(IF(CD11="ERROR", "ERROR", IF(AND($FZ$6=Y11, E11="Exterior"), IF(B11="Retrofit", IF(VLOOKUP(IF(V11="Custom", V11, W11), 'Lookup Tables'!$AI$6:$AM$102, 5, FALSE)*BP11&gt;GE11, GE11, VLOOKUP(IF(V11="Custom", V11, W11), 'Lookup Tables'!$AI$6:$AM$102, 5, FALSE)*BP11), IF(VLOOKUP(IF(V11="Custom", V11, W11), 'Lookup Tables'!$AI$114:$AM$154, 5, FALSE)*BP11&gt;GE11, GE11, VLOOKUP(IF(V11="Custom", V11, W11), 'Lookup Tables'!$AI$114:$AM$154, 5, FALSE)*BP11)), "")), 2),"")</f>
        <v/>
      </c>
      <c r="GB11" s="254" t="str">
        <f t="array" ref="GB11">IF(B11="","",IF(OR(V11="Custom",V11="No Change"),0,IF(B11="Retrofit", INDEX('Lookup Tables'!$AH$6:$AQ$102,MATCH(1,('Lookup Tables'!$AH$6:$AH$102='Lighting Inventory'!V11)*('Lookup Tables'!$AI$6:$AI$102='Lighting Inventory'!W11),FALSE),10),INDEX('Lookup Tables'!$AH$114:$AQ$154,MATCH(1,('Lookup Tables'!$AH$114:$AH$154='Lighting Inventory'!V11)*('Lookup Tables'!$AI$114:$AI$154='Lighting Inventory'!W11),FALSE),10))))</f>
        <v/>
      </c>
      <c r="GC11" s="255" t="str">
        <f t="shared" ref="GC11:GC74" si="77">IFERROR(IF(OR(GB11="", GB11=0, AE11=""),"", IF(SUM(BP11:BP11)*0.025&gt;(GB11*S11), "Yes", "No")), "")</f>
        <v/>
      </c>
      <c r="GD11" s="250" t="str">
        <f t="shared" ref="GD11:GD74" si="78">IF(BW11="Y", BP11, IFERROR(BQ11+IF(BW11="N", BP11, ""), ""))</f>
        <v/>
      </c>
      <c r="GE11" s="253" t="str">
        <f>IFERROR(IF(AND(AF11="", 'General Information'!$F$18="No"),"", IF(AF11="", ((GD11/$CD$266)*$CF$266)*0.5, AF11*S11*0.5)), "")</f>
        <v/>
      </c>
      <c r="GF11" s="255" t="str">
        <f>IF(AND('General Information'!$F$19="", 'General Information'!$F$18="Yes",AF11="",BW11="Y"), "Y", "N")</f>
        <v>N</v>
      </c>
      <c r="GG11" s="255" t="s">
        <v>2946</v>
      </c>
      <c r="GH11" s="255" t="str">
        <f>IFERROR(IF(B11="", "", VLOOKUP(J11, 'Fixture Identities'!$A$6:$N$908, 14, FALSE)), "")</f>
        <v/>
      </c>
      <c r="GI11" s="389" t="str">
        <f>IF(OR(B11="", V11="", W11=""), "", IF(AND(OR(M11='Lookup Tables'!$R$18, M11='Lookup Tables'!$R$19, M11='Lookup Tables'!$R$20, M11='Lookup Tables'!$R$21, M11='Lookup Tables'!$R$22), OR(AN11='Lookup Tables'!$R$17, AN11='Lookup Tables'!$R$17, AN11="")), "Y", "N"))</f>
        <v/>
      </c>
      <c r="GJ11" s="255" t="str">
        <f t="shared" ref="GJ11:GJ74" si="79">IF(OR(B11="", E11="", F11=""),"", IF(E11="Interior", IF(AND(E11="Interior",ISNA(VLOOKUP(F11,Building_Type_Interior,1,FALSE))=FALSE), "N", "Y"), IF(AND(E11="Exterior",ISNA(VLOOKUP(F11,Building_Type_Exterior,1,FALSE))=FALSE), "N", "Y")))</f>
        <v/>
      </c>
      <c r="GK11" s="255" t="str">
        <f t="shared" ref="GK11:GK74" si="80">IF(OR(B11="",E11="",G11=""),"",IF(E11="Interior",IF(ISNA(VLOOKUP(G11,Cooled,1,FALSE)),"Y","N"),IF(ISNA(VLOOKUP(G11,Uncooled,1,FALSE)),"Y","N")))</f>
        <v/>
      </c>
      <c r="GL11" s="255" t="str">
        <f t="shared" ref="GL11:GL74" si="81">IF(OR(B11="",E11="",H11=""),"",IF(E11="Interior",IF(ISNA(VLOOKUP(H11,Heated,1,FALSE)),"Y","N"),IF(ISNA(VLOOKUP(H11,Unheated,1,FALSE)),"Y","N")))</f>
        <v/>
      </c>
      <c r="GM11" s="255" t="str">
        <f>IF(AN11="", "", IF(AND(IF(ISNA(VLOOKUP(AN11,'Lookup Tables'!$R$18:$R$22,1,FALSE)), "N", "Y")="Y", E11="Exterior"), "Y", "N"))</f>
        <v/>
      </c>
      <c r="GN11" s="395"/>
      <c r="GO11" s="428">
        <f>SUM(FF11:GA11)</f>
        <v>0</v>
      </c>
      <c r="GP11" s="103">
        <f>IF(GO261&gt;GO4,GO11-(GO261-GO4),GO11)</f>
        <v>0</v>
      </c>
      <c r="GQ11" s="428">
        <f>IF(FH11="",0,IF(GP11=0,0,FH11))</f>
        <v>0</v>
      </c>
      <c r="GR11" s="428">
        <f>IFERROR(IF(GP11=0,0,GP11-GQ11),0)</f>
        <v>0</v>
      </c>
      <c r="GT11" s="428"/>
      <c r="GV11" s="677"/>
      <c r="GW11" s="677"/>
      <c r="GX11" s="599"/>
      <c r="GY11" s="599"/>
    </row>
    <row r="12" spans="1:207" s="103" customFormat="1" ht="13.5" customHeight="1" x14ac:dyDescent="0.2">
      <c r="A12" s="272">
        <v>2</v>
      </c>
      <c r="B12" s="110"/>
      <c r="C12" s="595"/>
      <c r="D12" s="595"/>
      <c r="E12" s="110"/>
      <c r="F12" s="110"/>
      <c r="G12" s="110"/>
      <c r="H12" s="110"/>
      <c r="I12" s="596"/>
      <c r="J12" s="29"/>
      <c r="K12" s="272" t="str">
        <f>IFERROR(IF(OR(VLOOKUP(J12, 'Fixture Identities'!$A$6:$L$1023, 3, FALSE)="T12 Linear Fluorescent", VLOOKUP(J12, 'Fixture Identities'!$A$6:$L$1023, 3, FALSE)="T12 U-Tube Fluorescent"), VLOOKUP(VLOOKUP(J12, 'Fixture Identities'!$A$6:$L$1023, 11, FALSE), 'Fixture Identities'!$A$6:$L$1023, 10, FALSE), VLOOKUP(J12, 'Fixture Identities'!$A$6:$L$1023, 10, FALSE)), "")</f>
        <v/>
      </c>
      <c r="L12" s="270" t="str">
        <f t="shared" ref="L12:L15" si="82">IFERROR(IF(I12="", "", (K12*I12)/1000), "")</f>
        <v/>
      </c>
      <c r="M12" s="110"/>
      <c r="N12" s="110"/>
      <c r="O12" s="110"/>
      <c r="P12" s="272" t="str">
        <f>IFERROR(IF(OR(B12="Retrofit",B12=""),"",IF('Lighting Inventory'!E12="Exterior",VLOOKUP('Lighting Inventory'!N12,'Lookup Tables'!$B$83:$F$103,5,FALSE),IF(N12="Other - Please Estimate EFLH and CFs","Contact Prog. Rep.","ft^2"))), "")</f>
        <v/>
      </c>
      <c r="Q12" s="270" t="str">
        <f>IFERROR(IF(AND(B12="New Construction",E12="Interior",$F$5="Space-by-Space"),VLOOKUP('Lighting Inventory'!N12,'Lookup Tables'!$N$6:$O$97,2,FALSE),IF(AND(B12="New Construction",E12="Exterior"),VLOOKUP(N12,'Lookup Tables'!$B$83:$F$103,2,FALSE),IF(AND(B12="New Construction",'Lighting Inventory'!E12="Interior", $F$5="Building Area"),VLOOKUP(F12,'Lookup Tables'!$A$6:$J$59,10,FALSE),""))), "")</f>
        <v/>
      </c>
      <c r="R12" s="270" t="str">
        <f>IFERROR(IF(P12="Contact Prog. Rep.", "ERROR", IF(OR(B12="",B12="Retrofit"),"",IF(N12="Automated teller machines", ('Lookup Tables'!$A$82:$E$100+('Lighting Inventory'!O12-1)*'Lookup Tables'!$A$82:$E$100)/1000, (Q12*O12)/1000))), "")</f>
        <v/>
      </c>
      <c r="S12" s="595"/>
      <c r="T12" s="105" t="str">
        <f t="shared" ref="T12:T75" si="83">IF(S12="","",S12)</f>
        <v/>
      </c>
      <c r="U12" s="105" t="str">
        <f>IF(S12="","",COUNT($S$11:S12))</f>
        <v/>
      </c>
      <c r="V12" s="111"/>
      <c r="W12" s="112"/>
      <c r="X12" s="105" t="str">
        <f t="shared" ref="X12:X75" si="84">IF(W12="T8 Fluorescent - Retrofit","T8",IF(W12="T5 Fluorescent - Retrofit","T5",IF(W12="T8 Fluorescent - Delamp","T8",IF(W12="T5 Fluorescent - Delamp", "T5",""))))</f>
        <v/>
      </c>
      <c r="Y12" s="105" t="str">
        <f t="array" ref="Y12">IF(AND(OR(W12="Freezer Case Lighting", W12="Refrigerated Case Lighting with Doors"), 'General Information'!$X$18="LCI"),'Lookup Tables'!$Y$34, IF(V12="Custom", VLOOKUP(W12, 'Fixture Identities'!$A$974:$M$1023, 13, FALSE), IF(V12="No Change",'Lookup Tables'!$Y$29,IF(OR(V12="",W12=""),"",IF(AND(S12=0,S12&lt;I12,B12="Retrofit"),'Lookup Tables'!$Y$25, IF(B12="Retrofit", INDEX('Lookup Tables'!$AH$6:$AP$102, MATCH(1, ('Lookup Tables'!$AH$6:$AH$102=V12)*('Lookup Tables'!$AI$6:$AI$102=W12), 0), IF('Lighting Inventory'!E12="Interior", 4, 5)), INDEX('Lookup Tables'!$AH$114:$AP$154, MATCH(1, ('Lookup Tables'!$AH$114:$AH$154=V12)*('Lookup Tables'!$AI$114:$AI$154=W12), 0), IF('Lighting Inventory'!E12="Interior", 4, 5))))))))</f>
        <v/>
      </c>
      <c r="Z12" s="105" t="str">
        <f>IFERROR(INDEX('Lookup Tables'!$AH$158:$AH$172,MATCH('Lighting Inventory'!Y12,'Lookup Tables'!$AI$158:$AI$172,0)),"")</f>
        <v/>
      </c>
      <c r="AA12" s="105" t="str">
        <f>IF(AP12&gt;0,INDEX('Lookup Tables'!$AK$158:$AK$172,MATCH('Lighting Inventory'!Y12,'Lookup Tables'!$AI$158:$AI$172,0)),'Lighting Inventory'!Y12)</f>
        <v/>
      </c>
      <c r="AB12" s="105" t="str">
        <f t="array" ref="AB12">IF(V12="Custom", "Custom", IF(V12="", "", IF(V12="Not DLC or Energy Star", "General", IF(B12="New Construction", INDEX('Lookup Tables'!$AH$114:$AP$154,MATCH(1,('Lookup Tables'!$AH$114:$AH$154='Lighting Inventory'!V12)*('Lookup Tables'!$AI$114:$AI$154='Lighting Inventory'!W12),FALSE),8), INDEX('Lookup Tables'!$AH$6:$AP$102,MATCH(1,('Lookup Tables'!$AH$6:$AH$102='Lighting Inventory'!V12)*('Lookup Tables'!$AI$6:$AI$102='Lighting Inventory'!W12),FALSE),8)))))</f>
        <v/>
      </c>
      <c r="AC12" s="272" t="str">
        <f>IF(W12="","",IF(V12="Custom",CONCATENATE("$",'Lookup Tables'!$AM$101," ",'Lookup Tables'!$AN$101),CONCATENATE("$",INDEX('Lookup Tables'!$AM$6:$AM$102,MATCH('Lighting Inventory'!W12,'Lookup Tables'!$AI$6:$AI$102,0))," ",INDEX('Lookup Tables'!$AN$6:$AN$102,MATCH('Lighting Inventory'!W12,'Lookup Tables'!$AI$6:$AI$102,0)))))</f>
        <v/>
      </c>
      <c r="AD12" s="597"/>
      <c r="AE12" s="29"/>
      <c r="AF12" s="379"/>
      <c r="AG12" s="370" t="str">
        <f t="shared" si="2"/>
        <v/>
      </c>
      <c r="AH12" s="370" t="str">
        <f t="shared" ref="AH12:AH75" si="85">IF(S12="","",AF12*S12)</f>
        <v/>
      </c>
      <c r="AI12" s="29"/>
      <c r="AJ12" s="29"/>
      <c r="AK12" s="110"/>
      <c r="AL12" s="375" t="str">
        <f>IF(OR(B12="", V12="", W12=""), "", IF(V12="No Change", K12, IF(V12="Remove Fixture", 0, IF(V12="Custom",VLOOKUP(W12,'Fixture Identities'!$A$6:$K$1023,10,FALSE),IF(AE12="", "← ENTER POST WATTS", 'Lighting Inventory'!AE12)))))</f>
        <v/>
      </c>
      <c r="AM12" s="376" t="str">
        <f t="shared" si="3"/>
        <v/>
      </c>
      <c r="AN12" s="29"/>
      <c r="AO12" s="671"/>
      <c r="AP12" s="29"/>
      <c r="AQ12" s="29"/>
      <c r="AR12" s="29"/>
      <c r="AS12" s="272" t="str">
        <f t="shared" si="4"/>
        <v/>
      </c>
      <c r="AT12" s="270" t="str">
        <f t="shared" si="5"/>
        <v/>
      </c>
      <c r="AU12" s="88" t="str">
        <f t="shared" si="6"/>
        <v/>
      </c>
      <c r="AV12" s="29"/>
      <c r="AW12" s="73"/>
      <c r="AX12" s="271" t="str">
        <f>IF(AND(AV12="Applicant",OR(AW12="", AW12="Use Default Facility Hours")),"← Choose Schedule",IF(F12="","",IF(W12="LED Exit Signs",8760,IF(OR(AV12="Prescribed",AV12=""),VLOOKUP(F12,'Lookup Tables'!$A$6:$G$59,IF(AB12="General", 6, 3),FALSE),VLOOKUP(AW12,'Lookup Tables'!$S$36:$U$43,2,FALSE)))))</f>
        <v/>
      </c>
      <c r="AY12" s="88" t="str">
        <f t="shared" si="7"/>
        <v/>
      </c>
      <c r="AZ12" s="270" t="str">
        <f>IFERROR(IF(F12="", "", IF(W12="LED Exit Signs", 1, IF(AV12="Applicant",VLOOKUP(AW12, 'Lookup Tables'!$S$36:$U$43,3, FALSE), VLOOKUP('Lighting Inventory'!F12, 'Lookup Tables'!$A$6:$H$59, IF('Lighting Inventory'!AB12="General",7,4), FALSE)))), "")</f>
        <v/>
      </c>
      <c r="BA12" s="522" t="str">
        <f>IFERROR(IF(F12="", "", IF(W12="LED Exit Signs", 1, VLOOKUP('Lighting Inventory'!F12, 'Lookup Tables'!$A$6:$H$59, IF('Lighting Inventory'!AB12="General",8,5), FALSE))), "")</f>
        <v/>
      </c>
      <c r="BB12" s="270" t="str">
        <f>IF(G12="", "", IF(E12="Exterior", 0, IF('Lighting Inventory'!G12="Air Conditioned", VLOOKUP(H12, 'Lookup Tables'!$R$6:$T$13, 2, FALSE), VLOOKUP('Lighting Inventory'!G12, 'Lookup Tables'!$R$6:$T$13, 2, FALSE))))</f>
        <v/>
      </c>
      <c r="BC12" s="522" t="str">
        <f>IF(G12="", "", IF(E12="Exterior", 0, IF('Lighting Inventory'!G12="Air Conditioned", VLOOKUP(H12, 'Lookup Tables'!$R$6:$T$13, 3, FALSE), VLOOKUP('Lighting Inventory'!G12, 'Lookup Tables'!$R$6:$T$13, 3, FALSE))))</f>
        <v/>
      </c>
      <c r="BD12" s="270" t="str">
        <f>IF(G12="", "", IF(E12="Exterior", 0, IF('Lighting Inventory'!G12="Air Conditioned", VLOOKUP(H12, 'Lookup Tables'!$R$6:$U$13, 4, FALSE), VLOOKUP('Lighting Inventory'!G12, 'Lookup Tables'!$R$6:$U$13, 4, FALSE))))</f>
        <v/>
      </c>
      <c r="BE12" s="270" t="str">
        <f>IFERROR(IF(B12="", "",  IF(B12="New Construction", VLOOKUP(F12, 'Lookup Tables'!$A$6:$K$59, 11, FALSE),IF(OR(AN12="", AN12="Light Switch"), 0, IF(OR(M12="",M12="None",V12= "LED Exit Signs"),0,_xlfn.XLOOKUP(M12,'Lookup Tables'!$R$91:$R$101,'Lookup Tables'!$V$91:$V$101))))), "")</f>
        <v/>
      </c>
      <c r="BF12" s="270" t="str">
        <f>IF(AND(OR(AN12="Light Switch",AN12=""),B12="New Construction"), VLOOKUP(F12, 'Lookup Tables'!$A$6:$K$59, 11, FALSE),IF(AN12="","",IF(B12="","",IF(OR(AN12="None",AN12="",V12="LED Exit Signs",AN12="Exterior Controls Not Eligible"),0,_xlfn.XLOOKUP(AN12,'Lookup Tables'!$R$91:$R$101,'Lookup Tables'!$V$91:$V$101)))))</f>
        <v/>
      </c>
      <c r="BG12" s="88" t="str">
        <f t="shared" ref="BG12:BG75" si="86">IFERROR(IF(AND(B12="New Construction", V12="LED Exit Signs"), "", IF(B12="", "", IF(B12="Retrofit", ((L12-AM12)*(1-BE12)*(1+BB12)), (R12-AM12)*((1-BE12)*(1+BB12))))), "")</f>
        <v/>
      </c>
      <c r="BH12" s="88" t="str">
        <f t="shared" ref="BH12:BH75" si="87">IFERROR(IF(OR(E12="",V12="LED Exit Signs"),"", AM12*(BF12-BE12)*(1+BB12)),0)</f>
        <v/>
      </c>
      <c r="BI12" s="558" t="str">
        <f>IFERROR(ROUND(IF(AND(B12="New Construction", V12="LED Exit Signs"), "", IF(B12="", "", SUM(BG12:BH12))),6),"")</f>
        <v/>
      </c>
      <c r="BJ12" s="560" t="str">
        <f t="shared" ref="BJ12:BJ75" si="88">IFERROR(ROUND(IF(AND(B12="New Construction", V12="LED Exit Signs"), "", IF(B12="", "", IF(B12="Retrofit", ((L12-AM12)*AZ12*(1-BE12)*(1+BB12)), (R12-AM12)*(AZ12*(1-BE12)*(1+BB12))))),6), "")</f>
        <v/>
      </c>
      <c r="BK12" s="560" t="str">
        <f t="shared" ref="BK12:BK75" si="89">IFERROR(ROUND(IF(OR(E12="",V12="LED Exit Signs"),"", AM12*AZ12*(BF12-BE12)*(1+BB12)),6),"")</f>
        <v/>
      </c>
      <c r="BL12" s="559" t="str">
        <f t="shared" ref="BL12:BL75" si="90">IFERROR(ROUND(IF(AND(B12="New Construction", V12="LED Exit Signs"), "", IF(B12="", "", SUM(BJ12:BK12))),6),"")</f>
        <v/>
      </c>
      <c r="BM12" s="521" t="str">
        <f t="shared" si="8"/>
        <v/>
      </c>
      <c r="BN12" s="521" t="str">
        <f t="shared" si="9"/>
        <v/>
      </c>
      <c r="BO12" s="522" t="str">
        <f t="shared" si="10"/>
        <v/>
      </c>
      <c r="BP12" s="83" t="str">
        <f t="shared" ref="BP12:BP75" si="91">IFERROR(ROUND(IF(AND(B12="New Construction", V12="LED Exit Signs"), "",IF(B12="", "", IF(B12="Retrofit", ((L12-AM12)*AX12*(1-BE12)*(1+BD12)), (R12-AM12)*AX12*(1-BE12)*(1+BD12)))),4), "")</f>
        <v/>
      </c>
      <c r="BQ12" s="84" t="str">
        <f t="shared" ref="BQ12:BQ75" si="92">IFERROR(ROUND(IF(B12="", "", IF(E12="",0, AM12*AX12*(BF12-BE12)*(1+BD12))),4),"")</f>
        <v/>
      </c>
      <c r="BR12" s="184" t="str">
        <f>IFERROR(IF(B12="", "", IF(OR(VLOOKUP(J12, 'Fixture Identities'!$A$6:$L$1023, 3, FALSE)="T12 Linear Fluorescent",VLOOKUP(J12, 'Fixture Identities'!$A$6:$L$1023, 3, FALSE)="T12 U-Tube Fluorescent"), "Y", "N")), "N")</f>
        <v/>
      </c>
      <c r="BS12" s="184" t="str">
        <f t="array" ref="BS12">IFERROR(IF(OR(B12="", V12="", W12=""), "", IF(V12="Custom", "N", IF(OR(W12="Freezer Case Lighting", W12="Refrigerated Case Lighting with Doors"), BT12, IF(B12="Retrofit", INDEX('Lookup Tables'!$AH$6:$AT$102,MATCH(1,('Lookup Tables'!$AH$6:$AH$102=V12)*('Lookup Tables'!$AI$6:$AI$102=W12),FALSE),IF(VLOOKUP(J12, 'Fixture Identities'!$A$6:$B$1023, 2, FALSE)="Incandescent",12, 13)), INDEX('Lookup Tables'!$AH$114:$AS$154,MATCH(1,('Lookup Tables'!$AH$114:$AH$154=V12)*('Lookup Tables'!$AI$114:$AI$154=W12),FALSE),12))))), "N")</f>
        <v/>
      </c>
      <c r="BT12" s="184" t="str">
        <f>IF(J12="", "", IF(AND(OR(W12="Freezer case Lighting", W12="Refrigerated Case Lighting with Doors"),'General Information'!$X$18="LCI"), "N", IF(OR(VLOOKUP(J12, 'Fixture Identities'!$A$6:$B$1023, 2, FALSE)="T12 EPACT/EISA Baseline", VLOOKUP(J12, 'Fixture Identities'!$A$6:$B$1023, 2, FALSE)="Linear Fluorescent", VLOOKUP(J12, 'Fixture Identities'!$A$6:$B$1023, 2, FALSE)="U-Tube Fluorescent"), "Y", "N")))</f>
        <v/>
      </c>
      <c r="BU12" s="184" t="str">
        <f>IFERROR(IF(B12="", "", IF(VLOOKUP(J12, 'Fixture Identities'!$A$6:$B$1023, 2, FALSE)="Exit Sign", "Y", "N")), "N")</f>
        <v/>
      </c>
      <c r="BV12" s="184" t="str">
        <f>IF(V12="Exit Signs", IF(VLOOKUP(J12, 'Fixture Identities'!$A$6:$B$1023, 2, FALSE)="Exit Sign", "N", "Y"), "")</f>
        <v/>
      </c>
      <c r="BW12" s="184" t="str">
        <f t="array" ref="BW12">IFERROR(IF(B12="", "", IF(B12="New Construction", "N", INDEX('Lookup Tables'!$AH$6:$AU$102, MATCH(1, ('Lookup Tables'!$AH$6:$AH$102='Lighting Inventory'!V12)*('Lookup Tables'!$AI$6:$AI$102='Lighting Inventory'!W12), 0), 14))), "N")</f>
        <v/>
      </c>
      <c r="BX12" s="598" t="str">
        <f t="shared" ref="BX12:BX75" si="93">IFERROR(IF(B12="", "", SUM(FF12:FH12)), "")</f>
        <v/>
      </c>
      <c r="BY12" s="598" t="str">
        <f t="shared" ref="BY12:BY75" si="94">IF(BX12="", "",IF(IF(BX12&gt;((AF12*S12)+(AP12*AR12)),((AF12*S12)+(AP12*AR12)),BX12)+CA12&gt;(AF12*S12)+(AP12*AR12),(AF12*S12)+(AP12*AR12)-CA12,IF(BX12&gt;((AF12*S12)+(AP12*AR12)),((AF12*S12)+(AP12*AR12)),BX12)))</f>
        <v/>
      </c>
      <c r="BZ12" s="598" t="str">
        <f t="shared" ref="BZ12:BZ75" si="95">IFERROR(IF(B12="", "", SUM(FI12:GA12)), "")</f>
        <v/>
      </c>
      <c r="CA12" s="598" t="str">
        <f>IF(BZ12="", "",IF(BZ12&gt;(AF12*S12),(AF12*S12),BZ12))</f>
        <v/>
      </c>
      <c r="CB12" s="269" t="str">
        <f>IFERROR(ROUND(IF(B12="", "", SUM(FF12:GA12)),2), "")</f>
        <v/>
      </c>
      <c r="CC12" s="517" t="str">
        <f t="shared" ref="CC12:CC75" si="96">IFERROR(ROUND(IF(CB12="", "",IF(CB12&gt;(BY12+CA12),(BY12+CA12),CB12)),2),"")</f>
        <v/>
      </c>
      <c r="CD12" s="565" t="str">
        <f t="shared" si="11"/>
        <v/>
      </c>
      <c r="CE12" s="368">
        <v>0</v>
      </c>
      <c r="CF12" s="368" t="str" cm="1">
        <f t="array" ref="CF12">IFERROR(IF(V12="Custom", "$0.1 per kWh", IF(B12="New Construction", CONCATENATE("$",INDEX('Lookup Tables'!$AH$114:$AN$154,MATCH(1,('Lookup Tables'!$AH$114:$AH$154='Lighting Inventory'!V12)*('Lookup Tables'!$AI$114:$AI$154='Lighting Inventory'!W12),FALSE),6)," ",INDEX('Lookup Tables'!$AH$114:$AN$154,MATCH(1,('Lookup Tables'!$AH$114:$AH$154='Lighting Inventory'!V12)*('Lookup Tables'!$AI$114:$AI$154='Lighting Inventory'!W12),FALSE),7)), IF(AND(BU12="N", V12="Exit Signs"), "$0.025 per kWh", CONCATENATE("$",INDEX('Lookup Tables'!$AH$6:$AN$102,MATCH(1,('Lookup Tables'!$AH$6:$AH$102='Lighting Inventory'!V12)*('Lookup Tables'!$AI$6:$AI$102='Lighting Inventory'!W12),FALSE),6)," ",INDEX('Lookup Tables'!$AH$6:$AN$102,MATCH(1,('Lookup Tables'!$AH$6:$AH$102='Lighting Inventory'!V12)*('Lookup Tables'!$AI$6:$AI$102='Lighting Inventory'!W12),FALSE),7))))), "")</f>
        <v/>
      </c>
      <c r="CG12" s="580"/>
      <c r="CH12" s="248" t="str">
        <f t="shared" si="12"/>
        <v/>
      </c>
      <c r="CI12" s="248" t="str">
        <f t="shared" si="13"/>
        <v>Select_IE</v>
      </c>
      <c r="CJ12" s="248" t="str">
        <f t="shared" si="14"/>
        <v/>
      </c>
      <c r="CK12" s="248" t="str">
        <f t="shared" si="15"/>
        <v/>
      </c>
      <c r="CL12" s="248" t="str">
        <f t="shared" si="16"/>
        <v/>
      </c>
      <c r="CM12" s="248" t="str">
        <f>IFERROR(IF(B12="", "", IF(B12="New Construction", VLOOKUP(V12, 'Lookup Tables'!$AF$114:$AG$120, 2, FALSE), VLOOKUP(V12, 'Lookup Tables'!$AD$6:$AE$25, 2, FALSE))), "")</f>
        <v/>
      </c>
      <c r="CN12" s="248" t="str">
        <f t="shared" si="17"/>
        <v/>
      </c>
      <c r="CO12" s="248" t="str">
        <f t="shared" si="18"/>
        <v/>
      </c>
      <c r="CP12" s="592" t="str">
        <f t="shared" si="19"/>
        <v/>
      </c>
      <c r="CQ12" s="248" t="str">
        <f t="shared" ref="CQ12:CQ75" si="97">IF(E12="","",IF(E12="Exterior","exterior_controls","interior_Controls"))</f>
        <v/>
      </c>
      <c r="CR12" s="100"/>
      <c r="CS12" s="250" t="str">
        <f t="shared" si="20"/>
        <v/>
      </c>
      <c r="CT12" s="250" t="str">
        <f t="shared" si="21"/>
        <v/>
      </c>
      <c r="CU12" s="250" t="str">
        <f t="shared" si="22"/>
        <v/>
      </c>
      <c r="CV12" s="250" t="str">
        <f t="shared" si="23"/>
        <v/>
      </c>
      <c r="CW12" s="250" t="str">
        <f t="shared" si="24"/>
        <v/>
      </c>
      <c r="CX12" s="250" t="str">
        <f t="shared" si="25"/>
        <v/>
      </c>
      <c r="CY12" s="250" t="str">
        <f t="shared" si="26"/>
        <v/>
      </c>
      <c r="CZ12" s="250" t="str">
        <f t="shared" si="27"/>
        <v/>
      </c>
      <c r="DA12" s="250" t="str">
        <f t="shared" si="28"/>
        <v/>
      </c>
      <c r="DB12" s="250" t="str">
        <f t="shared" si="29"/>
        <v/>
      </c>
      <c r="DC12" s="250" t="str">
        <f t="shared" si="30"/>
        <v/>
      </c>
      <c r="DD12" s="250" t="str">
        <f t="shared" si="31"/>
        <v/>
      </c>
      <c r="DE12" s="250" t="str">
        <f t="shared" si="32"/>
        <v/>
      </c>
      <c r="DF12" s="250" t="str">
        <f t="shared" si="33"/>
        <v/>
      </c>
      <c r="DG12" s="250" t="str">
        <f t="shared" si="34"/>
        <v/>
      </c>
      <c r="DH12" s="250" t="str">
        <f t="shared" si="35"/>
        <v/>
      </c>
      <c r="DI12" s="250" t="str">
        <f t="shared" si="36"/>
        <v/>
      </c>
      <c r="DJ12" s="250" t="str">
        <f t="shared" si="37"/>
        <v/>
      </c>
      <c r="DK12" s="250" t="str">
        <f t="shared" si="38"/>
        <v/>
      </c>
      <c r="DL12" s="250" t="str">
        <f t="shared" si="39"/>
        <v/>
      </c>
      <c r="DM12" s="250" t="str">
        <f>IF(CD12="ERROR", "ERROR", IF(AND(OR(Y12=$DM$6, Y12='Lookup Tables'!$AD$21, Y12='Lookup Tables'!$AD$22), E12="Interior"), BJ12, ""))</f>
        <v/>
      </c>
      <c r="DN12" s="250" t="str">
        <f>IF(CD12="ERROR", "ERROR", IF(AND(OR(Y12=$DM$6, Y12='Lookup Tables'!$AD$21, Y12='Lookup Tables'!$AD$22), E12="Exterior"), BJ12, ""))</f>
        <v/>
      </c>
      <c r="DO12" s="100"/>
      <c r="DP12" s="250" t="str">
        <f t="shared" si="40"/>
        <v/>
      </c>
      <c r="DQ12" s="250" t="str">
        <f t="shared" si="41"/>
        <v/>
      </c>
      <c r="DR12" s="250" t="str">
        <f t="shared" si="42"/>
        <v/>
      </c>
      <c r="DS12" s="250" t="str">
        <f t="shared" si="43"/>
        <v/>
      </c>
      <c r="DT12" s="250" t="str">
        <f t="shared" si="44"/>
        <v/>
      </c>
      <c r="DU12" s="250" t="str">
        <f t="shared" si="45"/>
        <v/>
      </c>
      <c r="DV12" s="250" t="str">
        <f t="shared" si="46"/>
        <v/>
      </c>
      <c r="DW12" s="250" t="str">
        <f t="shared" si="47"/>
        <v/>
      </c>
      <c r="DX12" s="250" t="str">
        <f t="shared" si="48"/>
        <v/>
      </c>
      <c r="DY12" s="250" t="str">
        <f t="shared" si="49"/>
        <v/>
      </c>
      <c r="DZ12" s="250" t="str">
        <f t="shared" si="50"/>
        <v/>
      </c>
      <c r="EA12" s="250" t="str">
        <f t="shared" si="51"/>
        <v/>
      </c>
      <c r="EB12" s="250" t="str">
        <f t="shared" si="52"/>
        <v/>
      </c>
      <c r="EC12" s="250" t="str">
        <f t="shared" si="53"/>
        <v/>
      </c>
      <c r="ED12" s="250" t="str">
        <f t="shared" si="54"/>
        <v/>
      </c>
      <c r="EE12" s="250" t="str">
        <f t="shared" si="55"/>
        <v/>
      </c>
      <c r="EF12" s="250" t="str">
        <f t="shared" si="56"/>
        <v/>
      </c>
      <c r="EG12" s="250" t="str">
        <f t="shared" si="57"/>
        <v/>
      </c>
      <c r="EH12" s="250" t="str">
        <f>IF(CD12="ERROR", "ERROR", IF(AND(OR($EH$6=Y12, Y12='Lookup Tables'!$AD$21, Y12='Lookup Tables'!$AD$22),E12="Interior"), SUM(BP12:BP12), ""))</f>
        <v/>
      </c>
      <c r="EI12" s="250" t="str">
        <f>IF(CD12="ERROR", "ERROR", IF(AND(OR($EH$6=Y12, Y12='Lookup Tables'!$AD$21, Y12='Lookup Tables'!$AD$22),E12="Exterior"), SUM(BP12:BP12), ""))</f>
        <v/>
      </c>
      <c r="EJ12" s="109"/>
      <c r="EK12" s="485" t="str">
        <f t="shared" si="58"/>
        <v/>
      </c>
      <c r="EL12" s="252" t="str">
        <f t="shared" si="59"/>
        <v/>
      </c>
      <c r="EM12" s="252" t="str">
        <f t="shared" si="60"/>
        <v/>
      </c>
      <c r="EN12" s="252" t="str">
        <f t="shared" si="61"/>
        <v/>
      </c>
      <c r="EO12" s="252" t="str">
        <f t="shared" si="62"/>
        <v/>
      </c>
      <c r="EP12" s="252" t="str">
        <f t="shared" si="63"/>
        <v/>
      </c>
      <c r="EQ12" s="252" t="str">
        <f t="shared" si="64"/>
        <v/>
      </c>
      <c r="ER12" s="252" t="str">
        <f t="shared" si="65"/>
        <v/>
      </c>
      <c r="ES12" s="252" t="str">
        <f t="shared" si="66"/>
        <v/>
      </c>
      <c r="ET12" s="252" t="str">
        <f t="shared" si="67"/>
        <v/>
      </c>
      <c r="EU12" s="252" t="str">
        <f t="shared" si="68"/>
        <v/>
      </c>
      <c r="EV12" s="252" t="str">
        <f t="shared" si="69"/>
        <v/>
      </c>
      <c r="EW12" s="252" t="str">
        <f t="shared" si="70"/>
        <v/>
      </c>
      <c r="EX12" s="252" t="str">
        <f t="shared" si="71"/>
        <v/>
      </c>
      <c r="EY12" s="252" t="str">
        <f t="shared" si="72"/>
        <v/>
      </c>
      <c r="EZ12" s="252" t="str">
        <f t="shared" si="73"/>
        <v/>
      </c>
      <c r="FA12" s="252" t="str">
        <f t="shared" si="74"/>
        <v/>
      </c>
      <c r="FB12" s="252" t="str">
        <f t="shared" si="75"/>
        <v/>
      </c>
      <c r="FC12" s="252" t="str">
        <f>IF(CD12="ERROR", "ERROR", IF(OR(V12="No Change", V12="Not DLC or Energy Star"), "", IF(AND(OR($FC$6=Y12,Y12='Lookup Tables'!$AD$21, Y12='Lookup Tables'!$AD$22),E12="Interior"), S12, "")))</f>
        <v/>
      </c>
      <c r="FD12" s="252" t="str">
        <f t="shared" si="76"/>
        <v/>
      </c>
      <c r="FE12" s="584"/>
      <c r="FF12" s="579" t="str" cm="1">
        <f t="array" ref="FF12">IFERROR(IF(OR(BQ12&lt;=0,AQ12&lt;20,AND(V12="Exit Signs",AN12&gt;0)),"",IF(AND(AQ12&gt;=20,AN12='Lookup Tables'!$R$101),'Lookup Tables'!$U$101*BQ12,AP12*LOOKUP(2,1/((AN12='Lookup Tables'!$R$91:$R$111)*(AQ12&gt;='Lookup Tables'!$S$91:$S$111)*(AQ12&lt;='Lookup Tables'!$T$91:$T$111)),'Lookup Tables'!$U$91:$U$111))),"")</f>
        <v/>
      </c>
      <c r="FG12" s="579"/>
      <c r="FH12" s="579"/>
      <c r="FI12" s="253" t="str">
        <f>IFERROR(ROUND(IF(CD12="ERROR", "ERROR", IF(AND($FI$7=X12,E12="Interior"),VLOOKUP(W12, 'Lookup Tables'!$AI$6:$AM$102, 5, FALSE)*BP12, "")), 2), "")</f>
        <v/>
      </c>
      <c r="FJ12" s="253" t="str">
        <f>IFERROR(ROUND(IF(CD12="ERROR", "ERROR", IF(AND($FI$7=X12,E12="Exterior"),VLOOKUP(W12, 'Lookup Tables'!$AI$6:$AM$102, 5, FALSE)*BP12, "")), 2), "")</f>
        <v/>
      </c>
      <c r="FK12" s="253" t="str">
        <f>IFERROR(ROUND(IF(CD12="ERROR", "ERROR", IF(AND($FK$7=X12,E12="Interior"),VLOOKUP(W12, 'Lookup Tables'!$AI$6:$AM$102, 5, FALSE)*BP12, "")), 2), "")</f>
        <v/>
      </c>
      <c r="FL12" s="253" t="str">
        <f>IFERROR(ROUND(IF(CD12="ERROR", "ERROR", IF(AND($FK$7=X12,E12="Exterior"),VLOOKUP(W12, 'Lookup Tables'!$AI$6:$AM$102, 5, FALSE)*BP12, "")), 2), "")</f>
        <v/>
      </c>
      <c r="FM12" s="253" t="str">
        <f>IFERROR(ROUND(IF(CD12="ERROR", "ERROR", IF(AND($FM$6=Y12,E12="Interior"), IF(GB12=0, VLOOKUP(W12, 'Lookup Tables'!$AI$6:$AM$102, 5, FALSE)*BP12, IF(VLOOKUP(W12, 'Lookup Tables'!$AI$6:$AM$102, 5, FALSE)*BP12&gt;GB12*'Lighting Inventory'!S12, GB12*'Lighting Inventory'!S12,VLOOKUP(W12, 'Lookup Tables'!$AI$6:$AM$102, 5, FALSE)*BP12)), "")), 2), "")</f>
        <v/>
      </c>
      <c r="FN12" s="253" t="str">
        <f>IFERROR(ROUND(IF(CD12="ERROR", "ERROR", IF(AND($FM$6=Y12,E12="Exterior"), IF(GB12=0, VLOOKUP(W12, 'Lookup Tables'!$AI$6:$AM$102, 5, FALSE)*BP12, IF(VLOOKUP(W12, 'Lookup Tables'!$AI$6:$AM$102, 5, FALSE)*BP12&gt;GB12*'Lighting Inventory'!S12, GB12*'Lighting Inventory'!S12,VLOOKUP(W12, 'Lookup Tables'!$AI$6:$AM$102, 5, FALSE)*BP12)), "")), 2), "")</f>
        <v/>
      </c>
      <c r="FO12" s="253" t="str">
        <f>IFERROR(ROUND(IF(CD12="ERROR", "ERROR", IF(AND($FO$6=Y12,E12="Interior"),VLOOKUP(W12, 'Lookup Tables'!$AI$6:$AM$102, 5, FALSE)*'Lighting Inventory'!AI12, "")), 2), "")</f>
        <v/>
      </c>
      <c r="FP12" s="253" t="str">
        <f>IFERROR(ROUND(IF(CD12="ERROR", "ERROR", IF(AND($FO$6=Y12,E12="Exterior"),VLOOKUP(W12, 'Lookup Tables'!$AI$6:$AM$102, 5, FALSE)*'Lighting Inventory'!AI12, "")), 2), "")</f>
        <v/>
      </c>
      <c r="FQ12" s="253" t="str">
        <f>IFERROR(ROUND(IF(CD12="ERROR", "ERROR", IF(AND($FQ$6=Y12,E12="Interior", BU12="Y"), VLOOKUP('Lighting Inventory'!W12, 'Lookup Tables'!$AI$6:$AM$102, 5, FALSE)*'Lighting Inventory'!S12, IF(AND($FQ$7=Y12,E12="Interior", BU12="N"), 0.025*CD12, ""))), 2), "")</f>
        <v/>
      </c>
      <c r="FR12" s="253" t="str">
        <f>IFERROR(ROUND(IF(CD12="ERROR", "ERROR", IF(AND($FQ$6=Y12,E12="Exterior"), VLOOKUP('Lighting Inventory'!W12, 'Lookup Tables'!$AI$6:$AM$102, 5, FALSE)*'Lighting Inventory'!S12, "")), 2), "")</f>
        <v/>
      </c>
      <c r="FS12" s="253" t="str">
        <f>IFERROR(ROUND(IF(CD12="ERROR", "ERROR", IF(AND($FS$6=Y12,E12="Exterior"), IF(GB12=0, VLOOKUP(W12, 'Lookup Tables'!$AI$6:$AM$102, 5, FALSE)*BP12, IF(VLOOKUP(W12, 'Lookup Tables'!$AI$6:$AM$102, 5, FALSE)*BP12&gt;GB12*'Lighting Inventory'!S12, GB12*'Lighting Inventory'!S12,VLOOKUP(W12, 'Lookup Tables'!$AI$6:$AM$102, 5, FALSE)*BP12)), "")), 2), "")</f>
        <v/>
      </c>
      <c r="FT12" s="253" t="str">
        <f>IFERROR(ROUND(IF(CD12="ERROR", "ERROR", IF(AND($FT$6=Y12,E12="Interior"), IF(GB12=0, VLOOKUP(W12, 'Lookup Tables'!$AI$6:$AM$102, 5, FALSE)*BP12, IF(VLOOKUP(W12, 'Lookup Tables'!$AI$6:$AM$102, 5, FALSE)*BP12&gt;GB12*'Lighting Inventory'!S12, GB12*'Lighting Inventory'!S12,VLOOKUP(W12, 'Lookup Tables'!$AI$6:$AM$102, 5, FALSE)*BP12)), "")), 2), "")</f>
        <v/>
      </c>
      <c r="FU12" s="253" t="str">
        <f>IFERROR(ROUND(IF(CD12="ERROR", "ERROR", IF(AND(Y12=$FU$6, E12="Interior"), IF(BS12="N", 'Lookup Tables'!$AM$101*BP12, VLOOKUP(W12, 'Lookup Tables'!$AI$6:$AM$102, 5, FALSE)*S12*AD12), "")), 2), "")</f>
        <v/>
      </c>
      <c r="FV12" s="253" t="str">
        <f>IFERROR(ROUND(IF(CD12="ERROR", "ERROR", IF(AND(Y12=$FU$6, E12="Exterior"), IF(BS12="N", 'Lookup Tables'!$AM$101*BP12, VLOOKUP(W12, 'Lookup Tables'!$AI$6:$AM$102, 5, FALSE)*S12*AD12), "")), 2), "")</f>
        <v/>
      </c>
      <c r="FW12" s="253" t="str">
        <f>IFERROR(ROUND(IF(CD12="ERROR", "ERROR", IF($FW$6=Y12, IF(BS12="N", 'Lookup Tables'!$AM$101*BP12, MIN((VLOOKUP(W12, 'Lookup Tables'!$AI$6:$AM$102, 5, FALSE)*BP12),GB12*AJ12)), "")), 2), "")</f>
        <v/>
      </c>
      <c r="FX12" s="253" t="str">
        <f>IFERROR(ROUND(IF(CD12="ERROR", "ERROR", IF(AND($FX$6=Y12, E12="Interior"), IF(VLOOKUP(W12, 'Lookup Tables'!$AI$6:$AM$102, 5, FALSE)*BP12&gt;'Lookup Tables'!$AQ$97*'Lighting Inventory'!S12,'Lighting Inventory'!S12*'Lookup Tables'!$AQ$97,VLOOKUP(W12, 'Lookup Tables'!$AI$6:$AM$102, 5, FALSE)*BP12), "")), 2), "")</f>
        <v/>
      </c>
      <c r="FY12" s="253" t="str">
        <f>IFERROR(ROUND(IF(CD12="ERROR", "ERROR", IF(AND($FX$6=Y12, E12="Exterior"), IF(VLOOKUP(W12, 'Lookup Tables'!$AI$6:$AM$102, 5, FALSE)*BP12&gt;'Lookup Tables'!$AQ$97*'Lighting Inventory'!S12,'Lighting Inventory'!S12*'Lookup Tables'!$AQ$97,VLOOKUP(W12, 'Lookup Tables'!$AI$6:$AM$102, 5, FALSE)*BP12), "")), 2), "")</f>
        <v/>
      </c>
      <c r="FZ12" s="253" t="str">
        <f>IFERROR(ROUND(IF(CD12="ERROR", "ERROR", IF(AND($FZ$6=Y12, E12="Interior"), IF(AND(OR(W12="Refrigerated Case Lighting with Doors", W12="Freezer Case Lighting"),Y12="Custom - Process Improvement"),CD12*'Lookup Tables'!$AM$101, IF(B12="Retrofit", IF(VLOOKUP(IF(V12="Custom", V12, W12), 'Lookup Tables'!$AI$6:$AM$102, 5, FALSE)*BP12&gt;GE12, GE12, VLOOKUP(IF(V12="Custom", V12, W12), 'Lookup Tables'!$AI$6:$AM$102, 5, FALSE)*BP12), IF(VLOOKUP(IF(V12="Custom", V12, W12), 'Lookup Tables'!$AI$114:$AM$154, 5, FALSE)*BP12&gt;GE12, GE12, VLOOKUP(IF(V12="Custom", V12, W12), 'Lookup Tables'!$AI$114:$AM$154, 5, FALSE)*BP12))), "")), 2),"")</f>
        <v/>
      </c>
      <c r="GA12" s="253" t="str">
        <f>IFERROR(ROUND(IF(CD12="ERROR", "ERROR", IF(AND($FZ$6=Y12, E12="Exterior"), IF(B12="Retrofit", IF(VLOOKUP(IF(V12="Custom", V12, W12), 'Lookup Tables'!$AI$6:$AM$102, 5, FALSE)*BP12&gt;GE12, GE12, VLOOKUP(IF(V12="Custom", V12, W12), 'Lookup Tables'!$AI$6:$AM$102, 5, FALSE)*BP12), IF(VLOOKUP(IF(V12="Custom", V12, W12), 'Lookup Tables'!$AI$114:$AM$154, 5, FALSE)*BP12&gt;GE12, GE12, VLOOKUP(IF(V12="Custom", V12, W12), 'Lookup Tables'!$AI$114:$AM$154, 5, FALSE)*BP12)), "")), 2),"")</f>
        <v/>
      </c>
      <c r="GB12" s="254" t="str">
        <f t="array" ref="GB12">IF(B12="","",IF(OR(V12="Custom",V12="No Change"),0,IF(B12="Retrofit", INDEX('Lookup Tables'!$AH$6:$AQ$102,MATCH(1,('Lookup Tables'!$AH$6:$AH$102='Lighting Inventory'!V12)*('Lookup Tables'!$AI$6:$AI$102='Lighting Inventory'!W12),FALSE),10),INDEX('Lookup Tables'!$AH$114:$AQ$154,MATCH(1,('Lookup Tables'!$AH$114:$AH$154='Lighting Inventory'!V12)*('Lookup Tables'!$AI$114:$AI$154='Lighting Inventory'!W12),FALSE),10))))</f>
        <v/>
      </c>
      <c r="GC12" s="255" t="str">
        <f t="shared" si="77"/>
        <v/>
      </c>
      <c r="GD12" s="250" t="str">
        <f t="shared" si="78"/>
        <v/>
      </c>
      <c r="GE12" s="253" t="str">
        <f>IFERROR(IF(AND(AF12="", 'General Information'!$F$18="No"),"", IF(AF12="", ((GD12/$CD$266)*$CF$266)*0.5, AF12*S12*0.5)), "")</f>
        <v/>
      </c>
      <c r="GF12" s="255" t="str">
        <f>IF(AND('General Information'!$F$19="", 'General Information'!$F$18="Yes",AF12="",BW12="Y"), "Y", "N")</f>
        <v>N</v>
      </c>
      <c r="GG12" s="255" t="s">
        <v>2946</v>
      </c>
      <c r="GH12" s="255" t="str">
        <f>IFERROR(IF(B12="", "", VLOOKUP(J12, 'Fixture Identities'!$A$6:$N$908, 14, FALSE)), "")</f>
        <v/>
      </c>
      <c r="GI12" s="389" t="str">
        <f>IF(OR(B12="", V12="", W12=""), "", IF(AND(OR(M12='Lookup Tables'!$R$18, M12='Lookup Tables'!$R$19, M12='Lookup Tables'!$R$20, M12='Lookup Tables'!$R$21, M12='Lookup Tables'!$R$22), OR(AN12='Lookup Tables'!$R$17, AN12='Lookup Tables'!$R$17, AN12="")), "Y", "N"))</f>
        <v/>
      </c>
      <c r="GJ12" s="255" t="str">
        <f t="shared" si="79"/>
        <v/>
      </c>
      <c r="GK12" s="255" t="str">
        <f t="shared" si="80"/>
        <v/>
      </c>
      <c r="GL12" s="255" t="str">
        <f t="shared" si="81"/>
        <v/>
      </c>
      <c r="GM12" s="255" t="str">
        <f>IF(AN12="", "", IF(AND(IF(ISNA(VLOOKUP(AN12,'Lookup Tables'!$R$18:$R$22,1,FALSE)), "N", "Y")="Y", E12="Exterior"), "Y", "N"))</f>
        <v/>
      </c>
      <c r="GN12" s="395"/>
      <c r="GO12" s="428">
        <f t="shared" ref="GO12:GO75" si="98">SUM(FF12:GA12)</f>
        <v>0</v>
      </c>
      <c r="GP12" s="428">
        <f>GO12</f>
        <v>0</v>
      </c>
      <c r="GQ12" s="428">
        <f t="shared" ref="GQ12:GQ75" si="99">IF(FH12="",0,IF(GP12=0,0,FH12))</f>
        <v>0</v>
      </c>
      <c r="GR12" s="428">
        <f t="shared" ref="GR12:GR75" si="100">IF(GP12=0,0,GP12-GQ12)</f>
        <v>0</v>
      </c>
      <c r="GT12" s="428"/>
      <c r="GW12" s="599"/>
    </row>
    <row r="13" spans="1:207" s="103" customFormat="1" ht="13.5" customHeight="1" x14ac:dyDescent="0.2">
      <c r="A13" s="272">
        <v>3</v>
      </c>
      <c r="B13" s="110"/>
      <c r="C13" s="595"/>
      <c r="D13" s="595"/>
      <c r="E13" s="110"/>
      <c r="F13" s="110"/>
      <c r="G13" s="110"/>
      <c r="H13" s="110"/>
      <c r="I13" s="596"/>
      <c r="J13" s="29"/>
      <c r="K13" s="272" t="str">
        <f>IFERROR(IF(OR(VLOOKUP(J13, 'Fixture Identities'!$A$6:$L$1023, 3, FALSE)="T12 Linear Fluorescent", VLOOKUP(J13, 'Fixture Identities'!$A$6:$L$1023, 3, FALSE)="T12 U-Tube Fluorescent"), VLOOKUP(VLOOKUP(J13, 'Fixture Identities'!$A$6:$L$1023, 11, FALSE), 'Fixture Identities'!$A$6:$L$1023, 10, FALSE), VLOOKUP(J13, 'Fixture Identities'!$A$6:$L$1023, 10, FALSE)), "")</f>
        <v/>
      </c>
      <c r="L13" s="270" t="str">
        <f t="shared" si="82"/>
        <v/>
      </c>
      <c r="M13" s="110"/>
      <c r="N13" s="110"/>
      <c r="O13" s="110"/>
      <c r="P13" s="272" t="str">
        <f>IFERROR(IF(OR(B13="Retrofit",B13=""),"",IF('Lighting Inventory'!E13="Exterior",VLOOKUP('Lighting Inventory'!N13,'Lookup Tables'!$B$83:$F$103,5,FALSE),IF(N13="Other - Please Estimate EFLH and CFs","Contact Prog. Rep.","ft^2"))), "")</f>
        <v/>
      </c>
      <c r="Q13" s="270" t="str">
        <f>IFERROR(IF(AND(B13="New Construction",E13="Interior",$F$5="Space-by-Space"),VLOOKUP('Lighting Inventory'!N13,'Lookup Tables'!$N$6:$O$97,2,FALSE),IF(AND(B13="New Construction",E13="Exterior"),VLOOKUP(N13,'Lookup Tables'!$B$83:$F$103,2,FALSE),IF(AND(B13="New Construction",'Lighting Inventory'!E13="Interior", $F$5="Building Area"),VLOOKUP(F13,'Lookup Tables'!$A$6:$J$59,10,FALSE),""))), "")</f>
        <v/>
      </c>
      <c r="R13" s="270" t="str">
        <f>IFERROR(IF(P13="Contact Prog. Rep.", "ERROR", IF(OR(B13="",B13="Retrofit"),"",IF(N13="Automated teller machines", ('Lookup Tables'!$A$82:$E$100+('Lighting Inventory'!O13-1)*'Lookup Tables'!$A$82:$E$100)/1000, (Q13*O13)/1000))), "")</f>
        <v/>
      </c>
      <c r="S13" s="595"/>
      <c r="T13" s="105" t="str">
        <f t="shared" si="83"/>
        <v/>
      </c>
      <c r="U13" s="105" t="str">
        <f>IF(S13="","",COUNT($S$11:S13))</f>
        <v/>
      </c>
      <c r="V13" s="111"/>
      <c r="W13" s="112"/>
      <c r="X13" s="105" t="str">
        <f t="shared" si="84"/>
        <v/>
      </c>
      <c r="Y13" s="105" t="str">
        <f t="array" ref="Y13">IF(AND(OR(W13="Freezer Case Lighting", W13="Refrigerated Case Lighting with Doors"), 'General Information'!$X$18="LCI"),'Lookup Tables'!$Y$34, IF(V13="Custom", VLOOKUP(W13, 'Fixture Identities'!$A$974:$M$1023, 13, FALSE), IF(V13="No Change",'Lookup Tables'!$Y$29,IF(OR(V13="",W13=""),"",IF(AND(S13=0,S13&lt;I13,B13="Retrofit"),'Lookup Tables'!$Y$25, IF(B13="Retrofit", INDEX('Lookup Tables'!$AH$6:$AP$102, MATCH(1, ('Lookup Tables'!$AH$6:$AH$102=V13)*('Lookup Tables'!$AI$6:$AI$102=W13), 0), IF('Lighting Inventory'!E13="Interior", 4, 5)), INDEX('Lookup Tables'!$AH$114:$AP$154, MATCH(1, ('Lookup Tables'!$AH$114:$AH$154=V13)*('Lookup Tables'!$AI$114:$AI$154=W13), 0), IF('Lighting Inventory'!E13="Interior", 4, 5))))))))</f>
        <v/>
      </c>
      <c r="Z13" s="105" t="str">
        <f>IFERROR(INDEX('Lookup Tables'!$AH$158:$AH$172,MATCH('Lighting Inventory'!Y13,'Lookup Tables'!$AI$158:$AI$172,0)),"")</f>
        <v/>
      </c>
      <c r="AA13" s="105" t="str">
        <f>IF(AP13&gt;0,INDEX('Lookup Tables'!$AK$158:$AK$172,MATCH('Lighting Inventory'!Y13,'Lookup Tables'!$AI$158:$AI$172,0)),'Lighting Inventory'!Y13)</f>
        <v/>
      </c>
      <c r="AB13" s="105" t="str">
        <f t="array" ref="AB13">IF(V13="Custom", "Custom", IF(V13="", "", IF(V13="Not DLC or Energy Star", "General", IF(B13="New Construction", INDEX('Lookup Tables'!$AH$114:$AP$154,MATCH(1,('Lookup Tables'!$AH$114:$AH$154='Lighting Inventory'!V13)*('Lookup Tables'!$AI$114:$AI$154='Lighting Inventory'!W13),FALSE),8), INDEX('Lookup Tables'!$AH$6:$AP$102,MATCH(1,('Lookup Tables'!$AH$6:$AH$102='Lighting Inventory'!V13)*('Lookup Tables'!$AI$6:$AI$102='Lighting Inventory'!W13),FALSE),8)))))</f>
        <v/>
      </c>
      <c r="AC13" s="272" t="str">
        <f>IF(W13="","",IF(V13="Custom",CONCATENATE("$",'Lookup Tables'!$AM$101," ",'Lookup Tables'!$AN$101),CONCATENATE("$",INDEX('Lookup Tables'!$AM$6:$AM$102,MATCH('Lighting Inventory'!W13,'Lookup Tables'!$AI$6:$AI$102,0))," ",INDEX('Lookup Tables'!$AN$6:$AN$102,MATCH('Lighting Inventory'!W13,'Lookup Tables'!$AI$6:$AI$102,0)))))</f>
        <v/>
      </c>
      <c r="AD13" s="597"/>
      <c r="AE13" s="29"/>
      <c r="AF13" s="379"/>
      <c r="AG13" s="370" t="str">
        <f t="shared" si="2"/>
        <v/>
      </c>
      <c r="AH13" s="370" t="str">
        <f t="shared" si="85"/>
        <v/>
      </c>
      <c r="AI13" s="29"/>
      <c r="AJ13" s="29"/>
      <c r="AK13" s="110"/>
      <c r="AL13" s="375" t="str">
        <f>IF(OR(B13="", V13="", W13=""), "", IF(V13="No Change", K13, IF(V13="Remove Fixture", 0, IF(V13="Custom",VLOOKUP(W13,'Fixture Identities'!$A$6:$K$1023,10,FALSE),IF(AE13="", "← ENTER POST WATTS", 'Lighting Inventory'!AE13)))))</f>
        <v/>
      </c>
      <c r="AM13" s="376" t="str">
        <f t="shared" si="3"/>
        <v/>
      </c>
      <c r="AN13" s="29"/>
      <c r="AO13" s="671"/>
      <c r="AP13" s="29"/>
      <c r="AQ13" s="29"/>
      <c r="AR13" s="29"/>
      <c r="AS13" s="272" t="str">
        <f t="shared" si="4"/>
        <v/>
      </c>
      <c r="AT13" s="270" t="str">
        <f t="shared" si="5"/>
        <v/>
      </c>
      <c r="AU13" s="88" t="str">
        <f t="shared" si="6"/>
        <v/>
      </c>
      <c r="AV13" s="29"/>
      <c r="AW13" s="73"/>
      <c r="AX13" s="271" t="str">
        <f>IF(AND(AV13="Applicant",OR(AW13="", AW13="Use Default Facility Hours")),"← Choose Schedule",IF(F13="","",IF(W13="LED Exit Signs",8760,IF(OR(AV13="Prescribed",AV13=""),VLOOKUP(F13,'Lookup Tables'!$A$6:$G$59,IF(AB13="General", 6, 3),FALSE),VLOOKUP(AW13,'Lookup Tables'!$S$36:$U$43,2,FALSE)))))</f>
        <v/>
      </c>
      <c r="AY13" s="88" t="str">
        <f t="shared" si="7"/>
        <v/>
      </c>
      <c r="AZ13" s="270" t="str">
        <f>IFERROR(IF(F13="", "", IF(W13="LED Exit Signs", 1, IF(AV13="Applicant",VLOOKUP(AW13, 'Lookup Tables'!$S$36:$U$43,3, FALSE), VLOOKUP('Lighting Inventory'!F13, 'Lookup Tables'!$A$6:$H$59, IF('Lighting Inventory'!AB13="General",7,4), FALSE)))), "")</f>
        <v/>
      </c>
      <c r="BA13" s="522" t="str">
        <f>IFERROR(IF(F13="", "", IF(W13="LED Exit Signs", 1, VLOOKUP('Lighting Inventory'!F13, 'Lookup Tables'!$A$6:$H$59, IF('Lighting Inventory'!AB13="General",8,5), FALSE))), "")</f>
        <v/>
      </c>
      <c r="BB13" s="270" t="str">
        <f>IF(G13="", "", IF(E13="Exterior", 0, IF('Lighting Inventory'!G13="Air Conditioned", VLOOKUP(H13, 'Lookup Tables'!$R$6:$T$13, 2, FALSE), VLOOKUP('Lighting Inventory'!G13, 'Lookup Tables'!$R$6:$T$13, 2, FALSE))))</f>
        <v/>
      </c>
      <c r="BC13" s="522" t="str">
        <f>IF(G13="", "", IF(E13="Exterior", 0, IF('Lighting Inventory'!G13="Air Conditioned", VLOOKUP(H13, 'Lookup Tables'!$R$6:$T$13, 3, FALSE), VLOOKUP('Lighting Inventory'!G13, 'Lookup Tables'!$R$6:$T$13, 3, FALSE))))</f>
        <v/>
      </c>
      <c r="BD13" s="270" t="str">
        <f>IF(G13="", "", IF(E13="Exterior", 0, IF('Lighting Inventory'!G13="Air Conditioned", VLOOKUP(H13, 'Lookup Tables'!$R$6:$U$13, 4, FALSE), VLOOKUP('Lighting Inventory'!G13, 'Lookup Tables'!$R$6:$U$13, 4, FALSE))))</f>
        <v/>
      </c>
      <c r="BE13" s="270" t="str">
        <f>IFERROR(IF(B13="", "",  IF(B13="New Construction", VLOOKUP(F13, 'Lookup Tables'!$A$6:$K$59, 11, FALSE),IF(OR(AN13="", AN13="Light Switch"), 0, IF(OR(M13="",M13="None",V13= "LED Exit Signs"),0,_xlfn.XLOOKUP(M13,'Lookup Tables'!$R$91:$R$101,'Lookup Tables'!$V$91:$V$101))))), "")</f>
        <v/>
      </c>
      <c r="BF13" s="270" t="str">
        <f>IF(AND(OR(AN13="Light Switch",AN13=""),B13="New Construction"), VLOOKUP(F13, 'Lookup Tables'!$A$6:$K$59, 11, FALSE),IF(AN13="","",IF(B13="","",IF(OR(AN13="None",AN13="",V13="LED Exit Signs",AN13="Exterior Controls Not Eligible"),0,_xlfn.XLOOKUP(AN13,'Lookup Tables'!$R$91:$R$101,'Lookup Tables'!$V$91:$V$101)))))</f>
        <v/>
      </c>
      <c r="BG13" s="88" t="str">
        <f t="shared" si="86"/>
        <v/>
      </c>
      <c r="BH13" s="88" t="str">
        <f t="shared" si="87"/>
        <v/>
      </c>
      <c r="BI13" s="558" t="str">
        <f>IFERROR(ROUND(IF(AND(B13="New Construction", V13="LED Exit Signs"), "", IF(B13="", "", SUM(BG13:BH13))),6),"")</f>
        <v/>
      </c>
      <c r="BJ13" s="560" t="str">
        <f t="shared" si="88"/>
        <v/>
      </c>
      <c r="BK13" s="560" t="str">
        <f t="shared" si="89"/>
        <v/>
      </c>
      <c r="BL13" s="559" t="str">
        <f t="shared" si="90"/>
        <v/>
      </c>
      <c r="BM13" s="521" t="str">
        <f t="shared" si="8"/>
        <v/>
      </c>
      <c r="BN13" s="521" t="str">
        <f t="shared" si="9"/>
        <v/>
      </c>
      <c r="BO13" s="522" t="str">
        <f t="shared" si="10"/>
        <v/>
      </c>
      <c r="BP13" s="83" t="str">
        <f t="shared" si="91"/>
        <v/>
      </c>
      <c r="BQ13" s="84" t="str">
        <f t="shared" si="92"/>
        <v/>
      </c>
      <c r="BR13" s="184" t="str">
        <f>IFERROR(IF(B13="", "", IF(OR(VLOOKUP(J13, 'Fixture Identities'!$A$6:$L$1023, 3, FALSE)="T12 Linear Fluorescent",VLOOKUP(J13, 'Fixture Identities'!$A$6:$L$1023, 3, FALSE)="T12 U-Tube Fluorescent"), "Y", "N")), "N")</f>
        <v/>
      </c>
      <c r="BS13" s="184" t="str">
        <f t="array" ref="BS13">IFERROR(IF(OR(B13="", V13="", W13=""), "", IF(V13="Custom", "N", IF(OR(W13="Freezer Case Lighting", W13="Refrigerated Case Lighting with Doors"), BT13, IF(B13="Retrofit", INDEX('Lookup Tables'!$AH$6:$AT$102,MATCH(1,('Lookup Tables'!$AH$6:$AH$102=V13)*('Lookup Tables'!$AI$6:$AI$102=W13),FALSE),IF(VLOOKUP(J13, 'Fixture Identities'!$A$6:$B$1023, 2, FALSE)="Incandescent",12, 13)), INDEX('Lookup Tables'!$AH$114:$AS$154,MATCH(1,('Lookup Tables'!$AH$114:$AH$154=V13)*('Lookup Tables'!$AI$114:$AI$154=W13),FALSE),12))))), "N")</f>
        <v/>
      </c>
      <c r="BT13" s="184" t="str">
        <f>IF(J13="", "", IF(AND(OR(W13="Freezer case Lighting", W13="Refrigerated Case Lighting with Doors"),'General Information'!$X$18="LCI"), "N", IF(OR(VLOOKUP(J13, 'Fixture Identities'!$A$6:$B$1023, 2, FALSE)="T12 EPACT/EISA Baseline", VLOOKUP(J13, 'Fixture Identities'!$A$6:$B$1023, 2, FALSE)="Linear Fluorescent", VLOOKUP(J13, 'Fixture Identities'!$A$6:$B$1023, 2, FALSE)="U-Tube Fluorescent"), "Y", "N")))</f>
        <v/>
      </c>
      <c r="BU13" s="184" t="str">
        <f>IFERROR(IF(B13="", "", IF(VLOOKUP(J13, 'Fixture Identities'!$A$6:$B$1023, 2, FALSE)="Exit Sign", "Y", "N")), "N")</f>
        <v/>
      </c>
      <c r="BV13" s="184" t="str">
        <f>IF(V13="Exit Signs", IF(VLOOKUP(J13, 'Fixture Identities'!$A$6:$B$1023, 2, FALSE)="Exit Sign", "N", "Y"), "")</f>
        <v/>
      </c>
      <c r="BW13" s="184" t="str" cm="1">
        <f t="array" ref="BW13">IFERROR(IF(B13="", "", IF(B13="New Construction", "N", INDEX('Lookup Tables'!$AH$6:$AU$102, MATCH(1, ('Lookup Tables'!$AH$6:$AH$102='Lighting Inventory'!V13)*('Lookup Tables'!$AI$6:$AI$102='Lighting Inventory'!W13), 0), 14))), "N")</f>
        <v/>
      </c>
      <c r="BX13" s="598" t="str">
        <f t="shared" si="93"/>
        <v/>
      </c>
      <c r="BY13" s="598" t="str">
        <f t="shared" si="94"/>
        <v/>
      </c>
      <c r="BZ13" s="598" t="str">
        <f t="shared" si="95"/>
        <v/>
      </c>
      <c r="CA13" s="598" t="str">
        <f t="shared" ref="CA13:CA75" si="101">IF(BZ13="", "",IF(BZ13&gt;((AF13*S13)+(AP13*AR13)),((AF13*S13)+(AP13*AR13)),BZ13))</f>
        <v/>
      </c>
      <c r="CB13" s="269" t="str">
        <f t="shared" ref="CB13:CB75" si="102">IFERROR(ROUND(IF(B13="", "", SUM(FF13:GA13)),2), "")</f>
        <v/>
      </c>
      <c r="CC13" s="517" t="str">
        <f t="shared" si="96"/>
        <v/>
      </c>
      <c r="CD13" s="565" t="str">
        <f t="shared" si="11"/>
        <v/>
      </c>
      <c r="CE13" s="368">
        <v>0</v>
      </c>
      <c r="CF13" s="368" t="str" cm="1">
        <f t="array" ref="CF13">IFERROR(IF(V13="Custom", "$0.1 per kWh", IF(B13="New Construction", CONCATENATE("$",INDEX('Lookup Tables'!$AH$114:$AN$154,MATCH(1,('Lookup Tables'!$AH$114:$AH$154='Lighting Inventory'!V13)*('Lookup Tables'!$AI$114:$AI$154='Lighting Inventory'!W13),FALSE),6)," ",INDEX('Lookup Tables'!$AH$114:$AN$154,MATCH(1,('Lookup Tables'!$AH$114:$AH$154='Lighting Inventory'!V13)*('Lookup Tables'!$AI$114:$AI$154='Lighting Inventory'!W13),FALSE),7)), IF(AND(BU13="N", V13="Exit Signs"), "$0.025 per kWh", CONCATENATE("$",INDEX('Lookup Tables'!$AH$6:$AN$102,MATCH(1,('Lookup Tables'!$AH$6:$AH$102='Lighting Inventory'!V13)*('Lookup Tables'!$AI$6:$AI$102='Lighting Inventory'!W13),FALSE),6)," ",INDEX('Lookup Tables'!$AH$6:$AN$102,MATCH(1,('Lookup Tables'!$AH$6:$AH$102='Lighting Inventory'!V13)*('Lookup Tables'!$AI$6:$AI$102='Lighting Inventory'!W13),FALSE),7))))), "")</f>
        <v/>
      </c>
      <c r="CG13" s="580"/>
      <c r="CH13" s="248" t="str">
        <f t="shared" ref="CH13:CH16" si="103">IF(E13="", "", IF(E13="Exterior", "Ext_Lighting_Description", "Int_Lighting_Description"))</f>
        <v/>
      </c>
      <c r="CI13" s="248" t="str">
        <f t="shared" ref="CI13:CI16" si="104">IF(E13="", "Select_IE", IF(E13="Interior", "Building_Type_Interior", "Building_Type_Exterior"))</f>
        <v>Select_IE</v>
      </c>
      <c r="CJ13" s="248" t="str">
        <f t="shared" ref="CJ13:CJ16" si="105">IF(F13="", "", IF(E13="Exterior", "Uncooled", IF(F13="Storage - Unconditioned", "Uncooled", "Cooled")))</f>
        <v/>
      </c>
      <c r="CK13" s="248" t="str">
        <f t="shared" ref="CK13:CK16" si="106">IF(E13="Exterior", "Unheated", IF(G13="", "", IF(OR(G13="Uncooled", G13="Air Conditioned"), "Heated", "Unheated")))</f>
        <v/>
      </c>
      <c r="CL13" s="248" t="str">
        <f t="shared" ref="CL13:CL16" si="107">IF(B13="", "", IF(AND(B13="New Construction", E13="Interior"), "NC_Fixture_Category_Int", IF(AND(B13="New Construction", E13="Exterior"), "NC_Fixture_Category_Ext", IF(AND(B13="Retrofit", E13="Interior"), "Ret_Fixture_Category_Int", IF(AND(B13="Retrofit", E13="Exterior"), "Ret_Fixture_Category_Ext", "Ret_Fixture_Category_Int")))))</f>
        <v/>
      </c>
      <c r="CM13" s="248" t="str">
        <f>IFERROR(IF(B13="", "", IF(B13="New Construction", VLOOKUP(V13, 'Lookup Tables'!$AF$114:$AG$120, 2, FALSE), VLOOKUP(V13, 'Lookup Tables'!$AD$6:$AE$25, 2, FALSE))), "")</f>
        <v/>
      </c>
      <c r="CN13" s="248" t="str">
        <f t="shared" ref="CN13:CN16" si="108">IF(AV13="", "", IF(AV13="Applicant", "EFLH_schedules", "EFLH_prescribed"))</f>
        <v/>
      </c>
      <c r="CO13" s="248" t="str">
        <f t="shared" ref="CO13:CO16" si="109">IF(B13="", "", IF(AND(B13="New Construction", OR($F$5="Not Applicable", $F$5="")), "NC_Calc_Method", IF(B13="Retrofit", "Not_Applicable", IF(AND(E13="Interior", $F$5="Building Area"), "NC_Facility_Type", IF(AND(E13="Interior", $F$5="Space-by-Space"), "NC_Space_Type_Int", IF(E13="Exterior", "NC_Space_Type_Ext", "Not_Applicable"))))))</f>
        <v/>
      </c>
      <c r="CP13" s="592" t="str">
        <f t="shared" ref="CP13:CP16" si="110">IF(E13="","",IF(E13="Exterior","ext_lighting_controls","Lighting_Controls"))</f>
        <v/>
      </c>
      <c r="CQ13" s="248" t="str">
        <f t="shared" si="97"/>
        <v/>
      </c>
      <c r="CR13" s="100"/>
      <c r="CS13" s="250" t="str">
        <f t="shared" ref="CS13:CS16" si="111">IF(CD13="ERROR","ERROR",BK13)</f>
        <v/>
      </c>
      <c r="CT13" s="250" t="str">
        <f t="shared" ref="CT13:CT16" si="112">IF(CD13="ERROR", "ERROR", IF(AND(X13=$CT$7, E13="Interior"), BJ13, ""))</f>
        <v/>
      </c>
      <c r="CU13" s="250" t="str">
        <f t="shared" ref="CU13:CU16" si="113">IF(CD13="ERROR", "ERROR", IF(AND(X13=$CT$7, E13="Exterior"), BJ13, ""))</f>
        <v/>
      </c>
      <c r="CV13" s="250" t="str">
        <f t="shared" ref="CV13:CV16" si="114">IF(CD13="ERROR", "ERROR", IF(AND(X13=$CV$7, E13="Interior"), BJ13, ""))</f>
        <v/>
      </c>
      <c r="CW13" s="250" t="str">
        <f t="shared" ref="CW13:CW16" si="115">IF(CD13="ERROR", "ERROR", IF(AND(X13=$CV$7, E13="Exterior"), BJ13, ""))</f>
        <v/>
      </c>
      <c r="CX13" s="250" t="str">
        <f t="shared" ref="CX13:CX16" si="116">IF(CD13="ERROR", "ERROR", IF(AND(Y13=$CX$6, E13="Interior"), BJ13, ""))</f>
        <v/>
      </c>
      <c r="CY13" s="250" t="str">
        <f t="shared" ref="CY13:CY16" si="117">IF(CD13="ERROR", "ERROR", IF(AND(Y13=$CX$6, E13="Exterior"), BJ13, ""))</f>
        <v/>
      </c>
      <c r="CZ13" s="250" t="str">
        <f t="shared" ref="CZ13:CZ16" si="118">IF(CD13="ERROR", "ERROR", IF(AND(Y13=$CZ$6, E13="Interior"), BJ13, ""))</f>
        <v/>
      </c>
      <c r="DA13" s="250" t="str">
        <f t="shared" ref="DA13:DA16" si="119">IF(CD13="ERROR", "ERROR", IF(AND(Y13=$CZ$6, E13="Exterior"), BJ13, ""))</f>
        <v/>
      </c>
      <c r="DB13" s="250" t="str">
        <f t="shared" ref="DB13:DB16" si="120">IF(CD13="ERROR", "ERROR", IF(AND(Y13=$DB$6, E13="Interior"), BJ13, ""))</f>
        <v/>
      </c>
      <c r="DC13" s="250" t="str">
        <f t="shared" ref="DC13:DC16" si="121">IF(CD13="ERROR", "ERROR", IF(AND(Y13=$DB$6, E13="Exterior"), BJ13, ""))</f>
        <v/>
      </c>
      <c r="DD13" s="250" t="str">
        <f t="shared" ref="DD13:DD16" si="122">IF(CD13="ERROR", "ERROR", IF(AND(Y13=$DD$6, E13="Interior"), BJ13, ""))</f>
        <v/>
      </c>
      <c r="DE13" s="250" t="str">
        <f t="shared" ref="DE13:DE16" si="123">IF(CD13="ERROR", "ERROR", IF(AND(Y13=$DD$6, E13="Exterior"), BJ13, ""))</f>
        <v/>
      </c>
      <c r="DF13" s="250" t="str">
        <f t="shared" ref="DF13:DF16" si="124">IF(CD13="ERROR", "ERROR", IF(AND(Y13=$DF$6, E13="Interior"), BJ13, ""))</f>
        <v/>
      </c>
      <c r="DG13" s="250" t="str">
        <f t="shared" ref="DG13:DG16" si="125">IF(CD13="ERROR", "ERROR", IF(AND(Y13=$DF$6, E13="Exterior"), BJ13, ""))</f>
        <v/>
      </c>
      <c r="DH13" s="250" t="str">
        <f t="shared" ref="DH13:DH16" si="126">IF(CD13="ERROR", "ERROR", IF(AND(Y13=$DH$6, E13="Interior"), BJ13, ""))</f>
        <v/>
      </c>
      <c r="DI13" s="250" t="str">
        <f t="shared" ref="DI13:DI16" si="127">IF(CD13="ERROR", "ERROR", IF(AND(Y13=$DH$6, E13="Exterior"), BJ13, ""))</f>
        <v/>
      </c>
      <c r="DJ13" s="250" t="str">
        <f t="shared" ref="DJ13:DJ16" si="128">IF(CD13="ERROR", "ERROR", IF(Y13=$DJ$6, BJ13, ""))</f>
        <v/>
      </c>
      <c r="DK13" s="250" t="str">
        <f t="shared" ref="DK13:DK16" si="129">IF(CD13="ERROR", "ERROR", IF(AND(Y13=$DK$6, E13="Interior"), BJ13, ""))</f>
        <v/>
      </c>
      <c r="DL13" s="250" t="str">
        <f t="shared" ref="DL13:DL16" si="130">IF(CD13="ERROR", "ERROR", IF(AND(Y13=$DK$6, E13="Exterior"), BJ13, ""))</f>
        <v/>
      </c>
      <c r="DM13" s="250" t="str">
        <f>IF(CD13="ERROR", "ERROR", IF(AND(OR(Y13=$DM$6, Y13='Lookup Tables'!$AD$21, Y13='Lookup Tables'!$AD$22), E13="Interior"), BJ13, ""))</f>
        <v/>
      </c>
      <c r="DN13" s="250" t="str">
        <f>IF(CD13="ERROR", "ERROR", IF(AND(OR(Y13=$DM$6, Y13='Lookup Tables'!$AD$21, Y13='Lookup Tables'!$AD$22), E13="Exterior"), BJ13, ""))</f>
        <v/>
      </c>
      <c r="DO13" s="100"/>
      <c r="DP13" s="250" t="str">
        <f t="shared" ref="DP13:DP16" si="131">IF(CD13="ERROR","ERROR",BQ13)</f>
        <v/>
      </c>
      <c r="DQ13" s="250" t="str">
        <f t="shared" ref="DQ13:DQ16" si="132">IF(CD13="ERROR", "ERROR", IF(AND($DQ$7=X13,E13="Interior"), BP13, ""))</f>
        <v/>
      </c>
      <c r="DR13" s="250" t="str">
        <f t="shared" ref="DR13:DR16" si="133">IF(CD13="ERROR", "ERROR", IF(AND($DQ$7=X13,E13="Exterior"), BP13, ""))</f>
        <v/>
      </c>
      <c r="DS13" s="250" t="str">
        <f t="shared" ref="DS13:DS16" si="134">IF(CD13="ERROR", "ERROR", IF(AND($DS$7=X13,E13="Interior"), BP13, ""))</f>
        <v/>
      </c>
      <c r="DT13" s="250" t="str">
        <f t="shared" ref="DT13:DT16" si="135">IF(CD13="ERROR", "ERROR", IF(AND($DS$7=X13,E13="Exterior"), BP13, ""))</f>
        <v/>
      </c>
      <c r="DU13" s="250" t="str">
        <f t="shared" ref="DU13:DU16" si="136">IF(CD13="ERROR", "ERROR", IF(AND($DU$6=Y13,E13="Interior"), BP13, ""))</f>
        <v/>
      </c>
      <c r="DV13" s="250" t="str">
        <f t="shared" ref="DV13:DV16" si="137">IF(CD13="ERROR", "ERROR", IF(AND($DU$6=Y13,E13="Exterior"), BP13, ""))</f>
        <v/>
      </c>
      <c r="DW13" s="250" t="str">
        <f t="shared" ref="DW13:DW16" si="138">IF(CD13="ERROR", "ERROR", IF(AND($DW$6=Y13,E13="Interior"), BP13, ""))</f>
        <v/>
      </c>
      <c r="DX13" s="250" t="str">
        <f t="shared" ref="DX13:DX16" si="139">IF(CD13="ERROR", "ERROR", IF(AND($DW$6=Y13,E13="Exterior"), BP13, ""))</f>
        <v/>
      </c>
      <c r="DY13" s="250" t="str">
        <f t="shared" ref="DY13:DY16" si="140">IF(CD13="ERROR", "ERROR", IF(AND($DY$6=Y13,E13="Interior"), BP13, ""))</f>
        <v/>
      </c>
      <c r="DZ13" s="250" t="str">
        <f t="shared" ref="DZ13:DZ16" si="141">IF(CD13="ERROR", "ERROR", IF(AND($DY$6=Y13,E13="Exterior"), BP13, ""))</f>
        <v/>
      </c>
      <c r="EA13" s="250" t="str">
        <f t="shared" ref="EA13:EA16" si="142">IF(CD13="ERROR", "ERROR", IF(AND($EA$6=Y13,E13="Exterior"), BP13, ""))</f>
        <v/>
      </c>
      <c r="EB13" s="250" t="str">
        <f t="shared" ref="EB13:EB16" si="143">IF(CD13="ERROR", "ERROR", IF(AND(Y13=$EB$6, E13="Interior"), BP13, ""))</f>
        <v/>
      </c>
      <c r="EC13" s="250" t="str">
        <f t="shared" ref="EC13:EC16" si="144">IF(CD13="ERROR", "ERROR", IF(AND(Y13=$EC$6, E13="Interior"), BP13, ""))</f>
        <v/>
      </c>
      <c r="ED13" s="250" t="str">
        <f t="shared" ref="ED13:ED16" si="145">IF(CD13="ERROR", "ERROR", IF(AND(Y13=$EC$6, E13="Exterior"), BP13, ""))</f>
        <v/>
      </c>
      <c r="EE13" s="250" t="str">
        <f t="shared" ref="EE13:EE16" si="146">IF(CD13="ERROR", "ERROR", IF(Y13=$EE$6, BP13, ""))</f>
        <v/>
      </c>
      <c r="EF13" s="250" t="str">
        <f t="shared" ref="EF13:EF16" si="147">IF(CD13="ERROR", "ERROR", IF(AND($EF$6=Y13,E13="Interior"), BP13, ""))</f>
        <v/>
      </c>
      <c r="EG13" s="250" t="str">
        <f t="shared" ref="EG13:EG16" si="148">IF(CD13="ERROR", "ERROR", IF(AND($EF$6=Y13,E13="Exterior"), BP13, ""))</f>
        <v/>
      </c>
      <c r="EH13" s="250" t="str">
        <f>IF(CD13="ERROR", "ERROR", IF(AND(OR($EH$6=Y13, Y13='Lookup Tables'!$AD$21, Y13='Lookup Tables'!$AD$22),E13="Interior"), SUM(BP13:BP13), ""))</f>
        <v/>
      </c>
      <c r="EI13" s="250" t="str">
        <f>IF(CD13="ERROR", "ERROR", IF(AND(OR($EH$6=Y13, Y13='Lookup Tables'!$AD$21, Y13='Lookup Tables'!$AD$22),E13="Exterior"), SUM(BP13:BP13), ""))</f>
        <v/>
      </c>
      <c r="EJ13" s="109"/>
      <c r="EK13" s="485" t="str">
        <f t="shared" si="58"/>
        <v/>
      </c>
      <c r="EL13" s="252" t="str">
        <f t="shared" ref="EL13:EL16" si="149">IF(CD13="ERROR", "ERROR", IF(AND($EL$7=X13,E13="Interior"), S13, ""))</f>
        <v/>
      </c>
      <c r="EM13" s="252" t="str">
        <f t="shared" ref="EM13:EM16" si="150">IF(CD13="ERROR", "ERROR", IF(AND($EL$7=X13,E13="Exterior"), S13, ""))</f>
        <v/>
      </c>
      <c r="EN13" s="252" t="str">
        <f t="shared" ref="EN13:EN16" si="151">IF(CD13="ERROR", "ERROR", IF(AND($EN$7=X13,E13="Interior"), S13, ""))</f>
        <v/>
      </c>
      <c r="EO13" s="252" t="str">
        <f t="shared" ref="EO13:EO16" si="152">IF(CD13="ERROR", "ERROR", IF(AND($EN$7=X13,E13="Exterior"), S13, ""))</f>
        <v/>
      </c>
      <c r="EP13" s="252" t="str">
        <f t="shared" ref="EP13:EP16" si="153">IF(CD13="ERROR", "ERROR", IF(AND($EP$6=Y13,E13="Interior"), S13, ""))</f>
        <v/>
      </c>
      <c r="EQ13" s="252" t="str">
        <f t="shared" ref="EQ13:EQ16" si="154">IF(CD13="ERROR", "ERROR", IF(AND($EP$6=Y13,E13="Exterior"), S13, ""))</f>
        <v/>
      </c>
      <c r="ER13" s="252" t="str">
        <f t="shared" ref="ER13:ER16" si="155">IF(CD13="ERROR", "ERROR", IF(AND($ER$6=Y13,E13="Interior"), S13, ""))</f>
        <v/>
      </c>
      <c r="ES13" s="252" t="str">
        <f t="shared" ref="ES13:ES16" si="156">IF(CD13="ERROR", "ERROR", IF(AND($ER$6=Y13,E13="Exterior"), S13, ""))</f>
        <v/>
      </c>
      <c r="ET13" s="252" t="str">
        <f t="shared" ref="ET13:ET16" si="157">IF(CD13="ERROR", "ERROR", IF(AND($ET$6=Y13,E13="Interior"), S13, ""))</f>
        <v/>
      </c>
      <c r="EU13" s="252" t="str">
        <f t="shared" ref="EU13:EU16" si="158">IF(CD13="ERROR", "ERROR", IF(AND($ET$6=Y13,E13="Exterior"), S13, ""))</f>
        <v/>
      </c>
      <c r="EV13" s="252" t="str">
        <f t="shared" ref="EV13:EV16" si="159">IF(CD13="ERROR", "ERROR", IF(AND($EV$6=Y13,E13="Exterior"), S13, ""))</f>
        <v/>
      </c>
      <c r="EW13" s="252" t="str">
        <f t="shared" ref="EW13:EW16" si="160">IF(CD13="ERROR", "ERROR", IF(AND($EW$6=Y13,E13="Interior"), S13, ""))</f>
        <v/>
      </c>
      <c r="EX13" s="252" t="str">
        <f t="shared" ref="EX13:EX16" si="161">IF(CD13="ERROR", "ERROR", IF(AND(Y13=$EX$6, E13="Interior"), S13, ""))</f>
        <v/>
      </c>
      <c r="EY13" s="252" t="str">
        <f t="shared" ref="EY13:EY16" si="162">IF(CD13="ERROR", "ERROR", IF(AND(Y13=$EX$6, E13="Exterior"), S13, ""))</f>
        <v/>
      </c>
      <c r="EZ13" s="252" t="str">
        <f t="shared" ref="EZ13:EZ16" si="163">IF(CD13="ERROR", "ERROR", IF($EZ$6=Y13, AJ13, ""))</f>
        <v/>
      </c>
      <c r="FA13" s="252" t="str">
        <f t="shared" ref="FA13:FA16" si="164">IF(CD13="ERROR", "ERROR", IF(AND($FA$6=Y13, E13="Interior"), S13, ""))</f>
        <v/>
      </c>
      <c r="FB13" s="252" t="str">
        <f t="shared" ref="FB13:FB16" si="165">IF(CD13="ERROR", "ERROR", IF(AND($FA$6=Y13,E13="Exterior"), S13, ""))</f>
        <v/>
      </c>
      <c r="FC13" s="252" t="str">
        <f>IF(CD13="ERROR", "ERROR", IF(OR(V13="No Change", V13="Not DLC or Energy Star"), "", IF(AND(OR($FC$6=Y13,Y13='Lookup Tables'!$AD$21, Y13='Lookup Tables'!$AD$22),E13="Interior"), S13, "")))</f>
        <v/>
      </c>
      <c r="FD13" s="252" t="str">
        <f t="shared" ref="FD13:FD16" si="166">IF(CD13="ERROR", "ERROR", IF(V13="No Change", "", IF(AND($FC$6=Y13,E13="Exterior"), S13, "")))</f>
        <v/>
      </c>
      <c r="FE13" s="585"/>
      <c r="FF13" s="579" t="str" cm="1">
        <f t="array" ref="FF13">IFERROR(IF(OR(BQ13&lt;=0,AQ13&lt;20,AND(V13="Exit Signs",AN13&gt;0)),"",IF(AND(AQ13&gt;=20,AN13='Lookup Tables'!$R$101),'Lookup Tables'!$U$101*BQ13,AP13*LOOKUP(2,1/((AN13='Lookup Tables'!$R$91:$R$111)*(AQ13&gt;='Lookup Tables'!$S$91:$S$111)*(AQ13&lt;='Lookup Tables'!$T$91:$T$111)),'Lookup Tables'!$U$91:$U$111))),"")</f>
        <v/>
      </c>
      <c r="FG13" s="579"/>
      <c r="FH13" s="579"/>
      <c r="FI13" s="253" t="str">
        <f>IFERROR(ROUND(IF(CD13="ERROR", "ERROR", IF(AND($FI$7=X13,E13="Interior"),VLOOKUP(W13, 'Lookup Tables'!$AI$6:$AM$102, 5, FALSE)*BP13, "")), 2), "")</f>
        <v/>
      </c>
      <c r="FJ13" s="253" t="str">
        <f>IFERROR(ROUND(IF(CD13="ERROR", "ERROR", IF(AND($FI$7=X13,E13="Exterior"),VLOOKUP(W13, 'Lookup Tables'!$AI$6:$AM$102, 5, FALSE)*BP13, "")), 2), "")</f>
        <v/>
      </c>
      <c r="FK13" s="253" t="str">
        <f>IFERROR(ROUND(IF(CD13="ERROR", "ERROR", IF(AND($FK$7=X13,E13="Interior"),VLOOKUP(W13, 'Lookup Tables'!$AI$6:$AM$102, 5, FALSE)*BP13, "")), 2), "")</f>
        <v/>
      </c>
      <c r="FL13" s="253" t="str">
        <f>IFERROR(ROUND(IF(CD13="ERROR", "ERROR", IF(AND($FK$7=X13,E13="Exterior"),VLOOKUP(W13, 'Lookup Tables'!$AI$6:$AM$102, 5, FALSE)*BP13, "")), 2), "")</f>
        <v/>
      </c>
      <c r="FM13" s="253" t="str">
        <f>IFERROR(ROUND(IF(CD13="ERROR", "ERROR", IF(AND($FM$6=Y13,E13="Interior"), IF(GB13=0, VLOOKUP(W13, 'Lookup Tables'!$AI$6:$AM$102, 5, FALSE)*BP13, IF(VLOOKUP(W13, 'Lookup Tables'!$AI$6:$AM$102, 5, FALSE)*BP13&gt;GB13*'Lighting Inventory'!S13, GB13*'Lighting Inventory'!S13,VLOOKUP(W13, 'Lookup Tables'!$AI$6:$AM$102, 5, FALSE)*BP13)), "")), 2), "")</f>
        <v/>
      </c>
      <c r="FN13" s="253" t="str">
        <f>IFERROR(ROUND(IF(CD13="ERROR", "ERROR", IF(AND($FM$6=Y13,E13="Exterior"), IF(GB13=0, VLOOKUP(W13, 'Lookup Tables'!$AI$6:$AM$102, 5, FALSE)*BP13, IF(VLOOKUP(W13, 'Lookup Tables'!$AI$6:$AM$102, 5, FALSE)*BP13&gt;GB13*'Lighting Inventory'!S13, GB13*'Lighting Inventory'!S13,VLOOKUP(W13, 'Lookup Tables'!$AI$6:$AM$102, 5, FALSE)*BP13)), "")), 2), "")</f>
        <v/>
      </c>
      <c r="FO13" s="253" t="str">
        <f>IFERROR(ROUND(IF(CD13="ERROR", "ERROR", IF(AND($FO$6=Y13,E13="Interior"),VLOOKUP(W13, 'Lookup Tables'!$AI$6:$AM$102, 5, FALSE)*'Lighting Inventory'!AI13, "")), 2), "")</f>
        <v/>
      </c>
      <c r="FP13" s="253" t="str">
        <f>IFERROR(ROUND(IF(CD13="ERROR", "ERROR", IF(AND($FO$6=Y13,E13="Exterior"),VLOOKUP(W13, 'Lookup Tables'!$AI$6:$AM$102, 5, FALSE)*'Lighting Inventory'!AI13, "")), 2), "")</f>
        <v/>
      </c>
      <c r="FQ13" s="253" t="str">
        <f>IFERROR(ROUND(IF(CD13="ERROR", "ERROR", IF(AND($FQ$6=Y13,E13="Interior", BU13="Y"), VLOOKUP('Lighting Inventory'!W13, 'Lookup Tables'!$AI$6:$AM$102, 5, FALSE)*'Lighting Inventory'!S13, IF(AND($FQ$7=Y13,E13="Interior", BU13="N"), 0.025*CD13, ""))), 2), "")</f>
        <v/>
      </c>
      <c r="FR13" s="253" t="str">
        <f>IFERROR(ROUND(IF(CD13="ERROR", "ERROR", IF(AND($FQ$6=Y13,E13="Exterior"), VLOOKUP('Lighting Inventory'!W13, 'Lookup Tables'!$AI$6:$AM$102, 5, FALSE)*'Lighting Inventory'!S13, "")), 2), "")</f>
        <v/>
      </c>
      <c r="FS13" s="253" t="str">
        <f>IFERROR(ROUND(IF(CD13="ERROR", "ERROR", IF(AND($FS$6=Y13,E13="Exterior"), IF(GB13=0, VLOOKUP(W13, 'Lookup Tables'!$AI$6:$AM$102, 5, FALSE)*BP13, IF(VLOOKUP(W13, 'Lookup Tables'!$AI$6:$AM$102, 5, FALSE)*BP13&gt;GB13*'Lighting Inventory'!S13, GB13*'Lighting Inventory'!S13,VLOOKUP(W13, 'Lookup Tables'!$AI$6:$AM$102, 5, FALSE)*BP13)), "")), 2), "")</f>
        <v/>
      </c>
      <c r="FT13" s="253" t="str">
        <f>IFERROR(ROUND(IF(CD13="ERROR", "ERROR", IF(AND($FT$6=Y13,E13="Interior"), IF(GB13=0, VLOOKUP(W13, 'Lookup Tables'!$AI$6:$AM$102, 5, FALSE)*BP13, IF(VLOOKUP(W13, 'Lookup Tables'!$AI$6:$AM$102, 5, FALSE)*BP13&gt;GB13*'Lighting Inventory'!S13, GB13*'Lighting Inventory'!S13,VLOOKUP(W13, 'Lookup Tables'!$AI$6:$AM$102, 5, FALSE)*BP13)), "")), 2), "")</f>
        <v/>
      </c>
      <c r="FU13" s="253" t="str">
        <f>IFERROR(ROUND(IF(CD13="ERROR", "ERROR", IF(AND(Y13=$FU$6, E13="Interior"), IF(BS13="N", 'Lookup Tables'!$AM$101*BP13, VLOOKUP(W13, 'Lookup Tables'!$AI$6:$AM$102, 5, FALSE)*S13*AD13), "")), 2), "")</f>
        <v/>
      </c>
      <c r="FV13" s="253" t="str">
        <f>IFERROR(ROUND(IF(CD13="ERROR", "ERROR", IF(AND(Y13=$FU$6, E13="Exterior"), IF(BS13="N", 'Lookup Tables'!$AM$101*BP13, VLOOKUP(W13, 'Lookup Tables'!$AI$6:$AM$102, 5, FALSE)*S13*AD13), "")), 2), "")</f>
        <v/>
      </c>
      <c r="FW13" s="253" t="str">
        <f>IFERROR(ROUND(IF(CD13="ERROR", "ERROR", IF($FW$6=Y13, IF(BS13="N", 'Lookup Tables'!$AM$101*BP13, MIN((VLOOKUP(W13, 'Lookup Tables'!$AI$6:$AM$102, 5, FALSE)*BP13),GB13*AJ13)), "")), 2), "")</f>
        <v/>
      </c>
      <c r="FX13" s="253" t="str">
        <f>IFERROR(ROUND(IF(CD13="ERROR", "ERROR", IF(AND($FX$6=Y13, E13="Interior"), IF(VLOOKUP(W13, 'Lookup Tables'!$AI$6:$AM$102, 5, FALSE)*BP13&gt;'Lookup Tables'!$AQ$97*'Lighting Inventory'!S13,'Lighting Inventory'!S13*'Lookup Tables'!$AQ$97,VLOOKUP(W13, 'Lookup Tables'!$AI$6:$AM$102, 5, FALSE)*BP13), "")), 2), "")</f>
        <v/>
      </c>
      <c r="FY13" s="253" t="str">
        <f>IFERROR(ROUND(IF(CD13="ERROR", "ERROR", IF(AND($FX$6=Y13, E13="Exterior"), IF(VLOOKUP(W13, 'Lookup Tables'!$AI$6:$AM$102, 5, FALSE)*BP13&gt;'Lookup Tables'!$AQ$97*'Lighting Inventory'!S13,'Lighting Inventory'!S13*'Lookup Tables'!$AQ$97,VLOOKUP(W13, 'Lookup Tables'!$AI$6:$AM$102, 5, FALSE)*BP13), "")), 2), "")</f>
        <v/>
      </c>
      <c r="FZ13" s="253" t="str">
        <f>IFERROR(ROUND(IF(CD13="ERROR", "ERROR", IF(AND($FZ$6=Y13, E13="Interior"), IF(AND(OR(W13="Refrigerated Case Lighting with Doors", W13="Freezer Case Lighting"),Y13="Custom - Process Improvement"),CD13*'Lookup Tables'!$AM$101, IF(B13="Retrofit", IF(VLOOKUP(IF(V13="Custom", V13, W13), 'Lookup Tables'!$AI$6:$AM$102, 5, FALSE)*BP13&gt;GE13, GE13, VLOOKUP(IF(V13="Custom", V13, W13), 'Lookup Tables'!$AI$6:$AM$102, 5, FALSE)*BP13), IF(VLOOKUP(IF(V13="Custom", V13, W13), 'Lookup Tables'!$AI$114:$AM$154, 5, FALSE)*BP13&gt;GE13, GE13, VLOOKUP(IF(V13="Custom", V13, W13), 'Lookup Tables'!$AI$114:$AM$154, 5, FALSE)*BP13))), "")), 2),"")</f>
        <v/>
      </c>
      <c r="GA13" s="253" t="str">
        <f>IFERROR(ROUND(IF(CD13="ERROR", "ERROR", IF(AND($FZ$6=Y13, E13="Exterior"), IF(B13="Retrofit", IF(VLOOKUP(IF(V13="Custom", V13, W13), 'Lookup Tables'!$AI$6:$AM$102, 5, FALSE)*BP13&gt;GE13, GE13, VLOOKUP(IF(V13="Custom", V13, W13), 'Lookup Tables'!$AI$6:$AM$102, 5, FALSE)*BP13), IF(VLOOKUP(IF(V13="Custom", V13, W13), 'Lookup Tables'!$AI$114:$AM$154, 5, FALSE)*BP13&gt;GE13, GE13, VLOOKUP(IF(V13="Custom", V13, W13), 'Lookup Tables'!$AI$114:$AM$154, 5, FALSE)*BP13)), "")), 2),"")</f>
        <v/>
      </c>
      <c r="GB13" s="254" t="str">
        <f t="array" ref="GB13">IF(B13="","",IF(OR(V13="Custom",V13="No Change"),0,IF(B13="Retrofit", INDEX('Lookup Tables'!$AH$6:$AQ$102,MATCH(1,('Lookup Tables'!$AH$6:$AH$102='Lighting Inventory'!V13)*('Lookup Tables'!$AI$6:$AI$102='Lighting Inventory'!W13),FALSE),10),INDEX('Lookup Tables'!$AH$114:$AQ$154,MATCH(1,('Lookup Tables'!$AH$114:$AH$154='Lighting Inventory'!V13)*('Lookup Tables'!$AI$114:$AI$154='Lighting Inventory'!W13),FALSE),10))))</f>
        <v/>
      </c>
      <c r="GC13" s="255" t="str">
        <f t="shared" si="77"/>
        <v/>
      </c>
      <c r="GD13" s="250" t="str">
        <f t="shared" si="78"/>
        <v/>
      </c>
      <c r="GE13" s="253" t="str">
        <f>IFERROR(IF(AND(AF13="", 'General Information'!$F$18="No"),"", IF(AF13="", ((GD13/$CD$266)*$CF$266)*0.5, AF13*S13*0.5)), "")</f>
        <v/>
      </c>
      <c r="GF13" s="255" t="str">
        <f>IF(AND('General Information'!$F$19="", 'General Information'!$F$18="Yes",AF13="",BW13="Y"), "Y", "N")</f>
        <v>N</v>
      </c>
      <c r="GG13" s="255" t="s">
        <v>2946</v>
      </c>
      <c r="GH13" s="255" t="str">
        <f>IFERROR(IF(B13="", "", VLOOKUP(J13, 'Fixture Identities'!$A$6:$N$908, 14, FALSE)), "")</f>
        <v/>
      </c>
      <c r="GI13" s="389" t="str">
        <f>IF(OR(B13="", V13="", W13=""), "", IF(AND(OR(M13='Lookup Tables'!$R$18, M13='Lookup Tables'!$R$19, M13='Lookup Tables'!$R$20, M13='Lookup Tables'!$R$21, M13='Lookup Tables'!$R$22), OR(AN13='Lookup Tables'!$R$17, AN13='Lookup Tables'!$R$17, AN13="")), "Y", "N"))</f>
        <v/>
      </c>
      <c r="GJ13" s="255" t="str">
        <f t="shared" si="79"/>
        <v/>
      </c>
      <c r="GK13" s="255" t="str">
        <f t="shared" si="80"/>
        <v/>
      </c>
      <c r="GL13" s="255" t="str">
        <f t="shared" si="81"/>
        <v/>
      </c>
      <c r="GM13" s="255" t="str">
        <f>IF(AN13="", "", IF(AND(IF(ISNA(VLOOKUP(AN13,'Lookup Tables'!$R$18:$R$22,1,FALSE)), "N", "Y")="Y", E13="Exterior"), "Y", "N"))</f>
        <v/>
      </c>
      <c r="GN13" s="395"/>
      <c r="GO13" s="428">
        <f t="shared" si="98"/>
        <v>0</v>
      </c>
      <c r="GP13" s="428">
        <f t="shared" ref="GP13:GP76" si="167">GO13</f>
        <v>0</v>
      </c>
      <c r="GQ13" s="428">
        <f t="shared" si="99"/>
        <v>0</v>
      </c>
      <c r="GR13" s="428">
        <f t="shared" si="100"/>
        <v>0</v>
      </c>
    </row>
    <row r="14" spans="1:207" s="103" customFormat="1" ht="13.5" customHeight="1" x14ac:dyDescent="0.2">
      <c r="A14" s="272">
        <v>4</v>
      </c>
      <c r="B14" s="110"/>
      <c r="C14" s="595"/>
      <c r="D14" s="595"/>
      <c r="E14" s="110"/>
      <c r="F14" s="110"/>
      <c r="G14" s="110"/>
      <c r="H14" s="110"/>
      <c r="I14" s="596"/>
      <c r="J14" s="29"/>
      <c r="K14" s="272" t="str">
        <f>IFERROR(IF(OR(VLOOKUP(J14, 'Fixture Identities'!$A$6:$L$1023, 3, FALSE)="T12 Linear Fluorescent", VLOOKUP(J14, 'Fixture Identities'!$A$6:$L$1023, 3, FALSE)="T12 U-Tube Fluorescent"), VLOOKUP(VLOOKUP(J14, 'Fixture Identities'!$A$6:$L$1023, 11, FALSE), 'Fixture Identities'!$A$6:$L$1023, 10, FALSE), VLOOKUP(J14, 'Fixture Identities'!$A$6:$L$1023, 10, FALSE)), "")</f>
        <v/>
      </c>
      <c r="L14" s="270" t="str">
        <f t="shared" si="82"/>
        <v/>
      </c>
      <c r="M14" s="110"/>
      <c r="N14" s="110"/>
      <c r="O14" s="110"/>
      <c r="P14" s="272" t="str">
        <f>IFERROR(IF(OR(B14="Retrofit",B14=""),"",IF('Lighting Inventory'!E14="Exterior",VLOOKUP('Lighting Inventory'!N14,'Lookup Tables'!$B$83:$F$103,5,FALSE),IF(N14="Other - Please Estimate EFLH and CFs","Contact Prog. Rep.","ft^2"))), "")</f>
        <v/>
      </c>
      <c r="Q14" s="270" t="str">
        <f>IFERROR(IF(AND(B14="New Construction",E14="Interior",$F$5="Space-by-Space"),VLOOKUP('Lighting Inventory'!N14,'Lookup Tables'!$N$6:$O$97,2,FALSE),IF(AND(B14="New Construction",E14="Exterior"),VLOOKUP(N14,'Lookup Tables'!$B$83:$F$103,2,FALSE),IF(AND(B14="New Construction",'Lighting Inventory'!E14="Interior", $F$5="Building Area"),VLOOKUP(F14,'Lookup Tables'!$A$6:$J$59,10,FALSE),""))), "")</f>
        <v/>
      </c>
      <c r="R14" s="270" t="str">
        <f>IFERROR(IF(P14="Contact Prog. Rep.", "ERROR", IF(OR(B14="",B14="Retrofit"),"",IF(N14="Automated teller machines", ('Lookup Tables'!$A$82:$E$100+('Lighting Inventory'!O14-1)*'Lookup Tables'!$A$82:$E$100)/1000, (Q14*O14)/1000))), "")</f>
        <v/>
      </c>
      <c r="S14" s="595"/>
      <c r="T14" s="105" t="str">
        <f t="shared" si="83"/>
        <v/>
      </c>
      <c r="U14" s="105" t="str">
        <f>IF(S14="","",COUNT($S$11:S14))</f>
        <v/>
      </c>
      <c r="V14" s="111"/>
      <c r="W14" s="112"/>
      <c r="X14" s="105" t="str">
        <f t="shared" si="84"/>
        <v/>
      </c>
      <c r="Y14" s="105" t="str">
        <f t="array" ref="Y14">IF(AND(OR(W14="Freezer Case Lighting", W14="Refrigerated Case Lighting with Doors"), 'General Information'!$X$18="LCI"),'Lookup Tables'!$Y$34, IF(V14="Custom", VLOOKUP(W14, 'Fixture Identities'!$A$974:$M$1023, 13, FALSE), IF(V14="No Change",'Lookup Tables'!$Y$29,IF(OR(V14="",W14=""),"",IF(AND(S14=0,S14&lt;I14,B14="Retrofit"),'Lookup Tables'!$Y$25, IF(B14="Retrofit", INDEX('Lookup Tables'!$AH$6:$AP$102, MATCH(1, ('Lookup Tables'!$AH$6:$AH$102=V14)*('Lookup Tables'!$AI$6:$AI$102=W14), 0), IF('Lighting Inventory'!E14="Interior", 4, 5)), INDEX('Lookup Tables'!$AH$114:$AP$154, MATCH(1, ('Lookup Tables'!$AH$114:$AH$154=V14)*('Lookup Tables'!$AI$114:$AI$154=W14), 0), IF('Lighting Inventory'!E14="Interior", 4, 5))))))))</f>
        <v/>
      </c>
      <c r="Z14" s="105" t="str">
        <f>IFERROR(INDEX('Lookup Tables'!$AH$158:$AH$172,MATCH('Lighting Inventory'!Y14,'Lookup Tables'!$AI$158:$AI$172,0)),"")</f>
        <v/>
      </c>
      <c r="AA14" s="105" t="str">
        <f>IF(AP14&gt;0,INDEX('Lookup Tables'!$AK$158:$AK$172,MATCH('Lighting Inventory'!Y14,'Lookup Tables'!$AI$158:$AI$172,0)),'Lighting Inventory'!Y14)</f>
        <v/>
      </c>
      <c r="AB14" s="105" t="str">
        <f t="array" ref="AB14">IF(V14="Custom", "Custom", IF(V14="", "", IF(V14="Not DLC or Energy Star", "General", IF(B14="New Construction", INDEX('Lookup Tables'!$AH$114:$AP$154,MATCH(1,('Lookup Tables'!$AH$114:$AH$154='Lighting Inventory'!V14)*('Lookup Tables'!$AI$114:$AI$154='Lighting Inventory'!W14),FALSE),8), INDEX('Lookup Tables'!$AH$6:$AP$102,MATCH(1,('Lookup Tables'!$AH$6:$AH$102='Lighting Inventory'!V14)*('Lookup Tables'!$AI$6:$AI$102='Lighting Inventory'!W14),FALSE),8)))))</f>
        <v/>
      </c>
      <c r="AC14" s="272" t="str">
        <f>IF(W14="","",IF(V14="Custom",CONCATENATE("$",'Lookup Tables'!$AM$101," ",'Lookup Tables'!$AN$101),CONCATENATE("$",INDEX('Lookup Tables'!$AM$6:$AM$102,MATCH('Lighting Inventory'!W14,'Lookup Tables'!$AI$6:$AI$102,0))," ",INDEX('Lookup Tables'!$AN$6:$AN$102,MATCH('Lighting Inventory'!W14,'Lookup Tables'!$AI$6:$AI$102,0)))))</f>
        <v/>
      </c>
      <c r="AD14" s="72"/>
      <c r="AE14" s="29"/>
      <c r="AF14" s="379"/>
      <c r="AG14" s="370" t="str">
        <f t="shared" si="2"/>
        <v/>
      </c>
      <c r="AH14" s="370" t="str">
        <f t="shared" si="85"/>
        <v/>
      </c>
      <c r="AI14" s="29"/>
      <c r="AJ14" s="29"/>
      <c r="AK14" s="110"/>
      <c r="AL14" s="375" t="str">
        <f>IF(OR(B14="", V14="", W14=""), "", IF(V14="No Change", K14, IF(V14="Remove Fixture", 0, IF(V14="Custom",VLOOKUP(W14,'Fixture Identities'!$A$6:$K$1023,10,FALSE),IF(AE14="", "← ENTER POST WATTS", 'Lighting Inventory'!AE14)))))</f>
        <v/>
      </c>
      <c r="AM14" s="376" t="str">
        <f t="shared" si="3"/>
        <v/>
      </c>
      <c r="AN14" s="29"/>
      <c r="AO14" s="671"/>
      <c r="AP14" s="29"/>
      <c r="AQ14" s="29"/>
      <c r="AR14" s="29"/>
      <c r="AS14" s="272" t="str">
        <f t="shared" si="4"/>
        <v/>
      </c>
      <c r="AT14" s="270" t="str">
        <f t="shared" si="5"/>
        <v/>
      </c>
      <c r="AU14" s="88" t="str">
        <f t="shared" si="6"/>
        <v/>
      </c>
      <c r="AV14" s="29"/>
      <c r="AW14" s="73"/>
      <c r="AX14" s="271" t="str">
        <f>IF(AND(AV14="Applicant",OR(AW14="", AW14="Use Default Facility Hours")),"← Choose Schedule",IF(F14="","",IF(W14="LED Exit Signs",8760,IF(OR(AV14="Prescribed",AV14=""),VLOOKUP(F14,'Lookup Tables'!$A$6:$G$59,IF(AB14="General", 6, 3),FALSE),VLOOKUP(AW14,'Lookup Tables'!$S$36:$U$43,2,FALSE)))))</f>
        <v/>
      </c>
      <c r="AY14" s="88" t="str">
        <f t="shared" si="7"/>
        <v/>
      </c>
      <c r="AZ14" s="270" t="str">
        <f>IFERROR(IF(F14="", "", IF(W14="LED Exit Signs", 1, IF(AV14="Applicant",VLOOKUP(AW14, 'Lookup Tables'!$S$36:$U$43,3, FALSE), VLOOKUP('Lighting Inventory'!F14, 'Lookup Tables'!$A$6:$H$59, IF('Lighting Inventory'!AB14="General",7,4), FALSE)))), "")</f>
        <v/>
      </c>
      <c r="BA14" s="522" t="str">
        <f>IFERROR(IF(F14="", "", IF(W14="LED Exit Signs", 1, VLOOKUP('Lighting Inventory'!F14, 'Lookup Tables'!$A$6:$H$59, IF('Lighting Inventory'!AB14="General",8,5), FALSE))), "")</f>
        <v/>
      </c>
      <c r="BB14" s="270" t="str">
        <f>IF(G14="", "", IF(E14="Exterior", 0, IF('Lighting Inventory'!G14="Air Conditioned", VLOOKUP(H14, 'Lookup Tables'!$R$6:$T$13, 2, FALSE), VLOOKUP('Lighting Inventory'!G14, 'Lookup Tables'!$R$6:$T$13, 2, FALSE))))</f>
        <v/>
      </c>
      <c r="BC14" s="522" t="str">
        <f>IF(G14="", "", IF(E14="Exterior", 0, IF('Lighting Inventory'!G14="Air Conditioned", VLOOKUP(H14, 'Lookup Tables'!$R$6:$T$13, 3, FALSE), VLOOKUP('Lighting Inventory'!G14, 'Lookup Tables'!$R$6:$T$13, 3, FALSE))))</f>
        <v/>
      </c>
      <c r="BD14" s="270" t="str">
        <f>IF(G14="", "", IF(E14="Exterior", 0, IF('Lighting Inventory'!G14="Air Conditioned", VLOOKUP(H14, 'Lookup Tables'!$R$6:$U$13, 4, FALSE), VLOOKUP('Lighting Inventory'!G14, 'Lookup Tables'!$R$6:$U$13, 4, FALSE))))</f>
        <v/>
      </c>
      <c r="BE14" s="270" t="str">
        <f>IFERROR(IF(B14="", "",  IF(B14="New Construction", VLOOKUP(F14, 'Lookup Tables'!$A$6:$K$59, 11, FALSE),IF(OR(AN14="", AN14="Light Switch"), 0, IF(OR(M14="",M14="None",V14= "LED Exit Signs"),0,_xlfn.XLOOKUP(M14,'Lookup Tables'!$R$91:$R$101,'Lookup Tables'!$V$91:$V$101))))), "")</f>
        <v/>
      </c>
      <c r="BF14" s="270" t="str">
        <f>IF(AND(OR(AN14="Light Switch",AN14=""),B14="New Construction"), VLOOKUP(F14, 'Lookup Tables'!$A$6:$K$59, 11, FALSE),IF(AN14="","",IF(B14="","",IF(OR(AN14="None",AN14="",V14="LED Exit Signs",AN14="Exterior Controls Not Eligible"),0,_xlfn.XLOOKUP(AN14,'Lookup Tables'!$R$91:$R$101,'Lookup Tables'!$V$91:$V$101)))))</f>
        <v/>
      </c>
      <c r="BG14" s="88" t="str">
        <f t="shared" si="86"/>
        <v/>
      </c>
      <c r="BH14" s="88" t="str">
        <f t="shared" si="87"/>
        <v/>
      </c>
      <c r="BI14" s="558" t="str">
        <f t="shared" ref="BI14:BI77" si="168">IFERROR(ROUND(IF(AND(B14="New Construction", V14="LED Exit Signs"), "", IF(B14="", "", SUM(BG14:BH14))),6),"")</f>
        <v/>
      </c>
      <c r="BJ14" s="560" t="str">
        <f t="shared" si="88"/>
        <v/>
      </c>
      <c r="BK14" s="560" t="str">
        <f t="shared" si="89"/>
        <v/>
      </c>
      <c r="BL14" s="559" t="str">
        <f t="shared" si="90"/>
        <v/>
      </c>
      <c r="BM14" s="521" t="str">
        <f t="shared" si="8"/>
        <v/>
      </c>
      <c r="BN14" s="521" t="str">
        <f t="shared" si="9"/>
        <v/>
      </c>
      <c r="BO14" s="522" t="str">
        <f t="shared" si="10"/>
        <v/>
      </c>
      <c r="BP14" s="83" t="str">
        <f t="shared" si="91"/>
        <v/>
      </c>
      <c r="BQ14" s="84" t="str">
        <f t="shared" si="92"/>
        <v/>
      </c>
      <c r="BR14" s="184" t="str">
        <f>IFERROR(IF(B14="", "", IF(OR(VLOOKUP(J14, 'Fixture Identities'!$A$6:$L$1023, 3, FALSE)="T12 Linear Fluorescent",VLOOKUP(J14, 'Fixture Identities'!$A$6:$L$1023, 3, FALSE)="T12 U-Tube Fluorescent"), "Y", "N")), "N")</f>
        <v/>
      </c>
      <c r="BS14" s="184" t="str">
        <f t="array" ref="BS14">IFERROR(IF(OR(B14="", V14="", W14=""), "", IF(V14="Custom", "N", IF(OR(W14="Freezer Case Lighting", W14="Refrigerated Case Lighting with Doors"), BT14, IF(B14="Retrofit", INDEX('Lookup Tables'!$AH$6:$AT$102,MATCH(1,('Lookup Tables'!$AH$6:$AH$102=V14)*('Lookup Tables'!$AI$6:$AI$102=W14),FALSE),IF(VLOOKUP(J14, 'Fixture Identities'!$A$6:$B$1023, 2, FALSE)="Incandescent",12, 13)), INDEX('Lookup Tables'!$AH$114:$AS$154,MATCH(1,('Lookup Tables'!$AH$114:$AH$154=V14)*('Lookup Tables'!$AI$114:$AI$154=W14),FALSE),12))))), "N")</f>
        <v/>
      </c>
      <c r="BT14" s="184" t="str">
        <f>IF(J14="", "", IF(AND(OR(W14="Freezer case Lighting", W14="Refrigerated Case Lighting with Doors"),'General Information'!$X$18="LCI"), "N", IF(OR(VLOOKUP(J14, 'Fixture Identities'!$A$6:$B$1023, 2, FALSE)="T12 EPACT/EISA Baseline", VLOOKUP(J14, 'Fixture Identities'!$A$6:$B$1023, 2, FALSE)="Linear Fluorescent", VLOOKUP(J14, 'Fixture Identities'!$A$6:$B$1023, 2, FALSE)="U-Tube Fluorescent"), "Y", "N")))</f>
        <v/>
      </c>
      <c r="BU14" s="184" t="str">
        <f>IFERROR(IF(B14="", "", IF(VLOOKUP(J14, 'Fixture Identities'!$A$6:$B$1023, 2, FALSE)="Exit Sign", "Y", "N")), "N")</f>
        <v/>
      </c>
      <c r="BV14" s="184" t="str">
        <f>IF(V14="Exit Signs", IF(VLOOKUP(J14, 'Fixture Identities'!$A$6:$B$1023, 2, FALSE)="Exit Sign", "N", "Y"), "")</f>
        <v/>
      </c>
      <c r="BW14" s="184" t="str">
        <f t="array" ref="BW14">IFERROR(IF(B14="", "", IF(B14="New Construction", "N", INDEX('Lookup Tables'!$AH$6:$AU$102, MATCH(1, ('Lookup Tables'!$AH$6:$AH$102='Lighting Inventory'!V14)*('Lookup Tables'!$AI$6:$AI$102='Lighting Inventory'!W14), 0), 14))), "N")</f>
        <v/>
      </c>
      <c r="BX14" s="598" t="str">
        <f t="shared" si="93"/>
        <v/>
      </c>
      <c r="BY14" s="598" t="str">
        <f t="shared" si="94"/>
        <v/>
      </c>
      <c r="BZ14" s="598" t="str">
        <f t="shared" si="95"/>
        <v/>
      </c>
      <c r="CA14" s="598" t="str">
        <f t="shared" si="101"/>
        <v/>
      </c>
      <c r="CB14" s="269" t="str">
        <f t="shared" si="102"/>
        <v/>
      </c>
      <c r="CC14" s="517" t="str">
        <f t="shared" si="96"/>
        <v/>
      </c>
      <c r="CD14" s="565" t="str">
        <f t="shared" si="11"/>
        <v/>
      </c>
      <c r="CE14" s="368">
        <v>0</v>
      </c>
      <c r="CF14" s="368" t="str" cm="1">
        <f t="array" ref="CF14">IFERROR(IF(V14="Custom", "$0.1 per kWh", IF(B14="New Construction", CONCATENATE("$",INDEX('Lookup Tables'!$AH$114:$AN$154,MATCH(1,('Lookup Tables'!$AH$114:$AH$154='Lighting Inventory'!V14)*('Lookup Tables'!$AI$114:$AI$154='Lighting Inventory'!W14),FALSE),6)," ",INDEX('Lookup Tables'!$AH$114:$AN$154,MATCH(1,('Lookup Tables'!$AH$114:$AH$154='Lighting Inventory'!V14)*('Lookup Tables'!$AI$114:$AI$154='Lighting Inventory'!W14),FALSE),7)), IF(AND(BU14="N", V14="Exit Signs"), "$0.025 per kWh", CONCATENATE("$",INDEX('Lookup Tables'!$AH$6:$AN$102,MATCH(1,('Lookup Tables'!$AH$6:$AH$102='Lighting Inventory'!V14)*('Lookup Tables'!$AI$6:$AI$102='Lighting Inventory'!W14),FALSE),6)," ",INDEX('Lookup Tables'!$AH$6:$AN$102,MATCH(1,('Lookup Tables'!$AH$6:$AH$102='Lighting Inventory'!V14)*('Lookup Tables'!$AI$6:$AI$102='Lighting Inventory'!W14),FALSE),7))))), "")</f>
        <v/>
      </c>
      <c r="CG14" s="580"/>
      <c r="CH14" s="248" t="str">
        <f t="shared" si="103"/>
        <v/>
      </c>
      <c r="CI14" s="248" t="str">
        <f t="shared" si="104"/>
        <v>Select_IE</v>
      </c>
      <c r="CJ14" s="248" t="str">
        <f t="shared" si="105"/>
        <v/>
      </c>
      <c r="CK14" s="248" t="str">
        <f t="shared" si="106"/>
        <v/>
      </c>
      <c r="CL14" s="248" t="str">
        <f t="shared" si="107"/>
        <v/>
      </c>
      <c r="CM14" s="248" t="str">
        <f>IFERROR(IF(B14="", "", IF(B14="New Construction", VLOOKUP(V14, 'Lookup Tables'!$AF$114:$AG$120, 2, FALSE), VLOOKUP(V14, 'Lookup Tables'!$AD$6:$AE$25, 2, FALSE))), "")</f>
        <v/>
      </c>
      <c r="CN14" s="248" t="str">
        <f t="shared" si="108"/>
        <v/>
      </c>
      <c r="CO14" s="248" t="str">
        <f t="shared" si="109"/>
        <v/>
      </c>
      <c r="CP14" s="592" t="str">
        <f t="shared" si="110"/>
        <v/>
      </c>
      <c r="CQ14" s="248" t="str">
        <f t="shared" si="97"/>
        <v/>
      </c>
      <c r="CR14" s="100"/>
      <c r="CS14" s="250" t="str">
        <f t="shared" si="111"/>
        <v/>
      </c>
      <c r="CT14" s="250" t="str">
        <f t="shared" si="112"/>
        <v/>
      </c>
      <c r="CU14" s="250" t="str">
        <f t="shared" si="113"/>
        <v/>
      </c>
      <c r="CV14" s="250" t="str">
        <f t="shared" si="114"/>
        <v/>
      </c>
      <c r="CW14" s="250" t="str">
        <f t="shared" si="115"/>
        <v/>
      </c>
      <c r="CX14" s="250" t="str">
        <f t="shared" si="116"/>
        <v/>
      </c>
      <c r="CY14" s="250" t="str">
        <f t="shared" si="117"/>
        <v/>
      </c>
      <c r="CZ14" s="250" t="str">
        <f t="shared" si="118"/>
        <v/>
      </c>
      <c r="DA14" s="250" t="str">
        <f t="shared" si="119"/>
        <v/>
      </c>
      <c r="DB14" s="250" t="str">
        <f t="shared" si="120"/>
        <v/>
      </c>
      <c r="DC14" s="250" t="str">
        <f t="shared" si="121"/>
        <v/>
      </c>
      <c r="DD14" s="250" t="str">
        <f t="shared" si="122"/>
        <v/>
      </c>
      <c r="DE14" s="250" t="str">
        <f t="shared" si="123"/>
        <v/>
      </c>
      <c r="DF14" s="250" t="str">
        <f t="shared" si="124"/>
        <v/>
      </c>
      <c r="DG14" s="250" t="str">
        <f t="shared" si="125"/>
        <v/>
      </c>
      <c r="DH14" s="250" t="str">
        <f t="shared" si="126"/>
        <v/>
      </c>
      <c r="DI14" s="250" t="str">
        <f t="shared" si="127"/>
        <v/>
      </c>
      <c r="DJ14" s="250" t="str">
        <f t="shared" si="128"/>
        <v/>
      </c>
      <c r="DK14" s="250" t="str">
        <f t="shared" si="129"/>
        <v/>
      </c>
      <c r="DL14" s="250" t="str">
        <f t="shared" si="130"/>
        <v/>
      </c>
      <c r="DM14" s="250" t="str">
        <f>IF(CD14="ERROR", "ERROR", IF(AND(OR(Y14=$DM$6, Y14='Lookup Tables'!$AD$21, Y14='Lookup Tables'!$AD$22), E14="Interior"), BJ14, ""))</f>
        <v/>
      </c>
      <c r="DN14" s="250" t="str">
        <f>IF(CD14="ERROR", "ERROR", IF(AND(OR(Y14=$DM$6, Y14='Lookup Tables'!$AD$21, Y14='Lookup Tables'!$AD$22), E14="Exterior"), BJ14, ""))</f>
        <v/>
      </c>
      <c r="DO14" s="100"/>
      <c r="DP14" s="250" t="str">
        <f t="shared" si="131"/>
        <v/>
      </c>
      <c r="DQ14" s="250" t="str">
        <f t="shared" si="132"/>
        <v/>
      </c>
      <c r="DR14" s="250" t="str">
        <f t="shared" si="133"/>
        <v/>
      </c>
      <c r="DS14" s="250" t="str">
        <f t="shared" si="134"/>
        <v/>
      </c>
      <c r="DT14" s="250" t="str">
        <f t="shared" si="135"/>
        <v/>
      </c>
      <c r="DU14" s="250" t="str">
        <f t="shared" si="136"/>
        <v/>
      </c>
      <c r="DV14" s="250" t="str">
        <f t="shared" si="137"/>
        <v/>
      </c>
      <c r="DW14" s="250" t="str">
        <f t="shared" si="138"/>
        <v/>
      </c>
      <c r="DX14" s="250" t="str">
        <f t="shared" si="139"/>
        <v/>
      </c>
      <c r="DY14" s="250" t="str">
        <f t="shared" si="140"/>
        <v/>
      </c>
      <c r="DZ14" s="250" t="str">
        <f t="shared" si="141"/>
        <v/>
      </c>
      <c r="EA14" s="250" t="str">
        <f t="shared" si="142"/>
        <v/>
      </c>
      <c r="EB14" s="250" t="str">
        <f t="shared" si="143"/>
        <v/>
      </c>
      <c r="EC14" s="250" t="str">
        <f t="shared" si="144"/>
        <v/>
      </c>
      <c r="ED14" s="250" t="str">
        <f t="shared" si="145"/>
        <v/>
      </c>
      <c r="EE14" s="250" t="str">
        <f t="shared" si="146"/>
        <v/>
      </c>
      <c r="EF14" s="250" t="str">
        <f t="shared" si="147"/>
        <v/>
      </c>
      <c r="EG14" s="250" t="str">
        <f t="shared" si="148"/>
        <v/>
      </c>
      <c r="EH14" s="250" t="str">
        <f>IF(CD14="ERROR", "ERROR", IF(AND(OR($EH$6=Y14, Y14='Lookup Tables'!$AD$21, Y14='Lookup Tables'!$AD$22),E14="Interior"), SUM(BP14:BP14), ""))</f>
        <v/>
      </c>
      <c r="EI14" s="250" t="str">
        <f>IF(CD14="ERROR", "ERROR", IF(AND(OR($EH$6=Y14, Y14='Lookup Tables'!$AD$21, Y14='Lookup Tables'!$AD$22),E14="Exterior"), SUM(BP14:BP14), ""))</f>
        <v/>
      </c>
      <c r="EJ14" s="109"/>
      <c r="EK14" s="485" t="str">
        <f t="shared" si="58"/>
        <v/>
      </c>
      <c r="EL14" s="252" t="str">
        <f t="shared" si="149"/>
        <v/>
      </c>
      <c r="EM14" s="252" t="str">
        <f t="shared" si="150"/>
        <v/>
      </c>
      <c r="EN14" s="252" t="str">
        <f t="shared" si="151"/>
        <v/>
      </c>
      <c r="EO14" s="252" t="str">
        <f t="shared" si="152"/>
        <v/>
      </c>
      <c r="EP14" s="252" t="str">
        <f t="shared" si="153"/>
        <v/>
      </c>
      <c r="EQ14" s="252" t="str">
        <f t="shared" si="154"/>
        <v/>
      </c>
      <c r="ER14" s="252" t="str">
        <f t="shared" si="155"/>
        <v/>
      </c>
      <c r="ES14" s="252" t="str">
        <f t="shared" si="156"/>
        <v/>
      </c>
      <c r="ET14" s="252" t="str">
        <f t="shared" si="157"/>
        <v/>
      </c>
      <c r="EU14" s="252" t="str">
        <f t="shared" si="158"/>
        <v/>
      </c>
      <c r="EV14" s="252" t="str">
        <f t="shared" si="159"/>
        <v/>
      </c>
      <c r="EW14" s="252" t="str">
        <f t="shared" si="160"/>
        <v/>
      </c>
      <c r="EX14" s="252" t="str">
        <f t="shared" si="161"/>
        <v/>
      </c>
      <c r="EY14" s="252" t="str">
        <f t="shared" si="162"/>
        <v/>
      </c>
      <c r="EZ14" s="252" t="str">
        <f t="shared" si="163"/>
        <v/>
      </c>
      <c r="FA14" s="252" t="str">
        <f t="shared" si="164"/>
        <v/>
      </c>
      <c r="FB14" s="252" t="str">
        <f t="shared" si="165"/>
        <v/>
      </c>
      <c r="FC14" s="252" t="str">
        <f>IF(CD14="ERROR", "ERROR", IF(OR(V14="No Change", V14="Not DLC or Energy Star"), "", IF(AND(OR($FC$6=Y14,Y14='Lookup Tables'!$AD$21, Y14='Lookup Tables'!$AD$22),E14="Interior"), S14, "")))</f>
        <v/>
      </c>
      <c r="FD14" s="252" t="str">
        <f t="shared" si="166"/>
        <v/>
      </c>
      <c r="FE14" s="101"/>
      <c r="FF14" s="579" t="str" cm="1">
        <f t="array" ref="FF14">IFERROR(IF(OR(BQ14&lt;=0,AQ14&lt;20,AND(V14="Exit Signs",AN14&gt;0)),"",IF(AND(AQ14&gt;=20,AN14='Lookup Tables'!$R$101),'Lookup Tables'!$U$101*BQ14,AP14*LOOKUP(2,1/((AN14='Lookup Tables'!$R$91:$R$111)*(AQ14&gt;='Lookup Tables'!$S$91:$S$111)*(AQ14&lt;='Lookup Tables'!$T$91:$T$111)),'Lookup Tables'!$U$91:$U$111))),"")</f>
        <v/>
      </c>
      <c r="FG14" s="579"/>
      <c r="FH14" s="579"/>
      <c r="FI14" s="253" t="str">
        <f>IFERROR(ROUND(IF(CD14="ERROR", "ERROR", IF(AND($FI$7=X14,E14="Interior"),VLOOKUP(W14, 'Lookup Tables'!$AI$6:$AM$102, 5, FALSE)*BP14, "")), 2), "")</f>
        <v/>
      </c>
      <c r="FJ14" s="253" t="str">
        <f>IFERROR(ROUND(IF(CD14="ERROR", "ERROR", IF(AND($FI$7=X14,E14="Exterior"),VLOOKUP(W14, 'Lookup Tables'!$AI$6:$AM$102, 5, FALSE)*BP14, "")), 2), "")</f>
        <v/>
      </c>
      <c r="FK14" s="253" t="str">
        <f>IFERROR(ROUND(IF(CD14="ERROR", "ERROR", IF(AND($FK$7=X14,E14="Interior"),VLOOKUP(W14, 'Lookup Tables'!$AI$6:$AM$102, 5, FALSE)*BP14, "")), 2), "")</f>
        <v/>
      </c>
      <c r="FL14" s="253" t="str">
        <f>IFERROR(ROUND(IF(CD14="ERROR", "ERROR", IF(AND($FK$7=X14,E14="Exterior"),VLOOKUP(W14, 'Lookup Tables'!$AI$6:$AM$102, 5, FALSE)*BP14, "")), 2), "")</f>
        <v/>
      </c>
      <c r="FM14" s="253" t="str">
        <f>IFERROR(ROUND(IF(CD14="ERROR", "ERROR", IF(AND($FM$6=Y14,E14="Interior"), IF(GB14=0, VLOOKUP(W14, 'Lookup Tables'!$AI$6:$AM$102, 5, FALSE)*BP14, IF(VLOOKUP(W14, 'Lookup Tables'!$AI$6:$AM$102, 5, FALSE)*BP14&gt;GB14*'Lighting Inventory'!S14, GB14*'Lighting Inventory'!S14,VLOOKUP(W14, 'Lookup Tables'!$AI$6:$AM$102, 5, FALSE)*BP14)), "")), 2), "")</f>
        <v/>
      </c>
      <c r="FN14" s="253" t="str">
        <f>IFERROR(ROUND(IF(CD14="ERROR", "ERROR", IF(AND($FM$6=Y14,E14="Exterior"), IF(GB14=0, VLOOKUP(W14, 'Lookup Tables'!$AI$6:$AM$102, 5, FALSE)*BP14, IF(VLOOKUP(W14, 'Lookup Tables'!$AI$6:$AM$102, 5, FALSE)*BP14&gt;GB14*'Lighting Inventory'!S14, GB14*'Lighting Inventory'!S14,VLOOKUP(W14, 'Lookup Tables'!$AI$6:$AM$102, 5, FALSE)*BP14)), "")), 2), "")</f>
        <v/>
      </c>
      <c r="FO14" s="253" t="str">
        <f>IFERROR(ROUND(IF(CD14="ERROR", "ERROR", IF(AND($FO$6=Y14,E14="Interior"),VLOOKUP(W14, 'Lookup Tables'!$AI$6:$AM$102, 5, FALSE)*'Lighting Inventory'!AI14, "")), 2), "")</f>
        <v/>
      </c>
      <c r="FP14" s="253" t="str">
        <f>IFERROR(ROUND(IF(CD14="ERROR", "ERROR", IF(AND($FO$6=Y14,E14="Exterior"),VLOOKUP(W14, 'Lookup Tables'!$AI$6:$AM$102, 5, FALSE)*'Lighting Inventory'!AI14, "")), 2), "")</f>
        <v/>
      </c>
      <c r="FQ14" s="253" t="str">
        <f>IFERROR(ROUND(IF(CD14="ERROR", "ERROR", IF(AND($FQ$6=Y14,E14="Interior", BU14="Y"), VLOOKUP('Lighting Inventory'!W14, 'Lookup Tables'!$AI$6:$AM$102, 5, FALSE)*'Lighting Inventory'!S14, IF(AND($FQ$7=Y14,E14="Interior", BU14="N"), 0.025*CD14, ""))), 2), "")</f>
        <v/>
      </c>
      <c r="FR14" s="253" t="str">
        <f>IFERROR(ROUND(IF(CD14="ERROR", "ERROR", IF(AND($FQ$6=Y14,E14="Exterior"), VLOOKUP('Lighting Inventory'!W14, 'Lookup Tables'!$AI$6:$AM$102, 5, FALSE)*'Lighting Inventory'!S14, "")), 2), "")</f>
        <v/>
      </c>
      <c r="FS14" s="253" t="str">
        <f>IFERROR(ROUND(IF(CD14="ERROR", "ERROR", IF(AND($FS$6=Y14,E14="Exterior"), IF(GB14=0, VLOOKUP(W14, 'Lookup Tables'!$AI$6:$AM$102, 5, FALSE)*BP14, IF(VLOOKUP(W14, 'Lookup Tables'!$AI$6:$AM$102, 5, FALSE)*BP14&gt;GB14*'Lighting Inventory'!S14, GB14*'Lighting Inventory'!S14,VLOOKUP(W14, 'Lookup Tables'!$AI$6:$AM$102, 5, FALSE)*BP14)), "")), 2), "")</f>
        <v/>
      </c>
      <c r="FT14" s="253" t="str">
        <f>IFERROR(ROUND(IF(CD14="ERROR", "ERROR", IF(AND($FT$6=Y14,E14="Interior"), IF(GB14=0, VLOOKUP(W14, 'Lookup Tables'!$AI$6:$AM$102, 5, FALSE)*BP14, IF(VLOOKUP(W14, 'Lookup Tables'!$AI$6:$AM$102, 5, FALSE)*BP14&gt;GB14*'Lighting Inventory'!S14, GB14*'Lighting Inventory'!S14,VLOOKUP(W14, 'Lookup Tables'!$AI$6:$AM$102, 5, FALSE)*BP14)), "")), 2), "")</f>
        <v/>
      </c>
      <c r="FU14" s="253" t="str">
        <f>IFERROR(ROUND(IF(CD14="ERROR", "ERROR", IF(AND(Y14=$FU$6, E14="Interior"), IF(BS14="N", 'Lookup Tables'!$AM$101*BP14, VLOOKUP(W14, 'Lookup Tables'!$AI$6:$AM$102, 5, FALSE)*S14*AD14), "")), 2), "")</f>
        <v/>
      </c>
      <c r="FV14" s="253" t="str">
        <f>IFERROR(ROUND(IF(CD14="ERROR", "ERROR", IF(AND(Y14=$FU$6, E14="Exterior"), IF(BS14="N", 'Lookup Tables'!$AM$101*BP14, VLOOKUP(W14, 'Lookup Tables'!$AI$6:$AM$102, 5, FALSE)*S14*AD14), "")), 2), "")</f>
        <v/>
      </c>
      <c r="FW14" s="253" t="str">
        <f>IFERROR(ROUND(IF(CD14="ERROR", "ERROR", IF($FW$6=Y14, IF(BS14="N", 'Lookup Tables'!$AM$101*BP14, MIN((VLOOKUP(W14, 'Lookup Tables'!$AI$6:$AM$102, 5, FALSE)*BP14),GB14*AJ14)), "")), 2), "")</f>
        <v/>
      </c>
      <c r="FX14" s="253" t="str">
        <f>IFERROR(ROUND(IF(CD14="ERROR", "ERROR", IF(AND($FX$6=Y14, E14="Interior"), IF(VLOOKUP(W14, 'Lookup Tables'!$AI$6:$AM$102, 5, FALSE)*BP14&gt;'Lookup Tables'!$AQ$97*'Lighting Inventory'!S14,'Lighting Inventory'!S14*'Lookup Tables'!$AQ$97,VLOOKUP(W14, 'Lookup Tables'!$AI$6:$AM$102, 5, FALSE)*BP14), "")), 2), "")</f>
        <v/>
      </c>
      <c r="FY14" s="253" t="str">
        <f>IFERROR(ROUND(IF(CD14="ERROR", "ERROR", IF(AND($FX$6=Y14, E14="Exterior"), IF(VLOOKUP(W14, 'Lookup Tables'!$AI$6:$AM$102, 5, FALSE)*BP14&gt;'Lookup Tables'!$AQ$97*'Lighting Inventory'!S14,'Lighting Inventory'!S14*'Lookup Tables'!$AQ$97,VLOOKUP(W14, 'Lookup Tables'!$AI$6:$AM$102, 5, FALSE)*BP14), "")), 2), "")</f>
        <v/>
      </c>
      <c r="FZ14" s="253" t="str">
        <f>IFERROR(ROUND(IF(CD14="ERROR", "ERROR", IF(AND($FZ$6=Y14, E14="Interior"), IF(AND(OR(W14="Refrigerated Case Lighting with Doors", W14="Freezer Case Lighting"),Y14="Custom - Process Improvement"),CD14*'Lookup Tables'!$AM$101, IF(B14="Retrofit", IF(VLOOKUP(IF(V14="Custom", V14, W14), 'Lookup Tables'!$AI$6:$AM$102, 5, FALSE)*BP14&gt;GE14, GE14, VLOOKUP(IF(V14="Custom", V14, W14), 'Lookup Tables'!$AI$6:$AM$102, 5, FALSE)*BP14), IF(VLOOKUP(IF(V14="Custom", V14, W14), 'Lookup Tables'!$AI$114:$AM$154, 5, FALSE)*BP14&gt;GE14, GE14, VLOOKUP(IF(V14="Custom", V14, W14), 'Lookup Tables'!$AI$114:$AM$154, 5, FALSE)*BP14))), "")), 2),"")</f>
        <v/>
      </c>
      <c r="GA14" s="253" t="str">
        <f>IFERROR(ROUND(IF(CD14="ERROR", "ERROR", IF(AND($FZ$6=Y14, E14="Exterior"), IF(B14="Retrofit", IF(VLOOKUP(IF(V14="Custom", V14, W14), 'Lookup Tables'!$AI$6:$AM$102, 5, FALSE)*BP14&gt;GE14, GE14, VLOOKUP(IF(V14="Custom", V14, W14), 'Lookup Tables'!$AI$6:$AM$102, 5, FALSE)*BP14), IF(VLOOKUP(IF(V14="Custom", V14, W14), 'Lookup Tables'!$AI$114:$AM$154, 5, FALSE)*BP14&gt;GE14, GE14, VLOOKUP(IF(V14="Custom", V14, W14), 'Lookup Tables'!$AI$114:$AM$154, 5, FALSE)*BP14)), "")), 2),"")</f>
        <v/>
      </c>
      <c r="GB14" s="254" t="str">
        <f t="array" ref="GB14">IF(B14="","",IF(OR(V14="Custom",V14="No Change"),0,IF(B14="Retrofit", INDEX('Lookup Tables'!$AH$6:$AQ$102,MATCH(1,('Lookup Tables'!$AH$6:$AH$102='Lighting Inventory'!V14)*('Lookup Tables'!$AI$6:$AI$102='Lighting Inventory'!W14),FALSE),10),INDEX('Lookup Tables'!$AH$114:$AQ$154,MATCH(1,('Lookup Tables'!$AH$114:$AH$154='Lighting Inventory'!V14)*('Lookup Tables'!$AI$114:$AI$154='Lighting Inventory'!W14),FALSE),10))))</f>
        <v/>
      </c>
      <c r="GC14" s="255" t="str">
        <f t="shared" si="77"/>
        <v/>
      </c>
      <c r="GD14" s="250" t="str">
        <f t="shared" si="78"/>
        <v/>
      </c>
      <c r="GE14" s="253" t="str">
        <f>IFERROR(IF(AND(AF14="", 'General Information'!$F$18="No"),"", IF(AF14="", ((GD14/$CD$266)*$CF$266)*0.5, AF14*S14*0.5)), "")</f>
        <v/>
      </c>
      <c r="GF14" s="255" t="str">
        <f>IF(AND('General Information'!$F$19="", 'General Information'!$F$18="Yes",AF14="",BW14="Y"), "Y", "N")</f>
        <v>N</v>
      </c>
      <c r="GG14" s="255" t="s">
        <v>2946</v>
      </c>
      <c r="GH14" s="255" t="str">
        <f>IFERROR(IF(B14="", "", VLOOKUP(J14, 'Fixture Identities'!$A$6:$N$908, 14, FALSE)), "")</f>
        <v/>
      </c>
      <c r="GI14" s="389" t="str">
        <f>IF(OR(B14="", V14="", W14=""), "", IF(AND(OR(M14='Lookup Tables'!$R$18, M14='Lookup Tables'!$R$19, M14='Lookup Tables'!$R$20, M14='Lookup Tables'!$R$21, M14='Lookup Tables'!$R$22), OR(AN14='Lookup Tables'!$R$17, AN14='Lookup Tables'!$R$17, AN14="")), "Y", "N"))</f>
        <v/>
      </c>
      <c r="GJ14" s="255" t="str">
        <f t="shared" si="79"/>
        <v/>
      </c>
      <c r="GK14" s="255" t="str">
        <f t="shared" si="80"/>
        <v/>
      </c>
      <c r="GL14" s="255" t="str">
        <f t="shared" si="81"/>
        <v/>
      </c>
      <c r="GM14" s="255" t="str">
        <f>IF(AN14="", "", IF(AND(IF(ISNA(VLOOKUP(AN14,'Lookup Tables'!$R$18:$R$22,1,FALSE)), "N", "Y")="Y", E14="Exterior"), "Y", "N"))</f>
        <v/>
      </c>
      <c r="GN14" s="395"/>
      <c r="GO14" s="428">
        <f t="shared" si="98"/>
        <v>0</v>
      </c>
      <c r="GP14" s="428">
        <f t="shared" si="167"/>
        <v>0</v>
      </c>
      <c r="GQ14" s="428">
        <f t="shared" si="99"/>
        <v>0</v>
      </c>
      <c r="GR14" s="428">
        <f t="shared" si="100"/>
        <v>0</v>
      </c>
    </row>
    <row r="15" spans="1:207" s="103" customFormat="1" ht="13.5" customHeight="1" x14ac:dyDescent="0.2">
      <c r="A15" s="272">
        <v>5</v>
      </c>
      <c r="B15" s="110"/>
      <c r="C15" s="595"/>
      <c r="D15" s="595"/>
      <c r="E15" s="110"/>
      <c r="F15" s="110"/>
      <c r="G15" s="110"/>
      <c r="H15" s="110"/>
      <c r="I15" s="596"/>
      <c r="J15" s="29"/>
      <c r="K15" s="272" t="str">
        <f>IFERROR(IF(OR(VLOOKUP(J15, 'Fixture Identities'!$A$6:$L$1023, 3, FALSE)="T12 Linear Fluorescent", VLOOKUP(J15, 'Fixture Identities'!$A$6:$L$1023, 3, FALSE)="T12 U-Tube Fluorescent"), VLOOKUP(VLOOKUP(J15, 'Fixture Identities'!$A$6:$L$1023, 11, FALSE), 'Fixture Identities'!$A$6:$L$1023, 10, FALSE), VLOOKUP(J15, 'Fixture Identities'!$A$6:$L$1023, 10, FALSE)), "")</f>
        <v/>
      </c>
      <c r="L15" s="270" t="str">
        <f t="shared" si="82"/>
        <v/>
      </c>
      <c r="M15" s="110"/>
      <c r="N15" s="110"/>
      <c r="O15" s="110"/>
      <c r="P15" s="272" t="str">
        <f>IFERROR(IF(OR(B15="Retrofit",B15=""),"",IF('Lighting Inventory'!E15="Exterior",VLOOKUP('Lighting Inventory'!N15,'Lookup Tables'!$B$83:$F$103,5,FALSE),IF(N15="Other - Please Estimate EFLH and CFs","Contact Prog. Rep.","ft^2"))), "")</f>
        <v/>
      </c>
      <c r="Q15" s="270" t="str">
        <f>IFERROR(IF(AND(B15="New Construction",E15="Interior",$F$5="Space-by-Space"),VLOOKUP('Lighting Inventory'!N15,'Lookup Tables'!$N$6:$O$97,2,FALSE),IF(AND(B15="New Construction",E15="Exterior"),VLOOKUP(N15,'Lookup Tables'!$B$83:$F$103,2,FALSE),IF(AND(B15="New Construction",'Lighting Inventory'!E15="Interior", $F$5="Building Area"),VLOOKUP(F15,'Lookup Tables'!$A$6:$J$59,10,FALSE),""))), "")</f>
        <v/>
      </c>
      <c r="R15" s="270" t="str">
        <f>IFERROR(IF(P15="Contact Prog. Rep.", "ERROR", IF(OR(B15="",B15="Retrofit"),"",IF(N15="Automated teller machines", ('Lookup Tables'!$A$82:$E$100+('Lighting Inventory'!O15-1)*'Lookup Tables'!$A$82:$E$100)/1000, (Q15*O15)/1000))), "")</f>
        <v/>
      </c>
      <c r="S15" s="595"/>
      <c r="T15" s="105" t="str">
        <f t="shared" si="83"/>
        <v/>
      </c>
      <c r="U15" s="105" t="str">
        <f>IF(S15="","",COUNT($S$11:S15))</f>
        <v/>
      </c>
      <c r="V15" s="111"/>
      <c r="W15" s="112"/>
      <c r="X15" s="105" t="str">
        <f t="shared" si="84"/>
        <v/>
      </c>
      <c r="Y15" s="105" t="str">
        <f t="array" ref="Y15">IF(AND(OR(W15="Freezer Case Lighting", W15="Refrigerated Case Lighting with Doors"), 'General Information'!$X$18="LCI"),'Lookup Tables'!$Y$34, IF(V15="Custom", VLOOKUP(W15, 'Fixture Identities'!$A$974:$M$1023, 13, FALSE), IF(V15="No Change",'Lookup Tables'!$Y$29,IF(OR(V15="",W15=""),"",IF(AND(S15=0,S15&lt;I15,B15="Retrofit"),'Lookup Tables'!$Y$25, IF(B15="Retrofit", INDEX('Lookup Tables'!$AH$6:$AP$102, MATCH(1, ('Lookup Tables'!$AH$6:$AH$102=V15)*('Lookup Tables'!$AI$6:$AI$102=W15), 0), IF('Lighting Inventory'!E15="Interior", 4, 5)), INDEX('Lookup Tables'!$AH$114:$AP$154, MATCH(1, ('Lookup Tables'!$AH$114:$AH$154=V15)*('Lookup Tables'!$AI$114:$AI$154=W15), 0), IF('Lighting Inventory'!E15="Interior", 4, 5))))))))</f>
        <v/>
      </c>
      <c r="Z15" s="105" t="str">
        <f>IFERROR(INDEX('Lookup Tables'!$AH$158:$AH$172,MATCH('Lighting Inventory'!Y15,'Lookup Tables'!$AI$158:$AI$172,0)),"")</f>
        <v/>
      </c>
      <c r="AA15" s="105" t="str">
        <f>IF(AP15&gt;0,INDEX('Lookup Tables'!$AK$158:$AK$172,MATCH('Lighting Inventory'!Y15,'Lookup Tables'!$AI$158:$AI$172,0)),'Lighting Inventory'!Y15)</f>
        <v/>
      </c>
      <c r="AB15" s="105" t="str">
        <f t="array" ref="AB15">IF(V15="Custom", "Custom", IF(V15="", "", IF(V15="Not DLC or Energy Star", "General", IF(B15="New Construction", INDEX('Lookup Tables'!$AH$114:$AP$154,MATCH(1,('Lookup Tables'!$AH$114:$AH$154='Lighting Inventory'!V15)*('Lookup Tables'!$AI$114:$AI$154='Lighting Inventory'!W15),FALSE),8), INDEX('Lookup Tables'!$AH$6:$AP$102,MATCH(1,('Lookup Tables'!$AH$6:$AH$102='Lighting Inventory'!V15)*('Lookup Tables'!$AI$6:$AI$102='Lighting Inventory'!W15),FALSE),8)))))</f>
        <v/>
      </c>
      <c r="AC15" s="272" t="str">
        <f>IF(W15="","",IF(V15="Custom",CONCATENATE("$",'Lookup Tables'!$AM$101," ",'Lookup Tables'!$AN$101),CONCATENATE("$",INDEX('Lookup Tables'!$AM$6:$AM$102,MATCH('Lighting Inventory'!W15,'Lookup Tables'!$AI$6:$AI$102,0))," ",INDEX('Lookup Tables'!$AN$6:$AN$102,MATCH('Lighting Inventory'!W15,'Lookup Tables'!$AI$6:$AI$102,0)))))</f>
        <v/>
      </c>
      <c r="AD15" s="72"/>
      <c r="AE15" s="29"/>
      <c r="AF15" s="379"/>
      <c r="AG15" s="370" t="str">
        <f t="shared" si="2"/>
        <v/>
      </c>
      <c r="AH15" s="370" t="str">
        <f t="shared" si="85"/>
        <v/>
      </c>
      <c r="AI15" s="29"/>
      <c r="AJ15" s="29"/>
      <c r="AK15" s="110"/>
      <c r="AL15" s="375" t="str">
        <f>IF(OR(B15="", V15="", W15=""), "", IF(V15="No Change", K15, IF(V15="Remove Fixture", 0, IF(V15="Custom",VLOOKUP(W15,'Fixture Identities'!$A$6:$K$1023,10,FALSE),IF(AE15="", "← ENTER POST WATTS", 'Lighting Inventory'!AE15)))))</f>
        <v/>
      </c>
      <c r="AM15" s="376" t="str">
        <f t="shared" si="3"/>
        <v/>
      </c>
      <c r="AN15" s="29"/>
      <c r="AO15" s="671"/>
      <c r="AP15" s="29"/>
      <c r="AQ15" s="29"/>
      <c r="AR15" s="29"/>
      <c r="AS15" s="272" t="str">
        <f t="shared" si="4"/>
        <v/>
      </c>
      <c r="AT15" s="270" t="str">
        <f t="shared" si="5"/>
        <v/>
      </c>
      <c r="AU15" s="88" t="str">
        <f t="shared" si="6"/>
        <v/>
      </c>
      <c r="AV15" s="29"/>
      <c r="AW15" s="73"/>
      <c r="AX15" s="271" t="str">
        <f>IF(AND(AV15="Applicant",OR(AW15="", AW15="Use Default Facility Hours")),"← Choose Schedule",IF(F15="","",IF(W15="LED Exit Signs",8760,IF(OR(AV15="Prescribed",AV15=""),VLOOKUP(F15,'Lookup Tables'!$A$6:$G$59,IF(AB15="General", 6, 3),FALSE),VLOOKUP(AW15,'Lookup Tables'!$S$36:$U$43,2,FALSE)))))</f>
        <v/>
      </c>
      <c r="AY15" s="88" t="str">
        <f t="shared" si="7"/>
        <v/>
      </c>
      <c r="AZ15" s="270" t="str">
        <f>IFERROR(IF(F15="", "", IF(W15="LED Exit Signs", 1, IF(AV15="Applicant",VLOOKUP(AW15, 'Lookup Tables'!$S$36:$U$43,3, FALSE), VLOOKUP('Lighting Inventory'!F15, 'Lookup Tables'!$A$6:$H$59, IF('Lighting Inventory'!AB15="General",7,4), FALSE)))), "")</f>
        <v/>
      </c>
      <c r="BA15" s="522" t="str">
        <f>IFERROR(IF(F15="", "", IF(W15="LED Exit Signs", 1, VLOOKUP('Lighting Inventory'!F15, 'Lookup Tables'!$A$6:$H$59, IF('Lighting Inventory'!AB15="General",8,5), FALSE))), "")</f>
        <v/>
      </c>
      <c r="BB15" s="270" t="str">
        <f>IF(G15="", "", IF(E15="Exterior", 0, IF('Lighting Inventory'!G15="Air Conditioned", VLOOKUP(H15, 'Lookup Tables'!$R$6:$T$13, 2, FALSE), VLOOKUP('Lighting Inventory'!G15, 'Lookup Tables'!$R$6:$T$13, 2, FALSE))))</f>
        <v/>
      </c>
      <c r="BC15" s="522" t="str">
        <f>IF(G15="", "", IF(E15="Exterior", 0, IF('Lighting Inventory'!G15="Air Conditioned", VLOOKUP(H15, 'Lookup Tables'!$R$6:$T$13, 3, FALSE), VLOOKUP('Lighting Inventory'!G15, 'Lookup Tables'!$R$6:$T$13, 3, FALSE))))</f>
        <v/>
      </c>
      <c r="BD15" s="270" t="str">
        <f>IF(G15="", "", IF(E15="Exterior", 0, IF('Lighting Inventory'!G15="Air Conditioned", VLOOKUP(H15, 'Lookup Tables'!$R$6:$U$13, 4, FALSE), VLOOKUP('Lighting Inventory'!G15, 'Lookup Tables'!$R$6:$U$13, 4, FALSE))))</f>
        <v/>
      </c>
      <c r="BE15" s="270" t="str">
        <f>IFERROR(IF(B15="", "",  IF(B15="New Construction", VLOOKUP(F15, 'Lookup Tables'!$A$6:$K$59, 11, FALSE),IF(OR(AN15="", AN15="Light Switch"), 0, IF(OR(M15="",M15="None",V15= "LED Exit Signs"),0,_xlfn.XLOOKUP(M15,'Lookup Tables'!$R$91:$R$101,'Lookup Tables'!$V$91:$V$101))))), "")</f>
        <v/>
      </c>
      <c r="BF15" s="270" t="str">
        <f>IF(AND(OR(AN15="Light Switch",AN15=""),B15="New Construction"), VLOOKUP(F15, 'Lookup Tables'!$A$6:$K$59, 11, FALSE),IF(AN15="","",IF(B15="","",IF(OR(AN15="None",AN15="",V15="LED Exit Signs",AN15="Exterior Controls Not Eligible"),0,_xlfn.XLOOKUP(AN15,'Lookup Tables'!$R$91:$R$101,'Lookup Tables'!$V$91:$V$101)))))</f>
        <v/>
      </c>
      <c r="BG15" s="88" t="str">
        <f t="shared" si="86"/>
        <v/>
      </c>
      <c r="BH15" s="88" t="str">
        <f t="shared" si="87"/>
        <v/>
      </c>
      <c r="BI15" s="558" t="str">
        <f t="shared" si="168"/>
        <v/>
      </c>
      <c r="BJ15" s="560" t="str">
        <f t="shared" si="88"/>
        <v/>
      </c>
      <c r="BK15" s="560" t="str">
        <f t="shared" si="89"/>
        <v/>
      </c>
      <c r="BL15" s="559" t="str">
        <f t="shared" si="90"/>
        <v/>
      </c>
      <c r="BM15" s="521" t="str">
        <f t="shared" si="8"/>
        <v/>
      </c>
      <c r="BN15" s="521" t="str">
        <f t="shared" si="9"/>
        <v/>
      </c>
      <c r="BO15" s="522" t="str">
        <f t="shared" si="10"/>
        <v/>
      </c>
      <c r="BP15" s="83" t="str">
        <f t="shared" si="91"/>
        <v/>
      </c>
      <c r="BQ15" s="84" t="str">
        <f t="shared" si="92"/>
        <v/>
      </c>
      <c r="BR15" s="184" t="str">
        <f>IFERROR(IF(B15="", "", IF(OR(VLOOKUP(J15, 'Fixture Identities'!$A$6:$L$1023, 3, FALSE)="T12 Linear Fluorescent",VLOOKUP(J15, 'Fixture Identities'!$A$6:$L$1023, 3, FALSE)="T12 U-Tube Fluorescent"), "Y", "N")), "N")</f>
        <v/>
      </c>
      <c r="BS15" s="184" t="str">
        <f t="array" ref="BS15">IFERROR(IF(OR(B15="", V15="", W15=""), "", IF(V15="Custom", "N", IF(OR(W15="Freezer Case Lighting", W15="Refrigerated Case Lighting with Doors"), BT15, IF(B15="Retrofit", INDEX('Lookup Tables'!$AH$6:$AT$102,MATCH(1,('Lookup Tables'!$AH$6:$AH$102=V15)*('Lookup Tables'!$AI$6:$AI$102=W15),FALSE),IF(VLOOKUP(J15, 'Fixture Identities'!$A$6:$B$1023, 2, FALSE)="Incandescent",12, 13)), INDEX('Lookup Tables'!$AH$114:$AS$154,MATCH(1,('Lookup Tables'!$AH$114:$AH$154=V15)*('Lookup Tables'!$AI$114:$AI$154=W15),FALSE),12))))), "N")</f>
        <v/>
      </c>
      <c r="BT15" s="184" t="str">
        <f>IF(J15="", "", IF(AND(OR(W15="Freezer case Lighting", W15="Refrigerated Case Lighting with Doors"),'General Information'!$X$18="LCI"), "N", IF(OR(VLOOKUP(J15, 'Fixture Identities'!$A$6:$B$1023, 2, FALSE)="T12 EPACT/EISA Baseline", VLOOKUP(J15, 'Fixture Identities'!$A$6:$B$1023, 2, FALSE)="Linear Fluorescent", VLOOKUP(J15, 'Fixture Identities'!$A$6:$B$1023, 2, FALSE)="U-Tube Fluorescent"), "Y", "N")))</f>
        <v/>
      </c>
      <c r="BU15" s="184" t="str">
        <f>IFERROR(IF(B15="", "", IF(VLOOKUP(J15, 'Fixture Identities'!$A$6:$B$1023, 2, FALSE)="Exit Sign", "Y", "N")), "N")</f>
        <v/>
      </c>
      <c r="BV15" s="184" t="str">
        <f>IF(V15="Exit Signs", IF(VLOOKUP(J15, 'Fixture Identities'!$A$6:$B$1023, 2, FALSE)="Exit Sign", "N", "Y"), "")</f>
        <v/>
      </c>
      <c r="BW15" s="184" t="str">
        <f t="array" ref="BW15">IFERROR(IF(B15="", "", IF(B15="New Construction", "N", INDEX('Lookup Tables'!$AH$6:$AU$102, MATCH(1, ('Lookup Tables'!$AH$6:$AH$102='Lighting Inventory'!V15)*('Lookup Tables'!$AI$6:$AI$102='Lighting Inventory'!W15), 0), 14))), "N")</f>
        <v/>
      </c>
      <c r="BX15" s="598" t="str">
        <f t="shared" si="93"/>
        <v/>
      </c>
      <c r="BY15" s="598" t="str">
        <f t="shared" si="94"/>
        <v/>
      </c>
      <c r="BZ15" s="598" t="str">
        <f t="shared" si="95"/>
        <v/>
      </c>
      <c r="CA15" s="598" t="str">
        <f t="shared" si="101"/>
        <v/>
      </c>
      <c r="CB15" s="269" t="str">
        <f t="shared" si="102"/>
        <v/>
      </c>
      <c r="CC15" s="517" t="str">
        <f t="shared" si="96"/>
        <v/>
      </c>
      <c r="CD15" s="565" t="str">
        <f t="shared" si="11"/>
        <v/>
      </c>
      <c r="CE15" s="368">
        <v>0</v>
      </c>
      <c r="CF15" s="368" t="str" cm="1">
        <f t="array" ref="CF15">IFERROR(IF(V15="Custom", "$0.1 per kWh", IF(B15="New Construction", CONCATENATE("$",INDEX('Lookup Tables'!$AH$114:$AN$154,MATCH(1,('Lookup Tables'!$AH$114:$AH$154='Lighting Inventory'!V15)*('Lookup Tables'!$AI$114:$AI$154='Lighting Inventory'!W15),FALSE),6)," ",INDEX('Lookup Tables'!$AH$114:$AN$154,MATCH(1,('Lookup Tables'!$AH$114:$AH$154='Lighting Inventory'!V15)*('Lookup Tables'!$AI$114:$AI$154='Lighting Inventory'!W15),FALSE),7)), IF(AND(BU15="N", V15="Exit Signs"), "$0.025 per kWh", CONCATENATE("$",INDEX('Lookup Tables'!$AH$6:$AN$102,MATCH(1,('Lookup Tables'!$AH$6:$AH$102='Lighting Inventory'!V15)*('Lookup Tables'!$AI$6:$AI$102='Lighting Inventory'!W15),FALSE),6)," ",INDEX('Lookup Tables'!$AH$6:$AN$102,MATCH(1,('Lookup Tables'!$AH$6:$AH$102='Lighting Inventory'!V15)*('Lookup Tables'!$AI$6:$AI$102='Lighting Inventory'!W15),FALSE),7))))), "")</f>
        <v/>
      </c>
      <c r="CG15" s="580"/>
      <c r="CH15" s="248" t="str">
        <f t="shared" si="103"/>
        <v/>
      </c>
      <c r="CI15" s="248" t="str">
        <f t="shared" si="104"/>
        <v>Select_IE</v>
      </c>
      <c r="CJ15" s="248" t="str">
        <f t="shared" si="105"/>
        <v/>
      </c>
      <c r="CK15" s="248" t="str">
        <f t="shared" si="106"/>
        <v/>
      </c>
      <c r="CL15" s="248" t="str">
        <f t="shared" si="107"/>
        <v/>
      </c>
      <c r="CM15" s="248" t="str">
        <f>IFERROR(IF(B15="", "", IF(B15="New Construction", VLOOKUP(V15, 'Lookup Tables'!$AF$114:$AG$120, 2, FALSE), VLOOKUP(V15, 'Lookup Tables'!$AD$6:$AE$25, 2, FALSE))), "")</f>
        <v/>
      </c>
      <c r="CN15" s="248" t="str">
        <f t="shared" si="108"/>
        <v/>
      </c>
      <c r="CO15" s="248" t="str">
        <f t="shared" si="109"/>
        <v/>
      </c>
      <c r="CP15" s="592" t="str">
        <f t="shared" si="110"/>
        <v/>
      </c>
      <c r="CQ15" s="248" t="str">
        <f t="shared" si="97"/>
        <v/>
      </c>
      <c r="CR15" s="100"/>
      <c r="CS15" s="250" t="str">
        <f t="shared" si="111"/>
        <v/>
      </c>
      <c r="CT15" s="250" t="str">
        <f t="shared" si="112"/>
        <v/>
      </c>
      <c r="CU15" s="250" t="str">
        <f t="shared" si="113"/>
        <v/>
      </c>
      <c r="CV15" s="250" t="str">
        <f t="shared" si="114"/>
        <v/>
      </c>
      <c r="CW15" s="250" t="str">
        <f t="shared" si="115"/>
        <v/>
      </c>
      <c r="CX15" s="250" t="str">
        <f t="shared" si="116"/>
        <v/>
      </c>
      <c r="CY15" s="250" t="str">
        <f t="shared" si="117"/>
        <v/>
      </c>
      <c r="CZ15" s="250" t="str">
        <f t="shared" si="118"/>
        <v/>
      </c>
      <c r="DA15" s="250" t="str">
        <f t="shared" si="119"/>
        <v/>
      </c>
      <c r="DB15" s="250" t="str">
        <f t="shared" si="120"/>
        <v/>
      </c>
      <c r="DC15" s="250" t="str">
        <f t="shared" si="121"/>
        <v/>
      </c>
      <c r="DD15" s="250" t="str">
        <f t="shared" si="122"/>
        <v/>
      </c>
      <c r="DE15" s="250" t="str">
        <f t="shared" si="123"/>
        <v/>
      </c>
      <c r="DF15" s="250" t="str">
        <f t="shared" si="124"/>
        <v/>
      </c>
      <c r="DG15" s="250" t="str">
        <f t="shared" si="125"/>
        <v/>
      </c>
      <c r="DH15" s="250" t="str">
        <f t="shared" si="126"/>
        <v/>
      </c>
      <c r="DI15" s="250" t="str">
        <f t="shared" si="127"/>
        <v/>
      </c>
      <c r="DJ15" s="250" t="str">
        <f t="shared" si="128"/>
        <v/>
      </c>
      <c r="DK15" s="250" t="str">
        <f t="shared" si="129"/>
        <v/>
      </c>
      <c r="DL15" s="250" t="str">
        <f t="shared" si="130"/>
        <v/>
      </c>
      <c r="DM15" s="250" t="str">
        <f>IF(CD15="ERROR", "ERROR", IF(AND(OR(Y15=$DM$6, Y15='Lookup Tables'!$AD$21, Y15='Lookup Tables'!$AD$22), E15="Interior"), BJ15, ""))</f>
        <v/>
      </c>
      <c r="DN15" s="250" t="str">
        <f>IF(CD15="ERROR", "ERROR", IF(AND(OR(Y15=$DM$6, Y15='Lookup Tables'!$AD$21, Y15='Lookup Tables'!$AD$22), E15="Exterior"), BJ15, ""))</f>
        <v/>
      </c>
      <c r="DO15" s="100"/>
      <c r="DP15" s="250" t="str">
        <f t="shared" si="131"/>
        <v/>
      </c>
      <c r="DQ15" s="250" t="str">
        <f t="shared" si="132"/>
        <v/>
      </c>
      <c r="DR15" s="250" t="str">
        <f t="shared" si="133"/>
        <v/>
      </c>
      <c r="DS15" s="250" t="str">
        <f t="shared" si="134"/>
        <v/>
      </c>
      <c r="DT15" s="250" t="str">
        <f t="shared" si="135"/>
        <v/>
      </c>
      <c r="DU15" s="250" t="str">
        <f t="shared" si="136"/>
        <v/>
      </c>
      <c r="DV15" s="250" t="str">
        <f t="shared" si="137"/>
        <v/>
      </c>
      <c r="DW15" s="250" t="str">
        <f t="shared" si="138"/>
        <v/>
      </c>
      <c r="DX15" s="250" t="str">
        <f t="shared" si="139"/>
        <v/>
      </c>
      <c r="DY15" s="250" t="str">
        <f t="shared" si="140"/>
        <v/>
      </c>
      <c r="DZ15" s="250" t="str">
        <f t="shared" si="141"/>
        <v/>
      </c>
      <c r="EA15" s="250" t="str">
        <f t="shared" si="142"/>
        <v/>
      </c>
      <c r="EB15" s="250" t="str">
        <f t="shared" si="143"/>
        <v/>
      </c>
      <c r="EC15" s="250" t="str">
        <f t="shared" si="144"/>
        <v/>
      </c>
      <c r="ED15" s="250" t="str">
        <f t="shared" si="145"/>
        <v/>
      </c>
      <c r="EE15" s="250" t="str">
        <f t="shared" si="146"/>
        <v/>
      </c>
      <c r="EF15" s="250" t="str">
        <f t="shared" si="147"/>
        <v/>
      </c>
      <c r="EG15" s="250" t="str">
        <f t="shared" si="148"/>
        <v/>
      </c>
      <c r="EH15" s="250" t="str">
        <f>IF(CD15="ERROR", "ERROR", IF(AND(OR($EH$6=Y15, Y15='Lookup Tables'!$AD$21, Y15='Lookup Tables'!$AD$22),E15="Interior"), SUM(BP15:BP15), ""))</f>
        <v/>
      </c>
      <c r="EI15" s="250" t="str">
        <f>IF(CD15="ERROR", "ERROR", IF(AND(OR($EH$6=Y15, Y15='Lookup Tables'!$AD$21, Y15='Lookup Tables'!$AD$22),E15="Exterior"), SUM(BP15:BP15), ""))</f>
        <v/>
      </c>
      <c r="EJ15" s="109"/>
      <c r="EK15" s="485" t="str">
        <f t="shared" si="58"/>
        <v/>
      </c>
      <c r="EL15" s="252" t="str">
        <f t="shared" si="149"/>
        <v/>
      </c>
      <c r="EM15" s="252" t="str">
        <f t="shared" si="150"/>
        <v/>
      </c>
      <c r="EN15" s="252" t="str">
        <f t="shared" si="151"/>
        <v/>
      </c>
      <c r="EO15" s="252" t="str">
        <f t="shared" si="152"/>
        <v/>
      </c>
      <c r="EP15" s="252" t="str">
        <f t="shared" si="153"/>
        <v/>
      </c>
      <c r="EQ15" s="252" t="str">
        <f t="shared" si="154"/>
        <v/>
      </c>
      <c r="ER15" s="252" t="str">
        <f t="shared" si="155"/>
        <v/>
      </c>
      <c r="ES15" s="252" t="str">
        <f t="shared" si="156"/>
        <v/>
      </c>
      <c r="ET15" s="252" t="str">
        <f t="shared" si="157"/>
        <v/>
      </c>
      <c r="EU15" s="252" t="str">
        <f t="shared" si="158"/>
        <v/>
      </c>
      <c r="EV15" s="252" t="str">
        <f t="shared" si="159"/>
        <v/>
      </c>
      <c r="EW15" s="252" t="str">
        <f t="shared" si="160"/>
        <v/>
      </c>
      <c r="EX15" s="252" t="str">
        <f t="shared" si="161"/>
        <v/>
      </c>
      <c r="EY15" s="252" t="str">
        <f t="shared" si="162"/>
        <v/>
      </c>
      <c r="EZ15" s="252" t="str">
        <f t="shared" si="163"/>
        <v/>
      </c>
      <c r="FA15" s="252" t="str">
        <f t="shared" si="164"/>
        <v/>
      </c>
      <c r="FB15" s="252" t="str">
        <f t="shared" si="165"/>
        <v/>
      </c>
      <c r="FC15" s="252" t="str">
        <f>IF(CD15="ERROR", "ERROR", IF(OR(V15="No Change", V15="Not DLC or Energy Star"), "", IF(AND(OR($FC$6=Y15,Y15='Lookup Tables'!$AD$21, Y15='Lookup Tables'!$AD$22),E15="Interior"), S15, "")))</f>
        <v/>
      </c>
      <c r="FD15" s="252" t="str">
        <f t="shared" si="166"/>
        <v/>
      </c>
      <c r="FE15" s="101"/>
      <c r="FF15" s="579" t="str" cm="1">
        <f t="array" ref="FF15">IFERROR(IF(OR(BQ15&lt;=0,AQ15&lt;20,AND(V15="Exit Signs",AN15&gt;0)),"",IF(AND(AQ15&gt;=20,AN15='Lookup Tables'!$R$101),'Lookup Tables'!$U$101*BQ15,AP15*LOOKUP(2,1/((AN15='Lookup Tables'!$R$91:$R$111)*(AQ15&gt;='Lookup Tables'!$S$91:$S$111)*(AQ15&lt;='Lookup Tables'!$T$91:$T$111)),'Lookup Tables'!$U$91:$U$111))),"")</f>
        <v/>
      </c>
      <c r="FG15" s="579"/>
      <c r="FH15" s="579"/>
      <c r="FI15" s="253" t="str">
        <f>IFERROR(ROUND(IF(CD15="ERROR", "ERROR", IF(AND($FI$7=X15,E15="Interior"),VLOOKUP(W15, 'Lookup Tables'!$AI$6:$AM$102, 5, FALSE)*BP15, "")), 2), "")</f>
        <v/>
      </c>
      <c r="FJ15" s="253" t="str">
        <f>IFERROR(ROUND(IF(CD15="ERROR", "ERROR", IF(AND($FI$7=X15,E15="Exterior"),VLOOKUP(W15, 'Lookup Tables'!$AI$6:$AM$102, 5, FALSE)*BP15, "")), 2), "")</f>
        <v/>
      </c>
      <c r="FK15" s="253" t="str">
        <f>IFERROR(ROUND(IF(CD15="ERROR", "ERROR", IF(AND($FK$7=X15,E15="Interior"),VLOOKUP(W15, 'Lookup Tables'!$AI$6:$AM$102, 5, FALSE)*BP15, "")), 2), "")</f>
        <v/>
      </c>
      <c r="FL15" s="253" t="str">
        <f>IFERROR(ROUND(IF(CD15="ERROR", "ERROR", IF(AND($FK$7=X15,E15="Exterior"),VLOOKUP(W15, 'Lookup Tables'!$AI$6:$AM$102, 5, FALSE)*BP15, "")), 2), "")</f>
        <v/>
      </c>
      <c r="FM15" s="253" t="str">
        <f>IFERROR(ROUND(IF(CD15="ERROR", "ERROR", IF(AND($FM$6=Y15,E15="Interior"), IF(GB15=0, VLOOKUP(W15, 'Lookup Tables'!$AI$6:$AM$102, 5, FALSE)*BP15, IF(VLOOKUP(W15, 'Lookup Tables'!$AI$6:$AM$102, 5, FALSE)*BP15&gt;GB15*'Lighting Inventory'!S15, GB15*'Lighting Inventory'!S15,VLOOKUP(W15, 'Lookup Tables'!$AI$6:$AM$102, 5, FALSE)*BP15)), "")), 2), "")</f>
        <v/>
      </c>
      <c r="FN15" s="253" t="str">
        <f>IFERROR(ROUND(IF(CD15="ERROR", "ERROR", IF(AND($FM$6=Y15,E15="Exterior"), IF(GB15=0, VLOOKUP(W15, 'Lookup Tables'!$AI$6:$AM$102, 5, FALSE)*BP15, IF(VLOOKUP(W15, 'Lookup Tables'!$AI$6:$AM$102, 5, FALSE)*BP15&gt;GB15*'Lighting Inventory'!S15, GB15*'Lighting Inventory'!S15,VLOOKUP(W15, 'Lookup Tables'!$AI$6:$AM$102, 5, FALSE)*BP15)), "")), 2), "")</f>
        <v/>
      </c>
      <c r="FO15" s="253" t="str">
        <f>IFERROR(ROUND(IF(CD15="ERROR", "ERROR", IF(AND($FO$6=Y15,E15="Interior"),VLOOKUP(W15, 'Lookup Tables'!$AI$6:$AM$102, 5, FALSE)*'Lighting Inventory'!AI15, "")), 2), "")</f>
        <v/>
      </c>
      <c r="FP15" s="253" t="str">
        <f>IFERROR(ROUND(IF(CD15="ERROR", "ERROR", IF(AND($FO$6=Y15,E15="Exterior"),VLOOKUP(W15, 'Lookup Tables'!$AI$6:$AM$102, 5, FALSE)*'Lighting Inventory'!AI15, "")), 2), "")</f>
        <v/>
      </c>
      <c r="FQ15" s="253" t="str">
        <f>IFERROR(ROUND(IF(CD15="ERROR", "ERROR", IF(AND($FQ$6=Y15,E15="Interior", BU15="Y"), VLOOKUP('Lighting Inventory'!W15, 'Lookup Tables'!$AI$6:$AM$102, 5, FALSE)*'Lighting Inventory'!S15, IF(AND($FQ$7=Y15,E15="Interior", BU15="N"), 0.025*CD15, ""))), 2), "")</f>
        <v/>
      </c>
      <c r="FR15" s="253" t="str">
        <f>IFERROR(ROUND(IF(CD15="ERROR", "ERROR", IF(AND($FQ$6=Y15,E15="Exterior"), VLOOKUP('Lighting Inventory'!W15, 'Lookup Tables'!$AI$6:$AM$102, 5, FALSE)*'Lighting Inventory'!S15, "")), 2), "")</f>
        <v/>
      </c>
      <c r="FS15" s="253" t="str">
        <f>IFERROR(ROUND(IF(CD15="ERROR", "ERROR", IF(AND($FS$6=Y15,E15="Exterior"), IF(GB15=0, VLOOKUP(W15, 'Lookup Tables'!$AI$6:$AM$102, 5, FALSE)*BP15, IF(VLOOKUP(W15, 'Lookup Tables'!$AI$6:$AM$102, 5, FALSE)*BP15&gt;GB15*'Lighting Inventory'!S15, GB15*'Lighting Inventory'!S15,VLOOKUP(W15, 'Lookup Tables'!$AI$6:$AM$102, 5, FALSE)*BP15)), "")), 2), "")</f>
        <v/>
      </c>
      <c r="FT15" s="253" t="str">
        <f>IFERROR(ROUND(IF(CD15="ERROR", "ERROR", IF(AND($FT$6=Y15,E15="Interior"), IF(GB15=0, VLOOKUP(W15, 'Lookup Tables'!$AI$6:$AM$102, 5, FALSE)*BP15, IF(VLOOKUP(W15, 'Lookup Tables'!$AI$6:$AM$102, 5, FALSE)*BP15&gt;GB15*'Lighting Inventory'!S15, GB15*'Lighting Inventory'!S15,VLOOKUP(W15, 'Lookup Tables'!$AI$6:$AM$102, 5, FALSE)*BP15)), "")), 2), "")</f>
        <v/>
      </c>
      <c r="FU15" s="253" t="str">
        <f>IFERROR(ROUND(IF(CD15="ERROR", "ERROR", IF(AND(Y15=$FU$6, E15="Interior"), IF(BS15="N", 'Lookup Tables'!$AM$101*BP15, VLOOKUP(W15, 'Lookup Tables'!$AI$6:$AM$102, 5, FALSE)*S15*AD15), "")), 2), "")</f>
        <v/>
      </c>
      <c r="FV15" s="253" t="str">
        <f>IFERROR(ROUND(IF(CD15="ERROR", "ERROR", IF(AND(Y15=$FU$6, E15="Exterior"), IF(BS15="N", 'Lookup Tables'!$AM$101*BP15, VLOOKUP(W15, 'Lookup Tables'!$AI$6:$AM$102, 5, FALSE)*S15*AD15), "")), 2), "")</f>
        <v/>
      </c>
      <c r="FW15" s="253" t="str">
        <f>IFERROR(ROUND(IF(CD15="ERROR", "ERROR", IF($FW$6=Y15, IF(BS15="N", 'Lookup Tables'!$AM$101*BP15, MIN((VLOOKUP(W15, 'Lookup Tables'!$AI$6:$AM$102, 5, FALSE)*BP15),GB15*AJ15)), "")), 2), "")</f>
        <v/>
      </c>
      <c r="FX15" s="253" t="str">
        <f>IFERROR(ROUND(IF(CD15="ERROR", "ERROR", IF(AND($FX$6=Y15, E15="Interior"), IF(VLOOKUP(W15, 'Lookup Tables'!$AI$6:$AM$102, 5, FALSE)*BP15&gt;'Lookup Tables'!$AQ$97*'Lighting Inventory'!S15,'Lighting Inventory'!S15*'Lookup Tables'!$AQ$97,VLOOKUP(W15, 'Lookup Tables'!$AI$6:$AM$102, 5, FALSE)*BP15), "")), 2), "")</f>
        <v/>
      </c>
      <c r="FY15" s="253" t="str">
        <f>IFERROR(ROUND(IF(CD15="ERROR", "ERROR", IF(AND($FX$6=Y15, E15="Exterior"), IF(VLOOKUP(W15, 'Lookup Tables'!$AI$6:$AM$102, 5, FALSE)*BP15&gt;'Lookup Tables'!$AQ$97*'Lighting Inventory'!S15,'Lighting Inventory'!S15*'Lookup Tables'!$AQ$97,VLOOKUP(W15, 'Lookup Tables'!$AI$6:$AM$102, 5, FALSE)*BP15), "")), 2), "")</f>
        <v/>
      </c>
      <c r="FZ15" s="253" t="str">
        <f>IFERROR(ROUND(IF(CD15="ERROR", "ERROR", IF(AND($FZ$6=Y15, E15="Interior"), IF(AND(OR(W15="Refrigerated Case Lighting with Doors", W15="Freezer Case Lighting"),Y15="Custom - Process Improvement"),CD15*'Lookup Tables'!$AM$101, IF(B15="Retrofit", IF(VLOOKUP(IF(V15="Custom", V15, W15), 'Lookup Tables'!$AI$6:$AM$102, 5, FALSE)*BP15&gt;GE15, GE15, VLOOKUP(IF(V15="Custom", V15, W15), 'Lookup Tables'!$AI$6:$AM$102, 5, FALSE)*BP15), IF(VLOOKUP(IF(V15="Custom", V15, W15), 'Lookup Tables'!$AI$114:$AM$154, 5, FALSE)*BP15&gt;GE15, GE15, VLOOKUP(IF(V15="Custom", V15, W15), 'Lookup Tables'!$AI$114:$AM$154, 5, FALSE)*BP15))), "")), 2),"")</f>
        <v/>
      </c>
      <c r="GA15" s="253" t="str">
        <f>IFERROR(ROUND(IF(CD15="ERROR", "ERROR", IF(AND($FZ$6=Y15, E15="Exterior"), IF(B15="Retrofit", IF(VLOOKUP(IF(V15="Custom", V15, W15), 'Lookup Tables'!$AI$6:$AM$102, 5, FALSE)*BP15&gt;GE15, GE15, VLOOKUP(IF(V15="Custom", V15, W15), 'Lookup Tables'!$AI$6:$AM$102, 5, FALSE)*BP15), IF(VLOOKUP(IF(V15="Custom", V15, W15), 'Lookup Tables'!$AI$114:$AM$154, 5, FALSE)*BP15&gt;GE15, GE15, VLOOKUP(IF(V15="Custom", V15, W15), 'Lookup Tables'!$AI$114:$AM$154, 5, FALSE)*BP15)), "")), 2),"")</f>
        <v/>
      </c>
      <c r="GB15" s="254" t="str">
        <f t="array" ref="GB15">IF(B15="","",IF(OR(V15="Custom",V15="No Change"),0,IF(B15="Retrofit", INDEX('Lookup Tables'!$AH$6:$AQ$102,MATCH(1,('Lookup Tables'!$AH$6:$AH$102='Lighting Inventory'!V15)*('Lookup Tables'!$AI$6:$AI$102='Lighting Inventory'!W15),FALSE),10),INDEX('Lookup Tables'!$AH$114:$AQ$154,MATCH(1,('Lookup Tables'!$AH$114:$AH$154='Lighting Inventory'!V15)*('Lookup Tables'!$AI$114:$AI$154='Lighting Inventory'!W15),FALSE),10))))</f>
        <v/>
      </c>
      <c r="GC15" s="255" t="str">
        <f t="shared" si="77"/>
        <v/>
      </c>
      <c r="GD15" s="250" t="str">
        <f t="shared" si="78"/>
        <v/>
      </c>
      <c r="GE15" s="253" t="str">
        <f>IFERROR(IF(AND(AF15="", 'General Information'!$F$18="No"),"", IF(AF15="", ((GD15/$CD$266)*$CF$266)*0.5, AF15*S15*0.5)), "")</f>
        <v/>
      </c>
      <c r="GF15" s="255" t="str">
        <f>IF(AND('General Information'!$F$19="", 'General Information'!$F$18="Yes",AF15="",BW15="Y"), "Y", "N")</f>
        <v>N</v>
      </c>
      <c r="GG15" s="255" t="s">
        <v>2946</v>
      </c>
      <c r="GH15" s="255" t="str">
        <f>IFERROR(IF(B15="", "", VLOOKUP(J15, 'Fixture Identities'!$A$6:$N$908, 14, FALSE)), "")</f>
        <v/>
      </c>
      <c r="GI15" s="389" t="str">
        <f>IF(OR(B15="", V15="", W15=""), "", IF(AND(OR(M15='Lookup Tables'!$R$18, M15='Lookup Tables'!$R$19, M15='Lookup Tables'!$R$20, M15='Lookup Tables'!$R$21, M15='Lookup Tables'!$R$22), OR(AN15='Lookup Tables'!$R$17, AN15='Lookup Tables'!$R$17, AN15="")), "Y", "N"))</f>
        <v/>
      </c>
      <c r="GJ15" s="255" t="str">
        <f t="shared" si="79"/>
        <v/>
      </c>
      <c r="GK15" s="255" t="str">
        <f t="shared" si="80"/>
        <v/>
      </c>
      <c r="GL15" s="255" t="str">
        <f t="shared" si="81"/>
        <v/>
      </c>
      <c r="GM15" s="255" t="str">
        <f>IF(AN15="", "", IF(AND(IF(ISNA(VLOOKUP(AN15,'Lookup Tables'!$R$18:$R$22,1,FALSE)), "N", "Y")="Y", E15="Exterior"), "Y", "N"))</f>
        <v/>
      </c>
      <c r="GN15" s="395"/>
      <c r="GO15" s="428">
        <f t="shared" si="98"/>
        <v>0</v>
      </c>
      <c r="GP15" s="428">
        <f t="shared" si="167"/>
        <v>0</v>
      </c>
      <c r="GQ15" s="428">
        <f t="shared" si="99"/>
        <v>0</v>
      </c>
      <c r="GR15" s="428">
        <f t="shared" si="100"/>
        <v>0</v>
      </c>
    </row>
    <row r="16" spans="1:207" s="103" customFormat="1" ht="13.5" customHeight="1" x14ac:dyDescent="0.2">
      <c r="A16" s="272">
        <v>6</v>
      </c>
      <c r="B16" s="110"/>
      <c r="C16" s="595"/>
      <c r="D16" s="595"/>
      <c r="E16" s="110"/>
      <c r="F16" s="110"/>
      <c r="G16" s="110"/>
      <c r="H16" s="110"/>
      <c r="I16" s="596"/>
      <c r="J16" s="29"/>
      <c r="K16" s="272" t="str">
        <f>IFERROR(IF(OR(VLOOKUP(J16, 'Fixture Identities'!$A$6:$L$1023, 3, FALSE)="T12 Linear Fluorescent", VLOOKUP(J16, 'Fixture Identities'!$A$6:$L$1023, 3, FALSE)="T12 U-Tube Fluorescent"), VLOOKUP(VLOOKUP(J16, 'Fixture Identities'!$A$6:$L$1023, 11, FALSE), 'Fixture Identities'!$A$6:$L$1023, 10, FALSE), VLOOKUP(J16, 'Fixture Identities'!$A$6:$L$1023, 10, FALSE)), "")</f>
        <v/>
      </c>
      <c r="L16" s="270" t="str">
        <f t="shared" ref="L16:L79" si="169">IFERROR(IF(I16="", "", (K16*I16)/1000), "")</f>
        <v/>
      </c>
      <c r="M16" s="110"/>
      <c r="N16" s="110"/>
      <c r="O16" s="110"/>
      <c r="P16" s="272" t="str">
        <f>IFERROR(IF(OR(B16="Retrofit",B16=""),"",IF('Lighting Inventory'!E16="Exterior",VLOOKUP('Lighting Inventory'!N16,'Lookup Tables'!$B$83:$F$103,5,FALSE),IF(N16="Other - Please Estimate EFLH and CFs","Contact Prog. Rep.","ft^2"))), "")</f>
        <v/>
      </c>
      <c r="Q16" s="270" t="str">
        <f>IFERROR(IF(AND(B16="New Construction",E16="Interior",$F$5="Space-by-Space"),VLOOKUP('Lighting Inventory'!N16,'Lookup Tables'!$N$6:$O$97,2,FALSE),IF(AND(B16="New Construction",E16="Exterior"),VLOOKUP(N16,'Lookup Tables'!$B$83:$F$103,2,FALSE),IF(AND(B16="New Construction",'Lighting Inventory'!E16="Interior", $F$5="Building Area"),VLOOKUP(F16,'Lookup Tables'!$A$6:$J$59,10,FALSE),""))), "")</f>
        <v/>
      </c>
      <c r="R16" s="270" t="str">
        <f>IFERROR(IF(P16="Contact Prog. Rep.", "ERROR", IF(OR(B16="",B16="Retrofit"),"",IF(N16="Automated teller machines", ('Lookup Tables'!$A$82:$E$100+('Lighting Inventory'!O16-1)*'Lookup Tables'!$A$82:$E$100)/1000, (Q16*O16)/1000))), "")</f>
        <v/>
      </c>
      <c r="S16" s="595"/>
      <c r="T16" s="105" t="str">
        <f t="shared" si="83"/>
        <v/>
      </c>
      <c r="U16" s="105" t="str">
        <f>IF(S16="","",COUNT($S$11:S16))</f>
        <v/>
      </c>
      <c r="V16" s="111"/>
      <c r="W16" s="112"/>
      <c r="X16" s="105" t="str">
        <f t="shared" si="84"/>
        <v/>
      </c>
      <c r="Y16" s="105" t="str">
        <f t="array" ref="Y16">IF(AND(OR(W16="Freezer Case Lighting", W16="Refrigerated Case Lighting with Doors"), 'General Information'!$X$18="LCI"),'Lookup Tables'!$Y$34, IF(V16="Custom", VLOOKUP(W16, 'Fixture Identities'!$A$974:$M$1023, 13, FALSE), IF(V16="No Change",'Lookup Tables'!$Y$29,IF(OR(V16="",W16=""),"",IF(AND(S16=0,S16&lt;I16,B16="Retrofit"),'Lookup Tables'!$Y$25, IF(B16="Retrofit", INDEX('Lookup Tables'!$AH$6:$AP$102, MATCH(1, ('Lookup Tables'!$AH$6:$AH$102=V16)*('Lookup Tables'!$AI$6:$AI$102=W16), 0), IF('Lighting Inventory'!E16="Interior", 4, 5)), INDEX('Lookup Tables'!$AH$114:$AP$154, MATCH(1, ('Lookup Tables'!$AH$114:$AH$154=V16)*('Lookup Tables'!$AI$114:$AI$154=W16), 0), IF('Lighting Inventory'!E16="Interior", 4, 5))))))))</f>
        <v/>
      </c>
      <c r="Z16" s="105" t="str">
        <f>IFERROR(INDEX('Lookup Tables'!$AH$158:$AH$172,MATCH('Lighting Inventory'!Y16,'Lookup Tables'!$AI$158:$AI$172,0)),"")</f>
        <v/>
      </c>
      <c r="AA16" s="105" t="str">
        <f>IF(AP16&gt;0,INDEX('Lookup Tables'!$AK$158:$AK$172,MATCH('Lighting Inventory'!Y16,'Lookup Tables'!$AI$158:$AI$172,0)),'Lighting Inventory'!Y16)</f>
        <v/>
      </c>
      <c r="AB16" s="105" t="str">
        <f t="array" ref="AB16">IF(V16="Custom", "Custom", IF(V16="", "", IF(V16="Not DLC or Energy Star", "General", IF(B16="New Construction", INDEX('Lookup Tables'!$AH$114:$AP$154,MATCH(1,('Lookup Tables'!$AH$114:$AH$154='Lighting Inventory'!V16)*('Lookup Tables'!$AI$114:$AI$154='Lighting Inventory'!W16),FALSE),8), INDEX('Lookup Tables'!$AH$6:$AP$102,MATCH(1,('Lookup Tables'!$AH$6:$AH$102='Lighting Inventory'!V16)*('Lookup Tables'!$AI$6:$AI$102='Lighting Inventory'!W16),FALSE),8)))))</f>
        <v/>
      </c>
      <c r="AC16" s="272" t="str">
        <f>IF(W16="","",IF(V16="Custom",CONCATENATE("$",'Lookup Tables'!$AM$101," ",'Lookup Tables'!$AN$101),CONCATENATE("$",INDEX('Lookup Tables'!$AM$6:$AM$102,MATCH('Lighting Inventory'!W16,'Lookup Tables'!$AI$6:$AI$102,0))," ",INDEX('Lookup Tables'!$AN$6:$AN$102,MATCH('Lighting Inventory'!W16,'Lookup Tables'!$AI$6:$AI$102,0)))))</f>
        <v/>
      </c>
      <c r="AD16" s="72"/>
      <c r="AE16" s="29"/>
      <c r="AF16" s="379"/>
      <c r="AG16" s="370" t="str">
        <f t="shared" si="2"/>
        <v/>
      </c>
      <c r="AH16" s="370" t="str">
        <f t="shared" si="85"/>
        <v/>
      </c>
      <c r="AI16" s="29"/>
      <c r="AJ16" s="29"/>
      <c r="AK16" s="110"/>
      <c r="AL16" s="375" t="str">
        <f>IF(OR(B16="", V16="", W16=""), "", IF(V16="No Change", K16, IF(V16="Remove Fixture", 0, IF(V16="Custom",VLOOKUP(W16,'Fixture Identities'!$A$6:$K$1023,10,FALSE),IF(AE16="", "← ENTER POST WATTS", 'Lighting Inventory'!AE16)))))</f>
        <v/>
      </c>
      <c r="AM16" s="376" t="str">
        <f t="shared" si="3"/>
        <v/>
      </c>
      <c r="AN16" s="29"/>
      <c r="AO16" s="671"/>
      <c r="AP16" s="29"/>
      <c r="AQ16" s="29"/>
      <c r="AR16" s="29"/>
      <c r="AS16" s="272" t="str">
        <f t="shared" si="4"/>
        <v/>
      </c>
      <c r="AT16" s="270" t="str">
        <f t="shared" si="5"/>
        <v/>
      </c>
      <c r="AU16" s="88" t="str">
        <f t="shared" si="6"/>
        <v/>
      </c>
      <c r="AV16" s="29"/>
      <c r="AW16" s="73"/>
      <c r="AX16" s="271" t="str">
        <f>IF(AND(AV16="Applicant",OR(AW16="", AW16="Use Default Facility Hours")),"← Choose Schedule",IF(F16="","",IF(W16="LED Exit Signs",8760,IF(OR(AV16="Prescribed",AV16=""),VLOOKUP(F16,'Lookup Tables'!$A$6:$G$59,IF(AB16="General", 6, 3),FALSE),VLOOKUP(AW16,'Lookup Tables'!$S$36:$U$43,2,FALSE)))))</f>
        <v/>
      </c>
      <c r="AY16" s="88" t="str">
        <f t="shared" si="7"/>
        <v/>
      </c>
      <c r="AZ16" s="270" t="str">
        <f>IFERROR(IF(F16="", "", IF(W16="LED Exit Signs", 1, IF(AV16="Applicant",VLOOKUP(AW16, 'Lookup Tables'!$S$36:$U$43,3, FALSE), VLOOKUP('Lighting Inventory'!F16, 'Lookup Tables'!$A$6:$H$59, IF('Lighting Inventory'!AB16="General",7,4), FALSE)))), "")</f>
        <v/>
      </c>
      <c r="BA16" s="522" t="str">
        <f>IFERROR(IF(F16="", "", IF(W16="LED Exit Signs", 1, VLOOKUP('Lighting Inventory'!F16, 'Lookup Tables'!$A$6:$H$59, IF('Lighting Inventory'!AB16="General",8,5), FALSE))), "")</f>
        <v/>
      </c>
      <c r="BB16" s="270" t="str">
        <f>IF(G16="", "", IF(E16="Exterior", 0, IF('Lighting Inventory'!G16="Air Conditioned", VLOOKUP(H16, 'Lookup Tables'!$R$6:$T$13, 2, FALSE), VLOOKUP('Lighting Inventory'!G16, 'Lookup Tables'!$R$6:$T$13, 2, FALSE))))</f>
        <v/>
      </c>
      <c r="BC16" s="522" t="str">
        <f>IF(G16="", "", IF(E16="Exterior", 0, IF('Lighting Inventory'!G16="Air Conditioned", VLOOKUP(H16, 'Lookup Tables'!$R$6:$T$13, 3, FALSE), VLOOKUP('Lighting Inventory'!G16, 'Lookup Tables'!$R$6:$T$13, 3, FALSE))))</f>
        <v/>
      </c>
      <c r="BD16" s="270" t="str">
        <f>IF(G16="", "", IF(E16="Exterior", 0, IF('Lighting Inventory'!G16="Air Conditioned", VLOOKUP(H16, 'Lookup Tables'!$R$6:$U$13, 4, FALSE), VLOOKUP('Lighting Inventory'!G16, 'Lookup Tables'!$R$6:$U$13, 4, FALSE))))</f>
        <v/>
      </c>
      <c r="BE16" s="270" t="str">
        <f>IFERROR(IF(B16="", "",  IF(B16="New Construction", VLOOKUP(F16, 'Lookup Tables'!$A$6:$K$59, 11, FALSE),IF(OR(AN16="", AN16="Light Switch"), 0, IF(OR(M16="",M16="None",V16= "LED Exit Signs"),0,_xlfn.XLOOKUP(M16,'Lookup Tables'!$R$91:$R$101,'Lookup Tables'!$V$91:$V$101))))), "")</f>
        <v/>
      </c>
      <c r="BF16" s="270" t="str">
        <f>IF(AND(OR(AN16="Light Switch",AN16=""),B16="New Construction"), VLOOKUP(F16, 'Lookup Tables'!$A$6:$K$59, 11, FALSE),IF(AN16="","",IF(B16="","",IF(OR(AN16="None",AN16="",V16="LED Exit Signs",AN16="Exterior Controls Not Eligible"),0,_xlfn.XLOOKUP(AN16,'Lookup Tables'!$R$91:$R$101,'Lookup Tables'!$V$91:$V$101)))))</f>
        <v/>
      </c>
      <c r="BG16" s="88" t="str">
        <f t="shared" si="86"/>
        <v/>
      </c>
      <c r="BH16" s="88" t="str">
        <f t="shared" si="87"/>
        <v/>
      </c>
      <c r="BI16" s="558" t="str">
        <f t="shared" si="168"/>
        <v/>
      </c>
      <c r="BJ16" s="560" t="str">
        <f t="shared" si="88"/>
        <v/>
      </c>
      <c r="BK16" s="560" t="str">
        <f t="shared" si="89"/>
        <v/>
      </c>
      <c r="BL16" s="559" t="str">
        <f t="shared" si="90"/>
        <v/>
      </c>
      <c r="BM16" s="521" t="str">
        <f t="shared" si="8"/>
        <v/>
      </c>
      <c r="BN16" s="521" t="str">
        <f t="shared" si="9"/>
        <v/>
      </c>
      <c r="BO16" s="522" t="str">
        <f t="shared" si="10"/>
        <v/>
      </c>
      <c r="BP16" s="83" t="str">
        <f t="shared" si="91"/>
        <v/>
      </c>
      <c r="BQ16" s="84" t="str">
        <f t="shared" si="92"/>
        <v/>
      </c>
      <c r="BR16" s="184" t="str">
        <f>IFERROR(IF(B16="", "", IF(OR(VLOOKUP(J16, 'Fixture Identities'!$A$6:$L$1023, 3, FALSE)="T12 Linear Fluorescent",VLOOKUP(J16, 'Fixture Identities'!$A$6:$L$1023, 3, FALSE)="T12 U-Tube Fluorescent"), "Y", "N")), "N")</f>
        <v/>
      </c>
      <c r="BS16" s="184" t="str">
        <f t="array" ref="BS16">IFERROR(IF(OR(B16="", V16="", W16=""), "", IF(V16="Custom", "N", IF(OR(W16="Freezer Case Lighting", W16="Refrigerated Case Lighting with Doors"), BT16, IF(B16="Retrofit", INDEX('Lookup Tables'!$AH$6:$AT$102,MATCH(1,('Lookup Tables'!$AH$6:$AH$102=V16)*('Lookup Tables'!$AI$6:$AI$102=W16),FALSE),IF(VLOOKUP(J16, 'Fixture Identities'!$A$6:$B$1023, 2, FALSE)="Incandescent",12, 13)), INDEX('Lookup Tables'!$AH$114:$AS$154,MATCH(1,('Lookup Tables'!$AH$114:$AH$154=V16)*('Lookup Tables'!$AI$114:$AI$154=W16),FALSE),12))))), "N")</f>
        <v/>
      </c>
      <c r="BT16" s="184" t="str">
        <f>IF(J16="", "", IF(AND(OR(W16="Freezer case Lighting", W16="Refrigerated Case Lighting with Doors"),'General Information'!$X$18="LCI"), "N", IF(OR(VLOOKUP(J16, 'Fixture Identities'!$A$6:$B$1023, 2, FALSE)="T12 EPACT/EISA Baseline", VLOOKUP(J16, 'Fixture Identities'!$A$6:$B$1023, 2, FALSE)="Linear Fluorescent", VLOOKUP(J16, 'Fixture Identities'!$A$6:$B$1023, 2, FALSE)="U-Tube Fluorescent"), "Y", "N")))</f>
        <v/>
      </c>
      <c r="BU16" s="184" t="str">
        <f>IFERROR(IF(B16="", "", IF(VLOOKUP(J16, 'Fixture Identities'!$A$6:$B$1023, 2, FALSE)="Exit Sign", "Y", "N")), "N")</f>
        <v/>
      </c>
      <c r="BV16" s="184" t="str">
        <f>IF(V16="Exit Signs", IF(VLOOKUP(J16, 'Fixture Identities'!$A$6:$B$1023, 2, FALSE)="Exit Sign", "N", "Y"), "")</f>
        <v/>
      </c>
      <c r="BW16" s="184" t="str">
        <f t="array" ref="BW16">IFERROR(IF(B16="", "", IF(B16="New Construction", "N", INDEX('Lookup Tables'!$AH$6:$AU$102, MATCH(1, ('Lookup Tables'!$AH$6:$AH$102='Lighting Inventory'!V16)*('Lookup Tables'!$AI$6:$AI$102='Lighting Inventory'!W16), 0), 14))), "N")</f>
        <v/>
      </c>
      <c r="BX16" s="598" t="str">
        <f t="shared" si="93"/>
        <v/>
      </c>
      <c r="BY16" s="598" t="str">
        <f t="shared" si="94"/>
        <v/>
      </c>
      <c r="BZ16" s="598" t="str">
        <f t="shared" si="95"/>
        <v/>
      </c>
      <c r="CA16" s="598" t="str">
        <f t="shared" si="101"/>
        <v/>
      </c>
      <c r="CB16" s="269" t="str">
        <f t="shared" si="102"/>
        <v/>
      </c>
      <c r="CC16" s="517" t="str">
        <f t="shared" si="96"/>
        <v/>
      </c>
      <c r="CD16" s="565" t="str">
        <f t="shared" si="11"/>
        <v/>
      </c>
      <c r="CE16" s="368">
        <v>0</v>
      </c>
      <c r="CF16" s="368" t="str" cm="1">
        <f t="array" ref="CF16">IFERROR(IF(V16="Custom", "$0.1 per kWh", IF(B16="New Construction", CONCATENATE("$",INDEX('Lookup Tables'!$AH$114:$AN$154,MATCH(1,('Lookup Tables'!$AH$114:$AH$154='Lighting Inventory'!V16)*('Lookup Tables'!$AI$114:$AI$154='Lighting Inventory'!W16),FALSE),6)," ",INDEX('Lookup Tables'!$AH$114:$AN$154,MATCH(1,('Lookup Tables'!$AH$114:$AH$154='Lighting Inventory'!V16)*('Lookup Tables'!$AI$114:$AI$154='Lighting Inventory'!W16),FALSE),7)), IF(AND(BU16="N", V16="Exit Signs"), "$0.025 per kWh", CONCATENATE("$",INDEX('Lookup Tables'!$AH$6:$AN$102,MATCH(1,('Lookup Tables'!$AH$6:$AH$102='Lighting Inventory'!V16)*('Lookup Tables'!$AI$6:$AI$102='Lighting Inventory'!W16),FALSE),6)," ",INDEX('Lookup Tables'!$AH$6:$AN$102,MATCH(1,('Lookup Tables'!$AH$6:$AH$102='Lighting Inventory'!V16)*('Lookup Tables'!$AI$6:$AI$102='Lighting Inventory'!W16),FALSE),7))))), "")</f>
        <v/>
      </c>
      <c r="CG16" s="580"/>
      <c r="CH16" s="248" t="str">
        <f t="shared" si="103"/>
        <v/>
      </c>
      <c r="CI16" s="248" t="str">
        <f t="shared" si="104"/>
        <v>Select_IE</v>
      </c>
      <c r="CJ16" s="248" t="str">
        <f t="shared" si="105"/>
        <v/>
      </c>
      <c r="CK16" s="248" t="str">
        <f t="shared" si="106"/>
        <v/>
      </c>
      <c r="CL16" s="248" t="str">
        <f t="shared" si="107"/>
        <v/>
      </c>
      <c r="CM16" s="248" t="str">
        <f>IFERROR(IF(B16="", "", IF(B16="New Construction", VLOOKUP(V16, 'Lookup Tables'!$AF$114:$AG$120, 2, FALSE), VLOOKUP(V16, 'Lookup Tables'!$AD$6:$AE$25, 2, FALSE))), "")</f>
        <v/>
      </c>
      <c r="CN16" s="248" t="str">
        <f t="shared" si="108"/>
        <v/>
      </c>
      <c r="CO16" s="248" t="str">
        <f t="shared" si="109"/>
        <v/>
      </c>
      <c r="CP16" s="592" t="str">
        <f t="shared" si="110"/>
        <v/>
      </c>
      <c r="CQ16" s="248" t="str">
        <f t="shared" si="97"/>
        <v/>
      </c>
      <c r="CR16" s="100"/>
      <c r="CS16" s="250" t="str">
        <f t="shared" si="111"/>
        <v/>
      </c>
      <c r="CT16" s="250" t="str">
        <f t="shared" si="112"/>
        <v/>
      </c>
      <c r="CU16" s="250" t="str">
        <f t="shared" si="113"/>
        <v/>
      </c>
      <c r="CV16" s="250" t="str">
        <f t="shared" si="114"/>
        <v/>
      </c>
      <c r="CW16" s="250" t="str">
        <f t="shared" si="115"/>
        <v/>
      </c>
      <c r="CX16" s="250" t="str">
        <f t="shared" si="116"/>
        <v/>
      </c>
      <c r="CY16" s="250" t="str">
        <f t="shared" si="117"/>
        <v/>
      </c>
      <c r="CZ16" s="250" t="str">
        <f t="shared" si="118"/>
        <v/>
      </c>
      <c r="DA16" s="250" t="str">
        <f t="shared" si="119"/>
        <v/>
      </c>
      <c r="DB16" s="250" t="str">
        <f t="shared" si="120"/>
        <v/>
      </c>
      <c r="DC16" s="250" t="str">
        <f t="shared" si="121"/>
        <v/>
      </c>
      <c r="DD16" s="250" t="str">
        <f t="shared" si="122"/>
        <v/>
      </c>
      <c r="DE16" s="250" t="str">
        <f t="shared" si="123"/>
        <v/>
      </c>
      <c r="DF16" s="250" t="str">
        <f t="shared" si="124"/>
        <v/>
      </c>
      <c r="DG16" s="250" t="str">
        <f t="shared" si="125"/>
        <v/>
      </c>
      <c r="DH16" s="250" t="str">
        <f t="shared" si="126"/>
        <v/>
      </c>
      <c r="DI16" s="250" t="str">
        <f t="shared" si="127"/>
        <v/>
      </c>
      <c r="DJ16" s="250" t="str">
        <f t="shared" si="128"/>
        <v/>
      </c>
      <c r="DK16" s="250" t="str">
        <f t="shared" si="129"/>
        <v/>
      </c>
      <c r="DL16" s="250" t="str">
        <f t="shared" si="130"/>
        <v/>
      </c>
      <c r="DM16" s="250" t="str">
        <f>IF(CD16="ERROR", "ERROR", IF(AND(OR(Y16=$DM$6, Y16='Lookup Tables'!$AD$21, Y16='Lookup Tables'!$AD$22), E16="Interior"), BJ16, ""))</f>
        <v/>
      </c>
      <c r="DN16" s="250" t="str">
        <f>IF(CD16="ERROR", "ERROR", IF(AND(OR(Y16=$DM$6, Y16='Lookup Tables'!$AD$21, Y16='Lookup Tables'!$AD$22), E16="Exterior"), BJ16, ""))</f>
        <v/>
      </c>
      <c r="DO16" s="100"/>
      <c r="DP16" s="250" t="str">
        <f t="shared" si="131"/>
        <v/>
      </c>
      <c r="DQ16" s="250" t="str">
        <f t="shared" si="132"/>
        <v/>
      </c>
      <c r="DR16" s="250" t="str">
        <f t="shared" si="133"/>
        <v/>
      </c>
      <c r="DS16" s="250" t="str">
        <f t="shared" si="134"/>
        <v/>
      </c>
      <c r="DT16" s="250" t="str">
        <f t="shared" si="135"/>
        <v/>
      </c>
      <c r="DU16" s="250" t="str">
        <f t="shared" si="136"/>
        <v/>
      </c>
      <c r="DV16" s="250" t="str">
        <f t="shared" si="137"/>
        <v/>
      </c>
      <c r="DW16" s="250" t="str">
        <f t="shared" si="138"/>
        <v/>
      </c>
      <c r="DX16" s="250" t="str">
        <f t="shared" si="139"/>
        <v/>
      </c>
      <c r="DY16" s="250" t="str">
        <f t="shared" si="140"/>
        <v/>
      </c>
      <c r="DZ16" s="250" t="str">
        <f t="shared" si="141"/>
        <v/>
      </c>
      <c r="EA16" s="250" t="str">
        <f t="shared" si="142"/>
        <v/>
      </c>
      <c r="EB16" s="250" t="str">
        <f t="shared" si="143"/>
        <v/>
      </c>
      <c r="EC16" s="250" t="str">
        <f t="shared" si="144"/>
        <v/>
      </c>
      <c r="ED16" s="250" t="str">
        <f t="shared" si="145"/>
        <v/>
      </c>
      <c r="EE16" s="250" t="str">
        <f t="shared" si="146"/>
        <v/>
      </c>
      <c r="EF16" s="250" t="str">
        <f t="shared" si="147"/>
        <v/>
      </c>
      <c r="EG16" s="250" t="str">
        <f t="shared" si="148"/>
        <v/>
      </c>
      <c r="EH16" s="250" t="str">
        <f>IF(CD16="ERROR", "ERROR", IF(AND(OR($EH$6=Y16, Y16='Lookup Tables'!$AD$21, Y16='Lookup Tables'!$AD$22),E16="Interior"), SUM(BP16:BP16), ""))</f>
        <v/>
      </c>
      <c r="EI16" s="250" t="str">
        <f>IF(CD16="ERROR", "ERROR", IF(AND(OR($EH$6=Y16, Y16='Lookup Tables'!$AD$21, Y16='Lookup Tables'!$AD$22),E16="Exterior"), SUM(BP16:BP16), ""))</f>
        <v/>
      </c>
      <c r="EJ16" s="109"/>
      <c r="EK16" s="485" t="str">
        <f t="shared" si="58"/>
        <v/>
      </c>
      <c r="EL16" s="252" t="str">
        <f t="shared" si="149"/>
        <v/>
      </c>
      <c r="EM16" s="252" t="str">
        <f t="shared" si="150"/>
        <v/>
      </c>
      <c r="EN16" s="252" t="str">
        <f t="shared" si="151"/>
        <v/>
      </c>
      <c r="EO16" s="252" t="str">
        <f t="shared" si="152"/>
        <v/>
      </c>
      <c r="EP16" s="252" t="str">
        <f t="shared" si="153"/>
        <v/>
      </c>
      <c r="EQ16" s="252" t="str">
        <f t="shared" si="154"/>
        <v/>
      </c>
      <c r="ER16" s="252" t="str">
        <f t="shared" si="155"/>
        <v/>
      </c>
      <c r="ES16" s="252" t="str">
        <f t="shared" si="156"/>
        <v/>
      </c>
      <c r="ET16" s="252" t="str">
        <f t="shared" si="157"/>
        <v/>
      </c>
      <c r="EU16" s="252" t="str">
        <f t="shared" si="158"/>
        <v/>
      </c>
      <c r="EV16" s="252" t="str">
        <f t="shared" si="159"/>
        <v/>
      </c>
      <c r="EW16" s="252" t="str">
        <f t="shared" si="160"/>
        <v/>
      </c>
      <c r="EX16" s="252" t="str">
        <f t="shared" si="161"/>
        <v/>
      </c>
      <c r="EY16" s="252" t="str">
        <f t="shared" si="162"/>
        <v/>
      </c>
      <c r="EZ16" s="252" t="str">
        <f t="shared" si="163"/>
        <v/>
      </c>
      <c r="FA16" s="252" t="str">
        <f t="shared" si="164"/>
        <v/>
      </c>
      <c r="FB16" s="252" t="str">
        <f t="shared" si="165"/>
        <v/>
      </c>
      <c r="FC16" s="252" t="str">
        <f>IF(CD16="ERROR", "ERROR", IF(OR(V16="No Change", V16="Not DLC or Energy Star"), "", IF(AND(OR($FC$6=Y16,Y16='Lookup Tables'!$AD$21, Y16='Lookup Tables'!$AD$22),E16="Interior"), S16, "")))</f>
        <v/>
      </c>
      <c r="FD16" s="252" t="str">
        <f t="shared" si="166"/>
        <v/>
      </c>
      <c r="FE16" s="101"/>
      <c r="FF16" s="579" t="str" cm="1">
        <f t="array" ref="FF16">IFERROR(IF(OR(BQ16&lt;=0,AQ16&lt;20,AND(V16="Exit Signs",AN16&gt;0)),"",IF(AND(AQ16&gt;=20,AN16='Lookup Tables'!$R$101),'Lookup Tables'!$U$101*BQ16,AP16*LOOKUP(2,1/((AN16='Lookup Tables'!$R$91:$R$111)*(AQ16&gt;='Lookup Tables'!$S$91:$S$111)*(AQ16&lt;='Lookup Tables'!$T$91:$T$111)),'Lookup Tables'!$U$91:$U$111))),"")</f>
        <v/>
      </c>
      <c r="FG16" s="579"/>
      <c r="FH16" s="579"/>
      <c r="FI16" s="253" t="str">
        <f>IFERROR(ROUND(IF(CD16="ERROR", "ERROR", IF(AND($FI$7=X16,E16="Interior"),VLOOKUP(W16, 'Lookup Tables'!$AI$6:$AM$102, 5, FALSE)*BP16, "")), 2), "")</f>
        <v/>
      </c>
      <c r="FJ16" s="253" t="str">
        <f>IFERROR(ROUND(IF(CD16="ERROR", "ERROR", IF(AND($FI$7=X16,E16="Exterior"),VLOOKUP(W16, 'Lookup Tables'!$AI$6:$AM$102, 5, FALSE)*BP16, "")), 2), "")</f>
        <v/>
      </c>
      <c r="FK16" s="253" t="str">
        <f>IFERROR(ROUND(IF(CD16="ERROR", "ERROR", IF(AND($FK$7=X16,E16="Interior"),VLOOKUP(W16, 'Lookup Tables'!$AI$6:$AM$102, 5, FALSE)*BP16, "")), 2), "")</f>
        <v/>
      </c>
      <c r="FL16" s="253" t="str">
        <f>IFERROR(ROUND(IF(CD16="ERROR", "ERROR", IF(AND($FK$7=X16,E16="Exterior"),VLOOKUP(W16, 'Lookup Tables'!$AI$6:$AM$102, 5, FALSE)*BP16, "")), 2), "")</f>
        <v/>
      </c>
      <c r="FM16" s="253" t="str">
        <f>IFERROR(ROUND(IF(CD16="ERROR", "ERROR", IF(AND($FM$6=Y16,E16="Interior"), IF(GB16=0, VLOOKUP(W16, 'Lookup Tables'!$AI$6:$AM$102, 5, FALSE)*BP16, IF(VLOOKUP(W16, 'Lookup Tables'!$AI$6:$AM$102, 5, FALSE)*BP16&gt;GB16*'Lighting Inventory'!S16, GB16*'Lighting Inventory'!S16,VLOOKUP(W16, 'Lookup Tables'!$AI$6:$AM$102, 5, FALSE)*BP16)), "")), 2), "")</f>
        <v/>
      </c>
      <c r="FN16" s="253" t="str">
        <f>IFERROR(ROUND(IF(CD16="ERROR", "ERROR", IF(AND($FM$6=Y16,E16="Exterior"), IF(GB16=0, VLOOKUP(W16, 'Lookup Tables'!$AI$6:$AM$102, 5, FALSE)*BP16, IF(VLOOKUP(W16, 'Lookup Tables'!$AI$6:$AM$102, 5, FALSE)*BP16&gt;GB16*'Lighting Inventory'!S16, GB16*'Lighting Inventory'!S16,VLOOKUP(W16, 'Lookup Tables'!$AI$6:$AM$102, 5, FALSE)*BP16)), "")), 2), "")</f>
        <v/>
      </c>
      <c r="FO16" s="253" t="str">
        <f>IFERROR(ROUND(IF(CD16="ERROR", "ERROR", IF(AND($FO$6=Y16,E16="Interior"),VLOOKUP(W16, 'Lookup Tables'!$AI$6:$AM$102, 5, FALSE)*'Lighting Inventory'!AI16, "")), 2), "")</f>
        <v/>
      </c>
      <c r="FP16" s="253" t="str">
        <f>IFERROR(ROUND(IF(CD16="ERROR", "ERROR", IF(AND($FO$6=Y16,E16="Exterior"),VLOOKUP(W16, 'Lookup Tables'!$AI$6:$AM$102, 5, FALSE)*'Lighting Inventory'!AI16, "")), 2), "")</f>
        <v/>
      </c>
      <c r="FQ16" s="253" t="str">
        <f>IFERROR(ROUND(IF(CD16="ERROR", "ERROR", IF(AND($FQ$6=Y16,E16="Interior", BU16="Y"), VLOOKUP('Lighting Inventory'!W16, 'Lookup Tables'!$AI$6:$AM$102, 5, FALSE)*'Lighting Inventory'!S16, IF(AND($FQ$7=Y16,E16="Interior", BU16="N"), 0.025*CD16, ""))), 2), "")</f>
        <v/>
      </c>
      <c r="FR16" s="253" t="str">
        <f>IFERROR(ROUND(IF(CD16="ERROR", "ERROR", IF(AND($FQ$6=Y16,E16="Exterior"), VLOOKUP('Lighting Inventory'!W16, 'Lookup Tables'!$AI$6:$AM$102, 5, FALSE)*'Lighting Inventory'!S16, "")), 2), "")</f>
        <v/>
      </c>
      <c r="FS16" s="253" t="str">
        <f>IFERROR(ROUND(IF(CD16="ERROR", "ERROR", IF(AND($FS$6=Y16,E16="Exterior"), IF(GB16=0, VLOOKUP(W16, 'Lookup Tables'!$AI$6:$AM$102, 5, FALSE)*BP16, IF(VLOOKUP(W16, 'Lookup Tables'!$AI$6:$AM$102, 5, FALSE)*BP16&gt;GB16*'Lighting Inventory'!S16, GB16*'Lighting Inventory'!S16,VLOOKUP(W16, 'Lookup Tables'!$AI$6:$AM$102, 5, FALSE)*BP16)), "")), 2), "")</f>
        <v/>
      </c>
      <c r="FT16" s="253" t="str">
        <f>IFERROR(ROUND(IF(CD16="ERROR", "ERROR", IF(AND($FT$6=Y16,E16="Interior"), IF(GB16=0, VLOOKUP(W16, 'Lookup Tables'!$AI$6:$AM$102, 5, FALSE)*BP16, IF(VLOOKUP(W16, 'Lookup Tables'!$AI$6:$AM$102, 5, FALSE)*BP16&gt;GB16*'Lighting Inventory'!S16, GB16*'Lighting Inventory'!S16,VLOOKUP(W16, 'Lookup Tables'!$AI$6:$AM$102, 5, FALSE)*BP16)), "")), 2), "")</f>
        <v/>
      </c>
      <c r="FU16" s="253" t="str">
        <f>IFERROR(ROUND(IF(CD16="ERROR", "ERROR", IF(AND(Y16=$FU$6, E16="Interior"), IF(BS16="N", 'Lookup Tables'!$AM$101*BP16, VLOOKUP(W16, 'Lookup Tables'!$AI$6:$AM$102, 5, FALSE)*S16*AD16), "")), 2), "")</f>
        <v/>
      </c>
      <c r="FV16" s="253" t="str">
        <f>IFERROR(ROUND(IF(CD16="ERROR", "ERROR", IF(AND(Y16=$FU$6, E16="Exterior"), IF(BS16="N", 'Lookup Tables'!$AM$101*BP16, VLOOKUP(W16, 'Lookup Tables'!$AI$6:$AM$102, 5, FALSE)*S16*AD16), "")), 2), "")</f>
        <v/>
      </c>
      <c r="FW16" s="253" t="str">
        <f>IFERROR(ROUND(IF(CD16="ERROR", "ERROR", IF($FW$6=Y16, IF(BS16="N", 'Lookup Tables'!$AM$101*BP16, MIN((VLOOKUP(W16, 'Lookup Tables'!$AI$6:$AM$102, 5, FALSE)*BP16),GB16*AJ16)), "")), 2), "")</f>
        <v/>
      </c>
      <c r="FX16" s="253" t="str">
        <f>IFERROR(ROUND(IF(CD16="ERROR", "ERROR", IF(AND($FX$6=Y16, E16="Interior"), IF(VLOOKUP(W16, 'Lookup Tables'!$AI$6:$AM$102, 5, FALSE)*BP16&gt;'Lookup Tables'!$AQ$97*'Lighting Inventory'!S16,'Lighting Inventory'!S16*'Lookup Tables'!$AQ$97,VLOOKUP(W16, 'Lookup Tables'!$AI$6:$AM$102, 5, FALSE)*BP16), "")), 2), "")</f>
        <v/>
      </c>
      <c r="FY16" s="253" t="str">
        <f>IFERROR(ROUND(IF(CD16="ERROR", "ERROR", IF(AND($FX$6=Y16, E16="Exterior"), IF(VLOOKUP(W16, 'Lookup Tables'!$AI$6:$AM$102, 5, FALSE)*BP16&gt;'Lookup Tables'!$AQ$97*'Lighting Inventory'!S16,'Lighting Inventory'!S16*'Lookup Tables'!$AQ$97,VLOOKUP(W16, 'Lookup Tables'!$AI$6:$AM$102, 5, FALSE)*BP16), "")), 2), "")</f>
        <v/>
      </c>
      <c r="FZ16" s="253" t="str">
        <f>IFERROR(ROUND(IF(CD16="ERROR", "ERROR", IF(AND($FZ$6=Y16, E16="Interior"), IF(AND(OR(W16="Refrigerated Case Lighting with Doors", W16="Freezer Case Lighting"),Y16="Custom - Process Improvement"),CD16*'Lookup Tables'!$AM$101, IF(B16="Retrofit", IF(VLOOKUP(IF(V16="Custom", V16, W16), 'Lookup Tables'!$AI$6:$AM$102, 5, FALSE)*BP16&gt;GE16, GE16, VLOOKUP(IF(V16="Custom", V16, W16), 'Lookup Tables'!$AI$6:$AM$102, 5, FALSE)*BP16), IF(VLOOKUP(IF(V16="Custom", V16, W16), 'Lookup Tables'!$AI$114:$AM$154, 5, FALSE)*BP16&gt;GE16, GE16, VLOOKUP(IF(V16="Custom", V16, W16), 'Lookup Tables'!$AI$114:$AM$154, 5, FALSE)*BP16))), "")), 2),"")</f>
        <v/>
      </c>
      <c r="GA16" s="253" t="str">
        <f>IFERROR(ROUND(IF(CD16="ERROR", "ERROR", IF(AND($FZ$6=Y16, E16="Exterior"), IF(B16="Retrofit", IF(VLOOKUP(IF(V16="Custom", V16, W16), 'Lookup Tables'!$AI$6:$AM$102, 5, FALSE)*BP16&gt;GE16, GE16, VLOOKUP(IF(V16="Custom", V16, W16), 'Lookup Tables'!$AI$6:$AM$102, 5, FALSE)*BP16), IF(VLOOKUP(IF(V16="Custom", V16, W16), 'Lookup Tables'!$AI$114:$AM$154, 5, FALSE)*BP16&gt;GE16, GE16, VLOOKUP(IF(V16="Custom", V16, W16), 'Lookup Tables'!$AI$114:$AM$154, 5, FALSE)*BP16)), "")), 2),"")</f>
        <v/>
      </c>
      <c r="GB16" s="254" t="str">
        <f t="array" ref="GB16">IF(B16="","",IF(OR(V16="Custom",V16="No Change"),0,IF(B16="Retrofit", INDEX('Lookup Tables'!$AH$6:$AQ$102,MATCH(1,('Lookup Tables'!$AH$6:$AH$102='Lighting Inventory'!V16)*('Lookup Tables'!$AI$6:$AI$102='Lighting Inventory'!W16),FALSE),10),INDEX('Lookup Tables'!$AH$114:$AQ$154,MATCH(1,('Lookup Tables'!$AH$114:$AH$154='Lighting Inventory'!V16)*('Lookup Tables'!$AI$114:$AI$154='Lighting Inventory'!W16),FALSE),10))))</f>
        <v/>
      </c>
      <c r="GC16" s="255" t="str">
        <f t="shared" si="77"/>
        <v/>
      </c>
      <c r="GD16" s="250" t="str">
        <f t="shared" si="78"/>
        <v/>
      </c>
      <c r="GE16" s="253" t="str">
        <f>IFERROR(IF(AND(AF16="", 'General Information'!$F$18="No"),"", IF(AF16="", ((GD16/$CD$266)*$CF$266)*0.5, AF16*S16*0.5)), "")</f>
        <v/>
      </c>
      <c r="GF16" s="255" t="str">
        <f>IF(AND('General Information'!$F$19="", 'General Information'!$F$18="Yes",AF16="",BW16="Y"), "Y", "N")</f>
        <v>N</v>
      </c>
      <c r="GG16" s="255" t="s">
        <v>2946</v>
      </c>
      <c r="GH16" s="255" t="str">
        <f>IFERROR(IF(B16="", "", VLOOKUP(J16, 'Fixture Identities'!$A$6:$N$908, 14, FALSE)), "")</f>
        <v/>
      </c>
      <c r="GI16" s="389" t="str">
        <f>IF(OR(B16="", V16="", W16=""), "", IF(AND(OR(M16='Lookup Tables'!$R$18, M16='Lookup Tables'!$R$19, M16='Lookup Tables'!$R$20, M16='Lookup Tables'!$R$21, M16='Lookup Tables'!$R$22), OR(AN16='Lookup Tables'!$R$17, AN16='Lookup Tables'!$R$17, AN16="")), "Y", "N"))</f>
        <v/>
      </c>
      <c r="GJ16" s="255" t="str">
        <f t="shared" si="79"/>
        <v/>
      </c>
      <c r="GK16" s="255" t="str">
        <f t="shared" si="80"/>
        <v/>
      </c>
      <c r="GL16" s="255" t="str">
        <f t="shared" si="81"/>
        <v/>
      </c>
      <c r="GM16" s="255" t="str">
        <f>IF(AN16="", "", IF(AND(IF(ISNA(VLOOKUP(AN16,'Lookup Tables'!$R$18:$R$22,1,FALSE)), "N", "Y")="Y", E16="Exterior"), "Y", "N"))</f>
        <v/>
      </c>
      <c r="GN16" s="395"/>
      <c r="GO16" s="428">
        <f t="shared" si="98"/>
        <v>0</v>
      </c>
      <c r="GP16" s="428">
        <f t="shared" si="167"/>
        <v>0</v>
      </c>
      <c r="GQ16" s="428">
        <f t="shared" si="99"/>
        <v>0</v>
      </c>
      <c r="GR16" s="428">
        <f t="shared" si="100"/>
        <v>0</v>
      </c>
    </row>
    <row r="17" spans="1:200" s="103" customFormat="1" ht="13.5" customHeight="1" x14ac:dyDescent="0.2">
      <c r="A17" s="272">
        <v>7</v>
      </c>
      <c r="B17" s="110"/>
      <c r="C17" s="110"/>
      <c r="D17" s="110"/>
      <c r="E17" s="110"/>
      <c r="F17" s="110"/>
      <c r="G17" s="110"/>
      <c r="H17" s="110"/>
      <c r="I17" s="29"/>
      <c r="J17" s="29"/>
      <c r="K17" s="272" t="str">
        <f>IFERROR(IF(OR(VLOOKUP(J17, 'Fixture Identities'!$A$6:$L$1023, 3, FALSE)="T12 Linear Fluorescent", VLOOKUP(J17, 'Fixture Identities'!$A$6:$L$1023, 3, FALSE)="T12 U-Tube Fluorescent"), VLOOKUP(VLOOKUP(J17, 'Fixture Identities'!$A$6:$L$1023, 11, FALSE), 'Fixture Identities'!$A$6:$L$1023, 10, FALSE), VLOOKUP(J17, 'Fixture Identities'!$A$6:$L$1023, 10, FALSE)), "")</f>
        <v/>
      </c>
      <c r="L17" s="270" t="str">
        <f t="shared" si="169"/>
        <v/>
      </c>
      <c r="M17" s="110"/>
      <c r="N17" s="110"/>
      <c r="O17" s="110"/>
      <c r="P17" s="272" t="str">
        <f>IFERROR(IF(OR(B17="Retrofit",B17=""),"",IF('Lighting Inventory'!E17="Exterior",VLOOKUP('Lighting Inventory'!N17,'Lookup Tables'!$B$83:$F$103,5,FALSE),IF(N17="Other - Please Estimate EFLH and CFs","Contact Prog. Rep.","ft^2"))), "")</f>
        <v/>
      </c>
      <c r="Q17" s="270" t="str">
        <f>IFERROR(IF(AND(B17="New Construction",E17="Interior",$F$5="Space-by-Space"),VLOOKUP('Lighting Inventory'!N17,'Lookup Tables'!$N$6:$O$97,2,FALSE),IF(AND(B17="New Construction",E17="Exterior"),VLOOKUP(N17,'Lookup Tables'!$B$83:$F$103,2,FALSE),IF(AND(B17="New Construction",'Lighting Inventory'!E17="Interior", $F$5="Building Area"),VLOOKUP(F17,'Lookup Tables'!$A$6:$J$59,10,FALSE),""))), "")</f>
        <v/>
      </c>
      <c r="R17" s="270" t="str">
        <f>IFERROR(IF(P17="Contact Prog. Rep.", "ERROR", IF(OR(B17="",B17="Retrofit"),"",IF(N17="Automated teller machines", ('Lookup Tables'!$A$82:$E$100+('Lighting Inventory'!O17-1)*'Lookup Tables'!$A$82:$E$100)/1000, (Q17*O17)/1000))), "")</f>
        <v/>
      </c>
      <c r="S17" s="595"/>
      <c r="T17" s="105" t="str">
        <f t="shared" si="83"/>
        <v/>
      </c>
      <c r="U17" s="105" t="str">
        <f>IF(S17="","",COUNT($S$11:S17))</f>
        <v/>
      </c>
      <c r="V17" s="111"/>
      <c r="W17" s="112"/>
      <c r="X17" s="105" t="str">
        <f t="shared" si="84"/>
        <v/>
      </c>
      <c r="Y17" s="105" t="str">
        <f t="array" ref="Y17">IF(AND(OR(W17="Freezer Case Lighting", W17="Refrigerated Case Lighting with Doors"), 'General Information'!$X$18="LCI"),'Lookup Tables'!$Y$34, IF(V17="Custom", VLOOKUP(W17, 'Fixture Identities'!$A$974:$M$1023, 13, FALSE), IF(V17="No Change",'Lookup Tables'!$Y$29,IF(OR(V17="",W17=""),"",IF(AND(S17=0,S17&lt;I17,B17="Retrofit"),'Lookup Tables'!$Y$25, IF(B17="Retrofit", INDEX('Lookup Tables'!$AH$6:$AP$102, MATCH(1, ('Lookup Tables'!$AH$6:$AH$102=V17)*('Lookup Tables'!$AI$6:$AI$102=W17), 0), IF('Lighting Inventory'!E17="Interior", 4, 5)), INDEX('Lookup Tables'!$AH$114:$AP$154, MATCH(1, ('Lookup Tables'!$AH$114:$AH$154=V17)*('Lookup Tables'!$AI$114:$AI$154=W17), 0), IF('Lighting Inventory'!E17="Interior", 4, 5))))))))</f>
        <v/>
      </c>
      <c r="Z17" s="105" t="str">
        <f>IFERROR(INDEX('Lookup Tables'!$AH$158:$AH$172,MATCH('Lighting Inventory'!Y17,'Lookup Tables'!$AI$158:$AI$172,0)),"")</f>
        <v/>
      </c>
      <c r="AA17" s="105" t="str">
        <f>IF(AP17&gt;0,INDEX('Lookup Tables'!$AK$158:$AK$172,MATCH('Lighting Inventory'!Y17,'Lookup Tables'!$AI$158:$AI$172,0)),'Lighting Inventory'!Y17)</f>
        <v/>
      </c>
      <c r="AB17" s="105" t="str">
        <f t="array" ref="AB17">IF(V17="Custom", "Custom", IF(V17="", "", IF(V17="Not DLC or Energy Star", "General", IF(B17="New Construction", INDEX('Lookup Tables'!$AH$114:$AP$154,MATCH(1,('Lookup Tables'!$AH$114:$AH$154='Lighting Inventory'!V17)*('Lookup Tables'!$AI$114:$AI$154='Lighting Inventory'!W17),FALSE),8), INDEX('Lookup Tables'!$AH$6:$AP$102,MATCH(1,('Lookup Tables'!$AH$6:$AH$102='Lighting Inventory'!V17)*('Lookup Tables'!$AI$6:$AI$102='Lighting Inventory'!W17),FALSE),8)))))</f>
        <v/>
      </c>
      <c r="AC17" s="272" t="str">
        <f>IF(W17="","",IF(V17="Custom",CONCATENATE("$",'Lookup Tables'!$AM$101," ",'Lookup Tables'!$AN$101),CONCATENATE("$",INDEX('Lookup Tables'!$AM$6:$AM$102,MATCH('Lighting Inventory'!W17,'Lookup Tables'!$AI$6:$AI$102,0))," ",INDEX('Lookup Tables'!$AN$6:$AN$102,MATCH('Lighting Inventory'!W17,'Lookup Tables'!$AI$6:$AI$102,0)))))</f>
        <v/>
      </c>
      <c r="AD17" s="72"/>
      <c r="AE17" s="29"/>
      <c r="AF17" s="379"/>
      <c r="AG17" s="370" t="str">
        <f t="shared" si="2"/>
        <v/>
      </c>
      <c r="AH17" s="370" t="str">
        <f t="shared" si="85"/>
        <v/>
      </c>
      <c r="AI17" s="29"/>
      <c r="AJ17" s="29"/>
      <c r="AK17" s="110"/>
      <c r="AL17" s="375" t="str">
        <f>IF(OR(B17="", V17="", W17=""), "", IF(V17="No Change", K17, IF(V17="Remove Fixture", 0, IF(V17="Custom",VLOOKUP(W17,'Fixture Identities'!$A$6:$K$1023,10,FALSE),IF(AE17="", "← ENTER POST WATTS", 'Lighting Inventory'!AE17)))))</f>
        <v/>
      </c>
      <c r="AM17" s="376" t="str">
        <f t="shared" si="3"/>
        <v/>
      </c>
      <c r="AN17" s="29"/>
      <c r="AO17" s="671"/>
      <c r="AP17" s="29"/>
      <c r="AQ17" s="29"/>
      <c r="AR17" s="29"/>
      <c r="AS17" s="272" t="str">
        <f t="shared" si="4"/>
        <v/>
      </c>
      <c r="AT17" s="270" t="str">
        <f t="shared" si="5"/>
        <v/>
      </c>
      <c r="AU17" s="88" t="str">
        <f t="shared" si="6"/>
        <v/>
      </c>
      <c r="AV17" s="29"/>
      <c r="AW17" s="73"/>
      <c r="AX17" s="271" t="str">
        <f>IF(AND(AV17="Applicant",OR(AW17="", AW17="Use Default Facility Hours")),"← Choose Schedule",IF(F17="","",IF(W17="LED Exit Signs",8760,IF(OR(AV17="Prescribed",AV17=""),VLOOKUP(F17,'Lookup Tables'!$A$6:$G$59,IF(AB17="General", 6, 3),FALSE),VLOOKUP(AW17,'Lookup Tables'!$S$36:$U$43,2,FALSE)))))</f>
        <v/>
      </c>
      <c r="AY17" s="88" t="str">
        <f t="shared" si="7"/>
        <v/>
      </c>
      <c r="AZ17" s="270" t="str">
        <f>IFERROR(IF(F17="", "", IF(W17="LED Exit Signs", 1, IF(AV17="Applicant",VLOOKUP(AW17, 'Lookup Tables'!$S$36:$U$43,3, FALSE), VLOOKUP('Lighting Inventory'!F17, 'Lookup Tables'!$A$6:$H$59, IF('Lighting Inventory'!AB17="General",7,4), FALSE)))), "")</f>
        <v/>
      </c>
      <c r="BA17" s="522" t="str">
        <f>IFERROR(IF(F17="", "", IF(W17="LED Exit Signs", 1, VLOOKUP('Lighting Inventory'!F17, 'Lookup Tables'!$A$6:$H$59, IF('Lighting Inventory'!AB17="General",8,5), FALSE))), "")</f>
        <v/>
      </c>
      <c r="BB17" s="270" t="str">
        <f>IF(G17="", "", IF(E17="Exterior", 0, IF('Lighting Inventory'!G17="Air Conditioned", VLOOKUP(H17, 'Lookup Tables'!$R$6:$T$13, 2, FALSE), VLOOKUP('Lighting Inventory'!G17, 'Lookup Tables'!$R$6:$T$13, 2, FALSE))))</f>
        <v/>
      </c>
      <c r="BC17" s="522" t="str">
        <f>IF(G17="", "", IF(E17="Exterior", 0, IF('Lighting Inventory'!G17="Air Conditioned", VLOOKUP(H17, 'Lookup Tables'!$R$6:$T$13, 3, FALSE), VLOOKUP('Lighting Inventory'!G17, 'Lookup Tables'!$R$6:$T$13, 3, FALSE))))</f>
        <v/>
      </c>
      <c r="BD17" s="270" t="str">
        <f>IF(G17="", "", IF(E17="Exterior", 0, IF('Lighting Inventory'!G17="Air Conditioned", VLOOKUP(H17, 'Lookup Tables'!$R$6:$U$13, 4, FALSE), VLOOKUP('Lighting Inventory'!G17, 'Lookup Tables'!$R$6:$U$13, 4, FALSE))))</f>
        <v/>
      </c>
      <c r="BE17" s="270" t="str">
        <f>IFERROR(IF(B17="", "",  IF(B17="New Construction", VLOOKUP(F17, 'Lookup Tables'!$A$6:$K$59, 11, FALSE),IF(OR(AN17="", AN17="Light Switch"), 0, IF(OR(M17="",M17="None",V17= "LED Exit Signs"),0,_xlfn.XLOOKUP(M17,'Lookup Tables'!$R$91:$R$101,'Lookup Tables'!$V$91:$V$101))))), "")</f>
        <v/>
      </c>
      <c r="BF17" s="270" t="str">
        <f>IF(AND(OR(AN17="Light Switch",AN17=""),B17="New Construction"), VLOOKUP(F17, 'Lookup Tables'!$A$6:$K$59, 11, FALSE),IF(AN17="","",IF(B17="","",IF(OR(AN17="None",AN17="",V17="LED Exit Signs",AN17="Exterior Controls Not Eligible"),0,_xlfn.XLOOKUP(AN17,'Lookup Tables'!$R$91:$R$101,'Lookup Tables'!$V$91:$V$101)))))</f>
        <v/>
      </c>
      <c r="BG17" s="88" t="str">
        <f t="shared" si="86"/>
        <v/>
      </c>
      <c r="BH17" s="88" t="str">
        <f t="shared" si="87"/>
        <v/>
      </c>
      <c r="BI17" s="558" t="str">
        <f t="shared" si="168"/>
        <v/>
      </c>
      <c r="BJ17" s="560" t="str">
        <f t="shared" si="88"/>
        <v/>
      </c>
      <c r="BK17" s="560" t="str">
        <f t="shared" si="89"/>
        <v/>
      </c>
      <c r="BL17" s="559" t="str">
        <f t="shared" si="90"/>
        <v/>
      </c>
      <c r="BM17" s="521" t="str">
        <f t="shared" si="8"/>
        <v/>
      </c>
      <c r="BN17" s="521" t="str">
        <f t="shared" si="9"/>
        <v/>
      </c>
      <c r="BO17" s="522" t="str">
        <f t="shared" si="10"/>
        <v/>
      </c>
      <c r="BP17" s="83" t="str">
        <f t="shared" si="91"/>
        <v/>
      </c>
      <c r="BQ17" s="84" t="str">
        <f t="shared" si="92"/>
        <v/>
      </c>
      <c r="BR17" s="184" t="str">
        <f>IFERROR(IF(B17="", "", IF(OR(VLOOKUP(J17, 'Fixture Identities'!$A$6:$L$1023, 3, FALSE)="T12 Linear Fluorescent",VLOOKUP(J17, 'Fixture Identities'!$A$6:$L$1023, 3, FALSE)="T12 U-Tube Fluorescent"), "Y", "N")), "N")</f>
        <v/>
      </c>
      <c r="BS17" s="184" t="str">
        <f t="array" ref="BS17">IFERROR(IF(OR(B17="", V17="", W17=""), "", IF(V17="Custom", "N", IF(OR(W17="Freezer Case Lighting", W17="Refrigerated Case Lighting with Doors"), BT17, IF(B17="Retrofit", INDEX('Lookup Tables'!$AH$6:$AT$102,MATCH(1,('Lookup Tables'!$AH$6:$AH$102=V17)*('Lookup Tables'!$AI$6:$AI$102=W17),FALSE),IF(VLOOKUP(J17, 'Fixture Identities'!$A$6:$B$1023, 2, FALSE)="Incandescent",12, 13)), INDEX('Lookup Tables'!$AH$114:$AS$154,MATCH(1,('Lookup Tables'!$AH$114:$AH$154=V17)*('Lookup Tables'!$AI$114:$AI$154=W17),FALSE),12))))), "N")</f>
        <v/>
      </c>
      <c r="BT17" s="184" t="str">
        <f>IF(J17="", "", IF(AND(OR(W17="Freezer case Lighting", W17="Refrigerated Case Lighting with Doors"),'General Information'!$X$18="LCI"), "N", IF(OR(VLOOKUP(J17, 'Fixture Identities'!$A$6:$B$1023, 2, FALSE)="T12 EPACT/EISA Baseline", VLOOKUP(J17, 'Fixture Identities'!$A$6:$B$1023, 2, FALSE)="Linear Fluorescent", VLOOKUP(J17, 'Fixture Identities'!$A$6:$B$1023, 2, FALSE)="U-Tube Fluorescent"), "Y", "N")))</f>
        <v/>
      </c>
      <c r="BU17" s="184" t="str">
        <f>IFERROR(IF(B17="", "", IF(VLOOKUP(J17, 'Fixture Identities'!$A$6:$B$1023, 2, FALSE)="Exit Sign", "Y", "N")), "N")</f>
        <v/>
      </c>
      <c r="BV17" s="184" t="str">
        <f>IF(V17="Exit Signs", IF(VLOOKUP(J17, 'Fixture Identities'!$A$6:$B$1023, 2, FALSE)="Exit Sign", "N", "Y"), "")</f>
        <v/>
      </c>
      <c r="BW17" s="184" t="str">
        <f t="array" ref="BW17">IFERROR(IF(B17="", "", IF(B17="New Construction", "N", INDEX('Lookup Tables'!$AH$6:$AU$102, MATCH(1, ('Lookup Tables'!$AH$6:$AH$102='Lighting Inventory'!V17)*('Lookup Tables'!$AI$6:$AI$102='Lighting Inventory'!W17), 0), 14))), "N")</f>
        <v/>
      </c>
      <c r="BX17" s="598" t="str">
        <f t="shared" si="93"/>
        <v/>
      </c>
      <c r="BY17" s="598" t="str">
        <f t="shared" si="94"/>
        <v/>
      </c>
      <c r="BZ17" s="598" t="str">
        <f t="shared" si="95"/>
        <v/>
      </c>
      <c r="CA17" s="598" t="str">
        <f t="shared" si="101"/>
        <v/>
      </c>
      <c r="CB17" s="269" t="str">
        <f t="shared" si="102"/>
        <v/>
      </c>
      <c r="CC17" s="517" t="str">
        <f t="shared" si="96"/>
        <v/>
      </c>
      <c r="CD17" s="565" t="str">
        <f t="shared" si="11"/>
        <v/>
      </c>
      <c r="CE17" s="368">
        <v>0</v>
      </c>
      <c r="CF17" s="368" t="str" cm="1">
        <f t="array" ref="CF17">IFERROR(IF(V17="Custom", "$0.1 per kWh", IF(B17="New Construction", CONCATENATE("$",INDEX('Lookup Tables'!$AH$114:$AN$154,MATCH(1,('Lookup Tables'!$AH$114:$AH$154='Lighting Inventory'!V17)*('Lookup Tables'!$AI$114:$AI$154='Lighting Inventory'!W17),FALSE),6)," ",INDEX('Lookup Tables'!$AH$114:$AN$154,MATCH(1,('Lookup Tables'!$AH$114:$AH$154='Lighting Inventory'!V17)*('Lookup Tables'!$AI$114:$AI$154='Lighting Inventory'!W17),FALSE),7)), IF(AND(BU17="N", V17="Exit Signs"), "$0.025 per kWh", CONCATENATE("$",INDEX('Lookup Tables'!$AH$6:$AN$102,MATCH(1,('Lookup Tables'!$AH$6:$AH$102='Lighting Inventory'!V17)*('Lookup Tables'!$AI$6:$AI$102='Lighting Inventory'!W17),FALSE),6)," ",INDEX('Lookup Tables'!$AH$6:$AN$102,MATCH(1,('Lookup Tables'!$AH$6:$AH$102='Lighting Inventory'!V17)*('Lookup Tables'!$AI$6:$AI$102='Lighting Inventory'!W17),FALSE),7))))), "")</f>
        <v/>
      </c>
      <c r="CG17" s="580"/>
      <c r="CH17" s="248" t="str">
        <f t="shared" ref="CH17:CH46" si="170">IF(E17="", "", IF(E17="Exterior", "Ext_Lighting_Description", "Int_Lighting_Description"))</f>
        <v/>
      </c>
      <c r="CI17" s="248" t="str">
        <f t="shared" ref="CI17:CI46" si="171">IF(E17="", "Select_IE", IF(E17="Interior", "Building_Type_Interior", "Building_Type_Exterior"))</f>
        <v>Select_IE</v>
      </c>
      <c r="CJ17" s="248" t="str">
        <f t="shared" ref="CJ17:CJ46" si="172">IF(F17="", "", IF(E17="Exterior", "Uncooled", IF(F17="Storage - Unconditioned", "Uncooled", "Cooled")))</f>
        <v/>
      </c>
      <c r="CK17" s="248" t="str">
        <f t="shared" ref="CK17:CK46" si="173">IF(E17="Exterior", "Unheated", IF(G17="", "", IF(OR(G17="Uncooled", G17="Air Conditioned"), "Heated", "Unheated")))</f>
        <v/>
      </c>
      <c r="CL17" s="248" t="str">
        <f t="shared" ref="CL17:CL46" si="174">IF(B17="", "", IF(AND(B17="New Construction", E17="Interior"), "NC_Fixture_Category_Int", IF(AND(B17="New Construction", E17="Exterior"), "NC_Fixture_Category_Ext", IF(AND(B17="Retrofit", E17="Interior"), "Ret_Fixture_Category_Int", IF(AND(B17="Retrofit", E17="Exterior"), "Ret_Fixture_Category_Ext", "Ret_Fixture_Category_Int")))))</f>
        <v/>
      </c>
      <c r="CM17" s="248" t="str">
        <f>IFERROR(IF(B17="", "", IF(B17="New Construction", VLOOKUP(V17, 'Lookup Tables'!$AF$114:$AG$120, 2, FALSE), VLOOKUP(V17, 'Lookup Tables'!$AD$6:$AE$25, 2, FALSE))), "")</f>
        <v/>
      </c>
      <c r="CN17" s="248" t="str">
        <f t="shared" ref="CN17:CN74" si="175">IF(AV17="", "", IF(AV17="Applicant", "EFLH_schedules", "EFLH_prescribed"))</f>
        <v/>
      </c>
      <c r="CO17" s="248" t="str">
        <f t="shared" ref="CO17:CO46" si="176">IF(B17="", "", IF(AND(B17="New Construction", OR($F$5="Not Applicable", $F$5="")), "NC_Calc_Method", IF(B17="Retrofit", "Not_Applicable", IF(AND(E17="Interior", $F$5="Building Area"), "NC_Facility_Type", IF(AND(E17="Interior", $F$5="Space-by-Space"), "NC_Space_Type_Int", IF(E17="Exterior", "NC_Space_Type_Ext", "Not_Applicable"))))))</f>
        <v/>
      </c>
      <c r="CP17" s="592" t="str">
        <f t="shared" ref="CP17:CP46" si="177">IF(E17="","",IF(E17="Exterior","ext_lighting_controls","Lighting_Controls"))</f>
        <v/>
      </c>
      <c r="CQ17" s="248" t="str">
        <f t="shared" si="97"/>
        <v/>
      </c>
      <c r="CR17" s="100"/>
      <c r="CS17" s="250" t="str">
        <f t="shared" ref="CS17:CS74" si="178">IF(CD17="ERROR","ERROR",BK17)</f>
        <v/>
      </c>
      <c r="CT17" s="250" t="str">
        <f t="shared" ref="CT17:CT46" si="179">IF(CD17="ERROR", "ERROR", IF(AND(X17=$CT$7, E17="Interior"), BJ17, ""))</f>
        <v/>
      </c>
      <c r="CU17" s="250" t="str">
        <f t="shared" ref="CU17:CU46" si="180">IF(CD17="ERROR", "ERROR", IF(AND(X17=$CT$7, E17="Exterior"), BJ17, ""))</f>
        <v/>
      </c>
      <c r="CV17" s="250" t="str">
        <f t="shared" ref="CV17:CV46" si="181">IF(CD17="ERROR", "ERROR", IF(AND(X17=$CV$7, E17="Interior"), BJ17, ""))</f>
        <v/>
      </c>
      <c r="CW17" s="250" t="str">
        <f t="shared" ref="CW17:CW46" si="182">IF(CD17="ERROR", "ERROR", IF(AND(X17=$CV$7, E17="Exterior"), BJ17, ""))</f>
        <v/>
      </c>
      <c r="CX17" s="250" t="str">
        <f t="shared" ref="CX17:CX46" si="183">IF(CD17="ERROR", "ERROR", IF(AND(Y17=$CX$6, E17="Interior"), BJ17, ""))</f>
        <v/>
      </c>
      <c r="CY17" s="250" t="str">
        <f t="shared" ref="CY17:CY46" si="184">IF(CD17="ERROR", "ERROR", IF(AND(Y17=$CX$6, E17="Exterior"), BJ17, ""))</f>
        <v/>
      </c>
      <c r="CZ17" s="250" t="str">
        <f t="shared" ref="CZ17:CZ46" si="185">IF(CD17="ERROR", "ERROR", IF(AND(Y17=$CZ$6, E17="Interior"), BJ17, ""))</f>
        <v/>
      </c>
      <c r="DA17" s="250" t="str">
        <f t="shared" ref="DA17:DA46" si="186">IF(CD17="ERROR", "ERROR", IF(AND(Y17=$CZ$6, E17="Exterior"), BJ17, ""))</f>
        <v/>
      </c>
      <c r="DB17" s="250" t="str">
        <f t="shared" ref="DB17:DB46" si="187">IF(CD17="ERROR", "ERROR", IF(AND(Y17=$DB$6, E17="Interior"), BJ17, ""))</f>
        <v/>
      </c>
      <c r="DC17" s="250" t="str">
        <f t="shared" ref="DC17:DC46" si="188">IF(CD17="ERROR", "ERROR", IF(AND(Y17=$DB$6, E17="Exterior"), BJ17, ""))</f>
        <v/>
      </c>
      <c r="DD17" s="250" t="str">
        <f t="shared" ref="DD17:DD46" si="189">IF(CD17="ERROR", "ERROR", IF(AND(Y17=$DD$6, E17="Interior"), BJ17, ""))</f>
        <v/>
      </c>
      <c r="DE17" s="250" t="str">
        <f t="shared" ref="DE17:DE46" si="190">IF(CD17="ERROR", "ERROR", IF(AND(Y17=$DD$6, E17="Exterior"), BJ17, ""))</f>
        <v/>
      </c>
      <c r="DF17" s="250" t="str">
        <f t="shared" ref="DF17:DF46" si="191">IF(CD17="ERROR", "ERROR", IF(AND(Y17=$DF$6, E17="Interior"), BJ17, ""))</f>
        <v/>
      </c>
      <c r="DG17" s="250" t="str">
        <f t="shared" ref="DG17:DG46" si="192">IF(CD17="ERROR", "ERROR", IF(AND(Y17=$DF$6, E17="Exterior"), BJ17, ""))</f>
        <v/>
      </c>
      <c r="DH17" s="250" t="str">
        <f t="shared" ref="DH17:DH46" si="193">IF(CD17="ERROR", "ERROR", IF(AND(Y17=$DH$6, E17="Interior"), BJ17, ""))</f>
        <v/>
      </c>
      <c r="DI17" s="250" t="str">
        <f t="shared" ref="DI17:DI46" si="194">IF(CD17="ERROR", "ERROR", IF(AND(Y17=$DH$6, E17="Exterior"), BJ17, ""))</f>
        <v/>
      </c>
      <c r="DJ17" s="250" t="str">
        <f t="shared" ref="DJ17:DJ46" si="195">IF(CD17="ERROR", "ERROR", IF(Y17=$DJ$6, BJ17, ""))</f>
        <v/>
      </c>
      <c r="DK17" s="250" t="str">
        <f t="shared" ref="DK17:DK46" si="196">IF(CD17="ERROR", "ERROR", IF(AND(Y17=$DK$6, E17="Interior"), BJ17, ""))</f>
        <v/>
      </c>
      <c r="DL17" s="250" t="str">
        <f t="shared" ref="DL17:DL46" si="197">IF(CD17="ERROR", "ERROR", IF(AND(Y17=$DK$6, E17="Exterior"), BJ17, ""))</f>
        <v/>
      </c>
      <c r="DM17" s="250" t="str">
        <f>IF(CD17="ERROR", "ERROR", IF(AND(OR(Y17=$DM$6, Y17='Lookup Tables'!$AD$21, Y17='Lookup Tables'!$AD$22), E17="Interior"), BJ17, ""))</f>
        <v/>
      </c>
      <c r="DN17" s="250" t="str">
        <f>IF(CD17="ERROR", "ERROR", IF(AND(OR(Y17=$DM$6, Y17='Lookup Tables'!$AD$21, Y17='Lookup Tables'!$AD$22), E17="Exterior"), BJ17, ""))</f>
        <v/>
      </c>
      <c r="DO17" s="100"/>
      <c r="DP17" s="250" t="str">
        <f t="shared" ref="DP17:DP74" si="198">IF(CD17="ERROR","ERROR",BQ17)</f>
        <v/>
      </c>
      <c r="DQ17" s="250" t="str">
        <f t="shared" ref="DQ17:DQ46" si="199">IF(CD17="ERROR", "ERROR", IF(AND($DQ$7=X17,E17="Interior"), BP17, ""))</f>
        <v/>
      </c>
      <c r="DR17" s="250" t="str">
        <f t="shared" ref="DR17:DR46" si="200">IF(CD17="ERROR", "ERROR", IF(AND($DQ$7=X17,E17="Exterior"), BP17, ""))</f>
        <v/>
      </c>
      <c r="DS17" s="250" t="str">
        <f t="shared" ref="DS17:DS46" si="201">IF(CD17="ERROR", "ERROR", IF(AND($DS$7=X17,E17="Interior"), BP17, ""))</f>
        <v/>
      </c>
      <c r="DT17" s="250" t="str">
        <f t="shared" ref="DT17:DT46" si="202">IF(CD17="ERROR", "ERROR", IF(AND($DS$7=X17,E17="Exterior"), BP17, ""))</f>
        <v/>
      </c>
      <c r="DU17" s="250" t="str">
        <f t="shared" ref="DU17:DU46" si="203">IF(CD17="ERROR", "ERROR", IF(AND($DU$6=Y17,E17="Interior"), BP17, ""))</f>
        <v/>
      </c>
      <c r="DV17" s="250" t="str">
        <f t="shared" ref="DV17:DV46" si="204">IF(CD17="ERROR", "ERROR", IF(AND($DU$6=Y17,E17="Exterior"), BP17, ""))</f>
        <v/>
      </c>
      <c r="DW17" s="250" t="str">
        <f t="shared" ref="DW17:DW46" si="205">IF(CD17="ERROR", "ERROR", IF(AND($DW$6=Y17,E17="Interior"), BP17, ""))</f>
        <v/>
      </c>
      <c r="DX17" s="250" t="str">
        <f t="shared" ref="DX17:DX46" si="206">IF(CD17="ERROR", "ERROR", IF(AND($DW$6=Y17,E17="Exterior"), BP17, ""))</f>
        <v/>
      </c>
      <c r="DY17" s="250" t="str">
        <f t="shared" ref="DY17:DY46" si="207">IF(CD17="ERROR", "ERROR", IF(AND($DY$6=Y17,E17="Interior"), BP17, ""))</f>
        <v/>
      </c>
      <c r="DZ17" s="250" t="str">
        <f t="shared" ref="DZ17:DZ46" si="208">IF(CD17="ERROR", "ERROR", IF(AND($DY$6=Y17,E17="Exterior"), BP17, ""))</f>
        <v/>
      </c>
      <c r="EA17" s="250" t="str">
        <f t="shared" ref="EA17:EA46" si="209">IF(CD17="ERROR", "ERROR", IF(AND($EA$6=Y17,E17="Exterior"), BP17, ""))</f>
        <v/>
      </c>
      <c r="EB17" s="250" t="str">
        <f t="shared" ref="EB17:EB46" si="210">IF(CD17="ERROR", "ERROR", IF(AND(Y17=$EB$6, E17="Interior"), BP17, ""))</f>
        <v/>
      </c>
      <c r="EC17" s="250" t="str">
        <f t="shared" ref="EC17:EC46" si="211">IF(CD17="ERROR", "ERROR", IF(AND(Y17=$EC$6, E17="Interior"), BP17, ""))</f>
        <v/>
      </c>
      <c r="ED17" s="250" t="str">
        <f t="shared" ref="ED17:ED46" si="212">IF(CD17="ERROR", "ERROR", IF(AND(Y17=$EC$6, E17="Exterior"), BP17, ""))</f>
        <v/>
      </c>
      <c r="EE17" s="250" t="str">
        <f t="shared" ref="EE17:EE46" si="213">IF(CD17="ERROR", "ERROR", IF(Y17=$EE$6, BP17, ""))</f>
        <v/>
      </c>
      <c r="EF17" s="250" t="str">
        <f t="shared" ref="EF17:EF46" si="214">IF(CD17="ERROR", "ERROR", IF(AND($EF$6=Y17,E17="Interior"), BP17, ""))</f>
        <v/>
      </c>
      <c r="EG17" s="250" t="str">
        <f t="shared" ref="EG17:EG46" si="215">IF(CD17="ERROR", "ERROR", IF(AND($EF$6=Y17,E17="Exterior"), BP17, ""))</f>
        <v/>
      </c>
      <c r="EH17" s="250" t="str">
        <f>IF(CD17="ERROR", "ERROR", IF(AND(OR($EH$6=Y17, Y17='Lookup Tables'!$AD$21, Y17='Lookup Tables'!$AD$22),E17="Interior"), SUM(BP17:BP17), ""))</f>
        <v/>
      </c>
      <c r="EI17" s="250" t="str">
        <f>IF(CD17="ERROR", "ERROR", IF(AND(OR($EH$6=Y17, Y17='Lookup Tables'!$AD$21, Y17='Lookup Tables'!$AD$22),E17="Exterior"), SUM(BP17:BP17), ""))</f>
        <v/>
      </c>
      <c r="EJ17" s="109"/>
      <c r="EK17" s="485" t="str">
        <f t="shared" si="58"/>
        <v/>
      </c>
      <c r="EL17" s="252" t="str">
        <f t="shared" ref="EL17:EL46" si="216">IF(CD17="ERROR", "ERROR", IF(AND($EL$7=X17,E17="Interior"), S17, ""))</f>
        <v/>
      </c>
      <c r="EM17" s="252" t="str">
        <f t="shared" ref="EM17:EM46" si="217">IF(CD17="ERROR", "ERROR", IF(AND($EL$7=X17,E17="Exterior"), S17, ""))</f>
        <v/>
      </c>
      <c r="EN17" s="252" t="str">
        <f t="shared" ref="EN17:EN46" si="218">IF(CD17="ERROR", "ERROR", IF(AND($EN$7=X17,E17="Interior"), S17, ""))</f>
        <v/>
      </c>
      <c r="EO17" s="252" t="str">
        <f t="shared" ref="EO17:EO46" si="219">IF(CD17="ERROR", "ERROR", IF(AND($EN$7=X17,E17="Exterior"), S17, ""))</f>
        <v/>
      </c>
      <c r="EP17" s="252" t="str">
        <f t="shared" ref="EP17:EP46" si="220">IF(CD17="ERROR", "ERROR", IF(AND($EP$6=Y17,E17="Interior"), S17, ""))</f>
        <v/>
      </c>
      <c r="EQ17" s="252" t="str">
        <f t="shared" ref="EQ17:EQ46" si="221">IF(CD17="ERROR", "ERROR", IF(AND($EP$6=Y17,E17="Exterior"), S17, ""))</f>
        <v/>
      </c>
      <c r="ER17" s="252" t="str">
        <f t="shared" ref="ER17:ER46" si="222">IF(CD17="ERROR", "ERROR", IF(AND($ER$6=Y17,E17="Interior"), S17, ""))</f>
        <v/>
      </c>
      <c r="ES17" s="252" t="str">
        <f t="shared" ref="ES17:ES46" si="223">IF(CD17="ERROR", "ERROR", IF(AND($ER$6=Y17,E17="Exterior"), S17, ""))</f>
        <v/>
      </c>
      <c r="ET17" s="252" t="str">
        <f t="shared" ref="ET17:ET46" si="224">IF(CD17="ERROR", "ERROR", IF(AND($ET$6=Y17,E17="Interior"), S17, ""))</f>
        <v/>
      </c>
      <c r="EU17" s="252" t="str">
        <f t="shared" ref="EU17:EU46" si="225">IF(CD17="ERROR", "ERROR", IF(AND($ET$6=Y17,E17="Exterior"), S17, ""))</f>
        <v/>
      </c>
      <c r="EV17" s="252" t="str">
        <f t="shared" ref="EV17:EV46" si="226">IF(CD17="ERROR", "ERROR", IF(AND($EV$6=Y17,E17="Exterior"), S17, ""))</f>
        <v/>
      </c>
      <c r="EW17" s="252" t="str">
        <f t="shared" ref="EW17:EW46" si="227">IF(CD17="ERROR", "ERROR", IF(AND($EW$6=Y17,E17="Interior"), S17, ""))</f>
        <v/>
      </c>
      <c r="EX17" s="252" t="str">
        <f t="shared" ref="EX17:EX46" si="228">IF(CD17="ERROR", "ERROR", IF(AND(Y17=$EX$6, E17="Interior"), S17, ""))</f>
        <v/>
      </c>
      <c r="EY17" s="252" t="str">
        <f t="shared" ref="EY17:EY46" si="229">IF(CD17="ERROR", "ERROR", IF(AND(Y17=$EX$6, E17="Exterior"), S17, ""))</f>
        <v/>
      </c>
      <c r="EZ17" s="252" t="str">
        <f t="shared" ref="EZ17:EZ46" si="230">IF(CD17="ERROR", "ERROR", IF($EZ$6=Y17, AJ17, ""))</f>
        <v/>
      </c>
      <c r="FA17" s="252" t="str">
        <f t="shared" ref="FA17:FA46" si="231">IF(CD17="ERROR", "ERROR", IF(AND($FA$6=Y17, E17="Interior"), S17, ""))</f>
        <v/>
      </c>
      <c r="FB17" s="252" t="str">
        <f t="shared" ref="FB17:FB46" si="232">IF(CD17="ERROR", "ERROR", IF(AND($FA$6=Y17,E17="Exterior"), S17, ""))</f>
        <v/>
      </c>
      <c r="FC17" s="252" t="str">
        <f>IF(CD17="ERROR", "ERROR", IF(OR(V17="No Change", V17="Not DLC or Energy Star"), "", IF(AND(OR($FC$6=Y17,Y17='Lookup Tables'!$AD$21, Y17='Lookup Tables'!$AD$22),E17="Interior"), S17, "")))</f>
        <v/>
      </c>
      <c r="FD17" s="252" t="str">
        <f t="shared" ref="FD17:FD46" si="233">IF(CD17="ERROR", "ERROR", IF(V17="No Change", "", IF(AND($FC$6=Y17,E17="Exterior"), S17, "")))</f>
        <v/>
      </c>
      <c r="FE17" s="101"/>
      <c r="FF17" s="579" t="str" cm="1">
        <f t="array" ref="FF17">IFERROR(IF(OR(BQ17&lt;=0,AQ17&lt;20,AND(V17="Exit Signs",AN17&gt;0)),"",IF(AND(AQ17&gt;=20,AN17='Lookup Tables'!$R$101),'Lookup Tables'!$U$101*BQ17,AP17*LOOKUP(2,1/((AN17='Lookup Tables'!$R$91:$R$111)*(AQ17&gt;='Lookup Tables'!$S$91:$S$111)*(AQ17&lt;='Lookup Tables'!$T$91:$T$111)),'Lookup Tables'!$U$91:$U$111))),"")</f>
        <v/>
      </c>
      <c r="FG17" s="579"/>
      <c r="FH17" s="579"/>
      <c r="FI17" s="253" t="str">
        <f>IFERROR(ROUND(IF(CD17="ERROR", "ERROR", IF(AND($FI$7=X17,E17="Interior"),VLOOKUP(W17, 'Lookup Tables'!$AI$6:$AM$102, 5, FALSE)*BP17, "")), 2), "")</f>
        <v/>
      </c>
      <c r="FJ17" s="253" t="str">
        <f>IFERROR(ROUND(IF(CD17="ERROR", "ERROR", IF(AND($FI$7=X17,E17="Exterior"),VLOOKUP(W17, 'Lookup Tables'!$AI$6:$AM$102, 5, FALSE)*BP17, "")), 2), "")</f>
        <v/>
      </c>
      <c r="FK17" s="253" t="str">
        <f>IFERROR(ROUND(IF(CD17="ERROR", "ERROR", IF(AND($FK$7=X17,E17="Interior"),VLOOKUP(W17, 'Lookup Tables'!$AI$6:$AM$102, 5, FALSE)*BP17, "")), 2), "")</f>
        <v/>
      </c>
      <c r="FL17" s="253" t="str">
        <f>IFERROR(ROUND(IF(CD17="ERROR", "ERROR", IF(AND($FK$7=X17,E17="Exterior"),VLOOKUP(W17, 'Lookup Tables'!$AI$6:$AM$102, 5, FALSE)*BP17, "")), 2), "")</f>
        <v/>
      </c>
      <c r="FM17" s="253" t="str">
        <f>IFERROR(ROUND(IF(CD17="ERROR", "ERROR", IF(AND($FM$6=Y17,E17="Interior"), IF(GB17=0, VLOOKUP(W17, 'Lookup Tables'!$AI$6:$AM$102, 5, FALSE)*BP17, IF(VLOOKUP(W17, 'Lookup Tables'!$AI$6:$AM$102, 5, FALSE)*BP17&gt;GB17*'Lighting Inventory'!S17, GB17*'Lighting Inventory'!S17,VLOOKUP(W17, 'Lookup Tables'!$AI$6:$AM$102, 5, FALSE)*BP17)), "")), 2), "")</f>
        <v/>
      </c>
      <c r="FN17" s="253" t="str">
        <f>IFERROR(ROUND(IF(CD17="ERROR", "ERROR", IF(AND($FM$6=Y17,E17="Exterior"), IF(GB17=0, VLOOKUP(W17, 'Lookup Tables'!$AI$6:$AM$102, 5, FALSE)*BP17, IF(VLOOKUP(W17, 'Lookup Tables'!$AI$6:$AM$102, 5, FALSE)*BP17&gt;GB17*'Lighting Inventory'!S17, GB17*'Lighting Inventory'!S17,VLOOKUP(W17, 'Lookup Tables'!$AI$6:$AM$102, 5, FALSE)*BP17)), "")), 2), "")</f>
        <v/>
      </c>
      <c r="FO17" s="253" t="str">
        <f>IFERROR(ROUND(IF(CD17="ERROR", "ERROR", IF(AND($FO$6=Y17,E17="Interior"),VLOOKUP(W17, 'Lookup Tables'!$AI$6:$AM$102, 5, FALSE)*'Lighting Inventory'!AI17, "")), 2), "")</f>
        <v/>
      </c>
      <c r="FP17" s="253" t="str">
        <f>IFERROR(ROUND(IF(CD17="ERROR", "ERROR", IF(AND($FO$6=Y17,E17="Exterior"),VLOOKUP(W17, 'Lookup Tables'!$AI$6:$AM$102, 5, FALSE)*'Lighting Inventory'!AI17, "")), 2), "")</f>
        <v/>
      </c>
      <c r="FQ17" s="253" t="str">
        <f>IFERROR(ROUND(IF(CD17="ERROR", "ERROR", IF(AND($FQ$6=Y17,E17="Interior", BU17="Y"), VLOOKUP('Lighting Inventory'!W17, 'Lookup Tables'!$AI$6:$AM$102, 5, FALSE)*'Lighting Inventory'!S17, IF(AND($FQ$7=Y17,E17="Interior", BU17="N"), 0.025*CD17, ""))), 2), "")</f>
        <v/>
      </c>
      <c r="FR17" s="253" t="str">
        <f>IFERROR(ROUND(IF(CD17="ERROR", "ERROR", IF(AND($FQ$6=Y17,E17="Exterior"), VLOOKUP('Lighting Inventory'!W17, 'Lookup Tables'!$AI$6:$AM$102, 5, FALSE)*'Lighting Inventory'!S17, "")), 2), "")</f>
        <v/>
      </c>
      <c r="FS17" s="253" t="str">
        <f>IFERROR(ROUND(IF(CD17="ERROR", "ERROR", IF(AND($FS$6=Y17,E17="Exterior"), IF(GB17=0, VLOOKUP(W17, 'Lookup Tables'!$AI$6:$AM$102, 5, FALSE)*BP17, IF(VLOOKUP(W17, 'Lookup Tables'!$AI$6:$AM$102, 5, FALSE)*BP17&gt;GB17*'Lighting Inventory'!S17, GB17*'Lighting Inventory'!S17,VLOOKUP(W17, 'Lookup Tables'!$AI$6:$AM$102, 5, FALSE)*BP17)), "")), 2), "")</f>
        <v/>
      </c>
      <c r="FT17" s="253" t="str">
        <f>IFERROR(ROUND(IF(CD17="ERROR", "ERROR", IF(AND($FT$6=Y17,E17="Interior"), IF(GB17=0, VLOOKUP(W17, 'Lookup Tables'!$AI$6:$AM$102, 5, FALSE)*BP17, IF(VLOOKUP(W17, 'Lookup Tables'!$AI$6:$AM$102, 5, FALSE)*BP17&gt;GB17*'Lighting Inventory'!S17, GB17*'Lighting Inventory'!S17,VLOOKUP(W17, 'Lookup Tables'!$AI$6:$AM$102, 5, FALSE)*BP17)), "")), 2), "")</f>
        <v/>
      </c>
      <c r="FU17" s="253" t="str">
        <f>IFERROR(ROUND(IF(CD17="ERROR", "ERROR", IF(AND(Y17=$FU$6, E17="Interior"), IF(BS17="N", 'Lookup Tables'!$AM$101*BP17, VLOOKUP(W17, 'Lookup Tables'!$AI$6:$AM$102, 5, FALSE)*S17*AD17), "")), 2), "")</f>
        <v/>
      </c>
      <c r="FV17" s="253" t="str">
        <f>IFERROR(ROUND(IF(CD17="ERROR", "ERROR", IF(AND(Y17=$FU$6, E17="Exterior"), IF(BS17="N", 'Lookup Tables'!$AM$101*BP17, VLOOKUP(W17, 'Lookup Tables'!$AI$6:$AM$102, 5, FALSE)*S17*AD17), "")), 2), "")</f>
        <v/>
      </c>
      <c r="FW17" s="253" t="str">
        <f>IFERROR(ROUND(IF(CD17="ERROR", "ERROR", IF($FW$6=Y17, IF(BS17="N", 'Lookup Tables'!$AM$101*BP17, MIN((VLOOKUP(W17, 'Lookup Tables'!$AI$6:$AM$102, 5, FALSE)*BP17),GB17*AJ17)), "")), 2), "")</f>
        <v/>
      </c>
      <c r="FX17" s="253" t="str">
        <f>IFERROR(ROUND(IF(CD17="ERROR", "ERROR", IF(AND($FX$6=Y17, E17="Interior"), IF(VLOOKUP(W17, 'Lookup Tables'!$AI$6:$AM$102, 5, FALSE)*BP17&gt;'Lookup Tables'!$AQ$97*'Lighting Inventory'!S17,'Lighting Inventory'!S17*'Lookup Tables'!$AQ$97,VLOOKUP(W17, 'Lookup Tables'!$AI$6:$AM$102, 5, FALSE)*BP17), "")), 2), "")</f>
        <v/>
      </c>
      <c r="FY17" s="253" t="str">
        <f>IFERROR(ROUND(IF(CD17="ERROR", "ERROR", IF(AND($FX$6=Y17, E17="Exterior"), IF(VLOOKUP(W17, 'Lookup Tables'!$AI$6:$AM$102, 5, FALSE)*BP17&gt;'Lookup Tables'!$AQ$97*'Lighting Inventory'!S17,'Lighting Inventory'!S17*'Lookup Tables'!$AQ$97,VLOOKUP(W17, 'Lookup Tables'!$AI$6:$AM$102, 5, FALSE)*BP17), "")), 2), "")</f>
        <v/>
      </c>
      <c r="FZ17" s="253" t="str">
        <f>IFERROR(ROUND(IF(CD17="ERROR", "ERROR", IF(AND($FZ$6=Y17, E17="Interior"), IF(AND(OR(W17="Refrigerated Case Lighting with Doors", W17="Freezer Case Lighting"),Y17="Custom - Process Improvement"),CD17*'Lookup Tables'!$AM$101, IF(B17="Retrofit", IF(VLOOKUP(IF(V17="Custom", V17, W17), 'Lookup Tables'!$AI$6:$AM$102, 5, FALSE)*BP17&gt;GE17, GE17, VLOOKUP(IF(V17="Custom", V17, W17), 'Lookup Tables'!$AI$6:$AM$102, 5, FALSE)*BP17), IF(VLOOKUP(IF(V17="Custom", V17, W17), 'Lookup Tables'!$AI$114:$AM$154, 5, FALSE)*BP17&gt;GE17, GE17, VLOOKUP(IF(V17="Custom", V17, W17), 'Lookup Tables'!$AI$114:$AM$154, 5, FALSE)*BP17))), "")), 2),"")</f>
        <v/>
      </c>
      <c r="GA17" s="253" t="str">
        <f>IFERROR(ROUND(IF(CD17="ERROR", "ERROR", IF(AND($FZ$6=Y17, E17="Exterior"), IF(B17="Retrofit", IF(VLOOKUP(IF(V17="Custom", V17, W17), 'Lookup Tables'!$AI$6:$AM$102, 5, FALSE)*BP17&gt;GE17, GE17, VLOOKUP(IF(V17="Custom", V17, W17), 'Lookup Tables'!$AI$6:$AM$102, 5, FALSE)*BP17), IF(VLOOKUP(IF(V17="Custom", V17, W17), 'Lookup Tables'!$AI$114:$AM$154, 5, FALSE)*BP17&gt;GE17, GE17, VLOOKUP(IF(V17="Custom", V17, W17), 'Lookup Tables'!$AI$114:$AM$154, 5, FALSE)*BP17)), "")), 2),"")</f>
        <v/>
      </c>
      <c r="GB17" s="254" t="str">
        <f t="array" ref="GB17">IF(B17="","",IF(OR(V17="Custom",V17="No Change"),0,IF(B17="Retrofit", INDEX('Lookup Tables'!$AH$6:$AQ$102,MATCH(1,('Lookup Tables'!$AH$6:$AH$102='Lighting Inventory'!V17)*('Lookup Tables'!$AI$6:$AI$102='Lighting Inventory'!W17),FALSE),10),INDEX('Lookup Tables'!$AH$114:$AQ$154,MATCH(1,('Lookup Tables'!$AH$114:$AH$154='Lighting Inventory'!V17)*('Lookup Tables'!$AI$114:$AI$154='Lighting Inventory'!W17),FALSE),10))))</f>
        <v/>
      </c>
      <c r="GC17" s="255" t="str">
        <f t="shared" si="77"/>
        <v/>
      </c>
      <c r="GD17" s="250" t="str">
        <f t="shared" si="78"/>
        <v/>
      </c>
      <c r="GE17" s="253" t="str">
        <f>IFERROR(IF(AND(AF17="", 'General Information'!$F$18="No"),"", IF(AF17="", ((GD17/$CD$266)*$CF$266)*0.5, AF17*S17*0.5)), "")</f>
        <v/>
      </c>
      <c r="GF17" s="255" t="str">
        <f>IF(AND('General Information'!$F$19="", 'General Information'!$F$18="Yes",AF17="",BW17="Y"), "Y", "N")</f>
        <v>N</v>
      </c>
      <c r="GG17" s="255" t="s">
        <v>2946</v>
      </c>
      <c r="GH17" s="255" t="str">
        <f>IFERROR(IF(B17="", "", VLOOKUP(J17, 'Fixture Identities'!$A$6:$N$908, 14, FALSE)), "")</f>
        <v/>
      </c>
      <c r="GI17" s="389" t="str">
        <f>IF(OR(B17="", V17="", W17=""), "", IF(AND(OR(M17='Lookup Tables'!$R$18, M17='Lookup Tables'!$R$19, M17='Lookup Tables'!$R$20, M17='Lookup Tables'!$R$21, M17='Lookup Tables'!$R$22), OR(AN17='Lookup Tables'!$R$17, AN17='Lookup Tables'!$R$17, AN17="")), "Y", "N"))</f>
        <v/>
      </c>
      <c r="GJ17" s="255" t="str">
        <f t="shared" si="79"/>
        <v/>
      </c>
      <c r="GK17" s="255" t="str">
        <f t="shared" si="80"/>
        <v/>
      </c>
      <c r="GL17" s="255" t="str">
        <f t="shared" si="81"/>
        <v/>
      </c>
      <c r="GM17" s="255" t="str">
        <f>IF(AN17="", "", IF(AND(IF(ISNA(VLOOKUP(AN17,'Lookup Tables'!$R$18:$R$22,1,FALSE)), "N", "Y")="Y", E17="Exterior"), "Y", "N"))</f>
        <v/>
      </c>
      <c r="GN17" s="395"/>
      <c r="GO17" s="428">
        <f t="shared" si="98"/>
        <v>0</v>
      </c>
      <c r="GP17" s="428">
        <f t="shared" si="167"/>
        <v>0</v>
      </c>
      <c r="GQ17" s="428">
        <f t="shared" si="99"/>
        <v>0</v>
      </c>
      <c r="GR17" s="428">
        <f t="shared" si="100"/>
        <v>0</v>
      </c>
    </row>
    <row r="18" spans="1:200" s="103" customFormat="1" ht="13.5" customHeight="1" x14ac:dyDescent="0.2">
      <c r="A18" s="272">
        <v>8</v>
      </c>
      <c r="B18" s="110"/>
      <c r="C18" s="110"/>
      <c r="D18" s="110"/>
      <c r="E18" s="110"/>
      <c r="F18" s="110"/>
      <c r="G18" s="110"/>
      <c r="H18" s="110"/>
      <c r="I18" s="29"/>
      <c r="J18" s="29"/>
      <c r="K18" s="272" t="str">
        <f>IFERROR(IF(OR(VLOOKUP(J18, 'Fixture Identities'!$A$6:$L$1023, 3, FALSE)="T12 Linear Fluorescent", VLOOKUP(J18, 'Fixture Identities'!$A$6:$L$1023, 3, FALSE)="T12 U-Tube Fluorescent"), VLOOKUP(VLOOKUP(J18, 'Fixture Identities'!$A$6:$L$1023, 11, FALSE), 'Fixture Identities'!$A$6:$L$1023, 10, FALSE), VLOOKUP(J18, 'Fixture Identities'!$A$6:$L$1023, 10, FALSE)), "")</f>
        <v/>
      </c>
      <c r="L18" s="270" t="str">
        <f t="shared" si="169"/>
        <v/>
      </c>
      <c r="M18" s="110"/>
      <c r="N18" s="110"/>
      <c r="O18" s="110"/>
      <c r="P18" s="272" t="str">
        <f>IFERROR(IF(OR(B18="Retrofit",B18=""),"",IF('Lighting Inventory'!E18="Exterior",VLOOKUP('Lighting Inventory'!N18,'Lookup Tables'!$B$83:$F$103,5,FALSE),IF(N18="Other - Please Estimate EFLH and CFs","Contact Prog. Rep.","ft^2"))), "")</f>
        <v/>
      </c>
      <c r="Q18" s="270" t="str">
        <f>IFERROR(IF(AND(B18="New Construction",E18="Interior",$F$5="Space-by-Space"),VLOOKUP('Lighting Inventory'!N18,'Lookup Tables'!$N$6:$O$97,2,FALSE),IF(AND(B18="New Construction",E18="Exterior"),VLOOKUP(N18,'Lookup Tables'!$B$83:$F$103,2,FALSE),IF(AND(B18="New Construction",'Lighting Inventory'!E18="Interior", $F$5="Building Area"),VLOOKUP(F18,'Lookup Tables'!$A$6:$J$59,10,FALSE),""))), "")</f>
        <v/>
      </c>
      <c r="R18" s="270" t="str">
        <f>IFERROR(IF(P18="Contact Prog. Rep.", "ERROR", IF(OR(B18="",B18="Retrofit"),"",IF(N18="Automated teller machines", ('Lookup Tables'!$A$82:$E$100+('Lighting Inventory'!O18-1)*'Lookup Tables'!$A$82:$E$100)/1000, (Q18*O18)/1000))), "")</f>
        <v/>
      </c>
      <c r="S18" s="595"/>
      <c r="T18" s="105" t="str">
        <f t="shared" si="83"/>
        <v/>
      </c>
      <c r="U18" s="105" t="str">
        <f>IF(S18="","",COUNT($S$11:S18))</f>
        <v/>
      </c>
      <c r="V18" s="111"/>
      <c r="W18" s="112"/>
      <c r="X18" s="105" t="str">
        <f t="shared" si="84"/>
        <v/>
      </c>
      <c r="Y18" s="105" t="str">
        <f t="array" ref="Y18">IF(AND(OR(W18="Freezer Case Lighting", W18="Refrigerated Case Lighting with Doors"), 'General Information'!$X$18="LCI"),'Lookup Tables'!$Y$34, IF(V18="Custom", VLOOKUP(W18, 'Fixture Identities'!$A$974:$M$1023, 13, FALSE), IF(V18="No Change",'Lookup Tables'!$Y$29,IF(OR(V18="",W18=""),"",IF(AND(S18=0,S18&lt;I18,B18="Retrofit"),'Lookup Tables'!$Y$25, IF(B18="Retrofit", INDEX('Lookup Tables'!$AH$6:$AP$102, MATCH(1, ('Lookup Tables'!$AH$6:$AH$102=V18)*('Lookup Tables'!$AI$6:$AI$102=W18), 0), IF('Lighting Inventory'!E18="Interior", 4, 5)), INDEX('Lookup Tables'!$AH$114:$AP$154, MATCH(1, ('Lookup Tables'!$AH$114:$AH$154=V18)*('Lookup Tables'!$AI$114:$AI$154=W18), 0), IF('Lighting Inventory'!E18="Interior", 4, 5))))))))</f>
        <v/>
      </c>
      <c r="Z18" s="105" t="str">
        <f>IFERROR(INDEX('Lookup Tables'!$AH$158:$AH$172,MATCH('Lighting Inventory'!Y18,'Lookup Tables'!$AI$158:$AI$172,0)),"")</f>
        <v/>
      </c>
      <c r="AA18" s="105" t="str">
        <f>IF(AP18&gt;0,INDEX('Lookup Tables'!$AK$158:$AK$172,MATCH('Lighting Inventory'!Y18,'Lookup Tables'!$AI$158:$AI$172,0)),'Lighting Inventory'!Y18)</f>
        <v/>
      </c>
      <c r="AB18" s="105" t="str">
        <f t="array" ref="AB18">IF(V18="Custom", "Custom", IF(V18="", "", IF(V18="Not DLC or Energy Star", "General", IF(B18="New Construction", INDEX('Lookup Tables'!$AH$114:$AP$154,MATCH(1,('Lookup Tables'!$AH$114:$AH$154='Lighting Inventory'!V18)*('Lookup Tables'!$AI$114:$AI$154='Lighting Inventory'!W18),FALSE),8), INDEX('Lookup Tables'!$AH$6:$AP$102,MATCH(1,('Lookup Tables'!$AH$6:$AH$102='Lighting Inventory'!V18)*('Lookup Tables'!$AI$6:$AI$102='Lighting Inventory'!W18),FALSE),8)))))</f>
        <v/>
      </c>
      <c r="AC18" s="272" t="str">
        <f>IF(W18="","",IF(V18="Custom",CONCATENATE("$",'Lookup Tables'!$AM$101," ",'Lookup Tables'!$AN$101),CONCATENATE("$",INDEX('Lookup Tables'!$AM$6:$AM$102,MATCH('Lighting Inventory'!W18,'Lookup Tables'!$AI$6:$AI$102,0))," ",INDEX('Lookup Tables'!$AN$6:$AN$102,MATCH('Lighting Inventory'!W18,'Lookup Tables'!$AI$6:$AI$102,0)))))</f>
        <v/>
      </c>
      <c r="AD18" s="72"/>
      <c r="AE18" s="29"/>
      <c r="AF18" s="379"/>
      <c r="AG18" s="370" t="str">
        <f t="shared" si="2"/>
        <v/>
      </c>
      <c r="AH18" s="370" t="str">
        <f t="shared" si="85"/>
        <v/>
      </c>
      <c r="AI18" s="29"/>
      <c r="AJ18" s="29"/>
      <c r="AK18" s="110"/>
      <c r="AL18" s="375" t="str">
        <f>IF(OR(B18="", V18="", W18=""), "", IF(V18="No Change", K18, IF(V18="Remove Fixture", 0, IF(V18="Custom",VLOOKUP(W18,'Fixture Identities'!$A$6:$K$1023,10,FALSE),IF(AE18="", "← ENTER POST WATTS", 'Lighting Inventory'!AE18)))))</f>
        <v/>
      </c>
      <c r="AM18" s="376" t="str">
        <f t="shared" si="3"/>
        <v/>
      </c>
      <c r="AN18" s="29"/>
      <c r="AO18" s="671"/>
      <c r="AP18" s="29"/>
      <c r="AQ18" s="29"/>
      <c r="AR18" s="29"/>
      <c r="AS18" s="272" t="str">
        <f t="shared" si="4"/>
        <v/>
      </c>
      <c r="AT18" s="270" t="str">
        <f t="shared" si="5"/>
        <v/>
      </c>
      <c r="AU18" s="88" t="str">
        <f t="shared" si="6"/>
        <v/>
      </c>
      <c r="AV18" s="29"/>
      <c r="AW18" s="73"/>
      <c r="AX18" s="271" t="str">
        <f>IF(AND(AV18="Applicant",OR(AW18="", AW18="Use Default Facility Hours")),"← Choose Schedule",IF(F18="","",IF(W18="LED Exit Signs",8760,IF(OR(AV18="Prescribed",AV18=""),VLOOKUP(F18,'Lookup Tables'!$A$6:$G$59,IF(AB18="General", 6, 3),FALSE),VLOOKUP(AW18,'Lookup Tables'!$S$36:$U$43,2,FALSE)))))</f>
        <v/>
      </c>
      <c r="AY18" s="88" t="str">
        <f t="shared" si="7"/>
        <v/>
      </c>
      <c r="AZ18" s="270" t="str">
        <f>IFERROR(IF(F18="", "", IF(W18="LED Exit Signs", 1, IF(AV18="Applicant",VLOOKUP(AW18, 'Lookup Tables'!$S$36:$U$43,3, FALSE), VLOOKUP('Lighting Inventory'!F18, 'Lookup Tables'!$A$6:$H$59, IF('Lighting Inventory'!AB18="General",7,4), FALSE)))), "")</f>
        <v/>
      </c>
      <c r="BA18" s="522" t="str">
        <f>IFERROR(IF(F18="", "", IF(W18="LED Exit Signs", 1, VLOOKUP('Lighting Inventory'!F18, 'Lookup Tables'!$A$6:$H$59, IF('Lighting Inventory'!AB18="General",8,5), FALSE))), "")</f>
        <v/>
      </c>
      <c r="BB18" s="270" t="str">
        <f>IF(G18="", "", IF(E18="Exterior", 0, IF('Lighting Inventory'!G18="Air Conditioned", VLOOKUP(H18, 'Lookup Tables'!$R$6:$T$13, 2, FALSE), VLOOKUP('Lighting Inventory'!G18, 'Lookup Tables'!$R$6:$T$13, 2, FALSE))))</f>
        <v/>
      </c>
      <c r="BC18" s="522" t="str">
        <f>IF(G18="", "", IF(E18="Exterior", 0, IF('Lighting Inventory'!G18="Air Conditioned", VLOOKUP(H18, 'Lookup Tables'!$R$6:$T$13, 3, FALSE), VLOOKUP('Lighting Inventory'!G18, 'Lookup Tables'!$R$6:$T$13, 3, FALSE))))</f>
        <v/>
      </c>
      <c r="BD18" s="270" t="str">
        <f>IF(G18="", "", IF(E18="Exterior", 0, IF('Lighting Inventory'!G18="Air Conditioned", VLOOKUP(H18, 'Lookup Tables'!$R$6:$U$13, 4, FALSE), VLOOKUP('Lighting Inventory'!G18, 'Lookup Tables'!$R$6:$U$13, 4, FALSE))))</f>
        <v/>
      </c>
      <c r="BE18" s="270" t="str">
        <f>IFERROR(IF(B18="", "",  IF(B18="New Construction", VLOOKUP(F18, 'Lookup Tables'!$A$6:$K$59, 11, FALSE),IF(OR(AN18="", AN18="Light Switch"), 0, IF(OR(M18="",M18="None",V18= "LED Exit Signs"),0,_xlfn.XLOOKUP(M18,'Lookup Tables'!$R$91:$R$101,'Lookup Tables'!$V$91:$V$101))))), "")</f>
        <v/>
      </c>
      <c r="BF18" s="270" t="str">
        <f>IF(AND(OR(AN18="Light Switch",AN18=""),B18="New Construction"), VLOOKUP(F18, 'Lookup Tables'!$A$6:$K$59, 11, FALSE),IF(AN18="","",IF(B18="","",IF(OR(AN18="None",AN18="",V18="LED Exit Signs",AN18="Exterior Controls Not Eligible"),0,_xlfn.XLOOKUP(AN18,'Lookup Tables'!$R$91:$R$101,'Lookup Tables'!$V$91:$V$101)))))</f>
        <v/>
      </c>
      <c r="BG18" s="88" t="str">
        <f t="shared" si="86"/>
        <v/>
      </c>
      <c r="BH18" s="88" t="str">
        <f t="shared" si="87"/>
        <v/>
      </c>
      <c r="BI18" s="558" t="str">
        <f t="shared" si="168"/>
        <v/>
      </c>
      <c r="BJ18" s="560" t="str">
        <f t="shared" si="88"/>
        <v/>
      </c>
      <c r="BK18" s="560" t="str">
        <f t="shared" si="89"/>
        <v/>
      </c>
      <c r="BL18" s="559" t="str">
        <f t="shared" si="90"/>
        <v/>
      </c>
      <c r="BM18" s="521" t="str">
        <f t="shared" si="8"/>
        <v/>
      </c>
      <c r="BN18" s="521" t="str">
        <f t="shared" si="9"/>
        <v/>
      </c>
      <c r="BO18" s="522" t="str">
        <f t="shared" si="10"/>
        <v/>
      </c>
      <c r="BP18" s="83" t="str">
        <f t="shared" si="91"/>
        <v/>
      </c>
      <c r="BQ18" s="84" t="str">
        <f t="shared" si="92"/>
        <v/>
      </c>
      <c r="BR18" s="184" t="str">
        <f>IFERROR(IF(B18="", "", IF(OR(VLOOKUP(J18, 'Fixture Identities'!$A$6:$L$1023, 3, FALSE)="T12 Linear Fluorescent",VLOOKUP(J18, 'Fixture Identities'!$A$6:$L$1023, 3, FALSE)="T12 U-Tube Fluorescent"), "Y", "N")), "N")</f>
        <v/>
      </c>
      <c r="BS18" s="184" t="str">
        <f t="array" ref="BS18">IFERROR(IF(OR(B18="", V18="", W18=""), "", IF(V18="Custom", "N", IF(OR(W18="Freezer Case Lighting", W18="Refrigerated Case Lighting with Doors"), BT18, IF(B18="Retrofit", INDEX('Lookup Tables'!$AH$6:$AT$102,MATCH(1,('Lookup Tables'!$AH$6:$AH$102=V18)*('Lookup Tables'!$AI$6:$AI$102=W18),FALSE),IF(VLOOKUP(J18, 'Fixture Identities'!$A$6:$B$1023, 2, FALSE)="Incandescent",12, 13)), INDEX('Lookup Tables'!$AH$114:$AS$154,MATCH(1,('Lookup Tables'!$AH$114:$AH$154=V18)*('Lookup Tables'!$AI$114:$AI$154=W18),FALSE),12))))), "N")</f>
        <v/>
      </c>
      <c r="BT18" s="184" t="str">
        <f>IF(J18="", "", IF(AND(OR(W18="Freezer case Lighting", W18="Refrigerated Case Lighting with Doors"),'General Information'!$X$18="LCI"), "N", IF(OR(VLOOKUP(J18, 'Fixture Identities'!$A$6:$B$1023, 2, FALSE)="T12 EPACT/EISA Baseline", VLOOKUP(J18, 'Fixture Identities'!$A$6:$B$1023, 2, FALSE)="Linear Fluorescent", VLOOKUP(J18, 'Fixture Identities'!$A$6:$B$1023, 2, FALSE)="U-Tube Fluorescent"), "Y", "N")))</f>
        <v/>
      </c>
      <c r="BU18" s="184" t="str">
        <f>IFERROR(IF(B18="", "", IF(VLOOKUP(J18, 'Fixture Identities'!$A$6:$B$1023, 2, FALSE)="Exit Sign", "Y", "N")), "N")</f>
        <v/>
      </c>
      <c r="BV18" s="184" t="str">
        <f>IF(V18="Exit Signs", IF(VLOOKUP(J18, 'Fixture Identities'!$A$6:$B$1023, 2, FALSE)="Exit Sign", "N", "Y"), "")</f>
        <v/>
      </c>
      <c r="BW18" s="184" t="str">
        <f t="array" ref="BW18">IFERROR(IF(B18="", "", IF(B18="New Construction", "N", INDEX('Lookup Tables'!$AH$6:$AU$102, MATCH(1, ('Lookup Tables'!$AH$6:$AH$102='Lighting Inventory'!V18)*('Lookup Tables'!$AI$6:$AI$102='Lighting Inventory'!W18), 0), 14))), "N")</f>
        <v/>
      </c>
      <c r="BX18" s="598" t="str">
        <f t="shared" si="93"/>
        <v/>
      </c>
      <c r="BY18" s="598" t="str">
        <f t="shared" si="94"/>
        <v/>
      </c>
      <c r="BZ18" s="598" t="str">
        <f t="shared" si="95"/>
        <v/>
      </c>
      <c r="CA18" s="598" t="str">
        <f t="shared" si="101"/>
        <v/>
      </c>
      <c r="CB18" s="269" t="str">
        <f t="shared" si="102"/>
        <v/>
      </c>
      <c r="CC18" s="517" t="str">
        <f t="shared" si="96"/>
        <v/>
      </c>
      <c r="CD18" s="565" t="str">
        <f t="shared" si="11"/>
        <v/>
      </c>
      <c r="CE18" s="368">
        <v>0</v>
      </c>
      <c r="CF18" s="368" t="str" cm="1">
        <f t="array" ref="CF18">IFERROR(IF(V18="Custom", "$0.1 per kWh", IF(B18="New Construction", CONCATENATE("$",INDEX('Lookup Tables'!$AH$114:$AN$154,MATCH(1,('Lookup Tables'!$AH$114:$AH$154='Lighting Inventory'!V18)*('Lookup Tables'!$AI$114:$AI$154='Lighting Inventory'!W18),FALSE),6)," ",INDEX('Lookup Tables'!$AH$114:$AN$154,MATCH(1,('Lookup Tables'!$AH$114:$AH$154='Lighting Inventory'!V18)*('Lookup Tables'!$AI$114:$AI$154='Lighting Inventory'!W18),FALSE),7)), IF(AND(BU18="N", V18="Exit Signs"), "$0.025 per kWh", CONCATENATE("$",INDEX('Lookup Tables'!$AH$6:$AN$102,MATCH(1,('Lookup Tables'!$AH$6:$AH$102='Lighting Inventory'!V18)*('Lookup Tables'!$AI$6:$AI$102='Lighting Inventory'!W18),FALSE),6)," ",INDEX('Lookup Tables'!$AH$6:$AN$102,MATCH(1,('Lookup Tables'!$AH$6:$AH$102='Lighting Inventory'!V18)*('Lookup Tables'!$AI$6:$AI$102='Lighting Inventory'!W18),FALSE),7))))), "")</f>
        <v/>
      </c>
      <c r="CG18" s="580"/>
      <c r="CH18" s="248" t="str">
        <f t="shared" si="170"/>
        <v/>
      </c>
      <c r="CI18" s="248" t="str">
        <f t="shared" si="171"/>
        <v>Select_IE</v>
      </c>
      <c r="CJ18" s="248" t="str">
        <f t="shared" si="172"/>
        <v/>
      </c>
      <c r="CK18" s="248" t="str">
        <f t="shared" si="173"/>
        <v/>
      </c>
      <c r="CL18" s="248" t="str">
        <f t="shared" si="174"/>
        <v/>
      </c>
      <c r="CM18" s="248" t="str">
        <f>IFERROR(IF(B18="", "", IF(B18="New Construction", VLOOKUP(V18, 'Lookup Tables'!$AF$114:$AG$120, 2, FALSE), VLOOKUP(V18, 'Lookup Tables'!$AD$6:$AE$25, 2, FALSE))), "")</f>
        <v/>
      </c>
      <c r="CN18" s="248" t="str">
        <f t="shared" si="175"/>
        <v/>
      </c>
      <c r="CO18" s="248" t="str">
        <f t="shared" si="176"/>
        <v/>
      </c>
      <c r="CP18" s="592" t="str">
        <f t="shared" si="177"/>
        <v/>
      </c>
      <c r="CQ18" s="248" t="str">
        <f t="shared" si="97"/>
        <v/>
      </c>
      <c r="CR18" s="249"/>
      <c r="CS18" s="250" t="str">
        <f t="shared" si="178"/>
        <v/>
      </c>
      <c r="CT18" s="250" t="str">
        <f t="shared" si="179"/>
        <v/>
      </c>
      <c r="CU18" s="250" t="str">
        <f t="shared" si="180"/>
        <v/>
      </c>
      <c r="CV18" s="250" t="str">
        <f t="shared" si="181"/>
        <v/>
      </c>
      <c r="CW18" s="250" t="str">
        <f t="shared" si="182"/>
        <v/>
      </c>
      <c r="CX18" s="250" t="str">
        <f t="shared" si="183"/>
        <v/>
      </c>
      <c r="CY18" s="250" t="str">
        <f t="shared" si="184"/>
        <v/>
      </c>
      <c r="CZ18" s="250" t="str">
        <f t="shared" si="185"/>
        <v/>
      </c>
      <c r="DA18" s="250" t="str">
        <f t="shared" si="186"/>
        <v/>
      </c>
      <c r="DB18" s="250" t="str">
        <f t="shared" si="187"/>
        <v/>
      </c>
      <c r="DC18" s="250" t="str">
        <f t="shared" si="188"/>
        <v/>
      </c>
      <c r="DD18" s="250" t="str">
        <f t="shared" si="189"/>
        <v/>
      </c>
      <c r="DE18" s="250" t="str">
        <f t="shared" si="190"/>
        <v/>
      </c>
      <c r="DF18" s="250" t="str">
        <f t="shared" si="191"/>
        <v/>
      </c>
      <c r="DG18" s="250" t="str">
        <f t="shared" si="192"/>
        <v/>
      </c>
      <c r="DH18" s="250" t="str">
        <f t="shared" si="193"/>
        <v/>
      </c>
      <c r="DI18" s="250" t="str">
        <f t="shared" si="194"/>
        <v/>
      </c>
      <c r="DJ18" s="250" t="str">
        <f t="shared" si="195"/>
        <v/>
      </c>
      <c r="DK18" s="250" t="str">
        <f t="shared" si="196"/>
        <v/>
      </c>
      <c r="DL18" s="250" t="str">
        <f t="shared" si="197"/>
        <v/>
      </c>
      <c r="DM18" s="250" t="str">
        <f>IF(CD18="ERROR", "ERROR", IF(AND(OR(Y18=$DM$6, Y18='Lookup Tables'!$AD$21, Y18='Lookup Tables'!$AD$22), E18="Interior"), BJ18, ""))</f>
        <v/>
      </c>
      <c r="DN18" s="250" t="str">
        <f>IF(CD18="ERROR", "ERROR", IF(AND(OR(Y18=$DM$6, Y18='Lookup Tables'!$AD$21, Y18='Lookup Tables'!$AD$22), E18="Exterior"), BJ18, ""))</f>
        <v/>
      </c>
      <c r="DO18" s="249"/>
      <c r="DP18" s="250" t="str">
        <f t="shared" si="198"/>
        <v/>
      </c>
      <c r="DQ18" s="250" t="str">
        <f t="shared" si="199"/>
        <v/>
      </c>
      <c r="DR18" s="250" t="str">
        <f t="shared" si="200"/>
        <v/>
      </c>
      <c r="DS18" s="250" t="str">
        <f t="shared" si="201"/>
        <v/>
      </c>
      <c r="DT18" s="250" t="str">
        <f t="shared" si="202"/>
        <v/>
      </c>
      <c r="DU18" s="250" t="str">
        <f t="shared" si="203"/>
        <v/>
      </c>
      <c r="DV18" s="250" t="str">
        <f t="shared" si="204"/>
        <v/>
      </c>
      <c r="DW18" s="250" t="str">
        <f t="shared" si="205"/>
        <v/>
      </c>
      <c r="DX18" s="250" t="str">
        <f t="shared" si="206"/>
        <v/>
      </c>
      <c r="DY18" s="250" t="str">
        <f t="shared" si="207"/>
        <v/>
      </c>
      <c r="DZ18" s="250" t="str">
        <f t="shared" si="208"/>
        <v/>
      </c>
      <c r="EA18" s="250" t="str">
        <f t="shared" si="209"/>
        <v/>
      </c>
      <c r="EB18" s="250" t="str">
        <f t="shared" si="210"/>
        <v/>
      </c>
      <c r="EC18" s="250" t="str">
        <f t="shared" si="211"/>
        <v/>
      </c>
      <c r="ED18" s="250" t="str">
        <f t="shared" si="212"/>
        <v/>
      </c>
      <c r="EE18" s="250" t="str">
        <f t="shared" si="213"/>
        <v/>
      </c>
      <c r="EF18" s="250" t="str">
        <f t="shared" si="214"/>
        <v/>
      </c>
      <c r="EG18" s="250" t="str">
        <f t="shared" si="215"/>
        <v/>
      </c>
      <c r="EH18" s="250" t="str">
        <f>IF(CD18="ERROR", "ERROR", IF(AND(OR($EH$6=Y18, Y18='Lookup Tables'!$AD$21, Y18='Lookup Tables'!$AD$22),E18="Interior"), SUM(BP18:BP18), ""))</f>
        <v/>
      </c>
      <c r="EI18" s="250" t="str">
        <f>IF(CD18="ERROR", "ERROR", IF(AND(OR($EH$6=Y18, Y18='Lookup Tables'!$AD$21, Y18='Lookup Tables'!$AD$22),E18="Exterior"), SUM(BP18:BP18), ""))</f>
        <v/>
      </c>
      <c r="EJ18" s="109"/>
      <c r="EK18" s="485" t="str">
        <f t="shared" si="58"/>
        <v/>
      </c>
      <c r="EL18" s="252" t="str">
        <f t="shared" si="216"/>
        <v/>
      </c>
      <c r="EM18" s="252" t="str">
        <f t="shared" si="217"/>
        <v/>
      </c>
      <c r="EN18" s="252" t="str">
        <f t="shared" si="218"/>
        <v/>
      </c>
      <c r="EO18" s="252" t="str">
        <f t="shared" si="219"/>
        <v/>
      </c>
      <c r="EP18" s="252" t="str">
        <f t="shared" si="220"/>
        <v/>
      </c>
      <c r="EQ18" s="252" t="str">
        <f t="shared" si="221"/>
        <v/>
      </c>
      <c r="ER18" s="252" t="str">
        <f t="shared" si="222"/>
        <v/>
      </c>
      <c r="ES18" s="252" t="str">
        <f t="shared" si="223"/>
        <v/>
      </c>
      <c r="ET18" s="252" t="str">
        <f t="shared" si="224"/>
        <v/>
      </c>
      <c r="EU18" s="252" t="str">
        <f t="shared" si="225"/>
        <v/>
      </c>
      <c r="EV18" s="252" t="str">
        <f t="shared" si="226"/>
        <v/>
      </c>
      <c r="EW18" s="252" t="str">
        <f t="shared" si="227"/>
        <v/>
      </c>
      <c r="EX18" s="252" t="str">
        <f t="shared" si="228"/>
        <v/>
      </c>
      <c r="EY18" s="252" t="str">
        <f t="shared" si="229"/>
        <v/>
      </c>
      <c r="EZ18" s="252" t="str">
        <f t="shared" si="230"/>
        <v/>
      </c>
      <c r="FA18" s="252" t="str">
        <f t="shared" si="231"/>
        <v/>
      </c>
      <c r="FB18" s="252" t="str">
        <f t="shared" si="232"/>
        <v/>
      </c>
      <c r="FC18" s="252" t="str">
        <f>IF(CD18="ERROR", "ERROR", IF(OR(V18="No Change", V18="Not DLC or Energy Star"), "", IF(AND(OR($FC$6=Y18,Y18='Lookup Tables'!$AD$21, Y18='Lookup Tables'!$AD$22),E18="Interior"), S18, "")))</f>
        <v/>
      </c>
      <c r="FD18" s="252" t="str">
        <f t="shared" si="233"/>
        <v/>
      </c>
      <c r="FE18" s="1"/>
      <c r="FF18" s="579" t="str" cm="1">
        <f t="array" ref="FF18">IFERROR(IF(OR(BQ18&lt;=0,AQ18&lt;20,AND(V18="Exit Signs",AN18&gt;0)),"",IF(AND(AQ18&gt;=20,AN18='Lookup Tables'!$R$101),'Lookup Tables'!$U$101*BQ18,AP18*LOOKUP(2,1/((AN18='Lookup Tables'!$R$91:$R$111)*(AQ18&gt;='Lookup Tables'!$S$91:$S$111)*(AQ18&lt;='Lookup Tables'!$T$91:$T$111)),'Lookup Tables'!$U$91:$U$111))),"")</f>
        <v/>
      </c>
      <c r="FG18" s="579"/>
      <c r="FH18" s="579"/>
      <c r="FI18" s="253" t="str">
        <f>IFERROR(ROUND(IF(CD18="ERROR", "ERROR", IF(AND($FI$7=X18,E18="Interior"),VLOOKUP(W18, 'Lookup Tables'!$AI$6:$AM$102, 5, FALSE)*BP18, "")), 2), "")</f>
        <v/>
      </c>
      <c r="FJ18" s="253" t="str">
        <f>IFERROR(ROUND(IF(CD18="ERROR", "ERROR", IF(AND($FI$7=X18,E18="Exterior"),VLOOKUP(W18, 'Lookup Tables'!$AI$6:$AM$102, 5, FALSE)*BP18, "")), 2), "")</f>
        <v/>
      </c>
      <c r="FK18" s="253" t="str">
        <f>IFERROR(ROUND(IF(CD18="ERROR", "ERROR", IF(AND($FK$7=X18,E18="Interior"),VLOOKUP(W18, 'Lookup Tables'!$AI$6:$AM$102, 5, FALSE)*BP18, "")), 2), "")</f>
        <v/>
      </c>
      <c r="FL18" s="253" t="str">
        <f>IFERROR(ROUND(IF(CD18="ERROR", "ERROR", IF(AND($FK$7=X18,E18="Exterior"),VLOOKUP(W18, 'Lookup Tables'!$AI$6:$AM$102, 5, FALSE)*BP18, "")), 2), "")</f>
        <v/>
      </c>
      <c r="FM18" s="253" t="str">
        <f>IFERROR(ROUND(IF(CD18="ERROR", "ERROR", IF(AND($FM$6=Y18,E18="Interior"), IF(GB18=0, VLOOKUP(W18, 'Lookup Tables'!$AI$6:$AM$102, 5, FALSE)*BP18, IF(VLOOKUP(W18, 'Lookup Tables'!$AI$6:$AM$102, 5, FALSE)*BP18&gt;GB18*'Lighting Inventory'!S18, GB18*'Lighting Inventory'!S18,VLOOKUP(W18, 'Lookup Tables'!$AI$6:$AM$102, 5, FALSE)*BP18)), "")), 2), "")</f>
        <v/>
      </c>
      <c r="FN18" s="253" t="str">
        <f>IFERROR(ROUND(IF(CD18="ERROR", "ERROR", IF(AND($FM$6=Y18,E18="Exterior"), IF(GB18=0, VLOOKUP(W18, 'Lookup Tables'!$AI$6:$AM$102, 5, FALSE)*BP18, IF(VLOOKUP(W18, 'Lookup Tables'!$AI$6:$AM$102, 5, FALSE)*BP18&gt;GB18*'Lighting Inventory'!S18, GB18*'Lighting Inventory'!S18,VLOOKUP(W18, 'Lookup Tables'!$AI$6:$AM$102, 5, FALSE)*BP18)), "")), 2), "")</f>
        <v/>
      </c>
      <c r="FO18" s="253" t="str">
        <f>IFERROR(ROUND(IF(CD18="ERROR", "ERROR", IF(AND($FO$6=Y18,E18="Interior"),VLOOKUP(W18, 'Lookup Tables'!$AI$6:$AM$102, 5, FALSE)*'Lighting Inventory'!AI18, "")), 2), "")</f>
        <v/>
      </c>
      <c r="FP18" s="253" t="str">
        <f>IFERROR(ROUND(IF(CD18="ERROR", "ERROR", IF(AND($FO$6=Y18,E18="Exterior"),VLOOKUP(W18, 'Lookup Tables'!$AI$6:$AM$102, 5, FALSE)*'Lighting Inventory'!AI18, "")), 2), "")</f>
        <v/>
      </c>
      <c r="FQ18" s="253" t="str">
        <f>IFERROR(ROUND(IF(CD18="ERROR", "ERROR", IF(AND($FQ$6=Y18,E18="Interior", BU18="Y"), VLOOKUP('Lighting Inventory'!W18, 'Lookup Tables'!$AI$6:$AM$102, 5, FALSE)*'Lighting Inventory'!S18, IF(AND($FQ$7=Y18,E18="Interior", BU18="N"), 0.025*CD18, ""))), 2), "")</f>
        <v/>
      </c>
      <c r="FR18" s="253" t="str">
        <f>IFERROR(ROUND(IF(CD18="ERROR", "ERROR", IF(AND($FQ$6=Y18,E18="Exterior"), VLOOKUP('Lighting Inventory'!W18, 'Lookup Tables'!$AI$6:$AM$102, 5, FALSE)*'Lighting Inventory'!S18, "")), 2), "")</f>
        <v/>
      </c>
      <c r="FS18" s="253" t="str">
        <f>IFERROR(ROUND(IF(CD18="ERROR", "ERROR", IF(AND($FS$6=Y18,E18="Exterior"), IF(GB18=0, VLOOKUP(W18, 'Lookup Tables'!$AI$6:$AM$102, 5, FALSE)*BP18, IF(VLOOKUP(W18, 'Lookup Tables'!$AI$6:$AM$102, 5, FALSE)*BP18&gt;GB18*'Lighting Inventory'!S18, GB18*'Lighting Inventory'!S18,VLOOKUP(W18, 'Lookup Tables'!$AI$6:$AM$102, 5, FALSE)*BP18)), "")), 2), "")</f>
        <v/>
      </c>
      <c r="FT18" s="253" t="str">
        <f>IFERROR(ROUND(IF(CD18="ERROR", "ERROR", IF(AND($FT$6=Y18,E18="Interior"), IF(GB18=0, VLOOKUP(W18, 'Lookup Tables'!$AI$6:$AM$102, 5, FALSE)*BP18, IF(VLOOKUP(W18, 'Lookup Tables'!$AI$6:$AM$102, 5, FALSE)*BP18&gt;GB18*'Lighting Inventory'!S18, GB18*'Lighting Inventory'!S18,VLOOKUP(W18, 'Lookup Tables'!$AI$6:$AM$102, 5, FALSE)*BP18)), "")), 2), "")</f>
        <v/>
      </c>
      <c r="FU18" s="253" t="str">
        <f>IFERROR(ROUND(IF(CD18="ERROR", "ERROR", IF(AND(Y18=$FU$6, E18="Interior"), IF(BS18="N", 'Lookup Tables'!$AM$101*BP18, VLOOKUP(W18, 'Lookup Tables'!$AI$6:$AM$102, 5, FALSE)*S18*AD18), "")), 2), "")</f>
        <v/>
      </c>
      <c r="FV18" s="253" t="str">
        <f>IFERROR(ROUND(IF(CD18="ERROR", "ERROR", IF(AND(Y18=$FU$6, E18="Exterior"), IF(BS18="N", 'Lookup Tables'!$AM$101*BP18, VLOOKUP(W18, 'Lookup Tables'!$AI$6:$AM$102, 5, FALSE)*S18*AD18), "")), 2), "")</f>
        <v/>
      </c>
      <c r="FW18" s="253" t="str">
        <f>IFERROR(ROUND(IF(CD18="ERROR", "ERROR", IF($FW$6=Y18, IF(BS18="N", 'Lookup Tables'!$AM$101*BP18, MIN((VLOOKUP(W18, 'Lookup Tables'!$AI$6:$AM$102, 5, FALSE)*BP18),GB18*AJ18)), "")), 2), "")</f>
        <v/>
      </c>
      <c r="FX18" s="253" t="str">
        <f>IFERROR(ROUND(IF(CD18="ERROR", "ERROR", IF(AND($FX$6=Y18, E18="Interior"), IF(VLOOKUP(W18, 'Lookup Tables'!$AI$6:$AM$102, 5, FALSE)*BP18&gt;'Lookup Tables'!$AQ$97*'Lighting Inventory'!S18,'Lighting Inventory'!S18*'Lookup Tables'!$AQ$97,VLOOKUP(W18, 'Lookup Tables'!$AI$6:$AM$102, 5, FALSE)*BP18), "")), 2), "")</f>
        <v/>
      </c>
      <c r="FY18" s="253" t="str">
        <f>IFERROR(ROUND(IF(CD18="ERROR", "ERROR", IF(AND($FX$6=Y18, E18="Exterior"), IF(VLOOKUP(W18, 'Lookup Tables'!$AI$6:$AM$102, 5, FALSE)*BP18&gt;'Lookup Tables'!$AQ$97*'Lighting Inventory'!S18,'Lighting Inventory'!S18*'Lookup Tables'!$AQ$97,VLOOKUP(W18, 'Lookup Tables'!$AI$6:$AM$102, 5, FALSE)*BP18), "")), 2), "")</f>
        <v/>
      </c>
      <c r="FZ18" s="253" t="str">
        <f>IFERROR(ROUND(IF(CD18="ERROR", "ERROR", IF(AND($FZ$6=Y18, E18="Interior"), IF(AND(OR(W18="Refrigerated Case Lighting with Doors", W18="Freezer Case Lighting"),Y18="Custom - Process Improvement"),CD18*'Lookup Tables'!$AM$101, IF(B18="Retrofit", IF(VLOOKUP(IF(V18="Custom", V18, W18), 'Lookup Tables'!$AI$6:$AM$102, 5, FALSE)*BP18&gt;GE18, GE18, VLOOKUP(IF(V18="Custom", V18, W18), 'Lookup Tables'!$AI$6:$AM$102, 5, FALSE)*BP18), IF(VLOOKUP(IF(V18="Custom", V18, W18), 'Lookup Tables'!$AI$114:$AM$154, 5, FALSE)*BP18&gt;GE18, GE18, VLOOKUP(IF(V18="Custom", V18, W18), 'Lookup Tables'!$AI$114:$AM$154, 5, FALSE)*BP18))), "")), 2),"")</f>
        <v/>
      </c>
      <c r="GA18" s="253" t="str">
        <f>IFERROR(ROUND(IF(CD18="ERROR", "ERROR", IF(AND($FZ$6=Y18, E18="Exterior"), IF(B18="Retrofit", IF(VLOOKUP(IF(V18="Custom", V18, W18), 'Lookup Tables'!$AI$6:$AM$102, 5, FALSE)*BP18&gt;GE18, GE18, VLOOKUP(IF(V18="Custom", V18, W18), 'Lookup Tables'!$AI$6:$AM$102, 5, FALSE)*BP18), IF(VLOOKUP(IF(V18="Custom", V18, W18), 'Lookup Tables'!$AI$114:$AM$154, 5, FALSE)*BP18&gt;GE18, GE18, VLOOKUP(IF(V18="Custom", V18, W18), 'Lookup Tables'!$AI$114:$AM$154, 5, FALSE)*BP18)), "")), 2),"")</f>
        <v/>
      </c>
      <c r="GB18" s="254" t="str">
        <f t="array" ref="GB18">IF(B18="","",IF(OR(V18="Custom",V18="No Change"),0,IF(B18="Retrofit", INDEX('Lookup Tables'!$AH$6:$AQ$102,MATCH(1,('Lookup Tables'!$AH$6:$AH$102='Lighting Inventory'!V18)*('Lookup Tables'!$AI$6:$AI$102='Lighting Inventory'!W18),FALSE),10),INDEX('Lookup Tables'!$AH$114:$AQ$154,MATCH(1,('Lookup Tables'!$AH$114:$AH$154='Lighting Inventory'!V18)*('Lookup Tables'!$AI$114:$AI$154='Lighting Inventory'!W18),FALSE),10))))</f>
        <v/>
      </c>
      <c r="GC18" s="255" t="str">
        <f t="shared" si="77"/>
        <v/>
      </c>
      <c r="GD18" s="250" t="str">
        <f t="shared" si="78"/>
        <v/>
      </c>
      <c r="GE18" s="253" t="str">
        <f>IFERROR(IF(AND(AF18="", 'General Information'!$F$18="No"),"", IF(AF18="", ((GD18/$CD$266)*$CF$266)*0.5, AF18*S18*0.5)), "")</f>
        <v/>
      </c>
      <c r="GF18" s="255" t="str">
        <f>IF(AND('General Information'!$F$19="", 'General Information'!$F$18="Yes",AF18="",BW18="Y"), "Y", "N")</f>
        <v>N</v>
      </c>
      <c r="GG18" s="255" t="s">
        <v>2946</v>
      </c>
      <c r="GH18" s="255" t="str">
        <f>IFERROR(IF(B18="", "", VLOOKUP(J18, 'Fixture Identities'!$A$6:$N$908, 14, FALSE)), "")</f>
        <v/>
      </c>
      <c r="GI18" s="389" t="str">
        <f>IF(OR(B18="", V18="", W18=""), "", IF(AND(OR(M18='Lookup Tables'!$R$18, M18='Lookup Tables'!$R$19, M18='Lookup Tables'!$R$20, M18='Lookup Tables'!$R$21, M18='Lookup Tables'!$R$22), OR(AN18='Lookup Tables'!$R$17, AN18='Lookup Tables'!$R$17, AN18="")), "Y", "N"))</f>
        <v/>
      </c>
      <c r="GJ18" s="255" t="str">
        <f t="shared" si="79"/>
        <v/>
      </c>
      <c r="GK18" s="255" t="str">
        <f t="shared" si="80"/>
        <v/>
      </c>
      <c r="GL18" s="255" t="str">
        <f t="shared" si="81"/>
        <v/>
      </c>
      <c r="GM18" s="255" t="str">
        <f>IF(AN18="", "", IF(AND(IF(ISNA(VLOOKUP(AN18,'Lookup Tables'!$R$18:$R$22,1,FALSE)), "N", "Y")="Y", E18="Exterior"), "Y", "N"))</f>
        <v/>
      </c>
      <c r="GN18" s="395"/>
      <c r="GO18" s="428">
        <f t="shared" si="98"/>
        <v>0</v>
      </c>
      <c r="GP18" s="428">
        <f t="shared" si="167"/>
        <v>0</v>
      </c>
      <c r="GQ18" s="428">
        <f t="shared" si="99"/>
        <v>0</v>
      </c>
      <c r="GR18" s="428">
        <f t="shared" si="100"/>
        <v>0</v>
      </c>
    </row>
    <row r="19" spans="1:200" s="103" customFormat="1" ht="13.5" customHeight="1" x14ac:dyDescent="0.2">
      <c r="A19" s="272">
        <v>9</v>
      </c>
      <c r="B19" s="110"/>
      <c r="C19" s="110"/>
      <c r="D19" s="110"/>
      <c r="E19" s="110"/>
      <c r="F19" s="110"/>
      <c r="G19" s="110"/>
      <c r="H19" s="110"/>
      <c r="I19" s="29"/>
      <c r="J19" s="29"/>
      <c r="K19" s="272" t="str">
        <f>IFERROR(IF(OR(VLOOKUP(J19, 'Fixture Identities'!$A$6:$L$1023, 3, FALSE)="T12 Linear Fluorescent", VLOOKUP(J19, 'Fixture Identities'!$A$6:$L$1023, 3, FALSE)="T12 U-Tube Fluorescent"), VLOOKUP(VLOOKUP(J19, 'Fixture Identities'!$A$6:$L$1023, 11, FALSE), 'Fixture Identities'!$A$6:$L$1023, 10, FALSE), VLOOKUP(J19, 'Fixture Identities'!$A$6:$L$1023, 10, FALSE)), "")</f>
        <v/>
      </c>
      <c r="L19" s="270" t="str">
        <f t="shared" si="169"/>
        <v/>
      </c>
      <c r="M19" s="110"/>
      <c r="N19" s="110"/>
      <c r="O19" s="110"/>
      <c r="P19" s="272" t="str">
        <f>IFERROR(IF(OR(B19="Retrofit",B19=""),"",IF('Lighting Inventory'!E19="Exterior",VLOOKUP('Lighting Inventory'!N19,'Lookup Tables'!$B$83:$F$103,5,FALSE),IF(N19="Other - Please Estimate EFLH and CFs","Contact Prog. Rep.","ft^2"))), "")</f>
        <v/>
      </c>
      <c r="Q19" s="270" t="str">
        <f>IFERROR(IF(AND(B19="New Construction",E19="Interior",$F$5="Space-by-Space"),VLOOKUP('Lighting Inventory'!N19,'Lookup Tables'!$N$6:$O$97,2,FALSE),IF(AND(B19="New Construction",E19="Exterior"),VLOOKUP(N19,'Lookup Tables'!$B$83:$F$103,2,FALSE),IF(AND(B19="New Construction",'Lighting Inventory'!E19="Interior", $F$5="Building Area"),VLOOKUP(F19,'Lookup Tables'!$A$6:$J$59,10,FALSE),""))), "")</f>
        <v/>
      </c>
      <c r="R19" s="270" t="str">
        <f>IFERROR(IF(P19="Contact Prog. Rep.", "ERROR", IF(OR(B19="",B19="Retrofit"),"",IF(N19="Automated teller machines", ('Lookup Tables'!$A$82:$E$100+('Lighting Inventory'!O19-1)*'Lookup Tables'!$A$82:$E$100)/1000, (Q19*O19)/1000))), "")</f>
        <v/>
      </c>
      <c r="S19" s="595"/>
      <c r="T19" s="105" t="str">
        <f t="shared" si="83"/>
        <v/>
      </c>
      <c r="U19" s="105" t="str">
        <f>IF(S19="","",COUNT($S$11:S19))</f>
        <v/>
      </c>
      <c r="V19" s="111"/>
      <c r="W19" s="112"/>
      <c r="X19" s="105" t="str">
        <f t="shared" si="84"/>
        <v/>
      </c>
      <c r="Y19" s="105" t="str">
        <f t="array" ref="Y19">IF(AND(OR(W19="Freezer Case Lighting", W19="Refrigerated Case Lighting with Doors"), 'General Information'!$X$18="LCI"),'Lookup Tables'!$Y$34, IF(V19="Custom", VLOOKUP(W19, 'Fixture Identities'!$A$974:$M$1023, 13, FALSE), IF(V19="No Change",'Lookup Tables'!$Y$29,IF(OR(V19="",W19=""),"",IF(AND(S19=0,S19&lt;I19,B19="Retrofit"),'Lookup Tables'!$Y$25, IF(B19="Retrofit", INDEX('Lookup Tables'!$AH$6:$AP$102, MATCH(1, ('Lookup Tables'!$AH$6:$AH$102=V19)*('Lookup Tables'!$AI$6:$AI$102=W19), 0), IF('Lighting Inventory'!E19="Interior", 4, 5)), INDEX('Lookup Tables'!$AH$114:$AP$154, MATCH(1, ('Lookup Tables'!$AH$114:$AH$154=V19)*('Lookup Tables'!$AI$114:$AI$154=W19), 0), IF('Lighting Inventory'!E19="Interior", 4, 5))))))))</f>
        <v/>
      </c>
      <c r="Z19" s="105" t="str">
        <f>IFERROR(INDEX('Lookup Tables'!$AH$158:$AH$172,MATCH('Lighting Inventory'!Y19,'Lookup Tables'!$AI$158:$AI$172,0)),"")</f>
        <v/>
      </c>
      <c r="AA19" s="105" t="str">
        <f>IF(AP19&gt;0,INDEX('Lookup Tables'!$AK$158:$AK$172,MATCH('Lighting Inventory'!Y19,'Lookup Tables'!$AI$158:$AI$172,0)),'Lighting Inventory'!Y19)</f>
        <v/>
      </c>
      <c r="AB19" s="105" t="str">
        <f t="array" ref="AB19">IF(V19="Custom", "Custom", IF(V19="", "", IF(V19="Not DLC or Energy Star", "General", IF(B19="New Construction", INDEX('Lookup Tables'!$AH$114:$AP$154,MATCH(1,('Lookup Tables'!$AH$114:$AH$154='Lighting Inventory'!V19)*('Lookup Tables'!$AI$114:$AI$154='Lighting Inventory'!W19),FALSE),8), INDEX('Lookup Tables'!$AH$6:$AP$102,MATCH(1,('Lookup Tables'!$AH$6:$AH$102='Lighting Inventory'!V19)*('Lookup Tables'!$AI$6:$AI$102='Lighting Inventory'!W19),FALSE),8)))))</f>
        <v/>
      </c>
      <c r="AC19" s="272" t="str">
        <f>IF(W19="","",IF(V19="Custom",CONCATENATE("$",'Lookup Tables'!$AM$101," ",'Lookup Tables'!$AN$101),CONCATENATE("$",INDEX('Lookup Tables'!$AM$6:$AM$102,MATCH('Lighting Inventory'!W19,'Lookup Tables'!$AI$6:$AI$102,0))," ",INDEX('Lookup Tables'!$AN$6:$AN$102,MATCH('Lighting Inventory'!W19,'Lookup Tables'!$AI$6:$AI$102,0)))))</f>
        <v/>
      </c>
      <c r="AD19" s="72"/>
      <c r="AE19" s="29"/>
      <c r="AF19" s="379"/>
      <c r="AG19" s="370" t="str">
        <f t="shared" si="2"/>
        <v/>
      </c>
      <c r="AH19" s="370" t="str">
        <f t="shared" si="85"/>
        <v/>
      </c>
      <c r="AI19" s="29"/>
      <c r="AJ19" s="29"/>
      <c r="AK19" s="110"/>
      <c r="AL19" s="375" t="str">
        <f>IF(OR(B19="", V19="", W19=""), "", IF(V19="No Change", K19, IF(V19="Remove Fixture", 0, IF(V19="Custom",VLOOKUP(W19,'Fixture Identities'!$A$6:$K$1023,10,FALSE),IF(AE19="", "← ENTER POST WATTS", 'Lighting Inventory'!AE19)))))</f>
        <v/>
      </c>
      <c r="AM19" s="376" t="str">
        <f t="shared" si="3"/>
        <v/>
      </c>
      <c r="AN19" s="29"/>
      <c r="AO19" s="671"/>
      <c r="AP19" s="29"/>
      <c r="AQ19" s="29"/>
      <c r="AR19" s="29"/>
      <c r="AS19" s="272" t="str">
        <f t="shared" si="4"/>
        <v/>
      </c>
      <c r="AT19" s="270" t="str">
        <f t="shared" si="5"/>
        <v/>
      </c>
      <c r="AU19" s="88" t="str">
        <f t="shared" si="6"/>
        <v/>
      </c>
      <c r="AV19" s="29"/>
      <c r="AW19" s="73"/>
      <c r="AX19" s="271" t="str">
        <f>IF(AND(AV19="Applicant",OR(AW19="", AW19="Use Default Facility Hours")),"← Choose Schedule",IF(F19="","",IF(W19="LED Exit Signs",8760,IF(OR(AV19="Prescribed",AV19=""),VLOOKUP(F19,'Lookup Tables'!$A$6:$G$59,IF(AB19="General", 6, 3),FALSE),VLOOKUP(AW19,'Lookup Tables'!$S$36:$U$43,2,FALSE)))))</f>
        <v/>
      </c>
      <c r="AY19" s="88" t="str">
        <f t="shared" si="7"/>
        <v/>
      </c>
      <c r="AZ19" s="270" t="str">
        <f>IFERROR(IF(F19="", "", IF(W19="LED Exit Signs", 1, IF(AV19="Applicant",VLOOKUP(AW19, 'Lookup Tables'!$S$36:$U$43,3, FALSE), VLOOKUP('Lighting Inventory'!F19, 'Lookup Tables'!$A$6:$H$59, IF('Lighting Inventory'!AB19="General",7,4), FALSE)))), "")</f>
        <v/>
      </c>
      <c r="BA19" s="522" t="str">
        <f>IFERROR(IF(F19="", "", IF(W19="LED Exit Signs", 1, VLOOKUP('Lighting Inventory'!F19, 'Lookup Tables'!$A$6:$H$59, IF('Lighting Inventory'!AB19="General",8,5), FALSE))), "")</f>
        <v/>
      </c>
      <c r="BB19" s="270" t="str">
        <f>IF(G19="", "", IF(E19="Exterior", 0, IF('Lighting Inventory'!G19="Air Conditioned", VLOOKUP(H19, 'Lookup Tables'!$R$6:$T$13, 2, FALSE), VLOOKUP('Lighting Inventory'!G19, 'Lookup Tables'!$R$6:$T$13, 2, FALSE))))</f>
        <v/>
      </c>
      <c r="BC19" s="522" t="str">
        <f>IF(G19="", "", IF(E19="Exterior", 0, IF('Lighting Inventory'!G19="Air Conditioned", VLOOKUP(H19, 'Lookup Tables'!$R$6:$T$13, 3, FALSE), VLOOKUP('Lighting Inventory'!G19, 'Lookup Tables'!$R$6:$T$13, 3, FALSE))))</f>
        <v/>
      </c>
      <c r="BD19" s="270" t="str">
        <f>IF(G19="", "", IF(E19="Exterior", 0, IF('Lighting Inventory'!G19="Air Conditioned", VLOOKUP(H19, 'Lookup Tables'!$R$6:$U$13, 4, FALSE), VLOOKUP('Lighting Inventory'!G19, 'Lookup Tables'!$R$6:$U$13, 4, FALSE))))</f>
        <v/>
      </c>
      <c r="BE19" s="270" t="str">
        <f>IFERROR(IF(B19="", "",  IF(B19="New Construction", VLOOKUP(F19, 'Lookup Tables'!$A$6:$K$59, 11, FALSE),IF(OR(AN19="", AN19="Light Switch"), 0, IF(OR(M19="",M19="None",V19= "LED Exit Signs"),0,_xlfn.XLOOKUP(M19,'Lookup Tables'!$R$91:$R$101,'Lookup Tables'!$V$91:$V$101))))), "")</f>
        <v/>
      </c>
      <c r="BF19" s="270" t="str">
        <f>IF(AND(OR(AN19="Light Switch",AN19=""),B19="New Construction"), VLOOKUP(F19, 'Lookup Tables'!$A$6:$K$59, 11, FALSE),IF(AN19="","",IF(B19="","",IF(OR(AN19="None",AN19="",V19="LED Exit Signs",AN19="Exterior Controls Not Eligible"),0,_xlfn.XLOOKUP(AN19,'Lookup Tables'!$R$91:$R$101,'Lookup Tables'!$V$91:$V$101)))))</f>
        <v/>
      </c>
      <c r="BG19" s="88" t="str">
        <f t="shared" si="86"/>
        <v/>
      </c>
      <c r="BH19" s="88" t="str">
        <f t="shared" si="87"/>
        <v/>
      </c>
      <c r="BI19" s="558" t="str">
        <f t="shared" si="168"/>
        <v/>
      </c>
      <c r="BJ19" s="560" t="str">
        <f t="shared" si="88"/>
        <v/>
      </c>
      <c r="BK19" s="560" t="str">
        <f t="shared" si="89"/>
        <v/>
      </c>
      <c r="BL19" s="559" t="str">
        <f t="shared" si="90"/>
        <v/>
      </c>
      <c r="BM19" s="521" t="str">
        <f t="shared" si="8"/>
        <v/>
      </c>
      <c r="BN19" s="521" t="str">
        <f t="shared" si="9"/>
        <v/>
      </c>
      <c r="BO19" s="522" t="str">
        <f t="shared" si="10"/>
        <v/>
      </c>
      <c r="BP19" s="83" t="str">
        <f t="shared" si="91"/>
        <v/>
      </c>
      <c r="BQ19" s="84" t="str">
        <f t="shared" si="92"/>
        <v/>
      </c>
      <c r="BR19" s="184" t="str">
        <f>IFERROR(IF(B19="", "", IF(OR(VLOOKUP(J19, 'Fixture Identities'!$A$6:$L$1023, 3, FALSE)="T12 Linear Fluorescent",VLOOKUP(J19, 'Fixture Identities'!$A$6:$L$1023, 3, FALSE)="T12 U-Tube Fluorescent"), "Y", "N")), "N")</f>
        <v/>
      </c>
      <c r="BS19" s="184" t="str">
        <f t="array" ref="BS19">IFERROR(IF(OR(B19="", V19="", W19=""), "", IF(V19="Custom", "N", IF(OR(W19="Freezer Case Lighting", W19="Refrigerated Case Lighting with Doors"), BT19, IF(B19="Retrofit", INDEX('Lookup Tables'!$AH$6:$AT$102,MATCH(1,('Lookup Tables'!$AH$6:$AH$102=V19)*('Lookup Tables'!$AI$6:$AI$102=W19),FALSE),IF(VLOOKUP(J19, 'Fixture Identities'!$A$6:$B$1023, 2, FALSE)="Incandescent",12, 13)), INDEX('Lookup Tables'!$AH$114:$AS$154,MATCH(1,('Lookup Tables'!$AH$114:$AH$154=V19)*('Lookup Tables'!$AI$114:$AI$154=W19),FALSE),12))))), "N")</f>
        <v/>
      </c>
      <c r="BT19" s="184" t="str">
        <f>IF(J19="", "", IF(AND(OR(W19="Freezer case Lighting", W19="Refrigerated Case Lighting with Doors"),'General Information'!$X$18="LCI"), "N", IF(OR(VLOOKUP(J19, 'Fixture Identities'!$A$6:$B$1023, 2, FALSE)="T12 EPACT/EISA Baseline", VLOOKUP(J19, 'Fixture Identities'!$A$6:$B$1023, 2, FALSE)="Linear Fluorescent", VLOOKUP(J19, 'Fixture Identities'!$A$6:$B$1023, 2, FALSE)="U-Tube Fluorescent"), "Y", "N")))</f>
        <v/>
      </c>
      <c r="BU19" s="184" t="str">
        <f>IFERROR(IF(B19="", "", IF(VLOOKUP(J19, 'Fixture Identities'!$A$6:$B$1023, 2, FALSE)="Exit Sign", "Y", "N")), "N")</f>
        <v/>
      </c>
      <c r="BV19" s="184" t="str">
        <f>IF(V19="Exit Signs", IF(VLOOKUP(J19, 'Fixture Identities'!$A$6:$B$1023, 2, FALSE)="Exit Sign", "N", "Y"), "")</f>
        <v/>
      </c>
      <c r="BW19" s="184" t="str">
        <f t="array" ref="BW19">IFERROR(IF(B19="", "", IF(B19="New Construction", "N", INDEX('Lookup Tables'!$AH$6:$AU$102, MATCH(1, ('Lookup Tables'!$AH$6:$AH$102='Lighting Inventory'!V19)*('Lookup Tables'!$AI$6:$AI$102='Lighting Inventory'!W19), 0), 14))), "N")</f>
        <v/>
      </c>
      <c r="BX19" s="598" t="str">
        <f t="shared" si="93"/>
        <v/>
      </c>
      <c r="BY19" s="598" t="str">
        <f t="shared" si="94"/>
        <v/>
      </c>
      <c r="BZ19" s="598" t="str">
        <f t="shared" si="95"/>
        <v/>
      </c>
      <c r="CA19" s="598" t="str">
        <f t="shared" si="101"/>
        <v/>
      </c>
      <c r="CB19" s="269" t="str">
        <f t="shared" si="102"/>
        <v/>
      </c>
      <c r="CC19" s="517" t="str">
        <f t="shared" si="96"/>
        <v/>
      </c>
      <c r="CD19" s="565" t="str">
        <f t="shared" si="11"/>
        <v/>
      </c>
      <c r="CE19" s="368">
        <v>0</v>
      </c>
      <c r="CF19" s="368" t="str" cm="1">
        <f t="array" ref="CF19">IFERROR(IF(V19="Custom", "$0.1 per kWh", IF(B19="New Construction", CONCATENATE("$",INDEX('Lookup Tables'!$AH$114:$AN$154,MATCH(1,('Lookup Tables'!$AH$114:$AH$154='Lighting Inventory'!V19)*('Lookup Tables'!$AI$114:$AI$154='Lighting Inventory'!W19),FALSE),6)," ",INDEX('Lookup Tables'!$AH$114:$AN$154,MATCH(1,('Lookup Tables'!$AH$114:$AH$154='Lighting Inventory'!V19)*('Lookup Tables'!$AI$114:$AI$154='Lighting Inventory'!W19),FALSE),7)), IF(AND(BU19="N", V19="Exit Signs"), "$0.025 per kWh", CONCATENATE("$",INDEX('Lookup Tables'!$AH$6:$AN$102,MATCH(1,('Lookup Tables'!$AH$6:$AH$102='Lighting Inventory'!V19)*('Lookup Tables'!$AI$6:$AI$102='Lighting Inventory'!W19),FALSE),6)," ",INDEX('Lookup Tables'!$AH$6:$AN$102,MATCH(1,('Lookup Tables'!$AH$6:$AH$102='Lighting Inventory'!V19)*('Lookup Tables'!$AI$6:$AI$102='Lighting Inventory'!W19),FALSE),7))))), "")</f>
        <v/>
      </c>
      <c r="CG19" s="580"/>
      <c r="CH19" s="248" t="str">
        <f t="shared" si="170"/>
        <v/>
      </c>
      <c r="CI19" s="248" t="str">
        <f t="shared" si="171"/>
        <v>Select_IE</v>
      </c>
      <c r="CJ19" s="248" t="str">
        <f t="shared" si="172"/>
        <v/>
      </c>
      <c r="CK19" s="248" t="str">
        <f t="shared" si="173"/>
        <v/>
      </c>
      <c r="CL19" s="248" t="str">
        <f t="shared" si="174"/>
        <v/>
      </c>
      <c r="CM19" s="248" t="str">
        <f>IFERROR(IF(B19="", "", IF(B19="New Construction", VLOOKUP(V19, 'Lookup Tables'!$AF$114:$AG$120, 2, FALSE), VLOOKUP(V19, 'Lookup Tables'!$AD$6:$AE$25, 2, FALSE))), "")</f>
        <v/>
      </c>
      <c r="CN19" s="248" t="str">
        <f t="shared" si="175"/>
        <v/>
      </c>
      <c r="CO19" s="248" t="str">
        <f t="shared" si="176"/>
        <v/>
      </c>
      <c r="CP19" s="592" t="str">
        <f t="shared" si="177"/>
        <v/>
      </c>
      <c r="CQ19" s="248" t="str">
        <f t="shared" si="97"/>
        <v/>
      </c>
      <c r="CR19" s="100"/>
      <c r="CS19" s="250" t="str">
        <f t="shared" si="178"/>
        <v/>
      </c>
      <c r="CT19" s="250" t="str">
        <f t="shared" si="179"/>
        <v/>
      </c>
      <c r="CU19" s="250" t="str">
        <f t="shared" si="180"/>
        <v/>
      </c>
      <c r="CV19" s="250" t="str">
        <f t="shared" si="181"/>
        <v/>
      </c>
      <c r="CW19" s="250" t="str">
        <f t="shared" si="182"/>
        <v/>
      </c>
      <c r="CX19" s="250" t="str">
        <f t="shared" si="183"/>
        <v/>
      </c>
      <c r="CY19" s="250" t="str">
        <f t="shared" si="184"/>
        <v/>
      </c>
      <c r="CZ19" s="250" t="str">
        <f t="shared" si="185"/>
        <v/>
      </c>
      <c r="DA19" s="250" t="str">
        <f t="shared" si="186"/>
        <v/>
      </c>
      <c r="DB19" s="250" t="str">
        <f t="shared" si="187"/>
        <v/>
      </c>
      <c r="DC19" s="250" t="str">
        <f t="shared" si="188"/>
        <v/>
      </c>
      <c r="DD19" s="250" t="str">
        <f t="shared" si="189"/>
        <v/>
      </c>
      <c r="DE19" s="250" t="str">
        <f t="shared" si="190"/>
        <v/>
      </c>
      <c r="DF19" s="250" t="str">
        <f t="shared" si="191"/>
        <v/>
      </c>
      <c r="DG19" s="250" t="str">
        <f t="shared" si="192"/>
        <v/>
      </c>
      <c r="DH19" s="250" t="str">
        <f t="shared" si="193"/>
        <v/>
      </c>
      <c r="DI19" s="250" t="str">
        <f t="shared" si="194"/>
        <v/>
      </c>
      <c r="DJ19" s="250" t="str">
        <f t="shared" si="195"/>
        <v/>
      </c>
      <c r="DK19" s="250" t="str">
        <f t="shared" si="196"/>
        <v/>
      </c>
      <c r="DL19" s="250" t="str">
        <f t="shared" si="197"/>
        <v/>
      </c>
      <c r="DM19" s="250" t="str">
        <f>IF(CD19="ERROR", "ERROR", IF(AND(OR(Y19=$DM$6, Y19='Lookup Tables'!$AD$21, Y19='Lookup Tables'!$AD$22), E19="Interior"), BJ19, ""))</f>
        <v/>
      </c>
      <c r="DN19" s="250" t="str">
        <f>IF(CD19="ERROR", "ERROR", IF(AND(OR(Y19=$DM$6, Y19='Lookup Tables'!$AD$21, Y19='Lookup Tables'!$AD$22), E19="Exterior"), BJ19, ""))</f>
        <v/>
      </c>
      <c r="DO19" s="100"/>
      <c r="DP19" s="250" t="str">
        <f t="shared" si="198"/>
        <v/>
      </c>
      <c r="DQ19" s="250" t="str">
        <f t="shared" si="199"/>
        <v/>
      </c>
      <c r="DR19" s="250" t="str">
        <f t="shared" si="200"/>
        <v/>
      </c>
      <c r="DS19" s="250" t="str">
        <f t="shared" si="201"/>
        <v/>
      </c>
      <c r="DT19" s="250" t="str">
        <f t="shared" si="202"/>
        <v/>
      </c>
      <c r="DU19" s="250" t="str">
        <f t="shared" si="203"/>
        <v/>
      </c>
      <c r="DV19" s="250" t="str">
        <f t="shared" si="204"/>
        <v/>
      </c>
      <c r="DW19" s="250" t="str">
        <f t="shared" si="205"/>
        <v/>
      </c>
      <c r="DX19" s="250" t="str">
        <f t="shared" si="206"/>
        <v/>
      </c>
      <c r="DY19" s="250" t="str">
        <f t="shared" si="207"/>
        <v/>
      </c>
      <c r="DZ19" s="250" t="str">
        <f t="shared" si="208"/>
        <v/>
      </c>
      <c r="EA19" s="250" t="str">
        <f t="shared" si="209"/>
        <v/>
      </c>
      <c r="EB19" s="250" t="str">
        <f t="shared" si="210"/>
        <v/>
      </c>
      <c r="EC19" s="250" t="str">
        <f t="shared" si="211"/>
        <v/>
      </c>
      <c r="ED19" s="250" t="str">
        <f t="shared" si="212"/>
        <v/>
      </c>
      <c r="EE19" s="250" t="str">
        <f t="shared" si="213"/>
        <v/>
      </c>
      <c r="EF19" s="250" t="str">
        <f t="shared" si="214"/>
        <v/>
      </c>
      <c r="EG19" s="250" t="str">
        <f t="shared" si="215"/>
        <v/>
      </c>
      <c r="EH19" s="250" t="str">
        <f>IF(CD19="ERROR", "ERROR", IF(AND(OR($EH$6=Y19, Y19='Lookup Tables'!$AD$21, Y19='Lookup Tables'!$AD$22),E19="Interior"), SUM(BP19:BP19), ""))</f>
        <v/>
      </c>
      <c r="EI19" s="250" t="str">
        <f>IF(CD19="ERROR", "ERROR", IF(AND(OR($EH$6=Y19, Y19='Lookup Tables'!$AD$21, Y19='Lookup Tables'!$AD$22),E19="Exterior"), SUM(BP19:BP19), ""))</f>
        <v/>
      </c>
      <c r="EJ19" s="109"/>
      <c r="EK19" s="485" t="str">
        <f t="shared" si="58"/>
        <v/>
      </c>
      <c r="EL19" s="252" t="str">
        <f t="shared" si="216"/>
        <v/>
      </c>
      <c r="EM19" s="252" t="str">
        <f t="shared" si="217"/>
        <v/>
      </c>
      <c r="EN19" s="252" t="str">
        <f t="shared" si="218"/>
        <v/>
      </c>
      <c r="EO19" s="252" t="str">
        <f t="shared" si="219"/>
        <v/>
      </c>
      <c r="EP19" s="252" t="str">
        <f t="shared" si="220"/>
        <v/>
      </c>
      <c r="EQ19" s="252" t="str">
        <f t="shared" si="221"/>
        <v/>
      </c>
      <c r="ER19" s="252" t="str">
        <f t="shared" si="222"/>
        <v/>
      </c>
      <c r="ES19" s="252" t="str">
        <f t="shared" si="223"/>
        <v/>
      </c>
      <c r="ET19" s="252" t="str">
        <f t="shared" si="224"/>
        <v/>
      </c>
      <c r="EU19" s="252" t="str">
        <f t="shared" si="225"/>
        <v/>
      </c>
      <c r="EV19" s="252" t="str">
        <f t="shared" si="226"/>
        <v/>
      </c>
      <c r="EW19" s="252" t="str">
        <f t="shared" si="227"/>
        <v/>
      </c>
      <c r="EX19" s="252" t="str">
        <f t="shared" si="228"/>
        <v/>
      </c>
      <c r="EY19" s="252" t="str">
        <f t="shared" si="229"/>
        <v/>
      </c>
      <c r="EZ19" s="252" t="str">
        <f t="shared" si="230"/>
        <v/>
      </c>
      <c r="FA19" s="252" t="str">
        <f t="shared" si="231"/>
        <v/>
      </c>
      <c r="FB19" s="252" t="str">
        <f t="shared" si="232"/>
        <v/>
      </c>
      <c r="FC19" s="252" t="str">
        <f>IF(CD19="ERROR", "ERROR", IF(OR(V19="No Change", V19="Not DLC or Energy Star"), "", IF(AND(OR($FC$6=Y19,Y19='Lookup Tables'!$AD$21, Y19='Lookup Tables'!$AD$22),E19="Interior"), S19, "")))</f>
        <v/>
      </c>
      <c r="FD19" s="252" t="str">
        <f t="shared" si="233"/>
        <v/>
      </c>
      <c r="FE19" s="101"/>
      <c r="FF19" s="579" t="str" cm="1">
        <f t="array" ref="FF19">IFERROR(IF(OR(BQ19&lt;=0,AQ19&lt;20,AND(V19="Exit Signs",AN19&gt;0)),"",IF(AND(AQ19&gt;=20,AN19='Lookup Tables'!$R$101),'Lookup Tables'!$U$101*BQ19,AP19*LOOKUP(2,1/((AN19='Lookup Tables'!$R$91:$R$111)*(AQ19&gt;='Lookup Tables'!$S$91:$S$111)*(AQ19&lt;='Lookup Tables'!$T$91:$T$111)),'Lookup Tables'!$U$91:$U$111))),"")</f>
        <v/>
      </c>
      <c r="FG19" s="579"/>
      <c r="FH19" s="579"/>
      <c r="FI19" s="253" t="str">
        <f>IFERROR(ROUND(IF(CD19="ERROR", "ERROR", IF(AND($FI$7=X19,E19="Interior"),VLOOKUP(W19, 'Lookup Tables'!$AI$6:$AM$102, 5, FALSE)*BP19, "")), 2), "")</f>
        <v/>
      </c>
      <c r="FJ19" s="253" t="str">
        <f>IFERROR(ROUND(IF(CD19="ERROR", "ERROR", IF(AND($FI$7=X19,E19="Exterior"),VLOOKUP(W19, 'Lookup Tables'!$AI$6:$AM$102, 5, FALSE)*BP19, "")), 2), "")</f>
        <v/>
      </c>
      <c r="FK19" s="253" t="str">
        <f>IFERROR(ROUND(IF(CD19="ERROR", "ERROR", IF(AND($FK$7=X19,E19="Interior"),VLOOKUP(W19, 'Lookup Tables'!$AI$6:$AM$102, 5, FALSE)*BP19, "")), 2), "")</f>
        <v/>
      </c>
      <c r="FL19" s="253" t="str">
        <f>IFERROR(ROUND(IF(CD19="ERROR", "ERROR", IF(AND($FK$7=X19,E19="Exterior"),VLOOKUP(W19, 'Lookup Tables'!$AI$6:$AM$102, 5, FALSE)*BP19, "")), 2), "")</f>
        <v/>
      </c>
      <c r="FM19" s="253" t="str">
        <f>IFERROR(ROUND(IF(CD19="ERROR", "ERROR", IF(AND($FM$6=Y19,E19="Interior"), IF(GB19=0, VLOOKUP(W19, 'Lookup Tables'!$AI$6:$AM$102, 5, FALSE)*BP19, IF(VLOOKUP(W19, 'Lookup Tables'!$AI$6:$AM$102, 5, FALSE)*BP19&gt;GB19*'Lighting Inventory'!S19, GB19*'Lighting Inventory'!S19,VLOOKUP(W19, 'Lookup Tables'!$AI$6:$AM$102, 5, FALSE)*BP19)), "")), 2), "")</f>
        <v/>
      </c>
      <c r="FN19" s="253" t="str">
        <f>IFERROR(ROUND(IF(CD19="ERROR", "ERROR", IF(AND($FM$6=Y19,E19="Exterior"), IF(GB19=0, VLOOKUP(W19, 'Lookup Tables'!$AI$6:$AM$102, 5, FALSE)*BP19, IF(VLOOKUP(W19, 'Lookup Tables'!$AI$6:$AM$102, 5, FALSE)*BP19&gt;GB19*'Lighting Inventory'!S19, GB19*'Lighting Inventory'!S19,VLOOKUP(W19, 'Lookup Tables'!$AI$6:$AM$102, 5, FALSE)*BP19)), "")), 2), "")</f>
        <v/>
      </c>
      <c r="FO19" s="253" t="str">
        <f>IFERROR(ROUND(IF(CD19="ERROR", "ERROR", IF(AND($FO$6=Y19,E19="Interior"),VLOOKUP(W19, 'Lookup Tables'!$AI$6:$AM$102, 5, FALSE)*'Lighting Inventory'!AI19, "")), 2), "")</f>
        <v/>
      </c>
      <c r="FP19" s="253" t="str">
        <f>IFERROR(ROUND(IF(CD19="ERROR", "ERROR", IF(AND($FO$6=Y19,E19="Exterior"),VLOOKUP(W19, 'Lookup Tables'!$AI$6:$AM$102, 5, FALSE)*'Lighting Inventory'!AI19, "")), 2), "")</f>
        <v/>
      </c>
      <c r="FQ19" s="253" t="str">
        <f>IFERROR(ROUND(IF(CD19="ERROR", "ERROR", IF(AND($FQ$6=Y19,E19="Interior", BU19="Y"), VLOOKUP('Lighting Inventory'!W19, 'Lookup Tables'!$AI$6:$AM$102, 5, FALSE)*'Lighting Inventory'!S19, IF(AND($FQ$7=Y19,E19="Interior", BU19="N"), 0.025*CD19, ""))), 2), "")</f>
        <v/>
      </c>
      <c r="FR19" s="253" t="str">
        <f>IFERROR(ROUND(IF(CD19="ERROR", "ERROR", IF(AND($FQ$6=Y19,E19="Exterior"), VLOOKUP('Lighting Inventory'!W19, 'Lookup Tables'!$AI$6:$AM$102, 5, FALSE)*'Lighting Inventory'!S19, "")), 2), "")</f>
        <v/>
      </c>
      <c r="FS19" s="253" t="str">
        <f>IFERROR(ROUND(IF(CD19="ERROR", "ERROR", IF(AND($FS$6=Y19,E19="Exterior"), IF(GB19=0, VLOOKUP(W19, 'Lookup Tables'!$AI$6:$AM$102, 5, FALSE)*BP19, IF(VLOOKUP(W19, 'Lookup Tables'!$AI$6:$AM$102, 5, FALSE)*BP19&gt;GB19*'Lighting Inventory'!S19, GB19*'Lighting Inventory'!S19,VLOOKUP(W19, 'Lookup Tables'!$AI$6:$AM$102, 5, FALSE)*BP19)), "")), 2), "")</f>
        <v/>
      </c>
      <c r="FT19" s="253" t="str">
        <f>IFERROR(ROUND(IF(CD19="ERROR", "ERROR", IF(AND($FT$6=Y19,E19="Interior"), IF(GB19=0, VLOOKUP(W19, 'Lookup Tables'!$AI$6:$AM$102, 5, FALSE)*BP19, IF(VLOOKUP(W19, 'Lookup Tables'!$AI$6:$AM$102, 5, FALSE)*BP19&gt;GB19*'Lighting Inventory'!S19, GB19*'Lighting Inventory'!S19,VLOOKUP(W19, 'Lookup Tables'!$AI$6:$AM$102, 5, FALSE)*BP19)), "")), 2), "")</f>
        <v/>
      </c>
      <c r="FU19" s="253" t="str">
        <f>IFERROR(ROUND(IF(CD19="ERROR", "ERROR", IF(AND(Y19=$FU$6, E19="Interior"), IF(BS19="N", 'Lookup Tables'!$AM$101*BP19, VLOOKUP(W19, 'Lookup Tables'!$AI$6:$AM$102, 5, FALSE)*S19*AD19), "")), 2), "")</f>
        <v/>
      </c>
      <c r="FV19" s="253" t="str">
        <f>IFERROR(ROUND(IF(CD19="ERROR", "ERROR", IF(AND(Y19=$FU$6, E19="Exterior"), IF(BS19="N", 'Lookup Tables'!$AM$101*BP19, VLOOKUP(W19, 'Lookup Tables'!$AI$6:$AM$102, 5, FALSE)*S19*AD19), "")), 2), "")</f>
        <v/>
      </c>
      <c r="FW19" s="253" t="str">
        <f>IFERROR(ROUND(IF(CD19="ERROR", "ERROR", IF($FW$6=Y19, IF(BS19="N", 'Lookup Tables'!$AM$101*BP19, MIN((VLOOKUP(W19, 'Lookup Tables'!$AI$6:$AM$102, 5, FALSE)*BP19),GB19*AJ19)), "")), 2), "")</f>
        <v/>
      </c>
      <c r="FX19" s="253" t="str">
        <f>IFERROR(ROUND(IF(CD19="ERROR", "ERROR", IF(AND($FX$6=Y19, E19="Interior"), IF(VLOOKUP(W19, 'Lookup Tables'!$AI$6:$AM$102, 5, FALSE)*BP19&gt;'Lookup Tables'!$AQ$97*'Lighting Inventory'!S19,'Lighting Inventory'!S19*'Lookup Tables'!$AQ$97,VLOOKUP(W19, 'Lookup Tables'!$AI$6:$AM$102, 5, FALSE)*BP19), "")), 2), "")</f>
        <v/>
      </c>
      <c r="FY19" s="253" t="str">
        <f>IFERROR(ROUND(IF(CD19="ERROR", "ERROR", IF(AND($FX$6=Y19, E19="Exterior"), IF(VLOOKUP(W19, 'Lookup Tables'!$AI$6:$AM$102, 5, FALSE)*BP19&gt;'Lookup Tables'!$AQ$97*'Lighting Inventory'!S19,'Lighting Inventory'!S19*'Lookup Tables'!$AQ$97,VLOOKUP(W19, 'Lookup Tables'!$AI$6:$AM$102, 5, FALSE)*BP19), "")), 2), "")</f>
        <v/>
      </c>
      <c r="FZ19" s="253" t="str">
        <f>IFERROR(ROUND(IF(CD19="ERROR", "ERROR", IF(AND($FZ$6=Y19, E19="Interior"), IF(AND(OR(W19="Refrigerated Case Lighting with Doors", W19="Freezer Case Lighting"),Y19="Custom - Process Improvement"),CD19*'Lookup Tables'!$AM$101, IF(B19="Retrofit", IF(VLOOKUP(IF(V19="Custom", V19, W19), 'Lookup Tables'!$AI$6:$AM$102, 5, FALSE)*BP19&gt;GE19, GE19, VLOOKUP(IF(V19="Custom", V19, W19), 'Lookup Tables'!$AI$6:$AM$102, 5, FALSE)*BP19), IF(VLOOKUP(IF(V19="Custom", V19, W19), 'Lookup Tables'!$AI$114:$AM$154, 5, FALSE)*BP19&gt;GE19, GE19, VLOOKUP(IF(V19="Custom", V19, W19), 'Lookup Tables'!$AI$114:$AM$154, 5, FALSE)*BP19))), "")), 2),"")</f>
        <v/>
      </c>
      <c r="GA19" s="253" t="str">
        <f>IFERROR(ROUND(IF(CD19="ERROR", "ERROR", IF(AND($FZ$6=Y19, E19="Exterior"), IF(B19="Retrofit", IF(VLOOKUP(IF(V19="Custom", V19, W19), 'Lookup Tables'!$AI$6:$AM$102, 5, FALSE)*BP19&gt;GE19, GE19, VLOOKUP(IF(V19="Custom", V19, W19), 'Lookup Tables'!$AI$6:$AM$102, 5, FALSE)*BP19), IF(VLOOKUP(IF(V19="Custom", V19, W19), 'Lookup Tables'!$AI$114:$AM$154, 5, FALSE)*BP19&gt;GE19, GE19, VLOOKUP(IF(V19="Custom", V19, W19), 'Lookup Tables'!$AI$114:$AM$154, 5, FALSE)*BP19)), "")), 2),"")</f>
        <v/>
      </c>
      <c r="GB19" s="254" t="str">
        <f t="array" ref="GB19">IF(B19="","",IF(OR(V19="Custom",V19="No Change"),0,IF(B19="Retrofit", INDEX('Lookup Tables'!$AH$6:$AQ$102,MATCH(1,('Lookup Tables'!$AH$6:$AH$102='Lighting Inventory'!V19)*('Lookup Tables'!$AI$6:$AI$102='Lighting Inventory'!W19),FALSE),10),INDEX('Lookup Tables'!$AH$114:$AQ$154,MATCH(1,('Lookup Tables'!$AH$114:$AH$154='Lighting Inventory'!V19)*('Lookup Tables'!$AI$114:$AI$154='Lighting Inventory'!W19),FALSE),10))))</f>
        <v/>
      </c>
      <c r="GC19" s="255" t="str">
        <f t="shared" si="77"/>
        <v/>
      </c>
      <c r="GD19" s="250" t="str">
        <f t="shared" si="78"/>
        <v/>
      </c>
      <c r="GE19" s="253" t="str">
        <f>IFERROR(IF(AND(AF19="", 'General Information'!$F$18="No"),"", IF(AF19="", ((GD19/$CD$266)*$CF$266)*0.5, AF19*S19*0.5)), "")</f>
        <v/>
      </c>
      <c r="GF19" s="255" t="str">
        <f>IF(AND('General Information'!$F$19="", 'General Information'!$F$18="Yes",AF19="",BW19="Y"), "Y", "N")</f>
        <v>N</v>
      </c>
      <c r="GG19" s="255" t="s">
        <v>2946</v>
      </c>
      <c r="GH19" s="255" t="str">
        <f>IFERROR(IF(B19="", "", VLOOKUP(J19, 'Fixture Identities'!$A$6:$N$908, 14, FALSE)), "")</f>
        <v/>
      </c>
      <c r="GI19" s="389" t="str">
        <f>IF(OR(B19="", V19="", W19=""), "", IF(AND(OR(M19='Lookup Tables'!$R$18, M19='Lookup Tables'!$R$19, M19='Lookup Tables'!$R$20, M19='Lookup Tables'!$R$21, M19='Lookup Tables'!$R$22), OR(AN19='Lookup Tables'!$R$17, AN19='Lookup Tables'!$R$17, AN19="")), "Y", "N"))</f>
        <v/>
      </c>
      <c r="GJ19" s="255" t="str">
        <f t="shared" si="79"/>
        <v/>
      </c>
      <c r="GK19" s="255" t="str">
        <f t="shared" si="80"/>
        <v/>
      </c>
      <c r="GL19" s="255" t="str">
        <f t="shared" si="81"/>
        <v/>
      </c>
      <c r="GM19" s="255" t="str">
        <f>IF(AN19="", "", IF(AND(IF(ISNA(VLOOKUP(AN19,'Lookup Tables'!$R$18:$R$22,1,FALSE)), "N", "Y")="Y", E19="Exterior"), "Y", "N"))</f>
        <v/>
      </c>
      <c r="GN19" s="395"/>
      <c r="GO19" s="428">
        <f t="shared" si="98"/>
        <v>0</v>
      </c>
      <c r="GP19" s="428">
        <f t="shared" si="167"/>
        <v>0</v>
      </c>
      <c r="GQ19" s="428">
        <f t="shared" si="99"/>
        <v>0</v>
      </c>
      <c r="GR19" s="428">
        <f t="shared" si="100"/>
        <v>0</v>
      </c>
    </row>
    <row r="20" spans="1:200" s="103" customFormat="1" ht="13.5" customHeight="1" x14ac:dyDescent="0.2">
      <c r="A20" s="272">
        <v>10</v>
      </c>
      <c r="B20" s="110"/>
      <c r="C20" s="110"/>
      <c r="D20" s="110"/>
      <c r="E20" s="110"/>
      <c r="F20" s="110"/>
      <c r="G20" s="110"/>
      <c r="H20" s="110"/>
      <c r="I20" s="29"/>
      <c r="J20" s="29"/>
      <c r="K20" s="272" t="str">
        <f>IFERROR(IF(OR(VLOOKUP(J20, 'Fixture Identities'!$A$6:$L$1023, 3, FALSE)="T12 Linear Fluorescent", VLOOKUP(J20, 'Fixture Identities'!$A$6:$L$1023, 3, FALSE)="T12 U-Tube Fluorescent"), VLOOKUP(VLOOKUP(J20, 'Fixture Identities'!$A$6:$L$1023, 11, FALSE), 'Fixture Identities'!$A$6:$L$1023, 10, FALSE), VLOOKUP(J20, 'Fixture Identities'!$A$6:$L$1023, 10, FALSE)), "")</f>
        <v/>
      </c>
      <c r="L20" s="270" t="str">
        <f t="shared" si="169"/>
        <v/>
      </c>
      <c r="M20" s="110"/>
      <c r="N20" s="110"/>
      <c r="O20" s="110"/>
      <c r="P20" s="272" t="str">
        <f>IFERROR(IF(OR(B20="Retrofit",B20=""),"",IF('Lighting Inventory'!E20="Exterior",VLOOKUP('Lighting Inventory'!N20,'Lookup Tables'!$B$83:$F$103,5,FALSE),IF(N20="Other - Please Estimate EFLH and CFs","Contact Prog. Rep.","ft^2"))), "")</f>
        <v/>
      </c>
      <c r="Q20" s="270" t="str">
        <f>IFERROR(IF(AND(B20="New Construction",E20="Interior",$F$5="Space-by-Space"),VLOOKUP('Lighting Inventory'!N20,'Lookup Tables'!$N$6:$O$97,2,FALSE),IF(AND(B20="New Construction",E20="Exterior"),VLOOKUP(N20,'Lookup Tables'!$B$83:$F$103,2,FALSE),IF(AND(B20="New Construction",'Lighting Inventory'!E20="Interior", $F$5="Building Area"),VLOOKUP(F20,'Lookup Tables'!$A$6:$J$59,10,FALSE),""))), "")</f>
        <v/>
      </c>
      <c r="R20" s="270" t="str">
        <f>IFERROR(IF(P20="Contact Prog. Rep.", "ERROR", IF(OR(B20="",B20="Retrofit"),"",IF(N20="Automated teller machines", ('Lookup Tables'!$A$82:$E$100+('Lighting Inventory'!O20-1)*'Lookup Tables'!$A$82:$E$100)/1000, (Q20*O20)/1000))), "")</f>
        <v/>
      </c>
      <c r="S20" s="595"/>
      <c r="T20" s="105" t="str">
        <f t="shared" si="83"/>
        <v/>
      </c>
      <c r="U20" s="105" t="str">
        <f>IF(S20="","",COUNT($S$11:S20))</f>
        <v/>
      </c>
      <c r="V20" s="111"/>
      <c r="W20" s="112"/>
      <c r="X20" s="105" t="str">
        <f t="shared" si="84"/>
        <v/>
      </c>
      <c r="Y20" s="105" t="str">
        <f t="array" ref="Y20">IF(AND(OR(W20="Freezer Case Lighting", W20="Refrigerated Case Lighting with Doors"), 'General Information'!$X$18="LCI"),'Lookup Tables'!$Y$34, IF(V20="Custom", VLOOKUP(W20, 'Fixture Identities'!$A$974:$M$1023, 13, FALSE), IF(V20="No Change",'Lookup Tables'!$Y$29,IF(OR(V20="",W20=""),"",IF(AND(S20=0,S20&lt;I20,B20="Retrofit"),'Lookup Tables'!$Y$25, IF(B20="Retrofit", INDEX('Lookup Tables'!$AH$6:$AP$102, MATCH(1, ('Lookup Tables'!$AH$6:$AH$102=V20)*('Lookup Tables'!$AI$6:$AI$102=W20), 0), IF('Lighting Inventory'!E20="Interior", 4, 5)), INDEX('Lookup Tables'!$AH$114:$AP$154, MATCH(1, ('Lookup Tables'!$AH$114:$AH$154=V20)*('Lookup Tables'!$AI$114:$AI$154=W20), 0), IF('Lighting Inventory'!E20="Interior", 4, 5))))))))</f>
        <v/>
      </c>
      <c r="Z20" s="105" t="str">
        <f>IFERROR(INDEX('Lookup Tables'!$AH$158:$AH$172,MATCH('Lighting Inventory'!Y20,'Lookup Tables'!$AI$158:$AI$172,0)),"")</f>
        <v/>
      </c>
      <c r="AA20" s="105" t="str">
        <f>IF(AP20&gt;0,INDEX('Lookup Tables'!$AK$158:$AK$172,MATCH('Lighting Inventory'!Y20,'Lookup Tables'!$AI$158:$AI$172,0)),'Lighting Inventory'!Y20)</f>
        <v/>
      </c>
      <c r="AB20" s="105" t="str">
        <f t="array" ref="AB20">IF(V20="Custom", "Custom", IF(V20="", "", IF(V20="Not DLC or Energy Star", "General", IF(B20="New Construction", INDEX('Lookup Tables'!$AH$114:$AP$154,MATCH(1,('Lookup Tables'!$AH$114:$AH$154='Lighting Inventory'!V20)*('Lookup Tables'!$AI$114:$AI$154='Lighting Inventory'!W20),FALSE),8), INDEX('Lookup Tables'!$AH$6:$AP$102,MATCH(1,('Lookup Tables'!$AH$6:$AH$102='Lighting Inventory'!V20)*('Lookup Tables'!$AI$6:$AI$102='Lighting Inventory'!W20),FALSE),8)))))</f>
        <v/>
      </c>
      <c r="AC20" s="272" t="str">
        <f>IF(W20="","",IF(V20="Custom",CONCATENATE("$",'Lookup Tables'!$AM$101," ",'Lookup Tables'!$AN$101),CONCATENATE("$",INDEX('Lookup Tables'!$AM$6:$AM$102,MATCH('Lighting Inventory'!W20,'Lookup Tables'!$AI$6:$AI$102,0))," ",INDEX('Lookup Tables'!$AN$6:$AN$102,MATCH('Lighting Inventory'!W20,'Lookup Tables'!$AI$6:$AI$102,0)))))</f>
        <v/>
      </c>
      <c r="AD20" s="72"/>
      <c r="AE20" s="29"/>
      <c r="AF20" s="379"/>
      <c r="AG20" s="370" t="str">
        <f t="shared" si="2"/>
        <v/>
      </c>
      <c r="AH20" s="370" t="str">
        <f t="shared" si="85"/>
        <v/>
      </c>
      <c r="AI20" s="29"/>
      <c r="AJ20" s="29"/>
      <c r="AK20" s="110"/>
      <c r="AL20" s="375" t="str">
        <f>IF(OR(B20="", V20="", W20=""), "", IF(V20="No Change", K20, IF(V20="Remove Fixture", 0, IF(V20="Custom",VLOOKUP(W20,'Fixture Identities'!$A$6:$K$1023,10,FALSE),IF(AE20="", "← ENTER POST WATTS", 'Lighting Inventory'!AE20)))))</f>
        <v/>
      </c>
      <c r="AM20" s="376" t="str">
        <f t="shared" si="3"/>
        <v/>
      </c>
      <c r="AN20" s="29"/>
      <c r="AO20" s="671"/>
      <c r="AP20" s="29"/>
      <c r="AQ20" s="29"/>
      <c r="AR20" s="29"/>
      <c r="AS20" s="272" t="str">
        <f t="shared" si="4"/>
        <v/>
      </c>
      <c r="AT20" s="270" t="str">
        <f t="shared" si="5"/>
        <v/>
      </c>
      <c r="AU20" s="88" t="str">
        <f t="shared" si="6"/>
        <v/>
      </c>
      <c r="AV20" s="29"/>
      <c r="AW20" s="73"/>
      <c r="AX20" s="271" t="str">
        <f>IF(AND(AV20="Applicant",OR(AW20="", AW20="Use Default Facility Hours")),"← Choose Schedule",IF(F20="","",IF(W20="LED Exit Signs",8760,IF(OR(AV20="Prescribed",AV20=""),VLOOKUP(F20,'Lookup Tables'!$A$6:$G$59,IF(AB20="General", 6, 3),FALSE),VLOOKUP(AW20,'Lookup Tables'!$S$36:$U$43,2,FALSE)))))</f>
        <v/>
      </c>
      <c r="AY20" s="88" t="str">
        <f t="shared" si="7"/>
        <v/>
      </c>
      <c r="AZ20" s="270" t="str">
        <f>IFERROR(IF(F20="", "", IF(W20="LED Exit Signs", 1, IF(AV20="Applicant",VLOOKUP(AW20, 'Lookup Tables'!$S$36:$U$43,3, FALSE), VLOOKUP('Lighting Inventory'!F20, 'Lookup Tables'!$A$6:$H$59, IF('Lighting Inventory'!AB20="General",7,4), FALSE)))), "")</f>
        <v/>
      </c>
      <c r="BA20" s="522" t="str">
        <f>IFERROR(IF(F20="", "", IF(W20="LED Exit Signs", 1, VLOOKUP('Lighting Inventory'!F20, 'Lookup Tables'!$A$6:$H$59, IF('Lighting Inventory'!AB20="General",8,5), FALSE))), "")</f>
        <v/>
      </c>
      <c r="BB20" s="270" t="str">
        <f>IF(G20="", "", IF(E20="Exterior", 0, IF('Lighting Inventory'!G20="Air Conditioned", VLOOKUP(H20, 'Lookup Tables'!$R$6:$T$13, 2, FALSE), VLOOKUP('Lighting Inventory'!G20, 'Lookup Tables'!$R$6:$T$13, 2, FALSE))))</f>
        <v/>
      </c>
      <c r="BC20" s="522" t="str">
        <f>IF(G20="", "", IF(E20="Exterior", 0, IF('Lighting Inventory'!G20="Air Conditioned", VLOOKUP(H20, 'Lookup Tables'!$R$6:$T$13, 3, FALSE), VLOOKUP('Lighting Inventory'!G20, 'Lookup Tables'!$R$6:$T$13, 3, FALSE))))</f>
        <v/>
      </c>
      <c r="BD20" s="270" t="str">
        <f>IF(G20="", "", IF(E20="Exterior", 0, IF('Lighting Inventory'!G20="Air Conditioned", VLOOKUP(H20, 'Lookup Tables'!$R$6:$U$13, 4, FALSE), VLOOKUP('Lighting Inventory'!G20, 'Lookup Tables'!$R$6:$U$13, 4, FALSE))))</f>
        <v/>
      </c>
      <c r="BE20" s="270" t="str">
        <f>IFERROR(IF(B20="", "",  IF(B20="New Construction", VLOOKUP(F20, 'Lookup Tables'!$A$6:$K$59, 11, FALSE),IF(OR(AN20="", AN20="Light Switch"), 0, IF(OR(M20="",M20="None",V20= "LED Exit Signs"),0,_xlfn.XLOOKUP(M20,'Lookup Tables'!$R$91:$R$101,'Lookup Tables'!$V$91:$V$101))))), "")</f>
        <v/>
      </c>
      <c r="BF20" s="270" t="str">
        <f>IF(AND(OR(AN20="Light Switch",AN20=""),B20="New Construction"), VLOOKUP(F20, 'Lookup Tables'!$A$6:$K$59, 11, FALSE),IF(AN20="","",IF(B20="","",IF(OR(AN20="None",AN20="",V20="LED Exit Signs",AN20="Exterior Controls Not Eligible"),0,_xlfn.XLOOKUP(AN20,'Lookup Tables'!$R$91:$R$101,'Lookup Tables'!$V$91:$V$101)))))</f>
        <v/>
      </c>
      <c r="BG20" s="88" t="str">
        <f t="shared" si="86"/>
        <v/>
      </c>
      <c r="BH20" s="88" t="str">
        <f t="shared" si="87"/>
        <v/>
      </c>
      <c r="BI20" s="558" t="str">
        <f t="shared" si="168"/>
        <v/>
      </c>
      <c r="BJ20" s="560" t="str">
        <f t="shared" si="88"/>
        <v/>
      </c>
      <c r="BK20" s="560" t="str">
        <f t="shared" si="89"/>
        <v/>
      </c>
      <c r="BL20" s="559" t="str">
        <f t="shared" si="90"/>
        <v/>
      </c>
      <c r="BM20" s="521" t="str">
        <f t="shared" si="8"/>
        <v/>
      </c>
      <c r="BN20" s="521" t="str">
        <f t="shared" si="9"/>
        <v/>
      </c>
      <c r="BO20" s="522" t="str">
        <f t="shared" si="10"/>
        <v/>
      </c>
      <c r="BP20" s="83" t="str">
        <f t="shared" si="91"/>
        <v/>
      </c>
      <c r="BQ20" s="84" t="str">
        <f t="shared" si="92"/>
        <v/>
      </c>
      <c r="BR20" s="184" t="str">
        <f>IFERROR(IF(B20="", "", IF(OR(VLOOKUP(J20, 'Fixture Identities'!$A$6:$L$1023, 3, FALSE)="T12 Linear Fluorescent",VLOOKUP(J20, 'Fixture Identities'!$A$6:$L$1023, 3, FALSE)="T12 U-Tube Fluorescent"), "Y", "N")), "N")</f>
        <v/>
      </c>
      <c r="BS20" s="184" t="str">
        <f t="array" ref="BS20">IFERROR(IF(OR(B20="", V20="", W20=""), "", IF(V20="Custom", "N", IF(OR(W20="Freezer Case Lighting", W20="Refrigerated Case Lighting with Doors"), BT20, IF(B20="Retrofit", INDEX('Lookup Tables'!$AH$6:$AT$102,MATCH(1,('Lookup Tables'!$AH$6:$AH$102=V20)*('Lookup Tables'!$AI$6:$AI$102=W20),FALSE),IF(VLOOKUP(J20, 'Fixture Identities'!$A$6:$B$1023, 2, FALSE)="Incandescent",12, 13)), INDEX('Lookup Tables'!$AH$114:$AS$154,MATCH(1,('Lookup Tables'!$AH$114:$AH$154=V20)*('Lookup Tables'!$AI$114:$AI$154=W20),FALSE),12))))), "N")</f>
        <v/>
      </c>
      <c r="BT20" s="184" t="str">
        <f>IF(J20="", "", IF(AND(OR(W20="Freezer case Lighting", W20="Refrigerated Case Lighting with Doors"),'General Information'!$X$18="LCI"), "N", IF(OR(VLOOKUP(J20, 'Fixture Identities'!$A$6:$B$1023, 2, FALSE)="T12 EPACT/EISA Baseline", VLOOKUP(J20, 'Fixture Identities'!$A$6:$B$1023, 2, FALSE)="Linear Fluorescent", VLOOKUP(J20, 'Fixture Identities'!$A$6:$B$1023, 2, FALSE)="U-Tube Fluorescent"), "Y", "N")))</f>
        <v/>
      </c>
      <c r="BU20" s="184" t="str">
        <f>IFERROR(IF(B20="", "", IF(VLOOKUP(J20, 'Fixture Identities'!$A$6:$B$1023, 2, FALSE)="Exit Sign", "Y", "N")), "N")</f>
        <v/>
      </c>
      <c r="BV20" s="184" t="str">
        <f>IF(V20="Exit Signs", IF(VLOOKUP(J20, 'Fixture Identities'!$A$6:$B$1023, 2, FALSE)="Exit Sign", "N", "Y"), "")</f>
        <v/>
      </c>
      <c r="BW20" s="184" t="str">
        <f t="array" ref="BW20">IFERROR(IF(B20="", "", IF(B20="New Construction", "N", INDEX('Lookup Tables'!$AH$6:$AU$102, MATCH(1, ('Lookup Tables'!$AH$6:$AH$102='Lighting Inventory'!V20)*('Lookup Tables'!$AI$6:$AI$102='Lighting Inventory'!W20), 0), 14))), "N")</f>
        <v/>
      </c>
      <c r="BX20" s="598" t="str">
        <f t="shared" si="93"/>
        <v/>
      </c>
      <c r="BY20" s="598" t="str">
        <f t="shared" si="94"/>
        <v/>
      </c>
      <c r="BZ20" s="598" t="str">
        <f t="shared" si="95"/>
        <v/>
      </c>
      <c r="CA20" s="598" t="str">
        <f t="shared" si="101"/>
        <v/>
      </c>
      <c r="CB20" s="269" t="str">
        <f t="shared" si="102"/>
        <v/>
      </c>
      <c r="CC20" s="517" t="str">
        <f t="shared" si="96"/>
        <v/>
      </c>
      <c r="CD20" s="565" t="str">
        <f t="shared" si="11"/>
        <v/>
      </c>
      <c r="CE20" s="368">
        <v>0</v>
      </c>
      <c r="CF20" s="368" t="str" cm="1">
        <f t="array" ref="CF20">IFERROR(IF(V20="Custom", "$0.1 per kWh", IF(B20="New Construction", CONCATENATE("$",INDEX('Lookup Tables'!$AH$114:$AN$154,MATCH(1,('Lookup Tables'!$AH$114:$AH$154='Lighting Inventory'!V20)*('Lookup Tables'!$AI$114:$AI$154='Lighting Inventory'!W20),FALSE),6)," ",INDEX('Lookup Tables'!$AH$114:$AN$154,MATCH(1,('Lookup Tables'!$AH$114:$AH$154='Lighting Inventory'!V20)*('Lookup Tables'!$AI$114:$AI$154='Lighting Inventory'!W20),FALSE),7)), IF(AND(BU20="N", V20="Exit Signs"), "$0.025 per kWh", CONCATENATE("$",INDEX('Lookup Tables'!$AH$6:$AN$102,MATCH(1,('Lookup Tables'!$AH$6:$AH$102='Lighting Inventory'!V20)*('Lookup Tables'!$AI$6:$AI$102='Lighting Inventory'!W20),FALSE),6)," ",INDEX('Lookup Tables'!$AH$6:$AN$102,MATCH(1,('Lookup Tables'!$AH$6:$AH$102='Lighting Inventory'!V20)*('Lookup Tables'!$AI$6:$AI$102='Lighting Inventory'!W20),FALSE),7))))), "")</f>
        <v/>
      </c>
      <c r="CG20" s="580"/>
      <c r="CH20" s="248" t="str">
        <f t="shared" si="170"/>
        <v/>
      </c>
      <c r="CI20" s="248" t="str">
        <f t="shared" si="171"/>
        <v>Select_IE</v>
      </c>
      <c r="CJ20" s="248" t="str">
        <f t="shared" si="172"/>
        <v/>
      </c>
      <c r="CK20" s="248" t="str">
        <f t="shared" si="173"/>
        <v/>
      </c>
      <c r="CL20" s="248" t="str">
        <f t="shared" si="174"/>
        <v/>
      </c>
      <c r="CM20" s="248" t="str">
        <f>IFERROR(IF(B20="", "", IF(B20="New Construction", VLOOKUP(V20, 'Lookup Tables'!$AF$114:$AG$120, 2, FALSE), VLOOKUP(V20, 'Lookup Tables'!$AD$6:$AE$25, 2, FALSE))), "")</f>
        <v/>
      </c>
      <c r="CN20" s="248" t="str">
        <f t="shared" si="175"/>
        <v/>
      </c>
      <c r="CO20" s="248" t="str">
        <f t="shared" si="176"/>
        <v/>
      </c>
      <c r="CP20" s="592" t="str">
        <f t="shared" si="177"/>
        <v/>
      </c>
      <c r="CQ20" s="248" t="str">
        <f t="shared" si="97"/>
        <v/>
      </c>
      <c r="CR20" s="100"/>
      <c r="CS20" s="250" t="str">
        <f t="shared" si="178"/>
        <v/>
      </c>
      <c r="CT20" s="250" t="str">
        <f t="shared" si="179"/>
        <v/>
      </c>
      <c r="CU20" s="250" t="str">
        <f t="shared" si="180"/>
        <v/>
      </c>
      <c r="CV20" s="250" t="str">
        <f t="shared" si="181"/>
        <v/>
      </c>
      <c r="CW20" s="250" t="str">
        <f t="shared" si="182"/>
        <v/>
      </c>
      <c r="CX20" s="250" t="str">
        <f t="shared" si="183"/>
        <v/>
      </c>
      <c r="CY20" s="250" t="str">
        <f t="shared" si="184"/>
        <v/>
      </c>
      <c r="CZ20" s="250" t="str">
        <f t="shared" si="185"/>
        <v/>
      </c>
      <c r="DA20" s="250" t="str">
        <f t="shared" si="186"/>
        <v/>
      </c>
      <c r="DB20" s="250" t="str">
        <f t="shared" si="187"/>
        <v/>
      </c>
      <c r="DC20" s="250" t="str">
        <f t="shared" si="188"/>
        <v/>
      </c>
      <c r="DD20" s="250" t="str">
        <f t="shared" si="189"/>
        <v/>
      </c>
      <c r="DE20" s="250" t="str">
        <f t="shared" si="190"/>
        <v/>
      </c>
      <c r="DF20" s="250" t="str">
        <f t="shared" si="191"/>
        <v/>
      </c>
      <c r="DG20" s="250" t="str">
        <f t="shared" si="192"/>
        <v/>
      </c>
      <c r="DH20" s="250" t="str">
        <f t="shared" si="193"/>
        <v/>
      </c>
      <c r="DI20" s="250" t="str">
        <f t="shared" si="194"/>
        <v/>
      </c>
      <c r="DJ20" s="250" t="str">
        <f t="shared" si="195"/>
        <v/>
      </c>
      <c r="DK20" s="250" t="str">
        <f t="shared" si="196"/>
        <v/>
      </c>
      <c r="DL20" s="250" t="str">
        <f t="shared" si="197"/>
        <v/>
      </c>
      <c r="DM20" s="250" t="str">
        <f>IF(CD20="ERROR", "ERROR", IF(AND(OR(Y20=$DM$6, Y20='Lookup Tables'!$AD$21, Y20='Lookup Tables'!$AD$22), E20="Interior"), BJ20, ""))</f>
        <v/>
      </c>
      <c r="DN20" s="250" t="str">
        <f>IF(CD20="ERROR", "ERROR", IF(AND(OR(Y20=$DM$6, Y20='Lookup Tables'!$AD$21, Y20='Lookup Tables'!$AD$22), E20="Exterior"), BJ20, ""))</f>
        <v/>
      </c>
      <c r="DO20" s="100"/>
      <c r="DP20" s="250" t="str">
        <f t="shared" si="198"/>
        <v/>
      </c>
      <c r="DQ20" s="250" t="str">
        <f t="shared" si="199"/>
        <v/>
      </c>
      <c r="DR20" s="250" t="str">
        <f t="shared" si="200"/>
        <v/>
      </c>
      <c r="DS20" s="250" t="str">
        <f t="shared" si="201"/>
        <v/>
      </c>
      <c r="DT20" s="250" t="str">
        <f t="shared" si="202"/>
        <v/>
      </c>
      <c r="DU20" s="250" t="str">
        <f t="shared" si="203"/>
        <v/>
      </c>
      <c r="DV20" s="250" t="str">
        <f t="shared" si="204"/>
        <v/>
      </c>
      <c r="DW20" s="250" t="str">
        <f t="shared" si="205"/>
        <v/>
      </c>
      <c r="DX20" s="250" t="str">
        <f t="shared" si="206"/>
        <v/>
      </c>
      <c r="DY20" s="250" t="str">
        <f t="shared" si="207"/>
        <v/>
      </c>
      <c r="DZ20" s="250" t="str">
        <f t="shared" si="208"/>
        <v/>
      </c>
      <c r="EA20" s="250" t="str">
        <f t="shared" si="209"/>
        <v/>
      </c>
      <c r="EB20" s="250" t="str">
        <f t="shared" si="210"/>
        <v/>
      </c>
      <c r="EC20" s="250" t="str">
        <f t="shared" si="211"/>
        <v/>
      </c>
      <c r="ED20" s="250" t="str">
        <f t="shared" si="212"/>
        <v/>
      </c>
      <c r="EE20" s="250" t="str">
        <f t="shared" si="213"/>
        <v/>
      </c>
      <c r="EF20" s="250" t="str">
        <f t="shared" si="214"/>
        <v/>
      </c>
      <c r="EG20" s="250" t="str">
        <f t="shared" si="215"/>
        <v/>
      </c>
      <c r="EH20" s="250" t="str">
        <f>IF(CD20="ERROR", "ERROR", IF(AND(OR($EH$6=Y20, Y20='Lookup Tables'!$AD$21, Y20='Lookup Tables'!$AD$22),E20="Interior"), SUM(BP20:BP20), ""))</f>
        <v/>
      </c>
      <c r="EI20" s="250" t="str">
        <f>IF(CD20="ERROR", "ERROR", IF(AND(OR($EH$6=Y20, Y20='Lookup Tables'!$AD$21, Y20='Lookup Tables'!$AD$22),E20="Exterior"), SUM(BP20:BP20), ""))</f>
        <v/>
      </c>
      <c r="EJ20" s="109"/>
      <c r="EK20" s="485" t="str">
        <f t="shared" si="58"/>
        <v/>
      </c>
      <c r="EL20" s="252" t="str">
        <f t="shared" si="216"/>
        <v/>
      </c>
      <c r="EM20" s="252" t="str">
        <f t="shared" si="217"/>
        <v/>
      </c>
      <c r="EN20" s="252" t="str">
        <f t="shared" si="218"/>
        <v/>
      </c>
      <c r="EO20" s="252" t="str">
        <f t="shared" si="219"/>
        <v/>
      </c>
      <c r="EP20" s="252" t="str">
        <f t="shared" si="220"/>
        <v/>
      </c>
      <c r="EQ20" s="252" t="str">
        <f t="shared" si="221"/>
        <v/>
      </c>
      <c r="ER20" s="252" t="str">
        <f t="shared" si="222"/>
        <v/>
      </c>
      <c r="ES20" s="252" t="str">
        <f t="shared" si="223"/>
        <v/>
      </c>
      <c r="ET20" s="252" t="str">
        <f t="shared" si="224"/>
        <v/>
      </c>
      <c r="EU20" s="252" t="str">
        <f t="shared" si="225"/>
        <v/>
      </c>
      <c r="EV20" s="252" t="str">
        <f t="shared" si="226"/>
        <v/>
      </c>
      <c r="EW20" s="252" t="str">
        <f t="shared" si="227"/>
        <v/>
      </c>
      <c r="EX20" s="252" t="str">
        <f t="shared" si="228"/>
        <v/>
      </c>
      <c r="EY20" s="252" t="str">
        <f t="shared" si="229"/>
        <v/>
      </c>
      <c r="EZ20" s="252" t="str">
        <f t="shared" si="230"/>
        <v/>
      </c>
      <c r="FA20" s="252" t="str">
        <f t="shared" si="231"/>
        <v/>
      </c>
      <c r="FB20" s="252" t="str">
        <f t="shared" si="232"/>
        <v/>
      </c>
      <c r="FC20" s="252" t="str">
        <f>IF(CD20="ERROR", "ERROR", IF(OR(V20="No Change", V20="Not DLC or Energy Star"), "", IF(AND(OR($FC$6=Y20,Y20='Lookup Tables'!$AD$21, Y20='Lookup Tables'!$AD$22),E20="Interior"), S20, "")))</f>
        <v/>
      </c>
      <c r="FD20" s="252" t="str">
        <f t="shared" si="233"/>
        <v/>
      </c>
      <c r="FE20" s="101"/>
      <c r="FF20" s="579" t="str" cm="1">
        <f t="array" ref="FF20">IFERROR(IF(OR(BQ20&lt;=0,AQ20&lt;20,AND(V20="Exit Signs",AN20&gt;0)),"",IF(AND(AQ20&gt;=20,AN20='Lookup Tables'!$R$101),'Lookup Tables'!$U$101*BQ20,AP20*LOOKUP(2,1/((AN20='Lookup Tables'!$R$91:$R$111)*(AQ20&gt;='Lookup Tables'!$S$91:$S$111)*(AQ20&lt;='Lookup Tables'!$T$91:$T$111)),'Lookup Tables'!$U$91:$U$111))),"")</f>
        <v/>
      </c>
      <c r="FG20" s="579"/>
      <c r="FH20" s="579"/>
      <c r="FI20" s="253" t="str">
        <f>IFERROR(ROUND(IF(CD20="ERROR", "ERROR", IF(AND($FI$7=X20,E20="Interior"),VLOOKUP(W20, 'Lookup Tables'!$AI$6:$AM$102, 5, FALSE)*BP20, "")), 2), "")</f>
        <v/>
      </c>
      <c r="FJ20" s="253" t="str">
        <f>IFERROR(ROUND(IF(CD20="ERROR", "ERROR", IF(AND($FI$7=X20,E20="Exterior"),VLOOKUP(W20, 'Lookup Tables'!$AI$6:$AM$102, 5, FALSE)*BP20, "")), 2), "")</f>
        <v/>
      </c>
      <c r="FK20" s="253" t="str">
        <f>IFERROR(ROUND(IF(CD20="ERROR", "ERROR", IF(AND($FK$7=X20,E20="Interior"),VLOOKUP(W20, 'Lookup Tables'!$AI$6:$AM$102, 5, FALSE)*BP20, "")), 2), "")</f>
        <v/>
      </c>
      <c r="FL20" s="253" t="str">
        <f>IFERROR(ROUND(IF(CD20="ERROR", "ERROR", IF(AND($FK$7=X20,E20="Exterior"),VLOOKUP(W20, 'Lookup Tables'!$AI$6:$AM$102, 5, FALSE)*BP20, "")), 2), "")</f>
        <v/>
      </c>
      <c r="FM20" s="253" t="str">
        <f>IFERROR(ROUND(IF(CD20="ERROR", "ERROR", IF(AND($FM$6=Y20,E20="Interior"), IF(GB20=0, VLOOKUP(W20, 'Lookup Tables'!$AI$6:$AM$102, 5, FALSE)*BP20, IF(VLOOKUP(W20, 'Lookup Tables'!$AI$6:$AM$102, 5, FALSE)*BP20&gt;GB20*'Lighting Inventory'!S20, GB20*'Lighting Inventory'!S20,VLOOKUP(W20, 'Lookup Tables'!$AI$6:$AM$102, 5, FALSE)*BP20)), "")), 2), "")</f>
        <v/>
      </c>
      <c r="FN20" s="253" t="str">
        <f>IFERROR(ROUND(IF(CD20="ERROR", "ERROR", IF(AND($FM$6=Y20,E20="Exterior"), IF(GB20=0, VLOOKUP(W20, 'Lookup Tables'!$AI$6:$AM$102, 5, FALSE)*BP20, IF(VLOOKUP(W20, 'Lookup Tables'!$AI$6:$AM$102, 5, FALSE)*BP20&gt;GB20*'Lighting Inventory'!S20, GB20*'Lighting Inventory'!S20,VLOOKUP(W20, 'Lookup Tables'!$AI$6:$AM$102, 5, FALSE)*BP20)), "")), 2), "")</f>
        <v/>
      </c>
      <c r="FO20" s="253" t="str">
        <f>IFERROR(ROUND(IF(CD20="ERROR", "ERROR", IF(AND($FO$6=Y20,E20="Interior"),VLOOKUP(W20, 'Lookup Tables'!$AI$6:$AM$102, 5, FALSE)*'Lighting Inventory'!AI20, "")), 2), "")</f>
        <v/>
      </c>
      <c r="FP20" s="253" t="str">
        <f>IFERROR(ROUND(IF(CD20="ERROR", "ERROR", IF(AND($FO$6=Y20,E20="Exterior"),VLOOKUP(W20, 'Lookup Tables'!$AI$6:$AM$102, 5, FALSE)*'Lighting Inventory'!AI20, "")), 2), "")</f>
        <v/>
      </c>
      <c r="FQ20" s="253" t="str">
        <f>IFERROR(ROUND(IF(CD20="ERROR", "ERROR", IF(AND($FQ$6=Y20,E20="Interior", BU20="Y"), VLOOKUP('Lighting Inventory'!W20, 'Lookup Tables'!$AI$6:$AM$102, 5, FALSE)*'Lighting Inventory'!S20, IF(AND($FQ$7=Y20,E20="Interior", BU20="N"), 0.025*CD20, ""))), 2), "")</f>
        <v/>
      </c>
      <c r="FR20" s="253" t="str">
        <f>IFERROR(ROUND(IF(CD20="ERROR", "ERROR", IF(AND($FQ$6=Y20,E20="Exterior"), VLOOKUP('Lighting Inventory'!W20, 'Lookup Tables'!$AI$6:$AM$102, 5, FALSE)*'Lighting Inventory'!S20, "")), 2), "")</f>
        <v/>
      </c>
      <c r="FS20" s="253" t="str">
        <f>IFERROR(ROUND(IF(CD20="ERROR", "ERROR", IF(AND($FS$6=Y20,E20="Exterior"), IF(GB20=0, VLOOKUP(W20, 'Lookup Tables'!$AI$6:$AM$102, 5, FALSE)*BP20, IF(VLOOKUP(W20, 'Lookup Tables'!$AI$6:$AM$102, 5, FALSE)*BP20&gt;GB20*'Lighting Inventory'!S20, GB20*'Lighting Inventory'!S20,VLOOKUP(W20, 'Lookup Tables'!$AI$6:$AM$102, 5, FALSE)*BP20)), "")), 2), "")</f>
        <v/>
      </c>
      <c r="FT20" s="253" t="str">
        <f>IFERROR(ROUND(IF(CD20="ERROR", "ERROR", IF(AND($FT$6=Y20,E20="Interior"), IF(GB20=0, VLOOKUP(W20, 'Lookup Tables'!$AI$6:$AM$102, 5, FALSE)*BP20, IF(VLOOKUP(W20, 'Lookup Tables'!$AI$6:$AM$102, 5, FALSE)*BP20&gt;GB20*'Lighting Inventory'!S20, GB20*'Lighting Inventory'!S20,VLOOKUP(W20, 'Lookup Tables'!$AI$6:$AM$102, 5, FALSE)*BP20)), "")), 2), "")</f>
        <v/>
      </c>
      <c r="FU20" s="253" t="str">
        <f>IFERROR(ROUND(IF(CD20="ERROR", "ERROR", IF(AND(Y20=$FU$6, E20="Interior"), IF(BS20="N", 'Lookup Tables'!$AM$101*BP20, VLOOKUP(W20, 'Lookup Tables'!$AI$6:$AM$102, 5, FALSE)*S20*AD20), "")), 2), "")</f>
        <v/>
      </c>
      <c r="FV20" s="253" t="str">
        <f>IFERROR(ROUND(IF(CD20="ERROR", "ERROR", IF(AND(Y20=$FU$6, E20="Exterior"), IF(BS20="N", 'Lookup Tables'!$AM$101*BP20, VLOOKUP(W20, 'Lookup Tables'!$AI$6:$AM$102, 5, FALSE)*S20*AD20), "")), 2), "")</f>
        <v/>
      </c>
      <c r="FW20" s="253" t="str">
        <f>IFERROR(ROUND(IF(CD20="ERROR", "ERROR", IF($FW$6=Y20, IF(BS20="N", 'Lookup Tables'!$AM$101*BP20, MIN((VLOOKUP(W20, 'Lookup Tables'!$AI$6:$AM$102, 5, FALSE)*BP20),GB20*AJ20)), "")), 2), "")</f>
        <v/>
      </c>
      <c r="FX20" s="253" t="str">
        <f>IFERROR(ROUND(IF(CD20="ERROR", "ERROR", IF(AND($FX$6=Y20, E20="Interior"), IF(VLOOKUP(W20, 'Lookup Tables'!$AI$6:$AM$102, 5, FALSE)*BP20&gt;'Lookup Tables'!$AQ$97*'Lighting Inventory'!S20,'Lighting Inventory'!S20*'Lookup Tables'!$AQ$97,VLOOKUP(W20, 'Lookup Tables'!$AI$6:$AM$102, 5, FALSE)*BP20), "")), 2), "")</f>
        <v/>
      </c>
      <c r="FY20" s="253" t="str">
        <f>IFERROR(ROUND(IF(CD20="ERROR", "ERROR", IF(AND($FX$6=Y20, E20="Exterior"), IF(VLOOKUP(W20, 'Lookup Tables'!$AI$6:$AM$102, 5, FALSE)*BP20&gt;'Lookup Tables'!$AQ$97*'Lighting Inventory'!S20,'Lighting Inventory'!S20*'Lookup Tables'!$AQ$97,VLOOKUP(W20, 'Lookup Tables'!$AI$6:$AM$102, 5, FALSE)*BP20), "")), 2), "")</f>
        <v/>
      </c>
      <c r="FZ20" s="253" t="str">
        <f>IFERROR(ROUND(IF(CD20="ERROR", "ERROR", IF(AND($FZ$6=Y20, E20="Interior"), IF(AND(OR(W20="Refrigerated Case Lighting with Doors", W20="Freezer Case Lighting"),Y20="Custom - Process Improvement"),CD20*'Lookup Tables'!$AM$101, IF(B20="Retrofit", IF(VLOOKUP(IF(V20="Custom", V20, W20), 'Lookup Tables'!$AI$6:$AM$102, 5, FALSE)*BP20&gt;GE20, GE20, VLOOKUP(IF(V20="Custom", V20, W20), 'Lookup Tables'!$AI$6:$AM$102, 5, FALSE)*BP20), IF(VLOOKUP(IF(V20="Custom", V20, W20), 'Lookup Tables'!$AI$114:$AM$154, 5, FALSE)*BP20&gt;GE20, GE20, VLOOKUP(IF(V20="Custom", V20, W20), 'Lookup Tables'!$AI$114:$AM$154, 5, FALSE)*BP20))), "")), 2),"")</f>
        <v/>
      </c>
      <c r="GA20" s="253" t="str">
        <f>IFERROR(ROUND(IF(CD20="ERROR", "ERROR", IF(AND($FZ$6=Y20, E20="Exterior"), IF(B20="Retrofit", IF(VLOOKUP(IF(V20="Custom", V20, W20), 'Lookup Tables'!$AI$6:$AM$102, 5, FALSE)*BP20&gt;GE20, GE20, VLOOKUP(IF(V20="Custom", V20, W20), 'Lookup Tables'!$AI$6:$AM$102, 5, FALSE)*BP20), IF(VLOOKUP(IF(V20="Custom", V20, W20), 'Lookup Tables'!$AI$114:$AM$154, 5, FALSE)*BP20&gt;GE20, GE20, VLOOKUP(IF(V20="Custom", V20, W20), 'Lookup Tables'!$AI$114:$AM$154, 5, FALSE)*BP20)), "")), 2),"")</f>
        <v/>
      </c>
      <c r="GB20" s="254" t="str">
        <f t="array" ref="GB20">IF(B20="","",IF(OR(V20="Custom",V20="No Change"),0,IF(B20="Retrofit", INDEX('Lookup Tables'!$AH$6:$AQ$102,MATCH(1,('Lookup Tables'!$AH$6:$AH$102='Lighting Inventory'!V20)*('Lookup Tables'!$AI$6:$AI$102='Lighting Inventory'!W20),FALSE),10),INDEX('Lookup Tables'!$AH$114:$AQ$154,MATCH(1,('Lookup Tables'!$AH$114:$AH$154='Lighting Inventory'!V20)*('Lookup Tables'!$AI$114:$AI$154='Lighting Inventory'!W20),FALSE),10))))</f>
        <v/>
      </c>
      <c r="GC20" s="255" t="str">
        <f t="shared" si="77"/>
        <v/>
      </c>
      <c r="GD20" s="250" t="str">
        <f t="shared" si="78"/>
        <v/>
      </c>
      <c r="GE20" s="253" t="str">
        <f>IFERROR(IF(AND(AF20="", 'General Information'!$F$18="No"),"", IF(AF20="", ((GD20/$CD$266)*$CF$266)*0.5, AF20*S20*0.5)), "")</f>
        <v/>
      </c>
      <c r="GF20" s="255" t="str">
        <f>IF(AND('General Information'!$F$19="", 'General Information'!$F$18="Yes",AF20="",BW20="Y"), "Y", "N")</f>
        <v>N</v>
      </c>
      <c r="GG20" s="255" t="s">
        <v>2946</v>
      </c>
      <c r="GH20" s="255" t="str">
        <f>IFERROR(IF(B20="", "", VLOOKUP(J20, 'Fixture Identities'!$A$6:$N$908, 14, FALSE)), "")</f>
        <v/>
      </c>
      <c r="GI20" s="389" t="str">
        <f>IF(OR(B20="", V20="", W20=""), "", IF(AND(OR(M20='Lookup Tables'!$R$18, M20='Lookup Tables'!$R$19, M20='Lookup Tables'!$R$20, M20='Lookup Tables'!$R$21, M20='Lookup Tables'!$R$22), OR(AN20='Lookup Tables'!$R$17, AN20='Lookup Tables'!$R$17, AN20="")), "Y", "N"))</f>
        <v/>
      </c>
      <c r="GJ20" s="255" t="str">
        <f t="shared" si="79"/>
        <v/>
      </c>
      <c r="GK20" s="255" t="str">
        <f t="shared" si="80"/>
        <v/>
      </c>
      <c r="GL20" s="255" t="str">
        <f t="shared" si="81"/>
        <v/>
      </c>
      <c r="GM20" s="255" t="str">
        <f>IF(AN20="", "", IF(AND(IF(ISNA(VLOOKUP(AN20,'Lookup Tables'!$R$18:$R$22,1,FALSE)), "N", "Y")="Y", E20="Exterior"), "Y", "N"))</f>
        <v/>
      </c>
      <c r="GN20" s="395"/>
      <c r="GO20" s="428">
        <f t="shared" si="98"/>
        <v>0</v>
      </c>
      <c r="GP20" s="428">
        <f t="shared" si="167"/>
        <v>0</v>
      </c>
      <c r="GQ20" s="428">
        <f t="shared" si="99"/>
        <v>0</v>
      </c>
      <c r="GR20" s="428">
        <f t="shared" si="100"/>
        <v>0</v>
      </c>
    </row>
    <row r="21" spans="1:200" s="103" customFormat="1" ht="13.5" customHeight="1" x14ac:dyDescent="0.2">
      <c r="A21" s="272">
        <v>11</v>
      </c>
      <c r="B21" s="110"/>
      <c r="C21" s="110"/>
      <c r="D21" s="110"/>
      <c r="E21" s="110"/>
      <c r="F21" s="110"/>
      <c r="G21" s="110"/>
      <c r="H21" s="110"/>
      <c r="I21" s="29"/>
      <c r="J21" s="29"/>
      <c r="K21" s="272" t="str">
        <f>IFERROR(IF(OR(VLOOKUP(J21, 'Fixture Identities'!$A$6:$L$1023, 3, FALSE)="T12 Linear Fluorescent", VLOOKUP(J21, 'Fixture Identities'!$A$6:$L$1023, 3, FALSE)="T12 U-Tube Fluorescent"), VLOOKUP(VLOOKUP(J21, 'Fixture Identities'!$A$6:$L$1023, 11, FALSE), 'Fixture Identities'!$A$6:$L$1023, 10, FALSE), VLOOKUP(J21, 'Fixture Identities'!$A$6:$L$1023, 10, FALSE)), "")</f>
        <v/>
      </c>
      <c r="L21" s="270" t="str">
        <f t="shared" si="169"/>
        <v/>
      </c>
      <c r="M21" s="110"/>
      <c r="N21" s="110"/>
      <c r="O21" s="110"/>
      <c r="P21" s="272" t="str">
        <f>IFERROR(IF(OR(B21="Retrofit",B21=""),"",IF('Lighting Inventory'!E21="Exterior",VLOOKUP('Lighting Inventory'!N21,'Lookup Tables'!$B$83:$F$103,5,FALSE),IF(N21="Other - Please Estimate EFLH and CFs","Contact Prog. Rep.","ft^2"))), "")</f>
        <v/>
      </c>
      <c r="Q21" s="270" t="str">
        <f>IFERROR(IF(AND(B21="New Construction",E21="Interior",$F$5="Space-by-Space"),VLOOKUP('Lighting Inventory'!N21,'Lookup Tables'!$N$6:$O$97,2,FALSE),IF(AND(B21="New Construction",E21="Exterior"),VLOOKUP(N21,'Lookup Tables'!$B$83:$F$103,2,FALSE),IF(AND(B21="New Construction",'Lighting Inventory'!E21="Interior", $F$5="Building Area"),VLOOKUP(F21,'Lookup Tables'!$A$6:$J$59,10,FALSE),""))), "")</f>
        <v/>
      </c>
      <c r="R21" s="270" t="str">
        <f>IFERROR(IF(P21="Contact Prog. Rep.", "ERROR", IF(OR(B21="",B21="Retrofit"),"",IF(N21="Automated teller machines", ('Lookup Tables'!$A$82:$E$100+('Lighting Inventory'!O21-1)*'Lookup Tables'!$A$82:$E$100)/1000, (Q21*O21)/1000))), "")</f>
        <v/>
      </c>
      <c r="S21" s="595"/>
      <c r="T21" s="105" t="str">
        <f t="shared" si="83"/>
        <v/>
      </c>
      <c r="U21" s="105" t="str">
        <f>IF(S21="","",COUNT($S$11:S21))</f>
        <v/>
      </c>
      <c r="V21" s="111"/>
      <c r="W21" s="112"/>
      <c r="X21" s="105" t="str">
        <f t="shared" si="84"/>
        <v/>
      </c>
      <c r="Y21" s="105" t="str">
        <f t="array" ref="Y21">IF(AND(OR(W21="Freezer Case Lighting", W21="Refrigerated Case Lighting with Doors"), 'General Information'!$X$18="LCI"),'Lookup Tables'!$Y$34, IF(V21="Custom", VLOOKUP(W21, 'Fixture Identities'!$A$974:$M$1023, 13, FALSE), IF(V21="No Change",'Lookup Tables'!$Y$29,IF(OR(V21="",W21=""),"",IF(AND(S21=0,S21&lt;I21,B21="Retrofit"),'Lookup Tables'!$Y$25, IF(B21="Retrofit", INDEX('Lookup Tables'!$AH$6:$AP$102, MATCH(1, ('Lookup Tables'!$AH$6:$AH$102=V21)*('Lookup Tables'!$AI$6:$AI$102=W21), 0), IF('Lighting Inventory'!E21="Interior", 4, 5)), INDEX('Lookup Tables'!$AH$114:$AP$154, MATCH(1, ('Lookup Tables'!$AH$114:$AH$154=V21)*('Lookup Tables'!$AI$114:$AI$154=W21), 0), IF('Lighting Inventory'!E21="Interior", 4, 5))))))))</f>
        <v/>
      </c>
      <c r="Z21" s="105" t="str">
        <f>IFERROR(INDEX('Lookup Tables'!$AH$158:$AH$172,MATCH('Lighting Inventory'!Y21,'Lookup Tables'!$AI$158:$AI$172,0)),"")</f>
        <v/>
      </c>
      <c r="AA21" s="105" t="str">
        <f>IF(AP21&gt;0,INDEX('Lookup Tables'!$AK$158:$AK$172,MATCH('Lighting Inventory'!Y21,'Lookup Tables'!$AI$158:$AI$172,0)),'Lighting Inventory'!Y21)</f>
        <v/>
      </c>
      <c r="AB21" s="105" t="str">
        <f t="array" ref="AB21">IF(V21="Custom", "Custom", IF(V21="", "", IF(V21="Not DLC or Energy Star", "General", IF(B21="New Construction", INDEX('Lookup Tables'!$AH$114:$AP$154,MATCH(1,('Lookup Tables'!$AH$114:$AH$154='Lighting Inventory'!V21)*('Lookup Tables'!$AI$114:$AI$154='Lighting Inventory'!W21),FALSE),8), INDEX('Lookup Tables'!$AH$6:$AP$102,MATCH(1,('Lookup Tables'!$AH$6:$AH$102='Lighting Inventory'!V21)*('Lookup Tables'!$AI$6:$AI$102='Lighting Inventory'!W21),FALSE),8)))))</f>
        <v/>
      </c>
      <c r="AC21" s="272" t="str">
        <f>IF(W21="","",IF(V21="Custom",CONCATENATE("$",'Lookup Tables'!$AM$101," ",'Lookup Tables'!$AN$101),CONCATENATE("$",INDEX('Lookup Tables'!$AM$6:$AM$102,MATCH('Lighting Inventory'!W21,'Lookup Tables'!$AI$6:$AI$102,0))," ",INDEX('Lookup Tables'!$AN$6:$AN$102,MATCH('Lighting Inventory'!W21,'Lookup Tables'!$AI$6:$AI$102,0)))))</f>
        <v/>
      </c>
      <c r="AD21" s="72"/>
      <c r="AE21" s="29"/>
      <c r="AF21" s="379"/>
      <c r="AG21" s="370" t="str">
        <f t="shared" si="2"/>
        <v/>
      </c>
      <c r="AH21" s="370" t="str">
        <f t="shared" si="85"/>
        <v/>
      </c>
      <c r="AI21" s="29"/>
      <c r="AJ21" s="29"/>
      <c r="AK21" s="110"/>
      <c r="AL21" s="375" t="str">
        <f>IF(OR(B21="", V21="", W21=""), "", IF(V21="No Change", K21, IF(V21="Remove Fixture", 0, IF(V21="Custom",VLOOKUP(W21,'Fixture Identities'!$A$6:$K$1023,10,FALSE),IF(AE21="", "← ENTER POST WATTS", 'Lighting Inventory'!AE21)))))</f>
        <v/>
      </c>
      <c r="AM21" s="376" t="str">
        <f t="shared" si="3"/>
        <v/>
      </c>
      <c r="AN21" s="29"/>
      <c r="AO21" s="671"/>
      <c r="AP21" s="29"/>
      <c r="AQ21" s="29"/>
      <c r="AR21" s="29"/>
      <c r="AS21" s="272" t="str">
        <f t="shared" si="4"/>
        <v/>
      </c>
      <c r="AT21" s="270" t="str">
        <f t="shared" si="5"/>
        <v/>
      </c>
      <c r="AU21" s="88" t="str">
        <f t="shared" si="6"/>
        <v/>
      </c>
      <c r="AV21" s="29"/>
      <c r="AW21" s="73"/>
      <c r="AX21" s="271" t="str">
        <f>IF(AND(AV21="Applicant",OR(AW21="", AW21="Use Default Facility Hours")),"← Choose Schedule",IF(F21="","",IF(W21="LED Exit Signs",8760,IF(OR(AV21="Prescribed",AV21=""),VLOOKUP(F21,'Lookup Tables'!$A$6:$G$59,IF(AB21="General", 6, 3),FALSE),VLOOKUP(AW21,'Lookup Tables'!$S$36:$U$43,2,FALSE)))))</f>
        <v/>
      </c>
      <c r="AY21" s="88" t="str">
        <f t="shared" si="7"/>
        <v/>
      </c>
      <c r="AZ21" s="270" t="str">
        <f>IFERROR(IF(F21="", "", IF(W21="LED Exit Signs", 1, IF(AV21="Applicant",VLOOKUP(AW21, 'Lookup Tables'!$S$36:$U$43,3, FALSE), VLOOKUP('Lighting Inventory'!F21, 'Lookup Tables'!$A$6:$H$59, IF('Lighting Inventory'!AB21="General",7,4), FALSE)))), "")</f>
        <v/>
      </c>
      <c r="BA21" s="522" t="str">
        <f>IFERROR(IF(F21="", "", IF(W21="LED Exit Signs", 1, VLOOKUP('Lighting Inventory'!F21, 'Lookup Tables'!$A$6:$H$59, IF('Lighting Inventory'!AB21="General",8,5), FALSE))), "")</f>
        <v/>
      </c>
      <c r="BB21" s="270" t="str">
        <f>IF(G21="", "", IF(E21="Exterior", 0, IF('Lighting Inventory'!G21="Air Conditioned", VLOOKUP(H21, 'Lookup Tables'!$R$6:$T$13, 2, FALSE), VLOOKUP('Lighting Inventory'!G21, 'Lookup Tables'!$R$6:$T$13, 2, FALSE))))</f>
        <v/>
      </c>
      <c r="BC21" s="522" t="str">
        <f>IF(G21="", "", IF(E21="Exterior", 0, IF('Lighting Inventory'!G21="Air Conditioned", VLOOKUP(H21, 'Lookup Tables'!$R$6:$T$13, 3, FALSE), VLOOKUP('Lighting Inventory'!G21, 'Lookup Tables'!$R$6:$T$13, 3, FALSE))))</f>
        <v/>
      </c>
      <c r="BD21" s="270" t="str">
        <f>IF(G21="", "", IF(E21="Exterior", 0, IF('Lighting Inventory'!G21="Air Conditioned", VLOOKUP(H21, 'Lookup Tables'!$R$6:$U$13, 4, FALSE), VLOOKUP('Lighting Inventory'!G21, 'Lookup Tables'!$R$6:$U$13, 4, FALSE))))</f>
        <v/>
      </c>
      <c r="BE21" s="270" t="str">
        <f>IFERROR(IF(B21="", "",  IF(B21="New Construction", VLOOKUP(F21, 'Lookup Tables'!$A$6:$K$59, 11, FALSE),IF(OR(AN21="", AN21="Light Switch"), 0, IF(OR(M21="",M21="None",V21= "LED Exit Signs"),0,_xlfn.XLOOKUP(M21,'Lookup Tables'!$R$91:$R$101,'Lookup Tables'!$V$91:$V$101))))), "")</f>
        <v/>
      </c>
      <c r="BF21" s="270" t="str">
        <f>IF(AND(OR(AN21="Light Switch",AN21=""),B21="New Construction"), VLOOKUP(F21, 'Lookup Tables'!$A$6:$K$59, 11, FALSE),IF(AN21="","",IF(B21="","",IF(OR(AN21="None",AN21="",V21="LED Exit Signs",AN21="Exterior Controls Not Eligible"),0,_xlfn.XLOOKUP(AN21,'Lookup Tables'!$R$91:$R$101,'Lookup Tables'!$V$91:$V$101)))))</f>
        <v/>
      </c>
      <c r="BG21" s="88" t="str">
        <f t="shared" si="86"/>
        <v/>
      </c>
      <c r="BH21" s="88" t="str">
        <f t="shared" si="87"/>
        <v/>
      </c>
      <c r="BI21" s="558" t="str">
        <f t="shared" si="168"/>
        <v/>
      </c>
      <c r="BJ21" s="560" t="str">
        <f t="shared" si="88"/>
        <v/>
      </c>
      <c r="BK21" s="560" t="str">
        <f t="shared" si="89"/>
        <v/>
      </c>
      <c r="BL21" s="559" t="str">
        <f t="shared" si="90"/>
        <v/>
      </c>
      <c r="BM21" s="521" t="str">
        <f t="shared" si="8"/>
        <v/>
      </c>
      <c r="BN21" s="521" t="str">
        <f t="shared" si="9"/>
        <v/>
      </c>
      <c r="BO21" s="522" t="str">
        <f t="shared" si="10"/>
        <v/>
      </c>
      <c r="BP21" s="83" t="str">
        <f t="shared" si="91"/>
        <v/>
      </c>
      <c r="BQ21" s="84" t="str">
        <f t="shared" si="92"/>
        <v/>
      </c>
      <c r="BR21" s="184" t="str">
        <f>IFERROR(IF(B21="", "", IF(OR(VLOOKUP(J21, 'Fixture Identities'!$A$6:$L$1023, 3, FALSE)="T12 Linear Fluorescent",VLOOKUP(J21, 'Fixture Identities'!$A$6:$L$1023, 3, FALSE)="T12 U-Tube Fluorescent"), "Y", "N")), "N")</f>
        <v/>
      </c>
      <c r="BS21" s="184" t="str">
        <f t="array" ref="BS21">IFERROR(IF(OR(B21="", V21="", W21=""), "", IF(V21="Custom", "N", IF(OR(W21="Freezer Case Lighting", W21="Refrigerated Case Lighting with Doors"), BT21, IF(B21="Retrofit", INDEX('Lookup Tables'!$AH$6:$AT$102,MATCH(1,('Lookup Tables'!$AH$6:$AH$102=V21)*('Lookup Tables'!$AI$6:$AI$102=W21),FALSE),IF(VLOOKUP(J21, 'Fixture Identities'!$A$6:$B$1023, 2, FALSE)="Incandescent",12, 13)), INDEX('Lookup Tables'!$AH$114:$AS$154,MATCH(1,('Lookup Tables'!$AH$114:$AH$154=V21)*('Lookup Tables'!$AI$114:$AI$154=W21),FALSE),12))))), "N")</f>
        <v/>
      </c>
      <c r="BT21" s="184" t="str">
        <f>IF(J21="", "", IF(AND(OR(W21="Freezer case Lighting", W21="Refrigerated Case Lighting with Doors"),'General Information'!$X$18="LCI"), "N", IF(OR(VLOOKUP(J21, 'Fixture Identities'!$A$6:$B$1023, 2, FALSE)="T12 EPACT/EISA Baseline", VLOOKUP(J21, 'Fixture Identities'!$A$6:$B$1023, 2, FALSE)="Linear Fluorescent", VLOOKUP(J21, 'Fixture Identities'!$A$6:$B$1023, 2, FALSE)="U-Tube Fluorescent"), "Y", "N")))</f>
        <v/>
      </c>
      <c r="BU21" s="184" t="str">
        <f>IFERROR(IF(B21="", "", IF(VLOOKUP(J21, 'Fixture Identities'!$A$6:$B$1023, 2, FALSE)="Exit Sign", "Y", "N")), "N")</f>
        <v/>
      </c>
      <c r="BV21" s="184" t="str">
        <f>IF(V21="Exit Signs", IF(VLOOKUP(J21, 'Fixture Identities'!$A$6:$B$1023, 2, FALSE)="Exit Sign", "N", "Y"), "")</f>
        <v/>
      </c>
      <c r="BW21" s="184" t="str">
        <f t="array" ref="BW21">IFERROR(IF(B21="", "", IF(B21="New Construction", "N", INDEX('Lookup Tables'!$AH$6:$AU$102, MATCH(1, ('Lookup Tables'!$AH$6:$AH$102='Lighting Inventory'!V21)*('Lookup Tables'!$AI$6:$AI$102='Lighting Inventory'!W21), 0), 14))), "N")</f>
        <v/>
      </c>
      <c r="BX21" s="598" t="str">
        <f t="shared" si="93"/>
        <v/>
      </c>
      <c r="BY21" s="598" t="str">
        <f t="shared" si="94"/>
        <v/>
      </c>
      <c r="BZ21" s="598" t="str">
        <f t="shared" si="95"/>
        <v/>
      </c>
      <c r="CA21" s="598" t="str">
        <f t="shared" si="101"/>
        <v/>
      </c>
      <c r="CB21" s="269" t="str">
        <f t="shared" si="102"/>
        <v/>
      </c>
      <c r="CC21" s="517" t="str">
        <f t="shared" si="96"/>
        <v/>
      </c>
      <c r="CD21" s="565" t="str">
        <f t="shared" si="11"/>
        <v/>
      </c>
      <c r="CE21" s="368">
        <v>0</v>
      </c>
      <c r="CF21" s="368" t="str" cm="1">
        <f t="array" ref="CF21">IFERROR(IF(V21="Custom", "$0.1 per kWh", IF(B21="New Construction", CONCATENATE("$",INDEX('Lookup Tables'!$AH$114:$AN$154,MATCH(1,('Lookup Tables'!$AH$114:$AH$154='Lighting Inventory'!V21)*('Lookup Tables'!$AI$114:$AI$154='Lighting Inventory'!W21),FALSE),6)," ",INDEX('Lookup Tables'!$AH$114:$AN$154,MATCH(1,('Lookup Tables'!$AH$114:$AH$154='Lighting Inventory'!V21)*('Lookup Tables'!$AI$114:$AI$154='Lighting Inventory'!W21),FALSE),7)), IF(AND(BU21="N", V21="Exit Signs"), "$0.025 per kWh", CONCATENATE("$",INDEX('Lookup Tables'!$AH$6:$AN$102,MATCH(1,('Lookup Tables'!$AH$6:$AH$102='Lighting Inventory'!V21)*('Lookup Tables'!$AI$6:$AI$102='Lighting Inventory'!W21),FALSE),6)," ",INDEX('Lookup Tables'!$AH$6:$AN$102,MATCH(1,('Lookup Tables'!$AH$6:$AH$102='Lighting Inventory'!V21)*('Lookup Tables'!$AI$6:$AI$102='Lighting Inventory'!W21),FALSE),7))))), "")</f>
        <v/>
      </c>
      <c r="CG21" s="580"/>
      <c r="CH21" s="248" t="str">
        <f t="shared" si="170"/>
        <v/>
      </c>
      <c r="CI21" s="248" t="str">
        <f t="shared" si="171"/>
        <v>Select_IE</v>
      </c>
      <c r="CJ21" s="248" t="str">
        <f t="shared" si="172"/>
        <v/>
      </c>
      <c r="CK21" s="248" t="str">
        <f t="shared" si="173"/>
        <v/>
      </c>
      <c r="CL21" s="248" t="str">
        <f t="shared" si="174"/>
        <v/>
      </c>
      <c r="CM21" s="248" t="str">
        <f>IFERROR(IF(B21="", "", IF(B21="New Construction", VLOOKUP(V21, 'Lookup Tables'!$AF$114:$AG$120, 2, FALSE), VLOOKUP(V21, 'Lookup Tables'!$AD$6:$AE$25, 2, FALSE))), "")</f>
        <v/>
      </c>
      <c r="CN21" s="248" t="str">
        <f t="shared" si="175"/>
        <v/>
      </c>
      <c r="CO21" s="248" t="str">
        <f t="shared" si="176"/>
        <v/>
      </c>
      <c r="CP21" s="592" t="str">
        <f t="shared" si="177"/>
        <v/>
      </c>
      <c r="CQ21" s="248" t="str">
        <f t="shared" si="97"/>
        <v/>
      </c>
      <c r="CR21" s="100"/>
      <c r="CS21" s="250" t="str">
        <f t="shared" si="178"/>
        <v/>
      </c>
      <c r="CT21" s="250" t="str">
        <f t="shared" si="179"/>
        <v/>
      </c>
      <c r="CU21" s="250" t="str">
        <f t="shared" si="180"/>
        <v/>
      </c>
      <c r="CV21" s="250" t="str">
        <f t="shared" si="181"/>
        <v/>
      </c>
      <c r="CW21" s="250" t="str">
        <f t="shared" si="182"/>
        <v/>
      </c>
      <c r="CX21" s="250" t="str">
        <f t="shared" si="183"/>
        <v/>
      </c>
      <c r="CY21" s="250" t="str">
        <f t="shared" si="184"/>
        <v/>
      </c>
      <c r="CZ21" s="250" t="str">
        <f t="shared" si="185"/>
        <v/>
      </c>
      <c r="DA21" s="250" t="str">
        <f t="shared" si="186"/>
        <v/>
      </c>
      <c r="DB21" s="250" t="str">
        <f t="shared" si="187"/>
        <v/>
      </c>
      <c r="DC21" s="250" t="str">
        <f t="shared" si="188"/>
        <v/>
      </c>
      <c r="DD21" s="250" t="str">
        <f t="shared" si="189"/>
        <v/>
      </c>
      <c r="DE21" s="250" t="str">
        <f t="shared" si="190"/>
        <v/>
      </c>
      <c r="DF21" s="250" t="str">
        <f t="shared" si="191"/>
        <v/>
      </c>
      <c r="DG21" s="250" t="str">
        <f t="shared" si="192"/>
        <v/>
      </c>
      <c r="DH21" s="250" t="str">
        <f t="shared" si="193"/>
        <v/>
      </c>
      <c r="DI21" s="250" t="str">
        <f t="shared" si="194"/>
        <v/>
      </c>
      <c r="DJ21" s="250" t="str">
        <f t="shared" si="195"/>
        <v/>
      </c>
      <c r="DK21" s="250" t="str">
        <f t="shared" si="196"/>
        <v/>
      </c>
      <c r="DL21" s="250" t="str">
        <f t="shared" si="197"/>
        <v/>
      </c>
      <c r="DM21" s="250" t="str">
        <f>IF(CD21="ERROR", "ERROR", IF(AND(OR(Y21=$DM$6, Y21='Lookup Tables'!$AD$21, Y21='Lookup Tables'!$AD$22), E21="Interior"), BJ21, ""))</f>
        <v/>
      </c>
      <c r="DN21" s="250" t="str">
        <f>IF(CD21="ERROR", "ERROR", IF(AND(OR(Y21=$DM$6, Y21='Lookup Tables'!$AD$21, Y21='Lookup Tables'!$AD$22), E21="Exterior"), BJ21, ""))</f>
        <v/>
      </c>
      <c r="DO21" s="100"/>
      <c r="DP21" s="250" t="str">
        <f t="shared" si="198"/>
        <v/>
      </c>
      <c r="DQ21" s="250" t="str">
        <f t="shared" si="199"/>
        <v/>
      </c>
      <c r="DR21" s="250" t="str">
        <f t="shared" si="200"/>
        <v/>
      </c>
      <c r="DS21" s="250" t="str">
        <f t="shared" si="201"/>
        <v/>
      </c>
      <c r="DT21" s="250" t="str">
        <f t="shared" si="202"/>
        <v/>
      </c>
      <c r="DU21" s="250" t="str">
        <f t="shared" si="203"/>
        <v/>
      </c>
      <c r="DV21" s="250" t="str">
        <f t="shared" si="204"/>
        <v/>
      </c>
      <c r="DW21" s="250" t="str">
        <f t="shared" si="205"/>
        <v/>
      </c>
      <c r="DX21" s="250" t="str">
        <f t="shared" si="206"/>
        <v/>
      </c>
      <c r="DY21" s="250" t="str">
        <f t="shared" si="207"/>
        <v/>
      </c>
      <c r="DZ21" s="250" t="str">
        <f t="shared" si="208"/>
        <v/>
      </c>
      <c r="EA21" s="250" t="str">
        <f t="shared" si="209"/>
        <v/>
      </c>
      <c r="EB21" s="250" t="str">
        <f t="shared" si="210"/>
        <v/>
      </c>
      <c r="EC21" s="250" t="str">
        <f t="shared" si="211"/>
        <v/>
      </c>
      <c r="ED21" s="250" t="str">
        <f t="shared" si="212"/>
        <v/>
      </c>
      <c r="EE21" s="250" t="str">
        <f t="shared" si="213"/>
        <v/>
      </c>
      <c r="EF21" s="250" t="str">
        <f t="shared" si="214"/>
        <v/>
      </c>
      <c r="EG21" s="250" t="str">
        <f t="shared" si="215"/>
        <v/>
      </c>
      <c r="EH21" s="250" t="str">
        <f>IF(CD21="ERROR", "ERROR", IF(AND(OR($EH$6=Y21, Y21='Lookup Tables'!$AD$21, Y21='Lookup Tables'!$AD$22),E21="Interior"), SUM(BP21:BP21), ""))</f>
        <v/>
      </c>
      <c r="EI21" s="250" t="str">
        <f>IF(CD21="ERROR", "ERROR", IF(AND(OR($EH$6=Y21, Y21='Lookup Tables'!$AD$21, Y21='Lookup Tables'!$AD$22),E21="Exterior"), SUM(BP21:BP21), ""))</f>
        <v/>
      </c>
      <c r="EJ21" s="109"/>
      <c r="EK21" s="485" t="str">
        <f t="shared" si="58"/>
        <v/>
      </c>
      <c r="EL21" s="252" t="str">
        <f t="shared" si="216"/>
        <v/>
      </c>
      <c r="EM21" s="252" t="str">
        <f t="shared" si="217"/>
        <v/>
      </c>
      <c r="EN21" s="252" t="str">
        <f t="shared" si="218"/>
        <v/>
      </c>
      <c r="EO21" s="252" t="str">
        <f t="shared" si="219"/>
        <v/>
      </c>
      <c r="EP21" s="252" t="str">
        <f t="shared" si="220"/>
        <v/>
      </c>
      <c r="EQ21" s="252" t="str">
        <f t="shared" si="221"/>
        <v/>
      </c>
      <c r="ER21" s="252" t="str">
        <f t="shared" si="222"/>
        <v/>
      </c>
      <c r="ES21" s="252" t="str">
        <f t="shared" si="223"/>
        <v/>
      </c>
      <c r="ET21" s="252" t="str">
        <f t="shared" si="224"/>
        <v/>
      </c>
      <c r="EU21" s="252" t="str">
        <f t="shared" si="225"/>
        <v/>
      </c>
      <c r="EV21" s="252" t="str">
        <f t="shared" si="226"/>
        <v/>
      </c>
      <c r="EW21" s="252" t="str">
        <f t="shared" si="227"/>
        <v/>
      </c>
      <c r="EX21" s="252" t="str">
        <f t="shared" si="228"/>
        <v/>
      </c>
      <c r="EY21" s="252" t="str">
        <f t="shared" si="229"/>
        <v/>
      </c>
      <c r="EZ21" s="252" t="str">
        <f t="shared" si="230"/>
        <v/>
      </c>
      <c r="FA21" s="252" t="str">
        <f t="shared" si="231"/>
        <v/>
      </c>
      <c r="FB21" s="252" t="str">
        <f t="shared" si="232"/>
        <v/>
      </c>
      <c r="FC21" s="252" t="str">
        <f>IF(CD21="ERROR", "ERROR", IF(OR(V21="No Change", V21="Not DLC or Energy Star"), "", IF(AND(OR($FC$6=Y21,Y21='Lookup Tables'!$AD$21, Y21='Lookup Tables'!$AD$22),E21="Interior"), S21, "")))</f>
        <v/>
      </c>
      <c r="FD21" s="252" t="str">
        <f t="shared" si="233"/>
        <v/>
      </c>
      <c r="FE21" s="101"/>
      <c r="FF21" s="579" t="str" cm="1">
        <f t="array" ref="FF21">IFERROR(IF(OR(BQ21&lt;=0,AQ21&lt;20,AND(V21="Exit Signs",AN21&gt;0)),"",IF(AND(AQ21&gt;=20,AN21='Lookup Tables'!$R$101),'Lookup Tables'!$U$101*BQ21,AP21*LOOKUP(2,1/((AN21='Lookup Tables'!$R$91:$R$111)*(AQ21&gt;='Lookup Tables'!$S$91:$S$111)*(AQ21&lt;='Lookup Tables'!$T$91:$T$111)),'Lookup Tables'!$U$91:$U$111))),"")</f>
        <v/>
      </c>
      <c r="FG21" s="579"/>
      <c r="FH21" s="579"/>
      <c r="FI21" s="253" t="str">
        <f>IFERROR(ROUND(IF(CD21="ERROR", "ERROR", IF(AND($FI$7=X21,E21="Interior"),VLOOKUP(W21, 'Lookup Tables'!$AI$6:$AM$102, 5, FALSE)*BP21, "")), 2), "")</f>
        <v/>
      </c>
      <c r="FJ21" s="253" t="str">
        <f>IFERROR(ROUND(IF(CD21="ERROR", "ERROR", IF(AND($FI$7=X21,E21="Exterior"),VLOOKUP(W21, 'Lookup Tables'!$AI$6:$AM$102, 5, FALSE)*BP21, "")), 2), "")</f>
        <v/>
      </c>
      <c r="FK21" s="253" t="str">
        <f>IFERROR(ROUND(IF(CD21="ERROR", "ERROR", IF(AND($FK$7=X21,E21="Interior"),VLOOKUP(W21, 'Lookup Tables'!$AI$6:$AM$102, 5, FALSE)*BP21, "")), 2), "")</f>
        <v/>
      </c>
      <c r="FL21" s="253" t="str">
        <f>IFERROR(ROUND(IF(CD21="ERROR", "ERROR", IF(AND($FK$7=X21,E21="Exterior"),VLOOKUP(W21, 'Lookup Tables'!$AI$6:$AM$102, 5, FALSE)*BP21, "")), 2), "")</f>
        <v/>
      </c>
      <c r="FM21" s="253" t="str">
        <f>IFERROR(ROUND(IF(CD21="ERROR", "ERROR", IF(AND($FM$6=Y21,E21="Interior"), IF(GB21=0, VLOOKUP(W21, 'Lookup Tables'!$AI$6:$AM$102, 5, FALSE)*BP21, IF(VLOOKUP(W21, 'Lookup Tables'!$AI$6:$AM$102, 5, FALSE)*BP21&gt;GB21*'Lighting Inventory'!S21, GB21*'Lighting Inventory'!S21,VLOOKUP(W21, 'Lookup Tables'!$AI$6:$AM$102, 5, FALSE)*BP21)), "")), 2), "")</f>
        <v/>
      </c>
      <c r="FN21" s="253" t="str">
        <f>IFERROR(ROUND(IF(CD21="ERROR", "ERROR", IF(AND($FM$6=Y21,E21="Exterior"), IF(GB21=0, VLOOKUP(W21, 'Lookup Tables'!$AI$6:$AM$102, 5, FALSE)*BP21, IF(VLOOKUP(W21, 'Lookup Tables'!$AI$6:$AM$102, 5, FALSE)*BP21&gt;GB21*'Lighting Inventory'!S21, GB21*'Lighting Inventory'!S21,VLOOKUP(W21, 'Lookup Tables'!$AI$6:$AM$102, 5, FALSE)*BP21)), "")), 2), "")</f>
        <v/>
      </c>
      <c r="FO21" s="253" t="str">
        <f>IFERROR(ROUND(IF(CD21="ERROR", "ERROR", IF(AND($FO$6=Y21,E21="Interior"),VLOOKUP(W21, 'Lookup Tables'!$AI$6:$AM$102, 5, FALSE)*'Lighting Inventory'!AI21, "")), 2), "")</f>
        <v/>
      </c>
      <c r="FP21" s="253" t="str">
        <f>IFERROR(ROUND(IF(CD21="ERROR", "ERROR", IF(AND($FO$6=Y21,E21="Exterior"),VLOOKUP(W21, 'Lookup Tables'!$AI$6:$AM$102, 5, FALSE)*'Lighting Inventory'!AI21, "")), 2), "")</f>
        <v/>
      </c>
      <c r="FQ21" s="253" t="str">
        <f>IFERROR(ROUND(IF(CD21="ERROR", "ERROR", IF(AND($FQ$6=Y21,E21="Interior", BU21="Y"), VLOOKUP('Lighting Inventory'!W21, 'Lookup Tables'!$AI$6:$AM$102, 5, FALSE)*'Lighting Inventory'!S21, IF(AND($FQ$7=Y21,E21="Interior", BU21="N"), 0.025*CD21, ""))), 2), "")</f>
        <v/>
      </c>
      <c r="FR21" s="253" t="str">
        <f>IFERROR(ROUND(IF(CD21="ERROR", "ERROR", IF(AND($FQ$6=Y21,E21="Exterior"), VLOOKUP('Lighting Inventory'!W21, 'Lookup Tables'!$AI$6:$AM$102, 5, FALSE)*'Lighting Inventory'!S21, "")), 2), "")</f>
        <v/>
      </c>
      <c r="FS21" s="253" t="str">
        <f>IFERROR(ROUND(IF(CD21="ERROR", "ERROR", IF(AND($FS$6=Y21,E21="Exterior"), IF(GB21=0, VLOOKUP(W21, 'Lookup Tables'!$AI$6:$AM$102, 5, FALSE)*BP21, IF(VLOOKUP(W21, 'Lookup Tables'!$AI$6:$AM$102, 5, FALSE)*BP21&gt;GB21*'Lighting Inventory'!S21, GB21*'Lighting Inventory'!S21,VLOOKUP(W21, 'Lookup Tables'!$AI$6:$AM$102, 5, FALSE)*BP21)), "")), 2), "")</f>
        <v/>
      </c>
      <c r="FT21" s="253" t="str">
        <f>IFERROR(ROUND(IF(CD21="ERROR", "ERROR", IF(AND($FT$6=Y21,E21="Interior"), IF(GB21=0, VLOOKUP(W21, 'Lookup Tables'!$AI$6:$AM$102, 5, FALSE)*BP21, IF(VLOOKUP(W21, 'Lookup Tables'!$AI$6:$AM$102, 5, FALSE)*BP21&gt;GB21*'Lighting Inventory'!S21, GB21*'Lighting Inventory'!S21,VLOOKUP(W21, 'Lookup Tables'!$AI$6:$AM$102, 5, FALSE)*BP21)), "")), 2), "")</f>
        <v/>
      </c>
      <c r="FU21" s="253" t="str">
        <f>IFERROR(ROUND(IF(CD21="ERROR", "ERROR", IF(AND(Y21=$FU$6, E21="Interior"), IF(BS21="N", 'Lookup Tables'!$AM$101*BP21, VLOOKUP(W21, 'Lookup Tables'!$AI$6:$AM$102, 5, FALSE)*S21*AD21), "")), 2), "")</f>
        <v/>
      </c>
      <c r="FV21" s="253" t="str">
        <f>IFERROR(ROUND(IF(CD21="ERROR", "ERROR", IF(AND(Y21=$FU$6, E21="Exterior"), IF(BS21="N", 'Lookup Tables'!$AM$101*BP21, VLOOKUP(W21, 'Lookup Tables'!$AI$6:$AM$102, 5, FALSE)*S21*AD21), "")), 2), "")</f>
        <v/>
      </c>
      <c r="FW21" s="253" t="str">
        <f>IFERROR(ROUND(IF(CD21="ERROR", "ERROR", IF($FW$6=Y21, IF(BS21="N", 'Lookup Tables'!$AM$101*BP21, MIN((VLOOKUP(W21, 'Lookup Tables'!$AI$6:$AM$102, 5, FALSE)*BP21),GB21*AJ21)), "")), 2), "")</f>
        <v/>
      </c>
      <c r="FX21" s="253" t="str">
        <f>IFERROR(ROUND(IF(CD21="ERROR", "ERROR", IF(AND($FX$6=Y21, E21="Interior"), IF(VLOOKUP(W21, 'Lookup Tables'!$AI$6:$AM$102, 5, FALSE)*BP21&gt;'Lookup Tables'!$AQ$97*'Lighting Inventory'!S21,'Lighting Inventory'!S21*'Lookup Tables'!$AQ$97,VLOOKUP(W21, 'Lookup Tables'!$AI$6:$AM$102, 5, FALSE)*BP21), "")), 2), "")</f>
        <v/>
      </c>
      <c r="FY21" s="253" t="str">
        <f>IFERROR(ROUND(IF(CD21="ERROR", "ERROR", IF(AND($FX$6=Y21, E21="Exterior"), IF(VLOOKUP(W21, 'Lookup Tables'!$AI$6:$AM$102, 5, FALSE)*BP21&gt;'Lookup Tables'!$AQ$97*'Lighting Inventory'!S21,'Lighting Inventory'!S21*'Lookup Tables'!$AQ$97,VLOOKUP(W21, 'Lookup Tables'!$AI$6:$AM$102, 5, FALSE)*BP21), "")), 2), "")</f>
        <v/>
      </c>
      <c r="FZ21" s="253" t="str">
        <f>IFERROR(ROUND(IF(CD21="ERROR", "ERROR", IF(AND($FZ$6=Y21, E21="Interior"), IF(AND(OR(W21="Refrigerated Case Lighting with Doors", W21="Freezer Case Lighting"),Y21="Custom - Process Improvement"),CD21*'Lookup Tables'!$AM$101, IF(B21="Retrofit", IF(VLOOKUP(IF(V21="Custom", V21, W21), 'Lookup Tables'!$AI$6:$AM$102, 5, FALSE)*BP21&gt;GE21, GE21, VLOOKUP(IF(V21="Custom", V21, W21), 'Lookup Tables'!$AI$6:$AM$102, 5, FALSE)*BP21), IF(VLOOKUP(IF(V21="Custom", V21, W21), 'Lookup Tables'!$AI$114:$AM$154, 5, FALSE)*BP21&gt;GE21, GE21, VLOOKUP(IF(V21="Custom", V21, W21), 'Lookup Tables'!$AI$114:$AM$154, 5, FALSE)*BP21))), "")), 2),"")</f>
        <v/>
      </c>
      <c r="GA21" s="253" t="str">
        <f>IFERROR(ROUND(IF(CD21="ERROR", "ERROR", IF(AND($FZ$6=Y21, E21="Exterior"), IF(B21="Retrofit", IF(VLOOKUP(IF(V21="Custom", V21, W21), 'Lookup Tables'!$AI$6:$AM$102, 5, FALSE)*BP21&gt;GE21, GE21, VLOOKUP(IF(V21="Custom", V21, W21), 'Lookup Tables'!$AI$6:$AM$102, 5, FALSE)*BP21), IF(VLOOKUP(IF(V21="Custom", V21, W21), 'Lookup Tables'!$AI$114:$AM$154, 5, FALSE)*BP21&gt;GE21, GE21, VLOOKUP(IF(V21="Custom", V21, W21), 'Lookup Tables'!$AI$114:$AM$154, 5, FALSE)*BP21)), "")), 2),"")</f>
        <v/>
      </c>
      <c r="GB21" s="254" t="str">
        <f t="array" ref="GB21">IF(B21="","",IF(OR(V21="Custom",V21="No Change"),0,IF(B21="Retrofit", INDEX('Lookup Tables'!$AH$6:$AQ$102,MATCH(1,('Lookup Tables'!$AH$6:$AH$102='Lighting Inventory'!V21)*('Lookup Tables'!$AI$6:$AI$102='Lighting Inventory'!W21),FALSE),10),INDEX('Lookup Tables'!$AH$114:$AQ$154,MATCH(1,('Lookup Tables'!$AH$114:$AH$154='Lighting Inventory'!V21)*('Lookup Tables'!$AI$114:$AI$154='Lighting Inventory'!W21),FALSE),10))))</f>
        <v/>
      </c>
      <c r="GC21" s="255" t="str">
        <f t="shared" si="77"/>
        <v/>
      </c>
      <c r="GD21" s="250" t="str">
        <f t="shared" si="78"/>
        <v/>
      </c>
      <c r="GE21" s="253" t="str">
        <f>IFERROR(IF(AND(AF21="", 'General Information'!$F$18="No"),"", IF(AF21="", ((GD21/$CD$266)*$CF$266)*0.5, AF21*S21*0.5)), "")</f>
        <v/>
      </c>
      <c r="GF21" s="255" t="str">
        <f>IF(AND('General Information'!$F$19="", 'General Information'!$F$18="Yes",AF21="",BW21="Y"), "Y", "N")</f>
        <v>N</v>
      </c>
      <c r="GG21" s="255" t="s">
        <v>2946</v>
      </c>
      <c r="GH21" s="255" t="str">
        <f>IFERROR(IF(B21="", "", VLOOKUP(J21, 'Fixture Identities'!$A$6:$N$908, 14, FALSE)), "")</f>
        <v/>
      </c>
      <c r="GI21" s="389" t="str">
        <f>IF(OR(B21="", V21="", W21=""), "", IF(AND(OR(M21='Lookup Tables'!$R$18, M21='Lookup Tables'!$R$19, M21='Lookup Tables'!$R$20, M21='Lookup Tables'!$R$21, M21='Lookup Tables'!$R$22), OR(AN21='Lookup Tables'!$R$17, AN21='Lookup Tables'!$R$17, AN21="")), "Y", "N"))</f>
        <v/>
      </c>
      <c r="GJ21" s="255" t="str">
        <f t="shared" si="79"/>
        <v/>
      </c>
      <c r="GK21" s="255" t="str">
        <f t="shared" si="80"/>
        <v/>
      </c>
      <c r="GL21" s="255" t="str">
        <f t="shared" si="81"/>
        <v/>
      </c>
      <c r="GM21" s="255" t="str">
        <f>IF(AN21="", "", IF(AND(IF(ISNA(VLOOKUP(AN21,'Lookup Tables'!$R$18:$R$22,1,FALSE)), "N", "Y")="Y", E21="Exterior"), "Y", "N"))</f>
        <v/>
      </c>
      <c r="GN21" s="395"/>
      <c r="GO21" s="428">
        <f t="shared" si="98"/>
        <v>0</v>
      </c>
      <c r="GP21" s="428">
        <f t="shared" si="167"/>
        <v>0</v>
      </c>
      <c r="GQ21" s="428">
        <f t="shared" si="99"/>
        <v>0</v>
      </c>
      <c r="GR21" s="428">
        <f t="shared" si="100"/>
        <v>0</v>
      </c>
    </row>
    <row r="22" spans="1:200" s="103" customFormat="1" ht="13.5" customHeight="1" x14ac:dyDescent="0.2">
      <c r="A22" s="272">
        <v>12</v>
      </c>
      <c r="B22" s="110"/>
      <c r="C22" s="110"/>
      <c r="D22" s="110"/>
      <c r="E22" s="110"/>
      <c r="F22" s="110"/>
      <c r="G22" s="110"/>
      <c r="H22" s="110"/>
      <c r="I22" s="29"/>
      <c r="J22" s="29"/>
      <c r="K22" s="272" t="str">
        <f>IFERROR(IF(OR(VLOOKUP(J22, 'Fixture Identities'!$A$6:$L$1023, 3, FALSE)="T12 Linear Fluorescent", VLOOKUP(J22, 'Fixture Identities'!$A$6:$L$1023, 3, FALSE)="T12 U-Tube Fluorescent"), VLOOKUP(VLOOKUP(J22, 'Fixture Identities'!$A$6:$L$1023, 11, FALSE), 'Fixture Identities'!$A$6:$L$1023, 10, FALSE), VLOOKUP(J22, 'Fixture Identities'!$A$6:$L$1023, 10, FALSE)), "")</f>
        <v/>
      </c>
      <c r="L22" s="270" t="str">
        <f t="shared" si="169"/>
        <v/>
      </c>
      <c r="M22" s="110"/>
      <c r="N22" s="110"/>
      <c r="O22" s="110"/>
      <c r="P22" s="272" t="str">
        <f>IFERROR(IF(OR(B22="Retrofit",B22=""),"",IF('Lighting Inventory'!E22="Exterior",VLOOKUP('Lighting Inventory'!N22,'Lookup Tables'!$B$83:$F$103,5,FALSE),IF(N22="Other - Please Estimate EFLH and CFs","Contact Prog. Rep.","ft^2"))), "")</f>
        <v/>
      </c>
      <c r="Q22" s="270" t="str">
        <f>IFERROR(IF(AND(B22="New Construction",E22="Interior",$F$5="Space-by-Space"),VLOOKUP('Lighting Inventory'!N22,'Lookup Tables'!$N$6:$O$97,2,FALSE),IF(AND(B22="New Construction",E22="Exterior"),VLOOKUP(N22,'Lookup Tables'!$B$83:$F$103,2,FALSE),IF(AND(B22="New Construction",'Lighting Inventory'!E22="Interior", $F$5="Building Area"),VLOOKUP(F22,'Lookup Tables'!$A$6:$J$59,10,FALSE),""))), "")</f>
        <v/>
      </c>
      <c r="R22" s="270" t="str">
        <f>IFERROR(IF(P22="Contact Prog. Rep.", "ERROR", IF(OR(B22="",B22="Retrofit"),"",IF(N22="Automated teller machines", ('Lookup Tables'!$A$82:$E$100+('Lighting Inventory'!O22-1)*'Lookup Tables'!$A$82:$E$100)/1000, (Q22*O22)/1000))), "")</f>
        <v/>
      </c>
      <c r="S22" s="595"/>
      <c r="T22" s="105" t="str">
        <f t="shared" si="83"/>
        <v/>
      </c>
      <c r="U22" s="105" t="str">
        <f>IF(S22="","",COUNT($S$11:S22))</f>
        <v/>
      </c>
      <c r="V22" s="111"/>
      <c r="W22" s="112"/>
      <c r="X22" s="105" t="str">
        <f t="shared" si="84"/>
        <v/>
      </c>
      <c r="Y22" s="105" t="str">
        <f t="array" ref="Y22">IF(AND(OR(W22="Freezer Case Lighting", W22="Refrigerated Case Lighting with Doors"), 'General Information'!$X$18="LCI"),'Lookup Tables'!$Y$34, IF(V22="Custom", VLOOKUP(W22, 'Fixture Identities'!$A$974:$M$1023, 13, FALSE), IF(V22="No Change",'Lookup Tables'!$Y$29,IF(OR(V22="",W22=""),"",IF(AND(S22=0,S22&lt;I22,B22="Retrofit"),'Lookup Tables'!$Y$25, IF(B22="Retrofit", INDEX('Lookup Tables'!$AH$6:$AP$102, MATCH(1, ('Lookup Tables'!$AH$6:$AH$102=V22)*('Lookup Tables'!$AI$6:$AI$102=W22), 0), IF('Lighting Inventory'!E22="Interior", 4, 5)), INDEX('Lookup Tables'!$AH$114:$AP$154, MATCH(1, ('Lookup Tables'!$AH$114:$AH$154=V22)*('Lookup Tables'!$AI$114:$AI$154=W22), 0), IF('Lighting Inventory'!E22="Interior", 4, 5))))))))</f>
        <v/>
      </c>
      <c r="Z22" s="105" t="str">
        <f>IFERROR(INDEX('Lookup Tables'!$AH$158:$AH$172,MATCH('Lighting Inventory'!Y22,'Lookup Tables'!$AI$158:$AI$172,0)),"")</f>
        <v/>
      </c>
      <c r="AA22" s="105" t="str">
        <f>IF(AP22&gt;0,INDEX('Lookup Tables'!$AK$158:$AK$172,MATCH('Lighting Inventory'!Y22,'Lookup Tables'!$AI$158:$AI$172,0)),'Lighting Inventory'!Y22)</f>
        <v/>
      </c>
      <c r="AB22" s="105" t="str">
        <f t="array" ref="AB22">IF(V22="Custom", "Custom", IF(V22="", "", IF(V22="Not DLC or Energy Star", "General", IF(B22="New Construction", INDEX('Lookup Tables'!$AH$114:$AP$154,MATCH(1,('Lookup Tables'!$AH$114:$AH$154='Lighting Inventory'!V22)*('Lookup Tables'!$AI$114:$AI$154='Lighting Inventory'!W22),FALSE),8), INDEX('Lookup Tables'!$AH$6:$AP$102,MATCH(1,('Lookup Tables'!$AH$6:$AH$102='Lighting Inventory'!V22)*('Lookup Tables'!$AI$6:$AI$102='Lighting Inventory'!W22),FALSE),8)))))</f>
        <v/>
      </c>
      <c r="AC22" s="272" t="str">
        <f>IF(W22="","",IF(V22="Custom",CONCATENATE("$",'Lookup Tables'!$AM$101," ",'Lookup Tables'!$AN$101),CONCATENATE("$",INDEX('Lookup Tables'!$AM$6:$AM$102,MATCH('Lighting Inventory'!W22,'Lookup Tables'!$AI$6:$AI$102,0))," ",INDEX('Lookup Tables'!$AN$6:$AN$102,MATCH('Lighting Inventory'!W22,'Lookup Tables'!$AI$6:$AI$102,0)))))</f>
        <v/>
      </c>
      <c r="AD22" s="72"/>
      <c r="AE22" s="29"/>
      <c r="AF22" s="379"/>
      <c r="AG22" s="370" t="str">
        <f t="shared" si="2"/>
        <v/>
      </c>
      <c r="AH22" s="370" t="str">
        <f t="shared" si="85"/>
        <v/>
      </c>
      <c r="AI22" s="29"/>
      <c r="AJ22" s="29"/>
      <c r="AK22" s="110"/>
      <c r="AL22" s="375" t="str">
        <f>IF(OR(B22="", V22="", W22=""), "", IF(V22="No Change", K22, IF(V22="Remove Fixture", 0, IF(V22="Custom",VLOOKUP(W22,'Fixture Identities'!$A$6:$K$1023,10,FALSE),IF(AE22="", "← ENTER POST WATTS", 'Lighting Inventory'!AE22)))))</f>
        <v/>
      </c>
      <c r="AM22" s="376" t="str">
        <f t="shared" si="3"/>
        <v/>
      </c>
      <c r="AN22" s="29"/>
      <c r="AO22" s="671"/>
      <c r="AP22" s="29"/>
      <c r="AQ22" s="29"/>
      <c r="AR22" s="29"/>
      <c r="AS22" s="272" t="str">
        <f t="shared" si="4"/>
        <v/>
      </c>
      <c r="AT22" s="270" t="str">
        <f t="shared" si="5"/>
        <v/>
      </c>
      <c r="AU22" s="88" t="str">
        <f t="shared" si="6"/>
        <v/>
      </c>
      <c r="AV22" s="29"/>
      <c r="AW22" s="73"/>
      <c r="AX22" s="271" t="str">
        <f>IF(AND(AV22="Applicant",OR(AW22="", AW22="Use Default Facility Hours")),"← Choose Schedule",IF(F22="","",IF(W22="LED Exit Signs",8760,IF(OR(AV22="Prescribed",AV22=""),VLOOKUP(F22,'Lookup Tables'!$A$6:$G$59,IF(AB22="General", 6, 3),FALSE),VLOOKUP(AW22,'Lookup Tables'!$S$36:$U$43,2,FALSE)))))</f>
        <v/>
      </c>
      <c r="AY22" s="88" t="str">
        <f t="shared" si="7"/>
        <v/>
      </c>
      <c r="AZ22" s="270" t="str">
        <f>IFERROR(IF(F22="", "", IF(W22="LED Exit Signs", 1, IF(AV22="Applicant",VLOOKUP(AW22, 'Lookup Tables'!$S$36:$U$43,3, FALSE), VLOOKUP('Lighting Inventory'!F22, 'Lookup Tables'!$A$6:$H$59, IF('Lighting Inventory'!AB22="General",7,4), FALSE)))), "")</f>
        <v/>
      </c>
      <c r="BA22" s="522" t="str">
        <f>IFERROR(IF(F22="", "", IF(W22="LED Exit Signs", 1, VLOOKUP('Lighting Inventory'!F22, 'Lookup Tables'!$A$6:$H$59, IF('Lighting Inventory'!AB22="General",8,5), FALSE))), "")</f>
        <v/>
      </c>
      <c r="BB22" s="270" t="str">
        <f>IF(G22="", "", IF(E22="Exterior", 0, IF('Lighting Inventory'!G22="Air Conditioned", VLOOKUP(H22, 'Lookup Tables'!$R$6:$T$13, 2, FALSE), VLOOKUP('Lighting Inventory'!G22, 'Lookup Tables'!$R$6:$T$13, 2, FALSE))))</f>
        <v/>
      </c>
      <c r="BC22" s="522" t="str">
        <f>IF(G22="", "", IF(E22="Exterior", 0, IF('Lighting Inventory'!G22="Air Conditioned", VLOOKUP(H22, 'Lookup Tables'!$R$6:$T$13, 3, FALSE), VLOOKUP('Lighting Inventory'!G22, 'Lookup Tables'!$R$6:$T$13, 3, FALSE))))</f>
        <v/>
      </c>
      <c r="BD22" s="270" t="str">
        <f>IF(G22="", "", IF(E22="Exterior", 0, IF('Lighting Inventory'!G22="Air Conditioned", VLOOKUP(H22, 'Lookup Tables'!$R$6:$U$13, 4, FALSE), VLOOKUP('Lighting Inventory'!G22, 'Lookup Tables'!$R$6:$U$13, 4, FALSE))))</f>
        <v/>
      </c>
      <c r="BE22" s="270" t="str">
        <f>IFERROR(IF(B22="", "",  IF(B22="New Construction", VLOOKUP(F22, 'Lookup Tables'!$A$6:$K$59, 11, FALSE),IF(OR(AN22="", AN22="Light Switch"), 0, IF(OR(M22="",M22="None",V22= "LED Exit Signs"),0,_xlfn.XLOOKUP(M22,'Lookup Tables'!$R$91:$R$101,'Lookup Tables'!$V$91:$V$101))))), "")</f>
        <v/>
      </c>
      <c r="BF22" s="270" t="str">
        <f>IF(AND(OR(AN22="Light Switch",AN22=""),B22="New Construction"), VLOOKUP(F22, 'Lookup Tables'!$A$6:$K$59, 11, FALSE),IF(AN22="","",IF(B22="","",IF(OR(AN22="None",AN22="",V22="LED Exit Signs",AN22="Exterior Controls Not Eligible"),0,_xlfn.XLOOKUP(AN22,'Lookup Tables'!$R$91:$R$101,'Lookup Tables'!$V$91:$V$101)))))</f>
        <v/>
      </c>
      <c r="BG22" s="88" t="str">
        <f t="shared" si="86"/>
        <v/>
      </c>
      <c r="BH22" s="88" t="str">
        <f t="shared" si="87"/>
        <v/>
      </c>
      <c r="BI22" s="558" t="str">
        <f t="shared" si="168"/>
        <v/>
      </c>
      <c r="BJ22" s="560" t="str">
        <f t="shared" si="88"/>
        <v/>
      </c>
      <c r="BK22" s="560" t="str">
        <f t="shared" si="89"/>
        <v/>
      </c>
      <c r="BL22" s="559" t="str">
        <f t="shared" si="90"/>
        <v/>
      </c>
      <c r="BM22" s="521" t="str">
        <f t="shared" si="8"/>
        <v/>
      </c>
      <c r="BN22" s="521" t="str">
        <f t="shared" si="9"/>
        <v/>
      </c>
      <c r="BO22" s="522" t="str">
        <f t="shared" si="10"/>
        <v/>
      </c>
      <c r="BP22" s="83" t="str">
        <f t="shared" si="91"/>
        <v/>
      </c>
      <c r="BQ22" s="84" t="str">
        <f t="shared" si="92"/>
        <v/>
      </c>
      <c r="BR22" s="184" t="str">
        <f>IFERROR(IF(B22="", "", IF(OR(VLOOKUP(J22, 'Fixture Identities'!$A$6:$L$1023, 3, FALSE)="T12 Linear Fluorescent",VLOOKUP(J22, 'Fixture Identities'!$A$6:$L$1023, 3, FALSE)="T12 U-Tube Fluorescent"), "Y", "N")), "N")</f>
        <v/>
      </c>
      <c r="BS22" s="184" t="str">
        <f t="array" ref="BS22">IFERROR(IF(OR(B22="", V22="", W22=""), "", IF(V22="Custom", "N", IF(OR(W22="Freezer Case Lighting", W22="Refrigerated Case Lighting with Doors"), BT22, IF(B22="Retrofit", INDEX('Lookup Tables'!$AH$6:$AT$102,MATCH(1,('Lookup Tables'!$AH$6:$AH$102=V22)*('Lookup Tables'!$AI$6:$AI$102=W22),FALSE),IF(VLOOKUP(J22, 'Fixture Identities'!$A$6:$B$1023, 2, FALSE)="Incandescent",12, 13)), INDEX('Lookup Tables'!$AH$114:$AS$154,MATCH(1,('Lookup Tables'!$AH$114:$AH$154=V22)*('Lookup Tables'!$AI$114:$AI$154=W22),FALSE),12))))), "N")</f>
        <v/>
      </c>
      <c r="BT22" s="184" t="str">
        <f>IF(J22="", "", IF(AND(OR(W22="Freezer case Lighting", W22="Refrigerated Case Lighting with Doors"),'General Information'!$X$18="LCI"), "N", IF(OR(VLOOKUP(J22, 'Fixture Identities'!$A$6:$B$1023, 2, FALSE)="T12 EPACT/EISA Baseline", VLOOKUP(J22, 'Fixture Identities'!$A$6:$B$1023, 2, FALSE)="Linear Fluorescent", VLOOKUP(J22, 'Fixture Identities'!$A$6:$B$1023, 2, FALSE)="U-Tube Fluorescent"), "Y", "N")))</f>
        <v/>
      </c>
      <c r="BU22" s="184" t="str">
        <f>IFERROR(IF(B22="", "", IF(VLOOKUP(J22, 'Fixture Identities'!$A$6:$B$1023, 2, FALSE)="Exit Sign", "Y", "N")), "N")</f>
        <v/>
      </c>
      <c r="BV22" s="184" t="str">
        <f>IF(V22="Exit Signs", IF(VLOOKUP(J22, 'Fixture Identities'!$A$6:$B$1023, 2, FALSE)="Exit Sign", "N", "Y"), "")</f>
        <v/>
      </c>
      <c r="BW22" s="184" t="str">
        <f t="array" ref="BW22">IFERROR(IF(B22="", "", IF(B22="New Construction", "N", INDEX('Lookup Tables'!$AH$6:$AU$102, MATCH(1, ('Lookup Tables'!$AH$6:$AH$102='Lighting Inventory'!V22)*('Lookup Tables'!$AI$6:$AI$102='Lighting Inventory'!W22), 0), 14))), "N")</f>
        <v/>
      </c>
      <c r="BX22" s="598" t="str">
        <f t="shared" si="93"/>
        <v/>
      </c>
      <c r="BY22" s="598" t="str">
        <f t="shared" si="94"/>
        <v/>
      </c>
      <c r="BZ22" s="598" t="str">
        <f t="shared" si="95"/>
        <v/>
      </c>
      <c r="CA22" s="598" t="str">
        <f t="shared" si="101"/>
        <v/>
      </c>
      <c r="CB22" s="269" t="str">
        <f t="shared" si="102"/>
        <v/>
      </c>
      <c r="CC22" s="517" t="str">
        <f t="shared" si="96"/>
        <v/>
      </c>
      <c r="CD22" s="565" t="str">
        <f t="shared" si="11"/>
        <v/>
      </c>
      <c r="CE22" s="368">
        <v>0</v>
      </c>
      <c r="CF22" s="368" t="str" cm="1">
        <f t="array" ref="CF22">IFERROR(IF(V22="Custom", "$0.1 per kWh", IF(B22="New Construction", CONCATENATE("$",INDEX('Lookup Tables'!$AH$114:$AN$154,MATCH(1,('Lookup Tables'!$AH$114:$AH$154='Lighting Inventory'!V22)*('Lookup Tables'!$AI$114:$AI$154='Lighting Inventory'!W22),FALSE),6)," ",INDEX('Lookup Tables'!$AH$114:$AN$154,MATCH(1,('Lookup Tables'!$AH$114:$AH$154='Lighting Inventory'!V22)*('Lookup Tables'!$AI$114:$AI$154='Lighting Inventory'!W22),FALSE),7)), IF(AND(BU22="N", V22="Exit Signs"), "$0.025 per kWh", CONCATENATE("$",INDEX('Lookup Tables'!$AH$6:$AN$102,MATCH(1,('Lookup Tables'!$AH$6:$AH$102='Lighting Inventory'!V22)*('Lookup Tables'!$AI$6:$AI$102='Lighting Inventory'!W22),FALSE),6)," ",INDEX('Lookup Tables'!$AH$6:$AN$102,MATCH(1,('Lookup Tables'!$AH$6:$AH$102='Lighting Inventory'!V22)*('Lookup Tables'!$AI$6:$AI$102='Lighting Inventory'!W22),FALSE),7))))), "")</f>
        <v/>
      </c>
      <c r="CG22" s="580"/>
      <c r="CH22" s="248" t="str">
        <f t="shared" si="170"/>
        <v/>
      </c>
      <c r="CI22" s="248" t="str">
        <f t="shared" si="171"/>
        <v>Select_IE</v>
      </c>
      <c r="CJ22" s="248" t="str">
        <f t="shared" si="172"/>
        <v/>
      </c>
      <c r="CK22" s="248" t="str">
        <f t="shared" si="173"/>
        <v/>
      </c>
      <c r="CL22" s="248" t="str">
        <f t="shared" si="174"/>
        <v/>
      </c>
      <c r="CM22" s="248" t="str">
        <f>IFERROR(IF(B22="", "", IF(B22="New Construction", VLOOKUP(V22, 'Lookup Tables'!$AF$114:$AG$120, 2, FALSE), VLOOKUP(V22, 'Lookup Tables'!$AD$6:$AE$25, 2, FALSE))), "")</f>
        <v/>
      </c>
      <c r="CN22" s="248" t="str">
        <f t="shared" si="175"/>
        <v/>
      </c>
      <c r="CO22" s="248" t="str">
        <f t="shared" si="176"/>
        <v/>
      </c>
      <c r="CP22" s="592" t="str">
        <f t="shared" si="177"/>
        <v/>
      </c>
      <c r="CQ22" s="248" t="str">
        <f t="shared" si="97"/>
        <v/>
      </c>
      <c r="CR22" s="249"/>
      <c r="CS22" s="250" t="str">
        <f t="shared" si="178"/>
        <v/>
      </c>
      <c r="CT22" s="250" t="str">
        <f t="shared" si="179"/>
        <v/>
      </c>
      <c r="CU22" s="250" t="str">
        <f t="shared" si="180"/>
        <v/>
      </c>
      <c r="CV22" s="250" t="str">
        <f t="shared" si="181"/>
        <v/>
      </c>
      <c r="CW22" s="250" t="str">
        <f t="shared" si="182"/>
        <v/>
      </c>
      <c r="CX22" s="250" t="str">
        <f t="shared" si="183"/>
        <v/>
      </c>
      <c r="CY22" s="250" t="str">
        <f t="shared" si="184"/>
        <v/>
      </c>
      <c r="CZ22" s="250" t="str">
        <f t="shared" si="185"/>
        <v/>
      </c>
      <c r="DA22" s="250" t="str">
        <f t="shared" si="186"/>
        <v/>
      </c>
      <c r="DB22" s="250" t="str">
        <f t="shared" si="187"/>
        <v/>
      </c>
      <c r="DC22" s="250" t="str">
        <f t="shared" si="188"/>
        <v/>
      </c>
      <c r="DD22" s="250" t="str">
        <f t="shared" si="189"/>
        <v/>
      </c>
      <c r="DE22" s="250" t="str">
        <f t="shared" si="190"/>
        <v/>
      </c>
      <c r="DF22" s="250" t="str">
        <f t="shared" si="191"/>
        <v/>
      </c>
      <c r="DG22" s="250" t="str">
        <f t="shared" si="192"/>
        <v/>
      </c>
      <c r="DH22" s="250" t="str">
        <f t="shared" si="193"/>
        <v/>
      </c>
      <c r="DI22" s="250" t="str">
        <f t="shared" si="194"/>
        <v/>
      </c>
      <c r="DJ22" s="250" t="str">
        <f t="shared" si="195"/>
        <v/>
      </c>
      <c r="DK22" s="250" t="str">
        <f t="shared" si="196"/>
        <v/>
      </c>
      <c r="DL22" s="250" t="str">
        <f t="shared" si="197"/>
        <v/>
      </c>
      <c r="DM22" s="250" t="str">
        <f>IF(CD22="ERROR", "ERROR", IF(AND(OR(Y22=$DM$6, Y22='Lookup Tables'!$AD$21, Y22='Lookup Tables'!$AD$22), E22="Interior"), BJ22, ""))</f>
        <v/>
      </c>
      <c r="DN22" s="250" t="str">
        <f>IF(CD22="ERROR", "ERROR", IF(AND(OR(Y22=$DM$6, Y22='Lookup Tables'!$AD$21, Y22='Lookup Tables'!$AD$22), E22="Exterior"), BJ22, ""))</f>
        <v/>
      </c>
      <c r="DO22" s="249"/>
      <c r="DP22" s="250" t="str">
        <f t="shared" si="198"/>
        <v/>
      </c>
      <c r="DQ22" s="250" t="str">
        <f t="shared" si="199"/>
        <v/>
      </c>
      <c r="DR22" s="250" t="str">
        <f t="shared" si="200"/>
        <v/>
      </c>
      <c r="DS22" s="250" t="str">
        <f t="shared" si="201"/>
        <v/>
      </c>
      <c r="DT22" s="250" t="str">
        <f t="shared" si="202"/>
        <v/>
      </c>
      <c r="DU22" s="250" t="str">
        <f t="shared" si="203"/>
        <v/>
      </c>
      <c r="DV22" s="250" t="str">
        <f t="shared" si="204"/>
        <v/>
      </c>
      <c r="DW22" s="250" t="str">
        <f t="shared" si="205"/>
        <v/>
      </c>
      <c r="DX22" s="250" t="str">
        <f t="shared" si="206"/>
        <v/>
      </c>
      <c r="DY22" s="250" t="str">
        <f t="shared" si="207"/>
        <v/>
      </c>
      <c r="DZ22" s="250" t="str">
        <f t="shared" si="208"/>
        <v/>
      </c>
      <c r="EA22" s="250" t="str">
        <f t="shared" si="209"/>
        <v/>
      </c>
      <c r="EB22" s="250" t="str">
        <f t="shared" si="210"/>
        <v/>
      </c>
      <c r="EC22" s="250" t="str">
        <f t="shared" si="211"/>
        <v/>
      </c>
      <c r="ED22" s="250" t="str">
        <f t="shared" si="212"/>
        <v/>
      </c>
      <c r="EE22" s="250" t="str">
        <f t="shared" si="213"/>
        <v/>
      </c>
      <c r="EF22" s="250" t="str">
        <f t="shared" si="214"/>
        <v/>
      </c>
      <c r="EG22" s="250" t="str">
        <f t="shared" si="215"/>
        <v/>
      </c>
      <c r="EH22" s="250" t="str">
        <f>IF(CD22="ERROR", "ERROR", IF(AND(OR($EH$6=Y22, Y22='Lookup Tables'!$AD$21, Y22='Lookup Tables'!$AD$22),E22="Interior"), SUM(BP22:BP22), ""))</f>
        <v/>
      </c>
      <c r="EI22" s="250" t="str">
        <f>IF(CD22="ERROR", "ERROR", IF(AND(OR($EH$6=Y22, Y22='Lookup Tables'!$AD$21, Y22='Lookup Tables'!$AD$22),E22="Exterior"), SUM(BP22:BP22), ""))</f>
        <v/>
      </c>
      <c r="EJ22" s="109"/>
      <c r="EK22" s="485" t="str">
        <f t="shared" si="58"/>
        <v/>
      </c>
      <c r="EL22" s="252" t="str">
        <f t="shared" si="216"/>
        <v/>
      </c>
      <c r="EM22" s="252" t="str">
        <f t="shared" si="217"/>
        <v/>
      </c>
      <c r="EN22" s="252" t="str">
        <f t="shared" si="218"/>
        <v/>
      </c>
      <c r="EO22" s="252" t="str">
        <f t="shared" si="219"/>
        <v/>
      </c>
      <c r="EP22" s="252" t="str">
        <f t="shared" si="220"/>
        <v/>
      </c>
      <c r="EQ22" s="252" t="str">
        <f t="shared" si="221"/>
        <v/>
      </c>
      <c r="ER22" s="252" t="str">
        <f t="shared" si="222"/>
        <v/>
      </c>
      <c r="ES22" s="252" t="str">
        <f t="shared" si="223"/>
        <v/>
      </c>
      <c r="ET22" s="252" t="str">
        <f t="shared" si="224"/>
        <v/>
      </c>
      <c r="EU22" s="252" t="str">
        <f t="shared" si="225"/>
        <v/>
      </c>
      <c r="EV22" s="252" t="str">
        <f t="shared" si="226"/>
        <v/>
      </c>
      <c r="EW22" s="252" t="str">
        <f t="shared" si="227"/>
        <v/>
      </c>
      <c r="EX22" s="252" t="str">
        <f t="shared" si="228"/>
        <v/>
      </c>
      <c r="EY22" s="252" t="str">
        <f t="shared" si="229"/>
        <v/>
      </c>
      <c r="EZ22" s="252" t="str">
        <f t="shared" si="230"/>
        <v/>
      </c>
      <c r="FA22" s="252" t="str">
        <f t="shared" si="231"/>
        <v/>
      </c>
      <c r="FB22" s="252" t="str">
        <f t="shared" si="232"/>
        <v/>
      </c>
      <c r="FC22" s="252" t="str">
        <f>IF(CD22="ERROR", "ERROR", IF(OR(V22="No Change", V22="Not DLC or Energy Star"), "", IF(AND(OR($FC$6=Y22,Y22='Lookup Tables'!$AD$21, Y22='Lookup Tables'!$AD$22),E22="Interior"), S22, "")))</f>
        <v/>
      </c>
      <c r="FD22" s="252" t="str">
        <f t="shared" si="233"/>
        <v/>
      </c>
      <c r="FE22" s="1"/>
      <c r="FF22" s="579" t="str" cm="1">
        <f t="array" ref="FF22">IFERROR(IF(OR(BQ22&lt;=0,AQ22&lt;20,AND(V22="Exit Signs",AN22&gt;0)),"",IF(AND(AQ22&gt;=20,AN22='Lookup Tables'!$R$101),'Lookup Tables'!$U$101*BQ22,AP22*LOOKUP(2,1/((AN22='Lookup Tables'!$R$91:$R$111)*(AQ22&gt;='Lookup Tables'!$S$91:$S$111)*(AQ22&lt;='Lookup Tables'!$T$91:$T$111)),'Lookup Tables'!$U$91:$U$111))),"")</f>
        <v/>
      </c>
      <c r="FG22" s="579"/>
      <c r="FH22" s="579"/>
      <c r="FI22" s="253" t="str">
        <f>IFERROR(ROUND(IF(CD22="ERROR", "ERROR", IF(AND($FI$7=X22,E22="Interior"),VLOOKUP(W22, 'Lookup Tables'!$AI$6:$AM$102, 5, FALSE)*BP22, "")), 2), "")</f>
        <v/>
      </c>
      <c r="FJ22" s="253" t="str">
        <f>IFERROR(ROUND(IF(CD22="ERROR", "ERROR", IF(AND($FI$7=X22,E22="Exterior"),VLOOKUP(W22, 'Lookup Tables'!$AI$6:$AM$102, 5, FALSE)*BP22, "")), 2), "")</f>
        <v/>
      </c>
      <c r="FK22" s="253" t="str">
        <f>IFERROR(ROUND(IF(CD22="ERROR", "ERROR", IF(AND($FK$7=X22,E22="Interior"),VLOOKUP(W22, 'Lookup Tables'!$AI$6:$AM$102, 5, FALSE)*BP22, "")), 2), "")</f>
        <v/>
      </c>
      <c r="FL22" s="253" t="str">
        <f>IFERROR(ROUND(IF(CD22="ERROR", "ERROR", IF(AND($FK$7=X22,E22="Exterior"),VLOOKUP(W22, 'Lookup Tables'!$AI$6:$AM$102, 5, FALSE)*BP22, "")), 2), "")</f>
        <v/>
      </c>
      <c r="FM22" s="253" t="str">
        <f>IFERROR(ROUND(IF(CD22="ERROR", "ERROR", IF(AND($FM$6=Y22,E22="Interior"), IF(GB22=0, VLOOKUP(W22, 'Lookup Tables'!$AI$6:$AM$102, 5, FALSE)*BP22, IF(VLOOKUP(W22, 'Lookup Tables'!$AI$6:$AM$102, 5, FALSE)*BP22&gt;GB22*'Lighting Inventory'!S22, GB22*'Lighting Inventory'!S22,VLOOKUP(W22, 'Lookup Tables'!$AI$6:$AM$102, 5, FALSE)*BP22)), "")), 2), "")</f>
        <v/>
      </c>
      <c r="FN22" s="253" t="str">
        <f>IFERROR(ROUND(IF(CD22="ERROR", "ERROR", IF(AND($FM$6=Y22,E22="Exterior"), IF(GB22=0, VLOOKUP(W22, 'Lookup Tables'!$AI$6:$AM$102, 5, FALSE)*BP22, IF(VLOOKUP(W22, 'Lookup Tables'!$AI$6:$AM$102, 5, FALSE)*BP22&gt;GB22*'Lighting Inventory'!S22, GB22*'Lighting Inventory'!S22,VLOOKUP(W22, 'Lookup Tables'!$AI$6:$AM$102, 5, FALSE)*BP22)), "")), 2), "")</f>
        <v/>
      </c>
      <c r="FO22" s="253" t="str">
        <f>IFERROR(ROUND(IF(CD22="ERROR", "ERROR", IF(AND($FO$6=Y22,E22="Interior"),VLOOKUP(W22, 'Lookup Tables'!$AI$6:$AM$102, 5, FALSE)*'Lighting Inventory'!AI22, "")), 2), "")</f>
        <v/>
      </c>
      <c r="FP22" s="253" t="str">
        <f>IFERROR(ROUND(IF(CD22="ERROR", "ERROR", IF(AND($FO$6=Y22,E22="Exterior"),VLOOKUP(W22, 'Lookup Tables'!$AI$6:$AM$102, 5, FALSE)*'Lighting Inventory'!AI22, "")), 2), "")</f>
        <v/>
      </c>
      <c r="FQ22" s="253" t="str">
        <f>IFERROR(ROUND(IF(CD22="ERROR", "ERROR", IF(AND($FQ$6=Y22,E22="Interior", BU22="Y"), VLOOKUP('Lighting Inventory'!W22, 'Lookup Tables'!$AI$6:$AM$102, 5, FALSE)*'Lighting Inventory'!S22, IF(AND($FQ$7=Y22,E22="Interior", BU22="N"), 0.025*CD22, ""))), 2), "")</f>
        <v/>
      </c>
      <c r="FR22" s="253" t="str">
        <f>IFERROR(ROUND(IF(CD22="ERROR", "ERROR", IF(AND($FQ$6=Y22,E22="Exterior"), VLOOKUP('Lighting Inventory'!W22, 'Lookup Tables'!$AI$6:$AM$102, 5, FALSE)*'Lighting Inventory'!S22, "")), 2), "")</f>
        <v/>
      </c>
      <c r="FS22" s="253" t="str">
        <f>IFERROR(ROUND(IF(CD22="ERROR", "ERROR", IF(AND($FS$6=Y22,E22="Exterior"), IF(GB22=0, VLOOKUP(W22, 'Lookup Tables'!$AI$6:$AM$102, 5, FALSE)*BP22, IF(VLOOKUP(W22, 'Lookup Tables'!$AI$6:$AM$102, 5, FALSE)*BP22&gt;GB22*'Lighting Inventory'!S22, GB22*'Lighting Inventory'!S22,VLOOKUP(W22, 'Lookup Tables'!$AI$6:$AM$102, 5, FALSE)*BP22)), "")), 2), "")</f>
        <v/>
      </c>
      <c r="FT22" s="253" t="str">
        <f>IFERROR(ROUND(IF(CD22="ERROR", "ERROR", IF(AND($FT$6=Y22,E22="Interior"), IF(GB22=0, VLOOKUP(W22, 'Lookup Tables'!$AI$6:$AM$102, 5, FALSE)*BP22, IF(VLOOKUP(W22, 'Lookup Tables'!$AI$6:$AM$102, 5, FALSE)*BP22&gt;GB22*'Lighting Inventory'!S22, GB22*'Lighting Inventory'!S22,VLOOKUP(W22, 'Lookup Tables'!$AI$6:$AM$102, 5, FALSE)*BP22)), "")), 2), "")</f>
        <v/>
      </c>
      <c r="FU22" s="253" t="str">
        <f>IFERROR(ROUND(IF(CD22="ERROR", "ERROR", IF(AND(Y22=$FU$6, E22="Interior"), IF(BS22="N", 'Lookup Tables'!$AM$101*BP22, VLOOKUP(W22, 'Lookup Tables'!$AI$6:$AM$102, 5, FALSE)*S22*AD22), "")), 2), "")</f>
        <v/>
      </c>
      <c r="FV22" s="253" t="str">
        <f>IFERROR(ROUND(IF(CD22="ERROR", "ERROR", IF(AND(Y22=$FU$6, E22="Exterior"), IF(BS22="N", 'Lookup Tables'!$AM$101*BP22, VLOOKUP(W22, 'Lookup Tables'!$AI$6:$AM$102, 5, FALSE)*S22*AD22), "")), 2), "")</f>
        <v/>
      </c>
      <c r="FW22" s="253" t="str">
        <f>IFERROR(ROUND(IF(CD22="ERROR", "ERROR", IF($FW$6=Y22, IF(BS22="N", 'Lookup Tables'!$AM$101*BP22, MIN((VLOOKUP(W22, 'Lookup Tables'!$AI$6:$AM$102, 5, FALSE)*BP22),GB22*AJ22)), "")), 2), "")</f>
        <v/>
      </c>
      <c r="FX22" s="253" t="str">
        <f>IFERROR(ROUND(IF(CD22="ERROR", "ERROR", IF(AND($FX$6=Y22, E22="Interior"), IF(VLOOKUP(W22, 'Lookup Tables'!$AI$6:$AM$102, 5, FALSE)*BP22&gt;'Lookup Tables'!$AQ$97*'Lighting Inventory'!S22,'Lighting Inventory'!S22*'Lookup Tables'!$AQ$97,VLOOKUP(W22, 'Lookup Tables'!$AI$6:$AM$102, 5, FALSE)*BP22), "")), 2), "")</f>
        <v/>
      </c>
      <c r="FY22" s="253" t="str">
        <f>IFERROR(ROUND(IF(CD22="ERROR", "ERROR", IF(AND($FX$6=Y22, E22="Exterior"), IF(VLOOKUP(W22, 'Lookup Tables'!$AI$6:$AM$102, 5, FALSE)*BP22&gt;'Lookup Tables'!$AQ$97*'Lighting Inventory'!S22,'Lighting Inventory'!S22*'Lookup Tables'!$AQ$97,VLOOKUP(W22, 'Lookup Tables'!$AI$6:$AM$102, 5, FALSE)*BP22), "")), 2), "")</f>
        <v/>
      </c>
      <c r="FZ22" s="253" t="str">
        <f>IFERROR(ROUND(IF(CD22="ERROR", "ERROR", IF(AND($FZ$6=Y22, E22="Interior"), IF(AND(OR(W22="Refrigerated Case Lighting with Doors", W22="Freezer Case Lighting"),Y22="Custom - Process Improvement"),CD22*'Lookup Tables'!$AM$101, IF(B22="Retrofit", IF(VLOOKUP(IF(V22="Custom", V22, W22), 'Lookup Tables'!$AI$6:$AM$102, 5, FALSE)*BP22&gt;GE22, GE22, VLOOKUP(IF(V22="Custom", V22, W22), 'Lookup Tables'!$AI$6:$AM$102, 5, FALSE)*BP22), IF(VLOOKUP(IF(V22="Custom", V22, W22), 'Lookup Tables'!$AI$114:$AM$154, 5, FALSE)*BP22&gt;GE22, GE22, VLOOKUP(IF(V22="Custom", V22, W22), 'Lookup Tables'!$AI$114:$AM$154, 5, FALSE)*BP22))), "")), 2),"")</f>
        <v/>
      </c>
      <c r="GA22" s="253" t="str">
        <f>IFERROR(ROUND(IF(CD22="ERROR", "ERROR", IF(AND($FZ$6=Y22, E22="Exterior"), IF(B22="Retrofit", IF(VLOOKUP(IF(V22="Custom", V22, W22), 'Lookup Tables'!$AI$6:$AM$102, 5, FALSE)*BP22&gt;GE22, GE22, VLOOKUP(IF(V22="Custom", V22, W22), 'Lookup Tables'!$AI$6:$AM$102, 5, FALSE)*BP22), IF(VLOOKUP(IF(V22="Custom", V22, W22), 'Lookup Tables'!$AI$114:$AM$154, 5, FALSE)*BP22&gt;GE22, GE22, VLOOKUP(IF(V22="Custom", V22, W22), 'Lookup Tables'!$AI$114:$AM$154, 5, FALSE)*BP22)), "")), 2),"")</f>
        <v/>
      </c>
      <c r="GB22" s="254" t="str">
        <f t="array" ref="GB22">IF(B22="","",IF(OR(V22="Custom",V22="No Change"),0,IF(B22="Retrofit", INDEX('Lookup Tables'!$AH$6:$AQ$102,MATCH(1,('Lookup Tables'!$AH$6:$AH$102='Lighting Inventory'!V22)*('Lookup Tables'!$AI$6:$AI$102='Lighting Inventory'!W22),FALSE),10),INDEX('Lookup Tables'!$AH$114:$AQ$154,MATCH(1,('Lookup Tables'!$AH$114:$AH$154='Lighting Inventory'!V22)*('Lookup Tables'!$AI$114:$AI$154='Lighting Inventory'!W22),FALSE),10))))</f>
        <v/>
      </c>
      <c r="GC22" s="255" t="str">
        <f t="shared" si="77"/>
        <v/>
      </c>
      <c r="GD22" s="250" t="str">
        <f t="shared" si="78"/>
        <v/>
      </c>
      <c r="GE22" s="253" t="str">
        <f>IFERROR(IF(AND(AF22="", 'General Information'!$F$18="No"),"", IF(AF22="", ((GD22/$CD$266)*$CF$266)*0.5, AF22*S22*0.5)), "")</f>
        <v/>
      </c>
      <c r="GF22" s="255" t="str">
        <f>IF(AND('General Information'!$F$19="", 'General Information'!$F$18="Yes",AF22="",BW22="Y"), "Y", "N")</f>
        <v>N</v>
      </c>
      <c r="GG22" s="255" t="s">
        <v>2946</v>
      </c>
      <c r="GH22" s="255" t="str">
        <f>IFERROR(IF(B22="", "", VLOOKUP(J22, 'Fixture Identities'!$A$6:$N$908, 14, FALSE)), "")</f>
        <v/>
      </c>
      <c r="GI22" s="389" t="str">
        <f>IF(OR(B22="", V22="", W22=""), "", IF(AND(OR(M22='Lookup Tables'!$R$18, M22='Lookup Tables'!$R$19, M22='Lookup Tables'!$R$20, M22='Lookup Tables'!$R$21, M22='Lookup Tables'!$R$22), OR(AN22='Lookup Tables'!$R$17, AN22='Lookup Tables'!$R$17, AN22="")), "Y", "N"))</f>
        <v/>
      </c>
      <c r="GJ22" s="255" t="str">
        <f t="shared" si="79"/>
        <v/>
      </c>
      <c r="GK22" s="255" t="str">
        <f t="shared" si="80"/>
        <v/>
      </c>
      <c r="GL22" s="255" t="str">
        <f t="shared" si="81"/>
        <v/>
      </c>
      <c r="GM22" s="255" t="str">
        <f>IF(AN22="", "", IF(AND(IF(ISNA(VLOOKUP(AN22,'Lookup Tables'!$R$18:$R$22,1,FALSE)), "N", "Y")="Y", E22="Exterior"), "Y", "N"))</f>
        <v/>
      </c>
      <c r="GN22" s="395"/>
      <c r="GO22" s="428">
        <f t="shared" si="98"/>
        <v>0</v>
      </c>
      <c r="GP22" s="428">
        <f t="shared" si="167"/>
        <v>0</v>
      </c>
      <c r="GQ22" s="428">
        <f t="shared" si="99"/>
        <v>0</v>
      </c>
      <c r="GR22" s="428">
        <f t="shared" si="100"/>
        <v>0</v>
      </c>
    </row>
    <row r="23" spans="1:200" s="103" customFormat="1" ht="13.5" customHeight="1" x14ac:dyDescent="0.2">
      <c r="A23" s="272">
        <v>13</v>
      </c>
      <c r="B23" s="110"/>
      <c r="C23" s="110"/>
      <c r="D23" s="110"/>
      <c r="E23" s="110"/>
      <c r="F23" s="110"/>
      <c r="G23" s="110"/>
      <c r="H23" s="110"/>
      <c r="I23" s="29"/>
      <c r="J23" s="29"/>
      <c r="K23" s="272" t="str">
        <f>IFERROR(IF(OR(VLOOKUP(J23, 'Fixture Identities'!$A$6:$L$1023, 3, FALSE)="T12 Linear Fluorescent", VLOOKUP(J23, 'Fixture Identities'!$A$6:$L$1023, 3, FALSE)="T12 U-Tube Fluorescent"), VLOOKUP(VLOOKUP(J23, 'Fixture Identities'!$A$6:$L$1023, 11, FALSE), 'Fixture Identities'!$A$6:$L$1023, 10, FALSE), VLOOKUP(J23, 'Fixture Identities'!$A$6:$L$1023, 10, FALSE)), "")</f>
        <v/>
      </c>
      <c r="L23" s="270" t="str">
        <f t="shared" si="169"/>
        <v/>
      </c>
      <c r="M23" s="110"/>
      <c r="N23" s="110"/>
      <c r="O23" s="110"/>
      <c r="P23" s="272" t="str">
        <f>IFERROR(IF(OR(B23="Retrofit",B23=""),"",IF('Lighting Inventory'!E23="Exterior",VLOOKUP('Lighting Inventory'!N23,'Lookup Tables'!$B$83:$F$103,5,FALSE),IF(N23="Other - Please Estimate EFLH and CFs","Contact Prog. Rep.","ft^2"))), "")</f>
        <v/>
      </c>
      <c r="Q23" s="270" t="str">
        <f>IFERROR(IF(AND(B23="New Construction",E23="Interior",$F$5="Space-by-Space"),VLOOKUP('Lighting Inventory'!N23,'Lookup Tables'!$N$6:$O$97,2,FALSE),IF(AND(B23="New Construction",E23="Exterior"),VLOOKUP(N23,'Lookup Tables'!$B$83:$F$103,2,FALSE),IF(AND(B23="New Construction",'Lighting Inventory'!E23="Interior", $F$5="Building Area"),VLOOKUP(F23,'Lookup Tables'!$A$6:$J$59,10,FALSE),""))), "")</f>
        <v/>
      </c>
      <c r="R23" s="270" t="str">
        <f>IFERROR(IF(P23="Contact Prog. Rep.", "ERROR", IF(OR(B23="",B23="Retrofit"),"",IF(N23="Automated teller machines", ('Lookup Tables'!$A$82:$E$100+('Lighting Inventory'!O23-1)*'Lookup Tables'!$A$82:$E$100)/1000, (Q23*O23)/1000))), "")</f>
        <v/>
      </c>
      <c r="S23" s="595"/>
      <c r="T23" s="105" t="str">
        <f t="shared" si="83"/>
        <v/>
      </c>
      <c r="U23" s="105" t="str">
        <f>IF(S23="","",COUNT($S$11:S23))</f>
        <v/>
      </c>
      <c r="V23" s="111"/>
      <c r="W23" s="112"/>
      <c r="X23" s="105" t="str">
        <f t="shared" si="84"/>
        <v/>
      </c>
      <c r="Y23" s="105" t="str">
        <f t="array" ref="Y23">IF(AND(OR(W23="Freezer Case Lighting", W23="Refrigerated Case Lighting with Doors"), 'General Information'!$X$18="LCI"),'Lookup Tables'!$Y$34, IF(V23="Custom", VLOOKUP(W23, 'Fixture Identities'!$A$974:$M$1023, 13, FALSE), IF(V23="No Change",'Lookup Tables'!$Y$29,IF(OR(V23="",W23=""),"",IF(AND(S23=0,S23&lt;I23,B23="Retrofit"),'Lookup Tables'!$Y$25, IF(B23="Retrofit", INDEX('Lookup Tables'!$AH$6:$AP$102, MATCH(1, ('Lookup Tables'!$AH$6:$AH$102=V23)*('Lookup Tables'!$AI$6:$AI$102=W23), 0), IF('Lighting Inventory'!E23="Interior", 4, 5)), INDEX('Lookup Tables'!$AH$114:$AP$154, MATCH(1, ('Lookup Tables'!$AH$114:$AH$154=V23)*('Lookup Tables'!$AI$114:$AI$154=W23), 0), IF('Lighting Inventory'!E23="Interior", 4, 5))))))))</f>
        <v/>
      </c>
      <c r="Z23" s="105" t="str">
        <f>IFERROR(INDEX('Lookup Tables'!$AH$158:$AH$172,MATCH('Lighting Inventory'!Y23,'Lookup Tables'!$AI$158:$AI$172,0)),"")</f>
        <v/>
      </c>
      <c r="AA23" s="105" t="str">
        <f>IF(AP23&gt;0,INDEX('Lookup Tables'!$AK$158:$AK$172,MATCH('Lighting Inventory'!Y23,'Lookup Tables'!$AI$158:$AI$172,0)),'Lighting Inventory'!Y23)</f>
        <v/>
      </c>
      <c r="AB23" s="105" t="str">
        <f t="array" ref="AB23">IF(V23="Custom", "Custom", IF(V23="", "", IF(V23="Not DLC or Energy Star", "General", IF(B23="New Construction", INDEX('Lookup Tables'!$AH$114:$AP$154,MATCH(1,('Lookup Tables'!$AH$114:$AH$154='Lighting Inventory'!V23)*('Lookup Tables'!$AI$114:$AI$154='Lighting Inventory'!W23),FALSE),8), INDEX('Lookup Tables'!$AH$6:$AP$102,MATCH(1,('Lookup Tables'!$AH$6:$AH$102='Lighting Inventory'!V23)*('Lookup Tables'!$AI$6:$AI$102='Lighting Inventory'!W23),FALSE),8)))))</f>
        <v/>
      </c>
      <c r="AC23" s="272" t="str">
        <f>IF(W23="","",IF(V23="Custom",CONCATENATE("$",'Lookup Tables'!$AM$101," ",'Lookup Tables'!$AN$101),CONCATENATE("$",INDEX('Lookup Tables'!$AM$6:$AM$102,MATCH('Lighting Inventory'!W23,'Lookup Tables'!$AI$6:$AI$102,0))," ",INDEX('Lookup Tables'!$AN$6:$AN$102,MATCH('Lighting Inventory'!W23,'Lookup Tables'!$AI$6:$AI$102,0)))))</f>
        <v/>
      </c>
      <c r="AD23" s="72"/>
      <c r="AE23" s="29"/>
      <c r="AF23" s="379"/>
      <c r="AG23" s="370" t="str">
        <f t="shared" si="2"/>
        <v/>
      </c>
      <c r="AH23" s="370" t="str">
        <f t="shared" si="85"/>
        <v/>
      </c>
      <c r="AI23" s="29"/>
      <c r="AJ23" s="29"/>
      <c r="AK23" s="110"/>
      <c r="AL23" s="375" t="str">
        <f>IF(OR(B23="", V23="", W23=""), "", IF(V23="No Change", K23, IF(V23="Remove Fixture", 0, IF(V23="Custom",VLOOKUP(W23,'Fixture Identities'!$A$6:$K$1023,10,FALSE),IF(AE23="", "← ENTER POST WATTS", 'Lighting Inventory'!AE23)))))</f>
        <v/>
      </c>
      <c r="AM23" s="376" t="str">
        <f t="shared" si="3"/>
        <v/>
      </c>
      <c r="AN23" s="29"/>
      <c r="AO23" s="671"/>
      <c r="AP23" s="29"/>
      <c r="AQ23" s="29"/>
      <c r="AR23" s="29"/>
      <c r="AS23" s="272" t="str">
        <f t="shared" si="4"/>
        <v/>
      </c>
      <c r="AT23" s="270" t="str">
        <f t="shared" ref="AT23:AT74" si="234">IFERROR(IF(B23="Retrofit", L23-AM23, R23-AM23), "")</f>
        <v/>
      </c>
      <c r="AU23" s="88" t="str">
        <f t="shared" ref="AU23:AU79" si="235">IFERROR(ABS(AT23), "")</f>
        <v/>
      </c>
      <c r="AV23" s="29"/>
      <c r="AW23" s="73"/>
      <c r="AX23" s="271" t="str">
        <f>IF(AND(AV23="Applicant",OR(AW23="", AW23="Use Default Facility Hours")),"← Choose Schedule",IF(F23="","",IF(W23="LED Exit Signs",8760,IF(OR(AV23="Prescribed",AV23=""),VLOOKUP(F23,'Lookup Tables'!$A$6:$G$59,IF(AB23="General", 6, 3),FALSE),VLOOKUP(AW23,'Lookup Tables'!$S$36:$U$43,2,FALSE)))))</f>
        <v/>
      </c>
      <c r="AY23" s="88" t="str">
        <f t="shared" si="7"/>
        <v/>
      </c>
      <c r="AZ23" s="270" t="str">
        <f>IFERROR(IF(F23="", "", IF(W23="LED Exit Signs", 1, IF(AV23="Applicant",VLOOKUP(AW23, 'Lookup Tables'!$S$36:$U$43,3, FALSE), VLOOKUP('Lighting Inventory'!F23, 'Lookup Tables'!$A$6:$H$59, IF('Lighting Inventory'!AB23="General",7,4), FALSE)))), "")</f>
        <v/>
      </c>
      <c r="BA23" s="522" t="str">
        <f>IFERROR(IF(F23="", "", IF(W23="LED Exit Signs", 1, VLOOKUP('Lighting Inventory'!F23, 'Lookup Tables'!$A$6:$H$59, IF('Lighting Inventory'!AB23="General",8,5), FALSE))), "")</f>
        <v/>
      </c>
      <c r="BB23" s="270" t="str">
        <f>IF(G23="", "", IF(E23="Exterior", 0, IF('Lighting Inventory'!G23="Air Conditioned", VLOOKUP(H23, 'Lookup Tables'!$R$6:$T$13, 2, FALSE), VLOOKUP('Lighting Inventory'!G23, 'Lookup Tables'!$R$6:$T$13, 2, FALSE))))</f>
        <v/>
      </c>
      <c r="BC23" s="522" t="str">
        <f>IF(G23="", "", IF(E23="Exterior", 0, IF('Lighting Inventory'!G23="Air Conditioned", VLOOKUP(H23, 'Lookup Tables'!$R$6:$T$13, 3, FALSE), VLOOKUP('Lighting Inventory'!G23, 'Lookup Tables'!$R$6:$T$13, 3, FALSE))))</f>
        <v/>
      </c>
      <c r="BD23" s="270" t="str">
        <f>IF(G23="", "", IF(E23="Exterior", 0, IF('Lighting Inventory'!G23="Air Conditioned", VLOOKUP(H23, 'Lookup Tables'!$R$6:$U$13, 4, FALSE), VLOOKUP('Lighting Inventory'!G23, 'Lookup Tables'!$R$6:$U$13, 4, FALSE))))</f>
        <v/>
      </c>
      <c r="BE23" s="270" t="str">
        <f>IFERROR(IF(B23="", "",  IF(B23="New Construction", VLOOKUP(F23, 'Lookup Tables'!$A$6:$K$59, 11, FALSE),IF(OR(AN23="", AN23="Light Switch"), 0, IF(OR(M23="",M23="None",V23= "LED Exit Signs"),0,_xlfn.XLOOKUP(M23,'Lookup Tables'!$R$91:$R$101,'Lookup Tables'!$V$91:$V$101))))), "")</f>
        <v/>
      </c>
      <c r="BF23" s="270" t="str">
        <f>IF(AND(OR(AN23="Light Switch",AN23=""),B23="New Construction"), VLOOKUP(F23, 'Lookup Tables'!$A$6:$K$59, 11, FALSE),IF(AN23="","",IF(B23="","",IF(OR(AN23="None",AN23="",V23="LED Exit Signs",AN23="Exterior Controls Not Eligible"),0,_xlfn.XLOOKUP(AN23,'Lookup Tables'!$R$91:$R$101,'Lookup Tables'!$V$91:$V$101)))))</f>
        <v/>
      </c>
      <c r="BG23" s="88" t="str">
        <f t="shared" si="86"/>
        <v/>
      </c>
      <c r="BH23" s="88" t="str">
        <f t="shared" si="87"/>
        <v/>
      </c>
      <c r="BI23" s="558" t="str">
        <f t="shared" si="168"/>
        <v/>
      </c>
      <c r="BJ23" s="560" t="str">
        <f t="shared" si="88"/>
        <v/>
      </c>
      <c r="BK23" s="560" t="str">
        <f t="shared" si="89"/>
        <v/>
      </c>
      <c r="BL23" s="559" t="str">
        <f t="shared" si="90"/>
        <v/>
      </c>
      <c r="BM23" s="521" t="str">
        <f t="shared" si="8"/>
        <v/>
      </c>
      <c r="BN23" s="521" t="str">
        <f t="shared" si="9"/>
        <v/>
      </c>
      <c r="BO23" s="522" t="str">
        <f t="shared" si="10"/>
        <v/>
      </c>
      <c r="BP23" s="83" t="str">
        <f t="shared" si="91"/>
        <v/>
      </c>
      <c r="BQ23" s="84" t="str">
        <f t="shared" si="92"/>
        <v/>
      </c>
      <c r="BR23" s="184" t="str">
        <f>IFERROR(IF(B23="", "", IF(OR(VLOOKUP(J23, 'Fixture Identities'!$A$6:$L$1023, 3, FALSE)="T12 Linear Fluorescent",VLOOKUP(J23, 'Fixture Identities'!$A$6:$L$1023, 3, FALSE)="T12 U-Tube Fluorescent"), "Y", "N")), "N")</f>
        <v/>
      </c>
      <c r="BS23" s="184" t="str">
        <f t="array" ref="BS23">IFERROR(IF(OR(B23="", V23="", W23=""), "", IF(V23="Custom", "N", IF(OR(W23="Freezer Case Lighting", W23="Refrigerated Case Lighting with Doors"), BT23, IF(B23="Retrofit", INDEX('Lookup Tables'!$AH$6:$AT$102,MATCH(1,('Lookup Tables'!$AH$6:$AH$102=V23)*('Lookup Tables'!$AI$6:$AI$102=W23),FALSE),IF(VLOOKUP(J23, 'Fixture Identities'!$A$6:$B$1023, 2, FALSE)="Incandescent",12, 13)), INDEX('Lookup Tables'!$AH$114:$AS$154,MATCH(1,('Lookup Tables'!$AH$114:$AH$154=V23)*('Lookup Tables'!$AI$114:$AI$154=W23),FALSE),12))))), "N")</f>
        <v/>
      </c>
      <c r="BT23" s="184" t="str">
        <f>IF(J23="", "", IF(AND(OR(W23="Freezer case Lighting", W23="Refrigerated Case Lighting with Doors"),'General Information'!$X$18="LCI"), "N", IF(OR(VLOOKUP(J23, 'Fixture Identities'!$A$6:$B$1023, 2, FALSE)="T12 EPACT/EISA Baseline", VLOOKUP(J23, 'Fixture Identities'!$A$6:$B$1023, 2, FALSE)="Linear Fluorescent", VLOOKUP(J23, 'Fixture Identities'!$A$6:$B$1023, 2, FALSE)="U-Tube Fluorescent"), "Y", "N")))</f>
        <v/>
      </c>
      <c r="BU23" s="184" t="str">
        <f>IFERROR(IF(B23="", "", IF(VLOOKUP(J23, 'Fixture Identities'!$A$6:$B$1023, 2, FALSE)="Exit Sign", "Y", "N")), "N")</f>
        <v/>
      </c>
      <c r="BV23" s="184" t="str">
        <f>IF(V23="Exit Signs", IF(VLOOKUP(J23, 'Fixture Identities'!$A$6:$B$1023, 2, FALSE)="Exit Sign", "N", "Y"), "")</f>
        <v/>
      </c>
      <c r="BW23" s="184" t="str">
        <f t="array" ref="BW23">IFERROR(IF(B23="", "", IF(B23="New Construction", "N", INDEX('Lookup Tables'!$AH$6:$AU$102, MATCH(1, ('Lookup Tables'!$AH$6:$AH$102='Lighting Inventory'!V23)*('Lookup Tables'!$AI$6:$AI$102='Lighting Inventory'!W23), 0), 14))), "N")</f>
        <v/>
      </c>
      <c r="BX23" s="598" t="str">
        <f t="shared" si="93"/>
        <v/>
      </c>
      <c r="BY23" s="598" t="str">
        <f t="shared" si="94"/>
        <v/>
      </c>
      <c r="BZ23" s="598" t="str">
        <f t="shared" si="95"/>
        <v/>
      </c>
      <c r="CA23" s="598" t="str">
        <f t="shared" si="101"/>
        <v/>
      </c>
      <c r="CB23" s="269" t="str">
        <f t="shared" si="102"/>
        <v/>
      </c>
      <c r="CC23" s="517" t="str">
        <f t="shared" si="96"/>
        <v/>
      </c>
      <c r="CD23" s="565" t="str">
        <f t="shared" si="11"/>
        <v/>
      </c>
      <c r="CE23" s="368">
        <v>0</v>
      </c>
      <c r="CF23" s="368" t="str" cm="1">
        <f t="array" ref="CF23">IFERROR(IF(V23="Custom", "$0.1 per kWh", IF(B23="New Construction", CONCATENATE("$",INDEX('Lookup Tables'!$AH$114:$AN$154,MATCH(1,('Lookup Tables'!$AH$114:$AH$154='Lighting Inventory'!V23)*('Lookup Tables'!$AI$114:$AI$154='Lighting Inventory'!W23),FALSE),6)," ",INDEX('Lookup Tables'!$AH$114:$AN$154,MATCH(1,('Lookup Tables'!$AH$114:$AH$154='Lighting Inventory'!V23)*('Lookup Tables'!$AI$114:$AI$154='Lighting Inventory'!W23),FALSE),7)), IF(AND(BU23="N", V23="Exit Signs"), "$0.025 per kWh", CONCATENATE("$",INDEX('Lookup Tables'!$AH$6:$AN$102,MATCH(1,('Lookup Tables'!$AH$6:$AH$102='Lighting Inventory'!V23)*('Lookup Tables'!$AI$6:$AI$102='Lighting Inventory'!W23),FALSE),6)," ",INDEX('Lookup Tables'!$AH$6:$AN$102,MATCH(1,('Lookup Tables'!$AH$6:$AH$102='Lighting Inventory'!V23)*('Lookup Tables'!$AI$6:$AI$102='Lighting Inventory'!W23),FALSE),7))))), "")</f>
        <v/>
      </c>
      <c r="CG23" s="580"/>
      <c r="CH23" s="248" t="str">
        <f t="shared" si="170"/>
        <v/>
      </c>
      <c r="CI23" s="248" t="str">
        <f t="shared" si="171"/>
        <v>Select_IE</v>
      </c>
      <c r="CJ23" s="248" t="str">
        <f t="shared" si="172"/>
        <v/>
      </c>
      <c r="CK23" s="248" t="str">
        <f t="shared" si="173"/>
        <v/>
      </c>
      <c r="CL23" s="248" t="str">
        <f t="shared" si="174"/>
        <v/>
      </c>
      <c r="CM23" s="248" t="str">
        <f>IFERROR(IF(B23="", "", IF(B23="New Construction", VLOOKUP(V23, 'Lookup Tables'!$AF$114:$AG$120, 2, FALSE), VLOOKUP(V23, 'Lookup Tables'!$AD$6:$AE$25, 2, FALSE))), "")</f>
        <v/>
      </c>
      <c r="CN23" s="248" t="str">
        <f t="shared" si="175"/>
        <v/>
      </c>
      <c r="CO23" s="248" t="str">
        <f t="shared" si="176"/>
        <v/>
      </c>
      <c r="CP23" s="592" t="str">
        <f t="shared" si="177"/>
        <v/>
      </c>
      <c r="CQ23" s="248" t="str">
        <f t="shared" si="97"/>
        <v/>
      </c>
      <c r="CR23" s="100"/>
      <c r="CS23" s="250" t="str">
        <f t="shared" si="178"/>
        <v/>
      </c>
      <c r="CT23" s="250" t="str">
        <f t="shared" si="179"/>
        <v/>
      </c>
      <c r="CU23" s="250" t="str">
        <f t="shared" si="180"/>
        <v/>
      </c>
      <c r="CV23" s="250" t="str">
        <f t="shared" si="181"/>
        <v/>
      </c>
      <c r="CW23" s="250" t="str">
        <f t="shared" si="182"/>
        <v/>
      </c>
      <c r="CX23" s="250" t="str">
        <f t="shared" si="183"/>
        <v/>
      </c>
      <c r="CY23" s="250" t="str">
        <f t="shared" si="184"/>
        <v/>
      </c>
      <c r="CZ23" s="250" t="str">
        <f t="shared" si="185"/>
        <v/>
      </c>
      <c r="DA23" s="250" t="str">
        <f t="shared" si="186"/>
        <v/>
      </c>
      <c r="DB23" s="250" t="str">
        <f t="shared" si="187"/>
        <v/>
      </c>
      <c r="DC23" s="250" t="str">
        <f t="shared" si="188"/>
        <v/>
      </c>
      <c r="DD23" s="250" t="str">
        <f t="shared" si="189"/>
        <v/>
      </c>
      <c r="DE23" s="250" t="str">
        <f t="shared" si="190"/>
        <v/>
      </c>
      <c r="DF23" s="250" t="str">
        <f t="shared" si="191"/>
        <v/>
      </c>
      <c r="DG23" s="250" t="str">
        <f t="shared" si="192"/>
        <v/>
      </c>
      <c r="DH23" s="250" t="str">
        <f t="shared" si="193"/>
        <v/>
      </c>
      <c r="DI23" s="250" t="str">
        <f t="shared" si="194"/>
        <v/>
      </c>
      <c r="DJ23" s="250" t="str">
        <f t="shared" si="195"/>
        <v/>
      </c>
      <c r="DK23" s="250" t="str">
        <f t="shared" si="196"/>
        <v/>
      </c>
      <c r="DL23" s="250" t="str">
        <f t="shared" si="197"/>
        <v/>
      </c>
      <c r="DM23" s="250" t="str">
        <f>IF(CD23="ERROR", "ERROR", IF(AND(OR(Y23=$DM$6, Y23='Lookup Tables'!$AD$21, Y23='Lookup Tables'!$AD$22), E23="Interior"), BJ23, ""))</f>
        <v/>
      </c>
      <c r="DN23" s="250" t="str">
        <f>IF(CD23="ERROR", "ERROR", IF(AND(OR(Y23=$DM$6, Y23='Lookup Tables'!$AD$21, Y23='Lookup Tables'!$AD$22), E23="Exterior"), BJ23, ""))</f>
        <v/>
      </c>
      <c r="DO23" s="100"/>
      <c r="DP23" s="250" t="str">
        <f t="shared" si="198"/>
        <v/>
      </c>
      <c r="DQ23" s="250" t="str">
        <f t="shared" si="199"/>
        <v/>
      </c>
      <c r="DR23" s="250" t="str">
        <f t="shared" si="200"/>
        <v/>
      </c>
      <c r="DS23" s="250" t="str">
        <f t="shared" si="201"/>
        <v/>
      </c>
      <c r="DT23" s="250" t="str">
        <f t="shared" si="202"/>
        <v/>
      </c>
      <c r="DU23" s="250" t="str">
        <f t="shared" si="203"/>
        <v/>
      </c>
      <c r="DV23" s="250" t="str">
        <f t="shared" si="204"/>
        <v/>
      </c>
      <c r="DW23" s="250" t="str">
        <f t="shared" si="205"/>
        <v/>
      </c>
      <c r="DX23" s="250" t="str">
        <f t="shared" si="206"/>
        <v/>
      </c>
      <c r="DY23" s="250" t="str">
        <f t="shared" si="207"/>
        <v/>
      </c>
      <c r="DZ23" s="250" t="str">
        <f t="shared" si="208"/>
        <v/>
      </c>
      <c r="EA23" s="250" t="str">
        <f t="shared" si="209"/>
        <v/>
      </c>
      <c r="EB23" s="250" t="str">
        <f t="shared" si="210"/>
        <v/>
      </c>
      <c r="EC23" s="250" t="str">
        <f t="shared" si="211"/>
        <v/>
      </c>
      <c r="ED23" s="250" t="str">
        <f t="shared" si="212"/>
        <v/>
      </c>
      <c r="EE23" s="250" t="str">
        <f t="shared" si="213"/>
        <v/>
      </c>
      <c r="EF23" s="250" t="str">
        <f t="shared" si="214"/>
        <v/>
      </c>
      <c r="EG23" s="250" t="str">
        <f t="shared" si="215"/>
        <v/>
      </c>
      <c r="EH23" s="250" t="str">
        <f>IF(CD23="ERROR", "ERROR", IF(AND(OR($EH$6=Y23, Y23='Lookup Tables'!$AD$21, Y23='Lookup Tables'!$AD$22),E23="Interior"), SUM(BP23:BP23), ""))</f>
        <v/>
      </c>
      <c r="EI23" s="250" t="str">
        <f>IF(CD23="ERROR", "ERROR", IF(AND(OR($EH$6=Y23, Y23='Lookup Tables'!$AD$21, Y23='Lookup Tables'!$AD$22),E23="Exterior"), SUM(BP23:BP23), ""))</f>
        <v/>
      </c>
      <c r="EJ23" s="109"/>
      <c r="EK23" s="485" t="str">
        <f t="shared" si="58"/>
        <v/>
      </c>
      <c r="EL23" s="252" t="str">
        <f t="shared" si="216"/>
        <v/>
      </c>
      <c r="EM23" s="252" t="str">
        <f t="shared" si="217"/>
        <v/>
      </c>
      <c r="EN23" s="252" t="str">
        <f t="shared" si="218"/>
        <v/>
      </c>
      <c r="EO23" s="252" t="str">
        <f t="shared" si="219"/>
        <v/>
      </c>
      <c r="EP23" s="252" t="str">
        <f t="shared" si="220"/>
        <v/>
      </c>
      <c r="EQ23" s="252" t="str">
        <f t="shared" si="221"/>
        <v/>
      </c>
      <c r="ER23" s="252" t="str">
        <f t="shared" si="222"/>
        <v/>
      </c>
      <c r="ES23" s="252" t="str">
        <f t="shared" si="223"/>
        <v/>
      </c>
      <c r="ET23" s="252" t="str">
        <f t="shared" si="224"/>
        <v/>
      </c>
      <c r="EU23" s="252" t="str">
        <f t="shared" si="225"/>
        <v/>
      </c>
      <c r="EV23" s="252" t="str">
        <f t="shared" si="226"/>
        <v/>
      </c>
      <c r="EW23" s="252" t="str">
        <f t="shared" si="227"/>
        <v/>
      </c>
      <c r="EX23" s="252" t="str">
        <f t="shared" si="228"/>
        <v/>
      </c>
      <c r="EY23" s="252" t="str">
        <f t="shared" si="229"/>
        <v/>
      </c>
      <c r="EZ23" s="252" t="str">
        <f t="shared" si="230"/>
        <v/>
      </c>
      <c r="FA23" s="252" t="str">
        <f t="shared" si="231"/>
        <v/>
      </c>
      <c r="FB23" s="252" t="str">
        <f t="shared" si="232"/>
        <v/>
      </c>
      <c r="FC23" s="252" t="str">
        <f>IF(CD23="ERROR", "ERROR", IF(OR(V23="No Change", V23="Not DLC or Energy Star"), "", IF(AND(OR($FC$6=Y23,Y23='Lookup Tables'!$AD$21, Y23='Lookup Tables'!$AD$22),E23="Interior"), S23, "")))</f>
        <v/>
      </c>
      <c r="FD23" s="252" t="str">
        <f t="shared" si="233"/>
        <v/>
      </c>
      <c r="FE23" s="101"/>
      <c r="FF23" s="579" t="str" cm="1">
        <f t="array" ref="FF23">IFERROR(IF(OR(BQ23&lt;=0,AQ23&lt;20,AND(V23="Exit Signs",AN23&gt;0)),"",IF(AND(AQ23&gt;=20,AN23='Lookup Tables'!$R$101),'Lookup Tables'!$U$101*BQ23,AP23*LOOKUP(2,1/((AN23='Lookup Tables'!$R$91:$R$111)*(AQ23&gt;='Lookup Tables'!$S$91:$S$111)*(AQ23&lt;='Lookup Tables'!$T$91:$T$111)),'Lookup Tables'!$U$91:$U$111))),"")</f>
        <v/>
      </c>
      <c r="FG23" s="579"/>
      <c r="FH23" s="579"/>
      <c r="FI23" s="253" t="str">
        <f>IFERROR(ROUND(IF(CD23="ERROR", "ERROR", IF(AND($FI$7=X23,E23="Interior"),VLOOKUP(W23, 'Lookup Tables'!$AI$6:$AM$102, 5, FALSE)*BP23, "")), 2), "")</f>
        <v/>
      </c>
      <c r="FJ23" s="253" t="str">
        <f>IFERROR(ROUND(IF(CD23="ERROR", "ERROR", IF(AND($FI$7=X23,E23="Exterior"),VLOOKUP(W23, 'Lookup Tables'!$AI$6:$AM$102, 5, FALSE)*BP23, "")), 2), "")</f>
        <v/>
      </c>
      <c r="FK23" s="253" t="str">
        <f>IFERROR(ROUND(IF(CD23="ERROR", "ERROR", IF(AND($FK$7=X23,E23="Interior"),VLOOKUP(W23, 'Lookup Tables'!$AI$6:$AM$102, 5, FALSE)*BP23, "")), 2), "")</f>
        <v/>
      </c>
      <c r="FL23" s="253" t="str">
        <f>IFERROR(ROUND(IF(CD23="ERROR", "ERROR", IF(AND($FK$7=X23,E23="Exterior"),VLOOKUP(W23, 'Lookup Tables'!$AI$6:$AM$102, 5, FALSE)*BP23, "")), 2), "")</f>
        <v/>
      </c>
      <c r="FM23" s="253" t="str">
        <f>IFERROR(ROUND(IF(CD23="ERROR", "ERROR", IF(AND($FM$6=Y23,E23="Interior"), IF(GB23=0, VLOOKUP(W23, 'Lookup Tables'!$AI$6:$AM$102, 5, FALSE)*BP23, IF(VLOOKUP(W23, 'Lookup Tables'!$AI$6:$AM$102, 5, FALSE)*BP23&gt;GB23*'Lighting Inventory'!S23, GB23*'Lighting Inventory'!S23,VLOOKUP(W23, 'Lookup Tables'!$AI$6:$AM$102, 5, FALSE)*BP23)), "")), 2), "")</f>
        <v/>
      </c>
      <c r="FN23" s="253" t="str">
        <f>IFERROR(ROUND(IF(CD23="ERROR", "ERROR", IF(AND($FM$6=Y23,E23="Exterior"), IF(GB23=0, VLOOKUP(W23, 'Lookup Tables'!$AI$6:$AM$102, 5, FALSE)*BP23, IF(VLOOKUP(W23, 'Lookup Tables'!$AI$6:$AM$102, 5, FALSE)*BP23&gt;GB23*'Lighting Inventory'!S23, GB23*'Lighting Inventory'!S23,VLOOKUP(W23, 'Lookup Tables'!$AI$6:$AM$102, 5, FALSE)*BP23)), "")), 2), "")</f>
        <v/>
      </c>
      <c r="FO23" s="253" t="str">
        <f>IFERROR(ROUND(IF(CD23="ERROR", "ERROR", IF(AND($FO$6=Y23,E23="Interior"),VLOOKUP(W23, 'Lookup Tables'!$AI$6:$AM$102, 5, FALSE)*'Lighting Inventory'!AI23, "")), 2), "")</f>
        <v/>
      </c>
      <c r="FP23" s="253" t="str">
        <f>IFERROR(ROUND(IF(CD23="ERROR", "ERROR", IF(AND($FO$6=Y23,E23="Exterior"),VLOOKUP(W23, 'Lookup Tables'!$AI$6:$AM$102, 5, FALSE)*'Lighting Inventory'!AI23, "")), 2), "")</f>
        <v/>
      </c>
      <c r="FQ23" s="253" t="str">
        <f>IFERROR(ROUND(IF(CD23="ERROR", "ERROR", IF(AND($FQ$6=Y23,E23="Interior", BU23="Y"), VLOOKUP('Lighting Inventory'!W23, 'Lookup Tables'!$AI$6:$AM$102, 5, FALSE)*'Lighting Inventory'!S23, IF(AND($FQ$7=Y23,E23="Interior", BU23="N"), 0.025*CD23, ""))), 2), "")</f>
        <v/>
      </c>
      <c r="FR23" s="253" t="str">
        <f>IFERROR(ROUND(IF(CD23="ERROR", "ERROR", IF(AND($FQ$6=Y23,E23="Exterior"), VLOOKUP('Lighting Inventory'!W23, 'Lookup Tables'!$AI$6:$AM$102, 5, FALSE)*'Lighting Inventory'!S23, "")), 2), "")</f>
        <v/>
      </c>
      <c r="FS23" s="253" t="str">
        <f>IFERROR(ROUND(IF(CD23="ERROR", "ERROR", IF(AND($FS$6=Y23,E23="Exterior"), IF(GB23=0, VLOOKUP(W23, 'Lookup Tables'!$AI$6:$AM$102, 5, FALSE)*BP23, IF(VLOOKUP(W23, 'Lookup Tables'!$AI$6:$AM$102, 5, FALSE)*BP23&gt;GB23*'Lighting Inventory'!S23, GB23*'Lighting Inventory'!S23,VLOOKUP(W23, 'Lookup Tables'!$AI$6:$AM$102, 5, FALSE)*BP23)), "")), 2), "")</f>
        <v/>
      </c>
      <c r="FT23" s="253" t="str">
        <f>IFERROR(ROUND(IF(CD23="ERROR", "ERROR", IF(AND($FT$6=Y23,E23="Interior"), IF(GB23=0, VLOOKUP(W23, 'Lookup Tables'!$AI$6:$AM$102, 5, FALSE)*BP23, IF(VLOOKUP(W23, 'Lookup Tables'!$AI$6:$AM$102, 5, FALSE)*BP23&gt;GB23*'Lighting Inventory'!S23, GB23*'Lighting Inventory'!S23,VLOOKUP(W23, 'Lookup Tables'!$AI$6:$AM$102, 5, FALSE)*BP23)), "")), 2), "")</f>
        <v/>
      </c>
      <c r="FU23" s="253" t="str">
        <f>IFERROR(ROUND(IF(CD23="ERROR", "ERROR", IF(AND(Y23=$FU$6, E23="Interior"), IF(BS23="N", 'Lookup Tables'!$AM$101*BP23, VLOOKUP(W23, 'Lookup Tables'!$AI$6:$AM$102, 5, FALSE)*S23*AD23), "")), 2), "")</f>
        <v/>
      </c>
      <c r="FV23" s="253" t="str">
        <f>IFERROR(ROUND(IF(CD23="ERROR", "ERROR", IF(AND(Y23=$FU$6, E23="Exterior"), IF(BS23="N", 'Lookup Tables'!$AM$101*BP23, VLOOKUP(W23, 'Lookup Tables'!$AI$6:$AM$102, 5, FALSE)*S23*AD23), "")), 2), "")</f>
        <v/>
      </c>
      <c r="FW23" s="253" t="str">
        <f>IFERROR(ROUND(IF(CD23="ERROR", "ERROR", IF($FW$6=Y23, IF(BS23="N", 'Lookup Tables'!$AM$101*BP23, MIN((VLOOKUP(W23, 'Lookup Tables'!$AI$6:$AM$102, 5, FALSE)*BP23),GB23*AJ23)), "")), 2), "")</f>
        <v/>
      </c>
      <c r="FX23" s="253" t="str">
        <f>IFERROR(ROUND(IF(CD23="ERROR", "ERROR", IF(AND($FX$6=Y23, E23="Interior"), IF(VLOOKUP(W23, 'Lookup Tables'!$AI$6:$AM$102, 5, FALSE)*BP23&gt;'Lookup Tables'!$AQ$97*'Lighting Inventory'!S23,'Lighting Inventory'!S23*'Lookup Tables'!$AQ$97,VLOOKUP(W23, 'Lookup Tables'!$AI$6:$AM$102, 5, FALSE)*BP23), "")), 2), "")</f>
        <v/>
      </c>
      <c r="FY23" s="253" t="str">
        <f>IFERROR(ROUND(IF(CD23="ERROR", "ERROR", IF(AND($FX$6=Y23, E23="Exterior"), IF(VLOOKUP(W23, 'Lookup Tables'!$AI$6:$AM$102, 5, FALSE)*BP23&gt;'Lookup Tables'!$AQ$97*'Lighting Inventory'!S23,'Lighting Inventory'!S23*'Lookup Tables'!$AQ$97,VLOOKUP(W23, 'Lookup Tables'!$AI$6:$AM$102, 5, FALSE)*BP23), "")), 2), "")</f>
        <v/>
      </c>
      <c r="FZ23" s="253" t="str">
        <f>IFERROR(ROUND(IF(CD23="ERROR", "ERROR", IF(AND($FZ$6=Y23, E23="Interior"), IF(AND(OR(W23="Refrigerated Case Lighting with Doors", W23="Freezer Case Lighting"),Y23="Custom - Process Improvement"),CD23*'Lookup Tables'!$AM$101, IF(B23="Retrofit", IF(VLOOKUP(IF(V23="Custom", V23, W23), 'Lookup Tables'!$AI$6:$AM$102, 5, FALSE)*BP23&gt;GE23, GE23, VLOOKUP(IF(V23="Custom", V23, W23), 'Lookup Tables'!$AI$6:$AM$102, 5, FALSE)*BP23), IF(VLOOKUP(IF(V23="Custom", V23, W23), 'Lookup Tables'!$AI$114:$AM$154, 5, FALSE)*BP23&gt;GE23, GE23, VLOOKUP(IF(V23="Custom", V23, W23), 'Lookup Tables'!$AI$114:$AM$154, 5, FALSE)*BP23))), "")), 2),"")</f>
        <v/>
      </c>
      <c r="GA23" s="253" t="str">
        <f>IFERROR(ROUND(IF(CD23="ERROR", "ERROR", IF(AND($FZ$6=Y23, E23="Exterior"), IF(B23="Retrofit", IF(VLOOKUP(IF(V23="Custom", V23, W23), 'Lookup Tables'!$AI$6:$AM$102, 5, FALSE)*BP23&gt;GE23, GE23, VLOOKUP(IF(V23="Custom", V23, W23), 'Lookup Tables'!$AI$6:$AM$102, 5, FALSE)*BP23), IF(VLOOKUP(IF(V23="Custom", V23, W23), 'Lookup Tables'!$AI$114:$AM$154, 5, FALSE)*BP23&gt;GE23, GE23, VLOOKUP(IF(V23="Custom", V23, W23), 'Lookup Tables'!$AI$114:$AM$154, 5, FALSE)*BP23)), "")), 2),"")</f>
        <v/>
      </c>
      <c r="GB23" s="254" t="str">
        <f t="array" ref="GB23">IF(B23="","",IF(OR(V23="Custom",V23="No Change"),0,IF(B23="Retrofit", INDEX('Lookup Tables'!$AH$6:$AQ$102,MATCH(1,('Lookup Tables'!$AH$6:$AH$102='Lighting Inventory'!V23)*('Lookup Tables'!$AI$6:$AI$102='Lighting Inventory'!W23),FALSE),10),INDEX('Lookup Tables'!$AH$114:$AQ$154,MATCH(1,('Lookup Tables'!$AH$114:$AH$154='Lighting Inventory'!V23)*('Lookup Tables'!$AI$114:$AI$154='Lighting Inventory'!W23),FALSE),10))))</f>
        <v/>
      </c>
      <c r="GC23" s="255" t="str">
        <f t="shared" si="77"/>
        <v/>
      </c>
      <c r="GD23" s="250" t="str">
        <f t="shared" si="78"/>
        <v/>
      </c>
      <c r="GE23" s="253" t="str">
        <f>IFERROR(IF(AND(AF23="", 'General Information'!$F$18="No"),"", IF(AF23="", ((GD23/$CD$266)*$CF$266)*0.5, AF23*S23*0.5)), "")</f>
        <v/>
      </c>
      <c r="GF23" s="255" t="str">
        <f>IF(AND('General Information'!$F$19="", 'General Information'!$F$18="Yes",AF23="",BW23="Y"), "Y", "N")</f>
        <v>N</v>
      </c>
      <c r="GG23" s="255" t="s">
        <v>2946</v>
      </c>
      <c r="GH23" s="255" t="str">
        <f>IFERROR(IF(B23="", "", VLOOKUP(J23, 'Fixture Identities'!$A$6:$N$908, 14, FALSE)), "")</f>
        <v/>
      </c>
      <c r="GI23" s="389" t="str">
        <f>IF(OR(B23="", V23="", W23=""), "", IF(AND(OR(M23='Lookup Tables'!$R$18, M23='Lookup Tables'!$R$19, M23='Lookup Tables'!$R$20, M23='Lookup Tables'!$R$21, M23='Lookup Tables'!$R$22), OR(AN23='Lookup Tables'!$R$17, AN23='Lookup Tables'!$R$17, AN23="")), "Y", "N"))</f>
        <v/>
      </c>
      <c r="GJ23" s="255" t="str">
        <f t="shared" si="79"/>
        <v/>
      </c>
      <c r="GK23" s="255" t="str">
        <f t="shared" si="80"/>
        <v/>
      </c>
      <c r="GL23" s="255" t="str">
        <f t="shared" si="81"/>
        <v/>
      </c>
      <c r="GM23" s="255" t="str">
        <f>IF(AN23="", "", IF(AND(IF(ISNA(VLOOKUP(AN23,'Lookup Tables'!$R$18:$R$22,1,FALSE)), "N", "Y")="Y", E23="Exterior"), "Y", "N"))</f>
        <v/>
      </c>
      <c r="GN23" s="395"/>
      <c r="GO23" s="428">
        <f t="shared" si="98"/>
        <v>0</v>
      </c>
      <c r="GP23" s="428">
        <f t="shared" si="167"/>
        <v>0</v>
      </c>
      <c r="GQ23" s="428">
        <f t="shared" si="99"/>
        <v>0</v>
      </c>
      <c r="GR23" s="428">
        <f t="shared" si="100"/>
        <v>0</v>
      </c>
    </row>
    <row r="24" spans="1:200" s="103" customFormat="1" ht="13.5" customHeight="1" x14ac:dyDescent="0.2">
      <c r="A24" s="272">
        <v>14</v>
      </c>
      <c r="B24" s="110"/>
      <c r="C24" s="110"/>
      <c r="D24" s="110"/>
      <c r="E24" s="110"/>
      <c r="F24" s="110"/>
      <c r="G24" s="110"/>
      <c r="H24" s="110"/>
      <c r="I24" s="29"/>
      <c r="J24" s="29"/>
      <c r="K24" s="272" t="str">
        <f>IFERROR(IF(OR(VLOOKUP(J24, 'Fixture Identities'!$A$6:$L$1023, 3, FALSE)="T12 Linear Fluorescent", VLOOKUP(J24, 'Fixture Identities'!$A$6:$L$1023, 3, FALSE)="T12 U-Tube Fluorescent"), VLOOKUP(VLOOKUP(J24, 'Fixture Identities'!$A$6:$L$1023, 11, FALSE), 'Fixture Identities'!$A$6:$L$1023, 10, FALSE), VLOOKUP(J24, 'Fixture Identities'!$A$6:$L$1023, 10, FALSE)), "")</f>
        <v/>
      </c>
      <c r="L24" s="270" t="str">
        <f t="shared" si="169"/>
        <v/>
      </c>
      <c r="M24" s="110"/>
      <c r="N24" s="110"/>
      <c r="O24" s="110"/>
      <c r="P24" s="272" t="str">
        <f>IFERROR(IF(OR(B24="Retrofit",B24=""),"",IF('Lighting Inventory'!E24="Exterior",VLOOKUP('Lighting Inventory'!N24,'Lookup Tables'!$B$83:$F$103,5,FALSE),IF(N24="Other - Please Estimate EFLH and CFs","Contact Prog. Rep.","ft^2"))), "")</f>
        <v/>
      </c>
      <c r="Q24" s="270" t="str">
        <f>IFERROR(IF(AND(B24="New Construction",E24="Interior",$F$5="Space-by-Space"),VLOOKUP('Lighting Inventory'!N24,'Lookup Tables'!$N$6:$O$97,2,FALSE),IF(AND(B24="New Construction",E24="Exterior"),VLOOKUP(N24,'Lookup Tables'!$B$83:$F$103,2,FALSE),IF(AND(B24="New Construction",'Lighting Inventory'!E24="Interior", $F$5="Building Area"),VLOOKUP(F24,'Lookup Tables'!$A$6:$J$59,10,FALSE),""))), "")</f>
        <v/>
      </c>
      <c r="R24" s="270" t="str">
        <f>IFERROR(IF(P24="Contact Prog. Rep.", "ERROR", IF(OR(B24="",B24="Retrofit"),"",IF(N24="Automated teller machines", ('Lookup Tables'!$A$82:$E$100+('Lighting Inventory'!O24-1)*'Lookup Tables'!$A$82:$E$100)/1000, (Q24*O24)/1000))), "")</f>
        <v/>
      </c>
      <c r="S24" s="595"/>
      <c r="T24" s="105" t="str">
        <f t="shared" si="83"/>
        <v/>
      </c>
      <c r="U24" s="105" t="str">
        <f>IF(S24="","",COUNT($S$11:S24))</f>
        <v/>
      </c>
      <c r="V24" s="111"/>
      <c r="W24" s="112"/>
      <c r="X24" s="105" t="str">
        <f t="shared" si="84"/>
        <v/>
      </c>
      <c r="Y24" s="105" t="str">
        <f t="array" ref="Y24">IF(AND(OR(W24="Freezer Case Lighting", W24="Refrigerated Case Lighting with Doors"), 'General Information'!$X$18="LCI"),'Lookup Tables'!$Y$34, IF(V24="Custom", VLOOKUP(W24, 'Fixture Identities'!$A$974:$M$1023, 13, FALSE), IF(V24="No Change",'Lookup Tables'!$Y$29,IF(OR(V24="",W24=""),"",IF(AND(S24=0,S24&lt;I24,B24="Retrofit"),'Lookup Tables'!$Y$25, IF(B24="Retrofit", INDEX('Lookup Tables'!$AH$6:$AP$102, MATCH(1, ('Lookup Tables'!$AH$6:$AH$102=V24)*('Lookup Tables'!$AI$6:$AI$102=W24), 0), IF('Lighting Inventory'!E24="Interior", 4, 5)), INDEX('Lookup Tables'!$AH$114:$AP$154, MATCH(1, ('Lookup Tables'!$AH$114:$AH$154=V24)*('Lookup Tables'!$AI$114:$AI$154=W24), 0), IF('Lighting Inventory'!E24="Interior", 4, 5))))))))</f>
        <v/>
      </c>
      <c r="Z24" s="105" t="str">
        <f>IFERROR(INDEX('Lookup Tables'!$AH$158:$AH$172,MATCH('Lighting Inventory'!Y24,'Lookup Tables'!$AI$158:$AI$172,0)),"")</f>
        <v/>
      </c>
      <c r="AA24" s="105" t="str">
        <f>IF(AP24&gt;0,INDEX('Lookup Tables'!$AK$158:$AK$172,MATCH('Lighting Inventory'!Y24,'Lookup Tables'!$AI$158:$AI$172,0)),'Lighting Inventory'!Y24)</f>
        <v/>
      </c>
      <c r="AB24" s="105" t="str">
        <f t="array" ref="AB24">IF(V24="Custom", "Custom", IF(V24="", "", IF(V24="Not DLC or Energy Star", "General", IF(B24="New Construction", INDEX('Lookup Tables'!$AH$114:$AP$154,MATCH(1,('Lookup Tables'!$AH$114:$AH$154='Lighting Inventory'!V24)*('Lookup Tables'!$AI$114:$AI$154='Lighting Inventory'!W24),FALSE),8), INDEX('Lookup Tables'!$AH$6:$AP$102,MATCH(1,('Lookup Tables'!$AH$6:$AH$102='Lighting Inventory'!V24)*('Lookup Tables'!$AI$6:$AI$102='Lighting Inventory'!W24),FALSE),8)))))</f>
        <v/>
      </c>
      <c r="AC24" s="272" t="str">
        <f>IF(W24="","",IF(V24="Custom",CONCATENATE("$",'Lookup Tables'!$AM$101," ",'Lookup Tables'!$AN$101),CONCATENATE("$",INDEX('Lookup Tables'!$AM$6:$AM$102,MATCH('Lighting Inventory'!W24,'Lookup Tables'!$AI$6:$AI$102,0))," ",INDEX('Lookup Tables'!$AN$6:$AN$102,MATCH('Lighting Inventory'!W24,'Lookup Tables'!$AI$6:$AI$102,0)))))</f>
        <v/>
      </c>
      <c r="AD24" s="72"/>
      <c r="AE24" s="29"/>
      <c r="AF24" s="379"/>
      <c r="AG24" s="370" t="str">
        <f t="shared" si="2"/>
        <v/>
      </c>
      <c r="AH24" s="370" t="str">
        <f t="shared" si="85"/>
        <v/>
      </c>
      <c r="AI24" s="29"/>
      <c r="AJ24" s="29"/>
      <c r="AK24" s="110"/>
      <c r="AL24" s="375" t="str">
        <f>IF(OR(B24="", V24="", W24=""), "", IF(V24="No Change", K24, IF(V24="Remove Fixture", 0, IF(V24="Custom",VLOOKUP(W24,'Fixture Identities'!$A$6:$K$1023,10,FALSE),IF(AE24="", "← ENTER POST WATTS", 'Lighting Inventory'!AE24)))))</f>
        <v/>
      </c>
      <c r="AM24" s="376" t="str">
        <f t="shared" si="3"/>
        <v/>
      </c>
      <c r="AN24" s="29"/>
      <c r="AO24" s="671"/>
      <c r="AP24" s="29"/>
      <c r="AQ24" s="29"/>
      <c r="AR24" s="29"/>
      <c r="AS24" s="272" t="str">
        <f t="shared" si="4"/>
        <v/>
      </c>
      <c r="AT24" s="270" t="str">
        <f t="shared" si="234"/>
        <v/>
      </c>
      <c r="AU24" s="88" t="str">
        <f t="shared" si="235"/>
        <v/>
      </c>
      <c r="AV24" s="29"/>
      <c r="AW24" s="73"/>
      <c r="AX24" s="271" t="str">
        <f>IF(AND(AV24="Applicant",OR(AW24="", AW24="Use Default Facility Hours")),"← Choose Schedule",IF(F24="","",IF(W24="LED Exit Signs",8760,IF(OR(AV24="Prescribed",AV24=""),VLOOKUP(F24,'Lookup Tables'!$A$6:$G$59,IF(AB24="General", 6, 3),FALSE),VLOOKUP(AW24,'Lookup Tables'!$S$36:$U$43,2,FALSE)))))</f>
        <v/>
      </c>
      <c r="AY24" s="88" t="str">
        <f t="shared" si="7"/>
        <v/>
      </c>
      <c r="AZ24" s="270" t="str">
        <f>IFERROR(IF(F24="", "", IF(W24="LED Exit Signs", 1, IF(AV24="Applicant",VLOOKUP(AW24, 'Lookup Tables'!$S$36:$U$43,3, FALSE), VLOOKUP('Lighting Inventory'!F24, 'Lookup Tables'!$A$6:$H$59, IF('Lighting Inventory'!AB24="General",7,4), FALSE)))), "")</f>
        <v/>
      </c>
      <c r="BA24" s="522" t="str">
        <f>IFERROR(IF(F24="", "", IF(W24="LED Exit Signs", 1, VLOOKUP('Lighting Inventory'!F24, 'Lookup Tables'!$A$6:$H$59, IF('Lighting Inventory'!AB24="General",8,5), FALSE))), "")</f>
        <v/>
      </c>
      <c r="BB24" s="270" t="str">
        <f>IF(G24="", "", IF(E24="Exterior", 0, IF('Lighting Inventory'!G24="Air Conditioned", VLOOKUP(H24, 'Lookup Tables'!$R$6:$T$13, 2, FALSE), VLOOKUP('Lighting Inventory'!G24, 'Lookup Tables'!$R$6:$T$13, 2, FALSE))))</f>
        <v/>
      </c>
      <c r="BC24" s="522" t="str">
        <f>IF(G24="", "", IF(E24="Exterior", 0, IF('Lighting Inventory'!G24="Air Conditioned", VLOOKUP(H24, 'Lookup Tables'!$R$6:$T$13, 3, FALSE), VLOOKUP('Lighting Inventory'!G24, 'Lookup Tables'!$R$6:$T$13, 3, FALSE))))</f>
        <v/>
      </c>
      <c r="BD24" s="270" t="str">
        <f>IF(G24="", "", IF(E24="Exterior", 0, IF('Lighting Inventory'!G24="Air Conditioned", VLOOKUP(H24, 'Lookup Tables'!$R$6:$U$13, 4, FALSE), VLOOKUP('Lighting Inventory'!G24, 'Lookup Tables'!$R$6:$U$13, 4, FALSE))))</f>
        <v/>
      </c>
      <c r="BE24" s="270" t="str">
        <f>IFERROR(IF(B24="", "",  IF(B24="New Construction", VLOOKUP(F24, 'Lookup Tables'!$A$6:$K$59, 11, FALSE),IF(OR(AN24="", AN24="Light Switch"), 0, IF(OR(M24="",M24="None",V24= "LED Exit Signs"),0,_xlfn.XLOOKUP(M24,'Lookup Tables'!$R$91:$R$101,'Lookup Tables'!$V$91:$V$101))))), "")</f>
        <v/>
      </c>
      <c r="BF24" s="270" t="str">
        <f>IF(AND(OR(AN24="Light Switch",AN24=""),B24="New Construction"), VLOOKUP(F24, 'Lookup Tables'!$A$6:$K$59, 11, FALSE),IF(AN24="","",IF(B24="","",IF(OR(AN24="None",AN24="",V24="LED Exit Signs",AN24="Exterior Controls Not Eligible"),0,_xlfn.XLOOKUP(AN24,'Lookup Tables'!$R$91:$R$101,'Lookup Tables'!$V$91:$V$101)))))</f>
        <v/>
      </c>
      <c r="BG24" s="88" t="str">
        <f t="shared" si="86"/>
        <v/>
      </c>
      <c r="BH24" s="88" t="str">
        <f t="shared" si="87"/>
        <v/>
      </c>
      <c r="BI24" s="558" t="str">
        <f t="shared" si="168"/>
        <v/>
      </c>
      <c r="BJ24" s="560" t="str">
        <f t="shared" si="88"/>
        <v/>
      </c>
      <c r="BK24" s="560" t="str">
        <f t="shared" si="89"/>
        <v/>
      </c>
      <c r="BL24" s="559" t="str">
        <f t="shared" si="90"/>
        <v/>
      </c>
      <c r="BM24" s="521" t="str">
        <f t="shared" si="8"/>
        <v/>
      </c>
      <c r="BN24" s="521" t="str">
        <f t="shared" si="9"/>
        <v/>
      </c>
      <c r="BO24" s="522" t="str">
        <f t="shared" si="10"/>
        <v/>
      </c>
      <c r="BP24" s="83" t="str">
        <f t="shared" si="91"/>
        <v/>
      </c>
      <c r="BQ24" s="84" t="str">
        <f t="shared" si="92"/>
        <v/>
      </c>
      <c r="BR24" s="184" t="str">
        <f>IFERROR(IF(B24="", "", IF(OR(VLOOKUP(J24, 'Fixture Identities'!$A$6:$L$1023, 3, FALSE)="T12 Linear Fluorescent",VLOOKUP(J24, 'Fixture Identities'!$A$6:$L$1023, 3, FALSE)="T12 U-Tube Fluorescent"), "Y", "N")), "N")</f>
        <v/>
      </c>
      <c r="BS24" s="184" t="str">
        <f t="array" ref="BS24">IFERROR(IF(OR(B24="", V24="", W24=""), "", IF(V24="Custom", "N", IF(OR(W24="Freezer Case Lighting", W24="Refrigerated Case Lighting with Doors"), BT24, IF(B24="Retrofit", INDEX('Lookup Tables'!$AH$6:$AT$102,MATCH(1,('Lookup Tables'!$AH$6:$AH$102=V24)*('Lookup Tables'!$AI$6:$AI$102=W24),FALSE),IF(VLOOKUP(J24, 'Fixture Identities'!$A$6:$B$1023, 2, FALSE)="Incandescent",12, 13)), INDEX('Lookup Tables'!$AH$114:$AS$154,MATCH(1,('Lookup Tables'!$AH$114:$AH$154=V24)*('Lookup Tables'!$AI$114:$AI$154=W24),FALSE),12))))), "N")</f>
        <v/>
      </c>
      <c r="BT24" s="184" t="str">
        <f>IF(J24="", "", IF(AND(OR(W24="Freezer case Lighting", W24="Refrigerated Case Lighting with Doors"),'General Information'!$X$18="LCI"), "N", IF(OR(VLOOKUP(J24, 'Fixture Identities'!$A$6:$B$1023, 2, FALSE)="T12 EPACT/EISA Baseline", VLOOKUP(J24, 'Fixture Identities'!$A$6:$B$1023, 2, FALSE)="Linear Fluorescent", VLOOKUP(J24, 'Fixture Identities'!$A$6:$B$1023, 2, FALSE)="U-Tube Fluorescent"), "Y", "N")))</f>
        <v/>
      </c>
      <c r="BU24" s="184" t="str">
        <f>IFERROR(IF(B24="", "", IF(VLOOKUP(J24, 'Fixture Identities'!$A$6:$B$1023, 2, FALSE)="Exit Sign", "Y", "N")), "N")</f>
        <v/>
      </c>
      <c r="BV24" s="184" t="str">
        <f>IF(V24="Exit Signs", IF(VLOOKUP(J24, 'Fixture Identities'!$A$6:$B$1023, 2, FALSE)="Exit Sign", "N", "Y"), "")</f>
        <v/>
      </c>
      <c r="BW24" s="184" t="str">
        <f t="array" ref="BW24">IFERROR(IF(B24="", "", IF(B24="New Construction", "N", INDEX('Lookup Tables'!$AH$6:$AU$102, MATCH(1, ('Lookup Tables'!$AH$6:$AH$102='Lighting Inventory'!V24)*('Lookup Tables'!$AI$6:$AI$102='Lighting Inventory'!W24), 0), 14))), "N")</f>
        <v/>
      </c>
      <c r="BX24" s="598" t="str">
        <f t="shared" si="93"/>
        <v/>
      </c>
      <c r="BY24" s="598" t="str">
        <f t="shared" si="94"/>
        <v/>
      </c>
      <c r="BZ24" s="598" t="str">
        <f t="shared" si="95"/>
        <v/>
      </c>
      <c r="CA24" s="598" t="str">
        <f t="shared" si="101"/>
        <v/>
      </c>
      <c r="CB24" s="269" t="str">
        <f t="shared" si="102"/>
        <v/>
      </c>
      <c r="CC24" s="517" t="str">
        <f t="shared" si="96"/>
        <v/>
      </c>
      <c r="CD24" s="565" t="str">
        <f t="shared" si="11"/>
        <v/>
      </c>
      <c r="CE24" s="368">
        <v>0</v>
      </c>
      <c r="CF24" s="368" t="str" cm="1">
        <f t="array" ref="CF24">IFERROR(IF(V24="Custom", "$0.1 per kWh", IF(B24="New Construction", CONCATENATE("$",INDEX('Lookup Tables'!$AH$114:$AN$154,MATCH(1,('Lookup Tables'!$AH$114:$AH$154='Lighting Inventory'!V24)*('Lookup Tables'!$AI$114:$AI$154='Lighting Inventory'!W24),FALSE),6)," ",INDEX('Lookup Tables'!$AH$114:$AN$154,MATCH(1,('Lookup Tables'!$AH$114:$AH$154='Lighting Inventory'!V24)*('Lookup Tables'!$AI$114:$AI$154='Lighting Inventory'!W24),FALSE),7)), IF(AND(BU24="N", V24="Exit Signs"), "$0.025 per kWh", CONCATENATE("$",INDEX('Lookup Tables'!$AH$6:$AN$102,MATCH(1,('Lookup Tables'!$AH$6:$AH$102='Lighting Inventory'!V24)*('Lookup Tables'!$AI$6:$AI$102='Lighting Inventory'!W24),FALSE),6)," ",INDEX('Lookup Tables'!$AH$6:$AN$102,MATCH(1,('Lookup Tables'!$AH$6:$AH$102='Lighting Inventory'!V24)*('Lookup Tables'!$AI$6:$AI$102='Lighting Inventory'!W24),FALSE),7))))), "")</f>
        <v/>
      </c>
      <c r="CG24" s="580"/>
      <c r="CH24" s="248" t="str">
        <f t="shared" si="170"/>
        <v/>
      </c>
      <c r="CI24" s="248" t="str">
        <f t="shared" si="171"/>
        <v>Select_IE</v>
      </c>
      <c r="CJ24" s="248" t="str">
        <f t="shared" si="172"/>
        <v/>
      </c>
      <c r="CK24" s="248" t="str">
        <f t="shared" si="173"/>
        <v/>
      </c>
      <c r="CL24" s="248" t="str">
        <f t="shared" si="174"/>
        <v/>
      </c>
      <c r="CM24" s="248" t="str">
        <f>IFERROR(IF(B24="", "", IF(B24="New Construction", VLOOKUP(V24, 'Lookup Tables'!$AF$114:$AG$120, 2, FALSE), VLOOKUP(V24, 'Lookup Tables'!$AD$6:$AE$25, 2, FALSE))), "")</f>
        <v/>
      </c>
      <c r="CN24" s="248" t="str">
        <f t="shared" si="175"/>
        <v/>
      </c>
      <c r="CO24" s="248" t="str">
        <f t="shared" si="176"/>
        <v/>
      </c>
      <c r="CP24" s="592" t="str">
        <f t="shared" si="177"/>
        <v/>
      </c>
      <c r="CQ24" s="248" t="str">
        <f t="shared" si="97"/>
        <v/>
      </c>
      <c r="CR24" s="100"/>
      <c r="CS24" s="250" t="str">
        <f t="shared" si="178"/>
        <v/>
      </c>
      <c r="CT24" s="250" t="str">
        <f t="shared" si="179"/>
        <v/>
      </c>
      <c r="CU24" s="250" t="str">
        <f t="shared" si="180"/>
        <v/>
      </c>
      <c r="CV24" s="250" t="str">
        <f t="shared" si="181"/>
        <v/>
      </c>
      <c r="CW24" s="250" t="str">
        <f t="shared" si="182"/>
        <v/>
      </c>
      <c r="CX24" s="250" t="str">
        <f t="shared" si="183"/>
        <v/>
      </c>
      <c r="CY24" s="250" t="str">
        <f t="shared" si="184"/>
        <v/>
      </c>
      <c r="CZ24" s="250" t="str">
        <f t="shared" si="185"/>
        <v/>
      </c>
      <c r="DA24" s="250" t="str">
        <f t="shared" si="186"/>
        <v/>
      </c>
      <c r="DB24" s="250" t="str">
        <f t="shared" si="187"/>
        <v/>
      </c>
      <c r="DC24" s="250" t="str">
        <f t="shared" si="188"/>
        <v/>
      </c>
      <c r="DD24" s="250" t="str">
        <f t="shared" si="189"/>
        <v/>
      </c>
      <c r="DE24" s="250" t="str">
        <f t="shared" si="190"/>
        <v/>
      </c>
      <c r="DF24" s="250" t="str">
        <f t="shared" si="191"/>
        <v/>
      </c>
      <c r="DG24" s="250" t="str">
        <f t="shared" si="192"/>
        <v/>
      </c>
      <c r="DH24" s="250" t="str">
        <f t="shared" si="193"/>
        <v/>
      </c>
      <c r="DI24" s="250" t="str">
        <f t="shared" si="194"/>
        <v/>
      </c>
      <c r="DJ24" s="250" t="str">
        <f t="shared" si="195"/>
        <v/>
      </c>
      <c r="DK24" s="250" t="str">
        <f t="shared" si="196"/>
        <v/>
      </c>
      <c r="DL24" s="250" t="str">
        <f t="shared" si="197"/>
        <v/>
      </c>
      <c r="DM24" s="250" t="str">
        <f>IF(CD24="ERROR", "ERROR", IF(AND(OR(Y24=$DM$6, Y24='Lookup Tables'!$AD$21, Y24='Lookup Tables'!$AD$22), E24="Interior"), BJ24, ""))</f>
        <v/>
      </c>
      <c r="DN24" s="250" t="str">
        <f>IF(CD24="ERROR", "ERROR", IF(AND(OR(Y24=$DM$6, Y24='Lookup Tables'!$AD$21, Y24='Lookup Tables'!$AD$22), E24="Exterior"), BJ24, ""))</f>
        <v/>
      </c>
      <c r="DO24" s="100"/>
      <c r="DP24" s="250" t="str">
        <f t="shared" si="198"/>
        <v/>
      </c>
      <c r="DQ24" s="250" t="str">
        <f t="shared" si="199"/>
        <v/>
      </c>
      <c r="DR24" s="250" t="str">
        <f t="shared" si="200"/>
        <v/>
      </c>
      <c r="DS24" s="250" t="str">
        <f t="shared" si="201"/>
        <v/>
      </c>
      <c r="DT24" s="250" t="str">
        <f t="shared" si="202"/>
        <v/>
      </c>
      <c r="DU24" s="250" t="str">
        <f t="shared" si="203"/>
        <v/>
      </c>
      <c r="DV24" s="250" t="str">
        <f t="shared" si="204"/>
        <v/>
      </c>
      <c r="DW24" s="250" t="str">
        <f t="shared" si="205"/>
        <v/>
      </c>
      <c r="DX24" s="250" t="str">
        <f t="shared" si="206"/>
        <v/>
      </c>
      <c r="DY24" s="250" t="str">
        <f t="shared" si="207"/>
        <v/>
      </c>
      <c r="DZ24" s="250" t="str">
        <f t="shared" si="208"/>
        <v/>
      </c>
      <c r="EA24" s="250" t="str">
        <f t="shared" si="209"/>
        <v/>
      </c>
      <c r="EB24" s="250" t="str">
        <f t="shared" si="210"/>
        <v/>
      </c>
      <c r="EC24" s="250" t="str">
        <f t="shared" si="211"/>
        <v/>
      </c>
      <c r="ED24" s="250" t="str">
        <f t="shared" si="212"/>
        <v/>
      </c>
      <c r="EE24" s="250" t="str">
        <f t="shared" si="213"/>
        <v/>
      </c>
      <c r="EF24" s="250" t="str">
        <f t="shared" si="214"/>
        <v/>
      </c>
      <c r="EG24" s="250" t="str">
        <f t="shared" si="215"/>
        <v/>
      </c>
      <c r="EH24" s="250" t="str">
        <f>IF(CD24="ERROR", "ERROR", IF(AND(OR($EH$6=Y24, Y24='Lookup Tables'!$AD$21, Y24='Lookup Tables'!$AD$22),E24="Interior"), SUM(BP24:BP24), ""))</f>
        <v/>
      </c>
      <c r="EI24" s="250" t="str">
        <f>IF(CD24="ERROR", "ERROR", IF(AND(OR($EH$6=Y24, Y24='Lookup Tables'!$AD$21, Y24='Lookup Tables'!$AD$22),E24="Exterior"), SUM(BP24:BP24), ""))</f>
        <v/>
      </c>
      <c r="EJ24" s="109"/>
      <c r="EK24" s="485" t="str">
        <f t="shared" si="58"/>
        <v/>
      </c>
      <c r="EL24" s="252" t="str">
        <f t="shared" si="216"/>
        <v/>
      </c>
      <c r="EM24" s="252" t="str">
        <f t="shared" si="217"/>
        <v/>
      </c>
      <c r="EN24" s="252" t="str">
        <f t="shared" si="218"/>
        <v/>
      </c>
      <c r="EO24" s="252" t="str">
        <f t="shared" si="219"/>
        <v/>
      </c>
      <c r="EP24" s="252" t="str">
        <f t="shared" si="220"/>
        <v/>
      </c>
      <c r="EQ24" s="252" t="str">
        <f t="shared" si="221"/>
        <v/>
      </c>
      <c r="ER24" s="252" t="str">
        <f t="shared" si="222"/>
        <v/>
      </c>
      <c r="ES24" s="252" t="str">
        <f t="shared" si="223"/>
        <v/>
      </c>
      <c r="ET24" s="252" t="str">
        <f t="shared" si="224"/>
        <v/>
      </c>
      <c r="EU24" s="252" t="str">
        <f t="shared" si="225"/>
        <v/>
      </c>
      <c r="EV24" s="252" t="str">
        <f t="shared" si="226"/>
        <v/>
      </c>
      <c r="EW24" s="252" t="str">
        <f t="shared" si="227"/>
        <v/>
      </c>
      <c r="EX24" s="252" t="str">
        <f t="shared" si="228"/>
        <v/>
      </c>
      <c r="EY24" s="252" t="str">
        <f t="shared" si="229"/>
        <v/>
      </c>
      <c r="EZ24" s="252" t="str">
        <f t="shared" si="230"/>
        <v/>
      </c>
      <c r="FA24" s="252" t="str">
        <f t="shared" si="231"/>
        <v/>
      </c>
      <c r="FB24" s="252" t="str">
        <f t="shared" si="232"/>
        <v/>
      </c>
      <c r="FC24" s="252" t="str">
        <f>IF(CD24="ERROR", "ERROR", IF(OR(V24="No Change", V24="Not DLC or Energy Star"), "", IF(AND(OR($FC$6=Y24,Y24='Lookup Tables'!$AD$21, Y24='Lookup Tables'!$AD$22),E24="Interior"), S24, "")))</f>
        <v/>
      </c>
      <c r="FD24" s="252" t="str">
        <f t="shared" si="233"/>
        <v/>
      </c>
      <c r="FE24" s="101"/>
      <c r="FF24" s="579" t="str" cm="1">
        <f t="array" ref="FF24">IFERROR(IF(OR(BQ24&lt;=0,AQ24&lt;20,AND(V24="Exit Signs",AN24&gt;0)),"",IF(AND(AQ24&gt;=20,AN24='Lookup Tables'!$R$101),'Lookup Tables'!$U$101*BQ24,AP24*LOOKUP(2,1/((AN24='Lookup Tables'!$R$91:$R$111)*(AQ24&gt;='Lookup Tables'!$S$91:$S$111)*(AQ24&lt;='Lookup Tables'!$T$91:$T$111)),'Lookup Tables'!$U$91:$U$111))),"")</f>
        <v/>
      </c>
      <c r="FG24" s="579"/>
      <c r="FH24" s="579"/>
      <c r="FI24" s="253" t="str">
        <f>IFERROR(ROUND(IF(CD24="ERROR", "ERROR", IF(AND($FI$7=X24,E24="Interior"),VLOOKUP(W24, 'Lookup Tables'!$AI$6:$AM$102, 5, FALSE)*BP24, "")), 2), "")</f>
        <v/>
      </c>
      <c r="FJ24" s="253" t="str">
        <f>IFERROR(ROUND(IF(CD24="ERROR", "ERROR", IF(AND($FI$7=X24,E24="Exterior"),VLOOKUP(W24, 'Lookup Tables'!$AI$6:$AM$102, 5, FALSE)*BP24, "")), 2), "")</f>
        <v/>
      </c>
      <c r="FK24" s="253" t="str">
        <f>IFERROR(ROUND(IF(CD24="ERROR", "ERROR", IF(AND($FK$7=X24,E24="Interior"),VLOOKUP(W24, 'Lookup Tables'!$AI$6:$AM$102, 5, FALSE)*BP24, "")), 2), "")</f>
        <v/>
      </c>
      <c r="FL24" s="253" t="str">
        <f>IFERROR(ROUND(IF(CD24="ERROR", "ERROR", IF(AND($FK$7=X24,E24="Exterior"),VLOOKUP(W24, 'Lookup Tables'!$AI$6:$AM$102, 5, FALSE)*BP24, "")), 2), "")</f>
        <v/>
      </c>
      <c r="FM24" s="253" t="str">
        <f>IFERROR(ROUND(IF(CD24="ERROR", "ERROR", IF(AND($FM$6=Y24,E24="Interior"), IF(GB24=0, VLOOKUP(W24, 'Lookup Tables'!$AI$6:$AM$102, 5, FALSE)*BP24, IF(VLOOKUP(W24, 'Lookup Tables'!$AI$6:$AM$102, 5, FALSE)*BP24&gt;GB24*'Lighting Inventory'!S24, GB24*'Lighting Inventory'!S24,VLOOKUP(W24, 'Lookup Tables'!$AI$6:$AM$102, 5, FALSE)*BP24)), "")), 2), "")</f>
        <v/>
      </c>
      <c r="FN24" s="253" t="str">
        <f>IFERROR(ROUND(IF(CD24="ERROR", "ERROR", IF(AND($FM$6=Y24,E24="Exterior"), IF(GB24=0, VLOOKUP(W24, 'Lookup Tables'!$AI$6:$AM$102, 5, FALSE)*BP24, IF(VLOOKUP(W24, 'Lookup Tables'!$AI$6:$AM$102, 5, FALSE)*BP24&gt;GB24*'Lighting Inventory'!S24, GB24*'Lighting Inventory'!S24,VLOOKUP(W24, 'Lookup Tables'!$AI$6:$AM$102, 5, FALSE)*BP24)), "")), 2), "")</f>
        <v/>
      </c>
      <c r="FO24" s="253" t="str">
        <f>IFERROR(ROUND(IF(CD24="ERROR", "ERROR", IF(AND($FO$6=Y24,E24="Interior"),VLOOKUP(W24, 'Lookup Tables'!$AI$6:$AM$102, 5, FALSE)*'Lighting Inventory'!AI24, "")), 2), "")</f>
        <v/>
      </c>
      <c r="FP24" s="253" t="str">
        <f>IFERROR(ROUND(IF(CD24="ERROR", "ERROR", IF(AND($FO$6=Y24,E24="Exterior"),VLOOKUP(W24, 'Lookup Tables'!$AI$6:$AM$102, 5, FALSE)*'Lighting Inventory'!AI24, "")), 2), "")</f>
        <v/>
      </c>
      <c r="FQ24" s="253" t="str">
        <f>IFERROR(ROUND(IF(CD24="ERROR", "ERROR", IF(AND($FQ$6=Y24,E24="Interior", BU24="Y"), VLOOKUP('Lighting Inventory'!W24, 'Lookup Tables'!$AI$6:$AM$102, 5, FALSE)*'Lighting Inventory'!S24, IF(AND($FQ$7=Y24,E24="Interior", BU24="N"), 0.025*CD24, ""))), 2), "")</f>
        <v/>
      </c>
      <c r="FR24" s="253" t="str">
        <f>IFERROR(ROUND(IF(CD24="ERROR", "ERROR", IF(AND($FQ$6=Y24,E24="Exterior"), VLOOKUP('Lighting Inventory'!W24, 'Lookup Tables'!$AI$6:$AM$102, 5, FALSE)*'Lighting Inventory'!S24, "")), 2), "")</f>
        <v/>
      </c>
      <c r="FS24" s="253" t="str">
        <f>IFERROR(ROUND(IF(CD24="ERROR", "ERROR", IF(AND($FS$6=Y24,E24="Exterior"), IF(GB24=0, VLOOKUP(W24, 'Lookup Tables'!$AI$6:$AM$102, 5, FALSE)*BP24, IF(VLOOKUP(W24, 'Lookup Tables'!$AI$6:$AM$102, 5, FALSE)*BP24&gt;GB24*'Lighting Inventory'!S24, GB24*'Lighting Inventory'!S24,VLOOKUP(W24, 'Lookup Tables'!$AI$6:$AM$102, 5, FALSE)*BP24)), "")), 2), "")</f>
        <v/>
      </c>
      <c r="FT24" s="253" t="str">
        <f>IFERROR(ROUND(IF(CD24="ERROR", "ERROR", IF(AND($FT$6=Y24,E24="Interior"), IF(GB24=0, VLOOKUP(W24, 'Lookup Tables'!$AI$6:$AM$102, 5, FALSE)*BP24, IF(VLOOKUP(W24, 'Lookup Tables'!$AI$6:$AM$102, 5, FALSE)*BP24&gt;GB24*'Lighting Inventory'!S24, GB24*'Lighting Inventory'!S24,VLOOKUP(W24, 'Lookup Tables'!$AI$6:$AM$102, 5, FALSE)*BP24)), "")), 2), "")</f>
        <v/>
      </c>
      <c r="FU24" s="253" t="str">
        <f>IFERROR(ROUND(IF(CD24="ERROR", "ERROR", IF(AND(Y24=$FU$6, E24="Interior"), IF(BS24="N", 'Lookup Tables'!$AM$101*BP24, VLOOKUP(W24, 'Lookup Tables'!$AI$6:$AM$102, 5, FALSE)*S24*AD24), "")), 2), "")</f>
        <v/>
      </c>
      <c r="FV24" s="253" t="str">
        <f>IFERROR(ROUND(IF(CD24="ERROR", "ERROR", IF(AND(Y24=$FU$6, E24="Exterior"), IF(BS24="N", 'Lookup Tables'!$AM$101*BP24, VLOOKUP(W24, 'Lookup Tables'!$AI$6:$AM$102, 5, FALSE)*S24*AD24), "")), 2), "")</f>
        <v/>
      </c>
      <c r="FW24" s="253" t="str">
        <f>IFERROR(ROUND(IF(CD24="ERROR", "ERROR", IF($FW$6=Y24, IF(BS24="N", 'Lookup Tables'!$AM$101*BP24, MIN((VLOOKUP(W24, 'Lookup Tables'!$AI$6:$AM$102, 5, FALSE)*BP24),GB24*AJ24)), "")), 2), "")</f>
        <v/>
      </c>
      <c r="FX24" s="253" t="str">
        <f>IFERROR(ROUND(IF(CD24="ERROR", "ERROR", IF(AND($FX$6=Y24, E24="Interior"), IF(VLOOKUP(W24, 'Lookup Tables'!$AI$6:$AM$102, 5, FALSE)*BP24&gt;'Lookup Tables'!$AQ$97*'Lighting Inventory'!S24,'Lighting Inventory'!S24*'Lookup Tables'!$AQ$97,VLOOKUP(W24, 'Lookup Tables'!$AI$6:$AM$102, 5, FALSE)*BP24), "")), 2), "")</f>
        <v/>
      </c>
      <c r="FY24" s="253" t="str">
        <f>IFERROR(ROUND(IF(CD24="ERROR", "ERROR", IF(AND($FX$6=Y24, E24="Exterior"), IF(VLOOKUP(W24, 'Lookup Tables'!$AI$6:$AM$102, 5, FALSE)*BP24&gt;'Lookup Tables'!$AQ$97*'Lighting Inventory'!S24,'Lighting Inventory'!S24*'Lookup Tables'!$AQ$97,VLOOKUP(W24, 'Lookup Tables'!$AI$6:$AM$102, 5, FALSE)*BP24), "")), 2), "")</f>
        <v/>
      </c>
      <c r="FZ24" s="253" t="str">
        <f>IFERROR(ROUND(IF(CD24="ERROR", "ERROR", IF(AND($FZ$6=Y24, E24="Interior"), IF(AND(OR(W24="Refrigerated Case Lighting with Doors", W24="Freezer Case Lighting"),Y24="Custom - Process Improvement"),CD24*'Lookup Tables'!$AM$101, IF(B24="Retrofit", IF(VLOOKUP(IF(V24="Custom", V24, W24), 'Lookup Tables'!$AI$6:$AM$102, 5, FALSE)*BP24&gt;GE24, GE24, VLOOKUP(IF(V24="Custom", V24, W24), 'Lookup Tables'!$AI$6:$AM$102, 5, FALSE)*BP24), IF(VLOOKUP(IF(V24="Custom", V24, W24), 'Lookup Tables'!$AI$114:$AM$154, 5, FALSE)*BP24&gt;GE24, GE24, VLOOKUP(IF(V24="Custom", V24, W24), 'Lookup Tables'!$AI$114:$AM$154, 5, FALSE)*BP24))), "")), 2),"")</f>
        <v/>
      </c>
      <c r="GA24" s="253" t="str">
        <f>IFERROR(ROUND(IF(CD24="ERROR", "ERROR", IF(AND($FZ$6=Y24, E24="Exterior"), IF(B24="Retrofit", IF(VLOOKUP(IF(V24="Custom", V24, W24), 'Lookup Tables'!$AI$6:$AM$102, 5, FALSE)*BP24&gt;GE24, GE24, VLOOKUP(IF(V24="Custom", V24, W24), 'Lookup Tables'!$AI$6:$AM$102, 5, FALSE)*BP24), IF(VLOOKUP(IF(V24="Custom", V24, W24), 'Lookup Tables'!$AI$114:$AM$154, 5, FALSE)*BP24&gt;GE24, GE24, VLOOKUP(IF(V24="Custom", V24, W24), 'Lookup Tables'!$AI$114:$AM$154, 5, FALSE)*BP24)), "")), 2),"")</f>
        <v/>
      </c>
      <c r="GB24" s="254" t="str">
        <f t="array" ref="GB24">IF(B24="","",IF(OR(V24="Custom",V24="No Change"),0,IF(B24="Retrofit", INDEX('Lookup Tables'!$AH$6:$AQ$102,MATCH(1,('Lookup Tables'!$AH$6:$AH$102='Lighting Inventory'!V24)*('Lookup Tables'!$AI$6:$AI$102='Lighting Inventory'!W24),FALSE),10),INDEX('Lookup Tables'!$AH$114:$AQ$154,MATCH(1,('Lookup Tables'!$AH$114:$AH$154='Lighting Inventory'!V24)*('Lookup Tables'!$AI$114:$AI$154='Lighting Inventory'!W24),FALSE),10))))</f>
        <v/>
      </c>
      <c r="GC24" s="255" t="str">
        <f t="shared" si="77"/>
        <v/>
      </c>
      <c r="GD24" s="250" t="str">
        <f t="shared" si="78"/>
        <v/>
      </c>
      <c r="GE24" s="253" t="str">
        <f>IFERROR(IF(AND(AF24="", 'General Information'!$F$18="No"),"", IF(AF24="", ((GD24/$CD$266)*$CF$266)*0.5, AF24*S24*0.5)), "")</f>
        <v/>
      </c>
      <c r="GF24" s="255" t="str">
        <f>IF(AND('General Information'!$F$19="", 'General Information'!$F$18="Yes",AF24="",BW24="Y"), "Y", "N")</f>
        <v>N</v>
      </c>
      <c r="GG24" s="255" t="s">
        <v>2946</v>
      </c>
      <c r="GH24" s="255" t="str">
        <f>IFERROR(IF(B24="", "", VLOOKUP(J24, 'Fixture Identities'!$A$6:$N$908, 14, FALSE)), "")</f>
        <v/>
      </c>
      <c r="GI24" s="389" t="str">
        <f>IF(OR(B24="", V24="", W24=""), "", IF(AND(OR(M24='Lookup Tables'!$R$18, M24='Lookup Tables'!$R$19, M24='Lookup Tables'!$R$20, M24='Lookup Tables'!$R$21, M24='Lookup Tables'!$R$22), OR(AN24='Lookup Tables'!$R$17, AN24='Lookup Tables'!$R$17, AN24="")), "Y", "N"))</f>
        <v/>
      </c>
      <c r="GJ24" s="255" t="str">
        <f t="shared" si="79"/>
        <v/>
      </c>
      <c r="GK24" s="255" t="str">
        <f t="shared" si="80"/>
        <v/>
      </c>
      <c r="GL24" s="255" t="str">
        <f t="shared" si="81"/>
        <v/>
      </c>
      <c r="GM24" s="255" t="str">
        <f>IF(AN24="", "", IF(AND(IF(ISNA(VLOOKUP(AN24,'Lookup Tables'!$R$18:$R$22,1,FALSE)), "N", "Y")="Y", E24="Exterior"), "Y", "N"))</f>
        <v/>
      </c>
      <c r="GN24" s="395"/>
      <c r="GO24" s="428">
        <f t="shared" si="98"/>
        <v>0</v>
      </c>
      <c r="GP24" s="428">
        <f t="shared" si="167"/>
        <v>0</v>
      </c>
      <c r="GQ24" s="428">
        <f t="shared" si="99"/>
        <v>0</v>
      </c>
      <c r="GR24" s="428">
        <f t="shared" si="100"/>
        <v>0</v>
      </c>
    </row>
    <row r="25" spans="1:200" s="103" customFormat="1" ht="13.5" customHeight="1" x14ac:dyDescent="0.2">
      <c r="A25" s="272">
        <v>15</v>
      </c>
      <c r="B25" s="110"/>
      <c r="C25" s="110"/>
      <c r="D25" s="110"/>
      <c r="E25" s="110"/>
      <c r="F25" s="110"/>
      <c r="G25" s="110"/>
      <c r="H25" s="110"/>
      <c r="I25" s="29"/>
      <c r="J25" s="29"/>
      <c r="K25" s="272" t="str">
        <f>IFERROR(IF(OR(VLOOKUP(J25, 'Fixture Identities'!$A$6:$L$1023, 3, FALSE)="T12 Linear Fluorescent", VLOOKUP(J25, 'Fixture Identities'!$A$6:$L$1023, 3, FALSE)="T12 U-Tube Fluorescent"), VLOOKUP(VLOOKUP(J25, 'Fixture Identities'!$A$6:$L$1023, 11, FALSE), 'Fixture Identities'!$A$6:$L$1023, 10, FALSE), VLOOKUP(J25, 'Fixture Identities'!$A$6:$L$1023, 10, FALSE)), "")</f>
        <v/>
      </c>
      <c r="L25" s="270" t="str">
        <f t="shared" si="169"/>
        <v/>
      </c>
      <c r="M25" s="110"/>
      <c r="N25" s="110"/>
      <c r="O25" s="110"/>
      <c r="P25" s="272" t="str">
        <f>IFERROR(IF(OR(B25="Retrofit",B25=""),"",IF('Lighting Inventory'!E25="Exterior",VLOOKUP('Lighting Inventory'!N25,'Lookup Tables'!$B$83:$F$103,5,FALSE),IF(N25="Other - Please Estimate EFLH and CFs","Contact Prog. Rep.","ft^2"))), "")</f>
        <v/>
      </c>
      <c r="Q25" s="270" t="str">
        <f>IFERROR(IF(AND(B25="New Construction",E25="Interior",$F$5="Space-by-Space"),VLOOKUP('Lighting Inventory'!N25,'Lookup Tables'!$N$6:$O$97,2,FALSE),IF(AND(B25="New Construction",E25="Exterior"),VLOOKUP(N25,'Lookup Tables'!$B$83:$F$103,2,FALSE),IF(AND(B25="New Construction",'Lighting Inventory'!E25="Interior", $F$5="Building Area"),VLOOKUP(F25,'Lookup Tables'!$A$6:$J$59,10,FALSE),""))), "")</f>
        <v/>
      </c>
      <c r="R25" s="270" t="str">
        <f>IFERROR(IF(P25="Contact Prog. Rep.", "ERROR", IF(OR(B25="",B25="Retrofit"),"",IF(N25="Automated teller machines", ('Lookup Tables'!$A$82:$E$100+('Lighting Inventory'!O25-1)*'Lookup Tables'!$A$82:$E$100)/1000, (Q25*O25)/1000))), "")</f>
        <v/>
      </c>
      <c r="S25" s="595"/>
      <c r="T25" s="105" t="str">
        <f t="shared" si="83"/>
        <v/>
      </c>
      <c r="U25" s="105" t="str">
        <f>IF(S25="","",COUNT($S$11:S25))</f>
        <v/>
      </c>
      <c r="V25" s="111"/>
      <c r="W25" s="112"/>
      <c r="X25" s="105" t="str">
        <f t="shared" si="84"/>
        <v/>
      </c>
      <c r="Y25" s="105" t="str">
        <f t="array" ref="Y25">IF(AND(OR(W25="Freezer Case Lighting", W25="Refrigerated Case Lighting with Doors"), 'General Information'!$X$18="LCI"),'Lookup Tables'!$Y$34, IF(V25="Custom", VLOOKUP(W25, 'Fixture Identities'!$A$974:$M$1023, 13, FALSE), IF(V25="No Change",'Lookup Tables'!$Y$29,IF(OR(V25="",W25=""),"",IF(AND(S25=0,S25&lt;I25,B25="Retrofit"),'Lookup Tables'!$Y$25, IF(B25="Retrofit", INDEX('Lookup Tables'!$AH$6:$AP$102, MATCH(1, ('Lookup Tables'!$AH$6:$AH$102=V25)*('Lookup Tables'!$AI$6:$AI$102=W25), 0), IF('Lighting Inventory'!E25="Interior", 4, 5)), INDEX('Lookup Tables'!$AH$114:$AP$154, MATCH(1, ('Lookup Tables'!$AH$114:$AH$154=V25)*('Lookup Tables'!$AI$114:$AI$154=W25), 0), IF('Lighting Inventory'!E25="Interior", 4, 5))))))))</f>
        <v/>
      </c>
      <c r="Z25" s="105" t="str">
        <f>IFERROR(INDEX('Lookup Tables'!$AH$158:$AH$172,MATCH('Lighting Inventory'!Y25,'Lookup Tables'!$AI$158:$AI$172,0)),"")</f>
        <v/>
      </c>
      <c r="AA25" s="105" t="str">
        <f>IF(AP25&gt;0,INDEX('Lookup Tables'!$AK$158:$AK$172,MATCH('Lighting Inventory'!Y25,'Lookup Tables'!$AI$158:$AI$172,0)),'Lighting Inventory'!Y25)</f>
        <v/>
      </c>
      <c r="AB25" s="105" t="str">
        <f t="array" ref="AB25">IF(V25="Custom", "Custom", IF(V25="", "", IF(V25="Not DLC or Energy Star", "General", IF(B25="New Construction", INDEX('Lookup Tables'!$AH$114:$AP$154,MATCH(1,('Lookup Tables'!$AH$114:$AH$154='Lighting Inventory'!V25)*('Lookup Tables'!$AI$114:$AI$154='Lighting Inventory'!W25),FALSE),8), INDEX('Lookup Tables'!$AH$6:$AP$102,MATCH(1,('Lookup Tables'!$AH$6:$AH$102='Lighting Inventory'!V25)*('Lookup Tables'!$AI$6:$AI$102='Lighting Inventory'!W25),FALSE),8)))))</f>
        <v/>
      </c>
      <c r="AC25" s="272" t="str">
        <f>IF(W25="","",IF(V25="Custom",CONCATENATE("$",'Lookup Tables'!$AM$101," ",'Lookup Tables'!$AN$101),CONCATENATE("$",INDEX('Lookup Tables'!$AM$6:$AM$102,MATCH('Lighting Inventory'!W25,'Lookup Tables'!$AI$6:$AI$102,0))," ",INDEX('Lookup Tables'!$AN$6:$AN$102,MATCH('Lighting Inventory'!W25,'Lookup Tables'!$AI$6:$AI$102,0)))))</f>
        <v/>
      </c>
      <c r="AD25" s="72"/>
      <c r="AE25" s="29"/>
      <c r="AF25" s="379"/>
      <c r="AG25" s="370" t="str">
        <f t="shared" si="2"/>
        <v/>
      </c>
      <c r="AH25" s="370" t="str">
        <f t="shared" si="85"/>
        <v/>
      </c>
      <c r="AI25" s="29"/>
      <c r="AJ25" s="29"/>
      <c r="AK25" s="110"/>
      <c r="AL25" s="375" t="str">
        <f>IF(OR(B25="", V25="", W25=""), "", IF(V25="No Change", K25, IF(V25="Remove Fixture", 0, IF(V25="Custom",VLOOKUP(W25,'Fixture Identities'!$A$6:$K$1023,10,FALSE),IF(AE25="", "← ENTER POST WATTS", 'Lighting Inventory'!AE25)))))</f>
        <v/>
      </c>
      <c r="AM25" s="376" t="str">
        <f t="shared" si="3"/>
        <v/>
      </c>
      <c r="AO25" s="671"/>
      <c r="AP25" s="29"/>
      <c r="AQ25" s="29"/>
      <c r="AR25" s="29"/>
      <c r="AS25" s="272" t="str">
        <f t="shared" si="4"/>
        <v/>
      </c>
      <c r="AT25" s="270" t="str">
        <f t="shared" si="234"/>
        <v/>
      </c>
      <c r="AU25" s="88" t="str">
        <f t="shared" si="235"/>
        <v/>
      </c>
      <c r="AV25" s="29"/>
      <c r="AW25" s="73"/>
      <c r="AX25" s="271" t="str">
        <f>IF(AND(AV25="Applicant",OR(AW25="", AW25="Use Default Facility Hours")),"← Choose Schedule",IF(F25="","",IF(W25="LED Exit Signs",8760,IF(OR(AV25="Prescribed",AV25=""),VLOOKUP(F25,'Lookup Tables'!$A$6:$G$59,IF(AB25="General", 6, 3),FALSE),VLOOKUP(AW25,'Lookup Tables'!$S$36:$U$43,2,FALSE)))))</f>
        <v/>
      </c>
      <c r="AY25" s="88" t="str">
        <f t="shared" si="7"/>
        <v/>
      </c>
      <c r="AZ25" s="270" t="str">
        <f>IFERROR(IF(F25="", "", IF(W25="LED Exit Signs", 1, IF(AV25="Applicant",VLOOKUP(AW25, 'Lookup Tables'!$S$36:$U$43,3, FALSE), VLOOKUP('Lighting Inventory'!F25, 'Lookup Tables'!$A$6:$H$59, IF('Lighting Inventory'!AB25="General",7,4), FALSE)))), "")</f>
        <v/>
      </c>
      <c r="BA25" s="522" t="str">
        <f>IFERROR(IF(F25="", "", IF(W25="LED Exit Signs", 1, VLOOKUP('Lighting Inventory'!F25, 'Lookup Tables'!$A$6:$H$59, IF('Lighting Inventory'!AB25="General",8,5), FALSE))), "")</f>
        <v/>
      </c>
      <c r="BB25" s="270" t="str">
        <f>IF(G25="", "", IF(E25="Exterior", 0, IF('Lighting Inventory'!G25="Air Conditioned", VLOOKUP(H25, 'Lookup Tables'!$R$6:$T$13, 2, FALSE), VLOOKUP('Lighting Inventory'!G25, 'Lookup Tables'!$R$6:$T$13, 2, FALSE))))</f>
        <v/>
      </c>
      <c r="BC25" s="522" t="str">
        <f>IF(G25="", "", IF(E25="Exterior", 0, IF('Lighting Inventory'!G25="Air Conditioned", VLOOKUP(H25, 'Lookup Tables'!$R$6:$T$13, 3, FALSE), VLOOKUP('Lighting Inventory'!G25, 'Lookup Tables'!$R$6:$T$13, 3, FALSE))))</f>
        <v/>
      </c>
      <c r="BD25" s="270" t="str">
        <f>IF(G25="", "", IF(E25="Exterior", 0, IF('Lighting Inventory'!G25="Air Conditioned", VLOOKUP(H25, 'Lookup Tables'!$R$6:$U$13, 4, FALSE), VLOOKUP('Lighting Inventory'!G25, 'Lookup Tables'!$R$6:$U$13, 4, FALSE))))</f>
        <v/>
      </c>
      <c r="BE25" s="270" t="str">
        <f>IFERROR(IF(B25="", "",  IF(B25="New Construction", VLOOKUP(F25, 'Lookup Tables'!$A$6:$K$59, 11, FALSE),IF(OR(AN25="", AN25="Light Switch"), 0, IF(OR(M25="",M25="None",V25= "LED Exit Signs"),0,_xlfn.XLOOKUP(M25,'Lookup Tables'!$R$91:$R$101,'Lookup Tables'!$V$91:$V$101))))), "")</f>
        <v/>
      </c>
      <c r="BF25" s="270" t="str">
        <f>IF(AND(OR(AN25="Light Switch",AN25=""),B25="New Construction"), VLOOKUP(F25, 'Lookup Tables'!$A$6:$K$59, 11, FALSE),IF(AN25="","",IF(B25="","",IF(OR(AN25="None",AN25="",V25="LED Exit Signs",AN25="Exterior Controls Not Eligible"),0,_xlfn.XLOOKUP(AN25,'Lookup Tables'!$R$91:$R$101,'Lookup Tables'!$V$91:$V$101)))))</f>
        <v/>
      </c>
      <c r="BG25" s="88" t="str">
        <f t="shared" si="86"/>
        <v/>
      </c>
      <c r="BH25" s="88" t="str">
        <f t="shared" si="87"/>
        <v/>
      </c>
      <c r="BI25" s="558" t="str">
        <f t="shared" si="168"/>
        <v/>
      </c>
      <c r="BJ25" s="560" t="str">
        <f t="shared" si="88"/>
        <v/>
      </c>
      <c r="BK25" s="560" t="str">
        <f t="shared" si="89"/>
        <v/>
      </c>
      <c r="BL25" s="559" t="str">
        <f t="shared" si="90"/>
        <v/>
      </c>
      <c r="BM25" s="521" t="str">
        <f t="shared" si="8"/>
        <v/>
      </c>
      <c r="BN25" s="521" t="str">
        <f t="shared" si="9"/>
        <v/>
      </c>
      <c r="BO25" s="522" t="str">
        <f t="shared" si="10"/>
        <v/>
      </c>
      <c r="BP25" s="83" t="str">
        <f t="shared" si="91"/>
        <v/>
      </c>
      <c r="BQ25" s="84" t="str">
        <f t="shared" si="92"/>
        <v/>
      </c>
      <c r="BR25" s="184" t="str">
        <f>IFERROR(IF(B25="", "", IF(OR(VLOOKUP(J25, 'Fixture Identities'!$A$6:$L$1023, 3, FALSE)="T12 Linear Fluorescent",VLOOKUP(J25, 'Fixture Identities'!$A$6:$L$1023, 3, FALSE)="T12 U-Tube Fluorescent"), "Y", "N")), "N")</f>
        <v/>
      </c>
      <c r="BS25" s="184" t="str">
        <f t="array" ref="BS25">IFERROR(IF(OR(B25="", V25="", W25=""), "", IF(V25="Custom", "N", IF(OR(W25="Freezer Case Lighting", W25="Refrigerated Case Lighting with Doors"), BT25, IF(B25="Retrofit", INDEX('Lookup Tables'!$AH$6:$AT$102,MATCH(1,('Lookup Tables'!$AH$6:$AH$102=V25)*('Lookup Tables'!$AI$6:$AI$102=W25),FALSE),IF(VLOOKUP(J25, 'Fixture Identities'!$A$6:$B$1023, 2, FALSE)="Incandescent",12, 13)), INDEX('Lookup Tables'!$AH$114:$AS$154,MATCH(1,('Lookup Tables'!$AH$114:$AH$154=V25)*('Lookup Tables'!$AI$114:$AI$154=W25),FALSE),12))))), "N")</f>
        <v/>
      </c>
      <c r="BT25" s="184" t="str">
        <f>IF(J25="", "", IF(AND(OR(W25="Freezer case Lighting", W25="Refrigerated Case Lighting with Doors"),'General Information'!$X$18="LCI"), "N", IF(OR(VLOOKUP(J25, 'Fixture Identities'!$A$6:$B$1023, 2, FALSE)="T12 EPACT/EISA Baseline", VLOOKUP(J25, 'Fixture Identities'!$A$6:$B$1023, 2, FALSE)="Linear Fluorescent", VLOOKUP(J25, 'Fixture Identities'!$A$6:$B$1023, 2, FALSE)="U-Tube Fluorescent"), "Y", "N")))</f>
        <v/>
      </c>
      <c r="BU25" s="184" t="str">
        <f>IFERROR(IF(B25="", "", IF(VLOOKUP(J25, 'Fixture Identities'!$A$6:$B$1023, 2, FALSE)="Exit Sign", "Y", "N")), "N")</f>
        <v/>
      </c>
      <c r="BV25" s="184" t="str">
        <f>IF(V25="Exit Signs", IF(VLOOKUP(J25, 'Fixture Identities'!$A$6:$B$1023, 2, FALSE)="Exit Sign", "N", "Y"), "")</f>
        <v/>
      </c>
      <c r="BW25" s="184" t="str">
        <f t="array" ref="BW25">IFERROR(IF(B25="", "", IF(B25="New Construction", "N", INDEX('Lookup Tables'!$AH$6:$AU$102, MATCH(1, ('Lookup Tables'!$AH$6:$AH$102='Lighting Inventory'!V25)*('Lookup Tables'!$AI$6:$AI$102='Lighting Inventory'!W25), 0), 14))), "N")</f>
        <v/>
      </c>
      <c r="BX25" s="598" t="str">
        <f t="shared" si="93"/>
        <v/>
      </c>
      <c r="BY25" s="598" t="str">
        <f t="shared" si="94"/>
        <v/>
      </c>
      <c r="BZ25" s="598" t="str">
        <f t="shared" si="95"/>
        <v/>
      </c>
      <c r="CA25" s="598" t="str">
        <f t="shared" si="101"/>
        <v/>
      </c>
      <c r="CB25" s="269" t="str">
        <f t="shared" si="102"/>
        <v/>
      </c>
      <c r="CC25" s="517" t="str">
        <f t="shared" si="96"/>
        <v/>
      </c>
      <c r="CD25" s="565" t="str">
        <f t="shared" si="11"/>
        <v/>
      </c>
      <c r="CE25" s="368">
        <v>0</v>
      </c>
      <c r="CF25" s="368" t="str" cm="1">
        <f t="array" ref="CF25">IFERROR(IF(V25="Custom", "$0.1 per kWh", IF(B25="New Construction", CONCATENATE("$",INDEX('Lookup Tables'!$AH$114:$AN$154,MATCH(1,('Lookup Tables'!$AH$114:$AH$154='Lighting Inventory'!V25)*('Lookup Tables'!$AI$114:$AI$154='Lighting Inventory'!W25),FALSE),6)," ",INDEX('Lookup Tables'!$AH$114:$AN$154,MATCH(1,('Lookup Tables'!$AH$114:$AH$154='Lighting Inventory'!V25)*('Lookup Tables'!$AI$114:$AI$154='Lighting Inventory'!W25),FALSE),7)), IF(AND(BU25="N", V25="Exit Signs"), "$0.025 per kWh", CONCATENATE("$",INDEX('Lookup Tables'!$AH$6:$AN$102,MATCH(1,('Lookup Tables'!$AH$6:$AH$102='Lighting Inventory'!V25)*('Lookup Tables'!$AI$6:$AI$102='Lighting Inventory'!W25),FALSE),6)," ",INDEX('Lookup Tables'!$AH$6:$AN$102,MATCH(1,('Lookup Tables'!$AH$6:$AH$102='Lighting Inventory'!V25)*('Lookup Tables'!$AI$6:$AI$102='Lighting Inventory'!W25),FALSE),7))))), "")</f>
        <v/>
      </c>
      <c r="CG25" s="580"/>
      <c r="CH25" s="248" t="str">
        <f t="shared" si="170"/>
        <v/>
      </c>
      <c r="CI25" s="248" t="str">
        <f t="shared" si="171"/>
        <v>Select_IE</v>
      </c>
      <c r="CJ25" s="248" t="str">
        <f t="shared" si="172"/>
        <v/>
      </c>
      <c r="CK25" s="248" t="str">
        <f t="shared" si="173"/>
        <v/>
      </c>
      <c r="CL25" s="248" t="str">
        <f t="shared" si="174"/>
        <v/>
      </c>
      <c r="CM25" s="248" t="str">
        <f>IFERROR(IF(B25="", "", IF(B25="New Construction", VLOOKUP(V25, 'Lookup Tables'!$AF$114:$AG$120, 2, FALSE), VLOOKUP(V25, 'Lookup Tables'!$AD$6:$AE$25, 2, FALSE))), "")</f>
        <v/>
      </c>
      <c r="CN25" s="248" t="str">
        <f t="shared" si="175"/>
        <v/>
      </c>
      <c r="CO25" s="248" t="str">
        <f t="shared" si="176"/>
        <v/>
      </c>
      <c r="CP25" s="592" t="str">
        <f t="shared" si="177"/>
        <v/>
      </c>
      <c r="CQ25" s="248" t="str">
        <f t="shared" si="97"/>
        <v/>
      </c>
      <c r="CR25" s="100"/>
      <c r="CS25" s="250" t="str">
        <f t="shared" si="178"/>
        <v/>
      </c>
      <c r="CT25" s="250" t="str">
        <f t="shared" si="179"/>
        <v/>
      </c>
      <c r="CU25" s="250" t="str">
        <f t="shared" si="180"/>
        <v/>
      </c>
      <c r="CV25" s="250" t="str">
        <f t="shared" si="181"/>
        <v/>
      </c>
      <c r="CW25" s="250" t="str">
        <f t="shared" si="182"/>
        <v/>
      </c>
      <c r="CX25" s="250" t="str">
        <f t="shared" si="183"/>
        <v/>
      </c>
      <c r="CY25" s="250" t="str">
        <f t="shared" si="184"/>
        <v/>
      </c>
      <c r="CZ25" s="250" t="str">
        <f t="shared" si="185"/>
        <v/>
      </c>
      <c r="DA25" s="250" t="str">
        <f t="shared" si="186"/>
        <v/>
      </c>
      <c r="DB25" s="250" t="str">
        <f t="shared" si="187"/>
        <v/>
      </c>
      <c r="DC25" s="250" t="str">
        <f t="shared" si="188"/>
        <v/>
      </c>
      <c r="DD25" s="250" t="str">
        <f t="shared" si="189"/>
        <v/>
      </c>
      <c r="DE25" s="250" t="str">
        <f t="shared" si="190"/>
        <v/>
      </c>
      <c r="DF25" s="250" t="str">
        <f t="shared" si="191"/>
        <v/>
      </c>
      <c r="DG25" s="250" t="str">
        <f t="shared" si="192"/>
        <v/>
      </c>
      <c r="DH25" s="250" t="str">
        <f t="shared" si="193"/>
        <v/>
      </c>
      <c r="DI25" s="250" t="str">
        <f t="shared" si="194"/>
        <v/>
      </c>
      <c r="DJ25" s="250" t="str">
        <f t="shared" si="195"/>
        <v/>
      </c>
      <c r="DK25" s="250" t="str">
        <f t="shared" si="196"/>
        <v/>
      </c>
      <c r="DL25" s="250" t="str">
        <f t="shared" si="197"/>
        <v/>
      </c>
      <c r="DM25" s="250" t="str">
        <f>IF(CD25="ERROR", "ERROR", IF(AND(OR(Y25=$DM$6, Y25='Lookup Tables'!$AD$21, Y25='Lookup Tables'!$AD$22), E25="Interior"), BJ25, ""))</f>
        <v/>
      </c>
      <c r="DN25" s="250" t="str">
        <f>IF(CD25="ERROR", "ERROR", IF(AND(OR(Y25=$DM$6, Y25='Lookup Tables'!$AD$21, Y25='Lookup Tables'!$AD$22), E25="Exterior"), BJ25, ""))</f>
        <v/>
      </c>
      <c r="DO25" s="100"/>
      <c r="DP25" s="250" t="str">
        <f t="shared" si="198"/>
        <v/>
      </c>
      <c r="DQ25" s="250" t="str">
        <f t="shared" si="199"/>
        <v/>
      </c>
      <c r="DR25" s="250" t="str">
        <f t="shared" si="200"/>
        <v/>
      </c>
      <c r="DS25" s="250" t="str">
        <f t="shared" si="201"/>
        <v/>
      </c>
      <c r="DT25" s="250" t="str">
        <f t="shared" si="202"/>
        <v/>
      </c>
      <c r="DU25" s="250" t="str">
        <f t="shared" si="203"/>
        <v/>
      </c>
      <c r="DV25" s="250" t="str">
        <f t="shared" si="204"/>
        <v/>
      </c>
      <c r="DW25" s="250" t="str">
        <f t="shared" si="205"/>
        <v/>
      </c>
      <c r="DX25" s="250" t="str">
        <f t="shared" si="206"/>
        <v/>
      </c>
      <c r="DY25" s="250" t="str">
        <f t="shared" si="207"/>
        <v/>
      </c>
      <c r="DZ25" s="250" t="str">
        <f t="shared" si="208"/>
        <v/>
      </c>
      <c r="EA25" s="250" t="str">
        <f t="shared" si="209"/>
        <v/>
      </c>
      <c r="EB25" s="250" t="str">
        <f t="shared" si="210"/>
        <v/>
      </c>
      <c r="EC25" s="250" t="str">
        <f t="shared" si="211"/>
        <v/>
      </c>
      <c r="ED25" s="250" t="str">
        <f t="shared" si="212"/>
        <v/>
      </c>
      <c r="EE25" s="250" t="str">
        <f t="shared" si="213"/>
        <v/>
      </c>
      <c r="EF25" s="250" t="str">
        <f t="shared" si="214"/>
        <v/>
      </c>
      <c r="EG25" s="250" t="str">
        <f t="shared" si="215"/>
        <v/>
      </c>
      <c r="EH25" s="250" t="str">
        <f>IF(CD25="ERROR", "ERROR", IF(AND(OR($EH$6=Y25, Y25='Lookup Tables'!$AD$21, Y25='Lookup Tables'!$AD$22),E25="Interior"), SUM(BP25:BP25), ""))</f>
        <v/>
      </c>
      <c r="EI25" s="250" t="str">
        <f>IF(CD25="ERROR", "ERROR", IF(AND(OR($EH$6=Y25, Y25='Lookup Tables'!$AD$21, Y25='Lookup Tables'!$AD$22),E25="Exterior"), SUM(BP25:BP25), ""))</f>
        <v/>
      </c>
      <c r="EJ25" s="109"/>
      <c r="EK25" s="485" t="str">
        <f t="shared" si="58"/>
        <v/>
      </c>
      <c r="EL25" s="252" t="str">
        <f t="shared" si="216"/>
        <v/>
      </c>
      <c r="EM25" s="252" t="str">
        <f t="shared" si="217"/>
        <v/>
      </c>
      <c r="EN25" s="252" t="str">
        <f t="shared" si="218"/>
        <v/>
      </c>
      <c r="EO25" s="252" t="str">
        <f t="shared" si="219"/>
        <v/>
      </c>
      <c r="EP25" s="252" t="str">
        <f t="shared" si="220"/>
        <v/>
      </c>
      <c r="EQ25" s="252" t="str">
        <f t="shared" si="221"/>
        <v/>
      </c>
      <c r="ER25" s="252" t="str">
        <f t="shared" si="222"/>
        <v/>
      </c>
      <c r="ES25" s="252" t="str">
        <f t="shared" si="223"/>
        <v/>
      </c>
      <c r="ET25" s="252" t="str">
        <f t="shared" si="224"/>
        <v/>
      </c>
      <c r="EU25" s="252" t="str">
        <f t="shared" si="225"/>
        <v/>
      </c>
      <c r="EV25" s="252" t="str">
        <f t="shared" si="226"/>
        <v/>
      </c>
      <c r="EW25" s="252" t="str">
        <f t="shared" si="227"/>
        <v/>
      </c>
      <c r="EX25" s="252" t="str">
        <f t="shared" si="228"/>
        <v/>
      </c>
      <c r="EY25" s="252" t="str">
        <f t="shared" si="229"/>
        <v/>
      </c>
      <c r="EZ25" s="252" t="str">
        <f t="shared" si="230"/>
        <v/>
      </c>
      <c r="FA25" s="252" t="str">
        <f t="shared" si="231"/>
        <v/>
      </c>
      <c r="FB25" s="252" t="str">
        <f t="shared" si="232"/>
        <v/>
      </c>
      <c r="FC25" s="252" t="str">
        <f>IF(CD25="ERROR", "ERROR", IF(OR(V25="No Change", V25="Not DLC or Energy Star"), "", IF(AND(OR($FC$6=Y25,Y25='Lookup Tables'!$AD$21, Y25='Lookup Tables'!$AD$22),E25="Interior"), S25, "")))</f>
        <v/>
      </c>
      <c r="FD25" s="252" t="str">
        <f t="shared" si="233"/>
        <v/>
      </c>
      <c r="FE25" s="101"/>
      <c r="FF25" s="579" t="str" cm="1">
        <f t="array" ref="FF25">IFERROR(IF(OR(BQ25&lt;=0,AQ25&lt;20,AND(V25="Exit Signs",AN25&gt;0)),"",IF(AND(AQ25&gt;=20,AN25='Lookup Tables'!$R$101),'Lookup Tables'!$U$101*BQ25,AP25*LOOKUP(2,1/((AN25='Lookup Tables'!$R$91:$R$111)*(AQ25&gt;='Lookup Tables'!$S$91:$S$111)*(AQ25&lt;='Lookup Tables'!$T$91:$T$111)),'Lookup Tables'!$U$91:$U$111))),"")</f>
        <v/>
      </c>
      <c r="FG25" s="579"/>
      <c r="FH25" s="579"/>
      <c r="FI25" s="253" t="str">
        <f>IFERROR(ROUND(IF(CD25="ERROR", "ERROR", IF(AND($FI$7=X25,E25="Interior"),VLOOKUP(W25, 'Lookup Tables'!$AI$6:$AM$102, 5, FALSE)*BP25, "")), 2), "")</f>
        <v/>
      </c>
      <c r="FJ25" s="253" t="str">
        <f>IFERROR(ROUND(IF(CD25="ERROR", "ERROR", IF(AND($FI$7=X25,E25="Exterior"),VLOOKUP(W25, 'Lookup Tables'!$AI$6:$AM$102, 5, FALSE)*BP25, "")), 2), "")</f>
        <v/>
      </c>
      <c r="FK25" s="253" t="str">
        <f>IFERROR(ROUND(IF(CD25="ERROR", "ERROR", IF(AND($FK$7=X25,E25="Interior"),VLOOKUP(W25, 'Lookup Tables'!$AI$6:$AM$102, 5, FALSE)*BP25, "")), 2), "")</f>
        <v/>
      </c>
      <c r="FL25" s="253" t="str">
        <f>IFERROR(ROUND(IF(CD25="ERROR", "ERROR", IF(AND($FK$7=X25,E25="Exterior"),VLOOKUP(W25, 'Lookup Tables'!$AI$6:$AM$102, 5, FALSE)*BP25, "")), 2), "")</f>
        <v/>
      </c>
      <c r="FM25" s="253" t="str">
        <f>IFERROR(ROUND(IF(CD25="ERROR", "ERROR", IF(AND($FM$6=Y25,E25="Interior"), IF(GB25=0, VLOOKUP(W25, 'Lookup Tables'!$AI$6:$AM$102, 5, FALSE)*BP25, IF(VLOOKUP(W25, 'Lookup Tables'!$AI$6:$AM$102, 5, FALSE)*BP25&gt;GB25*'Lighting Inventory'!S25, GB25*'Lighting Inventory'!S25,VLOOKUP(W25, 'Lookup Tables'!$AI$6:$AM$102, 5, FALSE)*BP25)), "")), 2), "")</f>
        <v/>
      </c>
      <c r="FN25" s="253" t="str">
        <f>IFERROR(ROUND(IF(CD25="ERROR", "ERROR", IF(AND($FM$6=Y25,E25="Exterior"), IF(GB25=0, VLOOKUP(W25, 'Lookup Tables'!$AI$6:$AM$102, 5, FALSE)*BP25, IF(VLOOKUP(W25, 'Lookup Tables'!$AI$6:$AM$102, 5, FALSE)*BP25&gt;GB25*'Lighting Inventory'!S25, GB25*'Lighting Inventory'!S25,VLOOKUP(W25, 'Lookup Tables'!$AI$6:$AM$102, 5, FALSE)*BP25)), "")), 2), "")</f>
        <v/>
      </c>
      <c r="FO25" s="253" t="str">
        <f>IFERROR(ROUND(IF(CD25="ERROR", "ERROR", IF(AND($FO$6=Y25,E25="Interior"),VLOOKUP(W25, 'Lookup Tables'!$AI$6:$AM$102, 5, FALSE)*'Lighting Inventory'!AI25, "")), 2), "")</f>
        <v/>
      </c>
      <c r="FP25" s="253" t="str">
        <f>IFERROR(ROUND(IF(CD25="ERROR", "ERROR", IF(AND($FO$6=Y25,E25="Exterior"),VLOOKUP(W25, 'Lookup Tables'!$AI$6:$AM$102, 5, FALSE)*'Lighting Inventory'!AI25, "")), 2), "")</f>
        <v/>
      </c>
      <c r="FQ25" s="253" t="str">
        <f>IFERROR(ROUND(IF(CD25="ERROR", "ERROR", IF(AND($FQ$6=Y25,E25="Interior", BU25="Y"), VLOOKUP('Lighting Inventory'!W25, 'Lookup Tables'!$AI$6:$AM$102, 5, FALSE)*'Lighting Inventory'!S25, IF(AND($FQ$7=Y25,E25="Interior", BU25="N"), 0.025*CD25, ""))), 2), "")</f>
        <v/>
      </c>
      <c r="FR25" s="253" t="str">
        <f>IFERROR(ROUND(IF(CD25="ERROR", "ERROR", IF(AND($FQ$6=Y25,E25="Exterior"), VLOOKUP('Lighting Inventory'!W25, 'Lookup Tables'!$AI$6:$AM$102, 5, FALSE)*'Lighting Inventory'!S25, "")), 2), "")</f>
        <v/>
      </c>
      <c r="FS25" s="253" t="str">
        <f>IFERROR(ROUND(IF(CD25="ERROR", "ERROR", IF(AND($FS$6=Y25,E25="Exterior"), IF(GB25=0, VLOOKUP(W25, 'Lookup Tables'!$AI$6:$AM$102, 5, FALSE)*BP25, IF(VLOOKUP(W25, 'Lookup Tables'!$AI$6:$AM$102, 5, FALSE)*BP25&gt;GB25*'Lighting Inventory'!S25, GB25*'Lighting Inventory'!S25,VLOOKUP(W25, 'Lookup Tables'!$AI$6:$AM$102, 5, FALSE)*BP25)), "")), 2), "")</f>
        <v/>
      </c>
      <c r="FT25" s="253" t="str">
        <f>IFERROR(ROUND(IF(CD25="ERROR", "ERROR", IF(AND($FT$6=Y25,E25="Interior"), IF(GB25=0, VLOOKUP(W25, 'Lookup Tables'!$AI$6:$AM$102, 5, FALSE)*BP25, IF(VLOOKUP(W25, 'Lookup Tables'!$AI$6:$AM$102, 5, FALSE)*BP25&gt;GB25*'Lighting Inventory'!S25, GB25*'Lighting Inventory'!S25,VLOOKUP(W25, 'Lookup Tables'!$AI$6:$AM$102, 5, FALSE)*BP25)), "")), 2), "")</f>
        <v/>
      </c>
      <c r="FU25" s="253" t="str">
        <f>IFERROR(ROUND(IF(CD25="ERROR", "ERROR", IF(AND(Y25=$FU$6, E25="Interior"), IF(BS25="N", 'Lookup Tables'!$AM$101*BP25, VLOOKUP(W25, 'Lookup Tables'!$AI$6:$AM$102, 5, FALSE)*S25*AD25), "")), 2), "")</f>
        <v/>
      </c>
      <c r="FV25" s="253" t="str">
        <f>IFERROR(ROUND(IF(CD25="ERROR", "ERROR", IF(AND(Y25=$FU$6, E25="Exterior"), IF(BS25="N", 'Lookup Tables'!$AM$101*BP25, VLOOKUP(W25, 'Lookup Tables'!$AI$6:$AM$102, 5, FALSE)*S25*AD25), "")), 2), "")</f>
        <v/>
      </c>
      <c r="FW25" s="253" t="str">
        <f>IFERROR(ROUND(IF(CD25="ERROR", "ERROR", IF($FW$6=Y25, IF(BS25="N", 'Lookup Tables'!$AM$101*BP25, MIN((VLOOKUP(W25, 'Lookup Tables'!$AI$6:$AM$102, 5, FALSE)*BP25),GB25*AJ25)), "")), 2), "")</f>
        <v/>
      </c>
      <c r="FX25" s="253" t="str">
        <f>IFERROR(ROUND(IF(CD25="ERROR", "ERROR", IF(AND($FX$6=Y25, E25="Interior"), IF(VLOOKUP(W25, 'Lookup Tables'!$AI$6:$AM$102, 5, FALSE)*BP25&gt;'Lookup Tables'!$AQ$97*'Lighting Inventory'!S25,'Lighting Inventory'!S25*'Lookup Tables'!$AQ$97,VLOOKUP(W25, 'Lookup Tables'!$AI$6:$AM$102, 5, FALSE)*BP25), "")), 2), "")</f>
        <v/>
      </c>
      <c r="FY25" s="253" t="str">
        <f>IFERROR(ROUND(IF(CD25="ERROR", "ERROR", IF(AND($FX$6=Y25, E25="Exterior"), IF(VLOOKUP(W25, 'Lookup Tables'!$AI$6:$AM$102, 5, FALSE)*BP25&gt;'Lookup Tables'!$AQ$97*'Lighting Inventory'!S25,'Lighting Inventory'!S25*'Lookup Tables'!$AQ$97,VLOOKUP(W25, 'Lookup Tables'!$AI$6:$AM$102, 5, FALSE)*BP25), "")), 2), "")</f>
        <v/>
      </c>
      <c r="FZ25" s="253" t="str">
        <f>IFERROR(ROUND(IF(CD25="ERROR", "ERROR", IF(AND($FZ$6=Y25, E25="Interior"), IF(AND(OR(W25="Refrigerated Case Lighting with Doors", W25="Freezer Case Lighting"),Y25="Custom - Process Improvement"),CD25*'Lookup Tables'!$AM$101, IF(B25="Retrofit", IF(VLOOKUP(IF(V25="Custom", V25, W25), 'Lookup Tables'!$AI$6:$AM$102, 5, FALSE)*BP25&gt;GE25, GE25, VLOOKUP(IF(V25="Custom", V25, W25), 'Lookup Tables'!$AI$6:$AM$102, 5, FALSE)*BP25), IF(VLOOKUP(IF(V25="Custom", V25, W25), 'Lookup Tables'!$AI$114:$AM$154, 5, FALSE)*BP25&gt;GE25, GE25, VLOOKUP(IF(V25="Custom", V25, W25), 'Lookup Tables'!$AI$114:$AM$154, 5, FALSE)*BP25))), "")), 2),"")</f>
        <v/>
      </c>
      <c r="GA25" s="253" t="str">
        <f>IFERROR(ROUND(IF(CD25="ERROR", "ERROR", IF(AND($FZ$6=Y25, E25="Exterior"), IF(B25="Retrofit", IF(VLOOKUP(IF(V25="Custom", V25, W25), 'Lookup Tables'!$AI$6:$AM$102, 5, FALSE)*BP25&gt;GE25, GE25, VLOOKUP(IF(V25="Custom", V25, W25), 'Lookup Tables'!$AI$6:$AM$102, 5, FALSE)*BP25), IF(VLOOKUP(IF(V25="Custom", V25, W25), 'Lookup Tables'!$AI$114:$AM$154, 5, FALSE)*BP25&gt;GE25, GE25, VLOOKUP(IF(V25="Custom", V25, W25), 'Lookup Tables'!$AI$114:$AM$154, 5, FALSE)*BP25)), "")), 2),"")</f>
        <v/>
      </c>
      <c r="GB25" s="254" t="str">
        <f t="array" ref="GB25">IF(B25="","",IF(OR(V25="Custom",V25="No Change"),0,IF(B25="Retrofit", INDEX('Lookup Tables'!$AH$6:$AQ$102,MATCH(1,('Lookup Tables'!$AH$6:$AH$102='Lighting Inventory'!V25)*('Lookup Tables'!$AI$6:$AI$102='Lighting Inventory'!W25),FALSE),10),INDEX('Lookup Tables'!$AH$114:$AQ$154,MATCH(1,('Lookup Tables'!$AH$114:$AH$154='Lighting Inventory'!V25)*('Lookup Tables'!$AI$114:$AI$154='Lighting Inventory'!W25),FALSE),10))))</f>
        <v/>
      </c>
      <c r="GC25" s="255" t="str">
        <f t="shared" si="77"/>
        <v/>
      </c>
      <c r="GD25" s="250" t="str">
        <f t="shared" si="78"/>
        <v/>
      </c>
      <c r="GE25" s="253" t="str">
        <f>IFERROR(IF(AND(AF25="", 'General Information'!$F$18="No"),"", IF(AF25="", ((GD25/$CD$266)*$CF$266)*0.5, AF25*S25*0.5)), "")</f>
        <v/>
      </c>
      <c r="GF25" s="255" t="str">
        <f>IF(AND('General Information'!$F$19="", 'General Information'!$F$18="Yes",AF25="",BW25="Y"), "Y", "N")</f>
        <v>N</v>
      </c>
      <c r="GG25" s="255" t="s">
        <v>2946</v>
      </c>
      <c r="GH25" s="255" t="str">
        <f>IFERROR(IF(B25="", "", VLOOKUP(J25, 'Fixture Identities'!$A$6:$N$908, 14, FALSE)), "")</f>
        <v/>
      </c>
      <c r="GI25" s="389" t="str">
        <f>IF(OR(B25="", V25="", W25=""), "", IF(AND(OR(M25='Lookup Tables'!$R$18, M25='Lookup Tables'!$R$19, M25='Lookup Tables'!$R$20, M25='Lookup Tables'!$R$21, M25='Lookup Tables'!$R$22), OR(AN25='Lookup Tables'!$R$17, AN25='Lookup Tables'!$R$17, AN25="")), "Y", "N"))</f>
        <v/>
      </c>
      <c r="GJ25" s="255" t="str">
        <f t="shared" si="79"/>
        <v/>
      </c>
      <c r="GK25" s="255" t="str">
        <f t="shared" si="80"/>
        <v/>
      </c>
      <c r="GL25" s="255" t="str">
        <f t="shared" si="81"/>
        <v/>
      </c>
      <c r="GM25" s="255" t="str">
        <f>IF(AN25="", "", IF(AND(IF(ISNA(VLOOKUP(AN25,'Lookup Tables'!$R$18:$R$22,1,FALSE)), "N", "Y")="Y", E25="Exterior"), "Y", "N"))</f>
        <v/>
      </c>
      <c r="GN25" s="395"/>
      <c r="GO25" s="428">
        <f t="shared" si="98"/>
        <v>0</v>
      </c>
      <c r="GP25" s="428">
        <f t="shared" si="167"/>
        <v>0</v>
      </c>
      <c r="GQ25" s="428">
        <f t="shared" si="99"/>
        <v>0</v>
      </c>
      <c r="GR25" s="428">
        <f t="shared" si="100"/>
        <v>0</v>
      </c>
    </row>
    <row r="26" spans="1:200" s="103" customFormat="1" ht="13.5" customHeight="1" x14ac:dyDescent="0.2">
      <c r="A26" s="272">
        <v>16</v>
      </c>
      <c r="B26" s="110"/>
      <c r="C26" s="110"/>
      <c r="D26" s="110"/>
      <c r="E26" s="110"/>
      <c r="F26" s="110"/>
      <c r="G26" s="110"/>
      <c r="H26" s="110"/>
      <c r="I26" s="29"/>
      <c r="J26" s="29"/>
      <c r="K26" s="272" t="str">
        <f>IFERROR(IF(OR(VLOOKUP(J26, 'Fixture Identities'!$A$6:$L$1023, 3, FALSE)="T12 Linear Fluorescent", VLOOKUP(J26, 'Fixture Identities'!$A$6:$L$1023, 3, FALSE)="T12 U-Tube Fluorescent"), VLOOKUP(VLOOKUP(J26, 'Fixture Identities'!$A$6:$L$1023, 11, FALSE), 'Fixture Identities'!$A$6:$L$1023, 10, FALSE), VLOOKUP(J26, 'Fixture Identities'!$A$6:$L$1023, 10, FALSE)), "")</f>
        <v/>
      </c>
      <c r="L26" s="270" t="str">
        <f t="shared" si="169"/>
        <v/>
      </c>
      <c r="M26" s="110"/>
      <c r="N26" s="110"/>
      <c r="O26" s="110"/>
      <c r="P26" s="272" t="str">
        <f>IFERROR(IF(OR(B26="Retrofit",B26=""),"",IF('Lighting Inventory'!E26="Exterior",VLOOKUP('Lighting Inventory'!N26,'Lookup Tables'!$B$83:$F$103,5,FALSE),IF(N26="Other - Please Estimate EFLH and CFs","Contact Prog. Rep.","ft^2"))), "")</f>
        <v/>
      </c>
      <c r="Q26" s="270" t="str">
        <f>IFERROR(IF(AND(B26="New Construction",E26="Interior",$F$5="Space-by-Space"),VLOOKUP('Lighting Inventory'!N26,'Lookup Tables'!$N$6:$O$97,2,FALSE),IF(AND(B26="New Construction",E26="Exterior"),VLOOKUP(N26,'Lookup Tables'!$B$83:$F$103,2,FALSE),IF(AND(B26="New Construction",'Lighting Inventory'!E26="Interior", $F$5="Building Area"),VLOOKUP(F26,'Lookup Tables'!$A$6:$J$59,10,FALSE),""))), "")</f>
        <v/>
      </c>
      <c r="R26" s="270" t="str">
        <f>IFERROR(IF(P26="Contact Prog. Rep.", "ERROR", IF(OR(B26="",B26="Retrofit"),"",IF(N26="Automated teller machines", ('Lookup Tables'!$A$82:$E$100+('Lighting Inventory'!O26-1)*'Lookup Tables'!$A$82:$E$100)/1000, (Q26*O26)/1000))), "")</f>
        <v/>
      </c>
      <c r="S26" s="595"/>
      <c r="T26" s="105" t="str">
        <f t="shared" si="83"/>
        <v/>
      </c>
      <c r="U26" s="105" t="str">
        <f>IF(S26="","",COUNT($S$11:S26))</f>
        <v/>
      </c>
      <c r="V26" s="111"/>
      <c r="W26" s="112"/>
      <c r="X26" s="105" t="str">
        <f t="shared" si="84"/>
        <v/>
      </c>
      <c r="Y26" s="105" t="str">
        <f t="array" ref="Y26">IF(AND(OR(W26="Freezer Case Lighting", W26="Refrigerated Case Lighting with Doors"), 'General Information'!$X$18="LCI"),'Lookup Tables'!$Y$34, IF(V26="Custom", VLOOKUP(W26, 'Fixture Identities'!$A$974:$M$1023, 13, FALSE), IF(V26="No Change",'Lookup Tables'!$Y$29,IF(OR(V26="",W26=""),"",IF(AND(S26=0,S26&lt;I26,B26="Retrofit"),'Lookup Tables'!$Y$25, IF(B26="Retrofit", INDEX('Lookup Tables'!$AH$6:$AP$102, MATCH(1, ('Lookup Tables'!$AH$6:$AH$102=V26)*('Lookup Tables'!$AI$6:$AI$102=W26), 0), IF('Lighting Inventory'!E26="Interior", 4, 5)), INDEX('Lookup Tables'!$AH$114:$AP$154, MATCH(1, ('Lookup Tables'!$AH$114:$AH$154=V26)*('Lookup Tables'!$AI$114:$AI$154=W26), 0), IF('Lighting Inventory'!E26="Interior", 4, 5))))))))</f>
        <v/>
      </c>
      <c r="Z26" s="105" t="str">
        <f>IFERROR(INDEX('Lookup Tables'!$AH$158:$AH$172,MATCH('Lighting Inventory'!Y26,'Lookup Tables'!$AI$158:$AI$172,0)),"")</f>
        <v/>
      </c>
      <c r="AA26" s="105" t="str">
        <f>IF(AP26&gt;0,INDEX('Lookup Tables'!$AK$158:$AK$172,MATCH('Lighting Inventory'!Y26,'Lookup Tables'!$AI$158:$AI$172,0)),'Lighting Inventory'!Y26)</f>
        <v/>
      </c>
      <c r="AB26" s="105" t="str">
        <f t="array" ref="AB26">IF(V26="Custom", "Custom", IF(V26="", "", IF(V26="Not DLC or Energy Star", "General", IF(B26="New Construction", INDEX('Lookup Tables'!$AH$114:$AP$154,MATCH(1,('Lookup Tables'!$AH$114:$AH$154='Lighting Inventory'!V26)*('Lookup Tables'!$AI$114:$AI$154='Lighting Inventory'!W26),FALSE),8), INDEX('Lookup Tables'!$AH$6:$AP$102,MATCH(1,('Lookup Tables'!$AH$6:$AH$102='Lighting Inventory'!V26)*('Lookup Tables'!$AI$6:$AI$102='Lighting Inventory'!W26),FALSE),8)))))</f>
        <v/>
      </c>
      <c r="AC26" s="272" t="str">
        <f>IF(W26="","",IF(V26="Custom",CONCATENATE("$",'Lookup Tables'!$AM$101," ",'Lookup Tables'!$AN$101),CONCATENATE("$",INDEX('Lookup Tables'!$AM$6:$AM$102,MATCH('Lighting Inventory'!W26,'Lookup Tables'!$AI$6:$AI$102,0))," ",INDEX('Lookup Tables'!$AN$6:$AN$102,MATCH('Lighting Inventory'!W26,'Lookup Tables'!$AI$6:$AI$102,0)))))</f>
        <v/>
      </c>
      <c r="AD26" s="72"/>
      <c r="AE26" s="29"/>
      <c r="AF26" s="379"/>
      <c r="AG26" s="370" t="str">
        <f t="shared" si="2"/>
        <v/>
      </c>
      <c r="AH26" s="370" t="str">
        <f t="shared" si="85"/>
        <v/>
      </c>
      <c r="AI26" s="29"/>
      <c r="AJ26" s="29"/>
      <c r="AK26" s="110"/>
      <c r="AL26" s="375" t="str">
        <f>IF(OR(B26="", V26="", W26=""), "", IF(V26="No Change", K26, IF(V26="Remove Fixture", 0, IF(V26="Custom",VLOOKUP(W26,'Fixture Identities'!$A$6:$K$1023,10,FALSE),IF(AE26="", "← ENTER POST WATTS", 'Lighting Inventory'!AE26)))))</f>
        <v/>
      </c>
      <c r="AM26" s="376" t="str">
        <f t="shared" si="3"/>
        <v/>
      </c>
      <c r="AN26" s="29"/>
      <c r="AO26" s="671"/>
      <c r="AP26" s="29"/>
      <c r="AQ26" s="29"/>
      <c r="AR26" s="29"/>
      <c r="AS26" s="272" t="str">
        <f t="shared" si="4"/>
        <v/>
      </c>
      <c r="AT26" s="270" t="str">
        <f t="shared" si="234"/>
        <v/>
      </c>
      <c r="AU26" s="88" t="str">
        <f t="shared" si="235"/>
        <v/>
      </c>
      <c r="AV26" s="29"/>
      <c r="AW26" s="73"/>
      <c r="AX26" s="271" t="str">
        <f>IF(AND(AV26="Applicant",OR(AW26="", AW26="Use Default Facility Hours")),"← Choose Schedule",IF(F26="","",IF(W26="LED Exit Signs",8760,IF(OR(AV26="Prescribed",AV26=""),VLOOKUP(F26,'Lookup Tables'!$A$6:$G$59,IF(AB26="General", 6, 3),FALSE),VLOOKUP(AW26,'Lookup Tables'!$S$36:$U$43,2,FALSE)))))</f>
        <v/>
      </c>
      <c r="AY26" s="88" t="str">
        <f t="shared" si="7"/>
        <v/>
      </c>
      <c r="AZ26" s="270" t="str">
        <f>IFERROR(IF(F26="", "", IF(W26="LED Exit Signs", 1, IF(AV26="Applicant",VLOOKUP(AW26, 'Lookup Tables'!$S$36:$U$43,3, FALSE), VLOOKUP('Lighting Inventory'!F26, 'Lookup Tables'!$A$6:$H$59, IF('Lighting Inventory'!AB26="General",7,4), FALSE)))), "")</f>
        <v/>
      </c>
      <c r="BA26" s="522" t="str">
        <f>IFERROR(IF(F26="", "", IF(W26="LED Exit Signs", 1, VLOOKUP('Lighting Inventory'!F26, 'Lookup Tables'!$A$6:$H$59, IF('Lighting Inventory'!AB26="General",8,5), FALSE))), "")</f>
        <v/>
      </c>
      <c r="BB26" s="270" t="str">
        <f>IF(G26="", "", IF(E26="Exterior", 0, IF('Lighting Inventory'!G26="Air Conditioned", VLOOKUP(H26, 'Lookup Tables'!$R$6:$T$13, 2, FALSE), VLOOKUP('Lighting Inventory'!G26, 'Lookup Tables'!$R$6:$T$13, 2, FALSE))))</f>
        <v/>
      </c>
      <c r="BC26" s="522" t="str">
        <f>IF(G26="", "", IF(E26="Exterior", 0, IF('Lighting Inventory'!G26="Air Conditioned", VLOOKUP(H26, 'Lookup Tables'!$R$6:$T$13, 3, FALSE), VLOOKUP('Lighting Inventory'!G26, 'Lookup Tables'!$R$6:$T$13, 3, FALSE))))</f>
        <v/>
      </c>
      <c r="BD26" s="270" t="str">
        <f>IF(G26="", "", IF(E26="Exterior", 0, IF('Lighting Inventory'!G26="Air Conditioned", VLOOKUP(H26, 'Lookup Tables'!$R$6:$U$13, 4, FALSE), VLOOKUP('Lighting Inventory'!G26, 'Lookup Tables'!$R$6:$U$13, 4, FALSE))))</f>
        <v/>
      </c>
      <c r="BE26" s="270" t="str">
        <f>IFERROR(IF(B26="", "",  IF(B26="New Construction", VLOOKUP(F26, 'Lookup Tables'!$A$6:$K$59, 11, FALSE),IF(OR(AN26="", AN26="Light Switch"), 0, IF(OR(M26="",M26="None",V26= "LED Exit Signs"),0,_xlfn.XLOOKUP(M26,'Lookup Tables'!$R$91:$R$101,'Lookup Tables'!$V$91:$V$101))))), "")</f>
        <v/>
      </c>
      <c r="BF26" s="270" t="str">
        <f>IF(AND(OR(AN26="Light Switch",AN26=""),B26="New Construction"), VLOOKUP(F26, 'Lookup Tables'!$A$6:$K$59, 11, FALSE),IF(AN26="","",IF(B26="","",IF(OR(AN26="None",AN26="",V26="LED Exit Signs",AN26="Exterior Controls Not Eligible"),0,_xlfn.XLOOKUP(AN26,'Lookup Tables'!$R$91:$R$101,'Lookup Tables'!$V$91:$V$101)))))</f>
        <v/>
      </c>
      <c r="BG26" s="88" t="str">
        <f t="shared" si="86"/>
        <v/>
      </c>
      <c r="BH26" s="88" t="str">
        <f t="shared" si="87"/>
        <v/>
      </c>
      <c r="BI26" s="558" t="str">
        <f t="shared" si="168"/>
        <v/>
      </c>
      <c r="BJ26" s="560" t="str">
        <f t="shared" si="88"/>
        <v/>
      </c>
      <c r="BK26" s="560" t="str">
        <f t="shared" si="89"/>
        <v/>
      </c>
      <c r="BL26" s="559" t="str">
        <f t="shared" si="90"/>
        <v/>
      </c>
      <c r="BM26" s="521" t="str">
        <f t="shared" si="8"/>
        <v/>
      </c>
      <c r="BN26" s="521" t="str">
        <f t="shared" si="9"/>
        <v/>
      </c>
      <c r="BO26" s="522" t="str">
        <f t="shared" si="10"/>
        <v/>
      </c>
      <c r="BP26" s="83" t="str">
        <f t="shared" si="91"/>
        <v/>
      </c>
      <c r="BQ26" s="84" t="str">
        <f t="shared" si="92"/>
        <v/>
      </c>
      <c r="BR26" s="184" t="str">
        <f>IFERROR(IF(B26="", "", IF(OR(VLOOKUP(J26, 'Fixture Identities'!$A$6:$L$1023, 3, FALSE)="T12 Linear Fluorescent",VLOOKUP(J26, 'Fixture Identities'!$A$6:$L$1023, 3, FALSE)="T12 U-Tube Fluorescent"), "Y", "N")), "N")</f>
        <v/>
      </c>
      <c r="BS26" s="184" t="str">
        <f t="array" ref="BS26">IFERROR(IF(OR(B26="", V26="", W26=""), "", IF(V26="Custom", "N", IF(OR(W26="Freezer Case Lighting", W26="Refrigerated Case Lighting with Doors"), BT26, IF(B26="Retrofit", INDEX('Lookup Tables'!$AH$6:$AT$102,MATCH(1,('Lookup Tables'!$AH$6:$AH$102=V26)*('Lookup Tables'!$AI$6:$AI$102=W26),FALSE),IF(VLOOKUP(J26, 'Fixture Identities'!$A$6:$B$1023, 2, FALSE)="Incandescent",12, 13)), INDEX('Lookup Tables'!$AH$114:$AS$154,MATCH(1,('Lookup Tables'!$AH$114:$AH$154=V26)*('Lookup Tables'!$AI$114:$AI$154=W26),FALSE),12))))), "N")</f>
        <v/>
      </c>
      <c r="BT26" s="184" t="str">
        <f>IF(J26="", "", IF(AND(OR(W26="Freezer case Lighting", W26="Refrigerated Case Lighting with Doors"),'General Information'!$X$18="LCI"), "N", IF(OR(VLOOKUP(J26, 'Fixture Identities'!$A$6:$B$1023, 2, FALSE)="T12 EPACT/EISA Baseline", VLOOKUP(J26, 'Fixture Identities'!$A$6:$B$1023, 2, FALSE)="Linear Fluorescent", VLOOKUP(J26, 'Fixture Identities'!$A$6:$B$1023, 2, FALSE)="U-Tube Fluorescent"), "Y", "N")))</f>
        <v/>
      </c>
      <c r="BU26" s="184" t="str">
        <f>IFERROR(IF(B26="", "", IF(VLOOKUP(J26, 'Fixture Identities'!$A$6:$B$1023, 2, FALSE)="Exit Sign", "Y", "N")), "N")</f>
        <v/>
      </c>
      <c r="BV26" s="184" t="str">
        <f>IF(V26="Exit Signs", IF(VLOOKUP(J26, 'Fixture Identities'!$A$6:$B$1023, 2, FALSE)="Exit Sign", "N", "Y"), "")</f>
        <v/>
      </c>
      <c r="BW26" s="184" t="str">
        <f t="array" ref="BW26">IFERROR(IF(B26="", "", IF(B26="New Construction", "N", INDEX('Lookup Tables'!$AH$6:$AU$102, MATCH(1, ('Lookup Tables'!$AH$6:$AH$102='Lighting Inventory'!V26)*('Lookup Tables'!$AI$6:$AI$102='Lighting Inventory'!W26), 0), 14))), "N")</f>
        <v/>
      </c>
      <c r="BX26" s="598" t="str">
        <f t="shared" si="93"/>
        <v/>
      </c>
      <c r="BY26" s="598" t="str">
        <f t="shared" si="94"/>
        <v/>
      </c>
      <c r="BZ26" s="598" t="str">
        <f t="shared" si="95"/>
        <v/>
      </c>
      <c r="CA26" s="598" t="str">
        <f t="shared" si="101"/>
        <v/>
      </c>
      <c r="CB26" s="269" t="str">
        <f t="shared" si="102"/>
        <v/>
      </c>
      <c r="CC26" s="517" t="str">
        <f t="shared" si="96"/>
        <v/>
      </c>
      <c r="CD26" s="565" t="str">
        <f t="shared" si="11"/>
        <v/>
      </c>
      <c r="CE26" s="368">
        <v>0</v>
      </c>
      <c r="CF26" s="368" t="str" cm="1">
        <f t="array" ref="CF26">IFERROR(IF(V26="Custom", "$0.1 per kWh", IF(B26="New Construction", CONCATENATE("$",INDEX('Lookup Tables'!$AH$114:$AN$154,MATCH(1,('Lookup Tables'!$AH$114:$AH$154='Lighting Inventory'!V26)*('Lookup Tables'!$AI$114:$AI$154='Lighting Inventory'!W26),FALSE),6)," ",INDEX('Lookup Tables'!$AH$114:$AN$154,MATCH(1,('Lookup Tables'!$AH$114:$AH$154='Lighting Inventory'!V26)*('Lookup Tables'!$AI$114:$AI$154='Lighting Inventory'!W26),FALSE),7)), IF(AND(BU26="N", V26="Exit Signs"), "$0.025 per kWh", CONCATENATE("$",INDEX('Lookup Tables'!$AH$6:$AN$102,MATCH(1,('Lookup Tables'!$AH$6:$AH$102='Lighting Inventory'!V26)*('Lookup Tables'!$AI$6:$AI$102='Lighting Inventory'!W26),FALSE),6)," ",INDEX('Lookup Tables'!$AH$6:$AN$102,MATCH(1,('Lookup Tables'!$AH$6:$AH$102='Lighting Inventory'!V26)*('Lookup Tables'!$AI$6:$AI$102='Lighting Inventory'!W26),FALSE),7))))), "")</f>
        <v/>
      </c>
      <c r="CG26" s="580"/>
      <c r="CH26" s="248" t="str">
        <f t="shared" si="170"/>
        <v/>
      </c>
      <c r="CI26" s="248" t="str">
        <f t="shared" si="171"/>
        <v>Select_IE</v>
      </c>
      <c r="CJ26" s="248" t="str">
        <f t="shared" si="172"/>
        <v/>
      </c>
      <c r="CK26" s="248" t="str">
        <f t="shared" si="173"/>
        <v/>
      </c>
      <c r="CL26" s="248" t="str">
        <f t="shared" si="174"/>
        <v/>
      </c>
      <c r="CM26" s="248" t="str">
        <f>IFERROR(IF(B26="", "", IF(B26="New Construction", VLOOKUP(V26, 'Lookup Tables'!$AF$114:$AG$120, 2, FALSE), VLOOKUP(V26, 'Lookup Tables'!$AD$6:$AE$25, 2, FALSE))), "")</f>
        <v/>
      </c>
      <c r="CN26" s="248" t="str">
        <f t="shared" si="175"/>
        <v/>
      </c>
      <c r="CO26" s="248" t="str">
        <f t="shared" si="176"/>
        <v/>
      </c>
      <c r="CP26" s="592" t="str">
        <f t="shared" si="177"/>
        <v/>
      </c>
      <c r="CQ26" s="248" t="str">
        <f t="shared" si="97"/>
        <v/>
      </c>
      <c r="CR26" s="249"/>
      <c r="CS26" s="250" t="str">
        <f t="shared" si="178"/>
        <v/>
      </c>
      <c r="CT26" s="250" t="str">
        <f t="shared" si="179"/>
        <v/>
      </c>
      <c r="CU26" s="250" t="str">
        <f t="shared" si="180"/>
        <v/>
      </c>
      <c r="CV26" s="250" t="str">
        <f t="shared" si="181"/>
        <v/>
      </c>
      <c r="CW26" s="250" t="str">
        <f t="shared" si="182"/>
        <v/>
      </c>
      <c r="CX26" s="250" t="str">
        <f t="shared" si="183"/>
        <v/>
      </c>
      <c r="CY26" s="250" t="str">
        <f t="shared" si="184"/>
        <v/>
      </c>
      <c r="CZ26" s="250" t="str">
        <f t="shared" si="185"/>
        <v/>
      </c>
      <c r="DA26" s="250" t="str">
        <f t="shared" si="186"/>
        <v/>
      </c>
      <c r="DB26" s="250" t="str">
        <f t="shared" si="187"/>
        <v/>
      </c>
      <c r="DC26" s="250" t="str">
        <f t="shared" si="188"/>
        <v/>
      </c>
      <c r="DD26" s="250" t="str">
        <f t="shared" si="189"/>
        <v/>
      </c>
      <c r="DE26" s="250" t="str">
        <f t="shared" si="190"/>
        <v/>
      </c>
      <c r="DF26" s="250" t="str">
        <f t="shared" si="191"/>
        <v/>
      </c>
      <c r="DG26" s="250" t="str">
        <f t="shared" si="192"/>
        <v/>
      </c>
      <c r="DH26" s="250" t="str">
        <f t="shared" si="193"/>
        <v/>
      </c>
      <c r="DI26" s="250" t="str">
        <f t="shared" si="194"/>
        <v/>
      </c>
      <c r="DJ26" s="250" t="str">
        <f t="shared" si="195"/>
        <v/>
      </c>
      <c r="DK26" s="250" t="str">
        <f t="shared" si="196"/>
        <v/>
      </c>
      <c r="DL26" s="250" t="str">
        <f t="shared" si="197"/>
        <v/>
      </c>
      <c r="DM26" s="250" t="str">
        <f>IF(CD26="ERROR", "ERROR", IF(AND(OR(Y26=$DM$6, Y26='Lookup Tables'!$AD$21, Y26='Lookup Tables'!$AD$22), E26="Interior"), BJ26, ""))</f>
        <v/>
      </c>
      <c r="DN26" s="250" t="str">
        <f>IF(CD26="ERROR", "ERROR", IF(AND(OR(Y26=$DM$6, Y26='Lookup Tables'!$AD$21, Y26='Lookup Tables'!$AD$22), E26="Exterior"), BJ26, ""))</f>
        <v/>
      </c>
      <c r="DO26" s="249"/>
      <c r="DP26" s="250" t="str">
        <f t="shared" si="198"/>
        <v/>
      </c>
      <c r="DQ26" s="250" t="str">
        <f t="shared" si="199"/>
        <v/>
      </c>
      <c r="DR26" s="250" t="str">
        <f t="shared" si="200"/>
        <v/>
      </c>
      <c r="DS26" s="250" t="str">
        <f t="shared" si="201"/>
        <v/>
      </c>
      <c r="DT26" s="250" t="str">
        <f t="shared" si="202"/>
        <v/>
      </c>
      <c r="DU26" s="250" t="str">
        <f t="shared" si="203"/>
        <v/>
      </c>
      <c r="DV26" s="250" t="str">
        <f t="shared" si="204"/>
        <v/>
      </c>
      <c r="DW26" s="250" t="str">
        <f t="shared" si="205"/>
        <v/>
      </c>
      <c r="DX26" s="250" t="str">
        <f t="shared" si="206"/>
        <v/>
      </c>
      <c r="DY26" s="250" t="str">
        <f t="shared" si="207"/>
        <v/>
      </c>
      <c r="DZ26" s="250" t="str">
        <f t="shared" si="208"/>
        <v/>
      </c>
      <c r="EA26" s="250" t="str">
        <f t="shared" si="209"/>
        <v/>
      </c>
      <c r="EB26" s="250" t="str">
        <f t="shared" si="210"/>
        <v/>
      </c>
      <c r="EC26" s="250" t="str">
        <f t="shared" si="211"/>
        <v/>
      </c>
      <c r="ED26" s="250" t="str">
        <f t="shared" si="212"/>
        <v/>
      </c>
      <c r="EE26" s="250" t="str">
        <f t="shared" si="213"/>
        <v/>
      </c>
      <c r="EF26" s="250" t="str">
        <f t="shared" si="214"/>
        <v/>
      </c>
      <c r="EG26" s="250" t="str">
        <f t="shared" si="215"/>
        <v/>
      </c>
      <c r="EH26" s="250" t="str">
        <f>IF(CD26="ERROR", "ERROR", IF(AND(OR($EH$6=Y26, Y26='Lookup Tables'!$AD$21, Y26='Lookup Tables'!$AD$22),E26="Interior"), SUM(BP26:BP26), ""))</f>
        <v/>
      </c>
      <c r="EI26" s="250" t="str">
        <f>IF(CD26="ERROR", "ERROR", IF(AND(OR($EH$6=Y26, Y26='Lookup Tables'!$AD$21, Y26='Lookup Tables'!$AD$22),E26="Exterior"), SUM(BP26:BP26), ""))</f>
        <v/>
      </c>
      <c r="EJ26" s="109"/>
      <c r="EK26" s="485" t="str">
        <f t="shared" si="58"/>
        <v/>
      </c>
      <c r="EL26" s="252" t="str">
        <f t="shared" si="216"/>
        <v/>
      </c>
      <c r="EM26" s="252" t="str">
        <f t="shared" si="217"/>
        <v/>
      </c>
      <c r="EN26" s="252" t="str">
        <f t="shared" si="218"/>
        <v/>
      </c>
      <c r="EO26" s="252" t="str">
        <f t="shared" si="219"/>
        <v/>
      </c>
      <c r="EP26" s="252" t="str">
        <f t="shared" si="220"/>
        <v/>
      </c>
      <c r="EQ26" s="252" t="str">
        <f t="shared" si="221"/>
        <v/>
      </c>
      <c r="ER26" s="252" t="str">
        <f t="shared" si="222"/>
        <v/>
      </c>
      <c r="ES26" s="252" t="str">
        <f t="shared" si="223"/>
        <v/>
      </c>
      <c r="ET26" s="252" t="str">
        <f t="shared" si="224"/>
        <v/>
      </c>
      <c r="EU26" s="252" t="str">
        <f t="shared" si="225"/>
        <v/>
      </c>
      <c r="EV26" s="252" t="str">
        <f t="shared" si="226"/>
        <v/>
      </c>
      <c r="EW26" s="252" t="str">
        <f t="shared" si="227"/>
        <v/>
      </c>
      <c r="EX26" s="252" t="str">
        <f t="shared" si="228"/>
        <v/>
      </c>
      <c r="EY26" s="252" t="str">
        <f t="shared" si="229"/>
        <v/>
      </c>
      <c r="EZ26" s="252" t="str">
        <f t="shared" si="230"/>
        <v/>
      </c>
      <c r="FA26" s="252" t="str">
        <f t="shared" si="231"/>
        <v/>
      </c>
      <c r="FB26" s="252" t="str">
        <f t="shared" si="232"/>
        <v/>
      </c>
      <c r="FC26" s="252" t="str">
        <f>IF(CD26="ERROR", "ERROR", IF(OR(V26="No Change", V26="Not DLC or Energy Star"), "", IF(AND(OR($FC$6=Y26,Y26='Lookup Tables'!$AD$21, Y26='Lookup Tables'!$AD$22),E26="Interior"), S26, "")))</f>
        <v/>
      </c>
      <c r="FD26" s="252" t="str">
        <f t="shared" si="233"/>
        <v/>
      </c>
      <c r="FE26" s="1"/>
      <c r="FF26" s="579" t="str" cm="1">
        <f t="array" ref="FF26">IFERROR(IF(OR(BQ26&lt;=0,AQ26&lt;20,AND(V26="Exit Signs",AN26&gt;0)),"",IF(AND(AQ26&gt;=20,AN26='Lookup Tables'!$R$101),'Lookup Tables'!$U$101*BQ26,AP26*LOOKUP(2,1/((AN26='Lookup Tables'!$R$91:$R$111)*(AQ26&gt;='Lookup Tables'!$S$91:$S$111)*(AQ26&lt;='Lookup Tables'!$T$91:$T$111)),'Lookup Tables'!$U$91:$U$111))),"")</f>
        <v/>
      </c>
      <c r="FG26" s="579"/>
      <c r="FH26" s="579"/>
      <c r="FI26" s="253" t="str">
        <f>IFERROR(ROUND(IF(CD26="ERROR", "ERROR", IF(AND($FI$7=X26,E26="Interior"),VLOOKUP(W26, 'Lookup Tables'!$AI$6:$AM$102, 5, FALSE)*BP26, "")), 2), "")</f>
        <v/>
      </c>
      <c r="FJ26" s="253" t="str">
        <f>IFERROR(ROUND(IF(CD26="ERROR", "ERROR", IF(AND($FI$7=X26,E26="Exterior"),VLOOKUP(W26, 'Lookup Tables'!$AI$6:$AM$102, 5, FALSE)*BP26, "")), 2), "")</f>
        <v/>
      </c>
      <c r="FK26" s="253" t="str">
        <f>IFERROR(ROUND(IF(CD26="ERROR", "ERROR", IF(AND($FK$7=X26,E26="Interior"),VLOOKUP(W26, 'Lookup Tables'!$AI$6:$AM$102, 5, FALSE)*BP26, "")), 2), "")</f>
        <v/>
      </c>
      <c r="FL26" s="253" t="str">
        <f>IFERROR(ROUND(IF(CD26="ERROR", "ERROR", IF(AND($FK$7=X26,E26="Exterior"),VLOOKUP(W26, 'Lookup Tables'!$AI$6:$AM$102, 5, FALSE)*BP26, "")), 2), "")</f>
        <v/>
      </c>
      <c r="FM26" s="253" t="str">
        <f>IFERROR(ROUND(IF(CD26="ERROR", "ERROR", IF(AND($FM$6=Y26,E26="Interior"), IF(GB26=0, VLOOKUP(W26, 'Lookup Tables'!$AI$6:$AM$102, 5, FALSE)*BP26, IF(VLOOKUP(W26, 'Lookup Tables'!$AI$6:$AM$102, 5, FALSE)*BP26&gt;GB26*'Lighting Inventory'!S26, GB26*'Lighting Inventory'!S26,VLOOKUP(W26, 'Lookup Tables'!$AI$6:$AM$102, 5, FALSE)*BP26)), "")), 2), "")</f>
        <v/>
      </c>
      <c r="FN26" s="253" t="str">
        <f>IFERROR(ROUND(IF(CD26="ERROR", "ERROR", IF(AND($FM$6=Y26,E26="Exterior"), IF(GB26=0, VLOOKUP(W26, 'Lookup Tables'!$AI$6:$AM$102, 5, FALSE)*BP26, IF(VLOOKUP(W26, 'Lookup Tables'!$AI$6:$AM$102, 5, FALSE)*BP26&gt;GB26*'Lighting Inventory'!S26, GB26*'Lighting Inventory'!S26,VLOOKUP(W26, 'Lookup Tables'!$AI$6:$AM$102, 5, FALSE)*BP26)), "")), 2), "")</f>
        <v/>
      </c>
      <c r="FO26" s="253" t="str">
        <f>IFERROR(ROUND(IF(CD26="ERROR", "ERROR", IF(AND($FO$6=Y26,E26="Interior"),VLOOKUP(W26, 'Lookup Tables'!$AI$6:$AM$102, 5, FALSE)*'Lighting Inventory'!AI26, "")), 2), "")</f>
        <v/>
      </c>
      <c r="FP26" s="253" t="str">
        <f>IFERROR(ROUND(IF(CD26="ERROR", "ERROR", IF(AND($FO$6=Y26,E26="Exterior"),VLOOKUP(W26, 'Lookup Tables'!$AI$6:$AM$102, 5, FALSE)*'Lighting Inventory'!AI26, "")), 2), "")</f>
        <v/>
      </c>
      <c r="FQ26" s="253" t="str">
        <f>IFERROR(ROUND(IF(CD26="ERROR", "ERROR", IF(AND($FQ$6=Y26,E26="Interior", BU26="Y"), VLOOKUP('Lighting Inventory'!W26, 'Lookup Tables'!$AI$6:$AM$102, 5, FALSE)*'Lighting Inventory'!S26, IF(AND($FQ$7=Y26,E26="Interior", BU26="N"), 0.025*CD26, ""))), 2), "")</f>
        <v/>
      </c>
      <c r="FR26" s="253" t="str">
        <f>IFERROR(ROUND(IF(CD26="ERROR", "ERROR", IF(AND($FQ$6=Y26,E26="Exterior"), VLOOKUP('Lighting Inventory'!W26, 'Lookup Tables'!$AI$6:$AM$102, 5, FALSE)*'Lighting Inventory'!S26, "")), 2), "")</f>
        <v/>
      </c>
      <c r="FS26" s="253" t="str">
        <f>IFERROR(ROUND(IF(CD26="ERROR", "ERROR", IF(AND($FS$6=Y26,E26="Exterior"), IF(GB26=0, VLOOKUP(W26, 'Lookup Tables'!$AI$6:$AM$102, 5, FALSE)*BP26, IF(VLOOKUP(W26, 'Lookup Tables'!$AI$6:$AM$102, 5, FALSE)*BP26&gt;GB26*'Lighting Inventory'!S26, GB26*'Lighting Inventory'!S26,VLOOKUP(W26, 'Lookup Tables'!$AI$6:$AM$102, 5, FALSE)*BP26)), "")), 2), "")</f>
        <v/>
      </c>
      <c r="FT26" s="253" t="str">
        <f>IFERROR(ROUND(IF(CD26="ERROR", "ERROR", IF(AND($FT$6=Y26,E26="Interior"), IF(GB26=0, VLOOKUP(W26, 'Lookup Tables'!$AI$6:$AM$102, 5, FALSE)*BP26, IF(VLOOKUP(W26, 'Lookup Tables'!$AI$6:$AM$102, 5, FALSE)*BP26&gt;GB26*'Lighting Inventory'!S26, GB26*'Lighting Inventory'!S26,VLOOKUP(W26, 'Lookup Tables'!$AI$6:$AM$102, 5, FALSE)*BP26)), "")), 2), "")</f>
        <v/>
      </c>
      <c r="FU26" s="253" t="str">
        <f>IFERROR(ROUND(IF(CD26="ERROR", "ERROR", IF(AND(Y26=$FU$6, E26="Interior"), IF(BS26="N", 'Lookup Tables'!$AM$101*BP26, VLOOKUP(W26, 'Lookup Tables'!$AI$6:$AM$102, 5, FALSE)*S26*AD26), "")), 2), "")</f>
        <v/>
      </c>
      <c r="FV26" s="253" t="str">
        <f>IFERROR(ROUND(IF(CD26="ERROR", "ERROR", IF(AND(Y26=$FU$6, E26="Exterior"), IF(BS26="N", 'Lookup Tables'!$AM$101*BP26, VLOOKUP(W26, 'Lookup Tables'!$AI$6:$AM$102, 5, FALSE)*S26*AD26), "")), 2), "")</f>
        <v/>
      </c>
      <c r="FW26" s="253" t="str">
        <f>IFERROR(ROUND(IF(CD26="ERROR", "ERROR", IF($FW$6=Y26, IF(BS26="N", 'Lookup Tables'!$AM$101*BP26, MIN((VLOOKUP(W26, 'Lookup Tables'!$AI$6:$AM$102, 5, FALSE)*BP26),GB26*AJ26)), "")), 2), "")</f>
        <v/>
      </c>
      <c r="FX26" s="253" t="str">
        <f>IFERROR(ROUND(IF(CD26="ERROR", "ERROR", IF(AND($FX$6=Y26, E26="Interior"), IF(VLOOKUP(W26, 'Lookup Tables'!$AI$6:$AM$102, 5, FALSE)*BP26&gt;'Lookup Tables'!$AQ$97*'Lighting Inventory'!S26,'Lighting Inventory'!S26*'Lookup Tables'!$AQ$97,VLOOKUP(W26, 'Lookup Tables'!$AI$6:$AM$102, 5, FALSE)*BP26), "")), 2), "")</f>
        <v/>
      </c>
      <c r="FY26" s="253" t="str">
        <f>IFERROR(ROUND(IF(CD26="ERROR", "ERROR", IF(AND($FX$6=Y26, E26="Exterior"), IF(VLOOKUP(W26, 'Lookup Tables'!$AI$6:$AM$102, 5, FALSE)*BP26&gt;'Lookup Tables'!$AQ$97*'Lighting Inventory'!S26,'Lighting Inventory'!S26*'Lookup Tables'!$AQ$97,VLOOKUP(W26, 'Lookup Tables'!$AI$6:$AM$102, 5, FALSE)*BP26), "")), 2), "")</f>
        <v/>
      </c>
      <c r="FZ26" s="253" t="str">
        <f>IFERROR(ROUND(IF(CD26="ERROR", "ERROR", IF(AND($FZ$6=Y26, E26="Interior"), IF(AND(OR(W26="Refrigerated Case Lighting with Doors", W26="Freezer Case Lighting"),Y26="Custom - Process Improvement"),CD26*'Lookup Tables'!$AM$101, IF(B26="Retrofit", IF(VLOOKUP(IF(V26="Custom", V26, W26), 'Lookup Tables'!$AI$6:$AM$102, 5, FALSE)*BP26&gt;GE26, GE26, VLOOKUP(IF(V26="Custom", V26, W26), 'Lookup Tables'!$AI$6:$AM$102, 5, FALSE)*BP26), IF(VLOOKUP(IF(V26="Custom", V26, W26), 'Lookup Tables'!$AI$114:$AM$154, 5, FALSE)*BP26&gt;GE26, GE26, VLOOKUP(IF(V26="Custom", V26, W26), 'Lookup Tables'!$AI$114:$AM$154, 5, FALSE)*BP26))), "")), 2),"")</f>
        <v/>
      </c>
      <c r="GA26" s="253" t="str">
        <f>IFERROR(ROUND(IF(CD26="ERROR", "ERROR", IF(AND($FZ$6=Y26, E26="Exterior"), IF(B26="Retrofit", IF(VLOOKUP(IF(V26="Custom", V26, W26), 'Lookup Tables'!$AI$6:$AM$102, 5, FALSE)*BP26&gt;GE26, GE26, VLOOKUP(IF(V26="Custom", V26, W26), 'Lookup Tables'!$AI$6:$AM$102, 5, FALSE)*BP26), IF(VLOOKUP(IF(V26="Custom", V26, W26), 'Lookup Tables'!$AI$114:$AM$154, 5, FALSE)*BP26&gt;GE26, GE26, VLOOKUP(IF(V26="Custom", V26, W26), 'Lookup Tables'!$AI$114:$AM$154, 5, FALSE)*BP26)), "")), 2),"")</f>
        <v/>
      </c>
      <c r="GB26" s="254" t="str">
        <f t="array" ref="GB26">IF(B26="","",IF(OR(V26="Custom",V26="No Change"),0,IF(B26="Retrofit", INDEX('Lookup Tables'!$AH$6:$AQ$102,MATCH(1,('Lookup Tables'!$AH$6:$AH$102='Lighting Inventory'!V26)*('Lookup Tables'!$AI$6:$AI$102='Lighting Inventory'!W26),FALSE),10),INDEX('Lookup Tables'!$AH$114:$AQ$154,MATCH(1,('Lookup Tables'!$AH$114:$AH$154='Lighting Inventory'!V26)*('Lookup Tables'!$AI$114:$AI$154='Lighting Inventory'!W26),FALSE),10))))</f>
        <v/>
      </c>
      <c r="GC26" s="255" t="str">
        <f t="shared" si="77"/>
        <v/>
      </c>
      <c r="GD26" s="250" t="str">
        <f t="shared" si="78"/>
        <v/>
      </c>
      <c r="GE26" s="253" t="str">
        <f>IFERROR(IF(AND(AF26="", 'General Information'!$F$18="No"),"", IF(AF26="", ((GD26/$CD$266)*$CF$266)*0.5, AF26*S26*0.5)), "")</f>
        <v/>
      </c>
      <c r="GF26" s="255" t="str">
        <f>IF(AND('General Information'!$F$19="", 'General Information'!$F$18="Yes",AF26="",BW26="Y"), "Y", "N")</f>
        <v>N</v>
      </c>
      <c r="GG26" s="255" t="s">
        <v>2946</v>
      </c>
      <c r="GH26" s="255" t="str">
        <f>IFERROR(IF(B26="", "", VLOOKUP(J26, 'Fixture Identities'!$A$6:$N$908, 14, FALSE)), "")</f>
        <v/>
      </c>
      <c r="GI26" s="389" t="str">
        <f>IF(OR(B26="", V26="", W26=""), "", IF(AND(OR(M26='Lookup Tables'!$R$18, M26='Lookup Tables'!$R$19, M26='Lookup Tables'!$R$20, M26='Lookup Tables'!$R$21, M26='Lookup Tables'!$R$22), OR(AN26='Lookup Tables'!$R$17, AN26='Lookup Tables'!$R$17, AN26="")), "Y", "N"))</f>
        <v/>
      </c>
      <c r="GJ26" s="255" t="str">
        <f t="shared" si="79"/>
        <v/>
      </c>
      <c r="GK26" s="255" t="str">
        <f t="shared" si="80"/>
        <v/>
      </c>
      <c r="GL26" s="255" t="str">
        <f t="shared" si="81"/>
        <v/>
      </c>
      <c r="GM26" s="255" t="str">
        <f>IF(AN26="", "", IF(AND(IF(ISNA(VLOOKUP(AN26,'Lookup Tables'!$R$18:$R$22,1,FALSE)), "N", "Y")="Y", E26="Exterior"), "Y", "N"))</f>
        <v/>
      </c>
      <c r="GN26" s="395"/>
      <c r="GO26" s="428">
        <f t="shared" si="98"/>
        <v>0</v>
      </c>
      <c r="GP26" s="428">
        <f t="shared" si="167"/>
        <v>0</v>
      </c>
      <c r="GQ26" s="428">
        <f t="shared" si="99"/>
        <v>0</v>
      </c>
      <c r="GR26" s="428">
        <f t="shared" si="100"/>
        <v>0</v>
      </c>
    </row>
    <row r="27" spans="1:200" s="103" customFormat="1" ht="13.5" customHeight="1" x14ac:dyDescent="0.2">
      <c r="A27" s="272">
        <v>17</v>
      </c>
      <c r="B27" s="110"/>
      <c r="C27" s="110"/>
      <c r="D27" s="110"/>
      <c r="E27" s="110"/>
      <c r="F27" s="110"/>
      <c r="G27" s="110"/>
      <c r="H27" s="110"/>
      <c r="I27" s="29"/>
      <c r="J27" s="29"/>
      <c r="K27" s="272" t="str">
        <f>IFERROR(IF(OR(VLOOKUP(J27, 'Fixture Identities'!$A$6:$L$1023, 3, FALSE)="T12 Linear Fluorescent", VLOOKUP(J27, 'Fixture Identities'!$A$6:$L$1023, 3, FALSE)="T12 U-Tube Fluorescent"), VLOOKUP(VLOOKUP(J27, 'Fixture Identities'!$A$6:$L$1023, 11, FALSE), 'Fixture Identities'!$A$6:$L$1023, 10, FALSE), VLOOKUP(J27, 'Fixture Identities'!$A$6:$L$1023, 10, FALSE)), "")</f>
        <v/>
      </c>
      <c r="L27" s="270" t="str">
        <f t="shared" si="169"/>
        <v/>
      </c>
      <c r="M27" s="110"/>
      <c r="N27" s="110"/>
      <c r="O27" s="110"/>
      <c r="P27" s="272" t="str">
        <f>IFERROR(IF(OR(B27="Retrofit",B27=""),"",IF('Lighting Inventory'!E27="Exterior",VLOOKUP('Lighting Inventory'!N27,'Lookup Tables'!$B$83:$F$103,5,FALSE),IF(N27="Other - Please Estimate EFLH and CFs","Contact Prog. Rep.","ft^2"))), "")</f>
        <v/>
      </c>
      <c r="Q27" s="270" t="str">
        <f>IFERROR(IF(AND(B27="New Construction",E27="Interior",$F$5="Space-by-Space"),VLOOKUP('Lighting Inventory'!N27,'Lookup Tables'!$N$6:$O$97,2,FALSE),IF(AND(B27="New Construction",E27="Exterior"),VLOOKUP(N27,'Lookup Tables'!$B$83:$F$103,2,FALSE),IF(AND(B27="New Construction",'Lighting Inventory'!E27="Interior", $F$5="Building Area"),VLOOKUP(F27,'Lookup Tables'!$A$6:$J$59,10,FALSE),""))), "")</f>
        <v/>
      </c>
      <c r="R27" s="270" t="str">
        <f>IFERROR(IF(P27="Contact Prog. Rep.", "ERROR", IF(OR(B27="",B27="Retrofit"),"",IF(N27="Automated teller machines", ('Lookup Tables'!$A$82:$E$100+('Lighting Inventory'!O27-1)*'Lookup Tables'!$A$82:$E$100)/1000, (Q27*O27)/1000))), "")</f>
        <v/>
      </c>
      <c r="S27" s="595"/>
      <c r="T27" s="105" t="str">
        <f t="shared" si="83"/>
        <v/>
      </c>
      <c r="U27" s="105" t="str">
        <f>IF(S27="","",COUNT($S$11:S27))</f>
        <v/>
      </c>
      <c r="V27" s="111"/>
      <c r="W27" s="112"/>
      <c r="X27" s="105" t="str">
        <f t="shared" si="84"/>
        <v/>
      </c>
      <c r="Y27" s="105" t="str">
        <f t="array" ref="Y27">IF(AND(OR(W27="Freezer Case Lighting", W27="Refrigerated Case Lighting with Doors"), 'General Information'!$X$18="LCI"),'Lookup Tables'!$Y$34, IF(V27="Custom", VLOOKUP(W27, 'Fixture Identities'!$A$974:$M$1023, 13, FALSE), IF(V27="No Change",'Lookup Tables'!$Y$29,IF(OR(V27="",W27=""),"",IF(AND(S27=0,S27&lt;I27,B27="Retrofit"),'Lookup Tables'!$Y$25, IF(B27="Retrofit", INDEX('Lookup Tables'!$AH$6:$AP$102, MATCH(1, ('Lookup Tables'!$AH$6:$AH$102=V27)*('Lookup Tables'!$AI$6:$AI$102=W27), 0), IF('Lighting Inventory'!E27="Interior", 4, 5)), INDEX('Lookup Tables'!$AH$114:$AP$154, MATCH(1, ('Lookup Tables'!$AH$114:$AH$154=V27)*('Lookup Tables'!$AI$114:$AI$154=W27), 0), IF('Lighting Inventory'!E27="Interior", 4, 5))))))))</f>
        <v/>
      </c>
      <c r="Z27" s="105" t="str">
        <f>IFERROR(INDEX('Lookup Tables'!$AH$158:$AH$172,MATCH('Lighting Inventory'!Y27,'Lookup Tables'!$AI$158:$AI$172,0)),"")</f>
        <v/>
      </c>
      <c r="AA27" s="105" t="str">
        <f>IF(AP27&gt;0,INDEX('Lookup Tables'!$AK$158:$AK$172,MATCH('Lighting Inventory'!Y27,'Lookup Tables'!$AI$158:$AI$172,0)),'Lighting Inventory'!Y27)</f>
        <v/>
      </c>
      <c r="AB27" s="105" t="str">
        <f t="array" ref="AB27">IF(V27="Custom", "Custom", IF(V27="", "", IF(V27="Not DLC or Energy Star", "General", IF(B27="New Construction", INDEX('Lookup Tables'!$AH$114:$AP$154,MATCH(1,('Lookup Tables'!$AH$114:$AH$154='Lighting Inventory'!V27)*('Lookup Tables'!$AI$114:$AI$154='Lighting Inventory'!W27),FALSE),8), INDEX('Lookup Tables'!$AH$6:$AP$102,MATCH(1,('Lookup Tables'!$AH$6:$AH$102='Lighting Inventory'!V27)*('Lookup Tables'!$AI$6:$AI$102='Lighting Inventory'!W27),FALSE),8)))))</f>
        <v/>
      </c>
      <c r="AC27" s="272" t="str">
        <f>IF(W27="","",IF(V27="Custom",CONCATENATE("$",'Lookup Tables'!$AM$101," ",'Lookup Tables'!$AN$101),CONCATENATE("$",INDEX('Lookup Tables'!$AM$6:$AM$102,MATCH('Lighting Inventory'!W27,'Lookup Tables'!$AI$6:$AI$102,0))," ",INDEX('Lookup Tables'!$AN$6:$AN$102,MATCH('Lighting Inventory'!W27,'Lookup Tables'!$AI$6:$AI$102,0)))))</f>
        <v/>
      </c>
      <c r="AD27" s="72"/>
      <c r="AE27" s="29"/>
      <c r="AF27" s="379"/>
      <c r="AG27" s="370" t="str">
        <f t="shared" si="2"/>
        <v/>
      </c>
      <c r="AH27" s="370" t="str">
        <f t="shared" si="85"/>
        <v/>
      </c>
      <c r="AI27" s="29"/>
      <c r="AJ27" s="29"/>
      <c r="AK27" s="110"/>
      <c r="AL27" s="375" t="str">
        <f>IF(OR(B27="", V27="", W27=""), "", IF(V27="No Change", K27, IF(V27="Remove Fixture", 0, IF(V27="Custom",VLOOKUP(W27,'Fixture Identities'!$A$6:$K$1023,10,FALSE),IF(AE27="", "← ENTER POST WATTS", 'Lighting Inventory'!AE27)))))</f>
        <v/>
      </c>
      <c r="AM27" s="376" t="str">
        <f t="shared" si="3"/>
        <v/>
      </c>
      <c r="AN27" s="29"/>
      <c r="AO27" s="671"/>
      <c r="AP27" s="29"/>
      <c r="AQ27" s="29"/>
      <c r="AR27" s="29"/>
      <c r="AS27" s="272" t="str">
        <f t="shared" si="4"/>
        <v/>
      </c>
      <c r="AT27" s="270" t="str">
        <f t="shared" si="234"/>
        <v/>
      </c>
      <c r="AU27" s="88" t="str">
        <f t="shared" si="235"/>
        <v/>
      </c>
      <c r="AV27" s="29"/>
      <c r="AW27" s="73"/>
      <c r="AX27" s="271" t="str">
        <f>IF(AND(AV27="Applicant",OR(AW27="", AW27="Use Default Facility Hours")),"← Choose Schedule",IF(F27="","",IF(W27="LED Exit Signs",8760,IF(OR(AV27="Prescribed",AV27=""),VLOOKUP(F27,'Lookup Tables'!$A$6:$G$59,IF(AB27="General", 6, 3),FALSE),VLOOKUP(AW27,'Lookup Tables'!$S$36:$U$43,2,FALSE)))))</f>
        <v/>
      </c>
      <c r="AY27" s="88" t="str">
        <f t="shared" si="7"/>
        <v/>
      </c>
      <c r="AZ27" s="270" t="str">
        <f>IFERROR(IF(F27="", "", IF(W27="LED Exit Signs", 1, IF(AV27="Applicant",VLOOKUP(AW27, 'Lookup Tables'!$S$36:$U$43,3, FALSE), VLOOKUP('Lighting Inventory'!F27, 'Lookup Tables'!$A$6:$H$59, IF('Lighting Inventory'!AB27="General",7,4), FALSE)))), "")</f>
        <v/>
      </c>
      <c r="BA27" s="522" t="str">
        <f>IFERROR(IF(F27="", "", IF(W27="LED Exit Signs", 1, VLOOKUP('Lighting Inventory'!F27, 'Lookup Tables'!$A$6:$H$59, IF('Lighting Inventory'!AB27="General",8,5), FALSE))), "")</f>
        <v/>
      </c>
      <c r="BB27" s="270" t="str">
        <f>IF(G27="", "", IF(E27="Exterior", 0, IF('Lighting Inventory'!G27="Air Conditioned", VLOOKUP(H27, 'Lookup Tables'!$R$6:$T$13, 2, FALSE), VLOOKUP('Lighting Inventory'!G27, 'Lookup Tables'!$R$6:$T$13, 2, FALSE))))</f>
        <v/>
      </c>
      <c r="BC27" s="522" t="str">
        <f>IF(G27="", "", IF(E27="Exterior", 0, IF('Lighting Inventory'!G27="Air Conditioned", VLOOKUP(H27, 'Lookup Tables'!$R$6:$T$13, 3, FALSE), VLOOKUP('Lighting Inventory'!G27, 'Lookup Tables'!$R$6:$T$13, 3, FALSE))))</f>
        <v/>
      </c>
      <c r="BD27" s="270" t="str">
        <f>IF(G27="", "", IF(E27="Exterior", 0, IF('Lighting Inventory'!G27="Air Conditioned", VLOOKUP(H27, 'Lookup Tables'!$R$6:$U$13, 4, FALSE), VLOOKUP('Lighting Inventory'!G27, 'Lookup Tables'!$R$6:$U$13, 4, FALSE))))</f>
        <v/>
      </c>
      <c r="BE27" s="270" t="str">
        <f>IFERROR(IF(B27="", "",  IF(B27="New Construction", VLOOKUP(F27, 'Lookup Tables'!$A$6:$K$59, 11, FALSE),IF(OR(AN27="", AN27="Light Switch"), 0, IF(OR(M27="",M27="None",V27= "LED Exit Signs"),0,_xlfn.XLOOKUP(M27,'Lookup Tables'!$R$91:$R$101,'Lookup Tables'!$V$91:$V$101))))), "")</f>
        <v/>
      </c>
      <c r="BF27" s="270" t="str">
        <f>IF(AND(OR(AN27="Light Switch",AN27=""),B27="New Construction"), VLOOKUP(F27, 'Lookup Tables'!$A$6:$K$59, 11, FALSE),IF(AN27="","",IF(B27="","",IF(OR(AN27="None",AN27="",V27="LED Exit Signs",AN27="Exterior Controls Not Eligible"),0,_xlfn.XLOOKUP(AN27,'Lookup Tables'!$R$91:$R$101,'Lookup Tables'!$V$91:$V$101)))))</f>
        <v/>
      </c>
      <c r="BG27" s="88" t="str">
        <f t="shared" si="86"/>
        <v/>
      </c>
      <c r="BH27" s="88" t="str">
        <f t="shared" si="87"/>
        <v/>
      </c>
      <c r="BI27" s="558" t="str">
        <f t="shared" si="168"/>
        <v/>
      </c>
      <c r="BJ27" s="560" t="str">
        <f t="shared" si="88"/>
        <v/>
      </c>
      <c r="BK27" s="560" t="str">
        <f t="shared" si="89"/>
        <v/>
      </c>
      <c r="BL27" s="559" t="str">
        <f t="shared" si="90"/>
        <v/>
      </c>
      <c r="BM27" s="521" t="str">
        <f t="shared" si="8"/>
        <v/>
      </c>
      <c r="BN27" s="521" t="str">
        <f t="shared" si="9"/>
        <v/>
      </c>
      <c r="BO27" s="522" t="str">
        <f t="shared" si="10"/>
        <v/>
      </c>
      <c r="BP27" s="83" t="str">
        <f t="shared" si="91"/>
        <v/>
      </c>
      <c r="BQ27" s="84" t="str">
        <f t="shared" si="92"/>
        <v/>
      </c>
      <c r="BR27" s="184" t="str">
        <f>IFERROR(IF(B27="", "", IF(OR(VLOOKUP(J27, 'Fixture Identities'!$A$6:$L$1023, 3, FALSE)="T12 Linear Fluorescent",VLOOKUP(J27, 'Fixture Identities'!$A$6:$L$1023, 3, FALSE)="T12 U-Tube Fluorescent"), "Y", "N")), "N")</f>
        <v/>
      </c>
      <c r="BS27" s="184" t="str">
        <f t="array" ref="BS27">IFERROR(IF(OR(B27="", V27="", W27=""), "", IF(V27="Custom", "N", IF(OR(W27="Freezer Case Lighting", W27="Refrigerated Case Lighting with Doors"), BT27, IF(B27="Retrofit", INDEX('Lookup Tables'!$AH$6:$AT$102,MATCH(1,('Lookup Tables'!$AH$6:$AH$102=V27)*('Lookup Tables'!$AI$6:$AI$102=W27),FALSE),IF(VLOOKUP(J27, 'Fixture Identities'!$A$6:$B$1023, 2, FALSE)="Incandescent",12, 13)), INDEX('Lookup Tables'!$AH$114:$AS$154,MATCH(1,('Lookup Tables'!$AH$114:$AH$154=V27)*('Lookup Tables'!$AI$114:$AI$154=W27),FALSE),12))))), "N")</f>
        <v/>
      </c>
      <c r="BT27" s="184" t="str">
        <f>IF(J27="", "", IF(AND(OR(W27="Freezer case Lighting", W27="Refrigerated Case Lighting with Doors"),'General Information'!$X$18="LCI"), "N", IF(OR(VLOOKUP(J27, 'Fixture Identities'!$A$6:$B$1023, 2, FALSE)="T12 EPACT/EISA Baseline", VLOOKUP(J27, 'Fixture Identities'!$A$6:$B$1023, 2, FALSE)="Linear Fluorescent", VLOOKUP(J27, 'Fixture Identities'!$A$6:$B$1023, 2, FALSE)="U-Tube Fluorescent"), "Y", "N")))</f>
        <v/>
      </c>
      <c r="BU27" s="184" t="str">
        <f>IFERROR(IF(B27="", "", IF(VLOOKUP(J27, 'Fixture Identities'!$A$6:$B$1023, 2, FALSE)="Exit Sign", "Y", "N")), "N")</f>
        <v/>
      </c>
      <c r="BV27" s="184" t="str">
        <f>IF(V27="Exit Signs", IF(VLOOKUP(J27, 'Fixture Identities'!$A$6:$B$1023, 2, FALSE)="Exit Sign", "N", "Y"), "")</f>
        <v/>
      </c>
      <c r="BW27" s="184" t="str">
        <f t="array" ref="BW27">IFERROR(IF(B27="", "", IF(B27="New Construction", "N", INDEX('Lookup Tables'!$AH$6:$AU$102, MATCH(1, ('Lookup Tables'!$AH$6:$AH$102='Lighting Inventory'!V27)*('Lookup Tables'!$AI$6:$AI$102='Lighting Inventory'!W27), 0), 14))), "N")</f>
        <v/>
      </c>
      <c r="BX27" s="598" t="str">
        <f t="shared" si="93"/>
        <v/>
      </c>
      <c r="BY27" s="598" t="str">
        <f t="shared" si="94"/>
        <v/>
      </c>
      <c r="BZ27" s="598" t="str">
        <f t="shared" si="95"/>
        <v/>
      </c>
      <c r="CA27" s="598" t="str">
        <f t="shared" si="101"/>
        <v/>
      </c>
      <c r="CB27" s="269" t="str">
        <f t="shared" si="102"/>
        <v/>
      </c>
      <c r="CC27" s="517" t="str">
        <f t="shared" si="96"/>
        <v/>
      </c>
      <c r="CD27" s="565" t="str">
        <f t="shared" si="11"/>
        <v/>
      </c>
      <c r="CE27" s="368">
        <v>0</v>
      </c>
      <c r="CF27" s="368" t="str" cm="1">
        <f t="array" ref="CF27">IFERROR(IF(V27="Custom", "$0.1 per kWh", IF(B27="New Construction", CONCATENATE("$",INDEX('Lookup Tables'!$AH$114:$AN$154,MATCH(1,('Lookup Tables'!$AH$114:$AH$154='Lighting Inventory'!V27)*('Lookup Tables'!$AI$114:$AI$154='Lighting Inventory'!W27),FALSE),6)," ",INDEX('Lookup Tables'!$AH$114:$AN$154,MATCH(1,('Lookup Tables'!$AH$114:$AH$154='Lighting Inventory'!V27)*('Lookup Tables'!$AI$114:$AI$154='Lighting Inventory'!W27),FALSE),7)), IF(AND(BU27="N", V27="Exit Signs"), "$0.025 per kWh", CONCATENATE("$",INDEX('Lookup Tables'!$AH$6:$AN$102,MATCH(1,('Lookup Tables'!$AH$6:$AH$102='Lighting Inventory'!V27)*('Lookup Tables'!$AI$6:$AI$102='Lighting Inventory'!W27),FALSE),6)," ",INDEX('Lookup Tables'!$AH$6:$AN$102,MATCH(1,('Lookup Tables'!$AH$6:$AH$102='Lighting Inventory'!V27)*('Lookup Tables'!$AI$6:$AI$102='Lighting Inventory'!W27),FALSE),7))))), "")</f>
        <v/>
      </c>
      <c r="CG27" s="366"/>
      <c r="CH27" s="248" t="str">
        <f t="shared" si="170"/>
        <v/>
      </c>
      <c r="CI27" s="248" t="str">
        <f t="shared" si="171"/>
        <v>Select_IE</v>
      </c>
      <c r="CJ27" s="248" t="str">
        <f t="shared" si="172"/>
        <v/>
      </c>
      <c r="CK27" s="248" t="str">
        <f t="shared" si="173"/>
        <v/>
      </c>
      <c r="CL27" s="248" t="str">
        <f t="shared" si="174"/>
        <v/>
      </c>
      <c r="CM27" s="248" t="str">
        <f>IFERROR(IF(B27="", "", IF(B27="New Construction", VLOOKUP(V27, 'Lookup Tables'!$AF$114:$AG$120, 2, FALSE), VLOOKUP(V27, 'Lookup Tables'!$AD$6:$AE$25, 2, FALSE))), "")</f>
        <v/>
      </c>
      <c r="CN27" s="248" t="str">
        <f t="shared" si="175"/>
        <v/>
      </c>
      <c r="CO27" s="248" t="str">
        <f t="shared" si="176"/>
        <v/>
      </c>
      <c r="CP27" s="592" t="str">
        <f t="shared" si="177"/>
        <v/>
      </c>
      <c r="CQ27" s="248" t="str">
        <f t="shared" si="97"/>
        <v/>
      </c>
      <c r="CR27" s="100"/>
      <c r="CS27" s="250" t="str">
        <f t="shared" si="178"/>
        <v/>
      </c>
      <c r="CT27" s="250" t="str">
        <f t="shared" si="179"/>
        <v/>
      </c>
      <c r="CU27" s="250" t="str">
        <f t="shared" si="180"/>
        <v/>
      </c>
      <c r="CV27" s="250" t="str">
        <f t="shared" si="181"/>
        <v/>
      </c>
      <c r="CW27" s="250" t="str">
        <f t="shared" si="182"/>
        <v/>
      </c>
      <c r="CX27" s="250" t="str">
        <f t="shared" si="183"/>
        <v/>
      </c>
      <c r="CY27" s="250" t="str">
        <f t="shared" si="184"/>
        <v/>
      </c>
      <c r="CZ27" s="250" t="str">
        <f t="shared" si="185"/>
        <v/>
      </c>
      <c r="DA27" s="250" t="str">
        <f t="shared" si="186"/>
        <v/>
      </c>
      <c r="DB27" s="250" t="str">
        <f t="shared" si="187"/>
        <v/>
      </c>
      <c r="DC27" s="250" t="str">
        <f t="shared" si="188"/>
        <v/>
      </c>
      <c r="DD27" s="250" t="str">
        <f t="shared" si="189"/>
        <v/>
      </c>
      <c r="DE27" s="250" t="str">
        <f t="shared" si="190"/>
        <v/>
      </c>
      <c r="DF27" s="250" t="str">
        <f t="shared" si="191"/>
        <v/>
      </c>
      <c r="DG27" s="250" t="str">
        <f t="shared" si="192"/>
        <v/>
      </c>
      <c r="DH27" s="250" t="str">
        <f t="shared" si="193"/>
        <v/>
      </c>
      <c r="DI27" s="250" t="str">
        <f t="shared" si="194"/>
        <v/>
      </c>
      <c r="DJ27" s="250" t="str">
        <f t="shared" si="195"/>
        <v/>
      </c>
      <c r="DK27" s="250" t="str">
        <f t="shared" si="196"/>
        <v/>
      </c>
      <c r="DL27" s="250" t="str">
        <f t="shared" si="197"/>
        <v/>
      </c>
      <c r="DM27" s="250" t="str">
        <f>IF(CD27="ERROR", "ERROR", IF(AND(OR(Y27=$DM$6, Y27='Lookup Tables'!$AD$21, Y27='Lookup Tables'!$AD$22), E27="Interior"), BJ27, ""))</f>
        <v/>
      </c>
      <c r="DN27" s="250" t="str">
        <f>IF(CD27="ERROR", "ERROR", IF(AND(OR(Y27=$DM$6, Y27='Lookup Tables'!$AD$21, Y27='Lookup Tables'!$AD$22), E27="Exterior"), BJ27, ""))</f>
        <v/>
      </c>
      <c r="DO27" s="100"/>
      <c r="DP27" s="250" t="str">
        <f t="shared" si="198"/>
        <v/>
      </c>
      <c r="DQ27" s="250" t="str">
        <f t="shared" si="199"/>
        <v/>
      </c>
      <c r="DR27" s="250" t="str">
        <f t="shared" si="200"/>
        <v/>
      </c>
      <c r="DS27" s="250" t="str">
        <f t="shared" si="201"/>
        <v/>
      </c>
      <c r="DT27" s="250" t="str">
        <f t="shared" si="202"/>
        <v/>
      </c>
      <c r="DU27" s="250" t="str">
        <f t="shared" si="203"/>
        <v/>
      </c>
      <c r="DV27" s="250" t="str">
        <f t="shared" si="204"/>
        <v/>
      </c>
      <c r="DW27" s="250" t="str">
        <f t="shared" si="205"/>
        <v/>
      </c>
      <c r="DX27" s="250" t="str">
        <f t="shared" si="206"/>
        <v/>
      </c>
      <c r="DY27" s="250" t="str">
        <f t="shared" si="207"/>
        <v/>
      </c>
      <c r="DZ27" s="250" t="str">
        <f t="shared" si="208"/>
        <v/>
      </c>
      <c r="EA27" s="250" t="str">
        <f t="shared" si="209"/>
        <v/>
      </c>
      <c r="EB27" s="250" t="str">
        <f t="shared" si="210"/>
        <v/>
      </c>
      <c r="EC27" s="250" t="str">
        <f t="shared" si="211"/>
        <v/>
      </c>
      <c r="ED27" s="250" t="str">
        <f t="shared" si="212"/>
        <v/>
      </c>
      <c r="EE27" s="250" t="str">
        <f t="shared" si="213"/>
        <v/>
      </c>
      <c r="EF27" s="250" t="str">
        <f t="shared" si="214"/>
        <v/>
      </c>
      <c r="EG27" s="250" t="str">
        <f t="shared" si="215"/>
        <v/>
      </c>
      <c r="EH27" s="250" t="str">
        <f>IF(CD27="ERROR", "ERROR", IF(AND(OR($EH$6=Y27, Y27='Lookup Tables'!$AD$21, Y27='Lookup Tables'!$AD$22),E27="Interior"), SUM(BP27:BP27), ""))</f>
        <v/>
      </c>
      <c r="EI27" s="250" t="str">
        <f>IF(CD27="ERROR", "ERROR", IF(AND(OR($EH$6=Y27, Y27='Lookup Tables'!$AD$21, Y27='Lookup Tables'!$AD$22),E27="Exterior"), SUM(BP27:BP27), ""))</f>
        <v/>
      </c>
      <c r="EJ27" s="109"/>
      <c r="EK27" s="485" t="str">
        <f t="shared" si="58"/>
        <v/>
      </c>
      <c r="EL27" s="252" t="str">
        <f t="shared" si="216"/>
        <v/>
      </c>
      <c r="EM27" s="252" t="str">
        <f t="shared" si="217"/>
        <v/>
      </c>
      <c r="EN27" s="252" t="str">
        <f t="shared" si="218"/>
        <v/>
      </c>
      <c r="EO27" s="252" t="str">
        <f t="shared" si="219"/>
        <v/>
      </c>
      <c r="EP27" s="252" t="str">
        <f t="shared" si="220"/>
        <v/>
      </c>
      <c r="EQ27" s="252" t="str">
        <f t="shared" si="221"/>
        <v/>
      </c>
      <c r="ER27" s="252" t="str">
        <f t="shared" si="222"/>
        <v/>
      </c>
      <c r="ES27" s="252" t="str">
        <f t="shared" si="223"/>
        <v/>
      </c>
      <c r="ET27" s="252" t="str">
        <f t="shared" si="224"/>
        <v/>
      </c>
      <c r="EU27" s="252" t="str">
        <f t="shared" si="225"/>
        <v/>
      </c>
      <c r="EV27" s="252" t="str">
        <f t="shared" si="226"/>
        <v/>
      </c>
      <c r="EW27" s="252" t="str">
        <f t="shared" si="227"/>
        <v/>
      </c>
      <c r="EX27" s="252" t="str">
        <f t="shared" si="228"/>
        <v/>
      </c>
      <c r="EY27" s="252" t="str">
        <f t="shared" si="229"/>
        <v/>
      </c>
      <c r="EZ27" s="252" t="str">
        <f t="shared" si="230"/>
        <v/>
      </c>
      <c r="FA27" s="252" t="str">
        <f t="shared" si="231"/>
        <v/>
      </c>
      <c r="FB27" s="252" t="str">
        <f t="shared" si="232"/>
        <v/>
      </c>
      <c r="FC27" s="252" t="str">
        <f>IF(CD27="ERROR", "ERROR", IF(OR(V27="No Change", V27="Not DLC or Energy Star"), "", IF(AND(OR($FC$6=Y27,Y27='Lookup Tables'!$AD$21, Y27='Lookup Tables'!$AD$22),E27="Interior"), S27, "")))</f>
        <v/>
      </c>
      <c r="FD27" s="252" t="str">
        <f t="shared" si="233"/>
        <v/>
      </c>
      <c r="FE27" s="101"/>
      <c r="FF27" s="579" t="str" cm="1">
        <f t="array" ref="FF27">IFERROR(IF(OR(BQ27&lt;=0,AQ27&lt;20,AND(V27="Exit Signs",AN27&gt;0)),"",IF(AND(AQ27&gt;=20,AN27='Lookup Tables'!$R$101),'Lookup Tables'!$U$101*BQ27,AP27*LOOKUP(2,1/((AN27='Lookup Tables'!$R$91:$R$111)*(AQ27&gt;='Lookup Tables'!$S$91:$S$111)*(AQ27&lt;='Lookup Tables'!$T$91:$T$111)),'Lookup Tables'!$U$91:$U$111))),"")</f>
        <v/>
      </c>
      <c r="FG27" s="579"/>
      <c r="FH27" s="579"/>
      <c r="FI27" s="253" t="str">
        <f>IFERROR(ROUND(IF(CD27="ERROR", "ERROR", IF(AND($FI$7=X27,E27="Interior"),VLOOKUP(W27, 'Lookup Tables'!$AI$6:$AM$102, 5, FALSE)*BP27, "")), 2), "")</f>
        <v/>
      </c>
      <c r="FJ27" s="253" t="str">
        <f>IFERROR(ROUND(IF(CD27="ERROR", "ERROR", IF(AND($FI$7=X27,E27="Exterior"),VLOOKUP(W27, 'Lookup Tables'!$AI$6:$AM$102, 5, FALSE)*BP27, "")), 2), "")</f>
        <v/>
      </c>
      <c r="FK27" s="253" t="str">
        <f>IFERROR(ROUND(IF(CD27="ERROR", "ERROR", IF(AND($FK$7=X27,E27="Interior"),VLOOKUP(W27, 'Lookup Tables'!$AI$6:$AM$102, 5, FALSE)*BP27, "")), 2), "")</f>
        <v/>
      </c>
      <c r="FL27" s="253" t="str">
        <f>IFERROR(ROUND(IF(CD27="ERROR", "ERROR", IF(AND($FK$7=X27,E27="Exterior"),VLOOKUP(W27, 'Lookup Tables'!$AI$6:$AM$102, 5, FALSE)*BP27, "")), 2), "")</f>
        <v/>
      </c>
      <c r="FM27" s="253" t="str">
        <f>IFERROR(ROUND(IF(CD27="ERROR", "ERROR", IF(AND($FM$6=Y27,E27="Interior"), IF(GB27=0, VLOOKUP(W27, 'Lookup Tables'!$AI$6:$AM$102, 5, FALSE)*BP27, IF(VLOOKUP(W27, 'Lookup Tables'!$AI$6:$AM$102, 5, FALSE)*BP27&gt;GB27*'Lighting Inventory'!S27, GB27*'Lighting Inventory'!S27,VLOOKUP(W27, 'Lookup Tables'!$AI$6:$AM$102, 5, FALSE)*BP27)), "")), 2), "")</f>
        <v/>
      </c>
      <c r="FN27" s="253" t="str">
        <f>IFERROR(ROUND(IF(CD27="ERROR", "ERROR", IF(AND($FM$6=Y27,E27="Exterior"), IF(GB27=0, VLOOKUP(W27, 'Lookup Tables'!$AI$6:$AM$102, 5, FALSE)*BP27, IF(VLOOKUP(W27, 'Lookup Tables'!$AI$6:$AM$102, 5, FALSE)*BP27&gt;GB27*'Lighting Inventory'!S27, GB27*'Lighting Inventory'!S27,VLOOKUP(W27, 'Lookup Tables'!$AI$6:$AM$102, 5, FALSE)*BP27)), "")), 2), "")</f>
        <v/>
      </c>
      <c r="FO27" s="253" t="str">
        <f>IFERROR(ROUND(IF(CD27="ERROR", "ERROR", IF(AND($FO$6=Y27,E27="Interior"),VLOOKUP(W27, 'Lookup Tables'!$AI$6:$AM$102, 5, FALSE)*'Lighting Inventory'!AI27, "")), 2), "")</f>
        <v/>
      </c>
      <c r="FP27" s="253" t="str">
        <f>IFERROR(ROUND(IF(CD27="ERROR", "ERROR", IF(AND($FO$6=Y27,E27="Exterior"),VLOOKUP(W27, 'Lookup Tables'!$AI$6:$AM$102, 5, FALSE)*'Lighting Inventory'!AI27, "")), 2), "")</f>
        <v/>
      </c>
      <c r="FQ27" s="253" t="str">
        <f>IFERROR(ROUND(IF(CD27="ERROR", "ERROR", IF(AND($FQ$6=Y27,E27="Interior", BU27="Y"), VLOOKUP('Lighting Inventory'!W27, 'Lookup Tables'!$AI$6:$AM$102, 5, FALSE)*'Lighting Inventory'!S27, IF(AND($FQ$7=Y27,E27="Interior", BU27="N"), 0.025*CD27, ""))), 2), "")</f>
        <v/>
      </c>
      <c r="FR27" s="253" t="str">
        <f>IFERROR(ROUND(IF(CD27="ERROR", "ERROR", IF(AND($FQ$6=Y27,E27="Exterior"), VLOOKUP('Lighting Inventory'!W27, 'Lookup Tables'!$AI$6:$AM$102, 5, FALSE)*'Lighting Inventory'!S27, "")), 2), "")</f>
        <v/>
      </c>
      <c r="FS27" s="253" t="str">
        <f>IFERROR(ROUND(IF(CD27="ERROR", "ERROR", IF(AND($FS$6=Y27,E27="Exterior"), IF(GB27=0, VLOOKUP(W27, 'Lookup Tables'!$AI$6:$AM$102, 5, FALSE)*BP27, IF(VLOOKUP(W27, 'Lookup Tables'!$AI$6:$AM$102, 5, FALSE)*BP27&gt;GB27*'Lighting Inventory'!S27, GB27*'Lighting Inventory'!S27,VLOOKUP(W27, 'Lookup Tables'!$AI$6:$AM$102, 5, FALSE)*BP27)), "")), 2), "")</f>
        <v/>
      </c>
      <c r="FT27" s="253" t="str">
        <f>IFERROR(ROUND(IF(CD27="ERROR", "ERROR", IF(AND($FT$6=Y27,E27="Interior"), IF(GB27=0, VLOOKUP(W27, 'Lookup Tables'!$AI$6:$AM$102, 5, FALSE)*BP27, IF(VLOOKUP(W27, 'Lookup Tables'!$AI$6:$AM$102, 5, FALSE)*BP27&gt;GB27*'Lighting Inventory'!S27, GB27*'Lighting Inventory'!S27,VLOOKUP(W27, 'Lookup Tables'!$AI$6:$AM$102, 5, FALSE)*BP27)), "")), 2), "")</f>
        <v/>
      </c>
      <c r="FU27" s="253" t="str">
        <f>IFERROR(ROUND(IF(CD27="ERROR", "ERROR", IF(AND(Y27=$FU$6, E27="Interior"), IF(BS27="N", 'Lookup Tables'!$AM$101*BP27, VLOOKUP(W27, 'Lookup Tables'!$AI$6:$AM$102, 5, FALSE)*S27*AD27), "")), 2), "")</f>
        <v/>
      </c>
      <c r="FV27" s="253" t="str">
        <f>IFERROR(ROUND(IF(CD27="ERROR", "ERROR", IF(AND(Y27=$FU$6, E27="Exterior"), IF(BS27="N", 'Lookup Tables'!$AM$101*BP27, VLOOKUP(W27, 'Lookup Tables'!$AI$6:$AM$102, 5, FALSE)*S27*AD27), "")), 2), "")</f>
        <v/>
      </c>
      <c r="FW27" s="253" t="str">
        <f>IFERROR(ROUND(IF(CD27="ERROR", "ERROR", IF($FW$6=Y27, IF(BS27="N", 'Lookup Tables'!$AM$101*BP27, MIN((VLOOKUP(W27, 'Lookup Tables'!$AI$6:$AM$102, 5, FALSE)*BP27),GB27*AJ27)), "")), 2), "")</f>
        <v/>
      </c>
      <c r="FX27" s="253" t="str">
        <f>IFERROR(ROUND(IF(CD27="ERROR", "ERROR", IF(AND($FX$6=Y27, E27="Interior"), IF(VLOOKUP(W27, 'Lookup Tables'!$AI$6:$AM$102, 5, FALSE)*BP27&gt;'Lookup Tables'!$AQ$97*'Lighting Inventory'!S27,'Lighting Inventory'!S27*'Lookup Tables'!$AQ$97,VLOOKUP(W27, 'Lookup Tables'!$AI$6:$AM$102, 5, FALSE)*BP27), "")), 2), "")</f>
        <v/>
      </c>
      <c r="FY27" s="253" t="str">
        <f>IFERROR(ROUND(IF(CD27="ERROR", "ERROR", IF(AND($FX$6=Y27, E27="Exterior"), IF(VLOOKUP(W27, 'Lookup Tables'!$AI$6:$AM$102, 5, FALSE)*BP27&gt;'Lookup Tables'!$AQ$97*'Lighting Inventory'!S27,'Lighting Inventory'!S27*'Lookup Tables'!$AQ$97,VLOOKUP(W27, 'Lookup Tables'!$AI$6:$AM$102, 5, FALSE)*BP27), "")), 2), "")</f>
        <v/>
      </c>
      <c r="FZ27" s="253" t="str">
        <f>IFERROR(ROUND(IF(CD27="ERROR", "ERROR", IF(AND($FZ$6=Y27, E27="Interior"), IF(AND(OR(W27="Refrigerated Case Lighting with Doors", W27="Freezer Case Lighting"),Y27="Custom - Process Improvement"),CD27*'Lookup Tables'!$AM$101, IF(B27="Retrofit", IF(VLOOKUP(IF(V27="Custom", V27, W27), 'Lookup Tables'!$AI$6:$AM$102, 5, FALSE)*BP27&gt;GE27, GE27, VLOOKUP(IF(V27="Custom", V27, W27), 'Lookup Tables'!$AI$6:$AM$102, 5, FALSE)*BP27), IF(VLOOKUP(IF(V27="Custom", V27, W27), 'Lookup Tables'!$AI$114:$AM$154, 5, FALSE)*BP27&gt;GE27, GE27, VLOOKUP(IF(V27="Custom", V27, W27), 'Lookup Tables'!$AI$114:$AM$154, 5, FALSE)*BP27))), "")), 2),"")</f>
        <v/>
      </c>
      <c r="GA27" s="253" t="str">
        <f>IFERROR(ROUND(IF(CD27="ERROR", "ERROR", IF(AND($FZ$6=Y27, E27="Exterior"), IF(B27="Retrofit", IF(VLOOKUP(IF(V27="Custom", V27, W27), 'Lookup Tables'!$AI$6:$AM$102, 5, FALSE)*BP27&gt;GE27, GE27, VLOOKUP(IF(V27="Custom", V27, W27), 'Lookup Tables'!$AI$6:$AM$102, 5, FALSE)*BP27), IF(VLOOKUP(IF(V27="Custom", V27, W27), 'Lookup Tables'!$AI$114:$AM$154, 5, FALSE)*BP27&gt;GE27, GE27, VLOOKUP(IF(V27="Custom", V27, W27), 'Lookup Tables'!$AI$114:$AM$154, 5, FALSE)*BP27)), "")), 2),"")</f>
        <v/>
      </c>
      <c r="GB27" s="254" t="str">
        <f t="array" ref="GB27">IF(B27="","",IF(OR(V27="Custom",V27="No Change"),0,IF(B27="Retrofit", INDEX('Lookup Tables'!$AH$6:$AQ$102,MATCH(1,('Lookup Tables'!$AH$6:$AH$102='Lighting Inventory'!V27)*('Lookup Tables'!$AI$6:$AI$102='Lighting Inventory'!W27),FALSE),10),INDEX('Lookup Tables'!$AH$114:$AQ$154,MATCH(1,('Lookup Tables'!$AH$114:$AH$154='Lighting Inventory'!V27)*('Lookup Tables'!$AI$114:$AI$154='Lighting Inventory'!W27),FALSE),10))))</f>
        <v/>
      </c>
      <c r="GC27" s="255" t="str">
        <f t="shared" si="77"/>
        <v/>
      </c>
      <c r="GD27" s="250" t="str">
        <f t="shared" si="78"/>
        <v/>
      </c>
      <c r="GE27" s="253" t="str">
        <f>IFERROR(IF(AND(AF27="", 'General Information'!$F$18="No"),"", IF(AF27="", ((GD27/$CD$266)*$CF$266)*0.5, AF27*S27*0.5)), "")</f>
        <v/>
      </c>
      <c r="GF27" s="255" t="str">
        <f>IF(AND('General Information'!$F$19="", 'General Information'!$F$18="Yes",AF27="",BW27="Y"), "Y", "N")</f>
        <v>N</v>
      </c>
      <c r="GG27" s="255" t="s">
        <v>2946</v>
      </c>
      <c r="GH27" s="255" t="str">
        <f>IFERROR(IF(B27="", "", VLOOKUP(J27, 'Fixture Identities'!$A$6:$N$908, 14, FALSE)), "")</f>
        <v/>
      </c>
      <c r="GI27" s="389" t="str">
        <f>IF(OR(B27="", V27="", W27=""), "", IF(AND(OR(M27='Lookup Tables'!$R$18, M27='Lookup Tables'!$R$19, M27='Lookup Tables'!$R$20, M27='Lookup Tables'!$R$21, M27='Lookup Tables'!$R$22), OR(AN27='Lookup Tables'!$R$17, AN27='Lookup Tables'!$R$17, AN27="")), "Y", "N"))</f>
        <v/>
      </c>
      <c r="GJ27" s="255" t="str">
        <f t="shared" si="79"/>
        <v/>
      </c>
      <c r="GK27" s="255" t="str">
        <f t="shared" si="80"/>
        <v/>
      </c>
      <c r="GL27" s="255" t="str">
        <f t="shared" si="81"/>
        <v/>
      </c>
      <c r="GM27" s="255" t="str">
        <f>IF(AN27="", "", IF(AND(IF(ISNA(VLOOKUP(AN27,'Lookup Tables'!$R$18:$R$22,1,FALSE)), "N", "Y")="Y", E27="Exterior"), "Y", "N"))</f>
        <v/>
      </c>
      <c r="GN27" s="395"/>
      <c r="GO27" s="428">
        <f t="shared" si="98"/>
        <v>0</v>
      </c>
      <c r="GP27" s="428">
        <f t="shared" si="167"/>
        <v>0</v>
      </c>
      <c r="GQ27" s="428">
        <f t="shared" si="99"/>
        <v>0</v>
      </c>
      <c r="GR27" s="428">
        <f t="shared" si="100"/>
        <v>0</v>
      </c>
    </row>
    <row r="28" spans="1:200" s="103" customFormat="1" ht="13.5" customHeight="1" x14ac:dyDescent="0.2">
      <c r="A28" s="272">
        <v>18</v>
      </c>
      <c r="B28" s="110"/>
      <c r="C28" s="110"/>
      <c r="D28" s="110"/>
      <c r="E28" s="110"/>
      <c r="F28" s="110"/>
      <c r="G28" s="110"/>
      <c r="H28" s="110"/>
      <c r="I28" s="29"/>
      <c r="J28" s="29"/>
      <c r="K28" s="272" t="str">
        <f>IFERROR(IF(OR(VLOOKUP(J28, 'Fixture Identities'!$A$6:$L$1023, 3, FALSE)="T12 Linear Fluorescent", VLOOKUP(J28, 'Fixture Identities'!$A$6:$L$1023, 3, FALSE)="T12 U-Tube Fluorescent"), VLOOKUP(VLOOKUP(J28, 'Fixture Identities'!$A$6:$L$1023, 11, FALSE), 'Fixture Identities'!$A$6:$L$1023, 10, FALSE), VLOOKUP(J28, 'Fixture Identities'!$A$6:$L$1023, 10, FALSE)), "")</f>
        <v/>
      </c>
      <c r="L28" s="270" t="str">
        <f t="shared" si="169"/>
        <v/>
      </c>
      <c r="M28" s="110"/>
      <c r="N28" s="110"/>
      <c r="O28" s="110"/>
      <c r="P28" s="272" t="str">
        <f>IFERROR(IF(OR(B28="Retrofit",B28=""),"",IF('Lighting Inventory'!E28="Exterior",VLOOKUP('Lighting Inventory'!N28,'Lookup Tables'!$B$83:$F$103,5,FALSE),IF(N28="Other - Please Estimate EFLH and CFs","Contact Prog. Rep.","ft^2"))), "")</f>
        <v/>
      </c>
      <c r="Q28" s="270" t="str">
        <f>IFERROR(IF(AND(B28="New Construction",E28="Interior",$F$5="Space-by-Space"),VLOOKUP('Lighting Inventory'!N28,'Lookup Tables'!$N$6:$O$97,2,FALSE),IF(AND(B28="New Construction",E28="Exterior"),VLOOKUP(N28,'Lookup Tables'!$B$83:$F$103,2,FALSE),IF(AND(B28="New Construction",'Lighting Inventory'!E28="Interior", $F$5="Building Area"),VLOOKUP(F28,'Lookup Tables'!$A$6:$J$59,10,FALSE),""))), "")</f>
        <v/>
      </c>
      <c r="R28" s="270" t="str">
        <f>IFERROR(IF(P28="Contact Prog. Rep.", "ERROR", IF(OR(B28="",B28="Retrofit"),"",IF(N28="Automated teller machines", ('Lookup Tables'!$A$82:$E$100+('Lighting Inventory'!O28-1)*'Lookup Tables'!$A$82:$E$100)/1000, (Q28*O28)/1000))), "")</f>
        <v/>
      </c>
      <c r="S28" s="595"/>
      <c r="T28" s="105" t="str">
        <f t="shared" si="83"/>
        <v/>
      </c>
      <c r="U28" s="105" t="str">
        <f>IF(S28="","",COUNT($S$11:S28))</f>
        <v/>
      </c>
      <c r="V28" s="111"/>
      <c r="W28" s="112"/>
      <c r="X28" s="105" t="str">
        <f t="shared" si="84"/>
        <v/>
      </c>
      <c r="Y28" s="105" t="str">
        <f t="array" ref="Y28">IF(AND(OR(W28="Freezer Case Lighting", W28="Refrigerated Case Lighting with Doors"), 'General Information'!$X$18="LCI"),'Lookup Tables'!$Y$34, IF(V28="Custom", VLOOKUP(W28, 'Fixture Identities'!$A$974:$M$1023, 13, FALSE), IF(V28="No Change",'Lookup Tables'!$Y$29,IF(OR(V28="",W28=""),"",IF(AND(S28=0,S28&lt;I28,B28="Retrofit"),'Lookup Tables'!$Y$25, IF(B28="Retrofit", INDEX('Lookup Tables'!$AH$6:$AP$102, MATCH(1, ('Lookup Tables'!$AH$6:$AH$102=V28)*('Lookup Tables'!$AI$6:$AI$102=W28), 0), IF('Lighting Inventory'!E28="Interior", 4, 5)), INDEX('Lookup Tables'!$AH$114:$AP$154, MATCH(1, ('Lookup Tables'!$AH$114:$AH$154=V28)*('Lookup Tables'!$AI$114:$AI$154=W28), 0), IF('Lighting Inventory'!E28="Interior", 4, 5))))))))</f>
        <v/>
      </c>
      <c r="Z28" s="105" t="str">
        <f>IFERROR(INDEX('Lookup Tables'!$AH$158:$AH$172,MATCH('Lighting Inventory'!Y28,'Lookup Tables'!$AI$158:$AI$172,0)),"")</f>
        <v/>
      </c>
      <c r="AA28" s="105" t="str">
        <f>IF(AP28&gt;0,INDEX('Lookup Tables'!$AK$158:$AK$172,MATCH('Lighting Inventory'!Y28,'Lookup Tables'!$AI$158:$AI$172,0)),'Lighting Inventory'!Y28)</f>
        <v/>
      </c>
      <c r="AB28" s="105" t="str">
        <f t="array" ref="AB28">IF(V28="Custom", "Custom", IF(V28="", "", IF(V28="Not DLC or Energy Star", "General", IF(B28="New Construction", INDEX('Lookup Tables'!$AH$114:$AP$154,MATCH(1,('Lookup Tables'!$AH$114:$AH$154='Lighting Inventory'!V28)*('Lookup Tables'!$AI$114:$AI$154='Lighting Inventory'!W28),FALSE),8), INDEX('Lookup Tables'!$AH$6:$AP$102,MATCH(1,('Lookup Tables'!$AH$6:$AH$102='Lighting Inventory'!V28)*('Lookup Tables'!$AI$6:$AI$102='Lighting Inventory'!W28),FALSE),8)))))</f>
        <v/>
      </c>
      <c r="AC28" s="272" t="str">
        <f>IF(W28="","",IF(V28="Custom",CONCATENATE("$",'Lookup Tables'!$AM$101," ",'Lookup Tables'!$AN$101),CONCATENATE("$",INDEX('Lookup Tables'!$AM$6:$AM$102,MATCH('Lighting Inventory'!W28,'Lookup Tables'!$AI$6:$AI$102,0))," ",INDEX('Lookup Tables'!$AN$6:$AN$102,MATCH('Lighting Inventory'!W28,'Lookup Tables'!$AI$6:$AI$102,0)))))</f>
        <v/>
      </c>
      <c r="AD28" s="72"/>
      <c r="AE28" s="29"/>
      <c r="AF28" s="379"/>
      <c r="AG28" s="370" t="str">
        <f t="shared" si="2"/>
        <v/>
      </c>
      <c r="AH28" s="370" t="str">
        <f t="shared" si="85"/>
        <v/>
      </c>
      <c r="AI28" s="29"/>
      <c r="AJ28" s="29"/>
      <c r="AK28" s="110"/>
      <c r="AL28" s="375" t="str">
        <f>IF(OR(B28="", V28="", W28=""), "", IF(V28="No Change", K28, IF(V28="Remove Fixture", 0, IF(V28="Custom",VLOOKUP(W28,'Fixture Identities'!$A$6:$K$1023,10,FALSE),IF(AE28="", "← ENTER POST WATTS", 'Lighting Inventory'!AE28)))))</f>
        <v/>
      </c>
      <c r="AM28" s="376" t="str">
        <f t="shared" si="3"/>
        <v/>
      </c>
      <c r="AN28" s="29"/>
      <c r="AO28" s="671"/>
      <c r="AP28" s="29"/>
      <c r="AQ28" s="29"/>
      <c r="AR28" s="29"/>
      <c r="AS28" s="272" t="str">
        <f t="shared" si="4"/>
        <v/>
      </c>
      <c r="AT28" s="270" t="str">
        <f t="shared" si="234"/>
        <v/>
      </c>
      <c r="AU28" s="88" t="str">
        <f t="shared" si="235"/>
        <v/>
      </c>
      <c r="AV28" s="29"/>
      <c r="AW28" s="73"/>
      <c r="AX28" s="271" t="str">
        <f>IF(AND(AV28="Applicant",OR(AW28="", AW28="Use Default Facility Hours")),"← Choose Schedule",IF(F28="","",IF(W28="LED Exit Signs",8760,IF(OR(AV28="Prescribed",AV28=""),VLOOKUP(F28,'Lookup Tables'!$A$6:$G$59,IF(AB28="General", 6, 3),FALSE),VLOOKUP(AW28,'Lookup Tables'!$S$36:$U$43,2,FALSE)))))</f>
        <v/>
      </c>
      <c r="AY28" s="88" t="str">
        <f t="shared" si="7"/>
        <v/>
      </c>
      <c r="AZ28" s="270" t="str">
        <f>IFERROR(IF(F28="", "", IF(W28="LED Exit Signs", 1, IF(AV28="Applicant",VLOOKUP(AW28, 'Lookup Tables'!$S$36:$U$43,3, FALSE), VLOOKUP('Lighting Inventory'!F28, 'Lookup Tables'!$A$6:$H$59, IF('Lighting Inventory'!AB28="General",7,4), FALSE)))), "")</f>
        <v/>
      </c>
      <c r="BA28" s="522" t="str">
        <f>IFERROR(IF(F28="", "", IF(W28="LED Exit Signs", 1, VLOOKUP('Lighting Inventory'!F28, 'Lookup Tables'!$A$6:$H$59, IF('Lighting Inventory'!AB28="General",8,5), FALSE))), "")</f>
        <v/>
      </c>
      <c r="BB28" s="270" t="str">
        <f>IF(G28="", "", IF(E28="Exterior", 0, IF('Lighting Inventory'!G28="Air Conditioned", VLOOKUP(H28, 'Lookup Tables'!$R$6:$T$13, 2, FALSE), VLOOKUP('Lighting Inventory'!G28, 'Lookup Tables'!$R$6:$T$13, 2, FALSE))))</f>
        <v/>
      </c>
      <c r="BC28" s="522" t="str">
        <f>IF(G28="", "", IF(E28="Exterior", 0, IF('Lighting Inventory'!G28="Air Conditioned", VLOOKUP(H28, 'Lookup Tables'!$R$6:$T$13, 3, FALSE), VLOOKUP('Lighting Inventory'!G28, 'Lookup Tables'!$R$6:$T$13, 3, FALSE))))</f>
        <v/>
      </c>
      <c r="BD28" s="270" t="str">
        <f>IF(G28="", "", IF(E28="Exterior", 0, IF('Lighting Inventory'!G28="Air Conditioned", VLOOKUP(H28, 'Lookup Tables'!$R$6:$U$13, 4, FALSE), VLOOKUP('Lighting Inventory'!G28, 'Lookup Tables'!$R$6:$U$13, 4, FALSE))))</f>
        <v/>
      </c>
      <c r="BE28" s="270" t="str">
        <f>IFERROR(IF(B28="", "",  IF(B28="New Construction", VLOOKUP(F28, 'Lookup Tables'!$A$6:$K$59, 11, FALSE),IF(OR(AN28="", AN28="Light Switch"), 0, IF(OR(M28="",M28="None",V28= "LED Exit Signs"),0,_xlfn.XLOOKUP(M28,'Lookup Tables'!$R$91:$R$101,'Lookup Tables'!$V$91:$V$101))))), "")</f>
        <v/>
      </c>
      <c r="BF28" s="270" t="str">
        <f>IF(AND(OR(AN28="Light Switch",AN28=""),B28="New Construction"), VLOOKUP(F28, 'Lookup Tables'!$A$6:$K$59, 11, FALSE),IF(AN28="","",IF(B28="","",IF(OR(AN28="None",AN28="",V28="LED Exit Signs",AN28="Exterior Controls Not Eligible"),0,_xlfn.XLOOKUP(AN28,'Lookup Tables'!$R$91:$R$101,'Lookup Tables'!$V$91:$V$101)))))</f>
        <v/>
      </c>
      <c r="BG28" s="88" t="str">
        <f t="shared" si="86"/>
        <v/>
      </c>
      <c r="BH28" s="88" t="str">
        <f t="shared" si="87"/>
        <v/>
      </c>
      <c r="BI28" s="558" t="str">
        <f t="shared" si="168"/>
        <v/>
      </c>
      <c r="BJ28" s="560" t="str">
        <f t="shared" si="88"/>
        <v/>
      </c>
      <c r="BK28" s="560" t="str">
        <f t="shared" si="89"/>
        <v/>
      </c>
      <c r="BL28" s="559" t="str">
        <f t="shared" si="90"/>
        <v/>
      </c>
      <c r="BM28" s="521" t="str">
        <f t="shared" si="8"/>
        <v/>
      </c>
      <c r="BN28" s="521" t="str">
        <f t="shared" si="9"/>
        <v/>
      </c>
      <c r="BO28" s="522" t="str">
        <f t="shared" si="10"/>
        <v/>
      </c>
      <c r="BP28" s="83" t="str">
        <f t="shared" si="91"/>
        <v/>
      </c>
      <c r="BQ28" s="84" t="str">
        <f t="shared" si="92"/>
        <v/>
      </c>
      <c r="BR28" s="184" t="str">
        <f>IFERROR(IF(B28="", "", IF(OR(VLOOKUP(J28, 'Fixture Identities'!$A$6:$L$1023, 3, FALSE)="T12 Linear Fluorescent",VLOOKUP(J28, 'Fixture Identities'!$A$6:$L$1023, 3, FALSE)="T12 U-Tube Fluorescent"), "Y", "N")), "N")</f>
        <v/>
      </c>
      <c r="BS28" s="184" t="str">
        <f t="array" ref="BS28">IFERROR(IF(OR(B28="", V28="", W28=""), "", IF(V28="Custom", "N", IF(OR(W28="Freezer Case Lighting", W28="Refrigerated Case Lighting with Doors"), BT28, IF(B28="Retrofit", INDEX('Lookup Tables'!$AH$6:$AT$102,MATCH(1,('Lookup Tables'!$AH$6:$AH$102=V28)*('Lookup Tables'!$AI$6:$AI$102=W28),FALSE),IF(VLOOKUP(J28, 'Fixture Identities'!$A$6:$B$1023, 2, FALSE)="Incandescent",12, 13)), INDEX('Lookup Tables'!$AH$114:$AS$154,MATCH(1,('Lookup Tables'!$AH$114:$AH$154=V28)*('Lookup Tables'!$AI$114:$AI$154=W28),FALSE),12))))), "N")</f>
        <v/>
      </c>
      <c r="BT28" s="184" t="str">
        <f>IF(J28="", "", IF(AND(OR(W28="Freezer case Lighting", W28="Refrigerated Case Lighting with Doors"),'General Information'!$X$18="LCI"), "N", IF(OR(VLOOKUP(J28, 'Fixture Identities'!$A$6:$B$1023, 2, FALSE)="T12 EPACT/EISA Baseline", VLOOKUP(J28, 'Fixture Identities'!$A$6:$B$1023, 2, FALSE)="Linear Fluorescent", VLOOKUP(J28, 'Fixture Identities'!$A$6:$B$1023, 2, FALSE)="U-Tube Fluorescent"), "Y", "N")))</f>
        <v/>
      </c>
      <c r="BU28" s="184" t="str">
        <f>IFERROR(IF(B28="", "", IF(VLOOKUP(J28, 'Fixture Identities'!$A$6:$B$1023, 2, FALSE)="Exit Sign", "Y", "N")), "N")</f>
        <v/>
      </c>
      <c r="BV28" s="184" t="str">
        <f>IF(V28="Exit Signs", IF(VLOOKUP(J28, 'Fixture Identities'!$A$6:$B$1023, 2, FALSE)="Exit Sign", "N", "Y"), "")</f>
        <v/>
      </c>
      <c r="BW28" s="184" t="str">
        <f t="array" ref="BW28">IFERROR(IF(B28="", "", IF(B28="New Construction", "N", INDEX('Lookup Tables'!$AH$6:$AU$102, MATCH(1, ('Lookup Tables'!$AH$6:$AH$102='Lighting Inventory'!V28)*('Lookup Tables'!$AI$6:$AI$102='Lighting Inventory'!W28), 0), 14))), "N")</f>
        <v/>
      </c>
      <c r="BX28" s="598" t="str">
        <f t="shared" si="93"/>
        <v/>
      </c>
      <c r="BY28" s="598" t="str">
        <f t="shared" si="94"/>
        <v/>
      </c>
      <c r="BZ28" s="598" t="str">
        <f t="shared" si="95"/>
        <v/>
      </c>
      <c r="CA28" s="598" t="str">
        <f t="shared" si="101"/>
        <v/>
      </c>
      <c r="CB28" s="269" t="str">
        <f t="shared" si="102"/>
        <v/>
      </c>
      <c r="CC28" s="517" t="str">
        <f t="shared" si="96"/>
        <v/>
      </c>
      <c r="CD28" s="565" t="str">
        <f t="shared" si="11"/>
        <v/>
      </c>
      <c r="CE28" s="368">
        <v>0</v>
      </c>
      <c r="CF28" s="368" t="str" cm="1">
        <f t="array" ref="CF28">IFERROR(IF(V28="Custom", "$0.1 per kWh", IF(B28="New Construction", CONCATENATE("$",INDEX('Lookup Tables'!$AH$114:$AN$154,MATCH(1,('Lookup Tables'!$AH$114:$AH$154='Lighting Inventory'!V28)*('Lookup Tables'!$AI$114:$AI$154='Lighting Inventory'!W28),FALSE),6)," ",INDEX('Lookup Tables'!$AH$114:$AN$154,MATCH(1,('Lookup Tables'!$AH$114:$AH$154='Lighting Inventory'!V28)*('Lookup Tables'!$AI$114:$AI$154='Lighting Inventory'!W28),FALSE),7)), IF(AND(BU28="N", V28="Exit Signs"), "$0.025 per kWh", CONCATENATE("$",INDEX('Lookup Tables'!$AH$6:$AN$102,MATCH(1,('Lookup Tables'!$AH$6:$AH$102='Lighting Inventory'!V28)*('Lookup Tables'!$AI$6:$AI$102='Lighting Inventory'!W28),FALSE),6)," ",INDEX('Lookup Tables'!$AH$6:$AN$102,MATCH(1,('Lookup Tables'!$AH$6:$AH$102='Lighting Inventory'!V28)*('Lookup Tables'!$AI$6:$AI$102='Lighting Inventory'!W28),FALSE),7))))), "")</f>
        <v/>
      </c>
      <c r="CG28" s="366"/>
      <c r="CH28" s="248" t="str">
        <f t="shared" si="170"/>
        <v/>
      </c>
      <c r="CI28" s="248" t="str">
        <f t="shared" si="171"/>
        <v>Select_IE</v>
      </c>
      <c r="CJ28" s="248" t="str">
        <f t="shared" si="172"/>
        <v/>
      </c>
      <c r="CK28" s="248" t="str">
        <f t="shared" si="173"/>
        <v/>
      </c>
      <c r="CL28" s="248" t="str">
        <f t="shared" si="174"/>
        <v/>
      </c>
      <c r="CM28" s="248" t="str">
        <f>IFERROR(IF(B28="", "", IF(B28="New Construction", VLOOKUP(V28, 'Lookup Tables'!$AF$114:$AG$120, 2, FALSE), VLOOKUP(V28, 'Lookup Tables'!$AD$6:$AE$25, 2, FALSE))), "")</f>
        <v/>
      </c>
      <c r="CN28" s="248" t="str">
        <f t="shared" si="175"/>
        <v/>
      </c>
      <c r="CO28" s="248" t="str">
        <f t="shared" si="176"/>
        <v/>
      </c>
      <c r="CP28" s="592" t="str">
        <f t="shared" si="177"/>
        <v/>
      </c>
      <c r="CQ28" s="248" t="str">
        <f t="shared" si="97"/>
        <v/>
      </c>
      <c r="CR28" s="100"/>
      <c r="CS28" s="250" t="str">
        <f t="shared" si="178"/>
        <v/>
      </c>
      <c r="CT28" s="250" t="str">
        <f t="shared" si="179"/>
        <v/>
      </c>
      <c r="CU28" s="250" t="str">
        <f t="shared" si="180"/>
        <v/>
      </c>
      <c r="CV28" s="250" t="str">
        <f t="shared" si="181"/>
        <v/>
      </c>
      <c r="CW28" s="250" t="str">
        <f t="shared" si="182"/>
        <v/>
      </c>
      <c r="CX28" s="250" t="str">
        <f t="shared" si="183"/>
        <v/>
      </c>
      <c r="CY28" s="250" t="str">
        <f t="shared" si="184"/>
        <v/>
      </c>
      <c r="CZ28" s="250" t="str">
        <f t="shared" si="185"/>
        <v/>
      </c>
      <c r="DA28" s="250" t="str">
        <f t="shared" si="186"/>
        <v/>
      </c>
      <c r="DB28" s="250" t="str">
        <f t="shared" si="187"/>
        <v/>
      </c>
      <c r="DC28" s="250" t="str">
        <f t="shared" si="188"/>
        <v/>
      </c>
      <c r="DD28" s="250" t="str">
        <f t="shared" si="189"/>
        <v/>
      </c>
      <c r="DE28" s="250" t="str">
        <f t="shared" si="190"/>
        <v/>
      </c>
      <c r="DF28" s="250" t="str">
        <f t="shared" si="191"/>
        <v/>
      </c>
      <c r="DG28" s="250" t="str">
        <f t="shared" si="192"/>
        <v/>
      </c>
      <c r="DH28" s="250" t="str">
        <f t="shared" si="193"/>
        <v/>
      </c>
      <c r="DI28" s="250" t="str">
        <f t="shared" si="194"/>
        <v/>
      </c>
      <c r="DJ28" s="250" t="str">
        <f t="shared" si="195"/>
        <v/>
      </c>
      <c r="DK28" s="250" t="str">
        <f t="shared" si="196"/>
        <v/>
      </c>
      <c r="DL28" s="250" t="str">
        <f t="shared" si="197"/>
        <v/>
      </c>
      <c r="DM28" s="250" t="str">
        <f>IF(CD28="ERROR", "ERROR", IF(AND(OR(Y28=$DM$6, Y28='Lookup Tables'!$AD$21, Y28='Lookup Tables'!$AD$22), E28="Interior"), BJ28, ""))</f>
        <v/>
      </c>
      <c r="DN28" s="250" t="str">
        <f>IF(CD28="ERROR", "ERROR", IF(AND(OR(Y28=$DM$6, Y28='Lookup Tables'!$AD$21, Y28='Lookup Tables'!$AD$22), E28="Exterior"), BJ28, ""))</f>
        <v/>
      </c>
      <c r="DO28" s="100"/>
      <c r="DP28" s="250" t="str">
        <f t="shared" si="198"/>
        <v/>
      </c>
      <c r="DQ28" s="250" t="str">
        <f t="shared" si="199"/>
        <v/>
      </c>
      <c r="DR28" s="250" t="str">
        <f t="shared" si="200"/>
        <v/>
      </c>
      <c r="DS28" s="250" t="str">
        <f t="shared" si="201"/>
        <v/>
      </c>
      <c r="DT28" s="250" t="str">
        <f t="shared" si="202"/>
        <v/>
      </c>
      <c r="DU28" s="250" t="str">
        <f t="shared" si="203"/>
        <v/>
      </c>
      <c r="DV28" s="250" t="str">
        <f t="shared" si="204"/>
        <v/>
      </c>
      <c r="DW28" s="250" t="str">
        <f t="shared" si="205"/>
        <v/>
      </c>
      <c r="DX28" s="250" t="str">
        <f t="shared" si="206"/>
        <v/>
      </c>
      <c r="DY28" s="250" t="str">
        <f t="shared" si="207"/>
        <v/>
      </c>
      <c r="DZ28" s="250" t="str">
        <f t="shared" si="208"/>
        <v/>
      </c>
      <c r="EA28" s="250" t="str">
        <f t="shared" si="209"/>
        <v/>
      </c>
      <c r="EB28" s="250" t="str">
        <f t="shared" si="210"/>
        <v/>
      </c>
      <c r="EC28" s="250" t="str">
        <f t="shared" si="211"/>
        <v/>
      </c>
      <c r="ED28" s="250" t="str">
        <f t="shared" si="212"/>
        <v/>
      </c>
      <c r="EE28" s="250" t="str">
        <f t="shared" si="213"/>
        <v/>
      </c>
      <c r="EF28" s="250" t="str">
        <f t="shared" si="214"/>
        <v/>
      </c>
      <c r="EG28" s="250" t="str">
        <f t="shared" si="215"/>
        <v/>
      </c>
      <c r="EH28" s="250" t="str">
        <f>IF(CD28="ERROR", "ERROR", IF(AND(OR($EH$6=Y28, Y28='Lookup Tables'!$AD$21, Y28='Lookup Tables'!$AD$22),E28="Interior"), SUM(BP28:BP28), ""))</f>
        <v/>
      </c>
      <c r="EI28" s="250" t="str">
        <f>IF(CD28="ERROR", "ERROR", IF(AND(OR($EH$6=Y28, Y28='Lookup Tables'!$AD$21, Y28='Lookup Tables'!$AD$22),E28="Exterior"), SUM(BP28:BP28), ""))</f>
        <v/>
      </c>
      <c r="EJ28" s="109"/>
      <c r="EK28" s="485" t="str">
        <f t="shared" si="58"/>
        <v/>
      </c>
      <c r="EL28" s="252" t="str">
        <f t="shared" si="216"/>
        <v/>
      </c>
      <c r="EM28" s="252" t="str">
        <f t="shared" si="217"/>
        <v/>
      </c>
      <c r="EN28" s="252" t="str">
        <f t="shared" si="218"/>
        <v/>
      </c>
      <c r="EO28" s="252" t="str">
        <f t="shared" si="219"/>
        <v/>
      </c>
      <c r="EP28" s="252" t="str">
        <f t="shared" si="220"/>
        <v/>
      </c>
      <c r="EQ28" s="252" t="str">
        <f t="shared" si="221"/>
        <v/>
      </c>
      <c r="ER28" s="252" t="str">
        <f t="shared" si="222"/>
        <v/>
      </c>
      <c r="ES28" s="252" t="str">
        <f t="shared" si="223"/>
        <v/>
      </c>
      <c r="ET28" s="252" t="str">
        <f t="shared" si="224"/>
        <v/>
      </c>
      <c r="EU28" s="252" t="str">
        <f t="shared" si="225"/>
        <v/>
      </c>
      <c r="EV28" s="252" t="str">
        <f t="shared" si="226"/>
        <v/>
      </c>
      <c r="EW28" s="252" t="str">
        <f t="shared" si="227"/>
        <v/>
      </c>
      <c r="EX28" s="252" t="str">
        <f t="shared" si="228"/>
        <v/>
      </c>
      <c r="EY28" s="252" t="str">
        <f t="shared" si="229"/>
        <v/>
      </c>
      <c r="EZ28" s="252" t="str">
        <f t="shared" si="230"/>
        <v/>
      </c>
      <c r="FA28" s="252" t="str">
        <f t="shared" si="231"/>
        <v/>
      </c>
      <c r="FB28" s="252" t="str">
        <f t="shared" si="232"/>
        <v/>
      </c>
      <c r="FC28" s="252" t="str">
        <f>IF(CD28="ERROR", "ERROR", IF(OR(V28="No Change", V28="Not DLC or Energy Star"), "", IF(AND(OR($FC$6=Y28,Y28='Lookup Tables'!$AD$21, Y28='Lookup Tables'!$AD$22),E28="Interior"), S28, "")))</f>
        <v/>
      </c>
      <c r="FD28" s="252" t="str">
        <f t="shared" si="233"/>
        <v/>
      </c>
      <c r="FE28" s="101"/>
      <c r="FF28" s="579" t="str" cm="1">
        <f t="array" ref="FF28">IFERROR(IF(OR(BQ28&lt;=0,AQ28&lt;20,AND(V28="Exit Signs",AN28&gt;0)),"",IF(AND(AQ28&gt;=20,AN28='Lookup Tables'!$R$101),'Lookup Tables'!$U$101*BQ28,AP28*LOOKUP(2,1/((AN28='Lookup Tables'!$R$91:$R$111)*(AQ28&gt;='Lookup Tables'!$S$91:$S$111)*(AQ28&lt;='Lookup Tables'!$T$91:$T$111)),'Lookup Tables'!$U$91:$U$111))),"")</f>
        <v/>
      </c>
      <c r="FG28" s="579"/>
      <c r="FH28" s="579"/>
      <c r="FI28" s="253" t="str">
        <f>IFERROR(ROUND(IF(CD28="ERROR", "ERROR", IF(AND($FI$7=X28,E28="Interior"),VLOOKUP(W28, 'Lookup Tables'!$AI$6:$AM$102, 5, FALSE)*BP28, "")), 2), "")</f>
        <v/>
      </c>
      <c r="FJ28" s="253" t="str">
        <f>IFERROR(ROUND(IF(CD28="ERROR", "ERROR", IF(AND($FI$7=X28,E28="Exterior"),VLOOKUP(W28, 'Lookup Tables'!$AI$6:$AM$102, 5, FALSE)*BP28, "")), 2), "")</f>
        <v/>
      </c>
      <c r="FK28" s="253" t="str">
        <f>IFERROR(ROUND(IF(CD28="ERROR", "ERROR", IF(AND($FK$7=X28,E28="Interior"),VLOOKUP(W28, 'Lookup Tables'!$AI$6:$AM$102, 5, FALSE)*BP28, "")), 2), "")</f>
        <v/>
      </c>
      <c r="FL28" s="253" t="str">
        <f>IFERROR(ROUND(IF(CD28="ERROR", "ERROR", IF(AND($FK$7=X28,E28="Exterior"),VLOOKUP(W28, 'Lookup Tables'!$AI$6:$AM$102, 5, FALSE)*BP28, "")), 2), "")</f>
        <v/>
      </c>
      <c r="FM28" s="253" t="str">
        <f>IFERROR(ROUND(IF(CD28="ERROR", "ERROR", IF(AND($FM$6=Y28,E28="Interior"), IF(GB28=0, VLOOKUP(W28, 'Lookup Tables'!$AI$6:$AM$102, 5, FALSE)*BP28, IF(VLOOKUP(W28, 'Lookup Tables'!$AI$6:$AM$102, 5, FALSE)*BP28&gt;GB28*'Lighting Inventory'!S28, GB28*'Lighting Inventory'!S28,VLOOKUP(W28, 'Lookup Tables'!$AI$6:$AM$102, 5, FALSE)*BP28)), "")), 2), "")</f>
        <v/>
      </c>
      <c r="FN28" s="253" t="str">
        <f>IFERROR(ROUND(IF(CD28="ERROR", "ERROR", IF(AND($FM$6=Y28,E28="Exterior"), IF(GB28=0, VLOOKUP(W28, 'Lookup Tables'!$AI$6:$AM$102, 5, FALSE)*BP28, IF(VLOOKUP(W28, 'Lookup Tables'!$AI$6:$AM$102, 5, FALSE)*BP28&gt;GB28*'Lighting Inventory'!S28, GB28*'Lighting Inventory'!S28,VLOOKUP(W28, 'Lookup Tables'!$AI$6:$AM$102, 5, FALSE)*BP28)), "")), 2), "")</f>
        <v/>
      </c>
      <c r="FO28" s="253" t="str">
        <f>IFERROR(ROUND(IF(CD28="ERROR", "ERROR", IF(AND($FO$6=Y28,E28="Interior"),VLOOKUP(W28, 'Lookup Tables'!$AI$6:$AM$102, 5, FALSE)*'Lighting Inventory'!AI28, "")), 2), "")</f>
        <v/>
      </c>
      <c r="FP28" s="253" t="str">
        <f>IFERROR(ROUND(IF(CD28="ERROR", "ERROR", IF(AND($FO$6=Y28,E28="Exterior"),VLOOKUP(W28, 'Lookup Tables'!$AI$6:$AM$102, 5, FALSE)*'Lighting Inventory'!AI28, "")), 2), "")</f>
        <v/>
      </c>
      <c r="FQ28" s="253" t="str">
        <f>IFERROR(ROUND(IF(CD28="ERROR", "ERROR", IF(AND($FQ$6=Y28,E28="Interior", BU28="Y"), VLOOKUP('Lighting Inventory'!W28, 'Lookup Tables'!$AI$6:$AM$102, 5, FALSE)*'Lighting Inventory'!S28, IF(AND($FQ$7=Y28,E28="Interior", BU28="N"), 0.025*CD28, ""))), 2), "")</f>
        <v/>
      </c>
      <c r="FR28" s="253" t="str">
        <f>IFERROR(ROUND(IF(CD28="ERROR", "ERROR", IF(AND($FQ$6=Y28,E28="Exterior"), VLOOKUP('Lighting Inventory'!W28, 'Lookup Tables'!$AI$6:$AM$102, 5, FALSE)*'Lighting Inventory'!S28, "")), 2), "")</f>
        <v/>
      </c>
      <c r="FS28" s="253" t="str">
        <f>IFERROR(ROUND(IF(CD28="ERROR", "ERROR", IF(AND($FS$6=Y28,E28="Exterior"), IF(GB28=0, VLOOKUP(W28, 'Lookup Tables'!$AI$6:$AM$102, 5, FALSE)*BP28, IF(VLOOKUP(W28, 'Lookup Tables'!$AI$6:$AM$102, 5, FALSE)*BP28&gt;GB28*'Lighting Inventory'!S28, GB28*'Lighting Inventory'!S28,VLOOKUP(W28, 'Lookup Tables'!$AI$6:$AM$102, 5, FALSE)*BP28)), "")), 2), "")</f>
        <v/>
      </c>
      <c r="FT28" s="253" t="str">
        <f>IFERROR(ROUND(IF(CD28="ERROR", "ERROR", IF(AND($FT$6=Y28,E28="Interior"), IF(GB28=0, VLOOKUP(W28, 'Lookup Tables'!$AI$6:$AM$102, 5, FALSE)*BP28, IF(VLOOKUP(W28, 'Lookup Tables'!$AI$6:$AM$102, 5, FALSE)*BP28&gt;GB28*'Lighting Inventory'!S28, GB28*'Lighting Inventory'!S28,VLOOKUP(W28, 'Lookup Tables'!$AI$6:$AM$102, 5, FALSE)*BP28)), "")), 2), "")</f>
        <v/>
      </c>
      <c r="FU28" s="253" t="str">
        <f>IFERROR(ROUND(IF(CD28="ERROR", "ERROR", IF(AND(Y28=$FU$6, E28="Interior"), IF(BS28="N", 'Lookup Tables'!$AM$101*BP28, VLOOKUP(W28, 'Lookup Tables'!$AI$6:$AM$102, 5, FALSE)*S28*AD28), "")), 2), "")</f>
        <v/>
      </c>
      <c r="FV28" s="253" t="str">
        <f>IFERROR(ROUND(IF(CD28="ERROR", "ERROR", IF(AND(Y28=$FU$6, E28="Exterior"), IF(BS28="N", 'Lookup Tables'!$AM$101*BP28, VLOOKUP(W28, 'Lookup Tables'!$AI$6:$AM$102, 5, FALSE)*S28*AD28), "")), 2), "")</f>
        <v/>
      </c>
      <c r="FW28" s="253" t="str">
        <f>IFERROR(ROUND(IF(CD28="ERROR", "ERROR", IF($FW$6=Y28, IF(BS28="N", 'Lookup Tables'!$AM$101*BP28, MIN((VLOOKUP(W28, 'Lookup Tables'!$AI$6:$AM$102, 5, FALSE)*BP28),GB28*AJ28)), "")), 2), "")</f>
        <v/>
      </c>
      <c r="FX28" s="253" t="str">
        <f>IFERROR(ROUND(IF(CD28="ERROR", "ERROR", IF(AND($FX$6=Y28, E28="Interior"), IF(VLOOKUP(W28, 'Lookup Tables'!$AI$6:$AM$102, 5, FALSE)*BP28&gt;'Lookup Tables'!$AQ$97*'Lighting Inventory'!S28,'Lighting Inventory'!S28*'Lookup Tables'!$AQ$97,VLOOKUP(W28, 'Lookup Tables'!$AI$6:$AM$102, 5, FALSE)*BP28), "")), 2), "")</f>
        <v/>
      </c>
      <c r="FY28" s="253" t="str">
        <f>IFERROR(ROUND(IF(CD28="ERROR", "ERROR", IF(AND($FX$6=Y28, E28="Exterior"), IF(VLOOKUP(W28, 'Lookup Tables'!$AI$6:$AM$102, 5, FALSE)*BP28&gt;'Lookup Tables'!$AQ$97*'Lighting Inventory'!S28,'Lighting Inventory'!S28*'Lookup Tables'!$AQ$97,VLOOKUP(W28, 'Lookup Tables'!$AI$6:$AM$102, 5, FALSE)*BP28), "")), 2), "")</f>
        <v/>
      </c>
      <c r="FZ28" s="253" t="str">
        <f>IFERROR(ROUND(IF(CD28="ERROR", "ERROR", IF(AND($FZ$6=Y28, E28="Interior"), IF(AND(OR(W28="Refrigerated Case Lighting with Doors", W28="Freezer Case Lighting"),Y28="Custom - Process Improvement"),CD28*'Lookup Tables'!$AM$101, IF(B28="Retrofit", IF(VLOOKUP(IF(V28="Custom", V28, W28), 'Lookup Tables'!$AI$6:$AM$102, 5, FALSE)*BP28&gt;GE28, GE28, VLOOKUP(IF(V28="Custom", V28, W28), 'Lookup Tables'!$AI$6:$AM$102, 5, FALSE)*BP28), IF(VLOOKUP(IF(V28="Custom", V28, W28), 'Lookup Tables'!$AI$114:$AM$154, 5, FALSE)*BP28&gt;GE28, GE28, VLOOKUP(IF(V28="Custom", V28, W28), 'Lookup Tables'!$AI$114:$AM$154, 5, FALSE)*BP28))), "")), 2),"")</f>
        <v/>
      </c>
      <c r="GA28" s="253" t="str">
        <f>IFERROR(ROUND(IF(CD28="ERROR", "ERROR", IF(AND($FZ$6=Y28, E28="Exterior"), IF(B28="Retrofit", IF(VLOOKUP(IF(V28="Custom", V28, W28), 'Lookup Tables'!$AI$6:$AM$102, 5, FALSE)*BP28&gt;GE28, GE28, VLOOKUP(IF(V28="Custom", V28, W28), 'Lookup Tables'!$AI$6:$AM$102, 5, FALSE)*BP28), IF(VLOOKUP(IF(V28="Custom", V28, W28), 'Lookup Tables'!$AI$114:$AM$154, 5, FALSE)*BP28&gt;GE28, GE28, VLOOKUP(IF(V28="Custom", V28, W28), 'Lookup Tables'!$AI$114:$AM$154, 5, FALSE)*BP28)), "")), 2),"")</f>
        <v/>
      </c>
      <c r="GB28" s="254" t="str">
        <f t="array" ref="GB28">IF(B28="","",IF(OR(V28="Custom",V28="No Change"),0,IF(B28="Retrofit", INDEX('Lookup Tables'!$AH$6:$AQ$102,MATCH(1,('Lookup Tables'!$AH$6:$AH$102='Lighting Inventory'!V28)*('Lookup Tables'!$AI$6:$AI$102='Lighting Inventory'!W28),FALSE),10),INDEX('Lookup Tables'!$AH$114:$AQ$154,MATCH(1,('Lookup Tables'!$AH$114:$AH$154='Lighting Inventory'!V28)*('Lookup Tables'!$AI$114:$AI$154='Lighting Inventory'!W28),FALSE),10))))</f>
        <v/>
      </c>
      <c r="GC28" s="255" t="str">
        <f t="shared" si="77"/>
        <v/>
      </c>
      <c r="GD28" s="250" t="str">
        <f t="shared" si="78"/>
        <v/>
      </c>
      <c r="GE28" s="253" t="str">
        <f>IFERROR(IF(AND(AF28="", 'General Information'!$F$18="No"),"", IF(AF28="", ((GD28/$CD$266)*$CF$266)*0.5, AF28*S28*0.5)), "")</f>
        <v/>
      </c>
      <c r="GF28" s="255" t="str">
        <f>IF(AND('General Information'!$F$19="", 'General Information'!$F$18="Yes",AF28="",BW28="Y"), "Y", "N")</f>
        <v>N</v>
      </c>
      <c r="GG28" s="255" t="s">
        <v>2946</v>
      </c>
      <c r="GH28" s="255" t="str">
        <f>IFERROR(IF(B28="", "", VLOOKUP(J28, 'Fixture Identities'!$A$6:$N$908, 14, FALSE)), "")</f>
        <v/>
      </c>
      <c r="GI28" s="389" t="str">
        <f>IF(OR(B28="", V28="", W28=""), "", IF(AND(OR(M28='Lookup Tables'!$R$18, M28='Lookup Tables'!$R$19, M28='Lookup Tables'!$R$20, M28='Lookup Tables'!$R$21, M28='Lookup Tables'!$R$22), OR(AN28='Lookup Tables'!$R$17, AN28='Lookup Tables'!$R$17, AN28="")), "Y", "N"))</f>
        <v/>
      </c>
      <c r="GJ28" s="255" t="str">
        <f t="shared" si="79"/>
        <v/>
      </c>
      <c r="GK28" s="255" t="str">
        <f t="shared" si="80"/>
        <v/>
      </c>
      <c r="GL28" s="255" t="str">
        <f t="shared" si="81"/>
        <v/>
      </c>
      <c r="GM28" s="255" t="str">
        <f>IF(AN28="", "", IF(AND(IF(ISNA(VLOOKUP(AN28,'Lookup Tables'!$R$18:$R$22,1,FALSE)), "N", "Y")="Y", E28="Exterior"), "Y", "N"))</f>
        <v/>
      </c>
      <c r="GN28" s="395"/>
      <c r="GO28" s="428">
        <f t="shared" si="98"/>
        <v>0</v>
      </c>
      <c r="GP28" s="428">
        <f t="shared" si="167"/>
        <v>0</v>
      </c>
      <c r="GQ28" s="428">
        <f t="shared" si="99"/>
        <v>0</v>
      </c>
      <c r="GR28" s="428">
        <f t="shared" si="100"/>
        <v>0</v>
      </c>
    </row>
    <row r="29" spans="1:200" s="103" customFormat="1" ht="13.5" customHeight="1" x14ac:dyDescent="0.2">
      <c r="A29" s="272">
        <v>19</v>
      </c>
      <c r="B29" s="110"/>
      <c r="C29" s="110"/>
      <c r="D29" s="110"/>
      <c r="E29" s="110"/>
      <c r="F29" s="110"/>
      <c r="G29" s="110"/>
      <c r="H29" s="110"/>
      <c r="I29" s="29"/>
      <c r="J29" s="29"/>
      <c r="K29" s="272" t="str">
        <f>IFERROR(IF(OR(VLOOKUP(J29, 'Fixture Identities'!$A$6:$L$1023, 3, FALSE)="T12 Linear Fluorescent", VLOOKUP(J29, 'Fixture Identities'!$A$6:$L$1023, 3, FALSE)="T12 U-Tube Fluorescent"), VLOOKUP(VLOOKUP(J29, 'Fixture Identities'!$A$6:$L$1023, 11, FALSE), 'Fixture Identities'!$A$6:$L$1023, 10, FALSE), VLOOKUP(J29, 'Fixture Identities'!$A$6:$L$1023, 10, FALSE)), "")</f>
        <v/>
      </c>
      <c r="L29" s="270" t="str">
        <f t="shared" si="169"/>
        <v/>
      </c>
      <c r="M29" s="110"/>
      <c r="N29" s="110"/>
      <c r="O29" s="110"/>
      <c r="P29" s="272" t="str">
        <f>IFERROR(IF(OR(B29="Retrofit",B29=""),"",IF('Lighting Inventory'!E29="Exterior",VLOOKUP('Lighting Inventory'!N29,'Lookup Tables'!$B$83:$F$103,5,FALSE),IF(N29="Other - Please Estimate EFLH and CFs","Contact Prog. Rep.","ft^2"))), "")</f>
        <v/>
      </c>
      <c r="Q29" s="270" t="str">
        <f>IFERROR(IF(AND(B29="New Construction",E29="Interior",$F$5="Space-by-Space"),VLOOKUP('Lighting Inventory'!N29,'Lookup Tables'!$N$6:$O$97,2,FALSE),IF(AND(B29="New Construction",E29="Exterior"),VLOOKUP(N29,'Lookup Tables'!$B$83:$F$103,2,FALSE),IF(AND(B29="New Construction",'Lighting Inventory'!E29="Interior", $F$5="Building Area"),VLOOKUP(F29,'Lookup Tables'!$A$6:$J$59,10,FALSE),""))), "")</f>
        <v/>
      </c>
      <c r="R29" s="270" t="str">
        <f>IFERROR(IF(P29="Contact Prog. Rep.", "ERROR", IF(OR(B29="",B29="Retrofit"),"",IF(N29="Automated teller machines", ('Lookup Tables'!$A$82:$E$100+('Lighting Inventory'!O29-1)*'Lookup Tables'!$A$82:$E$100)/1000, (Q29*O29)/1000))), "")</f>
        <v/>
      </c>
      <c r="S29" s="595"/>
      <c r="T29" s="105" t="str">
        <f t="shared" si="83"/>
        <v/>
      </c>
      <c r="U29" s="105" t="str">
        <f>IF(S29="","",COUNT($S$11:S29))</f>
        <v/>
      </c>
      <c r="V29" s="111"/>
      <c r="W29" s="112"/>
      <c r="X29" s="105" t="str">
        <f t="shared" si="84"/>
        <v/>
      </c>
      <c r="Y29" s="105" t="str">
        <f t="array" ref="Y29">IF(AND(OR(W29="Freezer Case Lighting", W29="Refrigerated Case Lighting with Doors"), 'General Information'!$X$18="LCI"),'Lookup Tables'!$Y$34, IF(V29="Custom", VLOOKUP(W29, 'Fixture Identities'!$A$974:$M$1023, 13, FALSE), IF(V29="No Change",'Lookup Tables'!$Y$29,IF(OR(V29="",W29=""),"",IF(AND(S29=0,S29&lt;I29,B29="Retrofit"),'Lookup Tables'!$Y$25, IF(B29="Retrofit", INDEX('Lookup Tables'!$AH$6:$AP$102, MATCH(1, ('Lookup Tables'!$AH$6:$AH$102=V29)*('Lookup Tables'!$AI$6:$AI$102=W29), 0), IF('Lighting Inventory'!E29="Interior", 4, 5)), INDEX('Lookup Tables'!$AH$114:$AP$154, MATCH(1, ('Lookup Tables'!$AH$114:$AH$154=V29)*('Lookup Tables'!$AI$114:$AI$154=W29), 0), IF('Lighting Inventory'!E29="Interior", 4, 5))))))))</f>
        <v/>
      </c>
      <c r="Z29" s="105" t="str">
        <f>IFERROR(INDEX('Lookup Tables'!$AH$158:$AH$172,MATCH('Lighting Inventory'!Y29,'Lookup Tables'!$AI$158:$AI$172,0)),"")</f>
        <v/>
      </c>
      <c r="AA29" s="105" t="str">
        <f>IF(AP29&gt;0,INDEX('Lookup Tables'!$AK$158:$AK$172,MATCH('Lighting Inventory'!Y29,'Lookup Tables'!$AI$158:$AI$172,0)),'Lighting Inventory'!Y29)</f>
        <v/>
      </c>
      <c r="AB29" s="105" t="str">
        <f t="array" ref="AB29">IF(V29="Custom", "Custom", IF(V29="", "", IF(V29="Not DLC or Energy Star", "General", IF(B29="New Construction", INDEX('Lookup Tables'!$AH$114:$AP$154,MATCH(1,('Lookup Tables'!$AH$114:$AH$154='Lighting Inventory'!V29)*('Lookup Tables'!$AI$114:$AI$154='Lighting Inventory'!W29),FALSE),8), INDEX('Lookup Tables'!$AH$6:$AP$102,MATCH(1,('Lookup Tables'!$AH$6:$AH$102='Lighting Inventory'!V29)*('Lookup Tables'!$AI$6:$AI$102='Lighting Inventory'!W29),FALSE),8)))))</f>
        <v/>
      </c>
      <c r="AC29" s="272" t="str">
        <f>IF(W29="","",IF(V29="Custom",CONCATENATE("$",'Lookup Tables'!$AM$101," ",'Lookup Tables'!$AN$101),CONCATENATE("$",INDEX('Lookup Tables'!$AM$6:$AM$102,MATCH('Lighting Inventory'!W29,'Lookup Tables'!$AI$6:$AI$102,0))," ",INDEX('Lookup Tables'!$AN$6:$AN$102,MATCH('Lighting Inventory'!W29,'Lookup Tables'!$AI$6:$AI$102,0)))))</f>
        <v/>
      </c>
      <c r="AD29" s="72"/>
      <c r="AE29" s="29"/>
      <c r="AF29" s="379"/>
      <c r="AG29" s="370" t="str">
        <f t="shared" si="2"/>
        <v/>
      </c>
      <c r="AH29" s="370" t="str">
        <f t="shared" si="85"/>
        <v/>
      </c>
      <c r="AI29" s="29"/>
      <c r="AJ29" s="29"/>
      <c r="AK29" s="110"/>
      <c r="AL29" s="375" t="str">
        <f>IF(OR(B29="", V29="", W29=""), "", IF(V29="No Change", K29, IF(V29="Remove Fixture", 0, IF(V29="Custom",VLOOKUP(W29,'Fixture Identities'!$A$6:$K$1023,10,FALSE),IF(AE29="", "← ENTER POST WATTS", 'Lighting Inventory'!AE29)))))</f>
        <v/>
      </c>
      <c r="AM29" s="376" t="str">
        <f t="shared" si="3"/>
        <v/>
      </c>
      <c r="AN29" s="29"/>
      <c r="AO29" s="671"/>
      <c r="AP29" s="29"/>
      <c r="AQ29" s="29"/>
      <c r="AR29" s="29"/>
      <c r="AS29" s="272" t="str">
        <f t="shared" si="4"/>
        <v/>
      </c>
      <c r="AT29" s="270" t="str">
        <f t="shared" si="234"/>
        <v/>
      </c>
      <c r="AU29" s="88" t="str">
        <f t="shared" si="235"/>
        <v/>
      </c>
      <c r="AV29" s="29"/>
      <c r="AW29" s="73"/>
      <c r="AX29" s="271" t="str">
        <f>IF(AND(AV29="Applicant",OR(AW29="", AW29="Use Default Facility Hours")),"← Choose Schedule",IF(F29="","",IF(W29="LED Exit Signs",8760,IF(OR(AV29="Prescribed",AV29=""),VLOOKUP(F29,'Lookup Tables'!$A$6:$G$59,IF(AB29="General", 6, 3),FALSE),VLOOKUP(AW29,'Lookup Tables'!$S$36:$U$43,2,FALSE)))))</f>
        <v/>
      </c>
      <c r="AY29" s="88" t="str">
        <f t="shared" si="7"/>
        <v/>
      </c>
      <c r="AZ29" s="270" t="str">
        <f>IFERROR(IF(F29="", "", IF(W29="LED Exit Signs", 1, IF(AV29="Applicant",VLOOKUP(AW29, 'Lookup Tables'!$S$36:$U$43,3, FALSE), VLOOKUP('Lighting Inventory'!F29, 'Lookup Tables'!$A$6:$H$59, IF('Lighting Inventory'!AB29="General",7,4), FALSE)))), "")</f>
        <v/>
      </c>
      <c r="BA29" s="522" t="str">
        <f>IFERROR(IF(F29="", "", IF(W29="LED Exit Signs", 1, VLOOKUP('Lighting Inventory'!F29, 'Lookup Tables'!$A$6:$H$59, IF('Lighting Inventory'!AB29="General",8,5), FALSE))), "")</f>
        <v/>
      </c>
      <c r="BB29" s="270" t="str">
        <f>IF(G29="", "", IF(E29="Exterior", 0, IF('Lighting Inventory'!G29="Air Conditioned", VLOOKUP(H29, 'Lookup Tables'!$R$6:$T$13, 2, FALSE), VLOOKUP('Lighting Inventory'!G29, 'Lookup Tables'!$R$6:$T$13, 2, FALSE))))</f>
        <v/>
      </c>
      <c r="BC29" s="522" t="str">
        <f>IF(G29="", "", IF(E29="Exterior", 0, IF('Lighting Inventory'!G29="Air Conditioned", VLOOKUP(H29, 'Lookup Tables'!$R$6:$T$13, 3, FALSE), VLOOKUP('Lighting Inventory'!G29, 'Lookup Tables'!$R$6:$T$13, 3, FALSE))))</f>
        <v/>
      </c>
      <c r="BD29" s="270" t="str">
        <f>IF(G29="", "", IF(E29="Exterior", 0, IF('Lighting Inventory'!G29="Air Conditioned", VLOOKUP(H29, 'Lookup Tables'!$R$6:$U$13, 4, FALSE), VLOOKUP('Lighting Inventory'!G29, 'Lookup Tables'!$R$6:$U$13, 4, FALSE))))</f>
        <v/>
      </c>
      <c r="BE29" s="270" t="str">
        <f>IFERROR(IF(B29="", "",  IF(B29="New Construction", VLOOKUP(F29, 'Lookup Tables'!$A$6:$K$59, 11, FALSE),IF(OR(AN29="", AN29="Light Switch"), 0, IF(OR(M29="",M29="None",V29= "LED Exit Signs"),0,_xlfn.XLOOKUP(M29,'Lookup Tables'!$R$91:$R$101,'Lookup Tables'!$V$91:$V$101))))), "")</f>
        <v/>
      </c>
      <c r="BF29" s="270" t="str">
        <f>IF(AND(OR(AN29="Light Switch",AN29=""),B29="New Construction"), VLOOKUP(F29, 'Lookup Tables'!$A$6:$K$59, 11, FALSE),IF(AN29="","",IF(B29="","",IF(OR(AN29="None",AN29="",V29="LED Exit Signs",AN29="Exterior Controls Not Eligible"),0,_xlfn.XLOOKUP(AN29,'Lookup Tables'!$R$91:$R$101,'Lookup Tables'!$V$91:$V$101)))))</f>
        <v/>
      </c>
      <c r="BG29" s="88" t="str">
        <f t="shared" si="86"/>
        <v/>
      </c>
      <c r="BH29" s="88" t="str">
        <f t="shared" si="87"/>
        <v/>
      </c>
      <c r="BI29" s="558" t="str">
        <f t="shared" si="168"/>
        <v/>
      </c>
      <c r="BJ29" s="560" t="str">
        <f t="shared" si="88"/>
        <v/>
      </c>
      <c r="BK29" s="560" t="str">
        <f t="shared" si="89"/>
        <v/>
      </c>
      <c r="BL29" s="559" t="str">
        <f t="shared" si="90"/>
        <v/>
      </c>
      <c r="BM29" s="521" t="str">
        <f t="shared" si="8"/>
        <v/>
      </c>
      <c r="BN29" s="521" t="str">
        <f t="shared" si="9"/>
        <v/>
      </c>
      <c r="BO29" s="522" t="str">
        <f t="shared" si="10"/>
        <v/>
      </c>
      <c r="BP29" s="83" t="str">
        <f t="shared" si="91"/>
        <v/>
      </c>
      <c r="BQ29" s="84" t="str">
        <f t="shared" si="92"/>
        <v/>
      </c>
      <c r="BR29" s="184" t="str">
        <f>IFERROR(IF(B29="", "", IF(OR(VLOOKUP(J29, 'Fixture Identities'!$A$6:$L$1023, 3, FALSE)="T12 Linear Fluorescent",VLOOKUP(J29, 'Fixture Identities'!$A$6:$L$1023, 3, FALSE)="T12 U-Tube Fluorescent"), "Y", "N")), "N")</f>
        <v/>
      </c>
      <c r="BS29" s="184" t="str">
        <f t="array" ref="BS29">IFERROR(IF(OR(B29="", V29="", W29=""), "", IF(V29="Custom", "N", IF(OR(W29="Freezer Case Lighting", W29="Refrigerated Case Lighting with Doors"), BT29, IF(B29="Retrofit", INDEX('Lookup Tables'!$AH$6:$AT$102,MATCH(1,('Lookup Tables'!$AH$6:$AH$102=V29)*('Lookup Tables'!$AI$6:$AI$102=W29),FALSE),IF(VLOOKUP(J29, 'Fixture Identities'!$A$6:$B$1023, 2, FALSE)="Incandescent",12, 13)), INDEX('Lookup Tables'!$AH$114:$AS$154,MATCH(1,('Lookup Tables'!$AH$114:$AH$154=V29)*('Lookup Tables'!$AI$114:$AI$154=W29),FALSE),12))))), "N")</f>
        <v/>
      </c>
      <c r="BT29" s="184" t="str">
        <f>IF(J29="", "", IF(AND(OR(W29="Freezer case Lighting", W29="Refrigerated Case Lighting with Doors"),'General Information'!$X$18="LCI"), "N", IF(OR(VLOOKUP(J29, 'Fixture Identities'!$A$6:$B$1023, 2, FALSE)="T12 EPACT/EISA Baseline", VLOOKUP(J29, 'Fixture Identities'!$A$6:$B$1023, 2, FALSE)="Linear Fluorescent", VLOOKUP(J29, 'Fixture Identities'!$A$6:$B$1023, 2, FALSE)="U-Tube Fluorescent"), "Y", "N")))</f>
        <v/>
      </c>
      <c r="BU29" s="184" t="str">
        <f>IFERROR(IF(B29="", "", IF(VLOOKUP(J29, 'Fixture Identities'!$A$6:$B$1023, 2, FALSE)="Exit Sign", "Y", "N")), "N")</f>
        <v/>
      </c>
      <c r="BV29" s="184" t="str">
        <f>IF(V29="Exit Signs", IF(VLOOKUP(J29, 'Fixture Identities'!$A$6:$B$1023, 2, FALSE)="Exit Sign", "N", "Y"), "")</f>
        <v/>
      </c>
      <c r="BW29" s="184" t="str">
        <f t="array" ref="BW29">IFERROR(IF(B29="", "", IF(B29="New Construction", "N", INDEX('Lookup Tables'!$AH$6:$AU$102, MATCH(1, ('Lookup Tables'!$AH$6:$AH$102='Lighting Inventory'!V29)*('Lookup Tables'!$AI$6:$AI$102='Lighting Inventory'!W29), 0), 14))), "N")</f>
        <v/>
      </c>
      <c r="BX29" s="598" t="str">
        <f t="shared" si="93"/>
        <v/>
      </c>
      <c r="BY29" s="598" t="str">
        <f t="shared" si="94"/>
        <v/>
      </c>
      <c r="BZ29" s="598" t="str">
        <f t="shared" si="95"/>
        <v/>
      </c>
      <c r="CA29" s="598" t="str">
        <f t="shared" si="101"/>
        <v/>
      </c>
      <c r="CB29" s="269" t="str">
        <f t="shared" si="102"/>
        <v/>
      </c>
      <c r="CC29" s="517" t="str">
        <f t="shared" si="96"/>
        <v/>
      </c>
      <c r="CD29" s="565" t="str">
        <f t="shared" si="11"/>
        <v/>
      </c>
      <c r="CE29" s="368">
        <v>0</v>
      </c>
      <c r="CF29" s="368" t="str" cm="1">
        <f t="array" ref="CF29">IFERROR(IF(V29="Custom", "$0.1 per kWh", IF(B29="New Construction", CONCATENATE("$",INDEX('Lookup Tables'!$AH$114:$AN$154,MATCH(1,('Lookup Tables'!$AH$114:$AH$154='Lighting Inventory'!V29)*('Lookup Tables'!$AI$114:$AI$154='Lighting Inventory'!W29),FALSE),6)," ",INDEX('Lookup Tables'!$AH$114:$AN$154,MATCH(1,('Lookup Tables'!$AH$114:$AH$154='Lighting Inventory'!V29)*('Lookup Tables'!$AI$114:$AI$154='Lighting Inventory'!W29),FALSE),7)), IF(AND(BU29="N", V29="Exit Signs"), "$0.025 per kWh", CONCATENATE("$",INDEX('Lookup Tables'!$AH$6:$AN$102,MATCH(1,('Lookup Tables'!$AH$6:$AH$102='Lighting Inventory'!V29)*('Lookup Tables'!$AI$6:$AI$102='Lighting Inventory'!W29),FALSE),6)," ",INDEX('Lookup Tables'!$AH$6:$AN$102,MATCH(1,('Lookup Tables'!$AH$6:$AH$102='Lighting Inventory'!V29)*('Lookup Tables'!$AI$6:$AI$102='Lighting Inventory'!W29),FALSE),7))))), "")</f>
        <v/>
      </c>
      <c r="CG29" s="366"/>
      <c r="CH29" s="248" t="str">
        <f t="shared" si="170"/>
        <v/>
      </c>
      <c r="CI29" s="248" t="str">
        <f t="shared" si="171"/>
        <v>Select_IE</v>
      </c>
      <c r="CJ29" s="248" t="str">
        <f t="shared" si="172"/>
        <v/>
      </c>
      <c r="CK29" s="248" t="str">
        <f t="shared" si="173"/>
        <v/>
      </c>
      <c r="CL29" s="248" t="str">
        <f t="shared" si="174"/>
        <v/>
      </c>
      <c r="CM29" s="248" t="str">
        <f>IFERROR(IF(B29="", "", IF(B29="New Construction", VLOOKUP(V29, 'Lookup Tables'!$AF$114:$AG$120, 2, FALSE), VLOOKUP(V29, 'Lookup Tables'!$AD$6:$AE$25, 2, FALSE))), "")</f>
        <v/>
      </c>
      <c r="CN29" s="248" t="str">
        <f t="shared" si="175"/>
        <v/>
      </c>
      <c r="CO29" s="248" t="str">
        <f t="shared" si="176"/>
        <v/>
      </c>
      <c r="CP29" s="592" t="str">
        <f t="shared" si="177"/>
        <v/>
      </c>
      <c r="CQ29" s="248" t="str">
        <f t="shared" si="97"/>
        <v/>
      </c>
      <c r="CR29" s="100"/>
      <c r="CS29" s="250" t="str">
        <f t="shared" si="178"/>
        <v/>
      </c>
      <c r="CT29" s="250" t="str">
        <f t="shared" si="179"/>
        <v/>
      </c>
      <c r="CU29" s="250" t="str">
        <f t="shared" si="180"/>
        <v/>
      </c>
      <c r="CV29" s="250" t="str">
        <f t="shared" si="181"/>
        <v/>
      </c>
      <c r="CW29" s="250" t="str">
        <f t="shared" si="182"/>
        <v/>
      </c>
      <c r="CX29" s="250" t="str">
        <f t="shared" si="183"/>
        <v/>
      </c>
      <c r="CY29" s="250" t="str">
        <f t="shared" si="184"/>
        <v/>
      </c>
      <c r="CZ29" s="250" t="str">
        <f t="shared" si="185"/>
        <v/>
      </c>
      <c r="DA29" s="250" t="str">
        <f t="shared" si="186"/>
        <v/>
      </c>
      <c r="DB29" s="250" t="str">
        <f t="shared" si="187"/>
        <v/>
      </c>
      <c r="DC29" s="250" t="str">
        <f t="shared" si="188"/>
        <v/>
      </c>
      <c r="DD29" s="250" t="str">
        <f t="shared" si="189"/>
        <v/>
      </c>
      <c r="DE29" s="250" t="str">
        <f t="shared" si="190"/>
        <v/>
      </c>
      <c r="DF29" s="250" t="str">
        <f t="shared" si="191"/>
        <v/>
      </c>
      <c r="DG29" s="250" t="str">
        <f t="shared" si="192"/>
        <v/>
      </c>
      <c r="DH29" s="250" t="str">
        <f t="shared" si="193"/>
        <v/>
      </c>
      <c r="DI29" s="250" t="str">
        <f t="shared" si="194"/>
        <v/>
      </c>
      <c r="DJ29" s="250" t="str">
        <f t="shared" si="195"/>
        <v/>
      </c>
      <c r="DK29" s="250" t="str">
        <f t="shared" si="196"/>
        <v/>
      </c>
      <c r="DL29" s="250" t="str">
        <f t="shared" si="197"/>
        <v/>
      </c>
      <c r="DM29" s="250" t="str">
        <f>IF(CD29="ERROR", "ERROR", IF(AND(OR(Y29=$DM$6, Y29='Lookup Tables'!$AD$21, Y29='Lookup Tables'!$AD$22), E29="Interior"), BJ29, ""))</f>
        <v/>
      </c>
      <c r="DN29" s="250" t="str">
        <f>IF(CD29="ERROR", "ERROR", IF(AND(OR(Y29=$DM$6, Y29='Lookup Tables'!$AD$21, Y29='Lookup Tables'!$AD$22), E29="Exterior"), BJ29, ""))</f>
        <v/>
      </c>
      <c r="DO29" s="100"/>
      <c r="DP29" s="250" t="str">
        <f t="shared" si="198"/>
        <v/>
      </c>
      <c r="DQ29" s="250" t="str">
        <f t="shared" si="199"/>
        <v/>
      </c>
      <c r="DR29" s="250" t="str">
        <f t="shared" si="200"/>
        <v/>
      </c>
      <c r="DS29" s="250" t="str">
        <f t="shared" si="201"/>
        <v/>
      </c>
      <c r="DT29" s="250" t="str">
        <f t="shared" si="202"/>
        <v/>
      </c>
      <c r="DU29" s="250" t="str">
        <f t="shared" si="203"/>
        <v/>
      </c>
      <c r="DV29" s="250" t="str">
        <f t="shared" si="204"/>
        <v/>
      </c>
      <c r="DW29" s="250" t="str">
        <f t="shared" si="205"/>
        <v/>
      </c>
      <c r="DX29" s="250" t="str">
        <f t="shared" si="206"/>
        <v/>
      </c>
      <c r="DY29" s="250" t="str">
        <f t="shared" si="207"/>
        <v/>
      </c>
      <c r="DZ29" s="250" t="str">
        <f t="shared" si="208"/>
        <v/>
      </c>
      <c r="EA29" s="250" t="str">
        <f t="shared" si="209"/>
        <v/>
      </c>
      <c r="EB29" s="250" t="str">
        <f t="shared" si="210"/>
        <v/>
      </c>
      <c r="EC29" s="250" t="str">
        <f t="shared" si="211"/>
        <v/>
      </c>
      <c r="ED29" s="250" t="str">
        <f t="shared" si="212"/>
        <v/>
      </c>
      <c r="EE29" s="250" t="str">
        <f t="shared" si="213"/>
        <v/>
      </c>
      <c r="EF29" s="250" t="str">
        <f t="shared" si="214"/>
        <v/>
      </c>
      <c r="EG29" s="250" t="str">
        <f t="shared" si="215"/>
        <v/>
      </c>
      <c r="EH29" s="250" t="str">
        <f>IF(CD29="ERROR", "ERROR", IF(AND(OR($EH$6=Y29, Y29='Lookup Tables'!$AD$21, Y29='Lookup Tables'!$AD$22),E29="Interior"), SUM(BP29:BP29), ""))</f>
        <v/>
      </c>
      <c r="EI29" s="250" t="str">
        <f>IF(CD29="ERROR", "ERROR", IF(AND(OR($EH$6=Y29, Y29='Lookup Tables'!$AD$21, Y29='Lookup Tables'!$AD$22),E29="Exterior"), SUM(BP29:BP29), ""))</f>
        <v/>
      </c>
      <c r="EJ29" s="109"/>
      <c r="EK29" s="485" t="str">
        <f t="shared" si="58"/>
        <v/>
      </c>
      <c r="EL29" s="252" t="str">
        <f t="shared" si="216"/>
        <v/>
      </c>
      <c r="EM29" s="252" t="str">
        <f t="shared" si="217"/>
        <v/>
      </c>
      <c r="EN29" s="252" t="str">
        <f t="shared" si="218"/>
        <v/>
      </c>
      <c r="EO29" s="252" t="str">
        <f t="shared" si="219"/>
        <v/>
      </c>
      <c r="EP29" s="252" t="str">
        <f t="shared" si="220"/>
        <v/>
      </c>
      <c r="EQ29" s="252" t="str">
        <f t="shared" si="221"/>
        <v/>
      </c>
      <c r="ER29" s="252" t="str">
        <f t="shared" si="222"/>
        <v/>
      </c>
      <c r="ES29" s="252" t="str">
        <f t="shared" si="223"/>
        <v/>
      </c>
      <c r="ET29" s="252" t="str">
        <f t="shared" si="224"/>
        <v/>
      </c>
      <c r="EU29" s="252" t="str">
        <f t="shared" si="225"/>
        <v/>
      </c>
      <c r="EV29" s="252" t="str">
        <f t="shared" si="226"/>
        <v/>
      </c>
      <c r="EW29" s="252" t="str">
        <f t="shared" si="227"/>
        <v/>
      </c>
      <c r="EX29" s="252" t="str">
        <f t="shared" si="228"/>
        <v/>
      </c>
      <c r="EY29" s="252" t="str">
        <f t="shared" si="229"/>
        <v/>
      </c>
      <c r="EZ29" s="252" t="str">
        <f t="shared" si="230"/>
        <v/>
      </c>
      <c r="FA29" s="252" t="str">
        <f t="shared" si="231"/>
        <v/>
      </c>
      <c r="FB29" s="252" t="str">
        <f t="shared" si="232"/>
        <v/>
      </c>
      <c r="FC29" s="252" t="str">
        <f>IF(CD29="ERROR", "ERROR", IF(OR(V29="No Change", V29="Not DLC or Energy Star"), "", IF(AND(OR($FC$6=Y29,Y29='Lookup Tables'!$AD$21, Y29='Lookup Tables'!$AD$22),E29="Interior"), S29, "")))</f>
        <v/>
      </c>
      <c r="FD29" s="252" t="str">
        <f t="shared" si="233"/>
        <v/>
      </c>
      <c r="FE29" s="101"/>
      <c r="FF29" s="579" t="str" cm="1">
        <f t="array" ref="FF29">IFERROR(IF(OR(BQ29&lt;=0,AQ29&lt;20,AND(V29="Exit Signs",AN29&gt;0)),"",IF(AND(AQ29&gt;=20,AN29='Lookup Tables'!$R$101),'Lookup Tables'!$U$101*BQ29,AP29*LOOKUP(2,1/((AN29='Lookup Tables'!$R$91:$R$111)*(AQ29&gt;='Lookup Tables'!$S$91:$S$111)*(AQ29&lt;='Lookup Tables'!$T$91:$T$111)),'Lookup Tables'!$U$91:$U$111))),"")</f>
        <v/>
      </c>
      <c r="FG29" s="579"/>
      <c r="FH29" s="579"/>
      <c r="FI29" s="253" t="str">
        <f>IFERROR(ROUND(IF(CD29="ERROR", "ERROR", IF(AND($FI$7=X29,E29="Interior"),VLOOKUP(W29, 'Lookup Tables'!$AI$6:$AM$102, 5, FALSE)*BP29, "")), 2), "")</f>
        <v/>
      </c>
      <c r="FJ29" s="253" t="str">
        <f>IFERROR(ROUND(IF(CD29="ERROR", "ERROR", IF(AND($FI$7=X29,E29="Exterior"),VLOOKUP(W29, 'Lookup Tables'!$AI$6:$AM$102, 5, FALSE)*BP29, "")), 2), "")</f>
        <v/>
      </c>
      <c r="FK29" s="253" t="str">
        <f>IFERROR(ROUND(IF(CD29="ERROR", "ERROR", IF(AND($FK$7=X29,E29="Interior"),VLOOKUP(W29, 'Lookup Tables'!$AI$6:$AM$102, 5, FALSE)*BP29, "")), 2), "")</f>
        <v/>
      </c>
      <c r="FL29" s="253" t="str">
        <f>IFERROR(ROUND(IF(CD29="ERROR", "ERROR", IF(AND($FK$7=X29,E29="Exterior"),VLOOKUP(W29, 'Lookup Tables'!$AI$6:$AM$102, 5, FALSE)*BP29, "")), 2), "")</f>
        <v/>
      </c>
      <c r="FM29" s="253" t="str">
        <f>IFERROR(ROUND(IF(CD29="ERROR", "ERROR", IF(AND($FM$6=Y29,E29="Interior"), IF(GB29=0, VLOOKUP(W29, 'Lookup Tables'!$AI$6:$AM$102, 5, FALSE)*BP29, IF(VLOOKUP(W29, 'Lookup Tables'!$AI$6:$AM$102, 5, FALSE)*BP29&gt;GB29*'Lighting Inventory'!S29, GB29*'Lighting Inventory'!S29,VLOOKUP(W29, 'Lookup Tables'!$AI$6:$AM$102, 5, FALSE)*BP29)), "")), 2), "")</f>
        <v/>
      </c>
      <c r="FN29" s="253" t="str">
        <f>IFERROR(ROUND(IF(CD29="ERROR", "ERROR", IF(AND($FM$6=Y29,E29="Exterior"), IF(GB29=0, VLOOKUP(W29, 'Lookup Tables'!$AI$6:$AM$102, 5, FALSE)*BP29, IF(VLOOKUP(W29, 'Lookup Tables'!$AI$6:$AM$102, 5, FALSE)*BP29&gt;GB29*'Lighting Inventory'!S29, GB29*'Lighting Inventory'!S29,VLOOKUP(W29, 'Lookup Tables'!$AI$6:$AM$102, 5, FALSE)*BP29)), "")), 2), "")</f>
        <v/>
      </c>
      <c r="FO29" s="253" t="str">
        <f>IFERROR(ROUND(IF(CD29="ERROR", "ERROR", IF(AND($FO$6=Y29,E29="Interior"),VLOOKUP(W29, 'Lookup Tables'!$AI$6:$AM$102, 5, FALSE)*'Lighting Inventory'!AI29, "")), 2), "")</f>
        <v/>
      </c>
      <c r="FP29" s="253" t="str">
        <f>IFERROR(ROUND(IF(CD29="ERROR", "ERROR", IF(AND($FO$6=Y29,E29="Exterior"),VLOOKUP(W29, 'Lookup Tables'!$AI$6:$AM$102, 5, FALSE)*'Lighting Inventory'!AI29, "")), 2), "")</f>
        <v/>
      </c>
      <c r="FQ29" s="253" t="str">
        <f>IFERROR(ROUND(IF(CD29="ERROR", "ERROR", IF(AND($FQ$6=Y29,E29="Interior", BU29="Y"), VLOOKUP('Lighting Inventory'!W29, 'Lookup Tables'!$AI$6:$AM$102, 5, FALSE)*'Lighting Inventory'!S29, IF(AND($FQ$7=Y29,E29="Interior", BU29="N"), 0.025*CD29, ""))), 2), "")</f>
        <v/>
      </c>
      <c r="FR29" s="253" t="str">
        <f>IFERROR(ROUND(IF(CD29="ERROR", "ERROR", IF(AND($FQ$6=Y29,E29="Exterior"), VLOOKUP('Lighting Inventory'!W29, 'Lookup Tables'!$AI$6:$AM$102, 5, FALSE)*'Lighting Inventory'!S29, "")), 2), "")</f>
        <v/>
      </c>
      <c r="FS29" s="253" t="str">
        <f>IFERROR(ROUND(IF(CD29="ERROR", "ERROR", IF(AND($FS$6=Y29,E29="Exterior"), IF(GB29=0, VLOOKUP(W29, 'Lookup Tables'!$AI$6:$AM$102, 5, FALSE)*BP29, IF(VLOOKUP(W29, 'Lookup Tables'!$AI$6:$AM$102, 5, FALSE)*BP29&gt;GB29*'Lighting Inventory'!S29, GB29*'Lighting Inventory'!S29,VLOOKUP(W29, 'Lookup Tables'!$AI$6:$AM$102, 5, FALSE)*BP29)), "")), 2), "")</f>
        <v/>
      </c>
      <c r="FT29" s="253" t="str">
        <f>IFERROR(ROUND(IF(CD29="ERROR", "ERROR", IF(AND($FT$6=Y29,E29="Interior"), IF(GB29=0, VLOOKUP(W29, 'Lookup Tables'!$AI$6:$AM$102, 5, FALSE)*BP29, IF(VLOOKUP(W29, 'Lookup Tables'!$AI$6:$AM$102, 5, FALSE)*BP29&gt;GB29*'Lighting Inventory'!S29, GB29*'Lighting Inventory'!S29,VLOOKUP(W29, 'Lookup Tables'!$AI$6:$AM$102, 5, FALSE)*BP29)), "")), 2), "")</f>
        <v/>
      </c>
      <c r="FU29" s="253" t="str">
        <f>IFERROR(ROUND(IF(CD29="ERROR", "ERROR", IF(AND(Y29=$FU$6, E29="Interior"), IF(BS29="N", 'Lookup Tables'!$AM$101*BP29, VLOOKUP(W29, 'Lookup Tables'!$AI$6:$AM$102, 5, FALSE)*S29*AD29), "")), 2), "")</f>
        <v/>
      </c>
      <c r="FV29" s="253" t="str">
        <f>IFERROR(ROUND(IF(CD29="ERROR", "ERROR", IF(AND(Y29=$FU$6, E29="Exterior"), IF(BS29="N", 'Lookup Tables'!$AM$101*BP29, VLOOKUP(W29, 'Lookup Tables'!$AI$6:$AM$102, 5, FALSE)*S29*AD29), "")), 2), "")</f>
        <v/>
      </c>
      <c r="FW29" s="253" t="str">
        <f>IFERROR(ROUND(IF(CD29="ERROR", "ERROR", IF($FW$6=Y29, IF(BS29="N", 'Lookup Tables'!$AM$101*BP29, MIN((VLOOKUP(W29, 'Lookup Tables'!$AI$6:$AM$102, 5, FALSE)*BP29),GB29*AJ29)), "")), 2), "")</f>
        <v/>
      </c>
      <c r="FX29" s="253" t="str">
        <f>IFERROR(ROUND(IF(CD29="ERROR", "ERROR", IF(AND($FX$6=Y29, E29="Interior"), IF(VLOOKUP(W29, 'Lookup Tables'!$AI$6:$AM$102, 5, FALSE)*BP29&gt;'Lookup Tables'!$AQ$97*'Lighting Inventory'!S29,'Lighting Inventory'!S29*'Lookup Tables'!$AQ$97,VLOOKUP(W29, 'Lookup Tables'!$AI$6:$AM$102, 5, FALSE)*BP29), "")), 2), "")</f>
        <v/>
      </c>
      <c r="FY29" s="253" t="str">
        <f>IFERROR(ROUND(IF(CD29="ERROR", "ERROR", IF(AND($FX$6=Y29, E29="Exterior"), IF(VLOOKUP(W29, 'Lookup Tables'!$AI$6:$AM$102, 5, FALSE)*BP29&gt;'Lookup Tables'!$AQ$97*'Lighting Inventory'!S29,'Lighting Inventory'!S29*'Lookup Tables'!$AQ$97,VLOOKUP(W29, 'Lookup Tables'!$AI$6:$AM$102, 5, FALSE)*BP29), "")), 2), "")</f>
        <v/>
      </c>
      <c r="FZ29" s="253" t="str">
        <f>IFERROR(ROUND(IF(CD29="ERROR", "ERROR", IF(AND($FZ$6=Y29, E29="Interior"), IF(AND(OR(W29="Refrigerated Case Lighting with Doors", W29="Freezer Case Lighting"),Y29="Custom - Process Improvement"),CD29*'Lookup Tables'!$AM$101, IF(B29="Retrofit", IF(VLOOKUP(IF(V29="Custom", V29, W29), 'Lookup Tables'!$AI$6:$AM$102, 5, FALSE)*BP29&gt;GE29, GE29, VLOOKUP(IF(V29="Custom", V29, W29), 'Lookup Tables'!$AI$6:$AM$102, 5, FALSE)*BP29), IF(VLOOKUP(IF(V29="Custom", V29, W29), 'Lookup Tables'!$AI$114:$AM$154, 5, FALSE)*BP29&gt;GE29, GE29, VLOOKUP(IF(V29="Custom", V29, W29), 'Lookup Tables'!$AI$114:$AM$154, 5, FALSE)*BP29))), "")), 2),"")</f>
        <v/>
      </c>
      <c r="GA29" s="253" t="str">
        <f>IFERROR(ROUND(IF(CD29="ERROR", "ERROR", IF(AND($FZ$6=Y29, E29="Exterior"), IF(B29="Retrofit", IF(VLOOKUP(IF(V29="Custom", V29, W29), 'Lookup Tables'!$AI$6:$AM$102, 5, FALSE)*BP29&gt;GE29, GE29, VLOOKUP(IF(V29="Custom", V29, W29), 'Lookup Tables'!$AI$6:$AM$102, 5, FALSE)*BP29), IF(VLOOKUP(IF(V29="Custom", V29, W29), 'Lookup Tables'!$AI$114:$AM$154, 5, FALSE)*BP29&gt;GE29, GE29, VLOOKUP(IF(V29="Custom", V29, W29), 'Lookup Tables'!$AI$114:$AM$154, 5, FALSE)*BP29)), "")), 2),"")</f>
        <v/>
      </c>
      <c r="GB29" s="254" t="str">
        <f t="array" ref="GB29">IF(B29="","",IF(OR(V29="Custom",V29="No Change"),0,IF(B29="Retrofit", INDEX('Lookup Tables'!$AH$6:$AQ$102,MATCH(1,('Lookup Tables'!$AH$6:$AH$102='Lighting Inventory'!V29)*('Lookup Tables'!$AI$6:$AI$102='Lighting Inventory'!W29),FALSE),10),INDEX('Lookup Tables'!$AH$114:$AQ$154,MATCH(1,('Lookup Tables'!$AH$114:$AH$154='Lighting Inventory'!V29)*('Lookup Tables'!$AI$114:$AI$154='Lighting Inventory'!W29),FALSE),10))))</f>
        <v/>
      </c>
      <c r="GC29" s="255" t="str">
        <f t="shared" si="77"/>
        <v/>
      </c>
      <c r="GD29" s="250" t="str">
        <f t="shared" si="78"/>
        <v/>
      </c>
      <c r="GE29" s="253" t="str">
        <f>IFERROR(IF(AND(AF29="", 'General Information'!$F$18="No"),"", IF(AF29="", ((GD29/$CD$266)*$CF$266)*0.5, AF29*S29*0.5)), "")</f>
        <v/>
      </c>
      <c r="GF29" s="255" t="str">
        <f>IF(AND('General Information'!$F$19="", 'General Information'!$F$18="Yes",AF29="",BW29="Y"), "Y", "N")</f>
        <v>N</v>
      </c>
      <c r="GG29" s="255" t="s">
        <v>2946</v>
      </c>
      <c r="GH29" s="255" t="str">
        <f>IFERROR(IF(B29="", "", VLOOKUP(J29, 'Fixture Identities'!$A$6:$N$908, 14, FALSE)), "")</f>
        <v/>
      </c>
      <c r="GI29" s="389" t="str">
        <f>IF(OR(B29="", V29="", W29=""), "", IF(AND(OR(M29='Lookup Tables'!$R$18, M29='Lookup Tables'!$R$19, M29='Lookup Tables'!$R$20, M29='Lookup Tables'!$R$21, M29='Lookup Tables'!$R$22), OR(AN29='Lookup Tables'!$R$17, AN29='Lookup Tables'!$R$17, AN29="")), "Y", "N"))</f>
        <v/>
      </c>
      <c r="GJ29" s="255" t="str">
        <f t="shared" si="79"/>
        <v/>
      </c>
      <c r="GK29" s="255" t="str">
        <f t="shared" si="80"/>
        <v/>
      </c>
      <c r="GL29" s="255" t="str">
        <f t="shared" si="81"/>
        <v/>
      </c>
      <c r="GM29" s="255" t="str">
        <f>IF(AN29="", "", IF(AND(IF(ISNA(VLOOKUP(AN29,'Lookup Tables'!$R$18:$R$22,1,FALSE)), "N", "Y")="Y", E29="Exterior"), "Y", "N"))</f>
        <v/>
      </c>
      <c r="GN29" s="395"/>
      <c r="GO29" s="428">
        <f t="shared" si="98"/>
        <v>0</v>
      </c>
      <c r="GP29" s="428">
        <f t="shared" si="167"/>
        <v>0</v>
      </c>
      <c r="GQ29" s="428">
        <f t="shared" si="99"/>
        <v>0</v>
      </c>
      <c r="GR29" s="428">
        <f t="shared" si="100"/>
        <v>0</v>
      </c>
    </row>
    <row r="30" spans="1:200" s="103" customFormat="1" ht="13.5" customHeight="1" x14ac:dyDescent="0.2">
      <c r="A30" s="272">
        <v>20</v>
      </c>
      <c r="B30" s="110"/>
      <c r="C30" s="110"/>
      <c r="D30" s="110"/>
      <c r="E30" s="110"/>
      <c r="F30" s="110"/>
      <c r="G30" s="110"/>
      <c r="H30" s="110"/>
      <c r="I30" s="29"/>
      <c r="J30" s="29"/>
      <c r="K30" s="272" t="str">
        <f>IFERROR(IF(OR(VLOOKUP(J30, 'Fixture Identities'!$A$6:$L$1023, 3, FALSE)="T12 Linear Fluorescent", VLOOKUP(J30, 'Fixture Identities'!$A$6:$L$1023, 3, FALSE)="T12 U-Tube Fluorescent"), VLOOKUP(VLOOKUP(J30, 'Fixture Identities'!$A$6:$L$1023, 11, FALSE), 'Fixture Identities'!$A$6:$L$1023, 10, FALSE), VLOOKUP(J30, 'Fixture Identities'!$A$6:$L$1023, 10, FALSE)), "")</f>
        <v/>
      </c>
      <c r="L30" s="270" t="str">
        <f t="shared" si="169"/>
        <v/>
      </c>
      <c r="M30" s="110"/>
      <c r="N30" s="110"/>
      <c r="O30" s="110"/>
      <c r="P30" s="272" t="str">
        <f>IFERROR(IF(OR(B30="Retrofit",B30=""),"",IF('Lighting Inventory'!E30="Exterior",VLOOKUP('Lighting Inventory'!N30,'Lookup Tables'!$B$83:$F$103,5,FALSE),IF(N30="Other - Please Estimate EFLH and CFs","Contact Prog. Rep.","ft^2"))), "")</f>
        <v/>
      </c>
      <c r="Q30" s="270" t="str">
        <f>IFERROR(IF(AND(B30="New Construction",E30="Interior",$F$5="Space-by-Space"),VLOOKUP('Lighting Inventory'!N30,'Lookup Tables'!$N$6:$O$97,2,FALSE),IF(AND(B30="New Construction",E30="Exterior"),VLOOKUP(N30,'Lookup Tables'!$B$83:$F$103,2,FALSE),IF(AND(B30="New Construction",'Lighting Inventory'!E30="Interior", $F$5="Building Area"),VLOOKUP(F30,'Lookup Tables'!$A$6:$J$59,10,FALSE),""))), "")</f>
        <v/>
      </c>
      <c r="R30" s="270" t="str">
        <f>IFERROR(IF(P30="Contact Prog. Rep.", "ERROR", IF(OR(B30="",B30="Retrofit"),"",IF(N30="Automated teller machines", ('Lookup Tables'!$A$82:$E$100+('Lighting Inventory'!O30-1)*'Lookup Tables'!$A$82:$E$100)/1000, (Q30*O30)/1000))), "")</f>
        <v/>
      </c>
      <c r="S30" s="595"/>
      <c r="T30" s="105" t="str">
        <f t="shared" si="83"/>
        <v/>
      </c>
      <c r="U30" s="105" t="str">
        <f>IF(S30="","",COUNT($S$11:S30))</f>
        <v/>
      </c>
      <c r="V30" s="111"/>
      <c r="W30" s="112"/>
      <c r="X30" s="105" t="str">
        <f t="shared" si="84"/>
        <v/>
      </c>
      <c r="Y30" s="105" t="str">
        <f t="array" ref="Y30">IF(AND(OR(W30="Freezer Case Lighting", W30="Refrigerated Case Lighting with Doors"), 'General Information'!$X$18="LCI"),'Lookup Tables'!$Y$34, IF(V30="Custom", VLOOKUP(W30, 'Fixture Identities'!$A$974:$M$1023, 13, FALSE), IF(V30="No Change",'Lookup Tables'!$Y$29,IF(OR(V30="",W30=""),"",IF(AND(S30=0,S30&lt;I30,B30="Retrofit"),'Lookup Tables'!$Y$25, IF(B30="Retrofit", INDEX('Lookup Tables'!$AH$6:$AP$102, MATCH(1, ('Lookup Tables'!$AH$6:$AH$102=V30)*('Lookup Tables'!$AI$6:$AI$102=W30), 0), IF('Lighting Inventory'!E30="Interior", 4, 5)), INDEX('Lookup Tables'!$AH$114:$AP$154, MATCH(1, ('Lookup Tables'!$AH$114:$AH$154=V30)*('Lookup Tables'!$AI$114:$AI$154=W30), 0), IF('Lighting Inventory'!E30="Interior", 4, 5))))))))</f>
        <v/>
      </c>
      <c r="Z30" s="105" t="str">
        <f>IFERROR(INDEX('Lookup Tables'!$AH$158:$AH$172,MATCH('Lighting Inventory'!Y30,'Lookup Tables'!$AI$158:$AI$172,0)),"")</f>
        <v/>
      </c>
      <c r="AA30" s="105" t="str">
        <f>IF(AP30&gt;0,INDEX('Lookup Tables'!$AK$158:$AK$172,MATCH('Lighting Inventory'!Y30,'Lookup Tables'!$AI$158:$AI$172,0)),'Lighting Inventory'!Y30)</f>
        <v/>
      </c>
      <c r="AB30" s="105" t="str">
        <f t="array" ref="AB30">IF(V30="Custom", "Custom", IF(V30="", "", IF(V30="Not DLC or Energy Star", "General", IF(B30="New Construction", INDEX('Lookup Tables'!$AH$114:$AP$154,MATCH(1,('Lookup Tables'!$AH$114:$AH$154='Lighting Inventory'!V30)*('Lookup Tables'!$AI$114:$AI$154='Lighting Inventory'!W30),FALSE),8), INDEX('Lookup Tables'!$AH$6:$AP$102,MATCH(1,('Lookup Tables'!$AH$6:$AH$102='Lighting Inventory'!V30)*('Lookup Tables'!$AI$6:$AI$102='Lighting Inventory'!W30),FALSE),8)))))</f>
        <v/>
      </c>
      <c r="AC30" s="272" t="str">
        <f>IF(W30="","",IF(V30="Custom",CONCATENATE("$",'Lookup Tables'!$AM$101," ",'Lookup Tables'!$AN$101),CONCATENATE("$",INDEX('Lookup Tables'!$AM$6:$AM$102,MATCH('Lighting Inventory'!W30,'Lookup Tables'!$AI$6:$AI$102,0))," ",INDEX('Lookup Tables'!$AN$6:$AN$102,MATCH('Lighting Inventory'!W30,'Lookup Tables'!$AI$6:$AI$102,0)))))</f>
        <v/>
      </c>
      <c r="AD30" s="72"/>
      <c r="AE30" s="29"/>
      <c r="AF30" s="379"/>
      <c r="AG30" s="370" t="str">
        <f t="shared" si="2"/>
        <v/>
      </c>
      <c r="AH30" s="370" t="str">
        <f t="shared" si="85"/>
        <v/>
      </c>
      <c r="AI30" s="29"/>
      <c r="AJ30" s="29"/>
      <c r="AK30" s="110"/>
      <c r="AL30" s="375" t="str">
        <f>IF(OR(B30="", V30="", W30=""), "", IF(V30="No Change", K30, IF(V30="Remove Fixture", 0, IF(V30="Custom",VLOOKUP(W30,'Fixture Identities'!$A$6:$K$1023,10,FALSE),IF(AE30="", "← ENTER POST WATTS", 'Lighting Inventory'!AE30)))))</f>
        <v/>
      </c>
      <c r="AM30" s="376" t="str">
        <f t="shared" si="3"/>
        <v/>
      </c>
      <c r="AN30" s="29"/>
      <c r="AO30" s="671"/>
      <c r="AP30" s="29"/>
      <c r="AQ30" s="29"/>
      <c r="AR30" s="29"/>
      <c r="AS30" s="272" t="str">
        <f t="shared" si="4"/>
        <v/>
      </c>
      <c r="AT30" s="270" t="str">
        <f t="shared" si="234"/>
        <v/>
      </c>
      <c r="AU30" s="88" t="str">
        <f t="shared" si="235"/>
        <v/>
      </c>
      <c r="AV30" s="29"/>
      <c r="AW30" s="73"/>
      <c r="AX30" s="271" t="str">
        <f>IF(AND(AV30="Applicant",OR(AW30="", AW30="Use Default Facility Hours")),"← Choose Schedule",IF(F30="","",IF(W30="LED Exit Signs",8760,IF(OR(AV30="Prescribed",AV30=""),VLOOKUP(F30,'Lookup Tables'!$A$6:$G$59,IF(AB30="General", 6, 3),FALSE),VLOOKUP(AW30,'Lookup Tables'!$S$36:$U$43,2,FALSE)))))</f>
        <v/>
      </c>
      <c r="AY30" s="88" t="str">
        <f t="shared" si="7"/>
        <v/>
      </c>
      <c r="AZ30" s="270" t="str">
        <f>IFERROR(IF(F30="", "", IF(W30="LED Exit Signs", 1, IF(AV30="Applicant",VLOOKUP(AW30, 'Lookup Tables'!$S$36:$U$43,3, FALSE), VLOOKUP('Lighting Inventory'!F30, 'Lookup Tables'!$A$6:$H$59, IF('Lighting Inventory'!AB30="General",7,4), FALSE)))), "")</f>
        <v/>
      </c>
      <c r="BA30" s="522" t="str">
        <f>IFERROR(IF(F30="", "", IF(W30="LED Exit Signs", 1, VLOOKUP('Lighting Inventory'!F30, 'Lookup Tables'!$A$6:$H$59, IF('Lighting Inventory'!AB30="General",8,5), FALSE))), "")</f>
        <v/>
      </c>
      <c r="BB30" s="270" t="str">
        <f>IF(G30="", "", IF(E30="Exterior", 0, IF('Lighting Inventory'!G30="Air Conditioned", VLOOKUP(H30, 'Lookup Tables'!$R$6:$T$13, 2, FALSE), VLOOKUP('Lighting Inventory'!G30, 'Lookup Tables'!$R$6:$T$13, 2, FALSE))))</f>
        <v/>
      </c>
      <c r="BC30" s="522" t="str">
        <f>IF(G30="", "", IF(E30="Exterior", 0, IF('Lighting Inventory'!G30="Air Conditioned", VLOOKUP(H30, 'Lookup Tables'!$R$6:$T$13, 3, FALSE), VLOOKUP('Lighting Inventory'!G30, 'Lookup Tables'!$R$6:$T$13, 3, FALSE))))</f>
        <v/>
      </c>
      <c r="BD30" s="270" t="str">
        <f>IF(G30="", "", IF(E30="Exterior", 0, IF('Lighting Inventory'!G30="Air Conditioned", VLOOKUP(H30, 'Lookup Tables'!$R$6:$U$13, 4, FALSE), VLOOKUP('Lighting Inventory'!G30, 'Lookup Tables'!$R$6:$U$13, 4, FALSE))))</f>
        <v/>
      </c>
      <c r="BE30" s="270" t="str">
        <f>IFERROR(IF(B30="", "",  IF(B30="New Construction", VLOOKUP(F30, 'Lookup Tables'!$A$6:$K$59, 11, FALSE),IF(OR(AN30="", AN30="Light Switch"), 0, IF(OR(M30="",M30="None",V30= "LED Exit Signs"),0,_xlfn.XLOOKUP(M30,'Lookup Tables'!$R$91:$R$101,'Lookup Tables'!$V$91:$V$101))))), "")</f>
        <v/>
      </c>
      <c r="BF30" s="270" t="str">
        <f>IF(AND(OR(AN30="Light Switch",AN30=""),B30="New Construction"), VLOOKUP(F30, 'Lookup Tables'!$A$6:$K$59, 11, FALSE),IF(AN30="","",IF(B30="","",IF(OR(AN30="None",AN30="",V30="LED Exit Signs",AN30="Exterior Controls Not Eligible"),0,_xlfn.XLOOKUP(AN30,'Lookup Tables'!$R$91:$R$101,'Lookup Tables'!$V$91:$V$101)))))</f>
        <v/>
      </c>
      <c r="BG30" s="88" t="str">
        <f t="shared" si="86"/>
        <v/>
      </c>
      <c r="BH30" s="88" t="str">
        <f t="shared" si="87"/>
        <v/>
      </c>
      <c r="BI30" s="558" t="str">
        <f t="shared" si="168"/>
        <v/>
      </c>
      <c r="BJ30" s="560" t="str">
        <f t="shared" si="88"/>
        <v/>
      </c>
      <c r="BK30" s="560" t="str">
        <f t="shared" si="89"/>
        <v/>
      </c>
      <c r="BL30" s="559" t="str">
        <f t="shared" si="90"/>
        <v/>
      </c>
      <c r="BM30" s="521" t="str">
        <f t="shared" si="8"/>
        <v/>
      </c>
      <c r="BN30" s="521" t="str">
        <f t="shared" si="9"/>
        <v/>
      </c>
      <c r="BO30" s="522" t="str">
        <f t="shared" si="10"/>
        <v/>
      </c>
      <c r="BP30" s="83" t="str">
        <f t="shared" si="91"/>
        <v/>
      </c>
      <c r="BQ30" s="84" t="str">
        <f t="shared" si="92"/>
        <v/>
      </c>
      <c r="BR30" s="184" t="str">
        <f>IFERROR(IF(B30="", "", IF(OR(VLOOKUP(J30, 'Fixture Identities'!$A$6:$L$1023, 3, FALSE)="T12 Linear Fluorescent",VLOOKUP(J30, 'Fixture Identities'!$A$6:$L$1023, 3, FALSE)="T12 U-Tube Fluorescent"), "Y", "N")), "N")</f>
        <v/>
      </c>
      <c r="BS30" s="184" t="str">
        <f t="array" ref="BS30">IFERROR(IF(OR(B30="", V30="", W30=""), "", IF(V30="Custom", "N", IF(OR(W30="Freezer Case Lighting", W30="Refrigerated Case Lighting with Doors"), BT30, IF(B30="Retrofit", INDEX('Lookup Tables'!$AH$6:$AT$102,MATCH(1,('Lookup Tables'!$AH$6:$AH$102=V30)*('Lookup Tables'!$AI$6:$AI$102=W30),FALSE),IF(VLOOKUP(J30, 'Fixture Identities'!$A$6:$B$1023, 2, FALSE)="Incandescent",12, 13)), INDEX('Lookup Tables'!$AH$114:$AS$154,MATCH(1,('Lookup Tables'!$AH$114:$AH$154=V30)*('Lookup Tables'!$AI$114:$AI$154=W30),FALSE),12))))), "N")</f>
        <v/>
      </c>
      <c r="BT30" s="184" t="str">
        <f>IF(J30="", "", IF(AND(OR(W30="Freezer case Lighting", W30="Refrigerated Case Lighting with Doors"),'General Information'!$X$18="LCI"), "N", IF(OR(VLOOKUP(J30, 'Fixture Identities'!$A$6:$B$1023, 2, FALSE)="T12 EPACT/EISA Baseline", VLOOKUP(J30, 'Fixture Identities'!$A$6:$B$1023, 2, FALSE)="Linear Fluorescent", VLOOKUP(J30, 'Fixture Identities'!$A$6:$B$1023, 2, FALSE)="U-Tube Fluorescent"), "Y", "N")))</f>
        <v/>
      </c>
      <c r="BU30" s="184" t="str">
        <f>IFERROR(IF(B30="", "", IF(VLOOKUP(J30, 'Fixture Identities'!$A$6:$B$1023, 2, FALSE)="Exit Sign", "Y", "N")), "N")</f>
        <v/>
      </c>
      <c r="BV30" s="184" t="str">
        <f>IF(V30="Exit Signs", IF(VLOOKUP(J30, 'Fixture Identities'!$A$6:$B$1023, 2, FALSE)="Exit Sign", "N", "Y"), "")</f>
        <v/>
      </c>
      <c r="BW30" s="184" t="str">
        <f t="array" ref="BW30">IFERROR(IF(B30="", "", IF(B30="New Construction", "N", INDEX('Lookup Tables'!$AH$6:$AU$102, MATCH(1, ('Lookup Tables'!$AH$6:$AH$102='Lighting Inventory'!V30)*('Lookup Tables'!$AI$6:$AI$102='Lighting Inventory'!W30), 0), 14))), "N")</f>
        <v/>
      </c>
      <c r="BX30" s="598" t="str">
        <f t="shared" si="93"/>
        <v/>
      </c>
      <c r="BY30" s="598" t="str">
        <f t="shared" si="94"/>
        <v/>
      </c>
      <c r="BZ30" s="598" t="str">
        <f t="shared" si="95"/>
        <v/>
      </c>
      <c r="CA30" s="598" t="str">
        <f t="shared" si="101"/>
        <v/>
      </c>
      <c r="CB30" s="269" t="str">
        <f t="shared" si="102"/>
        <v/>
      </c>
      <c r="CC30" s="517" t="str">
        <f t="shared" si="96"/>
        <v/>
      </c>
      <c r="CD30" s="565" t="str">
        <f t="shared" si="11"/>
        <v/>
      </c>
      <c r="CE30" s="368">
        <v>0</v>
      </c>
      <c r="CF30" s="368" t="str" cm="1">
        <f t="array" ref="CF30">IFERROR(IF(V30="Custom", "$0.1 per kWh", IF(B30="New Construction", CONCATENATE("$",INDEX('Lookup Tables'!$AH$114:$AN$154,MATCH(1,('Lookup Tables'!$AH$114:$AH$154='Lighting Inventory'!V30)*('Lookup Tables'!$AI$114:$AI$154='Lighting Inventory'!W30),FALSE),6)," ",INDEX('Lookup Tables'!$AH$114:$AN$154,MATCH(1,('Lookup Tables'!$AH$114:$AH$154='Lighting Inventory'!V30)*('Lookup Tables'!$AI$114:$AI$154='Lighting Inventory'!W30),FALSE),7)), IF(AND(BU30="N", V30="Exit Signs"), "$0.025 per kWh", CONCATENATE("$",INDEX('Lookup Tables'!$AH$6:$AN$102,MATCH(1,('Lookup Tables'!$AH$6:$AH$102='Lighting Inventory'!V30)*('Lookup Tables'!$AI$6:$AI$102='Lighting Inventory'!W30),FALSE),6)," ",INDEX('Lookup Tables'!$AH$6:$AN$102,MATCH(1,('Lookup Tables'!$AH$6:$AH$102='Lighting Inventory'!V30)*('Lookup Tables'!$AI$6:$AI$102='Lighting Inventory'!W30),FALSE),7))))), "")</f>
        <v/>
      </c>
      <c r="CG30" s="366"/>
      <c r="CH30" s="248" t="str">
        <f t="shared" si="170"/>
        <v/>
      </c>
      <c r="CI30" s="248" t="str">
        <f t="shared" si="171"/>
        <v>Select_IE</v>
      </c>
      <c r="CJ30" s="248" t="str">
        <f t="shared" si="172"/>
        <v/>
      </c>
      <c r="CK30" s="248" t="str">
        <f t="shared" si="173"/>
        <v/>
      </c>
      <c r="CL30" s="248" t="str">
        <f t="shared" si="174"/>
        <v/>
      </c>
      <c r="CM30" s="248" t="str">
        <f>IFERROR(IF(B30="", "", IF(B30="New Construction", VLOOKUP(V30, 'Lookup Tables'!$AF$114:$AG$120, 2, FALSE), VLOOKUP(V30, 'Lookup Tables'!$AD$6:$AE$25, 2, FALSE))), "")</f>
        <v/>
      </c>
      <c r="CN30" s="248" t="str">
        <f t="shared" si="175"/>
        <v/>
      </c>
      <c r="CO30" s="248" t="str">
        <f t="shared" si="176"/>
        <v/>
      </c>
      <c r="CP30" s="592" t="str">
        <f t="shared" si="177"/>
        <v/>
      </c>
      <c r="CQ30" s="248" t="str">
        <f t="shared" si="97"/>
        <v/>
      </c>
      <c r="CR30" s="249"/>
      <c r="CS30" s="250" t="str">
        <f t="shared" si="178"/>
        <v/>
      </c>
      <c r="CT30" s="250" t="str">
        <f t="shared" si="179"/>
        <v/>
      </c>
      <c r="CU30" s="250" t="str">
        <f t="shared" si="180"/>
        <v/>
      </c>
      <c r="CV30" s="250" t="str">
        <f t="shared" si="181"/>
        <v/>
      </c>
      <c r="CW30" s="250" t="str">
        <f t="shared" si="182"/>
        <v/>
      </c>
      <c r="CX30" s="250" t="str">
        <f t="shared" si="183"/>
        <v/>
      </c>
      <c r="CY30" s="250" t="str">
        <f t="shared" si="184"/>
        <v/>
      </c>
      <c r="CZ30" s="250" t="str">
        <f t="shared" si="185"/>
        <v/>
      </c>
      <c r="DA30" s="250" t="str">
        <f t="shared" si="186"/>
        <v/>
      </c>
      <c r="DB30" s="250" t="str">
        <f t="shared" si="187"/>
        <v/>
      </c>
      <c r="DC30" s="250" t="str">
        <f t="shared" si="188"/>
        <v/>
      </c>
      <c r="DD30" s="250" t="str">
        <f t="shared" si="189"/>
        <v/>
      </c>
      <c r="DE30" s="250" t="str">
        <f t="shared" si="190"/>
        <v/>
      </c>
      <c r="DF30" s="250" t="str">
        <f t="shared" si="191"/>
        <v/>
      </c>
      <c r="DG30" s="250" t="str">
        <f t="shared" si="192"/>
        <v/>
      </c>
      <c r="DH30" s="250" t="str">
        <f t="shared" si="193"/>
        <v/>
      </c>
      <c r="DI30" s="250" t="str">
        <f t="shared" si="194"/>
        <v/>
      </c>
      <c r="DJ30" s="250" t="str">
        <f t="shared" si="195"/>
        <v/>
      </c>
      <c r="DK30" s="250" t="str">
        <f t="shared" si="196"/>
        <v/>
      </c>
      <c r="DL30" s="250" t="str">
        <f t="shared" si="197"/>
        <v/>
      </c>
      <c r="DM30" s="250" t="str">
        <f>IF(CD30="ERROR", "ERROR", IF(AND(OR(Y30=$DM$6, Y30='Lookup Tables'!$AD$21, Y30='Lookup Tables'!$AD$22), E30="Interior"), BJ30, ""))</f>
        <v/>
      </c>
      <c r="DN30" s="250" t="str">
        <f>IF(CD30="ERROR", "ERROR", IF(AND(OR(Y30=$DM$6, Y30='Lookup Tables'!$AD$21, Y30='Lookup Tables'!$AD$22), E30="Exterior"), BJ30, ""))</f>
        <v/>
      </c>
      <c r="DO30" s="249"/>
      <c r="DP30" s="250" t="str">
        <f t="shared" si="198"/>
        <v/>
      </c>
      <c r="DQ30" s="250" t="str">
        <f t="shared" si="199"/>
        <v/>
      </c>
      <c r="DR30" s="250" t="str">
        <f t="shared" si="200"/>
        <v/>
      </c>
      <c r="DS30" s="250" t="str">
        <f t="shared" si="201"/>
        <v/>
      </c>
      <c r="DT30" s="250" t="str">
        <f t="shared" si="202"/>
        <v/>
      </c>
      <c r="DU30" s="250" t="str">
        <f t="shared" si="203"/>
        <v/>
      </c>
      <c r="DV30" s="250" t="str">
        <f t="shared" si="204"/>
        <v/>
      </c>
      <c r="DW30" s="250" t="str">
        <f t="shared" si="205"/>
        <v/>
      </c>
      <c r="DX30" s="250" t="str">
        <f t="shared" si="206"/>
        <v/>
      </c>
      <c r="DY30" s="250" t="str">
        <f t="shared" si="207"/>
        <v/>
      </c>
      <c r="DZ30" s="250" t="str">
        <f t="shared" si="208"/>
        <v/>
      </c>
      <c r="EA30" s="250" t="str">
        <f t="shared" si="209"/>
        <v/>
      </c>
      <c r="EB30" s="250" t="str">
        <f t="shared" si="210"/>
        <v/>
      </c>
      <c r="EC30" s="250" t="str">
        <f t="shared" si="211"/>
        <v/>
      </c>
      <c r="ED30" s="250" t="str">
        <f t="shared" si="212"/>
        <v/>
      </c>
      <c r="EE30" s="250" t="str">
        <f t="shared" si="213"/>
        <v/>
      </c>
      <c r="EF30" s="250" t="str">
        <f t="shared" si="214"/>
        <v/>
      </c>
      <c r="EG30" s="250" t="str">
        <f t="shared" si="215"/>
        <v/>
      </c>
      <c r="EH30" s="250" t="str">
        <f>IF(CD30="ERROR", "ERROR", IF(AND(OR($EH$6=Y30, Y30='Lookup Tables'!$AD$21, Y30='Lookup Tables'!$AD$22),E30="Interior"), SUM(BP30:BP30), ""))</f>
        <v/>
      </c>
      <c r="EI30" s="250" t="str">
        <f>IF(CD30="ERROR", "ERROR", IF(AND(OR($EH$6=Y30, Y30='Lookup Tables'!$AD$21, Y30='Lookup Tables'!$AD$22),E30="Exterior"), SUM(BP30:BP30), ""))</f>
        <v/>
      </c>
      <c r="EJ30" s="109"/>
      <c r="EK30" s="485" t="str">
        <f t="shared" si="58"/>
        <v/>
      </c>
      <c r="EL30" s="252" t="str">
        <f t="shared" si="216"/>
        <v/>
      </c>
      <c r="EM30" s="252" t="str">
        <f t="shared" si="217"/>
        <v/>
      </c>
      <c r="EN30" s="252" t="str">
        <f t="shared" si="218"/>
        <v/>
      </c>
      <c r="EO30" s="252" t="str">
        <f t="shared" si="219"/>
        <v/>
      </c>
      <c r="EP30" s="252" t="str">
        <f t="shared" si="220"/>
        <v/>
      </c>
      <c r="EQ30" s="252" t="str">
        <f t="shared" si="221"/>
        <v/>
      </c>
      <c r="ER30" s="252" t="str">
        <f t="shared" si="222"/>
        <v/>
      </c>
      <c r="ES30" s="252" t="str">
        <f t="shared" si="223"/>
        <v/>
      </c>
      <c r="ET30" s="252" t="str">
        <f t="shared" si="224"/>
        <v/>
      </c>
      <c r="EU30" s="252" t="str">
        <f t="shared" si="225"/>
        <v/>
      </c>
      <c r="EV30" s="252" t="str">
        <f t="shared" si="226"/>
        <v/>
      </c>
      <c r="EW30" s="252" t="str">
        <f t="shared" si="227"/>
        <v/>
      </c>
      <c r="EX30" s="252" t="str">
        <f t="shared" si="228"/>
        <v/>
      </c>
      <c r="EY30" s="252" t="str">
        <f t="shared" si="229"/>
        <v/>
      </c>
      <c r="EZ30" s="252" t="str">
        <f t="shared" si="230"/>
        <v/>
      </c>
      <c r="FA30" s="252" t="str">
        <f t="shared" si="231"/>
        <v/>
      </c>
      <c r="FB30" s="252" t="str">
        <f t="shared" si="232"/>
        <v/>
      </c>
      <c r="FC30" s="252" t="str">
        <f>IF(CD30="ERROR", "ERROR", IF(OR(V30="No Change", V30="Not DLC or Energy Star"), "", IF(AND(OR($FC$6=Y30,Y30='Lookup Tables'!$AD$21, Y30='Lookup Tables'!$AD$22),E30="Interior"), S30, "")))</f>
        <v/>
      </c>
      <c r="FD30" s="252" t="str">
        <f t="shared" si="233"/>
        <v/>
      </c>
      <c r="FE30" s="1"/>
      <c r="FF30" s="579" t="str" cm="1">
        <f t="array" ref="FF30">IFERROR(IF(OR(BQ30&lt;=0,AQ30&lt;20,AND(V30="Exit Signs",AN30&gt;0)),"",IF(AND(AQ30&gt;=20,AN30='Lookup Tables'!$R$101),'Lookup Tables'!$U$101*BQ30,AP30*LOOKUP(2,1/((AN30='Lookup Tables'!$R$91:$R$111)*(AQ30&gt;='Lookup Tables'!$S$91:$S$111)*(AQ30&lt;='Lookup Tables'!$T$91:$T$111)),'Lookup Tables'!$U$91:$U$111))),"")</f>
        <v/>
      </c>
      <c r="FG30" s="579"/>
      <c r="FH30" s="579"/>
      <c r="FI30" s="253" t="str">
        <f>IFERROR(ROUND(IF(CD30="ERROR", "ERROR", IF(AND($FI$7=X30,E30="Interior"),VLOOKUP(W30, 'Lookup Tables'!$AI$6:$AM$102, 5, FALSE)*BP30, "")), 2), "")</f>
        <v/>
      </c>
      <c r="FJ30" s="253" t="str">
        <f>IFERROR(ROUND(IF(CD30="ERROR", "ERROR", IF(AND($FI$7=X30,E30="Exterior"),VLOOKUP(W30, 'Lookup Tables'!$AI$6:$AM$102, 5, FALSE)*BP30, "")), 2), "")</f>
        <v/>
      </c>
      <c r="FK30" s="253" t="str">
        <f>IFERROR(ROUND(IF(CD30="ERROR", "ERROR", IF(AND($FK$7=X30,E30="Interior"),VLOOKUP(W30, 'Lookup Tables'!$AI$6:$AM$102, 5, FALSE)*BP30, "")), 2), "")</f>
        <v/>
      </c>
      <c r="FL30" s="253" t="str">
        <f>IFERROR(ROUND(IF(CD30="ERROR", "ERROR", IF(AND($FK$7=X30,E30="Exterior"),VLOOKUP(W30, 'Lookup Tables'!$AI$6:$AM$102, 5, FALSE)*BP30, "")), 2), "")</f>
        <v/>
      </c>
      <c r="FM30" s="253" t="str">
        <f>IFERROR(ROUND(IF(CD30="ERROR", "ERROR", IF(AND($FM$6=Y30,E30="Interior"), IF(GB30=0, VLOOKUP(W30, 'Lookup Tables'!$AI$6:$AM$102, 5, FALSE)*BP30, IF(VLOOKUP(W30, 'Lookup Tables'!$AI$6:$AM$102, 5, FALSE)*BP30&gt;GB30*'Lighting Inventory'!S30, GB30*'Lighting Inventory'!S30,VLOOKUP(W30, 'Lookup Tables'!$AI$6:$AM$102, 5, FALSE)*BP30)), "")), 2), "")</f>
        <v/>
      </c>
      <c r="FN30" s="253" t="str">
        <f>IFERROR(ROUND(IF(CD30="ERROR", "ERROR", IF(AND($FM$6=Y30,E30="Exterior"), IF(GB30=0, VLOOKUP(W30, 'Lookup Tables'!$AI$6:$AM$102, 5, FALSE)*BP30, IF(VLOOKUP(W30, 'Lookup Tables'!$AI$6:$AM$102, 5, FALSE)*BP30&gt;GB30*'Lighting Inventory'!S30, GB30*'Lighting Inventory'!S30,VLOOKUP(W30, 'Lookup Tables'!$AI$6:$AM$102, 5, FALSE)*BP30)), "")), 2), "")</f>
        <v/>
      </c>
      <c r="FO30" s="253" t="str">
        <f>IFERROR(ROUND(IF(CD30="ERROR", "ERROR", IF(AND($FO$6=Y30,E30="Interior"),VLOOKUP(W30, 'Lookup Tables'!$AI$6:$AM$102, 5, FALSE)*'Lighting Inventory'!AI30, "")), 2), "")</f>
        <v/>
      </c>
      <c r="FP30" s="253" t="str">
        <f>IFERROR(ROUND(IF(CD30="ERROR", "ERROR", IF(AND($FO$6=Y30,E30="Exterior"),VLOOKUP(W30, 'Lookup Tables'!$AI$6:$AM$102, 5, FALSE)*'Lighting Inventory'!AI30, "")), 2), "")</f>
        <v/>
      </c>
      <c r="FQ30" s="253" t="str">
        <f>IFERROR(ROUND(IF(CD30="ERROR", "ERROR", IF(AND($FQ$6=Y30,E30="Interior", BU30="Y"), VLOOKUP('Lighting Inventory'!W30, 'Lookup Tables'!$AI$6:$AM$102, 5, FALSE)*'Lighting Inventory'!S30, IF(AND($FQ$7=Y30,E30="Interior", BU30="N"), 0.025*CD30, ""))), 2), "")</f>
        <v/>
      </c>
      <c r="FR30" s="253" t="str">
        <f>IFERROR(ROUND(IF(CD30="ERROR", "ERROR", IF(AND($FQ$6=Y30,E30="Exterior"), VLOOKUP('Lighting Inventory'!W30, 'Lookup Tables'!$AI$6:$AM$102, 5, FALSE)*'Lighting Inventory'!S30, "")), 2), "")</f>
        <v/>
      </c>
      <c r="FS30" s="253" t="str">
        <f>IFERROR(ROUND(IF(CD30="ERROR", "ERROR", IF(AND($FS$6=Y30,E30="Exterior"), IF(GB30=0, VLOOKUP(W30, 'Lookup Tables'!$AI$6:$AM$102, 5, FALSE)*BP30, IF(VLOOKUP(W30, 'Lookup Tables'!$AI$6:$AM$102, 5, FALSE)*BP30&gt;GB30*'Lighting Inventory'!S30, GB30*'Lighting Inventory'!S30,VLOOKUP(W30, 'Lookup Tables'!$AI$6:$AM$102, 5, FALSE)*BP30)), "")), 2), "")</f>
        <v/>
      </c>
      <c r="FT30" s="253" t="str">
        <f>IFERROR(ROUND(IF(CD30="ERROR", "ERROR", IF(AND($FT$6=Y30,E30="Interior"), IF(GB30=0, VLOOKUP(W30, 'Lookup Tables'!$AI$6:$AM$102, 5, FALSE)*BP30, IF(VLOOKUP(W30, 'Lookup Tables'!$AI$6:$AM$102, 5, FALSE)*BP30&gt;GB30*'Lighting Inventory'!S30, GB30*'Lighting Inventory'!S30,VLOOKUP(W30, 'Lookup Tables'!$AI$6:$AM$102, 5, FALSE)*BP30)), "")), 2), "")</f>
        <v/>
      </c>
      <c r="FU30" s="253" t="str">
        <f>IFERROR(ROUND(IF(CD30="ERROR", "ERROR", IF(AND(Y30=$FU$6, E30="Interior"), IF(BS30="N", 'Lookup Tables'!$AM$101*BP30, VLOOKUP(W30, 'Lookup Tables'!$AI$6:$AM$102, 5, FALSE)*S30*AD30), "")), 2), "")</f>
        <v/>
      </c>
      <c r="FV30" s="253" t="str">
        <f>IFERROR(ROUND(IF(CD30="ERROR", "ERROR", IF(AND(Y30=$FU$6, E30="Exterior"), IF(BS30="N", 'Lookup Tables'!$AM$101*BP30, VLOOKUP(W30, 'Lookup Tables'!$AI$6:$AM$102, 5, FALSE)*S30*AD30), "")), 2), "")</f>
        <v/>
      </c>
      <c r="FW30" s="253" t="str">
        <f>IFERROR(ROUND(IF(CD30="ERROR", "ERROR", IF($FW$6=Y30, IF(BS30="N", 'Lookup Tables'!$AM$101*BP30, MIN((VLOOKUP(W30, 'Lookup Tables'!$AI$6:$AM$102, 5, FALSE)*BP30),GB30*AJ30)), "")), 2), "")</f>
        <v/>
      </c>
      <c r="FX30" s="253" t="str">
        <f>IFERROR(ROUND(IF(CD30="ERROR", "ERROR", IF(AND($FX$6=Y30, E30="Interior"), IF(VLOOKUP(W30, 'Lookup Tables'!$AI$6:$AM$102, 5, FALSE)*BP30&gt;'Lookup Tables'!$AQ$97*'Lighting Inventory'!S30,'Lighting Inventory'!S30*'Lookup Tables'!$AQ$97,VLOOKUP(W30, 'Lookup Tables'!$AI$6:$AM$102, 5, FALSE)*BP30), "")), 2), "")</f>
        <v/>
      </c>
      <c r="FY30" s="253" t="str">
        <f>IFERROR(ROUND(IF(CD30="ERROR", "ERROR", IF(AND($FX$6=Y30, E30="Exterior"), IF(VLOOKUP(W30, 'Lookup Tables'!$AI$6:$AM$102, 5, FALSE)*BP30&gt;'Lookup Tables'!$AQ$97*'Lighting Inventory'!S30,'Lighting Inventory'!S30*'Lookup Tables'!$AQ$97,VLOOKUP(W30, 'Lookup Tables'!$AI$6:$AM$102, 5, FALSE)*BP30), "")), 2), "")</f>
        <v/>
      </c>
      <c r="FZ30" s="253" t="str">
        <f>IFERROR(ROUND(IF(CD30="ERROR", "ERROR", IF(AND($FZ$6=Y30, E30="Interior"), IF(AND(OR(W30="Refrigerated Case Lighting with Doors", W30="Freezer Case Lighting"),Y30="Custom - Process Improvement"),CD30*'Lookup Tables'!$AM$101, IF(B30="Retrofit", IF(VLOOKUP(IF(V30="Custom", V30, W30), 'Lookup Tables'!$AI$6:$AM$102, 5, FALSE)*BP30&gt;GE30, GE30, VLOOKUP(IF(V30="Custom", V30, W30), 'Lookup Tables'!$AI$6:$AM$102, 5, FALSE)*BP30), IF(VLOOKUP(IF(V30="Custom", V30, W30), 'Lookup Tables'!$AI$114:$AM$154, 5, FALSE)*BP30&gt;GE30, GE30, VLOOKUP(IF(V30="Custom", V30, W30), 'Lookup Tables'!$AI$114:$AM$154, 5, FALSE)*BP30))), "")), 2),"")</f>
        <v/>
      </c>
      <c r="GA30" s="253" t="str">
        <f>IFERROR(ROUND(IF(CD30="ERROR", "ERROR", IF(AND($FZ$6=Y30, E30="Exterior"), IF(B30="Retrofit", IF(VLOOKUP(IF(V30="Custom", V30, W30), 'Lookup Tables'!$AI$6:$AM$102, 5, FALSE)*BP30&gt;GE30, GE30, VLOOKUP(IF(V30="Custom", V30, W30), 'Lookup Tables'!$AI$6:$AM$102, 5, FALSE)*BP30), IF(VLOOKUP(IF(V30="Custom", V30, W30), 'Lookup Tables'!$AI$114:$AM$154, 5, FALSE)*BP30&gt;GE30, GE30, VLOOKUP(IF(V30="Custom", V30, W30), 'Lookup Tables'!$AI$114:$AM$154, 5, FALSE)*BP30)), "")), 2),"")</f>
        <v/>
      </c>
      <c r="GB30" s="254" t="str">
        <f t="array" ref="GB30">IF(B30="","",IF(OR(V30="Custom",V30="No Change"),0,IF(B30="Retrofit", INDEX('Lookup Tables'!$AH$6:$AQ$102,MATCH(1,('Lookup Tables'!$AH$6:$AH$102='Lighting Inventory'!V30)*('Lookup Tables'!$AI$6:$AI$102='Lighting Inventory'!W30),FALSE),10),INDEX('Lookup Tables'!$AH$114:$AQ$154,MATCH(1,('Lookup Tables'!$AH$114:$AH$154='Lighting Inventory'!V30)*('Lookup Tables'!$AI$114:$AI$154='Lighting Inventory'!W30),FALSE),10))))</f>
        <v/>
      </c>
      <c r="GC30" s="255" t="str">
        <f t="shared" si="77"/>
        <v/>
      </c>
      <c r="GD30" s="250" t="str">
        <f t="shared" si="78"/>
        <v/>
      </c>
      <c r="GE30" s="253" t="str">
        <f>IFERROR(IF(AND(AF30="", 'General Information'!$F$18="No"),"", IF(AF30="", ((GD30/$CD$266)*$CF$266)*0.5, AF30*S30*0.5)), "")</f>
        <v/>
      </c>
      <c r="GF30" s="255" t="str">
        <f>IF(AND('General Information'!$F$19="", 'General Information'!$F$18="Yes",AF30="",BW30="Y"), "Y", "N")</f>
        <v>N</v>
      </c>
      <c r="GG30" s="255" t="s">
        <v>2946</v>
      </c>
      <c r="GH30" s="255" t="str">
        <f>IFERROR(IF(B30="", "", VLOOKUP(J30, 'Fixture Identities'!$A$6:$N$908, 14, FALSE)), "")</f>
        <v/>
      </c>
      <c r="GI30" s="389" t="str">
        <f>IF(OR(B30="", V30="", W30=""), "", IF(AND(OR(M30='Lookup Tables'!$R$18, M30='Lookup Tables'!$R$19, M30='Lookup Tables'!$R$20, M30='Lookup Tables'!$R$21, M30='Lookup Tables'!$R$22), OR(AN30='Lookup Tables'!$R$17, AN30='Lookup Tables'!$R$17, AN30="")), "Y", "N"))</f>
        <v/>
      </c>
      <c r="GJ30" s="255" t="str">
        <f t="shared" si="79"/>
        <v/>
      </c>
      <c r="GK30" s="255" t="str">
        <f t="shared" si="80"/>
        <v/>
      </c>
      <c r="GL30" s="255" t="str">
        <f t="shared" si="81"/>
        <v/>
      </c>
      <c r="GM30" s="255" t="str">
        <f>IF(AN30="", "", IF(AND(IF(ISNA(VLOOKUP(AN30,'Lookup Tables'!$R$18:$R$22,1,FALSE)), "N", "Y")="Y", E30="Exterior"), "Y", "N"))</f>
        <v/>
      </c>
      <c r="GN30" s="395"/>
      <c r="GO30" s="428">
        <f t="shared" si="98"/>
        <v>0</v>
      </c>
      <c r="GP30" s="428">
        <f t="shared" si="167"/>
        <v>0</v>
      </c>
      <c r="GQ30" s="428">
        <f t="shared" si="99"/>
        <v>0</v>
      </c>
      <c r="GR30" s="428">
        <f t="shared" si="100"/>
        <v>0</v>
      </c>
    </row>
    <row r="31" spans="1:200" s="103" customFormat="1" ht="13.5" customHeight="1" x14ac:dyDescent="0.2">
      <c r="A31" s="272">
        <v>21</v>
      </c>
      <c r="B31" s="110"/>
      <c r="C31" s="110"/>
      <c r="D31" s="110"/>
      <c r="E31" s="110"/>
      <c r="F31" s="110"/>
      <c r="G31" s="110"/>
      <c r="H31" s="110"/>
      <c r="I31" s="29"/>
      <c r="J31" s="29"/>
      <c r="K31" s="272" t="str">
        <f>IFERROR(IF(OR(VLOOKUP(J31, 'Fixture Identities'!$A$6:$L$1023, 3, FALSE)="T12 Linear Fluorescent", VLOOKUP(J31, 'Fixture Identities'!$A$6:$L$1023, 3, FALSE)="T12 U-Tube Fluorescent"), VLOOKUP(VLOOKUP(J31, 'Fixture Identities'!$A$6:$L$1023, 11, FALSE), 'Fixture Identities'!$A$6:$L$1023, 10, FALSE), VLOOKUP(J31, 'Fixture Identities'!$A$6:$L$1023, 10, FALSE)), "")</f>
        <v/>
      </c>
      <c r="L31" s="270" t="str">
        <f t="shared" si="169"/>
        <v/>
      </c>
      <c r="M31" s="110"/>
      <c r="N31" s="110"/>
      <c r="O31" s="110"/>
      <c r="P31" s="272" t="str">
        <f>IFERROR(IF(OR(B31="Retrofit",B31=""),"",IF('Lighting Inventory'!E31="Exterior",VLOOKUP('Lighting Inventory'!N31,'Lookup Tables'!$B$83:$F$103,5,FALSE),IF(N31="Other - Please Estimate EFLH and CFs","Contact Prog. Rep.","ft^2"))), "")</f>
        <v/>
      </c>
      <c r="Q31" s="270" t="str">
        <f>IFERROR(IF(AND(B31="New Construction",E31="Interior",$F$5="Space-by-Space"),VLOOKUP('Lighting Inventory'!N31,'Lookup Tables'!$N$6:$O$97,2,FALSE),IF(AND(B31="New Construction",E31="Exterior"),VLOOKUP(N31,'Lookup Tables'!$B$83:$F$103,2,FALSE),IF(AND(B31="New Construction",'Lighting Inventory'!E31="Interior", $F$5="Building Area"),VLOOKUP(F31,'Lookup Tables'!$A$6:$J$59,10,FALSE),""))), "")</f>
        <v/>
      </c>
      <c r="R31" s="270" t="str">
        <f>IFERROR(IF(P31="Contact Prog. Rep.", "ERROR", IF(OR(B31="",B31="Retrofit"),"",IF(N31="Automated teller machines", ('Lookup Tables'!$A$82:$E$100+('Lighting Inventory'!O31-1)*'Lookup Tables'!$A$82:$E$100)/1000, (Q31*O31)/1000))), "")</f>
        <v/>
      </c>
      <c r="S31" s="595"/>
      <c r="T31" s="105" t="str">
        <f t="shared" si="83"/>
        <v/>
      </c>
      <c r="U31" s="105" t="str">
        <f>IF(S31="","",COUNT($S$11:S31))</f>
        <v/>
      </c>
      <c r="V31" s="111"/>
      <c r="W31" s="112"/>
      <c r="X31" s="105" t="str">
        <f t="shared" si="84"/>
        <v/>
      </c>
      <c r="Y31" s="105" t="str">
        <f t="array" ref="Y31">IF(AND(OR(W31="Freezer Case Lighting", W31="Refrigerated Case Lighting with Doors"), 'General Information'!$X$18="LCI"),'Lookup Tables'!$Y$34, IF(V31="Custom", VLOOKUP(W31, 'Fixture Identities'!$A$974:$M$1023, 13, FALSE), IF(V31="No Change",'Lookup Tables'!$Y$29,IF(OR(V31="",W31=""),"",IF(AND(S31=0,S31&lt;I31,B31="Retrofit"),'Lookup Tables'!$Y$25, IF(B31="Retrofit", INDEX('Lookup Tables'!$AH$6:$AP$102, MATCH(1, ('Lookup Tables'!$AH$6:$AH$102=V31)*('Lookup Tables'!$AI$6:$AI$102=W31), 0), IF('Lighting Inventory'!E31="Interior", 4, 5)), INDEX('Lookup Tables'!$AH$114:$AP$154, MATCH(1, ('Lookup Tables'!$AH$114:$AH$154=V31)*('Lookup Tables'!$AI$114:$AI$154=W31), 0), IF('Lighting Inventory'!E31="Interior", 4, 5))))))))</f>
        <v/>
      </c>
      <c r="Z31" s="105" t="str">
        <f>IFERROR(INDEX('Lookup Tables'!$AH$158:$AH$172,MATCH('Lighting Inventory'!Y31,'Lookup Tables'!$AI$158:$AI$172,0)),"")</f>
        <v/>
      </c>
      <c r="AA31" s="105" t="str">
        <f>IF(AP31&gt;0,INDEX('Lookup Tables'!$AK$158:$AK$172,MATCH('Lighting Inventory'!Y31,'Lookup Tables'!$AI$158:$AI$172,0)),'Lighting Inventory'!Y31)</f>
        <v/>
      </c>
      <c r="AB31" s="105" t="str">
        <f t="array" ref="AB31">IF(V31="Custom", "Custom", IF(V31="", "", IF(V31="Not DLC or Energy Star", "General", IF(B31="New Construction", INDEX('Lookup Tables'!$AH$114:$AP$154,MATCH(1,('Lookup Tables'!$AH$114:$AH$154='Lighting Inventory'!V31)*('Lookup Tables'!$AI$114:$AI$154='Lighting Inventory'!W31),FALSE),8), INDEX('Lookup Tables'!$AH$6:$AP$102,MATCH(1,('Lookup Tables'!$AH$6:$AH$102='Lighting Inventory'!V31)*('Lookup Tables'!$AI$6:$AI$102='Lighting Inventory'!W31),FALSE),8)))))</f>
        <v/>
      </c>
      <c r="AC31" s="272" t="str">
        <f>IF(W31="","",IF(V31="Custom",CONCATENATE("$",'Lookup Tables'!$AM$101," ",'Lookup Tables'!$AN$101),CONCATENATE("$",INDEX('Lookup Tables'!$AM$6:$AM$102,MATCH('Lighting Inventory'!W31,'Lookup Tables'!$AI$6:$AI$102,0))," ",INDEX('Lookup Tables'!$AN$6:$AN$102,MATCH('Lighting Inventory'!W31,'Lookup Tables'!$AI$6:$AI$102,0)))))</f>
        <v/>
      </c>
      <c r="AD31" s="72"/>
      <c r="AE31" s="29"/>
      <c r="AF31" s="379"/>
      <c r="AG31" s="370" t="str">
        <f t="shared" si="2"/>
        <v/>
      </c>
      <c r="AH31" s="370" t="str">
        <f t="shared" si="85"/>
        <v/>
      </c>
      <c r="AI31" s="29"/>
      <c r="AJ31" s="29"/>
      <c r="AK31" s="110"/>
      <c r="AL31" s="375" t="str">
        <f>IF(OR(B31="", V31="", W31=""), "", IF(V31="No Change", K31, IF(V31="Remove Fixture", 0, IF(V31="Custom",VLOOKUP(W31,'Fixture Identities'!$A$6:$K$1023,10,FALSE),IF(AE31="", "← ENTER POST WATTS", 'Lighting Inventory'!AE31)))))</f>
        <v/>
      </c>
      <c r="AM31" s="376" t="str">
        <f t="shared" si="3"/>
        <v/>
      </c>
      <c r="AN31" s="29"/>
      <c r="AO31" s="671"/>
      <c r="AP31" s="29"/>
      <c r="AQ31" s="29"/>
      <c r="AR31" s="29"/>
      <c r="AS31" s="272" t="str">
        <f t="shared" si="4"/>
        <v/>
      </c>
      <c r="AT31" s="270" t="str">
        <f t="shared" si="234"/>
        <v/>
      </c>
      <c r="AU31" s="88" t="str">
        <f t="shared" si="235"/>
        <v/>
      </c>
      <c r="AV31" s="29"/>
      <c r="AW31" s="73"/>
      <c r="AX31" s="271" t="str">
        <f>IF(AND(AV31="Applicant",OR(AW31="", AW31="Use Default Facility Hours")),"← Choose Schedule",IF(F31="","",IF(W31="LED Exit Signs",8760,IF(OR(AV31="Prescribed",AV31=""),VLOOKUP(F31,'Lookup Tables'!$A$6:$G$59,IF(AB31="General", 6, 3),FALSE),VLOOKUP(AW31,'Lookup Tables'!$S$36:$U$43,2,FALSE)))))</f>
        <v/>
      </c>
      <c r="AY31" s="88" t="str">
        <f t="shared" si="7"/>
        <v/>
      </c>
      <c r="AZ31" s="270" t="str">
        <f>IFERROR(IF(F31="", "", IF(W31="LED Exit Signs", 1, IF(AV31="Applicant",VLOOKUP(AW31, 'Lookup Tables'!$S$36:$U$43,3, FALSE), VLOOKUP('Lighting Inventory'!F31, 'Lookup Tables'!$A$6:$H$59, IF('Lighting Inventory'!AB31="General",7,4), FALSE)))), "")</f>
        <v/>
      </c>
      <c r="BA31" s="522" t="str">
        <f>IFERROR(IF(F31="", "", IF(W31="LED Exit Signs", 1, VLOOKUP('Lighting Inventory'!F31, 'Lookup Tables'!$A$6:$H$59, IF('Lighting Inventory'!AB31="General",8,5), FALSE))), "")</f>
        <v/>
      </c>
      <c r="BB31" s="270" t="str">
        <f>IF(G31="", "", IF(E31="Exterior", 0, IF('Lighting Inventory'!G31="Air Conditioned", VLOOKUP(H31, 'Lookup Tables'!$R$6:$T$13, 2, FALSE), VLOOKUP('Lighting Inventory'!G31, 'Lookup Tables'!$R$6:$T$13, 2, FALSE))))</f>
        <v/>
      </c>
      <c r="BC31" s="522" t="str">
        <f>IF(G31="", "", IF(E31="Exterior", 0, IF('Lighting Inventory'!G31="Air Conditioned", VLOOKUP(H31, 'Lookup Tables'!$R$6:$T$13, 3, FALSE), VLOOKUP('Lighting Inventory'!G31, 'Lookup Tables'!$R$6:$T$13, 3, FALSE))))</f>
        <v/>
      </c>
      <c r="BD31" s="270" t="str">
        <f>IF(G31="", "", IF(E31="Exterior", 0, IF('Lighting Inventory'!G31="Air Conditioned", VLOOKUP(H31, 'Lookup Tables'!$R$6:$U$13, 4, FALSE), VLOOKUP('Lighting Inventory'!G31, 'Lookup Tables'!$R$6:$U$13, 4, FALSE))))</f>
        <v/>
      </c>
      <c r="BE31" s="270" t="str">
        <f>IFERROR(IF(B31="", "",  IF(B31="New Construction", VLOOKUP(F31, 'Lookup Tables'!$A$6:$K$59, 11, FALSE),IF(OR(AN31="", AN31="Light Switch"), 0, IF(OR(M31="",M31="None",V31= "LED Exit Signs"),0,_xlfn.XLOOKUP(M31,'Lookup Tables'!$R$91:$R$101,'Lookup Tables'!$V$91:$V$101))))), "")</f>
        <v/>
      </c>
      <c r="BF31" s="270" t="str">
        <f>IF(AND(OR(AN31="Light Switch",AN31=""),B31="New Construction"), VLOOKUP(F31, 'Lookup Tables'!$A$6:$K$59, 11, FALSE),IF(AN31="","",IF(B31="","",IF(OR(AN31="None",AN31="",V31="LED Exit Signs",AN31="Exterior Controls Not Eligible"),0,_xlfn.XLOOKUP(AN31,'Lookup Tables'!$R$91:$R$101,'Lookup Tables'!$V$91:$V$101)))))</f>
        <v/>
      </c>
      <c r="BG31" s="88" t="str">
        <f t="shared" si="86"/>
        <v/>
      </c>
      <c r="BH31" s="88" t="str">
        <f t="shared" si="87"/>
        <v/>
      </c>
      <c r="BI31" s="558" t="str">
        <f t="shared" si="168"/>
        <v/>
      </c>
      <c r="BJ31" s="560" t="str">
        <f t="shared" si="88"/>
        <v/>
      </c>
      <c r="BK31" s="560" t="str">
        <f t="shared" si="89"/>
        <v/>
      </c>
      <c r="BL31" s="559" t="str">
        <f t="shared" si="90"/>
        <v/>
      </c>
      <c r="BM31" s="521" t="str">
        <f t="shared" si="8"/>
        <v/>
      </c>
      <c r="BN31" s="521" t="str">
        <f t="shared" si="9"/>
        <v/>
      </c>
      <c r="BO31" s="522" t="str">
        <f t="shared" si="10"/>
        <v/>
      </c>
      <c r="BP31" s="83" t="str">
        <f t="shared" si="91"/>
        <v/>
      </c>
      <c r="BQ31" s="84" t="str">
        <f t="shared" si="92"/>
        <v/>
      </c>
      <c r="BR31" s="184" t="str">
        <f>IFERROR(IF(B31="", "", IF(OR(VLOOKUP(J31, 'Fixture Identities'!$A$6:$L$1023, 3, FALSE)="T12 Linear Fluorescent",VLOOKUP(J31, 'Fixture Identities'!$A$6:$L$1023, 3, FALSE)="T12 U-Tube Fluorescent"), "Y", "N")), "N")</f>
        <v/>
      </c>
      <c r="BS31" s="184" t="str">
        <f t="array" ref="BS31">IFERROR(IF(OR(B31="", V31="", W31=""), "", IF(V31="Custom", "N", IF(OR(W31="Freezer Case Lighting", W31="Refrigerated Case Lighting with Doors"), BT31, IF(B31="Retrofit", INDEX('Lookup Tables'!$AH$6:$AT$102,MATCH(1,('Lookup Tables'!$AH$6:$AH$102=V31)*('Lookup Tables'!$AI$6:$AI$102=W31),FALSE),IF(VLOOKUP(J31, 'Fixture Identities'!$A$6:$B$1023, 2, FALSE)="Incandescent",12, 13)), INDEX('Lookup Tables'!$AH$114:$AS$154,MATCH(1,('Lookup Tables'!$AH$114:$AH$154=V31)*('Lookup Tables'!$AI$114:$AI$154=W31),FALSE),12))))), "N")</f>
        <v/>
      </c>
      <c r="BT31" s="184" t="str">
        <f>IF(J31="", "", IF(AND(OR(W31="Freezer case Lighting", W31="Refrigerated Case Lighting with Doors"),'General Information'!$X$18="LCI"), "N", IF(OR(VLOOKUP(J31, 'Fixture Identities'!$A$6:$B$1023, 2, FALSE)="T12 EPACT/EISA Baseline", VLOOKUP(J31, 'Fixture Identities'!$A$6:$B$1023, 2, FALSE)="Linear Fluorescent", VLOOKUP(J31, 'Fixture Identities'!$A$6:$B$1023, 2, FALSE)="U-Tube Fluorescent"), "Y", "N")))</f>
        <v/>
      </c>
      <c r="BU31" s="184" t="str">
        <f>IFERROR(IF(B31="", "", IF(VLOOKUP(J31, 'Fixture Identities'!$A$6:$B$1023, 2, FALSE)="Exit Sign", "Y", "N")), "N")</f>
        <v/>
      </c>
      <c r="BV31" s="184" t="str">
        <f>IF(V31="Exit Signs", IF(VLOOKUP(J31, 'Fixture Identities'!$A$6:$B$1023, 2, FALSE)="Exit Sign", "N", "Y"), "")</f>
        <v/>
      </c>
      <c r="BW31" s="184" t="str">
        <f t="array" ref="BW31">IFERROR(IF(B31="", "", IF(B31="New Construction", "N", INDEX('Lookup Tables'!$AH$6:$AU$102, MATCH(1, ('Lookup Tables'!$AH$6:$AH$102='Lighting Inventory'!V31)*('Lookup Tables'!$AI$6:$AI$102='Lighting Inventory'!W31), 0), 14))), "N")</f>
        <v/>
      </c>
      <c r="BX31" s="598" t="str">
        <f t="shared" si="93"/>
        <v/>
      </c>
      <c r="BY31" s="598" t="str">
        <f t="shared" si="94"/>
        <v/>
      </c>
      <c r="BZ31" s="598" t="str">
        <f t="shared" si="95"/>
        <v/>
      </c>
      <c r="CA31" s="598" t="str">
        <f t="shared" si="101"/>
        <v/>
      </c>
      <c r="CB31" s="269" t="str">
        <f t="shared" si="102"/>
        <v/>
      </c>
      <c r="CC31" s="517" t="str">
        <f t="shared" si="96"/>
        <v/>
      </c>
      <c r="CD31" s="565" t="str">
        <f t="shared" si="11"/>
        <v/>
      </c>
      <c r="CE31" s="368">
        <v>0</v>
      </c>
      <c r="CF31" s="368" t="str" cm="1">
        <f t="array" ref="CF31">IFERROR(IF(V31="Custom", "$0.1 per kWh", IF(B31="New Construction", CONCATENATE("$",INDEX('Lookup Tables'!$AH$114:$AN$154,MATCH(1,('Lookup Tables'!$AH$114:$AH$154='Lighting Inventory'!V31)*('Lookup Tables'!$AI$114:$AI$154='Lighting Inventory'!W31),FALSE),6)," ",INDEX('Lookup Tables'!$AH$114:$AN$154,MATCH(1,('Lookup Tables'!$AH$114:$AH$154='Lighting Inventory'!V31)*('Lookup Tables'!$AI$114:$AI$154='Lighting Inventory'!W31),FALSE),7)), IF(AND(BU31="N", V31="Exit Signs"), "$0.025 per kWh", CONCATENATE("$",INDEX('Lookup Tables'!$AH$6:$AN$102,MATCH(1,('Lookup Tables'!$AH$6:$AH$102='Lighting Inventory'!V31)*('Lookup Tables'!$AI$6:$AI$102='Lighting Inventory'!W31),FALSE),6)," ",INDEX('Lookup Tables'!$AH$6:$AN$102,MATCH(1,('Lookup Tables'!$AH$6:$AH$102='Lighting Inventory'!V31)*('Lookup Tables'!$AI$6:$AI$102='Lighting Inventory'!W31),FALSE),7))))), "")</f>
        <v/>
      </c>
      <c r="CG31" s="366"/>
      <c r="CH31" s="248" t="str">
        <f t="shared" si="170"/>
        <v/>
      </c>
      <c r="CI31" s="248" t="str">
        <f t="shared" si="171"/>
        <v>Select_IE</v>
      </c>
      <c r="CJ31" s="248" t="str">
        <f t="shared" si="172"/>
        <v/>
      </c>
      <c r="CK31" s="248" t="str">
        <f t="shared" si="173"/>
        <v/>
      </c>
      <c r="CL31" s="248" t="str">
        <f t="shared" si="174"/>
        <v/>
      </c>
      <c r="CM31" s="248" t="str">
        <f>IFERROR(IF(B31="", "", IF(B31="New Construction", VLOOKUP(V31, 'Lookup Tables'!$AF$114:$AG$120, 2, FALSE), VLOOKUP(V31, 'Lookup Tables'!$AD$6:$AE$25, 2, FALSE))), "")</f>
        <v/>
      </c>
      <c r="CN31" s="248" t="str">
        <f t="shared" si="175"/>
        <v/>
      </c>
      <c r="CO31" s="248" t="str">
        <f t="shared" si="176"/>
        <v/>
      </c>
      <c r="CP31" s="592" t="str">
        <f t="shared" si="177"/>
        <v/>
      </c>
      <c r="CQ31" s="248" t="str">
        <f t="shared" si="97"/>
        <v/>
      </c>
      <c r="CR31" s="100"/>
      <c r="CS31" s="250" t="str">
        <f t="shared" si="178"/>
        <v/>
      </c>
      <c r="CT31" s="250" t="str">
        <f t="shared" si="179"/>
        <v/>
      </c>
      <c r="CU31" s="250" t="str">
        <f t="shared" si="180"/>
        <v/>
      </c>
      <c r="CV31" s="250" t="str">
        <f t="shared" si="181"/>
        <v/>
      </c>
      <c r="CW31" s="250" t="str">
        <f t="shared" si="182"/>
        <v/>
      </c>
      <c r="CX31" s="250" t="str">
        <f t="shared" si="183"/>
        <v/>
      </c>
      <c r="CY31" s="250" t="str">
        <f t="shared" si="184"/>
        <v/>
      </c>
      <c r="CZ31" s="250" t="str">
        <f t="shared" si="185"/>
        <v/>
      </c>
      <c r="DA31" s="250" t="str">
        <f t="shared" si="186"/>
        <v/>
      </c>
      <c r="DB31" s="250" t="str">
        <f t="shared" si="187"/>
        <v/>
      </c>
      <c r="DC31" s="250" t="str">
        <f t="shared" si="188"/>
        <v/>
      </c>
      <c r="DD31" s="250" t="str">
        <f t="shared" si="189"/>
        <v/>
      </c>
      <c r="DE31" s="250" t="str">
        <f t="shared" si="190"/>
        <v/>
      </c>
      <c r="DF31" s="250" t="str">
        <f t="shared" si="191"/>
        <v/>
      </c>
      <c r="DG31" s="250" t="str">
        <f t="shared" si="192"/>
        <v/>
      </c>
      <c r="DH31" s="250" t="str">
        <f t="shared" si="193"/>
        <v/>
      </c>
      <c r="DI31" s="250" t="str">
        <f t="shared" si="194"/>
        <v/>
      </c>
      <c r="DJ31" s="250" t="str">
        <f t="shared" si="195"/>
        <v/>
      </c>
      <c r="DK31" s="250" t="str">
        <f t="shared" si="196"/>
        <v/>
      </c>
      <c r="DL31" s="250" t="str">
        <f t="shared" si="197"/>
        <v/>
      </c>
      <c r="DM31" s="250" t="str">
        <f>IF(CD31="ERROR", "ERROR", IF(AND(OR(Y31=$DM$6, Y31='Lookup Tables'!$AD$21, Y31='Lookup Tables'!$AD$22), E31="Interior"), BJ31, ""))</f>
        <v/>
      </c>
      <c r="DN31" s="250" t="str">
        <f>IF(CD31="ERROR", "ERROR", IF(AND(OR(Y31=$DM$6, Y31='Lookup Tables'!$AD$21, Y31='Lookup Tables'!$AD$22), E31="Exterior"), BJ31, ""))</f>
        <v/>
      </c>
      <c r="DO31" s="100"/>
      <c r="DP31" s="250" t="str">
        <f t="shared" si="198"/>
        <v/>
      </c>
      <c r="DQ31" s="250" t="str">
        <f t="shared" si="199"/>
        <v/>
      </c>
      <c r="DR31" s="250" t="str">
        <f t="shared" si="200"/>
        <v/>
      </c>
      <c r="DS31" s="250" t="str">
        <f t="shared" si="201"/>
        <v/>
      </c>
      <c r="DT31" s="250" t="str">
        <f t="shared" si="202"/>
        <v/>
      </c>
      <c r="DU31" s="250" t="str">
        <f t="shared" si="203"/>
        <v/>
      </c>
      <c r="DV31" s="250" t="str">
        <f t="shared" si="204"/>
        <v/>
      </c>
      <c r="DW31" s="250" t="str">
        <f t="shared" si="205"/>
        <v/>
      </c>
      <c r="DX31" s="250" t="str">
        <f t="shared" si="206"/>
        <v/>
      </c>
      <c r="DY31" s="250" t="str">
        <f t="shared" si="207"/>
        <v/>
      </c>
      <c r="DZ31" s="250" t="str">
        <f t="shared" si="208"/>
        <v/>
      </c>
      <c r="EA31" s="250" t="str">
        <f t="shared" si="209"/>
        <v/>
      </c>
      <c r="EB31" s="250" t="str">
        <f t="shared" si="210"/>
        <v/>
      </c>
      <c r="EC31" s="250" t="str">
        <f t="shared" si="211"/>
        <v/>
      </c>
      <c r="ED31" s="250" t="str">
        <f t="shared" si="212"/>
        <v/>
      </c>
      <c r="EE31" s="250" t="str">
        <f t="shared" si="213"/>
        <v/>
      </c>
      <c r="EF31" s="250" t="str">
        <f t="shared" si="214"/>
        <v/>
      </c>
      <c r="EG31" s="250" t="str">
        <f t="shared" si="215"/>
        <v/>
      </c>
      <c r="EH31" s="250" t="str">
        <f>IF(CD31="ERROR", "ERROR", IF(AND(OR($EH$6=Y31, Y31='Lookup Tables'!$AD$21, Y31='Lookup Tables'!$AD$22),E31="Interior"), SUM(BP31:BP31), ""))</f>
        <v/>
      </c>
      <c r="EI31" s="250" t="str">
        <f>IF(CD31="ERROR", "ERROR", IF(AND(OR($EH$6=Y31, Y31='Lookup Tables'!$AD$21, Y31='Lookup Tables'!$AD$22),E31="Exterior"), SUM(BP31:BP31), ""))</f>
        <v/>
      </c>
      <c r="EJ31" s="109"/>
      <c r="EK31" s="485" t="str">
        <f t="shared" si="58"/>
        <v/>
      </c>
      <c r="EL31" s="252" t="str">
        <f t="shared" si="216"/>
        <v/>
      </c>
      <c r="EM31" s="252" t="str">
        <f t="shared" si="217"/>
        <v/>
      </c>
      <c r="EN31" s="252" t="str">
        <f t="shared" si="218"/>
        <v/>
      </c>
      <c r="EO31" s="252" t="str">
        <f t="shared" si="219"/>
        <v/>
      </c>
      <c r="EP31" s="252" t="str">
        <f t="shared" si="220"/>
        <v/>
      </c>
      <c r="EQ31" s="252" t="str">
        <f t="shared" si="221"/>
        <v/>
      </c>
      <c r="ER31" s="252" t="str">
        <f t="shared" si="222"/>
        <v/>
      </c>
      <c r="ES31" s="252" t="str">
        <f t="shared" si="223"/>
        <v/>
      </c>
      <c r="ET31" s="252" t="str">
        <f t="shared" si="224"/>
        <v/>
      </c>
      <c r="EU31" s="252" t="str">
        <f t="shared" si="225"/>
        <v/>
      </c>
      <c r="EV31" s="252" t="str">
        <f t="shared" si="226"/>
        <v/>
      </c>
      <c r="EW31" s="252" t="str">
        <f t="shared" si="227"/>
        <v/>
      </c>
      <c r="EX31" s="252" t="str">
        <f t="shared" si="228"/>
        <v/>
      </c>
      <c r="EY31" s="252" t="str">
        <f t="shared" si="229"/>
        <v/>
      </c>
      <c r="EZ31" s="252" t="str">
        <f t="shared" si="230"/>
        <v/>
      </c>
      <c r="FA31" s="252" t="str">
        <f t="shared" si="231"/>
        <v/>
      </c>
      <c r="FB31" s="252" t="str">
        <f t="shared" si="232"/>
        <v/>
      </c>
      <c r="FC31" s="252" t="str">
        <f>IF(CD31="ERROR", "ERROR", IF(OR(V31="No Change", V31="Not DLC or Energy Star"), "", IF(AND(OR($FC$6=Y31,Y31='Lookup Tables'!$AD$21, Y31='Lookup Tables'!$AD$22),E31="Interior"), S31, "")))</f>
        <v/>
      </c>
      <c r="FD31" s="252" t="str">
        <f t="shared" si="233"/>
        <v/>
      </c>
      <c r="FE31" s="101"/>
      <c r="FF31" s="579" t="str" cm="1">
        <f t="array" ref="FF31">IFERROR(IF(OR(BQ31&lt;=0,AQ31&lt;20,AND(V31="Exit Signs",AN31&gt;0)),"",IF(AND(AQ31&gt;=20,AN31='Lookup Tables'!$R$101),'Lookup Tables'!$U$101*BQ31,AP31*LOOKUP(2,1/((AN31='Lookup Tables'!$R$91:$R$111)*(AQ31&gt;='Lookup Tables'!$S$91:$S$111)*(AQ31&lt;='Lookup Tables'!$T$91:$T$111)),'Lookup Tables'!$U$91:$U$111))),"")</f>
        <v/>
      </c>
      <c r="FG31" s="579"/>
      <c r="FH31" s="579"/>
      <c r="FI31" s="253" t="str">
        <f>IFERROR(ROUND(IF(CD31="ERROR", "ERROR", IF(AND($FI$7=X31,E31="Interior"),VLOOKUP(W31, 'Lookup Tables'!$AI$6:$AM$102, 5, FALSE)*BP31, "")), 2), "")</f>
        <v/>
      </c>
      <c r="FJ31" s="253" t="str">
        <f>IFERROR(ROUND(IF(CD31="ERROR", "ERROR", IF(AND($FI$7=X31,E31="Exterior"),VLOOKUP(W31, 'Lookup Tables'!$AI$6:$AM$102, 5, FALSE)*BP31, "")), 2), "")</f>
        <v/>
      </c>
      <c r="FK31" s="253" t="str">
        <f>IFERROR(ROUND(IF(CD31="ERROR", "ERROR", IF(AND($FK$7=X31,E31="Interior"),VLOOKUP(W31, 'Lookup Tables'!$AI$6:$AM$102, 5, FALSE)*BP31, "")), 2), "")</f>
        <v/>
      </c>
      <c r="FL31" s="253" t="str">
        <f>IFERROR(ROUND(IF(CD31="ERROR", "ERROR", IF(AND($FK$7=X31,E31="Exterior"),VLOOKUP(W31, 'Lookup Tables'!$AI$6:$AM$102, 5, FALSE)*BP31, "")), 2), "")</f>
        <v/>
      </c>
      <c r="FM31" s="253" t="str">
        <f>IFERROR(ROUND(IF(CD31="ERROR", "ERROR", IF(AND($FM$6=Y31,E31="Interior"), IF(GB31=0, VLOOKUP(W31, 'Lookup Tables'!$AI$6:$AM$102, 5, FALSE)*BP31, IF(VLOOKUP(W31, 'Lookup Tables'!$AI$6:$AM$102, 5, FALSE)*BP31&gt;GB31*'Lighting Inventory'!S31, GB31*'Lighting Inventory'!S31,VLOOKUP(W31, 'Lookup Tables'!$AI$6:$AM$102, 5, FALSE)*BP31)), "")), 2), "")</f>
        <v/>
      </c>
      <c r="FN31" s="253" t="str">
        <f>IFERROR(ROUND(IF(CD31="ERROR", "ERROR", IF(AND($FM$6=Y31,E31="Exterior"), IF(GB31=0, VLOOKUP(W31, 'Lookup Tables'!$AI$6:$AM$102, 5, FALSE)*BP31, IF(VLOOKUP(W31, 'Lookup Tables'!$AI$6:$AM$102, 5, FALSE)*BP31&gt;GB31*'Lighting Inventory'!S31, GB31*'Lighting Inventory'!S31,VLOOKUP(W31, 'Lookup Tables'!$AI$6:$AM$102, 5, FALSE)*BP31)), "")), 2), "")</f>
        <v/>
      </c>
      <c r="FO31" s="253" t="str">
        <f>IFERROR(ROUND(IF(CD31="ERROR", "ERROR", IF(AND($FO$6=Y31,E31="Interior"),VLOOKUP(W31, 'Lookup Tables'!$AI$6:$AM$102, 5, FALSE)*'Lighting Inventory'!AI31, "")), 2), "")</f>
        <v/>
      </c>
      <c r="FP31" s="253" t="str">
        <f>IFERROR(ROUND(IF(CD31="ERROR", "ERROR", IF(AND($FO$6=Y31,E31="Exterior"),VLOOKUP(W31, 'Lookup Tables'!$AI$6:$AM$102, 5, FALSE)*'Lighting Inventory'!AI31, "")), 2), "")</f>
        <v/>
      </c>
      <c r="FQ31" s="253" t="str">
        <f>IFERROR(ROUND(IF(CD31="ERROR", "ERROR", IF(AND($FQ$6=Y31,E31="Interior", BU31="Y"), VLOOKUP('Lighting Inventory'!W31, 'Lookup Tables'!$AI$6:$AM$102, 5, FALSE)*'Lighting Inventory'!S31, IF(AND($FQ$7=Y31,E31="Interior", BU31="N"), 0.025*CD31, ""))), 2), "")</f>
        <v/>
      </c>
      <c r="FR31" s="253" t="str">
        <f>IFERROR(ROUND(IF(CD31="ERROR", "ERROR", IF(AND($FQ$6=Y31,E31="Exterior"), VLOOKUP('Lighting Inventory'!W31, 'Lookup Tables'!$AI$6:$AM$102, 5, FALSE)*'Lighting Inventory'!S31, "")), 2), "")</f>
        <v/>
      </c>
      <c r="FS31" s="253" t="str">
        <f>IFERROR(ROUND(IF(CD31="ERROR", "ERROR", IF(AND($FS$6=Y31,E31="Exterior"), IF(GB31=0, VLOOKUP(W31, 'Lookup Tables'!$AI$6:$AM$102, 5, FALSE)*BP31, IF(VLOOKUP(W31, 'Lookup Tables'!$AI$6:$AM$102, 5, FALSE)*BP31&gt;GB31*'Lighting Inventory'!S31, GB31*'Lighting Inventory'!S31,VLOOKUP(W31, 'Lookup Tables'!$AI$6:$AM$102, 5, FALSE)*BP31)), "")), 2), "")</f>
        <v/>
      </c>
      <c r="FT31" s="253" t="str">
        <f>IFERROR(ROUND(IF(CD31="ERROR", "ERROR", IF(AND($FT$6=Y31,E31="Interior"), IF(GB31=0, VLOOKUP(W31, 'Lookup Tables'!$AI$6:$AM$102, 5, FALSE)*BP31, IF(VLOOKUP(W31, 'Lookup Tables'!$AI$6:$AM$102, 5, FALSE)*BP31&gt;GB31*'Lighting Inventory'!S31, GB31*'Lighting Inventory'!S31,VLOOKUP(W31, 'Lookup Tables'!$AI$6:$AM$102, 5, FALSE)*BP31)), "")), 2), "")</f>
        <v/>
      </c>
      <c r="FU31" s="253" t="str">
        <f>IFERROR(ROUND(IF(CD31="ERROR", "ERROR", IF(AND(Y31=$FU$6, E31="Interior"), IF(BS31="N", 'Lookup Tables'!$AM$101*BP31, VLOOKUP(W31, 'Lookup Tables'!$AI$6:$AM$102, 5, FALSE)*S31*AD31), "")), 2), "")</f>
        <v/>
      </c>
      <c r="FV31" s="253" t="str">
        <f>IFERROR(ROUND(IF(CD31="ERROR", "ERROR", IF(AND(Y31=$FU$6, E31="Exterior"), IF(BS31="N", 'Lookup Tables'!$AM$101*BP31, VLOOKUP(W31, 'Lookup Tables'!$AI$6:$AM$102, 5, FALSE)*S31*AD31), "")), 2), "")</f>
        <v/>
      </c>
      <c r="FW31" s="253" t="str">
        <f>IFERROR(ROUND(IF(CD31="ERROR", "ERROR", IF($FW$6=Y31, IF(BS31="N", 'Lookup Tables'!$AM$101*BP31, MIN((VLOOKUP(W31, 'Lookup Tables'!$AI$6:$AM$102, 5, FALSE)*BP31),GB31*AJ31)), "")), 2), "")</f>
        <v/>
      </c>
      <c r="FX31" s="253" t="str">
        <f>IFERROR(ROUND(IF(CD31="ERROR", "ERROR", IF(AND($FX$6=Y31, E31="Interior"), IF(VLOOKUP(W31, 'Lookup Tables'!$AI$6:$AM$102, 5, FALSE)*BP31&gt;'Lookup Tables'!$AQ$97*'Lighting Inventory'!S31,'Lighting Inventory'!S31*'Lookup Tables'!$AQ$97,VLOOKUP(W31, 'Lookup Tables'!$AI$6:$AM$102, 5, FALSE)*BP31), "")), 2), "")</f>
        <v/>
      </c>
      <c r="FY31" s="253" t="str">
        <f>IFERROR(ROUND(IF(CD31="ERROR", "ERROR", IF(AND($FX$6=Y31, E31="Exterior"), IF(VLOOKUP(W31, 'Lookup Tables'!$AI$6:$AM$102, 5, FALSE)*BP31&gt;'Lookup Tables'!$AQ$97*'Lighting Inventory'!S31,'Lighting Inventory'!S31*'Lookup Tables'!$AQ$97,VLOOKUP(W31, 'Lookup Tables'!$AI$6:$AM$102, 5, FALSE)*BP31), "")), 2), "")</f>
        <v/>
      </c>
      <c r="FZ31" s="253" t="str">
        <f>IFERROR(ROUND(IF(CD31="ERROR", "ERROR", IF(AND($FZ$6=Y31, E31="Interior"), IF(AND(OR(W31="Refrigerated Case Lighting with Doors", W31="Freezer Case Lighting"),Y31="Custom - Process Improvement"),CD31*'Lookup Tables'!$AM$101, IF(B31="Retrofit", IF(VLOOKUP(IF(V31="Custom", V31, W31), 'Lookup Tables'!$AI$6:$AM$102, 5, FALSE)*BP31&gt;GE31, GE31, VLOOKUP(IF(V31="Custom", V31, W31), 'Lookup Tables'!$AI$6:$AM$102, 5, FALSE)*BP31), IF(VLOOKUP(IF(V31="Custom", V31, W31), 'Lookup Tables'!$AI$114:$AM$154, 5, FALSE)*BP31&gt;GE31, GE31, VLOOKUP(IF(V31="Custom", V31, W31), 'Lookup Tables'!$AI$114:$AM$154, 5, FALSE)*BP31))), "")), 2),"")</f>
        <v/>
      </c>
      <c r="GA31" s="253" t="str">
        <f>IFERROR(ROUND(IF(CD31="ERROR", "ERROR", IF(AND($FZ$6=Y31, E31="Exterior"), IF(B31="Retrofit", IF(VLOOKUP(IF(V31="Custom", V31, W31), 'Lookup Tables'!$AI$6:$AM$102, 5, FALSE)*BP31&gt;GE31, GE31, VLOOKUP(IF(V31="Custom", V31, W31), 'Lookup Tables'!$AI$6:$AM$102, 5, FALSE)*BP31), IF(VLOOKUP(IF(V31="Custom", V31, W31), 'Lookup Tables'!$AI$114:$AM$154, 5, FALSE)*BP31&gt;GE31, GE31, VLOOKUP(IF(V31="Custom", V31, W31), 'Lookup Tables'!$AI$114:$AM$154, 5, FALSE)*BP31)), "")), 2),"")</f>
        <v/>
      </c>
      <c r="GB31" s="254" t="str">
        <f t="array" ref="GB31">IF(B31="","",IF(OR(V31="Custom",V31="No Change"),0,IF(B31="Retrofit", INDEX('Lookup Tables'!$AH$6:$AQ$102,MATCH(1,('Lookup Tables'!$AH$6:$AH$102='Lighting Inventory'!V31)*('Lookup Tables'!$AI$6:$AI$102='Lighting Inventory'!W31),FALSE),10),INDEX('Lookup Tables'!$AH$114:$AQ$154,MATCH(1,('Lookup Tables'!$AH$114:$AH$154='Lighting Inventory'!V31)*('Lookup Tables'!$AI$114:$AI$154='Lighting Inventory'!W31),FALSE),10))))</f>
        <v/>
      </c>
      <c r="GC31" s="255" t="str">
        <f t="shared" si="77"/>
        <v/>
      </c>
      <c r="GD31" s="250" t="str">
        <f t="shared" si="78"/>
        <v/>
      </c>
      <c r="GE31" s="253" t="str">
        <f>IFERROR(IF(AND(AF31="", 'General Information'!$F$18="No"),"", IF(AF31="", ((GD31/$CD$266)*$CF$266)*0.5, AF31*S31*0.5)), "")</f>
        <v/>
      </c>
      <c r="GF31" s="255" t="str">
        <f>IF(AND('General Information'!$F$19="", 'General Information'!$F$18="Yes",AF31="",BW31="Y"), "Y", "N")</f>
        <v>N</v>
      </c>
      <c r="GG31" s="255" t="s">
        <v>2946</v>
      </c>
      <c r="GH31" s="255" t="str">
        <f>IFERROR(IF(B31="", "", VLOOKUP(J31, 'Fixture Identities'!$A$6:$N$908, 14, FALSE)), "")</f>
        <v/>
      </c>
      <c r="GI31" s="389" t="str">
        <f>IF(OR(B31="", V31="", W31=""), "", IF(AND(OR(M31='Lookup Tables'!$R$18, M31='Lookup Tables'!$R$19, M31='Lookup Tables'!$R$20, M31='Lookup Tables'!$R$21, M31='Lookup Tables'!$R$22), OR(AN31='Lookup Tables'!$R$17, AN31='Lookup Tables'!$R$17, AN31="")), "Y", "N"))</f>
        <v/>
      </c>
      <c r="GJ31" s="255" t="str">
        <f t="shared" si="79"/>
        <v/>
      </c>
      <c r="GK31" s="255" t="str">
        <f t="shared" si="80"/>
        <v/>
      </c>
      <c r="GL31" s="255" t="str">
        <f t="shared" si="81"/>
        <v/>
      </c>
      <c r="GM31" s="255" t="str">
        <f>IF(AN31="", "", IF(AND(IF(ISNA(VLOOKUP(AN31,'Lookup Tables'!$R$18:$R$22,1,FALSE)), "N", "Y")="Y", E31="Exterior"), "Y", "N"))</f>
        <v/>
      </c>
      <c r="GN31" s="395"/>
      <c r="GO31" s="428">
        <f t="shared" si="98"/>
        <v>0</v>
      </c>
      <c r="GP31" s="428">
        <f t="shared" si="167"/>
        <v>0</v>
      </c>
      <c r="GQ31" s="428">
        <f t="shared" si="99"/>
        <v>0</v>
      </c>
      <c r="GR31" s="428">
        <f t="shared" si="100"/>
        <v>0</v>
      </c>
    </row>
    <row r="32" spans="1:200" s="103" customFormat="1" ht="13.5" customHeight="1" x14ac:dyDescent="0.2">
      <c r="A32" s="272">
        <v>22</v>
      </c>
      <c r="B32" s="110"/>
      <c r="C32" s="110"/>
      <c r="D32" s="110"/>
      <c r="E32" s="110"/>
      <c r="F32" s="110"/>
      <c r="G32" s="110"/>
      <c r="H32" s="110"/>
      <c r="I32" s="29"/>
      <c r="J32" s="29"/>
      <c r="K32" s="272" t="str">
        <f>IFERROR(IF(OR(VLOOKUP(J32, 'Fixture Identities'!$A$6:$L$1023, 3, FALSE)="T12 Linear Fluorescent", VLOOKUP(J32, 'Fixture Identities'!$A$6:$L$1023, 3, FALSE)="T12 U-Tube Fluorescent"), VLOOKUP(VLOOKUP(J32, 'Fixture Identities'!$A$6:$L$1023, 11, FALSE), 'Fixture Identities'!$A$6:$L$1023, 10, FALSE), VLOOKUP(J32, 'Fixture Identities'!$A$6:$L$1023, 10, FALSE)), "")</f>
        <v/>
      </c>
      <c r="L32" s="270" t="str">
        <f t="shared" si="169"/>
        <v/>
      </c>
      <c r="M32" s="110"/>
      <c r="N32" s="110"/>
      <c r="O32" s="110"/>
      <c r="P32" s="272" t="str">
        <f>IFERROR(IF(OR(B32="Retrofit",B32=""),"",IF('Lighting Inventory'!E32="Exterior",VLOOKUP('Lighting Inventory'!N32,'Lookup Tables'!$B$83:$F$103,5,FALSE),IF(N32="Other - Please Estimate EFLH and CFs","Contact Prog. Rep.","ft^2"))), "")</f>
        <v/>
      </c>
      <c r="Q32" s="270" t="str">
        <f>IFERROR(IF(AND(B32="New Construction",E32="Interior",$F$5="Space-by-Space"),VLOOKUP('Lighting Inventory'!N32,'Lookup Tables'!$N$6:$O$97,2,FALSE),IF(AND(B32="New Construction",E32="Exterior"),VLOOKUP(N32,'Lookup Tables'!$B$83:$F$103,2,FALSE),IF(AND(B32="New Construction",'Lighting Inventory'!E32="Interior", $F$5="Building Area"),VLOOKUP(F32,'Lookup Tables'!$A$6:$J$59,10,FALSE),""))), "")</f>
        <v/>
      </c>
      <c r="R32" s="270" t="str">
        <f>IFERROR(IF(P32="Contact Prog. Rep.", "ERROR", IF(OR(B32="",B32="Retrofit"),"",IF(N32="Automated teller machines", ('Lookup Tables'!$A$82:$E$100+('Lighting Inventory'!O32-1)*'Lookup Tables'!$A$82:$E$100)/1000, (Q32*O32)/1000))), "")</f>
        <v/>
      </c>
      <c r="S32" s="595"/>
      <c r="T32" s="105" t="str">
        <f t="shared" si="83"/>
        <v/>
      </c>
      <c r="U32" s="105" t="str">
        <f>IF(S32="","",COUNT($S$11:S32))</f>
        <v/>
      </c>
      <c r="V32" s="111"/>
      <c r="W32" s="112"/>
      <c r="X32" s="105" t="str">
        <f t="shared" si="84"/>
        <v/>
      </c>
      <c r="Y32" s="105" t="str">
        <f t="array" ref="Y32">IF(AND(OR(W32="Freezer Case Lighting", W32="Refrigerated Case Lighting with Doors"), 'General Information'!$X$18="LCI"),'Lookup Tables'!$Y$34, IF(V32="Custom", VLOOKUP(W32, 'Fixture Identities'!$A$974:$M$1023, 13, FALSE), IF(V32="No Change",'Lookup Tables'!$Y$29,IF(OR(V32="",W32=""),"",IF(AND(S32=0,S32&lt;I32,B32="Retrofit"),'Lookup Tables'!$Y$25, IF(B32="Retrofit", INDEX('Lookup Tables'!$AH$6:$AP$102, MATCH(1, ('Lookup Tables'!$AH$6:$AH$102=V32)*('Lookup Tables'!$AI$6:$AI$102=W32), 0), IF('Lighting Inventory'!E32="Interior", 4, 5)), INDEX('Lookup Tables'!$AH$114:$AP$154, MATCH(1, ('Lookup Tables'!$AH$114:$AH$154=V32)*('Lookup Tables'!$AI$114:$AI$154=W32), 0), IF('Lighting Inventory'!E32="Interior", 4, 5))))))))</f>
        <v/>
      </c>
      <c r="Z32" s="105" t="str">
        <f>IFERROR(INDEX('Lookup Tables'!$AH$158:$AH$172,MATCH('Lighting Inventory'!Y32,'Lookup Tables'!$AI$158:$AI$172,0)),"")</f>
        <v/>
      </c>
      <c r="AA32" s="105" t="str">
        <f>IF(AP32&gt;0,INDEX('Lookup Tables'!$AK$158:$AK$172,MATCH('Lighting Inventory'!Y32,'Lookup Tables'!$AI$158:$AI$172,0)),'Lighting Inventory'!Y32)</f>
        <v/>
      </c>
      <c r="AB32" s="105" t="str">
        <f t="array" ref="AB32">IF(V32="Custom", "Custom", IF(V32="", "", IF(V32="Not DLC or Energy Star", "General", IF(B32="New Construction", INDEX('Lookup Tables'!$AH$114:$AP$154,MATCH(1,('Lookup Tables'!$AH$114:$AH$154='Lighting Inventory'!V32)*('Lookup Tables'!$AI$114:$AI$154='Lighting Inventory'!W32),FALSE),8), INDEX('Lookup Tables'!$AH$6:$AP$102,MATCH(1,('Lookup Tables'!$AH$6:$AH$102='Lighting Inventory'!V32)*('Lookup Tables'!$AI$6:$AI$102='Lighting Inventory'!W32),FALSE),8)))))</f>
        <v/>
      </c>
      <c r="AC32" s="272" t="str">
        <f>IF(W32="","",IF(V32="Custom",CONCATENATE("$",'Lookup Tables'!$AM$101," ",'Lookup Tables'!$AN$101),CONCATENATE("$",INDEX('Lookup Tables'!$AM$6:$AM$102,MATCH('Lighting Inventory'!W32,'Lookup Tables'!$AI$6:$AI$102,0))," ",INDEX('Lookup Tables'!$AN$6:$AN$102,MATCH('Lighting Inventory'!W32,'Lookup Tables'!$AI$6:$AI$102,0)))))</f>
        <v/>
      </c>
      <c r="AD32" s="72"/>
      <c r="AE32" s="29"/>
      <c r="AF32" s="379"/>
      <c r="AG32" s="370" t="str">
        <f t="shared" si="2"/>
        <v/>
      </c>
      <c r="AH32" s="370" t="str">
        <f t="shared" si="85"/>
        <v/>
      </c>
      <c r="AI32" s="29"/>
      <c r="AJ32" s="29"/>
      <c r="AK32" s="110"/>
      <c r="AL32" s="375" t="str">
        <f>IF(OR(B32="", V32="", W32=""), "", IF(V32="No Change", K32, IF(V32="Remove Fixture", 0, IF(V32="Custom",VLOOKUP(W32,'Fixture Identities'!$A$6:$K$1023,10,FALSE),IF(AE32="", "← ENTER POST WATTS", 'Lighting Inventory'!AE32)))))</f>
        <v/>
      </c>
      <c r="AM32" s="376" t="str">
        <f t="shared" si="3"/>
        <v/>
      </c>
      <c r="AN32" s="29"/>
      <c r="AO32" s="671"/>
      <c r="AP32" s="29"/>
      <c r="AQ32" s="29"/>
      <c r="AR32" s="29"/>
      <c r="AS32" s="272" t="str">
        <f t="shared" si="4"/>
        <v/>
      </c>
      <c r="AT32" s="270" t="str">
        <f t="shared" si="234"/>
        <v/>
      </c>
      <c r="AU32" s="88" t="str">
        <f t="shared" si="235"/>
        <v/>
      </c>
      <c r="AV32" s="29"/>
      <c r="AW32" s="73"/>
      <c r="AX32" s="271" t="str">
        <f>IF(AND(AV32="Applicant",OR(AW32="", AW32="Use Default Facility Hours")),"← Choose Schedule",IF(F32="","",IF(W32="LED Exit Signs",8760,IF(OR(AV32="Prescribed",AV32=""),VLOOKUP(F32,'Lookup Tables'!$A$6:$G$59,IF(AB32="General", 6, 3),FALSE),VLOOKUP(AW32,'Lookup Tables'!$S$36:$U$43,2,FALSE)))))</f>
        <v/>
      </c>
      <c r="AY32" s="88" t="str">
        <f t="shared" si="7"/>
        <v/>
      </c>
      <c r="AZ32" s="270" t="str">
        <f>IFERROR(IF(F32="", "", IF(W32="LED Exit Signs", 1, IF(AV32="Applicant",VLOOKUP(AW32, 'Lookup Tables'!$S$36:$U$43,3, FALSE), VLOOKUP('Lighting Inventory'!F32, 'Lookup Tables'!$A$6:$H$59, IF('Lighting Inventory'!AB32="General",7,4), FALSE)))), "")</f>
        <v/>
      </c>
      <c r="BA32" s="522" t="str">
        <f>IFERROR(IF(F32="", "", IF(W32="LED Exit Signs", 1, VLOOKUP('Lighting Inventory'!F32, 'Lookup Tables'!$A$6:$H$59, IF('Lighting Inventory'!AB32="General",8,5), FALSE))), "")</f>
        <v/>
      </c>
      <c r="BB32" s="270" t="str">
        <f>IF(G32="", "", IF(E32="Exterior", 0, IF('Lighting Inventory'!G32="Air Conditioned", VLOOKUP(H32, 'Lookup Tables'!$R$6:$T$13, 2, FALSE), VLOOKUP('Lighting Inventory'!G32, 'Lookup Tables'!$R$6:$T$13, 2, FALSE))))</f>
        <v/>
      </c>
      <c r="BC32" s="522" t="str">
        <f>IF(G32="", "", IF(E32="Exterior", 0, IF('Lighting Inventory'!G32="Air Conditioned", VLOOKUP(H32, 'Lookup Tables'!$R$6:$T$13, 3, FALSE), VLOOKUP('Lighting Inventory'!G32, 'Lookup Tables'!$R$6:$T$13, 3, FALSE))))</f>
        <v/>
      </c>
      <c r="BD32" s="270" t="str">
        <f>IF(G32="", "", IF(E32="Exterior", 0, IF('Lighting Inventory'!G32="Air Conditioned", VLOOKUP(H32, 'Lookup Tables'!$R$6:$U$13, 4, FALSE), VLOOKUP('Lighting Inventory'!G32, 'Lookup Tables'!$R$6:$U$13, 4, FALSE))))</f>
        <v/>
      </c>
      <c r="BE32" s="270" t="str">
        <f>IFERROR(IF(B32="", "",  IF(B32="New Construction", VLOOKUP(F32, 'Lookup Tables'!$A$6:$K$59, 11, FALSE),IF(OR(AN32="", AN32="Light Switch"), 0, IF(OR(M32="",M32="None",V32= "LED Exit Signs"),0,_xlfn.XLOOKUP(M32,'Lookup Tables'!$R$91:$R$101,'Lookup Tables'!$V$91:$V$101))))), "")</f>
        <v/>
      </c>
      <c r="BF32" s="270" t="str">
        <f>IF(AND(OR(AN32="Light Switch",AN32=""),B32="New Construction"), VLOOKUP(F32, 'Lookup Tables'!$A$6:$K$59, 11, FALSE),IF(AN32="","",IF(B32="","",IF(OR(AN32="None",AN32="",V32="LED Exit Signs",AN32="Exterior Controls Not Eligible"),0,_xlfn.XLOOKUP(AN32,'Lookup Tables'!$R$91:$R$101,'Lookup Tables'!$V$91:$V$101)))))</f>
        <v/>
      </c>
      <c r="BG32" s="88" t="str">
        <f t="shared" si="86"/>
        <v/>
      </c>
      <c r="BH32" s="88" t="str">
        <f t="shared" si="87"/>
        <v/>
      </c>
      <c r="BI32" s="558" t="str">
        <f t="shared" si="168"/>
        <v/>
      </c>
      <c r="BJ32" s="560" t="str">
        <f t="shared" si="88"/>
        <v/>
      </c>
      <c r="BK32" s="560" t="str">
        <f t="shared" si="89"/>
        <v/>
      </c>
      <c r="BL32" s="559" t="str">
        <f t="shared" si="90"/>
        <v/>
      </c>
      <c r="BM32" s="521" t="str">
        <f t="shared" si="8"/>
        <v/>
      </c>
      <c r="BN32" s="521" t="str">
        <f t="shared" si="9"/>
        <v/>
      </c>
      <c r="BO32" s="522" t="str">
        <f t="shared" si="10"/>
        <v/>
      </c>
      <c r="BP32" s="83" t="str">
        <f t="shared" si="91"/>
        <v/>
      </c>
      <c r="BQ32" s="84" t="str">
        <f t="shared" si="92"/>
        <v/>
      </c>
      <c r="BR32" s="184" t="str">
        <f>IFERROR(IF(B32="", "", IF(OR(VLOOKUP(J32, 'Fixture Identities'!$A$6:$L$1023, 3, FALSE)="T12 Linear Fluorescent",VLOOKUP(J32, 'Fixture Identities'!$A$6:$L$1023, 3, FALSE)="T12 U-Tube Fluorescent"), "Y", "N")), "N")</f>
        <v/>
      </c>
      <c r="BS32" s="184" t="str">
        <f t="array" ref="BS32">IFERROR(IF(OR(B32="", V32="", W32=""), "", IF(V32="Custom", "N", IF(OR(W32="Freezer Case Lighting", W32="Refrigerated Case Lighting with Doors"), BT32, IF(B32="Retrofit", INDEX('Lookup Tables'!$AH$6:$AT$102,MATCH(1,('Lookup Tables'!$AH$6:$AH$102=V32)*('Lookup Tables'!$AI$6:$AI$102=W32),FALSE),IF(VLOOKUP(J32, 'Fixture Identities'!$A$6:$B$1023, 2, FALSE)="Incandescent",12, 13)), INDEX('Lookup Tables'!$AH$114:$AS$154,MATCH(1,('Lookup Tables'!$AH$114:$AH$154=V32)*('Lookup Tables'!$AI$114:$AI$154=W32),FALSE),12))))), "N")</f>
        <v/>
      </c>
      <c r="BT32" s="184" t="str">
        <f>IF(J32="", "", IF(AND(OR(W32="Freezer case Lighting", W32="Refrigerated Case Lighting with Doors"),'General Information'!$X$18="LCI"), "N", IF(OR(VLOOKUP(J32, 'Fixture Identities'!$A$6:$B$1023, 2, FALSE)="T12 EPACT/EISA Baseline", VLOOKUP(J32, 'Fixture Identities'!$A$6:$B$1023, 2, FALSE)="Linear Fluorescent", VLOOKUP(J32, 'Fixture Identities'!$A$6:$B$1023, 2, FALSE)="U-Tube Fluorescent"), "Y", "N")))</f>
        <v/>
      </c>
      <c r="BU32" s="184" t="str">
        <f>IFERROR(IF(B32="", "", IF(VLOOKUP(J32, 'Fixture Identities'!$A$6:$B$1023, 2, FALSE)="Exit Sign", "Y", "N")), "N")</f>
        <v/>
      </c>
      <c r="BV32" s="184" t="str">
        <f>IF(V32="Exit Signs", IF(VLOOKUP(J32, 'Fixture Identities'!$A$6:$B$1023, 2, FALSE)="Exit Sign", "N", "Y"), "")</f>
        <v/>
      </c>
      <c r="BW32" s="184" t="str">
        <f t="array" ref="BW32">IFERROR(IF(B32="", "", IF(B32="New Construction", "N", INDEX('Lookup Tables'!$AH$6:$AU$102, MATCH(1, ('Lookup Tables'!$AH$6:$AH$102='Lighting Inventory'!V32)*('Lookup Tables'!$AI$6:$AI$102='Lighting Inventory'!W32), 0), 14))), "N")</f>
        <v/>
      </c>
      <c r="BX32" s="598" t="str">
        <f t="shared" si="93"/>
        <v/>
      </c>
      <c r="BY32" s="598" t="str">
        <f t="shared" si="94"/>
        <v/>
      </c>
      <c r="BZ32" s="598" t="str">
        <f t="shared" si="95"/>
        <v/>
      </c>
      <c r="CA32" s="598" t="str">
        <f t="shared" si="101"/>
        <v/>
      </c>
      <c r="CB32" s="269" t="str">
        <f t="shared" si="102"/>
        <v/>
      </c>
      <c r="CC32" s="517" t="str">
        <f t="shared" si="96"/>
        <v/>
      </c>
      <c r="CD32" s="565" t="str">
        <f t="shared" si="11"/>
        <v/>
      </c>
      <c r="CE32" s="368">
        <v>0</v>
      </c>
      <c r="CF32" s="368" t="str" cm="1">
        <f t="array" ref="CF32">IFERROR(IF(V32="Custom", "$0.1 per kWh", IF(B32="New Construction", CONCATENATE("$",INDEX('Lookup Tables'!$AH$114:$AN$154,MATCH(1,('Lookup Tables'!$AH$114:$AH$154='Lighting Inventory'!V32)*('Lookup Tables'!$AI$114:$AI$154='Lighting Inventory'!W32),FALSE),6)," ",INDEX('Lookup Tables'!$AH$114:$AN$154,MATCH(1,('Lookup Tables'!$AH$114:$AH$154='Lighting Inventory'!V32)*('Lookup Tables'!$AI$114:$AI$154='Lighting Inventory'!W32),FALSE),7)), IF(AND(BU32="N", V32="Exit Signs"), "$0.025 per kWh", CONCATENATE("$",INDEX('Lookup Tables'!$AH$6:$AN$102,MATCH(1,('Lookup Tables'!$AH$6:$AH$102='Lighting Inventory'!V32)*('Lookup Tables'!$AI$6:$AI$102='Lighting Inventory'!W32),FALSE),6)," ",INDEX('Lookup Tables'!$AH$6:$AN$102,MATCH(1,('Lookup Tables'!$AH$6:$AH$102='Lighting Inventory'!V32)*('Lookup Tables'!$AI$6:$AI$102='Lighting Inventory'!W32),FALSE),7))))), "")</f>
        <v/>
      </c>
      <c r="CG32" s="366"/>
      <c r="CH32" s="248" t="str">
        <f t="shared" si="170"/>
        <v/>
      </c>
      <c r="CI32" s="248" t="str">
        <f t="shared" si="171"/>
        <v>Select_IE</v>
      </c>
      <c r="CJ32" s="248" t="str">
        <f t="shared" si="172"/>
        <v/>
      </c>
      <c r="CK32" s="248" t="str">
        <f t="shared" si="173"/>
        <v/>
      </c>
      <c r="CL32" s="248" t="str">
        <f t="shared" si="174"/>
        <v/>
      </c>
      <c r="CM32" s="248" t="str">
        <f>IFERROR(IF(B32="", "", IF(B32="New Construction", VLOOKUP(V32, 'Lookup Tables'!$AF$114:$AG$120, 2, FALSE), VLOOKUP(V32, 'Lookup Tables'!$AD$6:$AE$25, 2, FALSE))), "")</f>
        <v/>
      </c>
      <c r="CN32" s="248" t="str">
        <f t="shared" si="175"/>
        <v/>
      </c>
      <c r="CO32" s="248" t="str">
        <f t="shared" si="176"/>
        <v/>
      </c>
      <c r="CP32" s="592" t="str">
        <f t="shared" si="177"/>
        <v/>
      </c>
      <c r="CQ32" s="248" t="str">
        <f t="shared" si="97"/>
        <v/>
      </c>
      <c r="CR32" s="100"/>
      <c r="CS32" s="250" t="str">
        <f t="shared" si="178"/>
        <v/>
      </c>
      <c r="CT32" s="250" t="str">
        <f t="shared" si="179"/>
        <v/>
      </c>
      <c r="CU32" s="250" t="str">
        <f t="shared" si="180"/>
        <v/>
      </c>
      <c r="CV32" s="250" t="str">
        <f t="shared" si="181"/>
        <v/>
      </c>
      <c r="CW32" s="250" t="str">
        <f t="shared" si="182"/>
        <v/>
      </c>
      <c r="CX32" s="250" t="str">
        <f t="shared" si="183"/>
        <v/>
      </c>
      <c r="CY32" s="250" t="str">
        <f t="shared" si="184"/>
        <v/>
      </c>
      <c r="CZ32" s="250" t="str">
        <f t="shared" si="185"/>
        <v/>
      </c>
      <c r="DA32" s="250" t="str">
        <f t="shared" si="186"/>
        <v/>
      </c>
      <c r="DB32" s="250" t="str">
        <f t="shared" si="187"/>
        <v/>
      </c>
      <c r="DC32" s="250" t="str">
        <f t="shared" si="188"/>
        <v/>
      </c>
      <c r="DD32" s="250" t="str">
        <f t="shared" si="189"/>
        <v/>
      </c>
      <c r="DE32" s="250" t="str">
        <f t="shared" si="190"/>
        <v/>
      </c>
      <c r="DF32" s="250" t="str">
        <f t="shared" si="191"/>
        <v/>
      </c>
      <c r="DG32" s="250" t="str">
        <f t="shared" si="192"/>
        <v/>
      </c>
      <c r="DH32" s="250" t="str">
        <f t="shared" si="193"/>
        <v/>
      </c>
      <c r="DI32" s="250" t="str">
        <f t="shared" si="194"/>
        <v/>
      </c>
      <c r="DJ32" s="250" t="str">
        <f t="shared" si="195"/>
        <v/>
      </c>
      <c r="DK32" s="250" t="str">
        <f t="shared" si="196"/>
        <v/>
      </c>
      <c r="DL32" s="250" t="str">
        <f t="shared" si="197"/>
        <v/>
      </c>
      <c r="DM32" s="250" t="str">
        <f>IF(CD32="ERROR", "ERROR", IF(AND(OR(Y32=$DM$6, Y32='Lookup Tables'!$AD$21, Y32='Lookup Tables'!$AD$22), E32="Interior"), BJ32, ""))</f>
        <v/>
      </c>
      <c r="DN32" s="250" t="str">
        <f>IF(CD32="ERROR", "ERROR", IF(AND(OR(Y32=$DM$6, Y32='Lookup Tables'!$AD$21, Y32='Lookup Tables'!$AD$22), E32="Exterior"), BJ32, ""))</f>
        <v/>
      </c>
      <c r="DO32" s="100"/>
      <c r="DP32" s="250" t="str">
        <f t="shared" si="198"/>
        <v/>
      </c>
      <c r="DQ32" s="250" t="str">
        <f t="shared" si="199"/>
        <v/>
      </c>
      <c r="DR32" s="250" t="str">
        <f t="shared" si="200"/>
        <v/>
      </c>
      <c r="DS32" s="250" t="str">
        <f t="shared" si="201"/>
        <v/>
      </c>
      <c r="DT32" s="250" t="str">
        <f t="shared" si="202"/>
        <v/>
      </c>
      <c r="DU32" s="250" t="str">
        <f t="shared" si="203"/>
        <v/>
      </c>
      <c r="DV32" s="250" t="str">
        <f t="shared" si="204"/>
        <v/>
      </c>
      <c r="DW32" s="250" t="str">
        <f t="shared" si="205"/>
        <v/>
      </c>
      <c r="DX32" s="250" t="str">
        <f t="shared" si="206"/>
        <v/>
      </c>
      <c r="DY32" s="250" t="str">
        <f t="shared" si="207"/>
        <v/>
      </c>
      <c r="DZ32" s="250" t="str">
        <f t="shared" si="208"/>
        <v/>
      </c>
      <c r="EA32" s="250" t="str">
        <f t="shared" si="209"/>
        <v/>
      </c>
      <c r="EB32" s="250" t="str">
        <f t="shared" si="210"/>
        <v/>
      </c>
      <c r="EC32" s="250" t="str">
        <f t="shared" si="211"/>
        <v/>
      </c>
      <c r="ED32" s="250" t="str">
        <f t="shared" si="212"/>
        <v/>
      </c>
      <c r="EE32" s="250" t="str">
        <f t="shared" si="213"/>
        <v/>
      </c>
      <c r="EF32" s="250" t="str">
        <f t="shared" si="214"/>
        <v/>
      </c>
      <c r="EG32" s="250" t="str">
        <f t="shared" si="215"/>
        <v/>
      </c>
      <c r="EH32" s="250" t="str">
        <f>IF(CD32="ERROR", "ERROR", IF(AND(OR($EH$6=Y32, Y32='Lookup Tables'!$AD$21, Y32='Lookup Tables'!$AD$22),E32="Interior"), SUM(BP32:BP32), ""))</f>
        <v/>
      </c>
      <c r="EI32" s="250" t="str">
        <f>IF(CD32="ERROR", "ERROR", IF(AND(OR($EH$6=Y32, Y32='Lookup Tables'!$AD$21, Y32='Lookup Tables'!$AD$22),E32="Exterior"), SUM(BP32:BP32), ""))</f>
        <v/>
      </c>
      <c r="EJ32" s="109"/>
      <c r="EK32" s="485" t="str">
        <f t="shared" si="58"/>
        <v/>
      </c>
      <c r="EL32" s="252" t="str">
        <f t="shared" si="216"/>
        <v/>
      </c>
      <c r="EM32" s="252" t="str">
        <f t="shared" si="217"/>
        <v/>
      </c>
      <c r="EN32" s="252" t="str">
        <f t="shared" si="218"/>
        <v/>
      </c>
      <c r="EO32" s="252" t="str">
        <f t="shared" si="219"/>
        <v/>
      </c>
      <c r="EP32" s="252" t="str">
        <f t="shared" si="220"/>
        <v/>
      </c>
      <c r="EQ32" s="252" t="str">
        <f t="shared" si="221"/>
        <v/>
      </c>
      <c r="ER32" s="252" t="str">
        <f t="shared" si="222"/>
        <v/>
      </c>
      <c r="ES32" s="252" t="str">
        <f t="shared" si="223"/>
        <v/>
      </c>
      <c r="ET32" s="252" t="str">
        <f t="shared" si="224"/>
        <v/>
      </c>
      <c r="EU32" s="252" t="str">
        <f t="shared" si="225"/>
        <v/>
      </c>
      <c r="EV32" s="252" t="str">
        <f t="shared" si="226"/>
        <v/>
      </c>
      <c r="EW32" s="252" t="str">
        <f t="shared" si="227"/>
        <v/>
      </c>
      <c r="EX32" s="252" t="str">
        <f t="shared" si="228"/>
        <v/>
      </c>
      <c r="EY32" s="252" t="str">
        <f t="shared" si="229"/>
        <v/>
      </c>
      <c r="EZ32" s="252" t="str">
        <f t="shared" si="230"/>
        <v/>
      </c>
      <c r="FA32" s="252" t="str">
        <f t="shared" si="231"/>
        <v/>
      </c>
      <c r="FB32" s="252" t="str">
        <f t="shared" si="232"/>
        <v/>
      </c>
      <c r="FC32" s="252" t="str">
        <f>IF(CD32="ERROR", "ERROR", IF(OR(V32="No Change", V32="Not DLC or Energy Star"), "", IF(AND(OR($FC$6=Y32,Y32='Lookup Tables'!$AD$21, Y32='Lookup Tables'!$AD$22),E32="Interior"), S32, "")))</f>
        <v/>
      </c>
      <c r="FD32" s="252" t="str">
        <f t="shared" si="233"/>
        <v/>
      </c>
      <c r="FE32" s="101"/>
      <c r="FF32" s="579" t="str" cm="1">
        <f t="array" ref="FF32">IFERROR(IF(OR(BQ32&lt;=0,AQ32&lt;20,AND(V32="Exit Signs",AN32&gt;0)),"",IF(AND(AQ32&gt;=20,AN32='Lookup Tables'!$R$101),'Lookup Tables'!$U$101*BQ32,AP32*LOOKUP(2,1/((AN32='Lookup Tables'!$R$91:$R$111)*(AQ32&gt;='Lookup Tables'!$S$91:$S$111)*(AQ32&lt;='Lookup Tables'!$T$91:$T$111)),'Lookup Tables'!$U$91:$U$111))),"")</f>
        <v/>
      </c>
      <c r="FG32" s="579"/>
      <c r="FH32" s="579"/>
      <c r="FI32" s="253" t="str">
        <f>IFERROR(ROUND(IF(CD32="ERROR", "ERROR", IF(AND($FI$7=X32,E32="Interior"),VLOOKUP(W32, 'Lookup Tables'!$AI$6:$AM$102, 5, FALSE)*BP32, "")), 2), "")</f>
        <v/>
      </c>
      <c r="FJ32" s="253" t="str">
        <f>IFERROR(ROUND(IF(CD32="ERROR", "ERROR", IF(AND($FI$7=X32,E32="Exterior"),VLOOKUP(W32, 'Lookup Tables'!$AI$6:$AM$102, 5, FALSE)*BP32, "")), 2), "")</f>
        <v/>
      </c>
      <c r="FK32" s="253" t="str">
        <f>IFERROR(ROUND(IF(CD32="ERROR", "ERROR", IF(AND($FK$7=X32,E32="Interior"),VLOOKUP(W32, 'Lookup Tables'!$AI$6:$AM$102, 5, FALSE)*BP32, "")), 2), "")</f>
        <v/>
      </c>
      <c r="FL32" s="253" t="str">
        <f>IFERROR(ROUND(IF(CD32="ERROR", "ERROR", IF(AND($FK$7=X32,E32="Exterior"),VLOOKUP(W32, 'Lookup Tables'!$AI$6:$AM$102, 5, FALSE)*BP32, "")), 2), "")</f>
        <v/>
      </c>
      <c r="FM32" s="253" t="str">
        <f>IFERROR(ROUND(IF(CD32="ERROR", "ERROR", IF(AND($FM$6=Y32,E32="Interior"), IF(GB32=0, VLOOKUP(W32, 'Lookup Tables'!$AI$6:$AM$102, 5, FALSE)*BP32, IF(VLOOKUP(W32, 'Lookup Tables'!$AI$6:$AM$102, 5, FALSE)*BP32&gt;GB32*'Lighting Inventory'!S32, GB32*'Lighting Inventory'!S32,VLOOKUP(W32, 'Lookup Tables'!$AI$6:$AM$102, 5, FALSE)*BP32)), "")), 2), "")</f>
        <v/>
      </c>
      <c r="FN32" s="253" t="str">
        <f>IFERROR(ROUND(IF(CD32="ERROR", "ERROR", IF(AND($FM$6=Y32,E32="Exterior"), IF(GB32=0, VLOOKUP(W32, 'Lookup Tables'!$AI$6:$AM$102, 5, FALSE)*BP32, IF(VLOOKUP(W32, 'Lookup Tables'!$AI$6:$AM$102, 5, FALSE)*BP32&gt;GB32*'Lighting Inventory'!S32, GB32*'Lighting Inventory'!S32,VLOOKUP(W32, 'Lookup Tables'!$AI$6:$AM$102, 5, FALSE)*BP32)), "")), 2), "")</f>
        <v/>
      </c>
      <c r="FO32" s="253" t="str">
        <f>IFERROR(ROUND(IF(CD32="ERROR", "ERROR", IF(AND($FO$6=Y32,E32="Interior"),VLOOKUP(W32, 'Lookup Tables'!$AI$6:$AM$102, 5, FALSE)*'Lighting Inventory'!AI32, "")), 2), "")</f>
        <v/>
      </c>
      <c r="FP32" s="253" t="str">
        <f>IFERROR(ROUND(IF(CD32="ERROR", "ERROR", IF(AND($FO$6=Y32,E32="Exterior"),VLOOKUP(W32, 'Lookup Tables'!$AI$6:$AM$102, 5, FALSE)*'Lighting Inventory'!AI32, "")), 2), "")</f>
        <v/>
      </c>
      <c r="FQ32" s="253" t="str">
        <f>IFERROR(ROUND(IF(CD32="ERROR", "ERROR", IF(AND($FQ$6=Y32,E32="Interior", BU32="Y"), VLOOKUP('Lighting Inventory'!W32, 'Lookup Tables'!$AI$6:$AM$102, 5, FALSE)*'Lighting Inventory'!S32, IF(AND($FQ$7=Y32,E32="Interior", BU32="N"), 0.025*CD32, ""))), 2), "")</f>
        <v/>
      </c>
      <c r="FR32" s="253" t="str">
        <f>IFERROR(ROUND(IF(CD32="ERROR", "ERROR", IF(AND($FQ$6=Y32,E32="Exterior"), VLOOKUP('Lighting Inventory'!W32, 'Lookup Tables'!$AI$6:$AM$102, 5, FALSE)*'Lighting Inventory'!S32, "")), 2), "")</f>
        <v/>
      </c>
      <c r="FS32" s="253" t="str">
        <f>IFERROR(ROUND(IF(CD32="ERROR", "ERROR", IF(AND($FS$6=Y32,E32="Exterior"), IF(GB32=0, VLOOKUP(W32, 'Lookup Tables'!$AI$6:$AM$102, 5, FALSE)*BP32, IF(VLOOKUP(W32, 'Lookup Tables'!$AI$6:$AM$102, 5, FALSE)*BP32&gt;GB32*'Lighting Inventory'!S32, GB32*'Lighting Inventory'!S32,VLOOKUP(W32, 'Lookup Tables'!$AI$6:$AM$102, 5, FALSE)*BP32)), "")), 2), "")</f>
        <v/>
      </c>
      <c r="FT32" s="253" t="str">
        <f>IFERROR(ROUND(IF(CD32="ERROR", "ERROR", IF(AND($FT$6=Y32,E32="Interior"), IF(GB32=0, VLOOKUP(W32, 'Lookup Tables'!$AI$6:$AM$102, 5, FALSE)*BP32, IF(VLOOKUP(W32, 'Lookup Tables'!$AI$6:$AM$102, 5, FALSE)*BP32&gt;GB32*'Lighting Inventory'!S32, GB32*'Lighting Inventory'!S32,VLOOKUP(W32, 'Lookup Tables'!$AI$6:$AM$102, 5, FALSE)*BP32)), "")), 2), "")</f>
        <v/>
      </c>
      <c r="FU32" s="253" t="str">
        <f>IFERROR(ROUND(IF(CD32="ERROR", "ERROR", IF(AND(Y32=$FU$6, E32="Interior"), IF(BS32="N", 'Lookup Tables'!$AM$101*BP32, VLOOKUP(W32, 'Lookup Tables'!$AI$6:$AM$102, 5, FALSE)*S32*AD32), "")), 2), "")</f>
        <v/>
      </c>
      <c r="FV32" s="253" t="str">
        <f>IFERROR(ROUND(IF(CD32="ERROR", "ERROR", IF(AND(Y32=$FU$6, E32="Exterior"), IF(BS32="N", 'Lookup Tables'!$AM$101*BP32, VLOOKUP(W32, 'Lookup Tables'!$AI$6:$AM$102, 5, FALSE)*S32*AD32), "")), 2), "")</f>
        <v/>
      </c>
      <c r="FW32" s="253" t="str">
        <f>IFERROR(ROUND(IF(CD32="ERROR", "ERROR", IF($FW$6=Y32, IF(BS32="N", 'Lookup Tables'!$AM$101*BP32, MIN((VLOOKUP(W32, 'Lookup Tables'!$AI$6:$AM$102, 5, FALSE)*BP32),GB32*AJ32)), "")), 2), "")</f>
        <v/>
      </c>
      <c r="FX32" s="253" t="str">
        <f>IFERROR(ROUND(IF(CD32="ERROR", "ERROR", IF(AND($FX$6=Y32, E32="Interior"), IF(VLOOKUP(W32, 'Lookup Tables'!$AI$6:$AM$102, 5, FALSE)*BP32&gt;'Lookup Tables'!$AQ$97*'Lighting Inventory'!S32,'Lighting Inventory'!S32*'Lookup Tables'!$AQ$97,VLOOKUP(W32, 'Lookup Tables'!$AI$6:$AM$102, 5, FALSE)*BP32), "")), 2), "")</f>
        <v/>
      </c>
      <c r="FY32" s="253" t="str">
        <f>IFERROR(ROUND(IF(CD32="ERROR", "ERROR", IF(AND($FX$6=Y32, E32="Exterior"), IF(VLOOKUP(W32, 'Lookup Tables'!$AI$6:$AM$102, 5, FALSE)*BP32&gt;'Lookup Tables'!$AQ$97*'Lighting Inventory'!S32,'Lighting Inventory'!S32*'Lookup Tables'!$AQ$97,VLOOKUP(W32, 'Lookup Tables'!$AI$6:$AM$102, 5, FALSE)*BP32), "")), 2), "")</f>
        <v/>
      </c>
      <c r="FZ32" s="253" t="str">
        <f>IFERROR(ROUND(IF(CD32="ERROR", "ERROR", IF(AND($FZ$6=Y32, E32="Interior"), IF(AND(OR(W32="Refrigerated Case Lighting with Doors", W32="Freezer Case Lighting"),Y32="Custom - Process Improvement"),CD32*'Lookup Tables'!$AM$101, IF(B32="Retrofit", IF(VLOOKUP(IF(V32="Custom", V32, W32), 'Lookup Tables'!$AI$6:$AM$102, 5, FALSE)*BP32&gt;GE32, GE32, VLOOKUP(IF(V32="Custom", V32, W32), 'Lookup Tables'!$AI$6:$AM$102, 5, FALSE)*BP32), IF(VLOOKUP(IF(V32="Custom", V32, W32), 'Lookup Tables'!$AI$114:$AM$154, 5, FALSE)*BP32&gt;GE32, GE32, VLOOKUP(IF(V32="Custom", V32, W32), 'Lookup Tables'!$AI$114:$AM$154, 5, FALSE)*BP32))), "")), 2),"")</f>
        <v/>
      </c>
      <c r="GA32" s="253" t="str">
        <f>IFERROR(ROUND(IF(CD32="ERROR", "ERROR", IF(AND($FZ$6=Y32, E32="Exterior"), IF(B32="Retrofit", IF(VLOOKUP(IF(V32="Custom", V32, W32), 'Lookup Tables'!$AI$6:$AM$102, 5, FALSE)*BP32&gt;GE32, GE32, VLOOKUP(IF(V32="Custom", V32, W32), 'Lookup Tables'!$AI$6:$AM$102, 5, FALSE)*BP32), IF(VLOOKUP(IF(V32="Custom", V32, W32), 'Lookup Tables'!$AI$114:$AM$154, 5, FALSE)*BP32&gt;GE32, GE32, VLOOKUP(IF(V32="Custom", V32, W32), 'Lookup Tables'!$AI$114:$AM$154, 5, FALSE)*BP32)), "")), 2),"")</f>
        <v/>
      </c>
      <c r="GB32" s="254" t="str">
        <f t="array" ref="GB32">IF(B32="","",IF(OR(V32="Custom",V32="No Change"),0,IF(B32="Retrofit", INDEX('Lookup Tables'!$AH$6:$AQ$102,MATCH(1,('Lookup Tables'!$AH$6:$AH$102='Lighting Inventory'!V32)*('Lookup Tables'!$AI$6:$AI$102='Lighting Inventory'!W32),FALSE),10),INDEX('Lookup Tables'!$AH$114:$AQ$154,MATCH(1,('Lookup Tables'!$AH$114:$AH$154='Lighting Inventory'!V32)*('Lookup Tables'!$AI$114:$AI$154='Lighting Inventory'!W32),FALSE),10))))</f>
        <v/>
      </c>
      <c r="GC32" s="255" t="str">
        <f t="shared" si="77"/>
        <v/>
      </c>
      <c r="GD32" s="250" t="str">
        <f t="shared" si="78"/>
        <v/>
      </c>
      <c r="GE32" s="253" t="str">
        <f>IFERROR(IF(AND(AF32="", 'General Information'!$F$18="No"),"", IF(AF32="", ((GD32/$CD$266)*$CF$266)*0.5, AF32*S32*0.5)), "")</f>
        <v/>
      </c>
      <c r="GF32" s="255" t="str">
        <f>IF(AND('General Information'!$F$19="", 'General Information'!$F$18="Yes",AF32="",BW32="Y"), "Y", "N")</f>
        <v>N</v>
      </c>
      <c r="GG32" s="255" t="s">
        <v>2946</v>
      </c>
      <c r="GH32" s="255" t="str">
        <f>IFERROR(IF(B32="", "", VLOOKUP(J32, 'Fixture Identities'!$A$6:$N$908, 14, FALSE)), "")</f>
        <v/>
      </c>
      <c r="GI32" s="389" t="str">
        <f>IF(OR(B32="", V32="", W32=""), "", IF(AND(OR(M32='Lookup Tables'!$R$18, M32='Lookup Tables'!$R$19, M32='Lookup Tables'!$R$20, M32='Lookup Tables'!$R$21, M32='Lookup Tables'!$R$22), OR(AN32='Lookup Tables'!$R$17, AN32='Lookup Tables'!$R$17, AN32="")), "Y", "N"))</f>
        <v/>
      </c>
      <c r="GJ32" s="255" t="str">
        <f t="shared" si="79"/>
        <v/>
      </c>
      <c r="GK32" s="255" t="str">
        <f t="shared" si="80"/>
        <v/>
      </c>
      <c r="GL32" s="255" t="str">
        <f t="shared" si="81"/>
        <v/>
      </c>
      <c r="GM32" s="255" t="str">
        <f>IF(AN32="", "", IF(AND(IF(ISNA(VLOOKUP(AN32,'Lookup Tables'!$R$18:$R$22,1,FALSE)), "N", "Y")="Y", E32="Exterior"), "Y", "N"))</f>
        <v/>
      </c>
      <c r="GN32" s="395"/>
      <c r="GO32" s="428">
        <f t="shared" si="98"/>
        <v>0</v>
      </c>
      <c r="GP32" s="428">
        <f t="shared" si="167"/>
        <v>0</v>
      </c>
      <c r="GQ32" s="428">
        <f t="shared" si="99"/>
        <v>0</v>
      </c>
      <c r="GR32" s="428">
        <f t="shared" si="100"/>
        <v>0</v>
      </c>
    </row>
    <row r="33" spans="1:202" s="103" customFormat="1" ht="13.5" customHeight="1" x14ac:dyDescent="0.2">
      <c r="A33" s="272">
        <v>23</v>
      </c>
      <c r="B33" s="110"/>
      <c r="C33" s="110"/>
      <c r="D33" s="110"/>
      <c r="E33" s="110"/>
      <c r="F33" s="110"/>
      <c r="G33" s="110"/>
      <c r="H33" s="110"/>
      <c r="I33" s="29"/>
      <c r="J33" s="29"/>
      <c r="K33" s="272" t="str">
        <f>IFERROR(IF(OR(VLOOKUP(J33, 'Fixture Identities'!$A$6:$L$1023, 3, FALSE)="T12 Linear Fluorescent", VLOOKUP(J33, 'Fixture Identities'!$A$6:$L$1023, 3, FALSE)="T12 U-Tube Fluorescent"), VLOOKUP(VLOOKUP(J33, 'Fixture Identities'!$A$6:$L$1023, 11, FALSE), 'Fixture Identities'!$A$6:$L$1023, 10, FALSE), VLOOKUP(J33, 'Fixture Identities'!$A$6:$L$1023, 10, FALSE)), "")</f>
        <v/>
      </c>
      <c r="L33" s="270" t="str">
        <f t="shared" si="169"/>
        <v/>
      </c>
      <c r="M33" s="110"/>
      <c r="N33" s="110"/>
      <c r="O33" s="110"/>
      <c r="P33" s="272" t="str">
        <f>IFERROR(IF(OR(B33="Retrofit",B33=""),"",IF('Lighting Inventory'!E33="Exterior",VLOOKUP('Lighting Inventory'!N33,'Lookup Tables'!$B$83:$F$103,5,FALSE),IF(N33="Other - Please Estimate EFLH and CFs","Contact Prog. Rep.","ft^2"))), "")</f>
        <v/>
      </c>
      <c r="Q33" s="270" t="str">
        <f>IFERROR(IF(AND(B33="New Construction",E33="Interior",$F$5="Space-by-Space"),VLOOKUP('Lighting Inventory'!N33,'Lookup Tables'!$N$6:$O$97,2,FALSE),IF(AND(B33="New Construction",E33="Exterior"),VLOOKUP(N33,'Lookup Tables'!$B$83:$F$103,2,FALSE),IF(AND(B33="New Construction",'Lighting Inventory'!E33="Interior", $F$5="Building Area"),VLOOKUP(F33,'Lookup Tables'!$A$6:$J$59,10,FALSE),""))), "")</f>
        <v/>
      </c>
      <c r="R33" s="270" t="str">
        <f>IFERROR(IF(P33="Contact Prog. Rep.", "ERROR", IF(OR(B33="",B33="Retrofit"),"",IF(N33="Automated teller machines", ('Lookup Tables'!$A$82:$E$100+('Lighting Inventory'!O33-1)*'Lookup Tables'!$A$82:$E$100)/1000, (Q33*O33)/1000))), "")</f>
        <v/>
      </c>
      <c r="S33" s="595"/>
      <c r="T33" s="105" t="str">
        <f t="shared" si="83"/>
        <v/>
      </c>
      <c r="U33" s="105" t="str">
        <f>IF(S33="","",COUNT($S$11:S33))</f>
        <v/>
      </c>
      <c r="V33" s="111"/>
      <c r="W33" s="112"/>
      <c r="X33" s="105" t="str">
        <f t="shared" si="84"/>
        <v/>
      </c>
      <c r="Y33" s="105" t="str">
        <f t="array" ref="Y33">IF(AND(OR(W33="Freezer Case Lighting", W33="Refrigerated Case Lighting with Doors"), 'General Information'!$X$18="LCI"),'Lookup Tables'!$Y$34, IF(V33="Custom", VLOOKUP(W33, 'Fixture Identities'!$A$974:$M$1023, 13, FALSE), IF(V33="No Change",'Lookup Tables'!$Y$29,IF(OR(V33="",W33=""),"",IF(AND(S33=0,S33&lt;I33,B33="Retrofit"),'Lookup Tables'!$Y$25, IF(B33="Retrofit", INDEX('Lookup Tables'!$AH$6:$AP$102, MATCH(1, ('Lookup Tables'!$AH$6:$AH$102=V33)*('Lookup Tables'!$AI$6:$AI$102=W33), 0), IF('Lighting Inventory'!E33="Interior", 4, 5)), INDEX('Lookup Tables'!$AH$114:$AP$154, MATCH(1, ('Lookup Tables'!$AH$114:$AH$154=V33)*('Lookup Tables'!$AI$114:$AI$154=W33), 0), IF('Lighting Inventory'!E33="Interior", 4, 5))))))))</f>
        <v/>
      </c>
      <c r="Z33" s="105" t="str">
        <f>IFERROR(INDEX('Lookup Tables'!$AH$158:$AH$172,MATCH('Lighting Inventory'!Y33,'Lookup Tables'!$AI$158:$AI$172,0)),"")</f>
        <v/>
      </c>
      <c r="AA33" s="105" t="str">
        <f>IF(AP33&gt;0,INDEX('Lookup Tables'!$AK$158:$AK$172,MATCH('Lighting Inventory'!Y33,'Lookup Tables'!$AI$158:$AI$172,0)),'Lighting Inventory'!Y33)</f>
        <v/>
      </c>
      <c r="AB33" s="105" t="str">
        <f t="array" ref="AB33">IF(V33="Custom", "Custom", IF(V33="", "", IF(V33="Not DLC or Energy Star", "General", IF(B33="New Construction", INDEX('Lookup Tables'!$AH$114:$AP$154,MATCH(1,('Lookup Tables'!$AH$114:$AH$154='Lighting Inventory'!V33)*('Lookup Tables'!$AI$114:$AI$154='Lighting Inventory'!W33),FALSE),8), INDEX('Lookup Tables'!$AH$6:$AP$102,MATCH(1,('Lookup Tables'!$AH$6:$AH$102='Lighting Inventory'!V33)*('Lookup Tables'!$AI$6:$AI$102='Lighting Inventory'!W33),FALSE),8)))))</f>
        <v/>
      </c>
      <c r="AC33" s="272" t="str">
        <f>IF(W33="","",IF(V33="Custom",CONCATENATE("$",'Lookup Tables'!$AM$101," ",'Lookup Tables'!$AN$101),CONCATENATE("$",INDEX('Lookup Tables'!$AM$6:$AM$102,MATCH('Lighting Inventory'!W33,'Lookup Tables'!$AI$6:$AI$102,0))," ",INDEX('Lookup Tables'!$AN$6:$AN$102,MATCH('Lighting Inventory'!W33,'Lookup Tables'!$AI$6:$AI$102,0)))))</f>
        <v/>
      </c>
      <c r="AD33" s="72"/>
      <c r="AE33" s="29"/>
      <c r="AF33" s="379"/>
      <c r="AG33" s="370" t="str">
        <f t="shared" si="2"/>
        <v/>
      </c>
      <c r="AH33" s="370" t="str">
        <f t="shared" si="85"/>
        <v/>
      </c>
      <c r="AI33" s="29"/>
      <c r="AJ33" s="29"/>
      <c r="AK33" s="110"/>
      <c r="AL33" s="375" t="str">
        <f>IF(OR(B33="", V33="", W33=""), "", IF(V33="No Change", K33, IF(V33="Remove Fixture", 0, IF(V33="Custom",VLOOKUP(W33,'Fixture Identities'!$A$6:$K$1023,10,FALSE),IF(AE33="", "← ENTER POST WATTS", 'Lighting Inventory'!AE33)))))</f>
        <v/>
      </c>
      <c r="AM33" s="376" t="str">
        <f t="shared" si="3"/>
        <v/>
      </c>
      <c r="AN33" s="29"/>
      <c r="AO33" s="671"/>
      <c r="AP33" s="29"/>
      <c r="AQ33" s="29"/>
      <c r="AR33" s="29"/>
      <c r="AS33" s="272" t="str">
        <f t="shared" si="4"/>
        <v/>
      </c>
      <c r="AT33" s="270" t="str">
        <f t="shared" si="234"/>
        <v/>
      </c>
      <c r="AU33" s="88" t="str">
        <f t="shared" si="235"/>
        <v/>
      </c>
      <c r="AV33" s="29"/>
      <c r="AW33" s="73"/>
      <c r="AX33" s="271" t="str">
        <f>IF(AND(AV33="Applicant",OR(AW33="", AW33="Use Default Facility Hours")),"← Choose Schedule",IF(F33="","",IF(W33="LED Exit Signs",8760,IF(OR(AV33="Prescribed",AV33=""),VLOOKUP(F33,'Lookup Tables'!$A$6:$G$59,IF(AB33="General", 6, 3),FALSE),VLOOKUP(AW33,'Lookup Tables'!$S$36:$U$43,2,FALSE)))))</f>
        <v/>
      </c>
      <c r="AY33" s="88" t="str">
        <f t="shared" si="7"/>
        <v/>
      </c>
      <c r="AZ33" s="270" t="str">
        <f>IFERROR(IF(F33="", "", IF(W33="LED Exit Signs", 1, IF(AV33="Applicant",VLOOKUP(AW33, 'Lookup Tables'!$S$36:$U$43,3, FALSE), VLOOKUP('Lighting Inventory'!F33, 'Lookup Tables'!$A$6:$H$59, IF('Lighting Inventory'!AB33="General",7,4), FALSE)))), "")</f>
        <v/>
      </c>
      <c r="BA33" s="522" t="str">
        <f>IFERROR(IF(F33="", "", IF(W33="LED Exit Signs", 1, VLOOKUP('Lighting Inventory'!F33, 'Lookup Tables'!$A$6:$H$59, IF('Lighting Inventory'!AB33="General",8,5), FALSE))), "")</f>
        <v/>
      </c>
      <c r="BB33" s="270" t="str">
        <f>IF(G33="", "", IF(E33="Exterior", 0, IF('Lighting Inventory'!G33="Air Conditioned", VLOOKUP(H33, 'Lookup Tables'!$R$6:$T$13, 2, FALSE), VLOOKUP('Lighting Inventory'!G33, 'Lookup Tables'!$R$6:$T$13, 2, FALSE))))</f>
        <v/>
      </c>
      <c r="BC33" s="522" t="str">
        <f>IF(G33="", "", IF(E33="Exterior", 0, IF('Lighting Inventory'!G33="Air Conditioned", VLOOKUP(H33, 'Lookup Tables'!$R$6:$T$13, 3, FALSE), VLOOKUP('Lighting Inventory'!G33, 'Lookup Tables'!$R$6:$T$13, 3, FALSE))))</f>
        <v/>
      </c>
      <c r="BD33" s="270" t="str">
        <f>IF(G33="", "", IF(E33="Exterior", 0, IF('Lighting Inventory'!G33="Air Conditioned", VLOOKUP(H33, 'Lookup Tables'!$R$6:$U$13, 4, FALSE), VLOOKUP('Lighting Inventory'!G33, 'Lookup Tables'!$R$6:$U$13, 4, FALSE))))</f>
        <v/>
      </c>
      <c r="BE33" s="270" t="str">
        <f>IFERROR(IF(B33="", "",  IF(B33="New Construction", VLOOKUP(F33, 'Lookup Tables'!$A$6:$K$59, 11, FALSE),IF(OR(AN33="", AN33="Light Switch"), 0, IF(OR(M33="",M33="None",V33= "LED Exit Signs"),0,_xlfn.XLOOKUP(M33,'Lookup Tables'!$R$91:$R$101,'Lookup Tables'!$V$91:$V$101))))), "")</f>
        <v/>
      </c>
      <c r="BF33" s="270" t="str">
        <f>IF(AND(OR(AN33="Light Switch",AN33=""),B33="New Construction"), VLOOKUP(F33, 'Lookup Tables'!$A$6:$K$59, 11, FALSE),IF(AN33="","",IF(B33="","",IF(OR(AN33="None",AN33="",V33="LED Exit Signs",AN33="Exterior Controls Not Eligible"),0,_xlfn.XLOOKUP(AN33,'Lookup Tables'!$R$91:$R$101,'Lookup Tables'!$V$91:$V$101)))))</f>
        <v/>
      </c>
      <c r="BG33" s="88" t="str">
        <f t="shared" si="86"/>
        <v/>
      </c>
      <c r="BH33" s="88" t="str">
        <f t="shared" si="87"/>
        <v/>
      </c>
      <c r="BI33" s="558" t="str">
        <f t="shared" si="168"/>
        <v/>
      </c>
      <c r="BJ33" s="560" t="str">
        <f t="shared" si="88"/>
        <v/>
      </c>
      <c r="BK33" s="560" t="str">
        <f t="shared" si="89"/>
        <v/>
      </c>
      <c r="BL33" s="559" t="str">
        <f t="shared" si="90"/>
        <v/>
      </c>
      <c r="BM33" s="521" t="str">
        <f t="shared" si="8"/>
        <v/>
      </c>
      <c r="BN33" s="521" t="str">
        <f t="shared" si="9"/>
        <v/>
      </c>
      <c r="BO33" s="522" t="str">
        <f t="shared" si="10"/>
        <v/>
      </c>
      <c r="BP33" s="83" t="str">
        <f t="shared" si="91"/>
        <v/>
      </c>
      <c r="BQ33" s="84" t="str">
        <f t="shared" si="92"/>
        <v/>
      </c>
      <c r="BR33" s="184" t="str">
        <f>IFERROR(IF(B33="", "", IF(OR(VLOOKUP(J33, 'Fixture Identities'!$A$6:$L$1023, 3, FALSE)="T12 Linear Fluorescent",VLOOKUP(J33, 'Fixture Identities'!$A$6:$L$1023, 3, FALSE)="T12 U-Tube Fluorescent"), "Y", "N")), "N")</f>
        <v/>
      </c>
      <c r="BS33" s="184" t="str">
        <f t="array" ref="BS33">IFERROR(IF(OR(B33="", V33="", W33=""), "", IF(V33="Custom", "N", IF(OR(W33="Freezer Case Lighting", W33="Refrigerated Case Lighting with Doors"), BT33, IF(B33="Retrofit", INDEX('Lookup Tables'!$AH$6:$AT$102,MATCH(1,('Lookup Tables'!$AH$6:$AH$102=V33)*('Lookup Tables'!$AI$6:$AI$102=W33),FALSE),IF(VLOOKUP(J33, 'Fixture Identities'!$A$6:$B$1023, 2, FALSE)="Incandescent",12, 13)), INDEX('Lookup Tables'!$AH$114:$AS$154,MATCH(1,('Lookup Tables'!$AH$114:$AH$154=V33)*('Lookup Tables'!$AI$114:$AI$154=W33),FALSE),12))))), "N")</f>
        <v/>
      </c>
      <c r="BT33" s="184" t="str">
        <f>IF(J33="", "", IF(AND(OR(W33="Freezer case Lighting", W33="Refrigerated Case Lighting with Doors"),'General Information'!$X$18="LCI"), "N", IF(OR(VLOOKUP(J33, 'Fixture Identities'!$A$6:$B$1023, 2, FALSE)="T12 EPACT/EISA Baseline", VLOOKUP(J33, 'Fixture Identities'!$A$6:$B$1023, 2, FALSE)="Linear Fluorescent", VLOOKUP(J33, 'Fixture Identities'!$A$6:$B$1023, 2, FALSE)="U-Tube Fluorescent"), "Y", "N")))</f>
        <v/>
      </c>
      <c r="BU33" s="184" t="str">
        <f>IFERROR(IF(B33="", "", IF(VLOOKUP(J33, 'Fixture Identities'!$A$6:$B$1023, 2, FALSE)="Exit Sign", "Y", "N")), "N")</f>
        <v/>
      </c>
      <c r="BV33" s="184" t="str">
        <f>IF(V33="Exit Signs", IF(VLOOKUP(J33, 'Fixture Identities'!$A$6:$B$1023, 2, FALSE)="Exit Sign", "N", "Y"), "")</f>
        <v/>
      </c>
      <c r="BW33" s="184" t="str">
        <f t="array" ref="BW33">IFERROR(IF(B33="", "", IF(B33="New Construction", "N", INDEX('Lookup Tables'!$AH$6:$AU$102, MATCH(1, ('Lookup Tables'!$AH$6:$AH$102='Lighting Inventory'!V33)*('Lookup Tables'!$AI$6:$AI$102='Lighting Inventory'!W33), 0), 14))), "N")</f>
        <v/>
      </c>
      <c r="BX33" s="598" t="str">
        <f t="shared" si="93"/>
        <v/>
      </c>
      <c r="BY33" s="598" t="str">
        <f t="shared" si="94"/>
        <v/>
      </c>
      <c r="BZ33" s="598" t="str">
        <f t="shared" si="95"/>
        <v/>
      </c>
      <c r="CA33" s="598" t="str">
        <f t="shared" si="101"/>
        <v/>
      </c>
      <c r="CB33" s="269" t="str">
        <f t="shared" si="102"/>
        <v/>
      </c>
      <c r="CC33" s="517" t="str">
        <f t="shared" si="96"/>
        <v/>
      </c>
      <c r="CD33" s="565" t="str">
        <f t="shared" si="11"/>
        <v/>
      </c>
      <c r="CE33" s="368">
        <v>0</v>
      </c>
      <c r="CF33" s="368" t="str" cm="1">
        <f t="array" ref="CF33">IFERROR(IF(V33="Custom", "$0.1 per kWh", IF(B33="New Construction", CONCATENATE("$",INDEX('Lookup Tables'!$AH$114:$AN$154,MATCH(1,('Lookup Tables'!$AH$114:$AH$154='Lighting Inventory'!V33)*('Lookup Tables'!$AI$114:$AI$154='Lighting Inventory'!W33),FALSE),6)," ",INDEX('Lookup Tables'!$AH$114:$AN$154,MATCH(1,('Lookup Tables'!$AH$114:$AH$154='Lighting Inventory'!V33)*('Lookup Tables'!$AI$114:$AI$154='Lighting Inventory'!W33),FALSE),7)), IF(AND(BU33="N", V33="Exit Signs"), "$0.025 per kWh", CONCATENATE("$",INDEX('Lookup Tables'!$AH$6:$AN$102,MATCH(1,('Lookup Tables'!$AH$6:$AH$102='Lighting Inventory'!V33)*('Lookup Tables'!$AI$6:$AI$102='Lighting Inventory'!W33),FALSE),6)," ",INDEX('Lookup Tables'!$AH$6:$AN$102,MATCH(1,('Lookup Tables'!$AH$6:$AH$102='Lighting Inventory'!V33)*('Lookup Tables'!$AI$6:$AI$102='Lighting Inventory'!W33),FALSE),7))))), "")</f>
        <v/>
      </c>
      <c r="CG33" s="366"/>
      <c r="CH33" s="248" t="str">
        <f t="shared" si="170"/>
        <v/>
      </c>
      <c r="CI33" s="248" t="str">
        <f t="shared" si="171"/>
        <v>Select_IE</v>
      </c>
      <c r="CJ33" s="248" t="str">
        <f t="shared" si="172"/>
        <v/>
      </c>
      <c r="CK33" s="248" t="str">
        <f t="shared" si="173"/>
        <v/>
      </c>
      <c r="CL33" s="248" t="str">
        <f t="shared" si="174"/>
        <v/>
      </c>
      <c r="CM33" s="248" t="str">
        <f>IFERROR(IF(B33="", "", IF(B33="New Construction", VLOOKUP(V33, 'Lookup Tables'!$AF$114:$AG$120, 2, FALSE), VLOOKUP(V33, 'Lookup Tables'!$AD$6:$AE$25, 2, FALSE))), "")</f>
        <v/>
      </c>
      <c r="CN33" s="248" t="str">
        <f t="shared" si="175"/>
        <v/>
      </c>
      <c r="CO33" s="248" t="str">
        <f t="shared" si="176"/>
        <v/>
      </c>
      <c r="CP33" s="592" t="str">
        <f t="shared" si="177"/>
        <v/>
      </c>
      <c r="CQ33" s="248" t="str">
        <f t="shared" si="97"/>
        <v/>
      </c>
      <c r="CR33" s="100"/>
      <c r="CS33" s="250" t="str">
        <f t="shared" si="178"/>
        <v/>
      </c>
      <c r="CT33" s="250" t="str">
        <f t="shared" si="179"/>
        <v/>
      </c>
      <c r="CU33" s="250" t="str">
        <f t="shared" si="180"/>
        <v/>
      </c>
      <c r="CV33" s="250" t="str">
        <f t="shared" si="181"/>
        <v/>
      </c>
      <c r="CW33" s="250" t="str">
        <f t="shared" si="182"/>
        <v/>
      </c>
      <c r="CX33" s="250" t="str">
        <f t="shared" si="183"/>
        <v/>
      </c>
      <c r="CY33" s="250" t="str">
        <f t="shared" si="184"/>
        <v/>
      </c>
      <c r="CZ33" s="250" t="str">
        <f t="shared" si="185"/>
        <v/>
      </c>
      <c r="DA33" s="250" t="str">
        <f t="shared" si="186"/>
        <v/>
      </c>
      <c r="DB33" s="250" t="str">
        <f t="shared" si="187"/>
        <v/>
      </c>
      <c r="DC33" s="250" t="str">
        <f t="shared" si="188"/>
        <v/>
      </c>
      <c r="DD33" s="250" t="str">
        <f t="shared" si="189"/>
        <v/>
      </c>
      <c r="DE33" s="250" t="str">
        <f t="shared" si="190"/>
        <v/>
      </c>
      <c r="DF33" s="250" t="str">
        <f t="shared" si="191"/>
        <v/>
      </c>
      <c r="DG33" s="250" t="str">
        <f t="shared" si="192"/>
        <v/>
      </c>
      <c r="DH33" s="250" t="str">
        <f t="shared" si="193"/>
        <v/>
      </c>
      <c r="DI33" s="250" t="str">
        <f t="shared" si="194"/>
        <v/>
      </c>
      <c r="DJ33" s="250" t="str">
        <f t="shared" si="195"/>
        <v/>
      </c>
      <c r="DK33" s="250" t="str">
        <f t="shared" si="196"/>
        <v/>
      </c>
      <c r="DL33" s="250" t="str">
        <f t="shared" si="197"/>
        <v/>
      </c>
      <c r="DM33" s="250" t="str">
        <f>IF(CD33="ERROR", "ERROR", IF(AND(OR(Y33=$DM$6, Y33='Lookup Tables'!$AD$21, Y33='Lookup Tables'!$AD$22), E33="Interior"), BJ33, ""))</f>
        <v/>
      </c>
      <c r="DN33" s="250" t="str">
        <f>IF(CD33="ERROR", "ERROR", IF(AND(OR(Y33=$DM$6, Y33='Lookup Tables'!$AD$21, Y33='Lookup Tables'!$AD$22), E33="Exterior"), BJ33, ""))</f>
        <v/>
      </c>
      <c r="DO33" s="100"/>
      <c r="DP33" s="250" t="str">
        <f t="shared" si="198"/>
        <v/>
      </c>
      <c r="DQ33" s="250" t="str">
        <f t="shared" si="199"/>
        <v/>
      </c>
      <c r="DR33" s="250" t="str">
        <f t="shared" si="200"/>
        <v/>
      </c>
      <c r="DS33" s="250" t="str">
        <f t="shared" si="201"/>
        <v/>
      </c>
      <c r="DT33" s="250" t="str">
        <f t="shared" si="202"/>
        <v/>
      </c>
      <c r="DU33" s="250" t="str">
        <f t="shared" si="203"/>
        <v/>
      </c>
      <c r="DV33" s="250" t="str">
        <f t="shared" si="204"/>
        <v/>
      </c>
      <c r="DW33" s="250" t="str">
        <f t="shared" si="205"/>
        <v/>
      </c>
      <c r="DX33" s="250" t="str">
        <f t="shared" si="206"/>
        <v/>
      </c>
      <c r="DY33" s="250" t="str">
        <f t="shared" si="207"/>
        <v/>
      </c>
      <c r="DZ33" s="250" t="str">
        <f t="shared" si="208"/>
        <v/>
      </c>
      <c r="EA33" s="250" t="str">
        <f t="shared" si="209"/>
        <v/>
      </c>
      <c r="EB33" s="250" t="str">
        <f t="shared" si="210"/>
        <v/>
      </c>
      <c r="EC33" s="250" t="str">
        <f t="shared" si="211"/>
        <v/>
      </c>
      <c r="ED33" s="250" t="str">
        <f t="shared" si="212"/>
        <v/>
      </c>
      <c r="EE33" s="250" t="str">
        <f t="shared" si="213"/>
        <v/>
      </c>
      <c r="EF33" s="250" t="str">
        <f t="shared" si="214"/>
        <v/>
      </c>
      <c r="EG33" s="250" t="str">
        <f t="shared" si="215"/>
        <v/>
      </c>
      <c r="EH33" s="250" t="str">
        <f>IF(CD33="ERROR", "ERROR", IF(AND(OR($EH$6=Y33, Y33='Lookup Tables'!$AD$21, Y33='Lookup Tables'!$AD$22),E33="Interior"), SUM(BP33:BP33), ""))</f>
        <v/>
      </c>
      <c r="EI33" s="250" t="str">
        <f>IF(CD33="ERROR", "ERROR", IF(AND(OR($EH$6=Y33, Y33='Lookup Tables'!$AD$21, Y33='Lookup Tables'!$AD$22),E33="Exterior"), SUM(BP33:BP33), ""))</f>
        <v/>
      </c>
      <c r="EJ33" s="109"/>
      <c r="EK33" s="485" t="str">
        <f t="shared" si="58"/>
        <v/>
      </c>
      <c r="EL33" s="252" t="str">
        <f t="shared" si="216"/>
        <v/>
      </c>
      <c r="EM33" s="252" t="str">
        <f t="shared" si="217"/>
        <v/>
      </c>
      <c r="EN33" s="252" t="str">
        <f t="shared" si="218"/>
        <v/>
      </c>
      <c r="EO33" s="252" t="str">
        <f t="shared" si="219"/>
        <v/>
      </c>
      <c r="EP33" s="252" t="str">
        <f t="shared" si="220"/>
        <v/>
      </c>
      <c r="EQ33" s="252" t="str">
        <f t="shared" si="221"/>
        <v/>
      </c>
      <c r="ER33" s="252" t="str">
        <f t="shared" si="222"/>
        <v/>
      </c>
      <c r="ES33" s="252" t="str">
        <f t="shared" si="223"/>
        <v/>
      </c>
      <c r="ET33" s="252" t="str">
        <f t="shared" si="224"/>
        <v/>
      </c>
      <c r="EU33" s="252" t="str">
        <f t="shared" si="225"/>
        <v/>
      </c>
      <c r="EV33" s="252" t="str">
        <f t="shared" si="226"/>
        <v/>
      </c>
      <c r="EW33" s="252" t="str">
        <f t="shared" si="227"/>
        <v/>
      </c>
      <c r="EX33" s="252" t="str">
        <f t="shared" si="228"/>
        <v/>
      </c>
      <c r="EY33" s="252" t="str">
        <f t="shared" si="229"/>
        <v/>
      </c>
      <c r="EZ33" s="252" t="str">
        <f t="shared" si="230"/>
        <v/>
      </c>
      <c r="FA33" s="252" t="str">
        <f t="shared" si="231"/>
        <v/>
      </c>
      <c r="FB33" s="252" t="str">
        <f t="shared" si="232"/>
        <v/>
      </c>
      <c r="FC33" s="252" t="str">
        <f>IF(CD33="ERROR", "ERROR", IF(OR(V33="No Change", V33="Not DLC or Energy Star"), "", IF(AND(OR($FC$6=Y33,Y33='Lookup Tables'!$AD$21, Y33='Lookup Tables'!$AD$22),E33="Interior"), S33, "")))</f>
        <v/>
      </c>
      <c r="FD33" s="252" t="str">
        <f t="shared" si="233"/>
        <v/>
      </c>
      <c r="FE33" s="101"/>
      <c r="FF33" s="579" t="str" cm="1">
        <f t="array" ref="FF33">IFERROR(IF(OR(BQ33&lt;=0,AQ33&lt;20,AND(V33="Exit Signs",AN33&gt;0)),"",IF(AND(AQ33&gt;=20,AN33='Lookup Tables'!$R$101),'Lookup Tables'!$U$101*BQ33,AP33*LOOKUP(2,1/((AN33='Lookup Tables'!$R$91:$R$111)*(AQ33&gt;='Lookup Tables'!$S$91:$S$111)*(AQ33&lt;='Lookup Tables'!$T$91:$T$111)),'Lookup Tables'!$U$91:$U$111))),"")</f>
        <v/>
      </c>
      <c r="FG33" s="579"/>
      <c r="FH33" s="579"/>
      <c r="FI33" s="253" t="str">
        <f>IFERROR(ROUND(IF(CD33="ERROR", "ERROR", IF(AND($FI$7=X33,E33="Interior"),VLOOKUP(W33, 'Lookup Tables'!$AI$6:$AM$102, 5, FALSE)*BP33, "")), 2), "")</f>
        <v/>
      </c>
      <c r="FJ33" s="253" t="str">
        <f>IFERROR(ROUND(IF(CD33="ERROR", "ERROR", IF(AND($FI$7=X33,E33="Exterior"),VLOOKUP(W33, 'Lookup Tables'!$AI$6:$AM$102, 5, FALSE)*BP33, "")), 2), "")</f>
        <v/>
      </c>
      <c r="FK33" s="253" t="str">
        <f>IFERROR(ROUND(IF(CD33="ERROR", "ERROR", IF(AND($FK$7=X33,E33="Interior"),VLOOKUP(W33, 'Lookup Tables'!$AI$6:$AM$102, 5, FALSE)*BP33, "")), 2), "")</f>
        <v/>
      </c>
      <c r="FL33" s="253" t="str">
        <f>IFERROR(ROUND(IF(CD33="ERROR", "ERROR", IF(AND($FK$7=X33,E33="Exterior"),VLOOKUP(W33, 'Lookup Tables'!$AI$6:$AM$102, 5, FALSE)*BP33, "")), 2), "")</f>
        <v/>
      </c>
      <c r="FM33" s="253" t="str">
        <f>IFERROR(ROUND(IF(CD33="ERROR", "ERROR", IF(AND($FM$6=Y33,E33="Interior"), IF(GB33=0, VLOOKUP(W33, 'Lookup Tables'!$AI$6:$AM$102, 5, FALSE)*BP33, IF(VLOOKUP(W33, 'Lookup Tables'!$AI$6:$AM$102, 5, FALSE)*BP33&gt;GB33*'Lighting Inventory'!S33, GB33*'Lighting Inventory'!S33,VLOOKUP(W33, 'Lookup Tables'!$AI$6:$AM$102, 5, FALSE)*BP33)), "")), 2), "")</f>
        <v/>
      </c>
      <c r="FN33" s="253" t="str">
        <f>IFERROR(ROUND(IF(CD33="ERROR", "ERROR", IF(AND($FM$6=Y33,E33="Exterior"), IF(GB33=0, VLOOKUP(W33, 'Lookup Tables'!$AI$6:$AM$102, 5, FALSE)*BP33, IF(VLOOKUP(W33, 'Lookup Tables'!$AI$6:$AM$102, 5, FALSE)*BP33&gt;GB33*'Lighting Inventory'!S33, GB33*'Lighting Inventory'!S33,VLOOKUP(W33, 'Lookup Tables'!$AI$6:$AM$102, 5, FALSE)*BP33)), "")), 2), "")</f>
        <v/>
      </c>
      <c r="FO33" s="253" t="str">
        <f>IFERROR(ROUND(IF(CD33="ERROR", "ERROR", IF(AND($FO$6=Y33,E33="Interior"),VLOOKUP(W33, 'Lookup Tables'!$AI$6:$AM$102, 5, FALSE)*'Lighting Inventory'!AI33, "")), 2), "")</f>
        <v/>
      </c>
      <c r="FP33" s="253" t="str">
        <f>IFERROR(ROUND(IF(CD33="ERROR", "ERROR", IF(AND($FO$6=Y33,E33="Exterior"),VLOOKUP(W33, 'Lookup Tables'!$AI$6:$AM$102, 5, FALSE)*'Lighting Inventory'!AI33, "")), 2), "")</f>
        <v/>
      </c>
      <c r="FQ33" s="253" t="str">
        <f>IFERROR(ROUND(IF(CD33="ERROR", "ERROR", IF(AND($FQ$6=Y33,E33="Interior", BU33="Y"), VLOOKUP('Lighting Inventory'!W33, 'Lookup Tables'!$AI$6:$AM$102, 5, FALSE)*'Lighting Inventory'!S33, IF(AND($FQ$7=Y33,E33="Interior", BU33="N"), 0.025*CD33, ""))), 2), "")</f>
        <v/>
      </c>
      <c r="FR33" s="253" t="str">
        <f>IFERROR(ROUND(IF(CD33="ERROR", "ERROR", IF(AND($FQ$6=Y33,E33="Exterior"), VLOOKUP('Lighting Inventory'!W33, 'Lookup Tables'!$AI$6:$AM$102, 5, FALSE)*'Lighting Inventory'!S33, "")), 2), "")</f>
        <v/>
      </c>
      <c r="FS33" s="253" t="str">
        <f>IFERROR(ROUND(IF(CD33="ERROR", "ERROR", IF(AND($FS$6=Y33,E33="Exterior"), IF(GB33=0, VLOOKUP(W33, 'Lookup Tables'!$AI$6:$AM$102, 5, FALSE)*BP33, IF(VLOOKUP(W33, 'Lookup Tables'!$AI$6:$AM$102, 5, FALSE)*BP33&gt;GB33*'Lighting Inventory'!S33, GB33*'Lighting Inventory'!S33,VLOOKUP(W33, 'Lookup Tables'!$AI$6:$AM$102, 5, FALSE)*BP33)), "")), 2), "")</f>
        <v/>
      </c>
      <c r="FT33" s="253" t="str">
        <f>IFERROR(ROUND(IF(CD33="ERROR", "ERROR", IF(AND($FT$6=Y33,E33="Interior"), IF(GB33=0, VLOOKUP(W33, 'Lookup Tables'!$AI$6:$AM$102, 5, FALSE)*BP33, IF(VLOOKUP(W33, 'Lookup Tables'!$AI$6:$AM$102, 5, FALSE)*BP33&gt;GB33*'Lighting Inventory'!S33, GB33*'Lighting Inventory'!S33,VLOOKUP(W33, 'Lookup Tables'!$AI$6:$AM$102, 5, FALSE)*BP33)), "")), 2), "")</f>
        <v/>
      </c>
      <c r="FU33" s="253" t="str">
        <f>IFERROR(ROUND(IF(CD33="ERROR", "ERROR", IF(AND(Y33=$FU$6, E33="Interior"), IF(BS33="N", 'Lookup Tables'!$AM$101*BP33, VLOOKUP(W33, 'Lookup Tables'!$AI$6:$AM$102, 5, FALSE)*S33*AD33), "")), 2), "")</f>
        <v/>
      </c>
      <c r="FV33" s="253" t="str">
        <f>IFERROR(ROUND(IF(CD33="ERROR", "ERROR", IF(AND(Y33=$FU$6, E33="Exterior"), IF(BS33="N", 'Lookup Tables'!$AM$101*BP33, VLOOKUP(W33, 'Lookup Tables'!$AI$6:$AM$102, 5, FALSE)*S33*AD33), "")), 2), "")</f>
        <v/>
      </c>
      <c r="FW33" s="253" t="str">
        <f>IFERROR(ROUND(IF(CD33="ERROR", "ERROR", IF($FW$6=Y33, IF(BS33="N", 'Lookup Tables'!$AM$101*BP33, MIN((VLOOKUP(W33, 'Lookup Tables'!$AI$6:$AM$102, 5, FALSE)*BP33),GB33*AJ33)), "")), 2), "")</f>
        <v/>
      </c>
      <c r="FX33" s="253" t="str">
        <f>IFERROR(ROUND(IF(CD33="ERROR", "ERROR", IF(AND($FX$6=Y33, E33="Interior"), IF(VLOOKUP(W33, 'Lookup Tables'!$AI$6:$AM$102, 5, FALSE)*BP33&gt;'Lookup Tables'!$AQ$97*'Lighting Inventory'!S33,'Lighting Inventory'!S33*'Lookup Tables'!$AQ$97,VLOOKUP(W33, 'Lookup Tables'!$AI$6:$AM$102, 5, FALSE)*BP33), "")), 2), "")</f>
        <v/>
      </c>
      <c r="FY33" s="253" t="str">
        <f>IFERROR(ROUND(IF(CD33="ERROR", "ERROR", IF(AND($FX$6=Y33, E33="Exterior"), IF(VLOOKUP(W33, 'Lookup Tables'!$AI$6:$AM$102, 5, FALSE)*BP33&gt;'Lookup Tables'!$AQ$97*'Lighting Inventory'!S33,'Lighting Inventory'!S33*'Lookup Tables'!$AQ$97,VLOOKUP(W33, 'Lookup Tables'!$AI$6:$AM$102, 5, FALSE)*BP33), "")), 2), "")</f>
        <v/>
      </c>
      <c r="FZ33" s="253" t="str">
        <f>IFERROR(ROUND(IF(CD33="ERROR", "ERROR", IF(AND($FZ$6=Y33, E33="Interior"), IF(AND(OR(W33="Refrigerated Case Lighting with Doors", W33="Freezer Case Lighting"),Y33="Custom - Process Improvement"),CD33*'Lookup Tables'!$AM$101, IF(B33="Retrofit", IF(VLOOKUP(IF(V33="Custom", V33, W33), 'Lookup Tables'!$AI$6:$AM$102, 5, FALSE)*BP33&gt;GE33, GE33, VLOOKUP(IF(V33="Custom", V33, W33), 'Lookup Tables'!$AI$6:$AM$102, 5, FALSE)*BP33), IF(VLOOKUP(IF(V33="Custom", V33, W33), 'Lookup Tables'!$AI$114:$AM$154, 5, FALSE)*BP33&gt;GE33, GE33, VLOOKUP(IF(V33="Custom", V33, W33), 'Lookup Tables'!$AI$114:$AM$154, 5, FALSE)*BP33))), "")), 2),"")</f>
        <v/>
      </c>
      <c r="GA33" s="253" t="str">
        <f>IFERROR(ROUND(IF(CD33="ERROR", "ERROR", IF(AND($FZ$6=Y33, E33="Exterior"), IF(B33="Retrofit", IF(VLOOKUP(IF(V33="Custom", V33, W33), 'Lookup Tables'!$AI$6:$AM$102, 5, FALSE)*BP33&gt;GE33, GE33, VLOOKUP(IF(V33="Custom", V33, W33), 'Lookup Tables'!$AI$6:$AM$102, 5, FALSE)*BP33), IF(VLOOKUP(IF(V33="Custom", V33, W33), 'Lookup Tables'!$AI$114:$AM$154, 5, FALSE)*BP33&gt;GE33, GE33, VLOOKUP(IF(V33="Custom", V33, W33), 'Lookup Tables'!$AI$114:$AM$154, 5, FALSE)*BP33)), "")), 2),"")</f>
        <v/>
      </c>
      <c r="GB33" s="254" t="str">
        <f t="array" ref="GB33">IF(B33="","",IF(OR(V33="Custom",V33="No Change"),0,IF(B33="Retrofit", INDEX('Lookup Tables'!$AH$6:$AQ$102,MATCH(1,('Lookup Tables'!$AH$6:$AH$102='Lighting Inventory'!V33)*('Lookup Tables'!$AI$6:$AI$102='Lighting Inventory'!W33),FALSE),10),INDEX('Lookup Tables'!$AH$114:$AQ$154,MATCH(1,('Lookup Tables'!$AH$114:$AH$154='Lighting Inventory'!V33)*('Lookup Tables'!$AI$114:$AI$154='Lighting Inventory'!W33),FALSE),10))))</f>
        <v/>
      </c>
      <c r="GC33" s="255" t="str">
        <f t="shared" si="77"/>
        <v/>
      </c>
      <c r="GD33" s="250" t="str">
        <f t="shared" si="78"/>
        <v/>
      </c>
      <c r="GE33" s="253" t="str">
        <f>IFERROR(IF(AND(AF33="", 'General Information'!$F$18="No"),"", IF(AF33="", ((GD33/$CD$266)*$CF$266)*0.5, AF33*S33*0.5)), "")</f>
        <v/>
      </c>
      <c r="GF33" s="255" t="str">
        <f>IF(AND('General Information'!$F$19="", 'General Information'!$F$18="Yes",AF33="",BW33="Y"), "Y", "N")</f>
        <v>N</v>
      </c>
      <c r="GG33" s="255" t="s">
        <v>2946</v>
      </c>
      <c r="GH33" s="255" t="str">
        <f>IFERROR(IF(B33="", "", VLOOKUP(J33, 'Fixture Identities'!$A$6:$N$908, 14, FALSE)), "")</f>
        <v/>
      </c>
      <c r="GI33" s="389" t="str">
        <f>IF(OR(B33="", V33="", W33=""), "", IF(AND(OR(M33='Lookup Tables'!$R$18, M33='Lookup Tables'!$R$19, M33='Lookup Tables'!$R$20, M33='Lookup Tables'!$R$21, M33='Lookup Tables'!$R$22), OR(AN33='Lookup Tables'!$R$17, AN33='Lookup Tables'!$R$17, AN33="")), "Y", "N"))</f>
        <v/>
      </c>
      <c r="GJ33" s="255" t="str">
        <f t="shared" si="79"/>
        <v/>
      </c>
      <c r="GK33" s="255" t="str">
        <f t="shared" si="80"/>
        <v/>
      </c>
      <c r="GL33" s="255" t="str">
        <f t="shared" si="81"/>
        <v/>
      </c>
      <c r="GM33" s="255" t="str">
        <f>IF(AN33="", "", IF(AND(IF(ISNA(VLOOKUP(AN33,'Lookup Tables'!$R$18:$R$22,1,FALSE)), "N", "Y")="Y", E33="Exterior"), "Y", "N"))</f>
        <v/>
      </c>
      <c r="GN33" s="395"/>
      <c r="GO33" s="428">
        <f t="shared" si="98"/>
        <v>0</v>
      </c>
      <c r="GP33" s="428">
        <f t="shared" si="167"/>
        <v>0</v>
      </c>
      <c r="GQ33" s="428">
        <f t="shared" si="99"/>
        <v>0</v>
      </c>
      <c r="GR33" s="428">
        <f t="shared" si="100"/>
        <v>0</v>
      </c>
    </row>
    <row r="34" spans="1:202" s="103" customFormat="1" ht="13.5" customHeight="1" x14ac:dyDescent="0.2">
      <c r="A34" s="272">
        <v>24</v>
      </c>
      <c r="B34" s="110"/>
      <c r="C34" s="110"/>
      <c r="D34" s="110"/>
      <c r="E34" s="110"/>
      <c r="F34" s="110"/>
      <c r="G34" s="110"/>
      <c r="H34" s="110"/>
      <c r="I34" s="29"/>
      <c r="J34" s="29"/>
      <c r="K34" s="272" t="str">
        <f>IFERROR(IF(OR(VLOOKUP(J34, 'Fixture Identities'!$A$6:$L$1023, 3, FALSE)="T12 Linear Fluorescent", VLOOKUP(J34, 'Fixture Identities'!$A$6:$L$1023, 3, FALSE)="T12 U-Tube Fluorescent"), VLOOKUP(VLOOKUP(J34, 'Fixture Identities'!$A$6:$L$1023, 11, FALSE), 'Fixture Identities'!$A$6:$L$1023, 10, FALSE), VLOOKUP(J34, 'Fixture Identities'!$A$6:$L$1023, 10, FALSE)), "")</f>
        <v/>
      </c>
      <c r="L34" s="270" t="str">
        <f t="shared" si="169"/>
        <v/>
      </c>
      <c r="M34" s="110"/>
      <c r="N34" s="110"/>
      <c r="O34" s="110"/>
      <c r="P34" s="272" t="str">
        <f>IFERROR(IF(OR(B34="Retrofit",B34=""),"",IF('Lighting Inventory'!E34="Exterior",VLOOKUP('Lighting Inventory'!N34,'Lookup Tables'!$B$83:$F$103,5,FALSE),IF(N34="Other - Please Estimate EFLH and CFs","Contact Prog. Rep.","ft^2"))), "")</f>
        <v/>
      </c>
      <c r="Q34" s="270" t="str">
        <f>IFERROR(IF(AND(B34="New Construction",E34="Interior",$F$5="Space-by-Space"),VLOOKUP('Lighting Inventory'!N34,'Lookup Tables'!$N$6:$O$97,2,FALSE),IF(AND(B34="New Construction",E34="Exterior"),VLOOKUP(N34,'Lookup Tables'!$B$83:$F$103,2,FALSE),IF(AND(B34="New Construction",'Lighting Inventory'!E34="Interior", $F$5="Building Area"),VLOOKUP(F34,'Lookup Tables'!$A$6:$J$59,10,FALSE),""))), "")</f>
        <v/>
      </c>
      <c r="R34" s="270" t="str">
        <f>IFERROR(IF(P34="Contact Prog. Rep.", "ERROR", IF(OR(B34="",B34="Retrofit"),"",IF(N34="Automated teller machines", ('Lookup Tables'!$A$82:$E$100+('Lighting Inventory'!O34-1)*'Lookup Tables'!$A$82:$E$100)/1000, (Q34*O34)/1000))), "")</f>
        <v/>
      </c>
      <c r="S34" s="595"/>
      <c r="T34" s="105" t="str">
        <f t="shared" si="83"/>
        <v/>
      </c>
      <c r="U34" s="105" t="str">
        <f>IF(S34="","",COUNT($S$11:S34))</f>
        <v/>
      </c>
      <c r="V34" s="111"/>
      <c r="W34" s="112"/>
      <c r="X34" s="105" t="str">
        <f t="shared" si="84"/>
        <v/>
      </c>
      <c r="Y34" s="105" t="str">
        <f t="array" ref="Y34">IF(AND(OR(W34="Freezer Case Lighting", W34="Refrigerated Case Lighting with Doors"), 'General Information'!$X$18="LCI"),'Lookup Tables'!$Y$34, IF(V34="Custom", VLOOKUP(W34, 'Fixture Identities'!$A$974:$M$1023, 13, FALSE), IF(V34="No Change",'Lookup Tables'!$Y$29,IF(OR(V34="",W34=""),"",IF(AND(S34=0,S34&lt;I34,B34="Retrofit"),'Lookup Tables'!$Y$25, IF(B34="Retrofit", INDEX('Lookup Tables'!$AH$6:$AP$102, MATCH(1, ('Lookup Tables'!$AH$6:$AH$102=V34)*('Lookup Tables'!$AI$6:$AI$102=W34), 0), IF('Lighting Inventory'!E34="Interior", 4, 5)), INDEX('Lookup Tables'!$AH$114:$AP$154, MATCH(1, ('Lookup Tables'!$AH$114:$AH$154=V34)*('Lookup Tables'!$AI$114:$AI$154=W34), 0), IF('Lighting Inventory'!E34="Interior", 4, 5))))))))</f>
        <v/>
      </c>
      <c r="Z34" s="105" t="str">
        <f>IFERROR(INDEX('Lookup Tables'!$AH$158:$AH$172,MATCH('Lighting Inventory'!Y34,'Lookup Tables'!$AI$158:$AI$172,0)),"")</f>
        <v/>
      </c>
      <c r="AA34" s="105" t="str">
        <f>IF(AP34&gt;0,INDEX('Lookup Tables'!$AK$158:$AK$172,MATCH('Lighting Inventory'!Y34,'Lookup Tables'!$AI$158:$AI$172,0)),'Lighting Inventory'!Y34)</f>
        <v/>
      </c>
      <c r="AB34" s="105" t="str">
        <f t="array" ref="AB34">IF(V34="Custom", "Custom", IF(V34="", "", IF(V34="Not DLC or Energy Star", "General", IF(B34="New Construction", INDEX('Lookup Tables'!$AH$114:$AP$154,MATCH(1,('Lookup Tables'!$AH$114:$AH$154='Lighting Inventory'!V34)*('Lookup Tables'!$AI$114:$AI$154='Lighting Inventory'!W34),FALSE),8), INDEX('Lookup Tables'!$AH$6:$AP$102,MATCH(1,('Lookup Tables'!$AH$6:$AH$102='Lighting Inventory'!V34)*('Lookup Tables'!$AI$6:$AI$102='Lighting Inventory'!W34),FALSE),8)))))</f>
        <v/>
      </c>
      <c r="AC34" s="272" t="str">
        <f>IF(W34="","",IF(V34="Custom",CONCATENATE("$",'Lookup Tables'!$AM$101," ",'Lookup Tables'!$AN$101),CONCATENATE("$",INDEX('Lookup Tables'!$AM$6:$AM$102,MATCH('Lighting Inventory'!W34,'Lookup Tables'!$AI$6:$AI$102,0))," ",INDEX('Lookup Tables'!$AN$6:$AN$102,MATCH('Lighting Inventory'!W34,'Lookup Tables'!$AI$6:$AI$102,0)))))</f>
        <v/>
      </c>
      <c r="AD34" s="72"/>
      <c r="AE34" s="29"/>
      <c r="AF34" s="379"/>
      <c r="AG34" s="370" t="str">
        <f t="shared" si="2"/>
        <v/>
      </c>
      <c r="AH34" s="370" t="str">
        <f t="shared" si="85"/>
        <v/>
      </c>
      <c r="AI34" s="29"/>
      <c r="AJ34" s="29"/>
      <c r="AK34" s="110"/>
      <c r="AL34" s="375" t="str">
        <f>IF(OR(B34="", V34="", W34=""), "", IF(V34="No Change", K34, IF(V34="Remove Fixture", 0, IF(V34="Custom",VLOOKUP(W34,'Fixture Identities'!$A$6:$K$1023,10,FALSE),IF(AE34="", "← ENTER POST WATTS", 'Lighting Inventory'!AE34)))))</f>
        <v/>
      </c>
      <c r="AM34" s="376" t="str">
        <f t="shared" si="3"/>
        <v/>
      </c>
      <c r="AN34" s="29"/>
      <c r="AO34" s="671"/>
      <c r="AP34" s="29"/>
      <c r="AQ34" s="29"/>
      <c r="AR34" s="29"/>
      <c r="AS34" s="272" t="str">
        <f t="shared" si="4"/>
        <v/>
      </c>
      <c r="AT34" s="270" t="str">
        <f t="shared" si="234"/>
        <v/>
      </c>
      <c r="AU34" s="88" t="str">
        <f t="shared" si="235"/>
        <v/>
      </c>
      <c r="AV34" s="29"/>
      <c r="AW34" s="73"/>
      <c r="AX34" s="271" t="str">
        <f>IF(AND(AV34="Applicant",OR(AW34="", AW34="Use Default Facility Hours")),"← Choose Schedule",IF(F34="","",IF(W34="LED Exit Signs",8760,IF(OR(AV34="Prescribed",AV34=""),VLOOKUP(F34,'Lookup Tables'!$A$6:$G$59,IF(AB34="General", 6, 3),FALSE),VLOOKUP(AW34,'Lookup Tables'!$S$36:$U$43,2,FALSE)))))</f>
        <v/>
      </c>
      <c r="AY34" s="88" t="str">
        <f t="shared" si="7"/>
        <v/>
      </c>
      <c r="AZ34" s="270" t="str">
        <f>IFERROR(IF(F34="", "", IF(W34="LED Exit Signs", 1, IF(AV34="Applicant",VLOOKUP(AW34, 'Lookup Tables'!$S$36:$U$43,3, FALSE), VLOOKUP('Lighting Inventory'!F34, 'Lookup Tables'!$A$6:$H$59, IF('Lighting Inventory'!AB34="General",7,4), FALSE)))), "")</f>
        <v/>
      </c>
      <c r="BA34" s="522" t="str">
        <f>IFERROR(IF(F34="", "", IF(W34="LED Exit Signs", 1, VLOOKUP('Lighting Inventory'!F34, 'Lookup Tables'!$A$6:$H$59, IF('Lighting Inventory'!AB34="General",8,5), FALSE))), "")</f>
        <v/>
      </c>
      <c r="BB34" s="270" t="str">
        <f>IF(G34="", "", IF(E34="Exterior", 0, IF('Lighting Inventory'!G34="Air Conditioned", VLOOKUP(H34, 'Lookup Tables'!$R$6:$T$13, 2, FALSE), VLOOKUP('Lighting Inventory'!G34, 'Lookup Tables'!$R$6:$T$13, 2, FALSE))))</f>
        <v/>
      </c>
      <c r="BC34" s="522" t="str">
        <f>IF(G34="", "", IF(E34="Exterior", 0, IF('Lighting Inventory'!G34="Air Conditioned", VLOOKUP(H34, 'Lookup Tables'!$R$6:$T$13, 3, FALSE), VLOOKUP('Lighting Inventory'!G34, 'Lookup Tables'!$R$6:$T$13, 3, FALSE))))</f>
        <v/>
      </c>
      <c r="BD34" s="270" t="str">
        <f>IF(G34="", "", IF(E34="Exterior", 0, IF('Lighting Inventory'!G34="Air Conditioned", VLOOKUP(H34, 'Lookup Tables'!$R$6:$U$13, 4, FALSE), VLOOKUP('Lighting Inventory'!G34, 'Lookup Tables'!$R$6:$U$13, 4, FALSE))))</f>
        <v/>
      </c>
      <c r="BE34" s="270" t="str">
        <f>IFERROR(IF(B34="", "",  IF(B34="New Construction", VLOOKUP(F34, 'Lookup Tables'!$A$6:$K$59, 11, FALSE),IF(OR(AN34="", AN34="Light Switch"), 0, IF(OR(M34="",M34="None",V34= "LED Exit Signs"),0,_xlfn.XLOOKUP(M34,'Lookup Tables'!$R$91:$R$101,'Lookup Tables'!$V$91:$V$101))))), "")</f>
        <v/>
      </c>
      <c r="BF34" s="270" t="str">
        <f>IF(AND(OR(AN34="Light Switch",AN34=""),B34="New Construction"), VLOOKUP(F34, 'Lookup Tables'!$A$6:$K$59, 11, FALSE),IF(AN34="","",IF(B34="","",IF(OR(AN34="None",AN34="",V34="LED Exit Signs",AN34="Exterior Controls Not Eligible"),0,_xlfn.XLOOKUP(AN34,'Lookup Tables'!$R$91:$R$101,'Lookup Tables'!$V$91:$V$101)))))</f>
        <v/>
      </c>
      <c r="BG34" s="88" t="str">
        <f t="shared" si="86"/>
        <v/>
      </c>
      <c r="BH34" s="88" t="str">
        <f t="shared" si="87"/>
        <v/>
      </c>
      <c r="BI34" s="558" t="str">
        <f t="shared" si="168"/>
        <v/>
      </c>
      <c r="BJ34" s="560" t="str">
        <f t="shared" si="88"/>
        <v/>
      </c>
      <c r="BK34" s="560" t="str">
        <f t="shared" si="89"/>
        <v/>
      </c>
      <c r="BL34" s="559" t="str">
        <f t="shared" si="90"/>
        <v/>
      </c>
      <c r="BM34" s="521" t="str">
        <f t="shared" si="8"/>
        <v/>
      </c>
      <c r="BN34" s="521" t="str">
        <f t="shared" si="9"/>
        <v/>
      </c>
      <c r="BO34" s="522" t="str">
        <f t="shared" si="10"/>
        <v/>
      </c>
      <c r="BP34" s="83" t="str">
        <f t="shared" si="91"/>
        <v/>
      </c>
      <c r="BQ34" s="84" t="str">
        <f t="shared" si="92"/>
        <v/>
      </c>
      <c r="BR34" s="184" t="str">
        <f>IFERROR(IF(B34="", "", IF(OR(VLOOKUP(J34, 'Fixture Identities'!$A$6:$L$1023, 3, FALSE)="T12 Linear Fluorescent",VLOOKUP(J34, 'Fixture Identities'!$A$6:$L$1023, 3, FALSE)="T12 U-Tube Fluorescent"), "Y", "N")), "N")</f>
        <v/>
      </c>
      <c r="BS34" s="184" t="str">
        <f t="array" ref="BS34">IFERROR(IF(OR(B34="", V34="", W34=""), "", IF(V34="Custom", "N", IF(OR(W34="Freezer Case Lighting", W34="Refrigerated Case Lighting with Doors"), BT34, IF(B34="Retrofit", INDEX('Lookup Tables'!$AH$6:$AT$102,MATCH(1,('Lookup Tables'!$AH$6:$AH$102=V34)*('Lookup Tables'!$AI$6:$AI$102=W34),FALSE),IF(VLOOKUP(J34, 'Fixture Identities'!$A$6:$B$1023, 2, FALSE)="Incandescent",12, 13)), INDEX('Lookup Tables'!$AH$114:$AS$154,MATCH(1,('Lookup Tables'!$AH$114:$AH$154=V34)*('Lookup Tables'!$AI$114:$AI$154=W34),FALSE),12))))), "N")</f>
        <v/>
      </c>
      <c r="BT34" s="184" t="str">
        <f>IF(J34="", "", IF(AND(OR(W34="Freezer case Lighting", W34="Refrigerated Case Lighting with Doors"),'General Information'!$X$18="LCI"), "N", IF(OR(VLOOKUP(J34, 'Fixture Identities'!$A$6:$B$1023, 2, FALSE)="T12 EPACT/EISA Baseline", VLOOKUP(J34, 'Fixture Identities'!$A$6:$B$1023, 2, FALSE)="Linear Fluorescent", VLOOKUP(J34, 'Fixture Identities'!$A$6:$B$1023, 2, FALSE)="U-Tube Fluorescent"), "Y", "N")))</f>
        <v/>
      </c>
      <c r="BU34" s="184" t="str">
        <f>IFERROR(IF(B34="", "", IF(VLOOKUP(J34, 'Fixture Identities'!$A$6:$B$1023, 2, FALSE)="Exit Sign", "Y", "N")), "N")</f>
        <v/>
      </c>
      <c r="BV34" s="184" t="str">
        <f>IF(V34="Exit Signs", IF(VLOOKUP(J34, 'Fixture Identities'!$A$6:$B$1023, 2, FALSE)="Exit Sign", "N", "Y"), "")</f>
        <v/>
      </c>
      <c r="BW34" s="184" t="str">
        <f t="array" ref="BW34">IFERROR(IF(B34="", "", IF(B34="New Construction", "N", INDEX('Lookup Tables'!$AH$6:$AU$102, MATCH(1, ('Lookup Tables'!$AH$6:$AH$102='Lighting Inventory'!V34)*('Lookup Tables'!$AI$6:$AI$102='Lighting Inventory'!W34), 0), 14))), "N")</f>
        <v/>
      </c>
      <c r="BX34" s="598" t="str">
        <f t="shared" si="93"/>
        <v/>
      </c>
      <c r="BY34" s="598" t="str">
        <f t="shared" si="94"/>
        <v/>
      </c>
      <c r="BZ34" s="598" t="str">
        <f t="shared" si="95"/>
        <v/>
      </c>
      <c r="CA34" s="598" t="str">
        <f t="shared" si="101"/>
        <v/>
      </c>
      <c r="CB34" s="269" t="str">
        <f t="shared" si="102"/>
        <v/>
      </c>
      <c r="CC34" s="517" t="str">
        <f t="shared" si="96"/>
        <v/>
      </c>
      <c r="CD34" s="565" t="str">
        <f t="shared" si="11"/>
        <v/>
      </c>
      <c r="CE34" s="368">
        <v>0</v>
      </c>
      <c r="CF34" s="368" t="str" cm="1">
        <f t="array" ref="CF34">IFERROR(IF(V34="Custom", "$0.1 per kWh", IF(B34="New Construction", CONCATENATE("$",INDEX('Lookup Tables'!$AH$114:$AN$154,MATCH(1,('Lookup Tables'!$AH$114:$AH$154='Lighting Inventory'!V34)*('Lookup Tables'!$AI$114:$AI$154='Lighting Inventory'!W34),FALSE),6)," ",INDEX('Lookup Tables'!$AH$114:$AN$154,MATCH(1,('Lookup Tables'!$AH$114:$AH$154='Lighting Inventory'!V34)*('Lookup Tables'!$AI$114:$AI$154='Lighting Inventory'!W34),FALSE),7)), IF(AND(BU34="N", V34="Exit Signs"), "$0.025 per kWh", CONCATENATE("$",INDEX('Lookup Tables'!$AH$6:$AN$102,MATCH(1,('Lookup Tables'!$AH$6:$AH$102='Lighting Inventory'!V34)*('Lookup Tables'!$AI$6:$AI$102='Lighting Inventory'!W34),FALSE),6)," ",INDEX('Lookup Tables'!$AH$6:$AN$102,MATCH(1,('Lookup Tables'!$AH$6:$AH$102='Lighting Inventory'!V34)*('Lookup Tables'!$AI$6:$AI$102='Lighting Inventory'!W34),FALSE),7))))), "")</f>
        <v/>
      </c>
      <c r="CG34" s="366"/>
      <c r="CH34" s="248" t="str">
        <f t="shared" si="170"/>
        <v/>
      </c>
      <c r="CI34" s="248" t="str">
        <f t="shared" si="171"/>
        <v>Select_IE</v>
      </c>
      <c r="CJ34" s="248" t="str">
        <f t="shared" si="172"/>
        <v/>
      </c>
      <c r="CK34" s="248" t="str">
        <f t="shared" si="173"/>
        <v/>
      </c>
      <c r="CL34" s="248" t="str">
        <f t="shared" si="174"/>
        <v/>
      </c>
      <c r="CM34" s="248" t="str">
        <f>IFERROR(IF(B34="", "", IF(B34="New Construction", VLOOKUP(V34, 'Lookup Tables'!$AF$114:$AG$120, 2, FALSE), VLOOKUP(V34, 'Lookup Tables'!$AD$6:$AE$25, 2, FALSE))), "")</f>
        <v/>
      </c>
      <c r="CN34" s="248" t="str">
        <f t="shared" si="175"/>
        <v/>
      </c>
      <c r="CO34" s="248" t="str">
        <f t="shared" si="176"/>
        <v/>
      </c>
      <c r="CP34" s="592" t="str">
        <f t="shared" si="177"/>
        <v/>
      </c>
      <c r="CQ34" s="248" t="str">
        <f t="shared" si="97"/>
        <v/>
      </c>
      <c r="CR34" s="249"/>
      <c r="CS34" s="250" t="str">
        <f t="shared" si="178"/>
        <v/>
      </c>
      <c r="CT34" s="250" t="str">
        <f t="shared" si="179"/>
        <v/>
      </c>
      <c r="CU34" s="250" t="str">
        <f t="shared" si="180"/>
        <v/>
      </c>
      <c r="CV34" s="250" t="str">
        <f t="shared" si="181"/>
        <v/>
      </c>
      <c r="CW34" s="250" t="str">
        <f t="shared" si="182"/>
        <v/>
      </c>
      <c r="CX34" s="250" t="str">
        <f t="shared" si="183"/>
        <v/>
      </c>
      <c r="CY34" s="250" t="str">
        <f t="shared" si="184"/>
        <v/>
      </c>
      <c r="CZ34" s="250" t="str">
        <f t="shared" si="185"/>
        <v/>
      </c>
      <c r="DA34" s="250" t="str">
        <f t="shared" si="186"/>
        <v/>
      </c>
      <c r="DB34" s="250" t="str">
        <f t="shared" si="187"/>
        <v/>
      </c>
      <c r="DC34" s="250" t="str">
        <f t="shared" si="188"/>
        <v/>
      </c>
      <c r="DD34" s="250" t="str">
        <f t="shared" si="189"/>
        <v/>
      </c>
      <c r="DE34" s="250" t="str">
        <f t="shared" si="190"/>
        <v/>
      </c>
      <c r="DF34" s="250" t="str">
        <f t="shared" si="191"/>
        <v/>
      </c>
      <c r="DG34" s="250" t="str">
        <f t="shared" si="192"/>
        <v/>
      </c>
      <c r="DH34" s="250" t="str">
        <f t="shared" si="193"/>
        <v/>
      </c>
      <c r="DI34" s="250" t="str">
        <f t="shared" si="194"/>
        <v/>
      </c>
      <c r="DJ34" s="250" t="str">
        <f t="shared" si="195"/>
        <v/>
      </c>
      <c r="DK34" s="250" t="str">
        <f t="shared" si="196"/>
        <v/>
      </c>
      <c r="DL34" s="250" t="str">
        <f t="shared" si="197"/>
        <v/>
      </c>
      <c r="DM34" s="250" t="str">
        <f>IF(CD34="ERROR", "ERROR", IF(AND(OR(Y34=$DM$6, Y34='Lookup Tables'!$AD$21, Y34='Lookup Tables'!$AD$22), E34="Interior"), BJ34, ""))</f>
        <v/>
      </c>
      <c r="DN34" s="250" t="str">
        <f>IF(CD34="ERROR", "ERROR", IF(AND(OR(Y34=$DM$6, Y34='Lookup Tables'!$AD$21, Y34='Lookup Tables'!$AD$22), E34="Exterior"), BJ34, ""))</f>
        <v/>
      </c>
      <c r="DO34" s="249"/>
      <c r="DP34" s="250" t="str">
        <f t="shared" si="198"/>
        <v/>
      </c>
      <c r="DQ34" s="250" t="str">
        <f t="shared" si="199"/>
        <v/>
      </c>
      <c r="DR34" s="250" t="str">
        <f t="shared" si="200"/>
        <v/>
      </c>
      <c r="DS34" s="250" t="str">
        <f t="shared" si="201"/>
        <v/>
      </c>
      <c r="DT34" s="250" t="str">
        <f t="shared" si="202"/>
        <v/>
      </c>
      <c r="DU34" s="250" t="str">
        <f t="shared" si="203"/>
        <v/>
      </c>
      <c r="DV34" s="250" t="str">
        <f t="shared" si="204"/>
        <v/>
      </c>
      <c r="DW34" s="250" t="str">
        <f t="shared" si="205"/>
        <v/>
      </c>
      <c r="DX34" s="250" t="str">
        <f t="shared" si="206"/>
        <v/>
      </c>
      <c r="DY34" s="250" t="str">
        <f t="shared" si="207"/>
        <v/>
      </c>
      <c r="DZ34" s="250" t="str">
        <f t="shared" si="208"/>
        <v/>
      </c>
      <c r="EA34" s="250" t="str">
        <f t="shared" si="209"/>
        <v/>
      </c>
      <c r="EB34" s="250" t="str">
        <f t="shared" si="210"/>
        <v/>
      </c>
      <c r="EC34" s="250" t="str">
        <f t="shared" si="211"/>
        <v/>
      </c>
      <c r="ED34" s="250" t="str">
        <f t="shared" si="212"/>
        <v/>
      </c>
      <c r="EE34" s="250" t="str">
        <f t="shared" si="213"/>
        <v/>
      </c>
      <c r="EF34" s="250" t="str">
        <f t="shared" si="214"/>
        <v/>
      </c>
      <c r="EG34" s="250" t="str">
        <f t="shared" si="215"/>
        <v/>
      </c>
      <c r="EH34" s="250" t="str">
        <f>IF(CD34="ERROR", "ERROR", IF(AND(OR($EH$6=Y34, Y34='Lookup Tables'!$AD$21, Y34='Lookup Tables'!$AD$22),E34="Interior"), SUM(BP34:BP34), ""))</f>
        <v/>
      </c>
      <c r="EI34" s="250" t="str">
        <f>IF(CD34="ERROR", "ERROR", IF(AND(OR($EH$6=Y34, Y34='Lookup Tables'!$AD$21, Y34='Lookup Tables'!$AD$22),E34="Exterior"), SUM(BP34:BP34), ""))</f>
        <v/>
      </c>
      <c r="EJ34" s="109"/>
      <c r="EK34" s="485" t="str">
        <f t="shared" si="58"/>
        <v/>
      </c>
      <c r="EL34" s="252" t="str">
        <f t="shared" si="216"/>
        <v/>
      </c>
      <c r="EM34" s="252" t="str">
        <f t="shared" si="217"/>
        <v/>
      </c>
      <c r="EN34" s="252" t="str">
        <f t="shared" si="218"/>
        <v/>
      </c>
      <c r="EO34" s="252" t="str">
        <f t="shared" si="219"/>
        <v/>
      </c>
      <c r="EP34" s="252" t="str">
        <f t="shared" si="220"/>
        <v/>
      </c>
      <c r="EQ34" s="252" t="str">
        <f t="shared" si="221"/>
        <v/>
      </c>
      <c r="ER34" s="252" t="str">
        <f t="shared" si="222"/>
        <v/>
      </c>
      <c r="ES34" s="252" t="str">
        <f t="shared" si="223"/>
        <v/>
      </c>
      <c r="ET34" s="252" t="str">
        <f t="shared" si="224"/>
        <v/>
      </c>
      <c r="EU34" s="252" t="str">
        <f t="shared" si="225"/>
        <v/>
      </c>
      <c r="EV34" s="252" t="str">
        <f t="shared" si="226"/>
        <v/>
      </c>
      <c r="EW34" s="252" t="str">
        <f t="shared" si="227"/>
        <v/>
      </c>
      <c r="EX34" s="252" t="str">
        <f t="shared" si="228"/>
        <v/>
      </c>
      <c r="EY34" s="252" t="str">
        <f t="shared" si="229"/>
        <v/>
      </c>
      <c r="EZ34" s="252" t="str">
        <f t="shared" si="230"/>
        <v/>
      </c>
      <c r="FA34" s="252" t="str">
        <f t="shared" si="231"/>
        <v/>
      </c>
      <c r="FB34" s="252" t="str">
        <f t="shared" si="232"/>
        <v/>
      </c>
      <c r="FC34" s="252" t="str">
        <f>IF(CD34="ERROR", "ERROR", IF(OR(V34="No Change", V34="Not DLC or Energy Star"), "", IF(AND(OR($FC$6=Y34,Y34='Lookup Tables'!$AD$21, Y34='Lookup Tables'!$AD$22),E34="Interior"), S34, "")))</f>
        <v/>
      </c>
      <c r="FD34" s="252" t="str">
        <f t="shared" si="233"/>
        <v/>
      </c>
      <c r="FE34" s="1"/>
      <c r="FF34" s="579" t="str" cm="1">
        <f t="array" ref="FF34">IFERROR(IF(OR(BQ34&lt;=0,AQ34&lt;20,AND(V34="Exit Signs",AN34&gt;0)),"",IF(AND(AQ34&gt;=20,AN34='Lookup Tables'!$R$101),'Lookup Tables'!$U$101*BQ34,AP34*LOOKUP(2,1/((AN34='Lookup Tables'!$R$91:$R$111)*(AQ34&gt;='Lookup Tables'!$S$91:$S$111)*(AQ34&lt;='Lookup Tables'!$T$91:$T$111)),'Lookup Tables'!$U$91:$U$111))),"")</f>
        <v/>
      </c>
      <c r="FG34" s="579"/>
      <c r="FH34" s="579"/>
      <c r="FI34" s="253" t="str">
        <f>IFERROR(ROUND(IF(CD34="ERROR", "ERROR", IF(AND($FI$7=X34,E34="Interior"),VLOOKUP(W34, 'Lookup Tables'!$AI$6:$AM$102, 5, FALSE)*BP34, "")), 2), "")</f>
        <v/>
      </c>
      <c r="FJ34" s="253" t="str">
        <f>IFERROR(ROUND(IF(CD34="ERROR", "ERROR", IF(AND($FI$7=X34,E34="Exterior"),VLOOKUP(W34, 'Lookup Tables'!$AI$6:$AM$102, 5, FALSE)*BP34, "")), 2), "")</f>
        <v/>
      </c>
      <c r="FK34" s="253" t="str">
        <f>IFERROR(ROUND(IF(CD34="ERROR", "ERROR", IF(AND($FK$7=X34,E34="Interior"),VLOOKUP(W34, 'Lookup Tables'!$AI$6:$AM$102, 5, FALSE)*BP34, "")), 2), "")</f>
        <v/>
      </c>
      <c r="FL34" s="253" t="str">
        <f>IFERROR(ROUND(IF(CD34="ERROR", "ERROR", IF(AND($FK$7=X34,E34="Exterior"),VLOOKUP(W34, 'Lookup Tables'!$AI$6:$AM$102, 5, FALSE)*BP34, "")), 2), "")</f>
        <v/>
      </c>
      <c r="FM34" s="253" t="str">
        <f>IFERROR(ROUND(IF(CD34="ERROR", "ERROR", IF(AND($FM$6=Y34,E34="Interior"), IF(GB34=0, VLOOKUP(W34, 'Lookup Tables'!$AI$6:$AM$102, 5, FALSE)*BP34, IF(VLOOKUP(W34, 'Lookup Tables'!$AI$6:$AM$102, 5, FALSE)*BP34&gt;GB34*'Lighting Inventory'!S34, GB34*'Lighting Inventory'!S34,VLOOKUP(W34, 'Lookup Tables'!$AI$6:$AM$102, 5, FALSE)*BP34)), "")), 2), "")</f>
        <v/>
      </c>
      <c r="FN34" s="253" t="str">
        <f>IFERROR(ROUND(IF(CD34="ERROR", "ERROR", IF(AND($FM$6=Y34,E34="Exterior"), IF(GB34=0, VLOOKUP(W34, 'Lookup Tables'!$AI$6:$AM$102, 5, FALSE)*BP34, IF(VLOOKUP(W34, 'Lookup Tables'!$AI$6:$AM$102, 5, FALSE)*BP34&gt;GB34*'Lighting Inventory'!S34, GB34*'Lighting Inventory'!S34,VLOOKUP(W34, 'Lookup Tables'!$AI$6:$AM$102, 5, FALSE)*BP34)), "")), 2), "")</f>
        <v/>
      </c>
      <c r="FO34" s="253" t="str">
        <f>IFERROR(ROUND(IF(CD34="ERROR", "ERROR", IF(AND($FO$6=Y34,E34="Interior"),VLOOKUP(W34, 'Lookup Tables'!$AI$6:$AM$102, 5, FALSE)*'Lighting Inventory'!AI34, "")), 2), "")</f>
        <v/>
      </c>
      <c r="FP34" s="253" t="str">
        <f>IFERROR(ROUND(IF(CD34="ERROR", "ERROR", IF(AND($FO$6=Y34,E34="Exterior"),VLOOKUP(W34, 'Lookup Tables'!$AI$6:$AM$102, 5, FALSE)*'Lighting Inventory'!AI34, "")), 2), "")</f>
        <v/>
      </c>
      <c r="FQ34" s="253" t="str">
        <f>IFERROR(ROUND(IF(CD34="ERROR", "ERROR", IF(AND($FQ$6=Y34,E34="Interior", BU34="Y"), VLOOKUP('Lighting Inventory'!W34, 'Lookup Tables'!$AI$6:$AM$102, 5, FALSE)*'Lighting Inventory'!S34, IF(AND($FQ$7=Y34,E34="Interior", BU34="N"), 0.025*CD34, ""))), 2), "")</f>
        <v/>
      </c>
      <c r="FR34" s="253" t="str">
        <f>IFERROR(ROUND(IF(CD34="ERROR", "ERROR", IF(AND($FQ$6=Y34,E34="Exterior"), VLOOKUP('Lighting Inventory'!W34, 'Lookup Tables'!$AI$6:$AM$102, 5, FALSE)*'Lighting Inventory'!S34, "")), 2), "")</f>
        <v/>
      </c>
      <c r="FS34" s="253" t="str">
        <f>IFERROR(ROUND(IF(CD34="ERROR", "ERROR", IF(AND($FS$6=Y34,E34="Exterior"), IF(GB34=0, VLOOKUP(W34, 'Lookup Tables'!$AI$6:$AM$102, 5, FALSE)*BP34, IF(VLOOKUP(W34, 'Lookup Tables'!$AI$6:$AM$102, 5, FALSE)*BP34&gt;GB34*'Lighting Inventory'!S34, GB34*'Lighting Inventory'!S34,VLOOKUP(W34, 'Lookup Tables'!$AI$6:$AM$102, 5, FALSE)*BP34)), "")), 2), "")</f>
        <v/>
      </c>
      <c r="FT34" s="253" t="str">
        <f>IFERROR(ROUND(IF(CD34="ERROR", "ERROR", IF(AND($FT$6=Y34,E34="Interior"), IF(GB34=0, VLOOKUP(W34, 'Lookup Tables'!$AI$6:$AM$102, 5, FALSE)*BP34, IF(VLOOKUP(W34, 'Lookup Tables'!$AI$6:$AM$102, 5, FALSE)*BP34&gt;GB34*'Lighting Inventory'!S34, GB34*'Lighting Inventory'!S34,VLOOKUP(W34, 'Lookup Tables'!$AI$6:$AM$102, 5, FALSE)*BP34)), "")), 2), "")</f>
        <v/>
      </c>
      <c r="FU34" s="253" t="str">
        <f>IFERROR(ROUND(IF(CD34="ERROR", "ERROR", IF(AND(Y34=$FU$6, E34="Interior"), IF(BS34="N", 'Lookup Tables'!$AM$101*BP34, VLOOKUP(W34, 'Lookup Tables'!$AI$6:$AM$102, 5, FALSE)*S34*AD34), "")), 2), "")</f>
        <v/>
      </c>
      <c r="FV34" s="253" t="str">
        <f>IFERROR(ROUND(IF(CD34="ERROR", "ERROR", IF(AND(Y34=$FU$6, E34="Exterior"), IF(BS34="N", 'Lookup Tables'!$AM$101*BP34, VLOOKUP(W34, 'Lookup Tables'!$AI$6:$AM$102, 5, FALSE)*S34*AD34), "")), 2), "")</f>
        <v/>
      </c>
      <c r="FW34" s="253" t="str">
        <f>IFERROR(ROUND(IF(CD34="ERROR", "ERROR", IF($FW$6=Y34, IF(BS34="N", 'Lookup Tables'!$AM$101*BP34, MIN((VLOOKUP(W34, 'Lookup Tables'!$AI$6:$AM$102, 5, FALSE)*BP34),GB34*AJ34)), "")), 2), "")</f>
        <v/>
      </c>
      <c r="FX34" s="253" t="str">
        <f>IFERROR(ROUND(IF(CD34="ERROR", "ERROR", IF(AND($FX$6=Y34, E34="Interior"), IF(VLOOKUP(W34, 'Lookup Tables'!$AI$6:$AM$102, 5, FALSE)*BP34&gt;'Lookup Tables'!$AQ$97*'Lighting Inventory'!S34,'Lighting Inventory'!S34*'Lookup Tables'!$AQ$97,VLOOKUP(W34, 'Lookup Tables'!$AI$6:$AM$102, 5, FALSE)*BP34), "")), 2), "")</f>
        <v/>
      </c>
      <c r="FY34" s="253" t="str">
        <f>IFERROR(ROUND(IF(CD34="ERROR", "ERROR", IF(AND($FX$6=Y34, E34="Exterior"), IF(VLOOKUP(W34, 'Lookup Tables'!$AI$6:$AM$102, 5, FALSE)*BP34&gt;'Lookup Tables'!$AQ$97*'Lighting Inventory'!S34,'Lighting Inventory'!S34*'Lookup Tables'!$AQ$97,VLOOKUP(W34, 'Lookup Tables'!$AI$6:$AM$102, 5, FALSE)*BP34), "")), 2), "")</f>
        <v/>
      </c>
      <c r="FZ34" s="253" t="str">
        <f>IFERROR(ROUND(IF(CD34="ERROR", "ERROR", IF(AND($FZ$6=Y34, E34="Interior"), IF(AND(OR(W34="Refrigerated Case Lighting with Doors", W34="Freezer Case Lighting"),Y34="Custom - Process Improvement"),CD34*'Lookup Tables'!$AM$101, IF(B34="Retrofit", IF(VLOOKUP(IF(V34="Custom", V34, W34), 'Lookup Tables'!$AI$6:$AM$102, 5, FALSE)*BP34&gt;GE34, GE34, VLOOKUP(IF(V34="Custom", V34, W34), 'Lookup Tables'!$AI$6:$AM$102, 5, FALSE)*BP34), IF(VLOOKUP(IF(V34="Custom", V34, W34), 'Lookup Tables'!$AI$114:$AM$154, 5, FALSE)*BP34&gt;GE34, GE34, VLOOKUP(IF(V34="Custom", V34, W34), 'Lookup Tables'!$AI$114:$AM$154, 5, FALSE)*BP34))), "")), 2),"")</f>
        <v/>
      </c>
      <c r="GA34" s="253" t="str">
        <f>IFERROR(ROUND(IF(CD34="ERROR", "ERROR", IF(AND($FZ$6=Y34, E34="Exterior"), IF(B34="Retrofit", IF(VLOOKUP(IF(V34="Custom", V34, W34), 'Lookup Tables'!$AI$6:$AM$102, 5, FALSE)*BP34&gt;GE34, GE34, VLOOKUP(IF(V34="Custom", V34, W34), 'Lookup Tables'!$AI$6:$AM$102, 5, FALSE)*BP34), IF(VLOOKUP(IF(V34="Custom", V34, W34), 'Lookup Tables'!$AI$114:$AM$154, 5, FALSE)*BP34&gt;GE34, GE34, VLOOKUP(IF(V34="Custom", V34, W34), 'Lookup Tables'!$AI$114:$AM$154, 5, FALSE)*BP34)), "")), 2),"")</f>
        <v/>
      </c>
      <c r="GB34" s="254" t="str">
        <f t="array" ref="GB34">IF(B34="","",IF(OR(V34="Custom",V34="No Change"),0,IF(B34="Retrofit", INDEX('Lookup Tables'!$AH$6:$AQ$102,MATCH(1,('Lookup Tables'!$AH$6:$AH$102='Lighting Inventory'!V34)*('Lookup Tables'!$AI$6:$AI$102='Lighting Inventory'!W34),FALSE),10),INDEX('Lookup Tables'!$AH$114:$AQ$154,MATCH(1,('Lookup Tables'!$AH$114:$AH$154='Lighting Inventory'!V34)*('Lookup Tables'!$AI$114:$AI$154='Lighting Inventory'!W34),FALSE),10))))</f>
        <v/>
      </c>
      <c r="GC34" s="255" t="str">
        <f t="shared" si="77"/>
        <v/>
      </c>
      <c r="GD34" s="250" t="str">
        <f t="shared" si="78"/>
        <v/>
      </c>
      <c r="GE34" s="253" t="str">
        <f>IFERROR(IF(AND(AF34="", 'General Information'!$F$18="No"),"", IF(AF34="", ((GD34/$CD$266)*$CF$266)*0.5, AF34*S34*0.5)), "")</f>
        <v/>
      </c>
      <c r="GF34" s="255" t="str">
        <f>IF(AND('General Information'!$F$19="", 'General Information'!$F$18="Yes",AF34="",BW34="Y"), "Y", "N")</f>
        <v>N</v>
      </c>
      <c r="GG34" s="255" t="s">
        <v>2946</v>
      </c>
      <c r="GH34" s="255" t="str">
        <f>IFERROR(IF(B34="", "", VLOOKUP(J34, 'Fixture Identities'!$A$6:$N$908, 14, FALSE)), "")</f>
        <v/>
      </c>
      <c r="GI34" s="389" t="str">
        <f>IF(OR(B34="", V34="", W34=""), "", IF(AND(OR(M34='Lookup Tables'!$R$18, M34='Lookup Tables'!$R$19, M34='Lookup Tables'!$R$20, M34='Lookup Tables'!$R$21, M34='Lookup Tables'!$R$22), OR(AN34='Lookup Tables'!$R$17, AN34='Lookup Tables'!$R$17, AN34="")), "Y", "N"))</f>
        <v/>
      </c>
      <c r="GJ34" s="255" t="str">
        <f t="shared" si="79"/>
        <v/>
      </c>
      <c r="GK34" s="255" t="str">
        <f t="shared" si="80"/>
        <v/>
      </c>
      <c r="GL34" s="255" t="str">
        <f t="shared" si="81"/>
        <v/>
      </c>
      <c r="GM34" s="255" t="str">
        <f>IF(AN34="", "", IF(AND(IF(ISNA(VLOOKUP(AN34,'Lookup Tables'!$R$18:$R$22,1,FALSE)), "N", "Y")="Y", E34="Exterior"), "Y", "N"))</f>
        <v/>
      </c>
      <c r="GN34" s="395"/>
      <c r="GO34" s="428">
        <f t="shared" si="98"/>
        <v>0</v>
      </c>
      <c r="GP34" s="428">
        <f t="shared" si="167"/>
        <v>0</v>
      </c>
      <c r="GQ34" s="428">
        <f t="shared" si="99"/>
        <v>0</v>
      </c>
      <c r="GR34" s="428">
        <f t="shared" si="100"/>
        <v>0</v>
      </c>
    </row>
    <row r="35" spans="1:202" s="103" customFormat="1" ht="13.5" customHeight="1" x14ac:dyDescent="0.2">
      <c r="A35" s="272">
        <v>25</v>
      </c>
      <c r="B35" s="110"/>
      <c r="C35" s="110"/>
      <c r="D35" s="110"/>
      <c r="E35" s="110"/>
      <c r="F35" s="110"/>
      <c r="G35" s="110"/>
      <c r="H35" s="110"/>
      <c r="I35" s="29"/>
      <c r="J35" s="29"/>
      <c r="K35" s="272" t="str">
        <f>IFERROR(IF(OR(VLOOKUP(J35, 'Fixture Identities'!$A$6:$L$1023, 3, FALSE)="T12 Linear Fluorescent", VLOOKUP(J35, 'Fixture Identities'!$A$6:$L$1023, 3, FALSE)="T12 U-Tube Fluorescent"), VLOOKUP(VLOOKUP(J35, 'Fixture Identities'!$A$6:$L$1023, 11, FALSE), 'Fixture Identities'!$A$6:$L$1023, 10, FALSE), VLOOKUP(J35, 'Fixture Identities'!$A$6:$L$1023, 10, FALSE)), "")</f>
        <v/>
      </c>
      <c r="L35" s="270" t="str">
        <f t="shared" si="169"/>
        <v/>
      </c>
      <c r="M35" s="110"/>
      <c r="N35" s="110"/>
      <c r="O35" s="110"/>
      <c r="P35" s="272" t="str">
        <f>IFERROR(IF(OR(B35="Retrofit",B35=""),"",IF('Lighting Inventory'!E35="Exterior",VLOOKUP('Lighting Inventory'!N35,'Lookup Tables'!$B$83:$F$103,5,FALSE),IF(N35="Other - Please Estimate EFLH and CFs","Contact Prog. Rep.","ft^2"))), "")</f>
        <v/>
      </c>
      <c r="Q35" s="270" t="str">
        <f>IFERROR(IF(AND(B35="New Construction",E35="Interior",$F$5="Space-by-Space"),VLOOKUP('Lighting Inventory'!N35,'Lookup Tables'!$N$6:$O$97,2,FALSE),IF(AND(B35="New Construction",E35="Exterior"),VLOOKUP(N35,'Lookup Tables'!$B$83:$F$103,2,FALSE),IF(AND(B35="New Construction",'Lighting Inventory'!E35="Interior", $F$5="Building Area"),VLOOKUP(F35,'Lookup Tables'!$A$6:$J$59,10,FALSE),""))), "")</f>
        <v/>
      </c>
      <c r="R35" s="270" t="str">
        <f>IFERROR(IF(P35="Contact Prog. Rep.", "ERROR", IF(OR(B35="",B35="Retrofit"),"",IF(N35="Automated teller machines", ('Lookup Tables'!$A$82:$E$100+('Lighting Inventory'!O35-1)*'Lookup Tables'!$A$82:$E$100)/1000, (Q35*O35)/1000))), "")</f>
        <v/>
      </c>
      <c r="S35" s="595"/>
      <c r="T35" s="105" t="str">
        <f t="shared" si="83"/>
        <v/>
      </c>
      <c r="U35" s="105" t="str">
        <f>IF(S35="","",COUNT($S$11:S35))</f>
        <v/>
      </c>
      <c r="V35" s="111"/>
      <c r="W35" s="112"/>
      <c r="X35" s="105" t="str">
        <f t="shared" si="84"/>
        <v/>
      </c>
      <c r="Y35" s="105" t="str">
        <f t="array" ref="Y35">IF(AND(OR(W35="Freezer Case Lighting", W35="Refrigerated Case Lighting with Doors"), 'General Information'!$X$18="LCI"),'Lookup Tables'!$Y$34, IF(V35="Custom", VLOOKUP(W35, 'Fixture Identities'!$A$974:$M$1023, 13, FALSE), IF(V35="No Change",'Lookup Tables'!$Y$29,IF(OR(V35="",W35=""),"",IF(AND(S35=0,S35&lt;I35,B35="Retrofit"),'Lookup Tables'!$Y$25, IF(B35="Retrofit", INDEX('Lookup Tables'!$AH$6:$AP$102, MATCH(1, ('Lookup Tables'!$AH$6:$AH$102=V35)*('Lookup Tables'!$AI$6:$AI$102=W35), 0), IF('Lighting Inventory'!E35="Interior", 4, 5)), INDEX('Lookup Tables'!$AH$114:$AP$154, MATCH(1, ('Lookup Tables'!$AH$114:$AH$154=V35)*('Lookup Tables'!$AI$114:$AI$154=W35), 0), IF('Lighting Inventory'!E35="Interior", 4, 5))))))))</f>
        <v/>
      </c>
      <c r="Z35" s="105" t="str">
        <f>IFERROR(INDEX('Lookup Tables'!$AH$158:$AH$172,MATCH('Lighting Inventory'!Y35,'Lookup Tables'!$AI$158:$AI$172,0)),"")</f>
        <v/>
      </c>
      <c r="AA35" s="105" t="str">
        <f>IF(AP35&gt;0,INDEX('Lookup Tables'!$AK$158:$AK$172,MATCH('Lighting Inventory'!Y35,'Lookup Tables'!$AI$158:$AI$172,0)),'Lighting Inventory'!Y35)</f>
        <v/>
      </c>
      <c r="AB35" s="105" t="str">
        <f t="array" ref="AB35">IF(V35="Custom", "Custom", IF(V35="", "", IF(V35="Not DLC or Energy Star", "General", IF(B35="New Construction", INDEX('Lookup Tables'!$AH$114:$AP$154,MATCH(1,('Lookup Tables'!$AH$114:$AH$154='Lighting Inventory'!V35)*('Lookup Tables'!$AI$114:$AI$154='Lighting Inventory'!W35),FALSE),8), INDEX('Lookup Tables'!$AH$6:$AP$102,MATCH(1,('Lookup Tables'!$AH$6:$AH$102='Lighting Inventory'!V35)*('Lookup Tables'!$AI$6:$AI$102='Lighting Inventory'!W35),FALSE),8)))))</f>
        <v/>
      </c>
      <c r="AC35" s="272" t="str">
        <f>IF(W35="","",IF(V35="Custom",CONCATENATE("$",'Lookup Tables'!$AM$101," ",'Lookup Tables'!$AN$101),CONCATENATE("$",INDEX('Lookup Tables'!$AM$6:$AM$102,MATCH('Lighting Inventory'!W35,'Lookup Tables'!$AI$6:$AI$102,0))," ",INDEX('Lookup Tables'!$AN$6:$AN$102,MATCH('Lighting Inventory'!W35,'Lookup Tables'!$AI$6:$AI$102,0)))))</f>
        <v/>
      </c>
      <c r="AD35" s="72"/>
      <c r="AE35" s="29"/>
      <c r="AF35" s="379"/>
      <c r="AG35" s="370" t="str">
        <f t="shared" si="2"/>
        <v/>
      </c>
      <c r="AH35" s="370" t="str">
        <f t="shared" si="85"/>
        <v/>
      </c>
      <c r="AI35" s="29"/>
      <c r="AJ35" s="29"/>
      <c r="AK35" s="110"/>
      <c r="AL35" s="375" t="str">
        <f>IF(OR(B35="", V35="", W35=""), "", IF(V35="No Change", K35, IF(V35="Remove Fixture", 0, IF(V35="Custom",VLOOKUP(W35,'Fixture Identities'!$A$6:$K$1023,10,FALSE),IF(AE35="", "← ENTER POST WATTS", 'Lighting Inventory'!AE35)))))</f>
        <v/>
      </c>
      <c r="AM35" s="376" t="str">
        <f t="shared" si="3"/>
        <v/>
      </c>
      <c r="AN35" s="29"/>
      <c r="AO35" s="671"/>
      <c r="AP35" s="29"/>
      <c r="AQ35" s="29"/>
      <c r="AR35" s="29"/>
      <c r="AS35" s="272" t="str">
        <f t="shared" si="4"/>
        <v/>
      </c>
      <c r="AT35" s="270" t="str">
        <f t="shared" si="234"/>
        <v/>
      </c>
      <c r="AU35" s="88" t="str">
        <f t="shared" si="235"/>
        <v/>
      </c>
      <c r="AV35" s="29"/>
      <c r="AW35" s="73"/>
      <c r="AX35" s="271" t="str">
        <f>IF(AND(AV35="Applicant",OR(AW35="", AW35="Use Default Facility Hours")),"← Choose Schedule",IF(F35="","",IF(W35="LED Exit Signs",8760,IF(OR(AV35="Prescribed",AV35=""),VLOOKUP(F35,'Lookup Tables'!$A$6:$G$59,IF(AB35="General", 6, 3),FALSE),VLOOKUP(AW35,'Lookup Tables'!$S$36:$U$43,2,FALSE)))))</f>
        <v/>
      </c>
      <c r="AY35" s="88" t="str">
        <f t="shared" si="7"/>
        <v/>
      </c>
      <c r="AZ35" s="270" t="str">
        <f>IFERROR(IF(F35="", "", IF(W35="LED Exit Signs", 1, IF(AV35="Applicant",VLOOKUP(AW35, 'Lookup Tables'!$S$36:$U$43,3, FALSE), VLOOKUP('Lighting Inventory'!F35, 'Lookup Tables'!$A$6:$H$59, IF('Lighting Inventory'!AB35="General",7,4), FALSE)))), "")</f>
        <v/>
      </c>
      <c r="BA35" s="522" t="str">
        <f>IFERROR(IF(F35="", "", IF(W35="LED Exit Signs", 1, VLOOKUP('Lighting Inventory'!F35, 'Lookup Tables'!$A$6:$H$59, IF('Lighting Inventory'!AB35="General",8,5), FALSE))), "")</f>
        <v/>
      </c>
      <c r="BB35" s="270" t="str">
        <f>IF(G35="", "", IF(E35="Exterior", 0, IF('Lighting Inventory'!G35="Air Conditioned", VLOOKUP(H35, 'Lookup Tables'!$R$6:$T$13, 2, FALSE), VLOOKUP('Lighting Inventory'!G35, 'Lookup Tables'!$R$6:$T$13, 2, FALSE))))</f>
        <v/>
      </c>
      <c r="BC35" s="522" t="str">
        <f>IF(G35="", "", IF(E35="Exterior", 0, IF('Lighting Inventory'!G35="Air Conditioned", VLOOKUP(H35, 'Lookup Tables'!$R$6:$T$13, 3, FALSE), VLOOKUP('Lighting Inventory'!G35, 'Lookup Tables'!$R$6:$T$13, 3, FALSE))))</f>
        <v/>
      </c>
      <c r="BD35" s="270" t="str">
        <f>IF(G35="", "", IF(E35="Exterior", 0, IF('Lighting Inventory'!G35="Air Conditioned", VLOOKUP(H35, 'Lookup Tables'!$R$6:$U$13, 4, FALSE), VLOOKUP('Lighting Inventory'!G35, 'Lookup Tables'!$R$6:$U$13, 4, FALSE))))</f>
        <v/>
      </c>
      <c r="BE35" s="270" t="str">
        <f>IFERROR(IF(B35="", "",  IF(B35="New Construction", VLOOKUP(F35, 'Lookup Tables'!$A$6:$K$59, 11, FALSE),IF(OR(AN35="", AN35="Light Switch"), 0, IF(OR(M35="",M35="None",V35= "LED Exit Signs"),0,_xlfn.XLOOKUP(M35,'Lookup Tables'!$R$91:$R$101,'Lookup Tables'!$V$91:$V$101))))), "")</f>
        <v/>
      </c>
      <c r="BF35" s="270" t="str">
        <f>IF(AND(OR(AN35="Light Switch",AN35=""),B35="New Construction"), VLOOKUP(F35, 'Lookup Tables'!$A$6:$K$59, 11, FALSE),IF(AN35="","",IF(B35="","",IF(OR(AN35="None",AN35="",V35="LED Exit Signs",AN35="Exterior Controls Not Eligible"),0,_xlfn.XLOOKUP(AN35,'Lookup Tables'!$R$91:$R$101,'Lookup Tables'!$V$91:$V$101)))))</f>
        <v/>
      </c>
      <c r="BG35" s="88" t="str">
        <f t="shared" si="86"/>
        <v/>
      </c>
      <c r="BH35" s="88" t="str">
        <f t="shared" si="87"/>
        <v/>
      </c>
      <c r="BI35" s="558" t="str">
        <f t="shared" si="168"/>
        <v/>
      </c>
      <c r="BJ35" s="560" t="str">
        <f t="shared" si="88"/>
        <v/>
      </c>
      <c r="BK35" s="560" t="str">
        <f t="shared" si="89"/>
        <v/>
      </c>
      <c r="BL35" s="559" t="str">
        <f t="shared" si="90"/>
        <v/>
      </c>
      <c r="BM35" s="521" t="str">
        <f t="shared" si="8"/>
        <v/>
      </c>
      <c r="BN35" s="521" t="str">
        <f t="shared" si="9"/>
        <v/>
      </c>
      <c r="BO35" s="522" t="str">
        <f t="shared" si="10"/>
        <v/>
      </c>
      <c r="BP35" s="83" t="str">
        <f t="shared" si="91"/>
        <v/>
      </c>
      <c r="BQ35" s="84" t="str">
        <f t="shared" si="92"/>
        <v/>
      </c>
      <c r="BR35" s="184" t="str">
        <f>IFERROR(IF(B35="", "", IF(OR(VLOOKUP(J35, 'Fixture Identities'!$A$6:$L$1023, 3, FALSE)="T12 Linear Fluorescent",VLOOKUP(J35, 'Fixture Identities'!$A$6:$L$1023, 3, FALSE)="T12 U-Tube Fluorescent"), "Y", "N")), "N")</f>
        <v/>
      </c>
      <c r="BS35" s="184" t="str">
        <f t="array" ref="BS35">IFERROR(IF(OR(B35="", V35="", W35=""), "", IF(V35="Custom", "N", IF(OR(W35="Freezer Case Lighting", W35="Refrigerated Case Lighting with Doors"), BT35, IF(B35="Retrofit", INDEX('Lookup Tables'!$AH$6:$AT$102,MATCH(1,('Lookup Tables'!$AH$6:$AH$102=V35)*('Lookup Tables'!$AI$6:$AI$102=W35),FALSE),IF(VLOOKUP(J35, 'Fixture Identities'!$A$6:$B$1023, 2, FALSE)="Incandescent",12, 13)), INDEX('Lookup Tables'!$AH$114:$AS$154,MATCH(1,('Lookup Tables'!$AH$114:$AH$154=V35)*('Lookup Tables'!$AI$114:$AI$154=W35),FALSE),12))))), "N")</f>
        <v/>
      </c>
      <c r="BT35" s="184" t="str">
        <f>IF(J35="", "", IF(AND(OR(W35="Freezer case Lighting", W35="Refrigerated Case Lighting with Doors"),'General Information'!$X$18="LCI"), "N", IF(OR(VLOOKUP(J35, 'Fixture Identities'!$A$6:$B$1023, 2, FALSE)="T12 EPACT/EISA Baseline", VLOOKUP(J35, 'Fixture Identities'!$A$6:$B$1023, 2, FALSE)="Linear Fluorescent", VLOOKUP(J35, 'Fixture Identities'!$A$6:$B$1023, 2, FALSE)="U-Tube Fluorescent"), "Y", "N")))</f>
        <v/>
      </c>
      <c r="BU35" s="184" t="str">
        <f>IFERROR(IF(B35="", "", IF(VLOOKUP(J35, 'Fixture Identities'!$A$6:$B$1023, 2, FALSE)="Exit Sign", "Y", "N")), "N")</f>
        <v/>
      </c>
      <c r="BV35" s="184" t="str">
        <f>IF(V35="Exit Signs", IF(VLOOKUP(J35, 'Fixture Identities'!$A$6:$B$1023, 2, FALSE)="Exit Sign", "N", "Y"), "")</f>
        <v/>
      </c>
      <c r="BW35" s="184" t="str">
        <f t="array" ref="BW35">IFERROR(IF(B35="", "", IF(B35="New Construction", "N", INDEX('Lookup Tables'!$AH$6:$AU$102, MATCH(1, ('Lookup Tables'!$AH$6:$AH$102='Lighting Inventory'!V35)*('Lookup Tables'!$AI$6:$AI$102='Lighting Inventory'!W35), 0), 14))), "N")</f>
        <v/>
      </c>
      <c r="BX35" s="598" t="str">
        <f t="shared" si="93"/>
        <v/>
      </c>
      <c r="BY35" s="598" t="str">
        <f t="shared" si="94"/>
        <v/>
      </c>
      <c r="BZ35" s="598" t="str">
        <f t="shared" si="95"/>
        <v/>
      </c>
      <c r="CA35" s="598" t="str">
        <f t="shared" si="101"/>
        <v/>
      </c>
      <c r="CB35" s="269" t="str">
        <f t="shared" si="102"/>
        <v/>
      </c>
      <c r="CC35" s="517" t="str">
        <f t="shared" si="96"/>
        <v/>
      </c>
      <c r="CD35" s="565" t="str">
        <f t="shared" si="11"/>
        <v/>
      </c>
      <c r="CE35" s="368">
        <v>0</v>
      </c>
      <c r="CF35" s="368" t="str" cm="1">
        <f t="array" ref="CF35">IFERROR(IF(V35="Custom", "$0.1 per kWh", IF(B35="New Construction", CONCATENATE("$",INDEX('Lookup Tables'!$AH$114:$AN$154,MATCH(1,('Lookup Tables'!$AH$114:$AH$154='Lighting Inventory'!V35)*('Lookup Tables'!$AI$114:$AI$154='Lighting Inventory'!W35),FALSE),6)," ",INDEX('Lookup Tables'!$AH$114:$AN$154,MATCH(1,('Lookup Tables'!$AH$114:$AH$154='Lighting Inventory'!V35)*('Lookup Tables'!$AI$114:$AI$154='Lighting Inventory'!W35),FALSE),7)), IF(AND(BU35="N", V35="Exit Signs"), "$0.025 per kWh", CONCATENATE("$",INDEX('Lookup Tables'!$AH$6:$AN$102,MATCH(1,('Lookup Tables'!$AH$6:$AH$102='Lighting Inventory'!V35)*('Lookup Tables'!$AI$6:$AI$102='Lighting Inventory'!W35),FALSE),6)," ",INDEX('Lookup Tables'!$AH$6:$AN$102,MATCH(1,('Lookup Tables'!$AH$6:$AH$102='Lighting Inventory'!V35)*('Lookup Tables'!$AI$6:$AI$102='Lighting Inventory'!W35),FALSE),7))))), "")</f>
        <v/>
      </c>
      <c r="CG35" s="366"/>
      <c r="CH35" s="248" t="str">
        <f t="shared" si="170"/>
        <v/>
      </c>
      <c r="CI35" s="248" t="str">
        <f t="shared" si="171"/>
        <v>Select_IE</v>
      </c>
      <c r="CJ35" s="248" t="str">
        <f t="shared" si="172"/>
        <v/>
      </c>
      <c r="CK35" s="248" t="str">
        <f t="shared" si="173"/>
        <v/>
      </c>
      <c r="CL35" s="248" t="str">
        <f t="shared" si="174"/>
        <v/>
      </c>
      <c r="CM35" s="248" t="str">
        <f>IFERROR(IF(B35="", "", IF(B35="New Construction", VLOOKUP(V35, 'Lookup Tables'!$AF$114:$AG$120, 2, FALSE), VLOOKUP(V35, 'Lookup Tables'!$AD$6:$AE$25, 2, FALSE))), "")</f>
        <v/>
      </c>
      <c r="CN35" s="248" t="str">
        <f t="shared" si="175"/>
        <v/>
      </c>
      <c r="CO35" s="248" t="str">
        <f t="shared" si="176"/>
        <v/>
      </c>
      <c r="CP35" s="592" t="str">
        <f t="shared" si="177"/>
        <v/>
      </c>
      <c r="CQ35" s="248" t="str">
        <f t="shared" si="97"/>
        <v/>
      </c>
      <c r="CR35" s="100"/>
      <c r="CS35" s="250" t="str">
        <f t="shared" si="178"/>
        <v/>
      </c>
      <c r="CT35" s="250" t="str">
        <f t="shared" si="179"/>
        <v/>
      </c>
      <c r="CU35" s="250" t="str">
        <f t="shared" si="180"/>
        <v/>
      </c>
      <c r="CV35" s="250" t="str">
        <f t="shared" si="181"/>
        <v/>
      </c>
      <c r="CW35" s="250" t="str">
        <f t="shared" si="182"/>
        <v/>
      </c>
      <c r="CX35" s="250" t="str">
        <f t="shared" si="183"/>
        <v/>
      </c>
      <c r="CY35" s="250" t="str">
        <f t="shared" si="184"/>
        <v/>
      </c>
      <c r="CZ35" s="250" t="str">
        <f t="shared" si="185"/>
        <v/>
      </c>
      <c r="DA35" s="250" t="str">
        <f t="shared" si="186"/>
        <v/>
      </c>
      <c r="DB35" s="250" t="str">
        <f t="shared" si="187"/>
        <v/>
      </c>
      <c r="DC35" s="250" t="str">
        <f t="shared" si="188"/>
        <v/>
      </c>
      <c r="DD35" s="250" t="str">
        <f t="shared" si="189"/>
        <v/>
      </c>
      <c r="DE35" s="250" t="str">
        <f t="shared" si="190"/>
        <v/>
      </c>
      <c r="DF35" s="250" t="str">
        <f t="shared" si="191"/>
        <v/>
      </c>
      <c r="DG35" s="250" t="str">
        <f t="shared" si="192"/>
        <v/>
      </c>
      <c r="DH35" s="250" t="str">
        <f t="shared" si="193"/>
        <v/>
      </c>
      <c r="DI35" s="250" t="str">
        <f t="shared" si="194"/>
        <v/>
      </c>
      <c r="DJ35" s="250" t="str">
        <f t="shared" si="195"/>
        <v/>
      </c>
      <c r="DK35" s="250" t="str">
        <f t="shared" si="196"/>
        <v/>
      </c>
      <c r="DL35" s="250" t="str">
        <f t="shared" si="197"/>
        <v/>
      </c>
      <c r="DM35" s="250" t="str">
        <f>IF(CD35="ERROR", "ERROR", IF(AND(OR(Y35=$DM$6, Y35='Lookup Tables'!$AD$21, Y35='Lookup Tables'!$AD$22), E35="Interior"), BJ35, ""))</f>
        <v/>
      </c>
      <c r="DN35" s="250" t="str">
        <f>IF(CD35="ERROR", "ERROR", IF(AND(OR(Y35=$DM$6, Y35='Lookup Tables'!$AD$21, Y35='Lookup Tables'!$AD$22), E35="Exterior"), BJ35, ""))</f>
        <v/>
      </c>
      <c r="DO35" s="100"/>
      <c r="DP35" s="250" t="str">
        <f t="shared" si="198"/>
        <v/>
      </c>
      <c r="DQ35" s="250" t="str">
        <f t="shared" si="199"/>
        <v/>
      </c>
      <c r="DR35" s="250" t="str">
        <f t="shared" si="200"/>
        <v/>
      </c>
      <c r="DS35" s="250" t="str">
        <f t="shared" si="201"/>
        <v/>
      </c>
      <c r="DT35" s="250" t="str">
        <f t="shared" si="202"/>
        <v/>
      </c>
      <c r="DU35" s="250" t="str">
        <f t="shared" si="203"/>
        <v/>
      </c>
      <c r="DV35" s="250" t="str">
        <f t="shared" si="204"/>
        <v/>
      </c>
      <c r="DW35" s="250" t="str">
        <f t="shared" si="205"/>
        <v/>
      </c>
      <c r="DX35" s="250" t="str">
        <f t="shared" si="206"/>
        <v/>
      </c>
      <c r="DY35" s="250" t="str">
        <f t="shared" si="207"/>
        <v/>
      </c>
      <c r="DZ35" s="250" t="str">
        <f t="shared" si="208"/>
        <v/>
      </c>
      <c r="EA35" s="250" t="str">
        <f t="shared" si="209"/>
        <v/>
      </c>
      <c r="EB35" s="250" t="str">
        <f t="shared" si="210"/>
        <v/>
      </c>
      <c r="EC35" s="250" t="str">
        <f t="shared" si="211"/>
        <v/>
      </c>
      <c r="ED35" s="250" t="str">
        <f t="shared" si="212"/>
        <v/>
      </c>
      <c r="EE35" s="250" t="str">
        <f t="shared" si="213"/>
        <v/>
      </c>
      <c r="EF35" s="250" t="str">
        <f t="shared" si="214"/>
        <v/>
      </c>
      <c r="EG35" s="250" t="str">
        <f t="shared" si="215"/>
        <v/>
      </c>
      <c r="EH35" s="250" t="str">
        <f>IF(CD35="ERROR", "ERROR", IF(AND(OR($EH$6=Y35, Y35='Lookup Tables'!$AD$21, Y35='Lookup Tables'!$AD$22),E35="Interior"), SUM(BP35:BP35), ""))</f>
        <v/>
      </c>
      <c r="EI35" s="250" t="str">
        <f>IF(CD35="ERROR", "ERROR", IF(AND(OR($EH$6=Y35, Y35='Lookup Tables'!$AD$21, Y35='Lookup Tables'!$AD$22),E35="Exterior"), SUM(BP35:BP35), ""))</f>
        <v/>
      </c>
      <c r="EJ35" s="109"/>
      <c r="EK35" s="485" t="str">
        <f t="shared" si="58"/>
        <v/>
      </c>
      <c r="EL35" s="252" t="str">
        <f t="shared" si="216"/>
        <v/>
      </c>
      <c r="EM35" s="252" t="str">
        <f t="shared" si="217"/>
        <v/>
      </c>
      <c r="EN35" s="252" t="str">
        <f t="shared" si="218"/>
        <v/>
      </c>
      <c r="EO35" s="252" t="str">
        <f t="shared" si="219"/>
        <v/>
      </c>
      <c r="EP35" s="252" t="str">
        <f t="shared" si="220"/>
        <v/>
      </c>
      <c r="EQ35" s="252" t="str">
        <f t="shared" si="221"/>
        <v/>
      </c>
      <c r="ER35" s="252" t="str">
        <f t="shared" si="222"/>
        <v/>
      </c>
      <c r="ES35" s="252" t="str">
        <f t="shared" si="223"/>
        <v/>
      </c>
      <c r="ET35" s="252" t="str">
        <f t="shared" si="224"/>
        <v/>
      </c>
      <c r="EU35" s="252" t="str">
        <f t="shared" si="225"/>
        <v/>
      </c>
      <c r="EV35" s="252" t="str">
        <f t="shared" si="226"/>
        <v/>
      </c>
      <c r="EW35" s="252" t="str">
        <f t="shared" si="227"/>
        <v/>
      </c>
      <c r="EX35" s="252" t="str">
        <f t="shared" si="228"/>
        <v/>
      </c>
      <c r="EY35" s="252" t="str">
        <f t="shared" si="229"/>
        <v/>
      </c>
      <c r="EZ35" s="252" t="str">
        <f t="shared" si="230"/>
        <v/>
      </c>
      <c r="FA35" s="252" t="str">
        <f t="shared" si="231"/>
        <v/>
      </c>
      <c r="FB35" s="252" t="str">
        <f t="shared" si="232"/>
        <v/>
      </c>
      <c r="FC35" s="252" t="str">
        <f>IF(CD35="ERROR", "ERROR", IF(OR(V35="No Change", V35="Not DLC or Energy Star"), "", IF(AND(OR($FC$6=Y35,Y35='Lookup Tables'!$AD$21, Y35='Lookup Tables'!$AD$22),E35="Interior"), S35, "")))</f>
        <v/>
      </c>
      <c r="FD35" s="252" t="str">
        <f t="shared" si="233"/>
        <v/>
      </c>
      <c r="FE35" s="101"/>
      <c r="FF35" s="579" t="str" cm="1">
        <f t="array" ref="FF35">IFERROR(IF(OR(BQ35&lt;=0,AQ35&lt;20,AND(V35="Exit Signs",AN35&gt;0)),"",IF(AND(AQ35&gt;=20,AN35='Lookup Tables'!$R$101),'Lookup Tables'!$U$101*BQ35,AP35*LOOKUP(2,1/((AN35='Lookup Tables'!$R$91:$R$111)*(AQ35&gt;='Lookup Tables'!$S$91:$S$111)*(AQ35&lt;='Lookup Tables'!$T$91:$T$111)),'Lookup Tables'!$U$91:$U$111))),"")</f>
        <v/>
      </c>
      <c r="FG35" s="579"/>
      <c r="FH35" s="579"/>
      <c r="FI35" s="253" t="str">
        <f>IFERROR(ROUND(IF(CD35="ERROR", "ERROR", IF(AND($FI$7=X35,E35="Interior"),VLOOKUP(W35, 'Lookup Tables'!$AI$6:$AM$102, 5, FALSE)*BP35, "")), 2), "")</f>
        <v/>
      </c>
      <c r="FJ35" s="253" t="str">
        <f>IFERROR(ROUND(IF(CD35="ERROR", "ERROR", IF(AND($FI$7=X35,E35="Exterior"),VLOOKUP(W35, 'Lookup Tables'!$AI$6:$AM$102, 5, FALSE)*BP35, "")), 2), "")</f>
        <v/>
      </c>
      <c r="FK35" s="253" t="str">
        <f>IFERROR(ROUND(IF(CD35="ERROR", "ERROR", IF(AND($FK$7=X35,E35="Interior"),VLOOKUP(W35, 'Lookup Tables'!$AI$6:$AM$102, 5, FALSE)*BP35, "")), 2), "")</f>
        <v/>
      </c>
      <c r="FL35" s="253" t="str">
        <f>IFERROR(ROUND(IF(CD35="ERROR", "ERROR", IF(AND($FK$7=X35,E35="Exterior"),VLOOKUP(W35, 'Lookup Tables'!$AI$6:$AM$102, 5, FALSE)*BP35, "")), 2), "")</f>
        <v/>
      </c>
      <c r="FM35" s="253" t="str">
        <f>IFERROR(ROUND(IF(CD35="ERROR", "ERROR", IF(AND($FM$6=Y35,E35="Interior"), IF(GB35=0, VLOOKUP(W35, 'Lookup Tables'!$AI$6:$AM$102, 5, FALSE)*BP35, IF(VLOOKUP(W35, 'Lookup Tables'!$AI$6:$AM$102, 5, FALSE)*BP35&gt;GB35*'Lighting Inventory'!S35, GB35*'Lighting Inventory'!S35,VLOOKUP(W35, 'Lookup Tables'!$AI$6:$AM$102, 5, FALSE)*BP35)), "")), 2), "")</f>
        <v/>
      </c>
      <c r="FN35" s="253" t="str">
        <f>IFERROR(ROUND(IF(CD35="ERROR", "ERROR", IF(AND($FM$6=Y35,E35="Exterior"), IF(GB35=0, VLOOKUP(W35, 'Lookup Tables'!$AI$6:$AM$102, 5, FALSE)*BP35, IF(VLOOKUP(W35, 'Lookup Tables'!$AI$6:$AM$102, 5, FALSE)*BP35&gt;GB35*'Lighting Inventory'!S35, GB35*'Lighting Inventory'!S35,VLOOKUP(W35, 'Lookup Tables'!$AI$6:$AM$102, 5, FALSE)*BP35)), "")), 2), "")</f>
        <v/>
      </c>
      <c r="FO35" s="253" t="str">
        <f>IFERROR(ROUND(IF(CD35="ERROR", "ERROR", IF(AND($FO$6=Y35,E35="Interior"),VLOOKUP(W35, 'Lookup Tables'!$AI$6:$AM$102, 5, FALSE)*'Lighting Inventory'!AI35, "")), 2), "")</f>
        <v/>
      </c>
      <c r="FP35" s="253" t="str">
        <f>IFERROR(ROUND(IF(CD35="ERROR", "ERROR", IF(AND($FO$6=Y35,E35="Exterior"),VLOOKUP(W35, 'Lookup Tables'!$AI$6:$AM$102, 5, FALSE)*'Lighting Inventory'!AI35, "")), 2), "")</f>
        <v/>
      </c>
      <c r="FQ35" s="253" t="str">
        <f>IFERROR(ROUND(IF(CD35="ERROR", "ERROR", IF(AND($FQ$6=Y35,E35="Interior", BU35="Y"), VLOOKUP('Lighting Inventory'!W35, 'Lookup Tables'!$AI$6:$AM$102, 5, FALSE)*'Lighting Inventory'!S35, IF(AND($FQ$7=Y35,E35="Interior", BU35="N"), 0.025*CD35, ""))), 2), "")</f>
        <v/>
      </c>
      <c r="FR35" s="253" t="str">
        <f>IFERROR(ROUND(IF(CD35="ERROR", "ERROR", IF(AND($FQ$6=Y35,E35="Exterior"), VLOOKUP('Lighting Inventory'!W35, 'Lookup Tables'!$AI$6:$AM$102, 5, FALSE)*'Lighting Inventory'!S35, "")), 2), "")</f>
        <v/>
      </c>
      <c r="FS35" s="253" t="str">
        <f>IFERROR(ROUND(IF(CD35="ERROR", "ERROR", IF(AND($FS$6=Y35,E35="Exterior"), IF(GB35=0, VLOOKUP(W35, 'Lookup Tables'!$AI$6:$AM$102, 5, FALSE)*BP35, IF(VLOOKUP(W35, 'Lookup Tables'!$AI$6:$AM$102, 5, FALSE)*BP35&gt;GB35*'Lighting Inventory'!S35, GB35*'Lighting Inventory'!S35,VLOOKUP(W35, 'Lookup Tables'!$AI$6:$AM$102, 5, FALSE)*BP35)), "")), 2), "")</f>
        <v/>
      </c>
      <c r="FT35" s="253" t="str">
        <f>IFERROR(ROUND(IF(CD35="ERROR", "ERROR", IF(AND($FT$6=Y35,E35="Interior"), IF(GB35=0, VLOOKUP(W35, 'Lookup Tables'!$AI$6:$AM$102, 5, FALSE)*BP35, IF(VLOOKUP(W35, 'Lookup Tables'!$AI$6:$AM$102, 5, FALSE)*BP35&gt;GB35*'Lighting Inventory'!S35, GB35*'Lighting Inventory'!S35,VLOOKUP(W35, 'Lookup Tables'!$AI$6:$AM$102, 5, FALSE)*BP35)), "")), 2), "")</f>
        <v/>
      </c>
      <c r="FU35" s="253" t="str">
        <f>IFERROR(ROUND(IF(CD35="ERROR", "ERROR", IF(AND(Y35=$FU$6, E35="Interior"), IF(BS35="N", 'Lookup Tables'!$AM$101*BP35, VLOOKUP(W35, 'Lookup Tables'!$AI$6:$AM$102, 5, FALSE)*S35*AD35), "")), 2), "")</f>
        <v/>
      </c>
      <c r="FV35" s="253" t="str">
        <f>IFERROR(ROUND(IF(CD35="ERROR", "ERROR", IF(AND(Y35=$FU$6, E35="Exterior"), IF(BS35="N", 'Lookup Tables'!$AM$101*BP35, VLOOKUP(W35, 'Lookup Tables'!$AI$6:$AM$102, 5, FALSE)*S35*AD35), "")), 2), "")</f>
        <v/>
      </c>
      <c r="FW35" s="253" t="str">
        <f>IFERROR(ROUND(IF(CD35="ERROR", "ERROR", IF($FW$6=Y35, IF(BS35="N", 'Lookup Tables'!$AM$101*BP35, MIN((VLOOKUP(W35, 'Lookup Tables'!$AI$6:$AM$102, 5, FALSE)*BP35),GB35*AJ35)), "")), 2), "")</f>
        <v/>
      </c>
      <c r="FX35" s="253" t="str">
        <f>IFERROR(ROUND(IF(CD35="ERROR", "ERROR", IF(AND($FX$6=Y35, E35="Interior"), IF(VLOOKUP(W35, 'Lookup Tables'!$AI$6:$AM$102, 5, FALSE)*BP35&gt;'Lookup Tables'!$AQ$97*'Lighting Inventory'!S35,'Lighting Inventory'!S35*'Lookup Tables'!$AQ$97,VLOOKUP(W35, 'Lookup Tables'!$AI$6:$AM$102, 5, FALSE)*BP35), "")), 2), "")</f>
        <v/>
      </c>
      <c r="FY35" s="253" t="str">
        <f>IFERROR(ROUND(IF(CD35="ERROR", "ERROR", IF(AND($FX$6=Y35, E35="Exterior"), IF(VLOOKUP(W35, 'Lookup Tables'!$AI$6:$AM$102, 5, FALSE)*BP35&gt;'Lookup Tables'!$AQ$97*'Lighting Inventory'!S35,'Lighting Inventory'!S35*'Lookup Tables'!$AQ$97,VLOOKUP(W35, 'Lookup Tables'!$AI$6:$AM$102, 5, FALSE)*BP35), "")), 2), "")</f>
        <v/>
      </c>
      <c r="FZ35" s="253" t="str">
        <f>IFERROR(ROUND(IF(CD35="ERROR", "ERROR", IF(AND($FZ$6=Y35, E35="Interior"), IF(AND(OR(W35="Refrigerated Case Lighting with Doors", W35="Freezer Case Lighting"),Y35="Custom - Process Improvement"),CD35*'Lookup Tables'!$AM$101, IF(B35="Retrofit", IF(VLOOKUP(IF(V35="Custom", V35, W35), 'Lookup Tables'!$AI$6:$AM$102, 5, FALSE)*BP35&gt;GE35, GE35, VLOOKUP(IF(V35="Custom", V35, W35), 'Lookup Tables'!$AI$6:$AM$102, 5, FALSE)*BP35), IF(VLOOKUP(IF(V35="Custom", V35, W35), 'Lookup Tables'!$AI$114:$AM$154, 5, FALSE)*BP35&gt;GE35, GE35, VLOOKUP(IF(V35="Custom", V35, W35), 'Lookup Tables'!$AI$114:$AM$154, 5, FALSE)*BP35))), "")), 2),"")</f>
        <v/>
      </c>
      <c r="GA35" s="253" t="str">
        <f>IFERROR(ROUND(IF(CD35="ERROR", "ERROR", IF(AND($FZ$6=Y35, E35="Exterior"), IF(B35="Retrofit", IF(VLOOKUP(IF(V35="Custom", V35, W35), 'Lookup Tables'!$AI$6:$AM$102, 5, FALSE)*BP35&gt;GE35, GE35, VLOOKUP(IF(V35="Custom", V35, W35), 'Lookup Tables'!$AI$6:$AM$102, 5, FALSE)*BP35), IF(VLOOKUP(IF(V35="Custom", V35, W35), 'Lookup Tables'!$AI$114:$AM$154, 5, FALSE)*BP35&gt;GE35, GE35, VLOOKUP(IF(V35="Custom", V35, W35), 'Lookup Tables'!$AI$114:$AM$154, 5, FALSE)*BP35)), "")), 2),"")</f>
        <v/>
      </c>
      <c r="GB35" s="254" t="str">
        <f t="array" ref="GB35">IF(B35="","",IF(OR(V35="Custom",V35="No Change"),0,IF(B35="Retrofit", INDEX('Lookup Tables'!$AH$6:$AQ$102,MATCH(1,('Lookup Tables'!$AH$6:$AH$102='Lighting Inventory'!V35)*('Lookup Tables'!$AI$6:$AI$102='Lighting Inventory'!W35),FALSE),10),INDEX('Lookup Tables'!$AH$114:$AQ$154,MATCH(1,('Lookup Tables'!$AH$114:$AH$154='Lighting Inventory'!V35)*('Lookup Tables'!$AI$114:$AI$154='Lighting Inventory'!W35),FALSE),10))))</f>
        <v/>
      </c>
      <c r="GC35" s="255" t="str">
        <f t="shared" si="77"/>
        <v/>
      </c>
      <c r="GD35" s="250" t="str">
        <f t="shared" si="78"/>
        <v/>
      </c>
      <c r="GE35" s="253" t="str">
        <f>IFERROR(IF(AND(AF35="", 'General Information'!$F$18="No"),"", IF(AF35="", ((GD35/$CD$266)*$CF$266)*0.5, AF35*S35*0.5)), "")</f>
        <v/>
      </c>
      <c r="GF35" s="255" t="str">
        <f>IF(AND('General Information'!$F$19="", 'General Information'!$F$18="Yes",AF35="",BW35="Y"), "Y", "N")</f>
        <v>N</v>
      </c>
      <c r="GG35" s="255" t="s">
        <v>2946</v>
      </c>
      <c r="GH35" s="255" t="str">
        <f>IFERROR(IF(B35="", "", VLOOKUP(J35, 'Fixture Identities'!$A$6:$N$908, 14, FALSE)), "")</f>
        <v/>
      </c>
      <c r="GI35" s="389" t="str">
        <f>IF(OR(B35="", V35="", W35=""), "", IF(AND(OR(M35='Lookup Tables'!$R$18, M35='Lookup Tables'!$R$19, M35='Lookup Tables'!$R$20, M35='Lookup Tables'!$R$21, M35='Lookup Tables'!$R$22), OR(AN35='Lookup Tables'!$R$17, AN35='Lookup Tables'!$R$17, AN35="")), "Y", "N"))</f>
        <v/>
      </c>
      <c r="GJ35" s="255" t="str">
        <f t="shared" si="79"/>
        <v/>
      </c>
      <c r="GK35" s="255" t="str">
        <f t="shared" si="80"/>
        <v/>
      </c>
      <c r="GL35" s="255" t="str">
        <f t="shared" si="81"/>
        <v/>
      </c>
      <c r="GM35" s="255" t="str">
        <f>IF(AN35="", "", IF(AND(IF(ISNA(VLOOKUP(AN35,'Lookup Tables'!$R$18:$R$22,1,FALSE)), "N", "Y")="Y", E35="Exterior"), "Y", "N"))</f>
        <v/>
      </c>
      <c r="GN35" s="395"/>
      <c r="GO35" s="428">
        <f t="shared" si="98"/>
        <v>0</v>
      </c>
      <c r="GP35" s="428">
        <f t="shared" si="167"/>
        <v>0</v>
      </c>
      <c r="GQ35" s="428">
        <f t="shared" si="99"/>
        <v>0</v>
      </c>
      <c r="GR35" s="428">
        <f t="shared" si="100"/>
        <v>0</v>
      </c>
    </row>
    <row r="36" spans="1:202" s="103" customFormat="1" ht="13.5" customHeight="1" x14ac:dyDescent="0.2">
      <c r="A36" s="272">
        <v>26</v>
      </c>
      <c r="B36" s="110"/>
      <c r="C36" s="110"/>
      <c r="D36" s="110"/>
      <c r="E36" s="110"/>
      <c r="F36" s="110"/>
      <c r="G36" s="110"/>
      <c r="H36" s="110"/>
      <c r="I36" s="29"/>
      <c r="J36" s="29"/>
      <c r="K36" s="272" t="str">
        <f>IFERROR(IF(OR(VLOOKUP(J36, 'Fixture Identities'!$A$6:$L$1023, 3, FALSE)="T12 Linear Fluorescent", VLOOKUP(J36, 'Fixture Identities'!$A$6:$L$1023, 3, FALSE)="T12 U-Tube Fluorescent"), VLOOKUP(VLOOKUP(J36, 'Fixture Identities'!$A$6:$L$1023, 11, FALSE), 'Fixture Identities'!$A$6:$L$1023, 10, FALSE), VLOOKUP(J36, 'Fixture Identities'!$A$6:$L$1023, 10, FALSE)), "")</f>
        <v/>
      </c>
      <c r="L36" s="270" t="str">
        <f t="shared" si="169"/>
        <v/>
      </c>
      <c r="M36" s="110"/>
      <c r="N36" s="110"/>
      <c r="O36" s="110"/>
      <c r="P36" s="272" t="str">
        <f>IFERROR(IF(OR(B36="Retrofit",B36=""),"",IF('Lighting Inventory'!E36="Exterior",VLOOKUP('Lighting Inventory'!N36,'Lookup Tables'!$B$83:$F$103,5,FALSE),IF(N36="Other - Please Estimate EFLH and CFs","Contact Prog. Rep.","ft^2"))), "")</f>
        <v/>
      </c>
      <c r="Q36" s="270" t="str">
        <f>IFERROR(IF(AND(B36="New Construction",E36="Interior",$F$5="Space-by-Space"),VLOOKUP('Lighting Inventory'!N36,'Lookup Tables'!$N$6:$O$97,2,FALSE),IF(AND(B36="New Construction",E36="Exterior"),VLOOKUP(N36,'Lookup Tables'!$B$83:$F$103,2,FALSE),IF(AND(B36="New Construction",'Lighting Inventory'!E36="Interior", $F$5="Building Area"),VLOOKUP(F36,'Lookup Tables'!$A$6:$J$59,10,FALSE),""))), "")</f>
        <v/>
      </c>
      <c r="R36" s="270" t="str">
        <f>IFERROR(IF(P36="Contact Prog. Rep.", "ERROR", IF(OR(B36="",B36="Retrofit"),"",IF(N36="Automated teller machines", ('Lookup Tables'!$A$82:$E$100+('Lighting Inventory'!O36-1)*'Lookup Tables'!$A$82:$E$100)/1000, (Q36*O36)/1000))), "")</f>
        <v/>
      </c>
      <c r="S36" s="595"/>
      <c r="T36" s="105" t="str">
        <f t="shared" si="83"/>
        <v/>
      </c>
      <c r="U36" s="105" t="str">
        <f>IF(S36="","",COUNT($S$11:S36))</f>
        <v/>
      </c>
      <c r="V36" s="111"/>
      <c r="W36" s="112"/>
      <c r="X36" s="105" t="str">
        <f t="shared" si="84"/>
        <v/>
      </c>
      <c r="Y36" s="105" t="str">
        <f t="array" ref="Y36">IF(AND(OR(W36="Freezer Case Lighting", W36="Refrigerated Case Lighting with Doors"), 'General Information'!$X$18="LCI"),'Lookup Tables'!$Y$34, IF(V36="Custom", VLOOKUP(W36, 'Fixture Identities'!$A$974:$M$1023, 13, FALSE), IF(V36="No Change",'Lookup Tables'!$Y$29,IF(OR(V36="",W36=""),"",IF(AND(S36=0,S36&lt;I36,B36="Retrofit"),'Lookup Tables'!$Y$25, IF(B36="Retrofit", INDEX('Lookup Tables'!$AH$6:$AP$102, MATCH(1, ('Lookup Tables'!$AH$6:$AH$102=V36)*('Lookup Tables'!$AI$6:$AI$102=W36), 0), IF('Lighting Inventory'!E36="Interior", 4, 5)), INDEX('Lookup Tables'!$AH$114:$AP$154, MATCH(1, ('Lookup Tables'!$AH$114:$AH$154=V36)*('Lookup Tables'!$AI$114:$AI$154=W36), 0), IF('Lighting Inventory'!E36="Interior", 4, 5))))))))</f>
        <v/>
      </c>
      <c r="Z36" s="105" t="str">
        <f>IFERROR(INDEX('Lookup Tables'!$AH$158:$AH$172,MATCH('Lighting Inventory'!Y36,'Lookup Tables'!$AI$158:$AI$172,0)),"")</f>
        <v/>
      </c>
      <c r="AA36" s="105" t="str">
        <f>IF(AP36&gt;0,INDEX('Lookup Tables'!$AK$158:$AK$172,MATCH('Lighting Inventory'!Y36,'Lookup Tables'!$AI$158:$AI$172,0)),'Lighting Inventory'!Y36)</f>
        <v/>
      </c>
      <c r="AB36" s="105" t="str">
        <f t="array" ref="AB36">IF(V36="Custom", "Custom", IF(V36="", "", IF(V36="Not DLC or Energy Star", "General", IF(B36="New Construction", INDEX('Lookup Tables'!$AH$114:$AP$154,MATCH(1,('Lookup Tables'!$AH$114:$AH$154='Lighting Inventory'!V36)*('Lookup Tables'!$AI$114:$AI$154='Lighting Inventory'!W36),FALSE),8), INDEX('Lookup Tables'!$AH$6:$AP$102,MATCH(1,('Lookup Tables'!$AH$6:$AH$102='Lighting Inventory'!V36)*('Lookup Tables'!$AI$6:$AI$102='Lighting Inventory'!W36),FALSE),8)))))</f>
        <v/>
      </c>
      <c r="AC36" s="272" t="str">
        <f>IF(W36="","",IF(V36="Custom",CONCATENATE("$",'Lookup Tables'!$AM$101," ",'Lookup Tables'!$AN$101),CONCATENATE("$",INDEX('Lookup Tables'!$AM$6:$AM$102,MATCH('Lighting Inventory'!W36,'Lookup Tables'!$AI$6:$AI$102,0))," ",INDEX('Lookup Tables'!$AN$6:$AN$102,MATCH('Lighting Inventory'!W36,'Lookup Tables'!$AI$6:$AI$102,0)))))</f>
        <v/>
      </c>
      <c r="AD36" s="72"/>
      <c r="AE36" s="29"/>
      <c r="AF36" s="379"/>
      <c r="AG36" s="370" t="str">
        <f t="shared" si="2"/>
        <v/>
      </c>
      <c r="AH36" s="370" t="str">
        <f t="shared" si="85"/>
        <v/>
      </c>
      <c r="AI36" s="29"/>
      <c r="AJ36" s="29"/>
      <c r="AK36" s="110"/>
      <c r="AL36" s="375" t="str">
        <f>IF(OR(B36="", V36="", W36=""), "", IF(V36="No Change", K36, IF(V36="Remove Fixture", 0, IF(V36="Custom",VLOOKUP(W36,'Fixture Identities'!$A$6:$K$1023,10,FALSE),IF(AE36="", "← ENTER POST WATTS", 'Lighting Inventory'!AE36)))))</f>
        <v/>
      </c>
      <c r="AM36" s="376" t="str">
        <f t="shared" si="3"/>
        <v/>
      </c>
      <c r="AN36" s="29"/>
      <c r="AO36" s="671"/>
      <c r="AP36" s="29"/>
      <c r="AQ36" s="29"/>
      <c r="AR36" s="29"/>
      <c r="AS36" s="272" t="str">
        <f t="shared" si="4"/>
        <v/>
      </c>
      <c r="AT36" s="270" t="str">
        <f t="shared" si="234"/>
        <v/>
      </c>
      <c r="AU36" s="88" t="str">
        <f t="shared" si="235"/>
        <v/>
      </c>
      <c r="AV36" s="29"/>
      <c r="AW36" s="73"/>
      <c r="AX36" s="271" t="str">
        <f>IF(AND(AV36="Applicant",OR(AW36="", AW36="Use Default Facility Hours")),"← Choose Schedule",IF(F36="","",IF(W36="LED Exit Signs",8760,IF(OR(AV36="Prescribed",AV36=""),VLOOKUP(F36,'Lookup Tables'!$A$6:$G$59,IF(AB36="General", 6, 3),FALSE),VLOOKUP(AW36,'Lookup Tables'!$S$36:$U$43,2,FALSE)))))</f>
        <v/>
      </c>
      <c r="AY36" s="88" t="str">
        <f t="shared" si="7"/>
        <v/>
      </c>
      <c r="AZ36" s="270" t="str">
        <f>IFERROR(IF(F36="", "", IF(W36="LED Exit Signs", 1, IF(AV36="Applicant",VLOOKUP(AW36, 'Lookup Tables'!$S$36:$U$43,3, FALSE), VLOOKUP('Lighting Inventory'!F36, 'Lookup Tables'!$A$6:$H$59, IF('Lighting Inventory'!AB36="General",7,4), FALSE)))), "")</f>
        <v/>
      </c>
      <c r="BA36" s="522" t="str">
        <f>IFERROR(IF(F36="", "", IF(W36="LED Exit Signs", 1, VLOOKUP('Lighting Inventory'!F36, 'Lookup Tables'!$A$6:$H$59, IF('Lighting Inventory'!AB36="General",8,5), FALSE))), "")</f>
        <v/>
      </c>
      <c r="BB36" s="270" t="str">
        <f>IF(G36="", "", IF(E36="Exterior", 0, IF('Lighting Inventory'!G36="Air Conditioned", VLOOKUP(H36, 'Lookup Tables'!$R$6:$T$13, 2, FALSE), VLOOKUP('Lighting Inventory'!G36, 'Lookup Tables'!$R$6:$T$13, 2, FALSE))))</f>
        <v/>
      </c>
      <c r="BC36" s="522" t="str">
        <f>IF(G36="", "", IF(E36="Exterior", 0, IF('Lighting Inventory'!G36="Air Conditioned", VLOOKUP(H36, 'Lookup Tables'!$R$6:$T$13, 3, FALSE), VLOOKUP('Lighting Inventory'!G36, 'Lookup Tables'!$R$6:$T$13, 3, FALSE))))</f>
        <v/>
      </c>
      <c r="BD36" s="270" t="str">
        <f>IF(G36="", "", IF(E36="Exterior", 0, IF('Lighting Inventory'!G36="Air Conditioned", VLOOKUP(H36, 'Lookup Tables'!$R$6:$U$13, 4, FALSE), VLOOKUP('Lighting Inventory'!G36, 'Lookup Tables'!$R$6:$U$13, 4, FALSE))))</f>
        <v/>
      </c>
      <c r="BE36" s="270" t="str">
        <f>IFERROR(IF(B36="", "",  IF(B36="New Construction", VLOOKUP(F36, 'Lookup Tables'!$A$6:$K$59, 11, FALSE),IF(OR(AN36="", AN36="Light Switch"), 0, IF(OR(M36="",M36="None",V36= "LED Exit Signs"),0,_xlfn.XLOOKUP(M36,'Lookup Tables'!$R$91:$R$101,'Lookup Tables'!$V$91:$V$101))))), "")</f>
        <v/>
      </c>
      <c r="BF36" s="270" t="str">
        <f>IF(AND(OR(AN36="Light Switch",AN36=""),B36="New Construction"), VLOOKUP(F36, 'Lookup Tables'!$A$6:$K$59, 11, FALSE),IF(AN36="","",IF(B36="","",IF(OR(AN36="None",AN36="",V36="LED Exit Signs",AN36="Exterior Controls Not Eligible"),0,_xlfn.XLOOKUP(AN36,'Lookup Tables'!$R$91:$R$101,'Lookup Tables'!$V$91:$V$101)))))</f>
        <v/>
      </c>
      <c r="BG36" s="88" t="str">
        <f t="shared" si="86"/>
        <v/>
      </c>
      <c r="BH36" s="88" t="str">
        <f t="shared" si="87"/>
        <v/>
      </c>
      <c r="BI36" s="558" t="str">
        <f t="shared" si="168"/>
        <v/>
      </c>
      <c r="BJ36" s="560" t="str">
        <f t="shared" si="88"/>
        <v/>
      </c>
      <c r="BK36" s="560" t="str">
        <f t="shared" si="89"/>
        <v/>
      </c>
      <c r="BL36" s="559" t="str">
        <f t="shared" si="90"/>
        <v/>
      </c>
      <c r="BM36" s="521" t="str">
        <f t="shared" si="8"/>
        <v/>
      </c>
      <c r="BN36" s="521" t="str">
        <f t="shared" si="9"/>
        <v/>
      </c>
      <c r="BO36" s="522" t="str">
        <f t="shared" si="10"/>
        <v/>
      </c>
      <c r="BP36" s="83" t="str">
        <f t="shared" si="91"/>
        <v/>
      </c>
      <c r="BQ36" s="84" t="str">
        <f t="shared" si="92"/>
        <v/>
      </c>
      <c r="BR36" s="184" t="str">
        <f>IFERROR(IF(B36="", "", IF(OR(VLOOKUP(J36, 'Fixture Identities'!$A$6:$L$1023, 3, FALSE)="T12 Linear Fluorescent",VLOOKUP(J36, 'Fixture Identities'!$A$6:$L$1023, 3, FALSE)="T12 U-Tube Fluorescent"), "Y", "N")), "N")</f>
        <v/>
      </c>
      <c r="BS36" s="184" t="str">
        <f t="array" ref="BS36">IFERROR(IF(OR(B36="", V36="", W36=""), "", IF(V36="Custom", "N", IF(OR(W36="Freezer Case Lighting", W36="Refrigerated Case Lighting with Doors"), BT36, IF(B36="Retrofit", INDEX('Lookup Tables'!$AH$6:$AT$102,MATCH(1,('Lookup Tables'!$AH$6:$AH$102=V36)*('Lookup Tables'!$AI$6:$AI$102=W36),FALSE),IF(VLOOKUP(J36, 'Fixture Identities'!$A$6:$B$1023, 2, FALSE)="Incandescent",12, 13)), INDEX('Lookup Tables'!$AH$114:$AS$154,MATCH(1,('Lookup Tables'!$AH$114:$AH$154=V36)*('Lookup Tables'!$AI$114:$AI$154=W36),FALSE),12))))), "N")</f>
        <v/>
      </c>
      <c r="BT36" s="184" t="str">
        <f>IF(J36="", "", IF(AND(OR(W36="Freezer case Lighting", W36="Refrigerated Case Lighting with Doors"),'General Information'!$X$18="LCI"), "N", IF(OR(VLOOKUP(J36, 'Fixture Identities'!$A$6:$B$1023, 2, FALSE)="T12 EPACT/EISA Baseline", VLOOKUP(J36, 'Fixture Identities'!$A$6:$B$1023, 2, FALSE)="Linear Fluorescent", VLOOKUP(J36, 'Fixture Identities'!$A$6:$B$1023, 2, FALSE)="U-Tube Fluorescent"), "Y", "N")))</f>
        <v/>
      </c>
      <c r="BU36" s="184" t="str">
        <f>IFERROR(IF(B36="", "", IF(VLOOKUP(J36, 'Fixture Identities'!$A$6:$B$1023, 2, FALSE)="Exit Sign", "Y", "N")), "N")</f>
        <v/>
      </c>
      <c r="BV36" s="184" t="str">
        <f>IF(V36="Exit Signs", IF(VLOOKUP(J36, 'Fixture Identities'!$A$6:$B$1023, 2, FALSE)="Exit Sign", "N", "Y"), "")</f>
        <v/>
      </c>
      <c r="BW36" s="184" t="str">
        <f t="array" ref="BW36">IFERROR(IF(B36="", "", IF(B36="New Construction", "N", INDEX('Lookup Tables'!$AH$6:$AU$102, MATCH(1, ('Lookup Tables'!$AH$6:$AH$102='Lighting Inventory'!V36)*('Lookup Tables'!$AI$6:$AI$102='Lighting Inventory'!W36), 0), 14))), "N")</f>
        <v/>
      </c>
      <c r="BX36" s="598" t="str">
        <f t="shared" si="93"/>
        <v/>
      </c>
      <c r="BY36" s="598" t="str">
        <f t="shared" si="94"/>
        <v/>
      </c>
      <c r="BZ36" s="598" t="str">
        <f t="shared" si="95"/>
        <v/>
      </c>
      <c r="CA36" s="598" t="str">
        <f t="shared" si="101"/>
        <v/>
      </c>
      <c r="CB36" s="269" t="str">
        <f t="shared" si="102"/>
        <v/>
      </c>
      <c r="CC36" s="517" t="str">
        <f t="shared" si="96"/>
        <v/>
      </c>
      <c r="CD36" s="565" t="str">
        <f t="shared" si="11"/>
        <v/>
      </c>
      <c r="CE36" s="368">
        <v>0</v>
      </c>
      <c r="CF36" s="368" t="str" cm="1">
        <f t="array" ref="CF36">IFERROR(IF(V36="Custom", "$0.1 per kWh", IF(B36="New Construction", CONCATENATE("$",INDEX('Lookup Tables'!$AH$114:$AN$154,MATCH(1,('Lookup Tables'!$AH$114:$AH$154='Lighting Inventory'!V36)*('Lookup Tables'!$AI$114:$AI$154='Lighting Inventory'!W36),FALSE),6)," ",INDEX('Lookup Tables'!$AH$114:$AN$154,MATCH(1,('Lookup Tables'!$AH$114:$AH$154='Lighting Inventory'!V36)*('Lookup Tables'!$AI$114:$AI$154='Lighting Inventory'!W36),FALSE),7)), IF(AND(BU36="N", V36="Exit Signs"), "$0.025 per kWh", CONCATENATE("$",INDEX('Lookup Tables'!$AH$6:$AN$102,MATCH(1,('Lookup Tables'!$AH$6:$AH$102='Lighting Inventory'!V36)*('Lookup Tables'!$AI$6:$AI$102='Lighting Inventory'!W36),FALSE),6)," ",INDEX('Lookup Tables'!$AH$6:$AN$102,MATCH(1,('Lookup Tables'!$AH$6:$AH$102='Lighting Inventory'!V36)*('Lookup Tables'!$AI$6:$AI$102='Lighting Inventory'!W36),FALSE),7))))), "")</f>
        <v/>
      </c>
      <c r="CG36" s="366"/>
      <c r="CH36" s="248" t="str">
        <f t="shared" si="170"/>
        <v/>
      </c>
      <c r="CI36" s="248" t="str">
        <f t="shared" si="171"/>
        <v>Select_IE</v>
      </c>
      <c r="CJ36" s="248" t="str">
        <f t="shared" si="172"/>
        <v/>
      </c>
      <c r="CK36" s="248" t="str">
        <f t="shared" si="173"/>
        <v/>
      </c>
      <c r="CL36" s="248" t="str">
        <f t="shared" si="174"/>
        <v/>
      </c>
      <c r="CM36" s="248" t="str">
        <f>IFERROR(IF(B36="", "", IF(B36="New Construction", VLOOKUP(V36, 'Lookup Tables'!$AF$114:$AG$120, 2, FALSE), VLOOKUP(V36, 'Lookup Tables'!$AD$6:$AE$25, 2, FALSE))), "")</f>
        <v/>
      </c>
      <c r="CN36" s="248" t="str">
        <f t="shared" si="175"/>
        <v/>
      </c>
      <c r="CO36" s="248" t="str">
        <f t="shared" si="176"/>
        <v/>
      </c>
      <c r="CP36" s="592" t="str">
        <f t="shared" si="177"/>
        <v/>
      </c>
      <c r="CQ36" s="248" t="str">
        <f t="shared" si="97"/>
        <v/>
      </c>
      <c r="CR36" s="100"/>
      <c r="CS36" s="250" t="str">
        <f t="shared" si="178"/>
        <v/>
      </c>
      <c r="CT36" s="250" t="str">
        <f t="shared" si="179"/>
        <v/>
      </c>
      <c r="CU36" s="250" t="str">
        <f t="shared" si="180"/>
        <v/>
      </c>
      <c r="CV36" s="250" t="str">
        <f t="shared" si="181"/>
        <v/>
      </c>
      <c r="CW36" s="250" t="str">
        <f t="shared" si="182"/>
        <v/>
      </c>
      <c r="CX36" s="250" t="str">
        <f t="shared" si="183"/>
        <v/>
      </c>
      <c r="CY36" s="250" t="str">
        <f t="shared" si="184"/>
        <v/>
      </c>
      <c r="CZ36" s="250" t="str">
        <f t="shared" si="185"/>
        <v/>
      </c>
      <c r="DA36" s="250" t="str">
        <f t="shared" si="186"/>
        <v/>
      </c>
      <c r="DB36" s="250" t="str">
        <f t="shared" si="187"/>
        <v/>
      </c>
      <c r="DC36" s="250" t="str">
        <f t="shared" si="188"/>
        <v/>
      </c>
      <c r="DD36" s="250" t="str">
        <f t="shared" si="189"/>
        <v/>
      </c>
      <c r="DE36" s="250" t="str">
        <f t="shared" si="190"/>
        <v/>
      </c>
      <c r="DF36" s="250" t="str">
        <f t="shared" si="191"/>
        <v/>
      </c>
      <c r="DG36" s="250" t="str">
        <f t="shared" si="192"/>
        <v/>
      </c>
      <c r="DH36" s="250" t="str">
        <f t="shared" si="193"/>
        <v/>
      </c>
      <c r="DI36" s="250" t="str">
        <f t="shared" si="194"/>
        <v/>
      </c>
      <c r="DJ36" s="250" t="str">
        <f t="shared" si="195"/>
        <v/>
      </c>
      <c r="DK36" s="250" t="str">
        <f t="shared" si="196"/>
        <v/>
      </c>
      <c r="DL36" s="250" t="str">
        <f t="shared" si="197"/>
        <v/>
      </c>
      <c r="DM36" s="250" t="str">
        <f>IF(CD36="ERROR", "ERROR", IF(AND(OR(Y36=$DM$6, Y36='Lookup Tables'!$AD$21, Y36='Lookup Tables'!$AD$22), E36="Interior"), BJ36, ""))</f>
        <v/>
      </c>
      <c r="DN36" s="250" t="str">
        <f>IF(CD36="ERROR", "ERROR", IF(AND(OR(Y36=$DM$6, Y36='Lookup Tables'!$AD$21, Y36='Lookup Tables'!$AD$22), E36="Exterior"), BJ36, ""))</f>
        <v/>
      </c>
      <c r="DO36" s="100"/>
      <c r="DP36" s="250" t="str">
        <f t="shared" si="198"/>
        <v/>
      </c>
      <c r="DQ36" s="250" t="str">
        <f t="shared" si="199"/>
        <v/>
      </c>
      <c r="DR36" s="250" t="str">
        <f t="shared" si="200"/>
        <v/>
      </c>
      <c r="DS36" s="250" t="str">
        <f t="shared" si="201"/>
        <v/>
      </c>
      <c r="DT36" s="250" t="str">
        <f t="shared" si="202"/>
        <v/>
      </c>
      <c r="DU36" s="250" t="str">
        <f t="shared" si="203"/>
        <v/>
      </c>
      <c r="DV36" s="250" t="str">
        <f t="shared" si="204"/>
        <v/>
      </c>
      <c r="DW36" s="250" t="str">
        <f t="shared" si="205"/>
        <v/>
      </c>
      <c r="DX36" s="250" t="str">
        <f t="shared" si="206"/>
        <v/>
      </c>
      <c r="DY36" s="250" t="str">
        <f t="shared" si="207"/>
        <v/>
      </c>
      <c r="DZ36" s="250" t="str">
        <f t="shared" si="208"/>
        <v/>
      </c>
      <c r="EA36" s="250" t="str">
        <f t="shared" si="209"/>
        <v/>
      </c>
      <c r="EB36" s="250" t="str">
        <f t="shared" si="210"/>
        <v/>
      </c>
      <c r="EC36" s="250" t="str">
        <f t="shared" si="211"/>
        <v/>
      </c>
      <c r="ED36" s="250" t="str">
        <f t="shared" si="212"/>
        <v/>
      </c>
      <c r="EE36" s="250" t="str">
        <f t="shared" si="213"/>
        <v/>
      </c>
      <c r="EF36" s="250" t="str">
        <f t="shared" si="214"/>
        <v/>
      </c>
      <c r="EG36" s="250" t="str">
        <f t="shared" si="215"/>
        <v/>
      </c>
      <c r="EH36" s="250" t="str">
        <f>IF(CD36="ERROR", "ERROR", IF(AND(OR($EH$6=Y36, Y36='Lookup Tables'!$AD$21, Y36='Lookup Tables'!$AD$22),E36="Interior"), SUM(BP36:BP36), ""))</f>
        <v/>
      </c>
      <c r="EI36" s="250" t="str">
        <f>IF(CD36="ERROR", "ERROR", IF(AND(OR($EH$6=Y36, Y36='Lookup Tables'!$AD$21, Y36='Lookup Tables'!$AD$22),E36="Exterior"), SUM(BP36:BP36), ""))</f>
        <v/>
      </c>
      <c r="EJ36" s="109"/>
      <c r="EK36" s="485" t="str">
        <f t="shared" si="58"/>
        <v/>
      </c>
      <c r="EL36" s="252" t="str">
        <f t="shared" si="216"/>
        <v/>
      </c>
      <c r="EM36" s="252" t="str">
        <f t="shared" si="217"/>
        <v/>
      </c>
      <c r="EN36" s="252" t="str">
        <f t="shared" si="218"/>
        <v/>
      </c>
      <c r="EO36" s="252" t="str">
        <f t="shared" si="219"/>
        <v/>
      </c>
      <c r="EP36" s="252" t="str">
        <f t="shared" si="220"/>
        <v/>
      </c>
      <c r="EQ36" s="252" t="str">
        <f t="shared" si="221"/>
        <v/>
      </c>
      <c r="ER36" s="252" t="str">
        <f t="shared" si="222"/>
        <v/>
      </c>
      <c r="ES36" s="252" t="str">
        <f t="shared" si="223"/>
        <v/>
      </c>
      <c r="ET36" s="252" t="str">
        <f t="shared" si="224"/>
        <v/>
      </c>
      <c r="EU36" s="252" t="str">
        <f t="shared" si="225"/>
        <v/>
      </c>
      <c r="EV36" s="252" t="str">
        <f t="shared" si="226"/>
        <v/>
      </c>
      <c r="EW36" s="252" t="str">
        <f t="shared" si="227"/>
        <v/>
      </c>
      <c r="EX36" s="252" t="str">
        <f t="shared" si="228"/>
        <v/>
      </c>
      <c r="EY36" s="252" t="str">
        <f t="shared" si="229"/>
        <v/>
      </c>
      <c r="EZ36" s="252" t="str">
        <f t="shared" si="230"/>
        <v/>
      </c>
      <c r="FA36" s="252" t="str">
        <f t="shared" si="231"/>
        <v/>
      </c>
      <c r="FB36" s="252" t="str">
        <f t="shared" si="232"/>
        <v/>
      </c>
      <c r="FC36" s="252" t="str">
        <f>IF(CD36="ERROR", "ERROR", IF(OR(V36="No Change", V36="Not DLC or Energy Star"), "", IF(AND(OR($FC$6=Y36,Y36='Lookup Tables'!$AD$21, Y36='Lookup Tables'!$AD$22),E36="Interior"), S36, "")))</f>
        <v/>
      </c>
      <c r="FD36" s="252" t="str">
        <f t="shared" si="233"/>
        <v/>
      </c>
      <c r="FE36" s="101"/>
      <c r="FF36" s="579" t="str" cm="1">
        <f t="array" ref="FF36">IFERROR(IF(OR(BQ36&lt;=0,AQ36&lt;20,AND(V36="Exit Signs",AN36&gt;0)),"",IF(AND(AQ36&gt;=20,AN36='Lookup Tables'!$R$101),'Lookup Tables'!$U$101*BQ36,AP36*LOOKUP(2,1/((AN36='Lookup Tables'!$R$91:$R$111)*(AQ36&gt;='Lookup Tables'!$S$91:$S$111)*(AQ36&lt;='Lookup Tables'!$T$91:$T$111)),'Lookup Tables'!$U$91:$U$111))),"")</f>
        <v/>
      </c>
      <c r="FG36" s="579"/>
      <c r="FH36" s="579"/>
      <c r="FI36" s="253" t="str">
        <f>IFERROR(ROUND(IF(CD36="ERROR", "ERROR", IF(AND($FI$7=X36,E36="Interior"),VLOOKUP(W36, 'Lookup Tables'!$AI$6:$AM$102, 5, FALSE)*BP36, "")), 2), "")</f>
        <v/>
      </c>
      <c r="FJ36" s="253" t="str">
        <f>IFERROR(ROUND(IF(CD36="ERROR", "ERROR", IF(AND($FI$7=X36,E36="Exterior"),VLOOKUP(W36, 'Lookup Tables'!$AI$6:$AM$102, 5, FALSE)*BP36, "")), 2), "")</f>
        <v/>
      </c>
      <c r="FK36" s="253" t="str">
        <f>IFERROR(ROUND(IF(CD36="ERROR", "ERROR", IF(AND($FK$7=X36,E36="Interior"),VLOOKUP(W36, 'Lookup Tables'!$AI$6:$AM$102, 5, FALSE)*BP36, "")), 2), "")</f>
        <v/>
      </c>
      <c r="FL36" s="253" t="str">
        <f>IFERROR(ROUND(IF(CD36="ERROR", "ERROR", IF(AND($FK$7=X36,E36="Exterior"),VLOOKUP(W36, 'Lookup Tables'!$AI$6:$AM$102, 5, FALSE)*BP36, "")), 2), "")</f>
        <v/>
      </c>
      <c r="FM36" s="253" t="str">
        <f>IFERROR(ROUND(IF(CD36="ERROR", "ERROR", IF(AND($FM$6=Y36,E36="Interior"), IF(GB36=0, VLOOKUP(W36, 'Lookup Tables'!$AI$6:$AM$102, 5, FALSE)*BP36, IF(VLOOKUP(W36, 'Lookup Tables'!$AI$6:$AM$102, 5, FALSE)*BP36&gt;GB36*'Lighting Inventory'!S36, GB36*'Lighting Inventory'!S36,VLOOKUP(W36, 'Lookup Tables'!$AI$6:$AM$102, 5, FALSE)*BP36)), "")), 2), "")</f>
        <v/>
      </c>
      <c r="FN36" s="253" t="str">
        <f>IFERROR(ROUND(IF(CD36="ERROR", "ERROR", IF(AND($FM$6=Y36,E36="Exterior"), IF(GB36=0, VLOOKUP(W36, 'Lookup Tables'!$AI$6:$AM$102, 5, FALSE)*BP36, IF(VLOOKUP(W36, 'Lookup Tables'!$AI$6:$AM$102, 5, FALSE)*BP36&gt;GB36*'Lighting Inventory'!S36, GB36*'Lighting Inventory'!S36,VLOOKUP(W36, 'Lookup Tables'!$AI$6:$AM$102, 5, FALSE)*BP36)), "")), 2), "")</f>
        <v/>
      </c>
      <c r="FO36" s="253" t="str">
        <f>IFERROR(ROUND(IF(CD36="ERROR", "ERROR", IF(AND($FO$6=Y36,E36="Interior"),VLOOKUP(W36, 'Lookup Tables'!$AI$6:$AM$102, 5, FALSE)*'Lighting Inventory'!AI36, "")), 2), "")</f>
        <v/>
      </c>
      <c r="FP36" s="253" t="str">
        <f>IFERROR(ROUND(IF(CD36="ERROR", "ERROR", IF(AND($FO$6=Y36,E36="Exterior"),VLOOKUP(W36, 'Lookup Tables'!$AI$6:$AM$102, 5, FALSE)*'Lighting Inventory'!AI36, "")), 2), "")</f>
        <v/>
      </c>
      <c r="FQ36" s="253" t="str">
        <f>IFERROR(ROUND(IF(CD36="ERROR", "ERROR", IF(AND($FQ$6=Y36,E36="Interior", BU36="Y"), VLOOKUP('Lighting Inventory'!W36, 'Lookup Tables'!$AI$6:$AM$102, 5, FALSE)*'Lighting Inventory'!S36, IF(AND($FQ$7=Y36,E36="Interior", BU36="N"), 0.025*CD36, ""))), 2), "")</f>
        <v/>
      </c>
      <c r="FR36" s="253" t="str">
        <f>IFERROR(ROUND(IF(CD36="ERROR", "ERROR", IF(AND($FQ$6=Y36,E36="Exterior"), VLOOKUP('Lighting Inventory'!W36, 'Lookup Tables'!$AI$6:$AM$102, 5, FALSE)*'Lighting Inventory'!S36, "")), 2), "")</f>
        <v/>
      </c>
      <c r="FS36" s="253" t="str">
        <f>IFERROR(ROUND(IF(CD36="ERROR", "ERROR", IF(AND($FS$6=Y36,E36="Exterior"), IF(GB36=0, VLOOKUP(W36, 'Lookup Tables'!$AI$6:$AM$102, 5, FALSE)*BP36, IF(VLOOKUP(W36, 'Lookup Tables'!$AI$6:$AM$102, 5, FALSE)*BP36&gt;GB36*'Lighting Inventory'!S36, GB36*'Lighting Inventory'!S36,VLOOKUP(W36, 'Lookup Tables'!$AI$6:$AM$102, 5, FALSE)*BP36)), "")), 2), "")</f>
        <v/>
      </c>
      <c r="FT36" s="253" t="str">
        <f>IFERROR(ROUND(IF(CD36="ERROR", "ERROR", IF(AND($FT$6=Y36,E36="Interior"), IF(GB36=0, VLOOKUP(W36, 'Lookup Tables'!$AI$6:$AM$102, 5, FALSE)*BP36, IF(VLOOKUP(W36, 'Lookup Tables'!$AI$6:$AM$102, 5, FALSE)*BP36&gt;GB36*'Lighting Inventory'!S36, GB36*'Lighting Inventory'!S36,VLOOKUP(W36, 'Lookup Tables'!$AI$6:$AM$102, 5, FALSE)*BP36)), "")), 2), "")</f>
        <v/>
      </c>
      <c r="FU36" s="253" t="str">
        <f>IFERROR(ROUND(IF(CD36="ERROR", "ERROR", IF(AND(Y36=$FU$6, E36="Interior"), IF(BS36="N", 'Lookup Tables'!$AM$101*BP36, VLOOKUP(W36, 'Lookup Tables'!$AI$6:$AM$102, 5, FALSE)*S36*AD36), "")), 2), "")</f>
        <v/>
      </c>
      <c r="FV36" s="253" t="str">
        <f>IFERROR(ROUND(IF(CD36="ERROR", "ERROR", IF(AND(Y36=$FU$6, E36="Exterior"), IF(BS36="N", 'Lookup Tables'!$AM$101*BP36, VLOOKUP(W36, 'Lookup Tables'!$AI$6:$AM$102, 5, FALSE)*S36*AD36), "")), 2), "")</f>
        <v/>
      </c>
      <c r="FW36" s="253" t="str">
        <f>IFERROR(ROUND(IF(CD36="ERROR", "ERROR", IF($FW$6=Y36, IF(BS36="N", 'Lookup Tables'!$AM$101*BP36, MIN((VLOOKUP(W36, 'Lookup Tables'!$AI$6:$AM$102, 5, FALSE)*BP36),GB36*AJ36)), "")), 2), "")</f>
        <v/>
      </c>
      <c r="FX36" s="253" t="str">
        <f>IFERROR(ROUND(IF(CD36="ERROR", "ERROR", IF(AND($FX$6=Y36, E36="Interior"), IF(VLOOKUP(W36, 'Lookup Tables'!$AI$6:$AM$102, 5, FALSE)*BP36&gt;'Lookup Tables'!$AQ$97*'Lighting Inventory'!S36,'Lighting Inventory'!S36*'Lookup Tables'!$AQ$97,VLOOKUP(W36, 'Lookup Tables'!$AI$6:$AM$102, 5, FALSE)*BP36), "")), 2), "")</f>
        <v/>
      </c>
      <c r="FY36" s="253" t="str">
        <f>IFERROR(ROUND(IF(CD36="ERROR", "ERROR", IF(AND($FX$6=Y36, E36="Exterior"), IF(VLOOKUP(W36, 'Lookup Tables'!$AI$6:$AM$102, 5, FALSE)*BP36&gt;'Lookup Tables'!$AQ$97*'Lighting Inventory'!S36,'Lighting Inventory'!S36*'Lookup Tables'!$AQ$97,VLOOKUP(W36, 'Lookup Tables'!$AI$6:$AM$102, 5, FALSE)*BP36), "")), 2), "")</f>
        <v/>
      </c>
      <c r="FZ36" s="253" t="str">
        <f>IFERROR(ROUND(IF(CD36="ERROR", "ERROR", IF(AND($FZ$6=Y36, E36="Interior"), IF(AND(OR(W36="Refrigerated Case Lighting with Doors", W36="Freezer Case Lighting"),Y36="Custom - Process Improvement"),CD36*'Lookup Tables'!$AM$101, IF(B36="Retrofit", IF(VLOOKUP(IF(V36="Custom", V36, W36), 'Lookup Tables'!$AI$6:$AM$102, 5, FALSE)*BP36&gt;GE36, GE36, VLOOKUP(IF(V36="Custom", V36, W36), 'Lookup Tables'!$AI$6:$AM$102, 5, FALSE)*BP36), IF(VLOOKUP(IF(V36="Custom", V36, W36), 'Lookup Tables'!$AI$114:$AM$154, 5, FALSE)*BP36&gt;GE36, GE36, VLOOKUP(IF(V36="Custom", V36, W36), 'Lookup Tables'!$AI$114:$AM$154, 5, FALSE)*BP36))), "")), 2),"")</f>
        <v/>
      </c>
      <c r="GA36" s="253" t="str">
        <f>IFERROR(ROUND(IF(CD36="ERROR", "ERROR", IF(AND($FZ$6=Y36, E36="Exterior"), IF(B36="Retrofit", IF(VLOOKUP(IF(V36="Custom", V36, W36), 'Lookup Tables'!$AI$6:$AM$102, 5, FALSE)*BP36&gt;GE36, GE36, VLOOKUP(IF(V36="Custom", V36, W36), 'Lookup Tables'!$AI$6:$AM$102, 5, FALSE)*BP36), IF(VLOOKUP(IF(V36="Custom", V36, W36), 'Lookup Tables'!$AI$114:$AM$154, 5, FALSE)*BP36&gt;GE36, GE36, VLOOKUP(IF(V36="Custom", V36, W36), 'Lookup Tables'!$AI$114:$AM$154, 5, FALSE)*BP36)), "")), 2),"")</f>
        <v/>
      </c>
      <c r="GB36" s="254" t="str">
        <f t="array" ref="GB36">IF(B36="","",IF(OR(V36="Custom",V36="No Change"),0,IF(B36="Retrofit", INDEX('Lookup Tables'!$AH$6:$AQ$102,MATCH(1,('Lookup Tables'!$AH$6:$AH$102='Lighting Inventory'!V36)*('Lookup Tables'!$AI$6:$AI$102='Lighting Inventory'!W36),FALSE),10),INDEX('Lookup Tables'!$AH$114:$AQ$154,MATCH(1,('Lookup Tables'!$AH$114:$AH$154='Lighting Inventory'!V36)*('Lookup Tables'!$AI$114:$AI$154='Lighting Inventory'!W36),FALSE),10))))</f>
        <v/>
      </c>
      <c r="GC36" s="255" t="str">
        <f t="shared" si="77"/>
        <v/>
      </c>
      <c r="GD36" s="250" t="str">
        <f t="shared" si="78"/>
        <v/>
      </c>
      <c r="GE36" s="253" t="str">
        <f>IFERROR(IF(AND(AF36="", 'General Information'!$F$18="No"),"", IF(AF36="", ((GD36/$CD$266)*$CF$266)*0.5, AF36*S36*0.5)), "")</f>
        <v/>
      </c>
      <c r="GF36" s="255" t="str">
        <f>IF(AND('General Information'!$F$19="", 'General Information'!$F$18="Yes",AF36="",BW36="Y"), "Y", "N")</f>
        <v>N</v>
      </c>
      <c r="GG36" s="255" t="s">
        <v>2946</v>
      </c>
      <c r="GH36" s="255" t="str">
        <f>IFERROR(IF(B36="", "", VLOOKUP(J36, 'Fixture Identities'!$A$6:$N$908, 14, FALSE)), "")</f>
        <v/>
      </c>
      <c r="GI36" s="389" t="str">
        <f>IF(OR(B36="", V36="", W36=""), "", IF(AND(OR(M36='Lookup Tables'!$R$18, M36='Lookup Tables'!$R$19, M36='Lookup Tables'!$R$20, M36='Lookup Tables'!$R$21, M36='Lookup Tables'!$R$22), OR(AN36='Lookup Tables'!$R$17, AN36='Lookup Tables'!$R$17, AN36="")), "Y", "N"))</f>
        <v/>
      </c>
      <c r="GJ36" s="255" t="str">
        <f t="shared" si="79"/>
        <v/>
      </c>
      <c r="GK36" s="255" t="str">
        <f t="shared" si="80"/>
        <v/>
      </c>
      <c r="GL36" s="255" t="str">
        <f t="shared" si="81"/>
        <v/>
      </c>
      <c r="GM36" s="255" t="str">
        <f>IF(AN36="", "", IF(AND(IF(ISNA(VLOOKUP(AN36,'Lookup Tables'!$R$18:$R$22,1,FALSE)), "N", "Y")="Y", E36="Exterior"), "Y", "N"))</f>
        <v/>
      </c>
      <c r="GN36" s="395"/>
      <c r="GO36" s="428">
        <f t="shared" si="98"/>
        <v>0</v>
      </c>
      <c r="GP36" s="428">
        <f t="shared" si="167"/>
        <v>0</v>
      </c>
      <c r="GQ36" s="428">
        <f t="shared" si="99"/>
        <v>0</v>
      </c>
      <c r="GR36" s="428">
        <f t="shared" si="100"/>
        <v>0</v>
      </c>
      <c r="GT36" s="428"/>
    </row>
    <row r="37" spans="1:202" s="103" customFormat="1" ht="13.5" customHeight="1" x14ac:dyDescent="0.2">
      <c r="A37" s="272">
        <v>27</v>
      </c>
      <c r="B37" s="110"/>
      <c r="C37" s="110"/>
      <c r="D37" s="110"/>
      <c r="E37" s="110"/>
      <c r="F37" s="110"/>
      <c r="G37" s="110"/>
      <c r="H37" s="110"/>
      <c r="I37" s="29"/>
      <c r="J37" s="29"/>
      <c r="K37" s="272" t="str">
        <f>IFERROR(IF(OR(VLOOKUP(J37, 'Fixture Identities'!$A$6:$L$1023, 3, FALSE)="T12 Linear Fluorescent", VLOOKUP(J37, 'Fixture Identities'!$A$6:$L$1023, 3, FALSE)="T12 U-Tube Fluorescent"), VLOOKUP(VLOOKUP(J37, 'Fixture Identities'!$A$6:$L$1023, 11, FALSE), 'Fixture Identities'!$A$6:$L$1023, 10, FALSE), VLOOKUP(J37, 'Fixture Identities'!$A$6:$L$1023, 10, FALSE)), "")</f>
        <v/>
      </c>
      <c r="L37" s="270" t="str">
        <f t="shared" si="169"/>
        <v/>
      </c>
      <c r="M37" s="110"/>
      <c r="N37" s="110"/>
      <c r="O37" s="110"/>
      <c r="P37" s="272" t="str">
        <f>IFERROR(IF(OR(B37="Retrofit",B37=""),"",IF('Lighting Inventory'!E37="Exterior",VLOOKUP('Lighting Inventory'!N37,'Lookup Tables'!$B$83:$F$103,5,FALSE),IF(N37="Other - Please Estimate EFLH and CFs","Contact Prog. Rep.","ft^2"))), "")</f>
        <v/>
      </c>
      <c r="Q37" s="270" t="str">
        <f>IFERROR(IF(AND(B37="New Construction",E37="Interior",$F$5="Space-by-Space"),VLOOKUP('Lighting Inventory'!N37,'Lookup Tables'!$N$6:$O$97,2,FALSE),IF(AND(B37="New Construction",E37="Exterior"),VLOOKUP(N37,'Lookup Tables'!$B$83:$F$103,2,FALSE),IF(AND(B37="New Construction",'Lighting Inventory'!E37="Interior", $F$5="Building Area"),VLOOKUP(F37,'Lookup Tables'!$A$6:$J$59,10,FALSE),""))), "")</f>
        <v/>
      </c>
      <c r="R37" s="270" t="str">
        <f>IFERROR(IF(P37="Contact Prog. Rep.", "ERROR", IF(OR(B37="",B37="Retrofit"),"",IF(N37="Automated teller machines", ('Lookup Tables'!$A$82:$E$100+('Lighting Inventory'!O37-1)*'Lookup Tables'!$A$82:$E$100)/1000, (Q37*O37)/1000))), "")</f>
        <v/>
      </c>
      <c r="S37" s="595"/>
      <c r="T37" s="105" t="str">
        <f t="shared" si="83"/>
        <v/>
      </c>
      <c r="U37" s="105" t="str">
        <f>IF(S37="","",COUNT($S$11:S37))</f>
        <v/>
      </c>
      <c r="V37" s="111"/>
      <c r="W37" s="112"/>
      <c r="X37" s="105" t="str">
        <f t="shared" si="84"/>
        <v/>
      </c>
      <c r="Y37" s="105" t="str">
        <f t="array" ref="Y37">IF(AND(OR(W37="Freezer Case Lighting", W37="Refrigerated Case Lighting with Doors"), 'General Information'!$X$18="LCI"),'Lookup Tables'!$Y$34, IF(V37="Custom", VLOOKUP(W37, 'Fixture Identities'!$A$974:$M$1023, 13, FALSE), IF(V37="No Change",'Lookup Tables'!$Y$29,IF(OR(V37="",W37=""),"",IF(AND(S37=0,S37&lt;I37,B37="Retrofit"),'Lookup Tables'!$Y$25, IF(B37="Retrofit", INDEX('Lookup Tables'!$AH$6:$AP$102, MATCH(1, ('Lookup Tables'!$AH$6:$AH$102=V37)*('Lookup Tables'!$AI$6:$AI$102=W37), 0), IF('Lighting Inventory'!E37="Interior", 4, 5)), INDEX('Lookup Tables'!$AH$114:$AP$154, MATCH(1, ('Lookup Tables'!$AH$114:$AH$154=V37)*('Lookup Tables'!$AI$114:$AI$154=W37), 0), IF('Lighting Inventory'!E37="Interior", 4, 5))))))))</f>
        <v/>
      </c>
      <c r="Z37" s="105" t="str">
        <f>IFERROR(INDEX('Lookup Tables'!$AH$158:$AH$172,MATCH('Lighting Inventory'!Y37,'Lookup Tables'!$AI$158:$AI$172,0)),"")</f>
        <v/>
      </c>
      <c r="AA37" s="105" t="str">
        <f>IF(AP37&gt;0,INDEX('Lookup Tables'!$AK$158:$AK$172,MATCH('Lighting Inventory'!Y37,'Lookup Tables'!$AI$158:$AI$172,0)),'Lighting Inventory'!Y37)</f>
        <v/>
      </c>
      <c r="AB37" s="105" t="str">
        <f t="array" ref="AB37">IF(V37="Custom", "Custom", IF(V37="", "", IF(V37="Not DLC or Energy Star", "General", IF(B37="New Construction", INDEX('Lookup Tables'!$AH$114:$AP$154,MATCH(1,('Lookup Tables'!$AH$114:$AH$154='Lighting Inventory'!V37)*('Lookup Tables'!$AI$114:$AI$154='Lighting Inventory'!W37),FALSE),8), INDEX('Lookup Tables'!$AH$6:$AP$102,MATCH(1,('Lookup Tables'!$AH$6:$AH$102='Lighting Inventory'!V37)*('Lookup Tables'!$AI$6:$AI$102='Lighting Inventory'!W37),FALSE),8)))))</f>
        <v/>
      </c>
      <c r="AC37" s="272" t="str">
        <f>IF(W37="","",IF(V37="Custom",CONCATENATE("$",'Lookup Tables'!$AM$101," ",'Lookup Tables'!$AN$101),CONCATENATE("$",INDEX('Lookup Tables'!$AM$6:$AM$102,MATCH('Lighting Inventory'!W37,'Lookup Tables'!$AI$6:$AI$102,0))," ",INDEX('Lookup Tables'!$AN$6:$AN$102,MATCH('Lighting Inventory'!W37,'Lookup Tables'!$AI$6:$AI$102,0)))))</f>
        <v/>
      </c>
      <c r="AD37" s="72"/>
      <c r="AE37" s="29"/>
      <c r="AF37" s="379"/>
      <c r="AG37" s="370" t="str">
        <f t="shared" si="2"/>
        <v/>
      </c>
      <c r="AH37" s="370" t="str">
        <f t="shared" si="85"/>
        <v/>
      </c>
      <c r="AI37" s="29"/>
      <c r="AJ37" s="29"/>
      <c r="AK37" s="110"/>
      <c r="AL37" s="375" t="str">
        <f>IF(OR(B37="", V37="", W37=""), "", IF(V37="No Change", K37, IF(V37="Remove Fixture", 0, IF(V37="Custom",VLOOKUP(W37,'Fixture Identities'!$A$6:$K$1023,10,FALSE),IF(AE37="", "← ENTER POST WATTS", 'Lighting Inventory'!AE37)))))</f>
        <v/>
      </c>
      <c r="AM37" s="376" t="str">
        <f t="shared" si="3"/>
        <v/>
      </c>
      <c r="AN37" s="29"/>
      <c r="AO37" s="671"/>
      <c r="AP37" s="29"/>
      <c r="AQ37" s="29"/>
      <c r="AR37" s="29"/>
      <c r="AS37" s="272" t="str">
        <f t="shared" si="4"/>
        <v/>
      </c>
      <c r="AT37" s="270" t="str">
        <f t="shared" si="234"/>
        <v/>
      </c>
      <c r="AU37" s="88" t="str">
        <f t="shared" si="235"/>
        <v/>
      </c>
      <c r="AV37" s="29"/>
      <c r="AW37" s="73"/>
      <c r="AX37" s="271" t="str">
        <f>IF(AND(AV37="Applicant",OR(AW37="", AW37="Use Default Facility Hours")),"← Choose Schedule",IF(F37="","",IF(W37="LED Exit Signs",8760,IF(OR(AV37="Prescribed",AV37=""),VLOOKUP(F37,'Lookup Tables'!$A$6:$G$59,IF(AB37="General", 6, 3),FALSE),VLOOKUP(AW37,'Lookup Tables'!$S$36:$U$43,2,FALSE)))))</f>
        <v/>
      </c>
      <c r="AY37" s="88" t="str">
        <f t="shared" si="7"/>
        <v/>
      </c>
      <c r="AZ37" s="270" t="str">
        <f>IFERROR(IF(F37="", "", IF(W37="LED Exit Signs", 1, IF(AV37="Applicant",VLOOKUP(AW37, 'Lookup Tables'!$S$36:$U$43,3, FALSE), VLOOKUP('Lighting Inventory'!F37, 'Lookup Tables'!$A$6:$H$59, IF('Lighting Inventory'!AB37="General",7,4), FALSE)))), "")</f>
        <v/>
      </c>
      <c r="BA37" s="522" t="str">
        <f>IFERROR(IF(F37="", "", IF(W37="LED Exit Signs", 1, VLOOKUP('Lighting Inventory'!F37, 'Lookup Tables'!$A$6:$H$59, IF('Lighting Inventory'!AB37="General",8,5), FALSE))), "")</f>
        <v/>
      </c>
      <c r="BB37" s="270" t="str">
        <f>IF(G37="", "", IF(E37="Exterior", 0, IF('Lighting Inventory'!G37="Air Conditioned", VLOOKUP(H37, 'Lookup Tables'!$R$6:$T$13, 2, FALSE), VLOOKUP('Lighting Inventory'!G37, 'Lookup Tables'!$R$6:$T$13, 2, FALSE))))</f>
        <v/>
      </c>
      <c r="BC37" s="522" t="str">
        <f>IF(G37="", "", IF(E37="Exterior", 0, IF('Lighting Inventory'!G37="Air Conditioned", VLOOKUP(H37, 'Lookup Tables'!$R$6:$T$13, 3, FALSE), VLOOKUP('Lighting Inventory'!G37, 'Lookup Tables'!$R$6:$T$13, 3, FALSE))))</f>
        <v/>
      </c>
      <c r="BD37" s="270" t="str">
        <f>IF(G37="", "", IF(E37="Exterior", 0, IF('Lighting Inventory'!G37="Air Conditioned", VLOOKUP(H37, 'Lookup Tables'!$R$6:$U$13, 4, FALSE), VLOOKUP('Lighting Inventory'!G37, 'Lookup Tables'!$R$6:$U$13, 4, FALSE))))</f>
        <v/>
      </c>
      <c r="BE37" s="270" t="str">
        <f>IFERROR(IF(B37="", "",  IF(B37="New Construction", VLOOKUP(F37, 'Lookup Tables'!$A$6:$K$59, 11, FALSE),IF(OR(AN37="", AN37="Light Switch"), 0, IF(OR(M37="",M37="None",V37= "LED Exit Signs"),0,_xlfn.XLOOKUP(M37,'Lookup Tables'!$R$91:$R$101,'Lookup Tables'!$V$91:$V$101))))), "")</f>
        <v/>
      </c>
      <c r="BF37" s="270" t="str">
        <f>IF(AND(OR(AN37="Light Switch",AN37=""),B37="New Construction"), VLOOKUP(F37, 'Lookup Tables'!$A$6:$K$59, 11, FALSE),IF(AN37="","",IF(B37="","",IF(OR(AN37="None",AN37="",V37="LED Exit Signs",AN37="Exterior Controls Not Eligible"),0,_xlfn.XLOOKUP(AN37,'Lookup Tables'!$R$91:$R$101,'Lookup Tables'!$V$91:$V$101)))))</f>
        <v/>
      </c>
      <c r="BG37" s="88" t="str">
        <f t="shared" si="86"/>
        <v/>
      </c>
      <c r="BH37" s="88" t="str">
        <f t="shared" si="87"/>
        <v/>
      </c>
      <c r="BI37" s="558" t="str">
        <f t="shared" si="168"/>
        <v/>
      </c>
      <c r="BJ37" s="560" t="str">
        <f t="shared" si="88"/>
        <v/>
      </c>
      <c r="BK37" s="560" t="str">
        <f t="shared" si="89"/>
        <v/>
      </c>
      <c r="BL37" s="559" t="str">
        <f t="shared" si="90"/>
        <v/>
      </c>
      <c r="BM37" s="521" t="str">
        <f t="shared" si="8"/>
        <v/>
      </c>
      <c r="BN37" s="521" t="str">
        <f t="shared" si="9"/>
        <v/>
      </c>
      <c r="BO37" s="522" t="str">
        <f t="shared" si="10"/>
        <v/>
      </c>
      <c r="BP37" s="83" t="str">
        <f t="shared" si="91"/>
        <v/>
      </c>
      <c r="BQ37" s="84" t="str">
        <f t="shared" si="92"/>
        <v/>
      </c>
      <c r="BR37" s="184" t="str">
        <f>IFERROR(IF(B37="", "", IF(OR(VLOOKUP(J37, 'Fixture Identities'!$A$6:$L$1023, 3, FALSE)="T12 Linear Fluorescent",VLOOKUP(J37, 'Fixture Identities'!$A$6:$L$1023, 3, FALSE)="T12 U-Tube Fluorescent"), "Y", "N")), "N")</f>
        <v/>
      </c>
      <c r="BS37" s="184" t="str">
        <f t="array" ref="BS37">IFERROR(IF(OR(B37="", V37="", W37=""), "", IF(V37="Custom", "N", IF(OR(W37="Freezer Case Lighting", W37="Refrigerated Case Lighting with Doors"), BT37, IF(B37="Retrofit", INDEX('Lookup Tables'!$AH$6:$AT$102,MATCH(1,('Lookup Tables'!$AH$6:$AH$102=V37)*('Lookup Tables'!$AI$6:$AI$102=W37),FALSE),IF(VLOOKUP(J37, 'Fixture Identities'!$A$6:$B$1023, 2, FALSE)="Incandescent",12, 13)), INDEX('Lookup Tables'!$AH$114:$AS$154,MATCH(1,('Lookup Tables'!$AH$114:$AH$154=V37)*('Lookup Tables'!$AI$114:$AI$154=W37),FALSE),12))))), "N")</f>
        <v/>
      </c>
      <c r="BT37" s="184" t="str">
        <f>IF(J37="", "", IF(AND(OR(W37="Freezer case Lighting", W37="Refrigerated Case Lighting with Doors"),'General Information'!$X$18="LCI"), "N", IF(OR(VLOOKUP(J37, 'Fixture Identities'!$A$6:$B$1023, 2, FALSE)="T12 EPACT/EISA Baseline", VLOOKUP(J37, 'Fixture Identities'!$A$6:$B$1023, 2, FALSE)="Linear Fluorescent", VLOOKUP(J37, 'Fixture Identities'!$A$6:$B$1023, 2, FALSE)="U-Tube Fluorescent"), "Y", "N")))</f>
        <v/>
      </c>
      <c r="BU37" s="184" t="str">
        <f>IFERROR(IF(B37="", "", IF(VLOOKUP(J37, 'Fixture Identities'!$A$6:$B$1023, 2, FALSE)="Exit Sign", "Y", "N")), "N")</f>
        <v/>
      </c>
      <c r="BV37" s="184" t="str">
        <f>IF(V37="Exit Signs", IF(VLOOKUP(J37, 'Fixture Identities'!$A$6:$B$1023, 2, FALSE)="Exit Sign", "N", "Y"), "")</f>
        <v/>
      </c>
      <c r="BW37" s="184" t="str">
        <f t="array" ref="BW37">IFERROR(IF(B37="", "", IF(B37="New Construction", "N", INDEX('Lookup Tables'!$AH$6:$AU$102, MATCH(1, ('Lookup Tables'!$AH$6:$AH$102='Lighting Inventory'!V37)*('Lookup Tables'!$AI$6:$AI$102='Lighting Inventory'!W37), 0), 14))), "N")</f>
        <v/>
      </c>
      <c r="BX37" s="598" t="str">
        <f t="shared" si="93"/>
        <v/>
      </c>
      <c r="BY37" s="598" t="str">
        <f t="shared" si="94"/>
        <v/>
      </c>
      <c r="BZ37" s="598" t="str">
        <f t="shared" si="95"/>
        <v/>
      </c>
      <c r="CA37" s="598" t="str">
        <f t="shared" si="101"/>
        <v/>
      </c>
      <c r="CB37" s="269" t="str">
        <f t="shared" si="102"/>
        <v/>
      </c>
      <c r="CC37" s="517" t="str">
        <f t="shared" si="96"/>
        <v/>
      </c>
      <c r="CD37" s="565" t="str">
        <f t="shared" si="11"/>
        <v/>
      </c>
      <c r="CE37" s="368">
        <v>0</v>
      </c>
      <c r="CF37" s="368" t="str" cm="1">
        <f t="array" ref="CF37">IFERROR(IF(V37="Custom", "$0.1 per kWh", IF(B37="New Construction", CONCATENATE("$",INDEX('Lookup Tables'!$AH$114:$AN$154,MATCH(1,('Lookup Tables'!$AH$114:$AH$154='Lighting Inventory'!V37)*('Lookup Tables'!$AI$114:$AI$154='Lighting Inventory'!W37),FALSE),6)," ",INDEX('Lookup Tables'!$AH$114:$AN$154,MATCH(1,('Lookup Tables'!$AH$114:$AH$154='Lighting Inventory'!V37)*('Lookup Tables'!$AI$114:$AI$154='Lighting Inventory'!W37),FALSE),7)), IF(AND(BU37="N", V37="Exit Signs"), "$0.025 per kWh", CONCATENATE("$",INDEX('Lookup Tables'!$AH$6:$AN$102,MATCH(1,('Lookup Tables'!$AH$6:$AH$102='Lighting Inventory'!V37)*('Lookup Tables'!$AI$6:$AI$102='Lighting Inventory'!W37),FALSE),6)," ",INDEX('Lookup Tables'!$AH$6:$AN$102,MATCH(1,('Lookup Tables'!$AH$6:$AH$102='Lighting Inventory'!V37)*('Lookup Tables'!$AI$6:$AI$102='Lighting Inventory'!W37),FALSE),7))))), "")</f>
        <v/>
      </c>
      <c r="CG37" s="366"/>
      <c r="CH37" s="248" t="str">
        <f t="shared" si="170"/>
        <v/>
      </c>
      <c r="CI37" s="248" t="str">
        <f t="shared" si="171"/>
        <v>Select_IE</v>
      </c>
      <c r="CJ37" s="248" t="str">
        <f t="shared" si="172"/>
        <v/>
      </c>
      <c r="CK37" s="248" t="str">
        <f t="shared" si="173"/>
        <v/>
      </c>
      <c r="CL37" s="248" t="str">
        <f t="shared" si="174"/>
        <v/>
      </c>
      <c r="CM37" s="248" t="str">
        <f>IFERROR(IF(B37="", "", IF(B37="New Construction", VLOOKUP(V37, 'Lookup Tables'!$AF$114:$AG$120, 2, FALSE), VLOOKUP(V37, 'Lookup Tables'!$AD$6:$AE$25, 2, FALSE))), "")</f>
        <v/>
      </c>
      <c r="CN37" s="248" t="str">
        <f t="shared" si="175"/>
        <v/>
      </c>
      <c r="CO37" s="248" t="str">
        <f t="shared" si="176"/>
        <v/>
      </c>
      <c r="CP37" s="592" t="str">
        <f t="shared" si="177"/>
        <v/>
      </c>
      <c r="CQ37" s="248" t="str">
        <f t="shared" si="97"/>
        <v/>
      </c>
      <c r="CR37" s="100"/>
      <c r="CS37" s="250" t="str">
        <f t="shared" si="178"/>
        <v/>
      </c>
      <c r="CT37" s="250" t="str">
        <f t="shared" si="179"/>
        <v/>
      </c>
      <c r="CU37" s="250" t="str">
        <f t="shared" si="180"/>
        <v/>
      </c>
      <c r="CV37" s="250" t="str">
        <f t="shared" si="181"/>
        <v/>
      </c>
      <c r="CW37" s="250" t="str">
        <f t="shared" si="182"/>
        <v/>
      </c>
      <c r="CX37" s="250" t="str">
        <f t="shared" si="183"/>
        <v/>
      </c>
      <c r="CY37" s="250" t="str">
        <f t="shared" si="184"/>
        <v/>
      </c>
      <c r="CZ37" s="250" t="str">
        <f t="shared" si="185"/>
        <v/>
      </c>
      <c r="DA37" s="250" t="str">
        <f t="shared" si="186"/>
        <v/>
      </c>
      <c r="DB37" s="250" t="str">
        <f t="shared" si="187"/>
        <v/>
      </c>
      <c r="DC37" s="250" t="str">
        <f t="shared" si="188"/>
        <v/>
      </c>
      <c r="DD37" s="250" t="str">
        <f t="shared" si="189"/>
        <v/>
      </c>
      <c r="DE37" s="250" t="str">
        <f t="shared" si="190"/>
        <v/>
      </c>
      <c r="DF37" s="250" t="str">
        <f t="shared" si="191"/>
        <v/>
      </c>
      <c r="DG37" s="250" t="str">
        <f t="shared" si="192"/>
        <v/>
      </c>
      <c r="DH37" s="250" t="str">
        <f t="shared" si="193"/>
        <v/>
      </c>
      <c r="DI37" s="250" t="str">
        <f t="shared" si="194"/>
        <v/>
      </c>
      <c r="DJ37" s="250" t="str">
        <f t="shared" si="195"/>
        <v/>
      </c>
      <c r="DK37" s="250" t="str">
        <f t="shared" si="196"/>
        <v/>
      </c>
      <c r="DL37" s="250" t="str">
        <f t="shared" si="197"/>
        <v/>
      </c>
      <c r="DM37" s="250" t="str">
        <f>IF(CD37="ERROR", "ERROR", IF(AND(OR(Y37=$DM$6, Y37='Lookup Tables'!$AD$21, Y37='Lookup Tables'!$AD$22), E37="Interior"), BJ37, ""))</f>
        <v/>
      </c>
      <c r="DN37" s="250" t="str">
        <f>IF(CD37="ERROR", "ERROR", IF(AND(OR(Y37=$DM$6, Y37='Lookup Tables'!$AD$21, Y37='Lookup Tables'!$AD$22), E37="Exterior"), BJ37, ""))</f>
        <v/>
      </c>
      <c r="DO37" s="100"/>
      <c r="DP37" s="250" t="str">
        <f t="shared" si="198"/>
        <v/>
      </c>
      <c r="DQ37" s="250" t="str">
        <f t="shared" si="199"/>
        <v/>
      </c>
      <c r="DR37" s="250" t="str">
        <f t="shared" si="200"/>
        <v/>
      </c>
      <c r="DS37" s="250" t="str">
        <f t="shared" si="201"/>
        <v/>
      </c>
      <c r="DT37" s="250" t="str">
        <f t="shared" si="202"/>
        <v/>
      </c>
      <c r="DU37" s="250" t="str">
        <f t="shared" si="203"/>
        <v/>
      </c>
      <c r="DV37" s="250" t="str">
        <f t="shared" si="204"/>
        <v/>
      </c>
      <c r="DW37" s="250" t="str">
        <f t="shared" si="205"/>
        <v/>
      </c>
      <c r="DX37" s="250" t="str">
        <f t="shared" si="206"/>
        <v/>
      </c>
      <c r="DY37" s="250" t="str">
        <f t="shared" si="207"/>
        <v/>
      </c>
      <c r="DZ37" s="250" t="str">
        <f t="shared" si="208"/>
        <v/>
      </c>
      <c r="EA37" s="250" t="str">
        <f t="shared" si="209"/>
        <v/>
      </c>
      <c r="EB37" s="250" t="str">
        <f t="shared" si="210"/>
        <v/>
      </c>
      <c r="EC37" s="250" t="str">
        <f t="shared" si="211"/>
        <v/>
      </c>
      <c r="ED37" s="250" t="str">
        <f t="shared" si="212"/>
        <v/>
      </c>
      <c r="EE37" s="250" t="str">
        <f t="shared" si="213"/>
        <v/>
      </c>
      <c r="EF37" s="250" t="str">
        <f t="shared" si="214"/>
        <v/>
      </c>
      <c r="EG37" s="250" t="str">
        <f t="shared" si="215"/>
        <v/>
      </c>
      <c r="EH37" s="250" t="str">
        <f>IF(CD37="ERROR", "ERROR", IF(AND(OR($EH$6=Y37, Y37='Lookup Tables'!$AD$21, Y37='Lookup Tables'!$AD$22),E37="Interior"), SUM(BP37:BP37), ""))</f>
        <v/>
      </c>
      <c r="EI37" s="250" t="str">
        <f>IF(CD37="ERROR", "ERROR", IF(AND(OR($EH$6=Y37, Y37='Lookup Tables'!$AD$21, Y37='Lookup Tables'!$AD$22),E37="Exterior"), SUM(BP37:BP37), ""))</f>
        <v/>
      </c>
      <c r="EJ37" s="109"/>
      <c r="EK37" s="485" t="str">
        <f t="shared" si="58"/>
        <v/>
      </c>
      <c r="EL37" s="252" t="str">
        <f t="shared" si="216"/>
        <v/>
      </c>
      <c r="EM37" s="252" t="str">
        <f t="shared" si="217"/>
        <v/>
      </c>
      <c r="EN37" s="252" t="str">
        <f t="shared" si="218"/>
        <v/>
      </c>
      <c r="EO37" s="252" t="str">
        <f t="shared" si="219"/>
        <v/>
      </c>
      <c r="EP37" s="252" t="str">
        <f t="shared" si="220"/>
        <v/>
      </c>
      <c r="EQ37" s="252" t="str">
        <f t="shared" si="221"/>
        <v/>
      </c>
      <c r="ER37" s="252" t="str">
        <f t="shared" si="222"/>
        <v/>
      </c>
      <c r="ES37" s="252" t="str">
        <f t="shared" si="223"/>
        <v/>
      </c>
      <c r="ET37" s="252" t="str">
        <f t="shared" si="224"/>
        <v/>
      </c>
      <c r="EU37" s="252" t="str">
        <f t="shared" si="225"/>
        <v/>
      </c>
      <c r="EV37" s="252" t="str">
        <f t="shared" si="226"/>
        <v/>
      </c>
      <c r="EW37" s="252" t="str">
        <f t="shared" si="227"/>
        <v/>
      </c>
      <c r="EX37" s="252" t="str">
        <f t="shared" si="228"/>
        <v/>
      </c>
      <c r="EY37" s="252" t="str">
        <f t="shared" si="229"/>
        <v/>
      </c>
      <c r="EZ37" s="252" t="str">
        <f t="shared" si="230"/>
        <v/>
      </c>
      <c r="FA37" s="252" t="str">
        <f t="shared" si="231"/>
        <v/>
      </c>
      <c r="FB37" s="252" t="str">
        <f t="shared" si="232"/>
        <v/>
      </c>
      <c r="FC37" s="252" t="str">
        <f>IF(CD37="ERROR", "ERROR", IF(OR(V37="No Change", V37="Not DLC or Energy Star"), "", IF(AND(OR($FC$6=Y37,Y37='Lookup Tables'!$AD$21, Y37='Lookup Tables'!$AD$22),E37="Interior"), S37, "")))</f>
        <v/>
      </c>
      <c r="FD37" s="252" t="str">
        <f t="shared" si="233"/>
        <v/>
      </c>
      <c r="FE37" s="101"/>
      <c r="FF37" s="579" t="str" cm="1">
        <f t="array" ref="FF37">IFERROR(IF(OR(BQ37&lt;=0,AQ37&lt;20,AND(V37="Exit Signs",AN37&gt;0)),"",IF(AND(AQ37&gt;=20,AN37='Lookup Tables'!$R$101),'Lookup Tables'!$U$101*BQ37,AP37*LOOKUP(2,1/((AN37='Lookup Tables'!$R$91:$R$111)*(AQ37&gt;='Lookup Tables'!$S$91:$S$111)*(AQ37&lt;='Lookup Tables'!$T$91:$T$111)),'Lookup Tables'!$U$91:$U$111))),"")</f>
        <v/>
      </c>
      <c r="FG37" s="579"/>
      <c r="FH37" s="579"/>
      <c r="FI37" s="253" t="str">
        <f>IFERROR(ROUND(IF(CD37="ERROR", "ERROR", IF(AND($FI$7=X37,E37="Interior"),VLOOKUP(W37, 'Lookup Tables'!$AI$6:$AM$102, 5, FALSE)*BP37, "")), 2), "")</f>
        <v/>
      </c>
      <c r="FJ37" s="253" t="str">
        <f>IFERROR(ROUND(IF(CD37="ERROR", "ERROR", IF(AND($FI$7=X37,E37="Exterior"),VLOOKUP(W37, 'Lookup Tables'!$AI$6:$AM$102, 5, FALSE)*BP37, "")), 2), "")</f>
        <v/>
      </c>
      <c r="FK37" s="253" t="str">
        <f>IFERROR(ROUND(IF(CD37="ERROR", "ERROR", IF(AND($FK$7=X37,E37="Interior"),VLOOKUP(W37, 'Lookup Tables'!$AI$6:$AM$102, 5, FALSE)*BP37, "")), 2), "")</f>
        <v/>
      </c>
      <c r="FL37" s="253" t="str">
        <f>IFERROR(ROUND(IF(CD37="ERROR", "ERROR", IF(AND($FK$7=X37,E37="Exterior"),VLOOKUP(W37, 'Lookup Tables'!$AI$6:$AM$102, 5, FALSE)*BP37, "")), 2), "")</f>
        <v/>
      </c>
      <c r="FM37" s="253" t="str">
        <f>IFERROR(ROUND(IF(CD37="ERROR", "ERROR", IF(AND($FM$6=Y37,E37="Interior"), IF(GB37=0, VLOOKUP(W37, 'Lookup Tables'!$AI$6:$AM$102, 5, FALSE)*BP37, IF(VLOOKUP(W37, 'Lookup Tables'!$AI$6:$AM$102, 5, FALSE)*BP37&gt;GB37*'Lighting Inventory'!S37, GB37*'Lighting Inventory'!S37,VLOOKUP(W37, 'Lookup Tables'!$AI$6:$AM$102, 5, FALSE)*BP37)), "")), 2), "")</f>
        <v/>
      </c>
      <c r="FN37" s="253" t="str">
        <f>IFERROR(ROUND(IF(CD37="ERROR", "ERROR", IF(AND($FM$6=Y37,E37="Exterior"), IF(GB37=0, VLOOKUP(W37, 'Lookup Tables'!$AI$6:$AM$102, 5, FALSE)*BP37, IF(VLOOKUP(W37, 'Lookup Tables'!$AI$6:$AM$102, 5, FALSE)*BP37&gt;GB37*'Lighting Inventory'!S37, GB37*'Lighting Inventory'!S37,VLOOKUP(W37, 'Lookup Tables'!$AI$6:$AM$102, 5, FALSE)*BP37)), "")), 2), "")</f>
        <v/>
      </c>
      <c r="FO37" s="253" t="str">
        <f>IFERROR(ROUND(IF(CD37="ERROR", "ERROR", IF(AND($FO$6=Y37,E37="Interior"),VLOOKUP(W37, 'Lookup Tables'!$AI$6:$AM$102, 5, FALSE)*'Lighting Inventory'!AI37, "")), 2), "")</f>
        <v/>
      </c>
      <c r="FP37" s="253" t="str">
        <f>IFERROR(ROUND(IF(CD37="ERROR", "ERROR", IF(AND($FO$6=Y37,E37="Exterior"),VLOOKUP(W37, 'Lookup Tables'!$AI$6:$AM$102, 5, FALSE)*'Lighting Inventory'!AI37, "")), 2), "")</f>
        <v/>
      </c>
      <c r="FQ37" s="253" t="str">
        <f>IFERROR(ROUND(IF(CD37="ERROR", "ERROR", IF(AND($FQ$6=Y37,E37="Interior", BU37="Y"), VLOOKUP('Lighting Inventory'!W37, 'Lookup Tables'!$AI$6:$AM$102, 5, FALSE)*'Lighting Inventory'!S37, IF(AND($FQ$7=Y37,E37="Interior", BU37="N"), 0.025*CD37, ""))), 2), "")</f>
        <v/>
      </c>
      <c r="FR37" s="253" t="str">
        <f>IFERROR(ROUND(IF(CD37="ERROR", "ERROR", IF(AND($FQ$6=Y37,E37="Exterior"), VLOOKUP('Lighting Inventory'!W37, 'Lookup Tables'!$AI$6:$AM$102, 5, FALSE)*'Lighting Inventory'!S37, "")), 2), "")</f>
        <v/>
      </c>
      <c r="FS37" s="253" t="str">
        <f>IFERROR(ROUND(IF(CD37="ERROR", "ERROR", IF(AND($FS$6=Y37,E37="Exterior"), IF(GB37=0, VLOOKUP(W37, 'Lookup Tables'!$AI$6:$AM$102, 5, FALSE)*BP37, IF(VLOOKUP(W37, 'Lookup Tables'!$AI$6:$AM$102, 5, FALSE)*BP37&gt;GB37*'Lighting Inventory'!S37, GB37*'Lighting Inventory'!S37,VLOOKUP(W37, 'Lookup Tables'!$AI$6:$AM$102, 5, FALSE)*BP37)), "")), 2), "")</f>
        <v/>
      </c>
      <c r="FT37" s="253" t="str">
        <f>IFERROR(ROUND(IF(CD37="ERROR", "ERROR", IF(AND($FT$6=Y37,E37="Interior"), IF(GB37=0, VLOOKUP(W37, 'Lookup Tables'!$AI$6:$AM$102, 5, FALSE)*BP37, IF(VLOOKUP(W37, 'Lookup Tables'!$AI$6:$AM$102, 5, FALSE)*BP37&gt;GB37*'Lighting Inventory'!S37, GB37*'Lighting Inventory'!S37,VLOOKUP(W37, 'Lookup Tables'!$AI$6:$AM$102, 5, FALSE)*BP37)), "")), 2), "")</f>
        <v/>
      </c>
      <c r="FU37" s="253" t="str">
        <f>IFERROR(ROUND(IF(CD37="ERROR", "ERROR", IF(AND(Y37=$FU$6, E37="Interior"), IF(BS37="N", 'Lookup Tables'!$AM$101*BP37, VLOOKUP(W37, 'Lookup Tables'!$AI$6:$AM$102, 5, FALSE)*S37*AD37), "")), 2), "")</f>
        <v/>
      </c>
      <c r="FV37" s="253" t="str">
        <f>IFERROR(ROUND(IF(CD37="ERROR", "ERROR", IF(AND(Y37=$FU$6, E37="Exterior"), IF(BS37="N", 'Lookup Tables'!$AM$101*BP37, VLOOKUP(W37, 'Lookup Tables'!$AI$6:$AM$102, 5, FALSE)*S37*AD37), "")), 2), "")</f>
        <v/>
      </c>
      <c r="FW37" s="253" t="str">
        <f>IFERROR(ROUND(IF(CD37="ERROR", "ERROR", IF($FW$6=Y37, IF(BS37="N", 'Lookup Tables'!$AM$101*BP37, MIN((VLOOKUP(W37, 'Lookup Tables'!$AI$6:$AM$102, 5, FALSE)*BP37),GB37*AJ37)), "")), 2), "")</f>
        <v/>
      </c>
      <c r="FX37" s="253" t="str">
        <f>IFERROR(ROUND(IF(CD37="ERROR", "ERROR", IF(AND($FX$6=Y37, E37="Interior"), IF(VLOOKUP(W37, 'Lookup Tables'!$AI$6:$AM$102, 5, FALSE)*BP37&gt;'Lookup Tables'!$AQ$97*'Lighting Inventory'!S37,'Lighting Inventory'!S37*'Lookup Tables'!$AQ$97,VLOOKUP(W37, 'Lookup Tables'!$AI$6:$AM$102, 5, FALSE)*BP37), "")), 2), "")</f>
        <v/>
      </c>
      <c r="FY37" s="253" t="str">
        <f>IFERROR(ROUND(IF(CD37="ERROR", "ERROR", IF(AND($FX$6=Y37, E37="Exterior"), IF(VLOOKUP(W37, 'Lookup Tables'!$AI$6:$AM$102, 5, FALSE)*BP37&gt;'Lookup Tables'!$AQ$97*'Lighting Inventory'!S37,'Lighting Inventory'!S37*'Lookup Tables'!$AQ$97,VLOOKUP(W37, 'Lookup Tables'!$AI$6:$AM$102, 5, FALSE)*BP37), "")), 2), "")</f>
        <v/>
      </c>
      <c r="FZ37" s="253" t="str">
        <f>IFERROR(ROUND(IF(CD37="ERROR", "ERROR", IF(AND($FZ$6=Y37, E37="Interior"), IF(AND(OR(W37="Refrigerated Case Lighting with Doors", W37="Freezer Case Lighting"),Y37="Custom - Process Improvement"),CD37*'Lookup Tables'!$AM$101, IF(B37="Retrofit", IF(VLOOKUP(IF(V37="Custom", V37, W37), 'Lookup Tables'!$AI$6:$AM$102, 5, FALSE)*BP37&gt;GE37, GE37, VLOOKUP(IF(V37="Custom", V37, W37), 'Lookup Tables'!$AI$6:$AM$102, 5, FALSE)*BP37), IF(VLOOKUP(IF(V37="Custom", V37, W37), 'Lookup Tables'!$AI$114:$AM$154, 5, FALSE)*BP37&gt;GE37, GE37, VLOOKUP(IF(V37="Custom", V37, W37), 'Lookup Tables'!$AI$114:$AM$154, 5, FALSE)*BP37))), "")), 2),"")</f>
        <v/>
      </c>
      <c r="GA37" s="253" t="str">
        <f>IFERROR(ROUND(IF(CD37="ERROR", "ERROR", IF(AND($FZ$6=Y37, E37="Exterior"), IF(B37="Retrofit", IF(VLOOKUP(IF(V37="Custom", V37, W37), 'Lookup Tables'!$AI$6:$AM$102, 5, FALSE)*BP37&gt;GE37, GE37, VLOOKUP(IF(V37="Custom", V37, W37), 'Lookup Tables'!$AI$6:$AM$102, 5, FALSE)*BP37), IF(VLOOKUP(IF(V37="Custom", V37, W37), 'Lookup Tables'!$AI$114:$AM$154, 5, FALSE)*BP37&gt;GE37, GE37, VLOOKUP(IF(V37="Custom", V37, W37), 'Lookup Tables'!$AI$114:$AM$154, 5, FALSE)*BP37)), "")), 2),"")</f>
        <v/>
      </c>
      <c r="GB37" s="254" t="str">
        <f t="array" ref="GB37">IF(B37="","",IF(OR(V37="Custom",V37="No Change"),0,IF(B37="Retrofit", INDEX('Lookup Tables'!$AH$6:$AQ$102,MATCH(1,('Lookup Tables'!$AH$6:$AH$102='Lighting Inventory'!V37)*('Lookup Tables'!$AI$6:$AI$102='Lighting Inventory'!W37),FALSE),10),INDEX('Lookup Tables'!$AH$114:$AQ$154,MATCH(1,('Lookup Tables'!$AH$114:$AH$154='Lighting Inventory'!V37)*('Lookup Tables'!$AI$114:$AI$154='Lighting Inventory'!W37),FALSE),10))))</f>
        <v/>
      </c>
      <c r="GC37" s="255" t="str">
        <f t="shared" si="77"/>
        <v/>
      </c>
      <c r="GD37" s="250" t="str">
        <f t="shared" si="78"/>
        <v/>
      </c>
      <c r="GE37" s="253" t="str">
        <f>IFERROR(IF(AND(AF37="", 'General Information'!$F$18="No"),"", IF(AF37="", ((GD37/$CD$266)*$CF$266)*0.5, AF37*S37*0.5)), "")</f>
        <v/>
      </c>
      <c r="GF37" s="255" t="str">
        <f>IF(AND('General Information'!$F$19="", 'General Information'!$F$18="Yes",AF37="",BW37="Y"), "Y", "N")</f>
        <v>N</v>
      </c>
      <c r="GG37" s="255" t="s">
        <v>2946</v>
      </c>
      <c r="GH37" s="255" t="str">
        <f>IFERROR(IF(B37="", "", VLOOKUP(J37, 'Fixture Identities'!$A$6:$N$908, 14, FALSE)), "")</f>
        <v/>
      </c>
      <c r="GI37" s="389" t="str">
        <f>IF(OR(B37="", V37="", W37=""), "", IF(AND(OR(M37='Lookup Tables'!$R$18, M37='Lookup Tables'!$R$19, M37='Lookup Tables'!$R$20, M37='Lookup Tables'!$R$21, M37='Lookup Tables'!$R$22), OR(AN37='Lookup Tables'!$R$17, AN37='Lookup Tables'!$R$17, AN37="")), "Y", "N"))</f>
        <v/>
      </c>
      <c r="GJ37" s="255" t="str">
        <f t="shared" si="79"/>
        <v/>
      </c>
      <c r="GK37" s="255" t="str">
        <f t="shared" si="80"/>
        <v/>
      </c>
      <c r="GL37" s="255" t="str">
        <f t="shared" si="81"/>
        <v/>
      </c>
      <c r="GM37" s="255" t="str">
        <f>IF(AN37="", "", IF(AND(IF(ISNA(VLOOKUP(AN37,'Lookup Tables'!$R$18:$R$22,1,FALSE)), "N", "Y")="Y", E37="Exterior"), "Y", "N"))</f>
        <v/>
      </c>
      <c r="GN37" s="395"/>
      <c r="GO37" s="428">
        <f t="shared" si="98"/>
        <v>0</v>
      </c>
      <c r="GP37" s="428">
        <f t="shared" si="167"/>
        <v>0</v>
      </c>
      <c r="GQ37" s="428">
        <f t="shared" si="99"/>
        <v>0</v>
      </c>
      <c r="GR37" s="428">
        <f t="shared" si="100"/>
        <v>0</v>
      </c>
    </row>
    <row r="38" spans="1:202" s="103" customFormat="1" ht="13.5" customHeight="1" x14ac:dyDescent="0.2">
      <c r="A38" s="272">
        <v>28</v>
      </c>
      <c r="B38" s="110"/>
      <c r="C38" s="110"/>
      <c r="D38" s="110"/>
      <c r="E38" s="110"/>
      <c r="F38" s="110"/>
      <c r="G38" s="110"/>
      <c r="H38" s="110"/>
      <c r="I38" s="29"/>
      <c r="J38" s="29"/>
      <c r="K38" s="272" t="str">
        <f>IFERROR(IF(OR(VLOOKUP(J38, 'Fixture Identities'!$A$6:$L$1023, 3, FALSE)="T12 Linear Fluorescent", VLOOKUP(J38, 'Fixture Identities'!$A$6:$L$1023, 3, FALSE)="T12 U-Tube Fluorescent"), VLOOKUP(VLOOKUP(J38, 'Fixture Identities'!$A$6:$L$1023, 11, FALSE), 'Fixture Identities'!$A$6:$L$1023, 10, FALSE), VLOOKUP(J38, 'Fixture Identities'!$A$6:$L$1023, 10, FALSE)), "")</f>
        <v/>
      </c>
      <c r="L38" s="270" t="str">
        <f t="shared" si="169"/>
        <v/>
      </c>
      <c r="M38" s="110"/>
      <c r="N38" s="110"/>
      <c r="O38" s="110"/>
      <c r="P38" s="272" t="str">
        <f>IFERROR(IF(OR(B38="Retrofit",B38=""),"",IF('Lighting Inventory'!E38="Exterior",VLOOKUP('Lighting Inventory'!N38,'Lookup Tables'!$B$83:$F$103,5,FALSE),IF(N38="Other - Please Estimate EFLH and CFs","Contact Prog. Rep.","ft^2"))), "")</f>
        <v/>
      </c>
      <c r="Q38" s="270" t="str">
        <f>IFERROR(IF(AND(B38="New Construction",E38="Interior",$F$5="Space-by-Space"),VLOOKUP('Lighting Inventory'!N38,'Lookup Tables'!$N$6:$O$97,2,FALSE),IF(AND(B38="New Construction",E38="Exterior"),VLOOKUP(N38,'Lookup Tables'!$B$83:$F$103,2,FALSE),IF(AND(B38="New Construction",'Lighting Inventory'!E38="Interior", $F$5="Building Area"),VLOOKUP(F38,'Lookup Tables'!$A$6:$J$59,10,FALSE),""))), "")</f>
        <v/>
      </c>
      <c r="R38" s="270" t="str">
        <f>IFERROR(IF(P38="Contact Prog. Rep.", "ERROR", IF(OR(B38="",B38="Retrofit"),"",IF(N38="Automated teller machines", ('Lookup Tables'!$A$82:$E$100+('Lighting Inventory'!O38-1)*'Lookup Tables'!$A$82:$E$100)/1000, (Q38*O38)/1000))), "")</f>
        <v/>
      </c>
      <c r="S38" s="595"/>
      <c r="T38" s="105" t="str">
        <f t="shared" si="83"/>
        <v/>
      </c>
      <c r="U38" s="105" t="str">
        <f>IF(S38="","",COUNT($S$11:S38))</f>
        <v/>
      </c>
      <c r="V38" s="111"/>
      <c r="W38" s="112"/>
      <c r="X38" s="105" t="str">
        <f t="shared" si="84"/>
        <v/>
      </c>
      <c r="Y38" s="105" t="str">
        <f t="array" ref="Y38">IF(AND(OR(W38="Freezer Case Lighting", W38="Refrigerated Case Lighting with Doors"), 'General Information'!$X$18="LCI"),'Lookup Tables'!$Y$34, IF(V38="Custom", VLOOKUP(W38, 'Fixture Identities'!$A$974:$M$1023, 13, FALSE), IF(V38="No Change",'Lookup Tables'!$Y$29,IF(OR(V38="",W38=""),"",IF(AND(S38=0,S38&lt;I38,B38="Retrofit"),'Lookup Tables'!$Y$25, IF(B38="Retrofit", INDEX('Lookup Tables'!$AH$6:$AP$102, MATCH(1, ('Lookup Tables'!$AH$6:$AH$102=V38)*('Lookup Tables'!$AI$6:$AI$102=W38), 0), IF('Lighting Inventory'!E38="Interior", 4, 5)), INDEX('Lookup Tables'!$AH$114:$AP$154, MATCH(1, ('Lookup Tables'!$AH$114:$AH$154=V38)*('Lookup Tables'!$AI$114:$AI$154=W38), 0), IF('Lighting Inventory'!E38="Interior", 4, 5))))))))</f>
        <v/>
      </c>
      <c r="Z38" s="105" t="str">
        <f>IFERROR(INDEX('Lookup Tables'!$AH$158:$AH$172,MATCH('Lighting Inventory'!Y38,'Lookup Tables'!$AI$158:$AI$172,0)),"")</f>
        <v/>
      </c>
      <c r="AA38" s="105" t="str">
        <f>IF(AP38&gt;0,INDEX('Lookup Tables'!$AK$158:$AK$172,MATCH('Lighting Inventory'!Y38,'Lookup Tables'!$AI$158:$AI$172,0)),'Lighting Inventory'!Y38)</f>
        <v/>
      </c>
      <c r="AB38" s="105" t="str">
        <f t="array" ref="AB38">IF(V38="Custom", "Custom", IF(V38="", "", IF(V38="Not DLC or Energy Star", "General", IF(B38="New Construction", INDEX('Lookup Tables'!$AH$114:$AP$154,MATCH(1,('Lookup Tables'!$AH$114:$AH$154='Lighting Inventory'!V38)*('Lookup Tables'!$AI$114:$AI$154='Lighting Inventory'!W38),FALSE),8), INDEX('Lookup Tables'!$AH$6:$AP$102,MATCH(1,('Lookup Tables'!$AH$6:$AH$102='Lighting Inventory'!V38)*('Lookup Tables'!$AI$6:$AI$102='Lighting Inventory'!W38),FALSE),8)))))</f>
        <v/>
      </c>
      <c r="AC38" s="272" t="str">
        <f>IF(W38="","",IF(V38="Custom",CONCATENATE("$",'Lookup Tables'!$AM$101," ",'Lookup Tables'!$AN$101),CONCATENATE("$",INDEX('Lookup Tables'!$AM$6:$AM$102,MATCH('Lighting Inventory'!W38,'Lookup Tables'!$AI$6:$AI$102,0))," ",INDEX('Lookup Tables'!$AN$6:$AN$102,MATCH('Lighting Inventory'!W38,'Lookup Tables'!$AI$6:$AI$102,0)))))</f>
        <v/>
      </c>
      <c r="AD38" s="72"/>
      <c r="AE38" s="29"/>
      <c r="AF38" s="379"/>
      <c r="AG38" s="370" t="str">
        <f t="shared" si="2"/>
        <v/>
      </c>
      <c r="AH38" s="370" t="str">
        <f t="shared" si="85"/>
        <v/>
      </c>
      <c r="AI38" s="29"/>
      <c r="AJ38" s="29"/>
      <c r="AK38" s="110"/>
      <c r="AL38" s="375" t="str">
        <f>IF(OR(B38="", V38="", W38=""), "", IF(V38="No Change", K38, IF(V38="Remove Fixture", 0, IF(V38="Custom",VLOOKUP(W38,'Fixture Identities'!$A$6:$K$1023,10,FALSE),IF(AE38="", "← ENTER POST WATTS", 'Lighting Inventory'!AE38)))))</f>
        <v/>
      </c>
      <c r="AM38" s="376" t="str">
        <f t="shared" si="3"/>
        <v/>
      </c>
      <c r="AN38" s="29"/>
      <c r="AO38" s="671"/>
      <c r="AP38" s="29"/>
      <c r="AQ38" s="29"/>
      <c r="AR38" s="29"/>
      <c r="AS38" s="272" t="str">
        <f t="shared" si="4"/>
        <v/>
      </c>
      <c r="AT38" s="270" t="str">
        <f t="shared" si="234"/>
        <v/>
      </c>
      <c r="AU38" s="88" t="str">
        <f t="shared" si="235"/>
        <v/>
      </c>
      <c r="AV38" s="29"/>
      <c r="AW38" s="73"/>
      <c r="AX38" s="271" t="str">
        <f>IF(AND(AV38="Applicant",OR(AW38="", AW38="Use Default Facility Hours")),"← Choose Schedule",IF(F38="","",IF(W38="LED Exit Signs",8760,IF(OR(AV38="Prescribed",AV38=""),VLOOKUP(F38,'Lookup Tables'!$A$6:$G$59,IF(AB38="General", 6, 3),FALSE),VLOOKUP(AW38,'Lookup Tables'!$S$36:$U$43,2,FALSE)))))</f>
        <v/>
      </c>
      <c r="AY38" s="88" t="str">
        <f t="shared" si="7"/>
        <v/>
      </c>
      <c r="AZ38" s="270" t="str">
        <f>IFERROR(IF(F38="", "", IF(W38="LED Exit Signs", 1, IF(AV38="Applicant",VLOOKUP(AW38, 'Lookup Tables'!$S$36:$U$43,3, FALSE), VLOOKUP('Lighting Inventory'!F38, 'Lookup Tables'!$A$6:$H$59, IF('Lighting Inventory'!AB38="General",7,4), FALSE)))), "")</f>
        <v/>
      </c>
      <c r="BA38" s="522" t="str">
        <f>IFERROR(IF(F38="", "", IF(W38="LED Exit Signs", 1, VLOOKUP('Lighting Inventory'!F38, 'Lookup Tables'!$A$6:$H$59, IF('Lighting Inventory'!AB38="General",8,5), FALSE))), "")</f>
        <v/>
      </c>
      <c r="BB38" s="270" t="str">
        <f>IF(G38="", "", IF(E38="Exterior", 0, IF('Lighting Inventory'!G38="Air Conditioned", VLOOKUP(H38, 'Lookup Tables'!$R$6:$T$13, 2, FALSE), VLOOKUP('Lighting Inventory'!G38, 'Lookup Tables'!$R$6:$T$13, 2, FALSE))))</f>
        <v/>
      </c>
      <c r="BC38" s="522" t="str">
        <f>IF(G38="", "", IF(E38="Exterior", 0, IF('Lighting Inventory'!G38="Air Conditioned", VLOOKUP(H38, 'Lookup Tables'!$R$6:$T$13, 3, FALSE), VLOOKUP('Lighting Inventory'!G38, 'Lookup Tables'!$R$6:$T$13, 3, FALSE))))</f>
        <v/>
      </c>
      <c r="BD38" s="270" t="str">
        <f>IF(G38="", "", IF(E38="Exterior", 0, IF('Lighting Inventory'!G38="Air Conditioned", VLOOKUP(H38, 'Lookup Tables'!$R$6:$U$13, 4, FALSE), VLOOKUP('Lighting Inventory'!G38, 'Lookup Tables'!$R$6:$U$13, 4, FALSE))))</f>
        <v/>
      </c>
      <c r="BE38" s="270" t="str">
        <f>IFERROR(IF(B38="", "",  IF(B38="New Construction", VLOOKUP(F38, 'Lookup Tables'!$A$6:$K$59, 11, FALSE),IF(OR(AN38="", AN38="Light Switch"), 0, IF(OR(M38="",M38="None",V38= "LED Exit Signs"),0,_xlfn.XLOOKUP(M38,'Lookup Tables'!$R$91:$R$101,'Lookup Tables'!$V$91:$V$101))))), "")</f>
        <v/>
      </c>
      <c r="BF38" s="270" t="str">
        <f>IF(AND(OR(AN38="Light Switch",AN38=""),B38="New Construction"), VLOOKUP(F38, 'Lookup Tables'!$A$6:$K$59, 11, FALSE),IF(AN38="","",IF(B38="","",IF(OR(AN38="None",AN38="",V38="LED Exit Signs",AN38="Exterior Controls Not Eligible"),0,_xlfn.XLOOKUP(AN38,'Lookup Tables'!$R$91:$R$101,'Lookup Tables'!$V$91:$V$101)))))</f>
        <v/>
      </c>
      <c r="BG38" s="88" t="str">
        <f t="shared" si="86"/>
        <v/>
      </c>
      <c r="BH38" s="88" t="str">
        <f t="shared" si="87"/>
        <v/>
      </c>
      <c r="BI38" s="558" t="str">
        <f t="shared" si="168"/>
        <v/>
      </c>
      <c r="BJ38" s="560" t="str">
        <f t="shared" si="88"/>
        <v/>
      </c>
      <c r="BK38" s="560" t="str">
        <f t="shared" si="89"/>
        <v/>
      </c>
      <c r="BL38" s="559" t="str">
        <f t="shared" si="90"/>
        <v/>
      </c>
      <c r="BM38" s="521" t="str">
        <f t="shared" si="8"/>
        <v/>
      </c>
      <c r="BN38" s="521" t="str">
        <f t="shared" si="9"/>
        <v/>
      </c>
      <c r="BO38" s="522" t="str">
        <f t="shared" si="10"/>
        <v/>
      </c>
      <c r="BP38" s="83" t="str">
        <f t="shared" si="91"/>
        <v/>
      </c>
      <c r="BQ38" s="84" t="str">
        <f t="shared" si="92"/>
        <v/>
      </c>
      <c r="BR38" s="184" t="str">
        <f>IFERROR(IF(B38="", "", IF(OR(VLOOKUP(J38, 'Fixture Identities'!$A$6:$L$1023, 3, FALSE)="T12 Linear Fluorescent",VLOOKUP(J38, 'Fixture Identities'!$A$6:$L$1023, 3, FALSE)="T12 U-Tube Fluorescent"), "Y", "N")), "N")</f>
        <v/>
      </c>
      <c r="BS38" s="184" t="str">
        <f t="array" ref="BS38">IFERROR(IF(OR(B38="", V38="", W38=""), "", IF(V38="Custom", "N", IF(OR(W38="Freezer Case Lighting", W38="Refrigerated Case Lighting with Doors"), BT38, IF(B38="Retrofit", INDEX('Lookup Tables'!$AH$6:$AT$102,MATCH(1,('Lookup Tables'!$AH$6:$AH$102=V38)*('Lookup Tables'!$AI$6:$AI$102=W38),FALSE),IF(VLOOKUP(J38, 'Fixture Identities'!$A$6:$B$1023, 2, FALSE)="Incandescent",12, 13)), INDEX('Lookup Tables'!$AH$114:$AS$154,MATCH(1,('Lookup Tables'!$AH$114:$AH$154=V38)*('Lookup Tables'!$AI$114:$AI$154=W38),FALSE),12))))), "N")</f>
        <v/>
      </c>
      <c r="BT38" s="184" t="str">
        <f>IF(J38="", "", IF(AND(OR(W38="Freezer case Lighting", W38="Refrigerated Case Lighting with Doors"),'General Information'!$X$18="LCI"), "N", IF(OR(VLOOKUP(J38, 'Fixture Identities'!$A$6:$B$1023, 2, FALSE)="T12 EPACT/EISA Baseline", VLOOKUP(J38, 'Fixture Identities'!$A$6:$B$1023, 2, FALSE)="Linear Fluorescent", VLOOKUP(J38, 'Fixture Identities'!$A$6:$B$1023, 2, FALSE)="U-Tube Fluorescent"), "Y", "N")))</f>
        <v/>
      </c>
      <c r="BU38" s="184" t="str">
        <f>IFERROR(IF(B38="", "", IF(VLOOKUP(J38, 'Fixture Identities'!$A$6:$B$1023, 2, FALSE)="Exit Sign", "Y", "N")), "N")</f>
        <v/>
      </c>
      <c r="BV38" s="184" t="str">
        <f>IF(V38="Exit Signs", IF(VLOOKUP(J38, 'Fixture Identities'!$A$6:$B$1023, 2, FALSE)="Exit Sign", "N", "Y"), "")</f>
        <v/>
      </c>
      <c r="BW38" s="184" t="str">
        <f t="array" ref="BW38">IFERROR(IF(B38="", "", IF(B38="New Construction", "N", INDEX('Lookup Tables'!$AH$6:$AU$102, MATCH(1, ('Lookup Tables'!$AH$6:$AH$102='Lighting Inventory'!V38)*('Lookup Tables'!$AI$6:$AI$102='Lighting Inventory'!W38), 0), 14))), "N")</f>
        <v/>
      </c>
      <c r="BX38" s="598" t="str">
        <f t="shared" si="93"/>
        <v/>
      </c>
      <c r="BY38" s="598" t="str">
        <f t="shared" si="94"/>
        <v/>
      </c>
      <c r="BZ38" s="598" t="str">
        <f t="shared" si="95"/>
        <v/>
      </c>
      <c r="CA38" s="598" t="str">
        <f t="shared" si="101"/>
        <v/>
      </c>
      <c r="CB38" s="269" t="str">
        <f t="shared" si="102"/>
        <v/>
      </c>
      <c r="CC38" s="517" t="str">
        <f t="shared" si="96"/>
        <v/>
      </c>
      <c r="CD38" s="565" t="str">
        <f t="shared" si="11"/>
        <v/>
      </c>
      <c r="CE38" s="368">
        <v>0</v>
      </c>
      <c r="CF38" s="368" t="str" cm="1">
        <f t="array" ref="CF38">IFERROR(IF(V38="Custom", "$0.1 per kWh", IF(B38="New Construction", CONCATENATE("$",INDEX('Lookup Tables'!$AH$114:$AN$154,MATCH(1,('Lookup Tables'!$AH$114:$AH$154='Lighting Inventory'!V38)*('Lookup Tables'!$AI$114:$AI$154='Lighting Inventory'!W38),FALSE),6)," ",INDEX('Lookup Tables'!$AH$114:$AN$154,MATCH(1,('Lookup Tables'!$AH$114:$AH$154='Lighting Inventory'!V38)*('Lookup Tables'!$AI$114:$AI$154='Lighting Inventory'!W38),FALSE),7)), IF(AND(BU38="N", V38="Exit Signs"), "$0.025 per kWh", CONCATENATE("$",INDEX('Lookup Tables'!$AH$6:$AN$102,MATCH(1,('Lookup Tables'!$AH$6:$AH$102='Lighting Inventory'!V38)*('Lookup Tables'!$AI$6:$AI$102='Lighting Inventory'!W38),FALSE),6)," ",INDEX('Lookup Tables'!$AH$6:$AN$102,MATCH(1,('Lookup Tables'!$AH$6:$AH$102='Lighting Inventory'!V38)*('Lookup Tables'!$AI$6:$AI$102='Lighting Inventory'!W38),FALSE),7))))), "")</f>
        <v/>
      </c>
      <c r="CG38" s="366"/>
      <c r="CH38" s="248" t="str">
        <f t="shared" si="170"/>
        <v/>
      </c>
      <c r="CI38" s="248" t="str">
        <f t="shared" si="171"/>
        <v>Select_IE</v>
      </c>
      <c r="CJ38" s="248" t="str">
        <f t="shared" si="172"/>
        <v/>
      </c>
      <c r="CK38" s="248" t="str">
        <f t="shared" si="173"/>
        <v/>
      </c>
      <c r="CL38" s="248" t="str">
        <f t="shared" si="174"/>
        <v/>
      </c>
      <c r="CM38" s="248" t="str">
        <f>IFERROR(IF(B38="", "", IF(B38="New Construction", VLOOKUP(V38, 'Lookup Tables'!$AF$114:$AG$120, 2, FALSE), VLOOKUP(V38, 'Lookup Tables'!$AD$6:$AE$25, 2, FALSE))), "")</f>
        <v/>
      </c>
      <c r="CN38" s="248" t="str">
        <f t="shared" si="175"/>
        <v/>
      </c>
      <c r="CO38" s="248" t="str">
        <f t="shared" si="176"/>
        <v/>
      </c>
      <c r="CP38" s="592" t="str">
        <f t="shared" si="177"/>
        <v/>
      </c>
      <c r="CQ38" s="248" t="str">
        <f t="shared" si="97"/>
        <v/>
      </c>
      <c r="CR38" s="249"/>
      <c r="CS38" s="250" t="str">
        <f t="shared" si="178"/>
        <v/>
      </c>
      <c r="CT38" s="250" t="str">
        <f t="shared" si="179"/>
        <v/>
      </c>
      <c r="CU38" s="250" t="str">
        <f t="shared" si="180"/>
        <v/>
      </c>
      <c r="CV38" s="250" t="str">
        <f t="shared" si="181"/>
        <v/>
      </c>
      <c r="CW38" s="250" t="str">
        <f t="shared" si="182"/>
        <v/>
      </c>
      <c r="CX38" s="250" t="str">
        <f t="shared" si="183"/>
        <v/>
      </c>
      <c r="CY38" s="250" t="str">
        <f t="shared" si="184"/>
        <v/>
      </c>
      <c r="CZ38" s="250" t="str">
        <f t="shared" si="185"/>
        <v/>
      </c>
      <c r="DA38" s="250" t="str">
        <f t="shared" si="186"/>
        <v/>
      </c>
      <c r="DB38" s="250" t="str">
        <f t="shared" si="187"/>
        <v/>
      </c>
      <c r="DC38" s="250" t="str">
        <f t="shared" si="188"/>
        <v/>
      </c>
      <c r="DD38" s="250" t="str">
        <f t="shared" si="189"/>
        <v/>
      </c>
      <c r="DE38" s="250" t="str">
        <f t="shared" si="190"/>
        <v/>
      </c>
      <c r="DF38" s="250" t="str">
        <f t="shared" si="191"/>
        <v/>
      </c>
      <c r="DG38" s="250" t="str">
        <f t="shared" si="192"/>
        <v/>
      </c>
      <c r="DH38" s="250" t="str">
        <f t="shared" si="193"/>
        <v/>
      </c>
      <c r="DI38" s="250" t="str">
        <f t="shared" si="194"/>
        <v/>
      </c>
      <c r="DJ38" s="250" t="str">
        <f t="shared" si="195"/>
        <v/>
      </c>
      <c r="DK38" s="250" t="str">
        <f t="shared" si="196"/>
        <v/>
      </c>
      <c r="DL38" s="250" t="str">
        <f t="shared" si="197"/>
        <v/>
      </c>
      <c r="DM38" s="250" t="str">
        <f>IF(CD38="ERROR", "ERROR", IF(AND(OR(Y38=$DM$6, Y38='Lookup Tables'!$AD$21, Y38='Lookup Tables'!$AD$22), E38="Interior"), BJ38, ""))</f>
        <v/>
      </c>
      <c r="DN38" s="250" t="str">
        <f>IF(CD38="ERROR", "ERROR", IF(AND(OR(Y38=$DM$6, Y38='Lookup Tables'!$AD$21, Y38='Lookup Tables'!$AD$22), E38="Exterior"), BJ38, ""))</f>
        <v/>
      </c>
      <c r="DO38" s="249"/>
      <c r="DP38" s="250" t="str">
        <f t="shared" si="198"/>
        <v/>
      </c>
      <c r="DQ38" s="250" t="str">
        <f t="shared" si="199"/>
        <v/>
      </c>
      <c r="DR38" s="250" t="str">
        <f t="shared" si="200"/>
        <v/>
      </c>
      <c r="DS38" s="250" t="str">
        <f t="shared" si="201"/>
        <v/>
      </c>
      <c r="DT38" s="250" t="str">
        <f t="shared" si="202"/>
        <v/>
      </c>
      <c r="DU38" s="250" t="str">
        <f t="shared" si="203"/>
        <v/>
      </c>
      <c r="DV38" s="250" t="str">
        <f t="shared" si="204"/>
        <v/>
      </c>
      <c r="DW38" s="250" t="str">
        <f t="shared" si="205"/>
        <v/>
      </c>
      <c r="DX38" s="250" t="str">
        <f t="shared" si="206"/>
        <v/>
      </c>
      <c r="DY38" s="250" t="str">
        <f t="shared" si="207"/>
        <v/>
      </c>
      <c r="DZ38" s="250" t="str">
        <f t="shared" si="208"/>
        <v/>
      </c>
      <c r="EA38" s="250" t="str">
        <f t="shared" si="209"/>
        <v/>
      </c>
      <c r="EB38" s="250" t="str">
        <f t="shared" si="210"/>
        <v/>
      </c>
      <c r="EC38" s="250" t="str">
        <f t="shared" si="211"/>
        <v/>
      </c>
      <c r="ED38" s="250" t="str">
        <f t="shared" si="212"/>
        <v/>
      </c>
      <c r="EE38" s="250" t="str">
        <f t="shared" si="213"/>
        <v/>
      </c>
      <c r="EF38" s="250" t="str">
        <f t="shared" si="214"/>
        <v/>
      </c>
      <c r="EG38" s="250" t="str">
        <f t="shared" si="215"/>
        <v/>
      </c>
      <c r="EH38" s="250" t="str">
        <f>IF(CD38="ERROR", "ERROR", IF(AND(OR($EH$6=Y38, Y38='Lookup Tables'!$AD$21, Y38='Lookup Tables'!$AD$22),E38="Interior"), SUM(BP38:BP38), ""))</f>
        <v/>
      </c>
      <c r="EI38" s="250" t="str">
        <f>IF(CD38="ERROR", "ERROR", IF(AND(OR($EH$6=Y38, Y38='Lookup Tables'!$AD$21, Y38='Lookup Tables'!$AD$22),E38="Exterior"), SUM(BP38:BP38), ""))</f>
        <v/>
      </c>
      <c r="EJ38" s="109"/>
      <c r="EK38" s="485" t="str">
        <f t="shared" si="58"/>
        <v/>
      </c>
      <c r="EL38" s="252" t="str">
        <f t="shared" si="216"/>
        <v/>
      </c>
      <c r="EM38" s="252" t="str">
        <f t="shared" si="217"/>
        <v/>
      </c>
      <c r="EN38" s="252" t="str">
        <f t="shared" si="218"/>
        <v/>
      </c>
      <c r="EO38" s="252" t="str">
        <f t="shared" si="219"/>
        <v/>
      </c>
      <c r="EP38" s="252" t="str">
        <f t="shared" si="220"/>
        <v/>
      </c>
      <c r="EQ38" s="252" t="str">
        <f t="shared" si="221"/>
        <v/>
      </c>
      <c r="ER38" s="252" t="str">
        <f t="shared" si="222"/>
        <v/>
      </c>
      <c r="ES38" s="252" t="str">
        <f t="shared" si="223"/>
        <v/>
      </c>
      <c r="ET38" s="252" t="str">
        <f t="shared" si="224"/>
        <v/>
      </c>
      <c r="EU38" s="252" t="str">
        <f t="shared" si="225"/>
        <v/>
      </c>
      <c r="EV38" s="252" t="str">
        <f t="shared" si="226"/>
        <v/>
      </c>
      <c r="EW38" s="252" t="str">
        <f t="shared" si="227"/>
        <v/>
      </c>
      <c r="EX38" s="252" t="str">
        <f t="shared" si="228"/>
        <v/>
      </c>
      <c r="EY38" s="252" t="str">
        <f t="shared" si="229"/>
        <v/>
      </c>
      <c r="EZ38" s="252" t="str">
        <f t="shared" si="230"/>
        <v/>
      </c>
      <c r="FA38" s="252" t="str">
        <f t="shared" si="231"/>
        <v/>
      </c>
      <c r="FB38" s="252" t="str">
        <f t="shared" si="232"/>
        <v/>
      </c>
      <c r="FC38" s="252" t="str">
        <f>IF(CD38="ERROR", "ERROR", IF(OR(V38="No Change", V38="Not DLC or Energy Star"), "", IF(AND(OR($FC$6=Y38,Y38='Lookup Tables'!$AD$21, Y38='Lookup Tables'!$AD$22),E38="Interior"), S38, "")))</f>
        <v/>
      </c>
      <c r="FD38" s="252" t="str">
        <f t="shared" si="233"/>
        <v/>
      </c>
      <c r="FE38" s="1"/>
      <c r="FF38" s="579" t="str" cm="1">
        <f t="array" ref="FF38">IFERROR(IF(OR(BQ38&lt;=0,AQ38&lt;20,AND(V38="Exit Signs",AN38&gt;0)),"",IF(AND(AQ38&gt;=20,AN38='Lookup Tables'!$R$101),'Lookup Tables'!$U$101*BQ38,AP38*LOOKUP(2,1/((AN38='Lookup Tables'!$R$91:$R$111)*(AQ38&gt;='Lookup Tables'!$S$91:$S$111)*(AQ38&lt;='Lookup Tables'!$T$91:$T$111)),'Lookup Tables'!$U$91:$U$111))),"")</f>
        <v/>
      </c>
      <c r="FG38" s="579"/>
      <c r="FH38" s="579"/>
      <c r="FI38" s="253" t="str">
        <f>IFERROR(ROUND(IF(CD38="ERROR", "ERROR", IF(AND($FI$7=X38,E38="Interior"),VLOOKUP(W38, 'Lookup Tables'!$AI$6:$AM$102, 5, FALSE)*BP38, "")), 2), "")</f>
        <v/>
      </c>
      <c r="FJ38" s="253" t="str">
        <f>IFERROR(ROUND(IF(CD38="ERROR", "ERROR", IF(AND($FI$7=X38,E38="Exterior"),VLOOKUP(W38, 'Lookup Tables'!$AI$6:$AM$102, 5, FALSE)*BP38, "")), 2), "")</f>
        <v/>
      </c>
      <c r="FK38" s="253" t="str">
        <f>IFERROR(ROUND(IF(CD38="ERROR", "ERROR", IF(AND($FK$7=X38,E38="Interior"),VLOOKUP(W38, 'Lookup Tables'!$AI$6:$AM$102, 5, FALSE)*BP38, "")), 2), "")</f>
        <v/>
      </c>
      <c r="FL38" s="253" t="str">
        <f>IFERROR(ROUND(IF(CD38="ERROR", "ERROR", IF(AND($FK$7=X38,E38="Exterior"),VLOOKUP(W38, 'Lookup Tables'!$AI$6:$AM$102, 5, FALSE)*BP38, "")), 2), "")</f>
        <v/>
      </c>
      <c r="FM38" s="253" t="str">
        <f>IFERROR(ROUND(IF(CD38="ERROR", "ERROR", IF(AND($FM$6=Y38,E38="Interior"), IF(GB38=0, VLOOKUP(W38, 'Lookup Tables'!$AI$6:$AM$102, 5, FALSE)*BP38, IF(VLOOKUP(W38, 'Lookup Tables'!$AI$6:$AM$102, 5, FALSE)*BP38&gt;GB38*'Lighting Inventory'!S38, GB38*'Lighting Inventory'!S38,VLOOKUP(W38, 'Lookup Tables'!$AI$6:$AM$102, 5, FALSE)*BP38)), "")), 2), "")</f>
        <v/>
      </c>
      <c r="FN38" s="253" t="str">
        <f>IFERROR(ROUND(IF(CD38="ERROR", "ERROR", IF(AND($FM$6=Y38,E38="Exterior"), IF(GB38=0, VLOOKUP(W38, 'Lookup Tables'!$AI$6:$AM$102, 5, FALSE)*BP38, IF(VLOOKUP(W38, 'Lookup Tables'!$AI$6:$AM$102, 5, FALSE)*BP38&gt;GB38*'Lighting Inventory'!S38, GB38*'Lighting Inventory'!S38,VLOOKUP(W38, 'Lookup Tables'!$AI$6:$AM$102, 5, FALSE)*BP38)), "")), 2), "")</f>
        <v/>
      </c>
      <c r="FO38" s="253" t="str">
        <f>IFERROR(ROUND(IF(CD38="ERROR", "ERROR", IF(AND($FO$6=Y38,E38="Interior"),VLOOKUP(W38, 'Lookup Tables'!$AI$6:$AM$102, 5, FALSE)*'Lighting Inventory'!AI38, "")), 2), "")</f>
        <v/>
      </c>
      <c r="FP38" s="253" t="str">
        <f>IFERROR(ROUND(IF(CD38="ERROR", "ERROR", IF(AND($FO$6=Y38,E38="Exterior"),VLOOKUP(W38, 'Lookup Tables'!$AI$6:$AM$102, 5, FALSE)*'Lighting Inventory'!AI38, "")), 2), "")</f>
        <v/>
      </c>
      <c r="FQ38" s="253" t="str">
        <f>IFERROR(ROUND(IF(CD38="ERROR", "ERROR", IF(AND($FQ$6=Y38,E38="Interior", BU38="Y"), VLOOKUP('Lighting Inventory'!W38, 'Lookup Tables'!$AI$6:$AM$102, 5, FALSE)*'Lighting Inventory'!S38, IF(AND($FQ$7=Y38,E38="Interior", BU38="N"), 0.025*CD38, ""))), 2), "")</f>
        <v/>
      </c>
      <c r="FR38" s="253" t="str">
        <f>IFERROR(ROUND(IF(CD38="ERROR", "ERROR", IF(AND($FQ$6=Y38,E38="Exterior"), VLOOKUP('Lighting Inventory'!W38, 'Lookup Tables'!$AI$6:$AM$102, 5, FALSE)*'Lighting Inventory'!S38, "")), 2), "")</f>
        <v/>
      </c>
      <c r="FS38" s="253" t="str">
        <f>IFERROR(ROUND(IF(CD38="ERROR", "ERROR", IF(AND($FS$6=Y38,E38="Exterior"), IF(GB38=0, VLOOKUP(W38, 'Lookup Tables'!$AI$6:$AM$102, 5, FALSE)*BP38, IF(VLOOKUP(W38, 'Lookup Tables'!$AI$6:$AM$102, 5, FALSE)*BP38&gt;GB38*'Lighting Inventory'!S38, GB38*'Lighting Inventory'!S38,VLOOKUP(W38, 'Lookup Tables'!$AI$6:$AM$102, 5, FALSE)*BP38)), "")), 2), "")</f>
        <v/>
      </c>
      <c r="FT38" s="253" t="str">
        <f>IFERROR(ROUND(IF(CD38="ERROR", "ERROR", IF(AND($FT$6=Y38,E38="Interior"), IF(GB38=0, VLOOKUP(W38, 'Lookup Tables'!$AI$6:$AM$102, 5, FALSE)*BP38, IF(VLOOKUP(W38, 'Lookup Tables'!$AI$6:$AM$102, 5, FALSE)*BP38&gt;GB38*'Lighting Inventory'!S38, GB38*'Lighting Inventory'!S38,VLOOKUP(W38, 'Lookup Tables'!$AI$6:$AM$102, 5, FALSE)*BP38)), "")), 2), "")</f>
        <v/>
      </c>
      <c r="FU38" s="253" t="str">
        <f>IFERROR(ROUND(IF(CD38="ERROR", "ERROR", IF(AND(Y38=$FU$6, E38="Interior"), IF(BS38="N", 'Lookup Tables'!$AM$101*BP38, VLOOKUP(W38, 'Lookup Tables'!$AI$6:$AM$102, 5, FALSE)*S38*AD38), "")), 2), "")</f>
        <v/>
      </c>
      <c r="FV38" s="253" t="str">
        <f>IFERROR(ROUND(IF(CD38="ERROR", "ERROR", IF(AND(Y38=$FU$6, E38="Exterior"), IF(BS38="N", 'Lookup Tables'!$AM$101*BP38, VLOOKUP(W38, 'Lookup Tables'!$AI$6:$AM$102, 5, FALSE)*S38*AD38), "")), 2), "")</f>
        <v/>
      </c>
      <c r="FW38" s="253" t="str">
        <f>IFERROR(ROUND(IF(CD38="ERROR", "ERROR", IF($FW$6=Y38, IF(BS38="N", 'Lookup Tables'!$AM$101*BP38, MIN((VLOOKUP(W38, 'Lookup Tables'!$AI$6:$AM$102, 5, FALSE)*BP38),GB38*AJ38)), "")), 2), "")</f>
        <v/>
      </c>
      <c r="FX38" s="253" t="str">
        <f>IFERROR(ROUND(IF(CD38="ERROR", "ERROR", IF(AND($FX$6=Y38, E38="Interior"), IF(VLOOKUP(W38, 'Lookup Tables'!$AI$6:$AM$102, 5, FALSE)*BP38&gt;'Lookup Tables'!$AQ$97*'Lighting Inventory'!S38,'Lighting Inventory'!S38*'Lookup Tables'!$AQ$97,VLOOKUP(W38, 'Lookup Tables'!$AI$6:$AM$102, 5, FALSE)*BP38), "")), 2), "")</f>
        <v/>
      </c>
      <c r="FY38" s="253" t="str">
        <f>IFERROR(ROUND(IF(CD38="ERROR", "ERROR", IF(AND($FX$6=Y38, E38="Exterior"), IF(VLOOKUP(W38, 'Lookup Tables'!$AI$6:$AM$102, 5, FALSE)*BP38&gt;'Lookup Tables'!$AQ$97*'Lighting Inventory'!S38,'Lighting Inventory'!S38*'Lookup Tables'!$AQ$97,VLOOKUP(W38, 'Lookup Tables'!$AI$6:$AM$102, 5, FALSE)*BP38), "")), 2), "")</f>
        <v/>
      </c>
      <c r="FZ38" s="253" t="str">
        <f>IFERROR(ROUND(IF(CD38="ERROR", "ERROR", IF(AND($FZ$6=Y38, E38="Interior"), IF(AND(OR(W38="Refrigerated Case Lighting with Doors", W38="Freezer Case Lighting"),Y38="Custom - Process Improvement"),CD38*'Lookup Tables'!$AM$101, IF(B38="Retrofit", IF(VLOOKUP(IF(V38="Custom", V38, W38), 'Lookup Tables'!$AI$6:$AM$102, 5, FALSE)*BP38&gt;GE38, GE38, VLOOKUP(IF(V38="Custom", V38, W38), 'Lookup Tables'!$AI$6:$AM$102, 5, FALSE)*BP38), IF(VLOOKUP(IF(V38="Custom", V38, W38), 'Lookup Tables'!$AI$114:$AM$154, 5, FALSE)*BP38&gt;GE38, GE38, VLOOKUP(IF(V38="Custom", V38, W38), 'Lookup Tables'!$AI$114:$AM$154, 5, FALSE)*BP38))), "")), 2),"")</f>
        <v/>
      </c>
      <c r="GA38" s="253" t="str">
        <f>IFERROR(ROUND(IF(CD38="ERROR", "ERROR", IF(AND($FZ$6=Y38, E38="Exterior"), IF(B38="Retrofit", IF(VLOOKUP(IF(V38="Custom", V38, W38), 'Lookup Tables'!$AI$6:$AM$102, 5, FALSE)*BP38&gt;GE38, GE38, VLOOKUP(IF(V38="Custom", V38, W38), 'Lookup Tables'!$AI$6:$AM$102, 5, FALSE)*BP38), IF(VLOOKUP(IF(V38="Custom", V38, W38), 'Lookup Tables'!$AI$114:$AM$154, 5, FALSE)*BP38&gt;GE38, GE38, VLOOKUP(IF(V38="Custom", V38, W38), 'Lookup Tables'!$AI$114:$AM$154, 5, FALSE)*BP38)), "")), 2),"")</f>
        <v/>
      </c>
      <c r="GB38" s="254" t="str">
        <f t="array" ref="GB38">IF(B38="","",IF(OR(V38="Custom",V38="No Change"),0,IF(B38="Retrofit", INDEX('Lookup Tables'!$AH$6:$AQ$102,MATCH(1,('Lookup Tables'!$AH$6:$AH$102='Lighting Inventory'!V38)*('Lookup Tables'!$AI$6:$AI$102='Lighting Inventory'!W38),FALSE),10),INDEX('Lookup Tables'!$AH$114:$AQ$154,MATCH(1,('Lookup Tables'!$AH$114:$AH$154='Lighting Inventory'!V38)*('Lookup Tables'!$AI$114:$AI$154='Lighting Inventory'!W38),FALSE),10))))</f>
        <v/>
      </c>
      <c r="GC38" s="255" t="str">
        <f t="shared" si="77"/>
        <v/>
      </c>
      <c r="GD38" s="250" t="str">
        <f t="shared" si="78"/>
        <v/>
      </c>
      <c r="GE38" s="253" t="str">
        <f>IFERROR(IF(AND(AF38="", 'General Information'!$F$18="No"),"", IF(AF38="", ((GD38/$CD$266)*$CF$266)*0.5, AF38*S38*0.5)), "")</f>
        <v/>
      </c>
      <c r="GF38" s="255" t="str">
        <f>IF(AND('General Information'!$F$19="", 'General Information'!$F$18="Yes",AF38="",BW38="Y"), "Y", "N")</f>
        <v>N</v>
      </c>
      <c r="GG38" s="255" t="s">
        <v>2946</v>
      </c>
      <c r="GH38" s="255" t="str">
        <f>IFERROR(IF(B38="", "", VLOOKUP(J38, 'Fixture Identities'!$A$6:$N$908, 14, FALSE)), "")</f>
        <v/>
      </c>
      <c r="GI38" s="389" t="str">
        <f>IF(OR(B38="", V38="", W38=""), "", IF(AND(OR(M38='Lookup Tables'!$R$18, M38='Lookup Tables'!$R$19, M38='Lookup Tables'!$R$20, M38='Lookup Tables'!$R$21, M38='Lookup Tables'!$R$22), OR(AN38='Lookup Tables'!$R$17, AN38='Lookup Tables'!$R$17, AN38="")), "Y", "N"))</f>
        <v/>
      </c>
      <c r="GJ38" s="255" t="str">
        <f t="shared" si="79"/>
        <v/>
      </c>
      <c r="GK38" s="255" t="str">
        <f t="shared" si="80"/>
        <v/>
      </c>
      <c r="GL38" s="255" t="str">
        <f t="shared" si="81"/>
        <v/>
      </c>
      <c r="GM38" s="255" t="str">
        <f>IF(AN38="", "", IF(AND(IF(ISNA(VLOOKUP(AN38,'Lookup Tables'!$R$18:$R$22,1,FALSE)), "N", "Y")="Y", E38="Exterior"), "Y", "N"))</f>
        <v/>
      </c>
      <c r="GN38" s="395"/>
      <c r="GO38" s="428">
        <f t="shared" si="98"/>
        <v>0</v>
      </c>
      <c r="GP38" s="428">
        <f t="shared" si="167"/>
        <v>0</v>
      </c>
      <c r="GQ38" s="428">
        <f t="shared" si="99"/>
        <v>0</v>
      </c>
      <c r="GR38" s="428">
        <f t="shared" si="100"/>
        <v>0</v>
      </c>
    </row>
    <row r="39" spans="1:202" s="103" customFormat="1" ht="13.5" customHeight="1" x14ac:dyDescent="0.2">
      <c r="A39" s="272">
        <v>29</v>
      </c>
      <c r="B39" s="110"/>
      <c r="C39" s="110"/>
      <c r="D39" s="110"/>
      <c r="E39" s="110"/>
      <c r="F39" s="110"/>
      <c r="G39" s="110"/>
      <c r="H39" s="110"/>
      <c r="I39" s="29"/>
      <c r="J39" s="29"/>
      <c r="K39" s="272" t="str">
        <f>IFERROR(IF(OR(VLOOKUP(J39, 'Fixture Identities'!$A$6:$L$1023, 3, FALSE)="T12 Linear Fluorescent", VLOOKUP(J39, 'Fixture Identities'!$A$6:$L$1023, 3, FALSE)="T12 U-Tube Fluorescent"), VLOOKUP(VLOOKUP(J39, 'Fixture Identities'!$A$6:$L$1023, 11, FALSE), 'Fixture Identities'!$A$6:$L$1023, 10, FALSE), VLOOKUP(J39, 'Fixture Identities'!$A$6:$L$1023, 10, FALSE)), "")</f>
        <v/>
      </c>
      <c r="L39" s="270" t="str">
        <f t="shared" si="169"/>
        <v/>
      </c>
      <c r="M39" s="110"/>
      <c r="N39" s="110"/>
      <c r="O39" s="110"/>
      <c r="P39" s="272" t="str">
        <f>IFERROR(IF(OR(B39="Retrofit",B39=""),"",IF('Lighting Inventory'!E39="Exterior",VLOOKUP('Lighting Inventory'!N39,'Lookup Tables'!$B$83:$F$103,5,FALSE),IF(N39="Other - Please Estimate EFLH and CFs","Contact Prog. Rep.","ft^2"))), "")</f>
        <v/>
      </c>
      <c r="Q39" s="270" t="str">
        <f>IFERROR(IF(AND(B39="New Construction",E39="Interior",$F$5="Space-by-Space"),VLOOKUP('Lighting Inventory'!N39,'Lookup Tables'!$N$6:$O$97,2,FALSE),IF(AND(B39="New Construction",E39="Exterior"),VLOOKUP(N39,'Lookup Tables'!$B$83:$F$103,2,FALSE),IF(AND(B39="New Construction",'Lighting Inventory'!E39="Interior", $F$5="Building Area"),VLOOKUP(F39,'Lookup Tables'!$A$6:$J$59,10,FALSE),""))), "")</f>
        <v/>
      </c>
      <c r="R39" s="270" t="str">
        <f>IFERROR(IF(P39="Contact Prog. Rep.", "ERROR", IF(OR(B39="",B39="Retrofit"),"",IF(N39="Automated teller machines", ('Lookup Tables'!$A$82:$E$100+('Lighting Inventory'!O39-1)*'Lookup Tables'!$A$82:$E$100)/1000, (Q39*O39)/1000))), "")</f>
        <v/>
      </c>
      <c r="S39" s="595"/>
      <c r="T39" s="105" t="str">
        <f t="shared" si="83"/>
        <v/>
      </c>
      <c r="U39" s="105" t="str">
        <f>IF(S39="","",COUNT($S$11:S39))</f>
        <v/>
      </c>
      <c r="V39" s="111"/>
      <c r="W39" s="112"/>
      <c r="X39" s="105" t="str">
        <f t="shared" si="84"/>
        <v/>
      </c>
      <c r="Y39" s="105" t="str">
        <f t="array" ref="Y39">IF(AND(OR(W39="Freezer Case Lighting", W39="Refrigerated Case Lighting with Doors"), 'General Information'!$X$18="LCI"),'Lookup Tables'!$Y$34, IF(V39="Custom", VLOOKUP(W39, 'Fixture Identities'!$A$974:$M$1023, 13, FALSE), IF(V39="No Change",'Lookup Tables'!$Y$29,IF(OR(V39="",W39=""),"",IF(AND(S39=0,S39&lt;I39,B39="Retrofit"),'Lookup Tables'!$Y$25, IF(B39="Retrofit", INDEX('Lookup Tables'!$AH$6:$AP$102, MATCH(1, ('Lookup Tables'!$AH$6:$AH$102=V39)*('Lookup Tables'!$AI$6:$AI$102=W39), 0), IF('Lighting Inventory'!E39="Interior", 4, 5)), INDEX('Lookup Tables'!$AH$114:$AP$154, MATCH(1, ('Lookup Tables'!$AH$114:$AH$154=V39)*('Lookup Tables'!$AI$114:$AI$154=W39), 0), IF('Lighting Inventory'!E39="Interior", 4, 5))))))))</f>
        <v/>
      </c>
      <c r="Z39" s="105" t="str">
        <f>IFERROR(INDEX('Lookup Tables'!$AH$158:$AH$172,MATCH('Lighting Inventory'!Y39,'Lookup Tables'!$AI$158:$AI$172,0)),"")</f>
        <v/>
      </c>
      <c r="AA39" s="105" t="str">
        <f>IF(AP39&gt;0,INDEX('Lookup Tables'!$AK$158:$AK$172,MATCH('Lighting Inventory'!Y39,'Lookup Tables'!$AI$158:$AI$172,0)),'Lighting Inventory'!Y39)</f>
        <v/>
      </c>
      <c r="AB39" s="105" t="str">
        <f t="array" ref="AB39">IF(V39="Custom", "Custom", IF(V39="", "", IF(V39="Not DLC or Energy Star", "General", IF(B39="New Construction", INDEX('Lookup Tables'!$AH$114:$AP$154,MATCH(1,('Lookup Tables'!$AH$114:$AH$154='Lighting Inventory'!V39)*('Lookup Tables'!$AI$114:$AI$154='Lighting Inventory'!W39),FALSE),8), INDEX('Lookup Tables'!$AH$6:$AP$102,MATCH(1,('Lookup Tables'!$AH$6:$AH$102='Lighting Inventory'!V39)*('Lookup Tables'!$AI$6:$AI$102='Lighting Inventory'!W39),FALSE),8)))))</f>
        <v/>
      </c>
      <c r="AC39" s="272" t="str">
        <f>IF(W39="","",IF(V39="Custom",CONCATENATE("$",'Lookup Tables'!$AM$101," ",'Lookup Tables'!$AN$101),CONCATENATE("$",INDEX('Lookup Tables'!$AM$6:$AM$102,MATCH('Lighting Inventory'!W39,'Lookup Tables'!$AI$6:$AI$102,0))," ",INDEX('Lookup Tables'!$AN$6:$AN$102,MATCH('Lighting Inventory'!W39,'Lookup Tables'!$AI$6:$AI$102,0)))))</f>
        <v/>
      </c>
      <c r="AD39" s="72"/>
      <c r="AE39" s="29"/>
      <c r="AF39" s="379"/>
      <c r="AG39" s="370" t="str">
        <f t="shared" si="2"/>
        <v/>
      </c>
      <c r="AH39" s="370" t="str">
        <f t="shared" si="85"/>
        <v/>
      </c>
      <c r="AI39" s="29"/>
      <c r="AJ39" s="29"/>
      <c r="AK39" s="110"/>
      <c r="AL39" s="375" t="str">
        <f>IF(OR(B39="", V39="", W39=""), "", IF(V39="No Change", K39, IF(V39="Remove Fixture", 0, IF(V39="Custom",VLOOKUP(W39,'Fixture Identities'!$A$6:$K$1023,10,FALSE),IF(AE39="", "← ENTER POST WATTS", 'Lighting Inventory'!AE39)))))</f>
        <v/>
      </c>
      <c r="AM39" s="376" t="str">
        <f t="shared" si="3"/>
        <v/>
      </c>
      <c r="AN39" s="29"/>
      <c r="AO39" s="671"/>
      <c r="AP39" s="29"/>
      <c r="AQ39" s="29"/>
      <c r="AR39" s="29"/>
      <c r="AS39" s="272" t="str">
        <f t="shared" si="4"/>
        <v/>
      </c>
      <c r="AT39" s="270" t="str">
        <f t="shared" si="234"/>
        <v/>
      </c>
      <c r="AU39" s="88" t="str">
        <f t="shared" si="235"/>
        <v/>
      </c>
      <c r="AV39" s="29"/>
      <c r="AW39" s="73"/>
      <c r="AX39" s="271" t="str">
        <f>IF(AND(AV39="Applicant",OR(AW39="", AW39="Use Default Facility Hours")),"← Choose Schedule",IF(F39="","",IF(W39="LED Exit Signs",8760,IF(OR(AV39="Prescribed",AV39=""),VLOOKUP(F39,'Lookup Tables'!$A$6:$G$59,IF(AB39="General", 6, 3),FALSE),VLOOKUP(AW39,'Lookup Tables'!$S$36:$U$43,2,FALSE)))))</f>
        <v/>
      </c>
      <c r="AY39" s="88" t="str">
        <f t="shared" si="7"/>
        <v/>
      </c>
      <c r="AZ39" s="270" t="str">
        <f>IFERROR(IF(F39="", "", IF(W39="LED Exit Signs", 1, IF(AV39="Applicant",VLOOKUP(AW39, 'Lookup Tables'!$S$36:$U$43,3, FALSE), VLOOKUP('Lighting Inventory'!F39, 'Lookup Tables'!$A$6:$H$59, IF('Lighting Inventory'!AB39="General",7,4), FALSE)))), "")</f>
        <v/>
      </c>
      <c r="BA39" s="522" t="str">
        <f>IFERROR(IF(F39="", "", IF(W39="LED Exit Signs", 1, VLOOKUP('Lighting Inventory'!F39, 'Lookup Tables'!$A$6:$H$59, IF('Lighting Inventory'!AB39="General",8,5), FALSE))), "")</f>
        <v/>
      </c>
      <c r="BB39" s="270" t="str">
        <f>IF(G39="", "", IF(E39="Exterior", 0, IF('Lighting Inventory'!G39="Air Conditioned", VLOOKUP(H39, 'Lookup Tables'!$R$6:$T$13, 2, FALSE), VLOOKUP('Lighting Inventory'!G39, 'Lookup Tables'!$R$6:$T$13, 2, FALSE))))</f>
        <v/>
      </c>
      <c r="BC39" s="522" t="str">
        <f>IF(G39="", "", IF(E39="Exterior", 0, IF('Lighting Inventory'!G39="Air Conditioned", VLOOKUP(H39, 'Lookup Tables'!$R$6:$T$13, 3, FALSE), VLOOKUP('Lighting Inventory'!G39, 'Lookup Tables'!$R$6:$T$13, 3, FALSE))))</f>
        <v/>
      </c>
      <c r="BD39" s="270" t="str">
        <f>IF(G39="", "", IF(E39="Exterior", 0, IF('Lighting Inventory'!G39="Air Conditioned", VLOOKUP(H39, 'Lookup Tables'!$R$6:$U$13, 4, FALSE), VLOOKUP('Lighting Inventory'!G39, 'Lookup Tables'!$R$6:$U$13, 4, FALSE))))</f>
        <v/>
      </c>
      <c r="BE39" s="270" t="str">
        <f>IFERROR(IF(B39="", "",  IF(B39="New Construction", VLOOKUP(F39, 'Lookup Tables'!$A$6:$K$59, 11, FALSE),IF(OR(AN39="", AN39="Light Switch"), 0, IF(OR(M39="",M39="None",V39= "LED Exit Signs"),0,_xlfn.XLOOKUP(M39,'Lookup Tables'!$R$91:$R$101,'Lookup Tables'!$V$91:$V$101))))), "")</f>
        <v/>
      </c>
      <c r="BF39" s="270" t="str">
        <f>IF(AND(OR(AN39="Light Switch",AN39=""),B39="New Construction"), VLOOKUP(F39, 'Lookup Tables'!$A$6:$K$59, 11, FALSE),IF(AN39="","",IF(B39="","",IF(OR(AN39="None",AN39="",V39="LED Exit Signs",AN39="Exterior Controls Not Eligible"),0,_xlfn.XLOOKUP(AN39,'Lookup Tables'!$R$91:$R$101,'Lookup Tables'!$V$91:$V$101)))))</f>
        <v/>
      </c>
      <c r="BG39" s="88" t="str">
        <f t="shared" si="86"/>
        <v/>
      </c>
      <c r="BH39" s="88" t="str">
        <f t="shared" si="87"/>
        <v/>
      </c>
      <c r="BI39" s="558" t="str">
        <f t="shared" si="168"/>
        <v/>
      </c>
      <c r="BJ39" s="560" t="str">
        <f t="shared" si="88"/>
        <v/>
      </c>
      <c r="BK39" s="560" t="str">
        <f t="shared" si="89"/>
        <v/>
      </c>
      <c r="BL39" s="559" t="str">
        <f t="shared" si="90"/>
        <v/>
      </c>
      <c r="BM39" s="521" t="str">
        <f t="shared" si="8"/>
        <v/>
      </c>
      <c r="BN39" s="521" t="str">
        <f t="shared" si="9"/>
        <v/>
      </c>
      <c r="BO39" s="522" t="str">
        <f t="shared" si="10"/>
        <v/>
      </c>
      <c r="BP39" s="83" t="str">
        <f t="shared" si="91"/>
        <v/>
      </c>
      <c r="BQ39" s="84" t="str">
        <f t="shared" si="92"/>
        <v/>
      </c>
      <c r="BR39" s="184" t="str">
        <f>IFERROR(IF(B39="", "", IF(OR(VLOOKUP(J39, 'Fixture Identities'!$A$6:$L$1023, 3, FALSE)="T12 Linear Fluorescent",VLOOKUP(J39, 'Fixture Identities'!$A$6:$L$1023, 3, FALSE)="T12 U-Tube Fluorescent"), "Y", "N")), "N")</f>
        <v/>
      </c>
      <c r="BS39" s="184" t="str">
        <f t="array" ref="BS39">IFERROR(IF(OR(B39="", V39="", W39=""), "", IF(V39="Custom", "N", IF(OR(W39="Freezer Case Lighting", W39="Refrigerated Case Lighting with Doors"), BT39, IF(B39="Retrofit", INDEX('Lookup Tables'!$AH$6:$AT$102,MATCH(1,('Lookup Tables'!$AH$6:$AH$102=V39)*('Lookup Tables'!$AI$6:$AI$102=W39),FALSE),IF(VLOOKUP(J39, 'Fixture Identities'!$A$6:$B$1023, 2, FALSE)="Incandescent",12, 13)), INDEX('Lookup Tables'!$AH$114:$AS$154,MATCH(1,('Lookup Tables'!$AH$114:$AH$154=V39)*('Lookup Tables'!$AI$114:$AI$154=W39),FALSE),12))))), "N")</f>
        <v/>
      </c>
      <c r="BT39" s="184" t="str">
        <f>IF(J39="", "", IF(AND(OR(W39="Freezer case Lighting", W39="Refrigerated Case Lighting with Doors"),'General Information'!$X$18="LCI"), "N", IF(OR(VLOOKUP(J39, 'Fixture Identities'!$A$6:$B$1023, 2, FALSE)="T12 EPACT/EISA Baseline", VLOOKUP(J39, 'Fixture Identities'!$A$6:$B$1023, 2, FALSE)="Linear Fluorescent", VLOOKUP(J39, 'Fixture Identities'!$A$6:$B$1023, 2, FALSE)="U-Tube Fluorescent"), "Y", "N")))</f>
        <v/>
      </c>
      <c r="BU39" s="184" t="str">
        <f>IFERROR(IF(B39="", "", IF(VLOOKUP(J39, 'Fixture Identities'!$A$6:$B$1023, 2, FALSE)="Exit Sign", "Y", "N")), "N")</f>
        <v/>
      </c>
      <c r="BV39" s="184" t="str">
        <f>IF(V39="Exit Signs", IF(VLOOKUP(J39, 'Fixture Identities'!$A$6:$B$1023, 2, FALSE)="Exit Sign", "N", "Y"), "")</f>
        <v/>
      </c>
      <c r="BW39" s="184" t="str">
        <f t="array" ref="BW39">IFERROR(IF(B39="", "", IF(B39="New Construction", "N", INDEX('Lookup Tables'!$AH$6:$AU$102, MATCH(1, ('Lookup Tables'!$AH$6:$AH$102='Lighting Inventory'!V39)*('Lookup Tables'!$AI$6:$AI$102='Lighting Inventory'!W39), 0), 14))), "N")</f>
        <v/>
      </c>
      <c r="BX39" s="598" t="str">
        <f t="shared" si="93"/>
        <v/>
      </c>
      <c r="BY39" s="598" t="str">
        <f t="shared" si="94"/>
        <v/>
      </c>
      <c r="BZ39" s="598" t="str">
        <f t="shared" si="95"/>
        <v/>
      </c>
      <c r="CA39" s="598" t="str">
        <f t="shared" si="101"/>
        <v/>
      </c>
      <c r="CB39" s="269" t="str">
        <f t="shared" si="102"/>
        <v/>
      </c>
      <c r="CC39" s="517" t="str">
        <f t="shared" si="96"/>
        <v/>
      </c>
      <c r="CD39" s="565" t="str">
        <f t="shared" si="11"/>
        <v/>
      </c>
      <c r="CE39" s="368">
        <v>0</v>
      </c>
      <c r="CF39" s="368" t="str" cm="1">
        <f t="array" ref="CF39">IFERROR(IF(V39="Custom", "$0.1 per kWh", IF(B39="New Construction", CONCATENATE("$",INDEX('Lookup Tables'!$AH$114:$AN$154,MATCH(1,('Lookup Tables'!$AH$114:$AH$154='Lighting Inventory'!V39)*('Lookup Tables'!$AI$114:$AI$154='Lighting Inventory'!W39),FALSE),6)," ",INDEX('Lookup Tables'!$AH$114:$AN$154,MATCH(1,('Lookup Tables'!$AH$114:$AH$154='Lighting Inventory'!V39)*('Lookup Tables'!$AI$114:$AI$154='Lighting Inventory'!W39),FALSE),7)), IF(AND(BU39="N", V39="Exit Signs"), "$0.025 per kWh", CONCATENATE("$",INDEX('Lookup Tables'!$AH$6:$AN$102,MATCH(1,('Lookup Tables'!$AH$6:$AH$102='Lighting Inventory'!V39)*('Lookup Tables'!$AI$6:$AI$102='Lighting Inventory'!W39),FALSE),6)," ",INDEX('Lookup Tables'!$AH$6:$AN$102,MATCH(1,('Lookup Tables'!$AH$6:$AH$102='Lighting Inventory'!V39)*('Lookup Tables'!$AI$6:$AI$102='Lighting Inventory'!W39),FALSE),7))))), "")</f>
        <v/>
      </c>
      <c r="CG39" s="366"/>
      <c r="CH39" s="248" t="str">
        <f t="shared" si="170"/>
        <v/>
      </c>
      <c r="CI39" s="248" t="str">
        <f t="shared" si="171"/>
        <v>Select_IE</v>
      </c>
      <c r="CJ39" s="248" t="str">
        <f t="shared" si="172"/>
        <v/>
      </c>
      <c r="CK39" s="248" t="str">
        <f t="shared" si="173"/>
        <v/>
      </c>
      <c r="CL39" s="248" t="str">
        <f t="shared" si="174"/>
        <v/>
      </c>
      <c r="CM39" s="248" t="str">
        <f>IFERROR(IF(B39="", "", IF(B39="New Construction", VLOOKUP(V39, 'Lookup Tables'!$AF$114:$AG$120, 2, FALSE), VLOOKUP(V39, 'Lookup Tables'!$AD$6:$AE$25, 2, FALSE))), "")</f>
        <v/>
      </c>
      <c r="CN39" s="248" t="str">
        <f t="shared" si="175"/>
        <v/>
      </c>
      <c r="CO39" s="248" t="str">
        <f t="shared" si="176"/>
        <v/>
      </c>
      <c r="CP39" s="592" t="str">
        <f t="shared" si="177"/>
        <v/>
      </c>
      <c r="CQ39" s="248" t="str">
        <f t="shared" si="97"/>
        <v/>
      </c>
      <c r="CR39" s="100"/>
      <c r="CS39" s="250" t="str">
        <f t="shared" si="178"/>
        <v/>
      </c>
      <c r="CT39" s="250" t="str">
        <f t="shared" si="179"/>
        <v/>
      </c>
      <c r="CU39" s="250" t="str">
        <f t="shared" si="180"/>
        <v/>
      </c>
      <c r="CV39" s="250" t="str">
        <f t="shared" si="181"/>
        <v/>
      </c>
      <c r="CW39" s="250" t="str">
        <f t="shared" si="182"/>
        <v/>
      </c>
      <c r="CX39" s="250" t="str">
        <f t="shared" si="183"/>
        <v/>
      </c>
      <c r="CY39" s="250" t="str">
        <f t="shared" si="184"/>
        <v/>
      </c>
      <c r="CZ39" s="250" t="str">
        <f t="shared" si="185"/>
        <v/>
      </c>
      <c r="DA39" s="250" t="str">
        <f t="shared" si="186"/>
        <v/>
      </c>
      <c r="DB39" s="250" t="str">
        <f t="shared" si="187"/>
        <v/>
      </c>
      <c r="DC39" s="250" t="str">
        <f t="shared" si="188"/>
        <v/>
      </c>
      <c r="DD39" s="250" t="str">
        <f t="shared" si="189"/>
        <v/>
      </c>
      <c r="DE39" s="250" t="str">
        <f t="shared" si="190"/>
        <v/>
      </c>
      <c r="DF39" s="250" t="str">
        <f t="shared" si="191"/>
        <v/>
      </c>
      <c r="DG39" s="250" t="str">
        <f t="shared" si="192"/>
        <v/>
      </c>
      <c r="DH39" s="250" t="str">
        <f t="shared" si="193"/>
        <v/>
      </c>
      <c r="DI39" s="250" t="str">
        <f t="shared" si="194"/>
        <v/>
      </c>
      <c r="DJ39" s="250" t="str">
        <f t="shared" si="195"/>
        <v/>
      </c>
      <c r="DK39" s="250" t="str">
        <f t="shared" si="196"/>
        <v/>
      </c>
      <c r="DL39" s="250" t="str">
        <f t="shared" si="197"/>
        <v/>
      </c>
      <c r="DM39" s="250" t="str">
        <f>IF(CD39="ERROR", "ERROR", IF(AND(OR(Y39=$DM$6, Y39='Lookup Tables'!$AD$21, Y39='Lookup Tables'!$AD$22), E39="Interior"), BJ39, ""))</f>
        <v/>
      </c>
      <c r="DN39" s="250" t="str">
        <f>IF(CD39="ERROR", "ERROR", IF(AND(OR(Y39=$DM$6, Y39='Lookup Tables'!$AD$21, Y39='Lookup Tables'!$AD$22), E39="Exterior"), BJ39, ""))</f>
        <v/>
      </c>
      <c r="DO39" s="100"/>
      <c r="DP39" s="250" t="str">
        <f t="shared" si="198"/>
        <v/>
      </c>
      <c r="DQ39" s="250" t="str">
        <f t="shared" si="199"/>
        <v/>
      </c>
      <c r="DR39" s="250" t="str">
        <f t="shared" si="200"/>
        <v/>
      </c>
      <c r="DS39" s="250" t="str">
        <f t="shared" si="201"/>
        <v/>
      </c>
      <c r="DT39" s="250" t="str">
        <f t="shared" si="202"/>
        <v/>
      </c>
      <c r="DU39" s="250" t="str">
        <f t="shared" si="203"/>
        <v/>
      </c>
      <c r="DV39" s="250" t="str">
        <f t="shared" si="204"/>
        <v/>
      </c>
      <c r="DW39" s="250" t="str">
        <f t="shared" si="205"/>
        <v/>
      </c>
      <c r="DX39" s="250" t="str">
        <f t="shared" si="206"/>
        <v/>
      </c>
      <c r="DY39" s="250" t="str">
        <f t="shared" si="207"/>
        <v/>
      </c>
      <c r="DZ39" s="250" t="str">
        <f t="shared" si="208"/>
        <v/>
      </c>
      <c r="EA39" s="250" t="str">
        <f t="shared" si="209"/>
        <v/>
      </c>
      <c r="EB39" s="250" t="str">
        <f t="shared" si="210"/>
        <v/>
      </c>
      <c r="EC39" s="250" t="str">
        <f t="shared" si="211"/>
        <v/>
      </c>
      <c r="ED39" s="250" t="str">
        <f t="shared" si="212"/>
        <v/>
      </c>
      <c r="EE39" s="250" t="str">
        <f t="shared" si="213"/>
        <v/>
      </c>
      <c r="EF39" s="250" t="str">
        <f t="shared" si="214"/>
        <v/>
      </c>
      <c r="EG39" s="250" t="str">
        <f t="shared" si="215"/>
        <v/>
      </c>
      <c r="EH39" s="250" t="str">
        <f>IF(CD39="ERROR", "ERROR", IF(AND(OR($EH$6=Y39, Y39='Lookup Tables'!$AD$21, Y39='Lookup Tables'!$AD$22),E39="Interior"), SUM(BP39:BP39), ""))</f>
        <v/>
      </c>
      <c r="EI39" s="250" t="str">
        <f>IF(CD39="ERROR", "ERROR", IF(AND(OR($EH$6=Y39, Y39='Lookup Tables'!$AD$21, Y39='Lookup Tables'!$AD$22),E39="Exterior"), SUM(BP39:BP39), ""))</f>
        <v/>
      </c>
      <c r="EJ39" s="109"/>
      <c r="EK39" s="485" t="str">
        <f t="shared" si="58"/>
        <v/>
      </c>
      <c r="EL39" s="252" t="str">
        <f t="shared" si="216"/>
        <v/>
      </c>
      <c r="EM39" s="252" t="str">
        <f t="shared" si="217"/>
        <v/>
      </c>
      <c r="EN39" s="252" t="str">
        <f t="shared" si="218"/>
        <v/>
      </c>
      <c r="EO39" s="252" t="str">
        <f t="shared" si="219"/>
        <v/>
      </c>
      <c r="EP39" s="252" t="str">
        <f t="shared" si="220"/>
        <v/>
      </c>
      <c r="EQ39" s="252" t="str">
        <f t="shared" si="221"/>
        <v/>
      </c>
      <c r="ER39" s="252" t="str">
        <f t="shared" si="222"/>
        <v/>
      </c>
      <c r="ES39" s="252" t="str">
        <f t="shared" si="223"/>
        <v/>
      </c>
      <c r="ET39" s="252" t="str">
        <f t="shared" si="224"/>
        <v/>
      </c>
      <c r="EU39" s="252" t="str">
        <f t="shared" si="225"/>
        <v/>
      </c>
      <c r="EV39" s="252" t="str">
        <f t="shared" si="226"/>
        <v/>
      </c>
      <c r="EW39" s="252" t="str">
        <f t="shared" si="227"/>
        <v/>
      </c>
      <c r="EX39" s="252" t="str">
        <f t="shared" si="228"/>
        <v/>
      </c>
      <c r="EY39" s="252" t="str">
        <f t="shared" si="229"/>
        <v/>
      </c>
      <c r="EZ39" s="252" t="str">
        <f t="shared" si="230"/>
        <v/>
      </c>
      <c r="FA39" s="252" t="str">
        <f t="shared" si="231"/>
        <v/>
      </c>
      <c r="FB39" s="252" t="str">
        <f t="shared" si="232"/>
        <v/>
      </c>
      <c r="FC39" s="252" t="str">
        <f>IF(CD39="ERROR", "ERROR", IF(OR(V39="No Change", V39="Not DLC or Energy Star"), "", IF(AND(OR($FC$6=Y39,Y39='Lookup Tables'!$AD$21, Y39='Lookup Tables'!$AD$22),E39="Interior"), S39, "")))</f>
        <v/>
      </c>
      <c r="FD39" s="252" t="str">
        <f t="shared" si="233"/>
        <v/>
      </c>
      <c r="FE39" s="101"/>
      <c r="FF39" s="579" t="str" cm="1">
        <f t="array" ref="FF39">IFERROR(IF(OR(BQ39&lt;=0,AQ39&lt;20,AND(V39="Exit Signs",AN39&gt;0)),"",IF(AND(AQ39&gt;=20,AN39='Lookup Tables'!$R$101),'Lookup Tables'!$U$101*BQ39,AP39*LOOKUP(2,1/((AN39='Lookup Tables'!$R$91:$R$111)*(AQ39&gt;='Lookup Tables'!$S$91:$S$111)*(AQ39&lt;='Lookup Tables'!$T$91:$T$111)),'Lookup Tables'!$U$91:$U$111))),"")</f>
        <v/>
      </c>
      <c r="FG39" s="579"/>
      <c r="FH39" s="579"/>
      <c r="FI39" s="253" t="str">
        <f>IFERROR(ROUND(IF(CD39="ERROR", "ERROR", IF(AND($FI$7=X39,E39="Interior"),VLOOKUP(W39, 'Lookup Tables'!$AI$6:$AM$102, 5, FALSE)*BP39, "")), 2), "")</f>
        <v/>
      </c>
      <c r="FJ39" s="253" t="str">
        <f>IFERROR(ROUND(IF(CD39="ERROR", "ERROR", IF(AND($FI$7=X39,E39="Exterior"),VLOOKUP(W39, 'Lookup Tables'!$AI$6:$AM$102, 5, FALSE)*BP39, "")), 2), "")</f>
        <v/>
      </c>
      <c r="FK39" s="253" t="str">
        <f>IFERROR(ROUND(IF(CD39="ERROR", "ERROR", IF(AND($FK$7=X39,E39="Interior"),VLOOKUP(W39, 'Lookup Tables'!$AI$6:$AM$102, 5, FALSE)*BP39, "")), 2), "")</f>
        <v/>
      </c>
      <c r="FL39" s="253" t="str">
        <f>IFERROR(ROUND(IF(CD39="ERROR", "ERROR", IF(AND($FK$7=X39,E39="Exterior"),VLOOKUP(W39, 'Lookup Tables'!$AI$6:$AM$102, 5, FALSE)*BP39, "")), 2), "")</f>
        <v/>
      </c>
      <c r="FM39" s="253" t="str">
        <f>IFERROR(ROUND(IF(CD39="ERROR", "ERROR", IF(AND($FM$6=Y39,E39="Interior"), IF(GB39=0, VLOOKUP(W39, 'Lookup Tables'!$AI$6:$AM$102, 5, FALSE)*BP39, IF(VLOOKUP(W39, 'Lookup Tables'!$AI$6:$AM$102, 5, FALSE)*BP39&gt;GB39*'Lighting Inventory'!S39, GB39*'Lighting Inventory'!S39,VLOOKUP(W39, 'Lookup Tables'!$AI$6:$AM$102, 5, FALSE)*BP39)), "")), 2), "")</f>
        <v/>
      </c>
      <c r="FN39" s="253" t="str">
        <f>IFERROR(ROUND(IF(CD39="ERROR", "ERROR", IF(AND($FM$6=Y39,E39="Exterior"), IF(GB39=0, VLOOKUP(W39, 'Lookup Tables'!$AI$6:$AM$102, 5, FALSE)*BP39, IF(VLOOKUP(W39, 'Lookup Tables'!$AI$6:$AM$102, 5, FALSE)*BP39&gt;GB39*'Lighting Inventory'!S39, GB39*'Lighting Inventory'!S39,VLOOKUP(W39, 'Lookup Tables'!$AI$6:$AM$102, 5, FALSE)*BP39)), "")), 2), "")</f>
        <v/>
      </c>
      <c r="FO39" s="253" t="str">
        <f>IFERROR(ROUND(IF(CD39="ERROR", "ERROR", IF(AND($FO$6=Y39,E39="Interior"),VLOOKUP(W39, 'Lookup Tables'!$AI$6:$AM$102, 5, FALSE)*'Lighting Inventory'!AI39, "")), 2), "")</f>
        <v/>
      </c>
      <c r="FP39" s="253" t="str">
        <f>IFERROR(ROUND(IF(CD39="ERROR", "ERROR", IF(AND($FO$6=Y39,E39="Exterior"),VLOOKUP(W39, 'Lookup Tables'!$AI$6:$AM$102, 5, FALSE)*'Lighting Inventory'!AI39, "")), 2), "")</f>
        <v/>
      </c>
      <c r="FQ39" s="253" t="str">
        <f>IFERROR(ROUND(IF(CD39="ERROR", "ERROR", IF(AND($FQ$6=Y39,E39="Interior", BU39="Y"), VLOOKUP('Lighting Inventory'!W39, 'Lookup Tables'!$AI$6:$AM$102, 5, FALSE)*'Lighting Inventory'!S39, IF(AND($FQ$7=Y39,E39="Interior", BU39="N"), 0.025*CD39, ""))), 2), "")</f>
        <v/>
      </c>
      <c r="FR39" s="253" t="str">
        <f>IFERROR(ROUND(IF(CD39="ERROR", "ERROR", IF(AND($FQ$6=Y39,E39="Exterior"), VLOOKUP('Lighting Inventory'!W39, 'Lookup Tables'!$AI$6:$AM$102, 5, FALSE)*'Lighting Inventory'!S39, "")), 2), "")</f>
        <v/>
      </c>
      <c r="FS39" s="253" t="str">
        <f>IFERROR(ROUND(IF(CD39="ERROR", "ERROR", IF(AND($FS$6=Y39,E39="Exterior"), IF(GB39=0, VLOOKUP(W39, 'Lookup Tables'!$AI$6:$AM$102, 5, FALSE)*BP39, IF(VLOOKUP(W39, 'Lookup Tables'!$AI$6:$AM$102, 5, FALSE)*BP39&gt;GB39*'Lighting Inventory'!S39, GB39*'Lighting Inventory'!S39,VLOOKUP(W39, 'Lookup Tables'!$AI$6:$AM$102, 5, FALSE)*BP39)), "")), 2), "")</f>
        <v/>
      </c>
      <c r="FT39" s="253" t="str">
        <f>IFERROR(ROUND(IF(CD39="ERROR", "ERROR", IF(AND($FT$6=Y39,E39="Interior"), IF(GB39=0, VLOOKUP(W39, 'Lookup Tables'!$AI$6:$AM$102, 5, FALSE)*BP39, IF(VLOOKUP(W39, 'Lookup Tables'!$AI$6:$AM$102, 5, FALSE)*BP39&gt;GB39*'Lighting Inventory'!S39, GB39*'Lighting Inventory'!S39,VLOOKUP(W39, 'Lookup Tables'!$AI$6:$AM$102, 5, FALSE)*BP39)), "")), 2), "")</f>
        <v/>
      </c>
      <c r="FU39" s="253" t="str">
        <f>IFERROR(ROUND(IF(CD39="ERROR", "ERROR", IF(AND(Y39=$FU$6, E39="Interior"), IF(BS39="N", 'Lookup Tables'!$AM$101*BP39, VLOOKUP(W39, 'Lookup Tables'!$AI$6:$AM$102, 5, FALSE)*S39*AD39), "")), 2), "")</f>
        <v/>
      </c>
      <c r="FV39" s="253" t="str">
        <f>IFERROR(ROUND(IF(CD39="ERROR", "ERROR", IF(AND(Y39=$FU$6, E39="Exterior"), IF(BS39="N", 'Lookup Tables'!$AM$101*BP39, VLOOKUP(W39, 'Lookup Tables'!$AI$6:$AM$102, 5, FALSE)*S39*AD39), "")), 2), "")</f>
        <v/>
      </c>
      <c r="FW39" s="253" t="str">
        <f>IFERROR(ROUND(IF(CD39="ERROR", "ERROR", IF($FW$6=Y39, IF(BS39="N", 'Lookup Tables'!$AM$101*BP39, MIN((VLOOKUP(W39, 'Lookup Tables'!$AI$6:$AM$102, 5, FALSE)*BP39),GB39*AJ39)), "")), 2), "")</f>
        <v/>
      </c>
      <c r="FX39" s="253" t="str">
        <f>IFERROR(ROUND(IF(CD39="ERROR", "ERROR", IF(AND($FX$6=Y39, E39="Interior"), IF(VLOOKUP(W39, 'Lookup Tables'!$AI$6:$AM$102, 5, FALSE)*BP39&gt;'Lookup Tables'!$AQ$97*'Lighting Inventory'!S39,'Lighting Inventory'!S39*'Lookup Tables'!$AQ$97,VLOOKUP(W39, 'Lookup Tables'!$AI$6:$AM$102, 5, FALSE)*BP39), "")), 2), "")</f>
        <v/>
      </c>
      <c r="FY39" s="253" t="str">
        <f>IFERROR(ROUND(IF(CD39="ERROR", "ERROR", IF(AND($FX$6=Y39, E39="Exterior"), IF(VLOOKUP(W39, 'Lookup Tables'!$AI$6:$AM$102, 5, FALSE)*BP39&gt;'Lookup Tables'!$AQ$97*'Lighting Inventory'!S39,'Lighting Inventory'!S39*'Lookup Tables'!$AQ$97,VLOOKUP(W39, 'Lookup Tables'!$AI$6:$AM$102, 5, FALSE)*BP39), "")), 2), "")</f>
        <v/>
      </c>
      <c r="FZ39" s="253" t="str">
        <f>IFERROR(ROUND(IF(CD39="ERROR", "ERROR", IF(AND($FZ$6=Y39, E39="Interior"), IF(AND(OR(W39="Refrigerated Case Lighting with Doors", W39="Freezer Case Lighting"),Y39="Custom - Process Improvement"),CD39*'Lookup Tables'!$AM$101, IF(B39="Retrofit", IF(VLOOKUP(IF(V39="Custom", V39, W39), 'Lookup Tables'!$AI$6:$AM$102, 5, FALSE)*BP39&gt;GE39, GE39, VLOOKUP(IF(V39="Custom", V39, W39), 'Lookup Tables'!$AI$6:$AM$102, 5, FALSE)*BP39), IF(VLOOKUP(IF(V39="Custom", V39, W39), 'Lookup Tables'!$AI$114:$AM$154, 5, FALSE)*BP39&gt;GE39, GE39, VLOOKUP(IF(V39="Custom", V39, W39), 'Lookup Tables'!$AI$114:$AM$154, 5, FALSE)*BP39))), "")), 2),"")</f>
        <v/>
      </c>
      <c r="GA39" s="253" t="str">
        <f>IFERROR(ROUND(IF(CD39="ERROR", "ERROR", IF(AND($FZ$6=Y39, E39="Exterior"), IF(B39="Retrofit", IF(VLOOKUP(IF(V39="Custom", V39, W39), 'Lookup Tables'!$AI$6:$AM$102, 5, FALSE)*BP39&gt;GE39, GE39, VLOOKUP(IF(V39="Custom", V39, W39), 'Lookup Tables'!$AI$6:$AM$102, 5, FALSE)*BP39), IF(VLOOKUP(IF(V39="Custom", V39, W39), 'Lookup Tables'!$AI$114:$AM$154, 5, FALSE)*BP39&gt;GE39, GE39, VLOOKUP(IF(V39="Custom", V39, W39), 'Lookup Tables'!$AI$114:$AM$154, 5, FALSE)*BP39)), "")), 2),"")</f>
        <v/>
      </c>
      <c r="GB39" s="254" t="str">
        <f t="array" ref="GB39">IF(B39="","",IF(OR(V39="Custom",V39="No Change"),0,IF(B39="Retrofit", INDEX('Lookup Tables'!$AH$6:$AQ$102,MATCH(1,('Lookup Tables'!$AH$6:$AH$102='Lighting Inventory'!V39)*('Lookup Tables'!$AI$6:$AI$102='Lighting Inventory'!W39),FALSE),10),INDEX('Lookup Tables'!$AH$114:$AQ$154,MATCH(1,('Lookup Tables'!$AH$114:$AH$154='Lighting Inventory'!V39)*('Lookup Tables'!$AI$114:$AI$154='Lighting Inventory'!W39),FALSE),10))))</f>
        <v/>
      </c>
      <c r="GC39" s="255" t="str">
        <f t="shared" si="77"/>
        <v/>
      </c>
      <c r="GD39" s="250" t="str">
        <f t="shared" si="78"/>
        <v/>
      </c>
      <c r="GE39" s="253" t="str">
        <f>IFERROR(IF(AND(AF39="", 'General Information'!$F$18="No"),"", IF(AF39="", ((GD39/$CD$266)*$CF$266)*0.5, AF39*S39*0.5)), "")</f>
        <v/>
      </c>
      <c r="GF39" s="255" t="str">
        <f>IF(AND('General Information'!$F$19="", 'General Information'!$F$18="Yes",AF39="",BW39="Y"), "Y", "N")</f>
        <v>N</v>
      </c>
      <c r="GG39" s="255" t="s">
        <v>2946</v>
      </c>
      <c r="GH39" s="255" t="str">
        <f>IFERROR(IF(B39="", "", VLOOKUP(J39, 'Fixture Identities'!$A$6:$N$908, 14, FALSE)), "")</f>
        <v/>
      </c>
      <c r="GI39" s="389" t="str">
        <f>IF(OR(B39="", V39="", W39=""), "", IF(AND(OR(M39='Lookup Tables'!$R$18, M39='Lookup Tables'!$R$19, M39='Lookup Tables'!$R$20, M39='Lookup Tables'!$R$21, M39='Lookup Tables'!$R$22), OR(AN39='Lookup Tables'!$R$17, AN39='Lookup Tables'!$R$17, AN39="")), "Y", "N"))</f>
        <v/>
      </c>
      <c r="GJ39" s="255" t="str">
        <f t="shared" si="79"/>
        <v/>
      </c>
      <c r="GK39" s="255" t="str">
        <f t="shared" si="80"/>
        <v/>
      </c>
      <c r="GL39" s="255" t="str">
        <f t="shared" si="81"/>
        <v/>
      </c>
      <c r="GM39" s="255" t="str">
        <f>IF(AN39="", "", IF(AND(IF(ISNA(VLOOKUP(AN39,'Lookup Tables'!$R$18:$R$22,1,FALSE)), "N", "Y")="Y", E39="Exterior"), "Y", "N"))</f>
        <v/>
      </c>
      <c r="GN39" s="395"/>
      <c r="GO39" s="428">
        <f t="shared" si="98"/>
        <v>0</v>
      </c>
      <c r="GP39" s="428">
        <f t="shared" si="167"/>
        <v>0</v>
      </c>
      <c r="GQ39" s="428">
        <f t="shared" si="99"/>
        <v>0</v>
      </c>
      <c r="GR39" s="428">
        <f t="shared" si="100"/>
        <v>0</v>
      </c>
    </row>
    <row r="40" spans="1:202" s="103" customFormat="1" ht="13.5" customHeight="1" x14ac:dyDescent="0.2">
      <c r="A40" s="272">
        <v>30</v>
      </c>
      <c r="B40" s="110"/>
      <c r="C40" s="110"/>
      <c r="D40" s="110"/>
      <c r="E40" s="110"/>
      <c r="F40" s="110"/>
      <c r="G40" s="110"/>
      <c r="H40" s="110"/>
      <c r="I40" s="29"/>
      <c r="J40" s="29"/>
      <c r="K40" s="272" t="str">
        <f>IFERROR(IF(OR(VLOOKUP(J40, 'Fixture Identities'!$A$6:$L$1023, 3, FALSE)="T12 Linear Fluorescent", VLOOKUP(J40, 'Fixture Identities'!$A$6:$L$1023, 3, FALSE)="T12 U-Tube Fluorescent"), VLOOKUP(VLOOKUP(J40, 'Fixture Identities'!$A$6:$L$1023, 11, FALSE), 'Fixture Identities'!$A$6:$L$1023, 10, FALSE), VLOOKUP(J40, 'Fixture Identities'!$A$6:$L$1023, 10, FALSE)), "")</f>
        <v/>
      </c>
      <c r="L40" s="270" t="str">
        <f t="shared" si="169"/>
        <v/>
      </c>
      <c r="M40" s="110"/>
      <c r="N40" s="110"/>
      <c r="O40" s="110"/>
      <c r="P40" s="272" t="str">
        <f>IFERROR(IF(OR(B40="Retrofit",B40=""),"",IF('Lighting Inventory'!E40="Exterior",VLOOKUP('Lighting Inventory'!N40,'Lookup Tables'!$B$83:$F$103,5,FALSE),IF(N40="Other - Please Estimate EFLH and CFs","Contact Prog. Rep.","ft^2"))), "")</f>
        <v/>
      </c>
      <c r="Q40" s="270" t="str">
        <f>IFERROR(IF(AND(B40="New Construction",E40="Interior",$F$5="Space-by-Space"),VLOOKUP('Lighting Inventory'!N40,'Lookup Tables'!$N$6:$O$97,2,FALSE),IF(AND(B40="New Construction",E40="Exterior"),VLOOKUP(N40,'Lookup Tables'!$B$83:$F$103,2,FALSE),IF(AND(B40="New Construction",'Lighting Inventory'!E40="Interior", $F$5="Building Area"),VLOOKUP(F40,'Lookup Tables'!$A$6:$J$59,10,FALSE),""))), "")</f>
        <v/>
      </c>
      <c r="R40" s="270" t="str">
        <f>IFERROR(IF(P40="Contact Prog. Rep.", "ERROR", IF(OR(B40="",B40="Retrofit"),"",IF(N40="Automated teller machines", ('Lookup Tables'!$A$82:$E$100+('Lighting Inventory'!O40-1)*'Lookup Tables'!$A$82:$E$100)/1000, (Q40*O40)/1000))), "")</f>
        <v/>
      </c>
      <c r="S40" s="595"/>
      <c r="T40" s="105" t="str">
        <f t="shared" si="83"/>
        <v/>
      </c>
      <c r="U40" s="105" t="str">
        <f>IF(S40="","",COUNT($S$11:S40))</f>
        <v/>
      </c>
      <c r="V40" s="111"/>
      <c r="W40" s="112"/>
      <c r="X40" s="105" t="str">
        <f t="shared" si="84"/>
        <v/>
      </c>
      <c r="Y40" s="105" t="str">
        <f t="array" ref="Y40">IF(AND(OR(W40="Freezer Case Lighting", W40="Refrigerated Case Lighting with Doors"), 'General Information'!$X$18="LCI"),'Lookup Tables'!$Y$34, IF(V40="Custom", VLOOKUP(W40, 'Fixture Identities'!$A$974:$M$1023, 13, FALSE), IF(V40="No Change",'Lookup Tables'!$Y$29,IF(OR(V40="",W40=""),"",IF(AND(S40=0,S40&lt;I40,B40="Retrofit"),'Lookup Tables'!$Y$25, IF(B40="Retrofit", INDEX('Lookup Tables'!$AH$6:$AP$102, MATCH(1, ('Lookup Tables'!$AH$6:$AH$102=V40)*('Lookup Tables'!$AI$6:$AI$102=W40), 0), IF('Lighting Inventory'!E40="Interior", 4, 5)), INDEX('Lookup Tables'!$AH$114:$AP$154, MATCH(1, ('Lookup Tables'!$AH$114:$AH$154=V40)*('Lookup Tables'!$AI$114:$AI$154=W40), 0), IF('Lighting Inventory'!E40="Interior", 4, 5))))))))</f>
        <v/>
      </c>
      <c r="Z40" s="105" t="str">
        <f>IFERROR(INDEX('Lookup Tables'!$AH$158:$AH$172,MATCH('Lighting Inventory'!Y40,'Lookup Tables'!$AI$158:$AI$172,0)),"")</f>
        <v/>
      </c>
      <c r="AA40" s="105" t="str">
        <f>IF(AP40&gt;0,INDEX('Lookup Tables'!$AK$158:$AK$172,MATCH('Lighting Inventory'!Y40,'Lookup Tables'!$AI$158:$AI$172,0)),'Lighting Inventory'!Y40)</f>
        <v/>
      </c>
      <c r="AB40" s="105" t="str">
        <f t="array" ref="AB40">IF(V40="Custom", "Custom", IF(V40="", "", IF(V40="Not DLC or Energy Star", "General", IF(B40="New Construction", INDEX('Lookup Tables'!$AH$114:$AP$154,MATCH(1,('Lookup Tables'!$AH$114:$AH$154='Lighting Inventory'!V40)*('Lookup Tables'!$AI$114:$AI$154='Lighting Inventory'!W40),FALSE),8), INDEX('Lookup Tables'!$AH$6:$AP$102,MATCH(1,('Lookup Tables'!$AH$6:$AH$102='Lighting Inventory'!V40)*('Lookup Tables'!$AI$6:$AI$102='Lighting Inventory'!W40),FALSE),8)))))</f>
        <v/>
      </c>
      <c r="AC40" s="272" t="str">
        <f>IF(W40="","",IF(V40="Custom",CONCATENATE("$",'Lookup Tables'!$AM$101," ",'Lookup Tables'!$AN$101),CONCATENATE("$",INDEX('Lookup Tables'!$AM$6:$AM$102,MATCH('Lighting Inventory'!W40,'Lookup Tables'!$AI$6:$AI$102,0))," ",INDEX('Lookup Tables'!$AN$6:$AN$102,MATCH('Lighting Inventory'!W40,'Lookup Tables'!$AI$6:$AI$102,0)))))</f>
        <v/>
      </c>
      <c r="AD40" s="72"/>
      <c r="AE40" s="29"/>
      <c r="AF40" s="379"/>
      <c r="AG40" s="370" t="str">
        <f t="shared" si="2"/>
        <v/>
      </c>
      <c r="AH40" s="370" t="str">
        <f t="shared" si="85"/>
        <v/>
      </c>
      <c r="AI40" s="29"/>
      <c r="AJ40" s="29"/>
      <c r="AK40" s="110"/>
      <c r="AL40" s="375" t="str">
        <f>IF(OR(B40="", V40="", W40=""), "", IF(V40="No Change", K40, IF(V40="Remove Fixture", 0, IF(V40="Custom",VLOOKUP(W40,'Fixture Identities'!$A$6:$K$1023,10,FALSE),IF(AE40="", "← ENTER POST WATTS", 'Lighting Inventory'!AE40)))))</f>
        <v/>
      </c>
      <c r="AM40" s="376" t="str">
        <f t="shared" si="3"/>
        <v/>
      </c>
      <c r="AN40" s="29"/>
      <c r="AO40" s="671"/>
      <c r="AP40" s="29"/>
      <c r="AQ40" s="29"/>
      <c r="AR40" s="29"/>
      <c r="AS40" s="272" t="str">
        <f t="shared" si="4"/>
        <v/>
      </c>
      <c r="AT40" s="270" t="str">
        <f t="shared" si="234"/>
        <v/>
      </c>
      <c r="AU40" s="88" t="str">
        <f t="shared" si="235"/>
        <v/>
      </c>
      <c r="AV40" s="29"/>
      <c r="AW40" s="73"/>
      <c r="AX40" s="271" t="str">
        <f>IF(AND(AV40="Applicant",OR(AW40="", AW40="Use Default Facility Hours")),"← Choose Schedule",IF(F40="","",IF(W40="LED Exit Signs",8760,IF(OR(AV40="Prescribed",AV40=""),VLOOKUP(F40,'Lookup Tables'!$A$6:$G$59,IF(AB40="General", 6, 3),FALSE),VLOOKUP(AW40,'Lookup Tables'!$S$36:$U$43,2,FALSE)))))</f>
        <v/>
      </c>
      <c r="AY40" s="88" t="str">
        <f t="shared" si="7"/>
        <v/>
      </c>
      <c r="AZ40" s="270" t="str">
        <f>IFERROR(IF(F40="", "", IF(W40="LED Exit Signs", 1, IF(AV40="Applicant",VLOOKUP(AW40, 'Lookup Tables'!$S$36:$U$43,3, FALSE), VLOOKUP('Lighting Inventory'!F40, 'Lookup Tables'!$A$6:$H$59, IF('Lighting Inventory'!AB40="General",7,4), FALSE)))), "")</f>
        <v/>
      </c>
      <c r="BA40" s="522" t="str">
        <f>IFERROR(IF(F40="", "", IF(W40="LED Exit Signs", 1, VLOOKUP('Lighting Inventory'!F40, 'Lookup Tables'!$A$6:$H$59, IF('Lighting Inventory'!AB40="General",8,5), FALSE))), "")</f>
        <v/>
      </c>
      <c r="BB40" s="270" t="str">
        <f>IF(G40="", "", IF(E40="Exterior", 0, IF('Lighting Inventory'!G40="Air Conditioned", VLOOKUP(H40, 'Lookup Tables'!$R$6:$T$13, 2, FALSE), VLOOKUP('Lighting Inventory'!G40, 'Lookup Tables'!$R$6:$T$13, 2, FALSE))))</f>
        <v/>
      </c>
      <c r="BC40" s="522" t="str">
        <f>IF(G40="", "", IF(E40="Exterior", 0, IF('Lighting Inventory'!G40="Air Conditioned", VLOOKUP(H40, 'Lookup Tables'!$R$6:$T$13, 3, FALSE), VLOOKUP('Lighting Inventory'!G40, 'Lookup Tables'!$R$6:$T$13, 3, FALSE))))</f>
        <v/>
      </c>
      <c r="BD40" s="270" t="str">
        <f>IF(G40="", "", IF(E40="Exterior", 0, IF('Lighting Inventory'!G40="Air Conditioned", VLOOKUP(H40, 'Lookup Tables'!$R$6:$U$13, 4, FALSE), VLOOKUP('Lighting Inventory'!G40, 'Lookup Tables'!$R$6:$U$13, 4, FALSE))))</f>
        <v/>
      </c>
      <c r="BE40" s="270" t="str">
        <f>IFERROR(IF(B40="", "",  IF(B40="New Construction", VLOOKUP(F40, 'Lookup Tables'!$A$6:$K$59, 11, FALSE),IF(OR(AN40="", AN40="Light Switch"), 0, IF(OR(M40="",M40="None",V40= "LED Exit Signs"),0,_xlfn.XLOOKUP(M40,'Lookup Tables'!$R$91:$R$101,'Lookup Tables'!$V$91:$V$101))))), "")</f>
        <v/>
      </c>
      <c r="BF40" s="270" t="str">
        <f>IF(AND(OR(AN40="Light Switch",AN40=""),B40="New Construction"), VLOOKUP(F40, 'Lookup Tables'!$A$6:$K$59, 11, FALSE),IF(AN40="","",IF(B40="","",IF(OR(AN40="None",AN40="",V40="LED Exit Signs",AN40="Exterior Controls Not Eligible"),0,_xlfn.XLOOKUP(AN40,'Lookup Tables'!$R$91:$R$101,'Lookup Tables'!$V$91:$V$101)))))</f>
        <v/>
      </c>
      <c r="BG40" s="88" t="str">
        <f t="shared" si="86"/>
        <v/>
      </c>
      <c r="BH40" s="88" t="str">
        <f t="shared" si="87"/>
        <v/>
      </c>
      <c r="BI40" s="558" t="str">
        <f t="shared" si="168"/>
        <v/>
      </c>
      <c r="BJ40" s="560" t="str">
        <f t="shared" si="88"/>
        <v/>
      </c>
      <c r="BK40" s="560" t="str">
        <f t="shared" si="89"/>
        <v/>
      </c>
      <c r="BL40" s="559" t="str">
        <f t="shared" si="90"/>
        <v/>
      </c>
      <c r="BM40" s="521" t="str">
        <f t="shared" si="8"/>
        <v/>
      </c>
      <c r="BN40" s="521" t="str">
        <f t="shared" si="9"/>
        <v/>
      </c>
      <c r="BO40" s="522" t="str">
        <f t="shared" si="10"/>
        <v/>
      </c>
      <c r="BP40" s="83" t="str">
        <f t="shared" si="91"/>
        <v/>
      </c>
      <c r="BQ40" s="84" t="str">
        <f t="shared" si="92"/>
        <v/>
      </c>
      <c r="BR40" s="184" t="str">
        <f>IFERROR(IF(B40="", "", IF(OR(VLOOKUP(J40, 'Fixture Identities'!$A$6:$L$1023, 3, FALSE)="T12 Linear Fluorescent",VLOOKUP(J40, 'Fixture Identities'!$A$6:$L$1023, 3, FALSE)="T12 U-Tube Fluorescent"), "Y", "N")), "N")</f>
        <v/>
      </c>
      <c r="BS40" s="184" t="str">
        <f t="array" ref="BS40">IFERROR(IF(OR(B40="", V40="", W40=""), "", IF(V40="Custom", "N", IF(OR(W40="Freezer Case Lighting", W40="Refrigerated Case Lighting with Doors"), BT40, IF(B40="Retrofit", INDEX('Lookup Tables'!$AH$6:$AT$102,MATCH(1,('Lookup Tables'!$AH$6:$AH$102=V40)*('Lookup Tables'!$AI$6:$AI$102=W40),FALSE),IF(VLOOKUP(J40, 'Fixture Identities'!$A$6:$B$1023, 2, FALSE)="Incandescent",12, 13)), INDEX('Lookup Tables'!$AH$114:$AS$154,MATCH(1,('Lookup Tables'!$AH$114:$AH$154=V40)*('Lookup Tables'!$AI$114:$AI$154=W40),FALSE),12))))), "N")</f>
        <v/>
      </c>
      <c r="BT40" s="184" t="str">
        <f>IF(J40="", "", IF(AND(OR(W40="Freezer case Lighting", W40="Refrigerated Case Lighting with Doors"),'General Information'!$X$18="LCI"), "N", IF(OR(VLOOKUP(J40, 'Fixture Identities'!$A$6:$B$1023, 2, FALSE)="T12 EPACT/EISA Baseline", VLOOKUP(J40, 'Fixture Identities'!$A$6:$B$1023, 2, FALSE)="Linear Fluorescent", VLOOKUP(J40, 'Fixture Identities'!$A$6:$B$1023, 2, FALSE)="U-Tube Fluorescent"), "Y", "N")))</f>
        <v/>
      </c>
      <c r="BU40" s="184" t="str">
        <f>IFERROR(IF(B40="", "", IF(VLOOKUP(J40, 'Fixture Identities'!$A$6:$B$1023, 2, FALSE)="Exit Sign", "Y", "N")), "N")</f>
        <v/>
      </c>
      <c r="BV40" s="184" t="str">
        <f>IF(V40="Exit Signs", IF(VLOOKUP(J40, 'Fixture Identities'!$A$6:$B$1023, 2, FALSE)="Exit Sign", "N", "Y"), "")</f>
        <v/>
      </c>
      <c r="BW40" s="184" t="str">
        <f t="array" ref="BW40">IFERROR(IF(B40="", "", IF(B40="New Construction", "N", INDEX('Lookup Tables'!$AH$6:$AU$102, MATCH(1, ('Lookup Tables'!$AH$6:$AH$102='Lighting Inventory'!V40)*('Lookup Tables'!$AI$6:$AI$102='Lighting Inventory'!W40), 0), 14))), "N")</f>
        <v/>
      </c>
      <c r="BX40" s="598" t="str">
        <f t="shared" si="93"/>
        <v/>
      </c>
      <c r="BY40" s="598" t="str">
        <f t="shared" si="94"/>
        <v/>
      </c>
      <c r="BZ40" s="598" t="str">
        <f t="shared" si="95"/>
        <v/>
      </c>
      <c r="CA40" s="598" t="str">
        <f t="shared" si="101"/>
        <v/>
      </c>
      <c r="CB40" s="269" t="str">
        <f t="shared" si="102"/>
        <v/>
      </c>
      <c r="CC40" s="517" t="str">
        <f t="shared" si="96"/>
        <v/>
      </c>
      <c r="CD40" s="565" t="str">
        <f t="shared" si="11"/>
        <v/>
      </c>
      <c r="CE40" s="368">
        <v>0</v>
      </c>
      <c r="CF40" s="368" t="str" cm="1">
        <f t="array" ref="CF40">IFERROR(IF(V40="Custom", "$0.1 per kWh", IF(B40="New Construction", CONCATENATE("$",INDEX('Lookup Tables'!$AH$114:$AN$154,MATCH(1,('Lookup Tables'!$AH$114:$AH$154='Lighting Inventory'!V40)*('Lookup Tables'!$AI$114:$AI$154='Lighting Inventory'!W40),FALSE),6)," ",INDEX('Lookup Tables'!$AH$114:$AN$154,MATCH(1,('Lookup Tables'!$AH$114:$AH$154='Lighting Inventory'!V40)*('Lookup Tables'!$AI$114:$AI$154='Lighting Inventory'!W40),FALSE),7)), IF(AND(BU40="N", V40="Exit Signs"), "$0.025 per kWh", CONCATENATE("$",INDEX('Lookup Tables'!$AH$6:$AN$102,MATCH(1,('Lookup Tables'!$AH$6:$AH$102='Lighting Inventory'!V40)*('Lookup Tables'!$AI$6:$AI$102='Lighting Inventory'!W40),FALSE),6)," ",INDEX('Lookup Tables'!$AH$6:$AN$102,MATCH(1,('Lookup Tables'!$AH$6:$AH$102='Lighting Inventory'!V40)*('Lookup Tables'!$AI$6:$AI$102='Lighting Inventory'!W40),FALSE),7))))), "")</f>
        <v/>
      </c>
      <c r="CG40" s="366"/>
      <c r="CH40" s="248" t="str">
        <f t="shared" si="170"/>
        <v/>
      </c>
      <c r="CI40" s="248" t="str">
        <f t="shared" si="171"/>
        <v>Select_IE</v>
      </c>
      <c r="CJ40" s="248" t="str">
        <f t="shared" si="172"/>
        <v/>
      </c>
      <c r="CK40" s="248" t="str">
        <f t="shared" si="173"/>
        <v/>
      </c>
      <c r="CL40" s="248" t="str">
        <f t="shared" si="174"/>
        <v/>
      </c>
      <c r="CM40" s="248" t="str">
        <f>IFERROR(IF(B40="", "", IF(B40="New Construction", VLOOKUP(V40, 'Lookup Tables'!$AF$114:$AG$120, 2, FALSE), VLOOKUP(V40, 'Lookup Tables'!$AD$6:$AE$25, 2, FALSE))), "")</f>
        <v/>
      </c>
      <c r="CN40" s="248" t="str">
        <f t="shared" si="175"/>
        <v/>
      </c>
      <c r="CO40" s="248" t="str">
        <f t="shared" si="176"/>
        <v/>
      </c>
      <c r="CP40" s="592" t="str">
        <f t="shared" si="177"/>
        <v/>
      </c>
      <c r="CQ40" s="248" t="str">
        <f t="shared" si="97"/>
        <v/>
      </c>
      <c r="CR40" s="100"/>
      <c r="CS40" s="250" t="str">
        <f t="shared" si="178"/>
        <v/>
      </c>
      <c r="CT40" s="250" t="str">
        <f t="shared" si="179"/>
        <v/>
      </c>
      <c r="CU40" s="250" t="str">
        <f t="shared" si="180"/>
        <v/>
      </c>
      <c r="CV40" s="250" t="str">
        <f t="shared" si="181"/>
        <v/>
      </c>
      <c r="CW40" s="250" t="str">
        <f t="shared" si="182"/>
        <v/>
      </c>
      <c r="CX40" s="250" t="str">
        <f t="shared" si="183"/>
        <v/>
      </c>
      <c r="CY40" s="250" t="str">
        <f t="shared" si="184"/>
        <v/>
      </c>
      <c r="CZ40" s="250" t="str">
        <f t="shared" si="185"/>
        <v/>
      </c>
      <c r="DA40" s="250" t="str">
        <f t="shared" si="186"/>
        <v/>
      </c>
      <c r="DB40" s="250" t="str">
        <f t="shared" si="187"/>
        <v/>
      </c>
      <c r="DC40" s="250" t="str">
        <f t="shared" si="188"/>
        <v/>
      </c>
      <c r="DD40" s="250" t="str">
        <f t="shared" si="189"/>
        <v/>
      </c>
      <c r="DE40" s="250" t="str">
        <f t="shared" si="190"/>
        <v/>
      </c>
      <c r="DF40" s="250" t="str">
        <f t="shared" si="191"/>
        <v/>
      </c>
      <c r="DG40" s="250" t="str">
        <f t="shared" si="192"/>
        <v/>
      </c>
      <c r="DH40" s="250" t="str">
        <f t="shared" si="193"/>
        <v/>
      </c>
      <c r="DI40" s="250" t="str">
        <f t="shared" si="194"/>
        <v/>
      </c>
      <c r="DJ40" s="250" t="str">
        <f t="shared" si="195"/>
        <v/>
      </c>
      <c r="DK40" s="250" t="str">
        <f t="shared" si="196"/>
        <v/>
      </c>
      <c r="DL40" s="250" t="str">
        <f t="shared" si="197"/>
        <v/>
      </c>
      <c r="DM40" s="250" t="str">
        <f>IF(CD40="ERROR", "ERROR", IF(AND(OR(Y40=$DM$6, Y40='Lookup Tables'!$AD$21, Y40='Lookup Tables'!$AD$22), E40="Interior"), BJ40, ""))</f>
        <v/>
      </c>
      <c r="DN40" s="250" t="str">
        <f>IF(CD40="ERROR", "ERROR", IF(AND(OR(Y40=$DM$6, Y40='Lookup Tables'!$AD$21, Y40='Lookup Tables'!$AD$22), E40="Exterior"), BJ40, ""))</f>
        <v/>
      </c>
      <c r="DO40" s="100"/>
      <c r="DP40" s="250" t="str">
        <f t="shared" si="198"/>
        <v/>
      </c>
      <c r="DQ40" s="250" t="str">
        <f t="shared" si="199"/>
        <v/>
      </c>
      <c r="DR40" s="250" t="str">
        <f t="shared" si="200"/>
        <v/>
      </c>
      <c r="DS40" s="250" t="str">
        <f t="shared" si="201"/>
        <v/>
      </c>
      <c r="DT40" s="250" t="str">
        <f t="shared" si="202"/>
        <v/>
      </c>
      <c r="DU40" s="250" t="str">
        <f t="shared" si="203"/>
        <v/>
      </c>
      <c r="DV40" s="250" t="str">
        <f t="shared" si="204"/>
        <v/>
      </c>
      <c r="DW40" s="250" t="str">
        <f t="shared" si="205"/>
        <v/>
      </c>
      <c r="DX40" s="250" t="str">
        <f t="shared" si="206"/>
        <v/>
      </c>
      <c r="DY40" s="250" t="str">
        <f t="shared" si="207"/>
        <v/>
      </c>
      <c r="DZ40" s="250" t="str">
        <f t="shared" si="208"/>
        <v/>
      </c>
      <c r="EA40" s="250" t="str">
        <f t="shared" si="209"/>
        <v/>
      </c>
      <c r="EB40" s="250" t="str">
        <f t="shared" si="210"/>
        <v/>
      </c>
      <c r="EC40" s="250" t="str">
        <f t="shared" si="211"/>
        <v/>
      </c>
      <c r="ED40" s="250" t="str">
        <f t="shared" si="212"/>
        <v/>
      </c>
      <c r="EE40" s="250" t="str">
        <f t="shared" si="213"/>
        <v/>
      </c>
      <c r="EF40" s="250" t="str">
        <f t="shared" si="214"/>
        <v/>
      </c>
      <c r="EG40" s="250" t="str">
        <f t="shared" si="215"/>
        <v/>
      </c>
      <c r="EH40" s="250" t="str">
        <f>IF(CD40="ERROR", "ERROR", IF(AND(OR($EH$6=Y40, Y40='Lookup Tables'!$AD$21, Y40='Lookup Tables'!$AD$22),E40="Interior"), SUM(BP40:BP40), ""))</f>
        <v/>
      </c>
      <c r="EI40" s="250" t="str">
        <f>IF(CD40="ERROR", "ERROR", IF(AND(OR($EH$6=Y40, Y40='Lookup Tables'!$AD$21, Y40='Lookup Tables'!$AD$22),E40="Exterior"), SUM(BP40:BP40), ""))</f>
        <v/>
      </c>
      <c r="EJ40" s="109"/>
      <c r="EK40" s="485" t="str">
        <f t="shared" si="58"/>
        <v/>
      </c>
      <c r="EL40" s="252" t="str">
        <f t="shared" si="216"/>
        <v/>
      </c>
      <c r="EM40" s="252" t="str">
        <f t="shared" si="217"/>
        <v/>
      </c>
      <c r="EN40" s="252" t="str">
        <f t="shared" si="218"/>
        <v/>
      </c>
      <c r="EO40" s="252" t="str">
        <f t="shared" si="219"/>
        <v/>
      </c>
      <c r="EP40" s="252" t="str">
        <f t="shared" si="220"/>
        <v/>
      </c>
      <c r="EQ40" s="252" t="str">
        <f t="shared" si="221"/>
        <v/>
      </c>
      <c r="ER40" s="252" t="str">
        <f t="shared" si="222"/>
        <v/>
      </c>
      <c r="ES40" s="252" t="str">
        <f t="shared" si="223"/>
        <v/>
      </c>
      <c r="ET40" s="252" t="str">
        <f t="shared" si="224"/>
        <v/>
      </c>
      <c r="EU40" s="252" t="str">
        <f t="shared" si="225"/>
        <v/>
      </c>
      <c r="EV40" s="252" t="str">
        <f t="shared" si="226"/>
        <v/>
      </c>
      <c r="EW40" s="252" t="str">
        <f t="shared" si="227"/>
        <v/>
      </c>
      <c r="EX40" s="252" t="str">
        <f t="shared" si="228"/>
        <v/>
      </c>
      <c r="EY40" s="252" t="str">
        <f t="shared" si="229"/>
        <v/>
      </c>
      <c r="EZ40" s="252" t="str">
        <f t="shared" si="230"/>
        <v/>
      </c>
      <c r="FA40" s="252" t="str">
        <f t="shared" si="231"/>
        <v/>
      </c>
      <c r="FB40" s="252" t="str">
        <f t="shared" si="232"/>
        <v/>
      </c>
      <c r="FC40" s="252" t="str">
        <f>IF(CD40="ERROR", "ERROR", IF(OR(V40="No Change", V40="Not DLC or Energy Star"), "", IF(AND(OR($FC$6=Y40,Y40='Lookup Tables'!$AD$21, Y40='Lookup Tables'!$AD$22),E40="Interior"), S40, "")))</f>
        <v/>
      </c>
      <c r="FD40" s="252" t="str">
        <f t="shared" si="233"/>
        <v/>
      </c>
      <c r="FE40" s="101"/>
      <c r="FF40" s="579" t="str" cm="1">
        <f t="array" ref="FF40">IFERROR(IF(OR(BQ40&lt;=0,AQ40&lt;20,AND(V40="Exit Signs",AN40&gt;0)),"",IF(AND(AQ40&gt;=20,AN40='Lookup Tables'!$R$101),'Lookup Tables'!$U$101*BQ40,AP40*LOOKUP(2,1/((AN40='Lookup Tables'!$R$91:$R$111)*(AQ40&gt;='Lookup Tables'!$S$91:$S$111)*(AQ40&lt;='Lookup Tables'!$T$91:$T$111)),'Lookup Tables'!$U$91:$U$111))),"")</f>
        <v/>
      </c>
      <c r="FG40" s="579"/>
      <c r="FH40" s="579"/>
      <c r="FI40" s="253" t="str">
        <f>IFERROR(ROUND(IF(CD40="ERROR", "ERROR", IF(AND($FI$7=X40,E40="Interior"),VLOOKUP(W40, 'Lookup Tables'!$AI$6:$AM$102, 5, FALSE)*BP40, "")), 2), "")</f>
        <v/>
      </c>
      <c r="FJ40" s="253" t="str">
        <f>IFERROR(ROUND(IF(CD40="ERROR", "ERROR", IF(AND($FI$7=X40,E40="Exterior"),VLOOKUP(W40, 'Lookup Tables'!$AI$6:$AM$102, 5, FALSE)*BP40, "")), 2), "")</f>
        <v/>
      </c>
      <c r="FK40" s="253" t="str">
        <f>IFERROR(ROUND(IF(CD40="ERROR", "ERROR", IF(AND($FK$7=X40,E40="Interior"),VLOOKUP(W40, 'Lookup Tables'!$AI$6:$AM$102, 5, FALSE)*BP40, "")), 2), "")</f>
        <v/>
      </c>
      <c r="FL40" s="253" t="str">
        <f>IFERROR(ROUND(IF(CD40="ERROR", "ERROR", IF(AND($FK$7=X40,E40="Exterior"),VLOOKUP(W40, 'Lookup Tables'!$AI$6:$AM$102, 5, FALSE)*BP40, "")), 2), "")</f>
        <v/>
      </c>
      <c r="FM40" s="253" t="str">
        <f>IFERROR(ROUND(IF(CD40="ERROR", "ERROR", IF(AND($FM$6=Y40,E40="Interior"), IF(GB40=0, VLOOKUP(W40, 'Lookup Tables'!$AI$6:$AM$102, 5, FALSE)*BP40, IF(VLOOKUP(W40, 'Lookup Tables'!$AI$6:$AM$102, 5, FALSE)*BP40&gt;GB40*'Lighting Inventory'!S40, GB40*'Lighting Inventory'!S40,VLOOKUP(W40, 'Lookup Tables'!$AI$6:$AM$102, 5, FALSE)*BP40)), "")), 2), "")</f>
        <v/>
      </c>
      <c r="FN40" s="253" t="str">
        <f>IFERROR(ROUND(IF(CD40="ERROR", "ERROR", IF(AND($FM$6=Y40,E40="Exterior"), IF(GB40=0, VLOOKUP(W40, 'Lookup Tables'!$AI$6:$AM$102, 5, FALSE)*BP40, IF(VLOOKUP(W40, 'Lookup Tables'!$AI$6:$AM$102, 5, FALSE)*BP40&gt;GB40*'Lighting Inventory'!S40, GB40*'Lighting Inventory'!S40,VLOOKUP(W40, 'Lookup Tables'!$AI$6:$AM$102, 5, FALSE)*BP40)), "")), 2), "")</f>
        <v/>
      </c>
      <c r="FO40" s="253" t="str">
        <f>IFERROR(ROUND(IF(CD40="ERROR", "ERROR", IF(AND($FO$6=Y40,E40="Interior"),VLOOKUP(W40, 'Lookup Tables'!$AI$6:$AM$102, 5, FALSE)*'Lighting Inventory'!AI40, "")), 2), "")</f>
        <v/>
      </c>
      <c r="FP40" s="253" t="str">
        <f>IFERROR(ROUND(IF(CD40="ERROR", "ERROR", IF(AND($FO$6=Y40,E40="Exterior"),VLOOKUP(W40, 'Lookup Tables'!$AI$6:$AM$102, 5, FALSE)*'Lighting Inventory'!AI40, "")), 2), "")</f>
        <v/>
      </c>
      <c r="FQ40" s="253" t="str">
        <f>IFERROR(ROUND(IF(CD40="ERROR", "ERROR", IF(AND($FQ$6=Y40,E40="Interior", BU40="Y"), VLOOKUP('Lighting Inventory'!W40, 'Lookup Tables'!$AI$6:$AM$102, 5, FALSE)*'Lighting Inventory'!S40, IF(AND($FQ$7=Y40,E40="Interior", BU40="N"), 0.025*CD40, ""))), 2), "")</f>
        <v/>
      </c>
      <c r="FR40" s="253" t="str">
        <f>IFERROR(ROUND(IF(CD40="ERROR", "ERROR", IF(AND($FQ$6=Y40,E40="Exterior"), VLOOKUP('Lighting Inventory'!W40, 'Lookup Tables'!$AI$6:$AM$102, 5, FALSE)*'Lighting Inventory'!S40, "")), 2), "")</f>
        <v/>
      </c>
      <c r="FS40" s="253" t="str">
        <f>IFERROR(ROUND(IF(CD40="ERROR", "ERROR", IF(AND($FS$6=Y40,E40="Exterior"), IF(GB40=0, VLOOKUP(W40, 'Lookup Tables'!$AI$6:$AM$102, 5, FALSE)*BP40, IF(VLOOKUP(W40, 'Lookup Tables'!$AI$6:$AM$102, 5, FALSE)*BP40&gt;GB40*'Lighting Inventory'!S40, GB40*'Lighting Inventory'!S40,VLOOKUP(W40, 'Lookup Tables'!$AI$6:$AM$102, 5, FALSE)*BP40)), "")), 2), "")</f>
        <v/>
      </c>
      <c r="FT40" s="253" t="str">
        <f>IFERROR(ROUND(IF(CD40="ERROR", "ERROR", IF(AND($FT$6=Y40,E40="Interior"), IF(GB40=0, VLOOKUP(W40, 'Lookup Tables'!$AI$6:$AM$102, 5, FALSE)*BP40, IF(VLOOKUP(W40, 'Lookup Tables'!$AI$6:$AM$102, 5, FALSE)*BP40&gt;GB40*'Lighting Inventory'!S40, GB40*'Lighting Inventory'!S40,VLOOKUP(W40, 'Lookup Tables'!$AI$6:$AM$102, 5, FALSE)*BP40)), "")), 2), "")</f>
        <v/>
      </c>
      <c r="FU40" s="253" t="str">
        <f>IFERROR(ROUND(IF(CD40="ERROR", "ERROR", IF(AND(Y40=$FU$6, E40="Interior"), IF(BS40="N", 'Lookup Tables'!$AM$101*BP40, VLOOKUP(W40, 'Lookup Tables'!$AI$6:$AM$102, 5, FALSE)*S40*AD40), "")), 2), "")</f>
        <v/>
      </c>
      <c r="FV40" s="253" t="str">
        <f>IFERROR(ROUND(IF(CD40="ERROR", "ERROR", IF(AND(Y40=$FU$6, E40="Exterior"), IF(BS40="N", 'Lookup Tables'!$AM$101*BP40, VLOOKUP(W40, 'Lookup Tables'!$AI$6:$AM$102, 5, FALSE)*S40*AD40), "")), 2), "")</f>
        <v/>
      </c>
      <c r="FW40" s="253" t="str">
        <f>IFERROR(ROUND(IF(CD40="ERROR", "ERROR", IF($FW$6=Y40, IF(BS40="N", 'Lookup Tables'!$AM$101*BP40, MIN((VLOOKUP(W40, 'Lookup Tables'!$AI$6:$AM$102, 5, FALSE)*BP40),GB40*AJ40)), "")), 2), "")</f>
        <v/>
      </c>
      <c r="FX40" s="253" t="str">
        <f>IFERROR(ROUND(IF(CD40="ERROR", "ERROR", IF(AND($FX$6=Y40, E40="Interior"), IF(VLOOKUP(W40, 'Lookup Tables'!$AI$6:$AM$102, 5, FALSE)*BP40&gt;'Lookup Tables'!$AQ$97*'Lighting Inventory'!S40,'Lighting Inventory'!S40*'Lookup Tables'!$AQ$97,VLOOKUP(W40, 'Lookup Tables'!$AI$6:$AM$102, 5, FALSE)*BP40), "")), 2), "")</f>
        <v/>
      </c>
      <c r="FY40" s="253" t="str">
        <f>IFERROR(ROUND(IF(CD40="ERROR", "ERROR", IF(AND($FX$6=Y40, E40="Exterior"), IF(VLOOKUP(W40, 'Lookup Tables'!$AI$6:$AM$102, 5, FALSE)*BP40&gt;'Lookup Tables'!$AQ$97*'Lighting Inventory'!S40,'Lighting Inventory'!S40*'Lookup Tables'!$AQ$97,VLOOKUP(W40, 'Lookup Tables'!$AI$6:$AM$102, 5, FALSE)*BP40), "")), 2), "")</f>
        <v/>
      </c>
      <c r="FZ40" s="253" t="str">
        <f>IFERROR(ROUND(IF(CD40="ERROR", "ERROR", IF(AND($FZ$6=Y40, E40="Interior"), IF(AND(OR(W40="Refrigerated Case Lighting with Doors", W40="Freezer Case Lighting"),Y40="Custom - Process Improvement"),CD40*'Lookup Tables'!$AM$101, IF(B40="Retrofit", IF(VLOOKUP(IF(V40="Custom", V40, W40), 'Lookup Tables'!$AI$6:$AM$102, 5, FALSE)*BP40&gt;GE40, GE40, VLOOKUP(IF(V40="Custom", V40, W40), 'Lookup Tables'!$AI$6:$AM$102, 5, FALSE)*BP40), IF(VLOOKUP(IF(V40="Custom", V40, W40), 'Lookup Tables'!$AI$114:$AM$154, 5, FALSE)*BP40&gt;GE40, GE40, VLOOKUP(IF(V40="Custom", V40, W40), 'Lookup Tables'!$AI$114:$AM$154, 5, FALSE)*BP40))), "")), 2),"")</f>
        <v/>
      </c>
      <c r="GA40" s="253" t="str">
        <f>IFERROR(ROUND(IF(CD40="ERROR", "ERROR", IF(AND($FZ$6=Y40, E40="Exterior"), IF(B40="Retrofit", IF(VLOOKUP(IF(V40="Custom", V40, W40), 'Lookup Tables'!$AI$6:$AM$102, 5, FALSE)*BP40&gt;GE40, GE40, VLOOKUP(IF(V40="Custom", V40, W40), 'Lookup Tables'!$AI$6:$AM$102, 5, FALSE)*BP40), IF(VLOOKUP(IF(V40="Custom", V40, W40), 'Lookup Tables'!$AI$114:$AM$154, 5, FALSE)*BP40&gt;GE40, GE40, VLOOKUP(IF(V40="Custom", V40, W40), 'Lookup Tables'!$AI$114:$AM$154, 5, FALSE)*BP40)), "")), 2),"")</f>
        <v/>
      </c>
      <c r="GB40" s="254" t="str">
        <f t="array" ref="GB40">IF(B40="","",IF(OR(V40="Custom",V40="No Change"),0,IF(B40="Retrofit", INDEX('Lookup Tables'!$AH$6:$AQ$102,MATCH(1,('Lookup Tables'!$AH$6:$AH$102='Lighting Inventory'!V40)*('Lookup Tables'!$AI$6:$AI$102='Lighting Inventory'!W40),FALSE),10),INDEX('Lookup Tables'!$AH$114:$AQ$154,MATCH(1,('Lookup Tables'!$AH$114:$AH$154='Lighting Inventory'!V40)*('Lookup Tables'!$AI$114:$AI$154='Lighting Inventory'!W40),FALSE),10))))</f>
        <v/>
      </c>
      <c r="GC40" s="255" t="str">
        <f t="shared" si="77"/>
        <v/>
      </c>
      <c r="GD40" s="250" t="str">
        <f t="shared" si="78"/>
        <v/>
      </c>
      <c r="GE40" s="253" t="str">
        <f>IFERROR(IF(AND(AF40="", 'General Information'!$F$18="No"),"", IF(AF40="", ((GD40/$CD$266)*$CF$266)*0.5, AF40*S40*0.5)), "")</f>
        <v/>
      </c>
      <c r="GF40" s="255" t="str">
        <f>IF(AND('General Information'!$F$19="", 'General Information'!$F$18="Yes",AF40="",BW40="Y"), "Y", "N")</f>
        <v>N</v>
      </c>
      <c r="GG40" s="255" t="s">
        <v>2946</v>
      </c>
      <c r="GH40" s="255" t="str">
        <f>IFERROR(IF(B40="", "", VLOOKUP(J40, 'Fixture Identities'!$A$6:$N$908, 14, FALSE)), "")</f>
        <v/>
      </c>
      <c r="GI40" s="389" t="str">
        <f>IF(OR(B40="", V40="", W40=""), "", IF(AND(OR(M40='Lookup Tables'!$R$18, M40='Lookup Tables'!$R$19, M40='Lookup Tables'!$R$20, M40='Lookup Tables'!$R$21, M40='Lookup Tables'!$R$22), OR(AN40='Lookup Tables'!$R$17, AN40='Lookup Tables'!$R$17, AN40="")), "Y", "N"))</f>
        <v/>
      </c>
      <c r="GJ40" s="255" t="str">
        <f t="shared" si="79"/>
        <v/>
      </c>
      <c r="GK40" s="255" t="str">
        <f t="shared" si="80"/>
        <v/>
      </c>
      <c r="GL40" s="255" t="str">
        <f t="shared" si="81"/>
        <v/>
      </c>
      <c r="GM40" s="255" t="str">
        <f>IF(AN40="", "", IF(AND(IF(ISNA(VLOOKUP(AN40,'Lookup Tables'!$R$18:$R$22,1,FALSE)), "N", "Y")="Y", E40="Exterior"), "Y", "N"))</f>
        <v/>
      </c>
      <c r="GN40" s="395"/>
      <c r="GO40" s="428">
        <f t="shared" si="98"/>
        <v>0</v>
      </c>
      <c r="GP40" s="428">
        <f t="shared" si="167"/>
        <v>0</v>
      </c>
      <c r="GQ40" s="428">
        <f t="shared" si="99"/>
        <v>0</v>
      </c>
      <c r="GR40" s="428">
        <f t="shared" si="100"/>
        <v>0</v>
      </c>
    </row>
    <row r="41" spans="1:202" s="103" customFormat="1" ht="13.5" customHeight="1" x14ac:dyDescent="0.2">
      <c r="A41" s="272">
        <v>31</v>
      </c>
      <c r="B41" s="110"/>
      <c r="C41" s="110"/>
      <c r="D41" s="110"/>
      <c r="E41" s="110"/>
      <c r="F41" s="110"/>
      <c r="G41" s="110"/>
      <c r="H41" s="110"/>
      <c r="I41" s="29"/>
      <c r="J41" s="29"/>
      <c r="K41" s="272" t="str">
        <f>IFERROR(IF(OR(VLOOKUP(J41, 'Fixture Identities'!$A$6:$L$1023, 3, FALSE)="T12 Linear Fluorescent", VLOOKUP(J41, 'Fixture Identities'!$A$6:$L$1023, 3, FALSE)="T12 U-Tube Fluorescent"), VLOOKUP(VLOOKUP(J41, 'Fixture Identities'!$A$6:$L$1023, 11, FALSE), 'Fixture Identities'!$A$6:$L$1023, 10, FALSE), VLOOKUP(J41, 'Fixture Identities'!$A$6:$L$1023, 10, FALSE)), "")</f>
        <v/>
      </c>
      <c r="L41" s="270" t="str">
        <f t="shared" si="169"/>
        <v/>
      </c>
      <c r="M41" s="110"/>
      <c r="N41" s="110"/>
      <c r="O41" s="110"/>
      <c r="P41" s="272" t="str">
        <f>IFERROR(IF(OR(B41="Retrofit",B41=""),"",IF('Lighting Inventory'!E41="Exterior",VLOOKUP('Lighting Inventory'!N41,'Lookup Tables'!$B$83:$F$103,5,FALSE),IF(N41="Other - Please Estimate EFLH and CFs","Contact Prog. Rep.","ft^2"))), "")</f>
        <v/>
      </c>
      <c r="Q41" s="270" t="str">
        <f>IFERROR(IF(AND(B41="New Construction",E41="Interior",$F$5="Space-by-Space"),VLOOKUP('Lighting Inventory'!N41,'Lookup Tables'!$N$6:$O$97,2,FALSE),IF(AND(B41="New Construction",E41="Exterior"),VLOOKUP(N41,'Lookup Tables'!$B$83:$F$103,2,FALSE),IF(AND(B41="New Construction",'Lighting Inventory'!E41="Interior", $F$5="Building Area"),VLOOKUP(F41,'Lookup Tables'!$A$6:$J$59,10,FALSE),""))), "")</f>
        <v/>
      </c>
      <c r="R41" s="270" t="str">
        <f>IFERROR(IF(P41="Contact Prog. Rep.", "ERROR", IF(OR(B41="",B41="Retrofit"),"",IF(N41="Automated teller machines", ('Lookup Tables'!$A$82:$E$100+('Lighting Inventory'!O41-1)*'Lookup Tables'!$A$82:$E$100)/1000, (Q41*O41)/1000))), "")</f>
        <v/>
      </c>
      <c r="S41" s="595"/>
      <c r="T41" s="105" t="str">
        <f t="shared" si="83"/>
        <v/>
      </c>
      <c r="U41" s="105" t="str">
        <f>IF(S41="","",COUNT($S$11:S41))</f>
        <v/>
      </c>
      <c r="V41" s="111"/>
      <c r="W41" s="112"/>
      <c r="X41" s="105" t="str">
        <f t="shared" si="84"/>
        <v/>
      </c>
      <c r="Y41" s="105" t="str">
        <f t="array" ref="Y41">IF(AND(OR(W41="Freezer Case Lighting", W41="Refrigerated Case Lighting with Doors"), 'General Information'!$X$18="LCI"),'Lookup Tables'!$Y$34, IF(V41="Custom", VLOOKUP(W41, 'Fixture Identities'!$A$974:$M$1023, 13, FALSE), IF(V41="No Change",'Lookup Tables'!$Y$29,IF(OR(V41="",W41=""),"",IF(AND(S41=0,S41&lt;I41,B41="Retrofit"),'Lookup Tables'!$Y$25, IF(B41="Retrofit", INDEX('Lookup Tables'!$AH$6:$AP$102, MATCH(1, ('Lookup Tables'!$AH$6:$AH$102=V41)*('Lookup Tables'!$AI$6:$AI$102=W41), 0), IF('Lighting Inventory'!E41="Interior", 4, 5)), INDEX('Lookup Tables'!$AH$114:$AP$154, MATCH(1, ('Lookup Tables'!$AH$114:$AH$154=V41)*('Lookup Tables'!$AI$114:$AI$154=W41), 0), IF('Lighting Inventory'!E41="Interior", 4, 5))))))))</f>
        <v/>
      </c>
      <c r="Z41" s="105" t="str">
        <f>IFERROR(INDEX('Lookup Tables'!$AH$158:$AH$172,MATCH('Lighting Inventory'!Y41,'Lookup Tables'!$AI$158:$AI$172,0)),"")</f>
        <v/>
      </c>
      <c r="AA41" s="105" t="str">
        <f>IF(AP41&gt;0,INDEX('Lookup Tables'!$AK$158:$AK$172,MATCH('Lighting Inventory'!Y41,'Lookup Tables'!$AI$158:$AI$172,0)),'Lighting Inventory'!Y41)</f>
        <v/>
      </c>
      <c r="AB41" s="105" t="str">
        <f t="array" ref="AB41">IF(V41="Custom", "Custom", IF(V41="", "", IF(V41="Not DLC or Energy Star", "General", IF(B41="New Construction", INDEX('Lookup Tables'!$AH$114:$AP$154,MATCH(1,('Lookup Tables'!$AH$114:$AH$154='Lighting Inventory'!V41)*('Lookup Tables'!$AI$114:$AI$154='Lighting Inventory'!W41),FALSE),8), INDEX('Lookup Tables'!$AH$6:$AP$102,MATCH(1,('Lookup Tables'!$AH$6:$AH$102='Lighting Inventory'!V41)*('Lookup Tables'!$AI$6:$AI$102='Lighting Inventory'!W41),FALSE),8)))))</f>
        <v/>
      </c>
      <c r="AC41" s="272" t="str">
        <f>IF(W41="","",IF(V41="Custom",CONCATENATE("$",'Lookup Tables'!$AM$101," ",'Lookup Tables'!$AN$101),CONCATENATE("$",INDEX('Lookup Tables'!$AM$6:$AM$102,MATCH('Lighting Inventory'!W41,'Lookup Tables'!$AI$6:$AI$102,0))," ",INDEX('Lookup Tables'!$AN$6:$AN$102,MATCH('Lighting Inventory'!W41,'Lookup Tables'!$AI$6:$AI$102,0)))))</f>
        <v/>
      </c>
      <c r="AD41" s="72"/>
      <c r="AE41" s="29"/>
      <c r="AF41" s="379"/>
      <c r="AG41" s="370" t="str">
        <f t="shared" si="2"/>
        <v/>
      </c>
      <c r="AH41" s="370" t="str">
        <f t="shared" si="85"/>
        <v/>
      </c>
      <c r="AI41" s="29"/>
      <c r="AJ41" s="29"/>
      <c r="AK41" s="110"/>
      <c r="AL41" s="375" t="str">
        <f>IF(OR(B41="", V41="", W41=""), "", IF(V41="No Change", K41, IF(V41="Remove Fixture", 0, IF(V41="Custom",VLOOKUP(W41,'Fixture Identities'!$A$6:$K$1023,10,FALSE),IF(AE41="", "← ENTER POST WATTS", 'Lighting Inventory'!AE41)))))</f>
        <v/>
      </c>
      <c r="AM41" s="376" t="str">
        <f t="shared" si="3"/>
        <v/>
      </c>
      <c r="AN41" s="29"/>
      <c r="AO41" s="671"/>
      <c r="AP41" s="29"/>
      <c r="AQ41" s="29"/>
      <c r="AR41" s="29"/>
      <c r="AS41" s="272" t="str">
        <f t="shared" si="4"/>
        <v/>
      </c>
      <c r="AT41" s="270" t="str">
        <f t="shared" si="234"/>
        <v/>
      </c>
      <c r="AU41" s="88" t="str">
        <f t="shared" si="235"/>
        <v/>
      </c>
      <c r="AV41" s="29"/>
      <c r="AW41" s="73"/>
      <c r="AX41" s="271" t="str">
        <f>IF(AND(AV41="Applicant",OR(AW41="", AW41="Use Default Facility Hours")),"← Choose Schedule",IF(F41="","",IF(W41="LED Exit Signs",8760,IF(OR(AV41="Prescribed",AV41=""),VLOOKUP(F41,'Lookup Tables'!$A$6:$G$59,IF(AB41="General", 6, 3),FALSE),VLOOKUP(AW41,'Lookup Tables'!$S$36:$U$43,2,FALSE)))))</f>
        <v/>
      </c>
      <c r="AY41" s="88" t="str">
        <f t="shared" si="7"/>
        <v/>
      </c>
      <c r="AZ41" s="270" t="str">
        <f>IFERROR(IF(F41="", "", IF(W41="LED Exit Signs", 1, IF(AV41="Applicant",VLOOKUP(AW41, 'Lookup Tables'!$S$36:$U$43,3, FALSE), VLOOKUP('Lighting Inventory'!F41, 'Lookup Tables'!$A$6:$H$59, IF('Lighting Inventory'!AB41="General",7,4), FALSE)))), "")</f>
        <v/>
      </c>
      <c r="BA41" s="522" t="str">
        <f>IFERROR(IF(F41="", "", IF(W41="LED Exit Signs", 1, VLOOKUP('Lighting Inventory'!F41, 'Lookup Tables'!$A$6:$H$59, IF('Lighting Inventory'!AB41="General",8,5), FALSE))), "")</f>
        <v/>
      </c>
      <c r="BB41" s="270" t="str">
        <f>IF(G41="", "", IF(E41="Exterior", 0, IF('Lighting Inventory'!G41="Air Conditioned", VLOOKUP(H41, 'Lookup Tables'!$R$6:$T$13, 2, FALSE), VLOOKUP('Lighting Inventory'!G41, 'Lookup Tables'!$R$6:$T$13, 2, FALSE))))</f>
        <v/>
      </c>
      <c r="BC41" s="522" t="str">
        <f>IF(G41="", "", IF(E41="Exterior", 0, IF('Lighting Inventory'!G41="Air Conditioned", VLOOKUP(H41, 'Lookup Tables'!$R$6:$T$13, 3, FALSE), VLOOKUP('Lighting Inventory'!G41, 'Lookup Tables'!$R$6:$T$13, 3, FALSE))))</f>
        <v/>
      </c>
      <c r="BD41" s="270" t="str">
        <f>IF(G41="", "", IF(E41="Exterior", 0, IF('Lighting Inventory'!G41="Air Conditioned", VLOOKUP(H41, 'Lookup Tables'!$R$6:$U$13, 4, FALSE), VLOOKUP('Lighting Inventory'!G41, 'Lookup Tables'!$R$6:$U$13, 4, FALSE))))</f>
        <v/>
      </c>
      <c r="BE41" s="270" t="str">
        <f>IFERROR(IF(B41="", "",  IF(B41="New Construction", VLOOKUP(F41, 'Lookup Tables'!$A$6:$K$59, 11, FALSE),IF(OR(AN41="", AN41="Light Switch"), 0, IF(OR(M41="",M41="None",V41= "LED Exit Signs"),0,_xlfn.XLOOKUP(M41,'Lookup Tables'!$R$91:$R$101,'Lookup Tables'!$V$91:$V$101))))), "")</f>
        <v/>
      </c>
      <c r="BF41" s="270" t="str">
        <f>IF(AND(OR(AN41="Light Switch",AN41=""),B41="New Construction"), VLOOKUP(F41, 'Lookup Tables'!$A$6:$K$59, 11, FALSE),IF(AN41="","",IF(B41="","",IF(OR(AN41="None",AN41="",V41="LED Exit Signs",AN41="Exterior Controls Not Eligible"),0,_xlfn.XLOOKUP(AN41,'Lookup Tables'!$R$91:$R$101,'Lookup Tables'!$V$91:$V$101)))))</f>
        <v/>
      </c>
      <c r="BG41" s="88" t="str">
        <f t="shared" si="86"/>
        <v/>
      </c>
      <c r="BH41" s="88" t="str">
        <f t="shared" si="87"/>
        <v/>
      </c>
      <c r="BI41" s="558" t="str">
        <f t="shared" si="168"/>
        <v/>
      </c>
      <c r="BJ41" s="560" t="str">
        <f t="shared" si="88"/>
        <v/>
      </c>
      <c r="BK41" s="560" t="str">
        <f t="shared" si="89"/>
        <v/>
      </c>
      <c r="BL41" s="559" t="str">
        <f t="shared" si="90"/>
        <v/>
      </c>
      <c r="BM41" s="521" t="str">
        <f t="shared" si="8"/>
        <v/>
      </c>
      <c r="BN41" s="521" t="str">
        <f t="shared" si="9"/>
        <v/>
      </c>
      <c r="BO41" s="522" t="str">
        <f t="shared" si="10"/>
        <v/>
      </c>
      <c r="BP41" s="83" t="str">
        <f t="shared" si="91"/>
        <v/>
      </c>
      <c r="BQ41" s="84" t="str">
        <f t="shared" si="92"/>
        <v/>
      </c>
      <c r="BR41" s="184" t="str">
        <f>IFERROR(IF(B41="", "", IF(OR(VLOOKUP(J41, 'Fixture Identities'!$A$6:$L$1023, 3, FALSE)="T12 Linear Fluorescent",VLOOKUP(J41, 'Fixture Identities'!$A$6:$L$1023, 3, FALSE)="T12 U-Tube Fluorescent"), "Y", "N")), "N")</f>
        <v/>
      </c>
      <c r="BS41" s="184" t="str">
        <f t="array" ref="BS41">IFERROR(IF(OR(B41="", V41="", W41=""), "", IF(V41="Custom", "N", IF(OR(W41="Freezer Case Lighting", W41="Refrigerated Case Lighting with Doors"), BT41, IF(B41="Retrofit", INDEX('Lookup Tables'!$AH$6:$AT$102,MATCH(1,('Lookup Tables'!$AH$6:$AH$102=V41)*('Lookup Tables'!$AI$6:$AI$102=W41),FALSE),IF(VLOOKUP(J41, 'Fixture Identities'!$A$6:$B$1023, 2, FALSE)="Incandescent",12, 13)), INDEX('Lookup Tables'!$AH$114:$AS$154,MATCH(1,('Lookup Tables'!$AH$114:$AH$154=V41)*('Lookup Tables'!$AI$114:$AI$154=W41),FALSE),12))))), "N")</f>
        <v/>
      </c>
      <c r="BT41" s="184" t="str">
        <f>IF(J41="", "", IF(AND(OR(W41="Freezer case Lighting", W41="Refrigerated Case Lighting with Doors"),'General Information'!$X$18="LCI"), "N", IF(OR(VLOOKUP(J41, 'Fixture Identities'!$A$6:$B$1023, 2, FALSE)="T12 EPACT/EISA Baseline", VLOOKUP(J41, 'Fixture Identities'!$A$6:$B$1023, 2, FALSE)="Linear Fluorescent", VLOOKUP(J41, 'Fixture Identities'!$A$6:$B$1023, 2, FALSE)="U-Tube Fluorescent"), "Y", "N")))</f>
        <v/>
      </c>
      <c r="BU41" s="184" t="str">
        <f>IFERROR(IF(B41="", "", IF(VLOOKUP(J41, 'Fixture Identities'!$A$6:$B$1023, 2, FALSE)="Exit Sign", "Y", "N")), "N")</f>
        <v/>
      </c>
      <c r="BV41" s="184" t="str">
        <f>IF(V41="Exit Signs", IF(VLOOKUP(J41, 'Fixture Identities'!$A$6:$B$1023, 2, FALSE)="Exit Sign", "N", "Y"), "")</f>
        <v/>
      </c>
      <c r="BW41" s="184" t="str">
        <f t="array" ref="BW41">IFERROR(IF(B41="", "", IF(B41="New Construction", "N", INDEX('Lookup Tables'!$AH$6:$AU$102, MATCH(1, ('Lookup Tables'!$AH$6:$AH$102='Lighting Inventory'!V41)*('Lookup Tables'!$AI$6:$AI$102='Lighting Inventory'!W41), 0), 14))), "N")</f>
        <v/>
      </c>
      <c r="BX41" s="598" t="str">
        <f t="shared" si="93"/>
        <v/>
      </c>
      <c r="BY41" s="598" t="str">
        <f t="shared" si="94"/>
        <v/>
      </c>
      <c r="BZ41" s="598" t="str">
        <f t="shared" si="95"/>
        <v/>
      </c>
      <c r="CA41" s="598" t="str">
        <f t="shared" si="101"/>
        <v/>
      </c>
      <c r="CB41" s="269" t="str">
        <f t="shared" si="102"/>
        <v/>
      </c>
      <c r="CC41" s="517" t="str">
        <f t="shared" si="96"/>
        <v/>
      </c>
      <c r="CD41" s="565" t="str">
        <f t="shared" si="11"/>
        <v/>
      </c>
      <c r="CE41" s="368">
        <v>0</v>
      </c>
      <c r="CF41" s="368" t="str" cm="1">
        <f t="array" ref="CF41">IFERROR(IF(V41="Custom", "$0.1 per kWh", IF(B41="New Construction", CONCATENATE("$",INDEX('Lookup Tables'!$AH$114:$AN$154,MATCH(1,('Lookup Tables'!$AH$114:$AH$154='Lighting Inventory'!V41)*('Lookup Tables'!$AI$114:$AI$154='Lighting Inventory'!W41),FALSE),6)," ",INDEX('Lookup Tables'!$AH$114:$AN$154,MATCH(1,('Lookup Tables'!$AH$114:$AH$154='Lighting Inventory'!V41)*('Lookup Tables'!$AI$114:$AI$154='Lighting Inventory'!W41),FALSE),7)), IF(AND(BU41="N", V41="Exit Signs"), "$0.025 per kWh", CONCATENATE("$",INDEX('Lookup Tables'!$AH$6:$AN$102,MATCH(1,('Lookup Tables'!$AH$6:$AH$102='Lighting Inventory'!V41)*('Lookup Tables'!$AI$6:$AI$102='Lighting Inventory'!W41),FALSE),6)," ",INDEX('Lookup Tables'!$AH$6:$AN$102,MATCH(1,('Lookup Tables'!$AH$6:$AH$102='Lighting Inventory'!V41)*('Lookup Tables'!$AI$6:$AI$102='Lighting Inventory'!W41),FALSE),7))))), "")</f>
        <v/>
      </c>
      <c r="CG41" s="366"/>
      <c r="CH41" s="248" t="str">
        <f t="shared" si="170"/>
        <v/>
      </c>
      <c r="CI41" s="248" t="str">
        <f t="shared" si="171"/>
        <v>Select_IE</v>
      </c>
      <c r="CJ41" s="248" t="str">
        <f t="shared" si="172"/>
        <v/>
      </c>
      <c r="CK41" s="248" t="str">
        <f t="shared" si="173"/>
        <v/>
      </c>
      <c r="CL41" s="248" t="str">
        <f t="shared" si="174"/>
        <v/>
      </c>
      <c r="CM41" s="248" t="str">
        <f>IFERROR(IF(B41="", "", IF(B41="New Construction", VLOOKUP(V41, 'Lookup Tables'!$AF$114:$AG$120, 2, FALSE), VLOOKUP(V41, 'Lookup Tables'!$AD$6:$AE$25, 2, FALSE))), "")</f>
        <v/>
      </c>
      <c r="CN41" s="248" t="str">
        <f t="shared" si="175"/>
        <v/>
      </c>
      <c r="CO41" s="248" t="str">
        <f t="shared" si="176"/>
        <v/>
      </c>
      <c r="CP41" s="592" t="str">
        <f t="shared" si="177"/>
        <v/>
      </c>
      <c r="CQ41" s="248" t="str">
        <f t="shared" si="97"/>
        <v/>
      </c>
      <c r="CR41" s="100"/>
      <c r="CS41" s="250" t="str">
        <f t="shared" si="178"/>
        <v/>
      </c>
      <c r="CT41" s="250" t="str">
        <f t="shared" si="179"/>
        <v/>
      </c>
      <c r="CU41" s="250" t="str">
        <f t="shared" si="180"/>
        <v/>
      </c>
      <c r="CV41" s="250" t="str">
        <f t="shared" si="181"/>
        <v/>
      </c>
      <c r="CW41" s="250" t="str">
        <f t="shared" si="182"/>
        <v/>
      </c>
      <c r="CX41" s="250" t="str">
        <f t="shared" si="183"/>
        <v/>
      </c>
      <c r="CY41" s="250" t="str">
        <f t="shared" si="184"/>
        <v/>
      </c>
      <c r="CZ41" s="250" t="str">
        <f t="shared" si="185"/>
        <v/>
      </c>
      <c r="DA41" s="250" t="str">
        <f t="shared" si="186"/>
        <v/>
      </c>
      <c r="DB41" s="250" t="str">
        <f t="shared" si="187"/>
        <v/>
      </c>
      <c r="DC41" s="250" t="str">
        <f t="shared" si="188"/>
        <v/>
      </c>
      <c r="DD41" s="250" t="str">
        <f t="shared" si="189"/>
        <v/>
      </c>
      <c r="DE41" s="250" t="str">
        <f t="shared" si="190"/>
        <v/>
      </c>
      <c r="DF41" s="250" t="str">
        <f t="shared" si="191"/>
        <v/>
      </c>
      <c r="DG41" s="250" t="str">
        <f t="shared" si="192"/>
        <v/>
      </c>
      <c r="DH41" s="250" t="str">
        <f t="shared" si="193"/>
        <v/>
      </c>
      <c r="DI41" s="250" t="str">
        <f t="shared" si="194"/>
        <v/>
      </c>
      <c r="DJ41" s="250" t="str">
        <f t="shared" si="195"/>
        <v/>
      </c>
      <c r="DK41" s="250" t="str">
        <f t="shared" si="196"/>
        <v/>
      </c>
      <c r="DL41" s="250" t="str">
        <f t="shared" si="197"/>
        <v/>
      </c>
      <c r="DM41" s="250" t="str">
        <f>IF(CD41="ERROR", "ERROR", IF(AND(OR(Y41=$DM$6, Y41='Lookup Tables'!$AD$21, Y41='Lookup Tables'!$AD$22), E41="Interior"), BJ41, ""))</f>
        <v/>
      </c>
      <c r="DN41" s="250" t="str">
        <f>IF(CD41="ERROR", "ERROR", IF(AND(OR(Y41=$DM$6, Y41='Lookup Tables'!$AD$21, Y41='Lookup Tables'!$AD$22), E41="Exterior"), BJ41, ""))</f>
        <v/>
      </c>
      <c r="DO41" s="100"/>
      <c r="DP41" s="250" t="str">
        <f t="shared" si="198"/>
        <v/>
      </c>
      <c r="DQ41" s="250" t="str">
        <f t="shared" si="199"/>
        <v/>
      </c>
      <c r="DR41" s="250" t="str">
        <f t="shared" si="200"/>
        <v/>
      </c>
      <c r="DS41" s="250" t="str">
        <f t="shared" si="201"/>
        <v/>
      </c>
      <c r="DT41" s="250" t="str">
        <f t="shared" si="202"/>
        <v/>
      </c>
      <c r="DU41" s="250" t="str">
        <f t="shared" si="203"/>
        <v/>
      </c>
      <c r="DV41" s="250" t="str">
        <f t="shared" si="204"/>
        <v/>
      </c>
      <c r="DW41" s="250" t="str">
        <f t="shared" si="205"/>
        <v/>
      </c>
      <c r="DX41" s="250" t="str">
        <f t="shared" si="206"/>
        <v/>
      </c>
      <c r="DY41" s="250" t="str">
        <f t="shared" si="207"/>
        <v/>
      </c>
      <c r="DZ41" s="250" t="str">
        <f t="shared" si="208"/>
        <v/>
      </c>
      <c r="EA41" s="250" t="str">
        <f t="shared" si="209"/>
        <v/>
      </c>
      <c r="EB41" s="250" t="str">
        <f t="shared" si="210"/>
        <v/>
      </c>
      <c r="EC41" s="250" t="str">
        <f t="shared" si="211"/>
        <v/>
      </c>
      <c r="ED41" s="250" t="str">
        <f t="shared" si="212"/>
        <v/>
      </c>
      <c r="EE41" s="250" t="str">
        <f t="shared" si="213"/>
        <v/>
      </c>
      <c r="EF41" s="250" t="str">
        <f t="shared" si="214"/>
        <v/>
      </c>
      <c r="EG41" s="250" t="str">
        <f t="shared" si="215"/>
        <v/>
      </c>
      <c r="EH41" s="250" t="str">
        <f>IF(CD41="ERROR", "ERROR", IF(AND(OR($EH$6=Y41, Y41='Lookup Tables'!$AD$21, Y41='Lookup Tables'!$AD$22),E41="Interior"), SUM(BP41:BP41), ""))</f>
        <v/>
      </c>
      <c r="EI41" s="250" t="str">
        <f>IF(CD41="ERROR", "ERROR", IF(AND(OR($EH$6=Y41, Y41='Lookup Tables'!$AD$21, Y41='Lookup Tables'!$AD$22),E41="Exterior"), SUM(BP41:BP41), ""))</f>
        <v/>
      </c>
      <c r="EJ41" s="109"/>
      <c r="EK41" s="485" t="str">
        <f t="shared" si="58"/>
        <v/>
      </c>
      <c r="EL41" s="252" t="str">
        <f t="shared" si="216"/>
        <v/>
      </c>
      <c r="EM41" s="252" t="str">
        <f t="shared" si="217"/>
        <v/>
      </c>
      <c r="EN41" s="252" t="str">
        <f t="shared" si="218"/>
        <v/>
      </c>
      <c r="EO41" s="252" t="str">
        <f t="shared" si="219"/>
        <v/>
      </c>
      <c r="EP41" s="252" t="str">
        <f t="shared" si="220"/>
        <v/>
      </c>
      <c r="EQ41" s="252" t="str">
        <f t="shared" si="221"/>
        <v/>
      </c>
      <c r="ER41" s="252" t="str">
        <f t="shared" si="222"/>
        <v/>
      </c>
      <c r="ES41" s="252" t="str">
        <f t="shared" si="223"/>
        <v/>
      </c>
      <c r="ET41" s="252" t="str">
        <f t="shared" si="224"/>
        <v/>
      </c>
      <c r="EU41" s="252" t="str">
        <f t="shared" si="225"/>
        <v/>
      </c>
      <c r="EV41" s="252" t="str">
        <f t="shared" si="226"/>
        <v/>
      </c>
      <c r="EW41" s="252" t="str">
        <f t="shared" si="227"/>
        <v/>
      </c>
      <c r="EX41" s="252" t="str">
        <f t="shared" si="228"/>
        <v/>
      </c>
      <c r="EY41" s="252" t="str">
        <f t="shared" si="229"/>
        <v/>
      </c>
      <c r="EZ41" s="252" t="str">
        <f t="shared" si="230"/>
        <v/>
      </c>
      <c r="FA41" s="252" t="str">
        <f t="shared" si="231"/>
        <v/>
      </c>
      <c r="FB41" s="252" t="str">
        <f t="shared" si="232"/>
        <v/>
      </c>
      <c r="FC41" s="252" t="str">
        <f>IF(CD41="ERROR", "ERROR", IF(OR(V41="No Change", V41="Not DLC or Energy Star"), "", IF(AND(OR($FC$6=Y41,Y41='Lookup Tables'!$AD$21, Y41='Lookup Tables'!$AD$22),E41="Interior"), S41, "")))</f>
        <v/>
      </c>
      <c r="FD41" s="252" t="str">
        <f t="shared" si="233"/>
        <v/>
      </c>
      <c r="FE41" s="101"/>
      <c r="FF41" s="579" t="str" cm="1">
        <f t="array" ref="FF41">IFERROR(IF(OR(BQ41&lt;=0,AQ41&lt;20,AND(V41="Exit Signs",AN41&gt;0)),"",IF(AND(AQ41&gt;=20,AN41='Lookup Tables'!$R$101),'Lookup Tables'!$U$101*BQ41,AP41*LOOKUP(2,1/((AN41='Lookup Tables'!$R$91:$R$111)*(AQ41&gt;='Lookup Tables'!$S$91:$S$111)*(AQ41&lt;='Lookup Tables'!$T$91:$T$111)),'Lookup Tables'!$U$91:$U$111))),"")</f>
        <v/>
      </c>
      <c r="FG41" s="579"/>
      <c r="FH41" s="579"/>
      <c r="FI41" s="253" t="str">
        <f>IFERROR(ROUND(IF(CD41="ERROR", "ERROR", IF(AND($FI$7=X41,E41="Interior"),VLOOKUP(W41, 'Lookup Tables'!$AI$6:$AM$102, 5, FALSE)*BP41, "")), 2), "")</f>
        <v/>
      </c>
      <c r="FJ41" s="253" t="str">
        <f>IFERROR(ROUND(IF(CD41="ERROR", "ERROR", IF(AND($FI$7=X41,E41="Exterior"),VLOOKUP(W41, 'Lookup Tables'!$AI$6:$AM$102, 5, FALSE)*BP41, "")), 2), "")</f>
        <v/>
      </c>
      <c r="FK41" s="253" t="str">
        <f>IFERROR(ROUND(IF(CD41="ERROR", "ERROR", IF(AND($FK$7=X41,E41="Interior"),VLOOKUP(W41, 'Lookup Tables'!$AI$6:$AM$102, 5, FALSE)*BP41, "")), 2), "")</f>
        <v/>
      </c>
      <c r="FL41" s="253" t="str">
        <f>IFERROR(ROUND(IF(CD41="ERROR", "ERROR", IF(AND($FK$7=X41,E41="Exterior"),VLOOKUP(W41, 'Lookup Tables'!$AI$6:$AM$102, 5, FALSE)*BP41, "")), 2), "")</f>
        <v/>
      </c>
      <c r="FM41" s="253" t="str">
        <f>IFERROR(ROUND(IF(CD41="ERROR", "ERROR", IF(AND($FM$6=Y41,E41="Interior"), IF(GB41=0, VLOOKUP(W41, 'Lookup Tables'!$AI$6:$AM$102, 5, FALSE)*BP41, IF(VLOOKUP(W41, 'Lookup Tables'!$AI$6:$AM$102, 5, FALSE)*BP41&gt;GB41*'Lighting Inventory'!S41, GB41*'Lighting Inventory'!S41,VLOOKUP(W41, 'Lookup Tables'!$AI$6:$AM$102, 5, FALSE)*BP41)), "")), 2), "")</f>
        <v/>
      </c>
      <c r="FN41" s="253" t="str">
        <f>IFERROR(ROUND(IF(CD41="ERROR", "ERROR", IF(AND($FM$6=Y41,E41="Exterior"), IF(GB41=0, VLOOKUP(W41, 'Lookup Tables'!$AI$6:$AM$102, 5, FALSE)*BP41, IF(VLOOKUP(W41, 'Lookup Tables'!$AI$6:$AM$102, 5, FALSE)*BP41&gt;GB41*'Lighting Inventory'!S41, GB41*'Lighting Inventory'!S41,VLOOKUP(W41, 'Lookup Tables'!$AI$6:$AM$102, 5, FALSE)*BP41)), "")), 2), "")</f>
        <v/>
      </c>
      <c r="FO41" s="253" t="str">
        <f>IFERROR(ROUND(IF(CD41="ERROR", "ERROR", IF(AND($FO$6=Y41,E41="Interior"),VLOOKUP(W41, 'Lookup Tables'!$AI$6:$AM$102, 5, FALSE)*'Lighting Inventory'!AI41, "")), 2), "")</f>
        <v/>
      </c>
      <c r="FP41" s="253" t="str">
        <f>IFERROR(ROUND(IF(CD41="ERROR", "ERROR", IF(AND($FO$6=Y41,E41="Exterior"),VLOOKUP(W41, 'Lookup Tables'!$AI$6:$AM$102, 5, FALSE)*'Lighting Inventory'!AI41, "")), 2), "")</f>
        <v/>
      </c>
      <c r="FQ41" s="253" t="str">
        <f>IFERROR(ROUND(IF(CD41="ERROR", "ERROR", IF(AND($FQ$6=Y41,E41="Interior", BU41="Y"), VLOOKUP('Lighting Inventory'!W41, 'Lookup Tables'!$AI$6:$AM$102, 5, FALSE)*'Lighting Inventory'!S41, IF(AND($FQ$7=Y41,E41="Interior", BU41="N"), 0.025*CD41, ""))), 2), "")</f>
        <v/>
      </c>
      <c r="FR41" s="253" t="str">
        <f>IFERROR(ROUND(IF(CD41="ERROR", "ERROR", IF(AND($FQ$6=Y41,E41="Exterior"), VLOOKUP('Lighting Inventory'!W41, 'Lookup Tables'!$AI$6:$AM$102, 5, FALSE)*'Lighting Inventory'!S41, "")), 2), "")</f>
        <v/>
      </c>
      <c r="FS41" s="253" t="str">
        <f>IFERROR(ROUND(IF(CD41="ERROR", "ERROR", IF(AND($FS$6=Y41,E41="Exterior"), IF(GB41=0, VLOOKUP(W41, 'Lookup Tables'!$AI$6:$AM$102, 5, FALSE)*BP41, IF(VLOOKUP(W41, 'Lookup Tables'!$AI$6:$AM$102, 5, FALSE)*BP41&gt;GB41*'Lighting Inventory'!S41, GB41*'Lighting Inventory'!S41,VLOOKUP(W41, 'Lookup Tables'!$AI$6:$AM$102, 5, FALSE)*BP41)), "")), 2), "")</f>
        <v/>
      </c>
      <c r="FT41" s="253" t="str">
        <f>IFERROR(ROUND(IF(CD41="ERROR", "ERROR", IF(AND($FT$6=Y41,E41="Interior"), IF(GB41=0, VLOOKUP(W41, 'Lookup Tables'!$AI$6:$AM$102, 5, FALSE)*BP41, IF(VLOOKUP(W41, 'Lookup Tables'!$AI$6:$AM$102, 5, FALSE)*BP41&gt;GB41*'Lighting Inventory'!S41, GB41*'Lighting Inventory'!S41,VLOOKUP(W41, 'Lookup Tables'!$AI$6:$AM$102, 5, FALSE)*BP41)), "")), 2), "")</f>
        <v/>
      </c>
      <c r="FU41" s="253" t="str">
        <f>IFERROR(ROUND(IF(CD41="ERROR", "ERROR", IF(AND(Y41=$FU$6, E41="Interior"), IF(BS41="N", 'Lookup Tables'!$AM$101*BP41, VLOOKUP(W41, 'Lookup Tables'!$AI$6:$AM$102, 5, FALSE)*S41*AD41), "")), 2), "")</f>
        <v/>
      </c>
      <c r="FV41" s="253" t="str">
        <f>IFERROR(ROUND(IF(CD41="ERROR", "ERROR", IF(AND(Y41=$FU$6, E41="Exterior"), IF(BS41="N", 'Lookup Tables'!$AM$101*BP41, VLOOKUP(W41, 'Lookup Tables'!$AI$6:$AM$102, 5, FALSE)*S41*AD41), "")), 2), "")</f>
        <v/>
      </c>
      <c r="FW41" s="253" t="str">
        <f>IFERROR(ROUND(IF(CD41="ERROR", "ERROR", IF($FW$6=Y41, IF(BS41="N", 'Lookup Tables'!$AM$101*BP41, MIN((VLOOKUP(W41, 'Lookup Tables'!$AI$6:$AM$102, 5, FALSE)*BP41),GB41*AJ41)), "")), 2), "")</f>
        <v/>
      </c>
      <c r="FX41" s="253" t="str">
        <f>IFERROR(ROUND(IF(CD41="ERROR", "ERROR", IF(AND($FX$6=Y41, E41="Interior"), IF(VLOOKUP(W41, 'Lookup Tables'!$AI$6:$AM$102, 5, FALSE)*BP41&gt;'Lookup Tables'!$AQ$97*'Lighting Inventory'!S41,'Lighting Inventory'!S41*'Lookup Tables'!$AQ$97,VLOOKUP(W41, 'Lookup Tables'!$AI$6:$AM$102, 5, FALSE)*BP41), "")), 2), "")</f>
        <v/>
      </c>
      <c r="FY41" s="253" t="str">
        <f>IFERROR(ROUND(IF(CD41="ERROR", "ERROR", IF(AND($FX$6=Y41, E41="Exterior"), IF(VLOOKUP(W41, 'Lookup Tables'!$AI$6:$AM$102, 5, FALSE)*BP41&gt;'Lookup Tables'!$AQ$97*'Lighting Inventory'!S41,'Lighting Inventory'!S41*'Lookup Tables'!$AQ$97,VLOOKUP(W41, 'Lookup Tables'!$AI$6:$AM$102, 5, FALSE)*BP41), "")), 2), "")</f>
        <v/>
      </c>
      <c r="FZ41" s="253" t="str">
        <f>IFERROR(ROUND(IF(CD41="ERROR", "ERROR", IF(AND($FZ$6=Y41, E41="Interior"), IF(AND(OR(W41="Refrigerated Case Lighting with Doors", W41="Freezer Case Lighting"),Y41="Custom - Process Improvement"),CD41*'Lookup Tables'!$AM$101, IF(B41="Retrofit", IF(VLOOKUP(IF(V41="Custom", V41, W41), 'Lookup Tables'!$AI$6:$AM$102, 5, FALSE)*BP41&gt;GE41, GE41, VLOOKUP(IF(V41="Custom", V41, W41), 'Lookup Tables'!$AI$6:$AM$102, 5, FALSE)*BP41), IF(VLOOKUP(IF(V41="Custom", V41, W41), 'Lookup Tables'!$AI$114:$AM$154, 5, FALSE)*BP41&gt;GE41, GE41, VLOOKUP(IF(V41="Custom", V41, W41), 'Lookup Tables'!$AI$114:$AM$154, 5, FALSE)*BP41))), "")), 2),"")</f>
        <v/>
      </c>
      <c r="GA41" s="253" t="str">
        <f>IFERROR(ROUND(IF(CD41="ERROR", "ERROR", IF(AND($FZ$6=Y41, E41="Exterior"), IF(B41="Retrofit", IF(VLOOKUP(IF(V41="Custom", V41, W41), 'Lookup Tables'!$AI$6:$AM$102, 5, FALSE)*BP41&gt;GE41, GE41, VLOOKUP(IF(V41="Custom", V41, W41), 'Lookup Tables'!$AI$6:$AM$102, 5, FALSE)*BP41), IF(VLOOKUP(IF(V41="Custom", V41, W41), 'Lookup Tables'!$AI$114:$AM$154, 5, FALSE)*BP41&gt;GE41, GE41, VLOOKUP(IF(V41="Custom", V41, W41), 'Lookup Tables'!$AI$114:$AM$154, 5, FALSE)*BP41)), "")), 2),"")</f>
        <v/>
      </c>
      <c r="GB41" s="254" t="str">
        <f t="array" ref="GB41">IF(B41="","",IF(OR(V41="Custom",V41="No Change"),0,IF(B41="Retrofit", INDEX('Lookup Tables'!$AH$6:$AQ$102,MATCH(1,('Lookup Tables'!$AH$6:$AH$102='Lighting Inventory'!V41)*('Lookup Tables'!$AI$6:$AI$102='Lighting Inventory'!W41),FALSE),10),INDEX('Lookup Tables'!$AH$114:$AQ$154,MATCH(1,('Lookup Tables'!$AH$114:$AH$154='Lighting Inventory'!V41)*('Lookup Tables'!$AI$114:$AI$154='Lighting Inventory'!W41),FALSE),10))))</f>
        <v/>
      </c>
      <c r="GC41" s="255" t="str">
        <f t="shared" si="77"/>
        <v/>
      </c>
      <c r="GD41" s="250" t="str">
        <f t="shared" si="78"/>
        <v/>
      </c>
      <c r="GE41" s="253" t="str">
        <f>IFERROR(IF(AND(AF41="", 'General Information'!$F$18="No"),"", IF(AF41="", ((GD41/$CD$266)*$CF$266)*0.5, AF41*S41*0.5)), "")</f>
        <v/>
      </c>
      <c r="GF41" s="255" t="str">
        <f>IF(AND('General Information'!$F$19="", 'General Information'!$F$18="Yes",AF41="",BW41="Y"), "Y", "N")</f>
        <v>N</v>
      </c>
      <c r="GG41" s="255" t="s">
        <v>2946</v>
      </c>
      <c r="GH41" s="255" t="str">
        <f>IFERROR(IF(B41="", "", VLOOKUP(J41, 'Fixture Identities'!$A$6:$N$908, 14, FALSE)), "")</f>
        <v/>
      </c>
      <c r="GI41" s="389" t="str">
        <f>IF(OR(B41="", V41="", W41=""), "", IF(AND(OR(M41='Lookup Tables'!$R$18, M41='Lookup Tables'!$R$19, M41='Lookup Tables'!$R$20, M41='Lookup Tables'!$R$21, M41='Lookup Tables'!$R$22), OR(AN41='Lookup Tables'!$R$17, AN41='Lookup Tables'!$R$17, AN41="")), "Y", "N"))</f>
        <v/>
      </c>
      <c r="GJ41" s="255" t="str">
        <f t="shared" si="79"/>
        <v/>
      </c>
      <c r="GK41" s="255" t="str">
        <f t="shared" si="80"/>
        <v/>
      </c>
      <c r="GL41" s="255" t="str">
        <f t="shared" si="81"/>
        <v/>
      </c>
      <c r="GM41" s="255" t="str">
        <f>IF(AN41="", "", IF(AND(IF(ISNA(VLOOKUP(AN41,'Lookup Tables'!$R$18:$R$22,1,FALSE)), "N", "Y")="Y", E41="Exterior"), "Y", "N"))</f>
        <v/>
      </c>
      <c r="GN41" s="395"/>
      <c r="GO41" s="428">
        <f t="shared" si="98"/>
        <v>0</v>
      </c>
      <c r="GP41" s="428">
        <f t="shared" si="167"/>
        <v>0</v>
      </c>
      <c r="GQ41" s="428">
        <f t="shared" si="99"/>
        <v>0</v>
      </c>
      <c r="GR41" s="428">
        <f t="shared" si="100"/>
        <v>0</v>
      </c>
    </row>
    <row r="42" spans="1:202" s="103" customFormat="1" ht="13.5" customHeight="1" x14ac:dyDescent="0.2">
      <c r="A42" s="272">
        <v>32</v>
      </c>
      <c r="B42" s="110"/>
      <c r="C42" s="110"/>
      <c r="D42" s="110"/>
      <c r="E42" s="110"/>
      <c r="F42" s="110"/>
      <c r="G42" s="110"/>
      <c r="H42" s="110"/>
      <c r="I42" s="29"/>
      <c r="J42" s="29"/>
      <c r="K42" s="272" t="str">
        <f>IFERROR(IF(OR(VLOOKUP(J42, 'Fixture Identities'!$A$6:$L$1023, 3, FALSE)="T12 Linear Fluorescent", VLOOKUP(J42, 'Fixture Identities'!$A$6:$L$1023, 3, FALSE)="T12 U-Tube Fluorescent"), VLOOKUP(VLOOKUP(J42, 'Fixture Identities'!$A$6:$L$1023, 11, FALSE), 'Fixture Identities'!$A$6:$L$1023, 10, FALSE), VLOOKUP(J42, 'Fixture Identities'!$A$6:$L$1023, 10, FALSE)), "")</f>
        <v/>
      </c>
      <c r="L42" s="270" t="str">
        <f t="shared" si="169"/>
        <v/>
      </c>
      <c r="M42" s="110"/>
      <c r="N42" s="110"/>
      <c r="O42" s="110"/>
      <c r="P42" s="272" t="str">
        <f>IFERROR(IF(OR(B42="Retrofit",B42=""),"",IF('Lighting Inventory'!E42="Exterior",VLOOKUP('Lighting Inventory'!N42,'Lookup Tables'!$B$83:$F$103,5,FALSE),IF(N42="Other - Please Estimate EFLH and CFs","Contact Prog. Rep.","ft^2"))), "")</f>
        <v/>
      </c>
      <c r="Q42" s="270" t="str">
        <f>IFERROR(IF(AND(B42="New Construction",E42="Interior",$F$5="Space-by-Space"),VLOOKUP('Lighting Inventory'!N42,'Lookup Tables'!$N$6:$O$97,2,FALSE),IF(AND(B42="New Construction",E42="Exterior"),VLOOKUP(N42,'Lookup Tables'!$B$83:$F$103,2,FALSE),IF(AND(B42="New Construction",'Lighting Inventory'!E42="Interior", $F$5="Building Area"),VLOOKUP(F42,'Lookup Tables'!$A$6:$J$59,10,FALSE),""))), "")</f>
        <v/>
      </c>
      <c r="R42" s="270" t="str">
        <f>IFERROR(IF(P42="Contact Prog. Rep.", "ERROR", IF(OR(B42="",B42="Retrofit"),"",IF(N42="Automated teller machines", ('Lookup Tables'!$A$82:$E$100+('Lighting Inventory'!O42-1)*'Lookup Tables'!$A$82:$E$100)/1000, (Q42*O42)/1000))), "")</f>
        <v/>
      </c>
      <c r="S42" s="595"/>
      <c r="T42" s="105" t="str">
        <f t="shared" si="83"/>
        <v/>
      </c>
      <c r="U42" s="105" t="str">
        <f>IF(S42="","",COUNT($S$11:S42))</f>
        <v/>
      </c>
      <c r="V42" s="111"/>
      <c r="W42" s="112"/>
      <c r="X42" s="105" t="str">
        <f t="shared" si="84"/>
        <v/>
      </c>
      <c r="Y42" s="105" t="str">
        <f t="array" ref="Y42">IF(AND(OR(W42="Freezer Case Lighting", W42="Refrigerated Case Lighting with Doors"), 'General Information'!$X$18="LCI"),'Lookup Tables'!$Y$34, IF(V42="Custom", VLOOKUP(W42, 'Fixture Identities'!$A$974:$M$1023, 13, FALSE), IF(V42="No Change",'Lookup Tables'!$Y$29,IF(OR(V42="",W42=""),"",IF(AND(S42=0,S42&lt;I42,B42="Retrofit"),'Lookup Tables'!$Y$25, IF(B42="Retrofit", INDEX('Lookup Tables'!$AH$6:$AP$102, MATCH(1, ('Lookup Tables'!$AH$6:$AH$102=V42)*('Lookup Tables'!$AI$6:$AI$102=W42), 0), IF('Lighting Inventory'!E42="Interior", 4, 5)), INDEX('Lookup Tables'!$AH$114:$AP$154, MATCH(1, ('Lookup Tables'!$AH$114:$AH$154=V42)*('Lookup Tables'!$AI$114:$AI$154=W42), 0), IF('Lighting Inventory'!E42="Interior", 4, 5))))))))</f>
        <v/>
      </c>
      <c r="Z42" s="105" t="str">
        <f>IFERROR(INDEX('Lookup Tables'!$AH$158:$AH$172,MATCH('Lighting Inventory'!Y42,'Lookup Tables'!$AI$158:$AI$172,0)),"")</f>
        <v/>
      </c>
      <c r="AA42" s="105" t="str">
        <f>IF(AP42&gt;0,INDEX('Lookup Tables'!$AK$158:$AK$172,MATCH('Lighting Inventory'!Y42,'Lookup Tables'!$AI$158:$AI$172,0)),'Lighting Inventory'!Y42)</f>
        <v/>
      </c>
      <c r="AB42" s="105" t="str">
        <f t="array" ref="AB42">IF(V42="Custom", "Custom", IF(V42="", "", IF(V42="Not DLC or Energy Star", "General", IF(B42="New Construction", INDEX('Lookup Tables'!$AH$114:$AP$154,MATCH(1,('Lookup Tables'!$AH$114:$AH$154='Lighting Inventory'!V42)*('Lookup Tables'!$AI$114:$AI$154='Lighting Inventory'!W42),FALSE),8), INDEX('Lookup Tables'!$AH$6:$AP$102,MATCH(1,('Lookup Tables'!$AH$6:$AH$102='Lighting Inventory'!V42)*('Lookup Tables'!$AI$6:$AI$102='Lighting Inventory'!W42),FALSE),8)))))</f>
        <v/>
      </c>
      <c r="AC42" s="272" t="str">
        <f>IF(W42="","",IF(V42="Custom",CONCATENATE("$",'Lookup Tables'!$AM$101," ",'Lookup Tables'!$AN$101),CONCATENATE("$",INDEX('Lookup Tables'!$AM$6:$AM$102,MATCH('Lighting Inventory'!W42,'Lookup Tables'!$AI$6:$AI$102,0))," ",INDEX('Lookup Tables'!$AN$6:$AN$102,MATCH('Lighting Inventory'!W42,'Lookup Tables'!$AI$6:$AI$102,0)))))</f>
        <v/>
      </c>
      <c r="AD42" s="72"/>
      <c r="AE42" s="29"/>
      <c r="AF42" s="379"/>
      <c r="AG42" s="370" t="str">
        <f t="shared" si="2"/>
        <v/>
      </c>
      <c r="AH42" s="370" t="str">
        <f t="shared" si="85"/>
        <v/>
      </c>
      <c r="AI42" s="29"/>
      <c r="AJ42" s="29"/>
      <c r="AK42" s="110"/>
      <c r="AL42" s="375" t="str">
        <f>IF(OR(B42="", V42="", W42=""), "", IF(V42="No Change", K42, IF(V42="Remove Fixture", 0, IF(V42="Custom",VLOOKUP(W42,'Fixture Identities'!$A$6:$K$1023,10,FALSE),IF(AE42="", "← ENTER POST WATTS", 'Lighting Inventory'!AE42)))))</f>
        <v/>
      </c>
      <c r="AM42" s="376" t="str">
        <f t="shared" si="3"/>
        <v/>
      </c>
      <c r="AN42" s="29"/>
      <c r="AO42" s="671"/>
      <c r="AP42" s="29"/>
      <c r="AQ42" s="29"/>
      <c r="AR42" s="29"/>
      <c r="AS42" s="272" t="str">
        <f t="shared" si="4"/>
        <v/>
      </c>
      <c r="AT42" s="270" t="str">
        <f t="shared" si="234"/>
        <v/>
      </c>
      <c r="AU42" s="88" t="str">
        <f t="shared" si="235"/>
        <v/>
      </c>
      <c r="AV42" s="29"/>
      <c r="AW42" s="73"/>
      <c r="AX42" s="271" t="str">
        <f>IF(AND(AV42="Applicant",OR(AW42="", AW42="Use Default Facility Hours")),"← Choose Schedule",IF(F42="","",IF(W42="LED Exit Signs",8760,IF(OR(AV42="Prescribed",AV42=""),VLOOKUP(F42,'Lookup Tables'!$A$6:$G$59,IF(AB42="General", 6, 3),FALSE),VLOOKUP(AW42,'Lookup Tables'!$S$36:$U$43,2,FALSE)))))</f>
        <v/>
      </c>
      <c r="AY42" s="88" t="str">
        <f t="shared" si="7"/>
        <v/>
      </c>
      <c r="AZ42" s="270" t="str">
        <f>IFERROR(IF(F42="", "", IF(W42="LED Exit Signs", 1, IF(AV42="Applicant",VLOOKUP(AW42, 'Lookup Tables'!$S$36:$U$43,3, FALSE), VLOOKUP('Lighting Inventory'!F42, 'Lookup Tables'!$A$6:$H$59, IF('Lighting Inventory'!AB42="General",7,4), FALSE)))), "")</f>
        <v/>
      </c>
      <c r="BA42" s="522" t="str">
        <f>IFERROR(IF(F42="", "", IF(W42="LED Exit Signs", 1, VLOOKUP('Lighting Inventory'!F42, 'Lookup Tables'!$A$6:$H$59, IF('Lighting Inventory'!AB42="General",8,5), FALSE))), "")</f>
        <v/>
      </c>
      <c r="BB42" s="270" t="str">
        <f>IF(G42="", "", IF(E42="Exterior", 0, IF('Lighting Inventory'!G42="Air Conditioned", VLOOKUP(H42, 'Lookup Tables'!$R$6:$T$13, 2, FALSE), VLOOKUP('Lighting Inventory'!G42, 'Lookup Tables'!$R$6:$T$13, 2, FALSE))))</f>
        <v/>
      </c>
      <c r="BC42" s="522" t="str">
        <f>IF(G42="", "", IF(E42="Exterior", 0, IF('Lighting Inventory'!G42="Air Conditioned", VLOOKUP(H42, 'Lookup Tables'!$R$6:$T$13, 3, FALSE), VLOOKUP('Lighting Inventory'!G42, 'Lookup Tables'!$R$6:$T$13, 3, FALSE))))</f>
        <v/>
      </c>
      <c r="BD42" s="270" t="str">
        <f>IF(G42="", "", IF(E42="Exterior", 0, IF('Lighting Inventory'!G42="Air Conditioned", VLOOKUP(H42, 'Lookup Tables'!$R$6:$U$13, 4, FALSE), VLOOKUP('Lighting Inventory'!G42, 'Lookup Tables'!$R$6:$U$13, 4, FALSE))))</f>
        <v/>
      </c>
      <c r="BE42" s="270" t="str">
        <f>IFERROR(IF(B42="", "",  IF(B42="New Construction", VLOOKUP(F42, 'Lookup Tables'!$A$6:$K$59, 11, FALSE),IF(OR(AN42="", AN42="Light Switch"), 0, IF(OR(M42="",M42="None",V42= "LED Exit Signs"),0,_xlfn.XLOOKUP(M42,'Lookup Tables'!$R$91:$R$101,'Lookup Tables'!$V$91:$V$101))))), "")</f>
        <v/>
      </c>
      <c r="BF42" s="270" t="str">
        <f>IF(AND(OR(AN42="Light Switch",AN42=""),B42="New Construction"), VLOOKUP(F42, 'Lookup Tables'!$A$6:$K$59, 11, FALSE),IF(AN42="","",IF(B42="","",IF(OR(AN42="None",AN42="",V42="LED Exit Signs",AN42="Exterior Controls Not Eligible"),0,_xlfn.XLOOKUP(AN42,'Lookup Tables'!$R$91:$R$101,'Lookup Tables'!$V$91:$V$101)))))</f>
        <v/>
      </c>
      <c r="BG42" s="88" t="str">
        <f t="shared" si="86"/>
        <v/>
      </c>
      <c r="BH42" s="88" t="str">
        <f t="shared" si="87"/>
        <v/>
      </c>
      <c r="BI42" s="558" t="str">
        <f t="shared" si="168"/>
        <v/>
      </c>
      <c r="BJ42" s="560" t="str">
        <f t="shared" si="88"/>
        <v/>
      </c>
      <c r="BK42" s="560" t="str">
        <f t="shared" si="89"/>
        <v/>
      </c>
      <c r="BL42" s="559" t="str">
        <f t="shared" si="90"/>
        <v/>
      </c>
      <c r="BM42" s="521" t="str">
        <f t="shared" si="8"/>
        <v/>
      </c>
      <c r="BN42" s="521" t="str">
        <f t="shared" si="9"/>
        <v/>
      </c>
      <c r="BO42" s="522" t="str">
        <f t="shared" si="10"/>
        <v/>
      </c>
      <c r="BP42" s="83" t="str">
        <f t="shared" si="91"/>
        <v/>
      </c>
      <c r="BQ42" s="84" t="str">
        <f t="shared" si="92"/>
        <v/>
      </c>
      <c r="BR42" s="184" t="str">
        <f>IFERROR(IF(B42="", "", IF(OR(VLOOKUP(J42, 'Fixture Identities'!$A$6:$L$1023, 3, FALSE)="T12 Linear Fluorescent",VLOOKUP(J42, 'Fixture Identities'!$A$6:$L$1023, 3, FALSE)="T12 U-Tube Fluorescent"), "Y", "N")), "N")</f>
        <v/>
      </c>
      <c r="BS42" s="184" t="str">
        <f t="array" ref="BS42">IFERROR(IF(OR(B42="", V42="", W42=""), "", IF(V42="Custom", "N", IF(OR(W42="Freezer Case Lighting", W42="Refrigerated Case Lighting with Doors"), BT42, IF(B42="Retrofit", INDEX('Lookup Tables'!$AH$6:$AT$102,MATCH(1,('Lookup Tables'!$AH$6:$AH$102=V42)*('Lookup Tables'!$AI$6:$AI$102=W42),FALSE),IF(VLOOKUP(J42, 'Fixture Identities'!$A$6:$B$1023, 2, FALSE)="Incandescent",12, 13)), INDEX('Lookup Tables'!$AH$114:$AS$154,MATCH(1,('Lookup Tables'!$AH$114:$AH$154=V42)*('Lookup Tables'!$AI$114:$AI$154=W42),FALSE),12))))), "N")</f>
        <v/>
      </c>
      <c r="BT42" s="184" t="str">
        <f>IF(J42="", "", IF(AND(OR(W42="Freezer case Lighting", W42="Refrigerated Case Lighting with Doors"),'General Information'!$X$18="LCI"), "N", IF(OR(VLOOKUP(J42, 'Fixture Identities'!$A$6:$B$1023, 2, FALSE)="T12 EPACT/EISA Baseline", VLOOKUP(J42, 'Fixture Identities'!$A$6:$B$1023, 2, FALSE)="Linear Fluorescent", VLOOKUP(J42, 'Fixture Identities'!$A$6:$B$1023, 2, FALSE)="U-Tube Fluorescent"), "Y", "N")))</f>
        <v/>
      </c>
      <c r="BU42" s="184" t="str">
        <f>IFERROR(IF(B42="", "", IF(VLOOKUP(J42, 'Fixture Identities'!$A$6:$B$1023, 2, FALSE)="Exit Sign", "Y", "N")), "N")</f>
        <v/>
      </c>
      <c r="BV42" s="184" t="str">
        <f>IF(V42="Exit Signs", IF(VLOOKUP(J42, 'Fixture Identities'!$A$6:$B$1023, 2, FALSE)="Exit Sign", "N", "Y"), "")</f>
        <v/>
      </c>
      <c r="BW42" s="184" t="str">
        <f t="array" ref="BW42">IFERROR(IF(B42="", "", IF(B42="New Construction", "N", INDEX('Lookup Tables'!$AH$6:$AU$102, MATCH(1, ('Lookup Tables'!$AH$6:$AH$102='Lighting Inventory'!V42)*('Lookup Tables'!$AI$6:$AI$102='Lighting Inventory'!W42), 0), 14))), "N")</f>
        <v/>
      </c>
      <c r="BX42" s="598" t="str">
        <f t="shared" si="93"/>
        <v/>
      </c>
      <c r="BY42" s="598" t="str">
        <f t="shared" si="94"/>
        <v/>
      </c>
      <c r="BZ42" s="598" t="str">
        <f t="shared" si="95"/>
        <v/>
      </c>
      <c r="CA42" s="598" t="str">
        <f t="shared" si="101"/>
        <v/>
      </c>
      <c r="CB42" s="269" t="str">
        <f t="shared" si="102"/>
        <v/>
      </c>
      <c r="CC42" s="517" t="str">
        <f t="shared" si="96"/>
        <v/>
      </c>
      <c r="CD42" s="565" t="str">
        <f t="shared" si="11"/>
        <v/>
      </c>
      <c r="CE42" s="368">
        <v>0</v>
      </c>
      <c r="CF42" s="368" t="str" cm="1">
        <f t="array" ref="CF42">IFERROR(IF(V42="Custom", "$0.1 per kWh", IF(B42="New Construction", CONCATENATE("$",INDEX('Lookup Tables'!$AH$114:$AN$154,MATCH(1,('Lookup Tables'!$AH$114:$AH$154='Lighting Inventory'!V42)*('Lookup Tables'!$AI$114:$AI$154='Lighting Inventory'!W42),FALSE),6)," ",INDEX('Lookup Tables'!$AH$114:$AN$154,MATCH(1,('Lookup Tables'!$AH$114:$AH$154='Lighting Inventory'!V42)*('Lookup Tables'!$AI$114:$AI$154='Lighting Inventory'!W42),FALSE),7)), IF(AND(BU42="N", V42="Exit Signs"), "$0.025 per kWh", CONCATENATE("$",INDEX('Lookup Tables'!$AH$6:$AN$102,MATCH(1,('Lookup Tables'!$AH$6:$AH$102='Lighting Inventory'!V42)*('Lookup Tables'!$AI$6:$AI$102='Lighting Inventory'!W42),FALSE),6)," ",INDEX('Lookup Tables'!$AH$6:$AN$102,MATCH(1,('Lookup Tables'!$AH$6:$AH$102='Lighting Inventory'!V42)*('Lookup Tables'!$AI$6:$AI$102='Lighting Inventory'!W42),FALSE),7))))), "")</f>
        <v/>
      </c>
      <c r="CG42" s="366"/>
      <c r="CH42" s="248" t="str">
        <f t="shared" si="170"/>
        <v/>
      </c>
      <c r="CI42" s="248" t="str">
        <f t="shared" si="171"/>
        <v>Select_IE</v>
      </c>
      <c r="CJ42" s="248" t="str">
        <f t="shared" si="172"/>
        <v/>
      </c>
      <c r="CK42" s="248" t="str">
        <f t="shared" si="173"/>
        <v/>
      </c>
      <c r="CL42" s="248" t="str">
        <f t="shared" si="174"/>
        <v/>
      </c>
      <c r="CM42" s="248" t="str">
        <f>IFERROR(IF(B42="", "", IF(B42="New Construction", VLOOKUP(V42, 'Lookup Tables'!$AF$114:$AG$120, 2, FALSE), VLOOKUP(V42, 'Lookup Tables'!$AD$6:$AE$25, 2, FALSE))), "")</f>
        <v/>
      </c>
      <c r="CN42" s="248" t="str">
        <f t="shared" si="175"/>
        <v/>
      </c>
      <c r="CO42" s="248" t="str">
        <f t="shared" si="176"/>
        <v/>
      </c>
      <c r="CP42" s="592" t="str">
        <f t="shared" si="177"/>
        <v/>
      </c>
      <c r="CQ42" s="248" t="str">
        <f t="shared" si="97"/>
        <v/>
      </c>
      <c r="CR42" s="249"/>
      <c r="CS42" s="250" t="str">
        <f t="shared" si="178"/>
        <v/>
      </c>
      <c r="CT42" s="250" t="str">
        <f t="shared" si="179"/>
        <v/>
      </c>
      <c r="CU42" s="250" t="str">
        <f t="shared" si="180"/>
        <v/>
      </c>
      <c r="CV42" s="250" t="str">
        <f t="shared" si="181"/>
        <v/>
      </c>
      <c r="CW42" s="250" t="str">
        <f t="shared" si="182"/>
        <v/>
      </c>
      <c r="CX42" s="250" t="str">
        <f t="shared" si="183"/>
        <v/>
      </c>
      <c r="CY42" s="250" t="str">
        <f t="shared" si="184"/>
        <v/>
      </c>
      <c r="CZ42" s="250" t="str">
        <f t="shared" si="185"/>
        <v/>
      </c>
      <c r="DA42" s="250" t="str">
        <f t="shared" si="186"/>
        <v/>
      </c>
      <c r="DB42" s="250" t="str">
        <f t="shared" si="187"/>
        <v/>
      </c>
      <c r="DC42" s="250" t="str">
        <f t="shared" si="188"/>
        <v/>
      </c>
      <c r="DD42" s="250" t="str">
        <f t="shared" si="189"/>
        <v/>
      </c>
      <c r="DE42" s="250" t="str">
        <f t="shared" si="190"/>
        <v/>
      </c>
      <c r="DF42" s="250" t="str">
        <f t="shared" si="191"/>
        <v/>
      </c>
      <c r="DG42" s="250" t="str">
        <f t="shared" si="192"/>
        <v/>
      </c>
      <c r="DH42" s="250" t="str">
        <f t="shared" si="193"/>
        <v/>
      </c>
      <c r="DI42" s="250" t="str">
        <f t="shared" si="194"/>
        <v/>
      </c>
      <c r="DJ42" s="250" t="str">
        <f t="shared" si="195"/>
        <v/>
      </c>
      <c r="DK42" s="250" t="str">
        <f t="shared" si="196"/>
        <v/>
      </c>
      <c r="DL42" s="250" t="str">
        <f t="shared" si="197"/>
        <v/>
      </c>
      <c r="DM42" s="250" t="str">
        <f>IF(CD42="ERROR", "ERROR", IF(AND(OR(Y42=$DM$6, Y42='Lookup Tables'!$AD$21, Y42='Lookup Tables'!$AD$22), E42="Interior"), BJ42, ""))</f>
        <v/>
      </c>
      <c r="DN42" s="250" t="str">
        <f>IF(CD42="ERROR", "ERROR", IF(AND(OR(Y42=$DM$6, Y42='Lookup Tables'!$AD$21, Y42='Lookup Tables'!$AD$22), E42="Exterior"), BJ42, ""))</f>
        <v/>
      </c>
      <c r="DO42" s="249"/>
      <c r="DP42" s="250" t="str">
        <f t="shared" si="198"/>
        <v/>
      </c>
      <c r="DQ42" s="250" t="str">
        <f t="shared" si="199"/>
        <v/>
      </c>
      <c r="DR42" s="250" t="str">
        <f t="shared" si="200"/>
        <v/>
      </c>
      <c r="DS42" s="250" t="str">
        <f t="shared" si="201"/>
        <v/>
      </c>
      <c r="DT42" s="250" t="str">
        <f t="shared" si="202"/>
        <v/>
      </c>
      <c r="DU42" s="250" t="str">
        <f t="shared" si="203"/>
        <v/>
      </c>
      <c r="DV42" s="250" t="str">
        <f t="shared" si="204"/>
        <v/>
      </c>
      <c r="DW42" s="250" t="str">
        <f t="shared" si="205"/>
        <v/>
      </c>
      <c r="DX42" s="250" t="str">
        <f t="shared" si="206"/>
        <v/>
      </c>
      <c r="DY42" s="250" t="str">
        <f t="shared" si="207"/>
        <v/>
      </c>
      <c r="DZ42" s="250" t="str">
        <f t="shared" si="208"/>
        <v/>
      </c>
      <c r="EA42" s="250" t="str">
        <f t="shared" si="209"/>
        <v/>
      </c>
      <c r="EB42" s="250" t="str">
        <f t="shared" si="210"/>
        <v/>
      </c>
      <c r="EC42" s="250" t="str">
        <f t="shared" si="211"/>
        <v/>
      </c>
      <c r="ED42" s="250" t="str">
        <f t="shared" si="212"/>
        <v/>
      </c>
      <c r="EE42" s="250" t="str">
        <f t="shared" si="213"/>
        <v/>
      </c>
      <c r="EF42" s="250" t="str">
        <f t="shared" si="214"/>
        <v/>
      </c>
      <c r="EG42" s="250" t="str">
        <f t="shared" si="215"/>
        <v/>
      </c>
      <c r="EH42" s="250" t="str">
        <f>IF(CD42="ERROR", "ERROR", IF(AND(OR($EH$6=Y42, Y42='Lookup Tables'!$AD$21, Y42='Lookup Tables'!$AD$22),E42="Interior"), SUM(BP42:BP42), ""))</f>
        <v/>
      </c>
      <c r="EI42" s="250" t="str">
        <f>IF(CD42="ERROR", "ERROR", IF(AND(OR($EH$6=Y42, Y42='Lookup Tables'!$AD$21, Y42='Lookup Tables'!$AD$22),E42="Exterior"), SUM(BP42:BP42), ""))</f>
        <v/>
      </c>
      <c r="EJ42" s="109"/>
      <c r="EK42" s="485" t="str">
        <f t="shared" si="58"/>
        <v/>
      </c>
      <c r="EL42" s="252" t="str">
        <f t="shared" si="216"/>
        <v/>
      </c>
      <c r="EM42" s="252" t="str">
        <f t="shared" si="217"/>
        <v/>
      </c>
      <c r="EN42" s="252" t="str">
        <f t="shared" si="218"/>
        <v/>
      </c>
      <c r="EO42" s="252" t="str">
        <f t="shared" si="219"/>
        <v/>
      </c>
      <c r="EP42" s="252" t="str">
        <f t="shared" si="220"/>
        <v/>
      </c>
      <c r="EQ42" s="252" t="str">
        <f t="shared" si="221"/>
        <v/>
      </c>
      <c r="ER42" s="252" t="str">
        <f t="shared" si="222"/>
        <v/>
      </c>
      <c r="ES42" s="252" t="str">
        <f t="shared" si="223"/>
        <v/>
      </c>
      <c r="ET42" s="252" t="str">
        <f t="shared" si="224"/>
        <v/>
      </c>
      <c r="EU42" s="252" t="str">
        <f t="shared" si="225"/>
        <v/>
      </c>
      <c r="EV42" s="252" t="str">
        <f t="shared" si="226"/>
        <v/>
      </c>
      <c r="EW42" s="252" t="str">
        <f t="shared" si="227"/>
        <v/>
      </c>
      <c r="EX42" s="252" t="str">
        <f t="shared" si="228"/>
        <v/>
      </c>
      <c r="EY42" s="252" t="str">
        <f t="shared" si="229"/>
        <v/>
      </c>
      <c r="EZ42" s="252" t="str">
        <f t="shared" si="230"/>
        <v/>
      </c>
      <c r="FA42" s="252" t="str">
        <f t="shared" si="231"/>
        <v/>
      </c>
      <c r="FB42" s="252" t="str">
        <f t="shared" si="232"/>
        <v/>
      </c>
      <c r="FC42" s="252" t="str">
        <f>IF(CD42="ERROR", "ERROR", IF(OR(V42="No Change", V42="Not DLC or Energy Star"), "", IF(AND(OR($FC$6=Y42,Y42='Lookup Tables'!$AD$21, Y42='Lookup Tables'!$AD$22),E42="Interior"), S42, "")))</f>
        <v/>
      </c>
      <c r="FD42" s="252" t="str">
        <f t="shared" si="233"/>
        <v/>
      </c>
      <c r="FE42" s="1"/>
      <c r="FF42" s="579" t="str" cm="1">
        <f t="array" ref="FF42">IFERROR(IF(OR(BQ42&lt;=0,AQ42&lt;20,AND(V42="Exit Signs",AN42&gt;0)),"",IF(AND(AQ42&gt;=20,AN42='Lookup Tables'!$R$101),'Lookup Tables'!$U$101*BQ42,AP42*LOOKUP(2,1/((AN42='Lookup Tables'!$R$91:$R$111)*(AQ42&gt;='Lookup Tables'!$S$91:$S$111)*(AQ42&lt;='Lookup Tables'!$T$91:$T$111)),'Lookup Tables'!$U$91:$U$111))),"")</f>
        <v/>
      </c>
      <c r="FG42" s="579"/>
      <c r="FH42" s="579"/>
      <c r="FI42" s="253" t="str">
        <f>IFERROR(ROUND(IF(CD42="ERROR", "ERROR", IF(AND($FI$7=X42,E42="Interior"),VLOOKUP(W42, 'Lookup Tables'!$AI$6:$AM$102, 5, FALSE)*BP42, "")), 2), "")</f>
        <v/>
      </c>
      <c r="FJ42" s="253" t="str">
        <f>IFERROR(ROUND(IF(CD42="ERROR", "ERROR", IF(AND($FI$7=X42,E42="Exterior"),VLOOKUP(W42, 'Lookup Tables'!$AI$6:$AM$102, 5, FALSE)*BP42, "")), 2), "")</f>
        <v/>
      </c>
      <c r="FK42" s="253" t="str">
        <f>IFERROR(ROUND(IF(CD42="ERROR", "ERROR", IF(AND($FK$7=X42,E42="Interior"),VLOOKUP(W42, 'Lookup Tables'!$AI$6:$AM$102, 5, FALSE)*BP42, "")), 2), "")</f>
        <v/>
      </c>
      <c r="FL42" s="253" t="str">
        <f>IFERROR(ROUND(IF(CD42="ERROR", "ERROR", IF(AND($FK$7=X42,E42="Exterior"),VLOOKUP(W42, 'Lookup Tables'!$AI$6:$AM$102, 5, FALSE)*BP42, "")), 2), "")</f>
        <v/>
      </c>
      <c r="FM42" s="253" t="str">
        <f>IFERROR(ROUND(IF(CD42="ERROR", "ERROR", IF(AND($FM$6=Y42,E42="Interior"), IF(GB42=0, VLOOKUP(W42, 'Lookup Tables'!$AI$6:$AM$102, 5, FALSE)*BP42, IF(VLOOKUP(W42, 'Lookup Tables'!$AI$6:$AM$102, 5, FALSE)*BP42&gt;GB42*'Lighting Inventory'!S42, GB42*'Lighting Inventory'!S42,VLOOKUP(W42, 'Lookup Tables'!$AI$6:$AM$102, 5, FALSE)*BP42)), "")), 2), "")</f>
        <v/>
      </c>
      <c r="FN42" s="253" t="str">
        <f>IFERROR(ROUND(IF(CD42="ERROR", "ERROR", IF(AND($FM$6=Y42,E42="Exterior"), IF(GB42=0, VLOOKUP(W42, 'Lookup Tables'!$AI$6:$AM$102, 5, FALSE)*BP42, IF(VLOOKUP(W42, 'Lookup Tables'!$AI$6:$AM$102, 5, FALSE)*BP42&gt;GB42*'Lighting Inventory'!S42, GB42*'Lighting Inventory'!S42,VLOOKUP(W42, 'Lookup Tables'!$AI$6:$AM$102, 5, FALSE)*BP42)), "")), 2), "")</f>
        <v/>
      </c>
      <c r="FO42" s="253" t="str">
        <f>IFERROR(ROUND(IF(CD42="ERROR", "ERROR", IF(AND($FO$6=Y42,E42="Interior"),VLOOKUP(W42, 'Lookup Tables'!$AI$6:$AM$102, 5, FALSE)*'Lighting Inventory'!AI42, "")), 2), "")</f>
        <v/>
      </c>
      <c r="FP42" s="253" t="str">
        <f>IFERROR(ROUND(IF(CD42="ERROR", "ERROR", IF(AND($FO$6=Y42,E42="Exterior"),VLOOKUP(W42, 'Lookup Tables'!$AI$6:$AM$102, 5, FALSE)*'Lighting Inventory'!AI42, "")), 2), "")</f>
        <v/>
      </c>
      <c r="FQ42" s="253" t="str">
        <f>IFERROR(ROUND(IF(CD42="ERROR", "ERROR", IF(AND($FQ$6=Y42,E42="Interior", BU42="Y"), VLOOKUP('Lighting Inventory'!W42, 'Lookup Tables'!$AI$6:$AM$102, 5, FALSE)*'Lighting Inventory'!S42, IF(AND($FQ$7=Y42,E42="Interior", BU42="N"), 0.025*CD42, ""))), 2), "")</f>
        <v/>
      </c>
      <c r="FR42" s="253" t="str">
        <f>IFERROR(ROUND(IF(CD42="ERROR", "ERROR", IF(AND($FQ$6=Y42,E42="Exterior"), VLOOKUP('Lighting Inventory'!W42, 'Lookup Tables'!$AI$6:$AM$102, 5, FALSE)*'Lighting Inventory'!S42, "")), 2), "")</f>
        <v/>
      </c>
      <c r="FS42" s="253" t="str">
        <f>IFERROR(ROUND(IF(CD42="ERROR", "ERROR", IF(AND($FS$6=Y42,E42="Exterior"), IF(GB42=0, VLOOKUP(W42, 'Lookup Tables'!$AI$6:$AM$102, 5, FALSE)*BP42, IF(VLOOKUP(W42, 'Lookup Tables'!$AI$6:$AM$102, 5, FALSE)*BP42&gt;GB42*'Lighting Inventory'!S42, GB42*'Lighting Inventory'!S42,VLOOKUP(W42, 'Lookup Tables'!$AI$6:$AM$102, 5, FALSE)*BP42)), "")), 2), "")</f>
        <v/>
      </c>
      <c r="FT42" s="253" t="str">
        <f>IFERROR(ROUND(IF(CD42="ERROR", "ERROR", IF(AND($FT$6=Y42,E42="Interior"), IF(GB42=0, VLOOKUP(W42, 'Lookup Tables'!$AI$6:$AM$102, 5, FALSE)*BP42, IF(VLOOKUP(W42, 'Lookup Tables'!$AI$6:$AM$102, 5, FALSE)*BP42&gt;GB42*'Lighting Inventory'!S42, GB42*'Lighting Inventory'!S42,VLOOKUP(W42, 'Lookup Tables'!$AI$6:$AM$102, 5, FALSE)*BP42)), "")), 2), "")</f>
        <v/>
      </c>
      <c r="FU42" s="253" t="str">
        <f>IFERROR(ROUND(IF(CD42="ERROR", "ERROR", IF(AND(Y42=$FU$6, E42="Interior"), IF(BS42="N", 'Lookup Tables'!$AM$101*BP42, VLOOKUP(W42, 'Lookup Tables'!$AI$6:$AM$102, 5, FALSE)*S42*AD42), "")), 2), "")</f>
        <v/>
      </c>
      <c r="FV42" s="253" t="str">
        <f>IFERROR(ROUND(IF(CD42="ERROR", "ERROR", IF(AND(Y42=$FU$6, E42="Exterior"), IF(BS42="N", 'Lookup Tables'!$AM$101*BP42, VLOOKUP(W42, 'Lookup Tables'!$AI$6:$AM$102, 5, FALSE)*S42*AD42), "")), 2), "")</f>
        <v/>
      </c>
      <c r="FW42" s="253" t="str">
        <f>IFERROR(ROUND(IF(CD42="ERROR", "ERROR", IF($FW$6=Y42, IF(BS42="N", 'Lookup Tables'!$AM$101*BP42, MIN((VLOOKUP(W42, 'Lookup Tables'!$AI$6:$AM$102, 5, FALSE)*BP42),GB42*AJ42)), "")), 2), "")</f>
        <v/>
      </c>
      <c r="FX42" s="253" t="str">
        <f>IFERROR(ROUND(IF(CD42="ERROR", "ERROR", IF(AND($FX$6=Y42, E42="Interior"), IF(VLOOKUP(W42, 'Lookup Tables'!$AI$6:$AM$102, 5, FALSE)*BP42&gt;'Lookup Tables'!$AQ$97*'Lighting Inventory'!S42,'Lighting Inventory'!S42*'Lookup Tables'!$AQ$97,VLOOKUP(W42, 'Lookup Tables'!$AI$6:$AM$102, 5, FALSE)*BP42), "")), 2), "")</f>
        <v/>
      </c>
      <c r="FY42" s="253" t="str">
        <f>IFERROR(ROUND(IF(CD42="ERROR", "ERROR", IF(AND($FX$6=Y42, E42="Exterior"), IF(VLOOKUP(W42, 'Lookup Tables'!$AI$6:$AM$102, 5, FALSE)*BP42&gt;'Lookup Tables'!$AQ$97*'Lighting Inventory'!S42,'Lighting Inventory'!S42*'Lookup Tables'!$AQ$97,VLOOKUP(W42, 'Lookup Tables'!$AI$6:$AM$102, 5, FALSE)*BP42), "")), 2), "")</f>
        <v/>
      </c>
      <c r="FZ42" s="253" t="str">
        <f>IFERROR(ROUND(IF(CD42="ERROR", "ERROR", IF(AND($FZ$6=Y42, E42="Interior"), IF(AND(OR(W42="Refrigerated Case Lighting with Doors", W42="Freezer Case Lighting"),Y42="Custom - Process Improvement"),CD42*'Lookup Tables'!$AM$101, IF(B42="Retrofit", IF(VLOOKUP(IF(V42="Custom", V42, W42), 'Lookup Tables'!$AI$6:$AM$102, 5, FALSE)*BP42&gt;GE42, GE42, VLOOKUP(IF(V42="Custom", V42, W42), 'Lookup Tables'!$AI$6:$AM$102, 5, FALSE)*BP42), IF(VLOOKUP(IF(V42="Custom", V42, W42), 'Lookup Tables'!$AI$114:$AM$154, 5, FALSE)*BP42&gt;GE42, GE42, VLOOKUP(IF(V42="Custom", V42, W42), 'Lookup Tables'!$AI$114:$AM$154, 5, FALSE)*BP42))), "")), 2),"")</f>
        <v/>
      </c>
      <c r="GA42" s="253" t="str">
        <f>IFERROR(ROUND(IF(CD42="ERROR", "ERROR", IF(AND($FZ$6=Y42, E42="Exterior"), IF(B42="Retrofit", IF(VLOOKUP(IF(V42="Custom", V42, W42), 'Lookup Tables'!$AI$6:$AM$102, 5, FALSE)*BP42&gt;GE42, GE42, VLOOKUP(IF(V42="Custom", V42, W42), 'Lookup Tables'!$AI$6:$AM$102, 5, FALSE)*BP42), IF(VLOOKUP(IF(V42="Custom", V42, W42), 'Lookup Tables'!$AI$114:$AM$154, 5, FALSE)*BP42&gt;GE42, GE42, VLOOKUP(IF(V42="Custom", V42, W42), 'Lookup Tables'!$AI$114:$AM$154, 5, FALSE)*BP42)), "")), 2),"")</f>
        <v/>
      </c>
      <c r="GB42" s="254" t="str">
        <f t="array" ref="GB42">IF(B42="","",IF(OR(V42="Custom",V42="No Change"),0,IF(B42="Retrofit", INDEX('Lookup Tables'!$AH$6:$AQ$102,MATCH(1,('Lookup Tables'!$AH$6:$AH$102='Lighting Inventory'!V42)*('Lookup Tables'!$AI$6:$AI$102='Lighting Inventory'!W42),FALSE),10),INDEX('Lookup Tables'!$AH$114:$AQ$154,MATCH(1,('Lookup Tables'!$AH$114:$AH$154='Lighting Inventory'!V42)*('Lookup Tables'!$AI$114:$AI$154='Lighting Inventory'!W42),FALSE),10))))</f>
        <v/>
      </c>
      <c r="GC42" s="255" t="str">
        <f t="shared" si="77"/>
        <v/>
      </c>
      <c r="GD42" s="250" t="str">
        <f t="shared" si="78"/>
        <v/>
      </c>
      <c r="GE42" s="253" t="str">
        <f>IFERROR(IF(AND(AF42="", 'General Information'!$F$18="No"),"", IF(AF42="", ((GD42/$CD$266)*$CF$266)*0.5, AF42*S42*0.5)), "")</f>
        <v/>
      </c>
      <c r="GF42" s="255" t="str">
        <f>IF(AND('General Information'!$F$19="", 'General Information'!$F$18="Yes",AF42="",BW42="Y"), "Y", "N")</f>
        <v>N</v>
      </c>
      <c r="GG42" s="255" t="s">
        <v>2946</v>
      </c>
      <c r="GH42" s="255" t="str">
        <f>IFERROR(IF(B42="", "", VLOOKUP(J42, 'Fixture Identities'!$A$6:$N$908, 14, FALSE)), "")</f>
        <v/>
      </c>
      <c r="GI42" s="389" t="str">
        <f>IF(OR(B42="", V42="", W42=""), "", IF(AND(OR(M42='Lookup Tables'!$R$18, M42='Lookup Tables'!$R$19, M42='Lookup Tables'!$R$20, M42='Lookup Tables'!$R$21, M42='Lookup Tables'!$R$22), OR(AN42='Lookup Tables'!$R$17, AN42='Lookup Tables'!$R$17, AN42="")), "Y", "N"))</f>
        <v/>
      </c>
      <c r="GJ42" s="255" t="str">
        <f t="shared" si="79"/>
        <v/>
      </c>
      <c r="GK42" s="255" t="str">
        <f t="shared" si="80"/>
        <v/>
      </c>
      <c r="GL42" s="255" t="str">
        <f t="shared" si="81"/>
        <v/>
      </c>
      <c r="GM42" s="255" t="str">
        <f>IF(AN42="", "", IF(AND(IF(ISNA(VLOOKUP(AN42,'Lookup Tables'!$R$18:$R$22,1,FALSE)), "N", "Y")="Y", E42="Exterior"), "Y", "N"))</f>
        <v/>
      </c>
      <c r="GN42" s="395"/>
      <c r="GO42" s="428">
        <f t="shared" si="98"/>
        <v>0</v>
      </c>
      <c r="GP42" s="428">
        <f t="shared" si="167"/>
        <v>0</v>
      </c>
      <c r="GQ42" s="428">
        <f t="shared" si="99"/>
        <v>0</v>
      </c>
      <c r="GR42" s="428">
        <f t="shared" si="100"/>
        <v>0</v>
      </c>
    </row>
    <row r="43" spans="1:202" s="103" customFormat="1" ht="13.5" customHeight="1" x14ac:dyDescent="0.2">
      <c r="A43" s="272">
        <v>33</v>
      </c>
      <c r="B43" s="110"/>
      <c r="C43" s="110"/>
      <c r="D43" s="110"/>
      <c r="E43" s="110"/>
      <c r="F43" s="110"/>
      <c r="G43" s="110"/>
      <c r="H43" s="110"/>
      <c r="I43" s="29"/>
      <c r="J43" s="29"/>
      <c r="K43" s="272" t="str">
        <f>IFERROR(IF(OR(VLOOKUP(J43, 'Fixture Identities'!$A$6:$L$1023, 3, FALSE)="T12 Linear Fluorescent", VLOOKUP(J43, 'Fixture Identities'!$A$6:$L$1023, 3, FALSE)="T12 U-Tube Fluorescent"), VLOOKUP(VLOOKUP(J43, 'Fixture Identities'!$A$6:$L$1023, 11, FALSE), 'Fixture Identities'!$A$6:$L$1023, 10, FALSE), VLOOKUP(J43, 'Fixture Identities'!$A$6:$L$1023, 10, FALSE)), "")</f>
        <v/>
      </c>
      <c r="L43" s="270" t="str">
        <f t="shared" si="169"/>
        <v/>
      </c>
      <c r="M43" s="110"/>
      <c r="N43" s="110"/>
      <c r="O43" s="110"/>
      <c r="P43" s="272" t="str">
        <f>IFERROR(IF(OR(B43="Retrofit",B43=""),"",IF('Lighting Inventory'!E43="Exterior",VLOOKUP('Lighting Inventory'!N43,'Lookup Tables'!$B$83:$F$103,5,FALSE),IF(N43="Other - Please Estimate EFLH and CFs","Contact Prog. Rep.","ft^2"))), "")</f>
        <v/>
      </c>
      <c r="Q43" s="270" t="str">
        <f>IFERROR(IF(AND(B43="New Construction",E43="Interior",$F$5="Space-by-Space"),VLOOKUP('Lighting Inventory'!N43,'Lookup Tables'!$N$6:$O$97,2,FALSE),IF(AND(B43="New Construction",E43="Exterior"),VLOOKUP(N43,'Lookup Tables'!$B$83:$F$103,2,FALSE),IF(AND(B43="New Construction",'Lighting Inventory'!E43="Interior", $F$5="Building Area"),VLOOKUP(F43,'Lookup Tables'!$A$6:$J$59,10,FALSE),""))), "")</f>
        <v/>
      </c>
      <c r="R43" s="270" t="str">
        <f>IFERROR(IF(P43="Contact Prog. Rep.", "ERROR", IF(OR(B43="",B43="Retrofit"),"",IF(N43="Automated teller machines", ('Lookup Tables'!$A$82:$E$100+('Lighting Inventory'!O43-1)*'Lookup Tables'!$A$82:$E$100)/1000, (Q43*O43)/1000))), "")</f>
        <v/>
      </c>
      <c r="S43" s="595"/>
      <c r="T43" s="105" t="str">
        <f t="shared" si="83"/>
        <v/>
      </c>
      <c r="U43" s="105" t="str">
        <f>IF(S43="","",COUNT($S$11:S43))</f>
        <v/>
      </c>
      <c r="V43" s="111"/>
      <c r="W43" s="112"/>
      <c r="X43" s="105" t="str">
        <f t="shared" si="84"/>
        <v/>
      </c>
      <c r="Y43" s="105" t="str">
        <f t="array" ref="Y43">IF(AND(OR(W43="Freezer Case Lighting", W43="Refrigerated Case Lighting with Doors"), 'General Information'!$X$18="LCI"),'Lookup Tables'!$Y$34, IF(V43="Custom", VLOOKUP(W43, 'Fixture Identities'!$A$974:$M$1023, 13, FALSE), IF(V43="No Change",'Lookup Tables'!$Y$29,IF(OR(V43="",W43=""),"",IF(AND(S43=0,S43&lt;I43,B43="Retrofit"),'Lookup Tables'!$Y$25, IF(B43="Retrofit", INDEX('Lookup Tables'!$AH$6:$AP$102, MATCH(1, ('Lookup Tables'!$AH$6:$AH$102=V43)*('Lookup Tables'!$AI$6:$AI$102=W43), 0), IF('Lighting Inventory'!E43="Interior", 4, 5)), INDEX('Lookup Tables'!$AH$114:$AP$154, MATCH(1, ('Lookup Tables'!$AH$114:$AH$154=V43)*('Lookup Tables'!$AI$114:$AI$154=W43), 0), IF('Lighting Inventory'!E43="Interior", 4, 5))))))))</f>
        <v/>
      </c>
      <c r="Z43" s="105" t="str">
        <f>IFERROR(INDEX('Lookup Tables'!$AH$158:$AH$172,MATCH('Lighting Inventory'!Y43,'Lookup Tables'!$AI$158:$AI$172,0)),"")</f>
        <v/>
      </c>
      <c r="AA43" s="105" t="str">
        <f>IF(AP43&gt;0,INDEX('Lookup Tables'!$AK$158:$AK$172,MATCH('Lighting Inventory'!Y43,'Lookup Tables'!$AI$158:$AI$172,0)),'Lighting Inventory'!Y43)</f>
        <v/>
      </c>
      <c r="AB43" s="105" t="str">
        <f t="array" ref="AB43">IF(V43="Custom", "Custom", IF(V43="", "", IF(V43="Not DLC or Energy Star", "General", IF(B43="New Construction", INDEX('Lookup Tables'!$AH$114:$AP$154,MATCH(1,('Lookup Tables'!$AH$114:$AH$154='Lighting Inventory'!V43)*('Lookup Tables'!$AI$114:$AI$154='Lighting Inventory'!W43),FALSE),8), INDEX('Lookup Tables'!$AH$6:$AP$102,MATCH(1,('Lookup Tables'!$AH$6:$AH$102='Lighting Inventory'!V43)*('Lookup Tables'!$AI$6:$AI$102='Lighting Inventory'!W43),FALSE),8)))))</f>
        <v/>
      </c>
      <c r="AC43" s="272" t="str">
        <f>IF(W43="","",IF(V43="Custom",CONCATENATE("$",'Lookup Tables'!$AM$101," ",'Lookup Tables'!$AN$101),CONCATENATE("$",INDEX('Lookup Tables'!$AM$6:$AM$102,MATCH('Lighting Inventory'!W43,'Lookup Tables'!$AI$6:$AI$102,0))," ",INDEX('Lookup Tables'!$AN$6:$AN$102,MATCH('Lighting Inventory'!W43,'Lookup Tables'!$AI$6:$AI$102,0)))))</f>
        <v/>
      </c>
      <c r="AD43" s="72"/>
      <c r="AE43" s="29"/>
      <c r="AF43" s="379"/>
      <c r="AG43" s="370" t="str">
        <f t="shared" si="2"/>
        <v/>
      </c>
      <c r="AH43" s="370" t="str">
        <f t="shared" si="85"/>
        <v/>
      </c>
      <c r="AI43" s="29"/>
      <c r="AJ43" s="29"/>
      <c r="AK43" s="110"/>
      <c r="AL43" s="375" t="str">
        <f>IF(OR(B43="", V43="", W43=""), "", IF(V43="No Change", K43, IF(V43="Remove Fixture", 0, IF(V43="Custom",VLOOKUP(W43,'Fixture Identities'!$A$6:$K$1023,10,FALSE),IF(AE43="", "← ENTER POST WATTS", 'Lighting Inventory'!AE43)))))</f>
        <v/>
      </c>
      <c r="AM43" s="376" t="str">
        <f t="shared" si="3"/>
        <v/>
      </c>
      <c r="AN43" s="29"/>
      <c r="AO43" s="671"/>
      <c r="AP43" s="29"/>
      <c r="AQ43" s="29"/>
      <c r="AR43" s="29"/>
      <c r="AS43" s="272" t="str">
        <f t="shared" si="4"/>
        <v/>
      </c>
      <c r="AT43" s="270" t="str">
        <f t="shared" si="234"/>
        <v/>
      </c>
      <c r="AU43" s="88" t="str">
        <f t="shared" si="235"/>
        <v/>
      </c>
      <c r="AV43" s="29"/>
      <c r="AW43" s="73"/>
      <c r="AX43" s="271" t="str">
        <f>IF(AND(AV43="Applicant",OR(AW43="", AW43="Use Default Facility Hours")),"← Choose Schedule",IF(F43="","",IF(W43="LED Exit Signs",8760,IF(OR(AV43="Prescribed",AV43=""),VLOOKUP(F43,'Lookup Tables'!$A$6:$G$59,IF(AB43="General", 6, 3),FALSE),VLOOKUP(AW43,'Lookup Tables'!$S$36:$U$43,2,FALSE)))))</f>
        <v/>
      </c>
      <c r="AY43" s="88" t="str">
        <f t="shared" si="7"/>
        <v/>
      </c>
      <c r="AZ43" s="270" t="str">
        <f>IFERROR(IF(F43="", "", IF(W43="LED Exit Signs", 1, IF(AV43="Applicant",VLOOKUP(AW43, 'Lookup Tables'!$S$36:$U$43,3, FALSE), VLOOKUP('Lighting Inventory'!F43, 'Lookup Tables'!$A$6:$H$59, IF('Lighting Inventory'!AB43="General",7,4), FALSE)))), "")</f>
        <v/>
      </c>
      <c r="BA43" s="522" t="str">
        <f>IFERROR(IF(F43="", "", IF(W43="LED Exit Signs", 1, VLOOKUP('Lighting Inventory'!F43, 'Lookup Tables'!$A$6:$H$59, IF('Lighting Inventory'!AB43="General",8,5), FALSE))), "")</f>
        <v/>
      </c>
      <c r="BB43" s="270" t="str">
        <f>IF(G43="", "", IF(E43="Exterior", 0, IF('Lighting Inventory'!G43="Air Conditioned", VLOOKUP(H43, 'Lookup Tables'!$R$6:$T$13, 2, FALSE), VLOOKUP('Lighting Inventory'!G43, 'Lookup Tables'!$R$6:$T$13, 2, FALSE))))</f>
        <v/>
      </c>
      <c r="BC43" s="522" t="str">
        <f>IF(G43="", "", IF(E43="Exterior", 0, IF('Lighting Inventory'!G43="Air Conditioned", VLOOKUP(H43, 'Lookup Tables'!$R$6:$T$13, 3, FALSE), VLOOKUP('Lighting Inventory'!G43, 'Lookup Tables'!$R$6:$T$13, 3, FALSE))))</f>
        <v/>
      </c>
      <c r="BD43" s="270" t="str">
        <f>IF(G43="", "", IF(E43="Exterior", 0, IF('Lighting Inventory'!G43="Air Conditioned", VLOOKUP(H43, 'Lookup Tables'!$R$6:$U$13, 4, FALSE), VLOOKUP('Lighting Inventory'!G43, 'Lookup Tables'!$R$6:$U$13, 4, FALSE))))</f>
        <v/>
      </c>
      <c r="BE43" s="270" t="str">
        <f>IFERROR(IF(B43="", "",  IF(B43="New Construction", VLOOKUP(F43, 'Lookup Tables'!$A$6:$K$59, 11, FALSE),IF(OR(AN43="", AN43="Light Switch"), 0, IF(OR(M43="",M43="None",V43= "LED Exit Signs"),0,_xlfn.XLOOKUP(M43,'Lookup Tables'!$R$91:$R$101,'Lookup Tables'!$V$91:$V$101))))), "")</f>
        <v/>
      </c>
      <c r="BF43" s="270" t="str">
        <f>IF(AND(OR(AN43="Light Switch",AN43=""),B43="New Construction"), VLOOKUP(F43, 'Lookup Tables'!$A$6:$K$59, 11, FALSE),IF(AN43="","",IF(B43="","",IF(OR(AN43="None",AN43="",V43="LED Exit Signs",AN43="Exterior Controls Not Eligible"),0,_xlfn.XLOOKUP(AN43,'Lookup Tables'!$R$91:$R$101,'Lookup Tables'!$V$91:$V$101)))))</f>
        <v/>
      </c>
      <c r="BG43" s="88" t="str">
        <f t="shared" si="86"/>
        <v/>
      </c>
      <c r="BH43" s="88" t="str">
        <f t="shared" si="87"/>
        <v/>
      </c>
      <c r="BI43" s="558" t="str">
        <f t="shared" si="168"/>
        <v/>
      </c>
      <c r="BJ43" s="82" t="str">
        <f t="shared" si="88"/>
        <v/>
      </c>
      <c r="BK43" s="82" t="str">
        <f t="shared" si="89"/>
        <v/>
      </c>
      <c r="BL43" s="559" t="str">
        <f t="shared" si="90"/>
        <v/>
      </c>
      <c r="BM43" s="521" t="str">
        <f t="shared" si="8"/>
        <v/>
      </c>
      <c r="BN43" s="521" t="str">
        <f t="shared" si="9"/>
        <v/>
      </c>
      <c r="BO43" s="522" t="str">
        <f t="shared" si="10"/>
        <v/>
      </c>
      <c r="BP43" s="83" t="str">
        <f t="shared" si="91"/>
        <v/>
      </c>
      <c r="BQ43" s="84" t="str">
        <f t="shared" si="92"/>
        <v/>
      </c>
      <c r="BR43" s="184" t="str">
        <f>IFERROR(IF(B43="", "", IF(OR(VLOOKUP(J43, 'Fixture Identities'!$A$6:$L$1023, 3, FALSE)="T12 Linear Fluorescent",VLOOKUP(J43, 'Fixture Identities'!$A$6:$L$1023, 3, FALSE)="T12 U-Tube Fluorescent"), "Y", "N")), "N")</f>
        <v/>
      </c>
      <c r="BS43" s="184" t="str">
        <f t="array" ref="BS43">IFERROR(IF(OR(B43="", V43="", W43=""), "", IF(V43="Custom", "N", IF(OR(W43="Freezer Case Lighting", W43="Refrigerated Case Lighting with Doors"), BT43, IF(B43="Retrofit", INDEX('Lookup Tables'!$AH$6:$AT$102,MATCH(1,('Lookup Tables'!$AH$6:$AH$102=V43)*('Lookup Tables'!$AI$6:$AI$102=W43),FALSE),IF(VLOOKUP(J43, 'Fixture Identities'!$A$6:$B$1023, 2, FALSE)="Incandescent",12, 13)), INDEX('Lookup Tables'!$AH$114:$AS$154,MATCH(1,('Lookup Tables'!$AH$114:$AH$154=V43)*('Lookup Tables'!$AI$114:$AI$154=W43),FALSE),12))))), "N")</f>
        <v/>
      </c>
      <c r="BT43" s="184" t="str">
        <f>IF(J43="", "", IF(AND(OR(W43="Freezer case Lighting", W43="Refrigerated Case Lighting with Doors"),'General Information'!$X$18="LCI"), "N", IF(OR(VLOOKUP(J43, 'Fixture Identities'!$A$6:$B$1023, 2, FALSE)="T12 EPACT/EISA Baseline", VLOOKUP(J43, 'Fixture Identities'!$A$6:$B$1023, 2, FALSE)="Linear Fluorescent", VLOOKUP(J43, 'Fixture Identities'!$A$6:$B$1023, 2, FALSE)="U-Tube Fluorescent"), "Y", "N")))</f>
        <v/>
      </c>
      <c r="BU43" s="184" t="str">
        <f>IFERROR(IF(B43="", "", IF(VLOOKUP(J43, 'Fixture Identities'!$A$6:$B$1023, 2, FALSE)="Exit Sign", "Y", "N")), "N")</f>
        <v/>
      </c>
      <c r="BV43" s="184" t="str">
        <f>IF(V43="Exit Signs", IF(VLOOKUP(J43, 'Fixture Identities'!$A$6:$B$1023, 2, FALSE)="Exit Sign", "N", "Y"), "")</f>
        <v/>
      </c>
      <c r="BW43" s="184" t="str">
        <f t="array" ref="BW43">IFERROR(IF(B43="", "", IF(B43="New Construction", "N", INDEX('Lookup Tables'!$AH$6:$AU$102, MATCH(1, ('Lookup Tables'!$AH$6:$AH$102='Lighting Inventory'!V43)*('Lookup Tables'!$AI$6:$AI$102='Lighting Inventory'!W43), 0), 14))), "N")</f>
        <v/>
      </c>
      <c r="BX43" s="598" t="str">
        <f t="shared" si="93"/>
        <v/>
      </c>
      <c r="BY43" s="598" t="str">
        <f t="shared" si="94"/>
        <v/>
      </c>
      <c r="BZ43" s="598" t="str">
        <f t="shared" si="95"/>
        <v/>
      </c>
      <c r="CA43" s="598" t="str">
        <f t="shared" si="101"/>
        <v/>
      </c>
      <c r="CB43" s="269" t="str">
        <f t="shared" si="102"/>
        <v/>
      </c>
      <c r="CC43" s="517" t="str">
        <f t="shared" si="96"/>
        <v/>
      </c>
      <c r="CD43" s="565" t="str">
        <f t="shared" si="11"/>
        <v/>
      </c>
      <c r="CE43" s="368">
        <v>0</v>
      </c>
      <c r="CF43" s="368" t="str" cm="1">
        <f t="array" ref="CF43">IFERROR(IF(V43="Custom", "$0.1 per kWh", IF(B43="New Construction", CONCATENATE("$",INDEX('Lookup Tables'!$AH$114:$AN$154,MATCH(1,('Lookup Tables'!$AH$114:$AH$154='Lighting Inventory'!V43)*('Lookup Tables'!$AI$114:$AI$154='Lighting Inventory'!W43),FALSE),6)," ",INDEX('Lookup Tables'!$AH$114:$AN$154,MATCH(1,('Lookup Tables'!$AH$114:$AH$154='Lighting Inventory'!V43)*('Lookup Tables'!$AI$114:$AI$154='Lighting Inventory'!W43),FALSE),7)), IF(AND(BU43="N", V43="Exit Signs"), "$0.025 per kWh", CONCATENATE("$",INDEX('Lookup Tables'!$AH$6:$AN$102,MATCH(1,('Lookup Tables'!$AH$6:$AH$102='Lighting Inventory'!V43)*('Lookup Tables'!$AI$6:$AI$102='Lighting Inventory'!W43),FALSE),6)," ",INDEX('Lookup Tables'!$AH$6:$AN$102,MATCH(1,('Lookup Tables'!$AH$6:$AH$102='Lighting Inventory'!V43)*('Lookup Tables'!$AI$6:$AI$102='Lighting Inventory'!W43),FALSE),7))))), "")</f>
        <v/>
      </c>
      <c r="CG43" s="366"/>
      <c r="CH43" s="248" t="str">
        <f t="shared" si="170"/>
        <v/>
      </c>
      <c r="CI43" s="248" t="str">
        <f t="shared" si="171"/>
        <v>Select_IE</v>
      </c>
      <c r="CJ43" s="248" t="str">
        <f t="shared" si="172"/>
        <v/>
      </c>
      <c r="CK43" s="248" t="str">
        <f t="shared" si="173"/>
        <v/>
      </c>
      <c r="CL43" s="248" t="str">
        <f t="shared" si="174"/>
        <v/>
      </c>
      <c r="CM43" s="248" t="str">
        <f>IFERROR(IF(B43="", "", IF(B43="New Construction", VLOOKUP(V43, 'Lookup Tables'!$AF$114:$AG$120, 2, FALSE), VLOOKUP(V43, 'Lookup Tables'!$AD$6:$AE$25, 2, FALSE))), "")</f>
        <v/>
      </c>
      <c r="CN43" s="248" t="str">
        <f t="shared" si="175"/>
        <v/>
      </c>
      <c r="CO43" s="248" t="str">
        <f t="shared" si="176"/>
        <v/>
      </c>
      <c r="CP43" s="592" t="str">
        <f t="shared" si="177"/>
        <v/>
      </c>
      <c r="CQ43" s="248" t="str">
        <f t="shared" si="97"/>
        <v/>
      </c>
      <c r="CR43" s="100"/>
      <c r="CS43" s="250" t="str">
        <f t="shared" si="178"/>
        <v/>
      </c>
      <c r="CT43" s="250" t="str">
        <f t="shared" si="179"/>
        <v/>
      </c>
      <c r="CU43" s="250" t="str">
        <f t="shared" si="180"/>
        <v/>
      </c>
      <c r="CV43" s="250" t="str">
        <f t="shared" si="181"/>
        <v/>
      </c>
      <c r="CW43" s="250" t="str">
        <f t="shared" si="182"/>
        <v/>
      </c>
      <c r="CX43" s="250" t="str">
        <f t="shared" si="183"/>
        <v/>
      </c>
      <c r="CY43" s="250" t="str">
        <f t="shared" si="184"/>
        <v/>
      </c>
      <c r="CZ43" s="250" t="str">
        <f t="shared" si="185"/>
        <v/>
      </c>
      <c r="DA43" s="250" t="str">
        <f t="shared" si="186"/>
        <v/>
      </c>
      <c r="DB43" s="250" t="str">
        <f t="shared" si="187"/>
        <v/>
      </c>
      <c r="DC43" s="250" t="str">
        <f t="shared" si="188"/>
        <v/>
      </c>
      <c r="DD43" s="250" t="str">
        <f t="shared" si="189"/>
        <v/>
      </c>
      <c r="DE43" s="250" t="str">
        <f t="shared" si="190"/>
        <v/>
      </c>
      <c r="DF43" s="250" t="str">
        <f t="shared" si="191"/>
        <v/>
      </c>
      <c r="DG43" s="250" t="str">
        <f t="shared" si="192"/>
        <v/>
      </c>
      <c r="DH43" s="250" t="str">
        <f t="shared" si="193"/>
        <v/>
      </c>
      <c r="DI43" s="250" t="str">
        <f t="shared" si="194"/>
        <v/>
      </c>
      <c r="DJ43" s="250" t="str">
        <f t="shared" si="195"/>
        <v/>
      </c>
      <c r="DK43" s="250" t="str">
        <f t="shared" si="196"/>
        <v/>
      </c>
      <c r="DL43" s="250" t="str">
        <f t="shared" si="197"/>
        <v/>
      </c>
      <c r="DM43" s="250" t="str">
        <f>IF(CD43="ERROR", "ERROR", IF(AND(OR(Y43=$DM$6, Y43='Lookup Tables'!$AD$21, Y43='Lookup Tables'!$AD$22), E43="Interior"), BJ43, ""))</f>
        <v/>
      </c>
      <c r="DN43" s="250" t="str">
        <f>IF(CD43="ERROR", "ERROR", IF(AND(OR(Y43=$DM$6, Y43='Lookup Tables'!$AD$21, Y43='Lookup Tables'!$AD$22), E43="Exterior"), BJ43, ""))</f>
        <v/>
      </c>
      <c r="DO43" s="100"/>
      <c r="DP43" s="250" t="str">
        <f t="shared" si="198"/>
        <v/>
      </c>
      <c r="DQ43" s="250" t="str">
        <f t="shared" si="199"/>
        <v/>
      </c>
      <c r="DR43" s="250" t="str">
        <f t="shared" si="200"/>
        <v/>
      </c>
      <c r="DS43" s="250" t="str">
        <f t="shared" si="201"/>
        <v/>
      </c>
      <c r="DT43" s="250" t="str">
        <f t="shared" si="202"/>
        <v/>
      </c>
      <c r="DU43" s="250" t="str">
        <f t="shared" si="203"/>
        <v/>
      </c>
      <c r="DV43" s="250" t="str">
        <f t="shared" si="204"/>
        <v/>
      </c>
      <c r="DW43" s="250" t="str">
        <f t="shared" si="205"/>
        <v/>
      </c>
      <c r="DX43" s="250" t="str">
        <f t="shared" si="206"/>
        <v/>
      </c>
      <c r="DY43" s="250" t="str">
        <f t="shared" si="207"/>
        <v/>
      </c>
      <c r="DZ43" s="250" t="str">
        <f t="shared" si="208"/>
        <v/>
      </c>
      <c r="EA43" s="250" t="str">
        <f t="shared" si="209"/>
        <v/>
      </c>
      <c r="EB43" s="250" t="str">
        <f t="shared" si="210"/>
        <v/>
      </c>
      <c r="EC43" s="250" t="str">
        <f t="shared" si="211"/>
        <v/>
      </c>
      <c r="ED43" s="250" t="str">
        <f t="shared" si="212"/>
        <v/>
      </c>
      <c r="EE43" s="250" t="str">
        <f t="shared" si="213"/>
        <v/>
      </c>
      <c r="EF43" s="250" t="str">
        <f t="shared" si="214"/>
        <v/>
      </c>
      <c r="EG43" s="250" t="str">
        <f t="shared" si="215"/>
        <v/>
      </c>
      <c r="EH43" s="250" t="str">
        <f>IF(CD43="ERROR", "ERROR", IF(AND(OR($EH$6=Y43, Y43='Lookup Tables'!$AD$21, Y43='Lookup Tables'!$AD$22),E43="Interior"), SUM(BP43:BP43), ""))</f>
        <v/>
      </c>
      <c r="EI43" s="250" t="str">
        <f>IF(CD43="ERROR", "ERROR", IF(AND(OR($EH$6=Y43, Y43='Lookup Tables'!$AD$21, Y43='Lookup Tables'!$AD$22),E43="Exterior"), SUM(BP43:BP43), ""))</f>
        <v/>
      </c>
      <c r="EJ43" s="109"/>
      <c r="EK43" s="485" t="str">
        <f t="shared" si="58"/>
        <v/>
      </c>
      <c r="EL43" s="252" t="str">
        <f t="shared" si="216"/>
        <v/>
      </c>
      <c r="EM43" s="252" t="str">
        <f t="shared" si="217"/>
        <v/>
      </c>
      <c r="EN43" s="252" t="str">
        <f t="shared" si="218"/>
        <v/>
      </c>
      <c r="EO43" s="252" t="str">
        <f t="shared" si="219"/>
        <v/>
      </c>
      <c r="EP43" s="252" t="str">
        <f t="shared" si="220"/>
        <v/>
      </c>
      <c r="EQ43" s="252" t="str">
        <f t="shared" si="221"/>
        <v/>
      </c>
      <c r="ER43" s="252" t="str">
        <f t="shared" si="222"/>
        <v/>
      </c>
      <c r="ES43" s="252" t="str">
        <f t="shared" si="223"/>
        <v/>
      </c>
      <c r="ET43" s="252" t="str">
        <f t="shared" si="224"/>
        <v/>
      </c>
      <c r="EU43" s="252" t="str">
        <f t="shared" si="225"/>
        <v/>
      </c>
      <c r="EV43" s="252" t="str">
        <f t="shared" si="226"/>
        <v/>
      </c>
      <c r="EW43" s="252" t="str">
        <f t="shared" si="227"/>
        <v/>
      </c>
      <c r="EX43" s="252" t="str">
        <f t="shared" si="228"/>
        <v/>
      </c>
      <c r="EY43" s="252" t="str">
        <f t="shared" si="229"/>
        <v/>
      </c>
      <c r="EZ43" s="252" t="str">
        <f t="shared" si="230"/>
        <v/>
      </c>
      <c r="FA43" s="252" t="str">
        <f t="shared" si="231"/>
        <v/>
      </c>
      <c r="FB43" s="252" t="str">
        <f t="shared" si="232"/>
        <v/>
      </c>
      <c r="FC43" s="252" t="str">
        <f>IF(CD43="ERROR", "ERROR", IF(OR(V43="No Change", V43="Not DLC or Energy Star"), "", IF(AND(OR($FC$6=Y43,Y43='Lookup Tables'!$AD$21, Y43='Lookup Tables'!$AD$22),E43="Interior"), S43, "")))</f>
        <v/>
      </c>
      <c r="FD43" s="252" t="str">
        <f t="shared" si="233"/>
        <v/>
      </c>
      <c r="FE43" s="101"/>
      <c r="FF43" s="579" t="str" cm="1">
        <f t="array" ref="FF43">IFERROR(IF(OR(BQ43&lt;=0,AQ43&lt;20,AND(V43="Exit Signs",AN43&gt;0)),"",IF(AND(AQ43&gt;=20,AN43='Lookup Tables'!$R$101),'Lookup Tables'!$U$101*BQ43,AP43*LOOKUP(2,1/((AN43='Lookup Tables'!$R$91:$R$111)*(AQ43&gt;='Lookup Tables'!$S$91:$S$111)*(AQ43&lt;='Lookup Tables'!$T$91:$T$111)),'Lookup Tables'!$U$91:$U$111))),"")</f>
        <v/>
      </c>
      <c r="FG43" s="579"/>
      <c r="FH43" s="579"/>
      <c r="FI43" s="253" t="str">
        <f>IFERROR(ROUND(IF(CD43="ERROR", "ERROR", IF(AND($FI$7=X43,E43="Interior"),VLOOKUP(W43, 'Lookup Tables'!$AI$6:$AM$102, 5, FALSE)*BP43, "")), 2), "")</f>
        <v/>
      </c>
      <c r="FJ43" s="253" t="str">
        <f>IFERROR(ROUND(IF(CD43="ERROR", "ERROR", IF(AND($FI$7=X43,E43="Exterior"),VLOOKUP(W43, 'Lookup Tables'!$AI$6:$AM$102, 5, FALSE)*BP43, "")), 2), "")</f>
        <v/>
      </c>
      <c r="FK43" s="253" t="str">
        <f>IFERROR(ROUND(IF(CD43="ERROR", "ERROR", IF(AND($FK$7=X43,E43="Interior"),VLOOKUP(W43, 'Lookup Tables'!$AI$6:$AM$102, 5, FALSE)*BP43, "")), 2), "")</f>
        <v/>
      </c>
      <c r="FL43" s="253" t="str">
        <f>IFERROR(ROUND(IF(CD43="ERROR", "ERROR", IF(AND($FK$7=X43,E43="Exterior"),VLOOKUP(W43, 'Lookup Tables'!$AI$6:$AM$102, 5, FALSE)*BP43, "")), 2), "")</f>
        <v/>
      </c>
      <c r="FM43" s="253" t="str">
        <f>IFERROR(ROUND(IF(CD43="ERROR", "ERROR", IF(AND($FM$6=Y43,E43="Interior"), IF(GB43=0, VLOOKUP(W43, 'Lookup Tables'!$AI$6:$AM$102, 5, FALSE)*BP43, IF(VLOOKUP(W43, 'Lookup Tables'!$AI$6:$AM$102, 5, FALSE)*BP43&gt;GB43*'Lighting Inventory'!S43, GB43*'Lighting Inventory'!S43,VLOOKUP(W43, 'Lookup Tables'!$AI$6:$AM$102, 5, FALSE)*BP43)), "")), 2), "")</f>
        <v/>
      </c>
      <c r="FN43" s="253" t="str">
        <f>IFERROR(ROUND(IF(CD43="ERROR", "ERROR", IF(AND($FM$6=Y43,E43="Exterior"), IF(GB43=0, VLOOKUP(W43, 'Lookup Tables'!$AI$6:$AM$102, 5, FALSE)*BP43, IF(VLOOKUP(W43, 'Lookup Tables'!$AI$6:$AM$102, 5, FALSE)*BP43&gt;GB43*'Lighting Inventory'!S43, GB43*'Lighting Inventory'!S43,VLOOKUP(W43, 'Lookup Tables'!$AI$6:$AM$102, 5, FALSE)*BP43)), "")), 2), "")</f>
        <v/>
      </c>
      <c r="FO43" s="253" t="str">
        <f>IFERROR(ROUND(IF(CD43="ERROR", "ERROR", IF(AND($FO$6=Y43,E43="Interior"),VLOOKUP(W43, 'Lookup Tables'!$AI$6:$AM$102, 5, FALSE)*'Lighting Inventory'!AI43, "")), 2), "")</f>
        <v/>
      </c>
      <c r="FP43" s="253" t="str">
        <f>IFERROR(ROUND(IF(CD43="ERROR", "ERROR", IF(AND($FO$6=Y43,E43="Exterior"),VLOOKUP(W43, 'Lookup Tables'!$AI$6:$AM$102, 5, FALSE)*'Lighting Inventory'!AI43, "")), 2), "")</f>
        <v/>
      </c>
      <c r="FQ43" s="253" t="str">
        <f>IFERROR(ROUND(IF(CD43="ERROR", "ERROR", IF(AND($FQ$6=Y43,E43="Interior", BU43="Y"), VLOOKUP('Lighting Inventory'!W43, 'Lookup Tables'!$AI$6:$AM$102, 5, FALSE)*'Lighting Inventory'!S43, IF(AND($FQ$7=Y43,E43="Interior", BU43="N"), 0.025*CD43, ""))), 2), "")</f>
        <v/>
      </c>
      <c r="FR43" s="253" t="str">
        <f>IFERROR(ROUND(IF(CD43="ERROR", "ERROR", IF(AND($FQ$6=Y43,E43="Exterior"), VLOOKUP('Lighting Inventory'!W43, 'Lookup Tables'!$AI$6:$AM$102, 5, FALSE)*'Lighting Inventory'!S43, "")), 2), "")</f>
        <v/>
      </c>
      <c r="FS43" s="253" t="str">
        <f>IFERROR(ROUND(IF(CD43="ERROR", "ERROR", IF(AND($FS$6=Y43,E43="Exterior"), IF(GB43=0, VLOOKUP(W43, 'Lookup Tables'!$AI$6:$AM$102, 5, FALSE)*BP43, IF(VLOOKUP(W43, 'Lookup Tables'!$AI$6:$AM$102, 5, FALSE)*BP43&gt;GB43*'Lighting Inventory'!S43, GB43*'Lighting Inventory'!S43,VLOOKUP(W43, 'Lookup Tables'!$AI$6:$AM$102, 5, FALSE)*BP43)), "")), 2), "")</f>
        <v/>
      </c>
      <c r="FT43" s="253" t="str">
        <f>IFERROR(ROUND(IF(CD43="ERROR", "ERROR", IF(AND($FT$6=Y43,E43="Interior"), IF(GB43=0, VLOOKUP(W43, 'Lookup Tables'!$AI$6:$AM$102, 5, FALSE)*BP43, IF(VLOOKUP(W43, 'Lookup Tables'!$AI$6:$AM$102, 5, FALSE)*BP43&gt;GB43*'Lighting Inventory'!S43, GB43*'Lighting Inventory'!S43,VLOOKUP(W43, 'Lookup Tables'!$AI$6:$AM$102, 5, FALSE)*BP43)), "")), 2), "")</f>
        <v/>
      </c>
      <c r="FU43" s="253" t="str">
        <f>IFERROR(ROUND(IF(CD43="ERROR", "ERROR", IF(AND(Y43=$FU$6, E43="Interior"), IF(BS43="N", 'Lookup Tables'!$AM$101*BP43, VLOOKUP(W43, 'Lookup Tables'!$AI$6:$AM$102, 5, FALSE)*S43*AD43), "")), 2), "")</f>
        <v/>
      </c>
      <c r="FV43" s="253" t="str">
        <f>IFERROR(ROUND(IF(CD43="ERROR", "ERROR", IF(AND(Y43=$FU$6, E43="Exterior"), IF(BS43="N", 'Lookup Tables'!$AM$101*BP43, VLOOKUP(W43, 'Lookup Tables'!$AI$6:$AM$102, 5, FALSE)*S43*AD43), "")), 2), "")</f>
        <v/>
      </c>
      <c r="FW43" s="253" t="str">
        <f>IFERROR(ROUND(IF(CD43="ERROR", "ERROR", IF($FW$6=Y43, IF(BS43="N", 'Lookup Tables'!$AM$101*BP43, MIN((VLOOKUP(W43, 'Lookup Tables'!$AI$6:$AM$102, 5, FALSE)*BP43),GB43*AJ43)), "")), 2), "")</f>
        <v/>
      </c>
      <c r="FX43" s="253" t="str">
        <f>IFERROR(ROUND(IF(CD43="ERROR", "ERROR", IF(AND($FX$6=Y43, E43="Interior"), IF(VLOOKUP(W43, 'Lookup Tables'!$AI$6:$AM$102, 5, FALSE)*BP43&gt;'Lookup Tables'!$AQ$97*'Lighting Inventory'!S43,'Lighting Inventory'!S43*'Lookup Tables'!$AQ$97,VLOOKUP(W43, 'Lookup Tables'!$AI$6:$AM$102, 5, FALSE)*BP43), "")), 2), "")</f>
        <v/>
      </c>
      <c r="FY43" s="253" t="str">
        <f>IFERROR(ROUND(IF(CD43="ERROR", "ERROR", IF(AND($FX$6=Y43, E43="Exterior"), IF(VLOOKUP(W43, 'Lookup Tables'!$AI$6:$AM$102, 5, FALSE)*BP43&gt;'Lookup Tables'!$AQ$97*'Lighting Inventory'!S43,'Lighting Inventory'!S43*'Lookup Tables'!$AQ$97,VLOOKUP(W43, 'Lookup Tables'!$AI$6:$AM$102, 5, FALSE)*BP43), "")), 2), "")</f>
        <v/>
      </c>
      <c r="FZ43" s="253" t="str">
        <f>IFERROR(ROUND(IF(CD43="ERROR", "ERROR", IF(AND($FZ$6=Y43, E43="Interior"), IF(AND(OR(W43="Refrigerated Case Lighting with Doors", W43="Freezer Case Lighting"),Y43="Custom - Process Improvement"),CD43*'Lookup Tables'!$AM$101, IF(B43="Retrofit", IF(VLOOKUP(IF(V43="Custom", V43, W43), 'Lookup Tables'!$AI$6:$AM$102, 5, FALSE)*BP43&gt;GE43, GE43, VLOOKUP(IF(V43="Custom", V43, W43), 'Lookup Tables'!$AI$6:$AM$102, 5, FALSE)*BP43), IF(VLOOKUP(IF(V43="Custom", V43, W43), 'Lookup Tables'!$AI$114:$AM$154, 5, FALSE)*BP43&gt;GE43, GE43, VLOOKUP(IF(V43="Custom", V43, W43), 'Lookup Tables'!$AI$114:$AM$154, 5, FALSE)*BP43))), "")), 2),"")</f>
        <v/>
      </c>
      <c r="GA43" s="253" t="str">
        <f>IFERROR(ROUND(IF(CD43="ERROR", "ERROR", IF(AND($FZ$6=Y43, E43="Exterior"), IF(B43="Retrofit", IF(VLOOKUP(IF(V43="Custom", V43, W43), 'Lookup Tables'!$AI$6:$AM$102, 5, FALSE)*BP43&gt;GE43, GE43, VLOOKUP(IF(V43="Custom", V43, W43), 'Lookup Tables'!$AI$6:$AM$102, 5, FALSE)*BP43), IF(VLOOKUP(IF(V43="Custom", V43, W43), 'Lookup Tables'!$AI$114:$AM$154, 5, FALSE)*BP43&gt;GE43, GE43, VLOOKUP(IF(V43="Custom", V43, W43), 'Lookup Tables'!$AI$114:$AM$154, 5, FALSE)*BP43)), "")), 2),"")</f>
        <v/>
      </c>
      <c r="GB43" s="254" t="str">
        <f t="array" ref="GB43">IF(B43="","",IF(OR(V43="Custom",V43="No Change"),0,IF(B43="Retrofit", INDEX('Lookup Tables'!$AH$6:$AQ$102,MATCH(1,('Lookup Tables'!$AH$6:$AH$102='Lighting Inventory'!V43)*('Lookup Tables'!$AI$6:$AI$102='Lighting Inventory'!W43),FALSE),10),INDEX('Lookup Tables'!$AH$114:$AQ$154,MATCH(1,('Lookup Tables'!$AH$114:$AH$154='Lighting Inventory'!V43)*('Lookup Tables'!$AI$114:$AI$154='Lighting Inventory'!W43),FALSE),10))))</f>
        <v/>
      </c>
      <c r="GC43" s="255" t="str">
        <f t="shared" si="77"/>
        <v/>
      </c>
      <c r="GD43" s="250" t="str">
        <f t="shared" si="78"/>
        <v/>
      </c>
      <c r="GE43" s="253" t="str">
        <f>IFERROR(IF(AND(AF43="", 'General Information'!$F$18="No"),"", IF(AF43="", ((GD43/$CD$266)*$CF$266)*0.5, AF43*S43*0.5)), "")</f>
        <v/>
      </c>
      <c r="GF43" s="255" t="str">
        <f>IF(AND('General Information'!$F$19="", 'General Information'!$F$18="Yes",AF43="",BW43="Y"), "Y", "N")</f>
        <v>N</v>
      </c>
      <c r="GG43" s="255" t="s">
        <v>2946</v>
      </c>
      <c r="GH43" s="255" t="str">
        <f>IFERROR(IF(B43="", "", VLOOKUP(J43, 'Fixture Identities'!$A$6:$N$908, 14, FALSE)), "")</f>
        <v/>
      </c>
      <c r="GI43" s="389" t="str">
        <f>IF(OR(B43="", V43="", W43=""), "", IF(AND(OR(M43='Lookup Tables'!$R$18, M43='Lookup Tables'!$R$19, M43='Lookup Tables'!$R$20, M43='Lookup Tables'!$R$21, M43='Lookup Tables'!$R$22), OR(AN43='Lookup Tables'!$R$17, AN43='Lookup Tables'!$R$17, AN43="")), "Y", "N"))</f>
        <v/>
      </c>
      <c r="GJ43" s="255" t="str">
        <f t="shared" si="79"/>
        <v/>
      </c>
      <c r="GK43" s="255" t="str">
        <f t="shared" si="80"/>
        <v/>
      </c>
      <c r="GL43" s="255" t="str">
        <f t="shared" si="81"/>
        <v/>
      </c>
      <c r="GM43" s="255" t="str">
        <f>IF(AN43="", "", IF(AND(IF(ISNA(VLOOKUP(AN43,'Lookup Tables'!$R$18:$R$22,1,FALSE)), "N", "Y")="Y", E43="Exterior"), "Y", "N"))</f>
        <v/>
      </c>
      <c r="GN43" s="395"/>
      <c r="GO43" s="428">
        <f t="shared" si="98"/>
        <v>0</v>
      </c>
      <c r="GP43" s="428">
        <f t="shared" si="167"/>
        <v>0</v>
      </c>
      <c r="GQ43" s="428">
        <f t="shared" si="99"/>
        <v>0</v>
      </c>
      <c r="GR43" s="428">
        <f t="shared" si="100"/>
        <v>0</v>
      </c>
    </row>
    <row r="44" spans="1:202" s="103" customFormat="1" ht="13.5" customHeight="1" x14ac:dyDescent="0.2">
      <c r="A44" s="272">
        <v>34</v>
      </c>
      <c r="B44" s="110"/>
      <c r="C44" s="110"/>
      <c r="D44" s="110"/>
      <c r="E44" s="110"/>
      <c r="F44" s="110"/>
      <c r="G44" s="110"/>
      <c r="H44" s="110"/>
      <c r="I44" s="29"/>
      <c r="J44" s="29"/>
      <c r="K44" s="272" t="str">
        <f>IFERROR(IF(OR(VLOOKUP(J44, 'Fixture Identities'!$A$6:$L$1023, 3, FALSE)="T12 Linear Fluorescent", VLOOKUP(J44, 'Fixture Identities'!$A$6:$L$1023, 3, FALSE)="T12 U-Tube Fluorescent"), VLOOKUP(VLOOKUP(J44, 'Fixture Identities'!$A$6:$L$1023, 11, FALSE), 'Fixture Identities'!$A$6:$L$1023, 10, FALSE), VLOOKUP(J44, 'Fixture Identities'!$A$6:$L$1023, 10, FALSE)), "")</f>
        <v/>
      </c>
      <c r="L44" s="270" t="str">
        <f t="shared" si="169"/>
        <v/>
      </c>
      <c r="M44" s="110"/>
      <c r="N44" s="110"/>
      <c r="O44" s="110"/>
      <c r="P44" s="272" t="str">
        <f>IFERROR(IF(OR(B44="Retrofit",B44=""),"",IF('Lighting Inventory'!E44="Exterior",VLOOKUP('Lighting Inventory'!N44,'Lookup Tables'!$B$83:$F$103,5,FALSE),IF(N44="Other - Please Estimate EFLH and CFs","Contact Prog. Rep.","ft^2"))), "")</f>
        <v/>
      </c>
      <c r="Q44" s="270" t="str">
        <f>IFERROR(IF(AND(B44="New Construction",E44="Interior",$F$5="Space-by-Space"),VLOOKUP('Lighting Inventory'!N44,'Lookup Tables'!$N$6:$O$97,2,FALSE),IF(AND(B44="New Construction",E44="Exterior"),VLOOKUP(N44,'Lookup Tables'!$B$83:$F$103,2,FALSE),IF(AND(B44="New Construction",'Lighting Inventory'!E44="Interior", $F$5="Building Area"),VLOOKUP(F44,'Lookup Tables'!$A$6:$J$59,10,FALSE),""))), "")</f>
        <v/>
      </c>
      <c r="R44" s="270" t="str">
        <f>IFERROR(IF(P44="Contact Prog. Rep.", "ERROR", IF(OR(B44="",B44="Retrofit"),"",IF(N44="Automated teller machines", ('Lookup Tables'!$A$82:$E$100+('Lighting Inventory'!O44-1)*'Lookup Tables'!$A$82:$E$100)/1000, (Q44*O44)/1000))), "")</f>
        <v/>
      </c>
      <c r="S44" s="595"/>
      <c r="T44" s="105" t="str">
        <f t="shared" si="83"/>
        <v/>
      </c>
      <c r="U44" s="105" t="str">
        <f>IF(S44="","",COUNT($S$11:S44))</f>
        <v/>
      </c>
      <c r="V44" s="111"/>
      <c r="W44" s="112"/>
      <c r="X44" s="105" t="str">
        <f t="shared" si="84"/>
        <v/>
      </c>
      <c r="Y44" s="105" t="str">
        <f t="array" ref="Y44">IF(AND(OR(W44="Freezer Case Lighting", W44="Refrigerated Case Lighting with Doors"), 'General Information'!$X$18="LCI"),'Lookup Tables'!$Y$34, IF(V44="Custom", VLOOKUP(W44, 'Fixture Identities'!$A$974:$M$1023, 13, FALSE), IF(V44="No Change",'Lookup Tables'!$Y$29,IF(OR(V44="",W44=""),"",IF(AND(S44=0,S44&lt;I44,B44="Retrofit"),'Lookup Tables'!$Y$25, IF(B44="Retrofit", INDEX('Lookup Tables'!$AH$6:$AP$102, MATCH(1, ('Lookup Tables'!$AH$6:$AH$102=V44)*('Lookup Tables'!$AI$6:$AI$102=W44), 0), IF('Lighting Inventory'!E44="Interior", 4, 5)), INDEX('Lookup Tables'!$AH$114:$AP$154, MATCH(1, ('Lookup Tables'!$AH$114:$AH$154=V44)*('Lookup Tables'!$AI$114:$AI$154=W44), 0), IF('Lighting Inventory'!E44="Interior", 4, 5))))))))</f>
        <v/>
      </c>
      <c r="Z44" s="105" t="str">
        <f>IFERROR(INDEX('Lookup Tables'!$AH$158:$AH$172,MATCH('Lighting Inventory'!Y44,'Lookup Tables'!$AI$158:$AI$172,0)),"")</f>
        <v/>
      </c>
      <c r="AA44" s="105" t="str">
        <f>IF(AP44&gt;0,INDEX('Lookup Tables'!$AK$158:$AK$172,MATCH('Lighting Inventory'!Y44,'Lookup Tables'!$AI$158:$AI$172,0)),'Lighting Inventory'!Y44)</f>
        <v/>
      </c>
      <c r="AB44" s="105" t="str">
        <f t="array" ref="AB44">IF(V44="Custom", "Custom", IF(V44="", "", IF(V44="Not DLC or Energy Star", "General", IF(B44="New Construction", INDEX('Lookup Tables'!$AH$114:$AP$154,MATCH(1,('Lookup Tables'!$AH$114:$AH$154='Lighting Inventory'!V44)*('Lookup Tables'!$AI$114:$AI$154='Lighting Inventory'!W44),FALSE),8), INDEX('Lookup Tables'!$AH$6:$AP$102,MATCH(1,('Lookup Tables'!$AH$6:$AH$102='Lighting Inventory'!V44)*('Lookup Tables'!$AI$6:$AI$102='Lighting Inventory'!W44),FALSE),8)))))</f>
        <v/>
      </c>
      <c r="AC44" s="272" t="str">
        <f>IF(W44="","",IF(V44="Custom",CONCATENATE("$",'Lookup Tables'!$AM$101," ",'Lookup Tables'!$AN$101),CONCATENATE("$",INDEX('Lookup Tables'!$AM$6:$AM$102,MATCH('Lighting Inventory'!W44,'Lookup Tables'!$AI$6:$AI$102,0))," ",INDEX('Lookup Tables'!$AN$6:$AN$102,MATCH('Lighting Inventory'!W44,'Lookup Tables'!$AI$6:$AI$102,0)))))</f>
        <v/>
      </c>
      <c r="AD44" s="72"/>
      <c r="AE44" s="29"/>
      <c r="AF44" s="379"/>
      <c r="AG44" s="370" t="str">
        <f t="shared" si="2"/>
        <v/>
      </c>
      <c r="AH44" s="370" t="str">
        <f t="shared" si="85"/>
        <v/>
      </c>
      <c r="AI44" s="29"/>
      <c r="AJ44" s="29"/>
      <c r="AK44" s="110"/>
      <c r="AL44" s="375" t="str">
        <f>IF(OR(B44="", V44="", W44=""), "", IF(V44="No Change", K44, IF(V44="Remove Fixture", 0, IF(V44="Custom",VLOOKUP(W44,'Fixture Identities'!$A$6:$K$1023,10,FALSE),IF(AE44="", "← ENTER POST WATTS", 'Lighting Inventory'!AE44)))))</f>
        <v/>
      </c>
      <c r="AM44" s="376" t="str">
        <f t="shared" si="3"/>
        <v/>
      </c>
      <c r="AN44" s="29"/>
      <c r="AO44" s="671"/>
      <c r="AP44" s="29"/>
      <c r="AQ44" s="29"/>
      <c r="AR44" s="29"/>
      <c r="AS44" s="272" t="str">
        <f t="shared" si="4"/>
        <v/>
      </c>
      <c r="AT44" s="270" t="str">
        <f t="shared" si="234"/>
        <v/>
      </c>
      <c r="AU44" s="88" t="str">
        <f t="shared" si="235"/>
        <v/>
      </c>
      <c r="AV44" s="29"/>
      <c r="AW44" s="73"/>
      <c r="AX44" s="271" t="str">
        <f>IF(AND(AV44="Applicant",OR(AW44="", AW44="Use Default Facility Hours")),"← Choose Schedule",IF(F44="","",IF(W44="LED Exit Signs",8760,IF(OR(AV44="Prescribed",AV44=""),VLOOKUP(F44,'Lookup Tables'!$A$6:$G$59,IF(AB44="General", 6, 3),FALSE),VLOOKUP(AW44,'Lookup Tables'!$S$36:$U$43,2,FALSE)))))</f>
        <v/>
      </c>
      <c r="AY44" s="88" t="str">
        <f t="shared" si="7"/>
        <v/>
      </c>
      <c r="AZ44" s="270" t="str">
        <f>IFERROR(IF(F44="", "", IF(W44="LED Exit Signs", 1, IF(AV44="Applicant",VLOOKUP(AW44, 'Lookup Tables'!$S$36:$U$43,3, FALSE), VLOOKUP('Lighting Inventory'!F44, 'Lookup Tables'!$A$6:$H$59, IF('Lighting Inventory'!AB44="General",7,4), FALSE)))), "")</f>
        <v/>
      </c>
      <c r="BA44" s="522" t="str">
        <f>IFERROR(IF(F44="", "", IF(W44="LED Exit Signs", 1, VLOOKUP('Lighting Inventory'!F44, 'Lookup Tables'!$A$6:$H$59, IF('Lighting Inventory'!AB44="General",8,5), FALSE))), "")</f>
        <v/>
      </c>
      <c r="BB44" s="270" t="str">
        <f>IF(G44="", "", IF(E44="Exterior", 0, IF('Lighting Inventory'!G44="Air Conditioned", VLOOKUP(H44, 'Lookup Tables'!$R$6:$T$13, 2, FALSE), VLOOKUP('Lighting Inventory'!G44, 'Lookup Tables'!$R$6:$T$13, 2, FALSE))))</f>
        <v/>
      </c>
      <c r="BC44" s="522" t="str">
        <f>IF(G44="", "", IF(E44="Exterior", 0, IF('Lighting Inventory'!G44="Air Conditioned", VLOOKUP(H44, 'Lookup Tables'!$R$6:$T$13, 3, FALSE), VLOOKUP('Lighting Inventory'!G44, 'Lookup Tables'!$R$6:$T$13, 3, FALSE))))</f>
        <v/>
      </c>
      <c r="BD44" s="270" t="str">
        <f>IF(G44="", "", IF(E44="Exterior", 0, IF('Lighting Inventory'!G44="Air Conditioned", VLOOKUP(H44, 'Lookup Tables'!$R$6:$U$13, 4, FALSE), VLOOKUP('Lighting Inventory'!G44, 'Lookup Tables'!$R$6:$U$13, 4, FALSE))))</f>
        <v/>
      </c>
      <c r="BE44" s="270" t="str">
        <f>IFERROR(IF(B44="", "",  IF(B44="New Construction", VLOOKUP(F44, 'Lookup Tables'!$A$6:$K$59, 11, FALSE),IF(OR(AN44="", AN44="Light Switch"), 0, IF(OR(M44="",M44="None",V44= "LED Exit Signs"),0,_xlfn.XLOOKUP(M44,'Lookup Tables'!$R$91:$R$101,'Lookup Tables'!$V$91:$V$101))))), "")</f>
        <v/>
      </c>
      <c r="BF44" s="270" t="str">
        <f>IF(AND(OR(AN44="Light Switch",AN44=""),B44="New Construction"), VLOOKUP(F44, 'Lookup Tables'!$A$6:$K$59, 11, FALSE),IF(AN44="","",IF(B44="","",IF(OR(AN44="None",AN44="",V44="LED Exit Signs",AN44="Exterior Controls Not Eligible"),0,_xlfn.XLOOKUP(AN44,'Lookup Tables'!$R$91:$R$101,'Lookup Tables'!$V$91:$V$101)))))</f>
        <v/>
      </c>
      <c r="BG44" s="88" t="str">
        <f t="shared" si="86"/>
        <v/>
      </c>
      <c r="BH44" s="88" t="str">
        <f t="shared" si="87"/>
        <v/>
      </c>
      <c r="BI44" s="558" t="str">
        <f t="shared" si="168"/>
        <v/>
      </c>
      <c r="BJ44" s="82" t="str">
        <f t="shared" si="88"/>
        <v/>
      </c>
      <c r="BK44" s="82" t="str">
        <f t="shared" si="89"/>
        <v/>
      </c>
      <c r="BL44" s="559" t="str">
        <f t="shared" si="90"/>
        <v/>
      </c>
      <c r="BM44" s="521" t="str">
        <f t="shared" si="8"/>
        <v/>
      </c>
      <c r="BN44" s="521" t="str">
        <f t="shared" si="9"/>
        <v/>
      </c>
      <c r="BO44" s="522" t="str">
        <f t="shared" si="10"/>
        <v/>
      </c>
      <c r="BP44" s="83" t="str">
        <f t="shared" si="91"/>
        <v/>
      </c>
      <c r="BQ44" s="84" t="str">
        <f t="shared" si="92"/>
        <v/>
      </c>
      <c r="BR44" s="184" t="str">
        <f>IFERROR(IF(B44="", "", IF(OR(VLOOKUP(J44, 'Fixture Identities'!$A$6:$L$1023, 3, FALSE)="T12 Linear Fluorescent",VLOOKUP(J44, 'Fixture Identities'!$A$6:$L$1023, 3, FALSE)="T12 U-Tube Fluorescent"), "Y", "N")), "N")</f>
        <v/>
      </c>
      <c r="BS44" s="184" t="str">
        <f t="array" ref="BS44">IFERROR(IF(OR(B44="", V44="", W44=""), "", IF(V44="Custom", "N", IF(OR(W44="Freezer Case Lighting", W44="Refrigerated Case Lighting with Doors"), BT44, IF(B44="Retrofit", INDEX('Lookup Tables'!$AH$6:$AT$102,MATCH(1,('Lookup Tables'!$AH$6:$AH$102=V44)*('Lookup Tables'!$AI$6:$AI$102=W44),FALSE),IF(VLOOKUP(J44, 'Fixture Identities'!$A$6:$B$1023, 2, FALSE)="Incandescent",12, 13)), INDEX('Lookup Tables'!$AH$114:$AS$154,MATCH(1,('Lookup Tables'!$AH$114:$AH$154=V44)*('Lookup Tables'!$AI$114:$AI$154=W44),FALSE),12))))), "N")</f>
        <v/>
      </c>
      <c r="BT44" s="184" t="str">
        <f>IF(J44="", "", IF(AND(OR(W44="Freezer case Lighting", W44="Refrigerated Case Lighting with Doors"),'General Information'!$X$18="LCI"), "N", IF(OR(VLOOKUP(J44, 'Fixture Identities'!$A$6:$B$1023, 2, FALSE)="T12 EPACT/EISA Baseline", VLOOKUP(J44, 'Fixture Identities'!$A$6:$B$1023, 2, FALSE)="Linear Fluorescent", VLOOKUP(J44, 'Fixture Identities'!$A$6:$B$1023, 2, FALSE)="U-Tube Fluorescent"), "Y", "N")))</f>
        <v/>
      </c>
      <c r="BU44" s="184" t="str">
        <f>IFERROR(IF(B44="", "", IF(VLOOKUP(J44, 'Fixture Identities'!$A$6:$B$1023, 2, FALSE)="Exit Sign", "Y", "N")), "N")</f>
        <v/>
      </c>
      <c r="BV44" s="184" t="str">
        <f>IF(V44="Exit Signs", IF(VLOOKUP(J44, 'Fixture Identities'!$A$6:$B$1023, 2, FALSE)="Exit Sign", "N", "Y"), "")</f>
        <v/>
      </c>
      <c r="BW44" s="184" t="str">
        <f t="array" ref="BW44">IFERROR(IF(B44="", "", IF(B44="New Construction", "N", INDEX('Lookup Tables'!$AH$6:$AU$102, MATCH(1, ('Lookup Tables'!$AH$6:$AH$102='Lighting Inventory'!V44)*('Lookup Tables'!$AI$6:$AI$102='Lighting Inventory'!W44), 0), 14))), "N")</f>
        <v/>
      </c>
      <c r="BX44" s="598" t="str">
        <f t="shared" si="93"/>
        <v/>
      </c>
      <c r="BY44" s="598" t="str">
        <f t="shared" si="94"/>
        <v/>
      </c>
      <c r="BZ44" s="598" t="str">
        <f t="shared" si="95"/>
        <v/>
      </c>
      <c r="CA44" s="598" t="str">
        <f t="shared" si="101"/>
        <v/>
      </c>
      <c r="CB44" s="269" t="str">
        <f t="shared" si="102"/>
        <v/>
      </c>
      <c r="CC44" s="517" t="str">
        <f t="shared" si="96"/>
        <v/>
      </c>
      <c r="CD44" s="565" t="str">
        <f t="shared" si="11"/>
        <v/>
      </c>
      <c r="CE44" s="368">
        <v>0</v>
      </c>
      <c r="CF44" s="368" t="str" cm="1">
        <f t="array" ref="CF44">IFERROR(IF(V44="Custom", "$0.1 per kWh", IF(B44="New Construction", CONCATENATE("$",INDEX('Lookup Tables'!$AH$114:$AN$154,MATCH(1,('Lookup Tables'!$AH$114:$AH$154='Lighting Inventory'!V44)*('Lookup Tables'!$AI$114:$AI$154='Lighting Inventory'!W44),FALSE),6)," ",INDEX('Lookup Tables'!$AH$114:$AN$154,MATCH(1,('Lookup Tables'!$AH$114:$AH$154='Lighting Inventory'!V44)*('Lookup Tables'!$AI$114:$AI$154='Lighting Inventory'!W44),FALSE),7)), IF(AND(BU44="N", V44="Exit Signs"), "$0.025 per kWh", CONCATENATE("$",INDEX('Lookup Tables'!$AH$6:$AN$102,MATCH(1,('Lookup Tables'!$AH$6:$AH$102='Lighting Inventory'!V44)*('Lookup Tables'!$AI$6:$AI$102='Lighting Inventory'!W44),FALSE),6)," ",INDEX('Lookup Tables'!$AH$6:$AN$102,MATCH(1,('Lookup Tables'!$AH$6:$AH$102='Lighting Inventory'!V44)*('Lookup Tables'!$AI$6:$AI$102='Lighting Inventory'!W44),FALSE),7))))), "")</f>
        <v/>
      </c>
      <c r="CG44" s="366"/>
      <c r="CH44" s="248" t="str">
        <f t="shared" si="170"/>
        <v/>
      </c>
      <c r="CI44" s="248" t="str">
        <f t="shared" si="171"/>
        <v>Select_IE</v>
      </c>
      <c r="CJ44" s="248" t="str">
        <f t="shared" si="172"/>
        <v/>
      </c>
      <c r="CK44" s="248" t="str">
        <f t="shared" si="173"/>
        <v/>
      </c>
      <c r="CL44" s="248" t="str">
        <f t="shared" si="174"/>
        <v/>
      </c>
      <c r="CM44" s="248" t="str">
        <f>IFERROR(IF(B44="", "", IF(B44="New Construction", VLOOKUP(V44, 'Lookup Tables'!$AF$114:$AG$120, 2, FALSE), VLOOKUP(V44, 'Lookup Tables'!$AD$6:$AE$25, 2, FALSE))), "")</f>
        <v/>
      </c>
      <c r="CN44" s="248" t="str">
        <f t="shared" si="175"/>
        <v/>
      </c>
      <c r="CO44" s="248" t="str">
        <f t="shared" si="176"/>
        <v/>
      </c>
      <c r="CP44" s="592" t="str">
        <f t="shared" si="177"/>
        <v/>
      </c>
      <c r="CQ44" s="248" t="str">
        <f t="shared" si="97"/>
        <v/>
      </c>
      <c r="CR44" s="100"/>
      <c r="CS44" s="250" t="str">
        <f t="shared" si="178"/>
        <v/>
      </c>
      <c r="CT44" s="250" t="str">
        <f t="shared" si="179"/>
        <v/>
      </c>
      <c r="CU44" s="250" t="str">
        <f t="shared" si="180"/>
        <v/>
      </c>
      <c r="CV44" s="250" t="str">
        <f t="shared" si="181"/>
        <v/>
      </c>
      <c r="CW44" s="250" t="str">
        <f t="shared" si="182"/>
        <v/>
      </c>
      <c r="CX44" s="250" t="str">
        <f t="shared" si="183"/>
        <v/>
      </c>
      <c r="CY44" s="250" t="str">
        <f t="shared" si="184"/>
        <v/>
      </c>
      <c r="CZ44" s="250" t="str">
        <f t="shared" si="185"/>
        <v/>
      </c>
      <c r="DA44" s="250" t="str">
        <f t="shared" si="186"/>
        <v/>
      </c>
      <c r="DB44" s="250" t="str">
        <f t="shared" si="187"/>
        <v/>
      </c>
      <c r="DC44" s="250" t="str">
        <f t="shared" si="188"/>
        <v/>
      </c>
      <c r="DD44" s="250" t="str">
        <f t="shared" si="189"/>
        <v/>
      </c>
      <c r="DE44" s="250" t="str">
        <f t="shared" si="190"/>
        <v/>
      </c>
      <c r="DF44" s="250" t="str">
        <f t="shared" si="191"/>
        <v/>
      </c>
      <c r="DG44" s="250" t="str">
        <f t="shared" si="192"/>
        <v/>
      </c>
      <c r="DH44" s="250" t="str">
        <f t="shared" si="193"/>
        <v/>
      </c>
      <c r="DI44" s="250" t="str">
        <f t="shared" si="194"/>
        <v/>
      </c>
      <c r="DJ44" s="250" t="str">
        <f t="shared" si="195"/>
        <v/>
      </c>
      <c r="DK44" s="250" t="str">
        <f t="shared" si="196"/>
        <v/>
      </c>
      <c r="DL44" s="250" t="str">
        <f t="shared" si="197"/>
        <v/>
      </c>
      <c r="DM44" s="250" t="str">
        <f>IF(CD44="ERROR", "ERROR", IF(AND(OR(Y44=$DM$6, Y44='Lookup Tables'!$AD$21, Y44='Lookup Tables'!$AD$22), E44="Interior"), BJ44, ""))</f>
        <v/>
      </c>
      <c r="DN44" s="250" t="str">
        <f>IF(CD44="ERROR", "ERROR", IF(AND(OR(Y44=$DM$6, Y44='Lookup Tables'!$AD$21, Y44='Lookup Tables'!$AD$22), E44="Exterior"), BJ44, ""))</f>
        <v/>
      </c>
      <c r="DO44" s="100"/>
      <c r="DP44" s="250" t="str">
        <f t="shared" si="198"/>
        <v/>
      </c>
      <c r="DQ44" s="250" t="str">
        <f t="shared" si="199"/>
        <v/>
      </c>
      <c r="DR44" s="250" t="str">
        <f t="shared" si="200"/>
        <v/>
      </c>
      <c r="DS44" s="250" t="str">
        <f t="shared" si="201"/>
        <v/>
      </c>
      <c r="DT44" s="250" t="str">
        <f t="shared" si="202"/>
        <v/>
      </c>
      <c r="DU44" s="250" t="str">
        <f t="shared" si="203"/>
        <v/>
      </c>
      <c r="DV44" s="250" t="str">
        <f t="shared" si="204"/>
        <v/>
      </c>
      <c r="DW44" s="250" t="str">
        <f t="shared" si="205"/>
        <v/>
      </c>
      <c r="DX44" s="250" t="str">
        <f t="shared" si="206"/>
        <v/>
      </c>
      <c r="DY44" s="250" t="str">
        <f t="shared" si="207"/>
        <v/>
      </c>
      <c r="DZ44" s="250" t="str">
        <f t="shared" si="208"/>
        <v/>
      </c>
      <c r="EA44" s="250" t="str">
        <f t="shared" si="209"/>
        <v/>
      </c>
      <c r="EB44" s="250" t="str">
        <f t="shared" si="210"/>
        <v/>
      </c>
      <c r="EC44" s="250" t="str">
        <f t="shared" si="211"/>
        <v/>
      </c>
      <c r="ED44" s="250" t="str">
        <f t="shared" si="212"/>
        <v/>
      </c>
      <c r="EE44" s="250" t="str">
        <f t="shared" si="213"/>
        <v/>
      </c>
      <c r="EF44" s="250" t="str">
        <f t="shared" si="214"/>
        <v/>
      </c>
      <c r="EG44" s="250" t="str">
        <f t="shared" si="215"/>
        <v/>
      </c>
      <c r="EH44" s="250" t="str">
        <f>IF(CD44="ERROR", "ERROR", IF(AND(OR($EH$6=Y44, Y44='Lookup Tables'!$AD$21, Y44='Lookup Tables'!$AD$22),E44="Interior"), SUM(BP44:BP44), ""))</f>
        <v/>
      </c>
      <c r="EI44" s="250" t="str">
        <f>IF(CD44="ERROR", "ERROR", IF(AND(OR($EH$6=Y44, Y44='Lookup Tables'!$AD$21, Y44='Lookup Tables'!$AD$22),E44="Exterior"), SUM(BP44:BP44), ""))</f>
        <v/>
      </c>
      <c r="EJ44" s="109"/>
      <c r="EK44" s="485" t="str">
        <f t="shared" si="58"/>
        <v/>
      </c>
      <c r="EL44" s="252" t="str">
        <f t="shared" si="216"/>
        <v/>
      </c>
      <c r="EM44" s="252" t="str">
        <f t="shared" si="217"/>
        <v/>
      </c>
      <c r="EN44" s="252" t="str">
        <f t="shared" si="218"/>
        <v/>
      </c>
      <c r="EO44" s="252" t="str">
        <f t="shared" si="219"/>
        <v/>
      </c>
      <c r="EP44" s="252" t="str">
        <f t="shared" si="220"/>
        <v/>
      </c>
      <c r="EQ44" s="252" t="str">
        <f t="shared" si="221"/>
        <v/>
      </c>
      <c r="ER44" s="252" t="str">
        <f t="shared" si="222"/>
        <v/>
      </c>
      <c r="ES44" s="252" t="str">
        <f t="shared" si="223"/>
        <v/>
      </c>
      <c r="ET44" s="252" t="str">
        <f t="shared" si="224"/>
        <v/>
      </c>
      <c r="EU44" s="252" t="str">
        <f t="shared" si="225"/>
        <v/>
      </c>
      <c r="EV44" s="252" t="str">
        <f t="shared" si="226"/>
        <v/>
      </c>
      <c r="EW44" s="252" t="str">
        <f t="shared" si="227"/>
        <v/>
      </c>
      <c r="EX44" s="252" t="str">
        <f t="shared" si="228"/>
        <v/>
      </c>
      <c r="EY44" s="252" t="str">
        <f t="shared" si="229"/>
        <v/>
      </c>
      <c r="EZ44" s="252" t="str">
        <f t="shared" si="230"/>
        <v/>
      </c>
      <c r="FA44" s="252" t="str">
        <f t="shared" si="231"/>
        <v/>
      </c>
      <c r="FB44" s="252" t="str">
        <f t="shared" si="232"/>
        <v/>
      </c>
      <c r="FC44" s="252" t="str">
        <f>IF(CD44="ERROR", "ERROR", IF(OR(V44="No Change", V44="Not DLC or Energy Star"), "", IF(AND(OR($FC$6=Y44,Y44='Lookup Tables'!$AD$21, Y44='Lookup Tables'!$AD$22),E44="Interior"), S44, "")))</f>
        <v/>
      </c>
      <c r="FD44" s="252" t="str">
        <f t="shared" si="233"/>
        <v/>
      </c>
      <c r="FE44" s="101"/>
      <c r="FF44" s="579" t="str" cm="1">
        <f t="array" ref="FF44">IFERROR(IF(OR(BQ44&lt;=0,AQ44&lt;20,AND(V44="Exit Signs",AN44&gt;0)),"",IF(AND(AQ44&gt;=20,AN44='Lookup Tables'!$R$101),'Lookup Tables'!$U$101*BQ44,AP44*LOOKUP(2,1/((AN44='Lookup Tables'!$R$91:$R$111)*(AQ44&gt;='Lookup Tables'!$S$91:$S$111)*(AQ44&lt;='Lookup Tables'!$T$91:$T$111)),'Lookup Tables'!$U$91:$U$111))),"")</f>
        <v/>
      </c>
      <c r="FG44" s="579"/>
      <c r="FH44" s="579"/>
      <c r="FI44" s="253" t="str">
        <f>IFERROR(ROUND(IF(CD44="ERROR", "ERROR", IF(AND($FI$7=X44,E44="Interior"),VLOOKUP(W44, 'Lookup Tables'!$AI$6:$AM$102, 5, FALSE)*BP44, "")), 2), "")</f>
        <v/>
      </c>
      <c r="FJ44" s="253" t="str">
        <f>IFERROR(ROUND(IF(CD44="ERROR", "ERROR", IF(AND($FI$7=X44,E44="Exterior"),VLOOKUP(W44, 'Lookup Tables'!$AI$6:$AM$102, 5, FALSE)*BP44, "")), 2), "")</f>
        <v/>
      </c>
      <c r="FK44" s="253" t="str">
        <f>IFERROR(ROUND(IF(CD44="ERROR", "ERROR", IF(AND($FK$7=X44,E44="Interior"),VLOOKUP(W44, 'Lookup Tables'!$AI$6:$AM$102, 5, FALSE)*BP44, "")), 2), "")</f>
        <v/>
      </c>
      <c r="FL44" s="253" t="str">
        <f>IFERROR(ROUND(IF(CD44="ERROR", "ERROR", IF(AND($FK$7=X44,E44="Exterior"),VLOOKUP(W44, 'Lookup Tables'!$AI$6:$AM$102, 5, FALSE)*BP44, "")), 2), "")</f>
        <v/>
      </c>
      <c r="FM44" s="253" t="str">
        <f>IFERROR(ROUND(IF(CD44="ERROR", "ERROR", IF(AND($FM$6=Y44,E44="Interior"), IF(GB44=0, VLOOKUP(W44, 'Lookup Tables'!$AI$6:$AM$102, 5, FALSE)*BP44, IF(VLOOKUP(W44, 'Lookup Tables'!$AI$6:$AM$102, 5, FALSE)*BP44&gt;GB44*'Lighting Inventory'!S44, GB44*'Lighting Inventory'!S44,VLOOKUP(W44, 'Lookup Tables'!$AI$6:$AM$102, 5, FALSE)*BP44)), "")), 2), "")</f>
        <v/>
      </c>
      <c r="FN44" s="253" t="str">
        <f>IFERROR(ROUND(IF(CD44="ERROR", "ERROR", IF(AND($FM$6=Y44,E44="Exterior"), IF(GB44=0, VLOOKUP(W44, 'Lookup Tables'!$AI$6:$AM$102, 5, FALSE)*BP44, IF(VLOOKUP(W44, 'Lookup Tables'!$AI$6:$AM$102, 5, FALSE)*BP44&gt;GB44*'Lighting Inventory'!S44, GB44*'Lighting Inventory'!S44,VLOOKUP(W44, 'Lookup Tables'!$AI$6:$AM$102, 5, FALSE)*BP44)), "")), 2), "")</f>
        <v/>
      </c>
      <c r="FO44" s="253" t="str">
        <f>IFERROR(ROUND(IF(CD44="ERROR", "ERROR", IF(AND($FO$6=Y44,E44="Interior"),VLOOKUP(W44, 'Lookup Tables'!$AI$6:$AM$102, 5, FALSE)*'Lighting Inventory'!AI44, "")), 2), "")</f>
        <v/>
      </c>
      <c r="FP44" s="253" t="str">
        <f>IFERROR(ROUND(IF(CD44="ERROR", "ERROR", IF(AND($FO$6=Y44,E44="Exterior"),VLOOKUP(W44, 'Lookup Tables'!$AI$6:$AM$102, 5, FALSE)*'Lighting Inventory'!AI44, "")), 2), "")</f>
        <v/>
      </c>
      <c r="FQ44" s="253" t="str">
        <f>IFERROR(ROUND(IF(CD44="ERROR", "ERROR", IF(AND($FQ$6=Y44,E44="Interior", BU44="Y"), VLOOKUP('Lighting Inventory'!W44, 'Lookup Tables'!$AI$6:$AM$102, 5, FALSE)*'Lighting Inventory'!S44, IF(AND($FQ$7=Y44,E44="Interior", BU44="N"), 0.025*CD44, ""))), 2), "")</f>
        <v/>
      </c>
      <c r="FR44" s="253" t="str">
        <f>IFERROR(ROUND(IF(CD44="ERROR", "ERROR", IF(AND($FQ$6=Y44,E44="Exterior"), VLOOKUP('Lighting Inventory'!W44, 'Lookup Tables'!$AI$6:$AM$102, 5, FALSE)*'Lighting Inventory'!S44, "")), 2), "")</f>
        <v/>
      </c>
      <c r="FS44" s="253" t="str">
        <f>IFERROR(ROUND(IF(CD44="ERROR", "ERROR", IF(AND($FS$6=Y44,E44="Exterior"), IF(GB44=0, VLOOKUP(W44, 'Lookup Tables'!$AI$6:$AM$102, 5, FALSE)*BP44, IF(VLOOKUP(W44, 'Lookup Tables'!$AI$6:$AM$102, 5, FALSE)*BP44&gt;GB44*'Lighting Inventory'!S44, GB44*'Lighting Inventory'!S44,VLOOKUP(W44, 'Lookup Tables'!$AI$6:$AM$102, 5, FALSE)*BP44)), "")), 2), "")</f>
        <v/>
      </c>
      <c r="FT44" s="253" t="str">
        <f>IFERROR(ROUND(IF(CD44="ERROR", "ERROR", IF(AND($FT$6=Y44,E44="Interior"), IF(GB44=0, VLOOKUP(W44, 'Lookup Tables'!$AI$6:$AM$102, 5, FALSE)*BP44, IF(VLOOKUP(W44, 'Lookup Tables'!$AI$6:$AM$102, 5, FALSE)*BP44&gt;GB44*'Lighting Inventory'!S44, GB44*'Lighting Inventory'!S44,VLOOKUP(W44, 'Lookup Tables'!$AI$6:$AM$102, 5, FALSE)*BP44)), "")), 2), "")</f>
        <v/>
      </c>
      <c r="FU44" s="253" t="str">
        <f>IFERROR(ROUND(IF(CD44="ERROR", "ERROR", IF(AND(Y44=$FU$6, E44="Interior"), IF(BS44="N", 'Lookup Tables'!$AM$101*BP44, VLOOKUP(W44, 'Lookup Tables'!$AI$6:$AM$102, 5, FALSE)*S44*AD44), "")), 2), "")</f>
        <v/>
      </c>
      <c r="FV44" s="253" t="str">
        <f>IFERROR(ROUND(IF(CD44="ERROR", "ERROR", IF(AND(Y44=$FU$6, E44="Exterior"), IF(BS44="N", 'Lookup Tables'!$AM$101*BP44, VLOOKUP(W44, 'Lookup Tables'!$AI$6:$AM$102, 5, FALSE)*S44*AD44), "")), 2), "")</f>
        <v/>
      </c>
      <c r="FW44" s="253" t="str">
        <f>IFERROR(ROUND(IF(CD44="ERROR", "ERROR", IF($FW$6=Y44, IF(BS44="N", 'Lookup Tables'!$AM$101*BP44, MIN((VLOOKUP(W44, 'Lookup Tables'!$AI$6:$AM$102, 5, FALSE)*BP44),GB44*AJ44)), "")), 2), "")</f>
        <v/>
      </c>
      <c r="FX44" s="253" t="str">
        <f>IFERROR(ROUND(IF(CD44="ERROR", "ERROR", IF(AND($FX$6=Y44, E44="Interior"), IF(VLOOKUP(W44, 'Lookup Tables'!$AI$6:$AM$102, 5, FALSE)*BP44&gt;'Lookup Tables'!$AQ$97*'Lighting Inventory'!S44,'Lighting Inventory'!S44*'Lookup Tables'!$AQ$97,VLOOKUP(W44, 'Lookup Tables'!$AI$6:$AM$102, 5, FALSE)*BP44), "")), 2), "")</f>
        <v/>
      </c>
      <c r="FY44" s="253" t="str">
        <f>IFERROR(ROUND(IF(CD44="ERROR", "ERROR", IF(AND($FX$6=Y44, E44="Exterior"), IF(VLOOKUP(W44, 'Lookup Tables'!$AI$6:$AM$102, 5, FALSE)*BP44&gt;'Lookup Tables'!$AQ$97*'Lighting Inventory'!S44,'Lighting Inventory'!S44*'Lookup Tables'!$AQ$97,VLOOKUP(W44, 'Lookup Tables'!$AI$6:$AM$102, 5, FALSE)*BP44), "")), 2), "")</f>
        <v/>
      </c>
      <c r="FZ44" s="253" t="str">
        <f>IFERROR(ROUND(IF(CD44="ERROR", "ERROR", IF(AND($FZ$6=Y44, E44="Interior"), IF(AND(OR(W44="Refrigerated Case Lighting with Doors", W44="Freezer Case Lighting"),Y44="Custom - Process Improvement"),CD44*'Lookup Tables'!$AM$101, IF(B44="Retrofit", IF(VLOOKUP(IF(V44="Custom", V44, W44), 'Lookup Tables'!$AI$6:$AM$102, 5, FALSE)*BP44&gt;GE44, GE44, VLOOKUP(IF(V44="Custom", V44, W44), 'Lookup Tables'!$AI$6:$AM$102, 5, FALSE)*BP44), IF(VLOOKUP(IF(V44="Custom", V44, W44), 'Lookup Tables'!$AI$114:$AM$154, 5, FALSE)*BP44&gt;GE44, GE44, VLOOKUP(IF(V44="Custom", V44, W44), 'Lookup Tables'!$AI$114:$AM$154, 5, FALSE)*BP44))), "")), 2),"")</f>
        <v/>
      </c>
      <c r="GA44" s="253" t="str">
        <f>IFERROR(ROUND(IF(CD44="ERROR", "ERROR", IF(AND($FZ$6=Y44, E44="Exterior"), IF(B44="Retrofit", IF(VLOOKUP(IF(V44="Custom", V44, W44), 'Lookup Tables'!$AI$6:$AM$102, 5, FALSE)*BP44&gt;GE44, GE44, VLOOKUP(IF(V44="Custom", V44, W44), 'Lookup Tables'!$AI$6:$AM$102, 5, FALSE)*BP44), IF(VLOOKUP(IF(V44="Custom", V44, W44), 'Lookup Tables'!$AI$114:$AM$154, 5, FALSE)*BP44&gt;GE44, GE44, VLOOKUP(IF(V44="Custom", V44, W44), 'Lookup Tables'!$AI$114:$AM$154, 5, FALSE)*BP44)), "")), 2),"")</f>
        <v/>
      </c>
      <c r="GB44" s="254" t="str">
        <f t="array" ref="GB44">IF(B44="","",IF(OR(V44="Custom",V44="No Change"),0,IF(B44="Retrofit", INDEX('Lookup Tables'!$AH$6:$AQ$102,MATCH(1,('Lookup Tables'!$AH$6:$AH$102='Lighting Inventory'!V44)*('Lookup Tables'!$AI$6:$AI$102='Lighting Inventory'!W44),FALSE),10),INDEX('Lookup Tables'!$AH$114:$AQ$154,MATCH(1,('Lookup Tables'!$AH$114:$AH$154='Lighting Inventory'!V44)*('Lookup Tables'!$AI$114:$AI$154='Lighting Inventory'!W44),FALSE),10))))</f>
        <v/>
      </c>
      <c r="GC44" s="255" t="str">
        <f t="shared" si="77"/>
        <v/>
      </c>
      <c r="GD44" s="250" t="str">
        <f t="shared" si="78"/>
        <v/>
      </c>
      <c r="GE44" s="253" t="str">
        <f>IFERROR(IF(AND(AF44="", 'General Information'!$F$18="No"),"", IF(AF44="", ((GD44/$CD$266)*$CF$266)*0.5, AF44*S44*0.5)), "")</f>
        <v/>
      </c>
      <c r="GF44" s="255" t="str">
        <f>IF(AND('General Information'!$F$19="", 'General Information'!$F$18="Yes",AF44="",BW44="Y"), "Y", "N")</f>
        <v>N</v>
      </c>
      <c r="GG44" s="255" t="s">
        <v>2946</v>
      </c>
      <c r="GH44" s="255" t="str">
        <f>IFERROR(IF(B44="", "", VLOOKUP(J44, 'Fixture Identities'!$A$6:$N$908, 14, FALSE)), "")</f>
        <v/>
      </c>
      <c r="GI44" s="389" t="str">
        <f>IF(OR(B44="", V44="", W44=""), "", IF(AND(OR(M44='Lookup Tables'!$R$18, M44='Lookup Tables'!$R$19, M44='Lookup Tables'!$R$20, M44='Lookup Tables'!$R$21, M44='Lookup Tables'!$R$22), OR(AN44='Lookup Tables'!$R$17, AN44='Lookup Tables'!$R$17, AN44="")), "Y", "N"))</f>
        <v/>
      </c>
      <c r="GJ44" s="255" t="str">
        <f t="shared" si="79"/>
        <v/>
      </c>
      <c r="GK44" s="255" t="str">
        <f t="shared" si="80"/>
        <v/>
      </c>
      <c r="GL44" s="255" t="str">
        <f t="shared" si="81"/>
        <v/>
      </c>
      <c r="GM44" s="255" t="str">
        <f>IF(AN44="", "", IF(AND(IF(ISNA(VLOOKUP(AN44,'Lookup Tables'!$R$18:$R$22,1,FALSE)), "N", "Y")="Y", E44="Exterior"), "Y", "N"))</f>
        <v/>
      </c>
      <c r="GN44" s="395"/>
      <c r="GO44" s="428">
        <f t="shared" si="98"/>
        <v>0</v>
      </c>
      <c r="GP44" s="428">
        <f t="shared" si="167"/>
        <v>0</v>
      </c>
      <c r="GQ44" s="428">
        <f t="shared" si="99"/>
        <v>0</v>
      </c>
      <c r="GR44" s="428">
        <f t="shared" si="100"/>
        <v>0</v>
      </c>
    </row>
    <row r="45" spans="1:202" s="103" customFormat="1" ht="13.5" customHeight="1" x14ac:dyDescent="0.2">
      <c r="A45" s="272">
        <v>35</v>
      </c>
      <c r="B45" s="110"/>
      <c r="C45" s="110"/>
      <c r="D45" s="110"/>
      <c r="E45" s="110"/>
      <c r="F45" s="110"/>
      <c r="G45" s="110"/>
      <c r="H45" s="110"/>
      <c r="I45" s="29"/>
      <c r="J45" s="29"/>
      <c r="K45" s="272" t="str">
        <f>IFERROR(IF(OR(VLOOKUP(J45, 'Fixture Identities'!$A$6:$L$1023, 3, FALSE)="T12 Linear Fluorescent", VLOOKUP(J45, 'Fixture Identities'!$A$6:$L$1023, 3, FALSE)="T12 U-Tube Fluorescent"), VLOOKUP(VLOOKUP(J45, 'Fixture Identities'!$A$6:$L$1023, 11, FALSE), 'Fixture Identities'!$A$6:$L$1023, 10, FALSE), VLOOKUP(J45, 'Fixture Identities'!$A$6:$L$1023, 10, FALSE)), "")</f>
        <v/>
      </c>
      <c r="L45" s="270" t="str">
        <f t="shared" si="169"/>
        <v/>
      </c>
      <c r="M45" s="110"/>
      <c r="N45" s="110"/>
      <c r="O45" s="110"/>
      <c r="P45" s="272" t="str">
        <f>IFERROR(IF(OR(B45="Retrofit",B45=""),"",IF('Lighting Inventory'!E45="Exterior",VLOOKUP('Lighting Inventory'!N45,'Lookup Tables'!$B$83:$F$103,5,FALSE),IF(N45="Other - Please Estimate EFLH and CFs","Contact Prog. Rep.","ft^2"))), "")</f>
        <v/>
      </c>
      <c r="Q45" s="270" t="str">
        <f>IFERROR(IF(AND(B45="New Construction",E45="Interior",$F$5="Space-by-Space"),VLOOKUP('Lighting Inventory'!N45,'Lookup Tables'!$N$6:$O$97,2,FALSE),IF(AND(B45="New Construction",E45="Exterior"),VLOOKUP(N45,'Lookup Tables'!$B$83:$F$103,2,FALSE),IF(AND(B45="New Construction",'Lighting Inventory'!E45="Interior", $F$5="Building Area"),VLOOKUP(F45,'Lookup Tables'!$A$6:$J$59,10,FALSE),""))), "")</f>
        <v/>
      </c>
      <c r="R45" s="270" t="str">
        <f>IFERROR(IF(P45="Contact Prog. Rep.", "ERROR", IF(OR(B45="",B45="Retrofit"),"",IF(N45="Automated teller machines", ('Lookup Tables'!$A$82:$E$100+('Lighting Inventory'!O45-1)*'Lookup Tables'!$A$82:$E$100)/1000, (Q45*O45)/1000))), "")</f>
        <v/>
      </c>
      <c r="S45" s="595"/>
      <c r="T45" s="105" t="str">
        <f t="shared" si="83"/>
        <v/>
      </c>
      <c r="U45" s="105" t="str">
        <f>IF(S45="","",COUNT($S$11:S45))</f>
        <v/>
      </c>
      <c r="V45" s="111"/>
      <c r="W45" s="112"/>
      <c r="X45" s="105" t="str">
        <f t="shared" si="84"/>
        <v/>
      </c>
      <c r="Y45" s="105" t="str">
        <f t="array" ref="Y45">IF(AND(OR(W45="Freezer Case Lighting", W45="Refrigerated Case Lighting with Doors"), 'General Information'!$X$18="LCI"),'Lookup Tables'!$Y$34, IF(V45="Custom", VLOOKUP(W45, 'Fixture Identities'!$A$974:$M$1023, 13, FALSE), IF(V45="No Change",'Lookup Tables'!$Y$29,IF(OR(V45="",W45=""),"",IF(AND(S45=0,S45&lt;I45,B45="Retrofit"),'Lookup Tables'!$Y$25, IF(B45="Retrofit", INDEX('Lookup Tables'!$AH$6:$AP$102, MATCH(1, ('Lookup Tables'!$AH$6:$AH$102=V45)*('Lookup Tables'!$AI$6:$AI$102=W45), 0), IF('Lighting Inventory'!E45="Interior", 4, 5)), INDEX('Lookup Tables'!$AH$114:$AP$154, MATCH(1, ('Lookup Tables'!$AH$114:$AH$154=V45)*('Lookup Tables'!$AI$114:$AI$154=W45), 0), IF('Lighting Inventory'!E45="Interior", 4, 5))))))))</f>
        <v/>
      </c>
      <c r="Z45" s="105" t="str">
        <f>IFERROR(INDEX('Lookup Tables'!$AH$158:$AH$172,MATCH('Lighting Inventory'!Y45,'Lookup Tables'!$AI$158:$AI$172,0)),"")</f>
        <v/>
      </c>
      <c r="AA45" s="105" t="str">
        <f>IF(AP45&gt;0,INDEX('Lookup Tables'!$AK$158:$AK$172,MATCH('Lighting Inventory'!Y45,'Lookup Tables'!$AI$158:$AI$172,0)),'Lighting Inventory'!Y45)</f>
        <v/>
      </c>
      <c r="AB45" s="105" t="str">
        <f t="array" ref="AB45">IF(V45="Custom", "Custom", IF(V45="", "", IF(V45="Not DLC or Energy Star", "General", IF(B45="New Construction", INDEX('Lookup Tables'!$AH$114:$AP$154,MATCH(1,('Lookup Tables'!$AH$114:$AH$154='Lighting Inventory'!V45)*('Lookup Tables'!$AI$114:$AI$154='Lighting Inventory'!W45),FALSE),8), INDEX('Lookup Tables'!$AH$6:$AP$102,MATCH(1,('Lookup Tables'!$AH$6:$AH$102='Lighting Inventory'!V45)*('Lookup Tables'!$AI$6:$AI$102='Lighting Inventory'!W45),FALSE),8)))))</f>
        <v/>
      </c>
      <c r="AC45" s="272" t="str">
        <f>IF(W45="","",IF(V45="Custom",CONCATENATE("$",'Lookup Tables'!$AM$101," ",'Lookup Tables'!$AN$101),CONCATENATE("$",INDEX('Lookup Tables'!$AM$6:$AM$102,MATCH('Lighting Inventory'!W45,'Lookup Tables'!$AI$6:$AI$102,0))," ",INDEX('Lookup Tables'!$AN$6:$AN$102,MATCH('Lighting Inventory'!W45,'Lookup Tables'!$AI$6:$AI$102,0)))))</f>
        <v/>
      </c>
      <c r="AD45" s="72"/>
      <c r="AE45" s="29"/>
      <c r="AF45" s="379"/>
      <c r="AG45" s="370" t="str">
        <f t="shared" si="2"/>
        <v/>
      </c>
      <c r="AH45" s="370" t="str">
        <f t="shared" si="85"/>
        <v/>
      </c>
      <c r="AI45" s="29"/>
      <c r="AJ45" s="29"/>
      <c r="AK45" s="110"/>
      <c r="AL45" s="375" t="str">
        <f>IF(OR(B45="", V45="", W45=""), "", IF(V45="No Change", K45, IF(V45="Remove Fixture", 0, IF(V45="Custom",VLOOKUP(W45,'Fixture Identities'!$A$6:$K$1023,10,FALSE),IF(AE45="", "← ENTER POST WATTS", 'Lighting Inventory'!AE45)))))</f>
        <v/>
      </c>
      <c r="AM45" s="376" t="str">
        <f t="shared" si="3"/>
        <v/>
      </c>
      <c r="AN45" s="29"/>
      <c r="AO45" s="671"/>
      <c r="AP45" s="29"/>
      <c r="AQ45" s="29"/>
      <c r="AR45" s="29"/>
      <c r="AS45" s="272" t="str">
        <f t="shared" si="4"/>
        <v/>
      </c>
      <c r="AT45" s="270" t="str">
        <f t="shared" si="234"/>
        <v/>
      </c>
      <c r="AU45" s="88" t="str">
        <f t="shared" si="235"/>
        <v/>
      </c>
      <c r="AV45" s="29"/>
      <c r="AW45" s="73"/>
      <c r="AX45" s="271" t="str">
        <f>IF(AND(AV45="Applicant",OR(AW45="", AW45="Use Default Facility Hours")),"← Choose Schedule",IF(F45="","",IF(W45="LED Exit Signs",8760,IF(OR(AV45="Prescribed",AV45=""),VLOOKUP(F45,'Lookup Tables'!$A$6:$G$59,IF(AB45="General", 6, 3),FALSE),VLOOKUP(AW45,'Lookup Tables'!$S$36:$U$43,2,FALSE)))))</f>
        <v/>
      </c>
      <c r="AY45" s="88" t="str">
        <f t="shared" si="7"/>
        <v/>
      </c>
      <c r="AZ45" s="270" t="str">
        <f>IFERROR(IF(F45="", "", IF(W45="LED Exit Signs", 1, IF(AV45="Applicant",VLOOKUP(AW45, 'Lookup Tables'!$S$36:$U$43,3, FALSE), VLOOKUP('Lighting Inventory'!F45, 'Lookup Tables'!$A$6:$H$59, IF('Lighting Inventory'!AB45="General",7,4), FALSE)))), "")</f>
        <v/>
      </c>
      <c r="BA45" s="522" t="str">
        <f>IFERROR(IF(F45="", "", IF(W45="LED Exit Signs", 1, VLOOKUP('Lighting Inventory'!F45, 'Lookup Tables'!$A$6:$H$59, IF('Lighting Inventory'!AB45="General",8,5), FALSE))), "")</f>
        <v/>
      </c>
      <c r="BB45" s="270" t="str">
        <f>IF(G45="", "", IF(E45="Exterior", 0, IF('Lighting Inventory'!G45="Air Conditioned", VLOOKUP(H45, 'Lookup Tables'!$R$6:$T$13, 2, FALSE), VLOOKUP('Lighting Inventory'!G45, 'Lookup Tables'!$R$6:$T$13, 2, FALSE))))</f>
        <v/>
      </c>
      <c r="BC45" s="522" t="str">
        <f>IF(G45="", "", IF(E45="Exterior", 0, IF('Lighting Inventory'!G45="Air Conditioned", VLOOKUP(H45, 'Lookup Tables'!$R$6:$T$13, 3, FALSE), VLOOKUP('Lighting Inventory'!G45, 'Lookup Tables'!$R$6:$T$13, 3, FALSE))))</f>
        <v/>
      </c>
      <c r="BD45" s="270" t="str">
        <f>IF(G45="", "", IF(E45="Exterior", 0, IF('Lighting Inventory'!G45="Air Conditioned", VLOOKUP(H45, 'Lookup Tables'!$R$6:$U$13, 4, FALSE), VLOOKUP('Lighting Inventory'!G45, 'Lookup Tables'!$R$6:$U$13, 4, FALSE))))</f>
        <v/>
      </c>
      <c r="BE45" s="270" t="str">
        <f>IFERROR(IF(B45="", "",  IF(B45="New Construction", VLOOKUP(F45, 'Lookup Tables'!$A$6:$K$59, 11, FALSE),IF(OR(AN45="", AN45="Light Switch"), 0, IF(OR(M45="",M45="None",V45= "LED Exit Signs"),0,_xlfn.XLOOKUP(M45,'Lookup Tables'!$R$91:$R$101,'Lookup Tables'!$V$91:$V$101))))), "")</f>
        <v/>
      </c>
      <c r="BF45" s="270" t="str">
        <f>IF(AND(OR(AN45="Light Switch",AN45=""),B45="New Construction"), VLOOKUP(F45, 'Lookup Tables'!$A$6:$K$59, 11, FALSE),IF(AN45="","",IF(B45="","",IF(OR(AN45="None",AN45="",V45="LED Exit Signs",AN45="Exterior Controls Not Eligible"),0,_xlfn.XLOOKUP(AN45,'Lookup Tables'!$R$91:$R$101,'Lookup Tables'!$V$91:$V$101)))))</f>
        <v/>
      </c>
      <c r="BG45" s="88" t="str">
        <f t="shared" si="86"/>
        <v/>
      </c>
      <c r="BH45" s="88" t="str">
        <f t="shared" si="87"/>
        <v/>
      </c>
      <c r="BI45" s="558" t="str">
        <f t="shared" si="168"/>
        <v/>
      </c>
      <c r="BJ45" s="82" t="str">
        <f t="shared" si="88"/>
        <v/>
      </c>
      <c r="BK45" s="82" t="str">
        <f t="shared" si="89"/>
        <v/>
      </c>
      <c r="BL45" s="559" t="str">
        <f t="shared" si="90"/>
        <v/>
      </c>
      <c r="BM45" s="521" t="str">
        <f t="shared" si="8"/>
        <v/>
      </c>
      <c r="BN45" s="521" t="str">
        <f t="shared" si="9"/>
        <v/>
      </c>
      <c r="BO45" s="522" t="str">
        <f t="shared" si="10"/>
        <v/>
      </c>
      <c r="BP45" s="83" t="str">
        <f t="shared" si="91"/>
        <v/>
      </c>
      <c r="BQ45" s="84" t="str">
        <f t="shared" si="92"/>
        <v/>
      </c>
      <c r="BR45" s="184" t="str">
        <f>IFERROR(IF(B45="", "", IF(OR(VLOOKUP(J45, 'Fixture Identities'!$A$6:$L$1023, 3, FALSE)="T12 Linear Fluorescent",VLOOKUP(J45, 'Fixture Identities'!$A$6:$L$1023, 3, FALSE)="T12 U-Tube Fluorescent"), "Y", "N")), "N")</f>
        <v/>
      </c>
      <c r="BS45" s="184" t="str">
        <f t="array" ref="BS45">IFERROR(IF(OR(B45="", V45="", W45=""), "", IF(V45="Custom", "N", IF(OR(W45="Freezer Case Lighting", W45="Refrigerated Case Lighting with Doors"), BT45, IF(B45="Retrofit", INDEX('Lookup Tables'!$AH$6:$AT$102,MATCH(1,('Lookup Tables'!$AH$6:$AH$102=V45)*('Lookup Tables'!$AI$6:$AI$102=W45),FALSE),IF(VLOOKUP(J45, 'Fixture Identities'!$A$6:$B$1023, 2, FALSE)="Incandescent",12, 13)), INDEX('Lookup Tables'!$AH$114:$AS$154,MATCH(1,('Lookup Tables'!$AH$114:$AH$154=V45)*('Lookup Tables'!$AI$114:$AI$154=W45),FALSE),12))))), "N")</f>
        <v/>
      </c>
      <c r="BT45" s="184" t="str">
        <f>IF(J45="", "", IF(AND(OR(W45="Freezer case Lighting", W45="Refrigerated Case Lighting with Doors"),'General Information'!$X$18="LCI"), "N", IF(OR(VLOOKUP(J45, 'Fixture Identities'!$A$6:$B$1023, 2, FALSE)="T12 EPACT/EISA Baseline", VLOOKUP(J45, 'Fixture Identities'!$A$6:$B$1023, 2, FALSE)="Linear Fluorescent", VLOOKUP(J45, 'Fixture Identities'!$A$6:$B$1023, 2, FALSE)="U-Tube Fluorescent"), "Y", "N")))</f>
        <v/>
      </c>
      <c r="BU45" s="184" t="str">
        <f>IFERROR(IF(B45="", "", IF(VLOOKUP(J45, 'Fixture Identities'!$A$6:$B$1023, 2, FALSE)="Exit Sign", "Y", "N")), "N")</f>
        <v/>
      </c>
      <c r="BV45" s="184" t="str">
        <f>IF(V45="Exit Signs", IF(VLOOKUP(J45, 'Fixture Identities'!$A$6:$B$1023, 2, FALSE)="Exit Sign", "N", "Y"), "")</f>
        <v/>
      </c>
      <c r="BW45" s="184" t="str">
        <f t="array" ref="BW45">IFERROR(IF(B45="", "", IF(B45="New Construction", "N", INDEX('Lookup Tables'!$AH$6:$AU$102, MATCH(1, ('Lookup Tables'!$AH$6:$AH$102='Lighting Inventory'!V45)*('Lookup Tables'!$AI$6:$AI$102='Lighting Inventory'!W45), 0), 14))), "N")</f>
        <v/>
      </c>
      <c r="BX45" s="598" t="str">
        <f t="shared" si="93"/>
        <v/>
      </c>
      <c r="BY45" s="598" t="str">
        <f t="shared" si="94"/>
        <v/>
      </c>
      <c r="BZ45" s="598" t="str">
        <f t="shared" si="95"/>
        <v/>
      </c>
      <c r="CA45" s="598" t="str">
        <f t="shared" si="101"/>
        <v/>
      </c>
      <c r="CB45" s="269" t="str">
        <f t="shared" si="102"/>
        <v/>
      </c>
      <c r="CC45" s="517" t="str">
        <f t="shared" si="96"/>
        <v/>
      </c>
      <c r="CD45" s="565" t="str">
        <f t="shared" si="11"/>
        <v/>
      </c>
      <c r="CE45" s="368">
        <v>0</v>
      </c>
      <c r="CF45" s="368" t="str" cm="1">
        <f t="array" ref="CF45">IFERROR(IF(V45="Custom", "$0.1 per kWh", IF(B45="New Construction", CONCATENATE("$",INDEX('Lookup Tables'!$AH$114:$AN$154,MATCH(1,('Lookup Tables'!$AH$114:$AH$154='Lighting Inventory'!V45)*('Lookup Tables'!$AI$114:$AI$154='Lighting Inventory'!W45),FALSE),6)," ",INDEX('Lookup Tables'!$AH$114:$AN$154,MATCH(1,('Lookup Tables'!$AH$114:$AH$154='Lighting Inventory'!V45)*('Lookup Tables'!$AI$114:$AI$154='Lighting Inventory'!W45),FALSE),7)), IF(AND(BU45="N", V45="Exit Signs"), "$0.025 per kWh", CONCATENATE("$",INDEX('Lookup Tables'!$AH$6:$AN$102,MATCH(1,('Lookup Tables'!$AH$6:$AH$102='Lighting Inventory'!V45)*('Lookup Tables'!$AI$6:$AI$102='Lighting Inventory'!W45),FALSE),6)," ",INDEX('Lookup Tables'!$AH$6:$AN$102,MATCH(1,('Lookup Tables'!$AH$6:$AH$102='Lighting Inventory'!V45)*('Lookup Tables'!$AI$6:$AI$102='Lighting Inventory'!W45),FALSE),7))))), "")</f>
        <v/>
      </c>
      <c r="CG45" s="366"/>
      <c r="CH45" s="248" t="str">
        <f t="shared" si="170"/>
        <v/>
      </c>
      <c r="CI45" s="248" t="str">
        <f t="shared" si="171"/>
        <v>Select_IE</v>
      </c>
      <c r="CJ45" s="248" t="str">
        <f t="shared" si="172"/>
        <v/>
      </c>
      <c r="CK45" s="248" t="str">
        <f t="shared" si="173"/>
        <v/>
      </c>
      <c r="CL45" s="248" t="str">
        <f t="shared" si="174"/>
        <v/>
      </c>
      <c r="CM45" s="248" t="str">
        <f>IFERROR(IF(B45="", "", IF(B45="New Construction", VLOOKUP(V45, 'Lookup Tables'!$AF$114:$AG$120, 2, FALSE), VLOOKUP(V45, 'Lookup Tables'!$AD$6:$AE$25, 2, FALSE))), "")</f>
        <v/>
      </c>
      <c r="CN45" s="248" t="str">
        <f t="shared" si="175"/>
        <v/>
      </c>
      <c r="CO45" s="248" t="str">
        <f t="shared" si="176"/>
        <v/>
      </c>
      <c r="CP45" s="592" t="str">
        <f t="shared" si="177"/>
        <v/>
      </c>
      <c r="CQ45" s="248" t="str">
        <f t="shared" si="97"/>
        <v/>
      </c>
      <c r="CR45" s="100"/>
      <c r="CS45" s="250" t="str">
        <f t="shared" si="178"/>
        <v/>
      </c>
      <c r="CT45" s="250" t="str">
        <f t="shared" si="179"/>
        <v/>
      </c>
      <c r="CU45" s="250" t="str">
        <f t="shared" si="180"/>
        <v/>
      </c>
      <c r="CV45" s="250" t="str">
        <f t="shared" si="181"/>
        <v/>
      </c>
      <c r="CW45" s="250" t="str">
        <f t="shared" si="182"/>
        <v/>
      </c>
      <c r="CX45" s="250" t="str">
        <f t="shared" si="183"/>
        <v/>
      </c>
      <c r="CY45" s="250" t="str">
        <f t="shared" si="184"/>
        <v/>
      </c>
      <c r="CZ45" s="250" t="str">
        <f t="shared" si="185"/>
        <v/>
      </c>
      <c r="DA45" s="250" t="str">
        <f t="shared" si="186"/>
        <v/>
      </c>
      <c r="DB45" s="250" t="str">
        <f t="shared" si="187"/>
        <v/>
      </c>
      <c r="DC45" s="250" t="str">
        <f t="shared" si="188"/>
        <v/>
      </c>
      <c r="DD45" s="250" t="str">
        <f t="shared" si="189"/>
        <v/>
      </c>
      <c r="DE45" s="250" t="str">
        <f t="shared" si="190"/>
        <v/>
      </c>
      <c r="DF45" s="250" t="str">
        <f t="shared" si="191"/>
        <v/>
      </c>
      <c r="DG45" s="250" t="str">
        <f t="shared" si="192"/>
        <v/>
      </c>
      <c r="DH45" s="250" t="str">
        <f t="shared" si="193"/>
        <v/>
      </c>
      <c r="DI45" s="250" t="str">
        <f t="shared" si="194"/>
        <v/>
      </c>
      <c r="DJ45" s="250" t="str">
        <f t="shared" si="195"/>
        <v/>
      </c>
      <c r="DK45" s="250" t="str">
        <f t="shared" si="196"/>
        <v/>
      </c>
      <c r="DL45" s="250" t="str">
        <f t="shared" si="197"/>
        <v/>
      </c>
      <c r="DM45" s="250" t="str">
        <f>IF(CD45="ERROR", "ERROR", IF(AND(OR(Y45=$DM$6, Y45='Lookup Tables'!$AD$21, Y45='Lookup Tables'!$AD$22), E45="Interior"), BJ45, ""))</f>
        <v/>
      </c>
      <c r="DN45" s="250" t="str">
        <f>IF(CD45="ERROR", "ERROR", IF(AND(OR(Y45=$DM$6, Y45='Lookup Tables'!$AD$21, Y45='Lookup Tables'!$AD$22), E45="Exterior"), BJ45, ""))</f>
        <v/>
      </c>
      <c r="DO45" s="100"/>
      <c r="DP45" s="250" t="str">
        <f t="shared" si="198"/>
        <v/>
      </c>
      <c r="DQ45" s="250" t="str">
        <f t="shared" si="199"/>
        <v/>
      </c>
      <c r="DR45" s="250" t="str">
        <f t="shared" si="200"/>
        <v/>
      </c>
      <c r="DS45" s="250" t="str">
        <f t="shared" si="201"/>
        <v/>
      </c>
      <c r="DT45" s="250" t="str">
        <f t="shared" si="202"/>
        <v/>
      </c>
      <c r="DU45" s="250" t="str">
        <f t="shared" si="203"/>
        <v/>
      </c>
      <c r="DV45" s="250" t="str">
        <f t="shared" si="204"/>
        <v/>
      </c>
      <c r="DW45" s="250" t="str">
        <f t="shared" si="205"/>
        <v/>
      </c>
      <c r="DX45" s="250" t="str">
        <f t="shared" si="206"/>
        <v/>
      </c>
      <c r="DY45" s="250" t="str">
        <f t="shared" si="207"/>
        <v/>
      </c>
      <c r="DZ45" s="250" t="str">
        <f t="shared" si="208"/>
        <v/>
      </c>
      <c r="EA45" s="250" t="str">
        <f t="shared" si="209"/>
        <v/>
      </c>
      <c r="EB45" s="250" t="str">
        <f t="shared" si="210"/>
        <v/>
      </c>
      <c r="EC45" s="250" t="str">
        <f t="shared" si="211"/>
        <v/>
      </c>
      <c r="ED45" s="250" t="str">
        <f t="shared" si="212"/>
        <v/>
      </c>
      <c r="EE45" s="250" t="str">
        <f t="shared" si="213"/>
        <v/>
      </c>
      <c r="EF45" s="250" t="str">
        <f t="shared" si="214"/>
        <v/>
      </c>
      <c r="EG45" s="250" t="str">
        <f t="shared" si="215"/>
        <v/>
      </c>
      <c r="EH45" s="250" t="str">
        <f>IF(CD45="ERROR", "ERROR", IF(AND(OR($EH$6=Y45, Y45='Lookup Tables'!$AD$21, Y45='Lookup Tables'!$AD$22),E45="Interior"), SUM(BP45:BP45), ""))</f>
        <v/>
      </c>
      <c r="EI45" s="250" t="str">
        <f>IF(CD45="ERROR", "ERROR", IF(AND(OR($EH$6=Y45, Y45='Lookup Tables'!$AD$21, Y45='Lookup Tables'!$AD$22),E45="Exterior"), SUM(BP45:BP45), ""))</f>
        <v/>
      </c>
      <c r="EJ45" s="109"/>
      <c r="EK45" s="485" t="str">
        <f t="shared" si="58"/>
        <v/>
      </c>
      <c r="EL45" s="252" t="str">
        <f t="shared" si="216"/>
        <v/>
      </c>
      <c r="EM45" s="252" t="str">
        <f t="shared" si="217"/>
        <v/>
      </c>
      <c r="EN45" s="252" t="str">
        <f t="shared" si="218"/>
        <v/>
      </c>
      <c r="EO45" s="252" t="str">
        <f t="shared" si="219"/>
        <v/>
      </c>
      <c r="EP45" s="252" t="str">
        <f t="shared" si="220"/>
        <v/>
      </c>
      <c r="EQ45" s="252" t="str">
        <f t="shared" si="221"/>
        <v/>
      </c>
      <c r="ER45" s="252" t="str">
        <f t="shared" si="222"/>
        <v/>
      </c>
      <c r="ES45" s="252" t="str">
        <f t="shared" si="223"/>
        <v/>
      </c>
      <c r="ET45" s="252" t="str">
        <f t="shared" si="224"/>
        <v/>
      </c>
      <c r="EU45" s="252" t="str">
        <f t="shared" si="225"/>
        <v/>
      </c>
      <c r="EV45" s="252" t="str">
        <f t="shared" si="226"/>
        <v/>
      </c>
      <c r="EW45" s="252" t="str">
        <f t="shared" si="227"/>
        <v/>
      </c>
      <c r="EX45" s="252" t="str">
        <f t="shared" si="228"/>
        <v/>
      </c>
      <c r="EY45" s="252" t="str">
        <f t="shared" si="229"/>
        <v/>
      </c>
      <c r="EZ45" s="252" t="str">
        <f t="shared" si="230"/>
        <v/>
      </c>
      <c r="FA45" s="252" t="str">
        <f t="shared" si="231"/>
        <v/>
      </c>
      <c r="FB45" s="252" t="str">
        <f t="shared" si="232"/>
        <v/>
      </c>
      <c r="FC45" s="252" t="str">
        <f>IF(CD45="ERROR", "ERROR", IF(OR(V45="No Change", V45="Not DLC or Energy Star"), "", IF(AND(OR($FC$6=Y45,Y45='Lookup Tables'!$AD$21, Y45='Lookup Tables'!$AD$22),E45="Interior"), S45, "")))</f>
        <v/>
      </c>
      <c r="FD45" s="252" t="str">
        <f t="shared" si="233"/>
        <v/>
      </c>
      <c r="FE45" s="101"/>
      <c r="FF45" s="579" t="str" cm="1">
        <f t="array" ref="FF45">IFERROR(IF(OR(BQ45&lt;=0,AQ45&lt;20,AND(V45="Exit Signs",AN45&gt;0)),"",IF(AND(AQ45&gt;=20,AN45='Lookup Tables'!$R$101),'Lookup Tables'!$U$101*BQ45,AP45*LOOKUP(2,1/((AN45='Lookup Tables'!$R$91:$R$111)*(AQ45&gt;='Lookup Tables'!$S$91:$S$111)*(AQ45&lt;='Lookup Tables'!$T$91:$T$111)),'Lookup Tables'!$U$91:$U$111))),"")</f>
        <v/>
      </c>
      <c r="FG45" s="579"/>
      <c r="FH45" s="579"/>
      <c r="FI45" s="253" t="str">
        <f>IFERROR(ROUND(IF(CD45="ERROR", "ERROR", IF(AND($FI$7=X45,E45="Interior"),VLOOKUP(W45, 'Lookup Tables'!$AI$6:$AM$102, 5, FALSE)*BP45, "")), 2), "")</f>
        <v/>
      </c>
      <c r="FJ45" s="253" t="str">
        <f>IFERROR(ROUND(IF(CD45="ERROR", "ERROR", IF(AND($FI$7=X45,E45="Exterior"),VLOOKUP(W45, 'Lookup Tables'!$AI$6:$AM$102, 5, FALSE)*BP45, "")), 2), "")</f>
        <v/>
      </c>
      <c r="FK45" s="253" t="str">
        <f>IFERROR(ROUND(IF(CD45="ERROR", "ERROR", IF(AND($FK$7=X45,E45="Interior"),VLOOKUP(W45, 'Lookup Tables'!$AI$6:$AM$102, 5, FALSE)*BP45, "")), 2), "")</f>
        <v/>
      </c>
      <c r="FL45" s="253" t="str">
        <f>IFERROR(ROUND(IF(CD45="ERROR", "ERROR", IF(AND($FK$7=X45,E45="Exterior"),VLOOKUP(W45, 'Lookup Tables'!$AI$6:$AM$102, 5, FALSE)*BP45, "")), 2), "")</f>
        <v/>
      </c>
      <c r="FM45" s="253" t="str">
        <f>IFERROR(ROUND(IF(CD45="ERROR", "ERROR", IF(AND($FM$6=Y45,E45="Interior"), IF(GB45=0, VLOOKUP(W45, 'Lookup Tables'!$AI$6:$AM$102, 5, FALSE)*BP45, IF(VLOOKUP(W45, 'Lookup Tables'!$AI$6:$AM$102, 5, FALSE)*BP45&gt;GB45*'Lighting Inventory'!S45, GB45*'Lighting Inventory'!S45,VLOOKUP(W45, 'Lookup Tables'!$AI$6:$AM$102, 5, FALSE)*BP45)), "")), 2), "")</f>
        <v/>
      </c>
      <c r="FN45" s="253" t="str">
        <f>IFERROR(ROUND(IF(CD45="ERROR", "ERROR", IF(AND($FM$6=Y45,E45="Exterior"), IF(GB45=0, VLOOKUP(W45, 'Lookup Tables'!$AI$6:$AM$102, 5, FALSE)*BP45, IF(VLOOKUP(W45, 'Lookup Tables'!$AI$6:$AM$102, 5, FALSE)*BP45&gt;GB45*'Lighting Inventory'!S45, GB45*'Lighting Inventory'!S45,VLOOKUP(W45, 'Lookup Tables'!$AI$6:$AM$102, 5, FALSE)*BP45)), "")), 2), "")</f>
        <v/>
      </c>
      <c r="FO45" s="253" t="str">
        <f>IFERROR(ROUND(IF(CD45="ERROR", "ERROR", IF(AND($FO$6=Y45,E45="Interior"),VLOOKUP(W45, 'Lookup Tables'!$AI$6:$AM$102, 5, FALSE)*'Lighting Inventory'!AI45, "")), 2), "")</f>
        <v/>
      </c>
      <c r="FP45" s="253" t="str">
        <f>IFERROR(ROUND(IF(CD45="ERROR", "ERROR", IF(AND($FO$6=Y45,E45="Exterior"),VLOOKUP(W45, 'Lookup Tables'!$AI$6:$AM$102, 5, FALSE)*'Lighting Inventory'!AI45, "")), 2), "")</f>
        <v/>
      </c>
      <c r="FQ45" s="253" t="str">
        <f>IFERROR(ROUND(IF(CD45="ERROR", "ERROR", IF(AND($FQ$6=Y45,E45="Interior", BU45="Y"), VLOOKUP('Lighting Inventory'!W45, 'Lookup Tables'!$AI$6:$AM$102, 5, FALSE)*'Lighting Inventory'!S45, IF(AND($FQ$7=Y45,E45="Interior", BU45="N"), 0.025*CD45, ""))), 2), "")</f>
        <v/>
      </c>
      <c r="FR45" s="253" t="str">
        <f>IFERROR(ROUND(IF(CD45="ERROR", "ERROR", IF(AND($FQ$6=Y45,E45="Exterior"), VLOOKUP('Lighting Inventory'!W45, 'Lookup Tables'!$AI$6:$AM$102, 5, FALSE)*'Lighting Inventory'!S45, "")), 2), "")</f>
        <v/>
      </c>
      <c r="FS45" s="253" t="str">
        <f>IFERROR(ROUND(IF(CD45="ERROR", "ERROR", IF(AND($FS$6=Y45,E45="Exterior"), IF(GB45=0, VLOOKUP(W45, 'Lookup Tables'!$AI$6:$AM$102, 5, FALSE)*BP45, IF(VLOOKUP(W45, 'Lookup Tables'!$AI$6:$AM$102, 5, FALSE)*BP45&gt;GB45*'Lighting Inventory'!S45, GB45*'Lighting Inventory'!S45,VLOOKUP(W45, 'Lookup Tables'!$AI$6:$AM$102, 5, FALSE)*BP45)), "")), 2), "")</f>
        <v/>
      </c>
      <c r="FT45" s="253" t="str">
        <f>IFERROR(ROUND(IF(CD45="ERROR", "ERROR", IF(AND($FT$6=Y45,E45="Interior"), IF(GB45=0, VLOOKUP(W45, 'Lookup Tables'!$AI$6:$AM$102, 5, FALSE)*BP45, IF(VLOOKUP(W45, 'Lookup Tables'!$AI$6:$AM$102, 5, FALSE)*BP45&gt;GB45*'Lighting Inventory'!S45, GB45*'Lighting Inventory'!S45,VLOOKUP(W45, 'Lookup Tables'!$AI$6:$AM$102, 5, FALSE)*BP45)), "")), 2), "")</f>
        <v/>
      </c>
      <c r="FU45" s="253" t="str">
        <f>IFERROR(ROUND(IF(CD45="ERROR", "ERROR", IF(AND(Y45=$FU$6, E45="Interior"), IF(BS45="N", 'Lookup Tables'!$AM$101*BP45, VLOOKUP(W45, 'Lookup Tables'!$AI$6:$AM$102, 5, FALSE)*S45*AD45), "")), 2), "")</f>
        <v/>
      </c>
      <c r="FV45" s="253" t="str">
        <f>IFERROR(ROUND(IF(CD45="ERROR", "ERROR", IF(AND(Y45=$FU$6, E45="Exterior"), IF(BS45="N", 'Lookup Tables'!$AM$101*BP45, VLOOKUP(W45, 'Lookup Tables'!$AI$6:$AM$102, 5, FALSE)*S45*AD45), "")), 2), "")</f>
        <v/>
      </c>
      <c r="FW45" s="253" t="str">
        <f>IFERROR(ROUND(IF(CD45="ERROR", "ERROR", IF($FW$6=Y45, IF(BS45="N", 'Lookup Tables'!$AM$101*BP45, MIN((VLOOKUP(W45, 'Lookup Tables'!$AI$6:$AM$102, 5, FALSE)*BP45),GB45*AJ45)), "")), 2), "")</f>
        <v/>
      </c>
      <c r="FX45" s="253" t="str">
        <f>IFERROR(ROUND(IF(CD45="ERROR", "ERROR", IF(AND($FX$6=Y45, E45="Interior"), IF(VLOOKUP(W45, 'Lookup Tables'!$AI$6:$AM$102, 5, FALSE)*BP45&gt;'Lookup Tables'!$AQ$97*'Lighting Inventory'!S45,'Lighting Inventory'!S45*'Lookup Tables'!$AQ$97,VLOOKUP(W45, 'Lookup Tables'!$AI$6:$AM$102, 5, FALSE)*BP45), "")), 2), "")</f>
        <v/>
      </c>
      <c r="FY45" s="253" t="str">
        <f>IFERROR(ROUND(IF(CD45="ERROR", "ERROR", IF(AND($FX$6=Y45, E45="Exterior"), IF(VLOOKUP(W45, 'Lookup Tables'!$AI$6:$AM$102, 5, FALSE)*BP45&gt;'Lookup Tables'!$AQ$97*'Lighting Inventory'!S45,'Lighting Inventory'!S45*'Lookup Tables'!$AQ$97,VLOOKUP(W45, 'Lookup Tables'!$AI$6:$AM$102, 5, FALSE)*BP45), "")), 2), "")</f>
        <v/>
      </c>
      <c r="FZ45" s="253" t="str">
        <f>IFERROR(ROUND(IF(CD45="ERROR", "ERROR", IF(AND($FZ$6=Y45, E45="Interior"), IF(AND(OR(W45="Refrigerated Case Lighting with Doors", W45="Freezer Case Lighting"),Y45="Custom - Process Improvement"),CD45*'Lookup Tables'!$AM$101, IF(B45="Retrofit", IF(VLOOKUP(IF(V45="Custom", V45, W45), 'Lookup Tables'!$AI$6:$AM$102, 5, FALSE)*BP45&gt;GE45, GE45, VLOOKUP(IF(V45="Custom", V45, W45), 'Lookup Tables'!$AI$6:$AM$102, 5, FALSE)*BP45), IF(VLOOKUP(IF(V45="Custom", V45, W45), 'Lookup Tables'!$AI$114:$AM$154, 5, FALSE)*BP45&gt;GE45, GE45, VLOOKUP(IF(V45="Custom", V45, W45), 'Lookup Tables'!$AI$114:$AM$154, 5, FALSE)*BP45))), "")), 2),"")</f>
        <v/>
      </c>
      <c r="GA45" s="253" t="str">
        <f>IFERROR(ROUND(IF(CD45="ERROR", "ERROR", IF(AND($FZ$6=Y45, E45="Exterior"), IF(B45="Retrofit", IF(VLOOKUP(IF(V45="Custom", V45, W45), 'Lookup Tables'!$AI$6:$AM$102, 5, FALSE)*BP45&gt;GE45, GE45, VLOOKUP(IF(V45="Custom", V45, W45), 'Lookup Tables'!$AI$6:$AM$102, 5, FALSE)*BP45), IF(VLOOKUP(IF(V45="Custom", V45, W45), 'Lookup Tables'!$AI$114:$AM$154, 5, FALSE)*BP45&gt;GE45, GE45, VLOOKUP(IF(V45="Custom", V45, W45), 'Lookup Tables'!$AI$114:$AM$154, 5, FALSE)*BP45)), "")), 2),"")</f>
        <v/>
      </c>
      <c r="GB45" s="254" t="str">
        <f t="array" ref="GB45">IF(B45="","",IF(OR(V45="Custom",V45="No Change"),0,IF(B45="Retrofit", INDEX('Lookup Tables'!$AH$6:$AQ$102,MATCH(1,('Lookup Tables'!$AH$6:$AH$102='Lighting Inventory'!V45)*('Lookup Tables'!$AI$6:$AI$102='Lighting Inventory'!W45),FALSE),10),INDEX('Lookup Tables'!$AH$114:$AQ$154,MATCH(1,('Lookup Tables'!$AH$114:$AH$154='Lighting Inventory'!V45)*('Lookup Tables'!$AI$114:$AI$154='Lighting Inventory'!W45),FALSE),10))))</f>
        <v/>
      </c>
      <c r="GC45" s="255" t="str">
        <f t="shared" si="77"/>
        <v/>
      </c>
      <c r="GD45" s="250" t="str">
        <f t="shared" si="78"/>
        <v/>
      </c>
      <c r="GE45" s="253" t="str">
        <f>IFERROR(IF(AND(AF45="", 'General Information'!$F$18="No"),"", IF(AF45="", ((GD45/$CD$266)*$CF$266)*0.5, AF45*S45*0.5)), "")</f>
        <v/>
      </c>
      <c r="GF45" s="255" t="str">
        <f>IF(AND('General Information'!$F$19="", 'General Information'!$F$18="Yes",AF45="",BW45="Y"), "Y", "N")</f>
        <v>N</v>
      </c>
      <c r="GG45" s="255" t="s">
        <v>2946</v>
      </c>
      <c r="GH45" s="255" t="str">
        <f>IFERROR(IF(B45="", "", VLOOKUP(J45, 'Fixture Identities'!$A$6:$N$908, 14, FALSE)), "")</f>
        <v/>
      </c>
      <c r="GI45" s="389" t="str">
        <f>IF(OR(B45="", V45="", W45=""), "", IF(AND(OR(M45='Lookup Tables'!$R$18, M45='Lookup Tables'!$R$19, M45='Lookup Tables'!$R$20, M45='Lookup Tables'!$R$21, M45='Lookup Tables'!$R$22), OR(AN45='Lookup Tables'!$R$17, AN45='Lookup Tables'!$R$17, AN45="")), "Y", "N"))</f>
        <v/>
      </c>
      <c r="GJ45" s="255" t="str">
        <f t="shared" si="79"/>
        <v/>
      </c>
      <c r="GK45" s="255" t="str">
        <f t="shared" si="80"/>
        <v/>
      </c>
      <c r="GL45" s="255" t="str">
        <f t="shared" si="81"/>
        <v/>
      </c>
      <c r="GM45" s="255" t="str">
        <f>IF(AN45="", "", IF(AND(IF(ISNA(VLOOKUP(AN45,'Lookup Tables'!$R$18:$R$22,1,FALSE)), "N", "Y")="Y", E45="Exterior"), "Y", "N"))</f>
        <v/>
      </c>
      <c r="GN45" s="395"/>
      <c r="GO45" s="428">
        <f t="shared" si="98"/>
        <v>0</v>
      </c>
      <c r="GP45" s="428">
        <f t="shared" si="167"/>
        <v>0</v>
      </c>
      <c r="GQ45" s="428">
        <f t="shared" si="99"/>
        <v>0</v>
      </c>
      <c r="GR45" s="428">
        <f t="shared" si="100"/>
        <v>0</v>
      </c>
    </row>
    <row r="46" spans="1:202" s="103" customFormat="1" ht="13.5" customHeight="1" x14ac:dyDescent="0.2">
      <c r="A46" s="272">
        <v>36</v>
      </c>
      <c r="B46" s="110"/>
      <c r="C46" s="110"/>
      <c r="D46" s="110"/>
      <c r="E46" s="110"/>
      <c r="F46" s="110"/>
      <c r="G46" s="110"/>
      <c r="H46" s="110"/>
      <c r="I46" s="29"/>
      <c r="J46" s="29"/>
      <c r="K46" s="272" t="str">
        <f>IFERROR(IF(OR(VLOOKUP(J46, 'Fixture Identities'!$A$6:$L$1023, 3, FALSE)="T12 Linear Fluorescent", VLOOKUP(J46, 'Fixture Identities'!$A$6:$L$1023, 3, FALSE)="T12 U-Tube Fluorescent"), VLOOKUP(VLOOKUP(J46, 'Fixture Identities'!$A$6:$L$1023, 11, FALSE), 'Fixture Identities'!$A$6:$L$1023, 10, FALSE), VLOOKUP(J46, 'Fixture Identities'!$A$6:$L$1023, 10, FALSE)), "")</f>
        <v/>
      </c>
      <c r="L46" s="270" t="str">
        <f t="shared" si="169"/>
        <v/>
      </c>
      <c r="M46" s="110"/>
      <c r="N46" s="110"/>
      <c r="O46" s="110"/>
      <c r="P46" s="272" t="str">
        <f>IFERROR(IF(OR(B46="Retrofit",B46=""),"",IF('Lighting Inventory'!E46="Exterior",VLOOKUP('Lighting Inventory'!N46,'Lookup Tables'!$B$83:$F$103,5,FALSE),IF(N46="Other - Please Estimate EFLH and CFs","Contact Prog. Rep.","ft^2"))), "")</f>
        <v/>
      </c>
      <c r="Q46" s="270" t="str">
        <f>IFERROR(IF(AND(B46="New Construction",E46="Interior",$F$5="Space-by-Space"),VLOOKUP('Lighting Inventory'!N46,'Lookup Tables'!$N$6:$O$97,2,FALSE),IF(AND(B46="New Construction",E46="Exterior"),VLOOKUP(N46,'Lookup Tables'!$B$83:$F$103,2,FALSE),IF(AND(B46="New Construction",'Lighting Inventory'!E46="Interior", $F$5="Building Area"),VLOOKUP(F46,'Lookup Tables'!$A$6:$J$59,10,FALSE),""))), "")</f>
        <v/>
      </c>
      <c r="R46" s="270" t="str">
        <f>IFERROR(IF(P46="Contact Prog. Rep.", "ERROR", IF(OR(B46="",B46="Retrofit"),"",IF(N46="Automated teller machines", ('Lookup Tables'!$A$82:$E$100+('Lighting Inventory'!O46-1)*'Lookup Tables'!$A$82:$E$100)/1000, (Q46*O46)/1000))), "")</f>
        <v/>
      </c>
      <c r="S46" s="595"/>
      <c r="T46" s="105" t="str">
        <f t="shared" si="83"/>
        <v/>
      </c>
      <c r="U46" s="105" t="str">
        <f>IF(S46="","",COUNT($S$11:S46))</f>
        <v/>
      </c>
      <c r="V46" s="111"/>
      <c r="W46" s="112"/>
      <c r="X46" s="105" t="str">
        <f t="shared" si="84"/>
        <v/>
      </c>
      <c r="Y46" s="105" t="str">
        <f t="array" ref="Y46">IF(AND(OR(W46="Freezer Case Lighting", W46="Refrigerated Case Lighting with Doors"), 'General Information'!$X$18="LCI"),'Lookup Tables'!$Y$34, IF(V46="Custom", VLOOKUP(W46, 'Fixture Identities'!$A$974:$M$1023, 13, FALSE), IF(V46="No Change",'Lookup Tables'!$Y$29,IF(OR(V46="",W46=""),"",IF(AND(S46=0,S46&lt;I46,B46="Retrofit"),'Lookup Tables'!$Y$25, IF(B46="Retrofit", INDEX('Lookup Tables'!$AH$6:$AP$102, MATCH(1, ('Lookup Tables'!$AH$6:$AH$102=V46)*('Lookup Tables'!$AI$6:$AI$102=W46), 0), IF('Lighting Inventory'!E46="Interior", 4, 5)), INDEX('Lookup Tables'!$AH$114:$AP$154, MATCH(1, ('Lookup Tables'!$AH$114:$AH$154=V46)*('Lookup Tables'!$AI$114:$AI$154=W46), 0), IF('Lighting Inventory'!E46="Interior", 4, 5))))))))</f>
        <v/>
      </c>
      <c r="Z46" s="105" t="str">
        <f>IFERROR(INDEX('Lookup Tables'!$AH$158:$AH$172,MATCH('Lighting Inventory'!Y46,'Lookup Tables'!$AI$158:$AI$172,0)),"")</f>
        <v/>
      </c>
      <c r="AA46" s="105" t="str">
        <f>IF(AP46&gt;0,INDEX('Lookup Tables'!$AK$158:$AK$172,MATCH('Lighting Inventory'!Y46,'Lookup Tables'!$AI$158:$AI$172,0)),'Lighting Inventory'!Y46)</f>
        <v/>
      </c>
      <c r="AB46" s="105" t="str">
        <f t="array" ref="AB46">IF(V46="Custom", "Custom", IF(V46="", "", IF(V46="Not DLC or Energy Star", "General", IF(B46="New Construction", INDEX('Lookup Tables'!$AH$114:$AP$154,MATCH(1,('Lookup Tables'!$AH$114:$AH$154='Lighting Inventory'!V46)*('Lookup Tables'!$AI$114:$AI$154='Lighting Inventory'!W46),FALSE),8), INDEX('Lookup Tables'!$AH$6:$AP$102,MATCH(1,('Lookup Tables'!$AH$6:$AH$102='Lighting Inventory'!V46)*('Lookup Tables'!$AI$6:$AI$102='Lighting Inventory'!W46),FALSE),8)))))</f>
        <v/>
      </c>
      <c r="AC46" s="272" t="str">
        <f>IF(W46="","",IF(V46="Custom",CONCATENATE("$",'Lookup Tables'!$AM$101," ",'Lookup Tables'!$AN$101),CONCATENATE("$",INDEX('Lookup Tables'!$AM$6:$AM$102,MATCH('Lighting Inventory'!W46,'Lookup Tables'!$AI$6:$AI$102,0))," ",INDEX('Lookup Tables'!$AN$6:$AN$102,MATCH('Lighting Inventory'!W46,'Lookup Tables'!$AI$6:$AI$102,0)))))</f>
        <v/>
      </c>
      <c r="AD46" s="72"/>
      <c r="AE46" s="29"/>
      <c r="AF46" s="379"/>
      <c r="AG46" s="370" t="str">
        <f t="shared" si="2"/>
        <v/>
      </c>
      <c r="AH46" s="370" t="str">
        <f t="shared" si="85"/>
        <v/>
      </c>
      <c r="AI46" s="29"/>
      <c r="AJ46" s="29"/>
      <c r="AK46" s="110"/>
      <c r="AL46" s="375" t="str">
        <f>IF(OR(B46="", V46="", W46=""), "", IF(V46="No Change", K46, IF(V46="Remove Fixture", 0, IF(V46="Custom",VLOOKUP(W46,'Fixture Identities'!$A$6:$K$1023,10,FALSE),IF(AE46="", "← ENTER POST WATTS", 'Lighting Inventory'!AE46)))))</f>
        <v/>
      </c>
      <c r="AM46" s="376" t="str">
        <f t="shared" si="3"/>
        <v/>
      </c>
      <c r="AN46" s="29"/>
      <c r="AO46" s="671"/>
      <c r="AP46" s="29"/>
      <c r="AQ46" s="29"/>
      <c r="AR46" s="29"/>
      <c r="AS46" s="272" t="str">
        <f t="shared" si="4"/>
        <v/>
      </c>
      <c r="AT46" s="270" t="str">
        <f t="shared" si="234"/>
        <v/>
      </c>
      <c r="AU46" s="88" t="str">
        <f t="shared" si="235"/>
        <v/>
      </c>
      <c r="AV46" s="29"/>
      <c r="AW46" s="73"/>
      <c r="AX46" s="271" t="str">
        <f>IF(AND(AV46="Applicant",OR(AW46="", AW46="Use Default Facility Hours")),"← Choose Schedule",IF(F46="","",IF(W46="LED Exit Signs",8760,IF(OR(AV46="Prescribed",AV46=""),VLOOKUP(F46,'Lookup Tables'!$A$6:$G$59,IF(AB46="General", 6, 3),FALSE),VLOOKUP(AW46,'Lookup Tables'!$S$36:$U$43,2,FALSE)))))</f>
        <v/>
      </c>
      <c r="AY46" s="88" t="str">
        <f t="shared" si="7"/>
        <v/>
      </c>
      <c r="AZ46" s="270" t="str">
        <f>IFERROR(IF(F46="", "", IF(W46="LED Exit Signs", 1, IF(AV46="Applicant",VLOOKUP(AW46, 'Lookup Tables'!$S$36:$U$43,3, FALSE), VLOOKUP('Lighting Inventory'!F46, 'Lookup Tables'!$A$6:$H$59, IF('Lighting Inventory'!AB46="General",7,4), FALSE)))), "")</f>
        <v/>
      </c>
      <c r="BA46" s="522" t="str">
        <f>IFERROR(IF(F46="", "", IF(W46="LED Exit Signs", 1, VLOOKUP('Lighting Inventory'!F46, 'Lookup Tables'!$A$6:$H$59, IF('Lighting Inventory'!AB46="General",8,5), FALSE))), "")</f>
        <v/>
      </c>
      <c r="BB46" s="270" t="str">
        <f>IF(G46="", "", IF(E46="Exterior", 0, IF('Lighting Inventory'!G46="Air Conditioned", VLOOKUP(H46, 'Lookup Tables'!$R$6:$T$13, 2, FALSE), VLOOKUP('Lighting Inventory'!G46, 'Lookup Tables'!$R$6:$T$13, 2, FALSE))))</f>
        <v/>
      </c>
      <c r="BC46" s="522" t="str">
        <f>IF(G46="", "", IF(E46="Exterior", 0, IF('Lighting Inventory'!G46="Air Conditioned", VLOOKUP(H46, 'Lookup Tables'!$R$6:$T$13, 3, FALSE), VLOOKUP('Lighting Inventory'!G46, 'Lookup Tables'!$R$6:$T$13, 3, FALSE))))</f>
        <v/>
      </c>
      <c r="BD46" s="270" t="str">
        <f>IF(G46="", "", IF(E46="Exterior", 0, IF('Lighting Inventory'!G46="Air Conditioned", VLOOKUP(H46, 'Lookup Tables'!$R$6:$U$13, 4, FALSE), VLOOKUP('Lighting Inventory'!G46, 'Lookup Tables'!$R$6:$U$13, 4, FALSE))))</f>
        <v/>
      </c>
      <c r="BE46" s="270" t="str">
        <f>IFERROR(IF(B46="", "",  IF(B46="New Construction", VLOOKUP(F46, 'Lookup Tables'!$A$6:$K$59, 11, FALSE),IF(OR(AN46="", AN46="Light Switch"), 0, IF(OR(M46="",M46="None",V46= "LED Exit Signs"),0,_xlfn.XLOOKUP(M46,'Lookup Tables'!$R$91:$R$101,'Lookup Tables'!$V$91:$V$101))))), "")</f>
        <v/>
      </c>
      <c r="BF46" s="270" t="str">
        <f>IF(AND(OR(AN46="Light Switch",AN46=""),B46="New Construction"), VLOOKUP(F46, 'Lookup Tables'!$A$6:$K$59, 11, FALSE),IF(AN46="","",IF(B46="","",IF(OR(AN46="None",AN46="",V46="LED Exit Signs",AN46="Exterior Controls Not Eligible"),0,_xlfn.XLOOKUP(AN46,'Lookup Tables'!$R$91:$R$101,'Lookup Tables'!$V$91:$V$101)))))</f>
        <v/>
      </c>
      <c r="BG46" s="88" t="str">
        <f t="shared" si="86"/>
        <v/>
      </c>
      <c r="BH46" s="88" t="str">
        <f t="shared" si="87"/>
        <v/>
      </c>
      <c r="BI46" s="558" t="str">
        <f t="shared" si="168"/>
        <v/>
      </c>
      <c r="BJ46" s="82" t="str">
        <f t="shared" si="88"/>
        <v/>
      </c>
      <c r="BK46" s="82" t="str">
        <f t="shared" si="89"/>
        <v/>
      </c>
      <c r="BL46" s="559" t="str">
        <f t="shared" si="90"/>
        <v/>
      </c>
      <c r="BM46" s="521" t="str">
        <f t="shared" si="8"/>
        <v/>
      </c>
      <c r="BN46" s="521" t="str">
        <f t="shared" si="9"/>
        <v/>
      </c>
      <c r="BO46" s="522" t="str">
        <f t="shared" si="10"/>
        <v/>
      </c>
      <c r="BP46" s="83" t="str">
        <f t="shared" si="91"/>
        <v/>
      </c>
      <c r="BQ46" s="84" t="str">
        <f t="shared" si="92"/>
        <v/>
      </c>
      <c r="BR46" s="184" t="str">
        <f>IFERROR(IF(B46="", "", IF(OR(VLOOKUP(J46, 'Fixture Identities'!$A$6:$L$1023, 3, FALSE)="T12 Linear Fluorescent",VLOOKUP(J46, 'Fixture Identities'!$A$6:$L$1023, 3, FALSE)="T12 U-Tube Fluorescent"), "Y", "N")), "N")</f>
        <v/>
      </c>
      <c r="BS46" s="184" t="str">
        <f t="array" ref="BS46">IFERROR(IF(OR(B46="", V46="", W46=""), "", IF(V46="Custom", "N", IF(OR(W46="Freezer Case Lighting", W46="Refrigerated Case Lighting with Doors"), BT46, IF(B46="Retrofit", INDEX('Lookup Tables'!$AH$6:$AT$102,MATCH(1,('Lookup Tables'!$AH$6:$AH$102=V46)*('Lookup Tables'!$AI$6:$AI$102=W46),FALSE),IF(VLOOKUP(J46, 'Fixture Identities'!$A$6:$B$1023, 2, FALSE)="Incandescent",12, 13)), INDEX('Lookup Tables'!$AH$114:$AS$154,MATCH(1,('Lookup Tables'!$AH$114:$AH$154=V46)*('Lookup Tables'!$AI$114:$AI$154=W46),FALSE),12))))), "N")</f>
        <v/>
      </c>
      <c r="BT46" s="184" t="str">
        <f>IF(J46="", "", IF(AND(OR(W46="Freezer case Lighting", W46="Refrigerated Case Lighting with Doors"),'General Information'!$X$18="LCI"), "N", IF(OR(VLOOKUP(J46, 'Fixture Identities'!$A$6:$B$1023, 2, FALSE)="T12 EPACT/EISA Baseline", VLOOKUP(J46, 'Fixture Identities'!$A$6:$B$1023, 2, FALSE)="Linear Fluorescent", VLOOKUP(J46, 'Fixture Identities'!$A$6:$B$1023, 2, FALSE)="U-Tube Fluorescent"), "Y", "N")))</f>
        <v/>
      </c>
      <c r="BU46" s="184" t="str">
        <f>IFERROR(IF(B46="", "", IF(VLOOKUP(J46, 'Fixture Identities'!$A$6:$B$1023, 2, FALSE)="Exit Sign", "Y", "N")), "N")</f>
        <v/>
      </c>
      <c r="BV46" s="184" t="str">
        <f>IF(V46="Exit Signs", IF(VLOOKUP(J46, 'Fixture Identities'!$A$6:$B$1023, 2, FALSE)="Exit Sign", "N", "Y"), "")</f>
        <v/>
      </c>
      <c r="BW46" s="184" t="str">
        <f t="array" ref="BW46">IFERROR(IF(B46="", "", IF(B46="New Construction", "N", INDEX('Lookup Tables'!$AH$6:$AU$102, MATCH(1, ('Lookup Tables'!$AH$6:$AH$102='Lighting Inventory'!V46)*('Lookup Tables'!$AI$6:$AI$102='Lighting Inventory'!W46), 0), 14))), "N")</f>
        <v/>
      </c>
      <c r="BX46" s="598" t="str">
        <f t="shared" si="93"/>
        <v/>
      </c>
      <c r="BY46" s="598" t="str">
        <f t="shared" si="94"/>
        <v/>
      </c>
      <c r="BZ46" s="598" t="str">
        <f t="shared" si="95"/>
        <v/>
      </c>
      <c r="CA46" s="598" t="str">
        <f t="shared" si="101"/>
        <v/>
      </c>
      <c r="CB46" s="269" t="str">
        <f t="shared" si="102"/>
        <v/>
      </c>
      <c r="CC46" s="517" t="str">
        <f t="shared" si="96"/>
        <v/>
      </c>
      <c r="CD46" s="565" t="str">
        <f t="shared" si="11"/>
        <v/>
      </c>
      <c r="CE46" s="368">
        <v>0</v>
      </c>
      <c r="CF46" s="368" t="str" cm="1">
        <f t="array" ref="CF46">IFERROR(IF(V46="Custom", "$0.1 per kWh", IF(B46="New Construction", CONCATENATE("$",INDEX('Lookup Tables'!$AH$114:$AN$154,MATCH(1,('Lookup Tables'!$AH$114:$AH$154='Lighting Inventory'!V46)*('Lookup Tables'!$AI$114:$AI$154='Lighting Inventory'!W46),FALSE),6)," ",INDEX('Lookup Tables'!$AH$114:$AN$154,MATCH(1,('Lookup Tables'!$AH$114:$AH$154='Lighting Inventory'!V46)*('Lookup Tables'!$AI$114:$AI$154='Lighting Inventory'!W46),FALSE),7)), IF(AND(BU46="N", V46="Exit Signs"), "$0.025 per kWh", CONCATENATE("$",INDEX('Lookup Tables'!$AH$6:$AN$102,MATCH(1,('Lookup Tables'!$AH$6:$AH$102='Lighting Inventory'!V46)*('Lookup Tables'!$AI$6:$AI$102='Lighting Inventory'!W46),FALSE),6)," ",INDEX('Lookup Tables'!$AH$6:$AN$102,MATCH(1,('Lookup Tables'!$AH$6:$AH$102='Lighting Inventory'!V46)*('Lookup Tables'!$AI$6:$AI$102='Lighting Inventory'!W46),FALSE),7))))), "")</f>
        <v/>
      </c>
      <c r="CG46" s="366"/>
      <c r="CH46" s="248" t="str">
        <f t="shared" si="170"/>
        <v/>
      </c>
      <c r="CI46" s="248" t="str">
        <f t="shared" si="171"/>
        <v>Select_IE</v>
      </c>
      <c r="CJ46" s="248" t="str">
        <f t="shared" si="172"/>
        <v/>
      </c>
      <c r="CK46" s="248" t="str">
        <f t="shared" si="173"/>
        <v/>
      </c>
      <c r="CL46" s="248" t="str">
        <f t="shared" si="174"/>
        <v/>
      </c>
      <c r="CM46" s="248" t="str">
        <f>IFERROR(IF(B46="", "", IF(B46="New Construction", VLOOKUP(V46, 'Lookup Tables'!$AF$114:$AG$120, 2, FALSE), VLOOKUP(V46, 'Lookup Tables'!$AD$6:$AE$25, 2, FALSE))), "")</f>
        <v/>
      </c>
      <c r="CN46" s="248" t="str">
        <f t="shared" si="175"/>
        <v/>
      </c>
      <c r="CO46" s="248" t="str">
        <f t="shared" si="176"/>
        <v/>
      </c>
      <c r="CP46" s="592" t="str">
        <f t="shared" si="177"/>
        <v/>
      </c>
      <c r="CQ46" s="248" t="str">
        <f t="shared" si="97"/>
        <v/>
      </c>
      <c r="CR46" s="249"/>
      <c r="CS46" s="250" t="str">
        <f t="shared" si="178"/>
        <v/>
      </c>
      <c r="CT46" s="250" t="str">
        <f t="shared" si="179"/>
        <v/>
      </c>
      <c r="CU46" s="250" t="str">
        <f t="shared" si="180"/>
        <v/>
      </c>
      <c r="CV46" s="250" t="str">
        <f t="shared" si="181"/>
        <v/>
      </c>
      <c r="CW46" s="250" t="str">
        <f t="shared" si="182"/>
        <v/>
      </c>
      <c r="CX46" s="250" t="str">
        <f t="shared" si="183"/>
        <v/>
      </c>
      <c r="CY46" s="250" t="str">
        <f t="shared" si="184"/>
        <v/>
      </c>
      <c r="CZ46" s="250" t="str">
        <f t="shared" si="185"/>
        <v/>
      </c>
      <c r="DA46" s="250" t="str">
        <f t="shared" si="186"/>
        <v/>
      </c>
      <c r="DB46" s="250" t="str">
        <f t="shared" si="187"/>
        <v/>
      </c>
      <c r="DC46" s="250" t="str">
        <f t="shared" si="188"/>
        <v/>
      </c>
      <c r="DD46" s="250" t="str">
        <f t="shared" si="189"/>
        <v/>
      </c>
      <c r="DE46" s="250" t="str">
        <f t="shared" si="190"/>
        <v/>
      </c>
      <c r="DF46" s="250" t="str">
        <f t="shared" si="191"/>
        <v/>
      </c>
      <c r="DG46" s="250" t="str">
        <f t="shared" si="192"/>
        <v/>
      </c>
      <c r="DH46" s="250" t="str">
        <f t="shared" si="193"/>
        <v/>
      </c>
      <c r="DI46" s="250" t="str">
        <f t="shared" si="194"/>
        <v/>
      </c>
      <c r="DJ46" s="250" t="str">
        <f t="shared" si="195"/>
        <v/>
      </c>
      <c r="DK46" s="250" t="str">
        <f t="shared" si="196"/>
        <v/>
      </c>
      <c r="DL46" s="250" t="str">
        <f t="shared" si="197"/>
        <v/>
      </c>
      <c r="DM46" s="250" t="str">
        <f>IF(CD46="ERROR", "ERROR", IF(AND(OR(Y46=$DM$6, Y46='Lookup Tables'!$AD$21, Y46='Lookup Tables'!$AD$22), E46="Interior"), BJ46, ""))</f>
        <v/>
      </c>
      <c r="DN46" s="250" t="str">
        <f>IF(CD46="ERROR", "ERROR", IF(AND(OR(Y46=$DM$6, Y46='Lookup Tables'!$AD$21, Y46='Lookup Tables'!$AD$22), E46="Exterior"), BJ46, ""))</f>
        <v/>
      </c>
      <c r="DO46" s="249"/>
      <c r="DP46" s="250" t="str">
        <f t="shared" si="198"/>
        <v/>
      </c>
      <c r="DQ46" s="250" t="str">
        <f t="shared" si="199"/>
        <v/>
      </c>
      <c r="DR46" s="250" t="str">
        <f t="shared" si="200"/>
        <v/>
      </c>
      <c r="DS46" s="250" t="str">
        <f t="shared" si="201"/>
        <v/>
      </c>
      <c r="DT46" s="250" t="str">
        <f t="shared" si="202"/>
        <v/>
      </c>
      <c r="DU46" s="250" t="str">
        <f t="shared" si="203"/>
        <v/>
      </c>
      <c r="DV46" s="250" t="str">
        <f t="shared" si="204"/>
        <v/>
      </c>
      <c r="DW46" s="250" t="str">
        <f t="shared" si="205"/>
        <v/>
      </c>
      <c r="DX46" s="250" t="str">
        <f t="shared" si="206"/>
        <v/>
      </c>
      <c r="DY46" s="250" t="str">
        <f t="shared" si="207"/>
        <v/>
      </c>
      <c r="DZ46" s="250" t="str">
        <f t="shared" si="208"/>
        <v/>
      </c>
      <c r="EA46" s="250" t="str">
        <f t="shared" si="209"/>
        <v/>
      </c>
      <c r="EB46" s="250" t="str">
        <f t="shared" si="210"/>
        <v/>
      </c>
      <c r="EC46" s="250" t="str">
        <f t="shared" si="211"/>
        <v/>
      </c>
      <c r="ED46" s="250" t="str">
        <f t="shared" si="212"/>
        <v/>
      </c>
      <c r="EE46" s="250" t="str">
        <f t="shared" si="213"/>
        <v/>
      </c>
      <c r="EF46" s="250" t="str">
        <f t="shared" si="214"/>
        <v/>
      </c>
      <c r="EG46" s="250" t="str">
        <f t="shared" si="215"/>
        <v/>
      </c>
      <c r="EH46" s="250" t="str">
        <f>IF(CD46="ERROR", "ERROR", IF(AND(OR($EH$6=Y46, Y46='Lookup Tables'!$AD$21, Y46='Lookup Tables'!$AD$22),E46="Interior"), SUM(BP46:BP46), ""))</f>
        <v/>
      </c>
      <c r="EI46" s="250" t="str">
        <f>IF(CD46="ERROR", "ERROR", IF(AND(OR($EH$6=Y46, Y46='Lookup Tables'!$AD$21, Y46='Lookup Tables'!$AD$22),E46="Exterior"), SUM(BP46:BP46), ""))</f>
        <v/>
      </c>
      <c r="EJ46" s="109"/>
      <c r="EK46" s="485" t="str">
        <f t="shared" si="58"/>
        <v/>
      </c>
      <c r="EL46" s="252" t="str">
        <f t="shared" si="216"/>
        <v/>
      </c>
      <c r="EM46" s="252" t="str">
        <f t="shared" si="217"/>
        <v/>
      </c>
      <c r="EN46" s="252" t="str">
        <f t="shared" si="218"/>
        <v/>
      </c>
      <c r="EO46" s="252" t="str">
        <f t="shared" si="219"/>
        <v/>
      </c>
      <c r="EP46" s="252" t="str">
        <f t="shared" si="220"/>
        <v/>
      </c>
      <c r="EQ46" s="252" t="str">
        <f t="shared" si="221"/>
        <v/>
      </c>
      <c r="ER46" s="252" t="str">
        <f t="shared" si="222"/>
        <v/>
      </c>
      <c r="ES46" s="252" t="str">
        <f t="shared" si="223"/>
        <v/>
      </c>
      <c r="ET46" s="252" t="str">
        <f t="shared" si="224"/>
        <v/>
      </c>
      <c r="EU46" s="252" t="str">
        <f t="shared" si="225"/>
        <v/>
      </c>
      <c r="EV46" s="252" t="str">
        <f t="shared" si="226"/>
        <v/>
      </c>
      <c r="EW46" s="252" t="str">
        <f t="shared" si="227"/>
        <v/>
      </c>
      <c r="EX46" s="252" t="str">
        <f t="shared" si="228"/>
        <v/>
      </c>
      <c r="EY46" s="252" t="str">
        <f t="shared" si="229"/>
        <v/>
      </c>
      <c r="EZ46" s="252" t="str">
        <f t="shared" si="230"/>
        <v/>
      </c>
      <c r="FA46" s="252" t="str">
        <f t="shared" si="231"/>
        <v/>
      </c>
      <c r="FB46" s="252" t="str">
        <f t="shared" si="232"/>
        <v/>
      </c>
      <c r="FC46" s="252" t="str">
        <f>IF(CD46="ERROR", "ERROR", IF(OR(V46="No Change", V46="Not DLC or Energy Star"), "", IF(AND(OR($FC$6=Y46,Y46='Lookup Tables'!$AD$21, Y46='Lookup Tables'!$AD$22),E46="Interior"), S46, "")))</f>
        <v/>
      </c>
      <c r="FD46" s="252" t="str">
        <f t="shared" si="233"/>
        <v/>
      </c>
      <c r="FE46" s="1"/>
      <c r="FF46" s="579" t="str" cm="1">
        <f t="array" ref="FF46">IFERROR(IF(OR(BQ46&lt;=0,AQ46&lt;20,AND(V46="Exit Signs",AN46&gt;0)),"",IF(AND(AQ46&gt;=20,AN46='Lookup Tables'!$R$101),'Lookup Tables'!$U$101*BQ46,AP46*LOOKUP(2,1/((AN46='Lookup Tables'!$R$91:$R$111)*(AQ46&gt;='Lookup Tables'!$S$91:$S$111)*(AQ46&lt;='Lookup Tables'!$T$91:$T$111)),'Lookup Tables'!$U$91:$U$111))),"")</f>
        <v/>
      </c>
      <c r="FG46" s="579"/>
      <c r="FH46" s="579"/>
      <c r="FI46" s="253" t="str">
        <f>IFERROR(ROUND(IF(CD46="ERROR", "ERROR", IF(AND($FI$7=X46,E46="Interior"),VLOOKUP(W46, 'Lookup Tables'!$AI$6:$AM$102, 5, FALSE)*BP46, "")), 2), "")</f>
        <v/>
      </c>
      <c r="FJ46" s="253" t="str">
        <f>IFERROR(ROUND(IF(CD46="ERROR", "ERROR", IF(AND($FI$7=X46,E46="Exterior"),VLOOKUP(W46, 'Lookup Tables'!$AI$6:$AM$102, 5, FALSE)*BP46, "")), 2), "")</f>
        <v/>
      </c>
      <c r="FK46" s="253" t="str">
        <f>IFERROR(ROUND(IF(CD46="ERROR", "ERROR", IF(AND($FK$7=X46,E46="Interior"),VLOOKUP(W46, 'Lookup Tables'!$AI$6:$AM$102, 5, FALSE)*BP46, "")), 2), "")</f>
        <v/>
      </c>
      <c r="FL46" s="253" t="str">
        <f>IFERROR(ROUND(IF(CD46="ERROR", "ERROR", IF(AND($FK$7=X46,E46="Exterior"),VLOOKUP(W46, 'Lookup Tables'!$AI$6:$AM$102, 5, FALSE)*BP46, "")), 2), "")</f>
        <v/>
      </c>
      <c r="FM46" s="253" t="str">
        <f>IFERROR(ROUND(IF(CD46="ERROR", "ERROR", IF(AND($FM$6=Y46,E46="Interior"), IF(GB46=0, VLOOKUP(W46, 'Lookup Tables'!$AI$6:$AM$102, 5, FALSE)*BP46, IF(VLOOKUP(W46, 'Lookup Tables'!$AI$6:$AM$102, 5, FALSE)*BP46&gt;GB46*'Lighting Inventory'!S46, GB46*'Lighting Inventory'!S46,VLOOKUP(W46, 'Lookup Tables'!$AI$6:$AM$102, 5, FALSE)*BP46)), "")), 2), "")</f>
        <v/>
      </c>
      <c r="FN46" s="253" t="str">
        <f>IFERROR(ROUND(IF(CD46="ERROR", "ERROR", IF(AND($FM$6=Y46,E46="Exterior"), IF(GB46=0, VLOOKUP(W46, 'Lookup Tables'!$AI$6:$AM$102, 5, FALSE)*BP46, IF(VLOOKUP(W46, 'Lookup Tables'!$AI$6:$AM$102, 5, FALSE)*BP46&gt;GB46*'Lighting Inventory'!S46, GB46*'Lighting Inventory'!S46,VLOOKUP(W46, 'Lookup Tables'!$AI$6:$AM$102, 5, FALSE)*BP46)), "")), 2), "")</f>
        <v/>
      </c>
      <c r="FO46" s="253" t="str">
        <f>IFERROR(ROUND(IF(CD46="ERROR", "ERROR", IF(AND($FO$6=Y46,E46="Interior"),VLOOKUP(W46, 'Lookup Tables'!$AI$6:$AM$102, 5, FALSE)*'Lighting Inventory'!AI46, "")), 2), "")</f>
        <v/>
      </c>
      <c r="FP46" s="253" t="str">
        <f>IFERROR(ROUND(IF(CD46="ERROR", "ERROR", IF(AND($FO$6=Y46,E46="Exterior"),VLOOKUP(W46, 'Lookup Tables'!$AI$6:$AM$102, 5, FALSE)*'Lighting Inventory'!AI46, "")), 2), "")</f>
        <v/>
      </c>
      <c r="FQ46" s="253" t="str">
        <f>IFERROR(ROUND(IF(CD46="ERROR", "ERROR", IF(AND($FQ$6=Y46,E46="Interior", BU46="Y"), VLOOKUP('Lighting Inventory'!W46, 'Lookup Tables'!$AI$6:$AM$102, 5, FALSE)*'Lighting Inventory'!S46, IF(AND($FQ$7=Y46,E46="Interior", BU46="N"), 0.025*CD46, ""))), 2), "")</f>
        <v/>
      </c>
      <c r="FR46" s="253" t="str">
        <f>IFERROR(ROUND(IF(CD46="ERROR", "ERROR", IF(AND($FQ$6=Y46,E46="Exterior"), VLOOKUP('Lighting Inventory'!W46, 'Lookup Tables'!$AI$6:$AM$102, 5, FALSE)*'Lighting Inventory'!S46, "")), 2), "")</f>
        <v/>
      </c>
      <c r="FS46" s="253" t="str">
        <f>IFERROR(ROUND(IF(CD46="ERROR", "ERROR", IF(AND($FS$6=Y46,E46="Exterior"), IF(GB46=0, VLOOKUP(W46, 'Lookup Tables'!$AI$6:$AM$102, 5, FALSE)*BP46, IF(VLOOKUP(W46, 'Lookup Tables'!$AI$6:$AM$102, 5, FALSE)*BP46&gt;GB46*'Lighting Inventory'!S46, GB46*'Lighting Inventory'!S46,VLOOKUP(W46, 'Lookup Tables'!$AI$6:$AM$102, 5, FALSE)*BP46)), "")), 2), "")</f>
        <v/>
      </c>
      <c r="FT46" s="253" t="str">
        <f>IFERROR(ROUND(IF(CD46="ERROR", "ERROR", IF(AND($FT$6=Y46,E46="Interior"), IF(GB46=0, VLOOKUP(W46, 'Lookup Tables'!$AI$6:$AM$102, 5, FALSE)*BP46, IF(VLOOKUP(W46, 'Lookup Tables'!$AI$6:$AM$102, 5, FALSE)*BP46&gt;GB46*'Lighting Inventory'!S46, GB46*'Lighting Inventory'!S46,VLOOKUP(W46, 'Lookup Tables'!$AI$6:$AM$102, 5, FALSE)*BP46)), "")), 2), "")</f>
        <v/>
      </c>
      <c r="FU46" s="253" t="str">
        <f>IFERROR(ROUND(IF(CD46="ERROR", "ERROR", IF(AND(Y46=$FU$6, E46="Interior"), IF(BS46="N", 'Lookup Tables'!$AM$101*BP46, VLOOKUP(W46, 'Lookup Tables'!$AI$6:$AM$102, 5, FALSE)*S46*AD46), "")), 2), "")</f>
        <v/>
      </c>
      <c r="FV46" s="253" t="str">
        <f>IFERROR(ROUND(IF(CD46="ERROR", "ERROR", IF(AND(Y46=$FU$6, E46="Exterior"), IF(BS46="N", 'Lookup Tables'!$AM$101*BP46, VLOOKUP(W46, 'Lookup Tables'!$AI$6:$AM$102, 5, FALSE)*S46*AD46), "")), 2), "")</f>
        <v/>
      </c>
      <c r="FW46" s="253" t="str">
        <f>IFERROR(ROUND(IF(CD46="ERROR", "ERROR", IF($FW$6=Y46, IF(BS46="N", 'Lookup Tables'!$AM$101*BP46, MIN((VLOOKUP(W46, 'Lookup Tables'!$AI$6:$AM$102, 5, FALSE)*BP46),GB46*AJ46)), "")), 2), "")</f>
        <v/>
      </c>
      <c r="FX46" s="253" t="str">
        <f>IFERROR(ROUND(IF(CD46="ERROR", "ERROR", IF(AND($FX$6=Y46, E46="Interior"), IF(VLOOKUP(W46, 'Lookup Tables'!$AI$6:$AM$102, 5, FALSE)*BP46&gt;'Lookup Tables'!$AQ$97*'Lighting Inventory'!S46,'Lighting Inventory'!S46*'Lookup Tables'!$AQ$97,VLOOKUP(W46, 'Lookup Tables'!$AI$6:$AM$102, 5, FALSE)*BP46), "")), 2), "")</f>
        <v/>
      </c>
      <c r="FY46" s="253" t="str">
        <f>IFERROR(ROUND(IF(CD46="ERROR", "ERROR", IF(AND($FX$6=Y46, E46="Exterior"), IF(VLOOKUP(W46, 'Lookup Tables'!$AI$6:$AM$102, 5, FALSE)*BP46&gt;'Lookup Tables'!$AQ$97*'Lighting Inventory'!S46,'Lighting Inventory'!S46*'Lookup Tables'!$AQ$97,VLOOKUP(W46, 'Lookup Tables'!$AI$6:$AM$102, 5, FALSE)*BP46), "")), 2), "")</f>
        <v/>
      </c>
      <c r="FZ46" s="253" t="str">
        <f>IFERROR(ROUND(IF(CD46="ERROR", "ERROR", IF(AND($FZ$6=Y46, E46="Interior"), IF(AND(OR(W46="Refrigerated Case Lighting with Doors", W46="Freezer Case Lighting"),Y46="Custom - Process Improvement"),CD46*'Lookup Tables'!$AM$101, IF(B46="Retrofit", IF(VLOOKUP(IF(V46="Custom", V46, W46), 'Lookup Tables'!$AI$6:$AM$102, 5, FALSE)*BP46&gt;GE46, GE46, VLOOKUP(IF(V46="Custom", V46, W46), 'Lookup Tables'!$AI$6:$AM$102, 5, FALSE)*BP46), IF(VLOOKUP(IF(V46="Custom", V46, W46), 'Lookup Tables'!$AI$114:$AM$154, 5, FALSE)*BP46&gt;GE46, GE46, VLOOKUP(IF(V46="Custom", V46, W46), 'Lookup Tables'!$AI$114:$AM$154, 5, FALSE)*BP46))), "")), 2),"")</f>
        <v/>
      </c>
      <c r="GA46" s="253" t="str">
        <f>IFERROR(ROUND(IF(CD46="ERROR", "ERROR", IF(AND($FZ$6=Y46, E46="Exterior"), IF(B46="Retrofit", IF(VLOOKUP(IF(V46="Custom", V46, W46), 'Lookup Tables'!$AI$6:$AM$102, 5, FALSE)*BP46&gt;GE46, GE46, VLOOKUP(IF(V46="Custom", V46, W46), 'Lookup Tables'!$AI$6:$AM$102, 5, FALSE)*BP46), IF(VLOOKUP(IF(V46="Custom", V46, W46), 'Lookup Tables'!$AI$114:$AM$154, 5, FALSE)*BP46&gt;GE46, GE46, VLOOKUP(IF(V46="Custom", V46, W46), 'Lookup Tables'!$AI$114:$AM$154, 5, FALSE)*BP46)), "")), 2),"")</f>
        <v/>
      </c>
      <c r="GB46" s="254" t="str">
        <f t="array" ref="GB46">IF(B46="","",IF(OR(V46="Custom",V46="No Change"),0,IF(B46="Retrofit", INDEX('Lookup Tables'!$AH$6:$AQ$102,MATCH(1,('Lookup Tables'!$AH$6:$AH$102='Lighting Inventory'!V46)*('Lookup Tables'!$AI$6:$AI$102='Lighting Inventory'!W46),FALSE),10),INDEX('Lookup Tables'!$AH$114:$AQ$154,MATCH(1,('Lookup Tables'!$AH$114:$AH$154='Lighting Inventory'!V46)*('Lookup Tables'!$AI$114:$AI$154='Lighting Inventory'!W46),FALSE),10))))</f>
        <v/>
      </c>
      <c r="GC46" s="255" t="str">
        <f t="shared" si="77"/>
        <v/>
      </c>
      <c r="GD46" s="250" t="str">
        <f t="shared" si="78"/>
        <v/>
      </c>
      <c r="GE46" s="253" t="str">
        <f>IFERROR(IF(AND(AF46="", 'General Information'!$F$18="No"),"", IF(AF46="", ((GD46/$CD$266)*$CF$266)*0.5, AF46*S46*0.5)), "")</f>
        <v/>
      </c>
      <c r="GF46" s="255" t="str">
        <f>IF(AND('General Information'!$F$19="", 'General Information'!$F$18="Yes",AF46="",BW46="Y"), "Y", "N")</f>
        <v>N</v>
      </c>
      <c r="GG46" s="255" t="s">
        <v>2946</v>
      </c>
      <c r="GH46" s="255" t="str">
        <f>IFERROR(IF(B46="", "", VLOOKUP(J46, 'Fixture Identities'!$A$6:$N$908, 14, FALSE)), "")</f>
        <v/>
      </c>
      <c r="GI46" s="389" t="str">
        <f>IF(OR(B46="", V46="", W46=""), "", IF(AND(OR(M46='Lookup Tables'!$R$18, M46='Lookup Tables'!$R$19, M46='Lookup Tables'!$R$20, M46='Lookup Tables'!$R$21, M46='Lookup Tables'!$R$22), OR(AN46='Lookup Tables'!$R$17, AN46='Lookup Tables'!$R$17, AN46="")), "Y", "N"))</f>
        <v/>
      </c>
      <c r="GJ46" s="255" t="str">
        <f t="shared" si="79"/>
        <v/>
      </c>
      <c r="GK46" s="255" t="str">
        <f t="shared" si="80"/>
        <v/>
      </c>
      <c r="GL46" s="255" t="str">
        <f t="shared" si="81"/>
        <v/>
      </c>
      <c r="GM46" s="255" t="str">
        <f>IF(AN46="", "", IF(AND(IF(ISNA(VLOOKUP(AN46,'Lookup Tables'!$R$18:$R$22,1,FALSE)), "N", "Y")="Y", E46="Exterior"), "Y", "N"))</f>
        <v/>
      </c>
      <c r="GN46" s="395"/>
      <c r="GO46" s="428">
        <f t="shared" si="98"/>
        <v>0</v>
      </c>
      <c r="GP46" s="428">
        <f t="shared" si="167"/>
        <v>0</v>
      </c>
      <c r="GQ46" s="428">
        <f t="shared" si="99"/>
        <v>0</v>
      </c>
      <c r="GR46" s="428">
        <f t="shared" si="100"/>
        <v>0</v>
      </c>
    </row>
    <row r="47" spans="1:202" s="103" customFormat="1" ht="13.5" customHeight="1" x14ac:dyDescent="0.2">
      <c r="A47" s="272">
        <v>37</v>
      </c>
      <c r="B47" s="110"/>
      <c r="C47" s="110"/>
      <c r="D47" s="110"/>
      <c r="E47" s="110"/>
      <c r="F47" s="110"/>
      <c r="G47" s="110"/>
      <c r="H47" s="110"/>
      <c r="I47" s="29"/>
      <c r="J47" s="29"/>
      <c r="K47" s="272" t="str">
        <f>IFERROR(IF(OR(VLOOKUP(J47, 'Fixture Identities'!$A$6:$L$1023, 3, FALSE)="T12 Linear Fluorescent", VLOOKUP(J47, 'Fixture Identities'!$A$6:$L$1023, 3, FALSE)="T12 U-Tube Fluorescent"), VLOOKUP(VLOOKUP(J47, 'Fixture Identities'!$A$6:$L$1023, 11, FALSE), 'Fixture Identities'!$A$6:$L$1023, 10, FALSE), VLOOKUP(J47, 'Fixture Identities'!$A$6:$L$1023, 10, FALSE)), "")</f>
        <v/>
      </c>
      <c r="L47" s="270" t="str">
        <f t="shared" si="169"/>
        <v/>
      </c>
      <c r="M47" s="110"/>
      <c r="N47" s="110"/>
      <c r="O47" s="110"/>
      <c r="P47" s="272" t="str">
        <f>IFERROR(IF(OR(B47="Retrofit",B47=""),"",IF('Lighting Inventory'!E47="Exterior",VLOOKUP('Lighting Inventory'!N47,'Lookup Tables'!$B$83:$F$103,5,FALSE),IF(N47="Other - Please Estimate EFLH and CFs","Contact Prog. Rep.","ft^2"))), "")</f>
        <v/>
      </c>
      <c r="Q47" s="270" t="str">
        <f>IFERROR(IF(AND(B47="New Construction",E47="Interior",$F$5="Space-by-Space"),VLOOKUP('Lighting Inventory'!N47,'Lookup Tables'!$N$6:$O$97,2,FALSE),IF(AND(B47="New Construction",E47="Exterior"),VLOOKUP(N47,'Lookup Tables'!$B$83:$F$103,2,FALSE),IF(AND(B47="New Construction",'Lighting Inventory'!E47="Interior", $F$5="Building Area"),VLOOKUP(F47,'Lookup Tables'!$A$6:$J$59,10,FALSE),""))), "")</f>
        <v/>
      </c>
      <c r="R47" s="270" t="str">
        <f>IFERROR(IF(P47="Contact Prog. Rep.", "ERROR", IF(OR(B47="",B47="Retrofit"),"",IF(N47="Automated teller machines", ('Lookup Tables'!$A$82:$E$100+('Lighting Inventory'!O47-1)*'Lookup Tables'!$A$82:$E$100)/1000, (Q47*O47)/1000))), "")</f>
        <v/>
      </c>
      <c r="S47" s="595"/>
      <c r="T47" s="105" t="str">
        <f t="shared" si="83"/>
        <v/>
      </c>
      <c r="U47" s="105" t="str">
        <f>IF(S47="","",COUNT($S$11:S47))</f>
        <v/>
      </c>
      <c r="V47" s="111"/>
      <c r="W47" s="112"/>
      <c r="X47" s="105" t="str">
        <f t="shared" si="84"/>
        <v/>
      </c>
      <c r="Y47" s="105" t="str">
        <f t="array" ref="Y47">IF(AND(OR(W47="Freezer Case Lighting", W47="Refrigerated Case Lighting with Doors"), 'General Information'!$X$18="LCI"),'Lookup Tables'!$Y$34, IF(V47="Custom", VLOOKUP(W47, 'Fixture Identities'!$A$974:$M$1023, 13, FALSE), IF(V47="No Change",'Lookup Tables'!$Y$29,IF(OR(V47="",W47=""),"",IF(AND(S47=0,S47&lt;I47,B47="Retrofit"),'Lookup Tables'!$Y$25, IF(B47="Retrofit", INDEX('Lookup Tables'!$AH$6:$AP$102, MATCH(1, ('Lookup Tables'!$AH$6:$AH$102=V47)*('Lookup Tables'!$AI$6:$AI$102=W47), 0), IF('Lighting Inventory'!E47="Interior", 4, 5)), INDEX('Lookup Tables'!$AH$114:$AP$154, MATCH(1, ('Lookup Tables'!$AH$114:$AH$154=V47)*('Lookup Tables'!$AI$114:$AI$154=W47), 0), IF('Lighting Inventory'!E47="Interior", 4, 5))))))))</f>
        <v/>
      </c>
      <c r="Z47" s="105" t="str">
        <f>IFERROR(INDEX('Lookup Tables'!$AH$158:$AH$172,MATCH('Lighting Inventory'!Y47,'Lookup Tables'!$AI$158:$AI$172,0)),"")</f>
        <v/>
      </c>
      <c r="AA47" s="105" t="str">
        <f>IF(AP47&gt;0,INDEX('Lookup Tables'!$AK$158:$AK$172,MATCH('Lighting Inventory'!Y47,'Lookup Tables'!$AI$158:$AI$172,0)),'Lighting Inventory'!Y47)</f>
        <v/>
      </c>
      <c r="AB47" s="105" t="str">
        <f t="array" ref="AB47">IF(V47="Custom", "Custom", IF(V47="", "", IF(V47="Not DLC or Energy Star", "General", IF(B47="New Construction", INDEX('Lookup Tables'!$AH$114:$AP$154,MATCH(1,('Lookup Tables'!$AH$114:$AH$154='Lighting Inventory'!V47)*('Lookup Tables'!$AI$114:$AI$154='Lighting Inventory'!W47),FALSE),8), INDEX('Lookup Tables'!$AH$6:$AP$102,MATCH(1,('Lookup Tables'!$AH$6:$AH$102='Lighting Inventory'!V47)*('Lookup Tables'!$AI$6:$AI$102='Lighting Inventory'!W47),FALSE),8)))))</f>
        <v/>
      </c>
      <c r="AC47" s="272" t="str">
        <f>IF(W47="","",IF(V47="Custom",CONCATENATE("$",'Lookup Tables'!$AM$101," ",'Lookup Tables'!$AN$101),CONCATENATE("$",INDEX('Lookup Tables'!$AM$6:$AM$102,MATCH('Lighting Inventory'!W47,'Lookup Tables'!$AI$6:$AI$102,0))," ",INDEX('Lookup Tables'!$AN$6:$AN$102,MATCH('Lighting Inventory'!W47,'Lookup Tables'!$AI$6:$AI$102,0)))))</f>
        <v/>
      </c>
      <c r="AD47" s="72"/>
      <c r="AE47" s="29"/>
      <c r="AF47" s="379"/>
      <c r="AG47" s="370" t="str">
        <f t="shared" si="2"/>
        <v/>
      </c>
      <c r="AH47" s="370" t="str">
        <f t="shared" si="85"/>
        <v/>
      </c>
      <c r="AI47" s="29"/>
      <c r="AJ47" s="29"/>
      <c r="AK47" s="110"/>
      <c r="AL47" s="375" t="str">
        <f>IF(OR(B47="", V47="", W47=""), "", IF(V47="No Change", K47, IF(V47="Remove Fixture", 0, IF(V47="Custom",VLOOKUP(W47,'Fixture Identities'!$A$6:$K$1023,10,FALSE),IF(AE47="", "← ENTER POST WATTS", 'Lighting Inventory'!AE47)))))</f>
        <v/>
      </c>
      <c r="AM47" s="376" t="str">
        <f t="shared" si="3"/>
        <v/>
      </c>
      <c r="AN47" s="29"/>
      <c r="AO47" s="671"/>
      <c r="AP47" s="29"/>
      <c r="AQ47" s="29"/>
      <c r="AR47" s="29"/>
      <c r="AS47" s="272" t="str">
        <f t="shared" si="4"/>
        <v/>
      </c>
      <c r="AT47" s="270" t="str">
        <f t="shared" si="234"/>
        <v/>
      </c>
      <c r="AU47" s="88" t="str">
        <f t="shared" si="235"/>
        <v/>
      </c>
      <c r="AV47" s="29"/>
      <c r="AW47" s="73"/>
      <c r="AX47" s="271" t="str">
        <f>IF(AND(AV47="Applicant",OR(AW47="", AW47="Use Default Facility Hours")),"← Choose Schedule",IF(F47="","",IF(W47="LED Exit Signs",8760,IF(OR(AV47="Prescribed",AV47=""),VLOOKUP(F47,'Lookup Tables'!$A$6:$G$59,IF(AB47="General", 6, 3),FALSE),VLOOKUP(AW47,'Lookup Tables'!$S$36:$U$43,2,FALSE)))))</f>
        <v/>
      </c>
      <c r="AY47" s="88" t="str">
        <f t="shared" si="7"/>
        <v/>
      </c>
      <c r="AZ47" s="270" t="str">
        <f>IFERROR(IF(F47="", "", IF(W47="LED Exit Signs", 1, IF(AV47="Applicant",VLOOKUP(AW47, 'Lookup Tables'!$S$36:$U$43,3, FALSE), VLOOKUP('Lighting Inventory'!F47, 'Lookup Tables'!$A$6:$H$59, IF('Lighting Inventory'!AB47="General",7,4), FALSE)))), "")</f>
        <v/>
      </c>
      <c r="BA47" s="522" t="str">
        <f>IFERROR(IF(F47="", "", IF(W47="LED Exit Signs", 1, VLOOKUP('Lighting Inventory'!F47, 'Lookup Tables'!$A$6:$H$59, IF('Lighting Inventory'!AB47="General",8,5), FALSE))), "")</f>
        <v/>
      </c>
      <c r="BB47" s="270" t="str">
        <f>IF(G47="", "", IF(E47="Exterior", 0, IF('Lighting Inventory'!G47="Air Conditioned", VLOOKUP(H47, 'Lookup Tables'!$R$6:$T$13, 2, FALSE), VLOOKUP('Lighting Inventory'!G47, 'Lookup Tables'!$R$6:$T$13, 2, FALSE))))</f>
        <v/>
      </c>
      <c r="BC47" s="522" t="str">
        <f>IF(G47="", "", IF(E47="Exterior", 0, IF('Lighting Inventory'!G47="Air Conditioned", VLOOKUP(H47, 'Lookup Tables'!$R$6:$T$13, 3, FALSE), VLOOKUP('Lighting Inventory'!G47, 'Lookup Tables'!$R$6:$T$13, 3, FALSE))))</f>
        <v/>
      </c>
      <c r="BD47" s="270" t="str">
        <f>IF(G47="", "", IF(E47="Exterior", 0, IF('Lighting Inventory'!G47="Air Conditioned", VLOOKUP(H47, 'Lookup Tables'!$R$6:$U$13, 4, FALSE), VLOOKUP('Lighting Inventory'!G47, 'Lookup Tables'!$R$6:$U$13, 4, FALSE))))</f>
        <v/>
      </c>
      <c r="BE47" s="270" t="str">
        <f>IFERROR(IF(B47="", "",  IF(B47="New Construction", VLOOKUP(F47, 'Lookup Tables'!$A$6:$K$59, 11, FALSE),IF(OR(AN47="", AN47="Light Switch"), 0, IF(OR(M47="",M47="None",V47= "LED Exit Signs"),0,_xlfn.XLOOKUP(M47,'Lookup Tables'!$R$91:$R$101,'Lookup Tables'!$V$91:$V$101))))), "")</f>
        <v/>
      </c>
      <c r="BF47" s="270" t="str">
        <f>IF(AND(OR(AN47="Light Switch",AN47=""),B47="New Construction"), VLOOKUP(F47, 'Lookup Tables'!$A$6:$K$59, 11, FALSE),IF(AN47="","",IF(B47="","",IF(OR(AN47="None",AN47="",V47="LED Exit Signs",AN47="Exterior Controls Not Eligible"),0,_xlfn.XLOOKUP(AN47,'Lookup Tables'!$R$91:$R$101,'Lookup Tables'!$V$91:$V$101)))))</f>
        <v/>
      </c>
      <c r="BG47" s="88" t="str">
        <f t="shared" si="86"/>
        <v/>
      </c>
      <c r="BH47" s="88" t="str">
        <f t="shared" si="87"/>
        <v/>
      </c>
      <c r="BI47" s="558" t="str">
        <f t="shared" si="168"/>
        <v/>
      </c>
      <c r="BJ47" s="82" t="str">
        <f t="shared" si="88"/>
        <v/>
      </c>
      <c r="BK47" s="82" t="str">
        <f t="shared" si="89"/>
        <v/>
      </c>
      <c r="BL47" s="559" t="str">
        <f t="shared" si="90"/>
        <v/>
      </c>
      <c r="BM47" s="521" t="str">
        <f t="shared" si="8"/>
        <v/>
      </c>
      <c r="BN47" s="521" t="str">
        <f t="shared" si="9"/>
        <v/>
      </c>
      <c r="BO47" s="522" t="str">
        <f t="shared" si="10"/>
        <v/>
      </c>
      <c r="BP47" s="83" t="str">
        <f t="shared" si="91"/>
        <v/>
      </c>
      <c r="BQ47" s="84" t="str">
        <f t="shared" si="92"/>
        <v/>
      </c>
      <c r="BR47" s="184" t="str">
        <f>IFERROR(IF(B47="", "", IF(OR(VLOOKUP(J47, 'Fixture Identities'!$A$6:$L$1023, 3, FALSE)="T12 Linear Fluorescent",VLOOKUP(J47, 'Fixture Identities'!$A$6:$L$1023, 3, FALSE)="T12 U-Tube Fluorescent"), "Y", "N")), "N")</f>
        <v/>
      </c>
      <c r="BS47" s="184" t="str">
        <f t="array" ref="BS47">IFERROR(IF(OR(B47="", V47="", W47=""), "", IF(V47="Custom", "N", IF(OR(W47="Freezer Case Lighting", W47="Refrigerated Case Lighting with Doors"), BT47, IF(B47="Retrofit", INDEX('Lookup Tables'!$AH$6:$AT$102,MATCH(1,('Lookup Tables'!$AH$6:$AH$102=V47)*('Lookup Tables'!$AI$6:$AI$102=W47),FALSE),IF(VLOOKUP(J47, 'Fixture Identities'!$A$6:$B$1023, 2, FALSE)="Incandescent",12, 13)), INDEX('Lookup Tables'!$AH$114:$AS$154,MATCH(1,('Lookup Tables'!$AH$114:$AH$154=V47)*('Lookup Tables'!$AI$114:$AI$154=W47),FALSE),12))))), "N")</f>
        <v/>
      </c>
      <c r="BT47" s="184" t="str">
        <f>IF(J47="", "", IF(AND(OR(W47="Freezer case Lighting", W47="Refrigerated Case Lighting with Doors"),'General Information'!$X$18="LCI"), "N", IF(OR(VLOOKUP(J47, 'Fixture Identities'!$A$6:$B$1023, 2, FALSE)="T12 EPACT/EISA Baseline", VLOOKUP(J47, 'Fixture Identities'!$A$6:$B$1023, 2, FALSE)="Linear Fluorescent", VLOOKUP(J47, 'Fixture Identities'!$A$6:$B$1023, 2, FALSE)="U-Tube Fluorescent"), "Y", "N")))</f>
        <v/>
      </c>
      <c r="BU47" s="184" t="str">
        <f>IFERROR(IF(B47="", "", IF(VLOOKUP(J47, 'Fixture Identities'!$A$6:$B$1023, 2, FALSE)="Exit Sign", "Y", "N")), "N")</f>
        <v/>
      </c>
      <c r="BV47" s="184" t="str">
        <f>IF(V47="Exit Signs", IF(VLOOKUP(J47, 'Fixture Identities'!$A$6:$B$1023, 2, FALSE)="Exit Sign", "N", "Y"), "")</f>
        <v/>
      </c>
      <c r="BW47" s="184" t="str">
        <f t="array" ref="BW47">IFERROR(IF(B47="", "", IF(B47="New Construction", "N", INDEX('Lookup Tables'!$AH$6:$AU$102, MATCH(1, ('Lookup Tables'!$AH$6:$AH$102='Lighting Inventory'!V47)*('Lookup Tables'!$AI$6:$AI$102='Lighting Inventory'!W47), 0), 14))), "N")</f>
        <v/>
      </c>
      <c r="BX47" s="598" t="str">
        <f t="shared" si="93"/>
        <v/>
      </c>
      <c r="BY47" s="598" t="str">
        <f t="shared" si="94"/>
        <v/>
      </c>
      <c r="BZ47" s="598" t="str">
        <f t="shared" si="95"/>
        <v/>
      </c>
      <c r="CA47" s="598" t="str">
        <f t="shared" si="101"/>
        <v/>
      </c>
      <c r="CB47" s="269" t="str">
        <f t="shared" si="102"/>
        <v/>
      </c>
      <c r="CC47" s="517" t="str">
        <f t="shared" si="96"/>
        <v/>
      </c>
      <c r="CD47" s="565" t="str">
        <f t="shared" si="11"/>
        <v/>
      </c>
      <c r="CE47" s="368">
        <v>0</v>
      </c>
      <c r="CF47" s="368" t="str" cm="1">
        <f t="array" ref="CF47">IFERROR(IF(V47="Custom", "$0.1 per kWh", IF(B47="New Construction", CONCATENATE("$",INDEX('Lookup Tables'!$AH$114:$AN$154,MATCH(1,('Lookup Tables'!$AH$114:$AH$154='Lighting Inventory'!V47)*('Lookup Tables'!$AI$114:$AI$154='Lighting Inventory'!W47),FALSE),6)," ",INDEX('Lookup Tables'!$AH$114:$AN$154,MATCH(1,('Lookup Tables'!$AH$114:$AH$154='Lighting Inventory'!V47)*('Lookup Tables'!$AI$114:$AI$154='Lighting Inventory'!W47),FALSE),7)), IF(AND(BU47="N", V47="Exit Signs"), "$0.025 per kWh", CONCATENATE("$",INDEX('Lookup Tables'!$AH$6:$AN$102,MATCH(1,('Lookup Tables'!$AH$6:$AH$102='Lighting Inventory'!V47)*('Lookup Tables'!$AI$6:$AI$102='Lighting Inventory'!W47),FALSE),6)," ",INDEX('Lookup Tables'!$AH$6:$AN$102,MATCH(1,('Lookup Tables'!$AH$6:$AH$102='Lighting Inventory'!V47)*('Lookup Tables'!$AI$6:$AI$102='Lighting Inventory'!W47),FALSE),7))))), "")</f>
        <v/>
      </c>
      <c r="CG47" s="366"/>
      <c r="CH47" s="248" t="str">
        <f t="shared" ref="CH47:CH74" si="236">IF(E47="", "", IF(E47="Exterior", "Ext_Lighting_Description", "Int_Lighting_Description"))</f>
        <v/>
      </c>
      <c r="CI47" s="248" t="str">
        <f t="shared" ref="CI47:CI74" si="237">IF(E47="", "Select_IE", IF(E47="Interior", "Building_Type_Interior", "Building_Type_Exterior"))</f>
        <v>Select_IE</v>
      </c>
      <c r="CJ47" s="248" t="str">
        <f t="shared" ref="CJ47:CJ74" si="238">IF(F47="", "", IF(E47="Exterior", "Uncooled", IF(F47="Storage - Unconditioned", "Uncooled", "Cooled")))</f>
        <v/>
      </c>
      <c r="CK47" s="248" t="str">
        <f t="shared" ref="CK47:CK74" si="239">IF(E47="Exterior", "Unheated", IF(G47="", "", IF(OR(G47="Uncooled", G47="Air Conditioned"), "Heated", "Unheated")))</f>
        <v/>
      </c>
      <c r="CL47" s="248" t="str">
        <f t="shared" ref="CL47:CL74" si="240">IF(B47="", "", IF(AND(B47="New Construction", E47="Interior"), "NC_Fixture_Category_Int", IF(AND(B47="New Construction", E47="Exterior"), "NC_Fixture_Category_Ext", IF(AND(B47="Retrofit", E47="Interior"), "Ret_Fixture_Category_Int", IF(AND(B47="Retrofit", E47="Exterior"), "Ret_Fixture_Category_Ext", "Ret_Fixture_Category_Int")))))</f>
        <v/>
      </c>
      <c r="CM47" s="248" t="str">
        <f>IFERROR(IF(B47="", "", IF(B47="New Construction", VLOOKUP(V47, 'Lookup Tables'!$AF$114:$AG$120, 2, FALSE), VLOOKUP(V47, 'Lookup Tables'!$AD$6:$AE$25, 2, FALSE))), "")</f>
        <v/>
      </c>
      <c r="CN47" s="248" t="str">
        <f t="shared" si="175"/>
        <v/>
      </c>
      <c r="CO47" s="248" t="str">
        <f t="shared" ref="CO47:CO74" si="241">IF(B47="", "", IF(AND(B47="New Construction", OR($F$5="Not Applicable", $F$5="")), "NC_Calc_Method", IF(B47="Retrofit", "Not_Applicable", IF(AND(E47="Interior", $F$5="Building Area"), "NC_Facility_Type", IF(AND(E47="Interior", $F$5="Space-by-Space"), "NC_Space_Type_Int", IF(E47="Exterior", "NC_Space_Type_Ext", "Not_Applicable"))))))</f>
        <v/>
      </c>
      <c r="CP47" s="592" t="str">
        <f t="shared" ref="CP47:CP74" si="242">IF(E47="","",IF(E47="Exterior","ext_lighting_controls","Lighting_Controls"))</f>
        <v/>
      </c>
      <c r="CQ47" s="248" t="str">
        <f t="shared" si="97"/>
        <v/>
      </c>
      <c r="CR47" s="100"/>
      <c r="CS47" s="250" t="str">
        <f t="shared" si="178"/>
        <v/>
      </c>
      <c r="CT47" s="250" t="str">
        <f t="shared" ref="CT47:CT75" si="243">IF(CD47="ERROR", "ERROR", IF(AND(X47=$CT$7, E47="Interior"), BJ47, ""))</f>
        <v/>
      </c>
      <c r="CU47" s="250" t="str">
        <f t="shared" ref="CU47:CU75" si="244">IF(CD47="ERROR", "ERROR", IF(AND(X47=$CT$7, E47="Exterior"), BJ47, ""))</f>
        <v/>
      </c>
      <c r="CV47" s="250" t="str">
        <f t="shared" ref="CV47:CV75" si="245">IF(CD47="ERROR", "ERROR", IF(AND(X47=$CV$7, E47="Interior"), BJ47, ""))</f>
        <v/>
      </c>
      <c r="CW47" s="250" t="str">
        <f t="shared" ref="CW47:CW75" si="246">IF(CD47="ERROR", "ERROR", IF(AND(X47=$CV$7, E47="Exterior"), BJ47, ""))</f>
        <v/>
      </c>
      <c r="CX47" s="250" t="str">
        <f t="shared" ref="CX47:CX74" si="247">IF(CD47="ERROR", "ERROR", IF(AND(Y47=$CX$6, E47="Interior"), BJ47, ""))</f>
        <v/>
      </c>
      <c r="CY47" s="250" t="str">
        <f t="shared" ref="CY47:CY74" si="248">IF(CD47="ERROR", "ERROR", IF(AND(Y47=$CX$6, E47="Exterior"), BJ47, ""))</f>
        <v/>
      </c>
      <c r="CZ47" s="250" t="str">
        <f t="shared" ref="CZ47:CZ74" si="249">IF(CD47="ERROR", "ERROR", IF(AND(Y47=$CZ$6, E47="Interior"), BJ47, ""))</f>
        <v/>
      </c>
      <c r="DA47" s="250" t="str">
        <f t="shared" ref="DA47:DA74" si="250">IF(CD47="ERROR", "ERROR", IF(AND(Y47=$CZ$6, E47="Exterior"), BJ47, ""))</f>
        <v/>
      </c>
      <c r="DB47" s="250" t="str">
        <f t="shared" ref="DB47:DB74" si="251">IF(CD47="ERROR", "ERROR", IF(AND(Y47=$DB$6, E47="Interior"), BJ47, ""))</f>
        <v/>
      </c>
      <c r="DC47" s="250" t="str">
        <f t="shared" ref="DC47:DC74" si="252">IF(CD47="ERROR", "ERROR", IF(AND(Y47=$DB$6, E47="Exterior"), BJ47, ""))</f>
        <v/>
      </c>
      <c r="DD47" s="250" t="str">
        <f t="shared" ref="DD47:DD74" si="253">IF(CD47="ERROR", "ERROR", IF(AND(Y47=$DD$6, E47="Interior"), BJ47, ""))</f>
        <v/>
      </c>
      <c r="DE47" s="250" t="str">
        <f t="shared" ref="DE47:DE74" si="254">IF(CD47="ERROR", "ERROR", IF(AND(Y47=$DD$6, E47="Exterior"), BJ47, ""))</f>
        <v/>
      </c>
      <c r="DF47" s="250" t="str">
        <f t="shared" ref="DF47:DF74" si="255">IF(CD47="ERROR", "ERROR", IF(AND(Y47=$DF$6, E47="Interior"), BJ47, ""))</f>
        <v/>
      </c>
      <c r="DG47" s="250" t="str">
        <f t="shared" ref="DG47:DG74" si="256">IF(CD47="ERROR", "ERROR", IF(AND(Y47=$DF$6, E47="Exterior"), BJ47, ""))</f>
        <v/>
      </c>
      <c r="DH47" s="250" t="str">
        <f t="shared" ref="DH47:DH74" si="257">IF(CD47="ERROR", "ERROR", IF(AND(Y47=$DH$6, E47="Interior"), BJ47, ""))</f>
        <v/>
      </c>
      <c r="DI47" s="250" t="str">
        <f t="shared" ref="DI47:DI74" si="258">IF(CD47="ERROR", "ERROR", IF(AND(Y47=$DH$6, E47="Exterior"), BJ47, ""))</f>
        <v/>
      </c>
      <c r="DJ47" s="250" t="str">
        <f t="shared" ref="DJ47:DJ74" si="259">IF(CD47="ERROR", "ERROR", IF(Y47=$DJ$6, BJ47, ""))</f>
        <v/>
      </c>
      <c r="DK47" s="250" t="str">
        <f t="shared" ref="DK47:DK74" si="260">IF(CD47="ERROR", "ERROR", IF(AND(Y47=$DK$6, E47="Interior"), BJ47, ""))</f>
        <v/>
      </c>
      <c r="DL47" s="250" t="str">
        <f t="shared" ref="DL47:DL74" si="261">IF(CD47="ERROR", "ERROR", IF(AND(Y47=$DK$6, E47="Exterior"), BJ47, ""))</f>
        <v/>
      </c>
      <c r="DM47" s="250" t="str">
        <f>IF(CD47="ERROR", "ERROR", IF(AND(OR(Y47=$DM$6, Y47='Lookup Tables'!$AD$21, Y47='Lookup Tables'!$AD$22), E47="Interior"), BJ47, ""))</f>
        <v/>
      </c>
      <c r="DN47" s="250" t="str">
        <f>IF(CD47="ERROR", "ERROR", IF(AND(OR(Y47=$DM$6, Y47='Lookup Tables'!$AD$21, Y47='Lookup Tables'!$AD$22), E47="Exterior"), BJ47, ""))</f>
        <v/>
      </c>
      <c r="DO47" s="100"/>
      <c r="DP47" s="250" t="str">
        <f t="shared" si="198"/>
        <v/>
      </c>
      <c r="DQ47" s="250" t="str">
        <f t="shared" ref="DQ47:DQ75" si="262">IF(CD47="ERROR", "ERROR", IF(AND($DQ$7=X47,E47="Interior"), BP47, ""))</f>
        <v/>
      </c>
      <c r="DR47" s="250" t="str">
        <f t="shared" ref="DR47:DR75" si="263">IF(CD47="ERROR", "ERROR", IF(AND($DQ$7=X47,E47="Exterior"), BP47, ""))</f>
        <v/>
      </c>
      <c r="DS47" s="250" t="str">
        <f t="shared" ref="DS47:DS75" si="264">IF(CD47="ERROR", "ERROR", IF(AND($DS$7=X47,E47="Interior"), BP47, ""))</f>
        <v/>
      </c>
      <c r="DT47" s="250" t="str">
        <f t="shared" ref="DT47:DT75" si="265">IF(CD47="ERROR", "ERROR", IF(AND($DS$7=X47,E47="Exterior"), BP47, ""))</f>
        <v/>
      </c>
      <c r="DU47" s="250" t="str">
        <f t="shared" ref="DU47:DU74" si="266">IF(CD47="ERROR", "ERROR", IF(AND($DU$6=Y47,E47="Interior"), BP47, ""))</f>
        <v/>
      </c>
      <c r="DV47" s="250" t="str">
        <f t="shared" ref="DV47:DV74" si="267">IF(CD47="ERROR", "ERROR", IF(AND($DU$6=Y47,E47="Exterior"), BP47, ""))</f>
        <v/>
      </c>
      <c r="DW47" s="250" t="str">
        <f t="shared" ref="DW47:DW74" si="268">IF(CD47="ERROR", "ERROR", IF(AND($DW$6=Y47,E47="Interior"), BP47, ""))</f>
        <v/>
      </c>
      <c r="DX47" s="250" t="str">
        <f t="shared" ref="DX47:DX74" si="269">IF(CD47="ERROR", "ERROR", IF(AND($DW$6=Y47,E47="Exterior"), BP47, ""))</f>
        <v/>
      </c>
      <c r="DY47" s="250" t="str">
        <f t="shared" ref="DY47:DY74" si="270">IF(CD47="ERROR", "ERROR", IF(AND($DY$6=Y47,E47="Interior"), BP47, ""))</f>
        <v/>
      </c>
      <c r="DZ47" s="250" t="str">
        <f t="shared" ref="DZ47:DZ74" si="271">IF(CD47="ERROR", "ERROR", IF(AND($DY$6=Y47,E47="Exterior"), BP47, ""))</f>
        <v/>
      </c>
      <c r="EA47" s="250" t="str">
        <f t="shared" ref="EA47:EA74" si="272">IF(CD47="ERROR", "ERROR", IF(AND($EA$6=Y47,E47="Exterior"), BP47, ""))</f>
        <v/>
      </c>
      <c r="EB47" s="250" t="str">
        <f t="shared" ref="EB47:EB75" si="273">IF(CD47="ERROR", "ERROR", IF(AND(Y47=$EB$6, E47="Interior"), BP47, ""))</f>
        <v/>
      </c>
      <c r="EC47" s="250" t="str">
        <f t="shared" ref="EC47:EC74" si="274">IF(CD47="ERROR", "ERROR", IF(AND(Y47=$EC$6, E47="Interior"), BP47, ""))</f>
        <v/>
      </c>
      <c r="ED47" s="250" t="str">
        <f t="shared" ref="ED47:ED74" si="275">IF(CD47="ERROR", "ERROR", IF(AND(Y47=$EC$6, E47="Exterior"), BP47, ""))</f>
        <v/>
      </c>
      <c r="EE47" s="250" t="str">
        <f t="shared" ref="EE47:EE74" si="276">IF(CD47="ERROR", "ERROR", IF(Y47=$EE$6, BP47, ""))</f>
        <v/>
      </c>
      <c r="EF47" s="250" t="str">
        <f t="shared" ref="EF47:EF74" si="277">IF(CD47="ERROR", "ERROR", IF(AND($EF$6=Y47,E47="Interior"), BP47, ""))</f>
        <v/>
      </c>
      <c r="EG47" s="250" t="str">
        <f t="shared" ref="EG47:EG74" si="278">IF(CD47="ERROR", "ERROR", IF(AND($EF$6=Y47,E47="Exterior"), BP47, ""))</f>
        <v/>
      </c>
      <c r="EH47" s="250" t="str">
        <f>IF(CD47="ERROR", "ERROR", IF(AND(OR($EH$6=Y47, Y47='Lookup Tables'!$AD$21, Y47='Lookup Tables'!$AD$22),E47="Interior"), SUM(BP47:BP47), ""))</f>
        <v/>
      </c>
      <c r="EI47" s="250" t="str">
        <f>IF(CD47="ERROR", "ERROR", IF(AND(OR($EH$6=Y47, Y47='Lookup Tables'!$AD$21, Y47='Lookup Tables'!$AD$22),E47="Exterior"), SUM(BP47:BP47), ""))</f>
        <v/>
      </c>
      <c r="EJ47" s="109"/>
      <c r="EK47" s="485" t="str">
        <f t="shared" si="58"/>
        <v/>
      </c>
      <c r="EL47" s="252" t="str">
        <f t="shared" ref="EL47:EL75" si="279">IF(CD47="ERROR", "ERROR", IF(AND($EL$7=X47,E47="Interior"), S47, ""))</f>
        <v/>
      </c>
      <c r="EM47" s="252" t="str">
        <f t="shared" ref="EM47:EM75" si="280">IF(CD47="ERROR", "ERROR", IF(AND($EL$7=X47,E47="Exterior"), S47, ""))</f>
        <v/>
      </c>
      <c r="EN47" s="252" t="str">
        <f t="shared" ref="EN47:EN75" si="281">IF(CD47="ERROR", "ERROR", IF(AND($EN$7=X47,E47="Interior"), S47, ""))</f>
        <v/>
      </c>
      <c r="EO47" s="252" t="str">
        <f t="shared" ref="EO47:EO75" si="282">IF(CD47="ERROR", "ERROR", IF(AND($EN$7=X47,E47="Exterior"), S47, ""))</f>
        <v/>
      </c>
      <c r="EP47" s="252" t="str">
        <f t="shared" ref="EP47:EP75" si="283">IF(CD47="ERROR", "ERROR", IF(AND($EP$6=Y47,E47="Interior"), S47, ""))</f>
        <v/>
      </c>
      <c r="EQ47" s="252" t="str">
        <f t="shared" ref="EQ47:EQ75" si="284">IF(CD47="ERROR", "ERROR", IF(AND($EP$6=Y47,E47="Exterior"), S47, ""))</f>
        <v/>
      </c>
      <c r="ER47" s="252" t="str">
        <f t="shared" ref="ER47:ER75" si="285">IF(CD47="ERROR", "ERROR", IF(AND($ER$6=Y47,E47="Interior"), S47, ""))</f>
        <v/>
      </c>
      <c r="ES47" s="252" t="str">
        <f t="shared" ref="ES47:ES75" si="286">IF(CD47="ERROR", "ERROR", IF(AND($ER$6=Y47,E47="Exterior"), S47, ""))</f>
        <v/>
      </c>
      <c r="ET47" s="252" t="str">
        <f t="shared" ref="ET47:ET75" si="287">IF(CD47="ERROR", "ERROR", IF(AND($ET$6=Y47,E47="Interior"), S47, ""))</f>
        <v/>
      </c>
      <c r="EU47" s="252" t="str">
        <f t="shared" ref="EU47:EU75" si="288">IF(CD47="ERROR", "ERROR", IF(AND($ET$6=Y47,E47="Exterior"), S47, ""))</f>
        <v/>
      </c>
      <c r="EV47" s="252" t="str">
        <f t="shared" ref="EV47:EV75" si="289">IF(CD47="ERROR", "ERROR", IF(AND($EV$6=Y47,E47="Exterior"), S47, ""))</f>
        <v/>
      </c>
      <c r="EW47" s="252" t="str">
        <f t="shared" ref="EW47:EW75" si="290">IF(CD47="ERROR", "ERROR", IF(AND($EW$6=Y47,E47="Interior"), S47, ""))</f>
        <v/>
      </c>
      <c r="EX47" s="252" t="str">
        <f t="shared" ref="EX47:EX75" si="291">IF(CD47="ERROR", "ERROR", IF(AND(Y47=$EX$6, E47="Interior"), S47, ""))</f>
        <v/>
      </c>
      <c r="EY47" s="252" t="str">
        <f t="shared" ref="EY47:EY75" si="292">IF(CD47="ERROR", "ERROR", IF(AND(Y47=$EX$6, E47="Exterior"), S47, ""))</f>
        <v/>
      </c>
      <c r="EZ47" s="252" t="str">
        <f t="shared" ref="EZ47:EZ75" si="293">IF(CD47="ERROR", "ERROR", IF($EZ$6=Y47, AJ47, ""))</f>
        <v/>
      </c>
      <c r="FA47" s="252" t="str">
        <f t="shared" ref="FA47:FA75" si="294">IF(CD47="ERROR", "ERROR", IF(AND($FA$6=Y47, E47="Interior"), S47, ""))</f>
        <v/>
      </c>
      <c r="FB47" s="252" t="str">
        <f t="shared" ref="FB47:FB75" si="295">IF(CD47="ERROR", "ERROR", IF(AND($FA$6=Y47,E47="Exterior"), S47, ""))</f>
        <v/>
      </c>
      <c r="FC47" s="252" t="str">
        <f>IF(CD47="ERROR", "ERROR", IF(OR(V47="No Change", V47="Not DLC or Energy Star"), "", IF(AND(OR($FC$6=Y47,Y47='Lookup Tables'!$AD$21, Y47='Lookup Tables'!$AD$22),E47="Interior"), S47, "")))</f>
        <v/>
      </c>
      <c r="FD47" s="252" t="str">
        <f t="shared" ref="FD47:FD75" si="296">IF(CD47="ERROR", "ERROR", IF(V47="No Change", "", IF(AND($FC$6=Y47,E47="Exterior"), S47, "")))</f>
        <v/>
      </c>
      <c r="FE47" s="101"/>
      <c r="FF47" s="579" t="str" cm="1">
        <f t="array" ref="FF47">IFERROR(IF(OR(BQ47&lt;=0,AQ47&lt;20,AND(V47="Exit Signs",AN47&gt;0)),"",IF(AND(AQ47&gt;=20,AN47='Lookup Tables'!$R$101),'Lookup Tables'!$U$101*BQ47,AP47*LOOKUP(2,1/((AN47='Lookup Tables'!$R$91:$R$111)*(AQ47&gt;='Lookup Tables'!$S$91:$S$111)*(AQ47&lt;='Lookup Tables'!$T$91:$T$111)),'Lookup Tables'!$U$91:$U$111))),"")</f>
        <v/>
      </c>
      <c r="FG47" s="579"/>
      <c r="FH47" s="579"/>
      <c r="FI47" s="253" t="str">
        <f>IFERROR(ROUND(IF(CD47="ERROR", "ERROR", IF(AND($FI$7=X47,E47="Interior"),VLOOKUP(W47, 'Lookup Tables'!$AI$6:$AM$102, 5, FALSE)*BP47, "")), 2), "")</f>
        <v/>
      </c>
      <c r="FJ47" s="253" t="str">
        <f>IFERROR(ROUND(IF(CD47="ERROR", "ERROR", IF(AND($FI$7=X47,E47="Exterior"),VLOOKUP(W47, 'Lookup Tables'!$AI$6:$AM$102, 5, FALSE)*BP47, "")), 2), "")</f>
        <v/>
      </c>
      <c r="FK47" s="253" t="str">
        <f>IFERROR(ROUND(IF(CD47="ERROR", "ERROR", IF(AND($FK$7=X47,E47="Interior"),VLOOKUP(W47, 'Lookup Tables'!$AI$6:$AM$102, 5, FALSE)*BP47, "")), 2), "")</f>
        <v/>
      </c>
      <c r="FL47" s="253" t="str">
        <f>IFERROR(ROUND(IF(CD47="ERROR", "ERROR", IF(AND($FK$7=X47,E47="Exterior"),VLOOKUP(W47, 'Lookup Tables'!$AI$6:$AM$102, 5, FALSE)*BP47, "")), 2), "")</f>
        <v/>
      </c>
      <c r="FM47" s="253" t="str">
        <f>IFERROR(ROUND(IF(CD47="ERROR", "ERROR", IF(AND($FM$6=Y47,E47="Interior"), IF(GB47=0, VLOOKUP(W47, 'Lookup Tables'!$AI$6:$AM$102, 5, FALSE)*BP47, IF(VLOOKUP(W47, 'Lookup Tables'!$AI$6:$AM$102, 5, FALSE)*BP47&gt;GB47*'Lighting Inventory'!S47, GB47*'Lighting Inventory'!S47,VLOOKUP(W47, 'Lookup Tables'!$AI$6:$AM$102, 5, FALSE)*BP47)), "")), 2), "")</f>
        <v/>
      </c>
      <c r="FN47" s="253" t="str">
        <f>IFERROR(ROUND(IF(CD47="ERROR", "ERROR", IF(AND($FM$6=Y47,E47="Exterior"), IF(GB47=0, VLOOKUP(W47, 'Lookup Tables'!$AI$6:$AM$102, 5, FALSE)*BP47, IF(VLOOKUP(W47, 'Lookup Tables'!$AI$6:$AM$102, 5, FALSE)*BP47&gt;GB47*'Lighting Inventory'!S47, GB47*'Lighting Inventory'!S47,VLOOKUP(W47, 'Lookup Tables'!$AI$6:$AM$102, 5, FALSE)*BP47)), "")), 2), "")</f>
        <v/>
      </c>
      <c r="FO47" s="253" t="str">
        <f>IFERROR(ROUND(IF(CD47="ERROR", "ERROR", IF(AND($FO$6=Y47,E47="Interior"),VLOOKUP(W47, 'Lookup Tables'!$AI$6:$AM$102, 5, FALSE)*'Lighting Inventory'!AI47, "")), 2), "")</f>
        <v/>
      </c>
      <c r="FP47" s="253" t="str">
        <f>IFERROR(ROUND(IF(CD47="ERROR", "ERROR", IF(AND($FO$6=Y47,E47="Exterior"),VLOOKUP(W47, 'Lookup Tables'!$AI$6:$AM$102, 5, FALSE)*'Lighting Inventory'!AI47, "")), 2), "")</f>
        <v/>
      </c>
      <c r="FQ47" s="253" t="str">
        <f>IFERROR(ROUND(IF(CD47="ERROR", "ERROR", IF(AND($FQ$6=Y47,E47="Interior", BU47="Y"), VLOOKUP('Lighting Inventory'!W47, 'Lookup Tables'!$AI$6:$AM$102, 5, FALSE)*'Lighting Inventory'!S47, IF(AND($FQ$7=Y47,E47="Interior", BU47="N"), 0.025*CD47, ""))), 2), "")</f>
        <v/>
      </c>
      <c r="FR47" s="253" t="str">
        <f>IFERROR(ROUND(IF(CD47="ERROR", "ERROR", IF(AND($FQ$6=Y47,E47="Exterior"), VLOOKUP('Lighting Inventory'!W47, 'Lookup Tables'!$AI$6:$AM$102, 5, FALSE)*'Lighting Inventory'!S47, "")), 2), "")</f>
        <v/>
      </c>
      <c r="FS47" s="253" t="str">
        <f>IFERROR(ROUND(IF(CD47="ERROR", "ERROR", IF(AND($FS$6=Y47,E47="Exterior"), IF(GB47=0, VLOOKUP(W47, 'Lookup Tables'!$AI$6:$AM$102, 5, FALSE)*BP47, IF(VLOOKUP(W47, 'Lookup Tables'!$AI$6:$AM$102, 5, FALSE)*BP47&gt;GB47*'Lighting Inventory'!S47, GB47*'Lighting Inventory'!S47,VLOOKUP(W47, 'Lookup Tables'!$AI$6:$AM$102, 5, FALSE)*BP47)), "")), 2), "")</f>
        <v/>
      </c>
      <c r="FT47" s="253" t="str">
        <f>IFERROR(ROUND(IF(CD47="ERROR", "ERROR", IF(AND($FT$6=Y47,E47="Interior"), IF(GB47=0, VLOOKUP(W47, 'Lookup Tables'!$AI$6:$AM$102, 5, FALSE)*BP47, IF(VLOOKUP(W47, 'Lookup Tables'!$AI$6:$AM$102, 5, FALSE)*BP47&gt;GB47*'Lighting Inventory'!S47, GB47*'Lighting Inventory'!S47,VLOOKUP(W47, 'Lookup Tables'!$AI$6:$AM$102, 5, FALSE)*BP47)), "")), 2), "")</f>
        <v/>
      </c>
      <c r="FU47" s="253" t="str">
        <f>IFERROR(ROUND(IF(CD47="ERROR", "ERROR", IF(AND(Y47=$FU$6, E47="Interior"), IF(BS47="N", 'Lookup Tables'!$AM$101*BP47, VLOOKUP(W47, 'Lookup Tables'!$AI$6:$AM$102, 5, FALSE)*S47*AD47), "")), 2), "")</f>
        <v/>
      </c>
      <c r="FV47" s="253" t="str">
        <f>IFERROR(ROUND(IF(CD47="ERROR", "ERROR", IF(AND(Y47=$FU$6, E47="Exterior"), IF(BS47="N", 'Lookup Tables'!$AM$101*BP47, VLOOKUP(W47, 'Lookup Tables'!$AI$6:$AM$102, 5, FALSE)*S47*AD47), "")), 2), "")</f>
        <v/>
      </c>
      <c r="FW47" s="253" t="str">
        <f>IFERROR(ROUND(IF(CD47="ERROR", "ERROR", IF($FW$6=Y47, IF(BS47="N", 'Lookup Tables'!$AM$101*BP47, MIN((VLOOKUP(W47, 'Lookup Tables'!$AI$6:$AM$102, 5, FALSE)*BP47),GB47*AJ47)), "")), 2), "")</f>
        <v/>
      </c>
      <c r="FX47" s="253" t="str">
        <f>IFERROR(ROUND(IF(CD47="ERROR", "ERROR", IF(AND($FX$6=Y47, E47="Interior"), IF(VLOOKUP(W47, 'Lookup Tables'!$AI$6:$AM$102, 5, FALSE)*BP47&gt;'Lookup Tables'!$AQ$97*'Lighting Inventory'!S47,'Lighting Inventory'!S47*'Lookup Tables'!$AQ$97,VLOOKUP(W47, 'Lookup Tables'!$AI$6:$AM$102, 5, FALSE)*BP47), "")), 2), "")</f>
        <v/>
      </c>
      <c r="FY47" s="253" t="str">
        <f>IFERROR(ROUND(IF(CD47="ERROR", "ERROR", IF(AND($FX$6=Y47, E47="Exterior"), IF(VLOOKUP(W47, 'Lookup Tables'!$AI$6:$AM$102, 5, FALSE)*BP47&gt;'Lookup Tables'!$AQ$97*'Lighting Inventory'!S47,'Lighting Inventory'!S47*'Lookup Tables'!$AQ$97,VLOOKUP(W47, 'Lookup Tables'!$AI$6:$AM$102, 5, FALSE)*BP47), "")), 2), "")</f>
        <v/>
      </c>
      <c r="FZ47" s="253" t="str">
        <f>IFERROR(ROUND(IF(CD47="ERROR", "ERROR", IF(AND($FZ$6=Y47, E47="Interior"), IF(AND(OR(W47="Refrigerated Case Lighting with Doors", W47="Freezer Case Lighting"),Y47="Custom - Process Improvement"),CD47*'Lookup Tables'!$AM$101, IF(B47="Retrofit", IF(VLOOKUP(IF(V47="Custom", V47, W47), 'Lookup Tables'!$AI$6:$AM$102, 5, FALSE)*BP47&gt;GE47, GE47, VLOOKUP(IF(V47="Custom", V47, W47), 'Lookup Tables'!$AI$6:$AM$102, 5, FALSE)*BP47), IF(VLOOKUP(IF(V47="Custom", V47, W47), 'Lookup Tables'!$AI$114:$AM$154, 5, FALSE)*BP47&gt;GE47, GE47, VLOOKUP(IF(V47="Custom", V47, W47), 'Lookup Tables'!$AI$114:$AM$154, 5, FALSE)*BP47))), "")), 2),"")</f>
        <v/>
      </c>
      <c r="GA47" s="253" t="str">
        <f>IFERROR(ROUND(IF(CD47="ERROR", "ERROR", IF(AND($FZ$6=Y47, E47="Exterior"), IF(B47="Retrofit", IF(VLOOKUP(IF(V47="Custom", V47, W47), 'Lookup Tables'!$AI$6:$AM$102, 5, FALSE)*BP47&gt;GE47, GE47, VLOOKUP(IF(V47="Custom", V47, W47), 'Lookup Tables'!$AI$6:$AM$102, 5, FALSE)*BP47), IF(VLOOKUP(IF(V47="Custom", V47, W47), 'Lookup Tables'!$AI$114:$AM$154, 5, FALSE)*BP47&gt;GE47, GE47, VLOOKUP(IF(V47="Custom", V47, W47), 'Lookup Tables'!$AI$114:$AM$154, 5, FALSE)*BP47)), "")), 2),"")</f>
        <v/>
      </c>
      <c r="GB47" s="254" t="str">
        <f t="array" ref="GB47">IF(B47="","",IF(OR(V47="Custom",V47="No Change"),0,IF(B47="Retrofit", INDEX('Lookup Tables'!$AH$6:$AQ$102,MATCH(1,('Lookup Tables'!$AH$6:$AH$102='Lighting Inventory'!V47)*('Lookup Tables'!$AI$6:$AI$102='Lighting Inventory'!W47),FALSE),10),INDEX('Lookup Tables'!$AH$114:$AQ$154,MATCH(1,('Lookup Tables'!$AH$114:$AH$154='Lighting Inventory'!V47)*('Lookup Tables'!$AI$114:$AI$154='Lighting Inventory'!W47),FALSE),10))))</f>
        <v/>
      </c>
      <c r="GC47" s="255" t="str">
        <f t="shared" si="77"/>
        <v/>
      </c>
      <c r="GD47" s="250" t="str">
        <f t="shared" si="78"/>
        <v/>
      </c>
      <c r="GE47" s="253" t="str">
        <f>IFERROR(IF(AND(AF47="", 'General Information'!$F$18="No"),"", IF(AF47="", ((GD47/$CD$266)*$CF$266)*0.5, AF47*S47*0.5)), "")</f>
        <v/>
      </c>
      <c r="GF47" s="255" t="str">
        <f>IF(AND('General Information'!$F$19="", 'General Information'!$F$18="Yes",AF47="",BW47="Y"), "Y", "N")</f>
        <v>N</v>
      </c>
      <c r="GG47" s="255" t="s">
        <v>2946</v>
      </c>
      <c r="GH47" s="255" t="str">
        <f>IFERROR(IF(B47="", "", VLOOKUP(J47, 'Fixture Identities'!$A$6:$N$908, 14, FALSE)), "")</f>
        <v/>
      </c>
      <c r="GI47" s="389" t="str">
        <f>IF(OR(B47="", V47="", W47=""), "", IF(AND(OR(M47='Lookup Tables'!$R$18, M47='Lookup Tables'!$R$19, M47='Lookup Tables'!$R$20, M47='Lookup Tables'!$R$21, M47='Lookup Tables'!$R$22), OR(AN47='Lookup Tables'!$R$17, AN47='Lookup Tables'!$R$17, AN47="")), "Y", "N"))</f>
        <v/>
      </c>
      <c r="GJ47" s="255" t="str">
        <f t="shared" si="79"/>
        <v/>
      </c>
      <c r="GK47" s="255" t="str">
        <f t="shared" si="80"/>
        <v/>
      </c>
      <c r="GL47" s="255" t="str">
        <f t="shared" si="81"/>
        <v/>
      </c>
      <c r="GM47" s="255" t="str">
        <f>IF(AN47="", "", IF(AND(IF(ISNA(VLOOKUP(AN47,'Lookup Tables'!$R$18:$R$22,1,FALSE)), "N", "Y")="Y", E47="Exterior"), "Y", "N"))</f>
        <v/>
      </c>
      <c r="GN47" s="395"/>
      <c r="GO47" s="428">
        <f t="shared" si="98"/>
        <v>0</v>
      </c>
      <c r="GP47" s="428">
        <f t="shared" si="167"/>
        <v>0</v>
      </c>
      <c r="GQ47" s="428">
        <f t="shared" si="99"/>
        <v>0</v>
      </c>
      <c r="GR47" s="428">
        <f t="shared" si="100"/>
        <v>0</v>
      </c>
    </row>
    <row r="48" spans="1:202" s="103" customFormat="1" ht="13.5" customHeight="1" x14ac:dyDescent="0.2">
      <c r="A48" s="272">
        <v>38</v>
      </c>
      <c r="B48" s="110"/>
      <c r="C48" s="110"/>
      <c r="D48" s="110"/>
      <c r="E48" s="110"/>
      <c r="F48" s="110"/>
      <c r="G48" s="110"/>
      <c r="H48" s="110"/>
      <c r="I48" s="29"/>
      <c r="J48" s="29"/>
      <c r="K48" s="272" t="str">
        <f>IFERROR(IF(OR(VLOOKUP(J48, 'Fixture Identities'!$A$6:$L$1023, 3, FALSE)="T12 Linear Fluorescent", VLOOKUP(J48, 'Fixture Identities'!$A$6:$L$1023, 3, FALSE)="T12 U-Tube Fluorescent"), VLOOKUP(VLOOKUP(J48, 'Fixture Identities'!$A$6:$L$1023, 11, FALSE), 'Fixture Identities'!$A$6:$L$1023, 10, FALSE), VLOOKUP(J48, 'Fixture Identities'!$A$6:$L$1023, 10, FALSE)), "")</f>
        <v/>
      </c>
      <c r="L48" s="270" t="str">
        <f t="shared" si="169"/>
        <v/>
      </c>
      <c r="M48" s="110"/>
      <c r="N48" s="110"/>
      <c r="O48" s="110"/>
      <c r="P48" s="272" t="str">
        <f>IFERROR(IF(OR(B48="Retrofit",B48=""),"",IF('Lighting Inventory'!E48="Exterior",VLOOKUP('Lighting Inventory'!N48,'Lookup Tables'!$B$83:$F$103,5,FALSE),IF(N48="Other - Please Estimate EFLH and CFs","Contact Prog. Rep.","ft^2"))), "")</f>
        <v/>
      </c>
      <c r="Q48" s="270" t="str">
        <f>IFERROR(IF(AND(B48="New Construction",E48="Interior",$F$5="Space-by-Space"),VLOOKUP('Lighting Inventory'!N48,'Lookup Tables'!$N$6:$O$97,2,FALSE),IF(AND(B48="New Construction",E48="Exterior"),VLOOKUP(N48,'Lookup Tables'!$B$83:$F$103,2,FALSE),IF(AND(B48="New Construction",'Lighting Inventory'!E48="Interior", $F$5="Building Area"),VLOOKUP(F48,'Lookup Tables'!$A$6:$J$59,10,FALSE),""))), "")</f>
        <v/>
      </c>
      <c r="R48" s="270" t="str">
        <f>IFERROR(IF(P48="Contact Prog. Rep.", "ERROR", IF(OR(B48="",B48="Retrofit"),"",IF(N48="Automated teller machines", ('Lookup Tables'!$A$82:$E$100+('Lighting Inventory'!O48-1)*'Lookup Tables'!$A$82:$E$100)/1000, (Q48*O48)/1000))), "")</f>
        <v/>
      </c>
      <c r="S48" s="595"/>
      <c r="T48" s="105" t="str">
        <f t="shared" si="83"/>
        <v/>
      </c>
      <c r="U48" s="105" t="str">
        <f>IF(S48="","",COUNT($S$11:S48))</f>
        <v/>
      </c>
      <c r="V48" s="111"/>
      <c r="W48" s="112"/>
      <c r="X48" s="105" t="str">
        <f t="shared" si="84"/>
        <v/>
      </c>
      <c r="Y48" s="105" t="str">
        <f t="array" ref="Y48">IF(AND(OR(W48="Freezer Case Lighting", W48="Refrigerated Case Lighting with Doors"), 'General Information'!$X$18="LCI"),'Lookup Tables'!$Y$34, IF(V48="Custom", VLOOKUP(W48, 'Fixture Identities'!$A$974:$M$1023, 13, FALSE), IF(V48="No Change",'Lookup Tables'!$Y$29,IF(OR(V48="",W48=""),"",IF(AND(S48=0,S48&lt;I48,B48="Retrofit"),'Lookup Tables'!$Y$25, IF(B48="Retrofit", INDEX('Lookup Tables'!$AH$6:$AP$102, MATCH(1, ('Lookup Tables'!$AH$6:$AH$102=V48)*('Lookup Tables'!$AI$6:$AI$102=W48), 0), IF('Lighting Inventory'!E48="Interior", 4, 5)), INDEX('Lookup Tables'!$AH$114:$AP$154, MATCH(1, ('Lookup Tables'!$AH$114:$AH$154=V48)*('Lookup Tables'!$AI$114:$AI$154=W48), 0), IF('Lighting Inventory'!E48="Interior", 4, 5))))))))</f>
        <v/>
      </c>
      <c r="Z48" s="105" t="str">
        <f>IFERROR(INDEX('Lookup Tables'!$AH$158:$AH$172,MATCH('Lighting Inventory'!Y48,'Lookup Tables'!$AI$158:$AI$172,0)),"")</f>
        <v/>
      </c>
      <c r="AA48" s="105" t="str">
        <f>IF(AP48&gt;0,INDEX('Lookup Tables'!$AK$158:$AK$172,MATCH('Lighting Inventory'!Y48,'Lookup Tables'!$AI$158:$AI$172,0)),'Lighting Inventory'!Y48)</f>
        <v/>
      </c>
      <c r="AB48" s="105" t="str">
        <f t="array" ref="AB48">IF(V48="Custom", "Custom", IF(V48="", "", IF(V48="Not DLC or Energy Star", "General", IF(B48="New Construction", INDEX('Lookup Tables'!$AH$114:$AP$154,MATCH(1,('Lookup Tables'!$AH$114:$AH$154='Lighting Inventory'!V48)*('Lookup Tables'!$AI$114:$AI$154='Lighting Inventory'!W48),FALSE),8), INDEX('Lookup Tables'!$AH$6:$AP$102,MATCH(1,('Lookup Tables'!$AH$6:$AH$102='Lighting Inventory'!V48)*('Lookup Tables'!$AI$6:$AI$102='Lighting Inventory'!W48),FALSE),8)))))</f>
        <v/>
      </c>
      <c r="AC48" s="272" t="str">
        <f>IF(W48="","",IF(V48="Custom",CONCATENATE("$",'Lookup Tables'!$AM$101," ",'Lookup Tables'!$AN$101),CONCATENATE("$",INDEX('Lookup Tables'!$AM$6:$AM$102,MATCH('Lighting Inventory'!W48,'Lookup Tables'!$AI$6:$AI$102,0))," ",INDEX('Lookup Tables'!$AN$6:$AN$102,MATCH('Lighting Inventory'!W48,'Lookup Tables'!$AI$6:$AI$102,0)))))</f>
        <v/>
      </c>
      <c r="AD48" s="72"/>
      <c r="AE48" s="29"/>
      <c r="AF48" s="379"/>
      <c r="AG48" s="370" t="str">
        <f t="shared" si="2"/>
        <v/>
      </c>
      <c r="AH48" s="370" t="str">
        <f t="shared" si="85"/>
        <v/>
      </c>
      <c r="AI48" s="29"/>
      <c r="AJ48" s="29"/>
      <c r="AK48" s="110"/>
      <c r="AL48" s="375" t="str">
        <f>IF(OR(B48="", V48="", W48=""), "", IF(V48="No Change", K48, IF(V48="Remove Fixture", 0, IF(V48="Custom",VLOOKUP(W48,'Fixture Identities'!$A$6:$K$1023,10,FALSE),IF(AE48="", "← ENTER POST WATTS", 'Lighting Inventory'!AE48)))))</f>
        <v/>
      </c>
      <c r="AM48" s="376" t="str">
        <f t="shared" si="3"/>
        <v/>
      </c>
      <c r="AN48" s="29"/>
      <c r="AO48" s="671"/>
      <c r="AP48" s="29"/>
      <c r="AQ48" s="29"/>
      <c r="AR48" s="29"/>
      <c r="AS48" s="272" t="str">
        <f t="shared" si="4"/>
        <v/>
      </c>
      <c r="AT48" s="270" t="str">
        <f t="shared" si="234"/>
        <v/>
      </c>
      <c r="AU48" s="88" t="str">
        <f t="shared" si="235"/>
        <v/>
      </c>
      <c r="AV48" s="29"/>
      <c r="AW48" s="73"/>
      <c r="AX48" s="271" t="str">
        <f>IF(AND(AV48="Applicant",OR(AW48="", AW48="Use Default Facility Hours")),"← Choose Schedule",IF(F48="","",IF(W48="LED Exit Signs",8760,IF(OR(AV48="Prescribed",AV48=""),VLOOKUP(F48,'Lookup Tables'!$A$6:$G$59,IF(AB48="General", 6, 3),FALSE),VLOOKUP(AW48,'Lookup Tables'!$S$36:$U$43,2,FALSE)))))</f>
        <v/>
      </c>
      <c r="AY48" s="88" t="str">
        <f t="shared" si="7"/>
        <v/>
      </c>
      <c r="AZ48" s="270" t="str">
        <f>IFERROR(IF(F48="", "", IF(W48="LED Exit Signs", 1, IF(AV48="Applicant",VLOOKUP(AW48, 'Lookup Tables'!$S$36:$U$43,3, FALSE), VLOOKUP('Lighting Inventory'!F48, 'Lookup Tables'!$A$6:$H$59, IF('Lighting Inventory'!AB48="General",7,4), FALSE)))), "")</f>
        <v/>
      </c>
      <c r="BA48" s="522" t="str">
        <f>IFERROR(IF(F48="", "", IF(W48="LED Exit Signs", 1, VLOOKUP('Lighting Inventory'!F48, 'Lookup Tables'!$A$6:$H$59, IF('Lighting Inventory'!AB48="General",8,5), FALSE))), "")</f>
        <v/>
      </c>
      <c r="BB48" s="270" t="str">
        <f>IF(G48="", "", IF(E48="Exterior", 0, IF('Lighting Inventory'!G48="Air Conditioned", VLOOKUP(H48, 'Lookup Tables'!$R$6:$T$13, 2, FALSE), VLOOKUP('Lighting Inventory'!G48, 'Lookup Tables'!$R$6:$T$13, 2, FALSE))))</f>
        <v/>
      </c>
      <c r="BC48" s="522" t="str">
        <f>IF(G48="", "", IF(E48="Exterior", 0, IF('Lighting Inventory'!G48="Air Conditioned", VLOOKUP(H48, 'Lookup Tables'!$R$6:$T$13, 3, FALSE), VLOOKUP('Lighting Inventory'!G48, 'Lookup Tables'!$R$6:$T$13, 3, FALSE))))</f>
        <v/>
      </c>
      <c r="BD48" s="270" t="str">
        <f>IF(G48="", "", IF(E48="Exterior", 0, IF('Lighting Inventory'!G48="Air Conditioned", VLOOKUP(H48, 'Lookup Tables'!$R$6:$U$13, 4, FALSE), VLOOKUP('Lighting Inventory'!G48, 'Lookup Tables'!$R$6:$U$13, 4, FALSE))))</f>
        <v/>
      </c>
      <c r="BE48" s="270" t="str">
        <f>IFERROR(IF(B48="", "",  IF(B48="New Construction", VLOOKUP(F48, 'Lookup Tables'!$A$6:$K$59, 11, FALSE),IF(OR(AN48="", AN48="Light Switch"), 0, IF(OR(M48="",M48="None",V48= "LED Exit Signs"),0,_xlfn.XLOOKUP(M48,'Lookup Tables'!$R$91:$R$101,'Lookup Tables'!$V$91:$V$101))))), "")</f>
        <v/>
      </c>
      <c r="BF48" s="270" t="str">
        <f>IF(AND(OR(AN48="Light Switch",AN48=""),B48="New Construction"), VLOOKUP(F48, 'Lookup Tables'!$A$6:$K$59, 11, FALSE),IF(AN48="","",IF(B48="","",IF(OR(AN48="None",AN48="",V48="LED Exit Signs",AN48="Exterior Controls Not Eligible"),0,_xlfn.XLOOKUP(AN48,'Lookup Tables'!$R$91:$R$101,'Lookup Tables'!$V$91:$V$101)))))</f>
        <v/>
      </c>
      <c r="BG48" s="88" t="str">
        <f t="shared" si="86"/>
        <v/>
      </c>
      <c r="BH48" s="88" t="str">
        <f t="shared" si="87"/>
        <v/>
      </c>
      <c r="BI48" s="558" t="str">
        <f t="shared" si="168"/>
        <v/>
      </c>
      <c r="BJ48" s="82" t="str">
        <f t="shared" si="88"/>
        <v/>
      </c>
      <c r="BK48" s="82" t="str">
        <f t="shared" si="89"/>
        <v/>
      </c>
      <c r="BL48" s="559" t="str">
        <f t="shared" si="90"/>
        <v/>
      </c>
      <c r="BM48" s="521" t="str">
        <f t="shared" si="8"/>
        <v/>
      </c>
      <c r="BN48" s="521" t="str">
        <f t="shared" si="9"/>
        <v/>
      </c>
      <c r="BO48" s="522" t="str">
        <f t="shared" si="10"/>
        <v/>
      </c>
      <c r="BP48" s="83" t="str">
        <f t="shared" si="91"/>
        <v/>
      </c>
      <c r="BQ48" s="84" t="str">
        <f t="shared" si="92"/>
        <v/>
      </c>
      <c r="BR48" s="184" t="str">
        <f>IFERROR(IF(B48="", "", IF(OR(VLOOKUP(J48, 'Fixture Identities'!$A$6:$L$1023, 3, FALSE)="T12 Linear Fluorescent",VLOOKUP(J48, 'Fixture Identities'!$A$6:$L$1023, 3, FALSE)="T12 U-Tube Fluorescent"), "Y", "N")), "N")</f>
        <v/>
      </c>
      <c r="BS48" s="184" t="str">
        <f t="array" ref="BS48">IFERROR(IF(OR(B48="", V48="", W48=""), "", IF(V48="Custom", "N", IF(OR(W48="Freezer Case Lighting", W48="Refrigerated Case Lighting with Doors"), BT48, IF(B48="Retrofit", INDEX('Lookup Tables'!$AH$6:$AT$102,MATCH(1,('Lookup Tables'!$AH$6:$AH$102=V48)*('Lookup Tables'!$AI$6:$AI$102=W48),FALSE),IF(VLOOKUP(J48, 'Fixture Identities'!$A$6:$B$1023, 2, FALSE)="Incandescent",12, 13)), INDEX('Lookup Tables'!$AH$114:$AS$154,MATCH(1,('Lookup Tables'!$AH$114:$AH$154=V48)*('Lookup Tables'!$AI$114:$AI$154=W48),FALSE),12))))), "N")</f>
        <v/>
      </c>
      <c r="BT48" s="184" t="str">
        <f>IF(J48="", "", IF(AND(OR(W48="Freezer case Lighting", W48="Refrigerated Case Lighting with Doors"),'General Information'!$X$18="LCI"), "N", IF(OR(VLOOKUP(J48, 'Fixture Identities'!$A$6:$B$1023, 2, FALSE)="T12 EPACT/EISA Baseline", VLOOKUP(J48, 'Fixture Identities'!$A$6:$B$1023, 2, FALSE)="Linear Fluorescent", VLOOKUP(J48, 'Fixture Identities'!$A$6:$B$1023, 2, FALSE)="U-Tube Fluorescent"), "Y", "N")))</f>
        <v/>
      </c>
      <c r="BU48" s="184" t="str">
        <f>IFERROR(IF(B48="", "", IF(VLOOKUP(J48, 'Fixture Identities'!$A$6:$B$1023, 2, FALSE)="Exit Sign", "Y", "N")), "N")</f>
        <v/>
      </c>
      <c r="BV48" s="184" t="str">
        <f>IF(V48="Exit Signs", IF(VLOOKUP(J48, 'Fixture Identities'!$A$6:$B$1023, 2, FALSE)="Exit Sign", "N", "Y"), "")</f>
        <v/>
      </c>
      <c r="BW48" s="184" t="str">
        <f t="array" ref="BW48">IFERROR(IF(B48="", "", IF(B48="New Construction", "N", INDEX('Lookup Tables'!$AH$6:$AU$102, MATCH(1, ('Lookup Tables'!$AH$6:$AH$102='Lighting Inventory'!V48)*('Lookup Tables'!$AI$6:$AI$102='Lighting Inventory'!W48), 0), 14))), "N")</f>
        <v/>
      </c>
      <c r="BX48" s="598" t="str">
        <f t="shared" si="93"/>
        <v/>
      </c>
      <c r="BY48" s="598" t="str">
        <f t="shared" si="94"/>
        <v/>
      </c>
      <c r="BZ48" s="598" t="str">
        <f t="shared" si="95"/>
        <v/>
      </c>
      <c r="CA48" s="598" t="str">
        <f t="shared" si="101"/>
        <v/>
      </c>
      <c r="CB48" s="269" t="str">
        <f t="shared" si="102"/>
        <v/>
      </c>
      <c r="CC48" s="517" t="str">
        <f t="shared" si="96"/>
        <v/>
      </c>
      <c r="CD48" s="565" t="str">
        <f t="shared" si="11"/>
        <v/>
      </c>
      <c r="CE48" s="368">
        <v>0</v>
      </c>
      <c r="CF48" s="368" t="str" cm="1">
        <f t="array" ref="CF48">IFERROR(IF(V48="Custom", "$0.1 per kWh", IF(B48="New Construction", CONCATENATE("$",INDEX('Lookup Tables'!$AH$114:$AN$154,MATCH(1,('Lookup Tables'!$AH$114:$AH$154='Lighting Inventory'!V48)*('Lookup Tables'!$AI$114:$AI$154='Lighting Inventory'!W48),FALSE),6)," ",INDEX('Lookup Tables'!$AH$114:$AN$154,MATCH(1,('Lookup Tables'!$AH$114:$AH$154='Lighting Inventory'!V48)*('Lookup Tables'!$AI$114:$AI$154='Lighting Inventory'!W48),FALSE),7)), IF(AND(BU48="N", V48="Exit Signs"), "$0.025 per kWh", CONCATENATE("$",INDEX('Lookup Tables'!$AH$6:$AN$102,MATCH(1,('Lookup Tables'!$AH$6:$AH$102='Lighting Inventory'!V48)*('Lookup Tables'!$AI$6:$AI$102='Lighting Inventory'!W48),FALSE),6)," ",INDEX('Lookup Tables'!$AH$6:$AN$102,MATCH(1,('Lookup Tables'!$AH$6:$AH$102='Lighting Inventory'!V48)*('Lookup Tables'!$AI$6:$AI$102='Lighting Inventory'!W48),FALSE),7))))), "")</f>
        <v/>
      </c>
      <c r="CG48" s="366"/>
      <c r="CH48" s="248" t="str">
        <f t="shared" si="236"/>
        <v/>
      </c>
      <c r="CI48" s="248" t="str">
        <f t="shared" si="237"/>
        <v>Select_IE</v>
      </c>
      <c r="CJ48" s="248" t="str">
        <f t="shared" si="238"/>
        <v/>
      </c>
      <c r="CK48" s="248" t="str">
        <f t="shared" si="239"/>
        <v/>
      </c>
      <c r="CL48" s="248" t="str">
        <f t="shared" si="240"/>
        <v/>
      </c>
      <c r="CM48" s="248" t="str">
        <f>IFERROR(IF(B48="", "", IF(B48="New Construction", VLOOKUP(V48, 'Lookup Tables'!$AF$114:$AG$120, 2, FALSE), VLOOKUP(V48, 'Lookup Tables'!$AD$6:$AE$25, 2, FALSE))), "")</f>
        <v/>
      </c>
      <c r="CN48" s="248" t="str">
        <f t="shared" si="175"/>
        <v/>
      </c>
      <c r="CO48" s="248" t="str">
        <f t="shared" si="241"/>
        <v/>
      </c>
      <c r="CP48" s="592" t="str">
        <f t="shared" si="242"/>
        <v/>
      </c>
      <c r="CQ48" s="248" t="str">
        <f t="shared" si="97"/>
        <v/>
      </c>
      <c r="CR48" s="100"/>
      <c r="CS48" s="250" t="str">
        <f t="shared" si="178"/>
        <v/>
      </c>
      <c r="CT48" s="250" t="str">
        <f t="shared" si="243"/>
        <v/>
      </c>
      <c r="CU48" s="250" t="str">
        <f t="shared" si="244"/>
        <v/>
      </c>
      <c r="CV48" s="250" t="str">
        <f t="shared" si="245"/>
        <v/>
      </c>
      <c r="CW48" s="250" t="str">
        <f t="shared" si="246"/>
        <v/>
      </c>
      <c r="CX48" s="250" t="str">
        <f t="shared" si="247"/>
        <v/>
      </c>
      <c r="CY48" s="250" t="str">
        <f t="shared" si="248"/>
        <v/>
      </c>
      <c r="CZ48" s="250" t="str">
        <f t="shared" si="249"/>
        <v/>
      </c>
      <c r="DA48" s="250" t="str">
        <f t="shared" si="250"/>
        <v/>
      </c>
      <c r="DB48" s="250" t="str">
        <f t="shared" si="251"/>
        <v/>
      </c>
      <c r="DC48" s="250" t="str">
        <f t="shared" si="252"/>
        <v/>
      </c>
      <c r="DD48" s="250" t="str">
        <f t="shared" si="253"/>
        <v/>
      </c>
      <c r="DE48" s="250" t="str">
        <f t="shared" si="254"/>
        <v/>
      </c>
      <c r="DF48" s="250" t="str">
        <f t="shared" si="255"/>
        <v/>
      </c>
      <c r="DG48" s="250" t="str">
        <f t="shared" si="256"/>
        <v/>
      </c>
      <c r="DH48" s="250" t="str">
        <f t="shared" si="257"/>
        <v/>
      </c>
      <c r="DI48" s="250" t="str">
        <f t="shared" si="258"/>
        <v/>
      </c>
      <c r="DJ48" s="250" t="str">
        <f t="shared" si="259"/>
        <v/>
      </c>
      <c r="DK48" s="250" t="str">
        <f t="shared" si="260"/>
        <v/>
      </c>
      <c r="DL48" s="250" t="str">
        <f t="shared" si="261"/>
        <v/>
      </c>
      <c r="DM48" s="250" t="str">
        <f>IF(CD48="ERROR", "ERROR", IF(AND(OR(Y48=$DM$6, Y48='Lookup Tables'!$AD$21, Y48='Lookup Tables'!$AD$22), E48="Interior"), BJ48, ""))</f>
        <v/>
      </c>
      <c r="DN48" s="250" t="str">
        <f>IF(CD48="ERROR", "ERROR", IF(AND(OR(Y48=$DM$6, Y48='Lookup Tables'!$AD$21, Y48='Lookup Tables'!$AD$22), E48="Exterior"), BJ48, ""))</f>
        <v/>
      </c>
      <c r="DO48" s="100"/>
      <c r="DP48" s="250" t="str">
        <f t="shared" si="198"/>
        <v/>
      </c>
      <c r="DQ48" s="250" t="str">
        <f t="shared" si="262"/>
        <v/>
      </c>
      <c r="DR48" s="250" t="str">
        <f t="shared" si="263"/>
        <v/>
      </c>
      <c r="DS48" s="250" t="str">
        <f t="shared" si="264"/>
        <v/>
      </c>
      <c r="DT48" s="250" t="str">
        <f t="shared" si="265"/>
        <v/>
      </c>
      <c r="DU48" s="250" t="str">
        <f t="shared" si="266"/>
        <v/>
      </c>
      <c r="DV48" s="250" t="str">
        <f t="shared" si="267"/>
        <v/>
      </c>
      <c r="DW48" s="250" t="str">
        <f t="shared" si="268"/>
        <v/>
      </c>
      <c r="DX48" s="250" t="str">
        <f t="shared" si="269"/>
        <v/>
      </c>
      <c r="DY48" s="250" t="str">
        <f t="shared" si="270"/>
        <v/>
      </c>
      <c r="DZ48" s="250" t="str">
        <f t="shared" si="271"/>
        <v/>
      </c>
      <c r="EA48" s="250" t="str">
        <f t="shared" si="272"/>
        <v/>
      </c>
      <c r="EB48" s="250" t="str">
        <f t="shared" si="273"/>
        <v/>
      </c>
      <c r="EC48" s="250" t="str">
        <f t="shared" si="274"/>
        <v/>
      </c>
      <c r="ED48" s="250" t="str">
        <f t="shared" si="275"/>
        <v/>
      </c>
      <c r="EE48" s="250" t="str">
        <f t="shared" si="276"/>
        <v/>
      </c>
      <c r="EF48" s="250" t="str">
        <f t="shared" si="277"/>
        <v/>
      </c>
      <c r="EG48" s="250" t="str">
        <f t="shared" si="278"/>
        <v/>
      </c>
      <c r="EH48" s="250" t="str">
        <f>IF(CD48="ERROR", "ERROR", IF(AND(OR($EH$6=Y48, Y48='Lookup Tables'!$AD$21, Y48='Lookup Tables'!$AD$22),E48="Interior"), SUM(BP48:BP48), ""))</f>
        <v/>
      </c>
      <c r="EI48" s="250" t="str">
        <f>IF(CD48="ERROR", "ERROR", IF(AND(OR($EH$6=Y48, Y48='Lookup Tables'!$AD$21, Y48='Lookup Tables'!$AD$22),E48="Exterior"), SUM(BP48:BP48), ""))</f>
        <v/>
      </c>
      <c r="EJ48" s="109"/>
      <c r="EK48" s="485" t="str">
        <f t="shared" si="58"/>
        <v/>
      </c>
      <c r="EL48" s="252" t="str">
        <f t="shared" si="279"/>
        <v/>
      </c>
      <c r="EM48" s="252" t="str">
        <f t="shared" si="280"/>
        <v/>
      </c>
      <c r="EN48" s="252" t="str">
        <f t="shared" si="281"/>
        <v/>
      </c>
      <c r="EO48" s="252" t="str">
        <f t="shared" si="282"/>
        <v/>
      </c>
      <c r="EP48" s="252" t="str">
        <f t="shared" si="283"/>
        <v/>
      </c>
      <c r="EQ48" s="252" t="str">
        <f t="shared" si="284"/>
        <v/>
      </c>
      <c r="ER48" s="252" t="str">
        <f t="shared" si="285"/>
        <v/>
      </c>
      <c r="ES48" s="252" t="str">
        <f t="shared" si="286"/>
        <v/>
      </c>
      <c r="ET48" s="252" t="str">
        <f t="shared" si="287"/>
        <v/>
      </c>
      <c r="EU48" s="252" t="str">
        <f t="shared" si="288"/>
        <v/>
      </c>
      <c r="EV48" s="252" t="str">
        <f t="shared" si="289"/>
        <v/>
      </c>
      <c r="EW48" s="252" t="str">
        <f t="shared" si="290"/>
        <v/>
      </c>
      <c r="EX48" s="252" t="str">
        <f t="shared" si="291"/>
        <v/>
      </c>
      <c r="EY48" s="252" t="str">
        <f t="shared" si="292"/>
        <v/>
      </c>
      <c r="EZ48" s="252" t="str">
        <f t="shared" si="293"/>
        <v/>
      </c>
      <c r="FA48" s="252" t="str">
        <f t="shared" si="294"/>
        <v/>
      </c>
      <c r="FB48" s="252" t="str">
        <f t="shared" si="295"/>
        <v/>
      </c>
      <c r="FC48" s="252" t="str">
        <f>IF(CD48="ERROR", "ERROR", IF(OR(V48="No Change", V48="Not DLC or Energy Star"), "", IF(AND(OR($FC$6=Y48,Y48='Lookup Tables'!$AD$21, Y48='Lookup Tables'!$AD$22),E48="Interior"), S48, "")))</f>
        <v/>
      </c>
      <c r="FD48" s="252" t="str">
        <f t="shared" si="296"/>
        <v/>
      </c>
      <c r="FE48" s="101"/>
      <c r="FF48" s="579" t="str" cm="1">
        <f t="array" ref="FF48">IFERROR(IF(OR(BQ48&lt;=0,AQ48&lt;20,AND(V48="Exit Signs",AN48&gt;0)),"",IF(AND(AQ48&gt;=20,AN48='Lookup Tables'!$R$101),'Lookup Tables'!$U$101*BQ48,AP48*LOOKUP(2,1/((AN48='Lookup Tables'!$R$91:$R$111)*(AQ48&gt;='Lookup Tables'!$S$91:$S$111)*(AQ48&lt;='Lookup Tables'!$T$91:$T$111)),'Lookup Tables'!$U$91:$U$111))),"")</f>
        <v/>
      </c>
      <c r="FG48" s="579"/>
      <c r="FH48" s="579"/>
      <c r="FI48" s="253" t="str">
        <f>IFERROR(ROUND(IF(CD48="ERROR", "ERROR", IF(AND($FI$7=X48,E48="Interior"),VLOOKUP(W48, 'Lookup Tables'!$AI$6:$AM$102, 5, FALSE)*BP48, "")), 2), "")</f>
        <v/>
      </c>
      <c r="FJ48" s="253" t="str">
        <f>IFERROR(ROUND(IF(CD48="ERROR", "ERROR", IF(AND($FI$7=X48,E48="Exterior"),VLOOKUP(W48, 'Lookup Tables'!$AI$6:$AM$102, 5, FALSE)*BP48, "")), 2), "")</f>
        <v/>
      </c>
      <c r="FK48" s="253" t="str">
        <f>IFERROR(ROUND(IF(CD48="ERROR", "ERROR", IF(AND($FK$7=X48,E48="Interior"),VLOOKUP(W48, 'Lookup Tables'!$AI$6:$AM$102, 5, FALSE)*BP48, "")), 2), "")</f>
        <v/>
      </c>
      <c r="FL48" s="253" t="str">
        <f>IFERROR(ROUND(IF(CD48="ERROR", "ERROR", IF(AND($FK$7=X48,E48="Exterior"),VLOOKUP(W48, 'Lookup Tables'!$AI$6:$AM$102, 5, FALSE)*BP48, "")), 2), "")</f>
        <v/>
      </c>
      <c r="FM48" s="253" t="str">
        <f>IFERROR(ROUND(IF(CD48="ERROR", "ERROR", IF(AND($FM$6=Y48,E48="Interior"), IF(GB48=0, VLOOKUP(W48, 'Lookup Tables'!$AI$6:$AM$102, 5, FALSE)*BP48, IF(VLOOKUP(W48, 'Lookup Tables'!$AI$6:$AM$102, 5, FALSE)*BP48&gt;GB48*'Lighting Inventory'!S48, GB48*'Lighting Inventory'!S48,VLOOKUP(W48, 'Lookup Tables'!$AI$6:$AM$102, 5, FALSE)*BP48)), "")), 2), "")</f>
        <v/>
      </c>
      <c r="FN48" s="253" t="str">
        <f>IFERROR(ROUND(IF(CD48="ERROR", "ERROR", IF(AND($FM$6=Y48,E48="Exterior"), IF(GB48=0, VLOOKUP(W48, 'Lookup Tables'!$AI$6:$AM$102, 5, FALSE)*BP48, IF(VLOOKUP(W48, 'Lookup Tables'!$AI$6:$AM$102, 5, FALSE)*BP48&gt;GB48*'Lighting Inventory'!S48, GB48*'Lighting Inventory'!S48,VLOOKUP(W48, 'Lookup Tables'!$AI$6:$AM$102, 5, FALSE)*BP48)), "")), 2), "")</f>
        <v/>
      </c>
      <c r="FO48" s="253" t="str">
        <f>IFERROR(ROUND(IF(CD48="ERROR", "ERROR", IF(AND($FO$6=Y48,E48="Interior"),VLOOKUP(W48, 'Lookup Tables'!$AI$6:$AM$102, 5, FALSE)*'Lighting Inventory'!AI48, "")), 2), "")</f>
        <v/>
      </c>
      <c r="FP48" s="253" t="str">
        <f>IFERROR(ROUND(IF(CD48="ERROR", "ERROR", IF(AND($FO$6=Y48,E48="Exterior"),VLOOKUP(W48, 'Lookup Tables'!$AI$6:$AM$102, 5, FALSE)*'Lighting Inventory'!AI48, "")), 2), "")</f>
        <v/>
      </c>
      <c r="FQ48" s="253" t="str">
        <f>IFERROR(ROUND(IF(CD48="ERROR", "ERROR", IF(AND($FQ$6=Y48,E48="Interior", BU48="Y"), VLOOKUP('Lighting Inventory'!W48, 'Lookup Tables'!$AI$6:$AM$102, 5, FALSE)*'Lighting Inventory'!S48, IF(AND($FQ$7=Y48,E48="Interior", BU48="N"), 0.025*CD48, ""))), 2), "")</f>
        <v/>
      </c>
      <c r="FR48" s="253" t="str">
        <f>IFERROR(ROUND(IF(CD48="ERROR", "ERROR", IF(AND($FQ$6=Y48,E48="Exterior"), VLOOKUP('Lighting Inventory'!W48, 'Lookup Tables'!$AI$6:$AM$102, 5, FALSE)*'Lighting Inventory'!S48, "")), 2), "")</f>
        <v/>
      </c>
      <c r="FS48" s="253" t="str">
        <f>IFERROR(ROUND(IF(CD48="ERROR", "ERROR", IF(AND($FS$6=Y48,E48="Exterior"), IF(GB48=0, VLOOKUP(W48, 'Lookup Tables'!$AI$6:$AM$102, 5, FALSE)*BP48, IF(VLOOKUP(W48, 'Lookup Tables'!$AI$6:$AM$102, 5, FALSE)*BP48&gt;GB48*'Lighting Inventory'!S48, GB48*'Lighting Inventory'!S48,VLOOKUP(W48, 'Lookup Tables'!$AI$6:$AM$102, 5, FALSE)*BP48)), "")), 2), "")</f>
        <v/>
      </c>
      <c r="FT48" s="253" t="str">
        <f>IFERROR(ROUND(IF(CD48="ERROR", "ERROR", IF(AND($FT$6=Y48,E48="Interior"), IF(GB48=0, VLOOKUP(W48, 'Lookup Tables'!$AI$6:$AM$102, 5, FALSE)*BP48, IF(VLOOKUP(W48, 'Lookup Tables'!$AI$6:$AM$102, 5, FALSE)*BP48&gt;GB48*'Lighting Inventory'!S48, GB48*'Lighting Inventory'!S48,VLOOKUP(W48, 'Lookup Tables'!$AI$6:$AM$102, 5, FALSE)*BP48)), "")), 2), "")</f>
        <v/>
      </c>
      <c r="FU48" s="253" t="str">
        <f>IFERROR(ROUND(IF(CD48="ERROR", "ERROR", IF(AND(Y48=$FU$6, E48="Interior"), IF(BS48="N", 'Lookup Tables'!$AM$101*BP48, VLOOKUP(W48, 'Lookup Tables'!$AI$6:$AM$102, 5, FALSE)*S48*AD48), "")), 2), "")</f>
        <v/>
      </c>
      <c r="FV48" s="253" t="str">
        <f>IFERROR(ROUND(IF(CD48="ERROR", "ERROR", IF(AND(Y48=$FU$6, E48="Exterior"), IF(BS48="N", 'Lookup Tables'!$AM$101*BP48, VLOOKUP(W48, 'Lookup Tables'!$AI$6:$AM$102, 5, FALSE)*S48*AD48), "")), 2), "")</f>
        <v/>
      </c>
      <c r="FW48" s="253" t="str">
        <f>IFERROR(ROUND(IF(CD48="ERROR", "ERROR", IF($FW$6=Y48, IF(BS48="N", 'Lookup Tables'!$AM$101*BP48, MIN((VLOOKUP(W48, 'Lookup Tables'!$AI$6:$AM$102, 5, FALSE)*BP48),GB48*AJ48)), "")), 2), "")</f>
        <v/>
      </c>
      <c r="FX48" s="253" t="str">
        <f>IFERROR(ROUND(IF(CD48="ERROR", "ERROR", IF(AND($FX$6=Y48, E48="Interior"), IF(VLOOKUP(W48, 'Lookup Tables'!$AI$6:$AM$102, 5, FALSE)*BP48&gt;'Lookup Tables'!$AQ$97*'Lighting Inventory'!S48,'Lighting Inventory'!S48*'Lookup Tables'!$AQ$97,VLOOKUP(W48, 'Lookup Tables'!$AI$6:$AM$102, 5, FALSE)*BP48), "")), 2), "")</f>
        <v/>
      </c>
      <c r="FY48" s="253" t="str">
        <f>IFERROR(ROUND(IF(CD48="ERROR", "ERROR", IF(AND($FX$6=Y48, E48="Exterior"), IF(VLOOKUP(W48, 'Lookup Tables'!$AI$6:$AM$102, 5, FALSE)*BP48&gt;'Lookup Tables'!$AQ$97*'Lighting Inventory'!S48,'Lighting Inventory'!S48*'Lookup Tables'!$AQ$97,VLOOKUP(W48, 'Lookup Tables'!$AI$6:$AM$102, 5, FALSE)*BP48), "")), 2), "")</f>
        <v/>
      </c>
      <c r="FZ48" s="253" t="str">
        <f>IFERROR(ROUND(IF(CD48="ERROR", "ERROR", IF(AND($FZ$6=Y48, E48="Interior"), IF(AND(OR(W48="Refrigerated Case Lighting with Doors", W48="Freezer Case Lighting"),Y48="Custom - Process Improvement"),CD48*'Lookup Tables'!$AM$101, IF(B48="Retrofit", IF(VLOOKUP(IF(V48="Custom", V48, W48), 'Lookup Tables'!$AI$6:$AM$102, 5, FALSE)*BP48&gt;GE48, GE48, VLOOKUP(IF(V48="Custom", V48, W48), 'Lookup Tables'!$AI$6:$AM$102, 5, FALSE)*BP48), IF(VLOOKUP(IF(V48="Custom", V48, W48), 'Lookup Tables'!$AI$114:$AM$154, 5, FALSE)*BP48&gt;GE48, GE48, VLOOKUP(IF(V48="Custom", V48, W48), 'Lookup Tables'!$AI$114:$AM$154, 5, FALSE)*BP48))), "")), 2),"")</f>
        <v/>
      </c>
      <c r="GA48" s="253" t="str">
        <f>IFERROR(ROUND(IF(CD48="ERROR", "ERROR", IF(AND($FZ$6=Y48, E48="Exterior"), IF(B48="Retrofit", IF(VLOOKUP(IF(V48="Custom", V48, W48), 'Lookup Tables'!$AI$6:$AM$102, 5, FALSE)*BP48&gt;GE48, GE48, VLOOKUP(IF(V48="Custom", V48, W48), 'Lookup Tables'!$AI$6:$AM$102, 5, FALSE)*BP48), IF(VLOOKUP(IF(V48="Custom", V48, W48), 'Lookup Tables'!$AI$114:$AM$154, 5, FALSE)*BP48&gt;GE48, GE48, VLOOKUP(IF(V48="Custom", V48, W48), 'Lookup Tables'!$AI$114:$AM$154, 5, FALSE)*BP48)), "")), 2),"")</f>
        <v/>
      </c>
      <c r="GB48" s="254" t="str">
        <f t="array" ref="GB48">IF(B48="","",IF(OR(V48="Custom",V48="No Change"),0,IF(B48="Retrofit", INDEX('Lookup Tables'!$AH$6:$AQ$102,MATCH(1,('Lookup Tables'!$AH$6:$AH$102='Lighting Inventory'!V48)*('Lookup Tables'!$AI$6:$AI$102='Lighting Inventory'!W48),FALSE),10),INDEX('Lookup Tables'!$AH$114:$AQ$154,MATCH(1,('Lookup Tables'!$AH$114:$AH$154='Lighting Inventory'!V48)*('Lookup Tables'!$AI$114:$AI$154='Lighting Inventory'!W48),FALSE),10))))</f>
        <v/>
      </c>
      <c r="GC48" s="255" t="str">
        <f t="shared" si="77"/>
        <v/>
      </c>
      <c r="GD48" s="250" t="str">
        <f t="shared" si="78"/>
        <v/>
      </c>
      <c r="GE48" s="253" t="str">
        <f>IFERROR(IF(AND(AF48="", 'General Information'!$F$18="No"),"", IF(AF48="", ((GD48/$CD$266)*$CF$266)*0.5, AF48*S48*0.5)), "")</f>
        <v/>
      </c>
      <c r="GF48" s="255" t="str">
        <f>IF(AND('General Information'!$F$19="", 'General Information'!$F$18="Yes",AF48="",BW48="Y"), "Y", "N")</f>
        <v>N</v>
      </c>
      <c r="GG48" s="255" t="s">
        <v>2946</v>
      </c>
      <c r="GH48" s="255" t="str">
        <f>IFERROR(IF(B48="", "", VLOOKUP(J48, 'Fixture Identities'!$A$6:$N$908, 14, FALSE)), "")</f>
        <v/>
      </c>
      <c r="GI48" s="389" t="str">
        <f>IF(OR(B48="", V48="", W48=""), "", IF(AND(OR(M48='Lookup Tables'!$R$18, M48='Lookup Tables'!$R$19, M48='Lookup Tables'!$R$20, M48='Lookup Tables'!$R$21, M48='Lookup Tables'!$R$22), OR(AN48='Lookup Tables'!$R$17, AN48='Lookup Tables'!$R$17, AN48="")), "Y", "N"))</f>
        <v/>
      </c>
      <c r="GJ48" s="255" t="str">
        <f t="shared" si="79"/>
        <v/>
      </c>
      <c r="GK48" s="255" t="str">
        <f t="shared" si="80"/>
        <v/>
      </c>
      <c r="GL48" s="255" t="str">
        <f t="shared" si="81"/>
        <v/>
      </c>
      <c r="GM48" s="255" t="str">
        <f>IF(AN48="", "", IF(AND(IF(ISNA(VLOOKUP(AN48,'Lookup Tables'!$R$18:$R$22,1,FALSE)), "N", "Y")="Y", E48="Exterior"), "Y", "N"))</f>
        <v/>
      </c>
      <c r="GN48" s="395"/>
      <c r="GO48" s="428">
        <f t="shared" si="98"/>
        <v>0</v>
      </c>
      <c r="GP48" s="428">
        <f t="shared" si="167"/>
        <v>0</v>
      </c>
      <c r="GQ48" s="428">
        <f t="shared" si="99"/>
        <v>0</v>
      </c>
      <c r="GR48" s="428">
        <f t="shared" si="100"/>
        <v>0</v>
      </c>
    </row>
    <row r="49" spans="1:200" s="103" customFormat="1" ht="13.5" customHeight="1" x14ac:dyDescent="0.2">
      <c r="A49" s="272">
        <v>39</v>
      </c>
      <c r="B49" s="110"/>
      <c r="C49" s="110"/>
      <c r="D49" s="110"/>
      <c r="E49" s="110"/>
      <c r="F49" s="110"/>
      <c r="G49" s="110"/>
      <c r="H49" s="110"/>
      <c r="I49" s="29"/>
      <c r="J49" s="29"/>
      <c r="K49" s="272" t="str">
        <f>IFERROR(IF(OR(VLOOKUP(J49, 'Fixture Identities'!$A$6:$L$1023, 3, FALSE)="T12 Linear Fluorescent", VLOOKUP(J49, 'Fixture Identities'!$A$6:$L$1023, 3, FALSE)="T12 U-Tube Fluorescent"), VLOOKUP(VLOOKUP(J49, 'Fixture Identities'!$A$6:$L$1023, 11, FALSE), 'Fixture Identities'!$A$6:$L$1023, 10, FALSE), VLOOKUP(J49, 'Fixture Identities'!$A$6:$L$1023, 10, FALSE)), "")</f>
        <v/>
      </c>
      <c r="L49" s="270" t="str">
        <f t="shared" si="169"/>
        <v/>
      </c>
      <c r="M49" s="110"/>
      <c r="N49" s="110"/>
      <c r="O49" s="110"/>
      <c r="P49" s="272" t="str">
        <f>IFERROR(IF(OR(B49="Retrofit",B49=""),"",IF('Lighting Inventory'!E49="Exterior",VLOOKUP('Lighting Inventory'!N49,'Lookup Tables'!$B$83:$F$103,5,FALSE),IF(N49="Other - Please Estimate EFLH and CFs","Contact Prog. Rep.","ft^2"))), "")</f>
        <v/>
      </c>
      <c r="Q49" s="270" t="str">
        <f>IFERROR(IF(AND(B49="New Construction",E49="Interior",$F$5="Space-by-Space"),VLOOKUP('Lighting Inventory'!N49,'Lookup Tables'!$N$6:$O$97,2,FALSE),IF(AND(B49="New Construction",E49="Exterior"),VLOOKUP(N49,'Lookup Tables'!$B$83:$F$103,2,FALSE),IF(AND(B49="New Construction",'Lighting Inventory'!E49="Interior", $F$5="Building Area"),VLOOKUP(F49,'Lookup Tables'!$A$6:$J$59,10,FALSE),""))), "")</f>
        <v/>
      </c>
      <c r="R49" s="270" t="str">
        <f>IFERROR(IF(P49="Contact Prog. Rep.", "ERROR", IF(OR(B49="",B49="Retrofit"),"",IF(N49="Automated teller machines", ('Lookup Tables'!$A$82:$E$100+('Lighting Inventory'!O49-1)*'Lookup Tables'!$A$82:$E$100)/1000, (Q49*O49)/1000))), "")</f>
        <v/>
      </c>
      <c r="S49" s="595"/>
      <c r="T49" s="105" t="str">
        <f t="shared" si="83"/>
        <v/>
      </c>
      <c r="U49" s="105" t="str">
        <f>IF(S49="","",COUNT($S$11:S49))</f>
        <v/>
      </c>
      <c r="V49" s="111"/>
      <c r="W49" s="112"/>
      <c r="X49" s="105" t="str">
        <f t="shared" si="84"/>
        <v/>
      </c>
      <c r="Y49" s="105" t="str">
        <f t="array" ref="Y49">IF(AND(OR(W49="Freezer Case Lighting", W49="Refrigerated Case Lighting with Doors"), 'General Information'!$X$18="LCI"),'Lookup Tables'!$Y$34, IF(V49="Custom", VLOOKUP(W49, 'Fixture Identities'!$A$974:$M$1023, 13, FALSE), IF(V49="No Change",'Lookup Tables'!$Y$29,IF(OR(V49="",W49=""),"",IF(AND(S49=0,S49&lt;I49,B49="Retrofit"),'Lookup Tables'!$Y$25, IF(B49="Retrofit", INDEX('Lookup Tables'!$AH$6:$AP$102, MATCH(1, ('Lookup Tables'!$AH$6:$AH$102=V49)*('Lookup Tables'!$AI$6:$AI$102=W49), 0), IF('Lighting Inventory'!E49="Interior", 4, 5)), INDEX('Lookup Tables'!$AH$114:$AP$154, MATCH(1, ('Lookup Tables'!$AH$114:$AH$154=V49)*('Lookup Tables'!$AI$114:$AI$154=W49), 0), IF('Lighting Inventory'!E49="Interior", 4, 5))))))))</f>
        <v/>
      </c>
      <c r="Z49" s="105" t="str">
        <f>IFERROR(INDEX('Lookup Tables'!$AH$158:$AH$172,MATCH('Lighting Inventory'!Y49,'Lookup Tables'!$AI$158:$AI$172,0)),"")</f>
        <v/>
      </c>
      <c r="AA49" s="105" t="str">
        <f>IF(AP49&gt;0,INDEX('Lookup Tables'!$AK$158:$AK$172,MATCH('Lighting Inventory'!Y49,'Lookup Tables'!$AI$158:$AI$172,0)),'Lighting Inventory'!Y49)</f>
        <v/>
      </c>
      <c r="AB49" s="105" t="str">
        <f t="array" ref="AB49">IF(V49="Custom", "Custom", IF(V49="", "", IF(V49="Not DLC or Energy Star", "General", IF(B49="New Construction", INDEX('Lookup Tables'!$AH$114:$AP$154,MATCH(1,('Lookup Tables'!$AH$114:$AH$154='Lighting Inventory'!V49)*('Lookup Tables'!$AI$114:$AI$154='Lighting Inventory'!W49),FALSE),8), INDEX('Lookup Tables'!$AH$6:$AP$102,MATCH(1,('Lookup Tables'!$AH$6:$AH$102='Lighting Inventory'!V49)*('Lookup Tables'!$AI$6:$AI$102='Lighting Inventory'!W49),FALSE),8)))))</f>
        <v/>
      </c>
      <c r="AC49" s="272" t="str">
        <f>IF(W49="","",IF(V49="Custom",CONCATENATE("$",'Lookup Tables'!$AM$101," ",'Lookup Tables'!$AN$101),CONCATENATE("$",INDEX('Lookup Tables'!$AM$6:$AM$102,MATCH('Lighting Inventory'!W49,'Lookup Tables'!$AI$6:$AI$102,0))," ",INDEX('Lookup Tables'!$AN$6:$AN$102,MATCH('Lighting Inventory'!W49,'Lookup Tables'!$AI$6:$AI$102,0)))))</f>
        <v/>
      </c>
      <c r="AD49" s="72"/>
      <c r="AE49" s="29"/>
      <c r="AF49" s="379"/>
      <c r="AG49" s="370" t="str">
        <f t="shared" si="2"/>
        <v/>
      </c>
      <c r="AH49" s="370" t="str">
        <f t="shared" si="85"/>
        <v/>
      </c>
      <c r="AI49" s="29"/>
      <c r="AJ49" s="29"/>
      <c r="AK49" s="110"/>
      <c r="AL49" s="375" t="str">
        <f>IF(OR(B49="", V49="", W49=""), "", IF(V49="No Change", K49, IF(V49="Remove Fixture", 0, IF(V49="Custom",VLOOKUP(W49,'Fixture Identities'!$A$6:$K$1023,10,FALSE),IF(AE49="", "← ENTER POST WATTS", 'Lighting Inventory'!AE49)))))</f>
        <v/>
      </c>
      <c r="AM49" s="376" t="str">
        <f t="shared" si="3"/>
        <v/>
      </c>
      <c r="AN49" s="29"/>
      <c r="AO49" s="671"/>
      <c r="AP49" s="29"/>
      <c r="AQ49" s="29"/>
      <c r="AR49" s="29"/>
      <c r="AS49" s="272" t="str">
        <f t="shared" si="4"/>
        <v/>
      </c>
      <c r="AT49" s="270" t="str">
        <f t="shared" si="234"/>
        <v/>
      </c>
      <c r="AU49" s="88" t="str">
        <f t="shared" si="235"/>
        <v/>
      </c>
      <c r="AV49" s="29"/>
      <c r="AW49" s="73"/>
      <c r="AX49" s="271" t="str">
        <f>IF(AND(AV49="Applicant",OR(AW49="", AW49="Use Default Facility Hours")),"← Choose Schedule",IF(F49="","",IF(W49="LED Exit Signs",8760,IF(OR(AV49="Prescribed",AV49=""),VLOOKUP(F49,'Lookup Tables'!$A$6:$G$59,IF(AB49="General", 6, 3),FALSE),VLOOKUP(AW49,'Lookup Tables'!$S$36:$U$43,2,FALSE)))))</f>
        <v/>
      </c>
      <c r="AY49" s="88" t="str">
        <f t="shared" si="7"/>
        <v/>
      </c>
      <c r="AZ49" s="270" t="str">
        <f>IFERROR(IF(F49="", "", IF(W49="LED Exit Signs", 1, IF(AV49="Applicant",VLOOKUP(AW49, 'Lookup Tables'!$S$36:$U$43,3, FALSE), VLOOKUP('Lighting Inventory'!F49, 'Lookup Tables'!$A$6:$H$59, IF('Lighting Inventory'!AB49="General",7,4), FALSE)))), "")</f>
        <v/>
      </c>
      <c r="BA49" s="522" t="str">
        <f>IFERROR(IF(F49="", "", IF(W49="LED Exit Signs", 1, VLOOKUP('Lighting Inventory'!F49, 'Lookup Tables'!$A$6:$H$59, IF('Lighting Inventory'!AB49="General",8,5), FALSE))), "")</f>
        <v/>
      </c>
      <c r="BB49" s="270" t="str">
        <f>IF(G49="", "", IF(E49="Exterior", 0, IF('Lighting Inventory'!G49="Air Conditioned", VLOOKUP(H49, 'Lookup Tables'!$R$6:$T$13, 2, FALSE), VLOOKUP('Lighting Inventory'!G49, 'Lookup Tables'!$R$6:$T$13, 2, FALSE))))</f>
        <v/>
      </c>
      <c r="BC49" s="522" t="str">
        <f>IF(G49="", "", IF(E49="Exterior", 0, IF('Lighting Inventory'!G49="Air Conditioned", VLOOKUP(H49, 'Lookup Tables'!$R$6:$T$13, 3, FALSE), VLOOKUP('Lighting Inventory'!G49, 'Lookup Tables'!$R$6:$T$13, 3, FALSE))))</f>
        <v/>
      </c>
      <c r="BD49" s="270" t="str">
        <f>IF(G49="", "", IF(E49="Exterior", 0, IF('Lighting Inventory'!G49="Air Conditioned", VLOOKUP(H49, 'Lookup Tables'!$R$6:$U$13, 4, FALSE), VLOOKUP('Lighting Inventory'!G49, 'Lookup Tables'!$R$6:$U$13, 4, FALSE))))</f>
        <v/>
      </c>
      <c r="BE49" s="270" t="str">
        <f>IFERROR(IF(B49="", "",  IF(B49="New Construction", VLOOKUP(F49, 'Lookup Tables'!$A$6:$K$59, 11, FALSE),IF(OR(AN49="", AN49="Light Switch"), 0, IF(OR(M49="",M49="None",V49= "LED Exit Signs"),0,_xlfn.XLOOKUP(M49,'Lookup Tables'!$R$91:$R$101,'Lookup Tables'!$V$91:$V$101))))), "")</f>
        <v/>
      </c>
      <c r="BF49" s="270" t="str">
        <f>IF(AND(OR(AN49="Light Switch",AN49=""),B49="New Construction"), VLOOKUP(F49, 'Lookup Tables'!$A$6:$K$59, 11, FALSE),IF(AN49="","",IF(B49="","",IF(OR(AN49="None",AN49="",V49="LED Exit Signs",AN49="Exterior Controls Not Eligible"),0,_xlfn.XLOOKUP(AN49,'Lookup Tables'!$R$91:$R$101,'Lookup Tables'!$V$91:$V$101)))))</f>
        <v/>
      </c>
      <c r="BG49" s="88" t="str">
        <f t="shared" si="86"/>
        <v/>
      </c>
      <c r="BH49" s="88" t="str">
        <f t="shared" si="87"/>
        <v/>
      </c>
      <c r="BI49" s="558" t="str">
        <f t="shared" si="168"/>
        <v/>
      </c>
      <c r="BJ49" s="82" t="str">
        <f t="shared" si="88"/>
        <v/>
      </c>
      <c r="BK49" s="82" t="str">
        <f t="shared" si="89"/>
        <v/>
      </c>
      <c r="BL49" s="559" t="str">
        <f t="shared" si="90"/>
        <v/>
      </c>
      <c r="BM49" s="521" t="str">
        <f t="shared" si="8"/>
        <v/>
      </c>
      <c r="BN49" s="521" t="str">
        <f t="shared" si="9"/>
        <v/>
      </c>
      <c r="BO49" s="522" t="str">
        <f t="shared" si="10"/>
        <v/>
      </c>
      <c r="BP49" s="83" t="str">
        <f t="shared" si="91"/>
        <v/>
      </c>
      <c r="BQ49" s="84" t="str">
        <f t="shared" si="92"/>
        <v/>
      </c>
      <c r="BR49" s="184" t="str">
        <f>IFERROR(IF(B49="", "", IF(OR(VLOOKUP(J49, 'Fixture Identities'!$A$6:$L$1023, 3, FALSE)="T12 Linear Fluorescent",VLOOKUP(J49, 'Fixture Identities'!$A$6:$L$1023, 3, FALSE)="T12 U-Tube Fluorescent"), "Y", "N")), "N")</f>
        <v/>
      </c>
      <c r="BS49" s="184" t="str">
        <f t="array" ref="BS49">IFERROR(IF(OR(B49="", V49="", W49=""), "", IF(V49="Custom", "N", IF(OR(W49="Freezer Case Lighting", W49="Refrigerated Case Lighting with Doors"), BT49, IF(B49="Retrofit", INDEX('Lookup Tables'!$AH$6:$AT$102,MATCH(1,('Lookup Tables'!$AH$6:$AH$102=V49)*('Lookup Tables'!$AI$6:$AI$102=W49),FALSE),IF(VLOOKUP(J49, 'Fixture Identities'!$A$6:$B$1023, 2, FALSE)="Incandescent",12, 13)), INDEX('Lookup Tables'!$AH$114:$AS$154,MATCH(1,('Lookup Tables'!$AH$114:$AH$154=V49)*('Lookup Tables'!$AI$114:$AI$154=W49),FALSE),12))))), "N")</f>
        <v/>
      </c>
      <c r="BT49" s="184" t="str">
        <f>IF(J49="", "", IF(AND(OR(W49="Freezer case Lighting", W49="Refrigerated Case Lighting with Doors"),'General Information'!$X$18="LCI"), "N", IF(OR(VLOOKUP(J49, 'Fixture Identities'!$A$6:$B$1023, 2, FALSE)="T12 EPACT/EISA Baseline", VLOOKUP(J49, 'Fixture Identities'!$A$6:$B$1023, 2, FALSE)="Linear Fluorescent", VLOOKUP(J49, 'Fixture Identities'!$A$6:$B$1023, 2, FALSE)="U-Tube Fluorescent"), "Y", "N")))</f>
        <v/>
      </c>
      <c r="BU49" s="184" t="str">
        <f>IFERROR(IF(B49="", "", IF(VLOOKUP(J49, 'Fixture Identities'!$A$6:$B$1023, 2, FALSE)="Exit Sign", "Y", "N")), "N")</f>
        <v/>
      </c>
      <c r="BV49" s="184" t="str">
        <f>IF(V49="Exit Signs", IF(VLOOKUP(J49, 'Fixture Identities'!$A$6:$B$1023, 2, FALSE)="Exit Sign", "N", "Y"), "")</f>
        <v/>
      </c>
      <c r="BW49" s="184" t="str">
        <f t="array" ref="BW49">IFERROR(IF(B49="", "", IF(B49="New Construction", "N", INDEX('Lookup Tables'!$AH$6:$AU$102, MATCH(1, ('Lookup Tables'!$AH$6:$AH$102='Lighting Inventory'!V49)*('Lookup Tables'!$AI$6:$AI$102='Lighting Inventory'!W49), 0), 14))), "N")</f>
        <v/>
      </c>
      <c r="BX49" s="598" t="str">
        <f t="shared" si="93"/>
        <v/>
      </c>
      <c r="BY49" s="598" t="str">
        <f t="shared" si="94"/>
        <v/>
      </c>
      <c r="BZ49" s="598" t="str">
        <f t="shared" si="95"/>
        <v/>
      </c>
      <c r="CA49" s="598" t="str">
        <f t="shared" si="101"/>
        <v/>
      </c>
      <c r="CB49" s="269" t="str">
        <f t="shared" si="102"/>
        <v/>
      </c>
      <c r="CC49" s="517" t="str">
        <f t="shared" si="96"/>
        <v/>
      </c>
      <c r="CD49" s="565" t="str">
        <f t="shared" si="11"/>
        <v/>
      </c>
      <c r="CE49" s="368">
        <v>0</v>
      </c>
      <c r="CF49" s="368" t="str" cm="1">
        <f t="array" ref="CF49">IFERROR(IF(V49="Custom", "$0.1 per kWh", IF(B49="New Construction", CONCATENATE("$",INDEX('Lookup Tables'!$AH$114:$AN$154,MATCH(1,('Lookup Tables'!$AH$114:$AH$154='Lighting Inventory'!V49)*('Lookup Tables'!$AI$114:$AI$154='Lighting Inventory'!W49),FALSE),6)," ",INDEX('Lookup Tables'!$AH$114:$AN$154,MATCH(1,('Lookup Tables'!$AH$114:$AH$154='Lighting Inventory'!V49)*('Lookup Tables'!$AI$114:$AI$154='Lighting Inventory'!W49),FALSE),7)), IF(AND(BU49="N", V49="Exit Signs"), "$0.025 per kWh", CONCATENATE("$",INDEX('Lookup Tables'!$AH$6:$AN$102,MATCH(1,('Lookup Tables'!$AH$6:$AH$102='Lighting Inventory'!V49)*('Lookup Tables'!$AI$6:$AI$102='Lighting Inventory'!W49),FALSE),6)," ",INDEX('Lookup Tables'!$AH$6:$AN$102,MATCH(1,('Lookup Tables'!$AH$6:$AH$102='Lighting Inventory'!V49)*('Lookup Tables'!$AI$6:$AI$102='Lighting Inventory'!W49),FALSE),7))))), "")</f>
        <v/>
      </c>
      <c r="CG49" s="366"/>
      <c r="CH49" s="248" t="str">
        <f t="shared" si="236"/>
        <v/>
      </c>
      <c r="CI49" s="248" t="str">
        <f t="shared" si="237"/>
        <v>Select_IE</v>
      </c>
      <c r="CJ49" s="248" t="str">
        <f t="shared" si="238"/>
        <v/>
      </c>
      <c r="CK49" s="248" t="str">
        <f t="shared" si="239"/>
        <v/>
      </c>
      <c r="CL49" s="248" t="str">
        <f t="shared" si="240"/>
        <v/>
      </c>
      <c r="CM49" s="248" t="str">
        <f>IFERROR(IF(B49="", "", IF(B49="New Construction", VLOOKUP(V49, 'Lookup Tables'!$AF$114:$AG$120, 2, FALSE), VLOOKUP(V49, 'Lookup Tables'!$AD$6:$AE$25, 2, FALSE))), "")</f>
        <v/>
      </c>
      <c r="CN49" s="248" t="str">
        <f t="shared" si="175"/>
        <v/>
      </c>
      <c r="CO49" s="248" t="str">
        <f t="shared" si="241"/>
        <v/>
      </c>
      <c r="CP49" s="592" t="str">
        <f t="shared" si="242"/>
        <v/>
      </c>
      <c r="CQ49" s="248" t="str">
        <f t="shared" si="97"/>
        <v/>
      </c>
      <c r="CR49" s="100"/>
      <c r="CS49" s="250" t="str">
        <f t="shared" si="178"/>
        <v/>
      </c>
      <c r="CT49" s="250" t="str">
        <f t="shared" si="243"/>
        <v/>
      </c>
      <c r="CU49" s="250" t="str">
        <f t="shared" si="244"/>
        <v/>
      </c>
      <c r="CV49" s="250" t="str">
        <f t="shared" si="245"/>
        <v/>
      </c>
      <c r="CW49" s="250" t="str">
        <f t="shared" si="246"/>
        <v/>
      </c>
      <c r="CX49" s="250" t="str">
        <f t="shared" si="247"/>
        <v/>
      </c>
      <c r="CY49" s="250" t="str">
        <f t="shared" si="248"/>
        <v/>
      </c>
      <c r="CZ49" s="250" t="str">
        <f t="shared" si="249"/>
        <v/>
      </c>
      <c r="DA49" s="250" t="str">
        <f t="shared" si="250"/>
        <v/>
      </c>
      <c r="DB49" s="250" t="str">
        <f t="shared" si="251"/>
        <v/>
      </c>
      <c r="DC49" s="250" t="str">
        <f t="shared" si="252"/>
        <v/>
      </c>
      <c r="DD49" s="250" t="str">
        <f t="shared" si="253"/>
        <v/>
      </c>
      <c r="DE49" s="250" t="str">
        <f t="shared" si="254"/>
        <v/>
      </c>
      <c r="DF49" s="250" t="str">
        <f t="shared" si="255"/>
        <v/>
      </c>
      <c r="DG49" s="250" t="str">
        <f t="shared" si="256"/>
        <v/>
      </c>
      <c r="DH49" s="250" t="str">
        <f t="shared" si="257"/>
        <v/>
      </c>
      <c r="DI49" s="250" t="str">
        <f t="shared" si="258"/>
        <v/>
      </c>
      <c r="DJ49" s="250" t="str">
        <f t="shared" si="259"/>
        <v/>
      </c>
      <c r="DK49" s="250" t="str">
        <f t="shared" si="260"/>
        <v/>
      </c>
      <c r="DL49" s="250" t="str">
        <f t="shared" si="261"/>
        <v/>
      </c>
      <c r="DM49" s="250" t="str">
        <f>IF(CD49="ERROR", "ERROR", IF(AND(OR(Y49=$DM$6, Y49='Lookup Tables'!$AD$21, Y49='Lookup Tables'!$AD$22), E49="Interior"), BJ49, ""))</f>
        <v/>
      </c>
      <c r="DN49" s="250" t="str">
        <f>IF(CD49="ERROR", "ERROR", IF(AND(OR(Y49=$DM$6, Y49='Lookup Tables'!$AD$21, Y49='Lookup Tables'!$AD$22), E49="Exterior"), BJ49, ""))</f>
        <v/>
      </c>
      <c r="DO49" s="100"/>
      <c r="DP49" s="250" t="str">
        <f t="shared" si="198"/>
        <v/>
      </c>
      <c r="DQ49" s="250" t="str">
        <f t="shared" si="262"/>
        <v/>
      </c>
      <c r="DR49" s="250" t="str">
        <f t="shared" si="263"/>
        <v/>
      </c>
      <c r="DS49" s="250" t="str">
        <f t="shared" si="264"/>
        <v/>
      </c>
      <c r="DT49" s="250" t="str">
        <f t="shared" si="265"/>
        <v/>
      </c>
      <c r="DU49" s="250" t="str">
        <f t="shared" si="266"/>
        <v/>
      </c>
      <c r="DV49" s="250" t="str">
        <f t="shared" si="267"/>
        <v/>
      </c>
      <c r="DW49" s="250" t="str">
        <f t="shared" si="268"/>
        <v/>
      </c>
      <c r="DX49" s="250" t="str">
        <f t="shared" si="269"/>
        <v/>
      </c>
      <c r="DY49" s="250" t="str">
        <f t="shared" si="270"/>
        <v/>
      </c>
      <c r="DZ49" s="250" t="str">
        <f t="shared" si="271"/>
        <v/>
      </c>
      <c r="EA49" s="250" t="str">
        <f t="shared" si="272"/>
        <v/>
      </c>
      <c r="EB49" s="250" t="str">
        <f t="shared" si="273"/>
        <v/>
      </c>
      <c r="EC49" s="250" t="str">
        <f t="shared" si="274"/>
        <v/>
      </c>
      <c r="ED49" s="250" t="str">
        <f t="shared" si="275"/>
        <v/>
      </c>
      <c r="EE49" s="250" t="str">
        <f t="shared" si="276"/>
        <v/>
      </c>
      <c r="EF49" s="250" t="str">
        <f t="shared" si="277"/>
        <v/>
      </c>
      <c r="EG49" s="250" t="str">
        <f t="shared" si="278"/>
        <v/>
      </c>
      <c r="EH49" s="250" t="str">
        <f>IF(CD49="ERROR", "ERROR", IF(AND(OR($EH$6=Y49, Y49='Lookup Tables'!$AD$21, Y49='Lookup Tables'!$AD$22),E49="Interior"), SUM(BP49:BP49), ""))</f>
        <v/>
      </c>
      <c r="EI49" s="250" t="str">
        <f>IF(CD49="ERROR", "ERROR", IF(AND(OR($EH$6=Y49, Y49='Lookup Tables'!$AD$21, Y49='Lookup Tables'!$AD$22),E49="Exterior"), SUM(BP49:BP49), ""))</f>
        <v/>
      </c>
      <c r="EJ49" s="109"/>
      <c r="EK49" s="485" t="str">
        <f t="shared" si="58"/>
        <v/>
      </c>
      <c r="EL49" s="252" t="str">
        <f t="shared" si="279"/>
        <v/>
      </c>
      <c r="EM49" s="252" t="str">
        <f t="shared" si="280"/>
        <v/>
      </c>
      <c r="EN49" s="252" t="str">
        <f t="shared" si="281"/>
        <v/>
      </c>
      <c r="EO49" s="252" t="str">
        <f t="shared" si="282"/>
        <v/>
      </c>
      <c r="EP49" s="252" t="str">
        <f t="shared" si="283"/>
        <v/>
      </c>
      <c r="EQ49" s="252" t="str">
        <f t="shared" si="284"/>
        <v/>
      </c>
      <c r="ER49" s="252" t="str">
        <f t="shared" si="285"/>
        <v/>
      </c>
      <c r="ES49" s="252" t="str">
        <f t="shared" si="286"/>
        <v/>
      </c>
      <c r="ET49" s="252" t="str">
        <f t="shared" si="287"/>
        <v/>
      </c>
      <c r="EU49" s="252" t="str">
        <f t="shared" si="288"/>
        <v/>
      </c>
      <c r="EV49" s="252" t="str">
        <f t="shared" si="289"/>
        <v/>
      </c>
      <c r="EW49" s="252" t="str">
        <f t="shared" si="290"/>
        <v/>
      </c>
      <c r="EX49" s="252" t="str">
        <f t="shared" si="291"/>
        <v/>
      </c>
      <c r="EY49" s="252" t="str">
        <f t="shared" si="292"/>
        <v/>
      </c>
      <c r="EZ49" s="252" t="str">
        <f t="shared" si="293"/>
        <v/>
      </c>
      <c r="FA49" s="252" t="str">
        <f t="shared" si="294"/>
        <v/>
      </c>
      <c r="FB49" s="252" t="str">
        <f t="shared" si="295"/>
        <v/>
      </c>
      <c r="FC49" s="252" t="str">
        <f>IF(CD49="ERROR", "ERROR", IF(OR(V49="No Change", V49="Not DLC or Energy Star"), "", IF(AND(OR($FC$6=Y49,Y49='Lookup Tables'!$AD$21, Y49='Lookup Tables'!$AD$22),E49="Interior"), S49, "")))</f>
        <v/>
      </c>
      <c r="FD49" s="252" t="str">
        <f t="shared" si="296"/>
        <v/>
      </c>
      <c r="FE49" s="101"/>
      <c r="FF49" s="579" t="str" cm="1">
        <f t="array" ref="FF49">IFERROR(IF(OR(BQ49&lt;=0,AQ49&lt;20,AND(V49="Exit Signs",AN49&gt;0)),"",IF(AND(AQ49&gt;=20,AN49='Lookup Tables'!$R$101),'Lookup Tables'!$U$101*BQ49,AP49*LOOKUP(2,1/((AN49='Lookup Tables'!$R$91:$R$111)*(AQ49&gt;='Lookup Tables'!$S$91:$S$111)*(AQ49&lt;='Lookup Tables'!$T$91:$T$111)),'Lookup Tables'!$U$91:$U$111))),"")</f>
        <v/>
      </c>
      <c r="FG49" s="579"/>
      <c r="FH49" s="579"/>
      <c r="FI49" s="253" t="str">
        <f>IFERROR(ROUND(IF(CD49="ERROR", "ERROR", IF(AND($FI$7=X49,E49="Interior"),VLOOKUP(W49, 'Lookup Tables'!$AI$6:$AM$102, 5, FALSE)*BP49, "")), 2), "")</f>
        <v/>
      </c>
      <c r="FJ49" s="253" t="str">
        <f>IFERROR(ROUND(IF(CD49="ERROR", "ERROR", IF(AND($FI$7=X49,E49="Exterior"),VLOOKUP(W49, 'Lookup Tables'!$AI$6:$AM$102, 5, FALSE)*BP49, "")), 2), "")</f>
        <v/>
      </c>
      <c r="FK49" s="253" t="str">
        <f>IFERROR(ROUND(IF(CD49="ERROR", "ERROR", IF(AND($FK$7=X49,E49="Interior"),VLOOKUP(W49, 'Lookup Tables'!$AI$6:$AM$102, 5, FALSE)*BP49, "")), 2), "")</f>
        <v/>
      </c>
      <c r="FL49" s="253" t="str">
        <f>IFERROR(ROUND(IF(CD49="ERROR", "ERROR", IF(AND($FK$7=X49,E49="Exterior"),VLOOKUP(W49, 'Lookup Tables'!$AI$6:$AM$102, 5, FALSE)*BP49, "")), 2), "")</f>
        <v/>
      </c>
      <c r="FM49" s="253" t="str">
        <f>IFERROR(ROUND(IF(CD49="ERROR", "ERROR", IF(AND($FM$6=Y49,E49="Interior"), IF(GB49=0, VLOOKUP(W49, 'Lookup Tables'!$AI$6:$AM$102, 5, FALSE)*BP49, IF(VLOOKUP(W49, 'Lookup Tables'!$AI$6:$AM$102, 5, FALSE)*BP49&gt;GB49*'Lighting Inventory'!S49, GB49*'Lighting Inventory'!S49,VLOOKUP(W49, 'Lookup Tables'!$AI$6:$AM$102, 5, FALSE)*BP49)), "")), 2), "")</f>
        <v/>
      </c>
      <c r="FN49" s="253" t="str">
        <f>IFERROR(ROUND(IF(CD49="ERROR", "ERROR", IF(AND($FM$6=Y49,E49="Exterior"), IF(GB49=0, VLOOKUP(W49, 'Lookup Tables'!$AI$6:$AM$102, 5, FALSE)*BP49, IF(VLOOKUP(W49, 'Lookup Tables'!$AI$6:$AM$102, 5, FALSE)*BP49&gt;GB49*'Lighting Inventory'!S49, GB49*'Lighting Inventory'!S49,VLOOKUP(W49, 'Lookup Tables'!$AI$6:$AM$102, 5, FALSE)*BP49)), "")), 2), "")</f>
        <v/>
      </c>
      <c r="FO49" s="253" t="str">
        <f>IFERROR(ROUND(IF(CD49="ERROR", "ERROR", IF(AND($FO$6=Y49,E49="Interior"),VLOOKUP(W49, 'Lookup Tables'!$AI$6:$AM$102, 5, FALSE)*'Lighting Inventory'!AI49, "")), 2), "")</f>
        <v/>
      </c>
      <c r="FP49" s="253" t="str">
        <f>IFERROR(ROUND(IF(CD49="ERROR", "ERROR", IF(AND($FO$6=Y49,E49="Exterior"),VLOOKUP(W49, 'Lookup Tables'!$AI$6:$AM$102, 5, FALSE)*'Lighting Inventory'!AI49, "")), 2), "")</f>
        <v/>
      </c>
      <c r="FQ49" s="253" t="str">
        <f>IFERROR(ROUND(IF(CD49="ERROR", "ERROR", IF(AND($FQ$6=Y49,E49="Interior", BU49="Y"), VLOOKUP('Lighting Inventory'!W49, 'Lookup Tables'!$AI$6:$AM$102, 5, FALSE)*'Lighting Inventory'!S49, IF(AND($FQ$7=Y49,E49="Interior", BU49="N"), 0.025*CD49, ""))), 2), "")</f>
        <v/>
      </c>
      <c r="FR49" s="253" t="str">
        <f>IFERROR(ROUND(IF(CD49="ERROR", "ERROR", IF(AND($FQ$6=Y49,E49="Exterior"), VLOOKUP('Lighting Inventory'!W49, 'Lookup Tables'!$AI$6:$AM$102, 5, FALSE)*'Lighting Inventory'!S49, "")), 2), "")</f>
        <v/>
      </c>
      <c r="FS49" s="253" t="str">
        <f>IFERROR(ROUND(IF(CD49="ERROR", "ERROR", IF(AND($FS$6=Y49,E49="Exterior"), IF(GB49=0, VLOOKUP(W49, 'Lookup Tables'!$AI$6:$AM$102, 5, FALSE)*BP49, IF(VLOOKUP(W49, 'Lookup Tables'!$AI$6:$AM$102, 5, FALSE)*BP49&gt;GB49*'Lighting Inventory'!S49, GB49*'Lighting Inventory'!S49,VLOOKUP(W49, 'Lookup Tables'!$AI$6:$AM$102, 5, FALSE)*BP49)), "")), 2), "")</f>
        <v/>
      </c>
      <c r="FT49" s="253" t="str">
        <f>IFERROR(ROUND(IF(CD49="ERROR", "ERROR", IF(AND($FT$6=Y49,E49="Interior"), IF(GB49=0, VLOOKUP(W49, 'Lookup Tables'!$AI$6:$AM$102, 5, FALSE)*BP49, IF(VLOOKUP(W49, 'Lookup Tables'!$AI$6:$AM$102, 5, FALSE)*BP49&gt;GB49*'Lighting Inventory'!S49, GB49*'Lighting Inventory'!S49,VLOOKUP(W49, 'Lookup Tables'!$AI$6:$AM$102, 5, FALSE)*BP49)), "")), 2), "")</f>
        <v/>
      </c>
      <c r="FU49" s="253" t="str">
        <f>IFERROR(ROUND(IF(CD49="ERROR", "ERROR", IF(AND(Y49=$FU$6, E49="Interior"), IF(BS49="N", 'Lookup Tables'!$AM$101*BP49, VLOOKUP(W49, 'Lookup Tables'!$AI$6:$AM$102, 5, FALSE)*S49*AD49), "")), 2), "")</f>
        <v/>
      </c>
      <c r="FV49" s="253" t="str">
        <f>IFERROR(ROUND(IF(CD49="ERROR", "ERROR", IF(AND(Y49=$FU$6, E49="Exterior"), IF(BS49="N", 'Lookup Tables'!$AM$101*BP49, VLOOKUP(W49, 'Lookup Tables'!$AI$6:$AM$102, 5, FALSE)*S49*AD49), "")), 2), "")</f>
        <v/>
      </c>
      <c r="FW49" s="253" t="str">
        <f>IFERROR(ROUND(IF(CD49="ERROR", "ERROR", IF($FW$6=Y49, IF(BS49="N", 'Lookup Tables'!$AM$101*BP49, MIN((VLOOKUP(W49, 'Lookup Tables'!$AI$6:$AM$102, 5, FALSE)*BP49),GB49*AJ49)), "")), 2), "")</f>
        <v/>
      </c>
      <c r="FX49" s="253" t="str">
        <f>IFERROR(ROUND(IF(CD49="ERROR", "ERROR", IF(AND($FX$6=Y49, E49="Interior"), IF(VLOOKUP(W49, 'Lookup Tables'!$AI$6:$AM$102, 5, FALSE)*BP49&gt;'Lookup Tables'!$AQ$97*'Lighting Inventory'!S49,'Lighting Inventory'!S49*'Lookup Tables'!$AQ$97,VLOOKUP(W49, 'Lookup Tables'!$AI$6:$AM$102, 5, FALSE)*BP49), "")), 2), "")</f>
        <v/>
      </c>
      <c r="FY49" s="253" t="str">
        <f>IFERROR(ROUND(IF(CD49="ERROR", "ERROR", IF(AND($FX$6=Y49, E49="Exterior"), IF(VLOOKUP(W49, 'Lookup Tables'!$AI$6:$AM$102, 5, FALSE)*BP49&gt;'Lookup Tables'!$AQ$97*'Lighting Inventory'!S49,'Lighting Inventory'!S49*'Lookup Tables'!$AQ$97,VLOOKUP(W49, 'Lookup Tables'!$AI$6:$AM$102, 5, FALSE)*BP49), "")), 2), "")</f>
        <v/>
      </c>
      <c r="FZ49" s="253" t="str">
        <f>IFERROR(ROUND(IF(CD49="ERROR", "ERROR", IF(AND($FZ$6=Y49, E49="Interior"), IF(AND(OR(W49="Refrigerated Case Lighting with Doors", W49="Freezer Case Lighting"),Y49="Custom - Process Improvement"),CD49*'Lookup Tables'!$AM$101, IF(B49="Retrofit", IF(VLOOKUP(IF(V49="Custom", V49, W49), 'Lookup Tables'!$AI$6:$AM$102, 5, FALSE)*BP49&gt;GE49, GE49, VLOOKUP(IF(V49="Custom", V49, W49), 'Lookup Tables'!$AI$6:$AM$102, 5, FALSE)*BP49), IF(VLOOKUP(IF(V49="Custom", V49, W49), 'Lookup Tables'!$AI$114:$AM$154, 5, FALSE)*BP49&gt;GE49, GE49, VLOOKUP(IF(V49="Custom", V49, W49), 'Lookup Tables'!$AI$114:$AM$154, 5, FALSE)*BP49))), "")), 2),"")</f>
        <v/>
      </c>
      <c r="GA49" s="253" t="str">
        <f>IFERROR(ROUND(IF(CD49="ERROR", "ERROR", IF(AND($FZ$6=Y49, E49="Exterior"), IF(B49="Retrofit", IF(VLOOKUP(IF(V49="Custom", V49, W49), 'Lookup Tables'!$AI$6:$AM$102, 5, FALSE)*BP49&gt;GE49, GE49, VLOOKUP(IF(V49="Custom", V49, W49), 'Lookup Tables'!$AI$6:$AM$102, 5, FALSE)*BP49), IF(VLOOKUP(IF(V49="Custom", V49, W49), 'Lookup Tables'!$AI$114:$AM$154, 5, FALSE)*BP49&gt;GE49, GE49, VLOOKUP(IF(V49="Custom", V49, W49), 'Lookup Tables'!$AI$114:$AM$154, 5, FALSE)*BP49)), "")), 2),"")</f>
        <v/>
      </c>
      <c r="GB49" s="254" t="str">
        <f t="array" ref="GB49">IF(B49="","",IF(OR(V49="Custom",V49="No Change"),0,IF(B49="Retrofit", INDEX('Lookup Tables'!$AH$6:$AQ$102,MATCH(1,('Lookup Tables'!$AH$6:$AH$102='Lighting Inventory'!V49)*('Lookup Tables'!$AI$6:$AI$102='Lighting Inventory'!W49),FALSE),10),INDEX('Lookup Tables'!$AH$114:$AQ$154,MATCH(1,('Lookup Tables'!$AH$114:$AH$154='Lighting Inventory'!V49)*('Lookup Tables'!$AI$114:$AI$154='Lighting Inventory'!W49),FALSE),10))))</f>
        <v/>
      </c>
      <c r="GC49" s="255" t="str">
        <f t="shared" si="77"/>
        <v/>
      </c>
      <c r="GD49" s="250" t="str">
        <f t="shared" si="78"/>
        <v/>
      </c>
      <c r="GE49" s="253" t="str">
        <f>IFERROR(IF(AND(AF49="", 'General Information'!$F$18="No"),"", IF(AF49="", ((GD49/$CD$266)*$CF$266)*0.5, AF49*S49*0.5)), "")</f>
        <v/>
      </c>
      <c r="GF49" s="255" t="str">
        <f>IF(AND('General Information'!$F$19="", 'General Information'!$F$18="Yes",AF49="",BW49="Y"), "Y", "N")</f>
        <v>N</v>
      </c>
      <c r="GG49" s="255" t="s">
        <v>2946</v>
      </c>
      <c r="GH49" s="255" t="str">
        <f>IFERROR(IF(B49="", "", VLOOKUP(J49, 'Fixture Identities'!$A$6:$N$908, 14, FALSE)), "")</f>
        <v/>
      </c>
      <c r="GI49" s="389" t="str">
        <f>IF(OR(B49="", V49="", W49=""), "", IF(AND(OR(M49='Lookup Tables'!$R$18, M49='Lookup Tables'!$R$19, M49='Lookup Tables'!$R$20, M49='Lookup Tables'!$R$21, M49='Lookup Tables'!$R$22), OR(AN49='Lookup Tables'!$R$17, AN49='Lookup Tables'!$R$17, AN49="")), "Y", "N"))</f>
        <v/>
      </c>
      <c r="GJ49" s="255" t="str">
        <f t="shared" si="79"/>
        <v/>
      </c>
      <c r="GK49" s="255" t="str">
        <f t="shared" si="80"/>
        <v/>
      </c>
      <c r="GL49" s="255" t="str">
        <f t="shared" si="81"/>
        <v/>
      </c>
      <c r="GM49" s="255" t="str">
        <f>IF(AN49="", "", IF(AND(IF(ISNA(VLOOKUP(AN49,'Lookup Tables'!$R$18:$R$22,1,FALSE)), "N", "Y")="Y", E49="Exterior"), "Y", "N"))</f>
        <v/>
      </c>
      <c r="GN49" s="395"/>
      <c r="GO49" s="428">
        <f t="shared" si="98"/>
        <v>0</v>
      </c>
      <c r="GP49" s="428">
        <f t="shared" si="167"/>
        <v>0</v>
      </c>
      <c r="GQ49" s="428">
        <f t="shared" si="99"/>
        <v>0</v>
      </c>
      <c r="GR49" s="428">
        <f t="shared" si="100"/>
        <v>0</v>
      </c>
    </row>
    <row r="50" spans="1:200" s="103" customFormat="1" ht="13.5" customHeight="1" x14ac:dyDescent="0.2">
      <c r="A50" s="272">
        <v>40</v>
      </c>
      <c r="B50" s="110"/>
      <c r="C50" s="110"/>
      <c r="D50" s="110"/>
      <c r="E50" s="110"/>
      <c r="F50" s="110"/>
      <c r="G50" s="110"/>
      <c r="H50" s="110"/>
      <c r="I50" s="29"/>
      <c r="J50" s="29"/>
      <c r="K50" s="272" t="str">
        <f>IFERROR(IF(OR(VLOOKUP(J50, 'Fixture Identities'!$A$6:$L$1023, 3, FALSE)="T12 Linear Fluorescent", VLOOKUP(J50, 'Fixture Identities'!$A$6:$L$1023, 3, FALSE)="T12 U-Tube Fluorescent"), VLOOKUP(VLOOKUP(J50, 'Fixture Identities'!$A$6:$L$1023, 11, FALSE), 'Fixture Identities'!$A$6:$L$1023, 10, FALSE), VLOOKUP(J50, 'Fixture Identities'!$A$6:$L$1023, 10, FALSE)), "")</f>
        <v/>
      </c>
      <c r="L50" s="270" t="str">
        <f t="shared" si="169"/>
        <v/>
      </c>
      <c r="M50" s="110"/>
      <c r="N50" s="110"/>
      <c r="O50" s="110"/>
      <c r="P50" s="272" t="str">
        <f>IFERROR(IF(OR(B50="Retrofit",B50=""),"",IF('Lighting Inventory'!E50="Exterior",VLOOKUP('Lighting Inventory'!N50,'Lookup Tables'!$B$83:$F$103,5,FALSE),IF(N50="Other - Please Estimate EFLH and CFs","Contact Prog. Rep.","ft^2"))), "")</f>
        <v/>
      </c>
      <c r="Q50" s="270" t="str">
        <f>IFERROR(IF(AND(B50="New Construction",E50="Interior",$F$5="Space-by-Space"),VLOOKUP('Lighting Inventory'!N50,'Lookup Tables'!$N$6:$O$97,2,FALSE),IF(AND(B50="New Construction",E50="Exterior"),VLOOKUP(N50,'Lookup Tables'!$B$83:$F$103,2,FALSE),IF(AND(B50="New Construction",'Lighting Inventory'!E50="Interior", $F$5="Building Area"),VLOOKUP(F50,'Lookup Tables'!$A$6:$J$59,10,FALSE),""))), "")</f>
        <v/>
      </c>
      <c r="R50" s="270" t="str">
        <f>IFERROR(IF(P50="Contact Prog. Rep.", "ERROR", IF(OR(B50="",B50="Retrofit"),"",IF(N50="Automated teller machines", ('Lookup Tables'!$A$82:$E$100+('Lighting Inventory'!O50-1)*'Lookup Tables'!$A$82:$E$100)/1000, (Q50*O50)/1000))), "")</f>
        <v/>
      </c>
      <c r="S50" s="595"/>
      <c r="T50" s="105" t="str">
        <f t="shared" si="83"/>
        <v/>
      </c>
      <c r="U50" s="105" t="str">
        <f>IF(S50="","",COUNT($S$11:S50))</f>
        <v/>
      </c>
      <c r="V50" s="111"/>
      <c r="W50" s="112"/>
      <c r="X50" s="105" t="str">
        <f t="shared" si="84"/>
        <v/>
      </c>
      <c r="Y50" s="105" t="str">
        <f t="array" ref="Y50">IF(AND(OR(W50="Freezer Case Lighting", W50="Refrigerated Case Lighting with Doors"), 'General Information'!$X$18="LCI"),'Lookup Tables'!$Y$34, IF(V50="Custom", VLOOKUP(W50, 'Fixture Identities'!$A$974:$M$1023, 13, FALSE), IF(V50="No Change",'Lookup Tables'!$Y$29,IF(OR(V50="",W50=""),"",IF(AND(S50=0,S50&lt;I50,B50="Retrofit"),'Lookup Tables'!$Y$25, IF(B50="Retrofit", INDEX('Lookup Tables'!$AH$6:$AP$102, MATCH(1, ('Lookup Tables'!$AH$6:$AH$102=V50)*('Lookup Tables'!$AI$6:$AI$102=W50), 0), IF('Lighting Inventory'!E50="Interior", 4, 5)), INDEX('Lookup Tables'!$AH$114:$AP$154, MATCH(1, ('Lookup Tables'!$AH$114:$AH$154=V50)*('Lookup Tables'!$AI$114:$AI$154=W50), 0), IF('Lighting Inventory'!E50="Interior", 4, 5))))))))</f>
        <v/>
      </c>
      <c r="Z50" s="105" t="str">
        <f>IFERROR(INDEX('Lookup Tables'!$AH$158:$AH$172,MATCH('Lighting Inventory'!Y50,'Lookup Tables'!$AI$158:$AI$172,0)),"")</f>
        <v/>
      </c>
      <c r="AA50" s="105" t="str">
        <f>IF(AP50&gt;0,INDEX('Lookup Tables'!$AK$158:$AK$172,MATCH('Lighting Inventory'!Y50,'Lookup Tables'!$AI$158:$AI$172,0)),'Lighting Inventory'!Y50)</f>
        <v/>
      </c>
      <c r="AB50" s="105" t="str">
        <f t="array" ref="AB50">IF(V50="Custom", "Custom", IF(V50="", "", IF(V50="Not DLC or Energy Star", "General", IF(B50="New Construction", INDEX('Lookup Tables'!$AH$114:$AP$154,MATCH(1,('Lookup Tables'!$AH$114:$AH$154='Lighting Inventory'!V50)*('Lookup Tables'!$AI$114:$AI$154='Lighting Inventory'!W50),FALSE),8), INDEX('Lookup Tables'!$AH$6:$AP$102,MATCH(1,('Lookup Tables'!$AH$6:$AH$102='Lighting Inventory'!V50)*('Lookup Tables'!$AI$6:$AI$102='Lighting Inventory'!W50),FALSE),8)))))</f>
        <v/>
      </c>
      <c r="AC50" s="272" t="str">
        <f>IF(W50="","",IF(V50="Custom",CONCATENATE("$",'Lookup Tables'!$AM$101," ",'Lookup Tables'!$AN$101),CONCATENATE("$",INDEX('Lookup Tables'!$AM$6:$AM$102,MATCH('Lighting Inventory'!W50,'Lookup Tables'!$AI$6:$AI$102,0))," ",INDEX('Lookup Tables'!$AN$6:$AN$102,MATCH('Lighting Inventory'!W50,'Lookup Tables'!$AI$6:$AI$102,0)))))</f>
        <v/>
      </c>
      <c r="AD50" s="72"/>
      <c r="AE50" s="29"/>
      <c r="AF50" s="379"/>
      <c r="AG50" s="370" t="str">
        <f t="shared" si="2"/>
        <v/>
      </c>
      <c r="AH50" s="370" t="str">
        <f t="shared" si="85"/>
        <v/>
      </c>
      <c r="AI50" s="29"/>
      <c r="AJ50" s="29"/>
      <c r="AK50" s="110"/>
      <c r="AL50" s="375" t="str">
        <f>IF(OR(B50="", V50="", W50=""), "", IF(V50="No Change", K50, IF(V50="Remove Fixture", 0, IF(V50="Custom",VLOOKUP(W50,'Fixture Identities'!$A$6:$K$1023,10,FALSE),IF(AE50="", "← ENTER POST WATTS", 'Lighting Inventory'!AE50)))))</f>
        <v/>
      </c>
      <c r="AM50" s="376" t="str">
        <f t="shared" si="3"/>
        <v/>
      </c>
      <c r="AN50" s="29"/>
      <c r="AO50" s="671"/>
      <c r="AP50" s="29"/>
      <c r="AQ50" s="29"/>
      <c r="AR50" s="29"/>
      <c r="AS50" s="272" t="str">
        <f t="shared" si="4"/>
        <v/>
      </c>
      <c r="AT50" s="270" t="str">
        <f t="shared" si="234"/>
        <v/>
      </c>
      <c r="AU50" s="88" t="str">
        <f t="shared" si="235"/>
        <v/>
      </c>
      <c r="AV50" s="29"/>
      <c r="AW50" s="73"/>
      <c r="AX50" s="271" t="str">
        <f>IF(AND(AV50="Applicant",OR(AW50="", AW50="Use Default Facility Hours")),"← Choose Schedule",IF(F50="","",IF(W50="LED Exit Signs",8760,IF(OR(AV50="Prescribed",AV50=""),VLOOKUP(F50,'Lookup Tables'!$A$6:$G$59,IF(AB50="General", 6, 3),FALSE),VLOOKUP(AW50,'Lookup Tables'!$S$36:$U$43,2,FALSE)))))</f>
        <v/>
      </c>
      <c r="AY50" s="88" t="str">
        <f t="shared" si="7"/>
        <v/>
      </c>
      <c r="AZ50" s="270" t="str">
        <f>IFERROR(IF(F50="", "", IF(W50="LED Exit Signs", 1, IF(AV50="Applicant",VLOOKUP(AW50, 'Lookup Tables'!$S$36:$U$43,3, FALSE), VLOOKUP('Lighting Inventory'!F50, 'Lookup Tables'!$A$6:$H$59, IF('Lighting Inventory'!AB50="General",7,4), FALSE)))), "")</f>
        <v/>
      </c>
      <c r="BA50" s="522" t="str">
        <f>IFERROR(IF(F50="", "", IF(W50="LED Exit Signs", 1, VLOOKUP('Lighting Inventory'!F50, 'Lookup Tables'!$A$6:$H$59, IF('Lighting Inventory'!AB50="General",8,5), FALSE))), "")</f>
        <v/>
      </c>
      <c r="BB50" s="270" t="str">
        <f>IF(G50="", "", IF(E50="Exterior", 0, IF('Lighting Inventory'!G50="Air Conditioned", VLOOKUP(H50, 'Lookup Tables'!$R$6:$T$13, 2, FALSE), VLOOKUP('Lighting Inventory'!G50, 'Lookup Tables'!$R$6:$T$13, 2, FALSE))))</f>
        <v/>
      </c>
      <c r="BC50" s="522" t="str">
        <f>IF(G50="", "", IF(E50="Exterior", 0, IF('Lighting Inventory'!G50="Air Conditioned", VLOOKUP(H50, 'Lookup Tables'!$R$6:$T$13, 3, FALSE), VLOOKUP('Lighting Inventory'!G50, 'Lookup Tables'!$R$6:$T$13, 3, FALSE))))</f>
        <v/>
      </c>
      <c r="BD50" s="270" t="str">
        <f>IF(G50="", "", IF(E50="Exterior", 0, IF('Lighting Inventory'!G50="Air Conditioned", VLOOKUP(H50, 'Lookup Tables'!$R$6:$U$13, 4, FALSE), VLOOKUP('Lighting Inventory'!G50, 'Lookup Tables'!$R$6:$U$13, 4, FALSE))))</f>
        <v/>
      </c>
      <c r="BE50" s="270" t="str">
        <f>IFERROR(IF(B50="", "",  IF(B50="New Construction", VLOOKUP(F50, 'Lookup Tables'!$A$6:$K$59, 11, FALSE),IF(OR(AN50="", AN50="Light Switch"), 0, IF(OR(M50="",M50="None",V50= "LED Exit Signs"),0,_xlfn.XLOOKUP(M50,'Lookup Tables'!$R$91:$R$101,'Lookup Tables'!$V$91:$V$101))))), "")</f>
        <v/>
      </c>
      <c r="BF50" s="270" t="str">
        <f>IF(AND(OR(AN50="Light Switch",AN50=""),B50="New Construction"), VLOOKUP(F50, 'Lookup Tables'!$A$6:$K$59, 11, FALSE),IF(AN50="","",IF(B50="","",IF(OR(AN50="None",AN50="",V50="LED Exit Signs",AN50="Exterior Controls Not Eligible"),0,_xlfn.XLOOKUP(AN50,'Lookup Tables'!$R$91:$R$101,'Lookup Tables'!$V$91:$V$101)))))</f>
        <v/>
      </c>
      <c r="BG50" s="88" t="str">
        <f t="shared" si="86"/>
        <v/>
      </c>
      <c r="BH50" s="88" t="str">
        <f t="shared" ref="BH50" si="297">IFERROR(IF(OR(E50="",V50="LED Exit Signs"),"", AM50*(BF50-BE50)*(1+BB50)),0)</f>
        <v/>
      </c>
      <c r="BI50" s="558" t="str">
        <f t="shared" si="168"/>
        <v/>
      </c>
      <c r="BJ50" s="82" t="str">
        <f t="shared" si="88"/>
        <v/>
      </c>
      <c r="BK50" s="82" t="str">
        <f t="shared" si="89"/>
        <v/>
      </c>
      <c r="BL50" s="559" t="str">
        <f t="shared" si="90"/>
        <v/>
      </c>
      <c r="BM50" s="521" t="str">
        <f t="shared" si="8"/>
        <v/>
      </c>
      <c r="BN50" s="521" t="str">
        <f t="shared" si="9"/>
        <v/>
      </c>
      <c r="BO50" s="522" t="str">
        <f t="shared" si="10"/>
        <v/>
      </c>
      <c r="BP50" s="83" t="str">
        <f t="shared" si="91"/>
        <v/>
      </c>
      <c r="BQ50" s="84" t="str">
        <f t="shared" si="92"/>
        <v/>
      </c>
      <c r="BR50" s="184" t="str">
        <f>IFERROR(IF(B50="", "", IF(OR(VLOOKUP(J50, 'Fixture Identities'!$A$6:$L$1023, 3, FALSE)="T12 Linear Fluorescent",VLOOKUP(J50, 'Fixture Identities'!$A$6:$L$1023, 3, FALSE)="T12 U-Tube Fluorescent"), "Y", "N")), "N")</f>
        <v/>
      </c>
      <c r="BS50" s="184" t="str">
        <f t="array" ref="BS50">IFERROR(IF(OR(B50="", V50="", W50=""), "", IF(V50="Custom", "N", IF(OR(W50="Freezer Case Lighting", W50="Refrigerated Case Lighting with Doors"), BT50, IF(B50="Retrofit", INDEX('Lookup Tables'!$AH$6:$AT$102,MATCH(1,('Lookup Tables'!$AH$6:$AH$102=V50)*('Lookup Tables'!$AI$6:$AI$102=W50),FALSE),IF(VLOOKUP(J50, 'Fixture Identities'!$A$6:$B$1023, 2, FALSE)="Incandescent",12, 13)), INDEX('Lookup Tables'!$AH$114:$AS$154,MATCH(1,('Lookup Tables'!$AH$114:$AH$154=V50)*('Lookup Tables'!$AI$114:$AI$154=W50),FALSE),12))))), "N")</f>
        <v/>
      </c>
      <c r="BT50" s="184" t="str">
        <f>IF(J50="", "", IF(AND(OR(W50="Freezer case Lighting", W50="Refrigerated Case Lighting with Doors"),'General Information'!$X$18="LCI"), "N", IF(OR(VLOOKUP(J50, 'Fixture Identities'!$A$6:$B$1023, 2, FALSE)="T12 EPACT/EISA Baseline", VLOOKUP(J50, 'Fixture Identities'!$A$6:$B$1023, 2, FALSE)="Linear Fluorescent", VLOOKUP(J50, 'Fixture Identities'!$A$6:$B$1023, 2, FALSE)="U-Tube Fluorescent"), "Y", "N")))</f>
        <v/>
      </c>
      <c r="BU50" s="184" t="str">
        <f>IFERROR(IF(B50="", "", IF(VLOOKUP(J50, 'Fixture Identities'!$A$6:$B$1023, 2, FALSE)="Exit Sign", "Y", "N")), "N")</f>
        <v/>
      </c>
      <c r="BV50" s="184" t="str">
        <f>IF(V50="Exit Signs", IF(VLOOKUP(J50, 'Fixture Identities'!$A$6:$B$1023, 2, FALSE)="Exit Sign", "N", "Y"), "")</f>
        <v/>
      </c>
      <c r="BW50" s="184" t="str">
        <f t="array" ref="BW50">IFERROR(IF(B50="", "", IF(B50="New Construction", "N", INDEX('Lookup Tables'!$AH$6:$AU$102, MATCH(1, ('Lookup Tables'!$AH$6:$AH$102='Lighting Inventory'!V50)*('Lookup Tables'!$AI$6:$AI$102='Lighting Inventory'!W50), 0), 14))), "N")</f>
        <v/>
      </c>
      <c r="BX50" s="598" t="str">
        <f t="shared" si="93"/>
        <v/>
      </c>
      <c r="BY50" s="598" t="str">
        <f t="shared" si="94"/>
        <v/>
      </c>
      <c r="BZ50" s="598" t="str">
        <f t="shared" si="95"/>
        <v/>
      </c>
      <c r="CA50" s="598" t="str">
        <f t="shared" si="101"/>
        <v/>
      </c>
      <c r="CB50" s="269" t="str">
        <f t="shared" si="102"/>
        <v/>
      </c>
      <c r="CC50" s="517" t="str">
        <f t="shared" si="96"/>
        <v/>
      </c>
      <c r="CD50" s="565" t="str">
        <f t="shared" si="11"/>
        <v/>
      </c>
      <c r="CE50" s="368">
        <v>0</v>
      </c>
      <c r="CF50" s="368" t="str" cm="1">
        <f t="array" ref="CF50">IFERROR(IF(V50="Custom", "$0.1 per kWh", IF(B50="New Construction", CONCATENATE("$",INDEX('Lookup Tables'!$AH$114:$AN$154,MATCH(1,('Lookup Tables'!$AH$114:$AH$154='Lighting Inventory'!V50)*('Lookup Tables'!$AI$114:$AI$154='Lighting Inventory'!W50),FALSE),6)," ",INDEX('Lookup Tables'!$AH$114:$AN$154,MATCH(1,('Lookup Tables'!$AH$114:$AH$154='Lighting Inventory'!V50)*('Lookup Tables'!$AI$114:$AI$154='Lighting Inventory'!W50),FALSE),7)), IF(AND(BU50="N", V50="Exit Signs"), "$0.025 per kWh", CONCATENATE("$",INDEX('Lookup Tables'!$AH$6:$AN$102,MATCH(1,('Lookup Tables'!$AH$6:$AH$102='Lighting Inventory'!V50)*('Lookup Tables'!$AI$6:$AI$102='Lighting Inventory'!W50),FALSE),6)," ",INDEX('Lookup Tables'!$AH$6:$AN$102,MATCH(1,('Lookup Tables'!$AH$6:$AH$102='Lighting Inventory'!V50)*('Lookup Tables'!$AI$6:$AI$102='Lighting Inventory'!W50),FALSE),7))))), "")</f>
        <v/>
      </c>
      <c r="CG50" s="366"/>
      <c r="CH50" s="248" t="str">
        <f t="shared" si="236"/>
        <v/>
      </c>
      <c r="CI50" s="248" t="str">
        <f t="shared" si="237"/>
        <v>Select_IE</v>
      </c>
      <c r="CJ50" s="248" t="str">
        <f t="shared" si="238"/>
        <v/>
      </c>
      <c r="CK50" s="248" t="str">
        <f t="shared" si="239"/>
        <v/>
      </c>
      <c r="CL50" s="248" t="str">
        <f t="shared" si="240"/>
        <v/>
      </c>
      <c r="CM50" s="248" t="str">
        <f>IFERROR(IF(B50="", "", IF(B50="New Construction", VLOOKUP(V50, 'Lookup Tables'!$AF$114:$AG$120, 2, FALSE), VLOOKUP(V50, 'Lookup Tables'!$AD$6:$AE$25, 2, FALSE))), "")</f>
        <v/>
      </c>
      <c r="CN50" s="248" t="str">
        <f t="shared" si="175"/>
        <v/>
      </c>
      <c r="CO50" s="248" t="str">
        <f t="shared" si="241"/>
        <v/>
      </c>
      <c r="CP50" s="592" t="str">
        <f t="shared" si="242"/>
        <v/>
      </c>
      <c r="CQ50" s="248" t="str">
        <f t="shared" si="97"/>
        <v/>
      </c>
      <c r="CR50" s="249"/>
      <c r="CS50" s="250" t="str">
        <f t="shared" si="178"/>
        <v/>
      </c>
      <c r="CT50" s="250" t="str">
        <f t="shared" si="243"/>
        <v/>
      </c>
      <c r="CU50" s="250" t="str">
        <f t="shared" si="244"/>
        <v/>
      </c>
      <c r="CV50" s="250" t="str">
        <f t="shared" si="245"/>
        <v/>
      </c>
      <c r="CW50" s="250" t="str">
        <f t="shared" si="246"/>
        <v/>
      </c>
      <c r="CX50" s="250" t="str">
        <f t="shared" si="247"/>
        <v/>
      </c>
      <c r="CY50" s="250" t="str">
        <f t="shared" si="248"/>
        <v/>
      </c>
      <c r="CZ50" s="250" t="str">
        <f t="shared" si="249"/>
        <v/>
      </c>
      <c r="DA50" s="250" t="str">
        <f t="shared" si="250"/>
        <v/>
      </c>
      <c r="DB50" s="250" t="str">
        <f t="shared" si="251"/>
        <v/>
      </c>
      <c r="DC50" s="250" t="str">
        <f t="shared" si="252"/>
        <v/>
      </c>
      <c r="DD50" s="250" t="str">
        <f t="shared" si="253"/>
        <v/>
      </c>
      <c r="DE50" s="250" t="str">
        <f t="shared" si="254"/>
        <v/>
      </c>
      <c r="DF50" s="250" t="str">
        <f t="shared" si="255"/>
        <v/>
      </c>
      <c r="DG50" s="250" t="str">
        <f t="shared" si="256"/>
        <v/>
      </c>
      <c r="DH50" s="250" t="str">
        <f t="shared" si="257"/>
        <v/>
      </c>
      <c r="DI50" s="250" t="str">
        <f t="shared" si="258"/>
        <v/>
      </c>
      <c r="DJ50" s="250" t="str">
        <f t="shared" si="259"/>
        <v/>
      </c>
      <c r="DK50" s="250" t="str">
        <f t="shared" si="260"/>
        <v/>
      </c>
      <c r="DL50" s="250" t="str">
        <f t="shared" si="261"/>
        <v/>
      </c>
      <c r="DM50" s="250" t="str">
        <f>IF(CD50="ERROR", "ERROR", IF(AND(OR(Y50=$DM$6, Y50='Lookup Tables'!$AD$21, Y50='Lookup Tables'!$AD$22), E50="Interior"), BJ50, ""))</f>
        <v/>
      </c>
      <c r="DN50" s="250" t="str">
        <f>IF(CD50="ERROR", "ERROR", IF(AND(OR(Y50=$DM$6, Y50='Lookup Tables'!$AD$21, Y50='Lookup Tables'!$AD$22), E50="Exterior"), BJ50, ""))</f>
        <v/>
      </c>
      <c r="DO50" s="249"/>
      <c r="DP50" s="250" t="str">
        <f t="shared" si="198"/>
        <v/>
      </c>
      <c r="DQ50" s="250" t="str">
        <f t="shared" si="262"/>
        <v/>
      </c>
      <c r="DR50" s="250" t="str">
        <f t="shared" si="263"/>
        <v/>
      </c>
      <c r="DS50" s="250" t="str">
        <f t="shared" si="264"/>
        <v/>
      </c>
      <c r="DT50" s="250" t="str">
        <f t="shared" si="265"/>
        <v/>
      </c>
      <c r="DU50" s="250" t="str">
        <f t="shared" si="266"/>
        <v/>
      </c>
      <c r="DV50" s="250" t="str">
        <f t="shared" si="267"/>
        <v/>
      </c>
      <c r="DW50" s="250" t="str">
        <f t="shared" si="268"/>
        <v/>
      </c>
      <c r="DX50" s="250" t="str">
        <f t="shared" si="269"/>
        <v/>
      </c>
      <c r="DY50" s="250" t="str">
        <f t="shared" si="270"/>
        <v/>
      </c>
      <c r="DZ50" s="250" t="str">
        <f t="shared" si="271"/>
        <v/>
      </c>
      <c r="EA50" s="250" t="str">
        <f t="shared" si="272"/>
        <v/>
      </c>
      <c r="EB50" s="250" t="str">
        <f t="shared" si="273"/>
        <v/>
      </c>
      <c r="EC50" s="250" t="str">
        <f t="shared" si="274"/>
        <v/>
      </c>
      <c r="ED50" s="250" t="str">
        <f t="shared" si="275"/>
        <v/>
      </c>
      <c r="EE50" s="250" t="str">
        <f t="shared" si="276"/>
        <v/>
      </c>
      <c r="EF50" s="250" t="str">
        <f t="shared" si="277"/>
        <v/>
      </c>
      <c r="EG50" s="250" t="str">
        <f t="shared" si="278"/>
        <v/>
      </c>
      <c r="EH50" s="250" t="str">
        <f>IF(CD50="ERROR", "ERROR", IF(AND(OR($EH$6=Y50, Y50='Lookup Tables'!$AD$21, Y50='Lookup Tables'!$AD$22),E50="Interior"), SUM(BP50:BP50), ""))</f>
        <v/>
      </c>
      <c r="EI50" s="250" t="str">
        <f>IF(CD50="ERROR", "ERROR", IF(AND(OR($EH$6=Y50, Y50='Lookup Tables'!$AD$21, Y50='Lookup Tables'!$AD$22),E50="Exterior"), SUM(BP50:BP50), ""))</f>
        <v/>
      </c>
      <c r="EJ50" s="109"/>
      <c r="EK50" s="485" t="str">
        <f t="shared" si="58"/>
        <v/>
      </c>
      <c r="EL50" s="252" t="str">
        <f t="shared" si="279"/>
        <v/>
      </c>
      <c r="EM50" s="252" t="str">
        <f t="shared" si="280"/>
        <v/>
      </c>
      <c r="EN50" s="252" t="str">
        <f t="shared" si="281"/>
        <v/>
      </c>
      <c r="EO50" s="252" t="str">
        <f t="shared" si="282"/>
        <v/>
      </c>
      <c r="EP50" s="252" t="str">
        <f t="shared" si="283"/>
        <v/>
      </c>
      <c r="EQ50" s="252" t="str">
        <f t="shared" si="284"/>
        <v/>
      </c>
      <c r="ER50" s="252" t="str">
        <f t="shared" si="285"/>
        <v/>
      </c>
      <c r="ES50" s="252" t="str">
        <f t="shared" si="286"/>
        <v/>
      </c>
      <c r="ET50" s="252" t="str">
        <f t="shared" si="287"/>
        <v/>
      </c>
      <c r="EU50" s="252" t="str">
        <f t="shared" si="288"/>
        <v/>
      </c>
      <c r="EV50" s="252" t="str">
        <f t="shared" si="289"/>
        <v/>
      </c>
      <c r="EW50" s="252" t="str">
        <f t="shared" si="290"/>
        <v/>
      </c>
      <c r="EX50" s="252" t="str">
        <f t="shared" si="291"/>
        <v/>
      </c>
      <c r="EY50" s="252" t="str">
        <f t="shared" si="292"/>
        <v/>
      </c>
      <c r="EZ50" s="252" t="str">
        <f t="shared" si="293"/>
        <v/>
      </c>
      <c r="FA50" s="252" t="str">
        <f t="shared" si="294"/>
        <v/>
      </c>
      <c r="FB50" s="252" t="str">
        <f t="shared" si="295"/>
        <v/>
      </c>
      <c r="FC50" s="252" t="str">
        <f>IF(CD50="ERROR", "ERROR", IF(OR(V50="No Change", V50="Not DLC or Energy Star"), "", IF(AND(OR($FC$6=Y50,Y50='Lookup Tables'!$AD$21, Y50='Lookup Tables'!$AD$22),E50="Interior"), S50, "")))</f>
        <v/>
      </c>
      <c r="FD50" s="252" t="str">
        <f t="shared" si="296"/>
        <v/>
      </c>
      <c r="FE50" s="1"/>
      <c r="FF50" s="579" t="str" cm="1">
        <f t="array" ref="FF50">IFERROR(IF(OR(BQ50&lt;=0,AQ50&lt;20,AND(V50="Exit Signs",AN50&gt;0)),"",IF(AND(AQ50&gt;=20,AN50='Lookup Tables'!$R$101),'Lookup Tables'!$U$101*BQ50,AP50*LOOKUP(2,1/((AN50='Lookup Tables'!$R$91:$R$111)*(AQ50&gt;='Lookup Tables'!$S$91:$S$111)*(AQ50&lt;='Lookup Tables'!$T$91:$T$111)),'Lookup Tables'!$U$91:$U$111))),"")</f>
        <v/>
      </c>
      <c r="FG50" s="579"/>
      <c r="FH50" s="579"/>
      <c r="FI50" s="253" t="str">
        <f>IFERROR(ROUND(IF(CD50="ERROR", "ERROR", IF(AND($FI$7=X50,E50="Interior"),VLOOKUP(W50, 'Lookup Tables'!$AI$6:$AM$102, 5, FALSE)*BP50, "")), 2), "")</f>
        <v/>
      </c>
      <c r="FJ50" s="253" t="str">
        <f>IFERROR(ROUND(IF(CD50="ERROR", "ERROR", IF(AND($FI$7=X50,E50="Exterior"),VLOOKUP(W50, 'Lookup Tables'!$AI$6:$AM$102, 5, FALSE)*BP50, "")), 2), "")</f>
        <v/>
      </c>
      <c r="FK50" s="253" t="str">
        <f>IFERROR(ROUND(IF(CD50="ERROR", "ERROR", IF(AND($FK$7=X50,E50="Interior"),VLOOKUP(W50, 'Lookup Tables'!$AI$6:$AM$102, 5, FALSE)*BP50, "")), 2), "")</f>
        <v/>
      </c>
      <c r="FL50" s="253" t="str">
        <f>IFERROR(ROUND(IF(CD50="ERROR", "ERROR", IF(AND($FK$7=X50,E50="Exterior"),VLOOKUP(W50, 'Lookup Tables'!$AI$6:$AM$102, 5, FALSE)*BP50, "")), 2), "")</f>
        <v/>
      </c>
      <c r="FM50" s="253" t="str">
        <f>IFERROR(ROUND(IF(CD50="ERROR", "ERROR", IF(AND($FM$6=Y50,E50="Interior"), IF(GB50=0, VLOOKUP(W50, 'Lookup Tables'!$AI$6:$AM$102, 5, FALSE)*BP50, IF(VLOOKUP(W50, 'Lookup Tables'!$AI$6:$AM$102, 5, FALSE)*BP50&gt;GB50*'Lighting Inventory'!S50, GB50*'Lighting Inventory'!S50,VLOOKUP(W50, 'Lookup Tables'!$AI$6:$AM$102, 5, FALSE)*BP50)), "")), 2), "")</f>
        <v/>
      </c>
      <c r="FN50" s="253" t="str">
        <f>IFERROR(ROUND(IF(CD50="ERROR", "ERROR", IF(AND($FM$6=Y50,E50="Exterior"), IF(GB50=0, VLOOKUP(W50, 'Lookup Tables'!$AI$6:$AM$102, 5, FALSE)*BP50, IF(VLOOKUP(W50, 'Lookup Tables'!$AI$6:$AM$102, 5, FALSE)*BP50&gt;GB50*'Lighting Inventory'!S50, GB50*'Lighting Inventory'!S50,VLOOKUP(W50, 'Lookup Tables'!$AI$6:$AM$102, 5, FALSE)*BP50)), "")), 2), "")</f>
        <v/>
      </c>
      <c r="FO50" s="253" t="str">
        <f>IFERROR(ROUND(IF(CD50="ERROR", "ERROR", IF(AND($FO$6=Y50,E50="Interior"),VLOOKUP(W50, 'Lookup Tables'!$AI$6:$AM$102, 5, FALSE)*'Lighting Inventory'!AI50, "")), 2), "")</f>
        <v/>
      </c>
      <c r="FP50" s="253" t="str">
        <f>IFERROR(ROUND(IF(CD50="ERROR", "ERROR", IF(AND($FO$6=Y50,E50="Exterior"),VLOOKUP(W50, 'Lookup Tables'!$AI$6:$AM$102, 5, FALSE)*'Lighting Inventory'!AI50, "")), 2), "")</f>
        <v/>
      </c>
      <c r="FQ50" s="253" t="str">
        <f>IFERROR(ROUND(IF(CD50="ERROR", "ERROR", IF(AND($FQ$6=Y50,E50="Interior", BU50="Y"), VLOOKUP('Lighting Inventory'!W50, 'Lookup Tables'!$AI$6:$AM$102, 5, FALSE)*'Lighting Inventory'!S50, IF(AND($FQ$7=Y50,E50="Interior", BU50="N"), 0.025*CD50, ""))), 2), "")</f>
        <v/>
      </c>
      <c r="FR50" s="253" t="str">
        <f>IFERROR(ROUND(IF(CD50="ERROR", "ERROR", IF(AND($FQ$6=Y50,E50="Exterior"), VLOOKUP('Lighting Inventory'!W50, 'Lookup Tables'!$AI$6:$AM$102, 5, FALSE)*'Lighting Inventory'!S50, "")), 2), "")</f>
        <v/>
      </c>
      <c r="FS50" s="253" t="str">
        <f>IFERROR(ROUND(IF(CD50="ERROR", "ERROR", IF(AND($FS$6=Y50,E50="Exterior"), IF(GB50=0, VLOOKUP(W50, 'Lookup Tables'!$AI$6:$AM$102, 5, FALSE)*BP50, IF(VLOOKUP(W50, 'Lookup Tables'!$AI$6:$AM$102, 5, FALSE)*BP50&gt;GB50*'Lighting Inventory'!S50, GB50*'Lighting Inventory'!S50,VLOOKUP(W50, 'Lookup Tables'!$AI$6:$AM$102, 5, FALSE)*BP50)), "")), 2), "")</f>
        <v/>
      </c>
      <c r="FT50" s="253" t="str">
        <f>IFERROR(ROUND(IF(CD50="ERROR", "ERROR", IF(AND($FT$6=Y50,E50="Interior"), IF(GB50=0, VLOOKUP(W50, 'Lookup Tables'!$AI$6:$AM$102, 5, FALSE)*BP50, IF(VLOOKUP(W50, 'Lookup Tables'!$AI$6:$AM$102, 5, FALSE)*BP50&gt;GB50*'Lighting Inventory'!S50, GB50*'Lighting Inventory'!S50,VLOOKUP(W50, 'Lookup Tables'!$AI$6:$AM$102, 5, FALSE)*BP50)), "")), 2), "")</f>
        <v/>
      </c>
      <c r="FU50" s="253" t="str">
        <f>IFERROR(ROUND(IF(CD50="ERROR", "ERROR", IF(AND(Y50=$FU$6, E50="Interior"), IF(BS50="N", 'Lookup Tables'!$AM$101*BP50, VLOOKUP(W50, 'Lookup Tables'!$AI$6:$AM$102, 5, FALSE)*S50*AD50), "")), 2), "")</f>
        <v/>
      </c>
      <c r="FV50" s="253" t="str">
        <f>IFERROR(ROUND(IF(CD50="ERROR", "ERROR", IF(AND(Y50=$FU$6, E50="Exterior"), IF(BS50="N", 'Lookup Tables'!$AM$101*BP50, VLOOKUP(W50, 'Lookup Tables'!$AI$6:$AM$102, 5, FALSE)*S50*AD50), "")), 2), "")</f>
        <v/>
      </c>
      <c r="FW50" s="253" t="str">
        <f>IFERROR(ROUND(IF(CD50="ERROR", "ERROR", IF($FW$6=Y50, IF(BS50="N", 'Lookup Tables'!$AM$101*BP50, MIN((VLOOKUP(W50, 'Lookup Tables'!$AI$6:$AM$102, 5, FALSE)*BP50),GB50*AJ50)), "")), 2), "")</f>
        <v/>
      </c>
      <c r="FX50" s="253" t="str">
        <f>IFERROR(ROUND(IF(CD50="ERROR", "ERROR", IF(AND($FX$6=Y50, E50="Interior"), IF(VLOOKUP(W50, 'Lookup Tables'!$AI$6:$AM$102, 5, FALSE)*BP50&gt;'Lookup Tables'!$AQ$97*'Lighting Inventory'!S50,'Lighting Inventory'!S50*'Lookup Tables'!$AQ$97,VLOOKUP(W50, 'Lookup Tables'!$AI$6:$AM$102, 5, FALSE)*BP50), "")), 2), "")</f>
        <v/>
      </c>
      <c r="FY50" s="253" t="str">
        <f>IFERROR(ROUND(IF(CD50="ERROR", "ERROR", IF(AND($FX$6=Y50, E50="Exterior"), IF(VLOOKUP(W50, 'Lookup Tables'!$AI$6:$AM$102, 5, FALSE)*BP50&gt;'Lookup Tables'!$AQ$97*'Lighting Inventory'!S50,'Lighting Inventory'!S50*'Lookup Tables'!$AQ$97,VLOOKUP(W50, 'Lookup Tables'!$AI$6:$AM$102, 5, FALSE)*BP50), "")), 2), "")</f>
        <v/>
      </c>
      <c r="FZ50" s="253" t="str">
        <f>IFERROR(ROUND(IF(CD50="ERROR", "ERROR", IF(AND($FZ$6=Y50, E50="Interior"), IF(AND(OR(W50="Refrigerated Case Lighting with Doors", W50="Freezer Case Lighting"),Y50="Custom - Process Improvement"),CD50*'Lookup Tables'!$AM$101, IF(B50="Retrofit", IF(VLOOKUP(IF(V50="Custom", V50, W50), 'Lookup Tables'!$AI$6:$AM$102, 5, FALSE)*BP50&gt;GE50, GE50, VLOOKUP(IF(V50="Custom", V50, W50), 'Lookup Tables'!$AI$6:$AM$102, 5, FALSE)*BP50), IF(VLOOKUP(IF(V50="Custom", V50, W50), 'Lookup Tables'!$AI$114:$AM$154, 5, FALSE)*BP50&gt;GE50, GE50, VLOOKUP(IF(V50="Custom", V50, W50), 'Lookup Tables'!$AI$114:$AM$154, 5, FALSE)*BP50))), "")), 2),"")</f>
        <v/>
      </c>
      <c r="GA50" s="253" t="str">
        <f>IFERROR(ROUND(IF(CD50="ERROR", "ERROR", IF(AND($FZ$6=Y50, E50="Exterior"), IF(B50="Retrofit", IF(VLOOKUP(IF(V50="Custom", V50, W50), 'Lookup Tables'!$AI$6:$AM$102, 5, FALSE)*BP50&gt;GE50, GE50, VLOOKUP(IF(V50="Custom", V50, W50), 'Lookup Tables'!$AI$6:$AM$102, 5, FALSE)*BP50), IF(VLOOKUP(IF(V50="Custom", V50, W50), 'Lookup Tables'!$AI$114:$AM$154, 5, FALSE)*BP50&gt;GE50, GE50, VLOOKUP(IF(V50="Custom", V50, W50), 'Lookup Tables'!$AI$114:$AM$154, 5, FALSE)*BP50)), "")), 2),"")</f>
        <v/>
      </c>
      <c r="GB50" s="254" t="str">
        <f t="array" ref="GB50">IF(B50="","",IF(OR(V50="Custom",V50="No Change"),0,IF(B50="Retrofit", INDEX('Lookup Tables'!$AH$6:$AQ$102,MATCH(1,('Lookup Tables'!$AH$6:$AH$102='Lighting Inventory'!V50)*('Lookup Tables'!$AI$6:$AI$102='Lighting Inventory'!W50),FALSE),10),INDEX('Lookup Tables'!$AH$114:$AQ$154,MATCH(1,('Lookup Tables'!$AH$114:$AH$154='Lighting Inventory'!V50)*('Lookup Tables'!$AI$114:$AI$154='Lighting Inventory'!W50),FALSE),10))))</f>
        <v/>
      </c>
      <c r="GC50" s="255" t="str">
        <f t="shared" si="77"/>
        <v/>
      </c>
      <c r="GD50" s="250" t="str">
        <f t="shared" si="78"/>
        <v/>
      </c>
      <c r="GE50" s="253" t="str">
        <f>IFERROR(IF(AND(AF50="", 'General Information'!$F$18="No"),"", IF(AF50="", ((GD50/$CD$266)*$CF$266)*0.5, AF50*S50*0.5)), "")</f>
        <v/>
      </c>
      <c r="GF50" s="255" t="str">
        <f>IF(AND('General Information'!$F$19="", 'General Information'!$F$18="Yes",AF50="",BW50="Y"), "Y", "N")</f>
        <v>N</v>
      </c>
      <c r="GG50" s="255" t="s">
        <v>2946</v>
      </c>
      <c r="GH50" s="255" t="str">
        <f>IFERROR(IF(B50="", "", VLOOKUP(J50, 'Fixture Identities'!$A$6:$N$908, 14, FALSE)), "")</f>
        <v/>
      </c>
      <c r="GI50" s="389" t="str">
        <f>IF(OR(B50="", V50="", W50=""), "", IF(AND(OR(M50='Lookup Tables'!$R$18, M50='Lookup Tables'!$R$19, M50='Lookup Tables'!$R$20, M50='Lookup Tables'!$R$21, M50='Lookup Tables'!$R$22), OR(AN50='Lookup Tables'!$R$17, AN50='Lookup Tables'!$R$17, AN50="")), "Y", "N"))</f>
        <v/>
      </c>
      <c r="GJ50" s="255" t="str">
        <f t="shared" si="79"/>
        <v/>
      </c>
      <c r="GK50" s="255" t="str">
        <f t="shared" si="80"/>
        <v/>
      </c>
      <c r="GL50" s="255" t="str">
        <f t="shared" si="81"/>
        <v/>
      </c>
      <c r="GM50" s="255" t="str">
        <f>IF(AN50="", "", IF(AND(IF(ISNA(VLOOKUP(AN50,'Lookup Tables'!$R$18:$R$22,1,FALSE)), "N", "Y")="Y", E50="Exterior"), "Y", "N"))</f>
        <v/>
      </c>
      <c r="GN50" s="395"/>
      <c r="GO50" s="428">
        <f t="shared" si="98"/>
        <v>0</v>
      </c>
      <c r="GP50" s="428">
        <f t="shared" si="167"/>
        <v>0</v>
      </c>
      <c r="GQ50" s="428">
        <f t="shared" si="99"/>
        <v>0</v>
      </c>
      <c r="GR50" s="428">
        <f t="shared" si="100"/>
        <v>0</v>
      </c>
    </row>
    <row r="51" spans="1:200" s="103" customFormat="1" ht="13.5" customHeight="1" x14ac:dyDescent="0.2">
      <c r="A51" s="272">
        <v>41</v>
      </c>
      <c r="B51" s="110"/>
      <c r="C51" s="110"/>
      <c r="D51" s="110"/>
      <c r="E51" s="110"/>
      <c r="F51" s="110"/>
      <c r="G51" s="110"/>
      <c r="H51" s="110"/>
      <c r="I51" s="29"/>
      <c r="J51" s="29"/>
      <c r="K51" s="272" t="str">
        <f>IFERROR(IF(OR(VLOOKUP(J51, 'Fixture Identities'!$A$6:$L$1023, 3, FALSE)="T12 Linear Fluorescent", VLOOKUP(J51, 'Fixture Identities'!$A$6:$L$1023, 3, FALSE)="T12 U-Tube Fluorescent"), VLOOKUP(VLOOKUP(J51, 'Fixture Identities'!$A$6:$L$1023, 11, FALSE), 'Fixture Identities'!$A$6:$L$1023, 10, FALSE), VLOOKUP(J51, 'Fixture Identities'!$A$6:$L$1023, 10, FALSE)), "")</f>
        <v/>
      </c>
      <c r="L51" s="270" t="str">
        <f t="shared" si="169"/>
        <v/>
      </c>
      <c r="M51" s="110"/>
      <c r="N51" s="110"/>
      <c r="O51" s="110"/>
      <c r="P51" s="272" t="str">
        <f>IFERROR(IF(OR(B51="Retrofit",B51=""),"",IF('Lighting Inventory'!E51="Exterior",VLOOKUP('Lighting Inventory'!N51,'Lookup Tables'!$B$83:$F$103,5,FALSE),IF(N51="Other - Please Estimate EFLH and CFs","Contact Prog. Rep.","ft^2"))), "")</f>
        <v/>
      </c>
      <c r="Q51" s="270" t="str">
        <f>IFERROR(IF(AND(B51="New Construction",E51="Interior",$F$5="Space-by-Space"),VLOOKUP('Lighting Inventory'!N51,'Lookup Tables'!$N$6:$O$97,2,FALSE),IF(AND(B51="New Construction",E51="Exterior"),VLOOKUP(N51,'Lookup Tables'!$B$83:$F$103,2,FALSE),IF(AND(B51="New Construction",'Lighting Inventory'!E51="Interior", $F$5="Building Area"),VLOOKUP(F51,'Lookup Tables'!$A$6:$J$59,10,FALSE),""))), "")</f>
        <v/>
      </c>
      <c r="R51" s="270" t="str">
        <f>IFERROR(IF(P51="Contact Prog. Rep.", "ERROR", IF(OR(B51="",B51="Retrofit"),"",IF(N51="Automated teller machines", ('Lookup Tables'!$A$82:$E$100+('Lighting Inventory'!O51-1)*'Lookup Tables'!$A$82:$E$100)/1000, (Q51*O51)/1000))), "")</f>
        <v/>
      </c>
      <c r="S51" s="595"/>
      <c r="T51" s="105" t="str">
        <f t="shared" si="83"/>
        <v/>
      </c>
      <c r="U51" s="105" t="str">
        <f>IF(S51="","",COUNT($S$11:S51))</f>
        <v/>
      </c>
      <c r="V51" s="111"/>
      <c r="W51" s="112"/>
      <c r="X51" s="105" t="str">
        <f t="shared" si="84"/>
        <v/>
      </c>
      <c r="Y51" s="105" t="str">
        <f t="array" ref="Y51">IF(AND(OR(W51="Freezer Case Lighting", W51="Refrigerated Case Lighting with Doors"), 'General Information'!$X$18="LCI"),'Lookup Tables'!$Y$34, IF(V51="Custom", VLOOKUP(W51, 'Fixture Identities'!$A$974:$M$1023, 13, FALSE), IF(V51="No Change",'Lookup Tables'!$Y$29,IF(OR(V51="",W51=""),"",IF(AND(S51=0,S51&lt;I51,B51="Retrofit"),'Lookup Tables'!$Y$25, IF(B51="Retrofit", INDEX('Lookup Tables'!$AH$6:$AP$102, MATCH(1, ('Lookup Tables'!$AH$6:$AH$102=V51)*('Lookup Tables'!$AI$6:$AI$102=W51), 0), IF('Lighting Inventory'!E51="Interior", 4, 5)), INDEX('Lookup Tables'!$AH$114:$AP$154, MATCH(1, ('Lookup Tables'!$AH$114:$AH$154=V51)*('Lookup Tables'!$AI$114:$AI$154=W51), 0), IF('Lighting Inventory'!E51="Interior", 4, 5))))))))</f>
        <v/>
      </c>
      <c r="Z51" s="105" t="str">
        <f>IFERROR(INDEX('Lookup Tables'!$AH$158:$AH$172,MATCH('Lighting Inventory'!Y51,'Lookup Tables'!$AI$158:$AI$172,0)),"")</f>
        <v/>
      </c>
      <c r="AA51" s="105" t="str">
        <f>IF(AP51&gt;0,INDEX('Lookup Tables'!$AK$158:$AK$172,MATCH('Lighting Inventory'!Y51,'Lookup Tables'!$AI$158:$AI$172,0)),'Lighting Inventory'!Y51)</f>
        <v/>
      </c>
      <c r="AB51" s="105" t="str">
        <f t="array" ref="AB51">IF(V51="Custom", "Custom", IF(V51="", "", IF(V51="Not DLC or Energy Star", "General", IF(B51="New Construction", INDEX('Lookup Tables'!$AH$114:$AP$154,MATCH(1,('Lookup Tables'!$AH$114:$AH$154='Lighting Inventory'!V51)*('Lookup Tables'!$AI$114:$AI$154='Lighting Inventory'!W51),FALSE),8), INDEX('Lookup Tables'!$AH$6:$AP$102,MATCH(1,('Lookup Tables'!$AH$6:$AH$102='Lighting Inventory'!V51)*('Lookup Tables'!$AI$6:$AI$102='Lighting Inventory'!W51),FALSE),8)))))</f>
        <v/>
      </c>
      <c r="AC51" s="272" t="str">
        <f>IF(W51="","",IF(V51="Custom",CONCATENATE("$",'Lookup Tables'!$AM$101," ",'Lookup Tables'!$AN$101),CONCATENATE("$",INDEX('Lookup Tables'!$AM$6:$AM$102,MATCH('Lighting Inventory'!W51,'Lookup Tables'!$AI$6:$AI$102,0))," ",INDEX('Lookup Tables'!$AN$6:$AN$102,MATCH('Lighting Inventory'!W51,'Lookup Tables'!$AI$6:$AI$102,0)))))</f>
        <v/>
      </c>
      <c r="AD51" s="72"/>
      <c r="AE51" s="29"/>
      <c r="AF51" s="379"/>
      <c r="AG51" s="370" t="str">
        <f t="shared" si="2"/>
        <v/>
      </c>
      <c r="AH51" s="370" t="str">
        <f t="shared" si="85"/>
        <v/>
      </c>
      <c r="AI51" s="29"/>
      <c r="AJ51" s="29"/>
      <c r="AK51" s="110"/>
      <c r="AL51" s="375" t="str">
        <f>IF(OR(B51="", V51="", W51=""), "", IF(V51="No Change", K51, IF(V51="Remove Fixture", 0, IF(V51="Custom",VLOOKUP(W51,'Fixture Identities'!$A$6:$K$1023,10,FALSE),IF(AE51="", "← ENTER POST WATTS", 'Lighting Inventory'!AE51)))))</f>
        <v/>
      </c>
      <c r="AM51" s="376" t="str">
        <f t="shared" si="3"/>
        <v/>
      </c>
      <c r="AN51" s="29"/>
      <c r="AO51" s="671"/>
      <c r="AP51" s="29"/>
      <c r="AQ51" s="29"/>
      <c r="AR51" s="29"/>
      <c r="AS51" s="272" t="str">
        <f t="shared" si="4"/>
        <v/>
      </c>
      <c r="AT51" s="270" t="str">
        <f t="shared" si="234"/>
        <v/>
      </c>
      <c r="AU51" s="88" t="str">
        <f t="shared" si="235"/>
        <v/>
      </c>
      <c r="AV51" s="29"/>
      <c r="AW51" s="73"/>
      <c r="AX51" s="271" t="str">
        <f>IF(AND(AV51="Applicant",OR(AW51="", AW51="Use Default Facility Hours")),"← Choose Schedule",IF(F51="","",IF(W51="LED Exit Signs",8760,IF(OR(AV51="Prescribed",AV51=""),VLOOKUP(F51,'Lookup Tables'!$A$6:$G$59,IF(AB51="General", 6, 3),FALSE),VLOOKUP(AW51,'Lookup Tables'!$S$36:$U$43,2,FALSE)))))</f>
        <v/>
      </c>
      <c r="AY51" s="88" t="str">
        <f t="shared" si="7"/>
        <v/>
      </c>
      <c r="AZ51" s="270" t="str">
        <f>IFERROR(IF(F51="", "", IF(W51="LED Exit Signs", 1, IF(AV51="Applicant",VLOOKUP(AW51, 'Lookup Tables'!$S$36:$U$43,3, FALSE), VLOOKUP('Lighting Inventory'!F51, 'Lookup Tables'!$A$6:$H$59, IF('Lighting Inventory'!AB51="General",7,4), FALSE)))), "")</f>
        <v/>
      </c>
      <c r="BA51" s="522" t="str">
        <f>IFERROR(IF(F51="", "", IF(W51="LED Exit Signs", 1, VLOOKUP('Lighting Inventory'!F51, 'Lookup Tables'!$A$6:$H$59, IF('Lighting Inventory'!AB51="General",8,5), FALSE))), "")</f>
        <v/>
      </c>
      <c r="BB51" s="270" t="str">
        <f>IF(G51="", "", IF(E51="Exterior", 0, IF('Lighting Inventory'!G51="Air Conditioned", VLOOKUP(H51, 'Lookup Tables'!$R$6:$T$13, 2, FALSE), VLOOKUP('Lighting Inventory'!G51, 'Lookup Tables'!$R$6:$T$13, 2, FALSE))))</f>
        <v/>
      </c>
      <c r="BC51" s="522" t="str">
        <f>IF(G51="", "", IF(E51="Exterior", 0, IF('Lighting Inventory'!G51="Air Conditioned", VLOOKUP(H51, 'Lookup Tables'!$R$6:$T$13, 3, FALSE), VLOOKUP('Lighting Inventory'!G51, 'Lookup Tables'!$R$6:$T$13, 3, FALSE))))</f>
        <v/>
      </c>
      <c r="BD51" s="270" t="str">
        <f>IF(G51="", "", IF(E51="Exterior", 0, IF('Lighting Inventory'!G51="Air Conditioned", VLOOKUP(H51, 'Lookup Tables'!$R$6:$U$13, 4, FALSE), VLOOKUP('Lighting Inventory'!G51, 'Lookup Tables'!$R$6:$U$13, 4, FALSE))))</f>
        <v/>
      </c>
      <c r="BE51" s="270" t="str">
        <f>IFERROR(IF(B51="", "",  IF(B51="New Construction", VLOOKUP(F51, 'Lookup Tables'!$A$6:$K$59, 11, FALSE),IF(OR(AN51="", AN51="Light Switch"), 0, IF(OR(M51="",M51="None",V51= "LED Exit Signs"),0,_xlfn.XLOOKUP(M51,'Lookup Tables'!$R$91:$R$101,'Lookup Tables'!$V$91:$V$101))))), "")</f>
        <v/>
      </c>
      <c r="BF51" s="270" t="str">
        <f>IF(AND(OR(AN51="Light Switch",AN51=""),B51="New Construction"), VLOOKUP(F51, 'Lookup Tables'!$A$6:$K$59, 11, FALSE),IF(AN51="","",IF(B51="","",IF(OR(AN51="None",AN51="",V51="LED Exit Signs",AN51="Exterior Controls Not Eligible"),0,_xlfn.XLOOKUP(AN51,'Lookup Tables'!$R$91:$R$101,'Lookup Tables'!$V$91:$V$101)))))</f>
        <v/>
      </c>
      <c r="BG51" s="88" t="str">
        <f t="shared" si="86"/>
        <v/>
      </c>
      <c r="BH51" s="88" t="str">
        <f t="shared" si="87"/>
        <v/>
      </c>
      <c r="BI51" s="558" t="str">
        <f t="shared" si="168"/>
        <v/>
      </c>
      <c r="BJ51" s="82" t="str">
        <f t="shared" si="88"/>
        <v/>
      </c>
      <c r="BK51" s="82" t="str">
        <f t="shared" si="89"/>
        <v/>
      </c>
      <c r="BL51" s="559" t="str">
        <f t="shared" si="90"/>
        <v/>
      </c>
      <c r="BM51" s="521" t="str">
        <f t="shared" si="8"/>
        <v/>
      </c>
      <c r="BN51" s="521" t="str">
        <f t="shared" si="9"/>
        <v/>
      </c>
      <c r="BO51" s="522" t="str">
        <f t="shared" si="10"/>
        <v/>
      </c>
      <c r="BP51" s="83" t="str">
        <f t="shared" si="91"/>
        <v/>
      </c>
      <c r="BQ51" s="84" t="str">
        <f t="shared" si="92"/>
        <v/>
      </c>
      <c r="BR51" s="184" t="str">
        <f>IFERROR(IF(B51="", "", IF(OR(VLOOKUP(J51, 'Fixture Identities'!$A$6:$L$1023, 3, FALSE)="T12 Linear Fluorescent",VLOOKUP(J51, 'Fixture Identities'!$A$6:$L$1023, 3, FALSE)="T12 U-Tube Fluorescent"), "Y", "N")), "N")</f>
        <v/>
      </c>
      <c r="BS51" s="184" t="str">
        <f t="array" ref="BS51">IFERROR(IF(OR(B51="", V51="", W51=""), "", IF(V51="Custom", "N", IF(OR(W51="Freezer Case Lighting", W51="Refrigerated Case Lighting with Doors"), BT51, IF(B51="Retrofit", INDEX('Lookup Tables'!$AH$6:$AT$102,MATCH(1,('Lookup Tables'!$AH$6:$AH$102=V51)*('Lookup Tables'!$AI$6:$AI$102=W51),FALSE),IF(VLOOKUP(J51, 'Fixture Identities'!$A$6:$B$1023, 2, FALSE)="Incandescent",12, 13)), INDEX('Lookup Tables'!$AH$114:$AS$154,MATCH(1,('Lookup Tables'!$AH$114:$AH$154=V51)*('Lookup Tables'!$AI$114:$AI$154=W51),FALSE),12))))), "N")</f>
        <v/>
      </c>
      <c r="BT51" s="184" t="str">
        <f>IF(J51="", "", IF(AND(OR(W51="Freezer case Lighting", W51="Refrigerated Case Lighting with Doors"),'General Information'!$X$18="LCI"), "N", IF(OR(VLOOKUP(J51, 'Fixture Identities'!$A$6:$B$1023, 2, FALSE)="T12 EPACT/EISA Baseline", VLOOKUP(J51, 'Fixture Identities'!$A$6:$B$1023, 2, FALSE)="Linear Fluorescent", VLOOKUP(J51, 'Fixture Identities'!$A$6:$B$1023, 2, FALSE)="U-Tube Fluorescent"), "Y", "N")))</f>
        <v/>
      </c>
      <c r="BU51" s="184" t="str">
        <f>IFERROR(IF(B51="", "", IF(VLOOKUP(J51, 'Fixture Identities'!$A$6:$B$1023, 2, FALSE)="Exit Sign", "Y", "N")), "N")</f>
        <v/>
      </c>
      <c r="BV51" s="184" t="str">
        <f>IF(V51="Exit Signs", IF(VLOOKUP(J51, 'Fixture Identities'!$A$6:$B$1023, 2, FALSE)="Exit Sign", "N", "Y"), "")</f>
        <v/>
      </c>
      <c r="BW51" s="184" t="str">
        <f t="array" ref="BW51">IFERROR(IF(B51="", "", IF(B51="New Construction", "N", INDEX('Lookup Tables'!$AH$6:$AU$102, MATCH(1, ('Lookup Tables'!$AH$6:$AH$102='Lighting Inventory'!V51)*('Lookup Tables'!$AI$6:$AI$102='Lighting Inventory'!W51), 0), 14))), "N")</f>
        <v/>
      </c>
      <c r="BX51" s="598" t="str">
        <f t="shared" si="93"/>
        <v/>
      </c>
      <c r="BY51" s="598" t="str">
        <f t="shared" si="94"/>
        <v/>
      </c>
      <c r="BZ51" s="598" t="str">
        <f t="shared" si="95"/>
        <v/>
      </c>
      <c r="CA51" s="598" t="str">
        <f t="shared" si="101"/>
        <v/>
      </c>
      <c r="CB51" s="269" t="str">
        <f t="shared" si="102"/>
        <v/>
      </c>
      <c r="CC51" s="517" t="str">
        <f t="shared" si="96"/>
        <v/>
      </c>
      <c r="CD51" s="565" t="str">
        <f t="shared" si="11"/>
        <v/>
      </c>
      <c r="CE51" s="368">
        <v>0</v>
      </c>
      <c r="CF51" s="368" t="str" cm="1">
        <f t="array" ref="CF51">IFERROR(IF(V51="Custom", "$0.1 per kWh", IF(B51="New Construction", CONCATENATE("$",INDEX('Lookup Tables'!$AH$114:$AN$154,MATCH(1,('Lookup Tables'!$AH$114:$AH$154='Lighting Inventory'!V51)*('Lookup Tables'!$AI$114:$AI$154='Lighting Inventory'!W51),FALSE),6)," ",INDEX('Lookup Tables'!$AH$114:$AN$154,MATCH(1,('Lookup Tables'!$AH$114:$AH$154='Lighting Inventory'!V51)*('Lookup Tables'!$AI$114:$AI$154='Lighting Inventory'!W51),FALSE),7)), IF(AND(BU51="N", V51="Exit Signs"), "$0.025 per kWh", CONCATENATE("$",INDEX('Lookup Tables'!$AH$6:$AN$102,MATCH(1,('Lookup Tables'!$AH$6:$AH$102='Lighting Inventory'!V51)*('Lookup Tables'!$AI$6:$AI$102='Lighting Inventory'!W51),FALSE),6)," ",INDEX('Lookup Tables'!$AH$6:$AN$102,MATCH(1,('Lookup Tables'!$AH$6:$AH$102='Lighting Inventory'!V51)*('Lookup Tables'!$AI$6:$AI$102='Lighting Inventory'!W51),FALSE),7))))), "")</f>
        <v/>
      </c>
      <c r="CG51" s="366"/>
      <c r="CH51" s="248" t="str">
        <f t="shared" si="236"/>
        <v/>
      </c>
      <c r="CI51" s="248" t="str">
        <f t="shared" si="237"/>
        <v>Select_IE</v>
      </c>
      <c r="CJ51" s="248" t="str">
        <f t="shared" si="238"/>
        <v/>
      </c>
      <c r="CK51" s="248" t="str">
        <f t="shared" si="239"/>
        <v/>
      </c>
      <c r="CL51" s="248" t="str">
        <f t="shared" si="240"/>
        <v/>
      </c>
      <c r="CM51" s="248" t="str">
        <f>IFERROR(IF(B51="", "", IF(B51="New Construction", VLOOKUP(V51, 'Lookup Tables'!$AF$114:$AG$120, 2, FALSE), VLOOKUP(V51, 'Lookup Tables'!$AD$6:$AE$25, 2, FALSE))), "")</f>
        <v/>
      </c>
      <c r="CN51" s="248" t="str">
        <f t="shared" si="175"/>
        <v/>
      </c>
      <c r="CO51" s="248" t="str">
        <f t="shared" si="241"/>
        <v/>
      </c>
      <c r="CP51" s="592" t="str">
        <f t="shared" si="242"/>
        <v/>
      </c>
      <c r="CQ51" s="248" t="str">
        <f t="shared" si="97"/>
        <v/>
      </c>
      <c r="CR51" s="100"/>
      <c r="CS51" s="250" t="str">
        <f t="shared" si="178"/>
        <v/>
      </c>
      <c r="CT51" s="250" t="str">
        <f t="shared" si="243"/>
        <v/>
      </c>
      <c r="CU51" s="250" t="str">
        <f t="shared" si="244"/>
        <v/>
      </c>
      <c r="CV51" s="250" t="str">
        <f t="shared" si="245"/>
        <v/>
      </c>
      <c r="CW51" s="250" t="str">
        <f t="shared" si="246"/>
        <v/>
      </c>
      <c r="CX51" s="250" t="str">
        <f t="shared" si="247"/>
        <v/>
      </c>
      <c r="CY51" s="250" t="str">
        <f t="shared" si="248"/>
        <v/>
      </c>
      <c r="CZ51" s="250" t="str">
        <f t="shared" si="249"/>
        <v/>
      </c>
      <c r="DA51" s="250" t="str">
        <f t="shared" si="250"/>
        <v/>
      </c>
      <c r="DB51" s="250" t="str">
        <f t="shared" si="251"/>
        <v/>
      </c>
      <c r="DC51" s="250" t="str">
        <f t="shared" si="252"/>
        <v/>
      </c>
      <c r="DD51" s="250" t="str">
        <f t="shared" si="253"/>
        <v/>
      </c>
      <c r="DE51" s="250" t="str">
        <f t="shared" si="254"/>
        <v/>
      </c>
      <c r="DF51" s="250" t="str">
        <f t="shared" si="255"/>
        <v/>
      </c>
      <c r="DG51" s="250" t="str">
        <f t="shared" si="256"/>
        <v/>
      </c>
      <c r="DH51" s="250" t="str">
        <f t="shared" si="257"/>
        <v/>
      </c>
      <c r="DI51" s="250" t="str">
        <f t="shared" si="258"/>
        <v/>
      </c>
      <c r="DJ51" s="250" t="str">
        <f t="shared" si="259"/>
        <v/>
      </c>
      <c r="DK51" s="250" t="str">
        <f t="shared" si="260"/>
        <v/>
      </c>
      <c r="DL51" s="250" t="str">
        <f t="shared" si="261"/>
        <v/>
      </c>
      <c r="DM51" s="250" t="str">
        <f>IF(CD51="ERROR", "ERROR", IF(AND(OR(Y51=$DM$6, Y51='Lookup Tables'!$AD$21, Y51='Lookup Tables'!$AD$22), E51="Interior"), BJ51, ""))</f>
        <v/>
      </c>
      <c r="DN51" s="250" t="str">
        <f>IF(CD51="ERROR", "ERROR", IF(AND(OR(Y51=$DM$6, Y51='Lookup Tables'!$AD$21, Y51='Lookup Tables'!$AD$22), E51="Exterior"), BJ51, ""))</f>
        <v/>
      </c>
      <c r="DO51" s="100"/>
      <c r="DP51" s="250" t="str">
        <f t="shared" si="198"/>
        <v/>
      </c>
      <c r="DQ51" s="250" t="str">
        <f t="shared" si="262"/>
        <v/>
      </c>
      <c r="DR51" s="250" t="str">
        <f t="shared" si="263"/>
        <v/>
      </c>
      <c r="DS51" s="250" t="str">
        <f t="shared" si="264"/>
        <v/>
      </c>
      <c r="DT51" s="250" t="str">
        <f t="shared" si="265"/>
        <v/>
      </c>
      <c r="DU51" s="250" t="str">
        <f t="shared" si="266"/>
        <v/>
      </c>
      <c r="DV51" s="250" t="str">
        <f t="shared" si="267"/>
        <v/>
      </c>
      <c r="DW51" s="250" t="str">
        <f t="shared" si="268"/>
        <v/>
      </c>
      <c r="DX51" s="250" t="str">
        <f t="shared" si="269"/>
        <v/>
      </c>
      <c r="DY51" s="250" t="str">
        <f t="shared" si="270"/>
        <v/>
      </c>
      <c r="DZ51" s="250" t="str">
        <f t="shared" si="271"/>
        <v/>
      </c>
      <c r="EA51" s="250" t="str">
        <f t="shared" si="272"/>
        <v/>
      </c>
      <c r="EB51" s="250" t="str">
        <f t="shared" si="273"/>
        <v/>
      </c>
      <c r="EC51" s="250" t="str">
        <f t="shared" si="274"/>
        <v/>
      </c>
      <c r="ED51" s="250" t="str">
        <f t="shared" si="275"/>
        <v/>
      </c>
      <c r="EE51" s="250" t="str">
        <f t="shared" si="276"/>
        <v/>
      </c>
      <c r="EF51" s="250" t="str">
        <f t="shared" si="277"/>
        <v/>
      </c>
      <c r="EG51" s="250" t="str">
        <f t="shared" si="278"/>
        <v/>
      </c>
      <c r="EH51" s="250" t="str">
        <f>IF(CD51="ERROR", "ERROR", IF(AND(OR($EH$6=Y51, Y51='Lookup Tables'!$AD$21, Y51='Lookup Tables'!$AD$22),E51="Interior"), SUM(BP51:BP51), ""))</f>
        <v/>
      </c>
      <c r="EI51" s="250" t="str">
        <f>IF(CD51="ERROR", "ERROR", IF(AND(OR($EH$6=Y51, Y51='Lookup Tables'!$AD$21, Y51='Lookup Tables'!$AD$22),E51="Exterior"), SUM(BP51:BP51), ""))</f>
        <v/>
      </c>
      <c r="EJ51" s="109"/>
      <c r="EK51" s="485" t="str">
        <f t="shared" si="58"/>
        <v/>
      </c>
      <c r="EL51" s="252" t="str">
        <f t="shared" si="279"/>
        <v/>
      </c>
      <c r="EM51" s="252" t="str">
        <f t="shared" si="280"/>
        <v/>
      </c>
      <c r="EN51" s="252" t="str">
        <f t="shared" si="281"/>
        <v/>
      </c>
      <c r="EO51" s="252" t="str">
        <f t="shared" si="282"/>
        <v/>
      </c>
      <c r="EP51" s="252" t="str">
        <f t="shared" si="283"/>
        <v/>
      </c>
      <c r="EQ51" s="252" t="str">
        <f t="shared" si="284"/>
        <v/>
      </c>
      <c r="ER51" s="252" t="str">
        <f t="shared" si="285"/>
        <v/>
      </c>
      <c r="ES51" s="252" t="str">
        <f t="shared" si="286"/>
        <v/>
      </c>
      <c r="ET51" s="252" t="str">
        <f t="shared" si="287"/>
        <v/>
      </c>
      <c r="EU51" s="252" t="str">
        <f t="shared" si="288"/>
        <v/>
      </c>
      <c r="EV51" s="252" t="str">
        <f t="shared" si="289"/>
        <v/>
      </c>
      <c r="EW51" s="252" t="str">
        <f t="shared" si="290"/>
        <v/>
      </c>
      <c r="EX51" s="252" t="str">
        <f t="shared" si="291"/>
        <v/>
      </c>
      <c r="EY51" s="252" t="str">
        <f t="shared" si="292"/>
        <v/>
      </c>
      <c r="EZ51" s="252" t="str">
        <f t="shared" si="293"/>
        <v/>
      </c>
      <c r="FA51" s="252" t="str">
        <f t="shared" si="294"/>
        <v/>
      </c>
      <c r="FB51" s="252" t="str">
        <f t="shared" si="295"/>
        <v/>
      </c>
      <c r="FC51" s="252" t="str">
        <f>IF(CD51="ERROR", "ERROR", IF(OR(V51="No Change", V51="Not DLC or Energy Star"), "", IF(AND(OR($FC$6=Y51,Y51='Lookup Tables'!$AD$21, Y51='Lookup Tables'!$AD$22),E51="Interior"), S51, "")))</f>
        <v/>
      </c>
      <c r="FD51" s="252" t="str">
        <f t="shared" si="296"/>
        <v/>
      </c>
      <c r="FE51" s="101"/>
      <c r="FF51" s="579" t="str" cm="1">
        <f t="array" ref="FF51">IFERROR(IF(OR(BQ51&lt;=0,AQ51&lt;20,AND(V51="Exit Signs",AN51&gt;0)),"",IF(AND(AQ51&gt;=20,AN51='Lookup Tables'!$R$101),'Lookup Tables'!$U$101*BQ51,AP51*LOOKUP(2,1/((AN51='Lookup Tables'!$R$91:$R$111)*(AQ51&gt;='Lookup Tables'!$S$91:$S$111)*(AQ51&lt;='Lookup Tables'!$T$91:$T$111)),'Lookup Tables'!$U$91:$U$111))),"")</f>
        <v/>
      </c>
      <c r="FG51" s="579"/>
      <c r="FH51" s="579"/>
      <c r="FI51" s="253" t="str">
        <f>IFERROR(ROUND(IF(CD51="ERROR", "ERROR", IF(AND($FI$7=X51,E51="Interior"),VLOOKUP(W51, 'Lookup Tables'!$AI$6:$AM$102, 5, FALSE)*BP51, "")), 2), "")</f>
        <v/>
      </c>
      <c r="FJ51" s="253" t="str">
        <f>IFERROR(ROUND(IF(CD51="ERROR", "ERROR", IF(AND($FI$7=X51,E51="Exterior"),VLOOKUP(W51, 'Lookup Tables'!$AI$6:$AM$102, 5, FALSE)*BP51, "")), 2), "")</f>
        <v/>
      </c>
      <c r="FK51" s="253" t="str">
        <f>IFERROR(ROUND(IF(CD51="ERROR", "ERROR", IF(AND($FK$7=X51,E51="Interior"),VLOOKUP(W51, 'Lookup Tables'!$AI$6:$AM$102, 5, FALSE)*BP51, "")), 2), "")</f>
        <v/>
      </c>
      <c r="FL51" s="253" t="str">
        <f>IFERROR(ROUND(IF(CD51="ERROR", "ERROR", IF(AND($FK$7=X51,E51="Exterior"),VLOOKUP(W51, 'Lookup Tables'!$AI$6:$AM$102, 5, FALSE)*BP51, "")), 2), "")</f>
        <v/>
      </c>
      <c r="FM51" s="253" t="str">
        <f>IFERROR(ROUND(IF(CD51="ERROR", "ERROR", IF(AND($FM$6=Y51,E51="Interior"), IF(GB51=0, VLOOKUP(W51, 'Lookup Tables'!$AI$6:$AM$102, 5, FALSE)*BP51, IF(VLOOKUP(W51, 'Lookup Tables'!$AI$6:$AM$102, 5, FALSE)*BP51&gt;GB51*'Lighting Inventory'!S51, GB51*'Lighting Inventory'!S51,VLOOKUP(W51, 'Lookup Tables'!$AI$6:$AM$102, 5, FALSE)*BP51)), "")), 2), "")</f>
        <v/>
      </c>
      <c r="FN51" s="253" t="str">
        <f>IFERROR(ROUND(IF(CD51="ERROR", "ERROR", IF(AND($FM$6=Y51,E51="Exterior"), IF(GB51=0, VLOOKUP(W51, 'Lookup Tables'!$AI$6:$AM$102, 5, FALSE)*BP51, IF(VLOOKUP(W51, 'Lookup Tables'!$AI$6:$AM$102, 5, FALSE)*BP51&gt;GB51*'Lighting Inventory'!S51, GB51*'Lighting Inventory'!S51,VLOOKUP(W51, 'Lookup Tables'!$AI$6:$AM$102, 5, FALSE)*BP51)), "")), 2), "")</f>
        <v/>
      </c>
      <c r="FO51" s="253" t="str">
        <f>IFERROR(ROUND(IF(CD51="ERROR", "ERROR", IF(AND($FO$6=Y51,E51="Interior"),VLOOKUP(W51, 'Lookup Tables'!$AI$6:$AM$102, 5, FALSE)*'Lighting Inventory'!AI51, "")), 2), "")</f>
        <v/>
      </c>
      <c r="FP51" s="253" t="str">
        <f>IFERROR(ROUND(IF(CD51="ERROR", "ERROR", IF(AND($FO$6=Y51,E51="Exterior"),VLOOKUP(W51, 'Lookup Tables'!$AI$6:$AM$102, 5, FALSE)*'Lighting Inventory'!AI51, "")), 2), "")</f>
        <v/>
      </c>
      <c r="FQ51" s="253" t="str">
        <f>IFERROR(ROUND(IF(CD51="ERROR", "ERROR", IF(AND($FQ$6=Y51,E51="Interior", BU51="Y"), VLOOKUP('Lighting Inventory'!W51, 'Lookup Tables'!$AI$6:$AM$102, 5, FALSE)*'Lighting Inventory'!S51, IF(AND($FQ$7=Y51,E51="Interior", BU51="N"), 0.025*CD51, ""))), 2), "")</f>
        <v/>
      </c>
      <c r="FR51" s="253" t="str">
        <f>IFERROR(ROUND(IF(CD51="ERROR", "ERROR", IF(AND($FQ$6=Y51,E51="Exterior"), VLOOKUP('Lighting Inventory'!W51, 'Lookup Tables'!$AI$6:$AM$102, 5, FALSE)*'Lighting Inventory'!S51, "")), 2), "")</f>
        <v/>
      </c>
      <c r="FS51" s="253" t="str">
        <f>IFERROR(ROUND(IF(CD51="ERROR", "ERROR", IF(AND($FS$6=Y51,E51="Exterior"), IF(GB51=0, VLOOKUP(W51, 'Lookup Tables'!$AI$6:$AM$102, 5, FALSE)*BP51, IF(VLOOKUP(W51, 'Lookup Tables'!$AI$6:$AM$102, 5, FALSE)*BP51&gt;GB51*'Lighting Inventory'!S51, GB51*'Lighting Inventory'!S51,VLOOKUP(W51, 'Lookup Tables'!$AI$6:$AM$102, 5, FALSE)*BP51)), "")), 2), "")</f>
        <v/>
      </c>
      <c r="FT51" s="253" t="str">
        <f>IFERROR(ROUND(IF(CD51="ERROR", "ERROR", IF(AND($FT$6=Y51,E51="Interior"), IF(GB51=0, VLOOKUP(W51, 'Lookup Tables'!$AI$6:$AM$102, 5, FALSE)*BP51, IF(VLOOKUP(W51, 'Lookup Tables'!$AI$6:$AM$102, 5, FALSE)*BP51&gt;GB51*'Lighting Inventory'!S51, GB51*'Lighting Inventory'!S51,VLOOKUP(W51, 'Lookup Tables'!$AI$6:$AM$102, 5, FALSE)*BP51)), "")), 2), "")</f>
        <v/>
      </c>
      <c r="FU51" s="253" t="str">
        <f>IFERROR(ROUND(IF(CD51="ERROR", "ERROR", IF(AND(Y51=$FU$6, E51="Interior"), IF(BS51="N", 'Lookup Tables'!$AM$101*BP51, VLOOKUP(W51, 'Lookup Tables'!$AI$6:$AM$102, 5, FALSE)*S51*AD51), "")), 2), "")</f>
        <v/>
      </c>
      <c r="FV51" s="253" t="str">
        <f>IFERROR(ROUND(IF(CD51="ERROR", "ERROR", IF(AND(Y51=$FU$6, E51="Exterior"), IF(BS51="N", 'Lookup Tables'!$AM$101*BP51, VLOOKUP(W51, 'Lookup Tables'!$AI$6:$AM$102, 5, FALSE)*S51*AD51), "")), 2), "")</f>
        <v/>
      </c>
      <c r="FW51" s="253" t="str">
        <f>IFERROR(ROUND(IF(CD51="ERROR", "ERROR", IF($FW$6=Y51, IF(BS51="N", 'Lookup Tables'!$AM$101*BP51, MIN((VLOOKUP(W51, 'Lookup Tables'!$AI$6:$AM$102, 5, FALSE)*BP51),GB51*AJ51)), "")), 2), "")</f>
        <v/>
      </c>
      <c r="FX51" s="253" t="str">
        <f>IFERROR(ROUND(IF(CD51="ERROR", "ERROR", IF(AND($FX$6=Y51, E51="Interior"), IF(VLOOKUP(W51, 'Lookup Tables'!$AI$6:$AM$102, 5, FALSE)*BP51&gt;'Lookup Tables'!$AQ$97*'Lighting Inventory'!S51,'Lighting Inventory'!S51*'Lookup Tables'!$AQ$97,VLOOKUP(W51, 'Lookup Tables'!$AI$6:$AM$102, 5, FALSE)*BP51), "")), 2), "")</f>
        <v/>
      </c>
      <c r="FY51" s="253" t="str">
        <f>IFERROR(ROUND(IF(CD51="ERROR", "ERROR", IF(AND($FX$6=Y51, E51="Exterior"), IF(VLOOKUP(W51, 'Lookup Tables'!$AI$6:$AM$102, 5, FALSE)*BP51&gt;'Lookup Tables'!$AQ$97*'Lighting Inventory'!S51,'Lighting Inventory'!S51*'Lookup Tables'!$AQ$97,VLOOKUP(W51, 'Lookup Tables'!$AI$6:$AM$102, 5, FALSE)*BP51), "")), 2), "")</f>
        <v/>
      </c>
      <c r="FZ51" s="253" t="str">
        <f>IFERROR(ROUND(IF(CD51="ERROR", "ERROR", IF(AND($FZ$6=Y51, E51="Interior"), IF(AND(OR(W51="Refrigerated Case Lighting with Doors", W51="Freezer Case Lighting"),Y51="Custom - Process Improvement"),CD51*'Lookup Tables'!$AM$101, IF(B51="Retrofit", IF(VLOOKUP(IF(V51="Custom", V51, W51), 'Lookup Tables'!$AI$6:$AM$102, 5, FALSE)*BP51&gt;GE51, GE51, VLOOKUP(IF(V51="Custom", V51, W51), 'Lookup Tables'!$AI$6:$AM$102, 5, FALSE)*BP51), IF(VLOOKUP(IF(V51="Custom", V51, W51), 'Lookup Tables'!$AI$114:$AM$154, 5, FALSE)*BP51&gt;GE51, GE51, VLOOKUP(IF(V51="Custom", V51, W51), 'Lookup Tables'!$AI$114:$AM$154, 5, FALSE)*BP51))), "")), 2),"")</f>
        <v/>
      </c>
      <c r="GA51" s="253" t="str">
        <f>IFERROR(ROUND(IF(CD51="ERROR", "ERROR", IF(AND($FZ$6=Y51, E51="Exterior"), IF(B51="Retrofit", IF(VLOOKUP(IF(V51="Custom", V51, W51), 'Lookup Tables'!$AI$6:$AM$102, 5, FALSE)*BP51&gt;GE51, GE51, VLOOKUP(IF(V51="Custom", V51, W51), 'Lookup Tables'!$AI$6:$AM$102, 5, FALSE)*BP51), IF(VLOOKUP(IF(V51="Custom", V51, W51), 'Lookup Tables'!$AI$114:$AM$154, 5, FALSE)*BP51&gt;GE51, GE51, VLOOKUP(IF(V51="Custom", V51, W51), 'Lookup Tables'!$AI$114:$AM$154, 5, FALSE)*BP51)), "")), 2),"")</f>
        <v/>
      </c>
      <c r="GB51" s="254" t="str">
        <f t="array" ref="GB51">IF(B51="","",IF(OR(V51="Custom",V51="No Change"),0,IF(B51="Retrofit", INDEX('Lookup Tables'!$AH$6:$AQ$102,MATCH(1,('Lookup Tables'!$AH$6:$AH$102='Lighting Inventory'!V51)*('Lookup Tables'!$AI$6:$AI$102='Lighting Inventory'!W51),FALSE),10),INDEX('Lookup Tables'!$AH$114:$AQ$154,MATCH(1,('Lookup Tables'!$AH$114:$AH$154='Lighting Inventory'!V51)*('Lookup Tables'!$AI$114:$AI$154='Lighting Inventory'!W51),FALSE),10))))</f>
        <v/>
      </c>
      <c r="GC51" s="255" t="str">
        <f t="shared" si="77"/>
        <v/>
      </c>
      <c r="GD51" s="250" t="str">
        <f t="shared" si="78"/>
        <v/>
      </c>
      <c r="GE51" s="253" t="str">
        <f>IFERROR(IF(AND(AF51="", 'General Information'!$F$18="No"),"", IF(AF51="", ((GD51/$CD$266)*$CF$266)*0.5, AF51*S51*0.5)), "")</f>
        <v/>
      </c>
      <c r="GF51" s="255" t="str">
        <f>IF(AND('General Information'!$F$19="", 'General Information'!$F$18="Yes",AF51="",BW51="Y"), "Y", "N")</f>
        <v>N</v>
      </c>
      <c r="GG51" s="255" t="s">
        <v>2946</v>
      </c>
      <c r="GH51" s="255" t="str">
        <f>IFERROR(IF(B51="", "", VLOOKUP(J51, 'Fixture Identities'!$A$6:$N$908, 14, FALSE)), "")</f>
        <v/>
      </c>
      <c r="GI51" s="389" t="str">
        <f>IF(OR(B51="", V51="", W51=""), "", IF(AND(OR(M51='Lookup Tables'!$R$18, M51='Lookup Tables'!$R$19, M51='Lookup Tables'!$R$20, M51='Lookup Tables'!$R$21, M51='Lookup Tables'!$R$22), OR(AN51='Lookup Tables'!$R$17, AN51='Lookup Tables'!$R$17, AN51="")), "Y", "N"))</f>
        <v/>
      </c>
      <c r="GJ51" s="255" t="str">
        <f t="shared" si="79"/>
        <v/>
      </c>
      <c r="GK51" s="255" t="str">
        <f t="shared" si="80"/>
        <v/>
      </c>
      <c r="GL51" s="255" t="str">
        <f t="shared" si="81"/>
        <v/>
      </c>
      <c r="GM51" s="255" t="str">
        <f>IF(AN51="", "", IF(AND(IF(ISNA(VLOOKUP(AN51,'Lookup Tables'!$R$18:$R$22,1,FALSE)), "N", "Y")="Y", E51="Exterior"), "Y", "N"))</f>
        <v/>
      </c>
      <c r="GN51" s="395"/>
      <c r="GO51" s="428">
        <f t="shared" si="98"/>
        <v>0</v>
      </c>
      <c r="GP51" s="428">
        <f t="shared" si="167"/>
        <v>0</v>
      </c>
      <c r="GQ51" s="428">
        <f t="shared" si="99"/>
        <v>0</v>
      </c>
      <c r="GR51" s="428">
        <f t="shared" si="100"/>
        <v>0</v>
      </c>
    </row>
    <row r="52" spans="1:200" s="103" customFormat="1" ht="13.5" customHeight="1" x14ac:dyDescent="0.2">
      <c r="A52" s="272">
        <v>42</v>
      </c>
      <c r="B52" s="110"/>
      <c r="C52" s="110"/>
      <c r="D52" s="110"/>
      <c r="E52" s="110"/>
      <c r="F52" s="110"/>
      <c r="G52" s="110"/>
      <c r="H52" s="110"/>
      <c r="I52" s="29"/>
      <c r="J52" s="29"/>
      <c r="K52" s="272" t="str">
        <f>IFERROR(IF(OR(VLOOKUP(J52, 'Fixture Identities'!$A$6:$L$1023, 3, FALSE)="T12 Linear Fluorescent", VLOOKUP(J52, 'Fixture Identities'!$A$6:$L$1023, 3, FALSE)="T12 U-Tube Fluorescent"), VLOOKUP(VLOOKUP(J52, 'Fixture Identities'!$A$6:$L$1023, 11, FALSE), 'Fixture Identities'!$A$6:$L$1023, 10, FALSE), VLOOKUP(J52, 'Fixture Identities'!$A$6:$L$1023, 10, FALSE)), "")</f>
        <v/>
      </c>
      <c r="L52" s="270" t="str">
        <f t="shared" si="169"/>
        <v/>
      </c>
      <c r="M52" s="110"/>
      <c r="N52" s="110"/>
      <c r="O52" s="110"/>
      <c r="P52" s="272" t="str">
        <f>IFERROR(IF(OR(B52="Retrofit",B52=""),"",IF('Lighting Inventory'!E52="Exterior",VLOOKUP('Lighting Inventory'!N52,'Lookup Tables'!$B$83:$F$103,5,FALSE),IF(N52="Other - Please Estimate EFLH and CFs","Contact Prog. Rep.","ft^2"))), "")</f>
        <v/>
      </c>
      <c r="Q52" s="270" t="str">
        <f>IFERROR(IF(AND(B52="New Construction",E52="Interior",$F$5="Space-by-Space"),VLOOKUP('Lighting Inventory'!N52,'Lookup Tables'!$N$6:$O$97,2,FALSE),IF(AND(B52="New Construction",E52="Exterior"),VLOOKUP(N52,'Lookup Tables'!$B$83:$F$103,2,FALSE),IF(AND(B52="New Construction",'Lighting Inventory'!E52="Interior", $F$5="Building Area"),VLOOKUP(F52,'Lookup Tables'!$A$6:$J$59,10,FALSE),""))), "")</f>
        <v/>
      </c>
      <c r="R52" s="270" t="str">
        <f>IFERROR(IF(P52="Contact Prog. Rep.", "ERROR", IF(OR(B52="",B52="Retrofit"),"",IF(N52="Automated teller machines", ('Lookup Tables'!$A$82:$E$100+('Lighting Inventory'!O52-1)*'Lookup Tables'!$A$82:$E$100)/1000, (Q52*O52)/1000))), "")</f>
        <v/>
      </c>
      <c r="S52" s="595"/>
      <c r="T52" s="105" t="str">
        <f t="shared" si="83"/>
        <v/>
      </c>
      <c r="U52" s="105" t="str">
        <f>IF(S52="","",COUNT($S$11:S52))</f>
        <v/>
      </c>
      <c r="V52" s="111"/>
      <c r="W52" s="112"/>
      <c r="X52" s="105" t="str">
        <f t="shared" si="84"/>
        <v/>
      </c>
      <c r="Y52" s="105" t="str">
        <f t="array" ref="Y52">IF(AND(OR(W52="Freezer Case Lighting", W52="Refrigerated Case Lighting with Doors"), 'General Information'!$X$18="LCI"),'Lookup Tables'!$Y$34, IF(V52="Custom", VLOOKUP(W52, 'Fixture Identities'!$A$974:$M$1023, 13, FALSE), IF(V52="No Change",'Lookup Tables'!$Y$29,IF(OR(V52="",W52=""),"",IF(AND(S52=0,S52&lt;I52,B52="Retrofit"),'Lookup Tables'!$Y$25, IF(B52="Retrofit", INDEX('Lookup Tables'!$AH$6:$AP$102, MATCH(1, ('Lookup Tables'!$AH$6:$AH$102=V52)*('Lookup Tables'!$AI$6:$AI$102=W52), 0), IF('Lighting Inventory'!E52="Interior", 4, 5)), INDEX('Lookup Tables'!$AH$114:$AP$154, MATCH(1, ('Lookup Tables'!$AH$114:$AH$154=V52)*('Lookup Tables'!$AI$114:$AI$154=W52), 0), IF('Lighting Inventory'!E52="Interior", 4, 5))))))))</f>
        <v/>
      </c>
      <c r="Z52" s="105" t="str">
        <f>IFERROR(INDEX('Lookup Tables'!$AH$158:$AH$172,MATCH('Lighting Inventory'!Y52,'Lookup Tables'!$AI$158:$AI$172,0)),"")</f>
        <v/>
      </c>
      <c r="AA52" s="105" t="str">
        <f>IF(AP52&gt;0,INDEX('Lookup Tables'!$AK$158:$AK$172,MATCH('Lighting Inventory'!Y52,'Lookup Tables'!$AI$158:$AI$172,0)),'Lighting Inventory'!Y52)</f>
        <v/>
      </c>
      <c r="AB52" s="105" t="str">
        <f t="array" ref="AB52">IF(V52="Custom", "Custom", IF(V52="", "", IF(V52="Not DLC or Energy Star", "General", IF(B52="New Construction", INDEX('Lookup Tables'!$AH$114:$AP$154,MATCH(1,('Lookup Tables'!$AH$114:$AH$154='Lighting Inventory'!V52)*('Lookup Tables'!$AI$114:$AI$154='Lighting Inventory'!W52),FALSE),8), INDEX('Lookup Tables'!$AH$6:$AP$102,MATCH(1,('Lookup Tables'!$AH$6:$AH$102='Lighting Inventory'!V52)*('Lookup Tables'!$AI$6:$AI$102='Lighting Inventory'!W52),FALSE),8)))))</f>
        <v/>
      </c>
      <c r="AC52" s="272" t="str">
        <f>IF(W52="","",IF(V52="Custom",CONCATENATE("$",'Lookup Tables'!$AM$101," ",'Lookup Tables'!$AN$101),CONCATENATE("$",INDEX('Lookup Tables'!$AM$6:$AM$102,MATCH('Lighting Inventory'!W52,'Lookup Tables'!$AI$6:$AI$102,0))," ",INDEX('Lookup Tables'!$AN$6:$AN$102,MATCH('Lighting Inventory'!W52,'Lookup Tables'!$AI$6:$AI$102,0)))))</f>
        <v/>
      </c>
      <c r="AD52" s="72"/>
      <c r="AE52" s="29"/>
      <c r="AF52" s="379"/>
      <c r="AG52" s="370" t="str">
        <f t="shared" si="2"/>
        <v/>
      </c>
      <c r="AH52" s="370" t="str">
        <f t="shared" si="85"/>
        <v/>
      </c>
      <c r="AI52" s="29"/>
      <c r="AJ52" s="29"/>
      <c r="AK52" s="110"/>
      <c r="AL52" s="375" t="str">
        <f>IF(OR(B52="", V52="", W52=""), "", IF(V52="No Change", K52, IF(V52="Remove Fixture", 0, IF(V52="Custom",VLOOKUP(W52,'Fixture Identities'!$A$6:$K$1023,10,FALSE),IF(AE52="", "← ENTER POST WATTS", 'Lighting Inventory'!AE52)))))</f>
        <v/>
      </c>
      <c r="AM52" s="376" t="str">
        <f t="shared" si="3"/>
        <v/>
      </c>
      <c r="AN52" s="29"/>
      <c r="AO52" s="671"/>
      <c r="AP52" s="29"/>
      <c r="AQ52" s="29"/>
      <c r="AR52" s="29"/>
      <c r="AS52" s="272" t="str">
        <f t="shared" si="4"/>
        <v/>
      </c>
      <c r="AT52" s="270" t="str">
        <f t="shared" si="234"/>
        <v/>
      </c>
      <c r="AU52" s="88" t="str">
        <f t="shared" si="235"/>
        <v/>
      </c>
      <c r="AV52" s="29"/>
      <c r="AW52" s="73"/>
      <c r="AX52" s="271" t="str">
        <f>IF(AND(AV52="Applicant",OR(AW52="", AW52="Use Default Facility Hours")),"← Choose Schedule",IF(F52="","",IF(W52="LED Exit Signs",8760,IF(OR(AV52="Prescribed",AV52=""),VLOOKUP(F52,'Lookup Tables'!$A$6:$G$59,IF(AB52="General", 6, 3),FALSE),VLOOKUP(AW52,'Lookup Tables'!$S$36:$U$43,2,FALSE)))))</f>
        <v/>
      </c>
      <c r="AY52" s="88" t="str">
        <f t="shared" si="7"/>
        <v/>
      </c>
      <c r="AZ52" s="270" t="str">
        <f>IFERROR(IF(F52="", "", IF(W52="LED Exit Signs", 1, IF(AV52="Applicant",VLOOKUP(AW52, 'Lookup Tables'!$S$36:$U$43,3, FALSE), VLOOKUP('Lighting Inventory'!F52, 'Lookup Tables'!$A$6:$H$59, IF('Lighting Inventory'!AB52="General",7,4), FALSE)))), "")</f>
        <v/>
      </c>
      <c r="BA52" s="522" t="str">
        <f>IFERROR(IF(F52="", "", IF(W52="LED Exit Signs", 1, VLOOKUP('Lighting Inventory'!F52, 'Lookup Tables'!$A$6:$H$59, IF('Lighting Inventory'!AB52="General",8,5), FALSE))), "")</f>
        <v/>
      </c>
      <c r="BB52" s="270" t="str">
        <f>IF(G52="", "", IF(E52="Exterior", 0, IF('Lighting Inventory'!G52="Air Conditioned", VLOOKUP(H52, 'Lookup Tables'!$R$6:$T$13, 2, FALSE), VLOOKUP('Lighting Inventory'!G52, 'Lookup Tables'!$R$6:$T$13, 2, FALSE))))</f>
        <v/>
      </c>
      <c r="BC52" s="522" t="str">
        <f>IF(G52="", "", IF(E52="Exterior", 0, IF('Lighting Inventory'!G52="Air Conditioned", VLOOKUP(H52, 'Lookup Tables'!$R$6:$T$13, 3, FALSE), VLOOKUP('Lighting Inventory'!G52, 'Lookup Tables'!$R$6:$T$13, 3, FALSE))))</f>
        <v/>
      </c>
      <c r="BD52" s="270" t="str">
        <f>IF(G52="", "", IF(E52="Exterior", 0, IF('Lighting Inventory'!G52="Air Conditioned", VLOOKUP(H52, 'Lookup Tables'!$R$6:$U$13, 4, FALSE), VLOOKUP('Lighting Inventory'!G52, 'Lookup Tables'!$R$6:$U$13, 4, FALSE))))</f>
        <v/>
      </c>
      <c r="BE52" s="270" t="str">
        <f>IFERROR(IF(B52="", "",  IF(B52="New Construction", VLOOKUP(F52, 'Lookup Tables'!$A$6:$K$59, 11, FALSE),IF(OR(AN52="", AN52="Light Switch"), 0, IF(OR(M52="",M52="None",V52= "LED Exit Signs"),0,_xlfn.XLOOKUP(M52,'Lookup Tables'!$R$91:$R$101,'Lookup Tables'!$V$91:$V$101))))), "")</f>
        <v/>
      </c>
      <c r="BF52" s="270" t="str">
        <f>IF(AND(OR(AN52="Light Switch",AN52=""),B52="New Construction"), VLOOKUP(F52, 'Lookup Tables'!$A$6:$K$59, 11, FALSE),IF(AN52="","",IF(B52="","",IF(OR(AN52="None",AN52="",V52="LED Exit Signs",AN52="Exterior Controls Not Eligible"),0,_xlfn.XLOOKUP(AN52,'Lookup Tables'!$R$91:$R$101,'Lookup Tables'!$V$91:$V$101)))))</f>
        <v/>
      </c>
      <c r="BG52" s="88" t="str">
        <f t="shared" si="86"/>
        <v/>
      </c>
      <c r="BH52" s="88" t="str">
        <f t="shared" si="87"/>
        <v/>
      </c>
      <c r="BI52" s="558" t="str">
        <f t="shared" si="168"/>
        <v/>
      </c>
      <c r="BJ52" s="82" t="str">
        <f t="shared" si="88"/>
        <v/>
      </c>
      <c r="BK52" s="82" t="str">
        <f t="shared" si="89"/>
        <v/>
      </c>
      <c r="BL52" s="559" t="str">
        <f t="shared" si="90"/>
        <v/>
      </c>
      <c r="BM52" s="521" t="str">
        <f t="shared" si="8"/>
        <v/>
      </c>
      <c r="BN52" s="521" t="str">
        <f t="shared" si="9"/>
        <v/>
      </c>
      <c r="BO52" s="522" t="str">
        <f t="shared" si="10"/>
        <v/>
      </c>
      <c r="BP52" s="83" t="str">
        <f t="shared" si="91"/>
        <v/>
      </c>
      <c r="BQ52" s="84" t="str">
        <f t="shared" si="92"/>
        <v/>
      </c>
      <c r="BR52" s="184" t="str">
        <f>IFERROR(IF(B52="", "", IF(OR(VLOOKUP(J52, 'Fixture Identities'!$A$6:$L$1023, 3, FALSE)="T12 Linear Fluorescent",VLOOKUP(J52, 'Fixture Identities'!$A$6:$L$1023, 3, FALSE)="T12 U-Tube Fluorescent"), "Y", "N")), "N")</f>
        <v/>
      </c>
      <c r="BS52" s="184" t="str">
        <f t="array" ref="BS52">IFERROR(IF(OR(B52="", V52="", W52=""), "", IF(V52="Custom", "N", IF(OR(W52="Freezer Case Lighting", W52="Refrigerated Case Lighting with Doors"), BT52, IF(B52="Retrofit", INDEX('Lookup Tables'!$AH$6:$AT$102,MATCH(1,('Lookup Tables'!$AH$6:$AH$102=V52)*('Lookup Tables'!$AI$6:$AI$102=W52),FALSE),IF(VLOOKUP(J52, 'Fixture Identities'!$A$6:$B$1023, 2, FALSE)="Incandescent",12, 13)), INDEX('Lookup Tables'!$AH$114:$AS$154,MATCH(1,('Lookup Tables'!$AH$114:$AH$154=V52)*('Lookup Tables'!$AI$114:$AI$154=W52),FALSE),12))))), "N")</f>
        <v/>
      </c>
      <c r="BT52" s="184" t="str">
        <f>IF(J52="", "", IF(AND(OR(W52="Freezer case Lighting", W52="Refrigerated Case Lighting with Doors"),'General Information'!$X$18="LCI"), "N", IF(OR(VLOOKUP(J52, 'Fixture Identities'!$A$6:$B$1023, 2, FALSE)="T12 EPACT/EISA Baseline", VLOOKUP(J52, 'Fixture Identities'!$A$6:$B$1023, 2, FALSE)="Linear Fluorescent", VLOOKUP(J52, 'Fixture Identities'!$A$6:$B$1023, 2, FALSE)="U-Tube Fluorescent"), "Y", "N")))</f>
        <v/>
      </c>
      <c r="BU52" s="184" t="str">
        <f>IFERROR(IF(B52="", "", IF(VLOOKUP(J52, 'Fixture Identities'!$A$6:$B$1023, 2, FALSE)="Exit Sign", "Y", "N")), "N")</f>
        <v/>
      </c>
      <c r="BV52" s="184" t="str">
        <f>IF(V52="Exit Signs", IF(VLOOKUP(J52, 'Fixture Identities'!$A$6:$B$1023, 2, FALSE)="Exit Sign", "N", "Y"), "")</f>
        <v/>
      </c>
      <c r="BW52" s="184" t="str">
        <f t="array" ref="BW52">IFERROR(IF(B52="", "", IF(B52="New Construction", "N", INDEX('Lookup Tables'!$AH$6:$AU$102, MATCH(1, ('Lookup Tables'!$AH$6:$AH$102='Lighting Inventory'!V52)*('Lookup Tables'!$AI$6:$AI$102='Lighting Inventory'!W52), 0), 14))), "N")</f>
        <v/>
      </c>
      <c r="BX52" s="598" t="str">
        <f t="shared" si="93"/>
        <v/>
      </c>
      <c r="BY52" s="598" t="str">
        <f t="shared" si="94"/>
        <v/>
      </c>
      <c r="BZ52" s="598" t="str">
        <f t="shared" si="95"/>
        <v/>
      </c>
      <c r="CA52" s="598" t="str">
        <f t="shared" si="101"/>
        <v/>
      </c>
      <c r="CB52" s="269" t="str">
        <f t="shared" si="102"/>
        <v/>
      </c>
      <c r="CC52" s="517" t="str">
        <f t="shared" si="96"/>
        <v/>
      </c>
      <c r="CD52" s="565" t="str">
        <f t="shared" si="11"/>
        <v/>
      </c>
      <c r="CE52" s="368">
        <v>0</v>
      </c>
      <c r="CF52" s="368" t="str" cm="1">
        <f t="array" ref="CF52">IFERROR(IF(V52="Custom", "$0.1 per kWh", IF(B52="New Construction", CONCATENATE("$",INDEX('Lookup Tables'!$AH$114:$AN$154,MATCH(1,('Lookup Tables'!$AH$114:$AH$154='Lighting Inventory'!V52)*('Lookup Tables'!$AI$114:$AI$154='Lighting Inventory'!W52),FALSE),6)," ",INDEX('Lookup Tables'!$AH$114:$AN$154,MATCH(1,('Lookup Tables'!$AH$114:$AH$154='Lighting Inventory'!V52)*('Lookup Tables'!$AI$114:$AI$154='Lighting Inventory'!W52),FALSE),7)), IF(AND(BU52="N", V52="Exit Signs"), "$0.025 per kWh", CONCATENATE("$",INDEX('Lookup Tables'!$AH$6:$AN$102,MATCH(1,('Lookup Tables'!$AH$6:$AH$102='Lighting Inventory'!V52)*('Lookup Tables'!$AI$6:$AI$102='Lighting Inventory'!W52),FALSE),6)," ",INDEX('Lookup Tables'!$AH$6:$AN$102,MATCH(1,('Lookup Tables'!$AH$6:$AH$102='Lighting Inventory'!V52)*('Lookup Tables'!$AI$6:$AI$102='Lighting Inventory'!W52),FALSE),7))))), "")</f>
        <v/>
      </c>
      <c r="CG52" s="366"/>
      <c r="CH52" s="248" t="str">
        <f t="shared" si="236"/>
        <v/>
      </c>
      <c r="CI52" s="248" t="str">
        <f t="shared" si="237"/>
        <v>Select_IE</v>
      </c>
      <c r="CJ52" s="248" t="str">
        <f t="shared" si="238"/>
        <v/>
      </c>
      <c r="CK52" s="248" t="str">
        <f t="shared" si="239"/>
        <v/>
      </c>
      <c r="CL52" s="248" t="str">
        <f t="shared" si="240"/>
        <v/>
      </c>
      <c r="CM52" s="248" t="str">
        <f>IFERROR(IF(B52="", "", IF(B52="New Construction", VLOOKUP(V52, 'Lookup Tables'!$AF$114:$AG$120, 2, FALSE), VLOOKUP(V52, 'Lookup Tables'!$AD$6:$AE$25, 2, FALSE))), "")</f>
        <v/>
      </c>
      <c r="CN52" s="248" t="str">
        <f t="shared" si="175"/>
        <v/>
      </c>
      <c r="CO52" s="248" t="str">
        <f t="shared" si="241"/>
        <v/>
      </c>
      <c r="CP52" s="592" t="str">
        <f t="shared" si="242"/>
        <v/>
      </c>
      <c r="CQ52" s="248" t="str">
        <f t="shared" si="97"/>
        <v/>
      </c>
      <c r="CR52" s="100"/>
      <c r="CS52" s="250" t="str">
        <f t="shared" si="178"/>
        <v/>
      </c>
      <c r="CT52" s="250" t="str">
        <f t="shared" si="243"/>
        <v/>
      </c>
      <c r="CU52" s="250" t="str">
        <f t="shared" si="244"/>
        <v/>
      </c>
      <c r="CV52" s="250" t="str">
        <f t="shared" si="245"/>
        <v/>
      </c>
      <c r="CW52" s="250" t="str">
        <f t="shared" si="246"/>
        <v/>
      </c>
      <c r="CX52" s="250" t="str">
        <f t="shared" si="247"/>
        <v/>
      </c>
      <c r="CY52" s="250" t="str">
        <f t="shared" si="248"/>
        <v/>
      </c>
      <c r="CZ52" s="250" t="str">
        <f t="shared" si="249"/>
        <v/>
      </c>
      <c r="DA52" s="250" t="str">
        <f t="shared" si="250"/>
        <v/>
      </c>
      <c r="DB52" s="250" t="str">
        <f t="shared" si="251"/>
        <v/>
      </c>
      <c r="DC52" s="250" t="str">
        <f t="shared" si="252"/>
        <v/>
      </c>
      <c r="DD52" s="250" t="str">
        <f t="shared" si="253"/>
        <v/>
      </c>
      <c r="DE52" s="250" t="str">
        <f t="shared" si="254"/>
        <v/>
      </c>
      <c r="DF52" s="250" t="str">
        <f t="shared" si="255"/>
        <v/>
      </c>
      <c r="DG52" s="250" t="str">
        <f t="shared" si="256"/>
        <v/>
      </c>
      <c r="DH52" s="250" t="str">
        <f t="shared" si="257"/>
        <v/>
      </c>
      <c r="DI52" s="250" t="str">
        <f t="shared" si="258"/>
        <v/>
      </c>
      <c r="DJ52" s="250" t="str">
        <f t="shared" si="259"/>
        <v/>
      </c>
      <c r="DK52" s="250" t="str">
        <f t="shared" si="260"/>
        <v/>
      </c>
      <c r="DL52" s="250" t="str">
        <f t="shared" si="261"/>
        <v/>
      </c>
      <c r="DM52" s="250" t="str">
        <f>IF(CD52="ERROR", "ERROR", IF(AND(OR(Y52=$DM$6, Y52='Lookup Tables'!$AD$21, Y52='Lookup Tables'!$AD$22), E52="Interior"), BJ52, ""))</f>
        <v/>
      </c>
      <c r="DN52" s="250" t="str">
        <f>IF(CD52="ERROR", "ERROR", IF(AND(OR(Y52=$DM$6, Y52='Lookup Tables'!$AD$21, Y52='Lookup Tables'!$AD$22), E52="Exterior"), BJ52, ""))</f>
        <v/>
      </c>
      <c r="DO52" s="100"/>
      <c r="DP52" s="250" t="str">
        <f t="shared" si="198"/>
        <v/>
      </c>
      <c r="DQ52" s="250" t="str">
        <f t="shared" si="262"/>
        <v/>
      </c>
      <c r="DR52" s="250" t="str">
        <f t="shared" si="263"/>
        <v/>
      </c>
      <c r="DS52" s="250" t="str">
        <f t="shared" si="264"/>
        <v/>
      </c>
      <c r="DT52" s="250" t="str">
        <f t="shared" si="265"/>
        <v/>
      </c>
      <c r="DU52" s="250" t="str">
        <f t="shared" si="266"/>
        <v/>
      </c>
      <c r="DV52" s="250" t="str">
        <f t="shared" si="267"/>
        <v/>
      </c>
      <c r="DW52" s="250" t="str">
        <f t="shared" si="268"/>
        <v/>
      </c>
      <c r="DX52" s="250" t="str">
        <f t="shared" si="269"/>
        <v/>
      </c>
      <c r="DY52" s="250" t="str">
        <f t="shared" si="270"/>
        <v/>
      </c>
      <c r="DZ52" s="250" t="str">
        <f t="shared" si="271"/>
        <v/>
      </c>
      <c r="EA52" s="250" t="str">
        <f t="shared" si="272"/>
        <v/>
      </c>
      <c r="EB52" s="250" t="str">
        <f t="shared" si="273"/>
        <v/>
      </c>
      <c r="EC52" s="250" t="str">
        <f t="shared" si="274"/>
        <v/>
      </c>
      <c r="ED52" s="250" t="str">
        <f t="shared" si="275"/>
        <v/>
      </c>
      <c r="EE52" s="250" t="str">
        <f t="shared" si="276"/>
        <v/>
      </c>
      <c r="EF52" s="250" t="str">
        <f t="shared" si="277"/>
        <v/>
      </c>
      <c r="EG52" s="250" t="str">
        <f t="shared" si="278"/>
        <v/>
      </c>
      <c r="EH52" s="250" t="str">
        <f>IF(CD52="ERROR", "ERROR", IF(AND(OR($EH$6=Y52, Y52='Lookup Tables'!$AD$21, Y52='Lookup Tables'!$AD$22),E52="Interior"), SUM(BP52:BP52), ""))</f>
        <v/>
      </c>
      <c r="EI52" s="250" t="str">
        <f>IF(CD52="ERROR", "ERROR", IF(AND(OR($EH$6=Y52, Y52='Lookup Tables'!$AD$21, Y52='Lookup Tables'!$AD$22),E52="Exterior"), SUM(BP52:BP52), ""))</f>
        <v/>
      </c>
      <c r="EJ52" s="109"/>
      <c r="EK52" s="485" t="str">
        <f t="shared" si="58"/>
        <v/>
      </c>
      <c r="EL52" s="252" t="str">
        <f t="shared" si="279"/>
        <v/>
      </c>
      <c r="EM52" s="252" t="str">
        <f t="shared" si="280"/>
        <v/>
      </c>
      <c r="EN52" s="252" t="str">
        <f t="shared" si="281"/>
        <v/>
      </c>
      <c r="EO52" s="252" t="str">
        <f t="shared" si="282"/>
        <v/>
      </c>
      <c r="EP52" s="252" t="str">
        <f t="shared" si="283"/>
        <v/>
      </c>
      <c r="EQ52" s="252" t="str">
        <f t="shared" si="284"/>
        <v/>
      </c>
      <c r="ER52" s="252" t="str">
        <f t="shared" si="285"/>
        <v/>
      </c>
      <c r="ES52" s="252" t="str">
        <f t="shared" si="286"/>
        <v/>
      </c>
      <c r="ET52" s="252" t="str">
        <f t="shared" si="287"/>
        <v/>
      </c>
      <c r="EU52" s="252" t="str">
        <f t="shared" si="288"/>
        <v/>
      </c>
      <c r="EV52" s="252" t="str">
        <f t="shared" si="289"/>
        <v/>
      </c>
      <c r="EW52" s="252" t="str">
        <f t="shared" si="290"/>
        <v/>
      </c>
      <c r="EX52" s="252" t="str">
        <f t="shared" si="291"/>
        <v/>
      </c>
      <c r="EY52" s="252" t="str">
        <f t="shared" si="292"/>
        <v/>
      </c>
      <c r="EZ52" s="252" t="str">
        <f t="shared" si="293"/>
        <v/>
      </c>
      <c r="FA52" s="252" t="str">
        <f t="shared" si="294"/>
        <v/>
      </c>
      <c r="FB52" s="252" t="str">
        <f t="shared" si="295"/>
        <v/>
      </c>
      <c r="FC52" s="252" t="str">
        <f>IF(CD52="ERROR", "ERROR", IF(OR(V52="No Change", V52="Not DLC or Energy Star"), "", IF(AND(OR($FC$6=Y52,Y52='Lookup Tables'!$AD$21, Y52='Lookup Tables'!$AD$22),E52="Interior"), S52, "")))</f>
        <v/>
      </c>
      <c r="FD52" s="252" t="str">
        <f t="shared" si="296"/>
        <v/>
      </c>
      <c r="FE52" s="101"/>
      <c r="FF52" s="579" t="str" cm="1">
        <f t="array" ref="FF52">IFERROR(IF(OR(BQ52&lt;=0,AQ52&lt;20,AND(V52="Exit Signs",AN52&gt;0)),"",IF(AND(AQ52&gt;=20,AN52='Lookup Tables'!$R$101),'Lookup Tables'!$U$101*BQ52,AP52*LOOKUP(2,1/((AN52='Lookup Tables'!$R$91:$R$111)*(AQ52&gt;='Lookup Tables'!$S$91:$S$111)*(AQ52&lt;='Lookup Tables'!$T$91:$T$111)),'Lookup Tables'!$U$91:$U$111))),"")</f>
        <v/>
      </c>
      <c r="FG52" s="579"/>
      <c r="FH52" s="579"/>
      <c r="FI52" s="253" t="str">
        <f>IFERROR(ROUND(IF(CD52="ERROR", "ERROR", IF(AND($FI$7=X52,E52="Interior"),VLOOKUP(W52, 'Lookup Tables'!$AI$6:$AM$102, 5, FALSE)*BP52, "")), 2), "")</f>
        <v/>
      </c>
      <c r="FJ52" s="253" t="str">
        <f>IFERROR(ROUND(IF(CD52="ERROR", "ERROR", IF(AND($FI$7=X52,E52="Exterior"),VLOOKUP(W52, 'Lookup Tables'!$AI$6:$AM$102, 5, FALSE)*BP52, "")), 2), "")</f>
        <v/>
      </c>
      <c r="FK52" s="253" t="str">
        <f>IFERROR(ROUND(IF(CD52="ERROR", "ERROR", IF(AND($FK$7=X52,E52="Interior"),VLOOKUP(W52, 'Lookup Tables'!$AI$6:$AM$102, 5, FALSE)*BP52, "")), 2), "")</f>
        <v/>
      </c>
      <c r="FL52" s="253" t="str">
        <f>IFERROR(ROUND(IF(CD52="ERROR", "ERROR", IF(AND($FK$7=X52,E52="Exterior"),VLOOKUP(W52, 'Lookup Tables'!$AI$6:$AM$102, 5, FALSE)*BP52, "")), 2), "")</f>
        <v/>
      </c>
      <c r="FM52" s="253" t="str">
        <f>IFERROR(ROUND(IF(CD52="ERROR", "ERROR", IF(AND($FM$6=Y52,E52="Interior"), IF(GB52=0, VLOOKUP(W52, 'Lookup Tables'!$AI$6:$AM$102, 5, FALSE)*BP52, IF(VLOOKUP(W52, 'Lookup Tables'!$AI$6:$AM$102, 5, FALSE)*BP52&gt;GB52*'Lighting Inventory'!S52, GB52*'Lighting Inventory'!S52,VLOOKUP(W52, 'Lookup Tables'!$AI$6:$AM$102, 5, FALSE)*BP52)), "")), 2), "")</f>
        <v/>
      </c>
      <c r="FN52" s="253" t="str">
        <f>IFERROR(ROUND(IF(CD52="ERROR", "ERROR", IF(AND($FM$6=Y52,E52="Exterior"), IF(GB52=0, VLOOKUP(W52, 'Lookup Tables'!$AI$6:$AM$102, 5, FALSE)*BP52, IF(VLOOKUP(W52, 'Lookup Tables'!$AI$6:$AM$102, 5, FALSE)*BP52&gt;GB52*'Lighting Inventory'!S52, GB52*'Lighting Inventory'!S52,VLOOKUP(W52, 'Lookup Tables'!$AI$6:$AM$102, 5, FALSE)*BP52)), "")), 2), "")</f>
        <v/>
      </c>
      <c r="FO52" s="253" t="str">
        <f>IFERROR(ROUND(IF(CD52="ERROR", "ERROR", IF(AND($FO$6=Y52,E52="Interior"),VLOOKUP(W52, 'Lookup Tables'!$AI$6:$AM$102, 5, FALSE)*'Lighting Inventory'!AI52, "")), 2), "")</f>
        <v/>
      </c>
      <c r="FP52" s="253" t="str">
        <f>IFERROR(ROUND(IF(CD52="ERROR", "ERROR", IF(AND($FO$6=Y52,E52="Exterior"),VLOOKUP(W52, 'Lookup Tables'!$AI$6:$AM$102, 5, FALSE)*'Lighting Inventory'!AI52, "")), 2), "")</f>
        <v/>
      </c>
      <c r="FQ52" s="253" t="str">
        <f>IFERROR(ROUND(IF(CD52="ERROR", "ERROR", IF(AND($FQ$6=Y52,E52="Interior", BU52="Y"), VLOOKUP('Lighting Inventory'!W52, 'Lookup Tables'!$AI$6:$AM$102, 5, FALSE)*'Lighting Inventory'!S52, IF(AND($FQ$7=Y52,E52="Interior", BU52="N"), 0.025*CD52, ""))), 2), "")</f>
        <v/>
      </c>
      <c r="FR52" s="253" t="str">
        <f>IFERROR(ROUND(IF(CD52="ERROR", "ERROR", IF(AND($FQ$6=Y52,E52="Exterior"), VLOOKUP('Lighting Inventory'!W52, 'Lookup Tables'!$AI$6:$AM$102, 5, FALSE)*'Lighting Inventory'!S52, "")), 2), "")</f>
        <v/>
      </c>
      <c r="FS52" s="253" t="str">
        <f>IFERROR(ROUND(IF(CD52="ERROR", "ERROR", IF(AND($FS$6=Y52,E52="Exterior"), IF(GB52=0, VLOOKUP(W52, 'Lookup Tables'!$AI$6:$AM$102, 5, FALSE)*BP52, IF(VLOOKUP(W52, 'Lookup Tables'!$AI$6:$AM$102, 5, FALSE)*BP52&gt;GB52*'Lighting Inventory'!S52, GB52*'Lighting Inventory'!S52,VLOOKUP(W52, 'Lookup Tables'!$AI$6:$AM$102, 5, FALSE)*BP52)), "")), 2), "")</f>
        <v/>
      </c>
      <c r="FT52" s="253" t="str">
        <f>IFERROR(ROUND(IF(CD52="ERROR", "ERROR", IF(AND($FT$6=Y52,E52="Interior"), IF(GB52=0, VLOOKUP(W52, 'Lookup Tables'!$AI$6:$AM$102, 5, FALSE)*BP52, IF(VLOOKUP(W52, 'Lookup Tables'!$AI$6:$AM$102, 5, FALSE)*BP52&gt;GB52*'Lighting Inventory'!S52, GB52*'Lighting Inventory'!S52,VLOOKUP(W52, 'Lookup Tables'!$AI$6:$AM$102, 5, FALSE)*BP52)), "")), 2), "")</f>
        <v/>
      </c>
      <c r="FU52" s="253" t="str">
        <f>IFERROR(ROUND(IF(CD52="ERROR", "ERROR", IF(AND(Y52=$FU$6, E52="Interior"), IF(BS52="N", 'Lookup Tables'!$AM$101*BP52, VLOOKUP(W52, 'Lookup Tables'!$AI$6:$AM$102, 5, FALSE)*S52*AD52), "")), 2), "")</f>
        <v/>
      </c>
      <c r="FV52" s="253" t="str">
        <f>IFERROR(ROUND(IF(CD52="ERROR", "ERROR", IF(AND(Y52=$FU$6, E52="Exterior"), IF(BS52="N", 'Lookup Tables'!$AM$101*BP52, VLOOKUP(W52, 'Lookup Tables'!$AI$6:$AM$102, 5, FALSE)*S52*AD52), "")), 2), "")</f>
        <v/>
      </c>
      <c r="FW52" s="253" t="str">
        <f>IFERROR(ROUND(IF(CD52="ERROR", "ERROR", IF($FW$6=Y52, IF(BS52="N", 'Lookup Tables'!$AM$101*BP52, MIN((VLOOKUP(W52, 'Lookup Tables'!$AI$6:$AM$102, 5, FALSE)*BP52),GB52*AJ52)), "")), 2), "")</f>
        <v/>
      </c>
      <c r="FX52" s="253" t="str">
        <f>IFERROR(ROUND(IF(CD52="ERROR", "ERROR", IF(AND($FX$6=Y52, E52="Interior"), IF(VLOOKUP(W52, 'Lookup Tables'!$AI$6:$AM$102, 5, FALSE)*BP52&gt;'Lookup Tables'!$AQ$97*'Lighting Inventory'!S52,'Lighting Inventory'!S52*'Lookup Tables'!$AQ$97,VLOOKUP(W52, 'Lookup Tables'!$AI$6:$AM$102, 5, FALSE)*BP52), "")), 2), "")</f>
        <v/>
      </c>
      <c r="FY52" s="253" t="str">
        <f>IFERROR(ROUND(IF(CD52="ERROR", "ERROR", IF(AND($FX$6=Y52, E52="Exterior"), IF(VLOOKUP(W52, 'Lookup Tables'!$AI$6:$AM$102, 5, FALSE)*BP52&gt;'Lookup Tables'!$AQ$97*'Lighting Inventory'!S52,'Lighting Inventory'!S52*'Lookup Tables'!$AQ$97,VLOOKUP(W52, 'Lookup Tables'!$AI$6:$AM$102, 5, FALSE)*BP52), "")), 2), "")</f>
        <v/>
      </c>
      <c r="FZ52" s="253" t="str">
        <f>IFERROR(ROUND(IF(CD52="ERROR", "ERROR", IF(AND($FZ$6=Y52, E52="Interior"), IF(AND(OR(W52="Refrigerated Case Lighting with Doors", W52="Freezer Case Lighting"),Y52="Custom - Process Improvement"),CD52*'Lookup Tables'!$AM$101, IF(B52="Retrofit", IF(VLOOKUP(IF(V52="Custom", V52, W52), 'Lookup Tables'!$AI$6:$AM$102, 5, FALSE)*BP52&gt;GE52, GE52, VLOOKUP(IF(V52="Custom", V52, W52), 'Lookup Tables'!$AI$6:$AM$102, 5, FALSE)*BP52), IF(VLOOKUP(IF(V52="Custom", V52, W52), 'Lookup Tables'!$AI$114:$AM$154, 5, FALSE)*BP52&gt;GE52, GE52, VLOOKUP(IF(V52="Custom", V52, W52), 'Lookup Tables'!$AI$114:$AM$154, 5, FALSE)*BP52))), "")), 2),"")</f>
        <v/>
      </c>
      <c r="GA52" s="253" t="str">
        <f>IFERROR(ROUND(IF(CD52="ERROR", "ERROR", IF(AND($FZ$6=Y52, E52="Exterior"), IF(B52="Retrofit", IF(VLOOKUP(IF(V52="Custom", V52, W52), 'Lookup Tables'!$AI$6:$AM$102, 5, FALSE)*BP52&gt;GE52, GE52, VLOOKUP(IF(V52="Custom", V52, W52), 'Lookup Tables'!$AI$6:$AM$102, 5, FALSE)*BP52), IF(VLOOKUP(IF(V52="Custom", V52, W52), 'Lookup Tables'!$AI$114:$AM$154, 5, FALSE)*BP52&gt;GE52, GE52, VLOOKUP(IF(V52="Custom", V52, W52), 'Lookup Tables'!$AI$114:$AM$154, 5, FALSE)*BP52)), "")), 2),"")</f>
        <v/>
      </c>
      <c r="GB52" s="254" t="str">
        <f t="array" ref="GB52">IF(B52="","",IF(OR(V52="Custom",V52="No Change"),0,IF(B52="Retrofit", INDEX('Lookup Tables'!$AH$6:$AQ$102,MATCH(1,('Lookup Tables'!$AH$6:$AH$102='Lighting Inventory'!V52)*('Lookup Tables'!$AI$6:$AI$102='Lighting Inventory'!W52),FALSE),10),INDEX('Lookup Tables'!$AH$114:$AQ$154,MATCH(1,('Lookup Tables'!$AH$114:$AH$154='Lighting Inventory'!V52)*('Lookup Tables'!$AI$114:$AI$154='Lighting Inventory'!W52),FALSE),10))))</f>
        <v/>
      </c>
      <c r="GC52" s="255" t="str">
        <f t="shared" si="77"/>
        <v/>
      </c>
      <c r="GD52" s="250" t="str">
        <f t="shared" si="78"/>
        <v/>
      </c>
      <c r="GE52" s="253" t="str">
        <f>IFERROR(IF(AND(AF52="", 'General Information'!$F$18="No"),"", IF(AF52="", ((GD52/$CD$266)*$CF$266)*0.5, AF52*S52*0.5)), "")</f>
        <v/>
      </c>
      <c r="GF52" s="255" t="str">
        <f>IF(AND('General Information'!$F$19="", 'General Information'!$F$18="Yes",AF52="",BW52="Y"), "Y", "N")</f>
        <v>N</v>
      </c>
      <c r="GG52" s="255" t="s">
        <v>2946</v>
      </c>
      <c r="GH52" s="255" t="str">
        <f>IFERROR(IF(B52="", "", VLOOKUP(J52, 'Fixture Identities'!$A$6:$N$908, 14, FALSE)), "")</f>
        <v/>
      </c>
      <c r="GI52" s="389" t="str">
        <f>IF(OR(B52="", V52="", W52=""), "", IF(AND(OR(M52='Lookup Tables'!$R$18, M52='Lookup Tables'!$R$19, M52='Lookup Tables'!$R$20, M52='Lookup Tables'!$R$21, M52='Lookup Tables'!$R$22), OR(AN52='Lookup Tables'!$R$17, AN52='Lookup Tables'!$R$17, AN52="")), "Y", "N"))</f>
        <v/>
      </c>
      <c r="GJ52" s="255" t="str">
        <f t="shared" si="79"/>
        <v/>
      </c>
      <c r="GK52" s="255" t="str">
        <f t="shared" si="80"/>
        <v/>
      </c>
      <c r="GL52" s="255" t="str">
        <f t="shared" si="81"/>
        <v/>
      </c>
      <c r="GM52" s="255" t="str">
        <f>IF(AN52="", "", IF(AND(IF(ISNA(VLOOKUP(AN52,'Lookup Tables'!$R$18:$R$22,1,FALSE)), "N", "Y")="Y", E52="Exterior"), "Y", "N"))</f>
        <v/>
      </c>
      <c r="GN52" s="395"/>
      <c r="GO52" s="428">
        <f t="shared" si="98"/>
        <v>0</v>
      </c>
      <c r="GP52" s="428">
        <f t="shared" si="167"/>
        <v>0</v>
      </c>
      <c r="GQ52" s="428">
        <f t="shared" si="99"/>
        <v>0</v>
      </c>
      <c r="GR52" s="428">
        <f t="shared" si="100"/>
        <v>0</v>
      </c>
    </row>
    <row r="53" spans="1:200" s="103" customFormat="1" ht="13.5" customHeight="1" x14ac:dyDescent="0.2">
      <c r="A53" s="272">
        <v>43</v>
      </c>
      <c r="B53" s="110"/>
      <c r="C53" s="110"/>
      <c r="D53" s="110"/>
      <c r="E53" s="110"/>
      <c r="F53" s="110"/>
      <c r="G53" s="110"/>
      <c r="H53" s="110"/>
      <c r="I53" s="29"/>
      <c r="J53" s="29"/>
      <c r="K53" s="272" t="str">
        <f>IFERROR(IF(OR(VLOOKUP(J53, 'Fixture Identities'!$A$6:$L$1023, 3, FALSE)="T12 Linear Fluorescent", VLOOKUP(J53, 'Fixture Identities'!$A$6:$L$1023, 3, FALSE)="T12 U-Tube Fluorescent"), VLOOKUP(VLOOKUP(J53, 'Fixture Identities'!$A$6:$L$1023, 11, FALSE), 'Fixture Identities'!$A$6:$L$1023, 10, FALSE), VLOOKUP(J53, 'Fixture Identities'!$A$6:$L$1023, 10, FALSE)), "")</f>
        <v/>
      </c>
      <c r="L53" s="270" t="str">
        <f t="shared" si="169"/>
        <v/>
      </c>
      <c r="M53" s="110"/>
      <c r="N53" s="110"/>
      <c r="O53" s="110"/>
      <c r="P53" s="272" t="str">
        <f>IFERROR(IF(OR(B53="Retrofit",B53=""),"",IF('Lighting Inventory'!E53="Exterior",VLOOKUP('Lighting Inventory'!N53,'Lookup Tables'!$B$83:$F$103,5,FALSE),IF(N53="Other - Please Estimate EFLH and CFs","Contact Prog. Rep.","ft^2"))), "")</f>
        <v/>
      </c>
      <c r="Q53" s="270" t="str">
        <f>IFERROR(IF(AND(B53="New Construction",E53="Interior",$F$5="Space-by-Space"),VLOOKUP('Lighting Inventory'!N53,'Lookup Tables'!$N$6:$O$97,2,FALSE),IF(AND(B53="New Construction",E53="Exterior"),VLOOKUP(N53,'Lookup Tables'!$B$83:$F$103,2,FALSE),IF(AND(B53="New Construction",'Lighting Inventory'!E53="Interior", $F$5="Building Area"),VLOOKUP(F53,'Lookup Tables'!$A$6:$J$59,10,FALSE),""))), "")</f>
        <v/>
      </c>
      <c r="R53" s="270" t="str">
        <f>IFERROR(IF(P53="Contact Prog. Rep.", "ERROR", IF(OR(B53="",B53="Retrofit"),"",IF(N53="Automated teller machines", ('Lookup Tables'!$A$82:$E$100+('Lighting Inventory'!O53-1)*'Lookup Tables'!$A$82:$E$100)/1000, (Q53*O53)/1000))), "")</f>
        <v/>
      </c>
      <c r="S53" s="595"/>
      <c r="T53" s="105" t="str">
        <f t="shared" si="83"/>
        <v/>
      </c>
      <c r="U53" s="105" t="str">
        <f>IF(S53="","",COUNT($S$11:S53))</f>
        <v/>
      </c>
      <c r="V53" s="111"/>
      <c r="W53" s="112"/>
      <c r="X53" s="105" t="str">
        <f t="shared" si="84"/>
        <v/>
      </c>
      <c r="Y53" s="105" t="str">
        <f t="array" ref="Y53">IF(AND(OR(W53="Freezer Case Lighting", W53="Refrigerated Case Lighting with Doors"), 'General Information'!$X$18="LCI"),'Lookup Tables'!$Y$34, IF(V53="Custom", VLOOKUP(W53, 'Fixture Identities'!$A$974:$M$1023, 13, FALSE), IF(V53="No Change",'Lookup Tables'!$Y$29,IF(OR(V53="",W53=""),"",IF(AND(S53=0,S53&lt;I53,B53="Retrofit"),'Lookup Tables'!$Y$25, IF(B53="Retrofit", INDEX('Lookup Tables'!$AH$6:$AP$102, MATCH(1, ('Lookup Tables'!$AH$6:$AH$102=V53)*('Lookup Tables'!$AI$6:$AI$102=W53), 0), IF('Lighting Inventory'!E53="Interior", 4, 5)), INDEX('Lookup Tables'!$AH$114:$AP$154, MATCH(1, ('Lookup Tables'!$AH$114:$AH$154=V53)*('Lookup Tables'!$AI$114:$AI$154=W53), 0), IF('Lighting Inventory'!E53="Interior", 4, 5))))))))</f>
        <v/>
      </c>
      <c r="Z53" s="105" t="str">
        <f>IFERROR(INDEX('Lookup Tables'!$AH$158:$AH$172,MATCH('Lighting Inventory'!Y53,'Lookup Tables'!$AI$158:$AI$172,0)),"")</f>
        <v/>
      </c>
      <c r="AA53" s="105" t="str">
        <f>IF(AP53&gt;0,INDEX('Lookup Tables'!$AK$158:$AK$172,MATCH('Lighting Inventory'!Y53,'Lookup Tables'!$AI$158:$AI$172,0)),'Lighting Inventory'!Y53)</f>
        <v/>
      </c>
      <c r="AB53" s="105" t="str">
        <f t="array" ref="AB53">IF(V53="Custom", "Custom", IF(V53="", "", IF(V53="Not DLC or Energy Star", "General", IF(B53="New Construction", INDEX('Lookup Tables'!$AH$114:$AP$154,MATCH(1,('Lookup Tables'!$AH$114:$AH$154='Lighting Inventory'!V53)*('Lookup Tables'!$AI$114:$AI$154='Lighting Inventory'!W53),FALSE),8), INDEX('Lookup Tables'!$AH$6:$AP$102,MATCH(1,('Lookup Tables'!$AH$6:$AH$102='Lighting Inventory'!V53)*('Lookup Tables'!$AI$6:$AI$102='Lighting Inventory'!W53),FALSE),8)))))</f>
        <v/>
      </c>
      <c r="AC53" s="272" t="str">
        <f>IF(W53="","",IF(V53="Custom",CONCATENATE("$",'Lookup Tables'!$AM$101," ",'Lookup Tables'!$AN$101),CONCATENATE("$",INDEX('Lookup Tables'!$AM$6:$AM$102,MATCH('Lighting Inventory'!W53,'Lookup Tables'!$AI$6:$AI$102,0))," ",INDEX('Lookup Tables'!$AN$6:$AN$102,MATCH('Lighting Inventory'!W53,'Lookup Tables'!$AI$6:$AI$102,0)))))</f>
        <v/>
      </c>
      <c r="AD53" s="72"/>
      <c r="AE53" s="29"/>
      <c r="AF53" s="379"/>
      <c r="AG53" s="370" t="str">
        <f t="shared" si="2"/>
        <v/>
      </c>
      <c r="AH53" s="370" t="str">
        <f t="shared" si="85"/>
        <v/>
      </c>
      <c r="AI53" s="29"/>
      <c r="AJ53" s="29"/>
      <c r="AK53" s="110"/>
      <c r="AL53" s="375" t="str">
        <f>IF(OR(B53="", V53="", W53=""), "", IF(V53="No Change", K53, IF(V53="Remove Fixture", 0, IF(V53="Custom",VLOOKUP(W53,'Fixture Identities'!$A$6:$K$1023,10,FALSE),IF(AE53="", "← ENTER POST WATTS", 'Lighting Inventory'!AE53)))))</f>
        <v/>
      </c>
      <c r="AM53" s="376" t="str">
        <f t="shared" si="3"/>
        <v/>
      </c>
      <c r="AN53" s="29"/>
      <c r="AO53" s="671"/>
      <c r="AP53" s="29"/>
      <c r="AQ53" s="29"/>
      <c r="AR53" s="29"/>
      <c r="AS53" s="272" t="str">
        <f t="shared" si="4"/>
        <v/>
      </c>
      <c r="AT53" s="270" t="str">
        <f t="shared" si="234"/>
        <v/>
      </c>
      <c r="AU53" s="88" t="str">
        <f t="shared" si="235"/>
        <v/>
      </c>
      <c r="AV53" s="29"/>
      <c r="AW53" s="73"/>
      <c r="AX53" s="271" t="str">
        <f>IF(AND(AV53="Applicant",OR(AW53="", AW53="Use Default Facility Hours")),"← Choose Schedule",IF(F53="","",IF(W53="LED Exit Signs",8760,IF(OR(AV53="Prescribed",AV53=""),VLOOKUP(F53,'Lookup Tables'!$A$6:$G$59,IF(AB53="General", 6, 3),FALSE),VLOOKUP(AW53,'Lookup Tables'!$S$36:$U$43,2,FALSE)))))</f>
        <v/>
      </c>
      <c r="AY53" s="88" t="str">
        <f t="shared" si="7"/>
        <v/>
      </c>
      <c r="AZ53" s="270" t="str">
        <f>IFERROR(IF(F53="", "", IF(W53="LED Exit Signs", 1, IF(AV53="Applicant",VLOOKUP(AW53, 'Lookup Tables'!$S$36:$U$43,3, FALSE), VLOOKUP('Lighting Inventory'!F53, 'Lookup Tables'!$A$6:$H$59, IF('Lighting Inventory'!AB53="General",7,4), FALSE)))), "")</f>
        <v/>
      </c>
      <c r="BA53" s="522" t="str">
        <f>IFERROR(IF(F53="", "", IF(W53="LED Exit Signs", 1, VLOOKUP('Lighting Inventory'!F53, 'Lookup Tables'!$A$6:$H$59, IF('Lighting Inventory'!AB53="General",8,5), FALSE))), "")</f>
        <v/>
      </c>
      <c r="BB53" s="270" t="str">
        <f>IF(G53="", "", IF(E53="Exterior", 0, IF('Lighting Inventory'!G53="Air Conditioned", VLOOKUP(H53, 'Lookup Tables'!$R$6:$T$13, 2, FALSE), VLOOKUP('Lighting Inventory'!G53, 'Lookup Tables'!$R$6:$T$13, 2, FALSE))))</f>
        <v/>
      </c>
      <c r="BC53" s="522" t="str">
        <f>IF(G53="", "", IF(E53="Exterior", 0, IF('Lighting Inventory'!G53="Air Conditioned", VLOOKUP(H53, 'Lookup Tables'!$R$6:$T$13, 3, FALSE), VLOOKUP('Lighting Inventory'!G53, 'Lookup Tables'!$R$6:$T$13, 3, FALSE))))</f>
        <v/>
      </c>
      <c r="BD53" s="270" t="str">
        <f>IF(G53="", "", IF(E53="Exterior", 0, IF('Lighting Inventory'!G53="Air Conditioned", VLOOKUP(H53, 'Lookup Tables'!$R$6:$U$13, 4, FALSE), VLOOKUP('Lighting Inventory'!G53, 'Lookup Tables'!$R$6:$U$13, 4, FALSE))))</f>
        <v/>
      </c>
      <c r="BE53" s="270" t="str">
        <f>IFERROR(IF(B53="", "",  IF(B53="New Construction", VLOOKUP(F53, 'Lookup Tables'!$A$6:$K$59, 11, FALSE),IF(OR(AN53="", AN53="Light Switch"), 0, IF(OR(M53="",M53="None",V53= "LED Exit Signs"),0,_xlfn.XLOOKUP(M53,'Lookup Tables'!$R$91:$R$101,'Lookup Tables'!$V$91:$V$101))))), "")</f>
        <v/>
      </c>
      <c r="BF53" s="270" t="str">
        <f>IF(AND(OR(AN53="Light Switch",AN53=""),B53="New Construction"), VLOOKUP(F53, 'Lookup Tables'!$A$6:$K$59, 11, FALSE),IF(AN53="","",IF(B53="","",IF(OR(AN53="None",AN53="",V53="LED Exit Signs",AN53="Exterior Controls Not Eligible"),0,_xlfn.XLOOKUP(AN53,'Lookup Tables'!$R$91:$R$101,'Lookup Tables'!$V$91:$V$101)))))</f>
        <v/>
      </c>
      <c r="BG53" s="88" t="str">
        <f t="shared" si="86"/>
        <v/>
      </c>
      <c r="BH53" s="88" t="str">
        <f t="shared" si="87"/>
        <v/>
      </c>
      <c r="BI53" s="558" t="str">
        <f t="shared" si="168"/>
        <v/>
      </c>
      <c r="BJ53" s="82" t="str">
        <f t="shared" si="88"/>
        <v/>
      </c>
      <c r="BK53" s="82" t="str">
        <f t="shared" si="89"/>
        <v/>
      </c>
      <c r="BL53" s="559" t="str">
        <f t="shared" si="90"/>
        <v/>
      </c>
      <c r="BM53" s="521" t="str">
        <f t="shared" si="8"/>
        <v/>
      </c>
      <c r="BN53" s="521" t="str">
        <f t="shared" si="9"/>
        <v/>
      </c>
      <c r="BO53" s="522" t="str">
        <f t="shared" si="10"/>
        <v/>
      </c>
      <c r="BP53" s="83" t="str">
        <f t="shared" si="91"/>
        <v/>
      </c>
      <c r="BQ53" s="84" t="str">
        <f t="shared" si="92"/>
        <v/>
      </c>
      <c r="BR53" s="184" t="str">
        <f>IFERROR(IF(B53="", "", IF(OR(VLOOKUP(J53, 'Fixture Identities'!$A$6:$L$1023, 3, FALSE)="T12 Linear Fluorescent",VLOOKUP(J53, 'Fixture Identities'!$A$6:$L$1023, 3, FALSE)="T12 U-Tube Fluorescent"), "Y", "N")), "N")</f>
        <v/>
      </c>
      <c r="BS53" s="184" t="str">
        <f t="array" ref="BS53">IFERROR(IF(OR(B53="", V53="", W53=""), "", IF(V53="Custom", "N", IF(OR(W53="Freezer Case Lighting", W53="Refrigerated Case Lighting with Doors"), BT53, IF(B53="Retrofit", INDEX('Lookup Tables'!$AH$6:$AT$102,MATCH(1,('Lookup Tables'!$AH$6:$AH$102=V53)*('Lookup Tables'!$AI$6:$AI$102=W53),FALSE),IF(VLOOKUP(J53, 'Fixture Identities'!$A$6:$B$1023, 2, FALSE)="Incandescent",12, 13)), INDEX('Lookup Tables'!$AH$114:$AS$154,MATCH(1,('Lookup Tables'!$AH$114:$AH$154=V53)*('Lookup Tables'!$AI$114:$AI$154=W53),FALSE),12))))), "N")</f>
        <v/>
      </c>
      <c r="BT53" s="184" t="str">
        <f>IF(J53="", "", IF(AND(OR(W53="Freezer case Lighting", W53="Refrigerated Case Lighting with Doors"),'General Information'!$X$18="LCI"), "N", IF(OR(VLOOKUP(J53, 'Fixture Identities'!$A$6:$B$1023, 2, FALSE)="T12 EPACT/EISA Baseline", VLOOKUP(J53, 'Fixture Identities'!$A$6:$B$1023, 2, FALSE)="Linear Fluorescent", VLOOKUP(J53, 'Fixture Identities'!$A$6:$B$1023, 2, FALSE)="U-Tube Fluorescent"), "Y", "N")))</f>
        <v/>
      </c>
      <c r="BU53" s="184" t="str">
        <f>IFERROR(IF(B53="", "", IF(VLOOKUP(J53, 'Fixture Identities'!$A$6:$B$1023, 2, FALSE)="Exit Sign", "Y", "N")), "N")</f>
        <v/>
      </c>
      <c r="BV53" s="184" t="str">
        <f>IF(V53="Exit Signs", IF(VLOOKUP(J53, 'Fixture Identities'!$A$6:$B$1023, 2, FALSE)="Exit Sign", "N", "Y"), "")</f>
        <v/>
      </c>
      <c r="BW53" s="184" t="str">
        <f t="array" ref="BW53">IFERROR(IF(B53="", "", IF(B53="New Construction", "N", INDEX('Lookup Tables'!$AH$6:$AU$102, MATCH(1, ('Lookup Tables'!$AH$6:$AH$102='Lighting Inventory'!V53)*('Lookup Tables'!$AI$6:$AI$102='Lighting Inventory'!W53), 0), 14))), "N")</f>
        <v/>
      </c>
      <c r="BX53" s="598" t="str">
        <f t="shared" si="93"/>
        <v/>
      </c>
      <c r="BY53" s="598" t="str">
        <f t="shared" si="94"/>
        <v/>
      </c>
      <c r="BZ53" s="598" t="str">
        <f t="shared" si="95"/>
        <v/>
      </c>
      <c r="CA53" s="598" t="str">
        <f t="shared" si="101"/>
        <v/>
      </c>
      <c r="CB53" s="269" t="str">
        <f t="shared" si="102"/>
        <v/>
      </c>
      <c r="CC53" s="517" t="str">
        <f t="shared" si="96"/>
        <v/>
      </c>
      <c r="CD53" s="565" t="str">
        <f t="shared" si="11"/>
        <v/>
      </c>
      <c r="CE53" s="368">
        <v>0</v>
      </c>
      <c r="CF53" s="368" t="str" cm="1">
        <f t="array" ref="CF53">IFERROR(IF(V53="Custom", "$0.1 per kWh", IF(B53="New Construction", CONCATENATE("$",INDEX('Lookup Tables'!$AH$114:$AN$154,MATCH(1,('Lookup Tables'!$AH$114:$AH$154='Lighting Inventory'!V53)*('Lookup Tables'!$AI$114:$AI$154='Lighting Inventory'!W53),FALSE),6)," ",INDEX('Lookup Tables'!$AH$114:$AN$154,MATCH(1,('Lookup Tables'!$AH$114:$AH$154='Lighting Inventory'!V53)*('Lookup Tables'!$AI$114:$AI$154='Lighting Inventory'!W53),FALSE),7)), IF(AND(BU53="N", V53="Exit Signs"), "$0.025 per kWh", CONCATENATE("$",INDEX('Lookup Tables'!$AH$6:$AN$102,MATCH(1,('Lookup Tables'!$AH$6:$AH$102='Lighting Inventory'!V53)*('Lookup Tables'!$AI$6:$AI$102='Lighting Inventory'!W53),FALSE),6)," ",INDEX('Lookup Tables'!$AH$6:$AN$102,MATCH(1,('Lookup Tables'!$AH$6:$AH$102='Lighting Inventory'!V53)*('Lookup Tables'!$AI$6:$AI$102='Lighting Inventory'!W53),FALSE),7))))), "")</f>
        <v/>
      </c>
      <c r="CG53" s="366"/>
      <c r="CH53" s="248" t="str">
        <f t="shared" si="236"/>
        <v/>
      </c>
      <c r="CI53" s="248" t="str">
        <f t="shared" si="237"/>
        <v>Select_IE</v>
      </c>
      <c r="CJ53" s="248" t="str">
        <f t="shared" si="238"/>
        <v/>
      </c>
      <c r="CK53" s="248" t="str">
        <f t="shared" si="239"/>
        <v/>
      </c>
      <c r="CL53" s="248" t="str">
        <f t="shared" si="240"/>
        <v/>
      </c>
      <c r="CM53" s="248" t="str">
        <f>IFERROR(IF(B53="", "", IF(B53="New Construction", VLOOKUP(V53, 'Lookup Tables'!$AF$114:$AG$120, 2, FALSE), VLOOKUP(V53, 'Lookup Tables'!$AD$6:$AE$25, 2, FALSE))), "")</f>
        <v/>
      </c>
      <c r="CN53" s="248" t="str">
        <f t="shared" si="175"/>
        <v/>
      </c>
      <c r="CO53" s="248" t="str">
        <f t="shared" si="241"/>
        <v/>
      </c>
      <c r="CP53" s="592" t="str">
        <f t="shared" si="242"/>
        <v/>
      </c>
      <c r="CQ53" s="248" t="str">
        <f t="shared" si="97"/>
        <v/>
      </c>
      <c r="CR53" s="100"/>
      <c r="CS53" s="250" t="str">
        <f t="shared" si="178"/>
        <v/>
      </c>
      <c r="CT53" s="250" t="str">
        <f t="shared" si="243"/>
        <v/>
      </c>
      <c r="CU53" s="250" t="str">
        <f t="shared" si="244"/>
        <v/>
      </c>
      <c r="CV53" s="250" t="str">
        <f t="shared" si="245"/>
        <v/>
      </c>
      <c r="CW53" s="250" t="str">
        <f t="shared" si="246"/>
        <v/>
      </c>
      <c r="CX53" s="250" t="str">
        <f t="shared" si="247"/>
        <v/>
      </c>
      <c r="CY53" s="250" t="str">
        <f t="shared" si="248"/>
        <v/>
      </c>
      <c r="CZ53" s="250" t="str">
        <f t="shared" si="249"/>
        <v/>
      </c>
      <c r="DA53" s="250" t="str">
        <f t="shared" si="250"/>
        <v/>
      </c>
      <c r="DB53" s="250" t="str">
        <f t="shared" si="251"/>
        <v/>
      </c>
      <c r="DC53" s="250" t="str">
        <f t="shared" si="252"/>
        <v/>
      </c>
      <c r="DD53" s="250" t="str">
        <f t="shared" si="253"/>
        <v/>
      </c>
      <c r="DE53" s="250" t="str">
        <f t="shared" si="254"/>
        <v/>
      </c>
      <c r="DF53" s="250" t="str">
        <f t="shared" si="255"/>
        <v/>
      </c>
      <c r="DG53" s="250" t="str">
        <f t="shared" si="256"/>
        <v/>
      </c>
      <c r="DH53" s="250" t="str">
        <f t="shared" si="257"/>
        <v/>
      </c>
      <c r="DI53" s="250" t="str">
        <f t="shared" si="258"/>
        <v/>
      </c>
      <c r="DJ53" s="250" t="str">
        <f t="shared" si="259"/>
        <v/>
      </c>
      <c r="DK53" s="250" t="str">
        <f t="shared" si="260"/>
        <v/>
      </c>
      <c r="DL53" s="250" t="str">
        <f t="shared" si="261"/>
        <v/>
      </c>
      <c r="DM53" s="250" t="str">
        <f>IF(CD53="ERROR", "ERROR", IF(AND(OR(Y53=$DM$6, Y53='Lookup Tables'!$AD$21, Y53='Lookup Tables'!$AD$22), E53="Interior"), BJ53, ""))</f>
        <v/>
      </c>
      <c r="DN53" s="250" t="str">
        <f>IF(CD53="ERROR", "ERROR", IF(AND(OR(Y53=$DM$6, Y53='Lookup Tables'!$AD$21, Y53='Lookup Tables'!$AD$22), E53="Exterior"), BJ53, ""))</f>
        <v/>
      </c>
      <c r="DO53" s="100"/>
      <c r="DP53" s="250" t="str">
        <f t="shared" si="198"/>
        <v/>
      </c>
      <c r="DQ53" s="250" t="str">
        <f t="shared" si="262"/>
        <v/>
      </c>
      <c r="DR53" s="250" t="str">
        <f t="shared" si="263"/>
        <v/>
      </c>
      <c r="DS53" s="250" t="str">
        <f t="shared" si="264"/>
        <v/>
      </c>
      <c r="DT53" s="250" t="str">
        <f t="shared" si="265"/>
        <v/>
      </c>
      <c r="DU53" s="250" t="str">
        <f t="shared" si="266"/>
        <v/>
      </c>
      <c r="DV53" s="250" t="str">
        <f t="shared" si="267"/>
        <v/>
      </c>
      <c r="DW53" s="250" t="str">
        <f t="shared" si="268"/>
        <v/>
      </c>
      <c r="DX53" s="250" t="str">
        <f t="shared" si="269"/>
        <v/>
      </c>
      <c r="DY53" s="250" t="str">
        <f t="shared" si="270"/>
        <v/>
      </c>
      <c r="DZ53" s="250" t="str">
        <f t="shared" si="271"/>
        <v/>
      </c>
      <c r="EA53" s="250" t="str">
        <f t="shared" si="272"/>
        <v/>
      </c>
      <c r="EB53" s="250" t="str">
        <f t="shared" si="273"/>
        <v/>
      </c>
      <c r="EC53" s="250" t="str">
        <f t="shared" si="274"/>
        <v/>
      </c>
      <c r="ED53" s="250" t="str">
        <f t="shared" si="275"/>
        <v/>
      </c>
      <c r="EE53" s="250" t="str">
        <f t="shared" si="276"/>
        <v/>
      </c>
      <c r="EF53" s="250" t="str">
        <f t="shared" si="277"/>
        <v/>
      </c>
      <c r="EG53" s="250" t="str">
        <f t="shared" si="278"/>
        <v/>
      </c>
      <c r="EH53" s="250" t="str">
        <f>IF(CD53="ERROR", "ERROR", IF(AND(OR($EH$6=Y53, Y53='Lookup Tables'!$AD$21, Y53='Lookup Tables'!$AD$22),E53="Interior"), SUM(BP53:BP53), ""))</f>
        <v/>
      </c>
      <c r="EI53" s="250" t="str">
        <f>IF(CD53="ERROR", "ERROR", IF(AND(OR($EH$6=Y53, Y53='Lookup Tables'!$AD$21, Y53='Lookup Tables'!$AD$22),E53="Exterior"), SUM(BP53:BP53), ""))</f>
        <v/>
      </c>
      <c r="EJ53" s="109"/>
      <c r="EK53" s="485" t="str">
        <f t="shared" si="58"/>
        <v/>
      </c>
      <c r="EL53" s="252" t="str">
        <f t="shared" si="279"/>
        <v/>
      </c>
      <c r="EM53" s="252" t="str">
        <f t="shared" si="280"/>
        <v/>
      </c>
      <c r="EN53" s="252" t="str">
        <f t="shared" si="281"/>
        <v/>
      </c>
      <c r="EO53" s="252" t="str">
        <f t="shared" si="282"/>
        <v/>
      </c>
      <c r="EP53" s="252" t="str">
        <f t="shared" si="283"/>
        <v/>
      </c>
      <c r="EQ53" s="252" t="str">
        <f t="shared" si="284"/>
        <v/>
      </c>
      <c r="ER53" s="252" t="str">
        <f t="shared" si="285"/>
        <v/>
      </c>
      <c r="ES53" s="252" t="str">
        <f t="shared" si="286"/>
        <v/>
      </c>
      <c r="ET53" s="252" t="str">
        <f t="shared" si="287"/>
        <v/>
      </c>
      <c r="EU53" s="252" t="str">
        <f t="shared" si="288"/>
        <v/>
      </c>
      <c r="EV53" s="252" t="str">
        <f t="shared" si="289"/>
        <v/>
      </c>
      <c r="EW53" s="252" t="str">
        <f t="shared" si="290"/>
        <v/>
      </c>
      <c r="EX53" s="252" t="str">
        <f t="shared" si="291"/>
        <v/>
      </c>
      <c r="EY53" s="252" t="str">
        <f t="shared" si="292"/>
        <v/>
      </c>
      <c r="EZ53" s="252" t="str">
        <f t="shared" si="293"/>
        <v/>
      </c>
      <c r="FA53" s="252" t="str">
        <f t="shared" si="294"/>
        <v/>
      </c>
      <c r="FB53" s="252" t="str">
        <f t="shared" si="295"/>
        <v/>
      </c>
      <c r="FC53" s="252" t="str">
        <f>IF(CD53="ERROR", "ERROR", IF(OR(V53="No Change", V53="Not DLC or Energy Star"), "", IF(AND(OR($FC$6=Y53,Y53='Lookup Tables'!$AD$21, Y53='Lookup Tables'!$AD$22),E53="Interior"), S53, "")))</f>
        <v/>
      </c>
      <c r="FD53" s="252" t="str">
        <f t="shared" si="296"/>
        <v/>
      </c>
      <c r="FE53" s="101"/>
      <c r="FF53" s="579" t="str" cm="1">
        <f t="array" ref="FF53">IFERROR(IF(OR(BQ53&lt;=0,AQ53&lt;20,AND(V53="Exit Signs",AN53&gt;0)),"",IF(AND(AQ53&gt;=20,AN53='Lookup Tables'!$R$101),'Lookup Tables'!$U$101*BQ53,AP53*LOOKUP(2,1/((AN53='Lookup Tables'!$R$91:$R$111)*(AQ53&gt;='Lookup Tables'!$S$91:$S$111)*(AQ53&lt;='Lookup Tables'!$T$91:$T$111)),'Lookup Tables'!$U$91:$U$111))),"")</f>
        <v/>
      </c>
      <c r="FG53" s="579"/>
      <c r="FH53" s="579"/>
      <c r="FI53" s="253" t="str">
        <f>IFERROR(ROUND(IF(CD53="ERROR", "ERROR", IF(AND($FI$7=X53,E53="Interior"),VLOOKUP(W53, 'Lookup Tables'!$AI$6:$AM$102, 5, FALSE)*BP53, "")), 2), "")</f>
        <v/>
      </c>
      <c r="FJ53" s="253" t="str">
        <f>IFERROR(ROUND(IF(CD53="ERROR", "ERROR", IF(AND($FI$7=X53,E53="Exterior"),VLOOKUP(W53, 'Lookup Tables'!$AI$6:$AM$102, 5, FALSE)*BP53, "")), 2), "")</f>
        <v/>
      </c>
      <c r="FK53" s="253" t="str">
        <f>IFERROR(ROUND(IF(CD53="ERROR", "ERROR", IF(AND($FK$7=X53,E53="Interior"),VLOOKUP(W53, 'Lookup Tables'!$AI$6:$AM$102, 5, FALSE)*BP53, "")), 2), "")</f>
        <v/>
      </c>
      <c r="FL53" s="253" t="str">
        <f>IFERROR(ROUND(IF(CD53="ERROR", "ERROR", IF(AND($FK$7=X53,E53="Exterior"),VLOOKUP(W53, 'Lookup Tables'!$AI$6:$AM$102, 5, FALSE)*BP53, "")), 2), "")</f>
        <v/>
      </c>
      <c r="FM53" s="253" t="str">
        <f>IFERROR(ROUND(IF(CD53="ERROR", "ERROR", IF(AND($FM$6=Y53,E53="Interior"), IF(GB53=0, VLOOKUP(W53, 'Lookup Tables'!$AI$6:$AM$102, 5, FALSE)*BP53, IF(VLOOKUP(W53, 'Lookup Tables'!$AI$6:$AM$102, 5, FALSE)*BP53&gt;GB53*'Lighting Inventory'!S53, GB53*'Lighting Inventory'!S53,VLOOKUP(W53, 'Lookup Tables'!$AI$6:$AM$102, 5, FALSE)*BP53)), "")), 2), "")</f>
        <v/>
      </c>
      <c r="FN53" s="253" t="str">
        <f>IFERROR(ROUND(IF(CD53="ERROR", "ERROR", IF(AND($FM$6=Y53,E53="Exterior"), IF(GB53=0, VLOOKUP(W53, 'Lookup Tables'!$AI$6:$AM$102, 5, FALSE)*BP53, IF(VLOOKUP(W53, 'Lookup Tables'!$AI$6:$AM$102, 5, FALSE)*BP53&gt;GB53*'Lighting Inventory'!S53, GB53*'Lighting Inventory'!S53,VLOOKUP(W53, 'Lookup Tables'!$AI$6:$AM$102, 5, FALSE)*BP53)), "")), 2), "")</f>
        <v/>
      </c>
      <c r="FO53" s="253" t="str">
        <f>IFERROR(ROUND(IF(CD53="ERROR", "ERROR", IF(AND($FO$6=Y53,E53="Interior"),VLOOKUP(W53, 'Lookup Tables'!$AI$6:$AM$102, 5, FALSE)*'Lighting Inventory'!AI53, "")), 2), "")</f>
        <v/>
      </c>
      <c r="FP53" s="253" t="str">
        <f>IFERROR(ROUND(IF(CD53="ERROR", "ERROR", IF(AND($FO$6=Y53,E53="Exterior"),VLOOKUP(W53, 'Lookup Tables'!$AI$6:$AM$102, 5, FALSE)*'Lighting Inventory'!AI53, "")), 2), "")</f>
        <v/>
      </c>
      <c r="FQ53" s="253" t="str">
        <f>IFERROR(ROUND(IF(CD53="ERROR", "ERROR", IF(AND($FQ$6=Y53,E53="Interior", BU53="Y"), VLOOKUP('Lighting Inventory'!W53, 'Lookup Tables'!$AI$6:$AM$102, 5, FALSE)*'Lighting Inventory'!S53, IF(AND($FQ$7=Y53,E53="Interior", BU53="N"), 0.025*CD53, ""))), 2), "")</f>
        <v/>
      </c>
      <c r="FR53" s="253" t="str">
        <f>IFERROR(ROUND(IF(CD53="ERROR", "ERROR", IF(AND($FQ$6=Y53,E53="Exterior"), VLOOKUP('Lighting Inventory'!W53, 'Lookup Tables'!$AI$6:$AM$102, 5, FALSE)*'Lighting Inventory'!S53, "")), 2), "")</f>
        <v/>
      </c>
      <c r="FS53" s="253" t="str">
        <f>IFERROR(ROUND(IF(CD53="ERROR", "ERROR", IF(AND($FS$6=Y53,E53="Exterior"), IF(GB53=0, VLOOKUP(W53, 'Lookup Tables'!$AI$6:$AM$102, 5, FALSE)*BP53, IF(VLOOKUP(W53, 'Lookup Tables'!$AI$6:$AM$102, 5, FALSE)*BP53&gt;GB53*'Lighting Inventory'!S53, GB53*'Lighting Inventory'!S53,VLOOKUP(W53, 'Lookup Tables'!$AI$6:$AM$102, 5, FALSE)*BP53)), "")), 2), "")</f>
        <v/>
      </c>
      <c r="FT53" s="253" t="str">
        <f>IFERROR(ROUND(IF(CD53="ERROR", "ERROR", IF(AND($FT$6=Y53,E53="Interior"), IF(GB53=0, VLOOKUP(W53, 'Lookup Tables'!$AI$6:$AM$102, 5, FALSE)*BP53, IF(VLOOKUP(W53, 'Lookup Tables'!$AI$6:$AM$102, 5, FALSE)*BP53&gt;GB53*'Lighting Inventory'!S53, GB53*'Lighting Inventory'!S53,VLOOKUP(W53, 'Lookup Tables'!$AI$6:$AM$102, 5, FALSE)*BP53)), "")), 2), "")</f>
        <v/>
      </c>
      <c r="FU53" s="253" t="str">
        <f>IFERROR(ROUND(IF(CD53="ERROR", "ERROR", IF(AND(Y53=$FU$6, E53="Interior"), IF(BS53="N", 'Lookup Tables'!$AM$101*BP53, VLOOKUP(W53, 'Lookup Tables'!$AI$6:$AM$102, 5, FALSE)*S53*AD53), "")), 2), "")</f>
        <v/>
      </c>
      <c r="FV53" s="253" t="str">
        <f>IFERROR(ROUND(IF(CD53="ERROR", "ERROR", IF(AND(Y53=$FU$6, E53="Exterior"), IF(BS53="N", 'Lookup Tables'!$AM$101*BP53, VLOOKUP(W53, 'Lookup Tables'!$AI$6:$AM$102, 5, FALSE)*S53*AD53), "")), 2), "")</f>
        <v/>
      </c>
      <c r="FW53" s="253" t="str">
        <f>IFERROR(ROUND(IF(CD53="ERROR", "ERROR", IF($FW$6=Y53, IF(BS53="N", 'Lookup Tables'!$AM$101*BP53, MIN((VLOOKUP(W53, 'Lookup Tables'!$AI$6:$AM$102, 5, FALSE)*BP53),GB53*AJ53)), "")), 2), "")</f>
        <v/>
      </c>
      <c r="FX53" s="253" t="str">
        <f>IFERROR(ROUND(IF(CD53="ERROR", "ERROR", IF(AND($FX$6=Y53, E53="Interior"), IF(VLOOKUP(W53, 'Lookup Tables'!$AI$6:$AM$102, 5, FALSE)*BP53&gt;'Lookup Tables'!$AQ$97*'Lighting Inventory'!S53,'Lighting Inventory'!S53*'Lookup Tables'!$AQ$97,VLOOKUP(W53, 'Lookup Tables'!$AI$6:$AM$102, 5, FALSE)*BP53), "")), 2), "")</f>
        <v/>
      </c>
      <c r="FY53" s="253" t="str">
        <f>IFERROR(ROUND(IF(CD53="ERROR", "ERROR", IF(AND($FX$6=Y53, E53="Exterior"), IF(VLOOKUP(W53, 'Lookup Tables'!$AI$6:$AM$102, 5, FALSE)*BP53&gt;'Lookup Tables'!$AQ$97*'Lighting Inventory'!S53,'Lighting Inventory'!S53*'Lookup Tables'!$AQ$97,VLOOKUP(W53, 'Lookup Tables'!$AI$6:$AM$102, 5, FALSE)*BP53), "")), 2), "")</f>
        <v/>
      </c>
      <c r="FZ53" s="253" t="str">
        <f>IFERROR(ROUND(IF(CD53="ERROR", "ERROR", IF(AND($FZ$6=Y53, E53="Interior"), IF(AND(OR(W53="Refrigerated Case Lighting with Doors", W53="Freezer Case Lighting"),Y53="Custom - Process Improvement"),CD53*'Lookup Tables'!$AM$101, IF(B53="Retrofit", IF(VLOOKUP(IF(V53="Custom", V53, W53), 'Lookup Tables'!$AI$6:$AM$102, 5, FALSE)*BP53&gt;GE53, GE53, VLOOKUP(IF(V53="Custom", V53, W53), 'Lookup Tables'!$AI$6:$AM$102, 5, FALSE)*BP53), IF(VLOOKUP(IF(V53="Custom", V53, W53), 'Lookup Tables'!$AI$114:$AM$154, 5, FALSE)*BP53&gt;GE53, GE53, VLOOKUP(IF(V53="Custom", V53, W53), 'Lookup Tables'!$AI$114:$AM$154, 5, FALSE)*BP53))), "")), 2),"")</f>
        <v/>
      </c>
      <c r="GA53" s="253" t="str">
        <f>IFERROR(ROUND(IF(CD53="ERROR", "ERROR", IF(AND($FZ$6=Y53, E53="Exterior"), IF(B53="Retrofit", IF(VLOOKUP(IF(V53="Custom", V53, W53), 'Lookup Tables'!$AI$6:$AM$102, 5, FALSE)*BP53&gt;GE53, GE53, VLOOKUP(IF(V53="Custom", V53, W53), 'Lookup Tables'!$AI$6:$AM$102, 5, FALSE)*BP53), IF(VLOOKUP(IF(V53="Custom", V53, W53), 'Lookup Tables'!$AI$114:$AM$154, 5, FALSE)*BP53&gt;GE53, GE53, VLOOKUP(IF(V53="Custom", V53, W53), 'Lookup Tables'!$AI$114:$AM$154, 5, FALSE)*BP53)), "")), 2),"")</f>
        <v/>
      </c>
      <c r="GB53" s="254" t="str">
        <f t="array" ref="GB53">IF(B53="","",IF(OR(V53="Custom",V53="No Change"),0,IF(B53="Retrofit", INDEX('Lookup Tables'!$AH$6:$AQ$102,MATCH(1,('Lookup Tables'!$AH$6:$AH$102='Lighting Inventory'!V53)*('Lookup Tables'!$AI$6:$AI$102='Lighting Inventory'!W53),FALSE),10),INDEX('Lookup Tables'!$AH$114:$AQ$154,MATCH(1,('Lookup Tables'!$AH$114:$AH$154='Lighting Inventory'!V53)*('Lookup Tables'!$AI$114:$AI$154='Lighting Inventory'!W53),FALSE),10))))</f>
        <v/>
      </c>
      <c r="GC53" s="255" t="str">
        <f t="shared" si="77"/>
        <v/>
      </c>
      <c r="GD53" s="250" t="str">
        <f t="shared" si="78"/>
        <v/>
      </c>
      <c r="GE53" s="253" t="str">
        <f>IFERROR(IF(AND(AF53="", 'General Information'!$F$18="No"),"", IF(AF53="", ((GD53/$CD$266)*$CF$266)*0.5, AF53*S53*0.5)), "")</f>
        <v/>
      </c>
      <c r="GF53" s="255" t="str">
        <f>IF(AND('General Information'!$F$19="", 'General Information'!$F$18="Yes",AF53="",BW53="Y"), "Y", "N")</f>
        <v>N</v>
      </c>
      <c r="GG53" s="255" t="s">
        <v>2946</v>
      </c>
      <c r="GH53" s="255" t="str">
        <f>IFERROR(IF(B53="", "", VLOOKUP(J53, 'Fixture Identities'!$A$6:$N$908, 14, FALSE)), "")</f>
        <v/>
      </c>
      <c r="GI53" s="389" t="str">
        <f>IF(OR(B53="", V53="", W53=""), "", IF(AND(OR(M53='Lookup Tables'!$R$18, M53='Lookup Tables'!$R$19, M53='Lookup Tables'!$R$20, M53='Lookup Tables'!$R$21, M53='Lookup Tables'!$R$22), OR(AN53='Lookup Tables'!$R$17, AN53='Lookup Tables'!$R$17, AN53="")), "Y", "N"))</f>
        <v/>
      </c>
      <c r="GJ53" s="255" t="str">
        <f t="shared" si="79"/>
        <v/>
      </c>
      <c r="GK53" s="255" t="str">
        <f t="shared" si="80"/>
        <v/>
      </c>
      <c r="GL53" s="255" t="str">
        <f t="shared" si="81"/>
        <v/>
      </c>
      <c r="GM53" s="255" t="str">
        <f>IF(AN53="", "", IF(AND(IF(ISNA(VLOOKUP(AN53,'Lookup Tables'!$R$18:$R$22,1,FALSE)), "N", "Y")="Y", E53="Exterior"), "Y", "N"))</f>
        <v/>
      </c>
      <c r="GN53" s="395"/>
      <c r="GO53" s="428">
        <f t="shared" si="98"/>
        <v>0</v>
      </c>
      <c r="GP53" s="428">
        <f t="shared" si="167"/>
        <v>0</v>
      </c>
      <c r="GQ53" s="428">
        <f t="shared" si="99"/>
        <v>0</v>
      </c>
      <c r="GR53" s="428">
        <f t="shared" si="100"/>
        <v>0</v>
      </c>
    </row>
    <row r="54" spans="1:200" s="103" customFormat="1" ht="13.5" customHeight="1" x14ac:dyDescent="0.2">
      <c r="A54" s="272">
        <v>44</v>
      </c>
      <c r="B54" s="110"/>
      <c r="C54" s="110"/>
      <c r="D54" s="110"/>
      <c r="E54" s="110"/>
      <c r="F54" s="110"/>
      <c r="G54" s="110"/>
      <c r="H54" s="110"/>
      <c r="I54" s="29"/>
      <c r="J54" s="29"/>
      <c r="K54" s="272" t="str">
        <f>IFERROR(IF(OR(VLOOKUP(J54, 'Fixture Identities'!$A$6:$L$1023, 3, FALSE)="T12 Linear Fluorescent", VLOOKUP(J54, 'Fixture Identities'!$A$6:$L$1023, 3, FALSE)="T12 U-Tube Fluorescent"), VLOOKUP(VLOOKUP(J54, 'Fixture Identities'!$A$6:$L$1023, 11, FALSE), 'Fixture Identities'!$A$6:$L$1023, 10, FALSE), VLOOKUP(J54, 'Fixture Identities'!$A$6:$L$1023, 10, FALSE)), "")</f>
        <v/>
      </c>
      <c r="L54" s="270" t="str">
        <f t="shared" si="169"/>
        <v/>
      </c>
      <c r="M54" s="110"/>
      <c r="N54" s="110"/>
      <c r="O54" s="110"/>
      <c r="P54" s="272" t="str">
        <f>IFERROR(IF(OR(B54="Retrofit",B54=""),"",IF('Lighting Inventory'!E54="Exterior",VLOOKUP('Lighting Inventory'!N54,'Lookup Tables'!$B$83:$F$103,5,FALSE),IF(N54="Other - Please Estimate EFLH and CFs","Contact Prog. Rep.","ft^2"))), "")</f>
        <v/>
      </c>
      <c r="Q54" s="270" t="str">
        <f>IFERROR(IF(AND(B54="New Construction",E54="Interior",$F$5="Space-by-Space"),VLOOKUP('Lighting Inventory'!N54,'Lookup Tables'!$N$6:$O$97,2,FALSE),IF(AND(B54="New Construction",E54="Exterior"),VLOOKUP(N54,'Lookup Tables'!$B$83:$F$103,2,FALSE),IF(AND(B54="New Construction",'Lighting Inventory'!E54="Interior", $F$5="Building Area"),VLOOKUP(F54,'Lookup Tables'!$A$6:$J$59,10,FALSE),""))), "")</f>
        <v/>
      </c>
      <c r="R54" s="270" t="str">
        <f>IFERROR(IF(P54="Contact Prog. Rep.", "ERROR", IF(OR(B54="",B54="Retrofit"),"",IF(N54="Automated teller machines", ('Lookup Tables'!$A$82:$E$100+('Lighting Inventory'!O54-1)*'Lookup Tables'!$A$82:$E$100)/1000, (Q54*O54)/1000))), "")</f>
        <v/>
      </c>
      <c r="S54" s="595"/>
      <c r="T54" s="105" t="str">
        <f t="shared" si="83"/>
        <v/>
      </c>
      <c r="U54" s="105" t="str">
        <f>IF(S54="","",COUNT($S$11:S54))</f>
        <v/>
      </c>
      <c r="V54" s="111"/>
      <c r="W54" s="112"/>
      <c r="X54" s="105" t="str">
        <f t="shared" si="84"/>
        <v/>
      </c>
      <c r="Y54" s="105" t="str">
        <f t="array" ref="Y54">IF(AND(OR(W54="Freezer Case Lighting", W54="Refrigerated Case Lighting with Doors"), 'General Information'!$X$18="LCI"),'Lookup Tables'!$Y$34, IF(V54="Custom", VLOOKUP(W54, 'Fixture Identities'!$A$974:$M$1023, 13, FALSE), IF(V54="No Change",'Lookup Tables'!$Y$29,IF(OR(V54="",W54=""),"",IF(AND(S54=0,S54&lt;I54,B54="Retrofit"),'Lookup Tables'!$Y$25, IF(B54="Retrofit", INDEX('Lookup Tables'!$AH$6:$AP$102, MATCH(1, ('Lookup Tables'!$AH$6:$AH$102=V54)*('Lookup Tables'!$AI$6:$AI$102=W54), 0), IF('Lighting Inventory'!E54="Interior", 4, 5)), INDEX('Lookup Tables'!$AH$114:$AP$154, MATCH(1, ('Lookup Tables'!$AH$114:$AH$154=V54)*('Lookup Tables'!$AI$114:$AI$154=W54), 0), IF('Lighting Inventory'!E54="Interior", 4, 5))))))))</f>
        <v/>
      </c>
      <c r="Z54" s="105" t="str">
        <f>IFERROR(INDEX('Lookup Tables'!$AH$158:$AH$172,MATCH('Lighting Inventory'!Y54,'Lookup Tables'!$AI$158:$AI$172,0)),"")</f>
        <v/>
      </c>
      <c r="AA54" s="105" t="str">
        <f>IF(AP54&gt;0,INDEX('Lookup Tables'!$AK$158:$AK$172,MATCH('Lighting Inventory'!Y54,'Lookup Tables'!$AI$158:$AI$172,0)),'Lighting Inventory'!Y54)</f>
        <v/>
      </c>
      <c r="AB54" s="105" t="str">
        <f t="array" ref="AB54">IF(V54="Custom", "Custom", IF(V54="", "", IF(V54="Not DLC or Energy Star", "General", IF(B54="New Construction", INDEX('Lookup Tables'!$AH$114:$AP$154,MATCH(1,('Lookup Tables'!$AH$114:$AH$154='Lighting Inventory'!V54)*('Lookup Tables'!$AI$114:$AI$154='Lighting Inventory'!W54),FALSE),8), INDEX('Lookup Tables'!$AH$6:$AP$102,MATCH(1,('Lookup Tables'!$AH$6:$AH$102='Lighting Inventory'!V54)*('Lookup Tables'!$AI$6:$AI$102='Lighting Inventory'!W54),FALSE),8)))))</f>
        <v/>
      </c>
      <c r="AC54" s="272" t="str">
        <f>IF(W54="","",IF(V54="Custom",CONCATENATE("$",'Lookup Tables'!$AM$101," ",'Lookup Tables'!$AN$101),CONCATENATE("$",INDEX('Lookup Tables'!$AM$6:$AM$102,MATCH('Lighting Inventory'!W54,'Lookup Tables'!$AI$6:$AI$102,0))," ",INDEX('Lookup Tables'!$AN$6:$AN$102,MATCH('Lighting Inventory'!W54,'Lookup Tables'!$AI$6:$AI$102,0)))))</f>
        <v/>
      </c>
      <c r="AD54" s="72"/>
      <c r="AE54" s="29"/>
      <c r="AF54" s="379"/>
      <c r="AG54" s="370" t="str">
        <f t="shared" si="2"/>
        <v/>
      </c>
      <c r="AH54" s="370" t="str">
        <f t="shared" si="85"/>
        <v/>
      </c>
      <c r="AI54" s="29"/>
      <c r="AJ54" s="29"/>
      <c r="AK54" s="110"/>
      <c r="AL54" s="375" t="str">
        <f>IF(OR(B54="", V54="", W54=""), "", IF(V54="No Change", K54, IF(V54="Remove Fixture", 0, IF(V54="Custom",VLOOKUP(W54,'Fixture Identities'!$A$6:$K$1023,10,FALSE),IF(AE54="", "← ENTER POST WATTS", 'Lighting Inventory'!AE54)))))</f>
        <v/>
      </c>
      <c r="AM54" s="376" t="str">
        <f t="shared" si="3"/>
        <v/>
      </c>
      <c r="AN54" s="29"/>
      <c r="AO54" s="671"/>
      <c r="AP54" s="29"/>
      <c r="AQ54" s="29"/>
      <c r="AR54" s="29"/>
      <c r="AS54" s="272" t="str">
        <f t="shared" si="4"/>
        <v/>
      </c>
      <c r="AT54" s="270" t="str">
        <f t="shared" si="234"/>
        <v/>
      </c>
      <c r="AU54" s="88" t="str">
        <f t="shared" si="235"/>
        <v/>
      </c>
      <c r="AV54" s="29"/>
      <c r="AW54" s="73"/>
      <c r="AX54" s="271" t="str">
        <f>IF(AND(AV54="Applicant",OR(AW54="", AW54="Use Default Facility Hours")),"← Choose Schedule",IF(F54="","",IF(W54="LED Exit Signs",8760,IF(OR(AV54="Prescribed",AV54=""),VLOOKUP(F54,'Lookup Tables'!$A$6:$G$59,IF(AB54="General", 6, 3),FALSE),VLOOKUP(AW54,'Lookup Tables'!$S$36:$U$43,2,FALSE)))))</f>
        <v/>
      </c>
      <c r="AY54" s="88" t="str">
        <f t="shared" si="7"/>
        <v/>
      </c>
      <c r="AZ54" s="270" t="str">
        <f>IFERROR(IF(F54="", "", IF(W54="LED Exit Signs", 1, IF(AV54="Applicant",VLOOKUP(AW54, 'Lookup Tables'!$S$36:$U$43,3, FALSE), VLOOKUP('Lighting Inventory'!F54, 'Lookup Tables'!$A$6:$H$59, IF('Lighting Inventory'!AB54="General",7,4), FALSE)))), "")</f>
        <v/>
      </c>
      <c r="BA54" s="522" t="str">
        <f>IFERROR(IF(F54="", "", IF(W54="LED Exit Signs", 1, VLOOKUP('Lighting Inventory'!F54, 'Lookup Tables'!$A$6:$H$59, IF('Lighting Inventory'!AB54="General",8,5), FALSE))), "")</f>
        <v/>
      </c>
      <c r="BB54" s="270" t="str">
        <f>IF(G54="", "", IF(E54="Exterior", 0, IF('Lighting Inventory'!G54="Air Conditioned", VLOOKUP(H54, 'Lookup Tables'!$R$6:$T$13, 2, FALSE), VLOOKUP('Lighting Inventory'!G54, 'Lookup Tables'!$R$6:$T$13, 2, FALSE))))</f>
        <v/>
      </c>
      <c r="BC54" s="522" t="str">
        <f>IF(G54="", "", IF(E54="Exterior", 0, IF('Lighting Inventory'!G54="Air Conditioned", VLOOKUP(H54, 'Lookup Tables'!$R$6:$T$13, 3, FALSE), VLOOKUP('Lighting Inventory'!G54, 'Lookup Tables'!$R$6:$T$13, 3, FALSE))))</f>
        <v/>
      </c>
      <c r="BD54" s="270" t="str">
        <f>IF(G54="", "", IF(E54="Exterior", 0, IF('Lighting Inventory'!G54="Air Conditioned", VLOOKUP(H54, 'Lookup Tables'!$R$6:$U$13, 4, FALSE), VLOOKUP('Lighting Inventory'!G54, 'Lookup Tables'!$R$6:$U$13, 4, FALSE))))</f>
        <v/>
      </c>
      <c r="BE54" s="270" t="str">
        <f>IFERROR(IF(B54="", "",  IF(B54="New Construction", VLOOKUP(F54, 'Lookup Tables'!$A$6:$K$59, 11, FALSE),IF(OR(AN54="", AN54="Light Switch"), 0, IF(OR(M54="",M54="None",V54= "LED Exit Signs"),0,_xlfn.XLOOKUP(M54,'Lookup Tables'!$R$91:$R$101,'Lookup Tables'!$V$91:$V$101))))), "")</f>
        <v/>
      </c>
      <c r="BF54" s="270" t="str">
        <f>IF(AND(OR(AN54="Light Switch",AN54=""),B54="New Construction"), VLOOKUP(F54, 'Lookup Tables'!$A$6:$K$59, 11, FALSE),IF(AN54="","",IF(B54="","",IF(OR(AN54="None",AN54="",V54="LED Exit Signs",AN54="Exterior Controls Not Eligible"),0,_xlfn.XLOOKUP(AN54,'Lookup Tables'!$R$91:$R$101,'Lookup Tables'!$V$91:$V$101)))))</f>
        <v/>
      </c>
      <c r="BG54" s="88" t="str">
        <f t="shared" si="86"/>
        <v/>
      </c>
      <c r="BH54" s="88" t="str">
        <f t="shared" si="87"/>
        <v/>
      </c>
      <c r="BI54" s="558" t="str">
        <f t="shared" si="168"/>
        <v/>
      </c>
      <c r="BJ54" s="82" t="str">
        <f t="shared" si="88"/>
        <v/>
      </c>
      <c r="BK54" s="82" t="str">
        <f t="shared" si="89"/>
        <v/>
      </c>
      <c r="BL54" s="559" t="str">
        <f t="shared" si="90"/>
        <v/>
      </c>
      <c r="BM54" s="521" t="str">
        <f t="shared" si="8"/>
        <v/>
      </c>
      <c r="BN54" s="521" t="str">
        <f t="shared" si="9"/>
        <v/>
      </c>
      <c r="BO54" s="522" t="str">
        <f t="shared" si="10"/>
        <v/>
      </c>
      <c r="BP54" s="83" t="str">
        <f t="shared" si="91"/>
        <v/>
      </c>
      <c r="BQ54" s="84" t="str">
        <f t="shared" si="92"/>
        <v/>
      </c>
      <c r="BR54" s="184" t="str">
        <f>IFERROR(IF(B54="", "", IF(OR(VLOOKUP(J54, 'Fixture Identities'!$A$6:$L$1023, 3, FALSE)="T12 Linear Fluorescent",VLOOKUP(J54, 'Fixture Identities'!$A$6:$L$1023, 3, FALSE)="T12 U-Tube Fluorescent"), "Y", "N")), "N")</f>
        <v/>
      </c>
      <c r="BS54" s="184" t="str">
        <f t="array" ref="BS54">IFERROR(IF(OR(B54="", V54="", W54=""), "", IF(V54="Custom", "N", IF(OR(W54="Freezer Case Lighting", W54="Refrigerated Case Lighting with Doors"), BT54, IF(B54="Retrofit", INDEX('Lookup Tables'!$AH$6:$AT$102,MATCH(1,('Lookup Tables'!$AH$6:$AH$102=V54)*('Lookup Tables'!$AI$6:$AI$102=W54),FALSE),IF(VLOOKUP(J54, 'Fixture Identities'!$A$6:$B$1023, 2, FALSE)="Incandescent",12, 13)), INDEX('Lookup Tables'!$AH$114:$AS$154,MATCH(1,('Lookup Tables'!$AH$114:$AH$154=V54)*('Lookup Tables'!$AI$114:$AI$154=W54),FALSE),12))))), "N")</f>
        <v/>
      </c>
      <c r="BT54" s="184" t="str">
        <f>IF(J54="", "", IF(AND(OR(W54="Freezer case Lighting", W54="Refrigerated Case Lighting with Doors"),'General Information'!$X$18="LCI"), "N", IF(OR(VLOOKUP(J54, 'Fixture Identities'!$A$6:$B$1023, 2, FALSE)="T12 EPACT/EISA Baseline", VLOOKUP(J54, 'Fixture Identities'!$A$6:$B$1023, 2, FALSE)="Linear Fluorescent", VLOOKUP(J54, 'Fixture Identities'!$A$6:$B$1023, 2, FALSE)="U-Tube Fluorescent"), "Y", "N")))</f>
        <v/>
      </c>
      <c r="BU54" s="184" t="str">
        <f>IFERROR(IF(B54="", "", IF(VLOOKUP(J54, 'Fixture Identities'!$A$6:$B$1023, 2, FALSE)="Exit Sign", "Y", "N")), "N")</f>
        <v/>
      </c>
      <c r="BV54" s="184" t="str">
        <f>IF(V54="Exit Signs", IF(VLOOKUP(J54, 'Fixture Identities'!$A$6:$B$1023, 2, FALSE)="Exit Sign", "N", "Y"), "")</f>
        <v/>
      </c>
      <c r="BW54" s="184" t="str">
        <f t="array" ref="BW54">IFERROR(IF(B54="", "", IF(B54="New Construction", "N", INDEX('Lookup Tables'!$AH$6:$AU$102, MATCH(1, ('Lookup Tables'!$AH$6:$AH$102='Lighting Inventory'!V54)*('Lookup Tables'!$AI$6:$AI$102='Lighting Inventory'!W54), 0), 14))), "N")</f>
        <v/>
      </c>
      <c r="BX54" s="598" t="str">
        <f t="shared" si="93"/>
        <v/>
      </c>
      <c r="BY54" s="598" t="str">
        <f t="shared" si="94"/>
        <v/>
      </c>
      <c r="BZ54" s="598" t="str">
        <f t="shared" si="95"/>
        <v/>
      </c>
      <c r="CA54" s="598" t="str">
        <f t="shared" si="101"/>
        <v/>
      </c>
      <c r="CB54" s="269" t="str">
        <f t="shared" si="102"/>
        <v/>
      </c>
      <c r="CC54" s="517" t="str">
        <f t="shared" si="96"/>
        <v/>
      </c>
      <c r="CD54" s="565" t="str">
        <f t="shared" si="11"/>
        <v/>
      </c>
      <c r="CE54" s="368">
        <v>0</v>
      </c>
      <c r="CF54" s="368" t="str" cm="1">
        <f t="array" ref="CF54">IFERROR(IF(V54="Custom", "$0.1 per kWh", IF(B54="New Construction", CONCATENATE("$",INDEX('Lookup Tables'!$AH$114:$AN$154,MATCH(1,('Lookup Tables'!$AH$114:$AH$154='Lighting Inventory'!V54)*('Lookup Tables'!$AI$114:$AI$154='Lighting Inventory'!W54),FALSE),6)," ",INDEX('Lookup Tables'!$AH$114:$AN$154,MATCH(1,('Lookup Tables'!$AH$114:$AH$154='Lighting Inventory'!V54)*('Lookup Tables'!$AI$114:$AI$154='Lighting Inventory'!W54),FALSE),7)), IF(AND(BU54="N", V54="Exit Signs"), "$0.025 per kWh", CONCATENATE("$",INDEX('Lookup Tables'!$AH$6:$AN$102,MATCH(1,('Lookup Tables'!$AH$6:$AH$102='Lighting Inventory'!V54)*('Lookup Tables'!$AI$6:$AI$102='Lighting Inventory'!W54),FALSE),6)," ",INDEX('Lookup Tables'!$AH$6:$AN$102,MATCH(1,('Lookup Tables'!$AH$6:$AH$102='Lighting Inventory'!V54)*('Lookup Tables'!$AI$6:$AI$102='Lighting Inventory'!W54),FALSE),7))))), "")</f>
        <v/>
      </c>
      <c r="CG54" s="366"/>
      <c r="CH54" s="248" t="str">
        <f t="shared" si="236"/>
        <v/>
      </c>
      <c r="CI54" s="248" t="str">
        <f t="shared" si="237"/>
        <v>Select_IE</v>
      </c>
      <c r="CJ54" s="248" t="str">
        <f t="shared" si="238"/>
        <v/>
      </c>
      <c r="CK54" s="248" t="str">
        <f t="shared" si="239"/>
        <v/>
      </c>
      <c r="CL54" s="248" t="str">
        <f t="shared" si="240"/>
        <v/>
      </c>
      <c r="CM54" s="248" t="str">
        <f>IFERROR(IF(B54="", "", IF(B54="New Construction", VLOOKUP(V54, 'Lookup Tables'!$AF$114:$AG$120, 2, FALSE), VLOOKUP(V54, 'Lookup Tables'!$AD$6:$AE$25, 2, FALSE))), "")</f>
        <v/>
      </c>
      <c r="CN54" s="248" t="str">
        <f t="shared" si="175"/>
        <v/>
      </c>
      <c r="CO54" s="248" t="str">
        <f t="shared" si="241"/>
        <v/>
      </c>
      <c r="CP54" s="592" t="str">
        <f t="shared" si="242"/>
        <v/>
      </c>
      <c r="CQ54" s="248" t="str">
        <f t="shared" si="97"/>
        <v/>
      </c>
      <c r="CR54" s="249"/>
      <c r="CS54" s="250" t="str">
        <f t="shared" si="178"/>
        <v/>
      </c>
      <c r="CT54" s="250" t="str">
        <f t="shared" si="243"/>
        <v/>
      </c>
      <c r="CU54" s="250" t="str">
        <f t="shared" si="244"/>
        <v/>
      </c>
      <c r="CV54" s="250" t="str">
        <f t="shared" si="245"/>
        <v/>
      </c>
      <c r="CW54" s="250" t="str">
        <f t="shared" si="246"/>
        <v/>
      </c>
      <c r="CX54" s="250" t="str">
        <f t="shared" si="247"/>
        <v/>
      </c>
      <c r="CY54" s="250" t="str">
        <f t="shared" si="248"/>
        <v/>
      </c>
      <c r="CZ54" s="250" t="str">
        <f t="shared" si="249"/>
        <v/>
      </c>
      <c r="DA54" s="250" t="str">
        <f t="shared" si="250"/>
        <v/>
      </c>
      <c r="DB54" s="250" t="str">
        <f t="shared" si="251"/>
        <v/>
      </c>
      <c r="DC54" s="250" t="str">
        <f t="shared" si="252"/>
        <v/>
      </c>
      <c r="DD54" s="250" t="str">
        <f t="shared" si="253"/>
        <v/>
      </c>
      <c r="DE54" s="250" t="str">
        <f t="shared" si="254"/>
        <v/>
      </c>
      <c r="DF54" s="250" t="str">
        <f t="shared" si="255"/>
        <v/>
      </c>
      <c r="DG54" s="250" t="str">
        <f t="shared" si="256"/>
        <v/>
      </c>
      <c r="DH54" s="250" t="str">
        <f t="shared" si="257"/>
        <v/>
      </c>
      <c r="DI54" s="250" t="str">
        <f t="shared" si="258"/>
        <v/>
      </c>
      <c r="DJ54" s="250" t="str">
        <f t="shared" si="259"/>
        <v/>
      </c>
      <c r="DK54" s="250" t="str">
        <f t="shared" si="260"/>
        <v/>
      </c>
      <c r="DL54" s="250" t="str">
        <f t="shared" si="261"/>
        <v/>
      </c>
      <c r="DM54" s="250" t="str">
        <f>IF(CD54="ERROR", "ERROR", IF(AND(OR(Y54=$DM$6, Y54='Lookup Tables'!$AD$21, Y54='Lookup Tables'!$AD$22), E54="Interior"), BJ54, ""))</f>
        <v/>
      </c>
      <c r="DN54" s="250" t="str">
        <f>IF(CD54="ERROR", "ERROR", IF(AND(OR(Y54=$DM$6, Y54='Lookup Tables'!$AD$21, Y54='Lookup Tables'!$AD$22), E54="Exterior"), BJ54, ""))</f>
        <v/>
      </c>
      <c r="DO54" s="249"/>
      <c r="DP54" s="250" t="str">
        <f t="shared" si="198"/>
        <v/>
      </c>
      <c r="DQ54" s="250" t="str">
        <f t="shared" si="262"/>
        <v/>
      </c>
      <c r="DR54" s="250" t="str">
        <f t="shared" si="263"/>
        <v/>
      </c>
      <c r="DS54" s="250" t="str">
        <f t="shared" si="264"/>
        <v/>
      </c>
      <c r="DT54" s="250" t="str">
        <f t="shared" si="265"/>
        <v/>
      </c>
      <c r="DU54" s="250" t="str">
        <f t="shared" si="266"/>
        <v/>
      </c>
      <c r="DV54" s="250" t="str">
        <f t="shared" si="267"/>
        <v/>
      </c>
      <c r="DW54" s="250" t="str">
        <f t="shared" si="268"/>
        <v/>
      </c>
      <c r="DX54" s="250" t="str">
        <f t="shared" si="269"/>
        <v/>
      </c>
      <c r="DY54" s="250" t="str">
        <f t="shared" si="270"/>
        <v/>
      </c>
      <c r="DZ54" s="250" t="str">
        <f t="shared" si="271"/>
        <v/>
      </c>
      <c r="EA54" s="250" t="str">
        <f t="shared" si="272"/>
        <v/>
      </c>
      <c r="EB54" s="250" t="str">
        <f t="shared" si="273"/>
        <v/>
      </c>
      <c r="EC54" s="250" t="str">
        <f t="shared" si="274"/>
        <v/>
      </c>
      <c r="ED54" s="250" t="str">
        <f t="shared" si="275"/>
        <v/>
      </c>
      <c r="EE54" s="250" t="str">
        <f t="shared" si="276"/>
        <v/>
      </c>
      <c r="EF54" s="250" t="str">
        <f t="shared" si="277"/>
        <v/>
      </c>
      <c r="EG54" s="250" t="str">
        <f t="shared" si="278"/>
        <v/>
      </c>
      <c r="EH54" s="250" t="str">
        <f>IF(CD54="ERROR", "ERROR", IF(AND(OR($EH$6=Y54, Y54='Lookup Tables'!$AD$21, Y54='Lookup Tables'!$AD$22),E54="Interior"), SUM(BP54:BP54), ""))</f>
        <v/>
      </c>
      <c r="EI54" s="250" t="str">
        <f>IF(CD54="ERROR", "ERROR", IF(AND(OR($EH$6=Y54, Y54='Lookup Tables'!$AD$21, Y54='Lookup Tables'!$AD$22),E54="Exterior"), SUM(BP54:BP54), ""))</f>
        <v/>
      </c>
      <c r="EJ54" s="109"/>
      <c r="EK54" s="485" t="str">
        <f t="shared" si="58"/>
        <v/>
      </c>
      <c r="EL54" s="252" t="str">
        <f t="shared" si="279"/>
        <v/>
      </c>
      <c r="EM54" s="252" t="str">
        <f t="shared" si="280"/>
        <v/>
      </c>
      <c r="EN54" s="252" t="str">
        <f t="shared" si="281"/>
        <v/>
      </c>
      <c r="EO54" s="252" t="str">
        <f t="shared" si="282"/>
        <v/>
      </c>
      <c r="EP54" s="252" t="str">
        <f t="shared" si="283"/>
        <v/>
      </c>
      <c r="EQ54" s="252" t="str">
        <f t="shared" si="284"/>
        <v/>
      </c>
      <c r="ER54" s="252" t="str">
        <f t="shared" si="285"/>
        <v/>
      </c>
      <c r="ES54" s="252" t="str">
        <f t="shared" si="286"/>
        <v/>
      </c>
      <c r="ET54" s="252" t="str">
        <f t="shared" si="287"/>
        <v/>
      </c>
      <c r="EU54" s="252" t="str">
        <f t="shared" si="288"/>
        <v/>
      </c>
      <c r="EV54" s="252" t="str">
        <f t="shared" si="289"/>
        <v/>
      </c>
      <c r="EW54" s="252" t="str">
        <f t="shared" si="290"/>
        <v/>
      </c>
      <c r="EX54" s="252" t="str">
        <f t="shared" si="291"/>
        <v/>
      </c>
      <c r="EY54" s="252" t="str">
        <f t="shared" si="292"/>
        <v/>
      </c>
      <c r="EZ54" s="252" t="str">
        <f t="shared" si="293"/>
        <v/>
      </c>
      <c r="FA54" s="252" t="str">
        <f t="shared" si="294"/>
        <v/>
      </c>
      <c r="FB54" s="252" t="str">
        <f t="shared" si="295"/>
        <v/>
      </c>
      <c r="FC54" s="252" t="str">
        <f>IF(CD54="ERROR", "ERROR", IF(OR(V54="No Change", V54="Not DLC or Energy Star"), "", IF(AND(OR($FC$6=Y54,Y54='Lookup Tables'!$AD$21, Y54='Lookup Tables'!$AD$22),E54="Interior"), S54, "")))</f>
        <v/>
      </c>
      <c r="FD54" s="252" t="str">
        <f t="shared" si="296"/>
        <v/>
      </c>
      <c r="FE54" s="1"/>
      <c r="FF54" s="579" t="str" cm="1">
        <f t="array" ref="FF54">IFERROR(IF(OR(BQ54&lt;=0,AQ54&lt;20,AND(V54="Exit Signs",AN54&gt;0)),"",IF(AND(AQ54&gt;=20,AN54='Lookup Tables'!$R$101),'Lookup Tables'!$U$101*BQ54,AP54*LOOKUP(2,1/((AN54='Lookup Tables'!$R$91:$R$111)*(AQ54&gt;='Lookup Tables'!$S$91:$S$111)*(AQ54&lt;='Lookup Tables'!$T$91:$T$111)),'Lookup Tables'!$U$91:$U$111))),"")</f>
        <v/>
      </c>
      <c r="FG54" s="579"/>
      <c r="FH54" s="579"/>
      <c r="FI54" s="253" t="str">
        <f>IFERROR(ROUND(IF(CD54="ERROR", "ERROR", IF(AND($FI$7=X54,E54="Interior"),VLOOKUP(W54, 'Lookup Tables'!$AI$6:$AM$102, 5, FALSE)*BP54, "")), 2), "")</f>
        <v/>
      </c>
      <c r="FJ54" s="253" t="str">
        <f>IFERROR(ROUND(IF(CD54="ERROR", "ERROR", IF(AND($FI$7=X54,E54="Exterior"),VLOOKUP(W54, 'Lookup Tables'!$AI$6:$AM$102, 5, FALSE)*BP54, "")), 2), "")</f>
        <v/>
      </c>
      <c r="FK54" s="253" t="str">
        <f>IFERROR(ROUND(IF(CD54="ERROR", "ERROR", IF(AND($FK$7=X54,E54="Interior"),VLOOKUP(W54, 'Lookup Tables'!$AI$6:$AM$102, 5, FALSE)*BP54, "")), 2), "")</f>
        <v/>
      </c>
      <c r="FL54" s="253" t="str">
        <f>IFERROR(ROUND(IF(CD54="ERROR", "ERROR", IF(AND($FK$7=X54,E54="Exterior"),VLOOKUP(W54, 'Lookup Tables'!$AI$6:$AM$102, 5, FALSE)*BP54, "")), 2), "")</f>
        <v/>
      </c>
      <c r="FM54" s="253" t="str">
        <f>IFERROR(ROUND(IF(CD54="ERROR", "ERROR", IF(AND($FM$6=Y54,E54="Interior"), IF(GB54=0, VLOOKUP(W54, 'Lookup Tables'!$AI$6:$AM$102, 5, FALSE)*BP54, IF(VLOOKUP(W54, 'Lookup Tables'!$AI$6:$AM$102, 5, FALSE)*BP54&gt;GB54*'Lighting Inventory'!S54, GB54*'Lighting Inventory'!S54,VLOOKUP(W54, 'Lookup Tables'!$AI$6:$AM$102, 5, FALSE)*BP54)), "")), 2), "")</f>
        <v/>
      </c>
      <c r="FN54" s="253" t="str">
        <f>IFERROR(ROUND(IF(CD54="ERROR", "ERROR", IF(AND($FM$6=Y54,E54="Exterior"), IF(GB54=0, VLOOKUP(W54, 'Lookup Tables'!$AI$6:$AM$102, 5, FALSE)*BP54, IF(VLOOKUP(W54, 'Lookup Tables'!$AI$6:$AM$102, 5, FALSE)*BP54&gt;GB54*'Lighting Inventory'!S54, GB54*'Lighting Inventory'!S54,VLOOKUP(W54, 'Lookup Tables'!$AI$6:$AM$102, 5, FALSE)*BP54)), "")), 2), "")</f>
        <v/>
      </c>
      <c r="FO54" s="253" t="str">
        <f>IFERROR(ROUND(IF(CD54="ERROR", "ERROR", IF(AND($FO$6=Y54,E54="Interior"),VLOOKUP(W54, 'Lookup Tables'!$AI$6:$AM$102, 5, FALSE)*'Lighting Inventory'!AI54, "")), 2), "")</f>
        <v/>
      </c>
      <c r="FP54" s="253" t="str">
        <f>IFERROR(ROUND(IF(CD54="ERROR", "ERROR", IF(AND($FO$6=Y54,E54="Exterior"),VLOOKUP(W54, 'Lookup Tables'!$AI$6:$AM$102, 5, FALSE)*'Lighting Inventory'!AI54, "")), 2), "")</f>
        <v/>
      </c>
      <c r="FQ54" s="253" t="str">
        <f>IFERROR(ROUND(IF(CD54="ERROR", "ERROR", IF(AND($FQ$6=Y54,E54="Interior", BU54="Y"), VLOOKUP('Lighting Inventory'!W54, 'Lookup Tables'!$AI$6:$AM$102, 5, FALSE)*'Lighting Inventory'!S54, IF(AND($FQ$7=Y54,E54="Interior", BU54="N"), 0.025*CD54, ""))), 2), "")</f>
        <v/>
      </c>
      <c r="FR54" s="253" t="str">
        <f>IFERROR(ROUND(IF(CD54="ERROR", "ERROR", IF(AND($FQ$6=Y54,E54="Exterior"), VLOOKUP('Lighting Inventory'!W54, 'Lookup Tables'!$AI$6:$AM$102, 5, FALSE)*'Lighting Inventory'!S54, "")), 2), "")</f>
        <v/>
      </c>
      <c r="FS54" s="253" t="str">
        <f>IFERROR(ROUND(IF(CD54="ERROR", "ERROR", IF(AND($FS$6=Y54,E54="Exterior"), IF(GB54=0, VLOOKUP(W54, 'Lookup Tables'!$AI$6:$AM$102, 5, FALSE)*BP54, IF(VLOOKUP(W54, 'Lookup Tables'!$AI$6:$AM$102, 5, FALSE)*BP54&gt;GB54*'Lighting Inventory'!S54, GB54*'Lighting Inventory'!S54,VLOOKUP(W54, 'Lookup Tables'!$AI$6:$AM$102, 5, FALSE)*BP54)), "")), 2), "")</f>
        <v/>
      </c>
      <c r="FT54" s="253" t="str">
        <f>IFERROR(ROUND(IF(CD54="ERROR", "ERROR", IF(AND($FT$6=Y54,E54="Interior"), IF(GB54=0, VLOOKUP(W54, 'Lookup Tables'!$AI$6:$AM$102, 5, FALSE)*BP54, IF(VLOOKUP(W54, 'Lookup Tables'!$AI$6:$AM$102, 5, FALSE)*BP54&gt;GB54*'Lighting Inventory'!S54, GB54*'Lighting Inventory'!S54,VLOOKUP(W54, 'Lookup Tables'!$AI$6:$AM$102, 5, FALSE)*BP54)), "")), 2), "")</f>
        <v/>
      </c>
      <c r="FU54" s="253" t="str">
        <f>IFERROR(ROUND(IF(CD54="ERROR", "ERROR", IF(AND(Y54=$FU$6, E54="Interior"), IF(BS54="N", 'Lookup Tables'!$AM$101*BP54, VLOOKUP(W54, 'Lookup Tables'!$AI$6:$AM$102, 5, FALSE)*S54*AD54), "")), 2), "")</f>
        <v/>
      </c>
      <c r="FV54" s="253" t="str">
        <f>IFERROR(ROUND(IF(CD54="ERROR", "ERROR", IF(AND(Y54=$FU$6, E54="Exterior"), IF(BS54="N", 'Lookup Tables'!$AM$101*BP54, VLOOKUP(W54, 'Lookup Tables'!$AI$6:$AM$102, 5, FALSE)*S54*AD54), "")), 2), "")</f>
        <v/>
      </c>
      <c r="FW54" s="253" t="str">
        <f>IFERROR(ROUND(IF(CD54="ERROR", "ERROR", IF($FW$6=Y54, IF(BS54="N", 'Lookup Tables'!$AM$101*BP54, MIN((VLOOKUP(W54, 'Lookup Tables'!$AI$6:$AM$102, 5, FALSE)*BP54),GB54*AJ54)), "")), 2), "")</f>
        <v/>
      </c>
      <c r="FX54" s="253" t="str">
        <f>IFERROR(ROUND(IF(CD54="ERROR", "ERROR", IF(AND($FX$6=Y54, E54="Interior"), IF(VLOOKUP(W54, 'Lookup Tables'!$AI$6:$AM$102, 5, FALSE)*BP54&gt;'Lookup Tables'!$AQ$97*'Lighting Inventory'!S54,'Lighting Inventory'!S54*'Lookup Tables'!$AQ$97,VLOOKUP(W54, 'Lookup Tables'!$AI$6:$AM$102, 5, FALSE)*BP54), "")), 2), "")</f>
        <v/>
      </c>
      <c r="FY54" s="253" t="str">
        <f>IFERROR(ROUND(IF(CD54="ERROR", "ERROR", IF(AND($FX$6=Y54, E54="Exterior"), IF(VLOOKUP(W54, 'Lookup Tables'!$AI$6:$AM$102, 5, FALSE)*BP54&gt;'Lookup Tables'!$AQ$97*'Lighting Inventory'!S54,'Lighting Inventory'!S54*'Lookup Tables'!$AQ$97,VLOOKUP(W54, 'Lookup Tables'!$AI$6:$AM$102, 5, FALSE)*BP54), "")), 2), "")</f>
        <v/>
      </c>
      <c r="FZ54" s="253" t="str">
        <f>IFERROR(ROUND(IF(CD54="ERROR", "ERROR", IF(AND($FZ$6=Y54, E54="Interior"), IF(AND(OR(W54="Refrigerated Case Lighting with Doors", W54="Freezer Case Lighting"),Y54="Custom - Process Improvement"),CD54*'Lookup Tables'!$AM$101, IF(B54="Retrofit", IF(VLOOKUP(IF(V54="Custom", V54, W54), 'Lookup Tables'!$AI$6:$AM$102, 5, FALSE)*BP54&gt;GE54, GE54, VLOOKUP(IF(V54="Custom", V54, W54), 'Lookup Tables'!$AI$6:$AM$102, 5, FALSE)*BP54), IF(VLOOKUP(IF(V54="Custom", V54, W54), 'Lookup Tables'!$AI$114:$AM$154, 5, FALSE)*BP54&gt;GE54, GE54, VLOOKUP(IF(V54="Custom", V54, W54), 'Lookup Tables'!$AI$114:$AM$154, 5, FALSE)*BP54))), "")), 2),"")</f>
        <v/>
      </c>
      <c r="GA54" s="253" t="str">
        <f>IFERROR(ROUND(IF(CD54="ERROR", "ERROR", IF(AND($FZ$6=Y54, E54="Exterior"), IF(B54="Retrofit", IF(VLOOKUP(IF(V54="Custom", V54, W54), 'Lookup Tables'!$AI$6:$AM$102, 5, FALSE)*BP54&gt;GE54, GE54, VLOOKUP(IF(V54="Custom", V54, W54), 'Lookup Tables'!$AI$6:$AM$102, 5, FALSE)*BP54), IF(VLOOKUP(IF(V54="Custom", V54, W54), 'Lookup Tables'!$AI$114:$AM$154, 5, FALSE)*BP54&gt;GE54, GE54, VLOOKUP(IF(V54="Custom", V54, W54), 'Lookup Tables'!$AI$114:$AM$154, 5, FALSE)*BP54)), "")), 2),"")</f>
        <v/>
      </c>
      <c r="GB54" s="254" t="str">
        <f t="array" ref="GB54">IF(B54="","",IF(OR(V54="Custom",V54="No Change"),0,IF(B54="Retrofit", INDEX('Lookup Tables'!$AH$6:$AQ$102,MATCH(1,('Lookup Tables'!$AH$6:$AH$102='Lighting Inventory'!V54)*('Lookup Tables'!$AI$6:$AI$102='Lighting Inventory'!W54),FALSE),10),INDEX('Lookup Tables'!$AH$114:$AQ$154,MATCH(1,('Lookup Tables'!$AH$114:$AH$154='Lighting Inventory'!V54)*('Lookup Tables'!$AI$114:$AI$154='Lighting Inventory'!W54),FALSE),10))))</f>
        <v/>
      </c>
      <c r="GC54" s="255" t="str">
        <f t="shared" si="77"/>
        <v/>
      </c>
      <c r="GD54" s="250" t="str">
        <f t="shared" si="78"/>
        <v/>
      </c>
      <c r="GE54" s="253" t="str">
        <f>IFERROR(IF(AND(AF54="", 'General Information'!$F$18="No"),"", IF(AF54="", ((GD54/$CD$266)*$CF$266)*0.5, AF54*S54*0.5)), "")</f>
        <v/>
      </c>
      <c r="GF54" s="255" t="str">
        <f>IF(AND('General Information'!$F$19="", 'General Information'!$F$18="Yes",AF54="",BW54="Y"), "Y", "N")</f>
        <v>N</v>
      </c>
      <c r="GG54" s="255" t="s">
        <v>2946</v>
      </c>
      <c r="GH54" s="255" t="str">
        <f>IFERROR(IF(B54="", "", VLOOKUP(J54, 'Fixture Identities'!$A$6:$N$908, 14, FALSE)), "")</f>
        <v/>
      </c>
      <c r="GI54" s="389" t="str">
        <f>IF(OR(B54="", V54="", W54=""), "", IF(AND(OR(M54='Lookup Tables'!$R$18, M54='Lookup Tables'!$R$19, M54='Lookup Tables'!$R$20, M54='Lookup Tables'!$R$21, M54='Lookup Tables'!$R$22), OR(AN54='Lookup Tables'!$R$17, AN54='Lookup Tables'!$R$17, AN54="")), "Y", "N"))</f>
        <v/>
      </c>
      <c r="GJ54" s="255" t="str">
        <f t="shared" si="79"/>
        <v/>
      </c>
      <c r="GK54" s="255" t="str">
        <f t="shared" si="80"/>
        <v/>
      </c>
      <c r="GL54" s="255" t="str">
        <f t="shared" si="81"/>
        <v/>
      </c>
      <c r="GM54" s="255" t="str">
        <f>IF(AN54="", "", IF(AND(IF(ISNA(VLOOKUP(AN54,'Lookup Tables'!$R$18:$R$22,1,FALSE)), "N", "Y")="Y", E54="Exterior"), "Y", "N"))</f>
        <v/>
      </c>
      <c r="GN54" s="395"/>
      <c r="GO54" s="428">
        <f t="shared" si="98"/>
        <v>0</v>
      </c>
      <c r="GP54" s="428">
        <f t="shared" si="167"/>
        <v>0</v>
      </c>
      <c r="GQ54" s="428">
        <f t="shared" si="99"/>
        <v>0</v>
      </c>
      <c r="GR54" s="428">
        <f t="shared" si="100"/>
        <v>0</v>
      </c>
    </row>
    <row r="55" spans="1:200" s="103" customFormat="1" ht="13.5" customHeight="1" x14ac:dyDescent="0.2">
      <c r="A55" s="272">
        <v>45</v>
      </c>
      <c r="B55" s="110"/>
      <c r="C55" s="110"/>
      <c r="D55" s="110"/>
      <c r="E55" s="110"/>
      <c r="F55" s="110"/>
      <c r="G55" s="110"/>
      <c r="H55" s="110"/>
      <c r="I55" s="29"/>
      <c r="J55" s="29"/>
      <c r="K55" s="272" t="str">
        <f>IFERROR(IF(OR(VLOOKUP(J55, 'Fixture Identities'!$A$6:$L$1023, 3, FALSE)="T12 Linear Fluorescent", VLOOKUP(J55, 'Fixture Identities'!$A$6:$L$1023, 3, FALSE)="T12 U-Tube Fluorescent"), VLOOKUP(VLOOKUP(J55, 'Fixture Identities'!$A$6:$L$1023, 11, FALSE), 'Fixture Identities'!$A$6:$L$1023, 10, FALSE), VLOOKUP(J55, 'Fixture Identities'!$A$6:$L$1023, 10, FALSE)), "")</f>
        <v/>
      </c>
      <c r="L55" s="270" t="str">
        <f t="shared" si="169"/>
        <v/>
      </c>
      <c r="M55" s="110"/>
      <c r="N55" s="110"/>
      <c r="O55" s="110"/>
      <c r="P55" s="272" t="str">
        <f>IFERROR(IF(OR(B55="Retrofit",B55=""),"",IF('Lighting Inventory'!E55="Exterior",VLOOKUP('Lighting Inventory'!N55,'Lookup Tables'!$B$83:$F$103,5,FALSE),IF(N55="Other - Please Estimate EFLH and CFs","Contact Prog. Rep.","ft^2"))), "")</f>
        <v/>
      </c>
      <c r="Q55" s="270" t="str">
        <f>IFERROR(IF(AND(B55="New Construction",E55="Interior",$F$5="Space-by-Space"),VLOOKUP('Lighting Inventory'!N55,'Lookup Tables'!$N$6:$O$97,2,FALSE),IF(AND(B55="New Construction",E55="Exterior"),VLOOKUP(N55,'Lookup Tables'!$B$83:$F$103,2,FALSE),IF(AND(B55="New Construction",'Lighting Inventory'!E55="Interior", $F$5="Building Area"),VLOOKUP(F55,'Lookup Tables'!$A$6:$J$59,10,FALSE),""))), "")</f>
        <v/>
      </c>
      <c r="R55" s="270" t="str">
        <f>IFERROR(IF(P55="Contact Prog. Rep.", "ERROR", IF(OR(B55="",B55="Retrofit"),"",IF(N55="Automated teller machines", ('Lookup Tables'!$A$82:$E$100+('Lighting Inventory'!O55-1)*'Lookup Tables'!$A$82:$E$100)/1000, (Q55*O55)/1000))), "")</f>
        <v/>
      </c>
      <c r="S55" s="595"/>
      <c r="T55" s="105" t="str">
        <f t="shared" si="83"/>
        <v/>
      </c>
      <c r="U55" s="105" t="str">
        <f>IF(S55="","",COUNT($S$11:S55))</f>
        <v/>
      </c>
      <c r="V55" s="111"/>
      <c r="W55" s="112"/>
      <c r="X55" s="105" t="str">
        <f t="shared" si="84"/>
        <v/>
      </c>
      <c r="Y55" s="105" t="str">
        <f t="array" ref="Y55">IF(AND(OR(W55="Freezer Case Lighting", W55="Refrigerated Case Lighting with Doors"), 'General Information'!$X$18="LCI"),'Lookup Tables'!$Y$34, IF(V55="Custom", VLOOKUP(W55, 'Fixture Identities'!$A$974:$M$1023, 13, FALSE), IF(V55="No Change",'Lookup Tables'!$Y$29,IF(OR(V55="",W55=""),"",IF(AND(S55=0,S55&lt;I55,B55="Retrofit"),'Lookup Tables'!$Y$25, IF(B55="Retrofit", INDEX('Lookup Tables'!$AH$6:$AP$102, MATCH(1, ('Lookup Tables'!$AH$6:$AH$102=V55)*('Lookup Tables'!$AI$6:$AI$102=W55), 0), IF('Lighting Inventory'!E55="Interior", 4, 5)), INDEX('Lookup Tables'!$AH$114:$AP$154, MATCH(1, ('Lookup Tables'!$AH$114:$AH$154=V55)*('Lookup Tables'!$AI$114:$AI$154=W55), 0), IF('Lighting Inventory'!E55="Interior", 4, 5))))))))</f>
        <v/>
      </c>
      <c r="Z55" s="105" t="str">
        <f>IFERROR(INDEX('Lookup Tables'!$AH$158:$AH$172,MATCH('Lighting Inventory'!Y55,'Lookup Tables'!$AI$158:$AI$172,0)),"")</f>
        <v/>
      </c>
      <c r="AA55" s="105" t="str">
        <f>IF(AP55&gt;0,INDEX('Lookup Tables'!$AK$158:$AK$172,MATCH('Lighting Inventory'!Y55,'Lookup Tables'!$AI$158:$AI$172,0)),'Lighting Inventory'!Y55)</f>
        <v/>
      </c>
      <c r="AB55" s="105" t="str">
        <f t="array" ref="AB55">IF(V55="Custom", "Custom", IF(V55="", "", IF(V55="Not DLC or Energy Star", "General", IF(B55="New Construction", INDEX('Lookup Tables'!$AH$114:$AP$154,MATCH(1,('Lookup Tables'!$AH$114:$AH$154='Lighting Inventory'!V55)*('Lookup Tables'!$AI$114:$AI$154='Lighting Inventory'!W55),FALSE),8), INDEX('Lookup Tables'!$AH$6:$AP$102,MATCH(1,('Lookup Tables'!$AH$6:$AH$102='Lighting Inventory'!V55)*('Lookup Tables'!$AI$6:$AI$102='Lighting Inventory'!W55),FALSE),8)))))</f>
        <v/>
      </c>
      <c r="AC55" s="272" t="str">
        <f>IF(W55="","",IF(V55="Custom",CONCATENATE("$",'Lookup Tables'!$AM$101," ",'Lookup Tables'!$AN$101),CONCATENATE("$",INDEX('Lookup Tables'!$AM$6:$AM$102,MATCH('Lighting Inventory'!W55,'Lookup Tables'!$AI$6:$AI$102,0))," ",INDEX('Lookup Tables'!$AN$6:$AN$102,MATCH('Lighting Inventory'!W55,'Lookup Tables'!$AI$6:$AI$102,0)))))</f>
        <v/>
      </c>
      <c r="AD55" s="72"/>
      <c r="AE55" s="29"/>
      <c r="AF55" s="379"/>
      <c r="AG55" s="370" t="str">
        <f t="shared" si="2"/>
        <v/>
      </c>
      <c r="AH55" s="370" t="str">
        <f t="shared" si="85"/>
        <v/>
      </c>
      <c r="AI55" s="29"/>
      <c r="AJ55" s="29"/>
      <c r="AK55" s="110"/>
      <c r="AL55" s="375" t="str">
        <f>IF(OR(B55="", V55="", W55=""), "", IF(V55="No Change", K55, IF(V55="Remove Fixture", 0, IF(V55="Custom",VLOOKUP(W55,'Fixture Identities'!$A$6:$K$1023,10,FALSE),IF(AE55="", "← ENTER POST WATTS", 'Lighting Inventory'!AE55)))))</f>
        <v/>
      </c>
      <c r="AM55" s="376" t="str">
        <f t="shared" si="3"/>
        <v/>
      </c>
      <c r="AN55" s="29"/>
      <c r="AO55" s="671"/>
      <c r="AP55" s="29"/>
      <c r="AQ55" s="29"/>
      <c r="AR55" s="29"/>
      <c r="AS55" s="272" t="str">
        <f t="shared" si="4"/>
        <v/>
      </c>
      <c r="AT55" s="270" t="str">
        <f t="shared" si="234"/>
        <v/>
      </c>
      <c r="AU55" s="88" t="str">
        <f t="shared" si="235"/>
        <v/>
      </c>
      <c r="AV55" s="29"/>
      <c r="AW55" s="73"/>
      <c r="AX55" s="271" t="str">
        <f>IF(AND(AV55="Applicant",OR(AW55="", AW55="Use Default Facility Hours")),"← Choose Schedule",IF(F55="","",IF(W55="LED Exit Signs",8760,IF(OR(AV55="Prescribed",AV55=""),VLOOKUP(F55,'Lookup Tables'!$A$6:$G$59,IF(AB55="General", 6, 3),FALSE),VLOOKUP(AW55,'Lookup Tables'!$S$36:$U$43,2,FALSE)))))</f>
        <v/>
      </c>
      <c r="AY55" s="88" t="str">
        <f t="shared" si="7"/>
        <v/>
      </c>
      <c r="AZ55" s="270" t="str">
        <f>IFERROR(IF(F55="", "", IF(W55="LED Exit Signs", 1, IF(AV55="Applicant",VLOOKUP(AW55, 'Lookup Tables'!$S$36:$U$43,3, FALSE), VLOOKUP('Lighting Inventory'!F55, 'Lookup Tables'!$A$6:$H$59, IF('Lighting Inventory'!AB55="General",7,4), FALSE)))), "")</f>
        <v/>
      </c>
      <c r="BA55" s="522" t="str">
        <f>IFERROR(IF(F55="", "", IF(W55="LED Exit Signs", 1, VLOOKUP('Lighting Inventory'!F55, 'Lookup Tables'!$A$6:$H$59, IF('Lighting Inventory'!AB55="General",8,5), FALSE))), "")</f>
        <v/>
      </c>
      <c r="BB55" s="270" t="str">
        <f>IF(G55="", "", IF(E55="Exterior", 0, IF('Lighting Inventory'!G55="Air Conditioned", VLOOKUP(H55, 'Lookup Tables'!$R$6:$T$13, 2, FALSE), VLOOKUP('Lighting Inventory'!G55, 'Lookup Tables'!$R$6:$T$13, 2, FALSE))))</f>
        <v/>
      </c>
      <c r="BC55" s="522" t="str">
        <f>IF(G55="", "", IF(E55="Exterior", 0, IF('Lighting Inventory'!G55="Air Conditioned", VLOOKUP(H55, 'Lookup Tables'!$R$6:$T$13, 3, FALSE), VLOOKUP('Lighting Inventory'!G55, 'Lookup Tables'!$R$6:$T$13, 3, FALSE))))</f>
        <v/>
      </c>
      <c r="BD55" s="270" t="str">
        <f>IF(G55="", "", IF(E55="Exterior", 0, IF('Lighting Inventory'!G55="Air Conditioned", VLOOKUP(H55, 'Lookup Tables'!$R$6:$U$13, 4, FALSE), VLOOKUP('Lighting Inventory'!G55, 'Lookup Tables'!$R$6:$U$13, 4, FALSE))))</f>
        <v/>
      </c>
      <c r="BE55" s="270" t="str">
        <f>IFERROR(IF(B55="", "",  IF(B55="New Construction", VLOOKUP(F55, 'Lookup Tables'!$A$6:$K$59, 11, FALSE),IF(OR(AN55="", AN55="Light Switch"), 0, IF(OR(M55="",M55="None",V55= "LED Exit Signs"),0,_xlfn.XLOOKUP(M55,'Lookup Tables'!$R$91:$R$101,'Lookup Tables'!$V$91:$V$101))))), "")</f>
        <v/>
      </c>
      <c r="BF55" s="270" t="str">
        <f>IF(AND(OR(AN55="Light Switch",AN55=""),B55="New Construction"), VLOOKUP(F55, 'Lookup Tables'!$A$6:$K$59, 11, FALSE),IF(AN55="","",IF(B55="","",IF(OR(AN55="None",AN55="",V55="LED Exit Signs",AN55="Exterior Controls Not Eligible"),0,_xlfn.XLOOKUP(AN55,'Lookup Tables'!$R$91:$R$101,'Lookup Tables'!$V$91:$V$101)))))</f>
        <v/>
      </c>
      <c r="BG55" s="88" t="str">
        <f t="shared" si="86"/>
        <v/>
      </c>
      <c r="BH55" s="88" t="str">
        <f t="shared" si="87"/>
        <v/>
      </c>
      <c r="BI55" s="558" t="str">
        <f t="shared" si="168"/>
        <v/>
      </c>
      <c r="BJ55" s="82" t="str">
        <f t="shared" si="88"/>
        <v/>
      </c>
      <c r="BK55" s="82" t="str">
        <f t="shared" si="89"/>
        <v/>
      </c>
      <c r="BL55" s="559" t="str">
        <f t="shared" si="90"/>
        <v/>
      </c>
      <c r="BM55" s="521" t="str">
        <f t="shared" si="8"/>
        <v/>
      </c>
      <c r="BN55" s="521" t="str">
        <f t="shared" si="9"/>
        <v/>
      </c>
      <c r="BO55" s="522" t="str">
        <f t="shared" si="10"/>
        <v/>
      </c>
      <c r="BP55" s="83" t="str">
        <f t="shared" si="91"/>
        <v/>
      </c>
      <c r="BQ55" s="84" t="str">
        <f t="shared" si="92"/>
        <v/>
      </c>
      <c r="BR55" s="184" t="str">
        <f>IFERROR(IF(B55="", "", IF(OR(VLOOKUP(J55, 'Fixture Identities'!$A$6:$L$1023, 3, FALSE)="T12 Linear Fluorescent",VLOOKUP(J55, 'Fixture Identities'!$A$6:$L$1023, 3, FALSE)="T12 U-Tube Fluorescent"), "Y", "N")), "N")</f>
        <v/>
      </c>
      <c r="BS55" s="184" t="str">
        <f t="array" ref="BS55">IFERROR(IF(OR(B55="", V55="", W55=""), "", IF(V55="Custom", "N", IF(OR(W55="Freezer Case Lighting", W55="Refrigerated Case Lighting with Doors"), BT55, IF(B55="Retrofit", INDEX('Lookup Tables'!$AH$6:$AT$102,MATCH(1,('Lookup Tables'!$AH$6:$AH$102=V55)*('Lookup Tables'!$AI$6:$AI$102=W55),FALSE),IF(VLOOKUP(J55, 'Fixture Identities'!$A$6:$B$1023, 2, FALSE)="Incandescent",12, 13)), INDEX('Lookup Tables'!$AH$114:$AS$154,MATCH(1,('Lookup Tables'!$AH$114:$AH$154=V55)*('Lookup Tables'!$AI$114:$AI$154=W55),FALSE),12))))), "N")</f>
        <v/>
      </c>
      <c r="BT55" s="184" t="str">
        <f>IF(J55="", "", IF(AND(OR(W55="Freezer case Lighting", W55="Refrigerated Case Lighting with Doors"),'General Information'!$X$18="LCI"), "N", IF(OR(VLOOKUP(J55, 'Fixture Identities'!$A$6:$B$1023, 2, FALSE)="T12 EPACT/EISA Baseline", VLOOKUP(J55, 'Fixture Identities'!$A$6:$B$1023, 2, FALSE)="Linear Fluorescent", VLOOKUP(J55, 'Fixture Identities'!$A$6:$B$1023, 2, FALSE)="U-Tube Fluorescent"), "Y", "N")))</f>
        <v/>
      </c>
      <c r="BU55" s="184" t="str">
        <f>IFERROR(IF(B55="", "", IF(VLOOKUP(J55, 'Fixture Identities'!$A$6:$B$1023, 2, FALSE)="Exit Sign", "Y", "N")), "N")</f>
        <v/>
      </c>
      <c r="BV55" s="184" t="str">
        <f>IF(V55="Exit Signs", IF(VLOOKUP(J55, 'Fixture Identities'!$A$6:$B$1023, 2, FALSE)="Exit Sign", "N", "Y"), "")</f>
        <v/>
      </c>
      <c r="BW55" s="184" t="str">
        <f t="array" ref="BW55">IFERROR(IF(B55="", "", IF(B55="New Construction", "N", INDEX('Lookup Tables'!$AH$6:$AU$102, MATCH(1, ('Lookup Tables'!$AH$6:$AH$102='Lighting Inventory'!V55)*('Lookup Tables'!$AI$6:$AI$102='Lighting Inventory'!W55), 0), 14))), "N")</f>
        <v/>
      </c>
      <c r="BX55" s="598" t="str">
        <f t="shared" si="93"/>
        <v/>
      </c>
      <c r="BY55" s="598" t="str">
        <f t="shared" si="94"/>
        <v/>
      </c>
      <c r="BZ55" s="598" t="str">
        <f t="shared" si="95"/>
        <v/>
      </c>
      <c r="CA55" s="598" t="str">
        <f t="shared" si="101"/>
        <v/>
      </c>
      <c r="CB55" s="269" t="str">
        <f t="shared" si="102"/>
        <v/>
      </c>
      <c r="CC55" s="517" t="str">
        <f t="shared" si="96"/>
        <v/>
      </c>
      <c r="CD55" s="565" t="str">
        <f t="shared" si="11"/>
        <v/>
      </c>
      <c r="CE55" s="368">
        <v>0</v>
      </c>
      <c r="CF55" s="368" t="str" cm="1">
        <f t="array" ref="CF55">IFERROR(IF(V55="Custom", "$0.1 per kWh", IF(B55="New Construction", CONCATENATE("$",INDEX('Lookup Tables'!$AH$114:$AN$154,MATCH(1,('Lookup Tables'!$AH$114:$AH$154='Lighting Inventory'!V55)*('Lookup Tables'!$AI$114:$AI$154='Lighting Inventory'!W55),FALSE),6)," ",INDEX('Lookup Tables'!$AH$114:$AN$154,MATCH(1,('Lookup Tables'!$AH$114:$AH$154='Lighting Inventory'!V55)*('Lookup Tables'!$AI$114:$AI$154='Lighting Inventory'!W55),FALSE),7)), IF(AND(BU55="N", V55="Exit Signs"), "$0.025 per kWh", CONCATENATE("$",INDEX('Lookup Tables'!$AH$6:$AN$102,MATCH(1,('Lookup Tables'!$AH$6:$AH$102='Lighting Inventory'!V55)*('Lookup Tables'!$AI$6:$AI$102='Lighting Inventory'!W55),FALSE),6)," ",INDEX('Lookup Tables'!$AH$6:$AN$102,MATCH(1,('Lookup Tables'!$AH$6:$AH$102='Lighting Inventory'!V55)*('Lookup Tables'!$AI$6:$AI$102='Lighting Inventory'!W55),FALSE),7))))), "")</f>
        <v/>
      </c>
      <c r="CG55" s="366"/>
      <c r="CH55" s="248" t="str">
        <f t="shared" si="236"/>
        <v/>
      </c>
      <c r="CI55" s="248" t="str">
        <f t="shared" si="237"/>
        <v>Select_IE</v>
      </c>
      <c r="CJ55" s="248" t="str">
        <f t="shared" si="238"/>
        <v/>
      </c>
      <c r="CK55" s="248" t="str">
        <f t="shared" si="239"/>
        <v/>
      </c>
      <c r="CL55" s="248" t="str">
        <f t="shared" si="240"/>
        <v/>
      </c>
      <c r="CM55" s="248" t="str">
        <f>IFERROR(IF(B55="", "", IF(B55="New Construction", VLOOKUP(V55, 'Lookup Tables'!$AF$114:$AG$120, 2, FALSE), VLOOKUP(V55, 'Lookup Tables'!$AD$6:$AE$25, 2, FALSE))), "")</f>
        <v/>
      </c>
      <c r="CN55" s="248" t="str">
        <f t="shared" si="175"/>
        <v/>
      </c>
      <c r="CO55" s="248" t="str">
        <f t="shared" si="241"/>
        <v/>
      </c>
      <c r="CP55" s="592" t="str">
        <f t="shared" si="242"/>
        <v/>
      </c>
      <c r="CQ55" s="248" t="str">
        <f t="shared" si="97"/>
        <v/>
      </c>
      <c r="CR55" s="100"/>
      <c r="CS55" s="250" t="str">
        <f t="shared" si="178"/>
        <v/>
      </c>
      <c r="CT55" s="250" t="str">
        <f t="shared" si="243"/>
        <v/>
      </c>
      <c r="CU55" s="250" t="str">
        <f t="shared" si="244"/>
        <v/>
      </c>
      <c r="CV55" s="250" t="str">
        <f t="shared" si="245"/>
        <v/>
      </c>
      <c r="CW55" s="250" t="str">
        <f t="shared" si="246"/>
        <v/>
      </c>
      <c r="CX55" s="250" t="str">
        <f t="shared" si="247"/>
        <v/>
      </c>
      <c r="CY55" s="250" t="str">
        <f t="shared" si="248"/>
        <v/>
      </c>
      <c r="CZ55" s="250" t="str">
        <f t="shared" si="249"/>
        <v/>
      </c>
      <c r="DA55" s="250" t="str">
        <f t="shared" si="250"/>
        <v/>
      </c>
      <c r="DB55" s="250" t="str">
        <f t="shared" si="251"/>
        <v/>
      </c>
      <c r="DC55" s="250" t="str">
        <f t="shared" si="252"/>
        <v/>
      </c>
      <c r="DD55" s="250" t="str">
        <f t="shared" si="253"/>
        <v/>
      </c>
      <c r="DE55" s="250" t="str">
        <f t="shared" si="254"/>
        <v/>
      </c>
      <c r="DF55" s="250" t="str">
        <f t="shared" si="255"/>
        <v/>
      </c>
      <c r="DG55" s="250" t="str">
        <f t="shared" si="256"/>
        <v/>
      </c>
      <c r="DH55" s="250" t="str">
        <f t="shared" si="257"/>
        <v/>
      </c>
      <c r="DI55" s="250" t="str">
        <f t="shared" si="258"/>
        <v/>
      </c>
      <c r="DJ55" s="250" t="str">
        <f t="shared" si="259"/>
        <v/>
      </c>
      <c r="DK55" s="250" t="str">
        <f t="shared" si="260"/>
        <v/>
      </c>
      <c r="DL55" s="250" t="str">
        <f t="shared" si="261"/>
        <v/>
      </c>
      <c r="DM55" s="250" t="str">
        <f>IF(CD55="ERROR", "ERROR", IF(AND(OR(Y55=$DM$6, Y55='Lookup Tables'!$AD$21, Y55='Lookup Tables'!$AD$22), E55="Interior"), BJ55, ""))</f>
        <v/>
      </c>
      <c r="DN55" s="250" t="str">
        <f>IF(CD55="ERROR", "ERROR", IF(AND(OR(Y55=$DM$6, Y55='Lookup Tables'!$AD$21, Y55='Lookup Tables'!$AD$22), E55="Exterior"), BJ55, ""))</f>
        <v/>
      </c>
      <c r="DO55" s="100"/>
      <c r="DP55" s="250" t="str">
        <f t="shared" si="198"/>
        <v/>
      </c>
      <c r="DQ55" s="250" t="str">
        <f t="shared" si="262"/>
        <v/>
      </c>
      <c r="DR55" s="250" t="str">
        <f t="shared" si="263"/>
        <v/>
      </c>
      <c r="DS55" s="250" t="str">
        <f t="shared" si="264"/>
        <v/>
      </c>
      <c r="DT55" s="250" t="str">
        <f t="shared" si="265"/>
        <v/>
      </c>
      <c r="DU55" s="250" t="str">
        <f t="shared" si="266"/>
        <v/>
      </c>
      <c r="DV55" s="250" t="str">
        <f t="shared" si="267"/>
        <v/>
      </c>
      <c r="DW55" s="250" t="str">
        <f t="shared" si="268"/>
        <v/>
      </c>
      <c r="DX55" s="250" t="str">
        <f t="shared" si="269"/>
        <v/>
      </c>
      <c r="DY55" s="250" t="str">
        <f t="shared" si="270"/>
        <v/>
      </c>
      <c r="DZ55" s="250" t="str">
        <f t="shared" si="271"/>
        <v/>
      </c>
      <c r="EA55" s="250" t="str">
        <f t="shared" si="272"/>
        <v/>
      </c>
      <c r="EB55" s="250" t="str">
        <f t="shared" si="273"/>
        <v/>
      </c>
      <c r="EC55" s="250" t="str">
        <f t="shared" si="274"/>
        <v/>
      </c>
      <c r="ED55" s="250" t="str">
        <f t="shared" si="275"/>
        <v/>
      </c>
      <c r="EE55" s="250" t="str">
        <f t="shared" si="276"/>
        <v/>
      </c>
      <c r="EF55" s="250" t="str">
        <f t="shared" si="277"/>
        <v/>
      </c>
      <c r="EG55" s="250" t="str">
        <f t="shared" si="278"/>
        <v/>
      </c>
      <c r="EH55" s="250" t="str">
        <f>IF(CD55="ERROR", "ERROR", IF(AND(OR($EH$6=Y55, Y55='Lookup Tables'!$AD$21, Y55='Lookup Tables'!$AD$22),E55="Interior"), SUM(BP55:BP55), ""))</f>
        <v/>
      </c>
      <c r="EI55" s="250" t="str">
        <f>IF(CD55="ERROR", "ERROR", IF(AND(OR($EH$6=Y55, Y55='Lookup Tables'!$AD$21, Y55='Lookup Tables'!$AD$22),E55="Exterior"), SUM(BP55:BP55), ""))</f>
        <v/>
      </c>
      <c r="EJ55" s="109"/>
      <c r="EK55" s="485" t="str">
        <f t="shared" si="58"/>
        <v/>
      </c>
      <c r="EL55" s="252" t="str">
        <f t="shared" si="279"/>
        <v/>
      </c>
      <c r="EM55" s="252" t="str">
        <f t="shared" si="280"/>
        <v/>
      </c>
      <c r="EN55" s="252" t="str">
        <f t="shared" si="281"/>
        <v/>
      </c>
      <c r="EO55" s="252" t="str">
        <f t="shared" si="282"/>
        <v/>
      </c>
      <c r="EP55" s="252" t="str">
        <f t="shared" si="283"/>
        <v/>
      </c>
      <c r="EQ55" s="252" t="str">
        <f t="shared" si="284"/>
        <v/>
      </c>
      <c r="ER55" s="252" t="str">
        <f t="shared" si="285"/>
        <v/>
      </c>
      <c r="ES55" s="252" t="str">
        <f t="shared" si="286"/>
        <v/>
      </c>
      <c r="ET55" s="252" t="str">
        <f t="shared" si="287"/>
        <v/>
      </c>
      <c r="EU55" s="252" t="str">
        <f t="shared" si="288"/>
        <v/>
      </c>
      <c r="EV55" s="252" t="str">
        <f t="shared" si="289"/>
        <v/>
      </c>
      <c r="EW55" s="252" t="str">
        <f t="shared" si="290"/>
        <v/>
      </c>
      <c r="EX55" s="252" t="str">
        <f t="shared" si="291"/>
        <v/>
      </c>
      <c r="EY55" s="252" t="str">
        <f t="shared" si="292"/>
        <v/>
      </c>
      <c r="EZ55" s="252" t="str">
        <f t="shared" si="293"/>
        <v/>
      </c>
      <c r="FA55" s="252" t="str">
        <f t="shared" si="294"/>
        <v/>
      </c>
      <c r="FB55" s="252" t="str">
        <f t="shared" si="295"/>
        <v/>
      </c>
      <c r="FC55" s="252" t="str">
        <f>IF(CD55="ERROR", "ERROR", IF(OR(V55="No Change", V55="Not DLC or Energy Star"), "", IF(AND(OR($FC$6=Y55,Y55='Lookup Tables'!$AD$21, Y55='Lookup Tables'!$AD$22),E55="Interior"), S55, "")))</f>
        <v/>
      </c>
      <c r="FD55" s="252" t="str">
        <f t="shared" si="296"/>
        <v/>
      </c>
      <c r="FE55" s="101"/>
      <c r="FF55" s="579" t="str" cm="1">
        <f t="array" ref="FF55">IFERROR(IF(OR(BQ55&lt;=0,AQ55&lt;20,AND(V55="Exit Signs",AN55&gt;0)),"",IF(AND(AQ55&gt;=20,AN55='Lookup Tables'!$R$101),'Lookup Tables'!$U$101*BQ55,AP55*LOOKUP(2,1/((AN55='Lookup Tables'!$R$91:$R$111)*(AQ55&gt;='Lookup Tables'!$S$91:$S$111)*(AQ55&lt;='Lookup Tables'!$T$91:$T$111)),'Lookup Tables'!$U$91:$U$111))),"")</f>
        <v/>
      </c>
      <c r="FG55" s="579"/>
      <c r="FH55" s="579"/>
      <c r="FI55" s="253" t="str">
        <f>IFERROR(ROUND(IF(CD55="ERROR", "ERROR", IF(AND($FI$7=X55,E55="Interior"),VLOOKUP(W55, 'Lookup Tables'!$AI$6:$AM$102, 5, FALSE)*BP55, "")), 2), "")</f>
        <v/>
      </c>
      <c r="FJ55" s="253" t="str">
        <f>IFERROR(ROUND(IF(CD55="ERROR", "ERROR", IF(AND($FI$7=X55,E55="Exterior"),VLOOKUP(W55, 'Lookup Tables'!$AI$6:$AM$102, 5, FALSE)*BP55, "")), 2), "")</f>
        <v/>
      </c>
      <c r="FK55" s="253" t="str">
        <f>IFERROR(ROUND(IF(CD55="ERROR", "ERROR", IF(AND($FK$7=X55,E55="Interior"),VLOOKUP(W55, 'Lookup Tables'!$AI$6:$AM$102, 5, FALSE)*BP55, "")), 2), "")</f>
        <v/>
      </c>
      <c r="FL55" s="253" t="str">
        <f>IFERROR(ROUND(IF(CD55="ERROR", "ERROR", IF(AND($FK$7=X55,E55="Exterior"),VLOOKUP(W55, 'Lookup Tables'!$AI$6:$AM$102, 5, FALSE)*BP55, "")), 2), "")</f>
        <v/>
      </c>
      <c r="FM55" s="253" t="str">
        <f>IFERROR(ROUND(IF(CD55="ERROR", "ERROR", IF(AND($FM$6=Y55,E55="Interior"), IF(GB55=0, VLOOKUP(W55, 'Lookup Tables'!$AI$6:$AM$102, 5, FALSE)*BP55, IF(VLOOKUP(W55, 'Lookup Tables'!$AI$6:$AM$102, 5, FALSE)*BP55&gt;GB55*'Lighting Inventory'!S55, GB55*'Lighting Inventory'!S55,VLOOKUP(W55, 'Lookup Tables'!$AI$6:$AM$102, 5, FALSE)*BP55)), "")), 2), "")</f>
        <v/>
      </c>
      <c r="FN55" s="253" t="str">
        <f>IFERROR(ROUND(IF(CD55="ERROR", "ERROR", IF(AND($FM$6=Y55,E55="Exterior"), IF(GB55=0, VLOOKUP(W55, 'Lookup Tables'!$AI$6:$AM$102, 5, FALSE)*BP55, IF(VLOOKUP(W55, 'Lookup Tables'!$AI$6:$AM$102, 5, FALSE)*BP55&gt;GB55*'Lighting Inventory'!S55, GB55*'Lighting Inventory'!S55,VLOOKUP(W55, 'Lookup Tables'!$AI$6:$AM$102, 5, FALSE)*BP55)), "")), 2), "")</f>
        <v/>
      </c>
      <c r="FO55" s="253" t="str">
        <f>IFERROR(ROUND(IF(CD55="ERROR", "ERROR", IF(AND($FO$6=Y55,E55="Interior"),VLOOKUP(W55, 'Lookup Tables'!$AI$6:$AM$102, 5, FALSE)*'Lighting Inventory'!AI55, "")), 2), "")</f>
        <v/>
      </c>
      <c r="FP55" s="253" t="str">
        <f>IFERROR(ROUND(IF(CD55="ERROR", "ERROR", IF(AND($FO$6=Y55,E55="Exterior"),VLOOKUP(W55, 'Lookup Tables'!$AI$6:$AM$102, 5, FALSE)*'Lighting Inventory'!AI55, "")), 2), "")</f>
        <v/>
      </c>
      <c r="FQ55" s="253" t="str">
        <f>IFERROR(ROUND(IF(CD55="ERROR", "ERROR", IF(AND($FQ$6=Y55,E55="Interior", BU55="Y"), VLOOKUP('Lighting Inventory'!W55, 'Lookup Tables'!$AI$6:$AM$102, 5, FALSE)*'Lighting Inventory'!S55, IF(AND($FQ$7=Y55,E55="Interior", BU55="N"), 0.025*CD55, ""))), 2), "")</f>
        <v/>
      </c>
      <c r="FR55" s="253" t="str">
        <f>IFERROR(ROUND(IF(CD55="ERROR", "ERROR", IF(AND($FQ$6=Y55,E55="Exterior"), VLOOKUP('Lighting Inventory'!W55, 'Lookup Tables'!$AI$6:$AM$102, 5, FALSE)*'Lighting Inventory'!S55, "")), 2), "")</f>
        <v/>
      </c>
      <c r="FS55" s="253" t="str">
        <f>IFERROR(ROUND(IF(CD55="ERROR", "ERROR", IF(AND($FS$6=Y55,E55="Exterior"), IF(GB55=0, VLOOKUP(W55, 'Lookup Tables'!$AI$6:$AM$102, 5, FALSE)*BP55, IF(VLOOKUP(W55, 'Lookup Tables'!$AI$6:$AM$102, 5, FALSE)*BP55&gt;GB55*'Lighting Inventory'!S55, GB55*'Lighting Inventory'!S55,VLOOKUP(W55, 'Lookup Tables'!$AI$6:$AM$102, 5, FALSE)*BP55)), "")), 2), "")</f>
        <v/>
      </c>
      <c r="FT55" s="253" t="str">
        <f>IFERROR(ROUND(IF(CD55="ERROR", "ERROR", IF(AND($FT$6=Y55,E55="Interior"), IF(GB55=0, VLOOKUP(W55, 'Lookup Tables'!$AI$6:$AM$102, 5, FALSE)*BP55, IF(VLOOKUP(W55, 'Lookup Tables'!$AI$6:$AM$102, 5, FALSE)*BP55&gt;GB55*'Lighting Inventory'!S55, GB55*'Lighting Inventory'!S55,VLOOKUP(W55, 'Lookup Tables'!$AI$6:$AM$102, 5, FALSE)*BP55)), "")), 2), "")</f>
        <v/>
      </c>
      <c r="FU55" s="253" t="str">
        <f>IFERROR(ROUND(IF(CD55="ERROR", "ERROR", IF(AND(Y55=$FU$6, E55="Interior"), IF(BS55="N", 'Lookup Tables'!$AM$101*BP55, VLOOKUP(W55, 'Lookup Tables'!$AI$6:$AM$102, 5, FALSE)*S55*AD55), "")), 2), "")</f>
        <v/>
      </c>
      <c r="FV55" s="253" t="str">
        <f>IFERROR(ROUND(IF(CD55="ERROR", "ERROR", IF(AND(Y55=$FU$6, E55="Exterior"), IF(BS55="N", 'Lookup Tables'!$AM$101*BP55, VLOOKUP(W55, 'Lookup Tables'!$AI$6:$AM$102, 5, FALSE)*S55*AD55), "")), 2), "")</f>
        <v/>
      </c>
      <c r="FW55" s="253" t="str">
        <f>IFERROR(ROUND(IF(CD55="ERROR", "ERROR", IF($FW$6=Y55, IF(BS55="N", 'Lookup Tables'!$AM$101*BP55, MIN((VLOOKUP(W55, 'Lookup Tables'!$AI$6:$AM$102, 5, FALSE)*BP55),GB55*AJ55)), "")), 2), "")</f>
        <v/>
      </c>
      <c r="FX55" s="253" t="str">
        <f>IFERROR(ROUND(IF(CD55="ERROR", "ERROR", IF(AND($FX$6=Y55, E55="Interior"), IF(VLOOKUP(W55, 'Lookup Tables'!$AI$6:$AM$102, 5, FALSE)*BP55&gt;'Lookup Tables'!$AQ$97*'Lighting Inventory'!S55,'Lighting Inventory'!S55*'Lookup Tables'!$AQ$97,VLOOKUP(W55, 'Lookup Tables'!$AI$6:$AM$102, 5, FALSE)*BP55), "")), 2), "")</f>
        <v/>
      </c>
      <c r="FY55" s="253" t="str">
        <f>IFERROR(ROUND(IF(CD55="ERROR", "ERROR", IF(AND($FX$6=Y55, E55="Exterior"), IF(VLOOKUP(W55, 'Lookup Tables'!$AI$6:$AM$102, 5, FALSE)*BP55&gt;'Lookup Tables'!$AQ$97*'Lighting Inventory'!S55,'Lighting Inventory'!S55*'Lookup Tables'!$AQ$97,VLOOKUP(W55, 'Lookup Tables'!$AI$6:$AM$102, 5, FALSE)*BP55), "")), 2), "")</f>
        <v/>
      </c>
      <c r="FZ55" s="253" t="str">
        <f>IFERROR(ROUND(IF(CD55="ERROR", "ERROR", IF(AND($FZ$6=Y55, E55="Interior"), IF(AND(OR(W55="Refrigerated Case Lighting with Doors", W55="Freezer Case Lighting"),Y55="Custom - Process Improvement"),CD55*'Lookup Tables'!$AM$101, IF(B55="Retrofit", IF(VLOOKUP(IF(V55="Custom", V55, W55), 'Lookup Tables'!$AI$6:$AM$102, 5, FALSE)*BP55&gt;GE55, GE55, VLOOKUP(IF(V55="Custom", V55, W55), 'Lookup Tables'!$AI$6:$AM$102, 5, FALSE)*BP55), IF(VLOOKUP(IF(V55="Custom", V55, W55), 'Lookup Tables'!$AI$114:$AM$154, 5, FALSE)*BP55&gt;GE55, GE55, VLOOKUP(IF(V55="Custom", V55, W55), 'Lookup Tables'!$AI$114:$AM$154, 5, FALSE)*BP55))), "")), 2),"")</f>
        <v/>
      </c>
      <c r="GA55" s="253" t="str">
        <f>IFERROR(ROUND(IF(CD55="ERROR", "ERROR", IF(AND($FZ$6=Y55, E55="Exterior"), IF(B55="Retrofit", IF(VLOOKUP(IF(V55="Custom", V55, W55), 'Lookup Tables'!$AI$6:$AM$102, 5, FALSE)*BP55&gt;GE55, GE55, VLOOKUP(IF(V55="Custom", V55, W55), 'Lookup Tables'!$AI$6:$AM$102, 5, FALSE)*BP55), IF(VLOOKUP(IF(V55="Custom", V55, W55), 'Lookup Tables'!$AI$114:$AM$154, 5, FALSE)*BP55&gt;GE55, GE55, VLOOKUP(IF(V55="Custom", V55, W55), 'Lookup Tables'!$AI$114:$AM$154, 5, FALSE)*BP55)), "")), 2),"")</f>
        <v/>
      </c>
      <c r="GB55" s="254" t="str">
        <f t="array" ref="GB55">IF(B55="","",IF(OR(V55="Custom",V55="No Change"),0,IF(B55="Retrofit", INDEX('Lookup Tables'!$AH$6:$AQ$102,MATCH(1,('Lookup Tables'!$AH$6:$AH$102='Lighting Inventory'!V55)*('Lookup Tables'!$AI$6:$AI$102='Lighting Inventory'!W55),FALSE),10),INDEX('Lookup Tables'!$AH$114:$AQ$154,MATCH(1,('Lookup Tables'!$AH$114:$AH$154='Lighting Inventory'!V55)*('Lookup Tables'!$AI$114:$AI$154='Lighting Inventory'!W55),FALSE),10))))</f>
        <v/>
      </c>
      <c r="GC55" s="255" t="str">
        <f t="shared" si="77"/>
        <v/>
      </c>
      <c r="GD55" s="250" t="str">
        <f t="shared" si="78"/>
        <v/>
      </c>
      <c r="GE55" s="253" t="str">
        <f>IFERROR(IF(AND(AF55="", 'General Information'!$F$18="No"),"", IF(AF55="", ((GD55/$CD$266)*$CF$266)*0.5, AF55*S55*0.5)), "")</f>
        <v/>
      </c>
      <c r="GF55" s="255" t="str">
        <f>IF(AND('General Information'!$F$19="", 'General Information'!$F$18="Yes",AF55="",BW55="Y"), "Y", "N")</f>
        <v>N</v>
      </c>
      <c r="GG55" s="255" t="s">
        <v>2946</v>
      </c>
      <c r="GH55" s="255" t="str">
        <f>IFERROR(IF(B55="", "", VLOOKUP(J55, 'Fixture Identities'!$A$6:$N$908, 14, FALSE)), "")</f>
        <v/>
      </c>
      <c r="GI55" s="389" t="str">
        <f>IF(OR(B55="", V55="", W55=""), "", IF(AND(OR(M55='Lookup Tables'!$R$18, M55='Lookup Tables'!$R$19, M55='Lookup Tables'!$R$20, M55='Lookup Tables'!$R$21, M55='Lookup Tables'!$R$22), OR(AN55='Lookup Tables'!$R$17, AN55='Lookup Tables'!$R$17, AN55="")), "Y", "N"))</f>
        <v/>
      </c>
      <c r="GJ55" s="255" t="str">
        <f t="shared" si="79"/>
        <v/>
      </c>
      <c r="GK55" s="255" t="str">
        <f t="shared" si="80"/>
        <v/>
      </c>
      <c r="GL55" s="255" t="str">
        <f t="shared" si="81"/>
        <v/>
      </c>
      <c r="GM55" s="255" t="str">
        <f>IF(AN55="", "", IF(AND(IF(ISNA(VLOOKUP(AN55,'Lookup Tables'!$R$18:$R$22,1,FALSE)), "N", "Y")="Y", E55="Exterior"), "Y", "N"))</f>
        <v/>
      </c>
      <c r="GN55" s="395"/>
      <c r="GO55" s="428">
        <f t="shared" si="98"/>
        <v>0</v>
      </c>
      <c r="GP55" s="428">
        <f t="shared" si="167"/>
        <v>0</v>
      </c>
      <c r="GQ55" s="428">
        <f t="shared" si="99"/>
        <v>0</v>
      </c>
      <c r="GR55" s="428">
        <f t="shared" si="100"/>
        <v>0</v>
      </c>
    </row>
    <row r="56" spans="1:200" s="103" customFormat="1" ht="13.5" customHeight="1" x14ac:dyDescent="0.2">
      <c r="A56" s="272">
        <v>46</v>
      </c>
      <c r="B56" s="110"/>
      <c r="C56" s="110"/>
      <c r="D56" s="110"/>
      <c r="E56" s="110"/>
      <c r="F56" s="110"/>
      <c r="G56" s="110"/>
      <c r="H56" s="110"/>
      <c r="I56" s="29"/>
      <c r="J56" s="29"/>
      <c r="K56" s="272" t="str">
        <f>IFERROR(IF(OR(VLOOKUP(J56, 'Fixture Identities'!$A$6:$L$1023, 3, FALSE)="T12 Linear Fluorescent", VLOOKUP(J56, 'Fixture Identities'!$A$6:$L$1023, 3, FALSE)="T12 U-Tube Fluorescent"), VLOOKUP(VLOOKUP(J56, 'Fixture Identities'!$A$6:$L$1023, 11, FALSE), 'Fixture Identities'!$A$6:$L$1023, 10, FALSE), VLOOKUP(J56, 'Fixture Identities'!$A$6:$L$1023, 10, FALSE)), "")</f>
        <v/>
      </c>
      <c r="L56" s="270" t="str">
        <f t="shared" si="169"/>
        <v/>
      </c>
      <c r="M56" s="110"/>
      <c r="N56" s="110"/>
      <c r="O56" s="110"/>
      <c r="P56" s="272" t="str">
        <f>IFERROR(IF(OR(B56="Retrofit",B56=""),"",IF('Lighting Inventory'!E56="Exterior",VLOOKUP('Lighting Inventory'!N56,'Lookup Tables'!$B$83:$F$103,5,FALSE),IF(N56="Other - Please Estimate EFLH and CFs","Contact Prog. Rep.","ft^2"))), "")</f>
        <v/>
      </c>
      <c r="Q56" s="270" t="str">
        <f>IFERROR(IF(AND(B56="New Construction",E56="Interior",$F$5="Space-by-Space"),VLOOKUP('Lighting Inventory'!N56,'Lookup Tables'!$N$6:$O$97,2,FALSE),IF(AND(B56="New Construction",E56="Exterior"),VLOOKUP(N56,'Lookup Tables'!$B$83:$F$103,2,FALSE),IF(AND(B56="New Construction",'Lighting Inventory'!E56="Interior", $F$5="Building Area"),VLOOKUP(F56,'Lookup Tables'!$A$6:$J$59,10,FALSE),""))), "")</f>
        <v/>
      </c>
      <c r="R56" s="270" t="str">
        <f>IFERROR(IF(P56="Contact Prog. Rep.", "ERROR", IF(OR(B56="",B56="Retrofit"),"",IF(N56="Automated teller machines", ('Lookup Tables'!$A$82:$E$100+('Lighting Inventory'!O56-1)*'Lookup Tables'!$A$82:$E$100)/1000, (Q56*O56)/1000))), "")</f>
        <v/>
      </c>
      <c r="S56" s="595"/>
      <c r="T56" s="105" t="str">
        <f t="shared" si="83"/>
        <v/>
      </c>
      <c r="U56" s="105" t="str">
        <f>IF(S56="","",COUNT($S$11:S56))</f>
        <v/>
      </c>
      <c r="V56" s="111"/>
      <c r="W56" s="112"/>
      <c r="X56" s="105" t="str">
        <f t="shared" si="84"/>
        <v/>
      </c>
      <c r="Y56" s="105" t="str">
        <f t="array" ref="Y56">IF(AND(OR(W56="Freezer Case Lighting", W56="Refrigerated Case Lighting with Doors"), 'General Information'!$X$18="LCI"),'Lookup Tables'!$Y$34, IF(V56="Custom", VLOOKUP(W56, 'Fixture Identities'!$A$974:$M$1023, 13, FALSE), IF(V56="No Change",'Lookup Tables'!$Y$29,IF(OR(V56="",W56=""),"",IF(AND(S56=0,S56&lt;I56,B56="Retrofit"),'Lookup Tables'!$Y$25, IF(B56="Retrofit", INDEX('Lookup Tables'!$AH$6:$AP$102, MATCH(1, ('Lookup Tables'!$AH$6:$AH$102=V56)*('Lookup Tables'!$AI$6:$AI$102=W56), 0), IF('Lighting Inventory'!E56="Interior", 4, 5)), INDEX('Lookup Tables'!$AH$114:$AP$154, MATCH(1, ('Lookup Tables'!$AH$114:$AH$154=V56)*('Lookup Tables'!$AI$114:$AI$154=W56), 0), IF('Lighting Inventory'!E56="Interior", 4, 5))))))))</f>
        <v/>
      </c>
      <c r="Z56" s="105" t="str">
        <f>IFERROR(INDEX('Lookup Tables'!$AH$158:$AH$172,MATCH('Lighting Inventory'!Y56,'Lookup Tables'!$AI$158:$AI$172,0)),"")</f>
        <v/>
      </c>
      <c r="AA56" s="105" t="str">
        <f>IF(AP56&gt;0,INDEX('Lookup Tables'!$AK$158:$AK$172,MATCH('Lighting Inventory'!Y56,'Lookup Tables'!$AI$158:$AI$172,0)),'Lighting Inventory'!Y56)</f>
        <v/>
      </c>
      <c r="AB56" s="105" t="str">
        <f t="array" ref="AB56">IF(V56="Custom", "Custom", IF(V56="", "", IF(V56="Not DLC or Energy Star", "General", IF(B56="New Construction", INDEX('Lookup Tables'!$AH$114:$AP$154,MATCH(1,('Lookup Tables'!$AH$114:$AH$154='Lighting Inventory'!V56)*('Lookup Tables'!$AI$114:$AI$154='Lighting Inventory'!W56),FALSE),8), INDEX('Lookup Tables'!$AH$6:$AP$102,MATCH(1,('Lookup Tables'!$AH$6:$AH$102='Lighting Inventory'!V56)*('Lookup Tables'!$AI$6:$AI$102='Lighting Inventory'!W56),FALSE),8)))))</f>
        <v/>
      </c>
      <c r="AC56" s="272" t="str">
        <f>IF(W56="","",IF(V56="Custom",CONCATENATE("$",'Lookup Tables'!$AM$101," ",'Lookup Tables'!$AN$101),CONCATENATE("$",INDEX('Lookup Tables'!$AM$6:$AM$102,MATCH('Lighting Inventory'!W56,'Lookup Tables'!$AI$6:$AI$102,0))," ",INDEX('Lookup Tables'!$AN$6:$AN$102,MATCH('Lighting Inventory'!W56,'Lookup Tables'!$AI$6:$AI$102,0)))))</f>
        <v/>
      </c>
      <c r="AD56" s="72"/>
      <c r="AE56" s="29"/>
      <c r="AF56" s="379"/>
      <c r="AG56" s="370" t="str">
        <f t="shared" si="2"/>
        <v/>
      </c>
      <c r="AH56" s="370" t="str">
        <f t="shared" si="85"/>
        <v/>
      </c>
      <c r="AI56" s="29"/>
      <c r="AJ56" s="29"/>
      <c r="AK56" s="110"/>
      <c r="AL56" s="375" t="str">
        <f>IF(OR(B56="", V56="", W56=""), "", IF(V56="No Change", K56, IF(V56="Remove Fixture", 0, IF(V56="Custom",VLOOKUP(W56,'Fixture Identities'!$A$6:$K$1023,10,FALSE),IF(AE56="", "← ENTER POST WATTS", 'Lighting Inventory'!AE56)))))</f>
        <v/>
      </c>
      <c r="AM56" s="376" t="str">
        <f t="shared" si="3"/>
        <v/>
      </c>
      <c r="AN56" s="29"/>
      <c r="AO56" s="671"/>
      <c r="AP56" s="29"/>
      <c r="AQ56" s="29"/>
      <c r="AR56" s="29"/>
      <c r="AS56" s="272" t="str">
        <f t="shared" si="4"/>
        <v/>
      </c>
      <c r="AT56" s="270" t="str">
        <f t="shared" si="234"/>
        <v/>
      </c>
      <c r="AU56" s="88" t="str">
        <f t="shared" si="235"/>
        <v/>
      </c>
      <c r="AV56" s="29"/>
      <c r="AW56" s="73"/>
      <c r="AX56" s="271" t="str">
        <f>IF(AND(AV56="Applicant",OR(AW56="", AW56="Use Default Facility Hours")),"← Choose Schedule",IF(F56="","",IF(W56="LED Exit Signs",8760,IF(OR(AV56="Prescribed",AV56=""),VLOOKUP(F56,'Lookup Tables'!$A$6:$G$59,IF(AB56="General", 6, 3),FALSE),VLOOKUP(AW56,'Lookup Tables'!$S$36:$U$43,2,FALSE)))))</f>
        <v/>
      </c>
      <c r="AY56" s="88" t="str">
        <f t="shared" si="7"/>
        <v/>
      </c>
      <c r="AZ56" s="270" t="str">
        <f>IFERROR(IF(F56="", "", IF(W56="LED Exit Signs", 1, IF(AV56="Applicant",VLOOKUP(AW56, 'Lookup Tables'!$S$36:$U$43,3, FALSE), VLOOKUP('Lighting Inventory'!F56, 'Lookup Tables'!$A$6:$H$59, IF('Lighting Inventory'!AB56="General",7,4), FALSE)))), "")</f>
        <v/>
      </c>
      <c r="BA56" s="522" t="str">
        <f>IFERROR(IF(F56="", "", IF(W56="LED Exit Signs", 1, VLOOKUP('Lighting Inventory'!F56, 'Lookup Tables'!$A$6:$H$59, IF('Lighting Inventory'!AB56="General",8,5), FALSE))), "")</f>
        <v/>
      </c>
      <c r="BB56" s="270" t="str">
        <f>IF(G56="", "", IF(E56="Exterior", 0, IF('Lighting Inventory'!G56="Air Conditioned", VLOOKUP(H56, 'Lookup Tables'!$R$6:$T$13, 2, FALSE), VLOOKUP('Lighting Inventory'!G56, 'Lookup Tables'!$R$6:$T$13, 2, FALSE))))</f>
        <v/>
      </c>
      <c r="BC56" s="522" t="str">
        <f>IF(G56="", "", IF(E56="Exterior", 0, IF('Lighting Inventory'!G56="Air Conditioned", VLOOKUP(H56, 'Lookup Tables'!$R$6:$T$13, 3, FALSE), VLOOKUP('Lighting Inventory'!G56, 'Lookup Tables'!$R$6:$T$13, 3, FALSE))))</f>
        <v/>
      </c>
      <c r="BD56" s="270" t="str">
        <f>IF(G56="", "", IF(E56="Exterior", 0, IF('Lighting Inventory'!G56="Air Conditioned", VLOOKUP(H56, 'Lookup Tables'!$R$6:$U$13, 4, FALSE), VLOOKUP('Lighting Inventory'!G56, 'Lookup Tables'!$R$6:$U$13, 4, FALSE))))</f>
        <v/>
      </c>
      <c r="BE56" s="270" t="str">
        <f>IFERROR(IF(B56="", "",  IF(B56="New Construction", VLOOKUP(F56, 'Lookup Tables'!$A$6:$K$59, 11, FALSE),IF(OR(AN56="", AN56="Light Switch"), 0, IF(OR(M56="",M56="None",V56= "LED Exit Signs"),0,_xlfn.XLOOKUP(M56,'Lookup Tables'!$R$91:$R$101,'Lookup Tables'!$V$91:$V$101))))), "")</f>
        <v/>
      </c>
      <c r="BF56" s="270" t="str">
        <f>IF(AND(OR(AN56="Light Switch",AN56=""),B56="New Construction"), VLOOKUP(F56, 'Lookup Tables'!$A$6:$K$59, 11, FALSE),IF(AN56="","",IF(B56="","",IF(OR(AN56="None",AN56="",V56="LED Exit Signs",AN56="Exterior Controls Not Eligible"),0,_xlfn.XLOOKUP(AN56,'Lookup Tables'!$R$91:$R$101,'Lookup Tables'!$V$91:$V$101)))))</f>
        <v/>
      </c>
      <c r="BG56" s="88" t="str">
        <f t="shared" si="86"/>
        <v/>
      </c>
      <c r="BH56" s="88" t="str">
        <f t="shared" si="87"/>
        <v/>
      </c>
      <c r="BI56" s="558" t="str">
        <f t="shared" si="168"/>
        <v/>
      </c>
      <c r="BJ56" s="82" t="str">
        <f t="shared" si="88"/>
        <v/>
      </c>
      <c r="BK56" s="82" t="str">
        <f t="shared" si="89"/>
        <v/>
      </c>
      <c r="BL56" s="559" t="str">
        <f t="shared" si="90"/>
        <v/>
      </c>
      <c r="BM56" s="521" t="str">
        <f t="shared" si="8"/>
        <v/>
      </c>
      <c r="BN56" s="521" t="str">
        <f t="shared" si="9"/>
        <v/>
      </c>
      <c r="BO56" s="522" t="str">
        <f t="shared" si="10"/>
        <v/>
      </c>
      <c r="BP56" s="83" t="str">
        <f t="shared" si="91"/>
        <v/>
      </c>
      <c r="BQ56" s="84" t="str">
        <f t="shared" si="92"/>
        <v/>
      </c>
      <c r="BR56" s="184" t="str">
        <f>IFERROR(IF(B56="", "", IF(OR(VLOOKUP(J56, 'Fixture Identities'!$A$6:$L$1023, 3, FALSE)="T12 Linear Fluorescent",VLOOKUP(J56, 'Fixture Identities'!$A$6:$L$1023, 3, FALSE)="T12 U-Tube Fluorescent"), "Y", "N")), "N")</f>
        <v/>
      </c>
      <c r="BS56" s="184" t="str">
        <f t="array" ref="BS56">IFERROR(IF(OR(B56="", V56="", W56=""), "", IF(V56="Custom", "N", IF(OR(W56="Freezer Case Lighting", W56="Refrigerated Case Lighting with Doors"), BT56, IF(B56="Retrofit", INDEX('Lookup Tables'!$AH$6:$AT$102,MATCH(1,('Lookup Tables'!$AH$6:$AH$102=V56)*('Lookup Tables'!$AI$6:$AI$102=W56),FALSE),IF(VLOOKUP(J56, 'Fixture Identities'!$A$6:$B$1023, 2, FALSE)="Incandescent",12, 13)), INDEX('Lookup Tables'!$AH$114:$AS$154,MATCH(1,('Lookup Tables'!$AH$114:$AH$154=V56)*('Lookup Tables'!$AI$114:$AI$154=W56),FALSE),12))))), "N")</f>
        <v/>
      </c>
      <c r="BT56" s="184" t="str">
        <f>IF(J56="", "", IF(AND(OR(W56="Freezer case Lighting", W56="Refrigerated Case Lighting with Doors"),'General Information'!$X$18="LCI"), "N", IF(OR(VLOOKUP(J56, 'Fixture Identities'!$A$6:$B$1023, 2, FALSE)="T12 EPACT/EISA Baseline", VLOOKUP(J56, 'Fixture Identities'!$A$6:$B$1023, 2, FALSE)="Linear Fluorescent", VLOOKUP(J56, 'Fixture Identities'!$A$6:$B$1023, 2, FALSE)="U-Tube Fluorescent"), "Y", "N")))</f>
        <v/>
      </c>
      <c r="BU56" s="184" t="str">
        <f>IFERROR(IF(B56="", "", IF(VLOOKUP(J56, 'Fixture Identities'!$A$6:$B$1023, 2, FALSE)="Exit Sign", "Y", "N")), "N")</f>
        <v/>
      </c>
      <c r="BV56" s="184" t="str">
        <f>IF(V56="Exit Signs", IF(VLOOKUP(J56, 'Fixture Identities'!$A$6:$B$1023, 2, FALSE)="Exit Sign", "N", "Y"), "")</f>
        <v/>
      </c>
      <c r="BW56" s="184" t="str">
        <f t="array" ref="BW56">IFERROR(IF(B56="", "", IF(B56="New Construction", "N", INDEX('Lookup Tables'!$AH$6:$AU$102, MATCH(1, ('Lookup Tables'!$AH$6:$AH$102='Lighting Inventory'!V56)*('Lookup Tables'!$AI$6:$AI$102='Lighting Inventory'!W56), 0), 14))), "N")</f>
        <v/>
      </c>
      <c r="BX56" s="598" t="str">
        <f t="shared" si="93"/>
        <v/>
      </c>
      <c r="BY56" s="598" t="str">
        <f t="shared" si="94"/>
        <v/>
      </c>
      <c r="BZ56" s="598" t="str">
        <f t="shared" si="95"/>
        <v/>
      </c>
      <c r="CA56" s="598" t="str">
        <f t="shared" si="101"/>
        <v/>
      </c>
      <c r="CB56" s="269" t="str">
        <f t="shared" si="102"/>
        <v/>
      </c>
      <c r="CC56" s="517" t="str">
        <f t="shared" si="96"/>
        <v/>
      </c>
      <c r="CD56" s="565" t="str">
        <f t="shared" si="11"/>
        <v/>
      </c>
      <c r="CE56" s="368">
        <v>0</v>
      </c>
      <c r="CF56" s="368" t="str" cm="1">
        <f t="array" ref="CF56">IFERROR(IF(V56="Custom", "$0.1 per kWh", IF(B56="New Construction", CONCATENATE("$",INDEX('Lookup Tables'!$AH$114:$AN$154,MATCH(1,('Lookup Tables'!$AH$114:$AH$154='Lighting Inventory'!V56)*('Lookup Tables'!$AI$114:$AI$154='Lighting Inventory'!W56),FALSE),6)," ",INDEX('Lookup Tables'!$AH$114:$AN$154,MATCH(1,('Lookup Tables'!$AH$114:$AH$154='Lighting Inventory'!V56)*('Lookup Tables'!$AI$114:$AI$154='Lighting Inventory'!W56),FALSE),7)), IF(AND(BU56="N", V56="Exit Signs"), "$0.025 per kWh", CONCATENATE("$",INDEX('Lookup Tables'!$AH$6:$AN$102,MATCH(1,('Lookup Tables'!$AH$6:$AH$102='Lighting Inventory'!V56)*('Lookup Tables'!$AI$6:$AI$102='Lighting Inventory'!W56),FALSE),6)," ",INDEX('Lookup Tables'!$AH$6:$AN$102,MATCH(1,('Lookup Tables'!$AH$6:$AH$102='Lighting Inventory'!V56)*('Lookup Tables'!$AI$6:$AI$102='Lighting Inventory'!W56),FALSE),7))))), "")</f>
        <v/>
      </c>
      <c r="CG56" s="366"/>
      <c r="CH56" s="248" t="str">
        <f t="shared" si="236"/>
        <v/>
      </c>
      <c r="CI56" s="248" t="str">
        <f t="shared" si="237"/>
        <v>Select_IE</v>
      </c>
      <c r="CJ56" s="248" t="str">
        <f t="shared" si="238"/>
        <v/>
      </c>
      <c r="CK56" s="248" t="str">
        <f t="shared" si="239"/>
        <v/>
      </c>
      <c r="CL56" s="248" t="str">
        <f t="shared" si="240"/>
        <v/>
      </c>
      <c r="CM56" s="248" t="str">
        <f>IFERROR(IF(B56="", "", IF(B56="New Construction", VLOOKUP(V56, 'Lookup Tables'!$AF$114:$AG$120, 2, FALSE), VLOOKUP(V56, 'Lookup Tables'!$AD$6:$AE$25, 2, FALSE))), "")</f>
        <v/>
      </c>
      <c r="CN56" s="248" t="str">
        <f t="shared" si="175"/>
        <v/>
      </c>
      <c r="CO56" s="248" t="str">
        <f t="shared" si="241"/>
        <v/>
      </c>
      <c r="CP56" s="592" t="str">
        <f t="shared" si="242"/>
        <v/>
      </c>
      <c r="CQ56" s="248" t="str">
        <f t="shared" si="97"/>
        <v/>
      </c>
      <c r="CR56" s="100"/>
      <c r="CS56" s="250" t="str">
        <f t="shared" si="178"/>
        <v/>
      </c>
      <c r="CT56" s="250" t="str">
        <f t="shared" si="243"/>
        <v/>
      </c>
      <c r="CU56" s="250" t="str">
        <f t="shared" si="244"/>
        <v/>
      </c>
      <c r="CV56" s="250" t="str">
        <f t="shared" si="245"/>
        <v/>
      </c>
      <c r="CW56" s="250" t="str">
        <f t="shared" si="246"/>
        <v/>
      </c>
      <c r="CX56" s="250" t="str">
        <f t="shared" si="247"/>
        <v/>
      </c>
      <c r="CY56" s="250" t="str">
        <f t="shared" si="248"/>
        <v/>
      </c>
      <c r="CZ56" s="250" t="str">
        <f t="shared" si="249"/>
        <v/>
      </c>
      <c r="DA56" s="250" t="str">
        <f t="shared" si="250"/>
        <v/>
      </c>
      <c r="DB56" s="250" t="str">
        <f t="shared" si="251"/>
        <v/>
      </c>
      <c r="DC56" s="250" t="str">
        <f t="shared" si="252"/>
        <v/>
      </c>
      <c r="DD56" s="250" t="str">
        <f t="shared" si="253"/>
        <v/>
      </c>
      <c r="DE56" s="250" t="str">
        <f t="shared" si="254"/>
        <v/>
      </c>
      <c r="DF56" s="250" t="str">
        <f t="shared" si="255"/>
        <v/>
      </c>
      <c r="DG56" s="250" t="str">
        <f t="shared" si="256"/>
        <v/>
      </c>
      <c r="DH56" s="250" t="str">
        <f t="shared" si="257"/>
        <v/>
      </c>
      <c r="DI56" s="250" t="str">
        <f t="shared" si="258"/>
        <v/>
      </c>
      <c r="DJ56" s="250" t="str">
        <f t="shared" si="259"/>
        <v/>
      </c>
      <c r="DK56" s="250" t="str">
        <f t="shared" si="260"/>
        <v/>
      </c>
      <c r="DL56" s="250" t="str">
        <f t="shared" si="261"/>
        <v/>
      </c>
      <c r="DM56" s="250" t="str">
        <f>IF(CD56="ERROR", "ERROR", IF(AND(OR(Y56=$DM$6, Y56='Lookup Tables'!$AD$21, Y56='Lookup Tables'!$AD$22), E56="Interior"), BJ56, ""))</f>
        <v/>
      </c>
      <c r="DN56" s="250" t="str">
        <f>IF(CD56="ERROR", "ERROR", IF(AND(OR(Y56=$DM$6, Y56='Lookup Tables'!$AD$21, Y56='Lookup Tables'!$AD$22), E56="Exterior"), BJ56, ""))</f>
        <v/>
      </c>
      <c r="DO56" s="100"/>
      <c r="DP56" s="250" t="str">
        <f t="shared" si="198"/>
        <v/>
      </c>
      <c r="DQ56" s="250" t="str">
        <f t="shared" si="262"/>
        <v/>
      </c>
      <c r="DR56" s="250" t="str">
        <f t="shared" si="263"/>
        <v/>
      </c>
      <c r="DS56" s="250" t="str">
        <f t="shared" si="264"/>
        <v/>
      </c>
      <c r="DT56" s="250" t="str">
        <f t="shared" si="265"/>
        <v/>
      </c>
      <c r="DU56" s="250" t="str">
        <f t="shared" si="266"/>
        <v/>
      </c>
      <c r="DV56" s="250" t="str">
        <f t="shared" si="267"/>
        <v/>
      </c>
      <c r="DW56" s="250" t="str">
        <f t="shared" si="268"/>
        <v/>
      </c>
      <c r="DX56" s="250" t="str">
        <f t="shared" si="269"/>
        <v/>
      </c>
      <c r="DY56" s="250" t="str">
        <f t="shared" si="270"/>
        <v/>
      </c>
      <c r="DZ56" s="250" t="str">
        <f t="shared" si="271"/>
        <v/>
      </c>
      <c r="EA56" s="250" t="str">
        <f t="shared" si="272"/>
        <v/>
      </c>
      <c r="EB56" s="250" t="str">
        <f t="shared" si="273"/>
        <v/>
      </c>
      <c r="EC56" s="250" t="str">
        <f t="shared" si="274"/>
        <v/>
      </c>
      <c r="ED56" s="250" t="str">
        <f t="shared" si="275"/>
        <v/>
      </c>
      <c r="EE56" s="250" t="str">
        <f t="shared" si="276"/>
        <v/>
      </c>
      <c r="EF56" s="250" t="str">
        <f t="shared" si="277"/>
        <v/>
      </c>
      <c r="EG56" s="250" t="str">
        <f t="shared" si="278"/>
        <v/>
      </c>
      <c r="EH56" s="250" t="str">
        <f>IF(CD56="ERROR", "ERROR", IF(AND(OR($EH$6=Y56, Y56='Lookup Tables'!$AD$21, Y56='Lookup Tables'!$AD$22),E56="Interior"), SUM(BP56:BP56), ""))</f>
        <v/>
      </c>
      <c r="EI56" s="250" t="str">
        <f>IF(CD56="ERROR", "ERROR", IF(AND(OR($EH$6=Y56, Y56='Lookup Tables'!$AD$21, Y56='Lookup Tables'!$AD$22),E56="Exterior"), SUM(BP56:BP56), ""))</f>
        <v/>
      </c>
      <c r="EJ56" s="109"/>
      <c r="EK56" s="485" t="str">
        <f t="shared" si="58"/>
        <v/>
      </c>
      <c r="EL56" s="252" t="str">
        <f t="shared" si="279"/>
        <v/>
      </c>
      <c r="EM56" s="252" t="str">
        <f t="shared" si="280"/>
        <v/>
      </c>
      <c r="EN56" s="252" t="str">
        <f t="shared" si="281"/>
        <v/>
      </c>
      <c r="EO56" s="252" t="str">
        <f t="shared" si="282"/>
        <v/>
      </c>
      <c r="EP56" s="252" t="str">
        <f t="shared" si="283"/>
        <v/>
      </c>
      <c r="EQ56" s="252" t="str">
        <f t="shared" si="284"/>
        <v/>
      </c>
      <c r="ER56" s="252" t="str">
        <f t="shared" si="285"/>
        <v/>
      </c>
      <c r="ES56" s="252" t="str">
        <f t="shared" si="286"/>
        <v/>
      </c>
      <c r="ET56" s="252" t="str">
        <f t="shared" si="287"/>
        <v/>
      </c>
      <c r="EU56" s="252" t="str">
        <f t="shared" si="288"/>
        <v/>
      </c>
      <c r="EV56" s="252" t="str">
        <f t="shared" si="289"/>
        <v/>
      </c>
      <c r="EW56" s="252" t="str">
        <f t="shared" si="290"/>
        <v/>
      </c>
      <c r="EX56" s="252" t="str">
        <f t="shared" si="291"/>
        <v/>
      </c>
      <c r="EY56" s="252" t="str">
        <f t="shared" si="292"/>
        <v/>
      </c>
      <c r="EZ56" s="252" t="str">
        <f t="shared" si="293"/>
        <v/>
      </c>
      <c r="FA56" s="252" t="str">
        <f t="shared" si="294"/>
        <v/>
      </c>
      <c r="FB56" s="252" t="str">
        <f t="shared" si="295"/>
        <v/>
      </c>
      <c r="FC56" s="252" t="str">
        <f>IF(CD56="ERROR", "ERROR", IF(OR(V56="No Change", V56="Not DLC or Energy Star"), "", IF(AND(OR($FC$6=Y56,Y56='Lookup Tables'!$AD$21, Y56='Lookup Tables'!$AD$22),E56="Interior"), S56, "")))</f>
        <v/>
      </c>
      <c r="FD56" s="252" t="str">
        <f t="shared" si="296"/>
        <v/>
      </c>
      <c r="FE56" s="101"/>
      <c r="FF56" s="579" t="str" cm="1">
        <f t="array" ref="FF56">IFERROR(IF(OR(BQ56&lt;=0,AQ56&lt;20,AND(V56="Exit Signs",AN56&gt;0)),"",IF(AND(AQ56&gt;=20,AN56='Lookup Tables'!$R$101),'Lookup Tables'!$U$101*BQ56,AP56*LOOKUP(2,1/((AN56='Lookup Tables'!$R$91:$R$111)*(AQ56&gt;='Lookup Tables'!$S$91:$S$111)*(AQ56&lt;='Lookup Tables'!$T$91:$T$111)),'Lookup Tables'!$U$91:$U$111))),"")</f>
        <v/>
      </c>
      <c r="FG56" s="579"/>
      <c r="FH56" s="579"/>
      <c r="FI56" s="253" t="str">
        <f>IFERROR(ROUND(IF(CD56="ERROR", "ERROR", IF(AND($FI$7=X56,E56="Interior"),VLOOKUP(W56, 'Lookup Tables'!$AI$6:$AM$102, 5, FALSE)*BP56, "")), 2), "")</f>
        <v/>
      </c>
      <c r="FJ56" s="253" t="str">
        <f>IFERROR(ROUND(IF(CD56="ERROR", "ERROR", IF(AND($FI$7=X56,E56="Exterior"),VLOOKUP(W56, 'Lookup Tables'!$AI$6:$AM$102, 5, FALSE)*BP56, "")), 2), "")</f>
        <v/>
      </c>
      <c r="FK56" s="253" t="str">
        <f>IFERROR(ROUND(IF(CD56="ERROR", "ERROR", IF(AND($FK$7=X56,E56="Interior"),VLOOKUP(W56, 'Lookup Tables'!$AI$6:$AM$102, 5, FALSE)*BP56, "")), 2), "")</f>
        <v/>
      </c>
      <c r="FL56" s="253" t="str">
        <f>IFERROR(ROUND(IF(CD56="ERROR", "ERROR", IF(AND($FK$7=X56,E56="Exterior"),VLOOKUP(W56, 'Lookup Tables'!$AI$6:$AM$102, 5, FALSE)*BP56, "")), 2), "")</f>
        <v/>
      </c>
      <c r="FM56" s="253" t="str">
        <f>IFERROR(ROUND(IF(CD56="ERROR", "ERROR", IF(AND($FM$6=Y56,E56="Interior"), IF(GB56=0, VLOOKUP(W56, 'Lookup Tables'!$AI$6:$AM$102, 5, FALSE)*BP56, IF(VLOOKUP(W56, 'Lookup Tables'!$AI$6:$AM$102, 5, FALSE)*BP56&gt;GB56*'Lighting Inventory'!S56, GB56*'Lighting Inventory'!S56,VLOOKUP(W56, 'Lookup Tables'!$AI$6:$AM$102, 5, FALSE)*BP56)), "")), 2), "")</f>
        <v/>
      </c>
      <c r="FN56" s="253" t="str">
        <f>IFERROR(ROUND(IF(CD56="ERROR", "ERROR", IF(AND($FM$6=Y56,E56="Exterior"), IF(GB56=0, VLOOKUP(W56, 'Lookup Tables'!$AI$6:$AM$102, 5, FALSE)*BP56, IF(VLOOKUP(W56, 'Lookup Tables'!$AI$6:$AM$102, 5, FALSE)*BP56&gt;GB56*'Lighting Inventory'!S56, GB56*'Lighting Inventory'!S56,VLOOKUP(W56, 'Lookup Tables'!$AI$6:$AM$102, 5, FALSE)*BP56)), "")), 2), "")</f>
        <v/>
      </c>
      <c r="FO56" s="253" t="str">
        <f>IFERROR(ROUND(IF(CD56="ERROR", "ERROR", IF(AND($FO$6=Y56,E56="Interior"),VLOOKUP(W56, 'Lookup Tables'!$AI$6:$AM$102, 5, FALSE)*'Lighting Inventory'!AI56, "")), 2), "")</f>
        <v/>
      </c>
      <c r="FP56" s="253" t="str">
        <f>IFERROR(ROUND(IF(CD56="ERROR", "ERROR", IF(AND($FO$6=Y56,E56="Exterior"),VLOOKUP(W56, 'Lookup Tables'!$AI$6:$AM$102, 5, FALSE)*'Lighting Inventory'!AI56, "")), 2), "")</f>
        <v/>
      </c>
      <c r="FQ56" s="253" t="str">
        <f>IFERROR(ROUND(IF(CD56="ERROR", "ERROR", IF(AND($FQ$6=Y56,E56="Interior", BU56="Y"), VLOOKUP('Lighting Inventory'!W56, 'Lookup Tables'!$AI$6:$AM$102, 5, FALSE)*'Lighting Inventory'!S56, IF(AND($FQ$7=Y56,E56="Interior", BU56="N"), 0.025*CD56, ""))), 2), "")</f>
        <v/>
      </c>
      <c r="FR56" s="253" t="str">
        <f>IFERROR(ROUND(IF(CD56="ERROR", "ERROR", IF(AND($FQ$6=Y56,E56="Exterior"), VLOOKUP('Lighting Inventory'!W56, 'Lookup Tables'!$AI$6:$AM$102, 5, FALSE)*'Lighting Inventory'!S56, "")), 2), "")</f>
        <v/>
      </c>
      <c r="FS56" s="253" t="str">
        <f>IFERROR(ROUND(IF(CD56="ERROR", "ERROR", IF(AND($FS$6=Y56,E56="Exterior"), IF(GB56=0, VLOOKUP(W56, 'Lookup Tables'!$AI$6:$AM$102, 5, FALSE)*BP56, IF(VLOOKUP(W56, 'Lookup Tables'!$AI$6:$AM$102, 5, FALSE)*BP56&gt;GB56*'Lighting Inventory'!S56, GB56*'Lighting Inventory'!S56,VLOOKUP(W56, 'Lookup Tables'!$AI$6:$AM$102, 5, FALSE)*BP56)), "")), 2), "")</f>
        <v/>
      </c>
      <c r="FT56" s="253" t="str">
        <f>IFERROR(ROUND(IF(CD56="ERROR", "ERROR", IF(AND($FT$6=Y56,E56="Interior"), IF(GB56=0, VLOOKUP(W56, 'Lookup Tables'!$AI$6:$AM$102, 5, FALSE)*BP56, IF(VLOOKUP(W56, 'Lookup Tables'!$AI$6:$AM$102, 5, FALSE)*BP56&gt;GB56*'Lighting Inventory'!S56, GB56*'Lighting Inventory'!S56,VLOOKUP(W56, 'Lookup Tables'!$AI$6:$AM$102, 5, FALSE)*BP56)), "")), 2), "")</f>
        <v/>
      </c>
      <c r="FU56" s="253" t="str">
        <f>IFERROR(ROUND(IF(CD56="ERROR", "ERROR", IF(AND(Y56=$FU$6, E56="Interior"), IF(BS56="N", 'Lookup Tables'!$AM$101*BP56, VLOOKUP(W56, 'Lookup Tables'!$AI$6:$AM$102, 5, FALSE)*S56*AD56), "")), 2), "")</f>
        <v/>
      </c>
      <c r="FV56" s="253" t="str">
        <f>IFERROR(ROUND(IF(CD56="ERROR", "ERROR", IF(AND(Y56=$FU$6, E56="Exterior"), IF(BS56="N", 'Lookup Tables'!$AM$101*BP56, VLOOKUP(W56, 'Lookup Tables'!$AI$6:$AM$102, 5, FALSE)*S56*AD56), "")), 2), "")</f>
        <v/>
      </c>
      <c r="FW56" s="253" t="str">
        <f>IFERROR(ROUND(IF(CD56="ERROR", "ERROR", IF($FW$6=Y56, IF(BS56="N", 'Lookup Tables'!$AM$101*BP56, MIN((VLOOKUP(W56, 'Lookup Tables'!$AI$6:$AM$102, 5, FALSE)*BP56),GB56*AJ56)), "")), 2), "")</f>
        <v/>
      </c>
      <c r="FX56" s="253" t="str">
        <f>IFERROR(ROUND(IF(CD56="ERROR", "ERROR", IF(AND($FX$6=Y56, E56="Interior"), IF(VLOOKUP(W56, 'Lookup Tables'!$AI$6:$AM$102, 5, FALSE)*BP56&gt;'Lookup Tables'!$AQ$97*'Lighting Inventory'!S56,'Lighting Inventory'!S56*'Lookup Tables'!$AQ$97,VLOOKUP(W56, 'Lookup Tables'!$AI$6:$AM$102, 5, FALSE)*BP56), "")), 2), "")</f>
        <v/>
      </c>
      <c r="FY56" s="253" t="str">
        <f>IFERROR(ROUND(IF(CD56="ERROR", "ERROR", IF(AND($FX$6=Y56, E56="Exterior"), IF(VLOOKUP(W56, 'Lookup Tables'!$AI$6:$AM$102, 5, FALSE)*BP56&gt;'Lookup Tables'!$AQ$97*'Lighting Inventory'!S56,'Lighting Inventory'!S56*'Lookup Tables'!$AQ$97,VLOOKUP(W56, 'Lookup Tables'!$AI$6:$AM$102, 5, FALSE)*BP56), "")), 2), "")</f>
        <v/>
      </c>
      <c r="FZ56" s="253" t="str">
        <f>IFERROR(ROUND(IF(CD56="ERROR", "ERROR", IF(AND($FZ$6=Y56, E56="Interior"), IF(AND(OR(W56="Refrigerated Case Lighting with Doors", W56="Freezer Case Lighting"),Y56="Custom - Process Improvement"),CD56*'Lookup Tables'!$AM$101, IF(B56="Retrofit", IF(VLOOKUP(IF(V56="Custom", V56, W56), 'Lookup Tables'!$AI$6:$AM$102, 5, FALSE)*BP56&gt;GE56, GE56, VLOOKUP(IF(V56="Custom", V56, W56), 'Lookup Tables'!$AI$6:$AM$102, 5, FALSE)*BP56), IF(VLOOKUP(IF(V56="Custom", V56, W56), 'Lookup Tables'!$AI$114:$AM$154, 5, FALSE)*BP56&gt;GE56, GE56, VLOOKUP(IF(V56="Custom", V56, W56), 'Lookup Tables'!$AI$114:$AM$154, 5, FALSE)*BP56))), "")), 2),"")</f>
        <v/>
      </c>
      <c r="GA56" s="253" t="str">
        <f>IFERROR(ROUND(IF(CD56="ERROR", "ERROR", IF(AND($FZ$6=Y56, E56="Exterior"), IF(B56="Retrofit", IF(VLOOKUP(IF(V56="Custom", V56, W56), 'Lookup Tables'!$AI$6:$AM$102, 5, FALSE)*BP56&gt;GE56, GE56, VLOOKUP(IF(V56="Custom", V56, W56), 'Lookup Tables'!$AI$6:$AM$102, 5, FALSE)*BP56), IF(VLOOKUP(IF(V56="Custom", V56, W56), 'Lookup Tables'!$AI$114:$AM$154, 5, FALSE)*BP56&gt;GE56, GE56, VLOOKUP(IF(V56="Custom", V56, W56), 'Lookup Tables'!$AI$114:$AM$154, 5, FALSE)*BP56)), "")), 2),"")</f>
        <v/>
      </c>
      <c r="GB56" s="254" t="str">
        <f t="array" ref="GB56">IF(B56="","",IF(OR(V56="Custom",V56="No Change"),0,IF(B56="Retrofit", INDEX('Lookup Tables'!$AH$6:$AQ$102,MATCH(1,('Lookup Tables'!$AH$6:$AH$102='Lighting Inventory'!V56)*('Lookup Tables'!$AI$6:$AI$102='Lighting Inventory'!W56),FALSE),10),INDEX('Lookup Tables'!$AH$114:$AQ$154,MATCH(1,('Lookup Tables'!$AH$114:$AH$154='Lighting Inventory'!V56)*('Lookup Tables'!$AI$114:$AI$154='Lighting Inventory'!W56),FALSE),10))))</f>
        <v/>
      </c>
      <c r="GC56" s="255" t="str">
        <f t="shared" si="77"/>
        <v/>
      </c>
      <c r="GD56" s="250" t="str">
        <f t="shared" si="78"/>
        <v/>
      </c>
      <c r="GE56" s="253" t="str">
        <f>IFERROR(IF(AND(AF56="", 'General Information'!$F$18="No"),"", IF(AF56="", ((GD56/$CD$266)*$CF$266)*0.5, AF56*S56*0.5)), "")</f>
        <v/>
      </c>
      <c r="GF56" s="255" t="str">
        <f>IF(AND('General Information'!$F$19="", 'General Information'!$F$18="Yes",AF56="",BW56="Y"), "Y", "N")</f>
        <v>N</v>
      </c>
      <c r="GG56" s="255" t="s">
        <v>2946</v>
      </c>
      <c r="GH56" s="255" t="str">
        <f>IFERROR(IF(B56="", "", VLOOKUP(J56, 'Fixture Identities'!$A$6:$N$908, 14, FALSE)), "")</f>
        <v/>
      </c>
      <c r="GI56" s="389" t="str">
        <f>IF(OR(B56="", V56="", W56=""), "", IF(AND(OR(M56='Lookup Tables'!$R$18, M56='Lookup Tables'!$R$19, M56='Lookup Tables'!$R$20, M56='Lookup Tables'!$R$21, M56='Lookup Tables'!$R$22), OR(AN56='Lookup Tables'!$R$17, AN56='Lookup Tables'!$R$17, AN56="")), "Y", "N"))</f>
        <v/>
      </c>
      <c r="GJ56" s="255" t="str">
        <f t="shared" si="79"/>
        <v/>
      </c>
      <c r="GK56" s="255" t="str">
        <f t="shared" si="80"/>
        <v/>
      </c>
      <c r="GL56" s="255" t="str">
        <f t="shared" si="81"/>
        <v/>
      </c>
      <c r="GM56" s="255" t="str">
        <f>IF(AN56="", "", IF(AND(IF(ISNA(VLOOKUP(AN56,'Lookup Tables'!$R$18:$R$22,1,FALSE)), "N", "Y")="Y", E56="Exterior"), "Y", "N"))</f>
        <v/>
      </c>
      <c r="GN56" s="395"/>
      <c r="GO56" s="428">
        <f t="shared" si="98"/>
        <v>0</v>
      </c>
      <c r="GP56" s="428">
        <f t="shared" si="167"/>
        <v>0</v>
      </c>
      <c r="GQ56" s="428">
        <f t="shared" si="99"/>
        <v>0</v>
      </c>
      <c r="GR56" s="428">
        <f t="shared" si="100"/>
        <v>0</v>
      </c>
    </row>
    <row r="57" spans="1:200" s="103" customFormat="1" ht="13.5" customHeight="1" x14ac:dyDescent="0.2">
      <c r="A57" s="272">
        <v>47</v>
      </c>
      <c r="B57" s="110"/>
      <c r="C57" s="110"/>
      <c r="D57" s="110"/>
      <c r="E57" s="110"/>
      <c r="F57" s="110"/>
      <c r="G57" s="110"/>
      <c r="H57" s="110"/>
      <c r="I57" s="29"/>
      <c r="J57" s="29"/>
      <c r="K57" s="272" t="str">
        <f>IFERROR(IF(OR(VLOOKUP(J57, 'Fixture Identities'!$A$6:$L$1023, 3, FALSE)="T12 Linear Fluorescent", VLOOKUP(J57, 'Fixture Identities'!$A$6:$L$1023, 3, FALSE)="T12 U-Tube Fluorescent"), VLOOKUP(VLOOKUP(J57, 'Fixture Identities'!$A$6:$L$1023, 11, FALSE), 'Fixture Identities'!$A$6:$L$1023, 10, FALSE), VLOOKUP(J57, 'Fixture Identities'!$A$6:$L$1023, 10, FALSE)), "")</f>
        <v/>
      </c>
      <c r="L57" s="270" t="str">
        <f t="shared" si="169"/>
        <v/>
      </c>
      <c r="M57" s="110"/>
      <c r="N57" s="110"/>
      <c r="O57" s="110"/>
      <c r="P57" s="272" t="str">
        <f>IFERROR(IF(OR(B57="Retrofit",B57=""),"",IF('Lighting Inventory'!E57="Exterior",VLOOKUP('Lighting Inventory'!N57,'Lookup Tables'!$B$83:$F$103,5,FALSE),IF(N57="Other - Please Estimate EFLH and CFs","Contact Prog. Rep.","ft^2"))), "")</f>
        <v/>
      </c>
      <c r="Q57" s="270" t="str">
        <f>IFERROR(IF(AND(B57="New Construction",E57="Interior",$F$5="Space-by-Space"),VLOOKUP('Lighting Inventory'!N57,'Lookup Tables'!$N$6:$O$97,2,FALSE),IF(AND(B57="New Construction",E57="Exterior"),VLOOKUP(N57,'Lookup Tables'!$B$83:$F$103,2,FALSE),IF(AND(B57="New Construction",'Lighting Inventory'!E57="Interior", $F$5="Building Area"),VLOOKUP(F57,'Lookup Tables'!$A$6:$J$59,10,FALSE),""))), "")</f>
        <v/>
      </c>
      <c r="R57" s="270" t="str">
        <f>IFERROR(IF(P57="Contact Prog. Rep.", "ERROR", IF(OR(B57="",B57="Retrofit"),"",IF(N57="Automated teller machines", ('Lookup Tables'!$A$82:$E$100+('Lighting Inventory'!O57-1)*'Lookup Tables'!$A$82:$E$100)/1000, (Q57*O57)/1000))), "")</f>
        <v/>
      </c>
      <c r="S57" s="595"/>
      <c r="T57" s="105" t="str">
        <f t="shared" si="83"/>
        <v/>
      </c>
      <c r="U57" s="105" t="str">
        <f>IF(S57="","",COUNT($S$11:S57))</f>
        <v/>
      </c>
      <c r="V57" s="111"/>
      <c r="W57" s="112"/>
      <c r="X57" s="105" t="str">
        <f t="shared" si="84"/>
        <v/>
      </c>
      <c r="Y57" s="105" t="str">
        <f t="array" ref="Y57">IF(AND(OR(W57="Freezer Case Lighting", W57="Refrigerated Case Lighting with Doors"), 'General Information'!$X$18="LCI"),'Lookup Tables'!$Y$34, IF(V57="Custom", VLOOKUP(W57, 'Fixture Identities'!$A$974:$M$1023, 13, FALSE), IF(V57="No Change",'Lookup Tables'!$Y$29,IF(OR(V57="",W57=""),"",IF(AND(S57=0,S57&lt;I57,B57="Retrofit"),'Lookup Tables'!$Y$25, IF(B57="Retrofit", INDEX('Lookup Tables'!$AH$6:$AP$102, MATCH(1, ('Lookup Tables'!$AH$6:$AH$102=V57)*('Lookup Tables'!$AI$6:$AI$102=W57), 0), IF('Lighting Inventory'!E57="Interior", 4, 5)), INDEX('Lookup Tables'!$AH$114:$AP$154, MATCH(1, ('Lookup Tables'!$AH$114:$AH$154=V57)*('Lookup Tables'!$AI$114:$AI$154=W57), 0), IF('Lighting Inventory'!E57="Interior", 4, 5))))))))</f>
        <v/>
      </c>
      <c r="Z57" s="105" t="str">
        <f>IFERROR(INDEX('Lookup Tables'!$AH$158:$AH$172,MATCH('Lighting Inventory'!Y57,'Lookup Tables'!$AI$158:$AI$172,0)),"")</f>
        <v/>
      </c>
      <c r="AA57" s="105" t="str">
        <f>IF(AP57&gt;0,INDEX('Lookup Tables'!$AK$158:$AK$172,MATCH('Lighting Inventory'!Y57,'Lookup Tables'!$AI$158:$AI$172,0)),'Lighting Inventory'!Y57)</f>
        <v/>
      </c>
      <c r="AB57" s="105" t="str">
        <f t="array" ref="AB57">IF(V57="Custom", "Custom", IF(V57="", "", IF(V57="Not DLC or Energy Star", "General", IF(B57="New Construction", INDEX('Lookup Tables'!$AH$114:$AP$154,MATCH(1,('Lookup Tables'!$AH$114:$AH$154='Lighting Inventory'!V57)*('Lookup Tables'!$AI$114:$AI$154='Lighting Inventory'!W57),FALSE),8), INDEX('Lookup Tables'!$AH$6:$AP$102,MATCH(1,('Lookup Tables'!$AH$6:$AH$102='Lighting Inventory'!V57)*('Lookup Tables'!$AI$6:$AI$102='Lighting Inventory'!W57),FALSE),8)))))</f>
        <v/>
      </c>
      <c r="AC57" s="272" t="str">
        <f>IF(W57="","",IF(V57="Custom",CONCATENATE("$",'Lookup Tables'!$AM$101," ",'Lookup Tables'!$AN$101),CONCATENATE("$",INDEX('Lookup Tables'!$AM$6:$AM$102,MATCH('Lighting Inventory'!W57,'Lookup Tables'!$AI$6:$AI$102,0))," ",INDEX('Lookup Tables'!$AN$6:$AN$102,MATCH('Lighting Inventory'!W57,'Lookup Tables'!$AI$6:$AI$102,0)))))</f>
        <v/>
      </c>
      <c r="AD57" s="72"/>
      <c r="AE57" s="29"/>
      <c r="AF57" s="379"/>
      <c r="AG57" s="370" t="str">
        <f t="shared" si="2"/>
        <v/>
      </c>
      <c r="AH57" s="370" t="str">
        <f t="shared" si="85"/>
        <v/>
      </c>
      <c r="AI57" s="29"/>
      <c r="AJ57" s="29"/>
      <c r="AK57" s="110"/>
      <c r="AL57" s="375" t="str">
        <f>IF(OR(B57="", V57="", W57=""), "", IF(V57="No Change", K57, IF(V57="Remove Fixture", 0, IF(V57="Custom",VLOOKUP(W57,'Fixture Identities'!$A$6:$K$1023,10,FALSE),IF(AE57="", "← ENTER POST WATTS", 'Lighting Inventory'!AE57)))))</f>
        <v/>
      </c>
      <c r="AM57" s="376" t="str">
        <f t="shared" si="3"/>
        <v/>
      </c>
      <c r="AN57" s="29"/>
      <c r="AO57" s="671"/>
      <c r="AP57" s="29"/>
      <c r="AQ57" s="29"/>
      <c r="AR57" s="29"/>
      <c r="AS57" s="272" t="str">
        <f t="shared" si="4"/>
        <v/>
      </c>
      <c r="AT57" s="270" t="str">
        <f t="shared" si="234"/>
        <v/>
      </c>
      <c r="AU57" s="88" t="str">
        <f t="shared" si="235"/>
        <v/>
      </c>
      <c r="AV57" s="29"/>
      <c r="AW57" s="73"/>
      <c r="AX57" s="271" t="str">
        <f>IF(AND(AV57="Applicant",OR(AW57="", AW57="Use Default Facility Hours")),"← Choose Schedule",IF(F57="","",IF(W57="LED Exit Signs",8760,IF(OR(AV57="Prescribed",AV57=""),VLOOKUP(F57,'Lookup Tables'!$A$6:$G$59,IF(AB57="General", 6, 3),FALSE),VLOOKUP(AW57,'Lookup Tables'!$S$36:$U$43,2,FALSE)))))</f>
        <v/>
      </c>
      <c r="AY57" s="88" t="str">
        <f t="shared" si="7"/>
        <v/>
      </c>
      <c r="AZ57" s="270" t="str">
        <f>IFERROR(IF(F57="", "", IF(W57="LED Exit Signs", 1, IF(AV57="Applicant",VLOOKUP(AW57, 'Lookup Tables'!$S$36:$U$43,3, FALSE), VLOOKUP('Lighting Inventory'!F57, 'Lookup Tables'!$A$6:$H$59, IF('Lighting Inventory'!AB57="General",7,4), FALSE)))), "")</f>
        <v/>
      </c>
      <c r="BA57" s="522" t="str">
        <f>IFERROR(IF(F57="", "", IF(W57="LED Exit Signs", 1, VLOOKUP('Lighting Inventory'!F57, 'Lookup Tables'!$A$6:$H$59, IF('Lighting Inventory'!AB57="General",8,5), FALSE))), "")</f>
        <v/>
      </c>
      <c r="BB57" s="270" t="str">
        <f>IF(G57="", "", IF(E57="Exterior", 0, IF('Lighting Inventory'!G57="Air Conditioned", VLOOKUP(H57, 'Lookup Tables'!$R$6:$T$13, 2, FALSE), VLOOKUP('Lighting Inventory'!G57, 'Lookup Tables'!$R$6:$T$13, 2, FALSE))))</f>
        <v/>
      </c>
      <c r="BC57" s="522" t="str">
        <f>IF(G57="", "", IF(E57="Exterior", 0, IF('Lighting Inventory'!G57="Air Conditioned", VLOOKUP(H57, 'Lookup Tables'!$R$6:$T$13, 3, FALSE), VLOOKUP('Lighting Inventory'!G57, 'Lookup Tables'!$R$6:$T$13, 3, FALSE))))</f>
        <v/>
      </c>
      <c r="BD57" s="270" t="str">
        <f>IF(G57="", "", IF(E57="Exterior", 0, IF('Lighting Inventory'!G57="Air Conditioned", VLOOKUP(H57, 'Lookup Tables'!$R$6:$U$13, 4, FALSE), VLOOKUP('Lighting Inventory'!G57, 'Lookup Tables'!$R$6:$U$13, 4, FALSE))))</f>
        <v/>
      </c>
      <c r="BE57" s="270" t="str">
        <f>IFERROR(IF(B57="", "",  IF(B57="New Construction", VLOOKUP(F57, 'Lookup Tables'!$A$6:$K$59, 11, FALSE),IF(OR(AN57="", AN57="Light Switch"), 0, IF(OR(M57="",M57="None",V57= "LED Exit Signs"),0,_xlfn.XLOOKUP(M57,'Lookup Tables'!$R$91:$R$101,'Lookup Tables'!$V$91:$V$101))))), "")</f>
        <v/>
      </c>
      <c r="BF57" s="270" t="str">
        <f>IF(AND(OR(AN57="Light Switch",AN57=""),B57="New Construction"), VLOOKUP(F57, 'Lookup Tables'!$A$6:$K$59, 11, FALSE),IF(AN57="","",IF(B57="","",IF(OR(AN57="None",AN57="",V57="LED Exit Signs",AN57="Exterior Controls Not Eligible"),0,_xlfn.XLOOKUP(AN57,'Lookup Tables'!$R$91:$R$101,'Lookup Tables'!$V$91:$V$101)))))</f>
        <v/>
      </c>
      <c r="BG57" s="88" t="str">
        <f t="shared" si="86"/>
        <v/>
      </c>
      <c r="BH57" s="88" t="str">
        <f t="shared" si="87"/>
        <v/>
      </c>
      <c r="BI57" s="558" t="str">
        <f t="shared" si="168"/>
        <v/>
      </c>
      <c r="BJ57" s="82" t="str">
        <f t="shared" si="88"/>
        <v/>
      </c>
      <c r="BK57" s="82" t="str">
        <f t="shared" si="89"/>
        <v/>
      </c>
      <c r="BL57" s="559" t="str">
        <f t="shared" si="90"/>
        <v/>
      </c>
      <c r="BM57" s="521" t="str">
        <f t="shared" si="8"/>
        <v/>
      </c>
      <c r="BN57" s="521" t="str">
        <f t="shared" si="9"/>
        <v/>
      </c>
      <c r="BO57" s="522" t="str">
        <f t="shared" si="10"/>
        <v/>
      </c>
      <c r="BP57" s="83" t="str">
        <f t="shared" si="91"/>
        <v/>
      </c>
      <c r="BQ57" s="84" t="str">
        <f t="shared" si="92"/>
        <v/>
      </c>
      <c r="BR57" s="184" t="str">
        <f>IFERROR(IF(B57="", "", IF(OR(VLOOKUP(J57, 'Fixture Identities'!$A$6:$L$1023, 3, FALSE)="T12 Linear Fluorescent",VLOOKUP(J57, 'Fixture Identities'!$A$6:$L$1023, 3, FALSE)="T12 U-Tube Fluorescent"), "Y", "N")), "N")</f>
        <v/>
      </c>
      <c r="BS57" s="184" t="str">
        <f t="array" ref="BS57">IFERROR(IF(OR(B57="", V57="", W57=""), "", IF(V57="Custom", "N", IF(OR(W57="Freezer Case Lighting", W57="Refrigerated Case Lighting with Doors"), BT57, IF(B57="Retrofit", INDEX('Lookup Tables'!$AH$6:$AT$102,MATCH(1,('Lookup Tables'!$AH$6:$AH$102=V57)*('Lookup Tables'!$AI$6:$AI$102=W57),FALSE),IF(VLOOKUP(J57, 'Fixture Identities'!$A$6:$B$1023, 2, FALSE)="Incandescent",12, 13)), INDEX('Lookup Tables'!$AH$114:$AS$154,MATCH(1,('Lookup Tables'!$AH$114:$AH$154=V57)*('Lookup Tables'!$AI$114:$AI$154=W57),FALSE),12))))), "N")</f>
        <v/>
      </c>
      <c r="BT57" s="184" t="str">
        <f>IF(J57="", "", IF(AND(OR(W57="Freezer case Lighting", W57="Refrigerated Case Lighting with Doors"),'General Information'!$X$18="LCI"), "N", IF(OR(VLOOKUP(J57, 'Fixture Identities'!$A$6:$B$1023, 2, FALSE)="T12 EPACT/EISA Baseline", VLOOKUP(J57, 'Fixture Identities'!$A$6:$B$1023, 2, FALSE)="Linear Fluorescent", VLOOKUP(J57, 'Fixture Identities'!$A$6:$B$1023, 2, FALSE)="U-Tube Fluorescent"), "Y", "N")))</f>
        <v/>
      </c>
      <c r="BU57" s="184" t="str">
        <f>IFERROR(IF(B57="", "", IF(VLOOKUP(J57, 'Fixture Identities'!$A$6:$B$1023, 2, FALSE)="Exit Sign", "Y", "N")), "N")</f>
        <v/>
      </c>
      <c r="BV57" s="184" t="str">
        <f>IF(V57="Exit Signs", IF(VLOOKUP(J57, 'Fixture Identities'!$A$6:$B$1023, 2, FALSE)="Exit Sign", "N", "Y"), "")</f>
        <v/>
      </c>
      <c r="BW57" s="184" t="str">
        <f t="array" ref="BW57">IFERROR(IF(B57="", "", IF(B57="New Construction", "N", INDEX('Lookup Tables'!$AH$6:$AU$102, MATCH(1, ('Lookup Tables'!$AH$6:$AH$102='Lighting Inventory'!V57)*('Lookup Tables'!$AI$6:$AI$102='Lighting Inventory'!W57), 0), 14))), "N")</f>
        <v/>
      </c>
      <c r="BX57" s="598" t="str">
        <f t="shared" si="93"/>
        <v/>
      </c>
      <c r="BY57" s="598" t="str">
        <f t="shared" si="94"/>
        <v/>
      </c>
      <c r="BZ57" s="598" t="str">
        <f t="shared" si="95"/>
        <v/>
      </c>
      <c r="CA57" s="598" t="str">
        <f t="shared" si="101"/>
        <v/>
      </c>
      <c r="CB57" s="269" t="str">
        <f t="shared" si="102"/>
        <v/>
      </c>
      <c r="CC57" s="517" t="str">
        <f t="shared" si="96"/>
        <v/>
      </c>
      <c r="CD57" s="565" t="str">
        <f t="shared" si="11"/>
        <v/>
      </c>
      <c r="CE57" s="368">
        <v>0</v>
      </c>
      <c r="CF57" s="368" t="str" cm="1">
        <f t="array" ref="CF57">IFERROR(IF(V57="Custom", "$0.1 per kWh", IF(B57="New Construction", CONCATENATE("$",INDEX('Lookup Tables'!$AH$114:$AN$154,MATCH(1,('Lookup Tables'!$AH$114:$AH$154='Lighting Inventory'!V57)*('Lookup Tables'!$AI$114:$AI$154='Lighting Inventory'!W57),FALSE),6)," ",INDEX('Lookup Tables'!$AH$114:$AN$154,MATCH(1,('Lookup Tables'!$AH$114:$AH$154='Lighting Inventory'!V57)*('Lookup Tables'!$AI$114:$AI$154='Lighting Inventory'!W57),FALSE),7)), IF(AND(BU57="N", V57="Exit Signs"), "$0.025 per kWh", CONCATENATE("$",INDEX('Lookup Tables'!$AH$6:$AN$102,MATCH(1,('Lookup Tables'!$AH$6:$AH$102='Lighting Inventory'!V57)*('Lookup Tables'!$AI$6:$AI$102='Lighting Inventory'!W57),FALSE),6)," ",INDEX('Lookup Tables'!$AH$6:$AN$102,MATCH(1,('Lookup Tables'!$AH$6:$AH$102='Lighting Inventory'!V57)*('Lookup Tables'!$AI$6:$AI$102='Lighting Inventory'!W57),FALSE),7))))), "")</f>
        <v/>
      </c>
      <c r="CG57" s="366"/>
      <c r="CH57" s="248" t="str">
        <f t="shared" si="236"/>
        <v/>
      </c>
      <c r="CI57" s="248" t="str">
        <f t="shared" si="237"/>
        <v>Select_IE</v>
      </c>
      <c r="CJ57" s="248" t="str">
        <f t="shared" si="238"/>
        <v/>
      </c>
      <c r="CK57" s="248" t="str">
        <f t="shared" si="239"/>
        <v/>
      </c>
      <c r="CL57" s="248" t="str">
        <f t="shared" si="240"/>
        <v/>
      </c>
      <c r="CM57" s="248" t="str">
        <f>IFERROR(IF(B57="", "", IF(B57="New Construction", VLOOKUP(V57, 'Lookup Tables'!$AF$114:$AG$120, 2, FALSE), VLOOKUP(V57, 'Lookup Tables'!$AD$6:$AE$25, 2, FALSE))), "")</f>
        <v/>
      </c>
      <c r="CN57" s="248" t="str">
        <f t="shared" si="175"/>
        <v/>
      </c>
      <c r="CO57" s="248" t="str">
        <f t="shared" si="241"/>
        <v/>
      </c>
      <c r="CP57" s="592" t="str">
        <f t="shared" si="242"/>
        <v/>
      </c>
      <c r="CQ57" s="248" t="str">
        <f t="shared" si="97"/>
        <v/>
      </c>
      <c r="CR57" s="100"/>
      <c r="CS57" s="250" t="str">
        <f t="shared" si="178"/>
        <v/>
      </c>
      <c r="CT57" s="250" t="str">
        <f t="shared" si="243"/>
        <v/>
      </c>
      <c r="CU57" s="250" t="str">
        <f t="shared" si="244"/>
        <v/>
      </c>
      <c r="CV57" s="250" t="str">
        <f t="shared" si="245"/>
        <v/>
      </c>
      <c r="CW57" s="250" t="str">
        <f t="shared" si="246"/>
        <v/>
      </c>
      <c r="CX57" s="250" t="str">
        <f t="shared" si="247"/>
        <v/>
      </c>
      <c r="CY57" s="250" t="str">
        <f t="shared" si="248"/>
        <v/>
      </c>
      <c r="CZ57" s="250" t="str">
        <f t="shared" si="249"/>
        <v/>
      </c>
      <c r="DA57" s="250" t="str">
        <f t="shared" si="250"/>
        <v/>
      </c>
      <c r="DB57" s="250" t="str">
        <f t="shared" si="251"/>
        <v/>
      </c>
      <c r="DC57" s="250" t="str">
        <f t="shared" si="252"/>
        <v/>
      </c>
      <c r="DD57" s="250" t="str">
        <f t="shared" si="253"/>
        <v/>
      </c>
      <c r="DE57" s="250" t="str">
        <f t="shared" si="254"/>
        <v/>
      </c>
      <c r="DF57" s="250" t="str">
        <f t="shared" si="255"/>
        <v/>
      </c>
      <c r="DG57" s="250" t="str">
        <f t="shared" si="256"/>
        <v/>
      </c>
      <c r="DH57" s="250" t="str">
        <f t="shared" si="257"/>
        <v/>
      </c>
      <c r="DI57" s="250" t="str">
        <f t="shared" si="258"/>
        <v/>
      </c>
      <c r="DJ57" s="250" t="str">
        <f t="shared" si="259"/>
        <v/>
      </c>
      <c r="DK57" s="250" t="str">
        <f t="shared" si="260"/>
        <v/>
      </c>
      <c r="DL57" s="250" t="str">
        <f t="shared" si="261"/>
        <v/>
      </c>
      <c r="DM57" s="250" t="str">
        <f>IF(CD57="ERROR", "ERROR", IF(AND(OR(Y57=$DM$6, Y57='Lookup Tables'!$AD$21, Y57='Lookup Tables'!$AD$22), E57="Interior"), BJ57, ""))</f>
        <v/>
      </c>
      <c r="DN57" s="250" t="str">
        <f>IF(CD57="ERROR", "ERROR", IF(AND(OR(Y57=$DM$6, Y57='Lookup Tables'!$AD$21, Y57='Lookup Tables'!$AD$22), E57="Exterior"), BJ57, ""))</f>
        <v/>
      </c>
      <c r="DO57" s="100"/>
      <c r="DP57" s="250" t="str">
        <f t="shared" si="198"/>
        <v/>
      </c>
      <c r="DQ57" s="250" t="str">
        <f t="shared" si="262"/>
        <v/>
      </c>
      <c r="DR57" s="250" t="str">
        <f t="shared" si="263"/>
        <v/>
      </c>
      <c r="DS57" s="250" t="str">
        <f t="shared" si="264"/>
        <v/>
      </c>
      <c r="DT57" s="250" t="str">
        <f t="shared" si="265"/>
        <v/>
      </c>
      <c r="DU57" s="250" t="str">
        <f t="shared" si="266"/>
        <v/>
      </c>
      <c r="DV57" s="250" t="str">
        <f t="shared" si="267"/>
        <v/>
      </c>
      <c r="DW57" s="250" t="str">
        <f t="shared" si="268"/>
        <v/>
      </c>
      <c r="DX57" s="250" t="str">
        <f t="shared" si="269"/>
        <v/>
      </c>
      <c r="DY57" s="250" t="str">
        <f t="shared" si="270"/>
        <v/>
      </c>
      <c r="DZ57" s="250" t="str">
        <f t="shared" si="271"/>
        <v/>
      </c>
      <c r="EA57" s="250" t="str">
        <f t="shared" si="272"/>
        <v/>
      </c>
      <c r="EB57" s="250" t="str">
        <f t="shared" si="273"/>
        <v/>
      </c>
      <c r="EC57" s="250" t="str">
        <f t="shared" si="274"/>
        <v/>
      </c>
      <c r="ED57" s="250" t="str">
        <f t="shared" si="275"/>
        <v/>
      </c>
      <c r="EE57" s="250" t="str">
        <f t="shared" si="276"/>
        <v/>
      </c>
      <c r="EF57" s="250" t="str">
        <f t="shared" si="277"/>
        <v/>
      </c>
      <c r="EG57" s="250" t="str">
        <f t="shared" si="278"/>
        <v/>
      </c>
      <c r="EH57" s="250" t="str">
        <f>IF(CD57="ERROR", "ERROR", IF(AND(OR($EH$6=Y57, Y57='Lookup Tables'!$AD$21, Y57='Lookup Tables'!$AD$22),E57="Interior"), SUM(BP57:BP57), ""))</f>
        <v/>
      </c>
      <c r="EI57" s="250" t="str">
        <f>IF(CD57="ERROR", "ERROR", IF(AND(OR($EH$6=Y57, Y57='Lookup Tables'!$AD$21, Y57='Lookup Tables'!$AD$22),E57="Exterior"), SUM(BP57:BP57), ""))</f>
        <v/>
      </c>
      <c r="EJ57" s="109"/>
      <c r="EK57" s="485" t="str">
        <f t="shared" si="58"/>
        <v/>
      </c>
      <c r="EL57" s="252" t="str">
        <f t="shared" si="279"/>
        <v/>
      </c>
      <c r="EM57" s="252" t="str">
        <f t="shared" si="280"/>
        <v/>
      </c>
      <c r="EN57" s="252" t="str">
        <f t="shared" si="281"/>
        <v/>
      </c>
      <c r="EO57" s="252" t="str">
        <f t="shared" si="282"/>
        <v/>
      </c>
      <c r="EP57" s="252" t="str">
        <f t="shared" si="283"/>
        <v/>
      </c>
      <c r="EQ57" s="252" t="str">
        <f t="shared" si="284"/>
        <v/>
      </c>
      <c r="ER57" s="252" t="str">
        <f t="shared" si="285"/>
        <v/>
      </c>
      <c r="ES57" s="252" t="str">
        <f t="shared" si="286"/>
        <v/>
      </c>
      <c r="ET57" s="252" t="str">
        <f t="shared" si="287"/>
        <v/>
      </c>
      <c r="EU57" s="252" t="str">
        <f t="shared" si="288"/>
        <v/>
      </c>
      <c r="EV57" s="252" t="str">
        <f t="shared" si="289"/>
        <v/>
      </c>
      <c r="EW57" s="252" t="str">
        <f t="shared" si="290"/>
        <v/>
      </c>
      <c r="EX57" s="252" t="str">
        <f t="shared" si="291"/>
        <v/>
      </c>
      <c r="EY57" s="252" t="str">
        <f t="shared" si="292"/>
        <v/>
      </c>
      <c r="EZ57" s="252" t="str">
        <f t="shared" si="293"/>
        <v/>
      </c>
      <c r="FA57" s="252" t="str">
        <f t="shared" si="294"/>
        <v/>
      </c>
      <c r="FB57" s="252" t="str">
        <f t="shared" si="295"/>
        <v/>
      </c>
      <c r="FC57" s="252" t="str">
        <f>IF(CD57="ERROR", "ERROR", IF(OR(V57="No Change", V57="Not DLC or Energy Star"), "", IF(AND(OR($FC$6=Y57,Y57='Lookup Tables'!$AD$21, Y57='Lookup Tables'!$AD$22),E57="Interior"), S57, "")))</f>
        <v/>
      </c>
      <c r="FD57" s="252" t="str">
        <f t="shared" si="296"/>
        <v/>
      </c>
      <c r="FE57" s="101"/>
      <c r="FF57" s="579" t="str" cm="1">
        <f t="array" ref="FF57">IFERROR(IF(OR(BQ57&lt;=0,AQ57&lt;20,AND(V57="Exit Signs",AN57&gt;0)),"",IF(AND(AQ57&gt;=20,AN57='Lookup Tables'!$R$101),'Lookup Tables'!$U$101*BQ57,AP57*LOOKUP(2,1/((AN57='Lookup Tables'!$R$91:$R$111)*(AQ57&gt;='Lookup Tables'!$S$91:$S$111)*(AQ57&lt;='Lookup Tables'!$T$91:$T$111)),'Lookup Tables'!$U$91:$U$111))),"")</f>
        <v/>
      </c>
      <c r="FG57" s="579"/>
      <c r="FH57" s="579"/>
      <c r="FI57" s="253" t="str">
        <f>IFERROR(ROUND(IF(CD57="ERROR", "ERROR", IF(AND($FI$7=X57,E57="Interior"),VLOOKUP(W57, 'Lookup Tables'!$AI$6:$AM$102, 5, FALSE)*BP57, "")), 2), "")</f>
        <v/>
      </c>
      <c r="FJ57" s="253" t="str">
        <f>IFERROR(ROUND(IF(CD57="ERROR", "ERROR", IF(AND($FI$7=X57,E57="Exterior"),VLOOKUP(W57, 'Lookup Tables'!$AI$6:$AM$102, 5, FALSE)*BP57, "")), 2), "")</f>
        <v/>
      </c>
      <c r="FK57" s="253" t="str">
        <f>IFERROR(ROUND(IF(CD57="ERROR", "ERROR", IF(AND($FK$7=X57,E57="Interior"),VLOOKUP(W57, 'Lookup Tables'!$AI$6:$AM$102, 5, FALSE)*BP57, "")), 2), "")</f>
        <v/>
      </c>
      <c r="FL57" s="253" t="str">
        <f>IFERROR(ROUND(IF(CD57="ERROR", "ERROR", IF(AND($FK$7=X57,E57="Exterior"),VLOOKUP(W57, 'Lookup Tables'!$AI$6:$AM$102, 5, FALSE)*BP57, "")), 2), "")</f>
        <v/>
      </c>
      <c r="FM57" s="253" t="str">
        <f>IFERROR(ROUND(IF(CD57="ERROR", "ERROR", IF(AND($FM$6=Y57,E57="Interior"), IF(GB57=0, VLOOKUP(W57, 'Lookup Tables'!$AI$6:$AM$102, 5, FALSE)*BP57, IF(VLOOKUP(W57, 'Lookup Tables'!$AI$6:$AM$102, 5, FALSE)*BP57&gt;GB57*'Lighting Inventory'!S57, GB57*'Lighting Inventory'!S57,VLOOKUP(W57, 'Lookup Tables'!$AI$6:$AM$102, 5, FALSE)*BP57)), "")), 2), "")</f>
        <v/>
      </c>
      <c r="FN57" s="253" t="str">
        <f>IFERROR(ROUND(IF(CD57="ERROR", "ERROR", IF(AND($FM$6=Y57,E57="Exterior"), IF(GB57=0, VLOOKUP(W57, 'Lookup Tables'!$AI$6:$AM$102, 5, FALSE)*BP57, IF(VLOOKUP(W57, 'Lookup Tables'!$AI$6:$AM$102, 5, FALSE)*BP57&gt;GB57*'Lighting Inventory'!S57, GB57*'Lighting Inventory'!S57,VLOOKUP(W57, 'Lookup Tables'!$AI$6:$AM$102, 5, FALSE)*BP57)), "")), 2), "")</f>
        <v/>
      </c>
      <c r="FO57" s="253" t="str">
        <f>IFERROR(ROUND(IF(CD57="ERROR", "ERROR", IF(AND($FO$6=Y57,E57="Interior"),VLOOKUP(W57, 'Lookup Tables'!$AI$6:$AM$102, 5, FALSE)*'Lighting Inventory'!AI57, "")), 2), "")</f>
        <v/>
      </c>
      <c r="FP57" s="253" t="str">
        <f>IFERROR(ROUND(IF(CD57="ERROR", "ERROR", IF(AND($FO$6=Y57,E57="Exterior"),VLOOKUP(W57, 'Lookup Tables'!$AI$6:$AM$102, 5, FALSE)*'Lighting Inventory'!AI57, "")), 2), "")</f>
        <v/>
      </c>
      <c r="FQ57" s="253" t="str">
        <f>IFERROR(ROUND(IF(CD57="ERROR", "ERROR", IF(AND($FQ$6=Y57,E57="Interior", BU57="Y"), VLOOKUP('Lighting Inventory'!W57, 'Lookup Tables'!$AI$6:$AM$102, 5, FALSE)*'Lighting Inventory'!S57, IF(AND($FQ$7=Y57,E57="Interior", BU57="N"), 0.025*CD57, ""))), 2), "")</f>
        <v/>
      </c>
      <c r="FR57" s="253" t="str">
        <f>IFERROR(ROUND(IF(CD57="ERROR", "ERROR", IF(AND($FQ$6=Y57,E57="Exterior"), VLOOKUP('Lighting Inventory'!W57, 'Lookup Tables'!$AI$6:$AM$102, 5, FALSE)*'Lighting Inventory'!S57, "")), 2), "")</f>
        <v/>
      </c>
      <c r="FS57" s="253" t="str">
        <f>IFERROR(ROUND(IF(CD57="ERROR", "ERROR", IF(AND($FS$6=Y57,E57="Exterior"), IF(GB57=0, VLOOKUP(W57, 'Lookup Tables'!$AI$6:$AM$102, 5, FALSE)*BP57, IF(VLOOKUP(W57, 'Lookup Tables'!$AI$6:$AM$102, 5, FALSE)*BP57&gt;GB57*'Lighting Inventory'!S57, GB57*'Lighting Inventory'!S57,VLOOKUP(W57, 'Lookup Tables'!$AI$6:$AM$102, 5, FALSE)*BP57)), "")), 2), "")</f>
        <v/>
      </c>
      <c r="FT57" s="253" t="str">
        <f>IFERROR(ROUND(IF(CD57="ERROR", "ERROR", IF(AND($FT$6=Y57,E57="Interior"), IF(GB57=0, VLOOKUP(W57, 'Lookup Tables'!$AI$6:$AM$102, 5, FALSE)*BP57, IF(VLOOKUP(W57, 'Lookup Tables'!$AI$6:$AM$102, 5, FALSE)*BP57&gt;GB57*'Lighting Inventory'!S57, GB57*'Lighting Inventory'!S57,VLOOKUP(W57, 'Lookup Tables'!$AI$6:$AM$102, 5, FALSE)*BP57)), "")), 2), "")</f>
        <v/>
      </c>
      <c r="FU57" s="253" t="str">
        <f>IFERROR(ROUND(IF(CD57="ERROR", "ERROR", IF(AND(Y57=$FU$6, E57="Interior"), IF(BS57="N", 'Lookup Tables'!$AM$101*BP57, VLOOKUP(W57, 'Lookup Tables'!$AI$6:$AM$102, 5, FALSE)*S57*AD57), "")), 2), "")</f>
        <v/>
      </c>
      <c r="FV57" s="253" t="str">
        <f>IFERROR(ROUND(IF(CD57="ERROR", "ERROR", IF(AND(Y57=$FU$6, E57="Exterior"), IF(BS57="N", 'Lookup Tables'!$AM$101*BP57, VLOOKUP(W57, 'Lookup Tables'!$AI$6:$AM$102, 5, FALSE)*S57*AD57), "")), 2), "")</f>
        <v/>
      </c>
      <c r="FW57" s="253" t="str">
        <f>IFERROR(ROUND(IF(CD57="ERROR", "ERROR", IF($FW$6=Y57, IF(BS57="N", 'Lookup Tables'!$AM$101*BP57, MIN((VLOOKUP(W57, 'Lookup Tables'!$AI$6:$AM$102, 5, FALSE)*BP57),GB57*AJ57)), "")), 2), "")</f>
        <v/>
      </c>
      <c r="FX57" s="253" t="str">
        <f>IFERROR(ROUND(IF(CD57="ERROR", "ERROR", IF(AND($FX$6=Y57, E57="Interior"), IF(VLOOKUP(W57, 'Lookup Tables'!$AI$6:$AM$102, 5, FALSE)*BP57&gt;'Lookup Tables'!$AQ$97*'Lighting Inventory'!S57,'Lighting Inventory'!S57*'Lookup Tables'!$AQ$97,VLOOKUP(W57, 'Lookup Tables'!$AI$6:$AM$102, 5, FALSE)*BP57), "")), 2), "")</f>
        <v/>
      </c>
      <c r="FY57" s="253" t="str">
        <f>IFERROR(ROUND(IF(CD57="ERROR", "ERROR", IF(AND($FX$6=Y57, E57="Exterior"), IF(VLOOKUP(W57, 'Lookup Tables'!$AI$6:$AM$102, 5, FALSE)*BP57&gt;'Lookup Tables'!$AQ$97*'Lighting Inventory'!S57,'Lighting Inventory'!S57*'Lookup Tables'!$AQ$97,VLOOKUP(W57, 'Lookup Tables'!$AI$6:$AM$102, 5, FALSE)*BP57), "")), 2), "")</f>
        <v/>
      </c>
      <c r="FZ57" s="253" t="str">
        <f>IFERROR(ROUND(IF(CD57="ERROR", "ERROR", IF(AND($FZ$6=Y57, E57="Interior"), IF(AND(OR(W57="Refrigerated Case Lighting with Doors", W57="Freezer Case Lighting"),Y57="Custom - Process Improvement"),CD57*'Lookup Tables'!$AM$101, IF(B57="Retrofit", IF(VLOOKUP(IF(V57="Custom", V57, W57), 'Lookup Tables'!$AI$6:$AM$102, 5, FALSE)*BP57&gt;GE57, GE57, VLOOKUP(IF(V57="Custom", V57, W57), 'Lookup Tables'!$AI$6:$AM$102, 5, FALSE)*BP57), IF(VLOOKUP(IF(V57="Custom", V57, W57), 'Lookup Tables'!$AI$114:$AM$154, 5, FALSE)*BP57&gt;GE57, GE57, VLOOKUP(IF(V57="Custom", V57, W57), 'Lookup Tables'!$AI$114:$AM$154, 5, FALSE)*BP57))), "")), 2),"")</f>
        <v/>
      </c>
      <c r="GA57" s="253" t="str">
        <f>IFERROR(ROUND(IF(CD57="ERROR", "ERROR", IF(AND($FZ$6=Y57, E57="Exterior"), IF(B57="Retrofit", IF(VLOOKUP(IF(V57="Custom", V57, W57), 'Lookup Tables'!$AI$6:$AM$102, 5, FALSE)*BP57&gt;GE57, GE57, VLOOKUP(IF(V57="Custom", V57, W57), 'Lookup Tables'!$AI$6:$AM$102, 5, FALSE)*BP57), IF(VLOOKUP(IF(V57="Custom", V57, W57), 'Lookup Tables'!$AI$114:$AM$154, 5, FALSE)*BP57&gt;GE57, GE57, VLOOKUP(IF(V57="Custom", V57, W57), 'Lookup Tables'!$AI$114:$AM$154, 5, FALSE)*BP57)), "")), 2),"")</f>
        <v/>
      </c>
      <c r="GB57" s="254" t="str">
        <f t="array" ref="GB57">IF(B57="","",IF(OR(V57="Custom",V57="No Change"),0,IF(B57="Retrofit", INDEX('Lookup Tables'!$AH$6:$AQ$102,MATCH(1,('Lookup Tables'!$AH$6:$AH$102='Lighting Inventory'!V57)*('Lookup Tables'!$AI$6:$AI$102='Lighting Inventory'!W57),FALSE),10),INDEX('Lookup Tables'!$AH$114:$AQ$154,MATCH(1,('Lookup Tables'!$AH$114:$AH$154='Lighting Inventory'!V57)*('Lookup Tables'!$AI$114:$AI$154='Lighting Inventory'!W57),FALSE),10))))</f>
        <v/>
      </c>
      <c r="GC57" s="255" t="str">
        <f t="shared" si="77"/>
        <v/>
      </c>
      <c r="GD57" s="250" t="str">
        <f t="shared" si="78"/>
        <v/>
      </c>
      <c r="GE57" s="253" t="str">
        <f>IFERROR(IF(AND(AF57="", 'General Information'!$F$18="No"),"", IF(AF57="", ((GD57/$CD$266)*$CF$266)*0.5, AF57*S57*0.5)), "")</f>
        <v/>
      </c>
      <c r="GF57" s="255" t="str">
        <f>IF(AND('General Information'!$F$19="", 'General Information'!$F$18="Yes",AF57="",BW57="Y"), "Y", "N")</f>
        <v>N</v>
      </c>
      <c r="GG57" s="255" t="s">
        <v>2946</v>
      </c>
      <c r="GH57" s="255" t="str">
        <f>IFERROR(IF(B57="", "", VLOOKUP(J57, 'Fixture Identities'!$A$6:$N$908, 14, FALSE)), "")</f>
        <v/>
      </c>
      <c r="GI57" s="389" t="str">
        <f>IF(OR(B57="", V57="", W57=""), "", IF(AND(OR(M57='Lookup Tables'!$R$18, M57='Lookup Tables'!$R$19, M57='Lookup Tables'!$R$20, M57='Lookup Tables'!$R$21, M57='Lookup Tables'!$R$22), OR(AN57='Lookup Tables'!$R$17, AN57='Lookup Tables'!$R$17, AN57="")), "Y", "N"))</f>
        <v/>
      </c>
      <c r="GJ57" s="255" t="str">
        <f t="shared" si="79"/>
        <v/>
      </c>
      <c r="GK57" s="255" t="str">
        <f t="shared" si="80"/>
        <v/>
      </c>
      <c r="GL57" s="255" t="str">
        <f t="shared" si="81"/>
        <v/>
      </c>
      <c r="GM57" s="255" t="str">
        <f>IF(AN57="", "", IF(AND(IF(ISNA(VLOOKUP(AN57,'Lookup Tables'!$R$18:$R$22,1,FALSE)), "N", "Y")="Y", E57="Exterior"), "Y", "N"))</f>
        <v/>
      </c>
      <c r="GN57" s="395"/>
      <c r="GO57" s="428">
        <f t="shared" si="98"/>
        <v>0</v>
      </c>
      <c r="GP57" s="428">
        <f t="shared" si="167"/>
        <v>0</v>
      </c>
      <c r="GQ57" s="428">
        <f t="shared" si="99"/>
        <v>0</v>
      </c>
      <c r="GR57" s="428">
        <f t="shared" si="100"/>
        <v>0</v>
      </c>
    </row>
    <row r="58" spans="1:200" s="103" customFormat="1" ht="13.5" customHeight="1" x14ac:dyDescent="0.2">
      <c r="A58" s="272">
        <v>48</v>
      </c>
      <c r="B58" s="110"/>
      <c r="C58" s="110"/>
      <c r="D58" s="110"/>
      <c r="E58" s="110"/>
      <c r="F58" s="110"/>
      <c r="G58" s="110"/>
      <c r="H58" s="110"/>
      <c r="I58" s="29"/>
      <c r="J58" s="29"/>
      <c r="K58" s="272" t="str">
        <f>IFERROR(IF(OR(VLOOKUP(J58, 'Fixture Identities'!$A$6:$L$1023, 3, FALSE)="T12 Linear Fluorescent", VLOOKUP(J58, 'Fixture Identities'!$A$6:$L$1023, 3, FALSE)="T12 U-Tube Fluorescent"), VLOOKUP(VLOOKUP(J58, 'Fixture Identities'!$A$6:$L$1023, 11, FALSE), 'Fixture Identities'!$A$6:$L$1023, 10, FALSE), VLOOKUP(J58, 'Fixture Identities'!$A$6:$L$1023, 10, FALSE)), "")</f>
        <v/>
      </c>
      <c r="L58" s="270" t="str">
        <f t="shared" si="169"/>
        <v/>
      </c>
      <c r="M58" s="110"/>
      <c r="N58" s="110"/>
      <c r="O58" s="110"/>
      <c r="P58" s="272" t="str">
        <f>IFERROR(IF(OR(B58="Retrofit",B58=""),"",IF('Lighting Inventory'!E58="Exterior",VLOOKUP('Lighting Inventory'!N58,'Lookup Tables'!$B$83:$F$103,5,FALSE),IF(N58="Other - Please Estimate EFLH and CFs","Contact Prog. Rep.","ft^2"))), "")</f>
        <v/>
      </c>
      <c r="Q58" s="270" t="str">
        <f>IFERROR(IF(AND(B58="New Construction",E58="Interior",$F$5="Space-by-Space"),VLOOKUP('Lighting Inventory'!N58,'Lookup Tables'!$N$6:$O$97,2,FALSE),IF(AND(B58="New Construction",E58="Exterior"),VLOOKUP(N58,'Lookup Tables'!$B$83:$F$103,2,FALSE),IF(AND(B58="New Construction",'Lighting Inventory'!E58="Interior", $F$5="Building Area"),VLOOKUP(F58,'Lookup Tables'!$A$6:$J$59,10,FALSE),""))), "")</f>
        <v/>
      </c>
      <c r="R58" s="270" t="str">
        <f>IFERROR(IF(P58="Contact Prog. Rep.", "ERROR", IF(OR(B58="",B58="Retrofit"),"",IF(N58="Automated teller machines", ('Lookup Tables'!$A$82:$E$100+('Lighting Inventory'!O58-1)*'Lookup Tables'!$A$82:$E$100)/1000, (Q58*O58)/1000))), "")</f>
        <v/>
      </c>
      <c r="S58" s="595"/>
      <c r="T58" s="105" t="str">
        <f t="shared" si="83"/>
        <v/>
      </c>
      <c r="U58" s="105" t="str">
        <f>IF(S58="","",COUNT($S$11:S58))</f>
        <v/>
      </c>
      <c r="V58" s="111"/>
      <c r="W58" s="112"/>
      <c r="X58" s="105" t="str">
        <f t="shared" si="84"/>
        <v/>
      </c>
      <c r="Y58" s="105" t="str">
        <f t="array" ref="Y58">IF(AND(OR(W58="Freezer Case Lighting", W58="Refrigerated Case Lighting with Doors"), 'General Information'!$X$18="LCI"),'Lookup Tables'!$Y$34, IF(V58="Custom", VLOOKUP(W58, 'Fixture Identities'!$A$974:$M$1023, 13, FALSE), IF(V58="No Change",'Lookup Tables'!$Y$29,IF(OR(V58="",W58=""),"",IF(AND(S58=0,S58&lt;I58,B58="Retrofit"),'Lookup Tables'!$Y$25, IF(B58="Retrofit", INDEX('Lookup Tables'!$AH$6:$AP$102, MATCH(1, ('Lookup Tables'!$AH$6:$AH$102=V58)*('Lookup Tables'!$AI$6:$AI$102=W58), 0), IF('Lighting Inventory'!E58="Interior", 4, 5)), INDEX('Lookup Tables'!$AH$114:$AP$154, MATCH(1, ('Lookup Tables'!$AH$114:$AH$154=V58)*('Lookup Tables'!$AI$114:$AI$154=W58), 0), IF('Lighting Inventory'!E58="Interior", 4, 5))))))))</f>
        <v/>
      </c>
      <c r="Z58" s="105" t="str">
        <f>IFERROR(INDEX('Lookup Tables'!$AH$158:$AH$172,MATCH('Lighting Inventory'!Y58,'Lookup Tables'!$AI$158:$AI$172,0)),"")</f>
        <v/>
      </c>
      <c r="AA58" s="105" t="str">
        <f>IF(AP58&gt;0,INDEX('Lookup Tables'!$AK$158:$AK$172,MATCH('Lighting Inventory'!Y58,'Lookup Tables'!$AI$158:$AI$172,0)),'Lighting Inventory'!Y58)</f>
        <v/>
      </c>
      <c r="AB58" s="105" t="str">
        <f t="array" ref="AB58">IF(V58="Custom", "Custom", IF(V58="", "", IF(V58="Not DLC or Energy Star", "General", IF(B58="New Construction", INDEX('Lookup Tables'!$AH$114:$AP$154,MATCH(1,('Lookup Tables'!$AH$114:$AH$154='Lighting Inventory'!V58)*('Lookup Tables'!$AI$114:$AI$154='Lighting Inventory'!W58),FALSE),8), INDEX('Lookup Tables'!$AH$6:$AP$102,MATCH(1,('Lookup Tables'!$AH$6:$AH$102='Lighting Inventory'!V58)*('Lookup Tables'!$AI$6:$AI$102='Lighting Inventory'!W58),FALSE),8)))))</f>
        <v/>
      </c>
      <c r="AC58" s="272" t="str">
        <f>IF(W58="","",IF(V58="Custom",CONCATENATE("$",'Lookup Tables'!$AM$101," ",'Lookup Tables'!$AN$101),CONCATENATE("$",INDEX('Lookup Tables'!$AM$6:$AM$102,MATCH('Lighting Inventory'!W58,'Lookup Tables'!$AI$6:$AI$102,0))," ",INDEX('Lookup Tables'!$AN$6:$AN$102,MATCH('Lighting Inventory'!W58,'Lookup Tables'!$AI$6:$AI$102,0)))))</f>
        <v/>
      </c>
      <c r="AD58" s="72"/>
      <c r="AE58" s="29"/>
      <c r="AF58" s="379"/>
      <c r="AG58" s="370" t="str">
        <f t="shared" si="2"/>
        <v/>
      </c>
      <c r="AH58" s="370" t="str">
        <f t="shared" si="85"/>
        <v/>
      </c>
      <c r="AI58" s="29"/>
      <c r="AJ58" s="29"/>
      <c r="AK58" s="110"/>
      <c r="AL58" s="375" t="str">
        <f>IF(OR(B58="", V58="", W58=""), "", IF(V58="No Change", K58, IF(V58="Remove Fixture", 0, IF(V58="Custom",VLOOKUP(W58,'Fixture Identities'!$A$6:$K$1023,10,FALSE),IF(AE58="", "← ENTER POST WATTS", 'Lighting Inventory'!AE58)))))</f>
        <v/>
      </c>
      <c r="AM58" s="376" t="str">
        <f t="shared" si="3"/>
        <v/>
      </c>
      <c r="AN58" s="29"/>
      <c r="AO58" s="671"/>
      <c r="AP58" s="29"/>
      <c r="AQ58" s="29"/>
      <c r="AR58" s="29"/>
      <c r="AS58" s="272" t="str">
        <f t="shared" si="4"/>
        <v/>
      </c>
      <c r="AT58" s="270" t="str">
        <f t="shared" si="234"/>
        <v/>
      </c>
      <c r="AU58" s="88" t="str">
        <f t="shared" si="235"/>
        <v/>
      </c>
      <c r="AV58" s="29"/>
      <c r="AW58" s="73"/>
      <c r="AX58" s="271" t="str">
        <f>IF(AND(AV58="Applicant",OR(AW58="", AW58="Use Default Facility Hours")),"← Choose Schedule",IF(F58="","",IF(W58="LED Exit Signs",8760,IF(OR(AV58="Prescribed",AV58=""),VLOOKUP(F58,'Lookup Tables'!$A$6:$G$59,IF(AB58="General", 6, 3),FALSE),VLOOKUP(AW58,'Lookup Tables'!$S$36:$U$43,2,FALSE)))))</f>
        <v/>
      </c>
      <c r="AY58" s="88" t="str">
        <f t="shared" si="7"/>
        <v/>
      </c>
      <c r="AZ58" s="270" t="str">
        <f>IFERROR(IF(F58="", "", IF(W58="LED Exit Signs", 1, IF(AV58="Applicant",VLOOKUP(AW58, 'Lookup Tables'!$S$36:$U$43,3, FALSE), VLOOKUP('Lighting Inventory'!F58, 'Lookup Tables'!$A$6:$H$59, IF('Lighting Inventory'!AB58="General",7,4), FALSE)))), "")</f>
        <v/>
      </c>
      <c r="BA58" s="522" t="str">
        <f>IFERROR(IF(F58="", "", IF(W58="LED Exit Signs", 1, VLOOKUP('Lighting Inventory'!F58, 'Lookup Tables'!$A$6:$H$59, IF('Lighting Inventory'!AB58="General",8,5), FALSE))), "")</f>
        <v/>
      </c>
      <c r="BB58" s="270" t="str">
        <f>IF(G58="", "", IF(E58="Exterior", 0, IF('Lighting Inventory'!G58="Air Conditioned", VLOOKUP(H58, 'Lookup Tables'!$R$6:$T$13, 2, FALSE), VLOOKUP('Lighting Inventory'!G58, 'Lookup Tables'!$R$6:$T$13, 2, FALSE))))</f>
        <v/>
      </c>
      <c r="BC58" s="522" t="str">
        <f>IF(G58="", "", IF(E58="Exterior", 0, IF('Lighting Inventory'!G58="Air Conditioned", VLOOKUP(H58, 'Lookup Tables'!$R$6:$T$13, 3, FALSE), VLOOKUP('Lighting Inventory'!G58, 'Lookup Tables'!$R$6:$T$13, 3, FALSE))))</f>
        <v/>
      </c>
      <c r="BD58" s="270" t="str">
        <f>IF(G58="", "", IF(E58="Exterior", 0, IF('Lighting Inventory'!G58="Air Conditioned", VLOOKUP(H58, 'Lookup Tables'!$R$6:$U$13, 4, FALSE), VLOOKUP('Lighting Inventory'!G58, 'Lookup Tables'!$R$6:$U$13, 4, FALSE))))</f>
        <v/>
      </c>
      <c r="BE58" s="270" t="str">
        <f>IFERROR(IF(B58="", "",  IF(B58="New Construction", VLOOKUP(F58, 'Lookup Tables'!$A$6:$K$59, 11, FALSE),IF(OR(AN58="", AN58="Light Switch"), 0, IF(OR(M58="",M58="None",V58= "LED Exit Signs"),0,_xlfn.XLOOKUP(M58,'Lookup Tables'!$R$91:$R$101,'Lookup Tables'!$V$91:$V$101))))), "")</f>
        <v/>
      </c>
      <c r="BF58" s="270" t="str">
        <f>IF(AND(OR(AN58="Light Switch",AN58=""),B58="New Construction"), VLOOKUP(F58, 'Lookup Tables'!$A$6:$K$59, 11, FALSE),IF(AN58="","",IF(B58="","",IF(OR(AN58="None",AN58="",V58="LED Exit Signs",AN58="Exterior Controls Not Eligible"),0,_xlfn.XLOOKUP(AN58,'Lookup Tables'!$R$91:$R$101,'Lookup Tables'!$V$91:$V$101)))))</f>
        <v/>
      </c>
      <c r="BG58" s="88" t="str">
        <f t="shared" si="86"/>
        <v/>
      </c>
      <c r="BH58" s="88" t="str">
        <f t="shared" si="87"/>
        <v/>
      </c>
      <c r="BI58" s="558" t="str">
        <f t="shared" si="168"/>
        <v/>
      </c>
      <c r="BJ58" s="82" t="str">
        <f t="shared" si="88"/>
        <v/>
      </c>
      <c r="BK58" s="82" t="str">
        <f t="shared" si="89"/>
        <v/>
      </c>
      <c r="BL58" s="559" t="str">
        <f t="shared" si="90"/>
        <v/>
      </c>
      <c r="BM58" s="521" t="str">
        <f t="shared" si="8"/>
        <v/>
      </c>
      <c r="BN58" s="521" t="str">
        <f t="shared" si="9"/>
        <v/>
      </c>
      <c r="BO58" s="522" t="str">
        <f t="shared" si="10"/>
        <v/>
      </c>
      <c r="BP58" s="83" t="str">
        <f t="shared" si="91"/>
        <v/>
      </c>
      <c r="BQ58" s="84" t="str">
        <f t="shared" si="92"/>
        <v/>
      </c>
      <c r="BR58" s="184" t="str">
        <f>IFERROR(IF(B58="", "", IF(OR(VLOOKUP(J58, 'Fixture Identities'!$A$6:$L$1023, 3, FALSE)="T12 Linear Fluorescent",VLOOKUP(J58, 'Fixture Identities'!$A$6:$L$1023, 3, FALSE)="T12 U-Tube Fluorescent"), "Y", "N")), "N")</f>
        <v/>
      </c>
      <c r="BS58" s="184" t="str">
        <f t="array" ref="BS58">IFERROR(IF(OR(B58="", V58="", W58=""), "", IF(V58="Custom", "N", IF(OR(W58="Freezer Case Lighting", W58="Refrigerated Case Lighting with Doors"), BT58, IF(B58="Retrofit", INDEX('Lookup Tables'!$AH$6:$AT$102,MATCH(1,('Lookup Tables'!$AH$6:$AH$102=V58)*('Lookup Tables'!$AI$6:$AI$102=W58),FALSE),IF(VLOOKUP(J58, 'Fixture Identities'!$A$6:$B$1023, 2, FALSE)="Incandescent",12, 13)), INDEX('Lookup Tables'!$AH$114:$AS$154,MATCH(1,('Lookup Tables'!$AH$114:$AH$154=V58)*('Lookup Tables'!$AI$114:$AI$154=W58),FALSE),12))))), "N")</f>
        <v/>
      </c>
      <c r="BT58" s="184" t="str">
        <f>IF(J58="", "", IF(AND(OR(W58="Freezer case Lighting", W58="Refrigerated Case Lighting with Doors"),'General Information'!$X$18="LCI"), "N", IF(OR(VLOOKUP(J58, 'Fixture Identities'!$A$6:$B$1023, 2, FALSE)="T12 EPACT/EISA Baseline", VLOOKUP(J58, 'Fixture Identities'!$A$6:$B$1023, 2, FALSE)="Linear Fluorescent", VLOOKUP(J58, 'Fixture Identities'!$A$6:$B$1023, 2, FALSE)="U-Tube Fluorescent"), "Y", "N")))</f>
        <v/>
      </c>
      <c r="BU58" s="184" t="str">
        <f>IFERROR(IF(B58="", "", IF(VLOOKUP(J58, 'Fixture Identities'!$A$6:$B$1023, 2, FALSE)="Exit Sign", "Y", "N")), "N")</f>
        <v/>
      </c>
      <c r="BV58" s="184" t="str">
        <f>IF(V58="Exit Signs", IF(VLOOKUP(J58, 'Fixture Identities'!$A$6:$B$1023, 2, FALSE)="Exit Sign", "N", "Y"), "")</f>
        <v/>
      </c>
      <c r="BW58" s="184" t="str">
        <f t="array" ref="BW58">IFERROR(IF(B58="", "", IF(B58="New Construction", "N", INDEX('Lookup Tables'!$AH$6:$AU$102, MATCH(1, ('Lookup Tables'!$AH$6:$AH$102='Lighting Inventory'!V58)*('Lookup Tables'!$AI$6:$AI$102='Lighting Inventory'!W58), 0), 14))), "N")</f>
        <v/>
      </c>
      <c r="BX58" s="598" t="str">
        <f t="shared" si="93"/>
        <v/>
      </c>
      <c r="BY58" s="598" t="str">
        <f t="shared" si="94"/>
        <v/>
      </c>
      <c r="BZ58" s="598" t="str">
        <f t="shared" si="95"/>
        <v/>
      </c>
      <c r="CA58" s="598" t="str">
        <f t="shared" si="101"/>
        <v/>
      </c>
      <c r="CB58" s="269" t="str">
        <f t="shared" si="102"/>
        <v/>
      </c>
      <c r="CC58" s="517" t="str">
        <f t="shared" si="96"/>
        <v/>
      </c>
      <c r="CD58" s="565" t="str">
        <f t="shared" si="11"/>
        <v/>
      </c>
      <c r="CE58" s="368">
        <v>0</v>
      </c>
      <c r="CF58" s="368" t="str" cm="1">
        <f t="array" ref="CF58">IFERROR(IF(V58="Custom", "$0.1 per kWh", IF(B58="New Construction", CONCATENATE("$",INDEX('Lookup Tables'!$AH$114:$AN$154,MATCH(1,('Lookup Tables'!$AH$114:$AH$154='Lighting Inventory'!V58)*('Lookup Tables'!$AI$114:$AI$154='Lighting Inventory'!W58),FALSE),6)," ",INDEX('Lookup Tables'!$AH$114:$AN$154,MATCH(1,('Lookup Tables'!$AH$114:$AH$154='Lighting Inventory'!V58)*('Lookup Tables'!$AI$114:$AI$154='Lighting Inventory'!W58),FALSE),7)), IF(AND(BU58="N", V58="Exit Signs"), "$0.025 per kWh", CONCATENATE("$",INDEX('Lookup Tables'!$AH$6:$AN$102,MATCH(1,('Lookup Tables'!$AH$6:$AH$102='Lighting Inventory'!V58)*('Lookup Tables'!$AI$6:$AI$102='Lighting Inventory'!W58),FALSE),6)," ",INDEX('Lookup Tables'!$AH$6:$AN$102,MATCH(1,('Lookup Tables'!$AH$6:$AH$102='Lighting Inventory'!V58)*('Lookup Tables'!$AI$6:$AI$102='Lighting Inventory'!W58),FALSE),7))))), "")</f>
        <v/>
      </c>
      <c r="CG58" s="366"/>
      <c r="CH58" s="248" t="str">
        <f t="shared" si="236"/>
        <v/>
      </c>
      <c r="CI58" s="248" t="str">
        <f t="shared" si="237"/>
        <v>Select_IE</v>
      </c>
      <c r="CJ58" s="248" t="str">
        <f t="shared" si="238"/>
        <v/>
      </c>
      <c r="CK58" s="248" t="str">
        <f t="shared" si="239"/>
        <v/>
      </c>
      <c r="CL58" s="248" t="str">
        <f t="shared" si="240"/>
        <v/>
      </c>
      <c r="CM58" s="248" t="str">
        <f>IFERROR(IF(B58="", "", IF(B58="New Construction", VLOOKUP(V58, 'Lookup Tables'!$AF$114:$AG$120, 2, FALSE), VLOOKUP(V58, 'Lookup Tables'!$AD$6:$AE$25, 2, FALSE))), "")</f>
        <v/>
      </c>
      <c r="CN58" s="248" t="str">
        <f t="shared" si="175"/>
        <v/>
      </c>
      <c r="CO58" s="248" t="str">
        <f t="shared" si="241"/>
        <v/>
      </c>
      <c r="CP58" s="592" t="str">
        <f t="shared" si="242"/>
        <v/>
      </c>
      <c r="CQ58" s="248" t="str">
        <f t="shared" si="97"/>
        <v/>
      </c>
      <c r="CR58" s="249"/>
      <c r="CS58" s="250" t="str">
        <f t="shared" si="178"/>
        <v/>
      </c>
      <c r="CT58" s="250" t="str">
        <f t="shared" si="243"/>
        <v/>
      </c>
      <c r="CU58" s="250" t="str">
        <f t="shared" si="244"/>
        <v/>
      </c>
      <c r="CV58" s="250" t="str">
        <f t="shared" si="245"/>
        <v/>
      </c>
      <c r="CW58" s="250" t="str">
        <f t="shared" si="246"/>
        <v/>
      </c>
      <c r="CX58" s="250" t="str">
        <f t="shared" si="247"/>
        <v/>
      </c>
      <c r="CY58" s="250" t="str">
        <f t="shared" si="248"/>
        <v/>
      </c>
      <c r="CZ58" s="250" t="str">
        <f t="shared" si="249"/>
        <v/>
      </c>
      <c r="DA58" s="250" t="str">
        <f t="shared" si="250"/>
        <v/>
      </c>
      <c r="DB58" s="250" t="str">
        <f t="shared" si="251"/>
        <v/>
      </c>
      <c r="DC58" s="250" t="str">
        <f t="shared" si="252"/>
        <v/>
      </c>
      <c r="DD58" s="250" t="str">
        <f t="shared" si="253"/>
        <v/>
      </c>
      <c r="DE58" s="250" t="str">
        <f t="shared" si="254"/>
        <v/>
      </c>
      <c r="DF58" s="250" t="str">
        <f t="shared" si="255"/>
        <v/>
      </c>
      <c r="DG58" s="250" t="str">
        <f t="shared" si="256"/>
        <v/>
      </c>
      <c r="DH58" s="250" t="str">
        <f t="shared" si="257"/>
        <v/>
      </c>
      <c r="DI58" s="250" t="str">
        <f t="shared" si="258"/>
        <v/>
      </c>
      <c r="DJ58" s="250" t="str">
        <f t="shared" si="259"/>
        <v/>
      </c>
      <c r="DK58" s="250" t="str">
        <f t="shared" si="260"/>
        <v/>
      </c>
      <c r="DL58" s="250" t="str">
        <f t="shared" si="261"/>
        <v/>
      </c>
      <c r="DM58" s="250" t="str">
        <f>IF(CD58="ERROR", "ERROR", IF(AND(OR(Y58=$DM$6, Y58='Lookup Tables'!$AD$21, Y58='Lookup Tables'!$AD$22), E58="Interior"), BJ58, ""))</f>
        <v/>
      </c>
      <c r="DN58" s="250" t="str">
        <f>IF(CD58="ERROR", "ERROR", IF(AND(OR(Y58=$DM$6, Y58='Lookup Tables'!$AD$21, Y58='Lookup Tables'!$AD$22), E58="Exterior"), BJ58, ""))</f>
        <v/>
      </c>
      <c r="DO58" s="249"/>
      <c r="DP58" s="250" t="str">
        <f t="shared" si="198"/>
        <v/>
      </c>
      <c r="DQ58" s="250" t="str">
        <f t="shared" si="262"/>
        <v/>
      </c>
      <c r="DR58" s="250" t="str">
        <f t="shared" si="263"/>
        <v/>
      </c>
      <c r="DS58" s="250" t="str">
        <f t="shared" si="264"/>
        <v/>
      </c>
      <c r="DT58" s="250" t="str">
        <f t="shared" si="265"/>
        <v/>
      </c>
      <c r="DU58" s="250" t="str">
        <f t="shared" si="266"/>
        <v/>
      </c>
      <c r="DV58" s="250" t="str">
        <f t="shared" si="267"/>
        <v/>
      </c>
      <c r="DW58" s="250" t="str">
        <f t="shared" si="268"/>
        <v/>
      </c>
      <c r="DX58" s="250" t="str">
        <f t="shared" si="269"/>
        <v/>
      </c>
      <c r="DY58" s="250" t="str">
        <f t="shared" si="270"/>
        <v/>
      </c>
      <c r="DZ58" s="250" t="str">
        <f t="shared" si="271"/>
        <v/>
      </c>
      <c r="EA58" s="250" t="str">
        <f t="shared" si="272"/>
        <v/>
      </c>
      <c r="EB58" s="250" t="str">
        <f t="shared" si="273"/>
        <v/>
      </c>
      <c r="EC58" s="250" t="str">
        <f t="shared" si="274"/>
        <v/>
      </c>
      <c r="ED58" s="250" t="str">
        <f t="shared" si="275"/>
        <v/>
      </c>
      <c r="EE58" s="250" t="str">
        <f t="shared" si="276"/>
        <v/>
      </c>
      <c r="EF58" s="250" t="str">
        <f t="shared" si="277"/>
        <v/>
      </c>
      <c r="EG58" s="250" t="str">
        <f t="shared" si="278"/>
        <v/>
      </c>
      <c r="EH58" s="250" t="str">
        <f>IF(CD58="ERROR", "ERROR", IF(AND(OR($EH$6=Y58, Y58='Lookup Tables'!$AD$21, Y58='Lookup Tables'!$AD$22),E58="Interior"), SUM(BP58:BP58), ""))</f>
        <v/>
      </c>
      <c r="EI58" s="250" t="str">
        <f>IF(CD58="ERROR", "ERROR", IF(AND(OR($EH$6=Y58, Y58='Lookup Tables'!$AD$21, Y58='Lookup Tables'!$AD$22),E58="Exterior"), SUM(BP58:BP58), ""))</f>
        <v/>
      </c>
      <c r="EJ58" s="109"/>
      <c r="EK58" s="485" t="str">
        <f t="shared" si="58"/>
        <v/>
      </c>
      <c r="EL58" s="252" t="str">
        <f t="shared" si="279"/>
        <v/>
      </c>
      <c r="EM58" s="252" t="str">
        <f t="shared" si="280"/>
        <v/>
      </c>
      <c r="EN58" s="252" t="str">
        <f t="shared" si="281"/>
        <v/>
      </c>
      <c r="EO58" s="252" t="str">
        <f t="shared" si="282"/>
        <v/>
      </c>
      <c r="EP58" s="252" t="str">
        <f t="shared" si="283"/>
        <v/>
      </c>
      <c r="EQ58" s="252" t="str">
        <f t="shared" si="284"/>
        <v/>
      </c>
      <c r="ER58" s="252" t="str">
        <f t="shared" si="285"/>
        <v/>
      </c>
      <c r="ES58" s="252" t="str">
        <f t="shared" si="286"/>
        <v/>
      </c>
      <c r="ET58" s="252" t="str">
        <f t="shared" si="287"/>
        <v/>
      </c>
      <c r="EU58" s="252" t="str">
        <f t="shared" si="288"/>
        <v/>
      </c>
      <c r="EV58" s="252" t="str">
        <f t="shared" si="289"/>
        <v/>
      </c>
      <c r="EW58" s="252" t="str">
        <f t="shared" si="290"/>
        <v/>
      </c>
      <c r="EX58" s="252" t="str">
        <f t="shared" si="291"/>
        <v/>
      </c>
      <c r="EY58" s="252" t="str">
        <f t="shared" si="292"/>
        <v/>
      </c>
      <c r="EZ58" s="252" t="str">
        <f t="shared" si="293"/>
        <v/>
      </c>
      <c r="FA58" s="252" t="str">
        <f t="shared" si="294"/>
        <v/>
      </c>
      <c r="FB58" s="252" t="str">
        <f t="shared" si="295"/>
        <v/>
      </c>
      <c r="FC58" s="252" t="str">
        <f>IF(CD58="ERROR", "ERROR", IF(OR(V58="No Change", V58="Not DLC or Energy Star"), "", IF(AND(OR($FC$6=Y58,Y58='Lookup Tables'!$AD$21, Y58='Lookup Tables'!$AD$22),E58="Interior"), S58, "")))</f>
        <v/>
      </c>
      <c r="FD58" s="252" t="str">
        <f t="shared" si="296"/>
        <v/>
      </c>
      <c r="FE58" s="1"/>
      <c r="FF58" s="579" t="str" cm="1">
        <f t="array" ref="FF58">IFERROR(IF(OR(BQ58&lt;=0,AQ58&lt;20,AND(V58="Exit Signs",AN58&gt;0)),"",IF(AND(AQ58&gt;=20,AN58='Lookup Tables'!$R$101),'Lookup Tables'!$U$101*BQ58,AP58*LOOKUP(2,1/((AN58='Lookup Tables'!$R$91:$R$111)*(AQ58&gt;='Lookup Tables'!$S$91:$S$111)*(AQ58&lt;='Lookup Tables'!$T$91:$T$111)),'Lookup Tables'!$U$91:$U$111))),"")</f>
        <v/>
      </c>
      <c r="FG58" s="579"/>
      <c r="FH58" s="579"/>
      <c r="FI58" s="253" t="str">
        <f>IFERROR(ROUND(IF(CD58="ERROR", "ERROR", IF(AND($FI$7=X58,E58="Interior"),VLOOKUP(W58, 'Lookup Tables'!$AI$6:$AM$102, 5, FALSE)*BP58, "")), 2), "")</f>
        <v/>
      </c>
      <c r="FJ58" s="253" t="str">
        <f>IFERROR(ROUND(IF(CD58="ERROR", "ERROR", IF(AND($FI$7=X58,E58="Exterior"),VLOOKUP(W58, 'Lookup Tables'!$AI$6:$AM$102, 5, FALSE)*BP58, "")), 2), "")</f>
        <v/>
      </c>
      <c r="FK58" s="253" t="str">
        <f>IFERROR(ROUND(IF(CD58="ERROR", "ERROR", IF(AND($FK$7=X58,E58="Interior"),VLOOKUP(W58, 'Lookup Tables'!$AI$6:$AM$102, 5, FALSE)*BP58, "")), 2), "")</f>
        <v/>
      </c>
      <c r="FL58" s="253" t="str">
        <f>IFERROR(ROUND(IF(CD58="ERROR", "ERROR", IF(AND($FK$7=X58,E58="Exterior"),VLOOKUP(W58, 'Lookup Tables'!$AI$6:$AM$102, 5, FALSE)*BP58, "")), 2), "")</f>
        <v/>
      </c>
      <c r="FM58" s="253" t="str">
        <f>IFERROR(ROUND(IF(CD58="ERROR", "ERROR", IF(AND($FM$6=Y58,E58="Interior"), IF(GB58=0, VLOOKUP(W58, 'Lookup Tables'!$AI$6:$AM$102, 5, FALSE)*BP58, IF(VLOOKUP(W58, 'Lookup Tables'!$AI$6:$AM$102, 5, FALSE)*BP58&gt;GB58*'Lighting Inventory'!S58, GB58*'Lighting Inventory'!S58,VLOOKUP(W58, 'Lookup Tables'!$AI$6:$AM$102, 5, FALSE)*BP58)), "")), 2), "")</f>
        <v/>
      </c>
      <c r="FN58" s="253" t="str">
        <f>IFERROR(ROUND(IF(CD58="ERROR", "ERROR", IF(AND($FM$6=Y58,E58="Exterior"), IF(GB58=0, VLOOKUP(W58, 'Lookup Tables'!$AI$6:$AM$102, 5, FALSE)*BP58, IF(VLOOKUP(W58, 'Lookup Tables'!$AI$6:$AM$102, 5, FALSE)*BP58&gt;GB58*'Lighting Inventory'!S58, GB58*'Lighting Inventory'!S58,VLOOKUP(W58, 'Lookup Tables'!$AI$6:$AM$102, 5, FALSE)*BP58)), "")), 2), "")</f>
        <v/>
      </c>
      <c r="FO58" s="253" t="str">
        <f>IFERROR(ROUND(IF(CD58="ERROR", "ERROR", IF(AND($FO$6=Y58,E58="Interior"),VLOOKUP(W58, 'Lookup Tables'!$AI$6:$AM$102, 5, FALSE)*'Lighting Inventory'!AI58, "")), 2), "")</f>
        <v/>
      </c>
      <c r="FP58" s="253" t="str">
        <f>IFERROR(ROUND(IF(CD58="ERROR", "ERROR", IF(AND($FO$6=Y58,E58="Exterior"),VLOOKUP(W58, 'Lookup Tables'!$AI$6:$AM$102, 5, FALSE)*'Lighting Inventory'!AI58, "")), 2), "")</f>
        <v/>
      </c>
      <c r="FQ58" s="253" t="str">
        <f>IFERROR(ROUND(IF(CD58="ERROR", "ERROR", IF(AND($FQ$6=Y58,E58="Interior", BU58="Y"), VLOOKUP('Lighting Inventory'!W58, 'Lookup Tables'!$AI$6:$AM$102, 5, FALSE)*'Lighting Inventory'!S58, IF(AND($FQ$7=Y58,E58="Interior", BU58="N"), 0.025*CD58, ""))), 2), "")</f>
        <v/>
      </c>
      <c r="FR58" s="253" t="str">
        <f>IFERROR(ROUND(IF(CD58="ERROR", "ERROR", IF(AND($FQ$6=Y58,E58="Exterior"), VLOOKUP('Lighting Inventory'!W58, 'Lookup Tables'!$AI$6:$AM$102, 5, FALSE)*'Lighting Inventory'!S58, "")), 2), "")</f>
        <v/>
      </c>
      <c r="FS58" s="253" t="str">
        <f>IFERROR(ROUND(IF(CD58="ERROR", "ERROR", IF(AND($FS$6=Y58,E58="Exterior"), IF(GB58=0, VLOOKUP(W58, 'Lookup Tables'!$AI$6:$AM$102, 5, FALSE)*BP58, IF(VLOOKUP(W58, 'Lookup Tables'!$AI$6:$AM$102, 5, FALSE)*BP58&gt;GB58*'Lighting Inventory'!S58, GB58*'Lighting Inventory'!S58,VLOOKUP(W58, 'Lookup Tables'!$AI$6:$AM$102, 5, FALSE)*BP58)), "")), 2), "")</f>
        <v/>
      </c>
      <c r="FT58" s="253" t="str">
        <f>IFERROR(ROUND(IF(CD58="ERROR", "ERROR", IF(AND($FT$6=Y58,E58="Interior"), IF(GB58=0, VLOOKUP(W58, 'Lookup Tables'!$AI$6:$AM$102, 5, FALSE)*BP58, IF(VLOOKUP(W58, 'Lookup Tables'!$AI$6:$AM$102, 5, FALSE)*BP58&gt;GB58*'Lighting Inventory'!S58, GB58*'Lighting Inventory'!S58,VLOOKUP(W58, 'Lookup Tables'!$AI$6:$AM$102, 5, FALSE)*BP58)), "")), 2), "")</f>
        <v/>
      </c>
      <c r="FU58" s="253" t="str">
        <f>IFERROR(ROUND(IF(CD58="ERROR", "ERROR", IF(AND(Y58=$FU$6, E58="Interior"), IF(BS58="N", 'Lookup Tables'!$AM$101*BP58, VLOOKUP(W58, 'Lookup Tables'!$AI$6:$AM$102, 5, FALSE)*S58*AD58), "")), 2), "")</f>
        <v/>
      </c>
      <c r="FV58" s="253" t="str">
        <f>IFERROR(ROUND(IF(CD58="ERROR", "ERROR", IF(AND(Y58=$FU$6, E58="Exterior"), IF(BS58="N", 'Lookup Tables'!$AM$101*BP58, VLOOKUP(W58, 'Lookup Tables'!$AI$6:$AM$102, 5, FALSE)*S58*AD58), "")), 2), "")</f>
        <v/>
      </c>
      <c r="FW58" s="253" t="str">
        <f>IFERROR(ROUND(IF(CD58="ERROR", "ERROR", IF($FW$6=Y58, IF(BS58="N", 'Lookup Tables'!$AM$101*BP58, MIN((VLOOKUP(W58, 'Lookup Tables'!$AI$6:$AM$102, 5, FALSE)*BP58),GB58*AJ58)), "")), 2), "")</f>
        <v/>
      </c>
      <c r="FX58" s="253" t="str">
        <f>IFERROR(ROUND(IF(CD58="ERROR", "ERROR", IF(AND($FX$6=Y58, E58="Interior"), IF(VLOOKUP(W58, 'Lookup Tables'!$AI$6:$AM$102, 5, FALSE)*BP58&gt;'Lookup Tables'!$AQ$97*'Lighting Inventory'!S58,'Lighting Inventory'!S58*'Lookup Tables'!$AQ$97,VLOOKUP(W58, 'Lookup Tables'!$AI$6:$AM$102, 5, FALSE)*BP58), "")), 2), "")</f>
        <v/>
      </c>
      <c r="FY58" s="253" t="str">
        <f>IFERROR(ROUND(IF(CD58="ERROR", "ERROR", IF(AND($FX$6=Y58, E58="Exterior"), IF(VLOOKUP(W58, 'Lookup Tables'!$AI$6:$AM$102, 5, FALSE)*BP58&gt;'Lookup Tables'!$AQ$97*'Lighting Inventory'!S58,'Lighting Inventory'!S58*'Lookup Tables'!$AQ$97,VLOOKUP(W58, 'Lookup Tables'!$AI$6:$AM$102, 5, FALSE)*BP58), "")), 2), "")</f>
        <v/>
      </c>
      <c r="FZ58" s="253" t="str">
        <f>IFERROR(ROUND(IF(CD58="ERROR", "ERROR", IF(AND($FZ$6=Y58, E58="Interior"), IF(AND(OR(W58="Refrigerated Case Lighting with Doors", W58="Freezer Case Lighting"),Y58="Custom - Process Improvement"),CD58*'Lookup Tables'!$AM$101, IF(B58="Retrofit", IF(VLOOKUP(IF(V58="Custom", V58, W58), 'Lookup Tables'!$AI$6:$AM$102, 5, FALSE)*BP58&gt;GE58, GE58, VLOOKUP(IF(V58="Custom", V58, W58), 'Lookup Tables'!$AI$6:$AM$102, 5, FALSE)*BP58), IF(VLOOKUP(IF(V58="Custom", V58, W58), 'Lookup Tables'!$AI$114:$AM$154, 5, FALSE)*BP58&gt;GE58, GE58, VLOOKUP(IF(V58="Custom", V58, W58), 'Lookup Tables'!$AI$114:$AM$154, 5, FALSE)*BP58))), "")), 2),"")</f>
        <v/>
      </c>
      <c r="GA58" s="253" t="str">
        <f>IFERROR(ROUND(IF(CD58="ERROR", "ERROR", IF(AND($FZ$6=Y58, E58="Exterior"), IF(B58="Retrofit", IF(VLOOKUP(IF(V58="Custom", V58, W58), 'Lookup Tables'!$AI$6:$AM$102, 5, FALSE)*BP58&gt;GE58, GE58, VLOOKUP(IF(V58="Custom", V58, W58), 'Lookup Tables'!$AI$6:$AM$102, 5, FALSE)*BP58), IF(VLOOKUP(IF(V58="Custom", V58, W58), 'Lookup Tables'!$AI$114:$AM$154, 5, FALSE)*BP58&gt;GE58, GE58, VLOOKUP(IF(V58="Custom", V58, W58), 'Lookup Tables'!$AI$114:$AM$154, 5, FALSE)*BP58)), "")), 2),"")</f>
        <v/>
      </c>
      <c r="GB58" s="254" t="str">
        <f t="array" ref="GB58">IF(B58="","",IF(OR(V58="Custom",V58="No Change"),0,IF(B58="Retrofit", INDEX('Lookup Tables'!$AH$6:$AQ$102,MATCH(1,('Lookup Tables'!$AH$6:$AH$102='Lighting Inventory'!V58)*('Lookup Tables'!$AI$6:$AI$102='Lighting Inventory'!W58),FALSE),10),INDEX('Lookup Tables'!$AH$114:$AQ$154,MATCH(1,('Lookup Tables'!$AH$114:$AH$154='Lighting Inventory'!V58)*('Lookup Tables'!$AI$114:$AI$154='Lighting Inventory'!W58),FALSE),10))))</f>
        <v/>
      </c>
      <c r="GC58" s="255" t="str">
        <f t="shared" si="77"/>
        <v/>
      </c>
      <c r="GD58" s="250" t="str">
        <f t="shared" si="78"/>
        <v/>
      </c>
      <c r="GE58" s="253" t="str">
        <f>IFERROR(IF(AND(AF58="", 'General Information'!$F$18="No"),"", IF(AF58="", ((GD58/$CD$266)*$CF$266)*0.5, AF58*S58*0.5)), "")</f>
        <v/>
      </c>
      <c r="GF58" s="255" t="str">
        <f>IF(AND('General Information'!$F$19="", 'General Information'!$F$18="Yes",AF58="",BW58="Y"), "Y", "N")</f>
        <v>N</v>
      </c>
      <c r="GG58" s="255" t="s">
        <v>2946</v>
      </c>
      <c r="GH58" s="255" t="str">
        <f>IFERROR(IF(B58="", "", VLOOKUP(J58, 'Fixture Identities'!$A$6:$N$908, 14, FALSE)), "")</f>
        <v/>
      </c>
      <c r="GI58" s="389" t="str">
        <f>IF(OR(B58="", V58="", W58=""), "", IF(AND(OR(M58='Lookup Tables'!$R$18, M58='Lookup Tables'!$R$19, M58='Lookup Tables'!$R$20, M58='Lookup Tables'!$R$21, M58='Lookup Tables'!$R$22), OR(AN58='Lookup Tables'!$R$17, AN58='Lookup Tables'!$R$17, AN58="")), "Y", "N"))</f>
        <v/>
      </c>
      <c r="GJ58" s="255" t="str">
        <f t="shared" si="79"/>
        <v/>
      </c>
      <c r="GK58" s="255" t="str">
        <f t="shared" si="80"/>
        <v/>
      </c>
      <c r="GL58" s="255" t="str">
        <f t="shared" si="81"/>
        <v/>
      </c>
      <c r="GM58" s="255" t="str">
        <f>IF(AN58="", "", IF(AND(IF(ISNA(VLOOKUP(AN58,'Lookup Tables'!$R$18:$R$22,1,FALSE)), "N", "Y")="Y", E58="Exterior"), "Y", "N"))</f>
        <v/>
      </c>
      <c r="GN58" s="395"/>
      <c r="GO58" s="428">
        <f t="shared" si="98"/>
        <v>0</v>
      </c>
      <c r="GP58" s="428">
        <f t="shared" si="167"/>
        <v>0</v>
      </c>
      <c r="GQ58" s="428">
        <f t="shared" si="99"/>
        <v>0</v>
      </c>
      <c r="GR58" s="428">
        <f t="shared" si="100"/>
        <v>0</v>
      </c>
    </row>
    <row r="59" spans="1:200" s="103" customFormat="1" ht="13.5" customHeight="1" x14ac:dyDescent="0.2">
      <c r="A59" s="272">
        <v>49</v>
      </c>
      <c r="B59" s="110"/>
      <c r="C59" s="110"/>
      <c r="D59" s="110"/>
      <c r="E59" s="110"/>
      <c r="F59" s="110"/>
      <c r="G59" s="110"/>
      <c r="H59" s="110"/>
      <c r="I59" s="29"/>
      <c r="J59" s="29"/>
      <c r="K59" s="272" t="str">
        <f>IFERROR(IF(OR(VLOOKUP(J59, 'Fixture Identities'!$A$6:$L$1023, 3, FALSE)="T12 Linear Fluorescent", VLOOKUP(J59, 'Fixture Identities'!$A$6:$L$1023, 3, FALSE)="T12 U-Tube Fluorescent"), VLOOKUP(VLOOKUP(J59, 'Fixture Identities'!$A$6:$L$1023, 11, FALSE), 'Fixture Identities'!$A$6:$L$1023, 10, FALSE), VLOOKUP(J59, 'Fixture Identities'!$A$6:$L$1023, 10, FALSE)), "")</f>
        <v/>
      </c>
      <c r="L59" s="270" t="str">
        <f t="shared" si="169"/>
        <v/>
      </c>
      <c r="M59" s="110"/>
      <c r="N59" s="110"/>
      <c r="O59" s="110"/>
      <c r="P59" s="272" t="str">
        <f>IFERROR(IF(OR(B59="Retrofit",B59=""),"",IF('Lighting Inventory'!E59="Exterior",VLOOKUP('Lighting Inventory'!N59,'Lookup Tables'!$B$83:$F$103,5,FALSE),IF(N59="Other - Please Estimate EFLH and CFs","Contact Prog. Rep.","ft^2"))), "")</f>
        <v/>
      </c>
      <c r="Q59" s="270" t="str">
        <f>IFERROR(IF(AND(B59="New Construction",E59="Interior",$F$5="Space-by-Space"),VLOOKUP('Lighting Inventory'!N59,'Lookup Tables'!$N$6:$O$97,2,FALSE),IF(AND(B59="New Construction",E59="Exterior"),VLOOKUP(N59,'Lookup Tables'!$B$83:$F$103,2,FALSE),IF(AND(B59="New Construction",'Lighting Inventory'!E59="Interior", $F$5="Building Area"),VLOOKUP(F59,'Lookup Tables'!$A$6:$J$59,10,FALSE),""))), "")</f>
        <v/>
      </c>
      <c r="R59" s="270" t="str">
        <f>IFERROR(IF(P59="Contact Prog. Rep.", "ERROR", IF(OR(B59="",B59="Retrofit"),"",IF(N59="Automated teller machines", ('Lookup Tables'!$A$82:$E$100+('Lighting Inventory'!O59-1)*'Lookup Tables'!$A$82:$E$100)/1000, (Q59*O59)/1000))), "")</f>
        <v/>
      </c>
      <c r="S59" s="595"/>
      <c r="T59" s="105" t="str">
        <f t="shared" si="83"/>
        <v/>
      </c>
      <c r="U59" s="105" t="str">
        <f>IF(S59="","",COUNT($S$11:S59))</f>
        <v/>
      </c>
      <c r="V59" s="111"/>
      <c r="W59" s="112"/>
      <c r="X59" s="105" t="str">
        <f t="shared" si="84"/>
        <v/>
      </c>
      <c r="Y59" s="105" t="str">
        <f t="array" ref="Y59">IF(AND(OR(W59="Freezer Case Lighting", W59="Refrigerated Case Lighting with Doors"), 'General Information'!$X$18="LCI"),'Lookup Tables'!$Y$34, IF(V59="Custom", VLOOKUP(W59, 'Fixture Identities'!$A$974:$M$1023, 13, FALSE), IF(V59="No Change",'Lookup Tables'!$Y$29,IF(OR(V59="",W59=""),"",IF(AND(S59=0,S59&lt;I59,B59="Retrofit"),'Lookup Tables'!$Y$25, IF(B59="Retrofit", INDEX('Lookup Tables'!$AH$6:$AP$102, MATCH(1, ('Lookup Tables'!$AH$6:$AH$102=V59)*('Lookup Tables'!$AI$6:$AI$102=W59), 0), IF('Lighting Inventory'!E59="Interior", 4, 5)), INDEX('Lookup Tables'!$AH$114:$AP$154, MATCH(1, ('Lookup Tables'!$AH$114:$AH$154=V59)*('Lookup Tables'!$AI$114:$AI$154=W59), 0), IF('Lighting Inventory'!E59="Interior", 4, 5))))))))</f>
        <v/>
      </c>
      <c r="Z59" s="105" t="str">
        <f>IFERROR(INDEX('Lookup Tables'!$AH$158:$AH$172,MATCH('Lighting Inventory'!Y59,'Lookup Tables'!$AI$158:$AI$172,0)),"")</f>
        <v/>
      </c>
      <c r="AA59" s="105" t="str">
        <f>IF(AP59&gt;0,INDEX('Lookup Tables'!$AK$158:$AK$172,MATCH('Lighting Inventory'!Y59,'Lookup Tables'!$AI$158:$AI$172,0)),'Lighting Inventory'!Y59)</f>
        <v/>
      </c>
      <c r="AB59" s="105" t="str">
        <f t="array" ref="AB59">IF(V59="Custom", "Custom", IF(V59="", "", IF(V59="Not DLC or Energy Star", "General", IF(B59="New Construction", INDEX('Lookup Tables'!$AH$114:$AP$154,MATCH(1,('Lookup Tables'!$AH$114:$AH$154='Lighting Inventory'!V59)*('Lookup Tables'!$AI$114:$AI$154='Lighting Inventory'!W59),FALSE),8), INDEX('Lookup Tables'!$AH$6:$AP$102,MATCH(1,('Lookup Tables'!$AH$6:$AH$102='Lighting Inventory'!V59)*('Lookup Tables'!$AI$6:$AI$102='Lighting Inventory'!W59),FALSE),8)))))</f>
        <v/>
      </c>
      <c r="AC59" s="272" t="str">
        <f>IF(W59="","",IF(V59="Custom",CONCATENATE("$",'Lookup Tables'!$AM$101," ",'Lookup Tables'!$AN$101),CONCATENATE("$",INDEX('Lookup Tables'!$AM$6:$AM$102,MATCH('Lighting Inventory'!W59,'Lookup Tables'!$AI$6:$AI$102,0))," ",INDEX('Lookup Tables'!$AN$6:$AN$102,MATCH('Lighting Inventory'!W59,'Lookup Tables'!$AI$6:$AI$102,0)))))</f>
        <v/>
      </c>
      <c r="AD59" s="72"/>
      <c r="AE59" s="29"/>
      <c r="AF59" s="379"/>
      <c r="AG59" s="370" t="str">
        <f t="shared" si="2"/>
        <v/>
      </c>
      <c r="AH59" s="370" t="str">
        <f t="shared" si="85"/>
        <v/>
      </c>
      <c r="AI59" s="29"/>
      <c r="AJ59" s="29"/>
      <c r="AK59" s="110"/>
      <c r="AL59" s="375" t="str">
        <f>IF(OR(B59="", V59="", W59=""), "", IF(V59="No Change", K59, IF(V59="Remove Fixture", 0, IF(V59="Custom",VLOOKUP(W59,'Fixture Identities'!$A$6:$K$1023,10,FALSE),IF(AE59="", "← ENTER POST WATTS", 'Lighting Inventory'!AE59)))))</f>
        <v/>
      </c>
      <c r="AM59" s="376" t="str">
        <f t="shared" si="3"/>
        <v/>
      </c>
      <c r="AN59" s="29"/>
      <c r="AO59" s="671"/>
      <c r="AP59" s="29"/>
      <c r="AQ59" s="29"/>
      <c r="AR59" s="29"/>
      <c r="AS59" s="272" t="str">
        <f t="shared" si="4"/>
        <v/>
      </c>
      <c r="AT59" s="270" t="str">
        <f t="shared" si="234"/>
        <v/>
      </c>
      <c r="AU59" s="88" t="str">
        <f t="shared" si="235"/>
        <v/>
      </c>
      <c r="AV59" s="29"/>
      <c r="AW59" s="73"/>
      <c r="AX59" s="271" t="str">
        <f>IF(AND(AV59="Applicant",OR(AW59="", AW59="Use Default Facility Hours")),"← Choose Schedule",IF(F59="","",IF(W59="LED Exit Signs",8760,IF(OR(AV59="Prescribed",AV59=""),VLOOKUP(F59,'Lookup Tables'!$A$6:$G$59,IF(AB59="General", 6, 3),FALSE),VLOOKUP(AW59,'Lookup Tables'!$S$36:$U$43,2,FALSE)))))</f>
        <v/>
      </c>
      <c r="AY59" s="88" t="str">
        <f t="shared" si="7"/>
        <v/>
      </c>
      <c r="AZ59" s="270" t="str">
        <f>IFERROR(IF(F59="", "", IF(W59="LED Exit Signs", 1, IF(AV59="Applicant",VLOOKUP(AW59, 'Lookup Tables'!$S$36:$U$43,3, FALSE), VLOOKUP('Lighting Inventory'!F59, 'Lookup Tables'!$A$6:$H$59, IF('Lighting Inventory'!AB59="General",7,4), FALSE)))), "")</f>
        <v/>
      </c>
      <c r="BA59" s="522" t="str">
        <f>IFERROR(IF(F59="", "", IF(W59="LED Exit Signs", 1, VLOOKUP('Lighting Inventory'!F59, 'Lookup Tables'!$A$6:$H$59, IF('Lighting Inventory'!AB59="General",8,5), FALSE))), "")</f>
        <v/>
      </c>
      <c r="BB59" s="270" t="str">
        <f>IF(G59="", "", IF(E59="Exterior", 0, IF('Lighting Inventory'!G59="Air Conditioned", VLOOKUP(H59, 'Lookup Tables'!$R$6:$T$13, 2, FALSE), VLOOKUP('Lighting Inventory'!G59, 'Lookup Tables'!$R$6:$T$13, 2, FALSE))))</f>
        <v/>
      </c>
      <c r="BC59" s="522" t="str">
        <f>IF(G59="", "", IF(E59="Exterior", 0, IF('Lighting Inventory'!G59="Air Conditioned", VLOOKUP(H59, 'Lookup Tables'!$R$6:$T$13, 3, FALSE), VLOOKUP('Lighting Inventory'!G59, 'Lookup Tables'!$R$6:$T$13, 3, FALSE))))</f>
        <v/>
      </c>
      <c r="BD59" s="270" t="str">
        <f>IF(G59="", "", IF(E59="Exterior", 0, IF('Lighting Inventory'!G59="Air Conditioned", VLOOKUP(H59, 'Lookup Tables'!$R$6:$U$13, 4, FALSE), VLOOKUP('Lighting Inventory'!G59, 'Lookup Tables'!$R$6:$U$13, 4, FALSE))))</f>
        <v/>
      </c>
      <c r="BE59" s="270" t="str">
        <f>IFERROR(IF(B59="", "",  IF(B59="New Construction", VLOOKUP(F59, 'Lookup Tables'!$A$6:$K$59, 11, FALSE),IF(OR(AN59="", AN59="Light Switch"), 0, IF(OR(M59="",M59="None",V59= "LED Exit Signs"),0,_xlfn.XLOOKUP(M59,'Lookup Tables'!$R$91:$R$101,'Lookup Tables'!$V$91:$V$101))))), "")</f>
        <v/>
      </c>
      <c r="BF59" s="270" t="str">
        <f>IF(AND(OR(AN59="Light Switch",AN59=""),B59="New Construction"), VLOOKUP(F59, 'Lookup Tables'!$A$6:$K$59, 11, FALSE),IF(AN59="","",IF(B59="","",IF(OR(AN59="None",AN59="",V59="LED Exit Signs",AN59="Exterior Controls Not Eligible"),0,_xlfn.XLOOKUP(AN59,'Lookup Tables'!$R$91:$R$101,'Lookup Tables'!$V$91:$V$101)))))</f>
        <v/>
      </c>
      <c r="BG59" s="88" t="str">
        <f t="shared" si="86"/>
        <v/>
      </c>
      <c r="BH59" s="88" t="str">
        <f t="shared" si="87"/>
        <v/>
      </c>
      <c r="BI59" s="558" t="str">
        <f t="shared" si="168"/>
        <v/>
      </c>
      <c r="BJ59" s="82" t="str">
        <f t="shared" si="88"/>
        <v/>
      </c>
      <c r="BK59" s="82" t="str">
        <f t="shared" si="89"/>
        <v/>
      </c>
      <c r="BL59" s="559" t="str">
        <f t="shared" si="90"/>
        <v/>
      </c>
      <c r="BM59" s="521" t="str">
        <f t="shared" si="8"/>
        <v/>
      </c>
      <c r="BN59" s="521" t="str">
        <f t="shared" si="9"/>
        <v/>
      </c>
      <c r="BO59" s="522" t="str">
        <f t="shared" si="10"/>
        <v/>
      </c>
      <c r="BP59" s="83" t="str">
        <f t="shared" si="91"/>
        <v/>
      </c>
      <c r="BQ59" s="84" t="str">
        <f t="shared" si="92"/>
        <v/>
      </c>
      <c r="BR59" s="184" t="str">
        <f>IFERROR(IF(B59="", "", IF(OR(VLOOKUP(J59, 'Fixture Identities'!$A$6:$L$1023, 3, FALSE)="T12 Linear Fluorescent",VLOOKUP(J59, 'Fixture Identities'!$A$6:$L$1023, 3, FALSE)="T12 U-Tube Fluorescent"), "Y", "N")), "N")</f>
        <v/>
      </c>
      <c r="BS59" s="184" t="str">
        <f t="array" ref="BS59">IFERROR(IF(OR(B59="", V59="", W59=""), "", IF(V59="Custom", "N", IF(OR(W59="Freezer Case Lighting", W59="Refrigerated Case Lighting with Doors"), BT59, IF(B59="Retrofit", INDEX('Lookup Tables'!$AH$6:$AT$102,MATCH(1,('Lookup Tables'!$AH$6:$AH$102=V59)*('Lookup Tables'!$AI$6:$AI$102=W59),FALSE),IF(VLOOKUP(J59, 'Fixture Identities'!$A$6:$B$1023, 2, FALSE)="Incandescent",12, 13)), INDEX('Lookup Tables'!$AH$114:$AS$154,MATCH(1,('Lookup Tables'!$AH$114:$AH$154=V59)*('Lookup Tables'!$AI$114:$AI$154=W59),FALSE),12))))), "N")</f>
        <v/>
      </c>
      <c r="BT59" s="184" t="str">
        <f>IF(J59="", "", IF(AND(OR(W59="Freezer case Lighting", W59="Refrigerated Case Lighting with Doors"),'General Information'!$X$18="LCI"), "N", IF(OR(VLOOKUP(J59, 'Fixture Identities'!$A$6:$B$1023, 2, FALSE)="T12 EPACT/EISA Baseline", VLOOKUP(J59, 'Fixture Identities'!$A$6:$B$1023, 2, FALSE)="Linear Fluorescent", VLOOKUP(J59, 'Fixture Identities'!$A$6:$B$1023, 2, FALSE)="U-Tube Fluorescent"), "Y", "N")))</f>
        <v/>
      </c>
      <c r="BU59" s="184" t="str">
        <f>IFERROR(IF(B59="", "", IF(VLOOKUP(J59, 'Fixture Identities'!$A$6:$B$1023, 2, FALSE)="Exit Sign", "Y", "N")), "N")</f>
        <v/>
      </c>
      <c r="BV59" s="184" t="str">
        <f>IF(V59="Exit Signs", IF(VLOOKUP(J59, 'Fixture Identities'!$A$6:$B$1023, 2, FALSE)="Exit Sign", "N", "Y"), "")</f>
        <v/>
      </c>
      <c r="BW59" s="184" t="str">
        <f t="array" ref="BW59">IFERROR(IF(B59="", "", IF(B59="New Construction", "N", INDEX('Lookup Tables'!$AH$6:$AU$102, MATCH(1, ('Lookup Tables'!$AH$6:$AH$102='Lighting Inventory'!V59)*('Lookup Tables'!$AI$6:$AI$102='Lighting Inventory'!W59), 0), 14))), "N")</f>
        <v/>
      </c>
      <c r="BX59" s="598" t="str">
        <f t="shared" si="93"/>
        <v/>
      </c>
      <c r="BY59" s="598" t="str">
        <f t="shared" si="94"/>
        <v/>
      </c>
      <c r="BZ59" s="598" t="str">
        <f t="shared" si="95"/>
        <v/>
      </c>
      <c r="CA59" s="598" t="str">
        <f t="shared" si="101"/>
        <v/>
      </c>
      <c r="CB59" s="269" t="str">
        <f t="shared" si="102"/>
        <v/>
      </c>
      <c r="CC59" s="517" t="str">
        <f t="shared" si="96"/>
        <v/>
      </c>
      <c r="CD59" s="565" t="str">
        <f t="shared" si="11"/>
        <v/>
      </c>
      <c r="CE59" s="368">
        <v>0</v>
      </c>
      <c r="CF59" s="368" t="str" cm="1">
        <f t="array" ref="CF59">IFERROR(IF(V59="Custom", "$0.1 per kWh", IF(B59="New Construction", CONCATENATE("$",INDEX('Lookup Tables'!$AH$114:$AN$154,MATCH(1,('Lookup Tables'!$AH$114:$AH$154='Lighting Inventory'!V59)*('Lookup Tables'!$AI$114:$AI$154='Lighting Inventory'!W59),FALSE),6)," ",INDEX('Lookup Tables'!$AH$114:$AN$154,MATCH(1,('Lookup Tables'!$AH$114:$AH$154='Lighting Inventory'!V59)*('Lookup Tables'!$AI$114:$AI$154='Lighting Inventory'!W59),FALSE),7)), IF(AND(BU59="N", V59="Exit Signs"), "$0.025 per kWh", CONCATENATE("$",INDEX('Lookup Tables'!$AH$6:$AN$102,MATCH(1,('Lookup Tables'!$AH$6:$AH$102='Lighting Inventory'!V59)*('Lookup Tables'!$AI$6:$AI$102='Lighting Inventory'!W59),FALSE),6)," ",INDEX('Lookup Tables'!$AH$6:$AN$102,MATCH(1,('Lookup Tables'!$AH$6:$AH$102='Lighting Inventory'!V59)*('Lookup Tables'!$AI$6:$AI$102='Lighting Inventory'!W59),FALSE),7))))), "")</f>
        <v/>
      </c>
      <c r="CG59" s="366"/>
      <c r="CH59" s="248" t="str">
        <f t="shared" si="236"/>
        <v/>
      </c>
      <c r="CI59" s="248" t="str">
        <f t="shared" si="237"/>
        <v>Select_IE</v>
      </c>
      <c r="CJ59" s="248" t="str">
        <f t="shared" si="238"/>
        <v/>
      </c>
      <c r="CK59" s="248" t="str">
        <f t="shared" si="239"/>
        <v/>
      </c>
      <c r="CL59" s="248" t="str">
        <f t="shared" si="240"/>
        <v/>
      </c>
      <c r="CM59" s="248" t="str">
        <f>IFERROR(IF(B59="", "", IF(B59="New Construction", VLOOKUP(V59, 'Lookup Tables'!$AF$114:$AG$120, 2, FALSE), VLOOKUP(V59, 'Lookup Tables'!$AD$6:$AE$25, 2, FALSE))), "")</f>
        <v/>
      </c>
      <c r="CN59" s="248" t="str">
        <f t="shared" si="175"/>
        <v/>
      </c>
      <c r="CO59" s="248" t="str">
        <f t="shared" si="241"/>
        <v/>
      </c>
      <c r="CP59" s="592" t="str">
        <f t="shared" si="242"/>
        <v/>
      </c>
      <c r="CQ59" s="248" t="str">
        <f t="shared" si="97"/>
        <v/>
      </c>
      <c r="CR59" s="100"/>
      <c r="CS59" s="250" t="str">
        <f t="shared" si="178"/>
        <v/>
      </c>
      <c r="CT59" s="250" t="str">
        <f t="shared" si="243"/>
        <v/>
      </c>
      <c r="CU59" s="250" t="str">
        <f t="shared" si="244"/>
        <v/>
      </c>
      <c r="CV59" s="250" t="str">
        <f t="shared" si="245"/>
        <v/>
      </c>
      <c r="CW59" s="250" t="str">
        <f t="shared" si="246"/>
        <v/>
      </c>
      <c r="CX59" s="250" t="str">
        <f t="shared" si="247"/>
        <v/>
      </c>
      <c r="CY59" s="250" t="str">
        <f t="shared" si="248"/>
        <v/>
      </c>
      <c r="CZ59" s="250" t="str">
        <f t="shared" si="249"/>
        <v/>
      </c>
      <c r="DA59" s="250" t="str">
        <f t="shared" si="250"/>
        <v/>
      </c>
      <c r="DB59" s="250" t="str">
        <f t="shared" si="251"/>
        <v/>
      </c>
      <c r="DC59" s="250" t="str">
        <f t="shared" si="252"/>
        <v/>
      </c>
      <c r="DD59" s="250" t="str">
        <f t="shared" si="253"/>
        <v/>
      </c>
      <c r="DE59" s="250" t="str">
        <f t="shared" si="254"/>
        <v/>
      </c>
      <c r="DF59" s="250" t="str">
        <f t="shared" si="255"/>
        <v/>
      </c>
      <c r="DG59" s="250" t="str">
        <f t="shared" si="256"/>
        <v/>
      </c>
      <c r="DH59" s="250" t="str">
        <f t="shared" si="257"/>
        <v/>
      </c>
      <c r="DI59" s="250" t="str">
        <f t="shared" si="258"/>
        <v/>
      </c>
      <c r="DJ59" s="250" t="str">
        <f t="shared" si="259"/>
        <v/>
      </c>
      <c r="DK59" s="250" t="str">
        <f t="shared" si="260"/>
        <v/>
      </c>
      <c r="DL59" s="250" t="str">
        <f t="shared" si="261"/>
        <v/>
      </c>
      <c r="DM59" s="250" t="str">
        <f>IF(CD59="ERROR", "ERROR", IF(AND(OR(Y59=$DM$6, Y59='Lookup Tables'!$AD$21, Y59='Lookup Tables'!$AD$22), E59="Interior"), BJ59, ""))</f>
        <v/>
      </c>
      <c r="DN59" s="250" t="str">
        <f>IF(CD59="ERROR", "ERROR", IF(AND(OR(Y59=$DM$6, Y59='Lookup Tables'!$AD$21, Y59='Lookup Tables'!$AD$22), E59="Exterior"), BJ59, ""))</f>
        <v/>
      </c>
      <c r="DO59" s="100"/>
      <c r="DP59" s="250" t="str">
        <f t="shared" si="198"/>
        <v/>
      </c>
      <c r="DQ59" s="250" t="str">
        <f t="shared" si="262"/>
        <v/>
      </c>
      <c r="DR59" s="250" t="str">
        <f t="shared" si="263"/>
        <v/>
      </c>
      <c r="DS59" s="250" t="str">
        <f t="shared" si="264"/>
        <v/>
      </c>
      <c r="DT59" s="250" t="str">
        <f t="shared" si="265"/>
        <v/>
      </c>
      <c r="DU59" s="250" t="str">
        <f t="shared" si="266"/>
        <v/>
      </c>
      <c r="DV59" s="250" t="str">
        <f t="shared" si="267"/>
        <v/>
      </c>
      <c r="DW59" s="250" t="str">
        <f t="shared" si="268"/>
        <v/>
      </c>
      <c r="DX59" s="250" t="str">
        <f t="shared" si="269"/>
        <v/>
      </c>
      <c r="DY59" s="250" t="str">
        <f t="shared" si="270"/>
        <v/>
      </c>
      <c r="DZ59" s="250" t="str">
        <f t="shared" si="271"/>
        <v/>
      </c>
      <c r="EA59" s="250" t="str">
        <f t="shared" si="272"/>
        <v/>
      </c>
      <c r="EB59" s="250" t="str">
        <f t="shared" si="273"/>
        <v/>
      </c>
      <c r="EC59" s="250" t="str">
        <f t="shared" si="274"/>
        <v/>
      </c>
      <c r="ED59" s="250" t="str">
        <f t="shared" si="275"/>
        <v/>
      </c>
      <c r="EE59" s="250" t="str">
        <f t="shared" si="276"/>
        <v/>
      </c>
      <c r="EF59" s="250" t="str">
        <f t="shared" si="277"/>
        <v/>
      </c>
      <c r="EG59" s="250" t="str">
        <f t="shared" si="278"/>
        <v/>
      </c>
      <c r="EH59" s="250" t="str">
        <f>IF(CD59="ERROR", "ERROR", IF(AND(OR($EH$6=Y59, Y59='Lookup Tables'!$AD$21, Y59='Lookup Tables'!$AD$22),E59="Interior"), SUM(BP59:BP59), ""))</f>
        <v/>
      </c>
      <c r="EI59" s="250" t="str">
        <f>IF(CD59="ERROR", "ERROR", IF(AND(OR($EH$6=Y59, Y59='Lookup Tables'!$AD$21, Y59='Lookup Tables'!$AD$22),E59="Exterior"), SUM(BP59:BP59), ""))</f>
        <v/>
      </c>
      <c r="EJ59" s="109"/>
      <c r="EK59" s="485" t="str">
        <f t="shared" si="58"/>
        <v/>
      </c>
      <c r="EL59" s="252" t="str">
        <f t="shared" si="279"/>
        <v/>
      </c>
      <c r="EM59" s="252" t="str">
        <f t="shared" si="280"/>
        <v/>
      </c>
      <c r="EN59" s="252" t="str">
        <f t="shared" si="281"/>
        <v/>
      </c>
      <c r="EO59" s="252" t="str">
        <f t="shared" si="282"/>
        <v/>
      </c>
      <c r="EP59" s="252" t="str">
        <f t="shared" si="283"/>
        <v/>
      </c>
      <c r="EQ59" s="252" t="str">
        <f t="shared" si="284"/>
        <v/>
      </c>
      <c r="ER59" s="252" t="str">
        <f t="shared" si="285"/>
        <v/>
      </c>
      <c r="ES59" s="252" t="str">
        <f t="shared" si="286"/>
        <v/>
      </c>
      <c r="ET59" s="252" t="str">
        <f t="shared" si="287"/>
        <v/>
      </c>
      <c r="EU59" s="252" t="str">
        <f t="shared" si="288"/>
        <v/>
      </c>
      <c r="EV59" s="252" t="str">
        <f t="shared" si="289"/>
        <v/>
      </c>
      <c r="EW59" s="252" t="str">
        <f t="shared" si="290"/>
        <v/>
      </c>
      <c r="EX59" s="252" t="str">
        <f t="shared" si="291"/>
        <v/>
      </c>
      <c r="EY59" s="252" t="str">
        <f t="shared" si="292"/>
        <v/>
      </c>
      <c r="EZ59" s="252" t="str">
        <f t="shared" si="293"/>
        <v/>
      </c>
      <c r="FA59" s="252" t="str">
        <f t="shared" si="294"/>
        <v/>
      </c>
      <c r="FB59" s="252" t="str">
        <f t="shared" si="295"/>
        <v/>
      </c>
      <c r="FC59" s="252" t="str">
        <f>IF(CD59="ERROR", "ERROR", IF(OR(V59="No Change", V59="Not DLC or Energy Star"), "", IF(AND(OR($FC$6=Y59,Y59='Lookup Tables'!$AD$21, Y59='Lookup Tables'!$AD$22),E59="Interior"), S59, "")))</f>
        <v/>
      </c>
      <c r="FD59" s="252" t="str">
        <f t="shared" si="296"/>
        <v/>
      </c>
      <c r="FE59" s="101"/>
      <c r="FF59" s="579" t="str" cm="1">
        <f t="array" ref="FF59">IFERROR(IF(OR(BQ59&lt;=0,AQ59&lt;20,AND(V59="Exit Signs",AN59&gt;0)),"",IF(AND(AQ59&gt;=20,AN59='Lookup Tables'!$R$101),'Lookup Tables'!$U$101*BQ59,AP59*LOOKUP(2,1/((AN59='Lookup Tables'!$R$91:$R$111)*(AQ59&gt;='Lookup Tables'!$S$91:$S$111)*(AQ59&lt;='Lookup Tables'!$T$91:$T$111)),'Lookup Tables'!$U$91:$U$111))),"")</f>
        <v/>
      </c>
      <c r="FG59" s="579"/>
      <c r="FH59" s="579"/>
      <c r="FI59" s="253" t="str">
        <f>IFERROR(ROUND(IF(CD59="ERROR", "ERROR", IF(AND($FI$7=X59,E59="Interior"),VLOOKUP(W59, 'Lookup Tables'!$AI$6:$AM$102, 5, FALSE)*BP59, "")), 2), "")</f>
        <v/>
      </c>
      <c r="FJ59" s="253" t="str">
        <f>IFERROR(ROUND(IF(CD59="ERROR", "ERROR", IF(AND($FI$7=X59,E59="Exterior"),VLOOKUP(W59, 'Lookup Tables'!$AI$6:$AM$102, 5, FALSE)*BP59, "")), 2), "")</f>
        <v/>
      </c>
      <c r="FK59" s="253" t="str">
        <f>IFERROR(ROUND(IF(CD59="ERROR", "ERROR", IF(AND($FK$7=X59,E59="Interior"),VLOOKUP(W59, 'Lookup Tables'!$AI$6:$AM$102, 5, FALSE)*BP59, "")), 2), "")</f>
        <v/>
      </c>
      <c r="FL59" s="253" t="str">
        <f>IFERROR(ROUND(IF(CD59="ERROR", "ERROR", IF(AND($FK$7=X59,E59="Exterior"),VLOOKUP(W59, 'Lookup Tables'!$AI$6:$AM$102, 5, FALSE)*BP59, "")), 2), "")</f>
        <v/>
      </c>
      <c r="FM59" s="253" t="str">
        <f>IFERROR(ROUND(IF(CD59="ERROR", "ERROR", IF(AND($FM$6=Y59,E59="Interior"), IF(GB59=0, VLOOKUP(W59, 'Lookup Tables'!$AI$6:$AM$102, 5, FALSE)*BP59, IF(VLOOKUP(W59, 'Lookup Tables'!$AI$6:$AM$102, 5, FALSE)*BP59&gt;GB59*'Lighting Inventory'!S59, GB59*'Lighting Inventory'!S59,VLOOKUP(W59, 'Lookup Tables'!$AI$6:$AM$102, 5, FALSE)*BP59)), "")), 2), "")</f>
        <v/>
      </c>
      <c r="FN59" s="253" t="str">
        <f>IFERROR(ROUND(IF(CD59="ERROR", "ERROR", IF(AND($FM$6=Y59,E59="Exterior"), IF(GB59=0, VLOOKUP(W59, 'Lookup Tables'!$AI$6:$AM$102, 5, FALSE)*BP59, IF(VLOOKUP(W59, 'Lookup Tables'!$AI$6:$AM$102, 5, FALSE)*BP59&gt;GB59*'Lighting Inventory'!S59, GB59*'Lighting Inventory'!S59,VLOOKUP(W59, 'Lookup Tables'!$AI$6:$AM$102, 5, FALSE)*BP59)), "")), 2), "")</f>
        <v/>
      </c>
      <c r="FO59" s="253" t="str">
        <f>IFERROR(ROUND(IF(CD59="ERROR", "ERROR", IF(AND($FO$6=Y59,E59="Interior"),VLOOKUP(W59, 'Lookup Tables'!$AI$6:$AM$102, 5, FALSE)*'Lighting Inventory'!AI59, "")), 2), "")</f>
        <v/>
      </c>
      <c r="FP59" s="253" t="str">
        <f>IFERROR(ROUND(IF(CD59="ERROR", "ERROR", IF(AND($FO$6=Y59,E59="Exterior"),VLOOKUP(W59, 'Lookup Tables'!$AI$6:$AM$102, 5, FALSE)*'Lighting Inventory'!AI59, "")), 2), "")</f>
        <v/>
      </c>
      <c r="FQ59" s="253" t="str">
        <f>IFERROR(ROUND(IF(CD59="ERROR", "ERROR", IF(AND($FQ$6=Y59,E59="Interior", BU59="Y"), VLOOKUP('Lighting Inventory'!W59, 'Lookup Tables'!$AI$6:$AM$102, 5, FALSE)*'Lighting Inventory'!S59, IF(AND($FQ$7=Y59,E59="Interior", BU59="N"), 0.025*CD59, ""))), 2), "")</f>
        <v/>
      </c>
      <c r="FR59" s="253" t="str">
        <f>IFERROR(ROUND(IF(CD59="ERROR", "ERROR", IF(AND($FQ$6=Y59,E59="Exterior"), VLOOKUP('Lighting Inventory'!W59, 'Lookup Tables'!$AI$6:$AM$102, 5, FALSE)*'Lighting Inventory'!S59, "")), 2), "")</f>
        <v/>
      </c>
      <c r="FS59" s="253" t="str">
        <f>IFERROR(ROUND(IF(CD59="ERROR", "ERROR", IF(AND($FS$6=Y59,E59="Exterior"), IF(GB59=0, VLOOKUP(W59, 'Lookup Tables'!$AI$6:$AM$102, 5, FALSE)*BP59, IF(VLOOKUP(W59, 'Lookup Tables'!$AI$6:$AM$102, 5, FALSE)*BP59&gt;GB59*'Lighting Inventory'!S59, GB59*'Lighting Inventory'!S59,VLOOKUP(W59, 'Lookup Tables'!$AI$6:$AM$102, 5, FALSE)*BP59)), "")), 2), "")</f>
        <v/>
      </c>
      <c r="FT59" s="253" t="str">
        <f>IFERROR(ROUND(IF(CD59="ERROR", "ERROR", IF(AND($FT$6=Y59,E59="Interior"), IF(GB59=0, VLOOKUP(W59, 'Lookup Tables'!$AI$6:$AM$102, 5, FALSE)*BP59, IF(VLOOKUP(W59, 'Lookup Tables'!$AI$6:$AM$102, 5, FALSE)*BP59&gt;GB59*'Lighting Inventory'!S59, GB59*'Lighting Inventory'!S59,VLOOKUP(W59, 'Lookup Tables'!$AI$6:$AM$102, 5, FALSE)*BP59)), "")), 2), "")</f>
        <v/>
      </c>
      <c r="FU59" s="253" t="str">
        <f>IFERROR(ROUND(IF(CD59="ERROR", "ERROR", IF(AND(Y59=$FU$6, E59="Interior"), IF(BS59="N", 'Lookup Tables'!$AM$101*BP59, VLOOKUP(W59, 'Lookup Tables'!$AI$6:$AM$102, 5, FALSE)*S59*AD59), "")), 2), "")</f>
        <v/>
      </c>
      <c r="FV59" s="253" t="str">
        <f>IFERROR(ROUND(IF(CD59="ERROR", "ERROR", IF(AND(Y59=$FU$6, E59="Exterior"), IF(BS59="N", 'Lookup Tables'!$AM$101*BP59, VLOOKUP(W59, 'Lookup Tables'!$AI$6:$AM$102, 5, FALSE)*S59*AD59), "")), 2), "")</f>
        <v/>
      </c>
      <c r="FW59" s="253" t="str">
        <f>IFERROR(ROUND(IF(CD59="ERROR", "ERROR", IF($FW$6=Y59, IF(BS59="N", 'Lookup Tables'!$AM$101*BP59, MIN((VLOOKUP(W59, 'Lookup Tables'!$AI$6:$AM$102, 5, FALSE)*BP59),GB59*AJ59)), "")), 2), "")</f>
        <v/>
      </c>
      <c r="FX59" s="253" t="str">
        <f>IFERROR(ROUND(IF(CD59="ERROR", "ERROR", IF(AND($FX$6=Y59, E59="Interior"), IF(VLOOKUP(W59, 'Lookup Tables'!$AI$6:$AM$102, 5, FALSE)*BP59&gt;'Lookup Tables'!$AQ$97*'Lighting Inventory'!S59,'Lighting Inventory'!S59*'Lookup Tables'!$AQ$97,VLOOKUP(W59, 'Lookup Tables'!$AI$6:$AM$102, 5, FALSE)*BP59), "")), 2), "")</f>
        <v/>
      </c>
      <c r="FY59" s="253" t="str">
        <f>IFERROR(ROUND(IF(CD59="ERROR", "ERROR", IF(AND($FX$6=Y59, E59="Exterior"), IF(VLOOKUP(W59, 'Lookup Tables'!$AI$6:$AM$102, 5, FALSE)*BP59&gt;'Lookup Tables'!$AQ$97*'Lighting Inventory'!S59,'Lighting Inventory'!S59*'Lookup Tables'!$AQ$97,VLOOKUP(W59, 'Lookup Tables'!$AI$6:$AM$102, 5, FALSE)*BP59), "")), 2), "")</f>
        <v/>
      </c>
      <c r="FZ59" s="253" t="str">
        <f>IFERROR(ROUND(IF(CD59="ERROR", "ERROR", IF(AND($FZ$6=Y59, E59="Interior"), IF(AND(OR(W59="Refrigerated Case Lighting with Doors", W59="Freezer Case Lighting"),Y59="Custom - Process Improvement"),CD59*'Lookup Tables'!$AM$101, IF(B59="Retrofit", IF(VLOOKUP(IF(V59="Custom", V59, W59), 'Lookup Tables'!$AI$6:$AM$102, 5, FALSE)*BP59&gt;GE59, GE59, VLOOKUP(IF(V59="Custom", V59, W59), 'Lookup Tables'!$AI$6:$AM$102, 5, FALSE)*BP59), IF(VLOOKUP(IF(V59="Custom", V59, W59), 'Lookup Tables'!$AI$114:$AM$154, 5, FALSE)*BP59&gt;GE59, GE59, VLOOKUP(IF(V59="Custom", V59, W59), 'Lookup Tables'!$AI$114:$AM$154, 5, FALSE)*BP59))), "")), 2),"")</f>
        <v/>
      </c>
      <c r="GA59" s="253" t="str">
        <f>IFERROR(ROUND(IF(CD59="ERROR", "ERROR", IF(AND($FZ$6=Y59, E59="Exterior"), IF(B59="Retrofit", IF(VLOOKUP(IF(V59="Custom", V59, W59), 'Lookup Tables'!$AI$6:$AM$102, 5, FALSE)*BP59&gt;GE59, GE59, VLOOKUP(IF(V59="Custom", V59, W59), 'Lookup Tables'!$AI$6:$AM$102, 5, FALSE)*BP59), IF(VLOOKUP(IF(V59="Custom", V59, W59), 'Lookup Tables'!$AI$114:$AM$154, 5, FALSE)*BP59&gt;GE59, GE59, VLOOKUP(IF(V59="Custom", V59, W59), 'Lookup Tables'!$AI$114:$AM$154, 5, FALSE)*BP59)), "")), 2),"")</f>
        <v/>
      </c>
      <c r="GB59" s="254" t="str">
        <f t="array" ref="GB59">IF(B59="","",IF(OR(V59="Custom",V59="No Change"),0,IF(B59="Retrofit", INDEX('Lookup Tables'!$AH$6:$AQ$102,MATCH(1,('Lookup Tables'!$AH$6:$AH$102='Lighting Inventory'!V59)*('Lookup Tables'!$AI$6:$AI$102='Lighting Inventory'!W59),FALSE),10),INDEX('Lookup Tables'!$AH$114:$AQ$154,MATCH(1,('Lookup Tables'!$AH$114:$AH$154='Lighting Inventory'!V59)*('Lookup Tables'!$AI$114:$AI$154='Lighting Inventory'!W59),FALSE),10))))</f>
        <v/>
      </c>
      <c r="GC59" s="255" t="str">
        <f t="shared" si="77"/>
        <v/>
      </c>
      <c r="GD59" s="250" t="str">
        <f t="shared" si="78"/>
        <v/>
      </c>
      <c r="GE59" s="253" t="str">
        <f>IFERROR(IF(AND(AF59="", 'General Information'!$F$18="No"),"", IF(AF59="", ((GD59/$CD$266)*$CF$266)*0.5, AF59*S59*0.5)), "")</f>
        <v/>
      </c>
      <c r="GF59" s="255" t="str">
        <f>IF(AND('General Information'!$F$19="", 'General Information'!$F$18="Yes",AF59="",BW59="Y"), "Y", "N")</f>
        <v>N</v>
      </c>
      <c r="GG59" s="255" t="s">
        <v>2946</v>
      </c>
      <c r="GH59" s="255" t="str">
        <f>IFERROR(IF(B59="", "", VLOOKUP(J59, 'Fixture Identities'!$A$6:$N$908, 14, FALSE)), "")</f>
        <v/>
      </c>
      <c r="GI59" s="389" t="str">
        <f>IF(OR(B59="", V59="", W59=""), "", IF(AND(OR(M59='Lookup Tables'!$R$18, M59='Lookup Tables'!$R$19, M59='Lookup Tables'!$R$20, M59='Lookup Tables'!$R$21, M59='Lookup Tables'!$R$22), OR(AN59='Lookup Tables'!$R$17, AN59='Lookup Tables'!$R$17, AN59="")), "Y", "N"))</f>
        <v/>
      </c>
      <c r="GJ59" s="255" t="str">
        <f t="shared" si="79"/>
        <v/>
      </c>
      <c r="GK59" s="255" t="str">
        <f t="shared" si="80"/>
        <v/>
      </c>
      <c r="GL59" s="255" t="str">
        <f t="shared" si="81"/>
        <v/>
      </c>
      <c r="GM59" s="255" t="str">
        <f>IF(AN59="", "", IF(AND(IF(ISNA(VLOOKUP(AN59,'Lookup Tables'!$R$18:$R$22,1,FALSE)), "N", "Y")="Y", E59="Exterior"), "Y", "N"))</f>
        <v/>
      </c>
      <c r="GN59" s="395"/>
      <c r="GO59" s="428">
        <f t="shared" si="98"/>
        <v>0</v>
      </c>
      <c r="GP59" s="428">
        <f t="shared" si="167"/>
        <v>0</v>
      </c>
      <c r="GQ59" s="428">
        <f t="shared" si="99"/>
        <v>0</v>
      </c>
      <c r="GR59" s="428">
        <f t="shared" si="100"/>
        <v>0</v>
      </c>
    </row>
    <row r="60" spans="1:200" s="103" customFormat="1" ht="13.5" customHeight="1" x14ac:dyDescent="0.2">
      <c r="A60" s="272">
        <v>50</v>
      </c>
      <c r="B60" s="110"/>
      <c r="C60" s="110"/>
      <c r="D60" s="110"/>
      <c r="E60" s="110"/>
      <c r="F60" s="110"/>
      <c r="G60" s="110"/>
      <c r="H60" s="110"/>
      <c r="I60" s="29"/>
      <c r="J60" s="29"/>
      <c r="K60" s="272" t="str">
        <f>IFERROR(IF(OR(VLOOKUP(J60, 'Fixture Identities'!$A$6:$L$1023, 3, FALSE)="T12 Linear Fluorescent", VLOOKUP(J60, 'Fixture Identities'!$A$6:$L$1023, 3, FALSE)="T12 U-Tube Fluorescent"), VLOOKUP(VLOOKUP(J60, 'Fixture Identities'!$A$6:$L$1023, 11, FALSE), 'Fixture Identities'!$A$6:$L$1023, 10, FALSE), VLOOKUP(J60, 'Fixture Identities'!$A$6:$L$1023, 10, FALSE)), "")</f>
        <v/>
      </c>
      <c r="L60" s="270" t="str">
        <f t="shared" si="169"/>
        <v/>
      </c>
      <c r="M60" s="110"/>
      <c r="N60" s="110"/>
      <c r="O60" s="110"/>
      <c r="P60" s="272" t="str">
        <f>IFERROR(IF(OR(B60="Retrofit",B60=""),"",IF('Lighting Inventory'!E60="Exterior",VLOOKUP('Lighting Inventory'!N60,'Lookup Tables'!$B$83:$F$103,5,FALSE),IF(N60="Other - Please Estimate EFLH and CFs","Contact Prog. Rep.","ft^2"))), "")</f>
        <v/>
      </c>
      <c r="Q60" s="270" t="str">
        <f>IFERROR(IF(AND(B60="New Construction",E60="Interior",$F$5="Space-by-Space"),VLOOKUP('Lighting Inventory'!N60,'Lookup Tables'!$N$6:$O$97,2,FALSE),IF(AND(B60="New Construction",E60="Exterior"),VLOOKUP(N60,'Lookup Tables'!$B$83:$F$103,2,FALSE),IF(AND(B60="New Construction",'Lighting Inventory'!E60="Interior", $F$5="Building Area"),VLOOKUP(F60,'Lookup Tables'!$A$6:$J$59,10,FALSE),""))), "")</f>
        <v/>
      </c>
      <c r="R60" s="270" t="str">
        <f>IFERROR(IF(P60="Contact Prog. Rep.", "ERROR", IF(OR(B60="",B60="Retrofit"),"",IF(N60="Automated teller machines", ('Lookup Tables'!$A$82:$E$100+('Lighting Inventory'!O60-1)*'Lookup Tables'!$A$82:$E$100)/1000, (Q60*O60)/1000))), "")</f>
        <v/>
      </c>
      <c r="S60" s="595"/>
      <c r="T60" s="105" t="str">
        <f t="shared" si="83"/>
        <v/>
      </c>
      <c r="U60" s="105" t="str">
        <f>IF(S60="","",COUNT($S$11:S60))</f>
        <v/>
      </c>
      <c r="V60" s="111"/>
      <c r="W60" s="112"/>
      <c r="X60" s="105" t="str">
        <f t="shared" si="84"/>
        <v/>
      </c>
      <c r="Y60" s="105" t="str">
        <f t="array" ref="Y60">IF(AND(OR(W60="Freezer Case Lighting", W60="Refrigerated Case Lighting with Doors"), 'General Information'!$X$18="LCI"),'Lookup Tables'!$Y$34, IF(V60="Custom", VLOOKUP(W60, 'Fixture Identities'!$A$974:$M$1023, 13, FALSE), IF(V60="No Change",'Lookup Tables'!$Y$29,IF(OR(V60="",W60=""),"",IF(AND(S60=0,S60&lt;I60,B60="Retrofit"),'Lookup Tables'!$Y$25, IF(B60="Retrofit", INDEX('Lookup Tables'!$AH$6:$AP$102, MATCH(1, ('Lookup Tables'!$AH$6:$AH$102=V60)*('Lookup Tables'!$AI$6:$AI$102=W60), 0), IF('Lighting Inventory'!E60="Interior", 4, 5)), INDEX('Lookup Tables'!$AH$114:$AP$154, MATCH(1, ('Lookup Tables'!$AH$114:$AH$154=V60)*('Lookup Tables'!$AI$114:$AI$154=W60), 0), IF('Lighting Inventory'!E60="Interior", 4, 5))))))))</f>
        <v/>
      </c>
      <c r="Z60" s="105" t="str">
        <f>IFERROR(INDEX('Lookup Tables'!$AH$158:$AH$172,MATCH('Lighting Inventory'!Y60,'Lookup Tables'!$AI$158:$AI$172,0)),"")</f>
        <v/>
      </c>
      <c r="AA60" s="105" t="str">
        <f>IF(AP60&gt;0,INDEX('Lookup Tables'!$AK$158:$AK$172,MATCH('Lighting Inventory'!Y60,'Lookup Tables'!$AI$158:$AI$172,0)),'Lighting Inventory'!Y60)</f>
        <v/>
      </c>
      <c r="AB60" s="105" t="str">
        <f t="array" ref="AB60">IF(V60="Custom", "Custom", IF(V60="", "", IF(V60="Not DLC or Energy Star", "General", IF(B60="New Construction", INDEX('Lookup Tables'!$AH$114:$AP$154,MATCH(1,('Lookup Tables'!$AH$114:$AH$154='Lighting Inventory'!V60)*('Lookup Tables'!$AI$114:$AI$154='Lighting Inventory'!W60),FALSE),8), INDEX('Lookup Tables'!$AH$6:$AP$102,MATCH(1,('Lookup Tables'!$AH$6:$AH$102='Lighting Inventory'!V60)*('Lookup Tables'!$AI$6:$AI$102='Lighting Inventory'!W60),FALSE),8)))))</f>
        <v/>
      </c>
      <c r="AC60" s="272" t="str">
        <f>IF(W60="","",IF(V60="Custom",CONCATENATE("$",'Lookup Tables'!$AM$101," ",'Lookup Tables'!$AN$101),CONCATENATE("$",INDEX('Lookup Tables'!$AM$6:$AM$102,MATCH('Lighting Inventory'!W60,'Lookup Tables'!$AI$6:$AI$102,0))," ",INDEX('Lookup Tables'!$AN$6:$AN$102,MATCH('Lighting Inventory'!W60,'Lookup Tables'!$AI$6:$AI$102,0)))))</f>
        <v/>
      </c>
      <c r="AD60" s="72"/>
      <c r="AE60" s="29"/>
      <c r="AF60" s="379"/>
      <c r="AG60" s="370" t="str">
        <f t="shared" si="2"/>
        <v/>
      </c>
      <c r="AH60" s="370" t="str">
        <f t="shared" si="85"/>
        <v/>
      </c>
      <c r="AI60" s="29"/>
      <c r="AJ60" s="29"/>
      <c r="AK60" s="110"/>
      <c r="AL60" s="375" t="str">
        <f>IF(OR(B60="", V60="", W60=""), "", IF(V60="No Change", K60, IF(V60="Remove Fixture", 0, IF(V60="Custom",VLOOKUP(W60,'Fixture Identities'!$A$6:$K$1023,10,FALSE),IF(AE60="", "← ENTER POST WATTS", 'Lighting Inventory'!AE60)))))</f>
        <v/>
      </c>
      <c r="AM60" s="376" t="str">
        <f t="shared" si="3"/>
        <v/>
      </c>
      <c r="AN60" s="29"/>
      <c r="AO60" s="671"/>
      <c r="AP60" s="29"/>
      <c r="AQ60" s="29"/>
      <c r="AR60" s="29"/>
      <c r="AS60" s="272" t="str">
        <f t="shared" si="4"/>
        <v/>
      </c>
      <c r="AT60" s="270" t="str">
        <f t="shared" si="234"/>
        <v/>
      </c>
      <c r="AU60" s="88" t="str">
        <f t="shared" si="235"/>
        <v/>
      </c>
      <c r="AV60" s="29"/>
      <c r="AW60" s="73"/>
      <c r="AX60" s="271" t="str">
        <f>IF(AND(AV60="Applicant",OR(AW60="", AW60="Use Default Facility Hours")),"← Choose Schedule",IF(F60="","",IF(W60="LED Exit Signs",8760,IF(OR(AV60="Prescribed",AV60=""),VLOOKUP(F60,'Lookup Tables'!$A$6:$G$59,IF(AB60="General", 6, 3),FALSE),VLOOKUP(AW60,'Lookup Tables'!$S$36:$U$43,2,FALSE)))))</f>
        <v/>
      </c>
      <c r="AY60" s="88" t="str">
        <f t="shared" si="7"/>
        <v/>
      </c>
      <c r="AZ60" s="270" t="str">
        <f>IFERROR(IF(F60="", "", IF(W60="LED Exit Signs", 1, IF(AV60="Applicant",VLOOKUP(AW60, 'Lookup Tables'!$S$36:$U$43,3, FALSE), VLOOKUP('Lighting Inventory'!F60, 'Lookup Tables'!$A$6:$H$59, IF('Lighting Inventory'!AB60="General",7,4), FALSE)))), "")</f>
        <v/>
      </c>
      <c r="BA60" s="522" t="str">
        <f>IFERROR(IF(F60="", "", IF(W60="LED Exit Signs", 1, VLOOKUP('Lighting Inventory'!F60, 'Lookup Tables'!$A$6:$H$59, IF('Lighting Inventory'!AB60="General",8,5), FALSE))), "")</f>
        <v/>
      </c>
      <c r="BB60" s="270" t="str">
        <f>IF(G60="", "", IF(E60="Exterior", 0, IF('Lighting Inventory'!G60="Air Conditioned", VLOOKUP(H60, 'Lookup Tables'!$R$6:$T$13, 2, FALSE), VLOOKUP('Lighting Inventory'!G60, 'Lookup Tables'!$R$6:$T$13, 2, FALSE))))</f>
        <v/>
      </c>
      <c r="BC60" s="522" t="str">
        <f>IF(G60="", "", IF(E60="Exterior", 0, IF('Lighting Inventory'!G60="Air Conditioned", VLOOKUP(H60, 'Lookup Tables'!$R$6:$T$13, 3, FALSE), VLOOKUP('Lighting Inventory'!G60, 'Lookup Tables'!$R$6:$T$13, 3, FALSE))))</f>
        <v/>
      </c>
      <c r="BD60" s="270" t="str">
        <f>IF(G60="", "", IF(E60="Exterior", 0, IF('Lighting Inventory'!G60="Air Conditioned", VLOOKUP(H60, 'Lookup Tables'!$R$6:$U$13, 4, FALSE), VLOOKUP('Lighting Inventory'!G60, 'Lookup Tables'!$R$6:$U$13, 4, FALSE))))</f>
        <v/>
      </c>
      <c r="BE60" s="270" t="str">
        <f>IFERROR(IF(B60="", "",  IF(B60="New Construction", VLOOKUP(F60, 'Lookup Tables'!$A$6:$K$59, 11, FALSE),IF(OR(AN60="", AN60="Light Switch"), 0, IF(OR(M60="",M60="None",V60= "LED Exit Signs"),0,_xlfn.XLOOKUP(M60,'Lookup Tables'!$R$91:$R$101,'Lookup Tables'!$V$91:$V$101))))), "")</f>
        <v/>
      </c>
      <c r="BF60" s="270" t="str">
        <f>IF(AND(OR(AN60="Light Switch",AN60=""),B60="New Construction"), VLOOKUP(F60, 'Lookup Tables'!$A$6:$K$59, 11, FALSE),IF(AN60="","",IF(B60="","",IF(OR(AN60="None",AN60="",V60="LED Exit Signs",AN60="Exterior Controls Not Eligible"),0,_xlfn.XLOOKUP(AN60,'Lookup Tables'!$R$91:$R$101,'Lookup Tables'!$V$91:$V$101)))))</f>
        <v/>
      </c>
      <c r="BG60" s="88" t="str">
        <f t="shared" si="86"/>
        <v/>
      </c>
      <c r="BH60" s="88" t="str">
        <f t="shared" si="87"/>
        <v/>
      </c>
      <c r="BI60" s="558" t="str">
        <f t="shared" si="168"/>
        <v/>
      </c>
      <c r="BJ60" s="82" t="str">
        <f t="shared" si="88"/>
        <v/>
      </c>
      <c r="BK60" s="82" t="str">
        <f t="shared" si="89"/>
        <v/>
      </c>
      <c r="BL60" s="559" t="str">
        <f t="shared" si="90"/>
        <v/>
      </c>
      <c r="BM60" s="521" t="str">
        <f t="shared" si="8"/>
        <v/>
      </c>
      <c r="BN60" s="521" t="str">
        <f t="shared" si="9"/>
        <v/>
      </c>
      <c r="BO60" s="522" t="str">
        <f t="shared" si="10"/>
        <v/>
      </c>
      <c r="BP60" s="83" t="str">
        <f t="shared" si="91"/>
        <v/>
      </c>
      <c r="BQ60" s="84" t="str">
        <f t="shared" si="92"/>
        <v/>
      </c>
      <c r="BR60" s="184" t="str">
        <f>IFERROR(IF(B60="", "", IF(OR(VLOOKUP(J60, 'Fixture Identities'!$A$6:$L$1023, 3, FALSE)="T12 Linear Fluorescent",VLOOKUP(J60, 'Fixture Identities'!$A$6:$L$1023, 3, FALSE)="T12 U-Tube Fluorescent"), "Y", "N")), "N")</f>
        <v/>
      </c>
      <c r="BS60" s="184" t="str">
        <f t="array" ref="BS60">IFERROR(IF(OR(B60="", V60="", W60=""), "", IF(V60="Custom", "N", IF(OR(W60="Freezer Case Lighting", W60="Refrigerated Case Lighting with Doors"), BT60, IF(B60="Retrofit", INDEX('Lookup Tables'!$AH$6:$AT$102,MATCH(1,('Lookup Tables'!$AH$6:$AH$102=V60)*('Lookup Tables'!$AI$6:$AI$102=W60),FALSE),IF(VLOOKUP(J60, 'Fixture Identities'!$A$6:$B$1023, 2, FALSE)="Incandescent",12, 13)), INDEX('Lookup Tables'!$AH$114:$AS$154,MATCH(1,('Lookup Tables'!$AH$114:$AH$154=V60)*('Lookup Tables'!$AI$114:$AI$154=W60),FALSE),12))))), "N")</f>
        <v/>
      </c>
      <c r="BT60" s="184" t="str">
        <f>IF(J60="", "", IF(AND(OR(W60="Freezer case Lighting", W60="Refrigerated Case Lighting with Doors"),'General Information'!$X$18="LCI"), "N", IF(OR(VLOOKUP(J60, 'Fixture Identities'!$A$6:$B$1023, 2, FALSE)="T12 EPACT/EISA Baseline", VLOOKUP(J60, 'Fixture Identities'!$A$6:$B$1023, 2, FALSE)="Linear Fluorescent", VLOOKUP(J60, 'Fixture Identities'!$A$6:$B$1023, 2, FALSE)="U-Tube Fluorescent"), "Y", "N")))</f>
        <v/>
      </c>
      <c r="BU60" s="184" t="str">
        <f>IFERROR(IF(B60="", "", IF(VLOOKUP(J60, 'Fixture Identities'!$A$6:$B$1023, 2, FALSE)="Exit Sign", "Y", "N")), "N")</f>
        <v/>
      </c>
      <c r="BV60" s="184" t="str">
        <f>IF(V60="Exit Signs", IF(VLOOKUP(J60, 'Fixture Identities'!$A$6:$B$1023, 2, FALSE)="Exit Sign", "N", "Y"), "")</f>
        <v/>
      </c>
      <c r="BW60" s="184" t="str">
        <f t="array" ref="BW60">IFERROR(IF(B60="", "", IF(B60="New Construction", "N", INDEX('Lookup Tables'!$AH$6:$AU$102, MATCH(1, ('Lookup Tables'!$AH$6:$AH$102='Lighting Inventory'!V60)*('Lookup Tables'!$AI$6:$AI$102='Lighting Inventory'!W60), 0), 14))), "N")</f>
        <v/>
      </c>
      <c r="BX60" s="598" t="str">
        <f t="shared" si="93"/>
        <v/>
      </c>
      <c r="BY60" s="598" t="str">
        <f t="shared" si="94"/>
        <v/>
      </c>
      <c r="BZ60" s="598" t="str">
        <f t="shared" si="95"/>
        <v/>
      </c>
      <c r="CA60" s="598" t="str">
        <f t="shared" si="101"/>
        <v/>
      </c>
      <c r="CB60" s="269" t="str">
        <f t="shared" si="102"/>
        <v/>
      </c>
      <c r="CC60" s="517" t="str">
        <f t="shared" si="96"/>
        <v/>
      </c>
      <c r="CD60" s="565" t="str">
        <f t="shared" si="11"/>
        <v/>
      </c>
      <c r="CE60" s="368">
        <v>0</v>
      </c>
      <c r="CF60" s="368" t="str" cm="1">
        <f t="array" ref="CF60">IFERROR(IF(V60="Custom", "$0.1 per kWh", IF(B60="New Construction", CONCATENATE("$",INDEX('Lookup Tables'!$AH$114:$AN$154,MATCH(1,('Lookup Tables'!$AH$114:$AH$154='Lighting Inventory'!V60)*('Lookup Tables'!$AI$114:$AI$154='Lighting Inventory'!W60),FALSE),6)," ",INDEX('Lookup Tables'!$AH$114:$AN$154,MATCH(1,('Lookup Tables'!$AH$114:$AH$154='Lighting Inventory'!V60)*('Lookup Tables'!$AI$114:$AI$154='Lighting Inventory'!W60),FALSE),7)), IF(AND(BU60="N", V60="Exit Signs"), "$0.025 per kWh", CONCATENATE("$",INDEX('Lookup Tables'!$AH$6:$AN$102,MATCH(1,('Lookup Tables'!$AH$6:$AH$102='Lighting Inventory'!V60)*('Lookup Tables'!$AI$6:$AI$102='Lighting Inventory'!W60),FALSE),6)," ",INDEX('Lookup Tables'!$AH$6:$AN$102,MATCH(1,('Lookup Tables'!$AH$6:$AH$102='Lighting Inventory'!V60)*('Lookup Tables'!$AI$6:$AI$102='Lighting Inventory'!W60),FALSE),7))))), "")</f>
        <v/>
      </c>
      <c r="CG60" s="366"/>
      <c r="CH60" s="248" t="str">
        <f t="shared" si="236"/>
        <v/>
      </c>
      <c r="CI60" s="248" t="str">
        <f t="shared" si="237"/>
        <v>Select_IE</v>
      </c>
      <c r="CJ60" s="248" t="str">
        <f t="shared" si="238"/>
        <v/>
      </c>
      <c r="CK60" s="248" t="str">
        <f t="shared" si="239"/>
        <v/>
      </c>
      <c r="CL60" s="248" t="str">
        <f t="shared" si="240"/>
        <v/>
      </c>
      <c r="CM60" s="248" t="str">
        <f>IFERROR(IF(B60="", "", IF(B60="New Construction", VLOOKUP(V60, 'Lookup Tables'!$AF$114:$AG$120, 2, FALSE), VLOOKUP(V60, 'Lookup Tables'!$AD$6:$AE$25, 2, FALSE))), "")</f>
        <v/>
      </c>
      <c r="CN60" s="248" t="str">
        <f t="shared" si="175"/>
        <v/>
      </c>
      <c r="CO60" s="248" t="str">
        <f t="shared" si="241"/>
        <v/>
      </c>
      <c r="CP60" s="592" t="str">
        <f t="shared" si="242"/>
        <v/>
      </c>
      <c r="CQ60" s="248" t="str">
        <f t="shared" si="97"/>
        <v/>
      </c>
      <c r="CR60" s="100"/>
      <c r="CS60" s="250" t="str">
        <f t="shared" si="178"/>
        <v/>
      </c>
      <c r="CT60" s="250" t="str">
        <f t="shared" si="243"/>
        <v/>
      </c>
      <c r="CU60" s="250" t="str">
        <f t="shared" si="244"/>
        <v/>
      </c>
      <c r="CV60" s="250" t="str">
        <f t="shared" si="245"/>
        <v/>
      </c>
      <c r="CW60" s="250" t="str">
        <f t="shared" si="246"/>
        <v/>
      </c>
      <c r="CX60" s="250" t="str">
        <f t="shared" si="247"/>
        <v/>
      </c>
      <c r="CY60" s="250" t="str">
        <f t="shared" si="248"/>
        <v/>
      </c>
      <c r="CZ60" s="250" t="str">
        <f t="shared" si="249"/>
        <v/>
      </c>
      <c r="DA60" s="250" t="str">
        <f t="shared" si="250"/>
        <v/>
      </c>
      <c r="DB60" s="250" t="str">
        <f t="shared" si="251"/>
        <v/>
      </c>
      <c r="DC60" s="250" t="str">
        <f t="shared" si="252"/>
        <v/>
      </c>
      <c r="DD60" s="250" t="str">
        <f t="shared" si="253"/>
        <v/>
      </c>
      <c r="DE60" s="250" t="str">
        <f t="shared" si="254"/>
        <v/>
      </c>
      <c r="DF60" s="250" t="str">
        <f t="shared" si="255"/>
        <v/>
      </c>
      <c r="DG60" s="250" t="str">
        <f t="shared" si="256"/>
        <v/>
      </c>
      <c r="DH60" s="250" t="str">
        <f t="shared" si="257"/>
        <v/>
      </c>
      <c r="DI60" s="250" t="str">
        <f t="shared" si="258"/>
        <v/>
      </c>
      <c r="DJ60" s="250" t="str">
        <f t="shared" si="259"/>
        <v/>
      </c>
      <c r="DK60" s="250" t="str">
        <f t="shared" si="260"/>
        <v/>
      </c>
      <c r="DL60" s="250" t="str">
        <f t="shared" si="261"/>
        <v/>
      </c>
      <c r="DM60" s="250" t="str">
        <f>IF(CD60="ERROR", "ERROR", IF(AND(OR(Y60=$DM$6, Y60='Lookup Tables'!$AD$21, Y60='Lookup Tables'!$AD$22), E60="Interior"), BJ60, ""))</f>
        <v/>
      </c>
      <c r="DN60" s="250" t="str">
        <f>IF(CD60="ERROR", "ERROR", IF(AND(OR(Y60=$DM$6, Y60='Lookup Tables'!$AD$21, Y60='Lookup Tables'!$AD$22), E60="Exterior"), BJ60, ""))</f>
        <v/>
      </c>
      <c r="DO60" s="100"/>
      <c r="DP60" s="250" t="str">
        <f t="shared" si="198"/>
        <v/>
      </c>
      <c r="DQ60" s="250" t="str">
        <f t="shared" si="262"/>
        <v/>
      </c>
      <c r="DR60" s="250" t="str">
        <f t="shared" si="263"/>
        <v/>
      </c>
      <c r="DS60" s="250" t="str">
        <f t="shared" si="264"/>
        <v/>
      </c>
      <c r="DT60" s="250" t="str">
        <f t="shared" si="265"/>
        <v/>
      </c>
      <c r="DU60" s="250" t="str">
        <f t="shared" si="266"/>
        <v/>
      </c>
      <c r="DV60" s="250" t="str">
        <f t="shared" si="267"/>
        <v/>
      </c>
      <c r="DW60" s="250" t="str">
        <f t="shared" si="268"/>
        <v/>
      </c>
      <c r="DX60" s="250" t="str">
        <f t="shared" si="269"/>
        <v/>
      </c>
      <c r="DY60" s="250" t="str">
        <f t="shared" si="270"/>
        <v/>
      </c>
      <c r="DZ60" s="250" t="str">
        <f t="shared" si="271"/>
        <v/>
      </c>
      <c r="EA60" s="250" t="str">
        <f t="shared" si="272"/>
        <v/>
      </c>
      <c r="EB60" s="250" t="str">
        <f t="shared" si="273"/>
        <v/>
      </c>
      <c r="EC60" s="250" t="str">
        <f t="shared" si="274"/>
        <v/>
      </c>
      <c r="ED60" s="250" t="str">
        <f t="shared" si="275"/>
        <v/>
      </c>
      <c r="EE60" s="250" t="str">
        <f t="shared" si="276"/>
        <v/>
      </c>
      <c r="EF60" s="250" t="str">
        <f t="shared" si="277"/>
        <v/>
      </c>
      <c r="EG60" s="250" t="str">
        <f t="shared" si="278"/>
        <v/>
      </c>
      <c r="EH60" s="250" t="str">
        <f>IF(CD60="ERROR", "ERROR", IF(AND(OR($EH$6=Y60, Y60='Lookup Tables'!$AD$21, Y60='Lookup Tables'!$AD$22),E60="Interior"), SUM(BP60:BP60), ""))</f>
        <v/>
      </c>
      <c r="EI60" s="250" t="str">
        <f>IF(CD60="ERROR", "ERROR", IF(AND(OR($EH$6=Y60, Y60='Lookup Tables'!$AD$21, Y60='Lookup Tables'!$AD$22),E60="Exterior"), SUM(BP60:BP60), ""))</f>
        <v/>
      </c>
      <c r="EJ60" s="109"/>
      <c r="EK60" s="485" t="str">
        <f t="shared" si="58"/>
        <v/>
      </c>
      <c r="EL60" s="252" t="str">
        <f t="shared" si="279"/>
        <v/>
      </c>
      <c r="EM60" s="252" t="str">
        <f t="shared" si="280"/>
        <v/>
      </c>
      <c r="EN60" s="252" t="str">
        <f t="shared" si="281"/>
        <v/>
      </c>
      <c r="EO60" s="252" t="str">
        <f t="shared" si="282"/>
        <v/>
      </c>
      <c r="EP60" s="252" t="str">
        <f t="shared" si="283"/>
        <v/>
      </c>
      <c r="EQ60" s="252" t="str">
        <f t="shared" si="284"/>
        <v/>
      </c>
      <c r="ER60" s="252" t="str">
        <f t="shared" si="285"/>
        <v/>
      </c>
      <c r="ES60" s="252" t="str">
        <f t="shared" si="286"/>
        <v/>
      </c>
      <c r="ET60" s="252" t="str">
        <f t="shared" si="287"/>
        <v/>
      </c>
      <c r="EU60" s="252" t="str">
        <f t="shared" si="288"/>
        <v/>
      </c>
      <c r="EV60" s="252" t="str">
        <f t="shared" si="289"/>
        <v/>
      </c>
      <c r="EW60" s="252" t="str">
        <f t="shared" si="290"/>
        <v/>
      </c>
      <c r="EX60" s="252" t="str">
        <f t="shared" si="291"/>
        <v/>
      </c>
      <c r="EY60" s="252" t="str">
        <f t="shared" si="292"/>
        <v/>
      </c>
      <c r="EZ60" s="252" t="str">
        <f t="shared" si="293"/>
        <v/>
      </c>
      <c r="FA60" s="252" t="str">
        <f t="shared" si="294"/>
        <v/>
      </c>
      <c r="FB60" s="252" t="str">
        <f t="shared" si="295"/>
        <v/>
      </c>
      <c r="FC60" s="252" t="str">
        <f>IF(CD60="ERROR", "ERROR", IF(OR(V60="No Change", V60="Not DLC or Energy Star"), "", IF(AND(OR($FC$6=Y60,Y60='Lookup Tables'!$AD$21, Y60='Lookup Tables'!$AD$22),E60="Interior"), S60, "")))</f>
        <v/>
      </c>
      <c r="FD60" s="252" t="str">
        <f t="shared" si="296"/>
        <v/>
      </c>
      <c r="FE60" s="101"/>
      <c r="FF60" s="579" t="str" cm="1">
        <f t="array" ref="FF60">IFERROR(IF(OR(BQ60&lt;=0,AQ60&lt;20,AND(V60="Exit Signs",AN60&gt;0)),"",IF(AND(AQ60&gt;=20,AN60='Lookup Tables'!$R$101),'Lookup Tables'!$U$101*BQ60,AP60*LOOKUP(2,1/((AN60='Lookup Tables'!$R$91:$R$111)*(AQ60&gt;='Lookup Tables'!$S$91:$S$111)*(AQ60&lt;='Lookup Tables'!$T$91:$T$111)),'Lookup Tables'!$U$91:$U$111))),"")</f>
        <v/>
      </c>
      <c r="FG60" s="579"/>
      <c r="FH60" s="579"/>
      <c r="FI60" s="253" t="str">
        <f>IFERROR(ROUND(IF(CD60="ERROR", "ERROR", IF(AND($FI$7=X60,E60="Interior"),VLOOKUP(W60, 'Lookup Tables'!$AI$6:$AM$102, 5, FALSE)*BP60, "")), 2), "")</f>
        <v/>
      </c>
      <c r="FJ60" s="253" t="str">
        <f>IFERROR(ROUND(IF(CD60="ERROR", "ERROR", IF(AND($FI$7=X60,E60="Exterior"),VLOOKUP(W60, 'Lookup Tables'!$AI$6:$AM$102, 5, FALSE)*BP60, "")), 2), "")</f>
        <v/>
      </c>
      <c r="FK60" s="253" t="str">
        <f>IFERROR(ROUND(IF(CD60="ERROR", "ERROR", IF(AND($FK$7=X60,E60="Interior"),VLOOKUP(W60, 'Lookup Tables'!$AI$6:$AM$102, 5, FALSE)*BP60, "")), 2), "")</f>
        <v/>
      </c>
      <c r="FL60" s="253" t="str">
        <f>IFERROR(ROUND(IF(CD60="ERROR", "ERROR", IF(AND($FK$7=X60,E60="Exterior"),VLOOKUP(W60, 'Lookup Tables'!$AI$6:$AM$102, 5, FALSE)*BP60, "")), 2), "")</f>
        <v/>
      </c>
      <c r="FM60" s="253" t="str">
        <f>IFERROR(ROUND(IF(CD60="ERROR", "ERROR", IF(AND($FM$6=Y60,E60="Interior"), IF(GB60=0, VLOOKUP(W60, 'Lookup Tables'!$AI$6:$AM$102, 5, FALSE)*BP60, IF(VLOOKUP(W60, 'Lookup Tables'!$AI$6:$AM$102, 5, FALSE)*BP60&gt;GB60*'Lighting Inventory'!S60, GB60*'Lighting Inventory'!S60,VLOOKUP(W60, 'Lookup Tables'!$AI$6:$AM$102, 5, FALSE)*BP60)), "")), 2), "")</f>
        <v/>
      </c>
      <c r="FN60" s="253" t="str">
        <f>IFERROR(ROUND(IF(CD60="ERROR", "ERROR", IF(AND($FM$6=Y60,E60="Exterior"), IF(GB60=0, VLOOKUP(W60, 'Lookup Tables'!$AI$6:$AM$102, 5, FALSE)*BP60, IF(VLOOKUP(W60, 'Lookup Tables'!$AI$6:$AM$102, 5, FALSE)*BP60&gt;GB60*'Lighting Inventory'!S60, GB60*'Lighting Inventory'!S60,VLOOKUP(W60, 'Lookup Tables'!$AI$6:$AM$102, 5, FALSE)*BP60)), "")), 2), "")</f>
        <v/>
      </c>
      <c r="FO60" s="253" t="str">
        <f>IFERROR(ROUND(IF(CD60="ERROR", "ERROR", IF(AND($FO$6=Y60,E60="Interior"),VLOOKUP(W60, 'Lookup Tables'!$AI$6:$AM$102, 5, FALSE)*'Lighting Inventory'!AI60, "")), 2), "")</f>
        <v/>
      </c>
      <c r="FP60" s="253" t="str">
        <f>IFERROR(ROUND(IF(CD60="ERROR", "ERROR", IF(AND($FO$6=Y60,E60="Exterior"),VLOOKUP(W60, 'Lookup Tables'!$AI$6:$AM$102, 5, FALSE)*'Lighting Inventory'!AI60, "")), 2), "")</f>
        <v/>
      </c>
      <c r="FQ60" s="253" t="str">
        <f>IFERROR(ROUND(IF(CD60="ERROR", "ERROR", IF(AND($FQ$6=Y60,E60="Interior", BU60="Y"), VLOOKUP('Lighting Inventory'!W60, 'Lookup Tables'!$AI$6:$AM$102, 5, FALSE)*'Lighting Inventory'!S60, IF(AND($FQ$7=Y60,E60="Interior", BU60="N"), 0.025*CD60, ""))), 2), "")</f>
        <v/>
      </c>
      <c r="FR60" s="253" t="str">
        <f>IFERROR(ROUND(IF(CD60="ERROR", "ERROR", IF(AND($FQ$6=Y60,E60="Exterior"), VLOOKUP('Lighting Inventory'!W60, 'Lookup Tables'!$AI$6:$AM$102, 5, FALSE)*'Lighting Inventory'!S60, "")), 2), "")</f>
        <v/>
      </c>
      <c r="FS60" s="253" t="str">
        <f>IFERROR(ROUND(IF(CD60="ERROR", "ERROR", IF(AND($FS$6=Y60,E60="Exterior"), IF(GB60=0, VLOOKUP(W60, 'Lookup Tables'!$AI$6:$AM$102, 5, FALSE)*BP60, IF(VLOOKUP(W60, 'Lookup Tables'!$AI$6:$AM$102, 5, FALSE)*BP60&gt;GB60*'Lighting Inventory'!S60, GB60*'Lighting Inventory'!S60,VLOOKUP(W60, 'Lookup Tables'!$AI$6:$AM$102, 5, FALSE)*BP60)), "")), 2), "")</f>
        <v/>
      </c>
      <c r="FT60" s="253" t="str">
        <f>IFERROR(ROUND(IF(CD60="ERROR", "ERROR", IF(AND($FT$6=Y60,E60="Interior"), IF(GB60=0, VLOOKUP(W60, 'Lookup Tables'!$AI$6:$AM$102, 5, FALSE)*BP60, IF(VLOOKUP(W60, 'Lookup Tables'!$AI$6:$AM$102, 5, FALSE)*BP60&gt;GB60*'Lighting Inventory'!S60, GB60*'Lighting Inventory'!S60,VLOOKUP(W60, 'Lookup Tables'!$AI$6:$AM$102, 5, FALSE)*BP60)), "")), 2), "")</f>
        <v/>
      </c>
      <c r="FU60" s="253" t="str">
        <f>IFERROR(ROUND(IF(CD60="ERROR", "ERROR", IF(AND(Y60=$FU$6, E60="Interior"), IF(BS60="N", 'Lookup Tables'!$AM$101*BP60, VLOOKUP(W60, 'Lookup Tables'!$AI$6:$AM$102, 5, FALSE)*S60*AD60), "")), 2), "")</f>
        <v/>
      </c>
      <c r="FV60" s="253" t="str">
        <f>IFERROR(ROUND(IF(CD60="ERROR", "ERROR", IF(AND(Y60=$FU$6, E60="Exterior"), IF(BS60="N", 'Lookup Tables'!$AM$101*BP60, VLOOKUP(W60, 'Lookup Tables'!$AI$6:$AM$102, 5, FALSE)*S60*AD60), "")), 2), "")</f>
        <v/>
      </c>
      <c r="FW60" s="253" t="str">
        <f>IFERROR(ROUND(IF(CD60="ERROR", "ERROR", IF($FW$6=Y60, IF(BS60="N", 'Lookup Tables'!$AM$101*BP60, MIN((VLOOKUP(W60, 'Lookup Tables'!$AI$6:$AM$102, 5, FALSE)*BP60),GB60*AJ60)), "")), 2), "")</f>
        <v/>
      </c>
      <c r="FX60" s="253" t="str">
        <f>IFERROR(ROUND(IF(CD60="ERROR", "ERROR", IF(AND($FX$6=Y60, E60="Interior"), IF(VLOOKUP(W60, 'Lookup Tables'!$AI$6:$AM$102, 5, FALSE)*BP60&gt;'Lookup Tables'!$AQ$97*'Lighting Inventory'!S60,'Lighting Inventory'!S60*'Lookup Tables'!$AQ$97,VLOOKUP(W60, 'Lookup Tables'!$AI$6:$AM$102, 5, FALSE)*BP60), "")), 2), "")</f>
        <v/>
      </c>
      <c r="FY60" s="253" t="str">
        <f>IFERROR(ROUND(IF(CD60="ERROR", "ERROR", IF(AND($FX$6=Y60, E60="Exterior"), IF(VLOOKUP(W60, 'Lookup Tables'!$AI$6:$AM$102, 5, FALSE)*BP60&gt;'Lookup Tables'!$AQ$97*'Lighting Inventory'!S60,'Lighting Inventory'!S60*'Lookup Tables'!$AQ$97,VLOOKUP(W60, 'Lookup Tables'!$AI$6:$AM$102, 5, FALSE)*BP60), "")), 2), "")</f>
        <v/>
      </c>
      <c r="FZ60" s="253" t="str">
        <f>IFERROR(ROUND(IF(CD60="ERROR", "ERROR", IF(AND($FZ$6=Y60, E60="Interior"), IF(AND(OR(W60="Refrigerated Case Lighting with Doors", W60="Freezer Case Lighting"),Y60="Custom - Process Improvement"),CD60*'Lookup Tables'!$AM$101, IF(B60="Retrofit", IF(VLOOKUP(IF(V60="Custom", V60, W60), 'Lookup Tables'!$AI$6:$AM$102, 5, FALSE)*BP60&gt;GE60, GE60, VLOOKUP(IF(V60="Custom", V60, W60), 'Lookup Tables'!$AI$6:$AM$102, 5, FALSE)*BP60), IF(VLOOKUP(IF(V60="Custom", V60, W60), 'Lookup Tables'!$AI$114:$AM$154, 5, FALSE)*BP60&gt;GE60, GE60, VLOOKUP(IF(V60="Custom", V60, W60), 'Lookup Tables'!$AI$114:$AM$154, 5, FALSE)*BP60))), "")), 2),"")</f>
        <v/>
      </c>
      <c r="GA60" s="253" t="str">
        <f>IFERROR(ROUND(IF(CD60="ERROR", "ERROR", IF(AND($FZ$6=Y60, E60="Exterior"), IF(B60="Retrofit", IF(VLOOKUP(IF(V60="Custom", V60, W60), 'Lookup Tables'!$AI$6:$AM$102, 5, FALSE)*BP60&gt;GE60, GE60, VLOOKUP(IF(V60="Custom", V60, W60), 'Lookup Tables'!$AI$6:$AM$102, 5, FALSE)*BP60), IF(VLOOKUP(IF(V60="Custom", V60, W60), 'Lookup Tables'!$AI$114:$AM$154, 5, FALSE)*BP60&gt;GE60, GE60, VLOOKUP(IF(V60="Custom", V60, W60), 'Lookup Tables'!$AI$114:$AM$154, 5, FALSE)*BP60)), "")), 2),"")</f>
        <v/>
      </c>
      <c r="GB60" s="254" t="str">
        <f t="array" ref="GB60">IF(B60="","",IF(OR(V60="Custom",V60="No Change"),0,IF(B60="Retrofit", INDEX('Lookup Tables'!$AH$6:$AQ$102,MATCH(1,('Lookup Tables'!$AH$6:$AH$102='Lighting Inventory'!V60)*('Lookup Tables'!$AI$6:$AI$102='Lighting Inventory'!W60),FALSE),10),INDEX('Lookup Tables'!$AH$114:$AQ$154,MATCH(1,('Lookup Tables'!$AH$114:$AH$154='Lighting Inventory'!V60)*('Lookup Tables'!$AI$114:$AI$154='Lighting Inventory'!W60),FALSE),10))))</f>
        <v/>
      </c>
      <c r="GC60" s="255" t="str">
        <f t="shared" si="77"/>
        <v/>
      </c>
      <c r="GD60" s="250" t="str">
        <f t="shared" si="78"/>
        <v/>
      </c>
      <c r="GE60" s="253" t="str">
        <f>IFERROR(IF(AND(AF60="", 'General Information'!$F$18="No"),"", IF(AF60="", ((GD60/$CD$266)*$CF$266)*0.5, AF60*S60*0.5)), "")</f>
        <v/>
      </c>
      <c r="GF60" s="255" t="str">
        <f>IF(AND('General Information'!$F$19="", 'General Information'!$F$18="Yes",AF60="",BW60="Y"), "Y", "N")</f>
        <v>N</v>
      </c>
      <c r="GG60" s="255" t="s">
        <v>2946</v>
      </c>
      <c r="GH60" s="255" t="str">
        <f>IFERROR(IF(B60="", "", VLOOKUP(J60, 'Fixture Identities'!$A$6:$N$908, 14, FALSE)), "")</f>
        <v/>
      </c>
      <c r="GI60" s="389" t="str">
        <f>IF(OR(B60="", V60="", W60=""), "", IF(AND(OR(M60='Lookup Tables'!$R$18, M60='Lookup Tables'!$R$19, M60='Lookup Tables'!$R$20, M60='Lookup Tables'!$R$21, M60='Lookup Tables'!$R$22), OR(AN60='Lookup Tables'!$R$17, AN60='Lookup Tables'!$R$17, AN60="")), "Y", "N"))</f>
        <v/>
      </c>
      <c r="GJ60" s="255" t="str">
        <f t="shared" si="79"/>
        <v/>
      </c>
      <c r="GK60" s="255" t="str">
        <f t="shared" si="80"/>
        <v/>
      </c>
      <c r="GL60" s="255" t="str">
        <f t="shared" si="81"/>
        <v/>
      </c>
      <c r="GM60" s="255" t="str">
        <f>IF(AN60="", "", IF(AND(IF(ISNA(VLOOKUP(AN60,'Lookup Tables'!$R$18:$R$22,1,FALSE)), "N", "Y")="Y", E60="Exterior"), "Y", "N"))</f>
        <v/>
      </c>
      <c r="GN60" s="395"/>
      <c r="GO60" s="428">
        <f t="shared" si="98"/>
        <v>0</v>
      </c>
      <c r="GP60" s="428">
        <f t="shared" si="167"/>
        <v>0</v>
      </c>
      <c r="GQ60" s="428">
        <f t="shared" si="99"/>
        <v>0</v>
      </c>
      <c r="GR60" s="428">
        <f t="shared" si="100"/>
        <v>0</v>
      </c>
    </row>
    <row r="61" spans="1:200" s="103" customFormat="1" ht="13.5" customHeight="1" x14ac:dyDescent="0.2">
      <c r="A61" s="272">
        <v>51</v>
      </c>
      <c r="B61" s="110"/>
      <c r="C61" s="110"/>
      <c r="D61" s="110"/>
      <c r="E61" s="110"/>
      <c r="F61" s="110"/>
      <c r="G61" s="110"/>
      <c r="H61" s="110"/>
      <c r="I61" s="29"/>
      <c r="J61" s="29"/>
      <c r="K61" s="272" t="str">
        <f>IFERROR(IF(OR(VLOOKUP(J61, 'Fixture Identities'!$A$6:$L$1023, 3, FALSE)="T12 Linear Fluorescent", VLOOKUP(J61, 'Fixture Identities'!$A$6:$L$1023, 3, FALSE)="T12 U-Tube Fluorescent"), VLOOKUP(VLOOKUP(J61, 'Fixture Identities'!$A$6:$L$1023, 11, FALSE), 'Fixture Identities'!$A$6:$L$1023, 10, FALSE), VLOOKUP(J61, 'Fixture Identities'!$A$6:$L$1023, 10, FALSE)), "")</f>
        <v/>
      </c>
      <c r="L61" s="270" t="str">
        <f t="shared" si="169"/>
        <v/>
      </c>
      <c r="M61" s="110"/>
      <c r="N61" s="110"/>
      <c r="O61" s="110"/>
      <c r="P61" s="272" t="str">
        <f>IFERROR(IF(OR(B61="Retrofit",B61=""),"",IF('Lighting Inventory'!E61="Exterior",VLOOKUP('Lighting Inventory'!N61,'Lookup Tables'!$B$83:$F$103,5,FALSE),IF(N61="Other - Please Estimate EFLH and CFs","Contact Prog. Rep.","ft^2"))), "")</f>
        <v/>
      </c>
      <c r="Q61" s="270" t="str">
        <f>IFERROR(IF(AND(B61="New Construction",E61="Interior",$F$5="Space-by-Space"),VLOOKUP('Lighting Inventory'!N61,'Lookup Tables'!$N$6:$O$97,2,FALSE),IF(AND(B61="New Construction",E61="Exterior"),VLOOKUP(N61,'Lookup Tables'!$B$83:$F$103,2,FALSE),IF(AND(B61="New Construction",'Lighting Inventory'!E61="Interior", $F$5="Building Area"),VLOOKUP(F61,'Lookup Tables'!$A$6:$J$59,10,FALSE),""))), "")</f>
        <v/>
      </c>
      <c r="R61" s="270" t="str">
        <f>IFERROR(IF(P61="Contact Prog. Rep.", "ERROR", IF(OR(B61="",B61="Retrofit"),"",IF(N61="Automated teller machines", ('Lookup Tables'!$A$82:$E$100+('Lighting Inventory'!O61-1)*'Lookup Tables'!$A$82:$E$100)/1000, (Q61*O61)/1000))), "")</f>
        <v/>
      </c>
      <c r="S61" s="595"/>
      <c r="T61" s="105" t="str">
        <f t="shared" si="83"/>
        <v/>
      </c>
      <c r="U61" s="105" t="str">
        <f>IF(S61="","",COUNT($S$11:S61))</f>
        <v/>
      </c>
      <c r="V61" s="111"/>
      <c r="W61" s="112"/>
      <c r="X61" s="105" t="str">
        <f t="shared" si="84"/>
        <v/>
      </c>
      <c r="Y61" s="105" t="str">
        <f t="array" ref="Y61">IF(AND(OR(W61="Freezer Case Lighting", W61="Refrigerated Case Lighting with Doors"), 'General Information'!$X$18="LCI"),'Lookup Tables'!$Y$34, IF(V61="Custom", VLOOKUP(W61, 'Fixture Identities'!$A$974:$M$1023, 13, FALSE), IF(V61="No Change",'Lookup Tables'!$Y$29,IF(OR(V61="",W61=""),"",IF(AND(S61=0,S61&lt;I61,B61="Retrofit"),'Lookup Tables'!$Y$25, IF(B61="Retrofit", INDEX('Lookup Tables'!$AH$6:$AP$102, MATCH(1, ('Lookup Tables'!$AH$6:$AH$102=V61)*('Lookup Tables'!$AI$6:$AI$102=W61), 0), IF('Lighting Inventory'!E61="Interior", 4, 5)), INDEX('Lookup Tables'!$AH$114:$AP$154, MATCH(1, ('Lookup Tables'!$AH$114:$AH$154=V61)*('Lookup Tables'!$AI$114:$AI$154=W61), 0), IF('Lighting Inventory'!E61="Interior", 4, 5))))))))</f>
        <v/>
      </c>
      <c r="Z61" s="105" t="str">
        <f>IFERROR(INDEX('Lookup Tables'!$AH$158:$AH$172,MATCH('Lighting Inventory'!Y61,'Lookup Tables'!$AI$158:$AI$172,0)),"")</f>
        <v/>
      </c>
      <c r="AA61" s="105" t="str">
        <f>IF(AP61&gt;0,INDEX('Lookup Tables'!$AK$158:$AK$172,MATCH('Lighting Inventory'!Y61,'Lookup Tables'!$AI$158:$AI$172,0)),'Lighting Inventory'!Y61)</f>
        <v/>
      </c>
      <c r="AB61" s="105" t="str">
        <f t="array" ref="AB61">IF(V61="Custom", "Custom", IF(V61="", "", IF(V61="Not DLC or Energy Star", "General", IF(B61="New Construction", INDEX('Lookup Tables'!$AH$114:$AP$154,MATCH(1,('Lookup Tables'!$AH$114:$AH$154='Lighting Inventory'!V61)*('Lookup Tables'!$AI$114:$AI$154='Lighting Inventory'!W61),FALSE),8), INDEX('Lookup Tables'!$AH$6:$AP$102,MATCH(1,('Lookup Tables'!$AH$6:$AH$102='Lighting Inventory'!V61)*('Lookup Tables'!$AI$6:$AI$102='Lighting Inventory'!W61),FALSE),8)))))</f>
        <v/>
      </c>
      <c r="AC61" s="272" t="str">
        <f>IF(W61="","",IF(V61="Custom",CONCATENATE("$",'Lookup Tables'!$AM$101," ",'Lookup Tables'!$AN$101),CONCATENATE("$",INDEX('Lookup Tables'!$AM$6:$AM$102,MATCH('Lighting Inventory'!W61,'Lookup Tables'!$AI$6:$AI$102,0))," ",INDEX('Lookup Tables'!$AN$6:$AN$102,MATCH('Lighting Inventory'!W61,'Lookup Tables'!$AI$6:$AI$102,0)))))</f>
        <v/>
      </c>
      <c r="AD61" s="72"/>
      <c r="AE61" s="29"/>
      <c r="AF61" s="379"/>
      <c r="AG61" s="370" t="str">
        <f t="shared" si="2"/>
        <v/>
      </c>
      <c r="AH61" s="370" t="str">
        <f t="shared" si="85"/>
        <v/>
      </c>
      <c r="AI61" s="29"/>
      <c r="AJ61" s="29"/>
      <c r="AK61" s="110"/>
      <c r="AL61" s="375" t="str">
        <f>IF(OR(B61="", V61="", W61=""), "", IF(V61="No Change", K61, IF(V61="Remove Fixture", 0, IF(V61="Custom",VLOOKUP(W61,'Fixture Identities'!$A$6:$K$1023,10,FALSE),IF(AE61="", "← ENTER POST WATTS", 'Lighting Inventory'!AE61)))))</f>
        <v/>
      </c>
      <c r="AM61" s="376" t="str">
        <f t="shared" si="3"/>
        <v/>
      </c>
      <c r="AN61" s="29"/>
      <c r="AO61" s="671"/>
      <c r="AP61" s="29"/>
      <c r="AQ61" s="29"/>
      <c r="AR61" s="29"/>
      <c r="AS61" s="272" t="str">
        <f t="shared" si="4"/>
        <v/>
      </c>
      <c r="AT61" s="270" t="str">
        <f t="shared" si="234"/>
        <v/>
      </c>
      <c r="AU61" s="88" t="str">
        <f t="shared" si="235"/>
        <v/>
      </c>
      <c r="AV61" s="29"/>
      <c r="AW61" s="73"/>
      <c r="AX61" s="271" t="str">
        <f>IF(AND(AV61="Applicant",OR(AW61="", AW61="Use Default Facility Hours")),"← Choose Schedule",IF(F61="","",IF(W61="LED Exit Signs",8760,IF(OR(AV61="Prescribed",AV61=""),VLOOKUP(F61,'Lookup Tables'!$A$6:$G$59,IF(AB61="General", 6, 3),FALSE),VLOOKUP(AW61,'Lookup Tables'!$S$36:$U$43,2,FALSE)))))</f>
        <v/>
      </c>
      <c r="AY61" s="88" t="str">
        <f t="shared" si="7"/>
        <v/>
      </c>
      <c r="AZ61" s="270" t="str">
        <f>IFERROR(IF(F61="", "", IF(W61="LED Exit Signs", 1, IF(AV61="Applicant",VLOOKUP(AW61, 'Lookup Tables'!$S$36:$U$43,3, FALSE), VLOOKUP('Lighting Inventory'!F61, 'Lookup Tables'!$A$6:$H$59, IF('Lighting Inventory'!AB61="General",7,4), FALSE)))), "")</f>
        <v/>
      </c>
      <c r="BA61" s="522" t="str">
        <f>IFERROR(IF(F61="", "", IF(W61="LED Exit Signs", 1, VLOOKUP('Lighting Inventory'!F61, 'Lookup Tables'!$A$6:$H$59, IF('Lighting Inventory'!AB61="General",8,5), FALSE))), "")</f>
        <v/>
      </c>
      <c r="BB61" s="270" t="str">
        <f>IF(G61="", "", IF(E61="Exterior", 0, IF('Lighting Inventory'!G61="Air Conditioned", VLOOKUP(H61, 'Lookup Tables'!$R$6:$T$13, 2, FALSE), VLOOKUP('Lighting Inventory'!G61, 'Lookup Tables'!$R$6:$T$13, 2, FALSE))))</f>
        <v/>
      </c>
      <c r="BC61" s="522" t="str">
        <f>IF(G61="", "", IF(E61="Exterior", 0, IF('Lighting Inventory'!G61="Air Conditioned", VLOOKUP(H61, 'Lookup Tables'!$R$6:$T$13, 3, FALSE), VLOOKUP('Lighting Inventory'!G61, 'Lookup Tables'!$R$6:$T$13, 3, FALSE))))</f>
        <v/>
      </c>
      <c r="BD61" s="270" t="str">
        <f>IF(G61="", "", IF(E61="Exterior", 0, IF('Lighting Inventory'!G61="Air Conditioned", VLOOKUP(H61, 'Lookup Tables'!$R$6:$U$13, 4, FALSE), VLOOKUP('Lighting Inventory'!G61, 'Lookup Tables'!$R$6:$U$13, 4, FALSE))))</f>
        <v/>
      </c>
      <c r="BE61" s="270" t="str">
        <f>IFERROR(IF(B61="", "",  IF(B61="New Construction", VLOOKUP(F61, 'Lookup Tables'!$A$6:$K$59, 11, FALSE),IF(OR(AN61="", AN61="Light Switch"), 0, IF(OR(M61="",M61="None",V61= "LED Exit Signs"),0,_xlfn.XLOOKUP(M61,'Lookup Tables'!$R$91:$R$101,'Lookup Tables'!$V$91:$V$101))))), "")</f>
        <v/>
      </c>
      <c r="BF61" s="270" t="str">
        <f>IF(AND(OR(AN61="Light Switch",AN61=""),B61="New Construction"), VLOOKUP(F61, 'Lookup Tables'!$A$6:$K$59, 11, FALSE),IF(AN61="","",IF(B61="","",IF(OR(AN61="None",AN61="",V61="LED Exit Signs",AN61="Exterior Controls Not Eligible"),0,_xlfn.XLOOKUP(AN61,'Lookup Tables'!$R$91:$R$101,'Lookup Tables'!$V$91:$V$101)))))</f>
        <v/>
      </c>
      <c r="BG61" s="88" t="str">
        <f t="shared" si="86"/>
        <v/>
      </c>
      <c r="BH61" s="88" t="str">
        <f t="shared" si="87"/>
        <v/>
      </c>
      <c r="BI61" s="558" t="str">
        <f t="shared" si="168"/>
        <v/>
      </c>
      <c r="BJ61" s="82" t="str">
        <f t="shared" si="88"/>
        <v/>
      </c>
      <c r="BK61" s="82" t="str">
        <f t="shared" si="89"/>
        <v/>
      </c>
      <c r="BL61" s="559" t="str">
        <f t="shared" si="90"/>
        <v/>
      </c>
      <c r="BM61" s="521" t="str">
        <f t="shared" si="8"/>
        <v/>
      </c>
      <c r="BN61" s="521" t="str">
        <f t="shared" si="9"/>
        <v/>
      </c>
      <c r="BO61" s="522" t="str">
        <f t="shared" si="10"/>
        <v/>
      </c>
      <c r="BP61" s="83" t="str">
        <f t="shared" si="91"/>
        <v/>
      </c>
      <c r="BQ61" s="84" t="str">
        <f t="shared" si="92"/>
        <v/>
      </c>
      <c r="BR61" s="184" t="str">
        <f>IFERROR(IF(B61="", "", IF(OR(VLOOKUP(J61, 'Fixture Identities'!$A$6:$L$1023, 3, FALSE)="T12 Linear Fluorescent",VLOOKUP(J61, 'Fixture Identities'!$A$6:$L$1023, 3, FALSE)="T12 U-Tube Fluorescent"), "Y", "N")), "N")</f>
        <v/>
      </c>
      <c r="BS61" s="184" t="str">
        <f t="array" ref="BS61">IFERROR(IF(OR(B61="", V61="", W61=""), "", IF(V61="Custom", "N", IF(OR(W61="Freezer Case Lighting", W61="Refrigerated Case Lighting with Doors"), BT61, IF(B61="Retrofit", INDEX('Lookup Tables'!$AH$6:$AT$102,MATCH(1,('Lookup Tables'!$AH$6:$AH$102=V61)*('Lookup Tables'!$AI$6:$AI$102=W61),FALSE),IF(VLOOKUP(J61, 'Fixture Identities'!$A$6:$B$1023, 2, FALSE)="Incandescent",12, 13)), INDEX('Lookup Tables'!$AH$114:$AS$154,MATCH(1,('Lookup Tables'!$AH$114:$AH$154=V61)*('Lookup Tables'!$AI$114:$AI$154=W61),FALSE),12))))), "N")</f>
        <v/>
      </c>
      <c r="BT61" s="184" t="str">
        <f>IF(J61="", "", IF(AND(OR(W61="Freezer case Lighting", W61="Refrigerated Case Lighting with Doors"),'General Information'!$X$18="LCI"), "N", IF(OR(VLOOKUP(J61, 'Fixture Identities'!$A$6:$B$1023, 2, FALSE)="T12 EPACT/EISA Baseline", VLOOKUP(J61, 'Fixture Identities'!$A$6:$B$1023, 2, FALSE)="Linear Fluorescent", VLOOKUP(J61, 'Fixture Identities'!$A$6:$B$1023, 2, FALSE)="U-Tube Fluorescent"), "Y", "N")))</f>
        <v/>
      </c>
      <c r="BU61" s="184" t="str">
        <f>IFERROR(IF(B61="", "", IF(VLOOKUP(J61, 'Fixture Identities'!$A$6:$B$1023, 2, FALSE)="Exit Sign", "Y", "N")), "N")</f>
        <v/>
      </c>
      <c r="BV61" s="184" t="str">
        <f>IF(V61="Exit Signs", IF(VLOOKUP(J61, 'Fixture Identities'!$A$6:$B$1023, 2, FALSE)="Exit Sign", "N", "Y"), "")</f>
        <v/>
      </c>
      <c r="BW61" s="184" t="str">
        <f t="array" ref="BW61">IFERROR(IF(B61="", "", IF(B61="New Construction", "N", INDEX('Lookup Tables'!$AH$6:$AU$102, MATCH(1, ('Lookup Tables'!$AH$6:$AH$102='Lighting Inventory'!V61)*('Lookup Tables'!$AI$6:$AI$102='Lighting Inventory'!W61), 0), 14))), "N")</f>
        <v/>
      </c>
      <c r="BX61" s="598" t="str">
        <f t="shared" si="93"/>
        <v/>
      </c>
      <c r="BY61" s="598" t="str">
        <f t="shared" si="94"/>
        <v/>
      </c>
      <c r="BZ61" s="598" t="str">
        <f t="shared" si="95"/>
        <v/>
      </c>
      <c r="CA61" s="598" t="str">
        <f t="shared" si="101"/>
        <v/>
      </c>
      <c r="CB61" s="269" t="str">
        <f t="shared" si="102"/>
        <v/>
      </c>
      <c r="CC61" s="517" t="str">
        <f t="shared" si="96"/>
        <v/>
      </c>
      <c r="CD61" s="565" t="str">
        <f t="shared" si="11"/>
        <v/>
      </c>
      <c r="CE61" s="368">
        <v>0</v>
      </c>
      <c r="CF61" s="368" t="str" cm="1">
        <f t="array" ref="CF61">IFERROR(IF(V61="Custom", "$0.1 per kWh", IF(B61="New Construction", CONCATENATE("$",INDEX('Lookup Tables'!$AH$114:$AN$154,MATCH(1,('Lookup Tables'!$AH$114:$AH$154='Lighting Inventory'!V61)*('Lookup Tables'!$AI$114:$AI$154='Lighting Inventory'!W61),FALSE),6)," ",INDEX('Lookup Tables'!$AH$114:$AN$154,MATCH(1,('Lookup Tables'!$AH$114:$AH$154='Lighting Inventory'!V61)*('Lookup Tables'!$AI$114:$AI$154='Lighting Inventory'!W61),FALSE),7)), IF(AND(BU61="N", V61="Exit Signs"), "$0.025 per kWh", CONCATENATE("$",INDEX('Lookup Tables'!$AH$6:$AN$102,MATCH(1,('Lookup Tables'!$AH$6:$AH$102='Lighting Inventory'!V61)*('Lookup Tables'!$AI$6:$AI$102='Lighting Inventory'!W61),FALSE),6)," ",INDEX('Lookup Tables'!$AH$6:$AN$102,MATCH(1,('Lookup Tables'!$AH$6:$AH$102='Lighting Inventory'!V61)*('Lookup Tables'!$AI$6:$AI$102='Lighting Inventory'!W61),FALSE),7))))), "")</f>
        <v/>
      </c>
      <c r="CG61" s="366"/>
      <c r="CH61" s="248" t="str">
        <f t="shared" si="236"/>
        <v/>
      </c>
      <c r="CI61" s="248" t="str">
        <f t="shared" si="237"/>
        <v>Select_IE</v>
      </c>
      <c r="CJ61" s="248" t="str">
        <f t="shared" si="238"/>
        <v/>
      </c>
      <c r="CK61" s="248" t="str">
        <f t="shared" si="239"/>
        <v/>
      </c>
      <c r="CL61" s="248" t="str">
        <f t="shared" si="240"/>
        <v/>
      </c>
      <c r="CM61" s="248" t="str">
        <f>IFERROR(IF(B61="", "", IF(B61="New Construction", VLOOKUP(V61, 'Lookup Tables'!$AF$114:$AG$120, 2, FALSE), VLOOKUP(V61, 'Lookup Tables'!$AD$6:$AE$25, 2, FALSE))), "")</f>
        <v/>
      </c>
      <c r="CN61" s="248" t="str">
        <f t="shared" si="175"/>
        <v/>
      </c>
      <c r="CO61" s="248" t="str">
        <f t="shared" si="241"/>
        <v/>
      </c>
      <c r="CP61" s="592" t="str">
        <f t="shared" si="242"/>
        <v/>
      </c>
      <c r="CQ61" s="248" t="str">
        <f t="shared" si="97"/>
        <v/>
      </c>
      <c r="CR61" s="100"/>
      <c r="CS61" s="250" t="str">
        <f t="shared" si="178"/>
        <v/>
      </c>
      <c r="CT61" s="250" t="str">
        <f t="shared" si="243"/>
        <v/>
      </c>
      <c r="CU61" s="250" t="str">
        <f t="shared" si="244"/>
        <v/>
      </c>
      <c r="CV61" s="250" t="str">
        <f t="shared" si="245"/>
        <v/>
      </c>
      <c r="CW61" s="250" t="str">
        <f t="shared" si="246"/>
        <v/>
      </c>
      <c r="CX61" s="250" t="str">
        <f t="shared" si="247"/>
        <v/>
      </c>
      <c r="CY61" s="250" t="str">
        <f t="shared" si="248"/>
        <v/>
      </c>
      <c r="CZ61" s="250" t="str">
        <f t="shared" si="249"/>
        <v/>
      </c>
      <c r="DA61" s="250" t="str">
        <f t="shared" si="250"/>
        <v/>
      </c>
      <c r="DB61" s="250" t="str">
        <f t="shared" si="251"/>
        <v/>
      </c>
      <c r="DC61" s="250" t="str">
        <f t="shared" si="252"/>
        <v/>
      </c>
      <c r="DD61" s="250" t="str">
        <f t="shared" si="253"/>
        <v/>
      </c>
      <c r="DE61" s="250" t="str">
        <f t="shared" si="254"/>
        <v/>
      </c>
      <c r="DF61" s="250" t="str">
        <f t="shared" si="255"/>
        <v/>
      </c>
      <c r="DG61" s="250" t="str">
        <f t="shared" si="256"/>
        <v/>
      </c>
      <c r="DH61" s="250" t="str">
        <f t="shared" si="257"/>
        <v/>
      </c>
      <c r="DI61" s="250" t="str">
        <f t="shared" si="258"/>
        <v/>
      </c>
      <c r="DJ61" s="250" t="str">
        <f t="shared" si="259"/>
        <v/>
      </c>
      <c r="DK61" s="250" t="str">
        <f t="shared" si="260"/>
        <v/>
      </c>
      <c r="DL61" s="250" t="str">
        <f t="shared" si="261"/>
        <v/>
      </c>
      <c r="DM61" s="250" t="str">
        <f>IF(CD61="ERROR", "ERROR", IF(AND(OR(Y61=$DM$6, Y61='Lookup Tables'!$AD$21, Y61='Lookup Tables'!$AD$22), E61="Interior"), BJ61, ""))</f>
        <v/>
      </c>
      <c r="DN61" s="250" t="str">
        <f>IF(CD61="ERROR", "ERROR", IF(AND(OR(Y61=$DM$6, Y61='Lookup Tables'!$AD$21, Y61='Lookup Tables'!$AD$22), E61="Exterior"), BJ61, ""))</f>
        <v/>
      </c>
      <c r="DO61" s="100"/>
      <c r="DP61" s="250" t="str">
        <f t="shared" si="198"/>
        <v/>
      </c>
      <c r="DQ61" s="250" t="str">
        <f t="shared" si="262"/>
        <v/>
      </c>
      <c r="DR61" s="250" t="str">
        <f t="shared" si="263"/>
        <v/>
      </c>
      <c r="DS61" s="250" t="str">
        <f t="shared" si="264"/>
        <v/>
      </c>
      <c r="DT61" s="250" t="str">
        <f t="shared" si="265"/>
        <v/>
      </c>
      <c r="DU61" s="250" t="str">
        <f t="shared" si="266"/>
        <v/>
      </c>
      <c r="DV61" s="250" t="str">
        <f t="shared" si="267"/>
        <v/>
      </c>
      <c r="DW61" s="250" t="str">
        <f t="shared" si="268"/>
        <v/>
      </c>
      <c r="DX61" s="250" t="str">
        <f t="shared" si="269"/>
        <v/>
      </c>
      <c r="DY61" s="250" t="str">
        <f t="shared" si="270"/>
        <v/>
      </c>
      <c r="DZ61" s="250" t="str">
        <f t="shared" si="271"/>
        <v/>
      </c>
      <c r="EA61" s="250" t="str">
        <f t="shared" si="272"/>
        <v/>
      </c>
      <c r="EB61" s="250" t="str">
        <f t="shared" si="273"/>
        <v/>
      </c>
      <c r="EC61" s="250" t="str">
        <f t="shared" si="274"/>
        <v/>
      </c>
      <c r="ED61" s="250" t="str">
        <f t="shared" si="275"/>
        <v/>
      </c>
      <c r="EE61" s="250" t="str">
        <f t="shared" si="276"/>
        <v/>
      </c>
      <c r="EF61" s="250" t="str">
        <f t="shared" si="277"/>
        <v/>
      </c>
      <c r="EG61" s="250" t="str">
        <f t="shared" si="278"/>
        <v/>
      </c>
      <c r="EH61" s="250" t="str">
        <f>IF(CD61="ERROR", "ERROR", IF(AND(OR($EH$6=Y61, Y61='Lookup Tables'!$AD$21, Y61='Lookup Tables'!$AD$22),E61="Interior"), SUM(BP61:BP61), ""))</f>
        <v/>
      </c>
      <c r="EI61" s="250" t="str">
        <f>IF(CD61="ERROR", "ERROR", IF(AND(OR($EH$6=Y61, Y61='Lookup Tables'!$AD$21, Y61='Lookup Tables'!$AD$22),E61="Exterior"), SUM(BP61:BP61), ""))</f>
        <v/>
      </c>
      <c r="EJ61" s="109"/>
      <c r="EK61" s="485" t="str">
        <f t="shared" si="58"/>
        <v/>
      </c>
      <c r="EL61" s="252" t="str">
        <f t="shared" si="279"/>
        <v/>
      </c>
      <c r="EM61" s="252" t="str">
        <f t="shared" si="280"/>
        <v/>
      </c>
      <c r="EN61" s="252" t="str">
        <f t="shared" si="281"/>
        <v/>
      </c>
      <c r="EO61" s="252" t="str">
        <f t="shared" si="282"/>
        <v/>
      </c>
      <c r="EP61" s="252" t="str">
        <f t="shared" si="283"/>
        <v/>
      </c>
      <c r="EQ61" s="252" t="str">
        <f t="shared" si="284"/>
        <v/>
      </c>
      <c r="ER61" s="252" t="str">
        <f t="shared" si="285"/>
        <v/>
      </c>
      <c r="ES61" s="252" t="str">
        <f t="shared" si="286"/>
        <v/>
      </c>
      <c r="ET61" s="252" t="str">
        <f t="shared" si="287"/>
        <v/>
      </c>
      <c r="EU61" s="252" t="str">
        <f t="shared" si="288"/>
        <v/>
      </c>
      <c r="EV61" s="252" t="str">
        <f t="shared" si="289"/>
        <v/>
      </c>
      <c r="EW61" s="252" t="str">
        <f t="shared" si="290"/>
        <v/>
      </c>
      <c r="EX61" s="252" t="str">
        <f t="shared" si="291"/>
        <v/>
      </c>
      <c r="EY61" s="252" t="str">
        <f t="shared" si="292"/>
        <v/>
      </c>
      <c r="EZ61" s="252" t="str">
        <f t="shared" si="293"/>
        <v/>
      </c>
      <c r="FA61" s="252" t="str">
        <f t="shared" si="294"/>
        <v/>
      </c>
      <c r="FB61" s="252" t="str">
        <f t="shared" si="295"/>
        <v/>
      </c>
      <c r="FC61" s="252" t="str">
        <f>IF(CD61="ERROR", "ERROR", IF(OR(V61="No Change", V61="Not DLC or Energy Star"), "", IF(AND(OR($FC$6=Y61,Y61='Lookup Tables'!$AD$21, Y61='Lookup Tables'!$AD$22),E61="Interior"), S61, "")))</f>
        <v/>
      </c>
      <c r="FD61" s="252" t="str">
        <f t="shared" si="296"/>
        <v/>
      </c>
      <c r="FE61" s="101"/>
      <c r="FF61" s="579" t="str" cm="1">
        <f t="array" ref="FF61">IFERROR(IF(OR(BQ61&lt;=0,AQ61&lt;20,AND(V61="Exit Signs",AN61&gt;0)),"",IF(AND(AQ61&gt;=20,AN61='Lookup Tables'!$R$101),'Lookup Tables'!$U$101*BQ61,AP61*LOOKUP(2,1/((AN61='Lookup Tables'!$R$91:$R$111)*(AQ61&gt;='Lookup Tables'!$S$91:$S$111)*(AQ61&lt;='Lookup Tables'!$T$91:$T$111)),'Lookup Tables'!$U$91:$U$111))),"")</f>
        <v/>
      </c>
      <c r="FG61" s="579"/>
      <c r="FH61" s="579"/>
      <c r="FI61" s="253" t="str">
        <f>IFERROR(ROUND(IF(CD61="ERROR", "ERROR", IF(AND($FI$7=X61,E61="Interior"),VLOOKUP(W61, 'Lookup Tables'!$AI$6:$AM$102, 5, FALSE)*BP61, "")), 2), "")</f>
        <v/>
      </c>
      <c r="FJ61" s="253" t="str">
        <f>IFERROR(ROUND(IF(CD61="ERROR", "ERROR", IF(AND($FI$7=X61,E61="Exterior"),VLOOKUP(W61, 'Lookup Tables'!$AI$6:$AM$102, 5, FALSE)*BP61, "")), 2), "")</f>
        <v/>
      </c>
      <c r="FK61" s="253" t="str">
        <f>IFERROR(ROUND(IF(CD61="ERROR", "ERROR", IF(AND($FK$7=X61,E61="Interior"),VLOOKUP(W61, 'Lookup Tables'!$AI$6:$AM$102, 5, FALSE)*BP61, "")), 2), "")</f>
        <v/>
      </c>
      <c r="FL61" s="253" t="str">
        <f>IFERROR(ROUND(IF(CD61="ERROR", "ERROR", IF(AND($FK$7=X61,E61="Exterior"),VLOOKUP(W61, 'Lookup Tables'!$AI$6:$AM$102, 5, FALSE)*BP61, "")), 2), "")</f>
        <v/>
      </c>
      <c r="FM61" s="253" t="str">
        <f>IFERROR(ROUND(IF(CD61="ERROR", "ERROR", IF(AND($FM$6=Y61,E61="Interior"), IF(GB61=0, VLOOKUP(W61, 'Lookup Tables'!$AI$6:$AM$102, 5, FALSE)*BP61, IF(VLOOKUP(W61, 'Lookup Tables'!$AI$6:$AM$102, 5, FALSE)*BP61&gt;GB61*'Lighting Inventory'!S61, GB61*'Lighting Inventory'!S61,VLOOKUP(W61, 'Lookup Tables'!$AI$6:$AM$102, 5, FALSE)*BP61)), "")), 2), "")</f>
        <v/>
      </c>
      <c r="FN61" s="253" t="str">
        <f>IFERROR(ROUND(IF(CD61="ERROR", "ERROR", IF(AND($FM$6=Y61,E61="Exterior"), IF(GB61=0, VLOOKUP(W61, 'Lookup Tables'!$AI$6:$AM$102, 5, FALSE)*BP61, IF(VLOOKUP(W61, 'Lookup Tables'!$AI$6:$AM$102, 5, FALSE)*BP61&gt;GB61*'Lighting Inventory'!S61, GB61*'Lighting Inventory'!S61,VLOOKUP(W61, 'Lookup Tables'!$AI$6:$AM$102, 5, FALSE)*BP61)), "")), 2), "")</f>
        <v/>
      </c>
      <c r="FO61" s="253" t="str">
        <f>IFERROR(ROUND(IF(CD61="ERROR", "ERROR", IF(AND($FO$6=Y61,E61="Interior"),VLOOKUP(W61, 'Lookup Tables'!$AI$6:$AM$102, 5, FALSE)*'Lighting Inventory'!AI61, "")), 2), "")</f>
        <v/>
      </c>
      <c r="FP61" s="253" t="str">
        <f>IFERROR(ROUND(IF(CD61="ERROR", "ERROR", IF(AND($FO$6=Y61,E61="Exterior"),VLOOKUP(W61, 'Lookup Tables'!$AI$6:$AM$102, 5, FALSE)*'Lighting Inventory'!AI61, "")), 2), "")</f>
        <v/>
      </c>
      <c r="FQ61" s="253" t="str">
        <f>IFERROR(ROUND(IF(CD61="ERROR", "ERROR", IF(AND($FQ$6=Y61,E61="Interior", BU61="Y"), VLOOKUP('Lighting Inventory'!W61, 'Lookup Tables'!$AI$6:$AM$102, 5, FALSE)*'Lighting Inventory'!S61, IF(AND($FQ$7=Y61,E61="Interior", BU61="N"), 0.025*CD61, ""))), 2), "")</f>
        <v/>
      </c>
      <c r="FR61" s="253" t="str">
        <f>IFERROR(ROUND(IF(CD61="ERROR", "ERROR", IF(AND($FQ$6=Y61,E61="Exterior"), VLOOKUP('Lighting Inventory'!W61, 'Lookup Tables'!$AI$6:$AM$102, 5, FALSE)*'Lighting Inventory'!S61, "")), 2), "")</f>
        <v/>
      </c>
      <c r="FS61" s="253" t="str">
        <f>IFERROR(ROUND(IF(CD61="ERROR", "ERROR", IF(AND($FS$6=Y61,E61="Exterior"), IF(GB61=0, VLOOKUP(W61, 'Lookup Tables'!$AI$6:$AM$102, 5, FALSE)*BP61, IF(VLOOKUP(W61, 'Lookup Tables'!$AI$6:$AM$102, 5, FALSE)*BP61&gt;GB61*'Lighting Inventory'!S61, GB61*'Lighting Inventory'!S61,VLOOKUP(W61, 'Lookup Tables'!$AI$6:$AM$102, 5, FALSE)*BP61)), "")), 2), "")</f>
        <v/>
      </c>
      <c r="FT61" s="253" t="str">
        <f>IFERROR(ROUND(IF(CD61="ERROR", "ERROR", IF(AND($FT$6=Y61,E61="Interior"), IF(GB61=0, VLOOKUP(W61, 'Lookup Tables'!$AI$6:$AM$102, 5, FALSE)*BP61, IF(VLOOKUP(W61, 'Lookup Tables'!$AI$6:$AM$102, 5, FALSE)*BP61&gt;GB61*'Lighting Inventory'!S61, GB61*'Lighting Inventory'!S61,VLOOKUP(W61, 'Lookup Tables'!$AI$6:$AM$102, 5, FALSE)*BP61)), "")), 2), "")</f>
        <v/>
      </c>
      <c r="FU61" s="253" t="str">
        <f>IFERROR(ROUND(IF(CD61="ERROR", "ERROR", IF(AND(Y61=$FU$6, E61="Interior"), IF(BS61="N", 'Lookup Tables'!$AM$101*BP61, VLOOKUP(W61, 'Lookup Tables'!$AI$6:$AM$102, 5, FALSE)*S61*AD61), "")), 2), "")</f>
        <v/>
      </c>
      <c r="FV61" s="253" t="str">
        <f>IFERROR(ROUND(IF(CD61="ERROR", "ERROR", IF(AND(Y61=$FU$6, E61="Exterior"), IF(BS61="N", 'Lookup Tables'!$AM$101*BP61, VLOOKUP(W61, 'Lookup Tables'!$AI$6:$AM$102, 5, FALSE)*S61*AD61), "")), 2), "")</f>
        <v/>
      </c>
      <c r="FW61" s="253" t="str">
        <f>IFERROR(ROUND(IF(CD61="ERROR", "ERROR", IF($FW$6=Y61, IF(BS61="N", 'Lookup Tables'!$AM$101*BP61, MIN((VLOOKUP(W61, 'Lookup Tables'!$AI$6:$AM$102, 5, FALSE)*BP61),GB61*AJ61)), "")), 2), "")</f>
        <v/>
      </c>
      <c r="FX61" s="253" t="str">
        <f>IFERROR(ROUND(IF(CD61="ERROR", "ERROR", IF(AND($FX$6=Y61, E61="Interior"), IF(VLOOKUP(W61, 'Lookup Tables'!$AI$6:$AM$102, 5, FALSE)*BP61&gt;'Lookup Tables'!$AQ$97*'Lighting Inventory'!S61,'Lighting Inventory'!S61*'Lookup Tables'!$AQ$97,VLOOKUP(W61, 'Lookup Tables'!$AI$6:$AM$102, 5, FALSE)*BP61), "")), 2), "")</f>
        <v/>
      </c>
      <c r="FY61" s="253" t="str">
        <f>IFERROR(ROUND(IF(CD61="ERROR", "ERROR", IF(AND($FX$6=Y61, E61="Exterior"), IF(VLOOKUP(W61, 'Lookup Tables'!$AI$6:$AM$102, 5, FALSE)*BP61&gt;'Lookup Tables'!$AQ$97*'Lighting Inventory'!S61,'Lighting Inventory'!S61*'Lookup Tables'!$AQ$97,VLOOKUP(W61, 'Lookup Tables'!$AI$6:$AM$102, 5, FALSE)*BP61), "")), 2), "")</f>
        <v/>
      </c>
      <c r="FZ61" s="253" t="str">
        <f>IFERROR(ROUND(IF(CD61="ERROR", "ERROR", IF(AND($FZ$6=Y61, E61="Interior"), IF(AND(OR(W61="Refrigerated Case Lighting with Doors", W61="Freezer Case Lighting"),Y61="Custom - Process Improvement"),CD61*'Lookup Tables'!$AM$101, IF(B61="Retrofit", IF(VLOOKUP(IF(V61="Custom", V61, W61), 'Lookup Tables'!$AI$6:$AM$102, 5, FALSE)*BP61&gt;GE61, GE61, VLOOKUP(IF(V61="Custom", V61, W61), 'Lookup Tables'!$AI$6:$AM$102, 5, FALSE)*BP61), IF(VLOOKUP(IF(V61="Custom", V61, W61), 'Lookup Tables'!$AI$114:$AM$154, 5, FALSE)*BP61&gt;GE61, GE61, VLOOKUP(IF(V61="Custom", V61, W61), 'Lookup Tables'!$AI$114:$AM$154, 5, FALSE)*BP61))), "")), 2),"")</f>
        <v/>
      </c>
      <c r="GA61" s="253" t="str">
        <f>IFERROR(ROUND(IF(CD61="ERROR", "ERROR", IF(AND($FZ$6=Y61, E61="Exterior"), IF(B61="Retrofit", IF(VLOOKUP(IF(V61="Custom", V61, W61), 'Lookup Tables'!$AI$6:$AM$102, 5, FALSE)*BP61&gt;GE61, GE61, VLOOKUP(IF(V61="Custom", V61, W61), 'Lookup Tables'!$AI$6:$AM$102, 5, FALSE)*BP61), IF(VLOOKUP(IF(V61="Custom", V61, W61), 'Lookup Tables'!$AI$114:$AM$154, 5, FALSE)*BP61&gt;GE61, GE61, VLOOKUP(IF(V61="Custom", V61, W61), 'Lookup Tables'!$AI$114:$AM$154, 5, FALSE)*BP61)), "")), 2),"")</f>
        <v/>
      </c>
      <c r="GB61" s="254" t="str">
        <f t="array" ref="GB61">IF(B61="","",IF(OR(V61="Custom",V61="No Change"),0,IF(B61="Retrofit", INDEX('Lookup Tables'!$AH$6:$AQ$102,MATCH(1,('Lookup Tables'!$AH$6:$AH$102='Lighting Inventory'!V61)*('Lookup Tables'!$AI$6:$AI$102='Lighting Inventory'!W61),FALSE),10),INDEX('Lookup Tables'!$AH$114:$AQ$154,MATCH(1,('Lookup Tables'!$AH$114:$AH$154='Lighting Inventory'!V61)*('Lookup Tables'!$AI$114:$AI$154='Lighting Inventory'!W61),FALSE),10))))</f>
        <v/>
      </c>
      <c r="GC61" s="255" t="str">
        <f t="shared" si="77"/>
        <v/>
      </c>
      <c r="GD61" s="250" t="str">
        <f t="shared" si="78"/>
        <v/>
      </c>
      <c r="GE61" s="253" t="str">
        <f>IFERROR(IF(AND(AF61="", 'General Information'!$F$18="No"),"", IF(AF61="", ((GD61/$CD$266)*$CF$266)*0.5, AF61*S61*0.5)), "")</f>
        <v/>
      </c>
      <c r="GF61" s="255" t="str">
        <f>IF(AND('General Information'!$F$19="", 'General Information'!$F$18="Yes",AF61="",BW61="Y"), "Y", "N")</f>
        <v>N</v>
      </c>
      <c r="GG61" s="255" t="s">
        <v>2946</v>
      </c>
      <c r="GH61" s="255" t="str">
        <f>IFERROR(IF(B61="", "", VLOOKUP(J61, 'Fixture Identities'!$A$6:$N$908, 14, FALSE)), "")</f>
        <v/>
      </c>
      <c r="GI61" s="389" t="str">
        <f>IF(OR(B61="", V61="", W61=""), "", IF(AND(OR(M61='Lookup Tables'!$R$18, M61='Lookup Tables'!$R$19, M61='Lookup Tables'!$R$20, M61='Lookup Tables'!$R$21, M61='Lookup Tables'!$R$22), OR(AN61='Lookup Tables'!$R$17, AN61='Lookup Tables'!$R$17, AN61="")), "Y", "N"))</f>
        <v/>
      </c>
      <c r="GJ61" s="255" t="str">
        <f t="shared" si="79"/>
        <v/>
      </c>
      <c r="GK61" s="255" t="str">
        <f t="shared" si="80"/>
        <v/>
      </c>
      <c r="GL61" s="255" t="str">
        <f t="shared" si="81"/>
        <v/>
      </c>
      <c r="GM61" s="255" t="str">
        <f>IF(AN61="", "", IF(AND(IF(ISNA(VLOOKUP(AN61,'Lookup Tables'!$R$18:$R$22,1,FALSE)), "N", "Y")="Y", E61="Exterior"), "Y", "N"))</f>
        <v/>
      </c>
      <c r="GN61" s="395"/>
      <c r="GO61" s="428">
        <f t="shared" si="98"/>
        <v>0</v>
      </c>
      <c r="GP61" s="428">
        <f t="shared" si="167"/>
        <v>0</v>
      </c>
      <c r="GQ61" s="428">
        <f t="shared" si="99"/>
        <v>0</v>
      </c>
      <c r="GR61" s="428">
        <f t="shared" si="100"/>
        <v>0</v>
      </c>
    </row>
    <row r="62" spans="1:200" s="103" customFormat="1" ht="13.5" customHeight="1" x14ac:dyDescent="0.2">
      <c r="A62" s="272">
        <v>52</v>
      </c>
      <c r="B62" s="110"/>
      <c r="C62" s="110"/>
      <c r="D62" s="110"/>
      <c r="E62" s="110"/>
      <c r="F62" s="110"/>
      <c r="G62" s="110"/>
      <c r="H62" s="110"/>
      <c r="I62" s="29"/>
      <c r="J62" s="29"/>
      <c r="K62" s="272" t="str">
        <f>IFERROR(IF(OR(VLOOKUP(J62, 'Fixture Identities'!$A$6:$L$1023, 3, FALSE)="T12 Linear Fluorescent", VLOOKUP(J62, 'Fixture Identities'!$A$6:$L$1023, 3, FALSE)="T12 U-Tube Fluorescent"), VLOOKUP(VLOOKUP(J62, 'Fixture Identities'!$A$6:$L$1023, 11, FALSE), 'Fixture Identities'!$A$6:$L$1023, 10, FALSE), VLOOKUP(J62, 'Fixture Identities'!$A$6:$L$1023, 10, FALSE)), "")</f>
        <v/>
      </c>
      <c r="L62" s="270" t="str">
        <f t="shared" si="169"/>
        <v/>
      </c>
      <c r="M62" s="110"/>
      <c r="N62" s="110"/>
      <c r="O62" s="110"/>
      <c r="P62" s="272" t="str">
        <f>IFERROR(IF(OR(B62="Retrofit",B62=""),"",IF('Lighting Inventory'!E62="Exterior",VLOOKUP('Lighting Inventory'!N62,'Lookup Tables'!$B$83:$F$103,5,FALSE),IF(N62="Other - Please Estimate EFLH and CFs","Contact Prog. Rep.","ft^2"))), "")</f>
        <v/>
      </c>
      <c r="Q62" s="270" t="str">
        <f>IFERROR(IF(AND(B62="New Construction",E62="Interior",$F$5="Space-by-Space"),VLOOKUP('Lighting Inventory'!N62,'Lookup Tables'!$N$6:$O$97,2,FALSE),IF(AND(B62="New Construction",E62="Exterior"),VLOOKUP(N62,'Lookup Tables'!$B$83:$F$103,2,FALSE),IF(AND(B62="New Construction",'Lighting Inventory'!E62="Interior", $F$5="Building Area"),VLOOKUP(F62,'Lookup Tables'!$A$6:$J$59,10,FALSE),""))), "")</f>
        <v/>
      </c>
      <c r="R62" s="270" t="str">
        <f>IFERROR(IF(P62="Contact Prog. Rep.", "ERROR", IF(OR(B62="",B62="Retrofit"),"",IF(N62="Automated teller machines", ('Lookup Tables'!$A$82:$E$100+('Lighting Inventory'!O62-1)*'Lookup Tables'!$A$82:$E$100)/1000, (Q62*O62)/1000))), "")</f>
        <v/>
      </c>
      <c r="S62" s="595"/>
      <c r="T62" s="105" t="str">
        <f t="shared" si="83"/>
        <v/>
      </c>
      <c r="U62" s="105" t="str">
        <f>IF(S62="","",COUNT($S$11:S62))</f>
        <v/>
      </c>
      <c r="V62" s="111"/>
      <c r="W62" s="112"/>
      <c r="X62" s="105" t="str">
        <f t="shared" si="84"/>
        <v/>
      </c>
      <c r="Y62" s="105" t="str">
        <f t="array" ref="Y62">IF(AND(OR(W62="Freezer Case Lighting", W62="Refrigerated Case Lighting with Doors"), 'General Information'!$X$18="LCI"),'Lookup Tables'!$Y$34, IF(V62="Custom", VLOOKUP(W62, 'Fixture Identities'!$A$974:$M$1023, 13, FALSE), IF(V62="No Change",'Lookup Tables'!$Y$29,IF(OR(V62="",W62=""),"",IF(AND(S62=0,S62&lt;I62,B62="Retrofit"),'Lookup Tables'!$Y$25, IF(B62="Retrofit", INDEX('Lookup Tables'!$AH$6:$AP$102, MATCH(1, ('Lookup Tables'!$AH$6:$AH$102=V62)*('Lookup Tables'!$AI$6:$AI$102=W62), 0), IF('Lighting Inventory'!E62="Interior", 4, 5)), INDEX('Lookup Tables'!$AH$114:$AP$154, MATCH(1, ('Lookup Tables'!$AH$114:$AH$154=V62)*('Lookup Tables'!$AI$114:$AI$154=W62), 0), IF('Lighting Inventory'!E62="Interior", 4, 5))))))))</f>
        <v/>
      </c>
      <c r="Z62" s="105" t="str">
        <f>IFERROR(INDEX('Lookup Tables'!$AH$158:$AH$172,MATCH('Lighting Inventory'!Y62,'Lookup Tables'!$AI$158:$AI$172,0)),"")</f>
        <v/>
      </c>
      <c r="AA62" s="105" t="str">
        <f>IF(AP62&gt;0,INDEX('Lookup Tables'!$AK$158:$AK$172,MATCH('Lighting Inventory'!Y62,'Lookup Tables'!$AI$158:$AI$172,0)),'Lighting Inventory'!Y62)</f>
        <v/>
      </c>
      <c r="AB62" s="105" t="str">
        <f t="array" ref="AB62">IF(V62="Custom", "Custom", IF(V62="", "", IF(V62="Not DLC or Energy Star", "General", IF(B62="New Construction", INDEX('Lookup Tables'!$AH$114:$AP$154,MATCH(1,('Lookup Tables'!$AH$114:$AH$154='Lighting Inventory'!V62)*('Lookup Tables'!$AI$114:$AI$154='Lighting Inventory'!W62),FALSE),8), INDEX('Lookup Tables'!$AH$6:$AP$102,MATCH(1,('Lookup Tables'!$AH$6:$AH$102='Lighting Inventory'!V62)*('Lookup Tables'!$AI$6:$AI$102='Lighting Inventory'!W62),FALSE),8)))))</f>
        <v/>
      </c>
      <c r="AC62" s="272" t="str">
        <f>IF(W62="","",IF(V62="Custom",CONCATENATE("$",'Lookup Tables'!$AM$101," ",'Lookup Tables'!$AN$101),CONCATENATE("$",INDEX('Lookup Tables'!$AM$6:$AM$102,MATCH('Lighting Inventory'!W62,'Lookup Tables'!$AI$6:$AI$102,0))," ",INDEX('Lookup Tables'!$AN$6:$AN$102,MATCH('Lighting Inventory'!W62,'Lookup Tables'!$AI$6:$AI$102,0)))))</f>
        <v/>
      </c>
      <c r="AD62" s="72"/>
      <c r="AE62" s="29"/>
      <c r="AF62" s="379"/>
      <c r="AG62" s="370" t="str">
        <f t="shared" si="2"/>
        <v/>
      </c>
      <c r="AH62" s="370" t="str">
        <f t="shared" si="85"/>
        <v/>
      </c>
      <c r="AI62" s="29"/>
      <c r="AJ62" s="29"/>
      <c r="AK62" s="110"/>
      <c r="AL62" s="375" t="str">
        <f>IF(OR(B62="", V62="", W62=""), "", IF(V62="No Change", K62, IF(V62="Remove Fixture", 0, IF(V62="Custom",VLOOKUP(W62,'Fixture Identities'!$A$6:$K$1023,10,FALSE),IF(AE62="", "← ENTER POST WATTS", 'Lighting Inventory'!AE62)))))</f>
        <v/>
      </c>
      <c r="AM62" s="376" t="str">
        <f t="shared" si="3"/>
        <v/>
      </c>
      <c r="AN62" s="29"/>
      <c r="AO62" s="671"/>
      <c r="AP62" s="29"/>
      <c r="AQ62" s="29"/>
      <c r="AR62" s="29"/>
      <c r="AS62" s="272" t="str">
        <f t="shared" si="4"/>
        <v/>
      </c>
      <c r="AT62" s="270" t="str">
        <f t="shared" si="234"/>
        <v/>
      </c>
      <c r="AU62" s="88" t="str">
        <f t="shared" si="235"/>
        <v/>
      </c>
      <c r="AV62" s="29"/>
      <c r="AW62" s="73"/>
      <c r="AX62" s="271" t="str">
        <f>IF(AND(AV62="Applicant",OR(AW62="", AW62="Use Default Facility Hours")),"← Choose Schedule",IF(F62="","",IF(W62="LED Exit Signs",8760,IF(OR(AV62="Prescribed",AV62=""),VLOOKUP(F62,'Lookup Tables'!$A$6:$G$59,IF(AB62="General", 6, 3),FALSE),VLOOKUP(AW62,'Lookup Tables'!$S$36:$U$43,2,FALSE)))))</f>
        <v/>
      </c>
      <c r="AY62" s="88" t="str">
        <f t="shared" si="7"/>
        <v/>
      </c>
      <c r="AZ62" s="270" t="str">
        <f>IFERROR(IF(F62="", "", IF(W62="LED Exit Signs", 1, IF(AV62="Applicant",VLOOKUP(AW62, 'Lookup Tables'!$S$36:$U$43,3, FALSE), VLOOKUP('Lighting Inventory'!F62, 'Lookup Tables'!$A$6:$H$59, IF('Lighting Inventory'!AB62="General",7,4), FALSE)))), "")</f>
        <v/>
      </c>
      <c r="BA62" s="522" t="str">
        <f>IFERROR(IF(F62="", "", IF(W62="LED Exit Signs", 1, VLOOKUP('Lighting Inventory'!F62, 'Lookup Tables'!$A$6:$H$59, IF('Lighting Inventory'!AB62="General",8,5), FALSE))), "")</f>
        <v/>
      </c>
      <c r="BB62" s="270" t="str">
        <f>IF(G62="", "", IF(E62="Exterior", 0, IF('Lighting Inventory'!G62="Air Conditioned", VLOOKUP(H62, 'Lookup Tables'!$R$6:$T$13, 2, FALSE), VLOOKUP('Lighting Inventory'!G62, 'Lookup Tables'!$R$6:$T$13, 2, FALSE))))</f>
        <v/>
      </c>
      <c r="BC62" s="522" t="str">
        <f>IF(G62="", "", IF(E62="Exterior", 0, IF('Lighting Inventory'!G62="Air Conditioned", VLOOKUP(H62, 'Lookup Tables'!$R$6:$T$13, 3, FALSE), VLOOKUP('Lighting Inventory'!G62, 'Lookup Tables'!$R$6:$T$13, 3, FALSE))))</f>
        <v/>
      </c>
      <c r="BD62" s="270" t="str">
        <f>IF(G62="", "", IF(E62="Exterior", 0, IF('Lighting Inventory'!G62="Air Conditioned", VLOOKUP(H62, 'Lookup Tables'!$R$6:$U$13, 4, FALSE), VLOOKUP('Lighting Inventory'!G62, 'Lookup Tables'!$R$6:$U$13, 4, FALSE))))</f>
        <v/>
      </c>
      <c r="BE62" s="270" t="str">
        <f>IFERROR(IF(B62="", "",  IF(B62="New Construction", VLOOKUP(F62, 'Lookup Tables'!$A$6:$K$59, 11, FALSE),IF(OR(AN62="", AN62="Light Switch"), 0, IF(OR(M62="",M62="None",V62= "LED Exit Signs"),0,_xlfn.XLOOKUP(M62,'Lookup Tables'!$R$91:$R$101,'Lookup Tables'!$V$91:$V$101))))), "")</f>
        <v/>
      </c>
      <c r="BF62" s="270" t="str">
        <f>IF(AND(OR(AN62="Light Switch",AN62=""),B62="New Construction"), VLOOKUP(F62, 'Lookup Tables'!$A$6:$K$59, 11, FALSE),IF(AN62="","",IF(B62="","",IF(OR(AN62="None",AN62="",V62="LED Exit Signs",AN62="Exterior Controls Not Eligible"),0,_xlfn.XLOOKUP(AN62,'Lookup Tables'!$R$91:$R$101,'Lookup Tables'!$V$91:$V$101)))))</f>
        <v/>
      </c>
      <c r="BG62" s="88" t="str">
        <f t="shared" si="86"/>
        <v/>
      </c>
      <c r="BH62" s="88" t="str">
        <f t="shared" si="87"/>
        <v/>
      </c>
      <c r="BI62" s="558" t="str">
        <f t="shared" si="168"/>
        <v/>
      </c>
      <c r="BJ62" s="82" t="str">
        <f t="shared" si="88"/>
        <v/>
      </c>
      <c r="BK62" s="82" t="str">
        <f t="shared" si="89"/>
        <v/>
      </c>
      <c r="BL62" s="559" t="str">
        <f t="shared" si="90"/>
        <v/>
      </c>
      <c r="BM62" s="521" t="str">
        <f t="shared" si="8"/>
        <v/>
      </c>
      <c r="BN62" s="521" t="str">
        <f t="shared" si="9"/>
        <v/>
      </c>
      <c r="BO62" s="522" t="str">
        <f t="shared" si="10"/>
        <v/>
      </c>
      <c r="BP62" s="83" t="str">
        <f t="shared" si="91"/>
        <v/>
      </c>
      <c r="BQ62" s="84" t="str">
        <f t="shared" si="92"/>
        <v/>
      </c>
      <c r="BR62" s="184" t="str">
        <f>IFERROR(IF(B62="", "", IF(OR(VLOOKUP(J62, 'Fixture Identities'!$A$6:$L$1023, 3, FALSE)="T12 Linear Fluorescent",VLOOKUP(J62, 'Fixture Identities'!$A$6:$L$1023, 3, FALSE)="T12 U-Tube Fluorescent"), "Y", "N")), "N")</f>
        <v/>
      </c>
      <c r="BS62" s="184" t="str">
        <f t="array" ref="BS62">IFERROR(IF(OR(B62="", V62="", W62=""), "", IF(V62="Custom", "N", IF(OR(W62="Freezer Case Lighting", W62="Refrigerated Case Lighting with Doors"), BT62, IF(B62="Retrofit", INDEX('Lookup Tables'!$AH$6:$AT$102,MATCH(1,('Lookup Tables'!$AH$6:$AH$102=V62)*('Lookup Tables'!$AI$6:$AI$102=W62),FALSE),IF(VLOOKUP(J62, 'Fixture Identities'!$A$6:$B$1023, 2, FALSE)="Incandescent",12, 13)), INDEX('Lookup Tables'!$AH$114:$AS$154,MATCH(1,('Lookup Tables'!$AH$114:$AH$154=V62)*('Lookup Tables'!$AI$114:$AI$154=W62),FALSE),12))))), "N")</f>
        <v/>
      </c>
      <c r="BT62" s="184" t="str">
        <f>IF(J62="", "", IF(AND(OR(W62="Freezer case Lighting", W62="Refrigerated Case Lighting with Doors"),'General Information'!$X$18="LCI"), "N", IF(OR(VLOOKUP(J62, 'Fixture Identities'!$A$6:$B$1023, 2, FALSE)="T12 EPACT/EISA Baseline", VLOOKUP(J62, 'Fixture Identities'!$A$6:$B$1023, 2, FALSE)="Linear Fluorescent", VLOOKUP(J62, 'Fixture Identities'!$A$6:$B$1023, 2, FALSE)="U-Tube Fluorescent"), "Y", "N")))</f>
        <v/>
      </c>
      <c r="BU62" s="184" t="str">
        <f>IFERROR(IF(B62="", "", IF(VLOOKUP(J62, 'Fixture Identities'!$A$6:$B$1023, 2, FALSE)="Exit Sign", "Y", "N")), "N")</f>
        <v/>
      </c>
      <c r="BV62" s="184" t="str">
        <f>IF(V62="Exit Signs", IF(VLOOKUP(J62, 'Fixture Identities'!$A$6:$B$1023, 2, FALSE)="Exit Sign", "N", "Y"), "")</f>
        <v/>
      </c>
      <c r="BW62" s="184" t="str">
        <f t="array" ref="BW62">IFERROR(IF(B62="", "", IF(B62="New Construction", "N", INDEX('Lookup Tables'!$AH$6:$AU$102, MATCH(1, ('Lookup Tables'!$AH$6:$AH$102='Lighting Inventory'!V62)*('Lookup Tables'!$AI$6:$AI$102='Lighting Inventory'!W62), 0), 14))), "N")</f>
        <v/>
      </c>
      <c r="BX62" s="598" t="str">
        <f t="shared" si="93"/>
        <v/>
      </c>
      <c r="BY62" s="598" t="str">
        <f t="shared" si="94"/>
        <v/>
      </c>
      <c r="BZ62" s="598" t="str">
        <f t="shared" si="95"/>
        <v/>
      </c>
      <c r="CA62" s="598" t="str">
        <f t="shared" si="101"/>
        <v/>
      </c>
      <c r="CB62" s="269" t="str">
        <f t="shared" si="102"/>
        <v/>
      </c>
      <c r="CC62" s="517" t="str">
        <f t="shared" si="96"/>
        <v/>
      </c>
      <c r="CD62" s="565" t="str">
        <f t="shared" si="11"/>
        <v/>
      </c>
      <c r="CE62" s="368">
        <v>0</v>
      </c>
      <c r="CF62" s="368" t="str" cm="1">
        <f t="array" ref="CF62">IFERROR(IF(V62="Custom", "$0.1 per kWh", IF(B62="New Construction", CONCATENATE("$",INDEX('Lookup Tables'!$AH$114:$AN$154,MATCH(1,('Lookup Tables'!$AH$114:$AH$154='Lighting Inventory'!V62)*('Lookup Tables'!$AI$114:$AI$154='Lighting Inventory'!W62),FALSE),6)," ",INDEX('Lookup Tables'!$AH$114:$AN$154,MATCH(1,('Lookup Tables'!$AH$114:$AH$154='Lighting Inventory'!V62)*('Lookup Tables'!$AI$114:$AI$154='Lighting Inventory'!W62),FALSE),7)), IF(AND(BU62="N", V62="Exit Signs"), "$0.025 per kWh", CONCATENATE("$",INDEX('Lookup Tables'!$AH$6:$AN$102,MATCH(1,('Lookup Tables'!$AH$6:$AH$102='Lighting Inventory'!V62)*('Lookup Tables'!$AI$6:$AI$102='Lighting Inventory'!W62),FALSE),6)," ",INDEX('Lookup Tables'!$AH$6:$AN$102,MATCH(1,('Lookup Tables'!$AH$6:$AH$102='Lighting Inventory'!V62)*('Lookup Tables'!$AI$6:$AI$102='Lighting Inventory'!W62),FALSE),7))))), "")</f>
        <v/>
      </c>
      <c r="CG62" s="366"/>
      <c r="CH62" s="248" t="str">
        <f t="shared" si="236"/>
        <v/>
      </c>
      <c r="CI62" s="248" t="str">
        <f t="shared" si="237"/>
        <v>Select_IE</v>
      </c>
      <c r="CJ62" s="248" t="str">
        <f t="shared" si="238"/>
        <v/>
      </c>
      <c r="CK62" s="248" t="str">
        <f t="shared" si="239"/>
        <v/>
      </c>
      <c r="CL62" s="248" t="str">
        <f t="shared" si="240"/>
        <v/>
      </c>
      <c r="CM62" s="248" t="str">
        <f>IFERROR(IF(B62="", "", IF(B62="New Construction", VLOOKUP(V62, 'Lookup Tables'!$AF$114:$AG$120, 2, FALSE), VLOOKUP(V62, 'Lookup Tables'!$AD$6:$AE$25, 2, FALSE))), "")</f>
        <v/>
      </c>
      <c r="CN62" s="248" t="str">
        <f t="shared" si="175"/>
        <v/>
      </c>
      <c r="CO62" s="248" t="str">
        <f t="shared" si="241"/>
        <v/>
      </c>
      <c r="CP62" s="592" t="str">
        <f t="shared" si="242"/>
        <v/>
      </c>
      <c r="CQ62" s="248" t="str">
        <f t="shared" si="97"/>
        <v/>
      </c>
      <c r="CR62" s="249"/>
      <c r="CS62" s="250" t="str">
        <f t="shared" si="178"/>
        <v/>
      </c>
      <c r="CT62" s="250" t="str">
        <f t="shared" si="243"/>
        <v/>
      </c>
      <c r="CU62" s="250" t="str">
        <f t="shared" si="244"/>
        <v/>
      </c>
      <c r="CV62" s="250" t="str">
        <f t="shared" si="245"/>
        <v/>
      </c>
      <c r="CW62" s="250" t="str">
        <f t="shared" si="246"/>
        <v/>
      </c>
      <c r="CX62" s="250" t="str">
        <f t="shared" si="247"/>
        <v/>
      </c>
      <c r="CY62" s="250" t="str">
        <f t="shared" si="248"/>
        <v/>
      </c>
      <c r="CZ62" s="250" t="str">
        <f t="shared" si="249"/>
        <v/>
      </c>
      <c r="DA62" s="250" t="str">
        <f t="shared" si="250"/>
        <v/>
      </c>
      <c r="DB62" s="250" t="str">
        <f t="shared" si="251"/>
        <v/>
      </c>
      <c r="DC62" s="250" t="str">
        <f t="shared" si="252"/>
        <v/>
      </c>
      <c r="DD62" s="250" t="str">
        <f t="shared" si="253"/>
        <v/>
      </c>
      <c r="DE62" s="250" t="str">
        <f t="shared" si="254"/>
        <v/>
      </c>
      <c r="DF62" s="250" t="str">
        <f t="shared" si="255"/>
        <v/>
      </c>
      <c r="DG62" s="250" t="str">
        <f t="shared" si="256"/>
        <v/>
      </c>
      <c r="DH62" s="250" t="str">
        <f t="shared" si="257"/>
        <v/>
      </c>
      <c r="DI62" s="250" t="str">
        <f t="shared" si="258"/>
        <v/>
      </c>
      <c r="DJ62" s="250" t="str">
        <f t="shared" si="259"/>
        <v/>
      </c>
      <c r="DK62" s="250" t="str">
        <f t="shared" si="260"/>
        <v/>
      </c>
      <c r="DL62" s="250" t="str">
        <f t="shared" si="261"/>
        <v/>
      </c>
      <c r="DM62" s="250" t="str">
        <f>IF(CD62="ERROR", "ERROR", IF(AND(OR(Y62=$DM$6, Y62='Lookup Tables'!$AD$21, Y62='Lookup Tables'!$AD$22), E62="Interior"), BJ62, ""))</f>
        <v/>
      </c>
      <c r="DN62" s="250" t="str">
        <f>IF(CD62="ERROR", "ERROR", IF(AND(OR(Y62=$DM$6, Y62='Lookup Tables'!$AD$21, Y62='Lookup Tables'!$AD$22), E62="Exterior"), BJ62, ""))</f>
        <v/>
      </c>
      <c r="DO62" s="249"/>
      <c r="DP62" s="250" t="str">
        <f t="shared" si="198"/>
        <v/>
      </c>
      <c r="DQ62" s="250" t="str">
        <f t="shared" si="262"/>
        <v/>
      </c>
      <c r="DR62" s="250" t="str">
        <f t="shared" si="263"/>
        <v/>
      </c>
      <c r="DS62" s="250" t="str">
        <f t="shared" si="264"/>
        <v/>
      </c>
      <c r="DT62" s="250" t="str">
        <f t="shared" si="265"/>
        <v/>
      </c>
      <c r="DU62" s="250" t="str">
        <f t="shared" si="266"/>
        <v/>
      </c>
      <c r="DV62" s="250" t="str">
        <f t="shared" si="267"/>
        <v/>
      </c>
      <c r="DW62" s="250" t="str">
        <f t="shared" si="268"/>
        <v/>
      </c>
      <c r="DX62" s="250" t="str">
        <f t="shared" si="269"/>
        <v/>
      </c>
      <c r="DY62" s="250" t="str">
        <f t="shared" si="270"/>
        <v/>
      </c>
      <c r="DZ62" s="250" t="str">
        <f t="shared" si="271"/>
        <v/>
      </c>
      <c r="EA62" s="250" t="str">
        <f t="shared" si="272"/>
        <v/>
      </c>
      <c r="EB62" s="250" t="str">
        <f t="shared" si="273"/>
        <v/>
      </c>
      <c r="EC62" s="250" t="str">
        <f t="shared" si="274"/>
        <v/>
      </c>
      <c r="ED62" s="250" t="str">
        <f t="shared" si="275"/>
        <v/>
      </c>
      <c r="EE62" s="250" t="str">
        <f t="shared" si="276"/>
        <v/>
      </c>
      <c r="EF62" s="250" t="str">
        <f t="shared" si="277"/>
        <v/>
      </c>
      <c r="EG62" s="250" t="str">
        <f t="shared" si="278"/>
        <v/>
      </c>
      <c r="EH62" s="250" t="str">
        <f>IF(CD62="ERROR", "ERROR", IF(AND(OR($EH$6=Y62, Y62='Lookup Tables'!$AD$21, Y62='Lookup Tables'!$AD$22),E62="Interior"), SUM(BP62:BP62), ""))</f>
        <v/>
      </c>
      <c r="EI62" s="250" t="str">
        <f>IF(CD62="ERROR", "ERROR", IF(AND(OR($EH$6=Y62, Y62='Lookup Tables'!$AD$21, Y62='Lookup Tables'!$AD$22),E62="Exterior"), SUM(BP62:BP62), ""))</f>
        <v/>
      </c>
      <c r="EJ62" s="109"/>
      <c r="EK62" s="485" t="str">
        <f t="shared" si="58"/>
        <v/>
      </c>
      <c r="EL62" s="252" t="str">
        <f t="shared" si="279"/>
        <v/>
      </c>
      <c r="EM62" s="252" t="str">
        <f t="shared" si="280"/>
        <v/>
      </c>
      <c r="EN62" s="252" t="str">
        <f t="shared" si="281"/>
        <v/>
      </c>
      <c r="EO62" s="252" t="str">
        <f t="shared" si="282"/>
        <v/>
      </c>
      <c r="EP62" s="252" t="str">
        <f t="shared" si="283"/>
        <v/>
      </c>
      <c r="EQ62" s="252" t="str">
        <f t="shared" si="284"/>
        <v/>
      </c>
      <c r="ER62" s="252" t="str">
        <f t="shared" si="285"/>
        <v/>
      </c>
      <c r="ES62" s="252" t="str">
        <f t="shared" si="286"/>
        <v/>
      </c>
      <c r="ET62" s="252" t="str">
        <f t="shared" si="287"/>
        <v/>
      </c>
      <c r="EU62" s="252" t="str">
        <f t="shared" si="288"/>
        <v/>
      </c>
      <c r="EV62" s="252" t="str">
        <f t="shared" si="289"/>
        <v/>
      </c>
      <c r="EW62" s="252" t="str">
        <f t="shared" si="290"/>
        <v/>
      </c>
      <c r="EX62" s="252" t="str">
        <f t="shared" si="291"/>
        <v/>
      </c>
      <c r="EY62" s="252" t="str">
        <f t="shared" si="292"/>
        <v/>
      </c>
      <c r="EZ62" s="252" t="str">
        <f t="shared" si="293"/>
        <v/>
      </c>
      <c r="FA62" s="252" t="str">
        <f t="shared" si="294"/>
        <v/>
      </c>
      <c r="FB62" s="252" t="str">
        <f t="shared" si="295"/>
        <v/>
      </c>
      <c r="FC62" s="252" t="str">
        <f>IF(CD62="ERROR", "ERROR", IF(OR(V62="No Change", V62="Not DLC or Energy Star"), "", IF(AND(OR($FC$6=Y62,Y62='Lookup Tables'!$AD$21, Y62='Lookup Tables'!$AD$22),E62="Interior"), S62, "")))</f>
        <v/>
      </c>
      <c r="FD62" s="252" t="str">
        <f t="shared" si="296"/>
        <v/>
      </c>
      <c r="FE62" s="1"/>
      <c r="FF62" s="579" t="str" cm="1">
        <f t="array" ref="FF62">IFERROR(IF(OR(BQ62&lt;=0,AQ62&lt;20,AND(V62="Exit Signs",AN62&gt;0)),"",IF(AND(AQ62&gt;=20,AN62='Lookup Tables'!$R$101),'Lookup Tables'!$U$101*BQ62,AP62*LOOKUP(2,1/((AN62='Lookup Tables'!$R$91:$R$111)*(AQ62&gt;='Lookup Tables'!$S$91:$S$111)*(AQ62&lt;='Lookup Tables'!$T$91:$T$111)),'Lookup Tables'!$U$91:$U$111))),"")</f>
        <v/>
      </c>
      <c r="FG62" s="579"/>
      <c r="FH62" s="579"/>
      <c r="FI62" s="253" t="str">
        <f>IFERROR(ROUND(IF(CD62="ERROR", "ERROR", IF(AND($FI$7=X62,E62="Interior"),VLOOKUP(W62, 'Lookup Tables'!$AI$6:$AM$102, 5, FALSE)*BP62, "")), 2), "")</f>
        <v/>
      </c>
      <c r="FJ62" s="253" t="str">
        <f>IFERROR(ROUND(IF(CD62="ERROR", "ERROR", IF(AND($FI$7=X62,E62="Exterior"),VLOOKUP(W62, 'Lookup Tables'!$AI$6:$AM$102, 5, FALSE)*BP62, "")), 2), "")</f>
        <v/>
      </c>
      <c r="FK62" s="253" t="str">
        <f>IFERROR(ROUND(IF(CD62="ERROR", "ERROR", IF(AND($FK$7=X62,E62="Interior"),VLOOKUP(W62, 'Lookup Tables'!$AI$6:$AM$102, 5, FALSE)*BP62, "")), 2), "")</f>
        <v/>
      </c>
      <c r="FL62" s="253" t="str">
        <f>IFERROR(ROUND(IF(CD62="ERROR", "ERROR", IF(AND($FK$7=X62,E62="Exterior"),VLOOKUP(W62, 'Lookup Tables'!$AI$6:$AM$102, 5, FALSE)*BP62, "")), 2), "")</f>
        <v/>
      </c>
      <c r="FM62" s="253" t="str">
        <f>IFERROR(ROUND(IF(CD62="ERROR", "ERROR", IF(AND($FM$6=Y62,E62="Interior"), IF(GB62=0, VLOOKUP(W62, 'Lookup Tables'!$AI$6:$AM$102, 5, FALSE)*BP62, IF(VLOOKUP(W62, 'Lookup Tables'!$AI$6:$AM$102, 5, FALSE)*BP62&gt;GB62*'Lighting Inventory'!S62, GB62*'Lighting Inventory'!S62,VLOOKUP(W62, 'Lookup Tables'!$AI$6:$AM$102, 5, FALSE)*BP62)), "")), 2), "")</f>
        <v/>
      </c>
      <c r="FN62" s="253" t="str">
        <f>IFERROR(ROUND(IF(CD62="ERROR", "ERROR", IF(AND($FM$6=Y62,E62="Exterior"), IF(GB62=0, VLOOKUP(W62, 'Lookup Tables'!$AI$6:$AM$102, 5, FALSE)*BP62, IF(VLOOKUP(W62, 'Lookup Tables'!$AI$6:$AM$102, 5, FALSE)*BP62&gt;GB62*'Lighting Inventory'!S62, GB62*'Lighting Inventory'!S62,VLOOKUP(W62, 'Lookup Tables'!$AI$6:$AM$102, 5, FALSE)*BP62)), "")), 2), "")</f>
        <v/>
      </c>
      <c r="FO62" s="253" t="str">
        <f>IFERROR(ROUND(IF(CD62="ERROR", "ERROR", IF(AND($FO$6=Y62,E62="Interior"),VLOOKUP(W62, 'Lookup Tables'!$AI$6:$AM$102, 5, FALSE)*'Lighting Inventory'!AI62, "")), 2), "")</f>
        <v/>
      </c>
      <c r="FP62" s="253" t="str">
        <f>IFERROR(ROUND(IF(CD62="ERROR", "ERROR", IF(AND($FO$6=Y62,E62="Exterior"),VLOOKUP(W62, 'Lookup Tables'!$AI$6:$AM$102, 5, FALSE)*'Lighting Inventory'!AI62, "")), 2), "")</f>
        <v/>
      </c>
      <c r="FQ62" s="253" t="str">
        <f>IFERROR(ROUND(IF(CD62="ERROR", "ERROR", IF(AND($FQ$6=Y62,E62="Interior", BU62="Y"), VLOOKUP('Lighting Inventory'!W62, 'Lookup Tables'!$AI$6:$AM$102, 5, FALSE)*'Lighting Inventory'!S62, IF(AND($FQ$7=Y62,E62="Interior", BU62="N"), 0.025*CD62, ""))), 2), "")</f>
        <v/>
      </c>
      <c r="FR62" s="253" t="str">
        <f>IFERROR(ROUND(IF(CD62="ERROR", "ERROR", IF(AND($FQ$6=Y62,E62="Exterior"), VLOOKUP('Lighting Inventory'!W62, 'Lookup Tables'!$AI$6:$AM$102, 5, FALSE)*'Lighting Inventory'!S62, "")), 2), "")</f>
        <v/>
      </c>
      <c r="FS62" s="253" t="str">
        <f>IFERROR(ROUND(IF(CD62="ERROR", "ERROR", IF(AND($FS$6=Y62,E62="Exterior"), IF(GB62=0, VLOOKUP(W62, 'Lookup Tables'!$AI$6:$AM$102, 5, FALSE)*BP62, IF(VLOOKUP(W62, 'Lookup Tables'!$AI$6:$AM$102, 5, FALSE)*BP62&gt;GB62*'Lighting Inventory'!S62, GB62*'Lighting Inventory'!S62,VLOOKUP(W62, 'Lookup Tables'!$AI$6:$AM$102, 5, FALSE)*BP62)), "")), 2), "")</f>
        <v/>
      </c>
      <c r="FT62" s="253" t="str">
        <f>IFERROR(ROUND(IF(CD62="ERROR", "ERROR", IF(AND($FT$6=Y62,E62="Interior"), IF(GB62=0, VLOOKUP(W62, 'Lookup Tables'!$AI$6:$AM$102, 5, FALSE)*BP62, IF(VLOOKUP(W62, 'Lookup Tables'!$AI$6:$AM$102, 5, FALSE)*BP62&gt;GB62*'Lighting Inventory'!S62, GB62*'Lighting Inventory'!S62,VLOOKUP(W62, 'Lookup Tables'!$AI$6:$AM$102, 5, FALSE)*BP62)), "")), 2), "")</f>
        <v/>
      </c>
      <c r="FU62" s="253" t="str">
        <f>IFERROR(ROUND(IF(CD62="ERROR", "ERROR", IF(AND(Y62=$FU$6, E62="Interior"), IF(BS62="N", 'Lookup Tables'!$AM$101*BP62, VLOOKUP(W62, 'Lookup Tables'!$AI$6:$AM$102, 5, FALSE)*S62*AD62), "")), 2), "")</f>
        <v/>
      </c>
      <c r="FV62" s="253" t="str">
        <f>IFERROR(ROUND(IF(CD62="ERROR", "ERROR", IF(AND(Y62=$FU$6, E62="Exterior"), IF(BS62="N", 'Lookup Tables'!$AM$101*BP62, VLOOKUP(W62, 'Lookup Tables'!$AI$6:$AM$102, 5, FALSE)*S62*AD62), "")), 2), "")</f>
        <v/>
      </c>
      <c r="FW62" s="253" t="str">
        <f>IFERROR(ROUND(IF(CD62="ERROR", "ERROR", IF($FW$6=Y62, IF(BS62="N", 'Lookup Tables'!$AM$101*BP62, MIN((VLOOKUP(W62, 'Lookup Tables'!$AI$6:$AM$102, 5, FALSE)*BP62),GB62*AJ62)), "")), 2), "")</f>
        <v/>
      </c>
      <c r="FX62" s="253" t="str">
        <f>IFERROR(ROUND(IF(CD62="ERROR", "ERROR", IF(AND($FX$6=Y62, E62="Interior"), IF(VLOOKUP(W62, 'Lookup Tables'!$AI$6:$AM$102, 5, FALSE)*BP62&gt;'Lookup Tables'!$AQ$97*'Lighting Inventory'!S62,'Lighting Inventory'!S62*'Lookup Tables'!$AQ$97,VLOOKUP(W62, 'Lookup Tables'!$AI$6:$AM$102, 5, FALSE)*BP62), "")), 2), "")</f>
        <v/>
      </c>
      <c r="FY62" s="253" t="str">
        <f>IFERROR(ROUND(IF(CD62="ERROR", "ERROR", IF(AND($FX$6=Y62, E62="Exterior"), IF(VLOOKUP(W62, 'Lookup Tables'!$AI$6:$AM$102, 5, FALSE)*BP62&gt;'Lookup Tables'!$AQ$97*'Lighting Inventory'!S62,'Lighting Inventory'!S62*'Lookup Tables'!$AQ$97,VLOOKUP(W62, 'Lookup Tables'!$AI$6:$AM$102, 5, FALSE)*BP62), "")), 2), "")</f>
        <v/>
      </c>
      <c r="FZ62" s="253" t="str">
        <f>IFERROR(ROUND(IF(CD62="ERROR", "ERROR", IF(AND($FZ$6=Y62, E62="Interior"), IF(AND(OR(W62="Refrigerated Case Lighting with Doors", W62="Freezer Case Lighting"),Y62="Custom - Process Improvement"),CD62*'Lookup Tables'!$AM$101, IF(B62="Retrofit", IF(VLOOKUP(IF(V62="Custom", V62, W62), 'Lookup Tables'!$AI$6:$AM$102, 5, FALSE)*BP62&gt;GE62, GE62, VLOOKUP(IF(V62="Custom", V62, W62), 'Lookup Tables'!$AI$6:$AM$102, 5, FALSE)*BP62), IF(VLOOKUP(IF(V62="Custom", V62, W62), 'Lookup Tables'!$AI$114:$AM$154, 5, FALSE)*BP62&gt;GE62, GE62, VLOOKUP(IF(V62="Custom", V62, W62), 'Lookup Tables'!$AI$114:$AM$154, 5, FALSE)*BP62))), "")), 2),"")</f>
        <v/>
      </c>
      <c r="GA62" s="253" t="str">
        <f>IFERROR(ROUND(IF(CD62="ERROR", "ERROR", IF(AND($FZ$6=Y62, E62="Exterior"), IF(B62="Retrofit", IF(VLOOKUP(IF(V62="Custom", V62, W62), 'Lookup Tables'!$AI$6:$AM$102, 5, FALSE)*BP62&gt;GE62, GE62, VLOOKUP(IF(V62="Custom", V62, W62), 'Lookup Tables'!$AI$6:$AM$102, 5, FALSE)*BP62), IF(VLOOKUP(IF(V62="Custom", V62, W62), 'Lookup Tables'!$AI$114:$AM$154, 5, FALSE)*BP62&gt;GE62, GE62, VLOOKUP(IF(V62="Custom", V62, W62), 'Lookup Tables'!$AI$114:$AM$154, 5, FALSE)*BP62)), "")), 2),"")</f>
        <v/>
      </c>
      <c r="GB62" s="254" t="str">
        <f t="array" ref="GB62">IF(B62="","",IF(OR(V62="Custom",V62="No Change"),0,IF(B62="Retrofit", INDEX('Lookup Tables'!$AH$6:$AQ$102,MATCH(1,('Lookup Tables'!$AH$6:$AH$102='Lighting Inventory'!V62)*('Lookup Tables'!$AI$6:$AI$102='Lighting Inventory'!W62),FALSE),10),INDEX('Lookup Tables'!$AH$114:$AQ$154,MATCH(1,('Lookup Tables'!$AH$114:$AH$154='Lighting Inventory'!V62)*('Lookup Tables'!$AI$114:$AI$154='Lighting Inventory'!W62),FALSE),10))))</f>
        <v/>
      </c>
      <c r="GC62" s="255" t="str">
        <f t="shared" si="77"/>
        <v/>
      </c>
      <c r="GD62" s="250" t="str">
        <f t="shared" si="78"/>
        <v/>
      </c>
      <c r="GE62" s="253" t="str">
        <f>IFERROR(IF(AND(AF62="", 'General Information'!$F$18="No"),"", IF(AF62="", ((GD62/$CD$266)*$CF$266)*0.5, AF62*S62*0.5)), "")</f>
        <v/>
      </c>
      <c r="GF62" s="255" t="str">
        <f>IF(AND('General Information'!$F$19="", 'General Information'!$F$18="Yes",AF62="",BW62="Y"), "Y", "N")</f>
        <v>N</v>
      </c>
      <c r="GG62" s="255" t="s">
        <v>2946</v>
      </c>
      <c r="GH62" s="255" t="str">
        <f>IFERROR(IF(B62="", "", VLOOKUP(J62, 'Fixture Identities'!$A$6:$N$908, 14, FALSE)), "")</f>
        <v/>
      </c>
      <c r="GI62" s="389" t="str">
        <f>IF(OR(B62="", V62="", W62=""), "", IF(AND(OR(M62='Lookup Tables'!$R$18, M62='Lookup Tables'!$R$19, M62='Lookup Tables'!$R$20, M62='Lookup Tables'!$R$21, M62='Lookup Tables'!$R$22), OR(AN62='Lookup Tables'!$R$17, AN62='Lookup Tables'!$R$17, AN62="")), "Y", "N"))</f>
        <v/>
      </c>
      <c r="GJ62" s="255" t="str">
        <f t="shared" si="79"/>
        <v/>
      </c>
      <c r="GK62" s="255" t="str">
        <f t="shared" si="80"/>
        <v/>
      </c>
      <c r="GL62" s="255" t="str">
        <f t="shared" si="81"/>
        <v/>
      </c>
      <c r="GM62" s="255" t="str">
        <f>IF(AN62="", "", IF(AND(IF(ISNA(VLOOKUP(AN62,'Lookup Tables'!$R$18:$R$22,1,FALSE)), "N", "Y")="Y", E62="Exterior"), "Y", "N"))</f>
        <v/>
      </c>
      <c r="GN62" s="395"/>
      <c r="GO62" s="428">
        <f t="shared" si="98"/>
        <v>0</v>
      </c>
      <c r="GP62" s="428">
        <f t="shared" si="167"/>
        <v>0</v>
      </c>
      <c r="GQ62" s="428">
        <f t="shared" si="99"/>
        <v>0</v>
      </c>
      <c r="GR62" s="428">
        <f t="shared" si="100"/>
        <v>0</v>
      </c>
    </row>
    <row r="63" spans="1:200" s="103" customFormat="1" ht="13.5" customHeight="1" x14ac:dyDescent="0.2">
      <c r="A63" s="272">
        <v>53</v>
      </c>
      <c r="B63" s="110"/>
      <c r="C63" s="110"/>
      <c r="D63" s="110"/>
      <c r="E63" s="110"/>
      <c r="F63" s="110"/>
      <c r="G63" s="110"/>
      <c r="H63" s="110"/>
      <c r="I63" s="29"/>
      <c r="J63" s="29"/>
      <c r="K63" s="272" t="str">
        <f>IFERROR(IF(OR(VLOOKUP(J63, 'Fixture Identities'!$A$6:$L$1023, 3, FALSE)="T12 Linear Fluorescent", VLOOKUP(J63, 'Fixture Identities'!$A$6:$L$1023, 3, FALSE)="T12 U-Tube Fluorescent"), VLOOKUP(VLOOKUP(J63, 'Fixture Identities'!$A$6:$L$1023, 11, FALSE), 'Fixture Identities'!$A$6:$L$1023, 10, FALSE), VLOOKUP(J63, 'Fixture Identities'!$A$6:$L$1023, 10, FALSE)), "")</f>
        <v/>
      </c>
      <c r="L63" s="270" t="str">
        <f t="shared" si="169"/>
        <v/>
      </c>
      <c r="M63" s="110"/>
      <c r="N63" s="110"/>
      <c r="O63" s="110"/>
      <c r="P63" s="272" t="str">
        <f>IFERROR(IF(OR(B63="Retrofit",B63=""),"",IF('Lighting Inventory'!E63="Exterior",VLOOKUP('Lighting Inventory'!N63,'Lookup Tables'!$B$83:$F$103,5,FALSE),IF(N63="Other - Please Estimate EFLH and CFs","Contact Prog. Rep.","ft^2"))), "")</f>
        <v/>
      </c>
      <c r="Q63" s="270" t="str">
        <f>IFERROR(IF(AND(B63="New Construction",E63="Interior",$F$5="Space-by-Space"),VLOOKUP('Lighting Inventory'!N63,'Lookup Tables'!$N$6:$O$97,2,FALSE),IF(AND(B63="New Construction",E63="Exterior"),VLOOKUP(N63,'Lookup Tables'!$B$83:$F$103,2,FALSE),IF(AND(B63="New Construction",'Lighting Inventory'!E63="Interior", $F$5="Building Area"),VLOOKUP(F63,'Lookup Tables'!$A$6:$J$59,10,FALSE),""))), "")</f>
        <v/>
      </c>
      <c r="R63" s="270" t="str">
        <f>IFERROR(IF(P63="Contact Prog. Rep.", "ERROR", IF(OR(B63="",B63="Retrofit"),"",IF(N63="Automated teller machines", ('Lookup Tables'!$A$82:$E$100+('Lighting Inventory'!O63-1)*'Lookup Tables'!$A$82:$E$100)/1000, (Q63*O63)/1000))), "")</f>
        <v/>
      </c>
      <c r="S63" s="595"/>
      <c r="T63" s="105" t="str">
        <f t="shared" si="83"/>
        <v/>
      </c>
      <c r="U63" s="105" t="str">
        <f>IF(S63="","",COUNT($S$11:S63))</f>
        <v/>
      </c>
      <c r="V63" s="111"/>
      <c r="W63" s="112"/>
      <c r="X63" s="105" t="str">
        <f t="shared" si="84"/>
        <v/>
      </c>
      <c r="Y63" s="105" t="str">
        <f t="array" ref="Y63">IF(AND(OR(W63="Freezer Case Lighting", W63="Refrigerated Case Lighting with Doors"), 'General Information'!$X$18="LCI"),'Lookup Tables'!$Y$34, IF(V63="Custom", VLOOKUP(W63, 'Fixture Identities'!$A$974:$M$1023, 13, FALSE), IF(V63="No Change",'Lookup Tables'!$Y$29,IF(OR(V63="",W63=""),"",IF(AND(S63=0,S63&lt;I63,B63="Retrofit"),'Lookup Tables'!$Y$25, IF(B63="Retrofit", INDEX('Lookup Tables'!$AH$6:$AP$102, MATCH(1, ('Lookup Tables'!$AH$6:$AH$102=V63)*('Lookup Tables'!$AI$6:$AI$102=W63), 0), IF('Lighting Inventory'!E63="Interior", 4, 5)), INDEX('Lookup Tables'!$AH$114:$AP$154, MATCH(1, ('Lookup Tables'!$AH$114:$AH$154=V63)*('Lookup Tables'!$AI$114:$AI$154=W63), 0), IF('Lighting Inventory'!E63="Interior", 4, 5))))))))</f>
        <v/>
      </c>
      <c r="Z63" s="105" t="str">
        <f>IFERROR(INDEX('Lookup Tables'!$AH$158:$AH$172,MATCH('Lighting Inventory'!Y63,'Lookup Tables'!$AI$158:$AI$172,0)),"")</f>
        <v/>
      </c>
      <c r="AA63" s="105" t="str">
        <f>IF(AP63&gt;0,INDEX('Lookup Tables'!$AK$158:$AK$172,MATCH('Lighting Inventory'!Y63,'Lookup Tables'!$AI$158:$AI$172,0)),'Lighting Inventory'!Y63)</f>
        <v/>
      </c>
      <c r="AB63" s="105" t="str">
        <f t="array" ref="AB63">IF(V63="Custom", "Custom", IF(V63="", "", IF(V63="Not DLC or Energy Star", "General", IF(B63="New Construction", INDEX('Lookup Tables'!$AH$114:$AP$154,MATCH(1,('Lookup Tables'!$AH$114:$AH$154='Lighting Inventory'!V63)*('Lookup Tables'!$AI$114:$AI$154='Lighting Inventory'!W63),FALSE),8), INDEX('Lookup Tables'!$AH$6:$AP$102,MATCH(1,('Lookup Tables'!$AH$6:$AH$102='Lighting Inventory'!V63)*('Lookup Tables'!$AI$6:$AI$102='Lighting Inventory'!W63),FALSE),8)))))</f>
        <v/>
      </c>
      <c r="AC63" s="272" t="str">
        <f>IF(W63="","",IF(V63="Custom",CONCATENATE("$",'Lookup Tables'!$AM$101," ",'Lookup Tables'!$AN$101),CONCATENATE("$",INDEX('Lookup Tables'!$AM$6:$AM$102,MATCH('Lighting Inventory'!W63,'Lookup Tables'!$AI$6:$AI$102,0))," ",INDEX('Lookup Tables'!$AN$6:$AN$102,MATCH('Lighting Inventory'!W63,'Lookup Tables'!$AI$6:$AI$102,0)))))</f>
        <v/>
      </c>
      <c r="AD63" s="72"/>
      <c r="AE63" s="29"/>
      <c r="AF63" s="379"/>
      <c r="AG63" s="370" t="str">
        <f t="shared" si="2"/>
        <v/>
      </c>
      <c r="AH63" s="370" t="str">
        <f t="shared" si="85"/>
        <v/>
      </c>
      <c r="AI63" s="29"/>
      <c r="AJ63" s="29"/>
      <c r="AK63" s="110"/>
      <c r="AL63" s="375" t="str">
        <f>IF(OR(B63="", V63="", W63=""), "", IF(V63="No Change", K63, IF(V63="Remove Fixture", 0, IF(V63="Custom",VLOOKUP(W63,'Fixture Identities'!$A$6:$K$1023,10,FALSE),IF(AE63="", "← ENTER POST WATTS", 'Lighting Inventory'!AE63)))))</f>
        <v/>
      </c>
      <c r="AM63" s="376" t="str">
        <f t="shared" si="3"/>
        <v/>
      </c>
      <c r="AN63" s="29"/>
      <c r="AO63" s="671"/>
      <c r="AP63" s="29"/>
      <c r="AQ63" s="29"/>
      <c r="AR63" s="29"/>
      <c r="AS63" s="272" t="str">
        <f t="shared" si="4"/>
        <v/>
      </c>
      <c r="AT63" s="270" t="str">
        <f t="shared" si="234"/>
        <v/>
      </c>
      <c r="AU63" s="88" t="str">
        <f t="shared" si="235"/>
        <v/>
      </c>
      <c r="AV63" s="29"/>
      <c r="AW63" s="73"/>
      <c r="AX63" s="271" t="str">
        <f>IF(AND(AV63="Applicant",OR(AW63="", AW63="Use Default Facility Hours")),"← Choose Schedule",IF(F63="","",IF(W63="LED Exit Signs",8760,IF(OR(AV63="Prescribed",AV63=""),VLOOKUP(F63,'Lookup Tables'!$A$6:$G$59,IF(AB63="General", 6, 3),FALSE),VLOOKUP(AW63,'Lookup Tables'!$S$36:$U$43,2,FALSE)))))</f>
        <v/>
      </c>
      <c r="AY63" s="88" t="str">
        <f t="shared" si="7"/>
        <v/>
      </c>
      <c r="AZ63" s="270" t="str">
        <f>IFERROR(IF(F63="", "", IF(W63="LED Exit Signs", 1, IF(AV63="Applicant",VLOOKUP(AW63, 'Lookup Tables'!$S$36:$U$43,3, FALSE), VLOOKUP('Lighting Inventory'!F63, 'Lookup Tables'!$A$6:$H$59, IF('Lighting Inventory'!AB63="General",7,4), FALSE)))), "")</f>
        <v/>
      </c>
      <c r="BA63" s="522" t="str">
        <f>IFERROR(IF(F63="", "", IF(W63="LED Exit Signs", 1, VLOOKUP('Lighting Inventory'!F63, 'Lookup Tables'!$A$6:$H$59, IF('Lighting Inventory'!AB63="General",8,5), FALSE))), "")</f>
        <v/>
      </c>
      <c r="BB63" s="270" t="str">
        <f>IF(G63="", "", IF(E63="Exterior", 0, IF('Lighting Inventory'!G63="Air Conditioned", VLOOKUP(H63, 'Lookup Tables'!$R$6:$T$13, 2, FALSE), VLOOKUP('Lighting Inventory'!G63, 'Lookup Tables'!$R$6:$T$13, 2, FALSE))))</f>
        <v/>
      </c>
      <c r="BC63" s="522" t="str">
        <f>IF(G63="", "", IF(E63="Exterior", 0, IF('Lighting Inventory'!G63="Air Conditioned", VLOOKUP(H63, 'Lookup Tables'!$R$6:$T$13, 3, FALSE), VLOOKUP('Lighting Inventory'!G63, 'Lookup Tables'!$R$6:$T$13, 3, FALSE))))</f>
        <v/>
      </c>
      <c r="BD63" s="270" t="str">
        <f>IF(G63="", "", IF(E63="Exterior", 0, IF('Lighting Inventory'!G63="Air Conditioned", VLOOKUP(H63, 'Lookup Tables'!$R$6:$U$13, 4, FALSE), VLOOKUP('Lighting Inventory'!G63, 'Lookup Tables'!$R$6:$U$13, 4, FALSE))))</f>
        <v/>
      </c>
      <c r="BE63" s="270" t="str">
        <f>IFERROR(IF(B63="", "",  IF(B63="New Construction", VLOOKUP(F63, 'Lookup Tables'!$A$6:$K$59, 11, FALSE),IF(OR(AN63="", AN63="Light Switch"), 0, IF(OR(M63="",M63="None",V63= "LED Exit Signs"),0,_xlfn.XLOOKUP(M63,'Lookup Tables'!$R$91:$R$101,'Lookup Tables'!$V$91:$V$101))))), "")</f>
        <v/>
      </c>
      <c r="BF63" s="270" t="str">
        <f>IF(AND(OR(AN63="Light Switch",AN63=""),B63="New Construction"), VLOOKUP(F63, 'Lookup Tables'!$A$6:$K$59, 11, FALSE),IF(AN63="","",IF(B63="","",IF(OR(AN63="None",AN63="",V63="LED Exit Signs",AN63="Exterior Controls Not Eligible"),0,_xlfn.XLOOKUP(AN63,'Lookup Tables'!$R$91:$R$101,'Lookup Tables'!$V$91:$V$101)))))</f>
        <v/>
      </c>
      <c r="BG63" s="88" t="str">
        <f t="shared" si="86"/>
        <v/>
      </c>
      <c r="BH63" s="88" t="str">
        <f t="shared" si="87"/>
        <v/>
      </c>
      <c r="BI63" s="558" t="str">
        <f t="shared" si="168"/>
        <v/>
      </c>
      <c r="BJ63" s="82" t="str">
        <f t="shared" si="88"/>
        <v/>
      </c>
      <c r="BK63" s="82" t="str">
        <f t="shared" si="89"/>
        <v/>
      </c>
      <c r="BL63" s="559" t="str">
        <f t="shared" si="90"/>
        <v/>
      </c>
      <c r="BM63" s="521" t="str">
        <f t="shared" si="8"/>
        <v/>
      </c>
      <c r="BN63" s="521" t="str">
        <f t="shared" si="9"/>
        <v/>
      </c>
      <c r="BO63" s="522" t="str">
        <f t="shared" si="10"/>
        <v/>
      </c>
      <c r="BP63" s="83" t="str">
        <f t="shared" si="91"/>
        <v/>
      </c>
      <c r="BQ63" s="84" t="str">
        <f t="shared" si="92"/>
        <v/>
      </c>
      <c r="BR63" s="184" t="str">
        <f>IFERROR(IF(B63="", "", IF(OR(VLOOKUP(J63, 'Fixture Identities'!$A$6:$L$1023, 3, FALSE)="T12 Linear Fluorescent",VLOOKUP(J63, 'Fixture Identities'!$A$6:$L$1023, 3, FALSE)="T12 U-Tube Fluorescent"), "Y", "N")), "N")</f>
        <v/>
      </c>
      <c r="BS63" s="184" t="str">
        <f t="array" ref="BS63">IFERROR(IF(OR(B63="", V63="", W63=""), "", IF(V63="Custom", "N", IF(OR(W63="Freezer Case Lighting", W63="Refrigerated Case Lighting with Doors"), BT63, IF(B63="Retrofit", INDEX('Lookup Tables'!$AH$6:$AT$102,MATCH(1,('Lookup Tables'!$AH$6:$AH$102=V63)*('Lookup Tables'!$AI$6:$AI$102=W63),FALSE),IF(VLOOKUP(J63, 'Fixture Identities'!$A$6:$B$1023, 2, FALSE)="Incandescent",12, 13)), INDEX('Lookup Tables'!$AH$114:$AS$154,MATCH(1,('Lookup Tables'!$AH$114:$AH$154=V63)*('Lookup Tables'!$AI$114:$AI$154=W63),FALSE),12))))), "N")</f>
        <v/>
      </c>
      <c r="BT63" s="184" t="str">
        <f>IF(J63="", "", IF(AND(OR(W63="Freezer case Lighting", W63="Refrigerated Case Lighting with Doors"),'General Information'!$X$18="LCI"), "N", IF(OR(VLOOKUP(J63, 'Fixture Identities'!$A$6:$B$1023, 2, FALSE)="T12 EPACT/EISA Baseline", VLOOKUP(J63, 'Fixture Identities'!$A$6:$B$1023, 2, FALSE)="Linear Fluorescent", VLOOKUP(J63, 'Fixture Identities'!$A$6:$B$1023, 2, FALSE)="U-Tube Fluorescent"), "Y", "N")))</f>
        <v/>
      </c>
      <c r="BU63" s="184" t="str">
        <f>IFERROR(IF(B63="", "", IF(VLOOKUP(J63, 'Fixture Identities'!$A$6:$B$1023, 2, FALSE)="Exit Sign", "Y", "N")), "N")</f>
        <v/>
      </c>
      <c r="BV63" s="184" t="str">
        <f>IF(V63="Exit Signs", IF(VLOOKUP(J63, 'Fixture Identities'!$A$6:$B$1023, 2, FALSE)="Exit Sign", "N", "Y"), "")</f>
        <v/>
      </c>
      <c r="BW63" s="184" t="str">
        <f t="array" ref="BW63">IFERROR(IF(B63="", "", IF(B63="New Construction", "N", INDEX('Lookup Tables'!$AH$6:$AU$102, MATCH(1, ('Lookup Tables'!$AH$6:$AH$102='Lighting Inventory'!V63)*('Lookup Tables'!$AI$6:$AI$102='Lighting Inventory'!W63), 0), 14))), "N")</f>
        <v/>
      </c>
      <c r="BX63" s="598" t="str">
        <f t="shared" si="93"/>
        <v/>
      </c>
      <c r="BY63" s="598" t="str">
        <f t="shared" si="94"/>
        <v/>
      </c>
      <c r="BZ63" s="598" t="str">
        <f t="shared" si="95"/>
        <v/>
      </c>
      <c r="CA63" s="598" t="str">
        <f t="shared" si="101"/>
        <v/>
      </c>
      <c r="CB63" s="269" t="str">
        <f t="shared" si="102"/>
        <v/>
      </c>
      <c r="CC63" s="517" t="str">
        <f t="shared" si="96"/>
        <v/>
      </c>
      <c r="CD63" s="565" t="str">
        <f t="shared" si="11"/>
        <v/>
      </c>
      <c r="CE63" s="368">
        <v>0</v>
      </c>
      <c r="CF63" s="368" t="str" cm="1">
        <f t="array" ref="CF63">IFERROR(IF(V63="Custom", "$0.1 per kWh", IF(B63="New Construction", CONCATENATE("$",INDEX('Lookup Tables'!$AH$114:$AN$154,MATCH(1,('Lookup Tables'!$AH$114:$AH$154='Lighting Inventory'!V63)*('Lookup Tables'!$AI$114:$AI$154='Lighting Inventory'!W63),FALSE),6)," ",INDEX('Lookup Tables'!$AH$114:$AN$154,MATCH(1,('Lookup Tables'!$AH$114:$AH$154='Lighting Inventory'!V63)*('Lookup Tables'!$AI$114:$AI$154='Lighting Inventory'!W63),FALSE),7)), IF(AND(BU63="N", V63="Exit Signs"), "$0.025 per kWh", CONCATENATE("$",INDEX('Lookup Tables'!$AH$6:$AN$102,MATCH(1,('Lookup Tables'!$AH$6:$AH$102='Lighting Inventory'!V63)*('Lookup Tables'!$AI$6:$AI$102='Lighting Inventory'!W63),FALSE),6)," ",INDEX('Lookup Tables'!$AH$6:$AN$102,MATCH(1,('Lookup Tables'!$AH$6:$AH$102='Lighting Inventory'!V63)*('Lookup Tables'!$AI$6:$AI$102='Lighting Inventory'!W63),FALSE),7))))), "")</f>
        <v/>
      </c>
      <c r="CG63" s="366"/>
      <c r="CH63" s="248" t="str">
        <f t="shared" si="236"/>
        <v/>
      </c>
      <c r="CI63" s="248" t="str">
        <f t="shared" si="237"/>
        <v>Select_IE</v>
      </c>
      <c r="CJ63" s="248" t="str">
        <f t="shared" si="238"/>
        <v/>
      </c>
      <c r="CK63" s="248" t="str">
        <f t="shared" si="239"/>
        <v/>
      </c>
      <c r="CL63" s="248" t="str">
        <f t="shared" si="240"/>
        <v/>
      </c>
      <c r="CM63" s="248" t="str">
        <f>IFERROR(IF(B63="", "", IF(B63="New Construction", VLOOKUP(V63, 'Lookup Tables'!$AF$114:$AG$120, 2, FALSE), VLOOKUP(V63, 'Lookup Tables'!$AD$6:$AE$25, 2, FALSE))), "")</f>
        <v/>
      </c>
      <c r="CN63" s="248" t="str">
        <f t="shared" si="175"/>
        <v/>
      </c>
      <c r="CO63" s="248" t="str">
        <f t="shared" si="241"/>
        <v/>
      </c>
      <c r="CP63" s="592" t="str">
        <f t="shared" si="242"/>
        <v/>
      </c>
      <c r="CQ63" s="248" t="str">
        <f t="shared" si="97"/>
        <v/>
      </c>
      <c r="CR63" s="100"/>
      <c r="CS63" s="250" t="str">
        <f t="shared" si="178"/>
        <v/>
      </c>
      <c r="CT63" s="250" t="str">
        <f t="shared" si="243"/>
        <v/>
      </c>
      <c r="CU63" s="250" t="str">
        <f t="shared" si="244"/>
        <v/>
      </c>
      <c r="CV63" s="250" t="str">
        <f t="shared" si="245"/>
        <v/>
      </c>
      <c r="CW63" s="250" t="str">
        <f t="shared" si="246"/>
        <v/>
      </c>
      <c r="CX63" s="250" t="str">
        <f t="shared" si="247"/>
        <v/>
      </c>
      <c r="CY63" s="250" t="str">
        <f t="shared" si="248"/>
        <v/>
      </c>
      <c r="CZ63" s="250" t="str">
        <f t="shared" si="249"/>
        <v/>
      </c>
      <c r="DA63" s="250" t="str">
        <f t="shared" si="250"/>
        <v/>
      </c>
      <c r="DB63" s="250" t="str">
        <f t="shared" si="251"/>
        <v/>
      </c>
      <c r="DC63" s="250" t="str">
        <f t="shared" si="252"/>
        <v/>
      </c>
      <c r="DD63" s="250" t="str">
        <f t="shared" si="253"/>
        <v/>
      </c>
      <c r="DE63" s="250" t="str">
        <f t="shared" si="254"/>
        <v/>
      </c>
      <c r="DF63" s="250" t="str">
        <f t="shared" si="255"/>
        <v/>
      </c>
      <c r="DG63" s="250" t="str">
        <f t="shared" si="256"/>
        <v/>
      </c>
      <c r="DH63" s="250" t="str">
        <f t="shared" si="257"/>
        <v/>
      </c>
      <c r="DI63" s="250" t="str">
        <f t="shared" si="258"/>
        <v/>
      </c>
      <c r="DJ63" s="250" t="str">
        <f t="shared" si="259"/>
        <v/>
      </c>
      <c r="DK63" s="250" t="str">
        <f t="shared" si="260"/>
        <v/>
      </c>
      <c r="DL63" s="250" t="str">
        <f t="shared" si="261"/>
        <v/>
      </c>
      <c r="DM63" s="250" t="str">
        <f>IF(CD63="ERROR", "ERROR", IF(AND(OR(Y63=$DM$6, Y63='Lookup Tables'!$AD$21, Y63='Lookup Tables'!$AD$22), E63="Interior"), BJ63, ""))</f>
        <v/>
      </c>
      <c r="DN63" s="250" t="str">
        <f>IF(CD63="ERROR", "ERROR", IF(AND(OR(Y63=$DM$6, Y63='Lookup Tables'!$AD$21, Y63='Lookup Tables'!$AD$22), E63="Exterior"), BJ63, ""))</f>
        <v/>
      </c>
      <c r="DO63" s="100"/>
      <c r="DP63" s="250" t="str">
        <f t="shared" si="198"/>
        <v/>
      </c>
      <c r="DQ63" s="250" t="str">
        <f t="shared" si="262"/>
        <v/>
      </c>
      <c r="DR63" s="250" t="str">
        <f t="shared" si="263"/>
        <v/>
      </c>
      <c r="DS63" s="250" t="str">
        <f t="shared" si="264"/>
        <v/>
      </c>
      <c r="DT63" s="250" t="str">
        <f t="shared" si="265"/>
        <v/>
      </c>
      <c r="DU63" s="250" t="str">
        <f t="shared" si="266"/>
        <v/>
      </c>
      <c r="DV63" s="250" t="str">
        <f t="shared" si="267"/>
        <v/>
      </c>
      <c r="DW63" s="250" t="str">
        <f t="shared" si="268"/>
        <v/>
      </c>
      <c r="DX63" s="250" t="str">
        <f t="shared" si="269"/>
        <v/>
      </c>
      <c r="DY63" s="250" t="str">
        <f t="shared" si="270"/>
        <v/>
      </c>
      <c r="DZ63" s="250" t="str">
        <f t="shared" si="271"/>
        <v/>
      </c>
      <c r="EA63" s="250" t="str">
        <f t="shared" si="272"/>
        <v/>
      </c>
      <c r="EB63" s="250" t="str">
        <f t="shared" si="273"/>
        <v/>
      </c>
      <c r="EC63" s="250" t="str">
        <f t="shared" si="274"/>
        <v/>
      </c>
      <c r="ED63" s="250" t="str">
        <f t="shared" si="275"/>
        <v/>
      </c>
      <c r="EE63" s="250" t="str">
        <f t="shared" si="276"/>
        <v/>
      </c>
      <c r="EF63" s="250" t="str">
        <f t="shared" si="277"/>
        <v/>
      </c>
      <c r="EG63" s="250" t="str">
        <f t="shared" si="278"/>
        <v/>
      </c>
      <c r="EH63" s="250" t="str">
        <f>IF(CD63="ERROR", "ERROR", IF(AND(OR($EH$6=Y63, Y63='Lookup Tables'!$AD$21, Y63='Lookup Tables'!$AD$22),E63="Interior"), SUM(BP63:BP63), ""))</f>
        <v/>
      </c>
      <c r="EI63" s="250" t="str">
        <f>IF(CD63="ERROR", "ERROR", IF(AND(OR($EH$6=Y63, Y63='Lookup Tables'!$AD$21, Y63='Lookup Tables'!$AD$22),E63="Exterior"), SUM(BP63:BP63), ""))</f>
        <v/>
      </c>
      <c r="EJ63" s="109"/>
      <c r="EK63" s="485" t="str">
        <f t="shared" si="58"/>
        <v/>
      </c>
      <c r="EL63" s="252" t="str">
        <f t="shared" si="279"/>
        <v/>
      </c>
      <c r="EM63" s="252" t="str">
        <f t="shared" si="280"/>
        <v/>
      </c>
      <c r="EN63" s="252" t="str">
        <f t="shared" si="281"/>
        <v/>
      </c>
      <c r="EO63" s="252" t="str">
        <f t="shared" si="282"/>
        <v/>
      </c>
      <c r="EP63" s="252" t="str">
        <f t="shared" si="283"/>
        <v/>
      </c>
      <c r="EQ63" s="252" t="str">
        <f t="shared" si="284"/>
        <v/>
      </c>
      <c r="ER63" s="252" t="str">
        <f t="shared" si="285"/>
        <v/>
      </c>
      <c r="ES63" s="252" t="str">
        <f t="shared" si="286"/>
        <v/>
      </c>
      <c r="ET63" s="252" t="str">
        <f t="shared" si="287"/>
        <v/>
      </c>
      <c r="EU63" s="252" t="str">
        <f t="shared" si="288"/>
        <v/>
      </c>
      <c r="EV63" s="252" t="str">
        <f t="shared" si="289"/>
        <v/>
      </c>
      <c r="EW63" s="252" t="str">
        <f t="shared" si="290"/>
        <v/>
      </c>
      <c r="EX63" s="252" t="str">
        <f t="shared" si="291"/>
        <v/>
      </c>
      <c r="EY63" s="252" t="str">
        <f t="shared" si="292"/>
        <v/>
      </c>
      <c r="EZ63" s="252" t="str">
        <f t="shared" si="293"/>
        <v/>
      </c>
      <c r="FA63" s="252" t="str">
        <f t="shared" si="294"/>
        <v/>
      </c>
      <c r="FB63" s="252" t="str">
        <f t="shared" si="295"/>
        <v/>
      </c>
      <c r="FC63" s="252" t="str">
        <f>IF(CD63="ERROR", "ERROR", IF(OR(V63="No Change", V63="Not DLC or Energy Star"), "", IF(AND(OR($FC$6=Y63,Y63='Lookup Tables'!$AD$21, Y63='Lookup Tables'!$AD$22),E63="Interior"), S63, "")))</f>
        <v/>
      </c>
      <c r="FD63" s="252" t="str">
        <f t="shared" si="296"/>
        <v/>
      </c>
      <c r="FE63" s="101"/>
      <c r="FF63" s="579" t="str" cm="1">
        <f t="array" ref="FF63">IFERROR(IF(OR(BQ63&lt;=0,AQ63&lt;20,AND(V63="Exit Signs",AN63&gt;0)),"",IF(AND(AQ63&gt;=20,AN63='Lookup Tables'!$R$101),'Lookup Tables'!$U$101*BQ63,AP63*LOOKUP(2,1/((AN63='Lookup Tables'!$R$91:$R$111)*(AQ63&gt;='Lookup Tables'!$S$91:$S$111)*(AQ63&lt;='Lookup Tables'!$T$91:$T$111)),'Lookup Tables'!$U$91:$U$111))),"")</f>
        <v/>
      </c>
      <c r="FG63" s="579"/>
      <c r="FH63" s="579"/>
      <c r="FI63" s="253" t="str">
        <f>IFERROR(ROUND(IF(CD63="ERROR", "ERROR", IF(AND($FI$7=X63,E63="Interior"),VLOOKUP(W63, 'Lookup Tables'!$AI$6:$AM$102, 5, FALSE)*BP63, "")), 2), "")</f>
        <v/>
      </c>
      <c r="FJ63" s="253" t="str">
        <f>IFERROR(ROUND(IF(CD63="ERROR", "ERROR", IF(AND($FI$7=X63,E63="Exterior"),VLOOKUP(W63, 'Lookup Tables'!$AI$6:$AM$102, 5, FALSE)*BP63, "")), 2), "")</f>
        <v/>
      </c>
      <c r="FK63" s="253" t="str">
        <f>IFERROR(ROUND(IF(CD63="ERROR", "ERROR", IF(AND($FK$7=X63,E63="Interior"),VLOOKUP(W63, 'Lookup Tables'!$AI$6:$AM$102, 5, FALSE)*BP63, "")), 2), "")</f>
        <v/>
      </c>
      <c r="FL63" s="253" t="str">
        <f>IFERROR(ROUND(IF(CD63="ERROR", "ERROR", IF(AND($FK$7=X63,E63="Exterior"),VLOOKUP(W63, 'Lookup Tables'!$AI$6:$AM$102, 5, FALSE)*BP63, "")), 2), "")</f>
        <v/>
      </c>
      <c r="FM63" s="253" t="str">
        <f>IFERROR(ROUND(IF(CD63="ERROR", "ERROR", IF(AND($FM$6=Y63,E63="Interior"), IF(GB63=0, VLOOKUP(W63, 'Lookup Tables'!$AI$6:$AM$102, 5, FALSE)*BP63, IF(VLOOKUP(W63, 'Lookup Tables'!$AI$6:$AM$102, 5, FALSE)*BP63&gt;GB63*'Lighting Inventory'!S63, GB63*'Lighting Inventory'!S63,VLOOKUP(W63, 'Lookup Tables'!$AI$6:$AM$102, 5, FALSE)*BP63)), "")), 2), "")</f>
        <v/>
      </c>
      <c r="FN63" s="253" t="str">
        <f>IFERROR(ROUND(IF(CD63="ERROR", "ERROR", IF(AND($FM$6=Y63,E63="Exterior"), IF(GB63=0, VLOOKUP(W63, 'Lookup Tables'!$AI$6:$AM$102, 5, FALSE)*BP63, IF(VLOOKUP(W63, 'Lookup Tables'!$AI$6:$AM$102, 5, FALSE)*BP63&gt;GB63*'Lighting Inventory'!S63, GB63*'Lighting Inventory'!S63,VLOOKUP(W63, 'Lookup Tables'!$AI$6:$AM$102, 5, FALSE)*BP63)), "")), 2), "")</f>
        <v/>
      </c>
      <c r="FO63" s="253" t="str">
        <f>IFERROR(ROUND(IF(CD63="ERROR", "ERROR", IF(AND($FO$6=Y63,E63="Interior"),VLOOKUP(W63, 'Lookup Tables'!$AI$6:$AM$102, 5, FALSE)*'Lighting Inventory'!AI63, "")), 2), "")</f>
        <v/>
      </c>
      <c r="FP63" s="253" t="str">
        <f>IFERROR(ROUND(IF(CD63="ERROR", "ERROR", IF(AND($FO$6=Y63,E63="Exterior"),VLOOKUP(W63, 'Lookup Tables'!$AI$6:$AM$102, 5, FALSE)*'Lighting Inventory'!AI63, "")), 2), "")</f>
        <v/>
      </c>
      <c r="FQ63" s="253" t="str">
        <f>IFERROR(ROUND(IF(CD63="ERROR", "ERROR", IF(AND($FQ$6=Y63,E63="Interior", BU63="Y"), VLOOKUP('Lighting Inventory'!W63, 'Lookup Tables'!$AI$6:$AM$102, 5, FALSE)*'Lighting Inventory'!S63, IF(AND($FQ$7=Y63,E63="Interior", BU63="N"), 0.025*CD63, ""))), 2), "")</f>
        <v/>
      </c>
      <c r="FR63" s="253" t="str">
        <f>IFERROR(ROUND(IF(CD63="ERROR", "ERROR", IF(AND($FQ$6=Y63,E63="Exterior"), VLOOKUP('Lighting Inventory'!W63, 'Lookup Tables'!$AI$6:$AM$102, 5, FALSE)*'Lighting Inventory'!S63, "")), 2), "")</f>
        <v/>
      </c>
      <c r="FS63" s="253" t="str">
        <f>IFERROR(ROUND(IF(CD63="ERROR", "ERROR", IF(AND($FS$6=Y63,E63="Exterior"), IF(GB63=0, VLOOKUP(W63, 'Lookup Tables'!$AI$6:$AM$102, 5, FALSE)*BP63, IF(VLOOKUP(W63, 'Lookup Tables'!$AI$6:$AM$102, 5, FALSE)*BP63&gt;GB63*'Lighting Inventory'!S63, GB63*'Lighting Inventory'!S63,VLOOKUP(W63, 'Lookup Tables'!$AI$6:$AM$102, 5, FALSE)*BP63)), "")), 2), "")</f>
        <v/>
      </c>
      <c r="FT63" s="253" t="str">
        <f>IFERROR(ROUND(IF(CD63="ERROR", "ERROR", IF(AND($FT$6=Y63,E63="Interior"), IF(GB63=0, VLOOKUP(W63, 'Lookup Tables'!$AI$6:$AM$102, 5, FALSE)*BP63, IF(VLOOKUP(W63, 'Lookup Tables'!$AI$6:$AM$102, 5, FALSE)*BP63&gt;GB63*'Lighting Inventory'!S63, GB63*'Lighting Inventory'!S63,VLOOKUP(W63, 'Lookup Tables'!$AI$6:$AM$102, 5, FALSE)*BP63)), "")), 2), "")</f>
        <v/>
      </c>
      <c r="FU63" s="253" t="str">
        <f>IFERROR(ROUND(IF(CD63="ERROR", "ERROR", IF(AND(Y63=$FU$6, E63="Interior"), IF(BS63="N", 'Lookup Tables'!$AM$101*BP63, VLOOKUP(W63, 'Lookup Tables'!$AI$6:$AM$102, 5, FALSE)*S63*AD63), "")), 2), "")</f>
        <v/>
      </c>
      <c r="FV63" s="253" t="str">
        <f>IFERROR(ROUND(IF(CD63="ERROR", "ERROR", IF(AND(Y63=$FU$6, E63="Exterior"), IF(BS63="N", 'Lookup Tables'!$AM$101*BP63, VLOOKUP(W63, 'Lookup Tables'!$AI$6:$AM$102, 5, FALSE)*S63*AD63), "")), 2), "")</f>
        <v/>
      </c>
      <c r="FW63" s="253" t="str">
        <f>IFERROR(ROUND(IF(CD63="ERROR", "ERROR", IF($FW$6=Y63, IF(BS63="N", 'Lookup Tables'!$AM$101*BP63, MIN((VLOOKUP(W63, 'Lookup Tables'!$AI$6:$AM$102, 5, FALSE)*BP63),GB63*AJ63)), "")), 2), "")</f>
        <v/>
      </c>
      <c r="FX63" s="253" t="str">
        <f>IFERROR(ROUND(IF(CD63="ERROR", "ERROR", IF(AND($FX$6=Y63, E63="Interior"), IF(VLOOKUP(W63, 'Lookup Tables'!$AI$6:$AM$102, 5, FALSE)*BP63&gt;'Lookup Tables'!$AQ$97*'Lighting Inventory'!S63,'Lighting Inventory'!S63*'Lookup Tables'!$AQ$97,VLOOKUP(W63, 'Lookup Tables'!$AI$6:$AM$102, 5, FALSE)*BP63), "")), 2), "")</f>
        <v/>
      </c>
      <c r="FY63" s="253" t="str">
        <f>IFERROR(ROUND(IF(CD63="ERROR", "ERROR", IF(AND($FX$6=Y63, E63="Exterior"), IF(VLOOKUP(W63, 'Lookup Tables'!$AI$6:$AM$102, 5, FALSE)*BP63&gt;'Lookup Tables'!$AQ$97*'Lighting Inventory'!S63,'Lighting Inventory'!S63*'Lookup Tables'!$AQ$97,VLOOKUP(W63, 'Lookup Tables'!$AI$6:$AM$102, 5, FALSE)*BP63), "")), 2), "")</f>
        <v/>
      </c>
      <c r="FZ63" s="253" t="str">
        <f>IFERROR(ROUND(IF(CD63="ERROR", "ERROR", IF(AND($FZ$6=Y63, E63="Interior"), IF(AND(OR(W63="Refrigerated Case Lighting with Doors", W63="Freezer Case Lighting"),Y63="Custom - Process Improvement"),CD63*'Lookup Tables'!$AM$101, IF(B63="Retrofit", IF(VLOOKUP(IF(V63="Custom", V63, W63), 'Lookup Tables'!$AI$6:$AM$102, 5, FALSE)*BP63&gt;GE63, GE63, VLOOKUP(IF(V63="Custom", V63, W63), 'Lookup Tables'!$AI$6:$AM$102, 5, FALSE)*BP63), IF(VLOOKUP(IF(V63="Custom", V63, W63), 'Lookup Tables'!$AI$114:$AM$154, 5, FALSE)*BP63&gt;GE63, GE63, VLOOKUP(IF(V63="Custom", V63, W63), 'Lookup Tables'!$AI$114:$AM$154, 5, FALSE)*BP63))), "")), 2),"")</f>
        <v/>
      </c>
      <c r="GA63" s="253" t="str">
        <f>IFERROR(ROUND(IF(CD63="ERROR", "ERROR", IF(AND($FZ$6=Y63, E63="Exterior"), IF(B63="Retrofit", IF(VLOOKUP(IF(V63="Custom", V63, W63), 'Lookup Tables'!$AI$6:$AM$102, 5, FALSE)*BP63&gt;GE63, GE63, VLOOKUP(IF(V63="Custom", V63, W63), 'Lookup Tables'!$AI$6:$AM$102, 5, FALSE)*BP63), IF(VLOOKUP(IF(V63="Custom", V63, W63), 'Lookup Tables'!$AI$114:$AM$154, 5, FALSE)*BP63&gt;GE63, GE63, VLOOKUP(IF(V63="Custom", V63, W63), 'Lookup Tables'!$AI$114:$AM$154, 5, FALSE)*BP63)), "")), 2),"")</f>
        <v/>
      </c>
      <c r="GB63" s="254" t="str">
        <f t="array" ref="GB63">IF(B63="","",IF(OR(V63="Custom",V63="No Change"),0,IF(B63="Retrofit", INDEX('Lookup Tables'!$AH$6:$AQ$102,MATCH(1,('Lookup Tables'!$AH$6:$AH$102='Lighting Inventory'!V63)*('Lookup Tables'!$AI$6:$AI$102='Lighting Inventory'!W63),FALSE),10),INDEX('Lookup Tables'!$AH$114:$AQ$154,MATCH(1,('Lookup Tables'!$AH$114:$AH$154='Lighting Inventory'!V63)*('Lookup Tables'!$AI$114:$AI$154='Lighting Inventory'!W63),FALSE),10))))</f>
        <v/>
      </c>
      <c r="GC63" s="255" t="str">
        <f t="shared" si="77"/>
        <v/>
      </c>
      <c r="GD63" s="250" t="str">
        <f t="shared" si="78"/>
        <v/>
      </c>
      <c r="GE63" s="253" t="str">
        <f>IFERROR(IF(AND(AF63="", 'General Information'!$F$18="No"),"", IF(AF63="", ((GD63/$CD$266)*$CF$266)*0.5, AF63*S63*0.5)), "")</f>
        <v/>
      </c>
      <c r="GF63" s="255" t="str">
        <f>IF(AND('General Information'!$F$19="", 'General Information'!$F$18="Yes",AF63="",BW63="Y"), "Y", "N")</f>
        <v>N</v>
      </c>
      <c r="GG63" s="255" t="s">
        <v>2946</v>
      </c>
      <c r="GH63" s="255" t="str">
        <f>IFERROR(IF(B63="", "", VLOOKUP(J63, 'Fixture Identities'!$A$6:$N$908, 14, FALSE)), "")</f>
        <v/>
      </c>
      <c r="GI63" s="389" t="str">
        <f>IF(OR(B63="", V63="", W63=""), "", IF(AND(OR(M63='Lookup Tables'!$R$18, M63='Lookup Tables'!$R$19, M63='Lookup Tables'!$R$20, M63='Lookup Tables'!$R$21, M63='Lookup Tables'!$R$22), OR(AN63='Lookup Tables'!$R$17, AN63='Lookup Tables'!$R$17, AN63="")), "Y", "N"))</f>
        <v/>
      </c>
      <c r="GJ63" s="255" t="str">
        <f t="shared" si="79"/>
        <v/>
      </c>
      <c r="GK63" s="255" t="str">
        <f t="shared" si="80"/>
        <v/>
      </c>
      <c r="GL63" s="255" t="str">
        <f t="shared" si="81"/>
        <v/>
      </c>
      <c r="GM63" s="255" t="str">
        <f>IF(AN63="", "", IF(AND(IF(ISNA(VLOOKUP(AN63,'Lookup Tables'!$R$18:$R$22,1,FALSE)), "N", "Y")="Y", E63="Exterior"), "Y", "N"))</f>
        <v/>
      </c>
      <c r="GN63" s="395"/>
      <c r="GO63" s="428">
        <f t="shared" si="98"/>
        <v>0</v>
      </c>
      <c r="GP63" s="428">
        <f t="shared" si="167"/>
        <v>0</v>
      </c>
      <c r="GQ63" s="428">
        <f t="shared" si="99"/>
        <v>0</v>
      </c>
      <c r="GR63" s="428">
        <f t="shared" si="100"/>
        <v>0</v>
      </c>
    </row>
    <row r="64" spans="1:200" s="103" customFormat="1" ht="13.5" customHeight="1" x14ac:dyDescent="0.2">
      <c r="A64" s="272">
        <v>54</v>
      </c>
      <c r="B64" s="110"/>
      <c r="C64" s="110"/>
      <c r="D64" s="110"/>
      <c r="E64" s="110"/>
      <c r="F64" s="110"/>
      <c r="G64" s="110"/>
      <c r="H64" s="110"/>
      <c r="I64" s="29"/>
      <c r="J64" s="29"/>
      <c r="K64" s="272" t="str">
        <f>IFERROR(IF(OR(VLOOKUP(J64, 'Fixture Identities'!$A$6:$L$1023, 3, FALSE)="T12 Linear Fluorescent", VLOOKUP(J64, 'Fixture Identities'!$A$6:$L$1023, 3, FALSE)="T12 U-Tube Fluorescent"), VLOOKUP(VLOOKUP(J64, 'Fixture Identities'!$A$6:$L$1023, 11, FALSE), 'Fixture Identities'!$A$6:$L$1023, 10, FALSE), VLOOKUP(J64, 'Fixture Identities'!$A$6:$L$1023, 10, FALSE)), "")</f>
        <v/>
      </c>
      <c r="L64" s="270" t="str">
        <f t="shared" si="169"/>
        <v/>
      </c>
      <c r="M64" s="110"/>
      <c r="N64" s="110"/>
      <c r="O64" s="110"/>
      <c r="P64" s="272" t="str">
        <f>IFERROR(IF(OR(B64="Retrofit",B64=""),"",IF('Lighting Inventory'!E64="Exterior",VLOOKUP('Lighting Inventory'!N64,'Lookup Tables'!$B$83:$F$103,5,FALSE),IF(N64="Other - Please Estimate EFLH and CFs","Contact Prog. Rep.","ft^2"))), "")</f>
        <v/>
      </c>
      <c r="Q64" s="270" t="str">
        <f>IFERROR(IF(AND(B64="New Construction",E64="Interior",$F$5="Space-by-Space"),VLOOKUP('Lighting Inventory'!N64,'Lookup Tables'!$N$6:$O$97,2,FALSE),IF(AND(B64="New Construction",E64="Exterior"),VLOOKUP(N64,'Lookup Tables'!$B$83:$F$103,2,FALSE),IF(AND(B64="New Construction",'Lighting Inventory'!E64="Interior", $F$5="Building Area"),VLOOKUP(F64,'Lookup Tables'!$A$6:$J$59,10,FALSE),""))), "")</f>
        <v/>
      </c>
      <c r="R64" s="270" t="str">
        <f>IFERROR(IF(P64="Contact Prog. Rep.", "ERROR", IF(OR(B64="",B64="Retrofit"),"",IF(N64="Automated teller machines", ('Lookup Tables'!$A$82:$E$100+('Lighting Inventory'!O64-1)*'Lookup Tables'!$A$82:$E$100)/1000, (Q64*O64)/1000))), "")</f>
        <v/>
      </c>
      <c r="S64" s="595"/>
      <c r="T64" s="105" t="str">
        <f t="shared" si="83"/>
        <v/>
      </c>
      <c r="U64" s="105" t="str">
        <f>IF(S64="","",COUNT($S$11:S64))</f>
        <v/>
      </c>
      <c r="V64" s="111"/>
      <c r="W64" s="112"/>
      <c r="X64" s="105" t="str">
        <f t="shared" si="84"/>
        <v/>
      </c>
      <c r="Y64" s="105" t="str">
        <f t="array" ref="Y64">IF(AND(OR(W64="Freezer Case Lighting", W64="Refrigerated Case Lighting with Doors"), 'General Information'!$X$18="LCI"),'Lookup Tables'!$Y$34, IF(V64="Custom", VLOOKUP(W64, 'Fixture Identities'!$A$974:$M$1023, 13, FALSE), IF(V64="No Change",'Lookup Tables'!$Y$29,IF(OR(V64="",W64=""),"",IF(AND(S64=0,S64&lt;I64,B64="Retrofit"),'Lookup Tables'!$Y$25, IF(B64="Retrofit", INDEX('Lookup Tables'!$AH$6:$AP$102, MATCH(1, ('Lookup Tables'!$AH$6:$AH$102=V64)*('Lookup Tables'!$AI$6:$AI$102=W64), 0), IF('Lighting Inventory'!E64="Interior", 4, 5)), INDEX('Lookup Tables'!$AH$114:$AP$154, MATCH(1, ('Lookup Tables'!$AH$114:$AH$154=V64)*('Lookup Tables'!$AI$114:$AI$154=W64), 0), IF('Lighting Inventory'!E64="Interior", 4, 5))))))))</f>
        <v/>
      </c>
      <c r="Z64" s="105" t="str">
        <f>IFERROR(INDEX('Lookup Tables'!$AH$158:$AH$172,MATCH('Lighting Inventory'!Y64,'Lookup Tables'!$AI$158:$AI$172,0)),"")</f>
        <v/>
      </c>
      <c r="AA64" s="105" t="str">
        <f>IF(AP64&gt;0,INDEX('Lookup Tables'!$AK$158:$AK$172,MATCH('Lighting Inventory'!Y64,'Lookup Tables'!$AI$158:$AI$172,0)),'Lighting Inventory'!Y64)</f>
        <v/>
      </c>
      <c r="AB64" s="105" t="str">
        <f t="array" ref="AB64">IF(V64="Custom", "Custom", IF(V64="", "", IF(V64="Not DLC or Energy Star", "General", IF(B64="New Construction", INDEX('Lookup Tables'!$AH$114:$AP$154,MATCH(1,('Lookup Tables'!$AH$114:$AH$154='Lighting Inventory'!V64)*('Lookup Tables'!$AI$114:$AI$154='Lighting Inventory'!W64),FALSE),8), INDEX('Lookup Tables'!$AH$6:$AP$102,MATCH(1,('Lookup Tables'!$AH$6:$AH$102='Lighting Inventory'!V64)*('Lookup Tables'!$AI$6:$AI$102='Lighting Inventory'!W64),FALSE),8)))))</f>
        <v/>
      </c>
      <c r="AC64" s="272" t="str">
        <f>IF(W64="","",IF(V64="Custom",CONCATENATE("$",'Lookup Tables'!$AM$101," ",'Lookup Tables'!$AN$101),CONCATENATE("$",INDEX('Lookup Tables'!$AM$6:$AM$102,MATCH('Lighting Inventory'!W64,'Lookup Tables'!$AI$6:$AI$102,0))," ",INDEX('Lookup Tables'!$AN$6:$AN$102,MATCH('Lighting Inventory'!W64,'Lookup Tables'!$AI$6:$AI$102,0)))))</f>
        <v/>
      </c>
      <c r="AD64" s="72"/>
      <c r="AE64" s="29"/>
      <c r="AF64" s="379"/>
      <c r="AG64" s="370" t="str">
        <f t="shared" si="2"/>
        <v/>
      </c>
      <c r="AH64" s="370" t="str">
        <f t="shared" si="85"/>
        <v/>
      </c>
      <c r="AI64" s="29"/>
      <c r="AJ64" s="29"/>
      <c r="AK64" s="110"/>
      <c r="AL64" s="375" t="str">
        <f>IF(OR(B64="", V64="", W64=""), "", IF(V64="No Change", K64, IF(V64="Remove Fixture", 0, IF(V64="Custom",VLOOKUP(W64,'Fixture Identities'!$A$6:$K$1023,10,FALSE),IF(AE64="", "← ENTER POST WATTS", 'Lighting Inventory'!AE64)))))</f>
        <v/>
      </c>
      <c r="AM64" s="376" t="str">
        <f t="shared" si="3"/>
        <v/>
      </c>
      <c r="AN64" s="29"/>
      <c r="AO64" s="671"/>
      <c r="AP64" s="29"/>
      <c r="AQ64" s="29"/>
      <c r="AR64" s="29"/>
      <c r="AS64" s="272" t="str">
        <f t="shared" si="4"/>
        <v/>
      </c>
      <c r="AT64" s="270" t="str">
        <f t="shared" si="234"/>
        <v/>
      </c>
      <c r="AU64" s="88" t="str">
        <f t="shared" si="235"/>
        <v/>
      </c>
      <c r="AV64" s="29"/>
      <c r="AW64" s="73"/>
      <c r="AX64" s="271" t="str">
        <f>IF(AND(AV64="Applicant",OR(AW64="", AW64="Use Default Facility Hours")),"← Choose Schedule",IF(F64="","",IF(W64="LED Exit Signs",8760,IF(OR(AV64="Prescribed",AV64=""),VLOOKUP(F64,'Lookup Tables'!$A$6:$G$59,IF(AB64="General", 6, 3),FALSE),VLOOKUP(AW64,'Lookup Tables'!$S$36:$U$43,2,FALSE)))))</f>
        <v/>
      </c>
      <c r="AY64" s="88" t="str">
        <f t="shared" si="7"/>
        <v/>
      </c>
      <c r="AZ64" s="270" t="str">
        <f>IFERROR(IF(F64="", "", IF(W64="LED Exit Signs", 1, IF(AV64="Applicant",VLOOKUP(AW64, 'Lookup Tables'!$S$36:$U$43,3, FALSE), VLOOKUP('Lighting Inventory'!F64, 'Lookup Tables'!$A$6:$H$59, IF('Lighting Inventory'!AB64="General",7,4), FALSE)))), "")</f>
        <v/>
      </c>
      <c r="BA64" s="522" t="str">
        <f>IFERROR(IF(F64="", "", IF(W64="LED Exit Signs", 1, VLOOKUP('Lighting Inventory'!F64, 'Lookup Tables'!$A$6:$H$59, IF('Lighting Inventory'!AB64="General",8,5), FALSE))), "")</f>
        <v/>
      </c>
      <c r="BB64" s="270" t="str">
        <f>IF(G64="", "", IF(E64="Exterior", 0, IF('Lighting Inventory'!G64="Air Conditioned", VLOOKUP(H64, 'Lookup Tables'!$R$6:$T$13, 2, FALSE), VLOOKUP('Lighting Inventory'!G64, 'Lookup Tables'!$R$6:$T$13, 2, FALSE))))</f>
        <v/>
      </c>
      <c r="BC64" s="522" t="str">
        <f>IF(G64="", "", IF(E64="Exterior", 0, IF('Lighting Inventory'!G64="Air Conditioned", VLOOKUP(H64, 'Lookup Tables'!$R$6:$T$13, 3, FALSE), VLOOKUP('Lighting Inventory'!G64, 'Lookup Tables'!$R$6:$T$13, 3, FALSE))))</f>
        <v/>
      </c>
      <c r="BD64" s="270" t="str">
        <f>IF(G64="", "", IF(E64="Exterior", 0, IF('Lighting Inventory'!G64="Air Conditioned", VLOOKUP(H64, 'Lookup Tables'!$R$6:$U$13, 4, FALSE), VLOOKUP('Lighting Inventory'!G64, 'Lookup Tables'!$R$6:$U$13, 4, FALSE))))</f>
        <v/>
      </c>
      <c r="BE64" s="270" t="str">
        <f>IFERROR(IF(B64="", "",  IF(B64="New Construction", VLOOKUP(F64, 'Lookup Tables'!$A$6:$K$59, 11, FALSE),IF(OR(AN64="", AN64="Light Switch"), 0, IF(OR(M64="",M64="None",V64= "LED Exit Signs"),0,_xlfn.XLOOKUP(M64,'Lookup Tables'!$R$91:$R$101,'Lookup Tables'!$V$91:$V$101))))), "")</f>
        <v/>
      </c>
      <c r="BF64" s="270" t="str">
        <f>IF(AND(OR(AN64="Light Switch",AN64=""),B64="New Construction"), VLOOKUP(F64, 'Lookup Tables'!$A$6:$K$59, 11, FALSE),IF(AN64="","",IF(B64="","",IF(OR(AN64="None",AN64="",V64="LED Exit Signs",AN64="Exterior Controls Not Eligible"),0,_xlfn.XLOOKUP(AN64,'Lookup Tables'!$R$91:$R$101,'Lookup Tables'!$V$91:$V$101)))))</f>
        <v/>
      </c>
      <c r="BG64" s="88" t="str">
        <f t="shared" si="86"/>
        <v/>
      </c>
      <c r="BH64" s="88" t="str">
        <f t="shared" si="87"/>
        <v/>
      </c>
      <c r="BI64" s="558" t="str">
        <f t="shared" si="168"/>
        <v/>
      </c>
      <c r="BJ64" s="82" t="str">
        <f t="shared" si="88"/>
        <v/>
      </c>
      <c r="BK64" s="82" t="str">
        <f t="shared" si="89"/>
        <v/>
      </c>
      <c r="BL64" s="559" t="str">
        <f t="shared" si="90"/>
        <v/>
      </c>
      <c r="BM64" s="521" t="str">
        <f t="shared" si="8"/>
        <v/>
      </c>
      <c r="BN64" s="521" t="str">
        <f t="shared" si="9"/>
        <v/>
      </c>
      <c r="BO64" s="522" t="str">
        <f t="shared" si="10"/>
        <v/>
      </c>
      <c r="BP64" s="83" t="str">
        <f t="shared" si="91"/>
        <v/>
      </c>
      <c r="BQ64" s="84" t="str">
        <f t="shared" si="92"/>
        <v/>
      </c>
      <c r="BR64" s="184" t="str">
        <f>IFERROR(IF(B64="", "", IF(OR(VLOOKUP(J64, 'Fixture Identities'!$A$6:$L$1023, 3, FALSE)="T12 Linear Fluorescent",VLOOKUP(J64, 'Fixture Identities'!$A$6:$L$1023, 3, FALSE)="T12 U-Tube Fluorescent"), "Y", "N")), "N")</f>
        <v/>
      </c>
      <c r="BS64" s="184" t="str">
        <f t="array" ref="BS64">IFERROR(IF(OR(B64="", V64="", W64=""), "", IF(V64="Custom", "N", IF(OR(W64="Freezer Case Lighting", W64="Refrigerated Case Lighting with Doors"), BT64, IF(B64="Retrofit", INDEX('Lookup Tables'!$AH$6:$AT$102,MATCH(1,('Lookup Tables'!$AH$6:$AH$102=V64)*('Lookup Tables'!$AI$6:$AI$102=W64),FALSE),IF(VLOOKUP(J64, 'Fixture Identities'!$A$6:$B$1023, 2, FALSE)="Incandescent",12, 13)), INDEX('Lookup Tables'!$AH$114:$AS$154,MATCH(1,('Lookup Tables'!$AH$114:$AH$154=V64)*('Lookup Tables'!$AI$114:$AI$154=W64),FALSE),12))))), "N")</f>
        <v/>
      </c>
      <c r="BT64" s="184" t="str">
        <f>IF(J64="", "", IF(AND(OR(W64="Freezer case Lighting", W64="Refrigerated Case Lighting with Doors"),'General Information'!$X$18="LCI"), "N", IF(OR(VLOOKUP(J64, 'Fixture Identities'!$A$6:$B$1023, 2, FALSE)="T12 EPACT/EISA Baseline", VLOOKUP(J64, 'Fixture Identities'!$A$6:$B$1023, 2, FALSE)="Linear Fluorescent", VLOOKUP(J64, 'Fixture Identities'!$A$6:$B$1023, 2, FALSE)="U-Tube Fluorescent"), "Y", "N")))</f>
        <v/>
      </c>
      <c r="BU64" s="184" t="str">
        <f>IFERROR(IF(B64="", "", IF(VLOOKUP(J64, 'Fixture Identities'!$A$6:$B$1023, 2, FALSE)="Exit Sign", "Y", "N")), "N")</f>
        <v/>
      </c>
      <c r="BV64" s="184" t="str">
        <f>IF(V64="Exit Signs", IF(VLOOKUP(J64, 'Fixture Identities'!$A$6:$B$1023, 2, FALSE)="Exit Sign", "N", "Y"), "")</f>
        <v/>
      </c>
      <c r="BW64" s="184" t="str">
        <f t="array" ref="BW64">IFERROR(IF(B64="", "", IF(B64="New Construction", "N", INDEX('Lookup Tables'!$AH$6:$AU$102, MATCH(1, ('Lookup Tables'!$AH$6:$AH$102='Lighting Inventory'!V64)*('Lookup Tables'!$AI$6:$AI$102='Lighting Inventory'!W64), 0), 14))), "N")</f>
        <v/>
      </c>
      <c r="BX64" s="598" t="str">
        <f t="shared" si="93"/>
        <v/>
      </c>
      <c r="BY64" s="598" t="str">
        <f t="shared" si="94"/>
        <v/>
      </c>
      <c r="BZ64" s="598" t="str">
        <f t="shared" si="95"/>
        <v/>
      </c>
      <c r="CA64" s="598" t="str">
        <f t="shared" si="101"/>
        <v/>
      </c>
      <c r="CB64" s="269" t="str">
        <f t="shared" si="102"/>
        <v/>
      </c>
      <c r="CC64" s="517" t="str">
        <f t="shared" si="96"/>
        <v/>
      </c>
      <c r="CD64" s="565" t="str">
        <f t="shared" si="11"/>
        <v/>
      </c>
      <c r="CE64" s="368">
        <v>0</v>
      </c>
      <c r="CF64" s="368" t="str" cm="1">
        <f t="array" ref="CF64">IFERROR(IF(V64="Custom", "$0.1 per kWh", IF(B64="New Construction", CONCATENATE("$",INDEX('Lookup Tables'!$AH$114:$AN$154,MATCH(1,('Lookup Tables'!$AH$114:$AH$154='Lighting Inventory'!V64)*('Lookup Tables'!$AI$114:$AI$154='Lighting Inventory'!W64),FALSE),6)," ",INDEX('Lookup Tables'!$AH$114:$AN$154,MATCH(1,('Lookup Tables'!$AH$114:$AH$154='Lighting Inventory'!V64)*('Lookup Tables'!$AI$114:$AI$154='Lighting Inventory'!W64),FALSE),7)), IF(AND(BU64="N", V64="Exit Signs"), "$0.025 per kWh", CONCATENATE("$",INDEX('Lookup Tables'!$AH$6:$AN$102,MATCH(1,('Lookup Tables'!$AH$6:$AH$102='Lighting Inventory'!V64)*('Lookup Tables'!$AI$6:$AI$102='Lighting Inventory'!W64),FALSE),6)," ",INDEX('Lookup Tables'!$AH$6:$AN$102,MATCH(1,('Lookup Tables'!$AH$6:$AH$102='Lighting Inventory'!V64)*('Lookup Tables'!$AI$6:$AI$102='Lighting Inventory'!W64),FALSE),7))))), "")</f>
        <v/>
      </c>
      <c r="CG64" s="366"/>
      <c r="CH64" s="248" t="str">
        <f t="shared" si="236"/>
        <v/>
      </c>
      <c r="CI64" s="248" t="str">
        <f t="shared" si="237"/>
        <v>Select_IE</v>
      </c>
      <c r="CJ64" s="248" t="str">
        <f t="shared" si="238"/>
        <v/>
      </c>
      <c r="CK64" s="248" t="str">
        <f t="shared" si="239"/>
        <v/>
      </c>
      <c r="CL64" s="248" t="str">
        <f t="shared" si="240"/>
        <v/>
      </c>
      <c r="CM64" s="248" t="str">
        <f>IFERROR(IF(B64="", "", IF(B64="New Construction", VLOOKUP(V64, 'Lookup Tables'!$AF$114:$AG$120, 2, FALSE), VLOOKUP(V64, 'Lookup Tables'!$AD$6:$AE$25, 2, FALSE))), "")</f>
        <v/>
      </c>
      <c r="CN64" s="248" t="str">
        <f t="shared" si="175"/>
        <v/>
      </c>
      <c r="CO64" s="248" t="str">
        <f t="shared" si="241"/>
        <v/>
      </c>
      <c r="CP64" s="592" t="str">
        <f t="shared" si="242"/>
        <v/>
      </c>
      <c r="CQ64" s="248" t="str">
        <f t="shared" si="97"/>
        <v/>
      </c>
      <c r="CR64" s="100"/>
      <c r="CS64" s="250" t="str">
        <f t="shared" si="178"/>
        <v/>
      </c>
      <c r="CT64" s="250" t="str">
        <f t="shared" si="243"/>
        <v/>
      </c>
      <c r="CU64" s="250" t="str">
        <f t="shared" si="244"/>
        <v/>
      </c>
      <c r="CV64" s="250" t="str">
        <f t="shared" si="245"/>
        <v/>
      </c>
      <c r="CW64" s="250" t="str">
        <f t="shared" si="246"/>
        <v/>
      </c>
      <c r="CX64" s="250" t="str">
        <f t="shared" si="247"/>
        <v/>
      </c>
      <c r="CY64" s="250" t="str">
        <f t="shared" si="248"/>
        <v/>
      </c>
      <c r="CZ64" s="250" t="str">
        <f t="shared" si="249"/>
        <v/>
      </c>
      <c r="DA64" s="250" t="str">
        <f t="shared" si="250"/>
        <v/>
      </c>
      <c r="DB64" s="250" t="str">
        <f t="shared" si="251"/>
        <v/>
      </c>
      <c r="DC64" s="250" t="str">
        <f t="shared" si="252"/>
        <v/>
      </c>
      <c r="DD64" s="250" t="str">
        <f t="shared" si="253"/>
        <v/>
      </c>
      <c r="DE64" s="250" t="str">
        <f t="shared" si="254"/>
        <v/>
      </c>
      <c r="DF64" s="250" t="str">
        <f t="shared" si="255"/>
        <v/>
      </c>
      <c r="DG64" s="250" t="str">
        <f t="shared" si="256"/>
        <v/>
      </c>
      <c r="DH64" s="250" t="str">
        <f t="shared" si="257"/>
        <v/>
      </c>
      <c r="DI64" s="250" t="str">
        <f t="shared" si="258"/>
        <v/>
      </c>
      <c r="DJ64" s="250" t="str">
        <f t="shared" si="259"/>
        <v/>
      </c>
      <c r="DK64" s="250" t="str">
        <f t="shared" si="260"/>
        <v/>
      </c>
      <c r="DL64" s="250" t="str">
        <f t="shared" si="261"/>
        <v/>
      </c>
      <c r="DM64" s="250" t="str">
        <f>IF(CD64="ERROR", "ERROR", IF(AND(OR(Y64=$DM$6, Y64='Lookup Tables'!$AD$21, Y64='Lookup Tables'!$AD$22), E64="Interior"), BJ64, ""))</f>
        <v/>
      </c>
      <c r="DN64" s="250" t="str">
        <f>IF(CD64="ERROR", "ERROR", IF(AND(OR(Y64=$DM$6, Y64='Lookup Tables'!$AD$21, Y64='Lookup Tables'!$AD$22), E64="Exterior"), BJ64, ""))</f>
        <v/>
      </c>
      <c r="DO64" s="100"/>
      <c r="DP64" s="250" t="str">
        <f t="shared" si="198"/>
        <v/>
      </c>
      <c r="DQ64" s="250" t="str">
        <f t="shared" si="262"/>
        <v/>
      </c>
      <c r="DR64" s="250" t="str">
        <f t="shared" si="263"/>
        <v/>
      </c>
      <c r="DS64" s="250" t="str">
        <f t="shared" si="264"/>
        <v/>
      </c>
      <c r="DT64" s="250" t="str">
        <f t="shared" si="265"/>
        <v/>
      </c>
      <c r="DU64" s="250" t="str">
        <f t="shared" si="266"/>
        <v/>
      </c>
      <c r="DV64" s="250" t="str">
        <f t="shared" si="267"/>
        <v/>
      </c>
      <c r="DW64" s="250" t="str">
        <f t="shared" si="268"/>
        <v/>
      </c>
      <c r="DX64" s="250" t="str">
        <f t="shared" si="269"/>
        <v/>
      </c>
      <c r="DY64" s="250" t="str">
        <f t="shared" si="270"/>
        <v/>
      </c>
      <c r="DZ64" s="250" t="str">
        <f t="shared" si="271"/>
        <v/>
      </c>
      <c r="EA64" s="250" t="str">
        <f t="shared" si="272"/>
        <v/>
      </c>
      <c r="EB64" s="250" t="str">
        <f t="shared" si="273"/>
        <v/>
      </c>
      <c r="EC64" s="250" t="str">
        <f t="shared" si="274"/>
        <v/>
      </c>
      <c r="ED64" s="250" t="str">
        <f t="shared" si="275"/>
        <v/>
      </c>
      <c r="EE64" s="250" t="str">
        <f t="shared" si="276"/>
        <v/>
      </c>
      <c r="EF64" s="250" t="str">
        <f t="shared" si="277"/>
        <v/>
      </c>
      <c r="EG64" s="250" t="str">
        <f t="shared" si="278"/>
        <v/>
      </c>
      <c r="EH64" s="250" t="str">
        <f>IF(CD64="ERROR", "ERROR", IF(AND(OR($EH$6=Y64, Y64='Lookup Tables'!$AD$21, Y64='Lookup Tables'!$AD$22),E64="Interior"), SUM(BP64:BP64), ""))</f>
        <v/>
      </c>
      <c r="EI64" s="250" t="str">
        <f>IF(CD64="ERROR", "ERROR", IF(AND(OR($EH$6=Y64, Y64='Lookup Tables'!$AD$21, Y64='Lookup Tables'!$AD$22),E64="Exterior"), SUM(BP64:BP64), ""))</f>
        <v/>
      </c>
      <c r="EJ64" s="109"/>
      <c r="EK64" s="485" t="str">
        <f t="shared" si="58"/>
        <v/>
      </c>
      <c r="EL64" s="252" t="str">
        <f t="shared" si="279"/>
        <v/>
      </c>
      <c r="EM64" s="252" t="str">
        <f t="shared" si="280"/>
        <v/>
      </c>
      <c r="EN64" s="252" t="str">
        <f t="shared" si="281"/>
        <v/>
      </c>
      <c r="EO64" s="252" t="str">
        <f t="shared" si="282"/>
        <v/>
      </c>
      <c r="EP64" s="252" t="str">
        <f t="shared" si="283"/>
        <v/>
      </c>
      <c r="EQ64" s="252" t="str">
        <f t="shared" si="284"/>
        <v/>
      </c>
      <c r="ER64" s="252" t="str">
        <f t="shared" si="285"/>
        <v/>
      </c>
      <c r="ES64" s="252" t="str">
        <f t="shared" si="286"/>
        <v/>
      </c>
      <c r="ET64" s="252" t="str">
        <f t="shared" si="287"/>
        <v/>
      </c>
      <c r="EU64" s="252" t="str">
        <f t="shared" si="288"/>
        <v/>
      </c>
      <c r="EV64" s="252" t="str">
        <f t="shared" si="289"/>
        <v/>
      </c>
      <c r="EW64" s="252" t="str">
        <f t="shared" si="290"/>
        <v/>
      </c>
      <c r="EX64" s="252" t="str">
        <f t="shared" si="291"/>
        <v/>
      </c>
      <c r="EY64" s="252" t="str">
        <f t="shared" si="292"/>
        <v/>
      </c>
      <c r="EZ64" s="252" t="str">
        <f t="shared" si="293"/>
        <v/>
      </c>
      <c r="FA64" s="252" t="str">
        <f t="shared" si="294"/>
        <v/>
      </c>
      <c r="FB64" s="252" t="str">
        <f t="shared" si="295"/>
        <v/>
      </c>
      <c r="FC64" s="252" t="str">
        <f>IF(CD64="ERROR", "ERROR", IF(OR(V64="No Change", V64="Not DLC or Energy Star"), "", IF(AND(OR($FC$6=Y64,Y64='Lookup Tables'!$AD$21, Y64='Lookup Tables'!$AD$22),E64="Interior"), S64, "")))</f>
        <v/>
      </c>
      <c r="FD64" s="252" t="str">
        <f t="shared" si="296"/>
        <v/>
      </c>
      <c r="FE64" s="101"/>
      <c r="FF64" s="579" t="str" cm="1">
        <f t="array" ref="FF64">IFERROR(IF(OR(BQ64&lt;=0,AQ64&lt;20,AND(V64="Exit Signs",AN64&gt;0)),"",IF(AND(AQ64&gt;=20,AN64='Lookup Tables'!$R$101),'Lookup Tables'!$U$101*BQ64,AP64*LOOKUP(2,1/((AN64='Lookup Tables'!$R$91:$R$111)*(AQ64&gt;='Lookup Tables'!$S$91:$S$111)*(AQ64&lt;='Lookup Tables'!$T$91:$T$111)),'Lookup Tables'!$U$91:$U$111))),"")</f>
        <v/>
      </c>
      <c r="FG64" s="579"/>
      <c r="FH64" s="579"/>
      <c r="FI64" s="253" t="str">
        <f>IFERROR(ROUND(IF(CD64="ERROR", "ERROR", IF(AND($FI$7=X64,E64="Interior"),VLOOKUP(W64, 'Lookup Tables'!$AI$6:$AM$102, 5, FALSE)*BP64, "")), 2), "")</f>
        <v/>
      </c>
      <c r="FJ64" s="253" t="str">
        <f>IFERROR(ROUND(IF(CD64="ERROR", "ERROR", IF(AND($FI$7=X64,E64="Exterior"),VLOOKUP(W64, 'Lookup Tables'!$AI$6:$AM$102, 5, FALSE)*BP64, "")), 2), "")</f>
        <v/>
      </c>
      <c r="FK64" s="253" t="str">
        <f>IFERROR(ROUND(IF(CD64="ERROR", "ERROR", IF(AND($FK$7=X64,E64="Interior"),VLOOKUP(W64, 'Lookup Tables'!$AI$6:$AM$102, 5, FALSE)*BP64, "")), 2), "")</f>
        <v/>
      </c>
      <c r="FL64" s="253" t="str">
        <f>IFERROR(ROUND(IF(CD64="ERROR", "ERROR", IF(AND($FK$7=X64,E64="Exterior"),VLOOKUP(W64, 'Lookup Tables'!$AI$6:$AM$102, 5, FALSE)*BP64, "")), 2), "")</f>
        <v/>
      </c>
      <c r="FM64" s="253" t="str">
        <f>IFERROR(ROUND(IF(CD64="ERROR", "ERROR", IF(AND($FM$6=Y64,E64="Interior"), IF(GB64=0, VLOOKUP(W64, 'Lookup Tables'!$AI$6:$AM$102, 5, FALSE)*BP64, IF(VLOOKUP(W64, 'Lookup Tables'!$AI$6:$AM$102, 5, FALSE)*BP64&gt;GB64*'Lighting Inventory'!S64, GB64*'Lighting Inventory'!S64,VLOOKUP(W64, 'Lookup Tables'!$AI$6:$AM$102, 5, FALSE)*BP64)), "")), 2), "")</f>
        <v/>
      </c>
      <c r="FN64" s="253" t="str">
        <f>IFERROR(ROUND(IF(CD64="ERROR", "ERROR", IF(AND($FM$6=Y64,E64="Exterior"), IF(GB64=0, VLOOKUP(W64, 'Lookup Tables'!$AI$6:$AM$102, 5, FALSE)*BP64, IF(VLOOKUP(W64, 'Lookup Tables'!$AI$6:$AM$102, 5, FALSE)*BP64&gt;GB64*'Lighting Inventory'!S64, GB64*'Lighting Inventory'!S64,VLOOKUP(W64, 'Lookup Tables'!$AI$6:$AM$102, 5, FALSE)*BP64)), "")), 2), "")</f>
        <v/>
      </c>
      <c r="FO64" s="253" t="str">
        <f>IFERROR(ROUND(IF(CD64="ERROR", "ERROR", IF(AND($FO$6=Y64,E64="Interior"),VLOOKUP(W64, 'Lookup Tables'!$AI$6:$AM$102, 5, FALSE)*'Lighting Inventory'!AI64, "")), 2), "")</f>
        <v/>
      </c>
      <c r="FP64" s="253" t="str">
        <f>IFERROR(ROUND(IF(CD64="ERROR", "ERROR", IF(AND($FO$6=Y64,E64="Exterior"),VLOOKUP(W64, 'Lookup Tables'!$AI$6:$AM$102, 5, FALSE)*'Lighting Inventory'!AI64, "")), 2), "")</f>
        <v/>
      </c>
      <c r="FQ64" s="253" t="str">
        <f>IFERROR(ROUND(IF(CD64="ERROR", "ERROR", IF(AND($FQ$6=Y64,E64="Interior", BU64="Y"), VLOOKUP('Lighting Inventory'!W64, 'Lookup Tables'!$AI$6:$AM$102, 5, FALSE)*'Lighting Inventory'!S64, IF(AND($FQ$7=Y64,E64="Interior", BU64="N"), 0.025*CD64, ""))), 2), "")</f>
        <v/>
      </c>
      <c r="FR64" s="253" t="str">
        <f>IFERROR(ROUND(IF(CD64="ERROR", "ERROR", IF(AND($FQ$6=Y64,E64="Exterior"), VLOOKUP('Lighting Inventory'!W64, 'Lookup Tables'!$AI$6:$AM$102, 5, FALSE)*'Lighting Inventory'!S64, "")), 2), "")</f>
        <v/>
      </c>
      <c r="FS64" s="253" t="str">
        <f>IFERROR(ROUND(IF(CD64="ERROR", "ERROR", IF(AND($FS$6=Y64,E64="Exterior"), IF(GB64=0, VLOOKUP(W64, 'Lookup Tables'!$AI$6:$AM$102, 5, FALSE)*BP64, IF(VLOOKUP(W64, 'Lookup Tables'!$AI$6:$AM$102, 5, FALSE)*BP64&gt;GB64*'Lighting Inventory'!S64, GB64*'Lighting Inventory'!S64,VLOOKUP(W64, 'Lookup Tables'!$AI$6:$AM$102, 5, FALSE)*BP64)), "")), 2), "")</f>
        <v/>
      </c>
      <c r="FT64" s="253" t="str">
        <f>IFERROR(ROUND(IF(CD64="ERROR", "ERROR", IF(AND($FT$6=Y64,E64="Interior"), IF(GB64=0, VLOOKUP(W64, 'Lookup Tables'!$AI$6:$AM$102, 5, FALSE)*BP64, IF(VLOOKUP(W64, 'Lookup Tables'!$AI$6:$AM$102, 5, FALSE)*BP64&gt;GB64*'Lighting Inventory'!S64, GB64*'Lighting Inventory'!S64,VLOOKUP(W64, 'Lookup Tables'!$AI$6:$AM$102, 5, FALSE)*BP64)), "")), 2), "")</f>
        <v/>
      </c>
      <c r="FU64" s="253" t="str">
        <f>IFERROR(ROUND(IF(CD64="ERROR", "ERROR", IF(AND(Y64=$FU$6, E64="Interior"), IF(BS64="N", 'Lookup Tables'!$AM$101*BP64, VLOOKUP(W64, 'Lookup Tables'!$AI$6:$AM$102, 5, FALSE)*S64*AD64), "")), 2), "")</f>
        <v/>
      </c>
      <c r="FV64" s="253" t="str">
        <f>IFERROR(ROUND(IF(CD64="ERROR", "ERROR", IF(AND(Y64=$FU$6, E64="Exterior"), IF(BS64="N", 'Lookup Tables'!$AM$101*BP64, VLOOKUP(W64, 'Lookup Tables'!$AI$6:$AM$102, 5, FALSE)*S64*AD64), "")), 2), "")</f>
        <v/>
      </c>
      <c r="FW64" s="253" t="str">
        <f>IFERROR(ROUND(IF(CD64="ERROR", "ERROR", IF($FW$6=Y64, IF(BS64="N", 'Lookup Tables'!$AM$101*BP64, MIN((VLOOKUP(W64, 'Lookup Tables'!$AI$6:$AM$102, 5, FALSE)*BP64),GB64*AJ64)), "")), 2), "")</f>
        <v/>
      </c>
      <c r="FX64" s="253" t="str">
        <f>IFERROR(ROUND(IF(CD64="ERROR", "ERROR", IF(AND($FX$6=Y64, E64="Interior"), IF(VLOOKUP(W64, 'Lookup Tables'!$AI$6:$AM$102, 5, FALSE)*BP64&gt;'Lookup Tables'!$AQ$97*'Lighting Inventory'!S64,'Lighting Inventory'!S64*'Lookup Tables'!$AQ$97,VLOOKUP(W64, 'Lookup Tables'!$AI$6:$AM$102, 5, FALSE)*BP64), "")), 2), "")</f>
        <v/>
      </c>
      <c r="FY64" s="253" t="str">
        <f>IFERROR(ROUND(IF(CD64="ERROR", "ERROR", IF(AND($FX$6=Y64, E64="Exterior"), IF(VLOOKUP(W64, 'Lookup Tables'!$AI$6:$AM$102, 5, FALSE)*BP64&gt;'Lookup Tables'!$AQ$97*'Lighting Inventory'!S64,'Lighting Inventory'!S64*'Lookup Tables'!$AQ$97,VLOOKUP(W64, 'Lookup Tables'!$AI$6:$AM$102, 5, FALSE)*BP64), "")), 2), "")</f>
        <v/>
      </c>
      <c r="FZ64" s="253" t="str">
        <f>IFERROR(ROUND(IF(CD64="ERROR", "ERROR", IF(AND($FZ$6=Y64, E64="Interior"), IF(AND(OR(W64="Refrigerated Case Lighting with Doors", W64="Freezer Case Lighting"),Y64="Custom - Process Improvement"),CD64*'Lookup Tables'!$AM$101, IF(B64="Retrofit", IF(VLOOKUP(IF(V64="Custom", V64, W64), 'Lookup Tables'!$AI$6:$AM$102, 5, FALSE)*BP64&gt;GE64, GE64, VLOOKUP(IF(V64="Custom", V64, W64), 'Lookup Tables'!$AI$6:$AM$102, 5, FALSE)*BP64), IF(VLOOKUP(IF(V64="Custom", V64, W64), 'Lookup Tables'!$AI$114:$AM$154, 5, FALSE)*BP64&gt;GE64, GE64, VLOOKUP(IF(V64="Custom", V64, W64), 'Lookup Tables'!$AI$114:$AM$154, 5, FALSE)*BP64))), "")), 2),"")</f>
        <v/>
      </c>
      <c r="GA64" s="253" t="str">
        <f>IFERROR(ROUND(IF(CD64="ERROR", "ERROR", IF(AND($FZ$6=Y64, E64="Exterior"), IF(B64="Retrofit", IF(VLOOKUP(IF(V64="Custom", V64, W64), 'Lookup Tables'!$AI$6:$AM$102, 5, FALSE)*BP64&gt;GE64, GE64, VLOOKUP(IF(V64="Custom", V64, W64), 'Lookup Tables'!$AI$6:$AM$102, 5, FALSE)*BP64), IF(VLOOKUP(IF(V64="Custom", V64, W64), 'Lookup Tables'!$AI$114:$AM$154, 5, FALSE)*BP64&gt;GE64, GE64, VLOOKUP(IF(V64="Custom", V64, W64), 'Lookup Tables'!$AI$114:$AM$154, 5, FALSE)*BP64)), "")), 2),"")</f>
        <v/>
      </c>
      <c r="GB64" s="254" t="str">
        <f t="array" ref="GB64">IF(B64="","",IF(OR(V64="Custom",V64="No Change"),0,IF(B64="Retrofit", INDEX('Lookup Tables'!$AH$6:$AQ$102,MATCH(1,('Lookup Tables'!$AH$6:$AH$102='Lighting Inventory'!V64)*('Lookup Tables'!$AI$6:$AI$102='Lighting Inventory'!W64),FALSE),10),INDEX('Lookup Tables'!$AH$114:$AQ$154,MATCH(1,('Lookup Tables'!$AH$114:$AH$154='Lighting Inventory'!V64)*('Lookup Tables'!$AI$114:$AI$154='Lighting Inventory'!W64),FALSE),10))))</f>
        <v/>
      </c>
      <c r="GC64" s="255" t="str">
        <f t="shared" si="77"/>
        <v/>
      </c>
      <c r="GD64" s="250" t="str">
        <f t="shared" si="78"/>
        <v/>
      </c>
      <c r="GE64" s="253" t="str">
        <f>IFERROR(IF(AND(AF64="", 'General Information'!$F$18="No"),"", IF(AF64="", ((GD64/$CD$266)*$CF$266)*0.5, AF64*S64*0.5)), "")</f>
        <v/>
      </c>
      <c r="GF64" s="255" t="str">
        <f>IF(AND('General Information'!$F$19="", 'General Information'!$F$18="Yes",AF64="",BW64="Y"), "Y", "N")</f>
        <v>N</v>
      </c>
      <c r="GG64" s="255" t="s">
        <v>2946</v>
      </c>
      <c r="GH64" s="255" t="str">
        <f>IFERROR(IF(B64="", "", VLOOKUP(J64, 'Fixture Identities'!$A$6:$N$908, 14, FALSE)), "")</f>
        <v/>
      </c>
      <c r="GI64" s="389" t="str">
        <f>IF(OR(B64="", V64="", W64=""), "", IF(AND(OR(M64='Lookup Tables'!$R$18, M64='Lookup Tables'!$R$19, M64='Lookup Tables'!$R$20, M64='Lookup Tables'!$R$21, M64='Lookup Tables'!$R$22), OR(AN64='Lookup Tables'!$R$17, AN64='Lookup Tables'!$R$17, AN64="")), "Y", "N"))</f>
        <v/>
      </c>
      <c r="GJ64" s="255" t="str">
        <f t="shared" si="79"/>
        <v/>
      </c>
      <c r="GK64" s="255" t="str">
        <f t="shared" si="80"/>
        <v/>
      </c>
      <c r="GL64" s="255" t="str">
        <f t="shared" si="81"/>
        <v/>
      </c>
      <c r="GM64" s="255" t="str">
        <f>IF(AN64="", "", IF(AND(IF(ISNA(VLOOKUP(AN64,'Lookup Tables'!$R$18:$R$22,1,FALSE)), "N", "Y")="Y", E64="Exterior"), "Y", "N"))</f>
        <v/>
      </c>
      <c r="GN64" s="395"/>
      <c r="GO64" s="428">
        <f t="shared" si="98"/>
        <v>0</v>
      </c>
      <c r="GP64" s="428">
        <f t="shared" si="167"/>
        <v>0</v>
      </c>
      <c r="GQ64" s="428">
        <f t="shared" si="99"/>
        <v>0</v>
      </c>
      <c r="GR64" s="428">
        <f t="shared" si="100"/>
        <v>0</v>
      </c>
    </row>
    <row r="65" spans="1:200" s="103" customFormat="1" ht="13.5" customHeight="1" x14ac:dyDescent="0.2">
      <c r="A65" s="272">
        <v>55</v>
      </c>
      <c r="B65" s="110"/>
      <c r="C65" s="110"/>
      <c r="D65" s="110"/>
      <c r="E65" s="110"/>
      <c r="F65" s="110"/>
      <c r="G65" s="110"/>
      <c r="H65" s="110"/>
      <c r="I65" s="29"/>
      <c r="J65" s="29"/>
      <c r="K65" s="272" t="str">
        <f>IFERROR(IF(OR(VLOOKUP(J65, 'Fixture Identities'!$A$6:$L$1023, 3, FALSE)="T12 Linear Fluorescent", VLOOKUP(J65, 'Fixture Identities'!$A$6:$L$1023, 3, FALSE)="T12 U-Tube Fluorescent"), VLOOKUP(VLOOKUP(J65, 'Fixture Identities'!$A$6:$L$1023, 11, FALSE), 'Fixture Identities'!$A$6:$L$1023, 10, FALSE), VLOOKUP(J65, 'Fixture Identities'!$A$6:$L$1023, 10, FALSE)), "")</f>
        <v/>
      </c>
      <c r="L65" s="270" t="str">
        <f t="shared" si="169"/>
        <v/>
      </c>
      <c r="M65" s="110"/>
      <c r="N65" s="110"/>
      <c r="O65" s="110"/>
      <c r="P65" s="272" t="str">
        <f>IFERROR(IF(OR(B65="Retrofit",B65=""),"",IF('Lighting Inventory'!E65="Exterior",VLOOKUP('Lighting Inventory'!N65,'Lookup Tables'!$B$83:$F$103,5,FALSE),IF(N65="Other - Please Estimate EFLH and CFs","Contact Prog. Rep.","ft^2"))), "")</f>
        <v/>
      </c>
      <c r="Q65" s="270" t="str">
        <f>IFERROR(IF(AND(B65="New Construction",E65="Interior",$F$5="Space-by-Space"),VLOOKUP('Lighting Inventory'!N65,'Lookup Tables'!$N$6:$O$97,2,FALSE),IF(AND(B65="New Construction",E65="Exterior"),VLOOKUP(N65,'Lookup Tables'!$B$83:$F$103,2,FALSE),IF(AND(B65="New Construction",'Lighting Inventory'!E65="Interior", $F$5="Building Area"),VLOOKUP(F65,'Lookup Tables'!$A$6:$J$59,10,FALSE),""))), "")</f>
        <v/>
      </c>
      <c r="R65" s="270" t="str">
        <f>IFERROR(IF(P65="Contact Prog. Rep.", "ERROR", IF(OR(B65="",B65="Retrofit"),"",IF(N65="Automated teller machines", ('Lookup Tables'!$A$82:$E$100+('Lighting Inventory'!O65-1)*'Lookup Tables'!$A$82:$E$100)/1000, (Q65*O65)/1000))), "")</f>
        <v/>
      </c>
      <c r="S65" s="595"/>
      <c r="T65" s="105" t="str">
        <f t="shared" si="83"/>
        <v/>
      </c>
      <c r="U65" s="105" t="str">
        <f>IF(S65="","",COUNT($S$11:S65))</f>
        <v/>
      </c>
      <c r="V65" s="111"/>
      <c r="W65" s="112"/>
      <c r="X65" s="105" t="str">
        <f t="shared" si="84"/>
        <v/>
      </c>
      <c r="Y65" s="105" t="str">
        <f t="array" ref="Y65">IF(AND(OR(W65="Freezer Case Lighting", W65="Refrigerated Case Lighting with Doors"), 'General Information'!$X$18="LCI"),'Lookup Tables'!$Y$34, IF(V65="Custom", VLOOKUP(W65, 'Fixture Identities'!$A$974:$M$1023, 13, FALSE), IF(V65="No Change",'Lookup Tables'!$Y$29,IF(OR(V65="",W65=""),"",IF(AND(S65=0,S65&lt;I65,B65="Retrofit"),'Lookup Tables'!$Y$25, IF(B65="Retrofit", INDEX('Lookup Tables'!$AH$6:$AP$102, MATCH(1, ('Lookup Tables'!$AH$6:$AH$102=V65)*('Lookup Tables'!$AI$6:$AI$102=W65), 0), IF('Lighting Inventory'!E65="Interior", 4, 5)), INDEX('Lookup Tables'!$AH$114:$AP$154, MATCH(1, ('Lookup Tables'!$AH$114:$AH$154=V65)*('Lookup Tables'!$AI$114:$AI$154=W65), 0), IF('Lighting Inventory'!E65="Interior", 4, 5))))))))</f>
        <v/>
      </c>
      <c r="Z65" s="105" t="str">
        <f>IFERROR(INDEX('Lookup Tables'!$AH$158:$AH$172,MATCH('Lighting Inventory'!Y65,'Lookup Tables'!$AI$158:$AI$172,0)),"")</f>
        <v/>
      </c>
      <c r="AA65" s="105" t="str">
        <f>IF(AP65&gt;0,INDEX('Lookup Tables'!$AK$158:$AK$172,MATCH('Lighting Inventory'!Y65,'Lookup Tables'!$AI$158:$AI$172,0)),'Lighting Inventory'!Y65)</f>
        <v/>
      </c>
      <c r="AB65" s="105" t="str">
        <f t="array" ref="AB65">IF(V65="Custom", "Custom", IF(V65="", "", IF(V65="Not DLC or Energy Star", "General", IF(B65="New Construction", INDEX('Lookup Tables'!$AH$114:$AP$154,MATCH(1,('Lookup Tables'!$AH$114:$AH$154='Lighting Inventory'!V65)*('Lookup Tables'!$AI$114:$AI$154='Lighting Inventory'!W65),FALSE),8), INDEX('Lookup Tables'!$AH$6:$AP$102,MATCH(1,('Lookup Tables'!$AH$6:$AH$102='Lighting Inventory'!V65)*('Lookup Tables'!$AI$6:$AI$102='Lighting Inventory'!W65),FALSE),8)))))</f>
        <v/>
      </c>
      <c r="AC65" s="272" t="str">
        <f>IF(W65="","",IF(V65="Custom",CONCATENATE("$",'Lookup Tables'!$AM$101," ",'Lookup Tables'!$AN$101),CONCATENATE("$",INDEX('Lookup Tables'!$AM$6:$AM$102,MATCH('Lighting Inventory'!W65,'Lookup Tables'!$AI$6:$AI$102,0))," ",INDEX('Lookup Tables'!$AN$6:$AN$102,MATCH('Lighting Inventory'!W65,'Lookup Tables'!$AI$6:$AI$102,0)))))</f>
        <v/>
      </c>
      <c r="AD65" s="72"/>
      <c r="AE65" s="29"/>
      <c r="AF65" s="379"/>
      <c r="AG65" s="370" t="str">
        <f t="shared" si="2"/>
        <v/>
      </c>
      <c r="AH65" s="370" t="str">
        <f t="shared" si="85"/>
        <v/>
      </c>
      <c r="AI65" s="29"/>
      <c r="AJ65" s="29"/>
      <c r="AK65" s="110"/>
      <c r="AL65" s="375" t="str">
        <f>IF(OR(B65="", V65="", W65=""), "", IF(V65="No Change", K65, IF(V65="Remove Fixture", 0, IF(V65="Custom",VLOOKUP(W65,'Fixture Identities'!$A$6:$K$1023,10,FALSE),IF(AE65="", "← ENTER POST WATTS", 'Lighting Inventory'!AE65)))))</f>
        <v/>
      </c>
      <c r="AM65" s="376" t="str">
        <f t="shared" si="3"/>
        <v/>
      </c>
      <c r="AN65" s="29"/>
      <c r="AO65" s="671"/>
      <c r="AP65" s="29"/>
      <c r="AQ65" s="29"/>
      <c r="AR65" s="29"/>
      <c r="AS65" s="272" t="str">
        <f t="shared" si="4"/>
        <v/>
      </c>
      <c r="AT65" s="270" t="str">
        <f t="shared" si="234"/>
        <v/>
      </c>
      <c r="AU65" s="88" t="str">
        <f t="shared" si="235"/>
        <v/>
      </c>
      <c r="AV65" s="29"/>
      <c r="AW65" s="73"/>
      <c r="AX65" s="271" t="str">
        <f>IF(AND(AV65="Applicant",OR(AW65="", AW65="Use Default Facility Hours")),"← Choose Schedule",IF(F65="","",IF(W65="LED Exit Signs",8760,IF(OR(AV65="Prescribed",AV65=""),VLOOKUP(F65,'Lookup Tables'!$A$6:$G$59,IF(AB65="General", 6, 3),FALSE),VLOOKUP(AW65,'Lookup Tables'!$S$36:$U$43,2,FALSE)))))</f>
        <v/>
      </c>
      <c r="AY65" s="88" t="str">
        <f t="shared" si="7"/>
        <v/>
      </c>
      <c r="AZ65" s="270" t="str">
        <f>IFERROR(IF(F65="", "", IF(W65="LED Exit Signs", 1, IF(AV65="Applicant",VLOOKUP(AW65, 'Lookup Tables'!$S$36:$U$43,3, FALSE), VLOOKUP('Lighting Inventory'!F65, 'Lookup Tables'!$A$6:$H$59, IF('Lighting Inventory'!AB65="General",7,4), FALSE)))), "")</f>
        <v/>
      </c>
      <c r="BA65" s="522" t="str">
        <f>IFERROR(IF(F65="", "", IF(W65="LED Exit Signs", 1, VLOOKUP('Lighting Inventory'!F65, 'Lookup Tables'!$A$6:$H$59, IF('Lighting Inventory'!AB65="General",8,5), FALSE))), "")</f>
        <v/>
      </c>
      <c r="BB65" s="270" t="str">
        <f>IF(G65="", "", IF(E65="Exterior", 0, IF('Lighting Inventory'!G65="Air Conditioned", VLOOKUP(H65, 'Lookup Tables'!$R$6:$T$13, 2, FALSE), VLOOKUP('Lighting Inventory'!G65, 'Lookup Tables'!$R$6:$T$13, 2, FALSE))))</f>
        <v/>
      </c>
      <c r="BC65" s="522" t="str">
        <f>IF(G65="", "", IF(E65="Exterior", 0, IF('Lighting Inventory'!G65="Air Conditioned", VLOOKUP(H65, 'Lookup Tables'!$R$6:$T$13, 3, FALSE), VLOOKUP('Lighting Inventory'!G65, 'Lookup Tables'!$R$6:$T$13, 3, FALSE))))</f>
        <v/>
      </c>
      <c r="BD65" s="270" t="str">
        <f>IF(G65="", "", IF(E65="Exterior", 0, IF('Lighting Inventory'!G65="Air Conditioned", VLOOKUP(H65, 'Lookup Tables'!$R$6:$U$13, 4, FALSE), VLOOKUP('Lighting Inventory'!G65, 'Lookup Tables'!$R$6:$U$13, 4, FALSE))))</f>
        <v/>
      </c>
      <c r="BE65" s="270" t="str">
        <f>IFERROR(IF(B65="", "",  IF(B65="New Construction", VLOOKUP(F65, 'Lookup Tables'!$A$6:$K$59, 11, FALSE),IF(OR(AN65="", AN65="Light Switch"), 0, IF(OR(M65="",M65="None",V65= "LED Exit Signs"),0,_xlfn.XLOOKUP(M65,'Lookup Tables'!$R$91:$R$101,'Lookup Tables'!$V$91:$V$101))))), "")</f>
        <v/>
      </c>
      <c r="BF65" s="270" t="str">
        <f>IF(AND(OR(AN65="Light Switch",AN65=""),B65="New Construction"), VLOOKUP(F65, 'Lookup Tables'!$A$6:$K$59, 11, FALSE),IF(AN65="","",IF(B65="","",IF(OR(AN65="None",AN65="",V65="LED Exit Signs",AN65="Exterior Controls Not Eligible"),0,_xlfn.XLOOKUP(AN65,'Lookup Tables'!$R$91:$R$101,'Lookup Tables'!$V$91:$V$101)))))</f>
        <v/>
      </c>
      <c r="BG65" s="88" t="str">
        <f t="shared" si="86"/>
        <v/>
      </c>
      <c r="BH65" s="88" t="str">
        <f t="shared" si="87"/>
        <v/>
      </c>
      <c r="BI65" s="558" t="str">
        <f t="shared" si="168"/>
        <v/>
      </c>
      <c r="BJ65" s="82" t="str">
        <f t="shared" si="88"/>
        <v/>
      </c>
      <c r="BK65" s="82" t="str">
        <f t="shared" si="89"/>
        <v/>
      </c>
      <c r="BL65" s="559" t="str">
        <f t="shared" si="90"/>
        <v/>
      </c>
      <c r="BM65" s="521" t="str">
        <f t="shared" si="8"/>
        <v/>
      </c>
      <c r="BN65" s="521" t="str">
        <f t="shared" si="9"/>
        <v/>
      </c>
      <c r="BO65" s="522" t="str">
        <f t="shared" si="10"/>
        <v/>
      </c>
      <c r="BP65" s="83" t="str">
        <f t="shared" si="91"/>
        <v/>
      </c>
      <c r="BQ65" s="84" t="str">
        <f t="shared" si="92"/>
        <v/>
      </c>
      <c r="BR65" s="184" t="str">
        <f>IFERROR(IF(B65="", "", IF(OR(VLOOKUP(J65, 'Fixture Identities'!$A$6:$L$1023, 3, FALSE)="T12 Linear Fluorescent",VLOOKUP(J65, 'Fixture Identities'!$A$6:$L$1023, 3, FALSE)="T12 U-Tube Fluorescent"), "Y", "N")), "N")</f>
        <v/>
      </c>
      <c r="BS65" s="184" t="str">
        <f t="array" ref="BS65">IFERROR(IF(OR(B65="", V65="", W65=""), "", IF(V65="Custom", "N", IF(OR(W65="Freezer Case Lighting", W65="Refrigerated Case Lighting with Doors"), BT65, IF(B65="Retrofit", INDEX('Lookup Tables'!$AH$6:$AT$102,MATCH(1,('Lookup Tables'!$AH$6:$AH$102=V65)*('Lookup Tables'!$AI$6:$AI$102=W65),FALSE),IF(VLOOKUP(J65, 'Fixture Identities'!$A$6:$B$1023, 2, FALSE)="Incandescent",12, 13)), INDEX('Lookup Tables'!$AH$114:$AS$154,MATCH(1,('Lookup Tables'!$AH$114:$AH$154=V65)*('Lookup Tables'!$AI$114:$AI$154=W65),FALSE),12))))), "N")</f>
        <v/>
      </c>
      <c r="BT65" s="184" t="str">
        <f>IF(J65="", "", IF(AND(OR(W65="Freezer case Lighting", W65="Refrigerated Case Lighting with Doors"),'General Information'!$X$18="LCI"), "N", IF(OR(VLOOKUP(J65, 'Fixture Identities'!$A$6:$B$1023, 2, FALSE)="T12 EPACT/EISA Baseline", VLOOKUP(J65, 'Fixture Identities'!$A$6:$B$1023, 2, FALSE)="Linear Fluorescent", VLOOKUP(J65, 'Fixture Identities'!$A$6:$B$1023, 2, FALSE)="U-Tube Fluorescent"), "Y", "N")))</f>
        <v/>
      </c>
      <c r="BU65" s="184" t="str">
        <f>IFERROR(IF(B65="", "", IF(VLOOKUP(J65, 'Fixture Identities'!$A$6:$B$1023, 2, FALSE)="Exit Sign", "Y", "N")), "N")</f>
        <v/>
      </c>
      <c r="BV65" s="184" t="str">
        <f>IF(V65="Exit Signs", IF(VLOOKUP(J65, 'Fixture Identities'!$A$6:$B$1023, 2, FALSE)="Exit Sign", "N", "Y"), "")</f>
        <v/>
      </c>
      <c r="BW65" s="184" t="str">
        <f t="array" ref="BW65">IFERROR(IF(B65="", "", IF(B65="New Construction", "N", INDEX('Lookup Tables'!$AH$6:$AU$102, MATCH(1, ('Lookup Tables'!$AH$6:$AH$102='Lighting Inventory'!V65)*('Lookup Tables'!$AI$6:$AI$102='Lighting Inventory'!W65), 0), 14))), "N")</f>
        <v/>
      </c>
      <c r="BX65" s="598" t="str">
        <f t="shared" si="93"/>
        <v/>
      </c>
      <c r="BY65" s="598" t="str">
        <f t="shared" si="94"/>
        <v/>
      </c>
      <c r="BZ65" s="598" t="str">
        <f t="shared" si="95"/>
        <v/>
      </c>
      <c r="CA65" s="598" t="str">
        <f t="shared" si="101"/>
        <v/>
      </c>
      <c r="CB65" s="269" t="str">
        <f t="shared" si="102"/>
        <v/>
      </c>
      <c r="CC65" s="517" t="str">
        <f t="shared" si="96"/>
        <v/>
      </c>
      <c r="CD65" s="565" t="str">
        <f t="shared" si="11"/>
        <v/>
      </c>
      <c r="CE65" s="368">
        <v>0</v>
      </c>
      <c r="CF65" s="368" t="str" cm="1">
        <f t="array" ref="CF65">IFERROR(IF(V65="Custom", "$0.1 per kWh", IF(B65="New Construction", CONCATENATE("$",INDEX('Lookup Tables'!$AH$114:$AN$154,MATCH(1,('Lookup Tables'!$AH$114:$AH$154='Lighting Inventory'!V65)*('Lookup Tables'!$AI$114:$AI$154='Lighting Inventory'!W65),FALSE),6)," ",INDEX('Lookup Tables'!$AH$114:$AN$154,MATCH(1,('Lookup Tables'!$AH$114:$AH$154='Lighting Inventory'!V65)*('Lookup Tables'!$AI$114:$AI$154='Lighting Inventory'!W65),FALSE),7)), IF(AND(BU65="N", V65="Exit Signs"), "$0.025 per kWh", CONCATENATE("$",INDEX('Lookup Tables'!$AH$6:$AN$102,MATCH(1,('Lookup Tables'!$AH$6:$AH$102='Lighting Inventory'!V65)*('Lookup Tables'!$AI$6:$AI$102='Lighting Inventory'!W65),FALSE),6)," ",INDEX('Lookup Tables'!$AH$6:$AN$102,MATCH(1,('Lookup Tables'!$AH$6:$AH$102='Lighting Inventory'!V65)*('Lookup Tables'!$AI$6:$AI$102='Lighting Inventory'!W65),FALSE),7))))), "")</f>
        <v/>
      </c>
      <c r="CG65" s="366"/>
      <c r="CH65" s="248" t="str">
        <f t="shared" si="236"/>
        <v/>
      </c>
      <c r="CI65" s="248" t="str">
        <f t="shared" si="237"/>
        <v>Select_IE</v>
      </c>
      <c r="CJ65" s="248" t="str">
        <f t="shared" si="238"/>
        <v/>
      </c>
      <c r="CK65" s="248" t="str">
        <f t="shared" si="239"/>
        <v/>
      </c>
      <c r="CL65" s="248" t="str">
        <f t="shared" si="240"/>
        <v/>
      </c>
      <c r="CM65" s="248" t="str">
        <f>IFERROR(IF(B65="", "", IF(B65="New Construction", VLOOKUP(V65, 'Lookup Tables'!$AF$114:$AG$120, 2, FALSE), VLOOKUP(V65, 'Lookup Tables'!$AD$6:$AE$25, 2, FALSE))), "")</f>
        <v/>
      </c>
      <c r="CN65" s="248" t="str">
        <f t="shared" si="175"/>
        <v/>
      </c>
      <c r="CO65" s="248" t="str">
        <f t="shared" si="241"/>
        <v/>
      </c>
      <c r="CP65" s="592" t="str">
        <f t="shared" si="242"/>
        <v/>
      </c>
      <c r="CQ65" s="248" t="str">
        <f t="shared" si="97"/>
        <v/>
      </c>
      <c r="CR65" s="100"/>
      <c r="CS65" s="250" t="str">
        <f t="shared" si="178"/>
        <v/>
      </c>
      <c r="CT65" s="250" t="str">
        <f t="shared" si="243"/>
        <v/>
      </c>
      <c r="CU65" s="250" t="str">
        <f t="shared" si="244"/>
        <v/>
      </c>
      <c r="CV65" s="250" t="str">
        <f t="shared" si="245"/>
        <v/>
      </c>
      <c r="CW65" s="250" t="str">
        <f t="shared" si="246"/>
        <v/>
      </c>
      <c r="CX65" s="250" t="str">
        <f t="shared" si="247"/>
        <v/>
      </c>
      <c r="CY65" s="250" t="str">
        <f t="shared" si="248"/>
        <v/>
      </c>
      <c r="CZ65" s="250" t="str">
        <f t="shared" si="249"/>
        <v/>
      </c>
      <c r="DA65" s="250" t="str">
        <f t="shared" si="250"/>
        <v/>
      </c>
      <c r="DB65" s="250" t="str">
        <f t="shared" si="251"/>
        <v/>
      </c>
      <c r="DC65" s="250" t="str">
        <f t="shared" si="252"/>
        <v/>
      </c>
      <c r="DD65" s="250" t="str">
        <f t="shared" si="253"/>
        <v/>
      </c>
      <c r="DE65" s="250" t="str">
        <f t="shared" si="254"/>
        <v/>
      </c>
      <c r="DF65" s="250" t="str">
        <f t="shared" si="255"/>
        <v/>
      </c>
      <c r="DG65" s="250" t="str">
        <f t="shared" si="256"/>
        <v/>
      </c>
      <c r="DH65" s="250" t="str">
        <f t="shared" si="257"/>
        <v/>
      </c>
      <c r="DI65" s="250" t="str">
        <f t="shared" si="258"/>
        <v/>
      </c>
      <c r="DJ65" s="250" t="str">
        <f t="shared" si="259"/>
        <v/>
      </c>
      <c r="DK65" s="250" t="str">
        <f t="shared" si="260"/>
        <v/>
      </c>
      <c r="DL65" s="250" t="str">
        <f t="shared" si="261"/>
        <v/>
      </c>
      <c r="DM65" s="250" t="str">
        <f>IF(CD65="ERROR", "ERROR", IF(AND(OR(Y65=$DM$6, Y65='Lookup Tables'!$AD$21, Y65='Lookup Tables'!$AD$22), E65="Interior"), BJ65, ""))</f>
        <v/>
      </c>
      <c r="DN65" s="250" t="str">
        <f>IF(CD65="ERROR", "ERROR", IF(AND(OR(Y65=$DM$6, Y65='Lookup Tables'!$AD$21, Y65='Lookup Tables'!$AD$22), E65="Exterior"), BJ65, ""))</f>
        <v/>
      </c>
      <c r="DO65" s="100"/>
      <c r="DP65" s="250" t="str">
        <f t="shared" si="198"/>
        <v/>
      </c>
      <c r="DQ65" s="250" t="str">
        <f t="shared" si="262"/>
        <v/>
      </c>
      <c r="DR65" s="250" t="str">
        <f t="shared" si="263"/>
        <v/>
      </c>
      <c r="DS65" s="250" t="str">
        <f t="shared" si="264"/>
        <v/>
      </c>
      <c r="DT65" s="250" t="str">
        <f t="shared" si="265"/>
        <v/>
      </c>
      <c r="DU65" s="250" t="str">
        <f t="shared" si="266"/>
        <v/>
      </c>
      <c r="DV65" s="250" t="str">
        <f t="shared" si="267"/>
        <v/>
      </c>
      <c r="DW65" s="250" t="str">
        <f t="shared" si="268"/>
        <v/>
      </c>
      <c r="DX65" s="250" t="str">
        <f t="shared" si="269"/>
        <v/>
      </c>
      <c r="DY65" s="250" t="str">
        <f t="shared" si="270"/>
        <v/>
      </c>
      <c r="DZ65" s="250" t="str">
        <f t="shared" si="271"/>
        <v/>
      </c>
      <c r="EA65" s="250" t="str">
        <f t="shared" si="272"/>
        <v/>
      </c>
      <c r="EB65" s="250" t="str">
        <f t="shared" si="273"/>
        <v/>
      </c>
      <c r="EC65" s="250" t="str">
        <f t="shared" si="274"/>
        <v/>
      </c>
      <c r="ED65" s="250" t="str">
        <f t="shared" si="275"/>
        <v/>
      </c>
      <c r="EE65" s="250" t="str">
        <f t="shared" si="276"/>
        <v/>
      </c>
      <c r="EF65" s="250" t="str">
        <f t="shared" si="277"/>
        <v/>
      </c>
      <c r="EG65" s="250" t="str">
        <f t="shared" si="278"/>
        <v/>
      </c>
      <c r="EH65" s="250" t="str">
        <f>IF(CD65="ERROR", "ERROR", IF(AND(OR($EH$6=Y65, Y65='Lookup Tables'!$AD$21, Y65='Lookup Tables'!$AD$22),E65="Interior"), SUM(BP65:BP65), ""))</f>
        <v/>
      </c>
      <c r="EI65" s="250" t="str">
        <f>IF(CD65="ERROR", "ERROR", IF(AND(OR($EH$6=Y65, Y65='Lookup Tables'!$AD$21, Y65='Lookup Tables'!$AD$22),E65="Exterior"), SUM(BP65:BP65), ""))</f>
        <v/>
      </c>
      <c r="EJ65" s="109"/>
      <c r="EK65" s="485" t="str">
        <f t="shared" si="58"/>
        <v/>
      </c>
      <c r="EL65" s="252" t="str">
        <f t="shared" si="279"/>
        <v/>
      </c>
      <c r="EM65" s="252" t="str">
        <f t="shared" si="280"/>
        <v/>
      </c>
      <c r="EN65" s="252" t="str">
        <f t="shared" si="281"/>
        <v/>
      </c>
      <c r="EO65" s="252" t="str">
        <f t="shared" si="282"/>
        <v/>
      </c>
      <c r="EP65" s="252" t="str">
        <f t="shared" si="283"/>
        <v/>
      </c>
      <c r="EQ65" s="252" t="str">
        <f t="shared" si="284"/>
        <v/>
      </c>
      <c r="ER65" s="252" t="str">
        <f t="shared" si="285"/>
        <v/>
      </c>
      <c r="ES65" s="252" t="str">
        <f t="shared" si="286"/>
        <v/>
      </c>
      <c r="ET65" s="252" t="str">
        <f t="shared" si="287"/>
        <v/>
      </c>
      <c r="EU65" s="252" t="str">
        <f t="shared" si="288"/>
        <v/>
      </c>
      <c r="EV65" s="252" t="str">
        <f t="shared" si="289"/>
        <v/>
      </c>
      <c r="EW65" s="252" t="str">
        <f t="shared" si="290"/>
        <v/>
      </c>
      <c r="EX65" s="252" t="str">
        <f t="shared" si="291"/>
        <v/>
      </c>
      <c r="EY65" s="252" t="str">
        <f t="shared" si="292"/>
        <v/>
      </c>
      <c r="EZ65" s="252" t="str">
        <f t="shared" si="293"/>
        <v/>
      </c>
      <c r="FA65" s="252" t="str">
        <f t="shared" si="294"/>
        <v/>
      </c>
      <c r="FB65" s="252" t="str">
        <f t="shared" si="295"/>
        <v/>
      </c>
      <c r="FC65" s="252" t="str">
        <f>IF(CD65="ERROR", "ERROR", IF(OR(V65="No Change", V65="Not DLC or Energy Star"), "", IF(AND(OR($FC$6=Y65,Y65='Lookup Tables'!$AD$21, Y65='Lookup Tables'!$AD$22),E65="Interior"), S65, "")))</f>
        <v/>
      </c>
      <c r="FD65" s="252" t="str">
        <f t="shared" si="296"/>
        <v/>
      </c>
      <c r="FE65" s="101"/>
      <c r="FF65" s="579" t="str" cm="1">
        <f t="array" ref="FF65">IFERROR(IF(OR(BQ65&lt;=0,AQ65&lt;20,AND(V65="Exit Signs",AN65&gt;0)),"",IF(AND(AQ65&gt;=20,AN65='Lookup Tables'!$R$101),'Lookup Tables'!$U$101*BQ65,AP65*LOOKUP(2,1/((AN65='Lookup Tables'!$R$91:$R$111)*(AQ65&gt;='Lookup Tables'!$S$91:$S$111)*(AQ65&lt;='Lookup Tables'!$T$91:$T$111)),'Lookup Tables'!$U$91:$U$111))),"")</f>
        <v/>
      </c>
      <c r="FG65" s="579"/>
      <c r="FH65" s="579"/>
      <c r="FI65" s="253" t="str">
        <f>IFERROR(ROUND(IF(CD65="ERROR", "ERROR", IF(AND($FI$7=X65,E65="Interior"),VLOOKUP(W65, 'Lookup Tables'!$AI$6:$AM$102, 5, FALSE)*BP65, "")), 2), "")</f>
        <v/>
      </c>
      <c r="FJ65" s="253" t="str">
        <f>IFERROR(ROUND(IF(CD65="ERROR", "ERROR", IF(AND($FI$7=X65,E65="Exterior"),VLOOKUP(W65, 'Lookup Tables'!$AI$6:$AM$102, 5, FALSE)*BP65, "")), 2), "")</f>
        <v/>
      </c>
      <c r="FK65" s="253" t="str">
        <f>IFERROR(ROUND(IF(CD65="ERROR", "ERROR", IF(AND($FK$7=X65,E65="Interior"),VLOOKUP(W65, 'Lookup Tables'!$AI$6:$AM$102, 5, FALSE)*BP65, "")), 2), "")</f>
        <v/>
      </c>
      <c r="FL65" s="253" t="str">
        <f>IFERROR(ROUND(IF(CD65="ERROR", "ERROR", IF(AND($FK$7=X65,E65="Exterior"),VLOOKUP(W65, 'Lookup Tables'!$AI$6:$AM$102, 5, FALSE)*BP65, "")), 2), "")</f>
        <v/>
      </c>
      <c r="FM65" s="253" t="str">
        <f>IFERROR(ROUND(IF(CD65="ERROR", "ERROR", IF(AND($FM$6=Y65,E65="Interior"), IF(GB65=0, VLOOKUP(W65, 'Lookup Tables'!$AI$6:$AM$102, 5, FALSE)*BP65, IF(VLOOKUP(W65, 'Lookup Tables'!$AI$6:$AM$102, 5, FALSE)*BP65&gt;GB65*'Lighting Inventory'!S65, GB65*'Lighting Inventory'!S65,VLOOKUP(W65, 'Lookup Tables'!$AI$6:$AM$102, 5, FALSE)*BP65)), "")), 2), "")</f>
        <v/>
      </c>
      <c r="FN65" s="253" t="str">
        <f>IFERROR(ROUND(IF(CD65="ERROR", "ERROR", IF(AND($FM$6=Y65,E65="Exterior"), IF(GB65=0, VLOOKUP(W65, 'Lookup Tables'!$AI$6:$AM$102, 5, FALSE)*BP65, IF(VLOOKUP(W65, 'Lookup Tables'!$AI$6:$AM$102, 5, FALSE)*BP65&gt;GB65*'Lighting Inventory'!S65, GB65*'Lighting Inventory'!S65,VLOOKUP(W65, 'Lookup Tables'!$AI$6:$AM$102, 5, FALSE)*BP65)), "")), 2), "")</f>
        <v/>
      </c>
      <c r="FO65" s="253" t="str">
        <f>IFERROR(ROUND(IF(CD65="ERROR", "ERROR", IF(AND($FO$6=Y65,E65="Interior"),VLOOKUP(W65, 'Lookup Tables'!$AI$6:$AM$102, 5, FALSE)*'Lighting Inventory'!AI65, "")), 2), "")</f>
        <v/>
      </c>
      <c r="FP65" s="253" t="str">
        <f>IFERROR(ROUND(IF(CD65="ERROR", "ERROR", IF(AND($FO$6=Y65,E65="Exterior"),VLOOKUP(W65, 'Lookup Tables'!$AI$6:$AM$102, 5, FALSE)*'Lighting Inventory'!AI65, "")), 2), "")</f>
        <v/>
      </c>
      <c r="FQ65" s="253" t="str">
        <f>IFERROR(ROUND(IF(CD65="ERROR", "ERROR", IF(AND($FQ$6=Y65,E65="Interior", BU65="Y"), VLOOKUP('Lighting Inventory'!W65, 'Lookup Tables'!$AI$6:$AM$102, 5, FALSE)*'Lighting Inventory'!S65, IF(AND($FQ$7=Y65,E65="Interior", BU65="N"), 0.025*CD65, ""))), 2), "")</f>
        <v/>
      </c>
      <c r="FR65" s="253" t="str">
        <f>IFERROR(ROUND(IF(CD65="ERROR", "ERROR", IF(AND($FQ$6=Y65,E65="Exterior"), VLOOKUP('Lighting Inventory'!W65, 'Lookup Tables'!$AI$6:$AM$102, 5, FALSE)*'Lighting Inventory'!S65, "")), 2), "")</f>
        <v/>
      </c>
      <c r="FS65" s="253" t="str">
        <f>IFERROR(ROUND(IF(CD65="ERROR", "ERROR", IF(AND($FS$6=Y65,E65="Exterior"), IF(GB65=0, VLOOKUP(W65, 'Lookup Tables'!$AI$6:$AM$102, 5, FALSE)*BP65, IF(VLOOKUP(W65, 'Lookup Tables'!$AI$6:$AM$102, 5, FALSE)*BP65&gt;GB65*'Lighting Inventory'!S65, GB65*'Lighting Inventory'!S65,VLOOKUP(W65, 'Lookup Tables'!$AI$6:$AM$102, 5, FALSE)*BP65)), "")), 2), "")</f>
        <v/>
      </c>
      <c r="FT65" s="253" t="str">
        <f>IFERROR(ROUND(IF(CD65="ERROR", "ERROR", IF(AND($FT$6=Y65,E65="Interior"), IF(GB65=0, VLOOKUP(W65, 'Lookup Tables'!$AI$6:$AM$102, 5, FALSE)*BP65, IF(VLOOKUP(W65, 'Lookup Tables'!$AI$6:$AM$102, 5, FALSE)*BP65&gt;GB65*'Lighting Inventory'!S65, GB65*'Lighting Inventory'!S65,VLOOKUP(W65, 'Lookup Tables'!$AI$6:$AM$102, 5, FALSE)*BP65)), "")), 2), "")</f>
        <v/>
      </c>
      <c r="FU65" s="253" t="str">
        <f>IFERROR(ROUND(IF(CD65="ERROR", "ERROR", IF(AND(Y65=$FU$6, E65="Interior"), IF(BS65="N", 'Lookup Tables'!$AM$101*BP65, VLOOKUP(W65, 'Lookup Tables'!$AI$6:$AM$102, 5, FALSE)*S65*AD65), "")), 2), "")</f>
        <v/>
      </c>
      <c r="FV65" s="253" t="str">
        <f>IFERROR(ROUND(IF(CD65="ERROR", "ERROR", IF(AND(Y65=$FU$6, E65="Exterior"), IF(BS65="N", 'Lookup Tables'!$AM$101*BP65, VLOOKUP(W65, 'Lookup Tables'!$AI$6:$AM$102, 5, FALSE)*S65*AD65), "")), 2), "")</f>
        <v/>
      </c>
      <c r="FW65" s="253" t="str">
        <f>IFERROR(ROUND(IF(CD65="ERROR", "ERROR", IF($FW$6=Y65, IF(BS65="N", 'Lookup Tables'!$AM$101*BP65, MIN((VLOOKUP(W65, 'Lookup Tables'!$AI$6:$AM$102, 5, FALSE)*BP65),GB65*AJ65)), "")), 2), "")</f>
        <v/>
      </c>
      <c r="FX65" s="253" t="str">
        <f>IFERROR(ROUND(IF(CD65="ERROR", "ERROR", IF(AND($FX$6=Y65, E65="Interior"), IF(VLOOKUP(W65, 'Lookup Tables'!$AI$6:$AM$102, 5, FALSE)*BP65&gt;'Lookup Tables'!$AQ$97*'Lighting Inventory'!S65,'Lighting Inventory'!S65*'Lookup Tables'!$AQ$97,VLOOKUP(W65, 'Lookup Tables'!$AI$6:$AM$102, 5, FALSE)*BP65), "")), 2), "")</f>
        <v/>
      </c>
      <c r="FY65" s="253" t="str">
        <f>IFERROR(ROUND(IF(CD65="ERROR", "ERROR", IF(AND($FX$6=Y65, E65="Exterior"), IF(VLOOKUP(W65, 'Lookup Tables'!$AI$6:$AM$102, 5, FALSE)*BP65&gt;'Lookup Tables'!$AQ$97*'Lighting Inventory'!S65,'Lighting Inventory'!S65*'Lookup Tables'!$AQ$97,VLOOKUP(W65, 'Lookup Tables'!$AI$6:$AM$102, 5, FALSE)*BP65), "")), 2), "")</f>
        <v/>
      </c>
      <c r="FZ65" s="253" t="str">
        <f>IFERROR(ROUND(IF(CD65="ERROR", "ERROR", IF(AND($FZ$6=Y65, E65="Interior"), IF(AND(OR(W65="Refrigerated Case Lighting with Doors", W65="Freezer Case Lighting"),Y65="Custom - Process Improvement"),CD65*'Lookup Tables'!$AM$101, IF(B65="Retrofit", IF(VLOOKUP(IF(V65="Custom", V65, W65), 'Lookup Tables'!$AI$6:$AM$102, 5, FALSE)*BP65&gt;GE65, GE65, VLOOKUP(IF(V65="Custom", V65, W65), 'Lookup Tables'!$AI$6:$AM$102, 5, FALSE)*BP65), IF(VLOOKUP(IF(V65="Custom", V65, W65), 'Lookup Tables'!$AI$114:$AM$154, 5, FALSE)*BP65&gt;GE65, GE65, VLOOKUP(IF(V65="Custom", V65, W65), 'Lookup Tables'!$AI$114:$AM$154, 5, FALSE)*BP65))), "")), 2),"")</f>
        <v/>
      </c>
      <c r="GA65" s="253" t="str">
        <f>IFERROR(ROUND(IF(CD65="ERROR", "ERROR", IF(AND($FZ$6=Y65, E65="Exterior"), IF(B65="Retrofit", IF(VLOOKUP(IF(V65="Custom", V65, W65), 'Lookup Tables'!$AI$6:$AM$102, 5, FALSE)*BP65&gt;GE65, GE65, VLOOKUP(IF(V65="Custom", V65, W65), 'Lookup Tables'!$AI$6:$AM$102, 5, FALSE)*BP65), IF(VLOOKUP(IF(V65="Custom", V65, W65), 'Lookup Tables'!$AI$114:$AM$154, 5, FALSE)*BP65&gt;GE65, GE65, VLOOKUP(IF(V65="Custom", V65, W65), 'Lookup Tables'!$AI$114:$AM$154, 5, FALSE)*BP65)), "")), 2),"")</f>
        <v/>
      </c>
      <c r="GB65" s="254" t="str">
        <f t="array" ref="GB65">IF(B65="","",IF(OR(V65="Custom",V65="No Change"),0,IF(B65="Retrofit", INDEX('Lookup Tables'!$AH$6:$AQ$102,MATCH(1,('Lookup Tables'!$AH$6:$AH$102='Lighting Inventory'!V65)*('Lookup Tables'!$AI$6:$AI$102='Lighting Inventory'!W65),FALSE),10),INDEX('Lookup Tables'!$AH$114:$AQ$154,MATCH(1,('Lookup Tables'!$AH$114:$AH$154='Lighting Inventory'!V65)*('Lookup Tables'!$AI$114:$AI$154='Lighting Inventory'!W65),FALSE),10))))</f>
        <v/>
      </c>
      <c r="GC65" s="255" t="str">
        <f t="shared" si="77"/>
        <v/>
      </c>
      <c r="GD65" s="250" t="str">
        <f t="shared" si="78"/>
        <v/>
      </c>
      <c r="GE65" s="253" t="str">
        <f>IFERROR(IF(AND(AF65="", 'General Information'!$F$18="No"),"", IF(AF65="", ((GD65/$CD$266)*$CF$266)*0.5, AF65*S65*0.5)), "")</f>
        <v/>
      </c>
      <c r="GF65" s="255" t="str">
        <f>IF(AND('General Information'!$F$19="", 'General Information'!$F$18="Yes",AF65="",BW65="Y"), "Y", "N")</f>
        <v>N</v>
      </c>
      <c r="GG65" s="255" t="s">
        <v>2946</v>
      </c>
      <c r="GH65" s="255" t="str">
        <f>IFERROR(IF(B65="", "", VLOOKUP(J65, 'Fixture Identities'!$A$6:$N$908, 14, FALSE)), "")</f>
        <v/>
      </c>
      <c r="GI65" s="389" t="str">
        <f>IF(OR(B65="", V65="", W65=""), "", IF(AND(OR(M65='Lookup Tables'!$R$18, M65='Lookup Tables'!$R$19, M65='Lookup Tables'!$R$20, M65='Lookup Tables'!$R$21, M65='Lookup Tables'!$R$22), OR(AN65='Lookup Tables'!$R$17, AN65='Lookup Tables'!$R$17, AN65="")), "Y", "N"))</f>
        <v/>
      </c>
      <c r="GJ65" s="255" t="str">
        <f t="shared" si="79"/>
        <v/>
      </c>
      <c r="GK65" s="255" t="str">
        <f t="shared" si="80"/>
        <v/>
      </c>
      <c r="GL65" s="255" t="str">
        <f t="shared" si="81"/>
        <v/>
      </c>
      <c r="GM65" s="255" t="str">
        <f>IF(AN65="", "", IF(AND(IF(ISNA(VLOOKUP(AN65,'Lookup Tables'!$R$18:$R$22,1,FALSE)), "N", "Y")="Y", E65="Exterior"), "Y", "N"))</f>
        <v/>
      </c>
      <c r="GN65" s="395"/>
      <c r="GO65" s="428">
        <f t="shared" si="98"/>
        <v>0</v>
      </c>
      <c r="GP65" s="428">
        <f t="shared" si="167"/>
        <v>0</v>
      </c>
      <c r="GQ65" s="428">
        <f t="shared" si="99"/>
        <v>0</v>
      </c>
      <c r="GR65" s="428">
        <f t="shared" si="100"/>
        <v>0</v>
      </c>
    </row>
    <row r="66" spans="1:200" s="103" customFormat="1" ht="13.5" customHeight="1" x14ac:dyDescent="0.2">
      <c r="A66" s="272">
        <v>56</v>
      </c>
      <c r="B66" s="110"/>
      <c r="C66" s="110"/>
      <c r="D66" s="110"/>
      <c r="E66" s="110"/>
      <c r="F66" s="110"/>
      <c r="G66" s="110"/>
      <c r="H66" s="110"/>
      <c r="I66" s="29"/>
      <c r="J66" s="29"/>
      <c r="K66" s="272" t="str">
        <f>IFERROR(IF(OR(VLOOKUP(J66, 'Fixture Identities'!$A$6:$L$1023, 3, FALSE)="T12 Linear Fluorescent", VLOOKUP(J66, 'Fixture Identities'!$A$6:$L$1023, 3, FALSE)="T12 U-Tube Fluorescent"), VLOOKUP(VLOOKUP(J66, 'Fixture Identities'!$A$6:$L$1023, 11, FALSE), 'Fixture Identities'!$A$6:$L$1023, 10, FALSE), VLOOKUP(J66, 'Fixture Identities'!$A$6:$L$1023, 10, FALSE)), "")</f>
        <v/>
      </c>
      <c r="L66" s="270" t="str">
        <f t="shared" si="169"/>
        <v/>
      </c>
      <c r="M66" s="110"/>
      <c r="N66" s="110"/>
      <c r="O66" s="110"/>
      <c r="P66" s="272" t="str">
        <f>IFERROR(IF(OR(B66="Retrofit",B66=""),"",IF('Lighting Inventory'!E66="Exterior",VLOOKUP('Lighting Inventory'!N66,'Lookup Tables'!$B$83:$F$103,5,FALSE),IF(N66="Other - Please Estimate EFLH and CFs","Contact Prog. Rep.","ft^2"))), "")</f>
        <v/>
      </c>
      <c r="Q66" s="270" t="str">
        <f>IFERROR(IF(AND(B66="New Construction",E66="Interior",$F$5="Space-by-Space"),VLOOKUP('Lighting Inventory'!N66,'Lookup Tables'!$N$6:$O$97,2,FALSE),IF(AND(B66="New Construction",E66="Exterior"),VLOOKUP(N66,'Lookup Tables'!$B$83:$F$103,2,FALSE),IF(AND(B66="New Construction",'Lighting Inventory'!E66="Interior", $F$5="Building Area"),VLOOKUP(F66,'Lookup Tables'!$A$6:$J$59,10,FALSE),""))), "")</f>
        <v/>
      </c>
      <c r="R66" s="270" t="str">
        <f>IFERROR(IF(P66="Contact Prog. Rep.", "ERROR", IF(OR(B66="",B66="Retrofit"),"",IF(N66="Automated teller machines", ('Lookup Tables'!$A$82:$E$100+('Lighting Inventory'!O66-1)*'Lookup Tables'!$A$82:$E$100)/1000, (Q66*O66)/1000))), "")</f>
        <v/>
      </c>
      <c r="S66" s="595"/>
      <c r="T66" s="105" t="str">
        <f t="shared" si="83"/>
        <v/>
      </c>
      <c r="U66" s="105" t="str">
        <f>IF(S66="","",COUNT($S$11:S66))</f>
        <v/>
      </c>
      <c r="V66" s="111"/>
      <c r="W66" s="112"/>
      <c r="X66" s="105" t="str">
        <f t="shared" si="84"/>
        <v/>
      </c>
      <c r="Y66" s="105" t="str">
        <f t="array" ref="Y66">IF(AND(OR(W66="Freezer Case Lighting", W66="Refrigerated Case Lighting with Doors"), 'General Information'!$X$18="LCI"),'Lookup Tables'!$Y$34, IF(V66="Custom", VLOOKUP(W66, 'Fixture Identities'!$A$974:$M$1023, 13, FALSE), IF(V66="No Change",'Lookup Tables'!$Y$29,IF(OR(V66="",W66=""),"",IF(AND(S66=0,S66&lt;I66,B66="Retrofit"),'Lookup Tables'!$Y$25, IF(B66="Retrofit", INDEX('Lookup Tables'!$AH$6:$AP$102, MATCH(1, ('Lookup Tables'!$AH$6:$AH$102=V66)*('Lookup Tables'!$AI$6:$AI$102=W66), 0), IF('Lighting Inventory'!E66="Interior", 4, 5)), INDEX('Lookup Tables'!$AH$114:$AP$154, MATCH(1, ('Lookup Tables'!$AH$114:$AH$154=V66)*('Lookup Tables'!$AI$114:$AI$154=W66), 0), IF('Lighting Inventory'!E66="Interior", 4, 5))))))))</f>
        <v/>
      </c>
      <c r="Z66" s="105" t="str">
        <f>IFERROR(INDEX('Lookup Tables'!$AH$158:$AH$172,MATCH('Lighting Inventory'!Y66,'Lookup Tables'!$AI$158:$AI$172,0)),"")</f>
        <v/>
      </c>
      <c r="AA66" s="105" t="str">
        <f>IF(AP66&gt;0,INDEX('Lookup Tables'!$AK$158:$AK$172,MATCH('Lighting Inventory'!Y66,'Lookup Tables'!$AI$158:$AI$172,0)),'Lighting Inventory'!Y66)</f>
        <v/>
      </c>
      <c r="AB66" s="105" t="str">
        <f t="array" ref="AB66">IF(V66="Custom", "Custom", IF(V66="", "", IF(V66="Not DLC or Energy Star", "General", IF(B66="New Construction", INDEX('Lookup Tables'!$AH$114:$AP$154,MATCH(1,('Lookup Tables'!$AH$114:$AH$154='Lighting Inventory'!V66)*('Lookup Tables'!$AI$114:$AI$154='Lighting Inventory'!W66),FALSE),8), INDEX('Lookup Tables'!$AH$6:$AP$102,MATCH(1,('Lookup Tables'!$AH$6:$AH$102='Lighting Inventory'!V66)*('Lookup Tables'!$AI$6:$AI$102='Lighting Inventory'!W66),FALSE),8)))))</f>
        <v/>
      </c>
      <c r="AC66" s="272" t="str">
        <f>IF(W66="","",IF(V66="Custom",CONCATENATE("$",'Lookup Tables'!$AM$101," ",'Lookup Tables'!$AN$101),CONCATENATE("$",INDEX('Lookup Tables'!$AM$6:$AM$102,MATCH('Lighting Inventory'!W66,'Lookup Tables'!$AI$6:$AI$102,0))," ",INDEX('Lookup Tables'!$AN$6:$AN$102,MATCH('Lighting Inventory'!W66,'Lookup Tables'!$AI$6:$AI$102,0)))))</f>
        <v/>
      </c>
      <c r="AD66" s="72"/>
      <c r="AE66" s="29"/>
      <c r="AF66" s="379"/>
      <c r="AG66" s="370" t="str">
        <f t="shared" si="2"/>
        <v/>
      </c>
      <c r="AH66" s="370" t="str">
        <f t="shared" si="85"/>
        <v/>
      </c>
      <c r="AI66" s="29"/>
      <c r="AJ66" s="29"/>
      <c r="AK66" s="110"/>
      <c r="AL66" s="375" t="str">
        <f>IF(OR(B66="", V66="", W66=""), "", IF(V66="No Change", K66, IF(V66="Remove Fixture", 0, IF(V66="Custom",VLOOKUP(W66,'Fixture Identities'!$A$6:$K$1023,10,FALSE),IF(AE66="", "← ENTER POST WATTS", 'Lighting Inventory'!AE66)))))</f>
        <v/>
      </c>
      <c r="AM66" s="376" t="str">
        <f t="shared" si="3"/>
        <v/>
      </c>
      <c r="AN66" s="29"/>
      <c r="AO66" s="671"/>
      <c r="AP66" s="29"/>
      <c r="AQ66" s="29"/>
      <c r="AR66" s="29"/>
      <c r="AS66" s="272" t="str">
        <f t="shared" si="4"/>
        <v/>
      </c>
      <c r="AT66" s="270" t="str">
        <f t="shared" si="234"/>
        <v/>
      </c>
      <c r="AU66" s="88" t="str">
        <f t="shared" si="235"/>
        <v/>
      </c>
      <c r="AV66" s="29"/>
      <c r="AW66" s="73"/>
      <c r="AX66" s="271" t="str">
        <f>IF(AND(AV66="Applicant",OR(AW66="", AW66="Use Default Facility Hours")),"← Choose Schedule",IF(F66="","",IF(W66="LED Exit Signs",8760,IF(OR(AV66="Prescribed",AV66=""),VLOOKUP(F66,'Lookup Tables'!$A$6:$G$59,IF(AB66="General", 6, 3),FALSE),VLOOKUP(AW66,'Lookup Tables'!$S$36:$U$43,2,FALSE)))))</f>
        <v/>
      </c>
      <c r="AY66" s="88" t="str">
        <f t="shared" si="7"/>
        <v/>
      </c>
      <c r="AZ66" s="270" t="str">
        <f>IFERROR(IF(F66="", "", IF(W66="LED Exit Signs", 1, IF(AV66="Applicant",VLOOKUP(AW66, 'Lookup Tables'!$S$36:$U$43,3, FALSE), VLOOKUP('Lighting Inventory'!F66, 'Lookup Tables'!$A$6:$H$59, IF('Lighting Inventory'!AB66="General",7,4), FALSE)))), "")</f>
        <v/>
      </c>
      <c r="BA66" s="522" t="str">
        <f>IFERROR(IF(F66="", "", IF(W66="LED Exit Signs", 1, VLOOKUP('Lighting Inventory'!F66, 'Lookup Tables'!$A$6:$H$59, IF('Lighting Inventory'!AB66="General",8,5), FALSE))), "")</f>
        <v/>
      </c>
      <c r="BB66" s="270" t="str">
        <f>IF(G66="", "", IF(E66="Exterior", 0, IF('Lighting Inventory'!G66="Air Conditioned", VLOOKUP(H66, 'Lookup Tables'!$R$6:$T$13, 2, FALSE), VLOOKUP('Lighting Inventory'!G66, 'Lookup Tables'!$R$6:$T$13, 2, FALSE))))</f>
        <v/>
      </c>
      <c r="BC66" s="522" t="str">
        <f>IF(G66="", "", IF(E66="Exterior", 0, IF('Lighting Inventory'!G66="Air Conditioned", VLOOKUP(H66, 'Lookup Tables'!$R$6:$T$13, 3, FALSE), VLOOKUP('Lighting Inventory'!G66, 'Lookup Tables'!$R$6:$T$13, 3, FALSE))))</f>
        <v/>
      </c>
      <c r="BD66" s="270" t="str">
        <f>IF(G66="", "", IF(E66="Exterior", 0, IF('Lighting Inventory'!G66="Air Conditioned", VLOOKUP(H66, 'Lookup Tables'!$R$6:$U$13, 4, FALSE), VLOOKUP('Lighting Inventory'!G66, 'Lookup Tables'!$R$6:$U$13, 4, FALSE))))</f>
        <v/>
      </c>
      <c r="BE66" s="270" t="str">
        <f>IFERROR(IF(B66="", "",  IF(B66="New Construction", VLOOKUP(F66, 'Lookup Tables'!$A$6:$K$59, 11, FALSE),IF(OR(AN66="", AN66="Light Switch"), 0, IF(OR(M66="",M66="None",V66= "LED Exit Signs"),0,_xlfn.XLOOKUP(M66,'Lookup Tables'!$R$91:$R$101,'Lookup Tables'!$V$91:$V$101))))), "")</f>
        <v/>
      </c>
      <c r="BF66" s="270" t="str">
        <f>IF(AND(OR(AN66="Light Switch",AN66=""),B66="New Construction"), VLOOKUP(F66, 'Lookup Tables'!$A$6:$K$59, 11, FALSE),IF(AN66="","",IF(B66="","",IF(OR(AN66="None",AN66="",V66="LED Exit Signs",AN66="Exterior Controls Not Eligible"),0,_xlfn.XLOOKUP(AN66,'Lookup Tables'!$R$91:$R$101,'Lookup Tables'!$V$91:$V$101)))))</f>
        <v/>
      </c>
      <c r="BG66" s="88" t="str">
        <f t="shared" si="86"/>
        <v/>
      </c>
      <c r="BH66" s="88" t="str">
        <f t="shared" si="87"/>
        <v/>
      </c>
      <c r="BI66" s="558" t="str">
        <f t="shared" si="168"/>
        <v/>
      </c>
      <c r="BJ66" s="82" t="str">
        <f t="shared" si="88"/>
        <v/>
      </c>
      <c r="BK66" s="82" t="str">
        <f t="shared" si="89"/>
        <v/>
      </c>
      <c r="BL66" s="559" t="str">
        <f t="shared" si="90"/>
        <v/>
      </c>
      <c r="BM66" s="521" t="str">
        <f t="shared" si="8"/>
        <v/>
      </c>
      <c r="BN66" s="521" t="str">
        <f t="shared" si="9"/>
        <v/>
      </c>
      <c r="BO66" s="522" t="str">
        <f t="shared" si="10"/>
        <v/>
      </c>
      <c r="BP66" s="83" t="str">
        <f t="shared" si="91"/>
        <v/>
      </c>
      <c r="BQ66" s="84" t="str">
        <f t="shared" si="92"/>
        <v/>
      </c>
      <c r="BR66" s="184" t="str">
        <f>IFERROR(IF(B66="", "", IF(OR(VLOOKUP(J66, 'Fixture Identities'!$A$6:$L$1023, 3, FALSE)="T12 Linear Fluorescent",VLOOKUP(J66, 'Fixture Identities'!$A$6:$L$1023, 3, FALSE)="T12 U-Tube Fluorescent"), "Y", "N")), "N")</f>
        <v/>
      </c>
      <c r="BS66" s="184" t="str">
        <f t="array" ref="BS66">IFERROR(IF(OR(B66="", V66="", W66=""), "", IF(V66="Custom", "N", IF(OR(W66="Freezer Case Lighting", W66="Refrigerated Case Lighting with Doors"), BT66, IF(B66="Retrofit", INDEX('Lookup Tables'!$AH$6:$AT$102,MATCH(1,('Lookup Tables'!$AH$6:$AH$102=V66)*('Lookup Tables'!$AI$6:$AI$102=W66),FALSE),IF(VLOOKUP(J66, 'Fixture Identities'!$A$6:$B$1023, 2, FALSE)="Incandescent",12, 13)), INDEX('Lookup Tables'!$AH$114:$AS$154,MATCH(1,('Lookup Tables'!$AH$114:$AH$154=V66)*('Lookup Tables'!$AI$114:$AI$154=W66),FALSE),12))))), "N")</f>
        <v/>
      </c>
      <c r="BT66" s="184" t="str">
        <f>IF(J66="", "", IF(AND(OR(W66="Freezer case Lighting", W66="Refrigerated Case Lighting with Doors"),'General Information'!$X$18="LCI"), "N", IF(OR(VLOOKUP(J66, 'Fixture Identities'!$A$6:$B$1023, 2, FALSE)="T12 EPACT/EISA Baseline", VLOOKUP(J66, 'Fixture Identities'!$A$6:$B$1023, 2, FALSE)="Linear Fluorescent", VLOOKUP(J66, 'Fixture Identities'!$A$6:$B$1023, 2, FALSE)="U-Tube Fluorescent"), "Y", "N")))</f>
        <v/>
      </c>
      <c r="BU66" s="184" t="str">
        <f>IFERROR(IF(B66="", "", IF(VLOOKUP(J66, 'Fixture Identities'!$A$6:$B$1023, 2, FALSE)="Exit Sign", "Y", "N")), "N")</f>
        <v/>
      </c>
      <c r="BV66" s="184" t="str">
        <f>IF(V66="Exit Signs", IF(VLOOKUP(J66, 'Fixture Identities'!$A$6:$B$1023, 2, FALSE)="Exit Sign", "N", "Y"), "")</f>
        <v/>
      </c>
      <c r="BW66" s="184" t="str">
        <f t="array" ref="BW66">IFERROR(IF(B66="", "", IF(B66="New Construction", "N", INDEX('Lookup Tables'!$AH$6:$AU$102, MATCH(1, ('Lookup Tables'!$AH$6:$AH$102='Lighting Inventory'!V66)*('Lookup Tables'!$AI$6:$AI$102='Lighting Inventory'!W66), 0), 14))), "N")</f>
        <v/>
      </c>
      <c r="BX66" s="598" t="str">
        <f t="shared" si="93"/>
        <v/>
      </c>
      <c r="BY66" s="598" t="str">
        <f t="shared" si="94"/>
        <v/>
      </c>
      <c r="BZ66" s="598" t="str">
        <f t="shared" si="95"/>
        <v/>
      </c>
      <c r="CA66" s="598" t="str">
        <f t="shared" si="101"/>
        <v/>
      </c>
      <c r="CB66" s="269" t="str">
        <f t="shared" si="102"/>
        <v/>
      </c>
      <c r="CC66" s="517" t="str">
        <f t="shared" si="96"/>
        <v/>
      </c>
      <c r="CD66" s="565" t="str">
        <f t="shared" si="11"/>
        <v/>
      </c>
      <c r="CE66" s="368">
        <v>0</v>
      </c>
      <c r="CF66" s="368" t="str" cm="1">
        <f t="array" ref="CF66">IFERROR(IF(V66="Custom", "$0.1 per kWh", IF(B66="New Construction", CONCATENATE("$",INDEX('Lookup Tables'!$AH$114:$AN$154,MATCH(1,('Lookup Tables'!$AH$114:$AH$154='Lighting Inventory'!V66)*('Lookup Tables'!$AI$114:$AI$154='Lighting Inventory'!W66),FALSE),6)," ",INDEX('Lookup Tables'!$AH$114:$AN$154,MATCH(1,('Lookup Tables'!$AH$114:$AH$154='Lighting Inventory'!V66)*('Lookup Tables'!$AI$114:$AI$154='Lighting Inventory'!W66),FALSE),7)), IF(AND(BU66="N", V66="Exit Signs"), "$0.025 per kWh", CONCATENATE("$",INDEX('Lookup Tables'!$AH$6:$AN$102,MATCH(1,('Lookup Tables'!$AH$6:$AH$102='Lighting Inventory'!V66)*('Lookup Tables'!$AI$6:$AI$102='Lighting Inventory'!W66),FALSE),6)," ",INDEX('Lookup Tables'!$AH$6:$AN$102,MATCH(1,('Lookup Tables'!$AH$6:$AH$102='Lighting Inventory'!V66)*('Lookup Tables'!$AI$6:$AI$102='Lighting Inventory'!W66),FALSE),7))))), "")</f>
        <v/>
      </c>
      <c r="CG66" s="366"/>
      <c r="CH66" s="248" t="str">
        <f t="shared" si="236"/>
        <v/>
      </c>
      <c r="CI66" s="248" t="str">
        <f t="shared" si="237"/>
        <v>Select_IE</v>
      </c>
      <c r="CJ66" s="248" t="str">
        <f t="shared" si="238"/>
        <v/>
      </c>
      <c r="CK66" s="248" t="str">
        <f t="shared" si="239"/>
        <v/>
      </c>
      <c r="CL66" s="248" t="str">
        <f t="shared" si="240"/>
        <v/>
      </c>
      <c r="CM66" s="248" t="str">
        <f>IFERROR(IF(B66="", "", IF(B66="New Construction", VLOOKUP(V66, 'Lookup Tables'!$AF$114:$AG$120, 2, FALSE), VLOOKUP(V66, 'Lookup Tables'!$AD$6:$AE$25, 2, FALSE))), "")</f>
        <v/>
      </c>
      <c r="CN66" s="248" t="str">
        <f t="shared" si="175"/>
        <v/>
      </c>
      <c r="CO66" s="248" t="str">
        <f t="shared" si="241"/>
        <v/>
      </c>
      <c r="CP66" s="592" t="str">
        <f t="shared" si="242"/>
        <v/>
      </c>
      <c r="CQ66" s="248" t="str">
        <f t="shared" si="97"/>
        <v/>
      </c>
      <c r="CR66" s="249"/>
      <c r="CS66" s="250" t="str">
        <f t="shared" si="178"/>
        <v/>
      </c>
      <c r="CT66" s="250" t="str">
        <f t="shared" si="243"/>
        <v/>
      </c>
      <c r="CU66" s="250" t="str">
        <f t="shared" si="244"/>
        <v/>
      </c>
      <c r="CV66" s="250" t="str">
        <f t="shared" si="245"/>
        <v/>
      </c>
      <c r="CW66" s="250" t="str">
        <f t="shared" si="246"/>
        <v/>
      </c>
      <c r="CX66" s="250" t="str">
        <f t="shared" si="247"/>
        <v/>
      </c>
      <c r="CY66" s="250" t="str">
        <f t="shared" si="248"/>
        <v/>
      </c>
      <c r="CZ66" s="250" t="str">
        <f t="shared" si="249"/>
        <v/>
      </c>
      <c r="DA66" s="250" t="str">
        <f t="shared" si="250"/>
        <v/>
      </c>
      <c r="DB66" s="250" t="str">
        <f t="shared" si="251"/>
        <v/>
      </c>
      <c r="DC66" s="250" t="str">
        <f t="shared" si="252"/>
        <v/>
      </c>
      <c r="DD66" s="250" t="str">
        <f t="shared" si="253"/>
        <v/>
      </c>
      <c r="DE66" s="250" t="str">
        <f t="shared" si="254"/>
        <v/>
      </c>
      <c r="DF66" s="250" t="str">
        <f t="shared" si="255"/>
        <v/>
      </c>
      <c r="DG66" s="250" t="str">
        <f t="shared" si="256"/>
        <v/>
      </c>
      <c r="DH66" s="250" t="str">
        <f t="shared" si="257"/>
        <v/>
      </c>
      <c r="DI66" s="250" t="str">
        <f t="shared" si="258"/>
        <v/>
      </c>
      <c r="DJ66" s="250" t="str">
        <f t="shared" si="259"/>
        <v/>
      </c>
      <c r="DK66" s="250" t="str">
        <f t="shared" si="260"/>
        <v/>
      </c>
      <c r="DL66" s="250" t="str">
        <f t="shared" si="261"/>
        <v/>
      </c>
      <c r="DM66" s="250" t="str">
        <f>IF(CD66="ERROR", "ERROR", IF(AND(OR(Y66=$DM$6, Y66='Lookup Tables'!$AD$21, Y66='Lookup Tables'!$AD$22), E66="Interior"), BJ66, ""))</f>
        <v/>
      </c>
      <c r="DN66" s="250" t="str">
        <f>IF(CD66="ERROR", "ERROR", IF(AND(OR(Y66=$DM$6, Y66='Lookup Tables'!$AD$21, Y66='Lookup Tables'!$AD$22), E66="Exterior"), BJ66, ""))</f>
        <v/>
      </c>
      <c r="DO66" s="249"/>
      <c r="DP66" s="250" t="str">
        <f t="shared" si="198"/>
        <v/>
      </c>
      <c r="DQ66" s="250" t="str">
        <f t="shared" si="262"/>
        <v/>
      </c>
      <c r="DR66" s="250" t="str">
        <f t="shared" si="263"/>
        <v/>
      </c>
      <c r="DS66" s="250" t="str">
        <f t="shared" si="264"/>
        <v/>
      </c>
      <c r="DT66" s="250" t="str">
        <f t="shared" si="265"/>
        <v/>
      </c>
      <c r="DU66" s="250" t="str">
        <f t="shared" si="266"/>
        <v/>
      </c>
      <c r="DV66" s="250" t="str">
        <f t="shared" si="267"/>
        <v/>
      </c>
      <c r="DW66" s="250" t="str">
        <f t="shared" si="268"/>
        <v/>
      </c>
      <c r="DX66" s="250" t="str">
        <f t="shared" si="269"/>
        <v/>
      </c>
      <c r="DY66" s="250" t="str">
        <f t="shared" si="270"/>
        <v/>
      </c>
      <c r="DZ66" s="250" t="str">
        <f t="shared" si="271"/>
        <v/>
      </c>
      <c r="EA66" s="250" t="str">
        <f t="shared" si="272"/>
        <v/>
      </c>
      <c r="EB66" s="250" t="str">
        <f t="shared" si="273"/>
        <v/>
      </c>
      <c r="EC66" s="250" t="str">
        <f t="shared" si="274"/>
        <v/>
      </c>
      <c r="ED66" s="250" t="str">
        <f t="shared" si="275"/>
        <v/>
      </c>
      <c r="EE66" s="250" t="str">
        <f t="shared" si="276"/>
        <v/>
      </c>
      <c r="EF66" s="250" t="str">
        <f t="shared" si="277"/>
        <v/>
      </c>
      <c r="EG66" s="250" t="str">
        <f t="shared" si="278"/>
        <v/>
      </c>
      <c r="EH66" s="250" t="str">
        <f>IF(CD66="ERROR", "ERROR", IF(AND(OR($EH$6=Y66, Y66='Lookup Tables'!$AD$21, Y66='Lookup Tables'!$AD$22),E66="Interior"), SUM(BP66:BP66), ""))</f>
        <v/>
      </c>
      <c r="EI66" s="250" t="str">
        <f>IF(CD66="ERROR", "ERROR", IF(AND(OR($EH$6=Y66, Y66='Lookup Tables'!$AD$21, Y66='Lookup Tables'!$AD$22),E66="Exterior"), SUM(BP66:BP66), ""))</f>
        <v/>
      </c>
      <c r="EJ66" s="109"/>
      <c r="EK66" s="485" t="str">
        <f t="shared" si="58"/>
        <v/>
      </c>
      <c r="EL66" s="252" t="str">
        <f t="shared" si="279"/>
        <v/>
      </c>
      <c r="EM66" s="252" t="str">
        <f t="shared" si="280"/>
        <v/>
      </c>
      <c r="EN66" s="252" t="str">
        <f t="shared" si="281"/>
        <v/>
      </c>
      <c r="EO66" s="252" t="str">
        <f t="shared" si="282"/>
        <v/>
      </c>
      <c r="EP66" s="252" t="str">
        <f t="shared" si="283"/>
        <v/>
      </c>
      <c r="EQ66" s="252" t="str">
        <f t="shared" si="284"/>
        <v/>
      </c>
      <c r="ER66" s="252" t="str">
        <f t="shared" si="285"/>
        <v/>
      </c>
      <c r="ES66" s="252" t="str">
        <f t="shared" si="286"/>
        <v/>
      </c>
      <c r="ET66" s="252" t="str">
        <f t="shared" si="287"/>
        <v/>
      </c>
      <c r="EU66" s="252" t="str">
        <f t="shared" si="288"/>
        <v/>
      </c>
      <c r="EV66" s="252" t="str">
        <f t="shared" si="289"/>
        <v/>
      </c>
      <c r="EW66" s="252" t="str">
        <f t="shared" si="290"/>
        <v/>
      </c>
      <c r="EX66" s="252" t="str">
        <f t="shared" si="291"/>
        <v/>
      </c>
      <c r="EY66" s="252" t="str">
        <f t="shared" si="292"/>
        <v/>
      </c>
      <c r="EZ66" s="252" t="str">
        <f t="shared" si="293"/>
        <v/>
      </c>
      <c r="FA66" s="252" t="str">
        <f t="shared" si="294"/>
        <v/>
      </c>
      <c r="FB66" s="252" t="str">
        <f t="shared" si="295"/>
        <v/>
      </c>
      <c r="FC66" s="252" t="str">
        <f>IF(CD66="ERROR", "ERROR", IF(OR(V66="No Change", V66="Not DLC or Energy Star"), "", IF(AND(OR($FC$6=Y66,Y66='Lookup Tables'!$AD$21, Y66='Lookup Tables'!$AD$22),E66="Interior"), S66, "")))</f>
        <v/>
      </c>
      <c r="FD66" s="252" t="str">
        <f t="shared" si="296"/>
        <v/>
      </c>
      <c r="FE66" s="1"/>
      <c r="FF66" s="579" t="str" cm="1">
        <f t="array" ref="FF66">IFERROR(IF(OR(BQ66&lt;=0,AQ66&lt;20,AND(V66="Exit Signs",AN66&gt;0)),"",IF(AND(AQ66&gt;=20,AN66='Lookup Tables'!$R$101),'Lookup Tables'!$U$101*BQ66,AP66*LOOKUP(2,1/((AN66='Lookup Tables'!$R$91:$R$111)*(AQ66&gt;='Lookup Tables'!$S$91:$S$111)*(AQ66&lt;='Lookup Tables'!$T$91:$T$111)),'Lookup Tables'!$U$91:$U$111))),"")</f>
        <v/>
      </c>
      <c r="FG66" s="579"/>
      <c r="FH66" s="579"/>
      <c r="FI66" s="253" t="str">
        <f>IFERROR(ROUND(IF(CD66="ERROR", "ERROR", IF(AND($FI$7=X66,E66="Interior"),VLOOKUP(W66, 'Lookup Tables'!$AI$6:$AM$102, 5, FALSE)*BP66, "")), 2), "")</f>
        <v/>
      </c>
      <c r="FJ66" s="253" t="str">
        <f>IFERROR(ROUND(IF(CD66="ERROR", "ERROR", IF(AND($FI$7=X66,E66="Exterior"),VLOOKUP(W66, 'Lookup Tables'!$AI$6:$AM$102, 5, FALSE)*BP66, "")), 2), "")</f>
        <v/>
      </c>
      <c r="FK66" s="253" t="str">
        <f>IFERROR(ROUND(IF(CD66="ERROR", "ERROR", IF(AND($FK$7=X66,E66="Interior"),VLOOKUP(W66, 'Lookup Tables'!$AI$6:$AM$102, 5, FALSE)*BP66, "")), 2), "")</f>
        <v/>
      </c>
      <c r="FL66" s="253" t="str">
        <f>IFERROR(ROUND(IF(CD66="ERROR", "ERROR", IF(AND($FK$7=X66,E66="Exterior"),VLOOKUP(W66, 'Lookup Tables'!$AI$6:$AM$102, 5, FALSE)*BP66, "")), 2), "")</f>
        <v/>
      </c>
      <c r="FM66" s="253" t="str">
        <f>IFERROR(ROUND(IF(CD66="ERROR", "ERROR", IF(AND($FM$6=Y66,E66="Interior"), IF(GB66=0, VLOOKUP(W66, 'Lookup Tables'!$AI$6:$AM$102, 5, FALSE)*BP66, IF(VLOOKUP(W66, 'Lookup Tables'!$AI$6:$AM$102, 5, FALSE)*BP66&gt;GB66*'Lighting Inventory'!S66, GB66*'Lighting Inventory'!S66,VLOOKUP(W66, 'Lookup Tables'!$AI$6:$AM$102, 5, FALSE)*BP66)), "")), 2), "")</f>
        <v/>
      </c>
      <c r="FN66" s="253" t="str">
        <f>IFERROR(ROUND(IF(CD66="ERROR", "ERROR", IF(AND($FM$6=Y66,E66="Exterior"), IF(GB66=0, VLOOKUP(W66, 'Lookup Tables'!$AI$6:$AM$102, 5, FALSE)*BP66, IF(VLOOKUP(W66, 'Lookup Tables'!$AI$6:$AM$102, 5, FALSE)*BP66&gt;GB66*'Lighting Inventory'!S66, GB66*'Lighting Inventory'!S66,VLOOKUP(W66, 'Lookup Tables'!$AI$6:$AM$102, 5, FALSE)*BP66)), "")), 2), "")</f>
        <v/>
      </c>
      <c r="FO66" s="253" t="str">
        <f>IFERROR(ROUND(IF(CD66="ERROR", "ERROR", IF(AND($FO$6=Y66,E66="Interior"),VLOOKUP(W66, 'Lookup Tables'!$AI$6:$AM$102, 5, FALSE)*'Lighting Inventory'!AI66, "")), 2), "")</f>
        <v/>
      </c>
      <c r="FP66" s="253" t="str">
        <f>IFERROR(ROUND(IF(CD66="ERROR", "ERROR", IF(AND($FO$6=Y66,E66="Exterior"),VLOOKUP(W66, 'Lookup Tables'!$AI$6:$AM$102, 5, FALSE)*'Lighting Inventory'!AI66, "")), 2), "")</f>
        <v/>
      </c>
      <c r="FQ66" s="253" t="str">
        <f>IFERROR(ROUND(IF(CD66="ERROR", "ERROR", IF(AND($FQ$6=Y66,E66="Interior", BU66="Y"), VLOOKUP('Lighting Inventory'!W66, 'Lookup Tables'!$AI$6:$AM$102, 5, FALSE)*'Lighting Inventory'!S66, IF(AND($FQ$7=Y66,E66="Interior", BU66="N"), 0.025*CD66, ""))), 2), "")</f>
        <v/>
      </c>
      <c r="FR66" s="253" t="str">
        <f>IFERROR(ROUND(IF(CD66="ERROR", "ERROR", IF(AND($FQ$6=Y66,E66="Exterior"), VLOOKUP('Lighting Inventory'!W66, 'Lookup Tables'!$AI$6:$AM$102, 5, FALSE)*'Lighting Inventory'!S66, "")), 2), "")</f>
        <v/>
      </c>
      <c r="FS66" s="253" t="str">
        <f>IFERROR(ROUND(IF(CD66="ERROR", "ERROR", IF(AND($FS$6=Y66,E66="Exterior"), IF(GB66=0, VLOOKUP(W66, 'Lookup Tables'!$AI$6:$AM$102, 5, FALSE)*BP66, IF(VLOOKUP(W66, 'Lookup Tables'!$AI$6:$AM$102, 5, FALSE)*BP66&gt;GB66*'Lighting Inventory'!S66, GB66*'Lighting Inventory'!S66,VLOOKUP(W66, 'Lookup Tables'!$AI$6:$AM$102, 5, FALSE)*BP66)), "")), 2), "")</f>
        <v/>
      </c>
      <c r="FT66" s="253" t="str">
        <f>IFERROR(ROUND(IF(CD66="ERROR", "ERROR", IF(AND($FT$6=Y66,E66="Interior"), IF(GB66=0, VLOOKUP(W66, 'Lookup Tables'!$AI$6:$AM$102, 5, FALSE)*BP66, IF(VLOOKUP(W66, 'Lookup Tables'!$AI$6:$AM$102, 5, FALSE)*BP66&gt;GB66*'Lighting Inventory'!S66, GB66*'Lighting Inventory'!S66,VLOOKUP(W66, 'Lookup Tables'!$AI$6:$AM$102, 5, FALSE)*BP66)), "")), 2), "")</f>
        <v/>
      </c>
      <c r="FU66" s="253" t="str">
        <f>IFERROR(ROUND(IF(CD66="ERROR", "ERROR", IF(AND(Y66=$FU$6, E66="Interior"), IF(BS66="N", 'Lookup Tables'!$AM$101*BP66, VLOOKUP(W66, 'Lookup Tables'!$AI$6:$AM$102, 5, FALSE)*S66*AD66), "")), 2), "")</f>
        <v/>
      </c>
      <c r="FV66" s="253" t="str">
        <f>IFERROR(ROUND(IF(CD66="ERROR", "ERROR", IF(AND(Y66=$FU$6, E66="Exterior"), IF(BS66="N", 'Lookup Tables'!$AM$101*BP66, VLOOKUP(W66, 'Lookup Tables'!$AI$6:$AM$102, 5, FALSE)*S66*AD66), "")), 2), "")</f>
        <v/>
      </c>
      <c r="FW66" s="253" t="str">
        <f>IFERROR(ROUND(IF(CD66="ERROR", "ERROR", IF($FW$6=Y66, IF(BS66="N", 'Lookup Tables'!$AM$101*BP66, MIN((VLOOKUP(W66, 'Lookup Tables'!$AI$6:$AM$102, 5, FALSE)*BP66),GB66*AJ66)), "")), 2), "")</f>
        <v/>
      </c>
      <c r="FX66" s="253" t="str">
        <f>IFERROR(ROUND(IF(CD66="ERROR", "ERROR", IF(AND($FX$6=Y66, E66="Interior"), IF(VLOOKUP(W66, 'Lookup Tables'!$AI$6:$AM$102, 5, FALSE)*BP66&gt;'Lookup Tables'!$AQ$97*'Lighting Inventory'!S66,'Lighting Inventory'!S66*'Lookup Tables'!$AQ$97,VLOOKUP(W66, 'Lookup Tables'!$AI$6:$AM$102, 5, FALSE)*BP66), "")), 2), "")</f>
        <v/>
      </c>
      <c r="FY66" s="253" t="str">
        <f>IFERROR(ROUND(IF(CD66="ERROR", "ERROR", IF(AND($FX$6=Y66, E66="Exterior"), IF(VLOOKUP(W66, 'Lookup Tables'!$AI$6:$AM$102, 5, FALSE)*BP66&gt;'Lookup Tables'!$AQ$97*'Lighting Inventory'!S66,'Lighting Inventory'!S66*'Lookup Tables'!$AQ$97,VLOOKUP(W66, 'Lookup Tables'!$AI$6:$AM$102, 5, FALSE)*BP66), "")), 2), "")</f>
        <v/>
      </c>
      <c r="FZ66" s="253" t="str">
        <f>IFERROR(ROUND(IF(CD66="ERROR", "ERROR", IF(AND($FZ$6=Y66, E66="Interior"), IF(AND(OR(W66="Refrigerated Case Lighting with Doors", W66="Freezer Case Lighting"),Y66="Custom - Process Improvement"),CD66*'Lookup Tables'!$AM$101, IF(B66="Retrofit", IF(VLOOKUP(IF(V66="Custom", V66, W66), 'Lookup Tables'!$AI$6:$AM$102, 5, FALSE)*BP66&gt;GE66, GE66, VLOOKUP(IF(V66="Custom", V66, W66), 'Lookup Tables'!$AI$6:$AM$102, 5, FALSE)*BP66), IF(VLOOKUP(IF(V66="Custom", V66, W66), 'Lookup Tables'!$AI$114:$AM$154, 5, FALSE)*BP66&gt;GE66, GE66, VLOOKUP(IF(V66="Custom", V66, W66), 'Lookup Tables'!$AI$114:$AM$154, 5, FALSE)*BP66))), "")), 2),"")</f>
        <v/>
      </c>
      <c r="GA66" s="253" t="str">
        <f>IFERROR(ROUND(IF(CD66="ERROR", "ERROR", IF(AND($FZ$6=Y66, E66="Exterior"), IF(B66="Retrofit", IF(VLOOKUP(IF(V66="Custom", V66, W66), 'Lookup Tables'!$AI$6:$AM$102, 5, FALSE)*BP66&gt;GE66, GE66, VLOOKUP(IF(V66="Custom", V66, W66), 'Lookup Tables'!$AI$6:$AM$102, 5, FALSE)*BP66), IF(VLOOKUP(IF(V66="Custom", V66, W66), 'Lookup Tables'!$AI$114:$AM$154, 5, FALSE)*BP66&gt;GE66, GE66, VLOOKUP(IF(V66="Custom", V66, W66), 'Lookup Tables'!$AI$114:$AM$154, 5, FALSE)*BP66)), "")), 2),"")</f>
        <v/>
      </c>
      <c r="GB66" s="254" t="str">
        <f t="array" ref="GB66">IF(B66="","",IF(OR(V66="Custom",V66="No Change"),0,IF(B66="Retrofit", INDEX('Lookup Tables'!$AH$6:$AQ$102,MATCH(1,('Lookup Tables'!$AH$6:$AH$102='Lighting Inventory'!V66)*('Lookup Tables'!$AI$6:$AI$102='Lighting Inventory'!W66),FALSE),10),INDEX('Lookup Tables'!$AH$114:$AQ$154,MATCH(1,('Lookup Tables'!$AH$114:$AH$154='Lighting Inventory'!V66)*('Lookup Tables'!$AI$114:$AI$154='Lighting Inventory'!W66),FALSE),10))))</f>
        <v/>
      </c>
      <c r="GC66" s="255" t="str">
        <f t="shared" si="77"/>
        <v/>
      </c>
      <c r="GD66" s="250" t="str">
        <f t="shared" si="78"/>
        <v/>
      </c>
      <c r="GE66" s="253" t="str">
        <f>IFERROR(IF(AND(AF66="", 'General Information'!$F$18="No"),"", IF(AF66="", ((GD66/$CD$266)*$CF$266)*0.5, AF66*S66*0.5)), "")</f>
        <v/>
      </c>
      <c r="GF66" s="255" t="str">
        <f>IF(AND('General Information'!$F$19="", 'General Information'!$F$18="Yes",AF66="",BW66="Y"), "Y", "N")</f>
        <v>N</v>
      </c>
      <c r="GG66" s="255" t="s">
        <v>2946</v>
      </c>
      <c r="GH66" s="255" t="str">
        <f>IFERROR(IF(B66="", "", VLOOKUP(J66, 'Fixture Identities'!$A$6:$N$908, 14, FALSE)), "")</f>
        <v/>
      </c>
      <c r="GI66" s="389" t="str">
        <f>IF(OR(B66="", V66="", W66=""), "", IF(AND(OR(M66='Lookup Tables'!$R$18, M66='Lookup Tables'!$R$19, M66='Lookup Tables'!$R$20, M66='Lookup Tables'!$R$21, M66='Lookup Tables'!$R$22), OR(AN66='Lookup Tables'!$R$17, AN66='Lookup Tables'!$R$17, AN66="")), "Y", "N"))</f>
        <v/>
      </c>
      <c r="GJ66" s="255" t="str">
        <f t="shared" si="79"/>
        <v/>
      </c>
      <c r="GK66" s="255" t="str">
        <f t="shared" si="80"/>
        <v/>
      </c>
      <c r="GL66" s="255" t="str">
        <f t="shared" si="81"/>
        <v/>
      </c>
      <c r="GM66" s="255" t="str">
        <f>IF(AN66="", "", IF(AND(IF(ISNA(VLOOKUP(AN66,'Lookup Tables'!$R$18:$R$22,1,FALSE)), "N", "Y")="Y", E66="Exterior"), "Y", "N"))</f>
        <v/>
      </c>
      <c r="GN66" s="395"/>
      <c r="GO66" s="428">
        <f t="shared" si="98"/>
        <v>0</v>
      </c>
      <c r="GP66" s="428">
        <f t="shared" si="167"/>
        <v>0</v>
      </c>
      <c r="GQ66" s="428">
        <f t="shared" si="99"/>
        <v>0</v>
      </c>
      <c r="GR66" s="428">
        <f t="shared" si="100"/>
        <v>0</v>
      </c>
    </row>
    <row r="67" spans="1:200" s="103" customFormat="1" ht="13.5" customHeight="1" x14ac:dyDescent="0.2">
      <c r="A67" s="272">
        <v>57</v>
      </c>
      <c r="B67" s="110"/>
      <c r="C67" s="110"/>
      <c r="D67" s="110"/>
      <c r="E67" s="110"/>
      <c r="F67" s="110"/>
      <c r="G67" s="110"/>
      <c r="H67" s="110"/>
      <c r="I67" s="29"/>
      <c r="J67" s="29"/>
      <c r="K67" s="272" t="str">
        <f>IFERROR(IF(OR(VLOOKUP(J67, 'Fixture Identities'!$A$6:$L$1023, 3, FALSE)="T12 Linear Fluorescent", VLOOKUP(J67, 'Fixture Identities'!$A$6:$L$1023, 3, FALSE)="T12 U-Tube Fluorescent"), VLOOKUP(VLOOKUP(J67, 'Fixture Identities'!$A$6:$L$1023, 11, FALSE), 'Fixture Identities'!$A$6:$L$1023, 10, FALSE), VLOOKUP(J67, 'Fixture Identities'!$A$6:$L$1023, 10, FALSE)), "")</f>
        <v/>
      </c>
      <c r="L67" s="270" t="str">
        <f t="shared" si="169"/>
        <v/>
      </c>
      <c r="M67" s="110"/>
      <c r="N67" s="110"/>
      <c r="O67" s="110"/>
      <c r="P67" s="272" t="str">
        <f>IFERROR(IF(OR(B67="Retrofit",B67=""),"",IF('Lighting Inventory'!E67="Exterior",VLOOKUP('Lighting Inventory'!N67,'Lookup Tables'!$B$83:$F$103,5,FALSE),IF(N67="Other - Please Estimate EFLH and CFs","Contact Prog. Rep.","ft^2"))), "")</f>
        <v/>
      </c>
      <c r="Q67" s="270" t="str">
        <f>IFERROR(IF(AND(B67="New Construction",E67="Interior",$F$5="Space-by-Space"),VLOOKUP('Lighting Inventory'!N67,'Lookup Tables'!$N$6:$O$97,2,FALSE),IF(AND(B67="New Construction",E67="Exterior"),VLOOKUP(N67,'Lookup Tables'!$B$83:$F$103,2,FALSE),IF(AND(B67="New Construction",'Lighting Inventory'!E67="Interior", $F$5="Building Area"),VLOOKUP(F67,'Lookup Tables'!$A$6:$J$59,10,FALSE),""))), "")</f>
        <v/>
      </c>
      <c r="R67" s="270" t="str">
        <f>IFERROR(IF(P67="Contact Prog. Rep.", "ERROR", IF(OR(B67="",B67="Retrofit"),"",IF(N67="Automated teller machines", ('Lookup Tables'!$A$82:$E$100+('Lighting Inventory'!O67-1)*'Lookup Tables'!$A$82:$E$100)/1000, (Q67*O67)/1000))), "")</f>
        <v/>
      </c>
      <c r="S67" s="595"/>
      <c r="T67" s="105" t="str">
        <f t="shared" si="83"/>
        <v/>
      </c>
      <c r="U67" s="105" t="str">
        <f>IF(S67="","",COUNT($S$11:S67))</f>
        <v/>
      </c>
      <c r="V67" s="111"/>
      <c r="W67" s="112"/>
      <c r="X67" s="105" t="str">
        <f t="shared" si="84"/>
        <v/>
      </c>
      <c r="Y67" s="105" t="str">
        <f t="array" ref="Y67">IF(AND(OR(W67="Freezer Case Lighting", W67="Refrigerated Case Lighting with Doors"), 'General Information'!$X$18="LCI"),'Lookup Tables'!$Y$34, IF(V67="Custom", VLOOKUP(W67, 'Fixture Identities'!$A$974:$M$1023, 13, FALSE), IF(V67="No Change",'Lookup Tables'!$Y$29,IF(OR(V67="",W67=""),"",IF(AND(S67=0,S67&lt;I67,B67="Retrofit"),'Lookup Tables'!$Y$25, IF(B67="Retrofit", INDEX('Lookup Tables'!$AH$6:$AP$102, MATCH(1, ('Lookup Tables'!$AH$6:$AH$102=V67)*('Lookup Tables'!$AI$6:$AI$102=W67), 0), IF('Lighting Inventory'!E67="Interior", 4, 5)), INDEX('Lookup Tables'!$AH$114:$AP$154, MATCH(1, ('Lookup Tables'!$AH$114:$AH$154=V67)*('Lookup Tables'!$AI$114:$AI$154=W67), 0), IF('Lighting Inventory'!E67="Interior", 4, 5))))))))</f>
        <v/>
      </c>
      <c r="Z67" s="105" t="str">
        <f>IFERROR(INDEX('Lookup Tables'!$AH$158:$AH$172,MATCH('Lighting Inventory'!Y67,'Lookup Tables'!$AI$158:$AI$172,0)),"")</f>
        <v/>
      </c>
      <c r="AA67" s="105" t="str">
        <f>IF(AP67&gt;0,INDEX('Lookup Tables'!$AK$158:$AK$172,MATCH('Lighting Inventory'!Y67,'Lookup Tables'!$AI$158:$AI$172,0)),'Lighting Inventory'!Y67)</f>
        <v/>
      </c>
      <c r="AB67" s="105" t="str">
        <f t="array" ref="AB67">IF(V67="Custom", "Custom", IF(V67="", "", IF(V67="Not DLC or Energy Star", "General", IF(B67="New Construction", INDEX('Lookup Tables'!$AH$114:$AP$154,MATCH(1,('Lookup Tables'!$AH$114:$AH$154='Lighting Inventory'!V67)*('Lookup Tables'!$AI$114:$AI$154='Lighting Inventory'!W67),FALSE),8), INDEX('Lookup Tables'!$AH$6:$AP$102,MATCH(1,('Lookup Tables'!$AH$6:$AH$102='Lighting Inventory'!V67)*('Lookup Tables'!$AI$6:$AI$102='Lighting Inventory'!W67),FALSE),8)))))</f>
        <v/>
      </c>
      <c r="AC67" s="272" t="str">
        <f>IF(W67="","",IF(V67="Custom",CONCATENATE("$",'Lookup Tables'!$AM$101," ",'Lookup Tables'!$AN$101),CONCATENATE("$",INDEX('Lookup Tables'!$AM$6:$AM$102,MATCH('Lighting Inventory'!W67,'Lookup Tables'!$AI$6:$AI$102,0))," ",INDEX('Lookup Tables'!$AN$6:$AN$102,MATCH('Lighting Inventory'!W67,'Lookup Tables'!$AI$6:$AI$102,0)))))</f>
        <v/>
      </c>
      <c r="AD67" s="72"/>
      <c r="AE67" s="29"/>
      <c r="AF67" s="379"/>
      <c r="AG67" s="370" t="str">
        <f t="shared" si="2"/>
        <v/>
      </c>
      <c r="AH67" s="370" t="str">
        <f t="shared" si="85"/>
        <v/>
      </c>
      <c r="AI67" s="29"/>
      <c r="AJ67" s="29"/>
      <c r="AK67" s="110"/>
      <c r="AL67" s="375" t="str">
        <f>IF(OR(B67="", V67="", W67=""), "", IF(V67="No Change", K67, IF(V67="Remove Fixture", 0, IF(V67="Custom",VLOOKUP(W67,'Fixture Identities'!$A$6:$K$1023,10,FALSE),IF(AE67="", "← ENTER POST WATTS", 'Lighting Inventory'!AE67)))))</f>
        <v/>
      </c>
      <c r="AM67" s="376" t="str">
        <f t="shared" si="3"/>
        <v/>
      </c>
      <c r="AN67" s="29"/>
      <c r="AO67" s="671"/>
      <c r="AP67" s="29"/>
      <c r="AQ67" s="29"/>
      <c r="AR67" s="29"/>
      <c r="AS67" s="272" t="str">
        <f t="shared" si="4"/>
        <v/>
      </c>
      <c r="AT67" s="270" t="str">
        <f t="shared" si="234"/>
        <v/>
      </c>
      <c r="AU67" s="88" t="str">
        <f t="shared" si="235"/>
        <v/>
      </c>
      <c r="AV67" s="29"/>
      <c r="AW67" s="73"/>
      <c r="AX67" s="271" t="str">
        <f>IF(AND(AV67="Applicant",OR(AW67="", AW67="Use Default Facility Hours")),"← Choose Schedule",IF(F67="","",IF(W67="LED Exit Signs",8760,IF(OR(AV67="Prescribed",AV67=""),VLOOKUP(F67,'Lookup Tables'!$A$6:$G$59,IF(AB67="General", 6, 3),FALSE),VLOOKUP(AW67,'Lookup Tables'!$S$36:$U$43,2,FALSE)))))</f>
        <v/>
      </c>
      <c r="AY67" s="88" t="str">
        <f t="shared" si="7"/>
        <v/>
      </c>
      <c r="AZ67" s="270" t="str">
        <f>IFERROR(IF(F67="", "", IF(W67="LED Exit Signs", 1, IF(AV67="Applicant",VLOOKUP(AW67, 'Lookup Tables'!$S$36:$U$43,3, FALSE), VLOOKUP('Lighting Inventory'!F67, 'Lookup Tables'!$A$6:$H$59, IF('Lighting Inventory'!AB67="General",7,4), FALSE)))), "")</f>
        <v/>
      </c>
      <c r="BA67" s="522" t="str">
        <f>IFERROR(IF(F67="", "", IF(W67="LED Exit Signs", 1, VLOOKUP('Lighting Inventory'!F67, 'Lookup Tables'!$A$6:$H$59, IF('Lighting Inventory'!AB67="General",8,5), FALSE))), "")</f>
        <v/>
      </c>
      <c r="BB67" s="270" t="str">
        <f>IF(G67="", "", IF(E67="Exterior", 0, IF('Lighting Inventory'!G67="Air Conditioned", VLOOKUP(H67, 'Lookup Tables'!$R$6:$T$13, 2, FALSE), VLOOKUP('Lighting Inventory'!G67, 'Lookup Tables'!$R$6:$T$13, 2, FALSE))))</f>
        <v/>
      </c>
      <c r="BC67" s="522" t="str">
        <f>IF(G67="", "", IF(E67="Exterior", 0, IF('Lighting Inventory'!G67="Air Conditioned", VLOOKUP(H67, 'Lookup Tables'!$R$6:$T$13, 3, FALSE), VLOOKUP('Lighting Inventory'!G67, 'Lookup Tables'!$R$6:$T$13, 3, FALSE))))</f>
        <v/>
      </c>
      <c r="BD67" s="270" t="str">
        <f>IF(G67="", "", IF(E67="Exterior", 0, IF('Lighting Inventory'!G67="Air Conditioned", VLOOKUP(H67, 'Lookup Tables'!$R$6:$U$13, 4, FALSE), VLOOKUP('Lighting Inventory'!G67, 'Lookup Tables'!$R$6:$U$13, 4, FALSE))))</f>
        <v/>
      </c>
      <c r="BE67" s="270" t="str">
        <f>IFERROR(IF(B67="", "",  IF(B67="New Construction", VLOOKUP(F67, 'Lookup Tables'!$A$6:$K$59, 11, FALSE),IF(OR(AN67="", AN67="Light Switch"), 0, IF(OR(M67="",M67="None",V67= "LED Exit Signs"),0,_xlfn.XLOOKUP(M67,'Lookup Tables'!$R$91:$R$101,'Lookup Tables'!$V$91:$V$101))))), "")</f>
        <v/>
      </c>
      <c r="BF67" s="270" t="str">
        <f>IF(AND(OR(AN67="Light Switch",AN67=""),B67="New Construction"), VLOOKUP(F67, 'Lookup Tables'!$A$6:$K$59, 11, FALSE),IF(AN67="","",IF(B67="","",IF(OR(AN67="None",AN67="",V67="LED Exit Signs",AN67="Exterior Controls Not Eligible"),0,_xlfn.XLOOKUP(AN67,'Lookup Tables'!$R$91:$R$101,'Lookup Tables'!$V$91:$V$101)))))</f>
        <v/>
      </c>
      <c r="BG67" s="88" t="str">
        <f t="shared" si="86"/>
        <v/>
      </c>
      <c r="BH67" s="88" t="str">
        <f t="shared" si="87"/>
        <v/>
      </c>
      <c r="BI67" s="558" t="str">
        <f t="shared" si="168"/>
        <v/>
      </c>
      <c r="BJ67" s="82" t="str">
        <f t="shared" si="88"/>
        <v/>
      </c>
      <c r="BK67" s="82" t="str">
        <f t="shared" si="89"/>
        <v/>
      </c>
      <c r="BL67" s="559" t="str">
        <f t="shared" si="90"/>
        <v/>
      </c>
      <c r="BM67" s="521" t="str">
        <f t="shared" si="8"/>
        <v/>
      </c>
      <c r="BN67" s="521" t="str">
        <f t="shared" si="9"/>
        <v/>
      </c>
      <c r="BO67" s="522" t="str">
        <f t="shared" si="10"/>
        <v/>
      </c>
      <c r="BP67" s="83" t="str">
        <f t="shared" si="91"/>
        <v/>
      </c>
      <c r="BQ67" s="84" t="str">
        <f t="shared" si="92"/>
        <v/>
      </c>
      <c r="BR67" s="184" t="str">
        <f>IFERROR(IF(B67="", "", IF(OR(VLOOKUP(J67, 'Fixture Identities'!$A$6:$L$1023, 3, FALSE)="T12 Linear Fluorescent",VLOOKUP(J67, 'Fixture Identities'!$A$6:$L$1023, 3, FALSE)="T12 U-Tube Fluorescent"), "Y", "N")), "N")</f>
        <v/>
      </c>
      <c r="BS67" s="184" t="str">
        <f t="array" ref="BS67">IFERROR(IF(OR(B67="", V67="", W67=""), "", IF(V67="Custom", "N", IF(OR(W67="Freezer Case Lighting", W67="Refrigerated Case Lighting with Doors"), BT67, IF(B67="Retrofit", INDEX('Lookup Tables'!$AH$6:$AT$102,MATCH(1,('Lookup Tables'!$AH$6:$AH$102=V67)*('Lookup Tables'!$AI$6:$AI$102=W67),FALSE),IF(VLOOKUP(J67, 'Fixture Identities'!$A$6:$B$1023, 2, FALSE)="Incandescent",12, 13)), INDEX('Lookup Tables'!$AH$114:$AS$154,MATCH(1,('Lookup Tables'!$AH$114:$AH$154=V67)*('Lookup Tables'!$AI$114:$AI$154=W67),FALSE),12))))), "N")</f>
        <v/>
      </c>
      <c r="BT67" s="184" t="str">
        <f>IF(J67="", "", IF(AND(OR(W67="Freezer case Lighting", W67="Refrigerated Case Lighting with Doors"),'General Information'!$X$18="LCI"), "N", IF(OR(VLOOKUP(J67, 'Fixture Identities'!$A$6:$B$1023, 2, FALSE)="T12 EPACT/EISA Baseline", VLOOKUP(J67, 'Fixture Identities'!$A$6:$B$1023, 2, FALSE)="Linear Fluorescent", VLOOKUP(J67, 'Fixture Identities'!$A$6:$B$1023, 2, FALSE)="U-Tube Fluorescent"), "Y", "N")))</f>
        <v/>
      </c>
      <c r="BU67" s="184" t="str">
        <f>IFERROR(IF(B67="", "", IF(VLOOKUP(J67, 'Fixture Identities'!$A$6:$B$1023, 2, FALSE)="Exit Sign", "Y", "N")), "N")</f>
        <v/>
      </c>
      <c r="BV67" s="184" t="str">
        <f>IF(V67="Exit Signs", IF(VLOOKUP(J67, 'Fixture Identities'!$A$6:$B$1023, 2, FALSE)="Exit Sign", "N", "Y"), "")</f>
        <v/>
      </c>
      <c r="BW67" s="184" t="str">
        <f t="array" ref="BW67">IFERROR(IF(B67="", "", IF(B67="New Construction", "N", INDEX('Lookup Tables'!$AH$6:$AU$102, MATCH(1, ('Lookup Tables'!$AH$6:$AH$102='Lighting Inventory'!V67)*('Lookup Tables'!$AI$6:$AI$102='Lighting Inventory'!W67), 0), 14))), "N")</f>
        <v/>
      </c>
      <c r="BX67" s="598" t="str">
        <f t="shared" si="93"/>
        <v/>
      </c>
      <c r="BY67" s="598" t="str">
        <f t="shared" si="94"/>
        <v/>
      </c>
      <c r="BZ67" s="598" t="str">
        <f t="shared" si="95"/>
        <v/>
      </c>
      <c r="CA67" s="598" t="str">
        <f t="shared" si="101"/>
        <v/>
      </c>
      <c r="CB67" s="269" t="str">
        <f t="shared" si="102"/>
        <v/>
      </c>
      <c r="CC67" s="517" t="str">
        <f t="shared" si="96"/>
        <v/>
      </c>
      <c r="CD67" s="565" t="str">
        <f t="shared" si="11"/>
        <v/>
      </c>
      <c r="CE67" s="368">
        <v>0</v>
      </c>
      <c r="CF67" s="368" t="str" cm="1">
        <f t="array" ref="CF67">IFERROR(IF(V67="Custom", "$0.1 per kWh", IF(B67="New Construction", CONCATENATE("$",INDEX('Lookup Tables'!$AH$114:$AN$154,MATCH(1,('Lookup Tables'!$AH$114:$AH$154='Lighting Inventory'!V67)*('Lookup Tables'!$AI$114:$AI$154='Lighting Inventory'!W67),FALSE),6)," ",INDEX('Lookup Tables'!$AH$114:$AN$154,MATCH(1,('Lookup Tables'!$AH$114:$AH$154='Lighting Inventory'!V67)*('Lookup Tables'!$AI$114:$AI$154='Lighting Inventory'!W67),FALSE),7)), IF(AND(BU67="N", V67="Exit Signs"), "$0.025 per kWh", CONCATENATE("$",INDEX('Lookup Tables'!$AH$6:$AN$102,MATCH(1,('Lookup Tables'!$AH$6:$AH$102='Lighting Inventory'!V67)*('Lookup Tables'!$AI$6:$AI$102='Lighting Inventory'!W67),FALSE),6)," ",INDEX('Lookup Tables'!$AH$6:$AN$102,MATCH(1,('Lookup Tables'!$AH$6:$AH$102='Lighting Inventory'!V67)*('Lookup Tables'!$AI$6:$AI$102='Lighting Inventory'!W67),FALSE),7))))), "")</f>
        <v/>
      </c>
      <c r="CG67" s="366"/>
      <c r="CH67" s="248" t="str">
        <f t="shared" si="236"/>
        <v/>
      </c>
      <c r="CI67" s="248" t="str">
        <f t="shared" si="237"/>
        <v>Select_IE</v>
      </c>
      <c r="CJ67" s="248" t="str">
        <f t="shared" si="238"/>
        <v/>
      </c>
      <c r="CK67" s="248" t="str">
        <f t="shared" si="239"/>
        <v/>
      </c>
      <c r="CL67" s="248" t="str">
        <f t="shared" si="240"/>
        <v/>
      </c>
      <c r="CM67" s="248" t="str">
        <f>IFERROR(IF(B67="", "", IF(B67="New Construction", VLOOKUP(V67, 'Lookup Tables'!$AF$114:$AG$120, 2, FALSE), VLOOKUP(V67, 'Lookup Tables'!$AD$6:$AE$25, 2, FALSE))), "")</f>
        <v/>
      </c>
      <c r="CN67" s="248" t="str">
        <f t="shared" si="175"/>
        <v/>
      </c>
      <c r="CO67" s="248" t="str">
        <f t="shared" si="241"/>
        <v/>
      </c>
      <c r="CP67" s="592" t="str">
        <f t="shared" si="242"/>
        <v/>
      </c>
      <c r="CQ67" s="248" t="str">
        <f t="shared" si="97"/>
        <v/>
      </c>
      <c r="CR67" s="100"/>
      <c r="CS67" s="250" t="str">
        <f t="shared" si="178"/>
        <v/>
      </c>
      <c r="CT67" s="250" t="str">
        <f t="shared" si="243"/>
        <v/>
      </c>
      <c r="CU67" s="250" t="str">
        <f t="shared" si="244"/>
        <v/>
      </c>
      <c r="CV67" s="250" t="str">
        <f t="shared" si="245"/>
        <v/>
      </c>
      <c r="CW67" s="250" t="str">
        <f t="shared" si="246"/>
        <v/>
      </c>
      <c r="CX67" s="250" t="str">
        <f t="shared" si="247"/>
        <v/>
      </c>
      <c r="CY67" s="250" t="str">
        <f t="shared" si="248"/>
        <v/>
      </c>
      <c r="CZ67" s="250" t="str">
        <f t="shared" si="249"/>
        <v/>
      </c>
      <c r="DA67" s="250" t="str">
        <f t="shared" si="250"/>
        <v/>
      </c>
      <c r="DB67" s="250" t="str">
        <f t="shared" si="251"/>
        <v/>
      </c>
      <c r="DC67" s="250" t="str">
        <f t="shared" si="252"/>
        <v/>
      </c>
      <c r="DD67" s="250" t="str">
        <f t="shared" si="253"/>
        <v/>
      </c>
      <c r="DE67" s="250" t="str">
        <f t="shared" si="254"/>
        <v/>
      </c>
      <c r="DF67" s="250" t="str">
        <f t="shared" si="255"/>
        <v/>
      </c>
      <c r="DG67" s="250" t="str">
        <f t="shared" si="256"/>
        <v/>
      </c>
      <c r="DH67" s="250" t="str">
        <f t="shared" si="257"/>
        <v/>
      </c>
      <c r="DI67" s="250" t="str">
        <f t="shared" si="258"/>
        <v/>
      </c>
      <c r="DJ67" s="250" t="str">
        <f t="shared" si="259"/>
        <v/>
      </c>
      <c r="DK67" s="250" t="str">
        <f t="shared" si="260"/>
        <v/>
      </c>
      <c r="DL67" s="250" t="str">
        <f t="shared" si="261"/>
        <v/>
      </c>
      <c r="DM67" s="250" t="str">
        <f>IF(CD67="ERROR", "ERROR", IF(AND(OR(Y67=$DM$6, Y67='Lookup Tables'!$AD$21, Y67='Lookup Tables'!$AD$22), E67="Interior"), BJ67, ""))</f>
        <v/>
      </c>
      <c r="DN67" s="250" t="str">
        <f>IF(CD67="ERROR", "ERROR", IF(AND(OR(Y67=$DM$6, Y67='Lookup Tables'!$AD$21, Y67='Lookup Tables'!$AD$22), E67="Exterior"), BJ67, ""))</f>
        <v/>
      </c>
      <c r="DO67" s="100"/>
      <c r="DP67" s="250" t="str">
        <f t="shared" si="198"/>
        <v/>
      </c>
      <c r="DQ67" s="250" t="str">
        <f t="shared" si="262"/>
        <v/>
      </c>
      <c r="DR67" s="250" t="str">
        <f t="shared" si="263"/>
        <v/>
      </c>
      <c r="DS67" s="250" t="str">
        <f t="shared" si="264"/>
        <v/>
      </c>
      <c r="DT67" s="250" t="str">
        <f t="shared" si="265"/>
        <v/>
      </c>
      <c r="DU67" s="250" t="str">
        <f t="shared" si="266"/>
        <v/>
      </c>
      <c r="DV67" s="250" t="str">
        <f t="shared" si="267"/>
        <v/>
      </c>
      <c r="DW67" s="250" t="str">
        <f t="shared" si="268"/>
        <v/>
      </c>
      <c r="DX67" s="250" t="str">
        <f t="shared" si="269"/>
        <v/>
      </c>
      <c r="DY67" s="250" t="str">
        <f t="shared" si="270"/>
        <v/>
      </c>
      <c r="DZ67" s="250" t="str">
        <f t="shared" si="271"/>
        <v/>
      </c>
      <c r="EA67" s="250" t="str">
        <f t="shared" si="272"/>
        <v/>
      </c>
      <c r="EB67" s="250" t="str">
        <f t="shared" si="273"/>
        <v/>
      </c>
      <c r="EC67" s="250" t="str">
        <f t="shared" si="274"/>
        <v/>
      </c>
      <c r="ED67" s="250" t="str">
        <f t="shared" si="275"/>
        <v/>
      </c>
      <c r="EE67" s="250" t="str">
        <f t="shared" si="276"/>
        <v/>
      </c>
      <c r="EF67" s="250" t="str">
        <f t="shared" si="277"/>
        <v/>
      </c>
      <c r="EG67" s="250" t="str">
        <f t="shared" si="278"/>
        <v/>
      </c>
      <c r="EH67" s="250" t="str">
        <f>IF(CD67="ERROR", "ERROR", IF(AND(OR($EH$6=Y67, Y67='Lookup Tables'!$AD$21, Y67='Lookup Tables'!$AD$22),E67="Interior"), SUM(BP67:BP67), ""))</f>
        <v/>
      </c>
      <c r="EI67" s="250" t="str">
        <f>IF(CD67="ERROR", "ERROR", IF(AND(OR($EH$6=Y67, Y67='Lookup Tables'!$AD$21, Y67='Lookup Tables'!$AD$22),E67="Exterior"), SUM(BP67:BP67), ""))</f>
        <v/>
      </c>
      <c r="EJ67" s="109"/>
      <c r="EK67" s="485" t="str">
        <f t="shared" si="58"/>
        <v/>
      </c>
      <c r="EL67" s="252" t="str">
        <f t="shared" si="279"/>
        <v/>
      </c>
      <c r="EM67" s="252" t="str">
        <f t="shared" si="280"/>
        <v/>
      </c>
      <c r="EN67" s="252" t="str">
        <f t="shared" si="281"/>
        <v/>
      </c>
      <c r="EO67" s="252" t="str">
        <f t="shared" si="282"/>
        <v/>
      </c>
      <c r="EP67" s="252" t="str">
        <f t="shared" si="283"/>
        <v/>
      </c>
      <c r="EQ67" s="252" t="str">
        <f t="shared" si="284"/>
        <v/>
      </c>
      <c r="ER67" s="252" t="str">
        <f t="shared" si="285"/>
        <v/>
      </c>
      <c r="ES67" s="252" t="str">
        <f t="shared" si="286"/>
        <v/>
      </c>
      <c r="ET67" s="252" t="str">
        <f t="shared" si="287"/>
        <v/>
      </c>
      <c r="EU67" s="252" t="str">
        <f t="shared" si="288"/>
        <v/>
      </c>
      <c r="EV67" s="252" t="str">
        <f t="shared" si="289"/>
        <v/>
      </c>
      <c r="EW67" s="252" t="str">
        <f t="shared" si="290"/>
        <v/>
      </c>
      <c r="EX67" s="252" t="str">
        <f t="shared" si="291"/>
        <v/>
      </c>
      <c r="EY67" s="252" t="str">
        <f t="shared" si="292"/>
        <v/>
      </c>
      <c r="EZ67" s="252" t="str">
        <f t="shared" si="293"/>
        <v/>
      </c>
      <c r="FA67" s="252" t="str">
        <f t="shared" si="294"/>
        <v/>
      </c>
      <c r="FB67" s="252" t="str">
        <f t="shared" si="295"/>
        <v/>
      </c>
      <c r="FC67" s="252" t="str">
        <f>IF(CD67="ERROR", "ERROR", IF(OR(V67="No Change", V67="Not DLC or Energy Star"), "", IF(AND(OR($FC$6=Y67,Y67='Lookup Tables'!$AD$21, Y67='Lookup Tables'!$AD$22),E67="Interior"), S67, "")))</f>
        <v/>
      </c>
      <c r="FD67" s="252" t="str">
        <f t="shared" si="296"/>
        <v/>
      </c>
      <c r="FE67" s="101"/>
      <c r="FF67" s="579" t="str" cm="1">
        <f t="array" ref="FF67">IFERROR(IF(OR(BQ67&lt;=0,AQ67&lt;20,AND(V67="Exit Signs",AN67&gt;0)),"",IF(AND(AQ67&gt;=20,AN67='Lookup Tables'!$R$101),'Lookup Tables'!$U$101*BQ67,AP67*LOOKUP(2,1/((AN67='Lookup Tables'!$R$91:$R$111)*(AQ67&gt;='Lookup Tables'!$S$91:$S$111)*(AQ67&lt;='Lookup Tables'!$T$91:$T$111)),'Lookup Tables'!$U$91:$U$111))),"")</f>
        <v/>
      </c>
      <c r="FG67" s="579"/>
      <c r="FH67" s="579"/>
      <c r="FI67" s="253" t="str">
        <f>IFERROR(ROUND(IF(CD67="ERROR", "ERROR", IF(AND($FI$7=X67,E67="Interior"),VLOOKUP(W67, 'Lookup Tables'!$AI$6:$AM$102, 5, FALSE)*BP67, "")), 2), "")</f>
        <v/>
      </c>
      <c r="FJ67" s="253" t="str">
        <f>IFERROR(ROUND(IF(CD67="ERROR", "ERROR", IF(AND($FI$7=X67,E67="Exterior"),VLOOKUP(W67, 'Lookup Tables'!$AI$6:$AM$102, 5, FALSE)*BP67, "")), 2), "")</f>
        <v/>
      </c>
      <c r="FK67" s="253" t="str">
        <f>IFERROR(ROUND(IF(CD67="ERROR", "ERROR", IF(AND($FK$7=X67,E67="Interior"),VLOOKUP(W67, 'Lookup Tables'!$AI$6:$AM$102, 5, FALSE)*BP67, "")), 2), "")</f>
        <v/>
      </c>
      <c r="FL67" s="253" t="str">
        <f>IFERROR(ROUND(IF(CD67="ERROR", "ERROR", IF(AND($FK$7=X67,E67="Exterior"),VLOOKUP(W67, 'Lookup Tables'!$AI$6:$AM$102, 5, FALSE)*BP67, "")), 2), "")</f>
        <v/>
      </c>
      <c r="FM67" s="253" t="str">
        <f>IFERROR(ROUND(IF(CD67="ERROR", "ERROR", IF(AND($FM$6=Y67,E67="Interior"), IF(GB67=0, VLOOKUP(W67, 'Lookup Tables'!$AI$6:$AM$102, 5, FALSE)*BP67, IF(VLOOKUP(W67, 'Lookup Tables'!$AI$6:$AM$102, 5, FALSE)*BP67&gt;GB67*'Lighting Inventory'!S67, GB67*'Lighting Inventory'!S67,VLOOKUP(W67, 'Lookup Tables'!$AI$6:$AM$102, 5, FALSE)*BP67)), "")), 2), "")</f>
        <v/>
      </c>
      <c r="FN67" s="253" t="str">
        <f>IFERROR(ROUND(IF(CD67="ERROR", "ERROR", IF(AND($FM$6=Y67,E67="Exterior"), IF(GB67=0, VLOOKUP(W67, 'Lookup Tables'!$AI$6:$AM$102, 5, FALSE)*BP67, IF(VLOOKUP(W67, 'Lookup Tables'!$AI$6:$AM$102, 5, FALSE)*BP67&gt;GB67*'Lighting Inventory'!S67, GB67*'Lighting Inventory'!S67,VLOOKUP(W67, 'Lookup Tables'!$AI$6:$AM$102, 5, FALSE)*BP67)), "")), 2), "")</f>
        <v/>
      </c>
      <c r="FO67" s="253" t="str">
        <f>IFERROR(ROUND(IF(CD67="ERROR", "ERROR", IF(AND($FO$6=Y67,E67="Interior"),VLOOKUP(W67, 'Lookup Tables'!$AI$6:$AM$102, 5, FALSE)*'Lighting Inventory'!AI67, "")), 2), "")</f>
        <v/>
      </c>
      <c r="FP67" s="253" t="str">
        <f>IFERROR(ROUND(IF(CD67="ERROR", "ERROR", IF(AND($FO$6=Y67,E67="Exterior"),VLOOKUP(W67, 'Lookup Tables'!$AI$6:$AM$102, 5, FALSE)*'Lighting Inventory'!AI67, "")), 2), "")</f>
        <v/>
      </c>
      <c r="FQ67" s="253" t="str">
        <f>IFERROR(ROUND(IF(CD67="ERROR", "ERROR", IF(AND($FQ$6=Y67,E67="Interior", BU67="Y"), VLOOKUP('Lighting Inventory'!W67, 'Lookup Tables'!$AI$6:$AM$102, 5, FALSE)*'Lighting Inventory'!S67, IF(AND($FQ$7=Y67,E67="Interior", BU67="N"), 0.025*CD67, ""))), 2), "")</f>
        <v/>
      </c>
      <c r="FR67" s="253" t="str">
        <f>IFERROR(ROUND(IF(CD67="ERROR", "ERROR", IF(AND($FQ$6=Y67,E67="Exterior"), VLOOKUP('Lighting Inventory'!W67, 'Lookup Tables'!$AI$6:$AM$102, 5, FALSE)*'Lighting Inventory'!S67, "")), 2), "")</f>
        <v/>
      </c>
      <c r="FS67" s="253" t="str">
        <f>IFERROR(ROUND(IF(CD67="ERROR", "ERROR", IF(AND($FS$6=Y67,E67="Exterior"), IF(GB67=0, VLOOKUP(W67, 'Lookup Tables'!$AI$6:$AM$102, 5, FALSE)*BP67, IF(VLOOKUP(W67, 'Lookup Tables'!$AI$6:$AM$102, 5, FALSE)*BP67&gt;GB67*'Lighting Inventory'!S67, GB67*'Lighting Inventory'!S67,VLOOKUP(W67, 'Lookup Tables'!$AI$6:$AM$102, 5, FALSE)*BP67)), "")), 2), "")</f>
        <v/>
      </c>
      <c r="FT67" s="253" t="str">
        <f>IFERROR(ROUND(IF(CD67="ERROR", "ERROR", IF(AND($FT$6=Y67,E67="Interior"), IF(GB67=0, VLOOKUP(W67, 'Lookup Tables'!$AI$6:$AM$102, 5, FALSE)*BP67, IF(VLOOKUP(W67, 'Lookup Tables'!$AI$6:$AM$102, 5, FALSE)*BP67&gt;GB67*'Lighting Inventory'!S67, GB67*'Lighting Inventory'!S67,VLOOKUP(W67, 'Lookup Tables'!$AI$6:$AM$102, 5, FALSE)*BP67)), "")), 2), "")</f>
        <v/>
      </c>
      <c r="FU67" s="253" t="str">
        <f>IFERROR(ROUND(IF(CD67="ERROR", "ERROR", IF(AND(Y67=$FU$6, E67="Interior"), IF(BS67="N", 'Lookup Tables'!$AM$101*BP67, VLOOKUP(W67, 'Lookup Tables'!$AI$6:$AM$102, 5, FALSE)*S67*AD67), "")), 2), "")</f>
        <v/>
      </c>
      <c r="FV67" s="253" t="str">
        <f>IFERROR(ROUND(IF(CD67="ERROR", "ERROR", IF(AND(Y67=$FU$6, E67="Exterior"), IF(BS67="N", 'Lookup Tables'!$AM$101*BP67, VLOOKUP(W67, 'Lookup Tables'!$AI$6:$AM$102, 5, FALSE)*S67*AD67), "")), 2), "")</f>
        <v/>
      </c>
      <c r="FW67" s="253" t="str">
        <f>IFERROR(ROUND(IF(CD67="ERROR", "ERROR", IF($FW$6=Y67, IF(BS67="N", 'Lookup Tables'!$AM$101*BP67, MIN((VLOOKUP(W67, 'Lookup Tables'!$AI$6:$AM$102, 5, FALSE)*BP67),GB67*AJ67)), "")), 2), "")</f>
        <v/>
      </c>
      <c r="FX67" s="253" t="str">
        <f>IFERROR(ROUND(IF(CD67="ERROR", "ERROR", IF(AND($FX$6=Y67, E67="Interior"), IF(VLOOKUP(W67, 'Lookup Tables'!$AI$6:$AM$102, 5, FALSE)*BP67&gt;'Lookup Tables'!$AQ$97*'Lighting Inventory'!S67,'Lighting Inventory'!S67*'Lookup Tables'!$AQ$97,VLOOKUP(W67, 'Lookup Tables'!$AI$6:$AM$102, 5, FALSE)*BP67), "")), 2), "")</f>
        <v/>
      </c>
      <c r="FY67" s="253" t="str">
        <f>IFERROR(ROUND(IF(CD67="ERROR", "ERROR", IF(AND($FX$6=Y67, E67="Exterior"), IF(VLOOKUP(W67, 'Lookup Tables'!$AI$6:$AM$102, 5, FALSE)*BP67&gt;'Lookup Tables'!$AQ$97*'Lighting Inventory'!S67,'Lighting Inventory'!S67*'Lookup Tables'!$AQ$97,VLOOKUP(W67, 'Lookup Tables'!$AI$6:$AM$102, 5, FALSE)*BP67), "")), 2), "")</f>
        <v/>
      </c>
      <c r="FZ67" s="253" t="str">
        <f>IFERROR(ROUND(IF(CD67="ERROR", "ERROR", IF(AND($FZ$6=Y67, E67="Interior"), IF(AND(OR(W67="Refrigerated Case Lighting with Doors", W67="Freezer Case Lighting"),Y67="Custom - Process Improvement"),CD67*'Lookup Tables'!$AM$101, IF(B67="Retrofit", IF(VLOOKUP(IF(V67="Custom", V67, W67), 'Lookup Tables'!$AI$6:$AM$102, 5, FALSE)*BP67&gt;GE67, GE67, VLOOKUP(IF(V67="Custom", V67, W67), 'Lookup Tables'!$AI$6:$AM$102, 5, FALSE)*BP67), IF(VLOOKUP(IF(V67="Custom", V67, W67), 'Lookup Tables'!$AI$114:$AM$154, 5, FALSE)*BP67&gt;GE67, GE67, VLOOKUP(IF(V67="Custom", V67, W67), 'Lookup Tables'!$AI$114:$AM$154, 5, FALSE)*BP67))), "")), 2),"")</f>
        <v/>
      </c>
      <c r="GA67" s="253" t="str">
        <f>IFERROR(ROUND(IF(CD67="ERROR", "ERROR", IF(AND($FZ$6=Y67, E67="Exterior"), IF(B67="Retrofit", IF(VLOOKUP(IF(V67="Custom", V67, W67), 'Lookup Tables'!$AI$6:$AM$102, 5, FALSE)*BP67&gt;GE67, GE67, VLOOKUP(IF(V67="Custom", V67, W67), 'Lookup Tables'!$AI$6:$AM$102, 5, FALSE)*BP67), IF(VLOOKUP(IF(V67="Custom", V67, W67), 'Lookup Tables'!$AI$114:$AM$154, 5, FALSE)*BP67&gt;GE67, GE67, VLOOKUP(IF(V67="Custom", V67, W67), 'Lookup Tables'!$AI$114:$AM$154, 5, FALSE)*BP67)), "")), 2),"")</f>
        <v/>
      </c>
      <c r="GB67" s="254" t="str">
        <f t="array" ref="GB67">IF(B67="","",IF(OR(V67="Custom",V67="No Change"),0,IF(B67="Retrofit", INDEX('Lookup Tables'!$AH$6:$AQ$102,MATCH(1,('Lookup Tables'!$AH$6:$AH$102='Lighting Inventory'!V67)*('Lookup Tables'!$AI$6:$AI$102='Lighting Inventory'!W67),FALSE),10),INDEX('Lookup Tables'!$AH$114:$AQ$154,MATCH(1,('Lookup Tables'!$AH$114:$AH$154='Lighting Inventory'!V67)*('Lookup Tables'!$AI$114:$AI$154='Lighting Inventory'!W67),FALSE),10))))</f>
        <v/>
      </c>
      <c r="GC67" s="255" t="str">
        <f t="shared" si="77"/>
        <v/>
      </c>
      <c r="GD67" s="250" t="str">
        <f t="shared" si="78"/>
        <v/>
      </c>
      <c r="GE67" s="253" t="str">
        <f>IFERROR(IF(AND(AF67="", 'General Information'!$F$18="No"),"", IF(AF67="", ((GD67/$CD$266)*$CF$266)*0.5, AF67*S67*0.5)), "")</f>
        <v/>
      </c>
      <c r="GF67" s="255" t="str">
        <f>IF(AND('General Information'!$F$19="", 'General Information'!$F$18="Yes",AF67="",BW67="Y"), "Y", "N")</f>
        <v>N</v>
      </c>
      <c r="GG67" s="255" t="s">
        <v>2946</v>
      </c>
      <c r="GH67" s="255" t="str">
        <f>IFERROR(IF(B67="", "", VLOOKUP(J67, 'Fixture Identities'!$A$6:$N$908, 14, FALSE)), "")</f>
        <v/>
      </c>
      <c r="GI67" s="389" t="str">
        <f>IF(OR(B67="", V67="", W67=""), "", IF(AND(OR(M67='Lookup Tables'!$R$18, M67='Lookup Tables'!$R$19, M67='Lookup Tables'!$R$20, M67='Lookup Tables'!$R$21, M67='Lookup Tables'!$R$22), OR(AN67='Lookup Tables'!$R$17, AN67='Lookup Tables'!$R$17, AN67="")), "Y", "N"))</f>
        <v/>
      </c>
      <c r="GJ67" s="255" t="str">
        <f t="shared" si="79"/>
        <v/>
      </c>
      <c r="GK67" s="255" t="str">
        <f t="shared" si="80"/>
        <v/>
      </c>
      <c r="GL67" s="255" t="str">
        <f t="shared" si="81"/>
        <v/>
      </c>
      <c r="GM67" s="255" t="str">
        <f>IF(AN67="", "", IF(AND(IF(ISNA(VLOOKUP(AN67,'Lookup Tables'!$R$18:$R$22,1,FALSE)), "N", "Y")="Y", E67="Exterior"), "Y", "N"))</f>
        <v/>
      </c>
      <c r="GN67" s="395"/>
      <c r="GO67" s="428">
        <f t="shared" si="98"/>
        <v>0</v>
      </c>
      <c r="GP67" s="428">
        <f t="shared" si="167"/>
        <v>0</v>
      </c>
      <c r="GQ67" s="428">
        <f t="shared" si="99"/>
        <v>0</v>
      </c>
      <c r="GR67" s="428">
        <f t="shared" si="100"/>
        <v>0</v>
      </c>
    </row>
    <row r="68" spans="1:200" s="103" customFormat="1" ht="13.5" customHeight="1" x14ac:dyDescent="0.2">
      <c r="A68" s="272">
        <v>58</v>
      </c>
      <c r="B68" s="110"/>
      <c r="C68" s="110"/>
      <c r="D68" s="110"/>
      <c r="E68" s="110"/>
      <c r="F68" s="110"/>
      <c r="G68" s="110"/>
      <c r="H68" s="110"/>
      <c r="I68" s="29"/>
      <c r="J68" s="29"/>
      <c r="K68" s="272" t="str">
        <f>IFERROR(IF(OR(VLOOKUP(J68, 'Fixture Identities'!$A$6:$L$1023, 3, FALSE)="T12 Linear Fluorescent", VLOOKUP(J68, 'Fixture Identities'!$A$6:$L$1023, 3, FALSE)="T12 U-Tube Fluorescent"), VLOOKUP(VLOOKUP(J68, 'Fixture Identities'!$A$6:$L$1023, 11, FALSE), 'Fixture Identities'!$A$6:$L$1023, 10, FALSE), VLOOKUP(J68, 'Fixture Identities'!$A$6:$L$1023, 10, FALSE)), "")</f>
        <v/>
      </c>
      <c r="L68" s="270" t="str">
        <f t="shared" si="169"/>
        <v/>
      </c>
      <c r="M68" s="110"/>
      <c r="N68" s="110"/>
      <c r="O68" s="110"/>
      <c r="P68" s="272" t="str">
        <f>IFERROR(IF(OR(B68="Retrofit",B68=""),"",IF('Lighting Inventory'!E68="Exterior",VLOOKUP('Lighting Inventory'!N68,'Lookup Tables'!$B$83:$F$103,5,FALSE),IF(N68="Other - Please Estimate EFLH and CFs","Contact Prog. Rep.","ft^2"))), "")</f>
        <v/>
      </c>
      <c r="Q68" s="270" t="str">
        <f>IFERROR(IF(AND(B68="New Construction",E68="Interior",$F$5="Space-by-Space"),VLOOKUP('Lighting Inventory'!N68,'Lookup Tables'!$N$6:$O$97,2,FALSE),IF(AND(B68="New Construction",E68="Exterior"),VLOOKUP(N68,'Lookup Tables'!$B$83:$F$103,2,FALSE),IF(AND(B68="New Construction",'Lighting Inventory'!E68="Interior", $F$5="Building Area"),VLOOKUP(F68,'Lookup Tables'!$A$6:$J$59,10,FALSE),""))), "")</f>
        <v/>
      </c>
      <c r="R68" s="270" t="str">
        <f>IFERROR(IF(P68="Contact Prog. Rep.", "ERROR", IF(OR(B68="",B68="Retrofit"),"",IF(N68="Automated teller machines", ('Lookup Tables'!$A$82:$E$100+('Lighting Inventory'!O68-1)*'Lookup Tables'!$A$82:$E$100)/1000, (Q68*O68)/1000))), "")</f>
        <v/>
      </c>
      <c r="S68" s="595"/>
      <c r="T68" s="105" t="str">
        <f t="shared" si="83"/>
        <v/>
      </c>
      <c r="U68" s="105" t="str">
        <f>IF(S68="","",COUNT($S$11:S68))</f>
        <v/>
      </c>
      <c r="V68" s="111"/>
      <c r="W68" s="112"/>
      <c r="X68" s="105" t="str">
        <f t="shared" si="84"/>
        <v/>
      </c>
      <c r="Y68" s="105" t="str">
        <f t="array" ref="Y68">IF(AND(OR(W68="Freezer Case Lighting", W68="Refrigerated Case Lighting with Doors"), 'General Information'!$X$18="LCI"),'Lookup Tables'!$Y$34, IF(V68="Custom", VLOOKUP(W68, 'Fixture Identities'!$A$974:$M$1023, 13, FALSE), IF(V68="No Change",'Lookup Tables'!$Y$29,IF(OR(V68="",W68=""),"",IF(AND(S68=0,S68&lt;I68,B68="Retrofit"),'Lookup Tables'!$Y$25, IF(B68="Retrofit", INDEX('Lookup Tables'!$AH$6:$AP$102, MATCH(1, ('Lookup Tables'!$AH$6:$AH$102=V68)*('Lookup Tables'!$AI$6:$AI$102=W68), 0), IF('Lighting Inventory'!E68="Interior", 4, 5)), INDEX('Lookup Tables'!$AH$114:$AP$154, MATCH(1, ('Lookup Tables'!$AH$114:$AH$154=V68)*('Lookup Tables'!$AI$114:$AI$154=W68), 0), IF('Lighting Inventory'!E68="Interior", 4, 5))))))))</f>
        <v/>
      </c>
      <c r="Z68" s="105" t="str">
        <f>IFERROR(INDEX('Lookup Tables'!$AH$158:$AH$172,MATCH('Lighting Inventory'!Y68,'Lookup Tables'!$AI$158:$AI$172,0)),"")</f>
        <v/>
      </c>
      <c r="AA68" s="105" t="str">
        <f>IF(AP68&gt;0,INDEX('Lookup Tables'!$AK$158:$AK$172,MATCH('Lighting Inventory'!Y68,'Lookup Tables'!$AI$158:$AI$172,0)),'Lighting Inventory'!Y68)</f>
        <v/>
      </c>
      <c r="AB68" s="105" t="str">
        <f t="array" ref="AB68">IF(V68="Custom", "Custom", IF(V68="", "", IF(V68="Not DLC or Energy Star", "General", IF(B68="New Construction", INDEX('Lookup Tables'!$AH$114:$AP$154,MATCH(1,('Lookup Tables'!$AH$114:$AH$154='Lighting Inventory'!V68)*('Lookup Tables'!$AI$114:$AI$154='Lighting Inventory'!W68),FALSE),8), INDEX('Lookup Tables'!$AH$6:$AP$102,MATCH(1,('Lookup Tables'!$AH$6:$AH$102='Lighting Inventory'!V68)*('Lookup Tables'!$AI$6:$AI$102='Lighting Inventory'!W68),FALSE),8)))))</f>
        <v/>
      </c>
      <c r="AC68" s="272" t="str">
        <f>IF(W68="","",IF(V68="Custom",CONCATENATE("$",'Lookup Tables'!$AM$101," ",'Lookup Tables'!$AN$101),CONCATENATE("$",INDEX('Lookup Tables'!$AM$6:$AM$102,MATCH('Lighting Inventory'!W68,'Lookup Tables'!$AI$6:$AI$102,0))," ",INDEX('Lookup Tables'!$AN$6:$AN$102,MATCH('Lighting Inventory'!W68,'Lookup Tables'!$AI$6:$AI$102,0)))))</f>
        <v/>
      </c>
      <c r="AD68" s="72"/>
      <c r="AE68" s="29"/>
      <c r="AF68" s="379"/>
      <c r="AG68" s="370" t="str">
        <f t="shared" si="2"/>
        <v/>
      </c>
      <c r="AH68" s="370" t="str">
        <f t="shared" si="85"/>
        <v/>
      </c>
      <c r="AI68" s="29"/>
      <c r="AJ68" s="29"/>
      <c r="AK68" s="110"/>
      <c r="AL68" s="375" t="str">
        <f>IF(OR(B68="", V68="", W68=""), "", IF(V68="No Change", K68, IF(V68="Remove Fixture", 0, IF(V68="Custom",VLOOKUP(W68,'Fixture Identities'!$A$6:$K$1023,10,FALSE),IF(AE68="", "← ENTER POST WATTS", 'Lighting Inventory'!AE68)))))</f>
        <v/>
      </c>
      <c r="AM68" s="376" t="str">
        <f t="shared" si="3"/>
        <v/>
      </c>
      <c r="AN68" s="29"/>
      <c r="AO68" s="671"/>
      <c r="AP68" s="29"/>
      <c r="AQ68" s="29"/>
      <c r="AR68" s="29"/>
      <c r="AS68" s="272" t="str">
        <f t="shared" si="4"/>
        <v/>
      </c>
      <c r="AT68" s="270" t="str">
        <f t="shared" si="234"/>
        <v/>
      </c>
      <c r="AU68" s="88" t="str">
        <f t="shared" si="235"/>
        <v/>
      </c>
      <c r="AV68" s="29"/>
      <c r="AW68" s="73"/>
      <c r="AX68" s="271" t="str">
        <f>IF(AND(AV68="Applicant",OR(AW68="", AW68="Use Default Facility Hours")),"← Choose Schedule",IF(F68="","",IF(W68="LED Exit Signs",8760,IF(OR(AV68="Prescribed",AV68=""),VLOOKUP(F68,'Lookup Tables'!$A$6:$G$59,IF(AB68="General", 6, 3),FALSE),VLOOKUP(AW68,'Lookup Tables'!$S$36:$U$43,2,FALSE)))))</f>
        <v/>
      </c>
      <c r="AY68" s="88" t="str">
        <f t="shared" si="7"/>
        <v/>
      </c>
      <c r="AZ68" s="270" t="str">
        <f>IFERROR(IF(F68="", "", IF(W68="LED Exit Signs", 1, IF(AV68="Applicant",VLOOKUP(AW68, 'Lookup Tables'!$S$36:$U$43,3, FALSE), VLOOKUP('Lighting Inventory'!F68, 'Lookup Tables'!$A$6:$H$59, IF('Lighting Inventory'!AB68="General",7,4), FALSE)))), "")</f>
        <v/>
      </c>
      <c r="BA68" s="522" t="str">
        <f>IFERROR(IF(F68="", "", IF(W68="LED Exit Signs", 1, VLOOKUP('Lighting Inventory'!F68, 'Lookup Tables'!$A$6:$H$59, IF('Lighting Inventory'!AB68="General",8,5), FALSE))), "")</f>
        <v/>
      </c>
      <c r="BB68" s="270" t="str">
        <f>IF(G68="", "", IF(E68="Exterior", 0, IF('Lighting Inventory'!G68="Air Conditioned", VLOOKUP(H68, 'Lookup Tables'!$R$6:$T$13, 2, FALSE), VLOOKUP('Lighting Inventory'!G68, 'Lookup Tables'!$R$6:$T$13, 2, FALSE))))</f>
        <v/>
      </c>
      <c r="BC68" s="522" t="str">
        <f>IF(G68="", "", IF(E68="Exterior", 0, IF('Lighting Inventory'!G68="Air Conditioned", VLOOKUP(H68, 'Lookup Tables'!$R$6:$T$13, 3, FALSE), VLOOKUP('Lighting Inventory'!G68, 'Lookup Tables'!$R$6:$T$13, 3, FALSE))))</f>
        <v/>
      </c>
      <c r="BD68" s="270" t="str">
        <f>IF(G68="", "", IF(E68="Exterior", 0, IF('Lighting Inventory'!G68="Air Conditioned", VLOOKUP(H68, 'Lookup Tables'!$R$6:$U$13, 4, FALSE), VLOOKUP('Lighting Inventory'!G68, 'Lookup Tables'!$R$6:$U$13, 4, FALSE))))</f>
        <v/>
      </c>
      <c r="BE68" s="270" t="str">
        <f>IFERROR(IF(B68="", "",  IF(B68="New Construction", VLOOKUP(F68, 'Lookup Tables'!$A$6:$K$59, 11, FALSE),IF(OR(AN68="", AN68="Light Switch"), 0, IF(OR(M68="",M68="None",V68= "LED Exit Signs"),0,_xlfn.XLOOKUP(M68,'Lookup Tables'!$R$91:$R$101,'Lookup Tables'!$V$91:$V$101))))), "")</f>
        <v/>
      </c>
      <c r="BF68" s="270" t="str">
        <f>IF(AND(OR(AN68="Light Switch",AN68=""),B68="New Construction"), VLOOKUP(F68, 'Lookup Tables'!$A$6:$K$59, 11, FALSE),IF(AN68="","",IF(B68="","",IF(OR(AN68="None",AN68="",V68="LED Exit Signs",AN68="Exterior Controls Not Eligible"),0,_xlfn.XLOOKUP(AN68,'Lookup Tables'!$R$91:$R$101,'Lookup Tables'!$V$91:$V$101)))))</f>
        <v/>
      </c>
      <c r="BG68" s="88" t="str">
        <f t="shared" si="86"/>
        <v/>
      </c>
      <c r="BH68" s="88" t="str">
        <f t="shared" si="87"/>
        <v/>
      </c>
      <c r="BI68" s="558" t="str">
        <f t="shared" si="168"/>
        <v/>
      </c>
      <c r="BJ68" s="82" t="str">
        <f t="shared" si="88"/>
        <v/>
      </c>
      <c r="BK68" s="82" t="str">
        <f t="shared" si="89"/>
        <v/>
      </c>
      <c r="BL68" s="559" t="str">
        <f t="shared" si="90"/>
        <v/>
      </c>
      <c r="BM68" s="521" t="str">
        <f t="shared" si="8"/>
        <v/>
      </c>
      <c r="BN68" s="521" t="str">
        <f t="shared" si="9"/>
        <v/>
      </c>
      <c r="BO68" s="522" t="str">
        <f t="shared" si="10"/>
        <v/>
      </c>
      <c r="BP68" s="83" t="str">
        <f t="shared" si="91"/>
        <v/>
      </c>
      <c r="BQ68" s="84" t="str">
        <f t="shared" si="92"/>
        <v/>
      </c>
      <c r="BR68" s="184" t="str">
        <f>IFERROR(IF(B68="", "", IF(OR(VLOOKUP(J68, 'Fixture Identities'!$A$6:$L$1023, 3, FALSE)="T12 Linear Fluorescent",VLOOKUP(J68, 'Fixture Identities'!$A$6:$L$1023, 3, FALSE)="T12 U-Tube Fluorescent"), "Y", "N")), "N")</f>
        <v/>
      </c>
      <c r="BS68" s="184" t="str">
        <f t="array" ref="BS68">IFERROR(IF(OR(B68="", V68="", W68=""), "", IF(V68="Custom", "N", IF(OR(W68="Freezer Case Lighting", W68="Refrigerated Case Lighting with Doors"), BT68, IF(B68="Retrofit", INDEX('Lookup Tables'!$AH$6:$AT$102,MATCH(1,('Lookup Tables'!$AH$6:$AH$102=V68)*('Lookup Tables'!$AI$6:$AI$102=W68),FALSE),IF(VLOOKUP(J68, 'Fixture Identities'!$A$6:$B$1023, 2, FALSE)="Incandescent",12, 13)), INDEX('Lookup Tables'!$AH$114:$AS$154,MATCH(1,('Lookup Tables'!$AH$114:$AH$154=V68)*('Lookup Tables'!$AI$114:$AI$154=W68),FALSE),12))))), "N")</f>
        <v/>
      </c>
      <c r="BT68" s="184" t="str">
        <f>IF(J68="", "", IF(AND(OR(W68="Freezer case Lighting", W68="Refrigerated Case Lighting with Doors"),'General Information'!$X$18="LCI"), "N", IF(OR(VLOOKUP(J68, 'Fixture Identities'!$A$6:$B$1023, 2, FALSE)="T12 EPACT/EISA Baseline", VLOOKUP(J68, 'Fixture Identities'!$A$6:$B$1023, 2, FALSE)="Linear Fluorescent", VLOOKUP(J68, 'Fixture Identities'!$A$6:$B$1023, 2, FALSE)="U-Tube Fluorescent"), "Y", "N")))</f>
        <v/>
      </c>
      <c r="BU68" s="184" t="str">
        <f>IFERROR(IF(B68="", "", IF(VLOOKUP(J68, 'Fixture Identities'!$A$6:$B$1023, 2, FALSE)="Exit Sign", "Y", "N")), "N")</f>
        <v/>
      </c>
      <c r="BV68" s="184" t="str">
        <f>IF(V68="Exit Signs", IF(VLOOKUP(J68, 'Fixture Identities'!$A$6:$B$1023, 2, FALSE)="Exit Sign", "N", "Y"), "")</f>
        <v/>
      </c>
      <c r="BW68" s="184" t="str">
        <f t="array" ref="BW68">IFERROR(IF(B68="", "", IF(B68="New Construction", "N", INDEX('Lookup Tables'!$AH$6:$AU$102, MATCH(1, ('Lookup Tables'!$AH$6:$AH$102='Lighting Inventory'!V68)*('Lookup Tables'!$AI$6:$AI$102='Lighting Inventory'!W68), 0), 14))), "N")</f>
        <v/>
      </c>
      <c r="BX68" s="598" t="str">
        <f t="shared" si="93"/>
        <v/>
      </c>
      <c r="BY68" s="598" t="str">
        <f t="shared" si="94"/>
        <v/>
      </c>
      <c r="BZ68" s="598" t="str">
        <f t="shared" si="95"/>
        <v/>
      </c>
      <c r="CA68" s="598" t="str">
        <f t="shared" si="101"/>
        <v/>
      </c>
      <c r="CB68" s="269" t="str">
        <f t="shared" si="102"/>
        <v/>
      </c>
      <c r="CC68" s="517" t="str">
        <f t="shared" si="96"/>
        <v/>
      </c>
      <c r="CD68" s="565" t="str">
        <f t="shared" si="11"/>
        <v/>
      </c>
      <c r="CE68" s="368">
        <v>0</v>
      </c>
      <c r="CF68" s="368" t="str" cm="1">
        <f t="array" ref="CF68">IFERROR(IF(V68="Custom", "$0.1 per kWh", IF(B68="New Construction", CONCATENATE("$",INDEX('Lookup Tables'!$AH$114:$AN$154,MATCH(1,('Lookup Tables'!$AH$114:$AH$154='Lighting Inventory'!V68)*('Lookup Tables'!$AI$114:$AI$154='Lighting Inventory'!W68),FALSE),6)," ",INDEX('Lookup Tables'!$AH$114:$AN$154,MATCH(1,('Lookup Tables'!$AH$114:$AH$154='Lighting Inventory'!V68)*('Lookup Tables'!$AI$114:$AI$154='Lighting Inventory'!W68),FALSE),7)), IF(AND(BU68="N", V68="Exit Signs"), "$0.025 per kWh", CONCATENATE("$",INDEX('Lookup Tables'!$AH$6:$AN$102,MATCH(1,('Lookup Tables'!$AH$6:$AH$102='Lighting Inventory'!V68)*('Lookup Tables'!$AI$6:$AI$102='Lighting Inventory'!W68),FALSE),6)," ",INDEX('Lookup Tables'!$AH$6:$AN$102,MATCH(1,('Lookup Tables'!$AH$6:$AH$102='Lighting Inventory'!V68)*('Lookup Tables'!$AI$6:$AI$102='Lighting Inventory'!W68),FALSE),7))))), "")</f>
        <v/>
      </c>
      <c r="CG68" s="366"/>
      <c r="CH68" s="248" t="str">
        <f t="shared" si="236"/>
        <v/>
      </c>
      <c r="CI68" s="248" t="str">
        <f t="shared" si="237"/>
        <v>Select_IE</v>
      </c>
      <c r="CJ68" s="248" t="str">
        <f t="shared" si="238"/>
        <v/>
      </c>
      <c r="CK68" s="248" t="str">
        <f t="shared" si="239"/>
        <v/>
      </c>
      <c r="CL68" s="248" t="str">
        <f t="shared" si="240"/>
        <v/>
      </c>
      <c r="CM68" s="248" t="str">
        <f>IFERROR(IF(B68="", "", IF(B68="New Construction", VLOOKUP(V68, 'Lookup Tables'!$AF$114:$AG$120, 2, FALSE), VLOOKUP(V68, 'Lookup Tables'!$AD$6:$AE$25, 2, FALSE))), "")</f>
        <v/>
      </c>
      <c r="CN68" s="248" t="str">
        <f t="shared" si="175"/>
        <v/>
      </c>
      <c r="CO68" s="248" t="str">
        <f t="shared" si="241"/>
        <v/>
      </c>
      <c r="CP68" s="592" t="str">
        <f t="shared" si="242"/>
        <v/>
      </c>
      <c r="CQ68" s="248" t="str">
        <f t="shared" si="97"/>
        <v/>
      </c>
      <c r="CR68" s="100"/>
      <c r="CS68" s="250" t="str">
        <f t="shared" si="178"/>
        <v/>
      </c>
      <c r="CT68" s="250" t="str">
        <f t="shared" si="243"/>
        <v/>
      </c>
      <c r="CU68" s="250" t="str">
        <f t="shared" si="244"/>
        <v/>
      </c>
      <c r="CV68" s="250" t="str">
        <f t="shared" si="245"/>
        <v/>
      </c>
      <c r="CW68" s="250" t="str">
        <f t="shared" si="246"/>
        <v/>
      </c>
      <c r="CX68" s="250" t="str">
        <f t="shared" si="247"/>
        <v/>
      </c>
      <c r="CY68" s="250" t="str">
        <f t="shared" si="248"/>
        <v/>
      </c>
      <c r="CZ68" s="250" t="str">
        <f t="shared" si="249"/>
        <v/>
      </c>
      <c r="DA68" s="250" t="str">
        <f t="shared" si="250"/>
        <v/>
      </c>
      <c r="DB68" s="250" t="str">
        <f t="shared" si="251"/>
        <v/>
      </c>
      <c r="DC68" s="250" t="str">
        <f t="shared" si="252"/>
        <v/>
      </c>
      <c r="DD68" s="250" t="str">
        <f t="shared" si="253"/>
        <v/>
      </c>
      <c r="DE68" s="250" t="str">
        <f t="shared" si="254"/>
        <v/>
      </c>
      <c r="DF68" s="250" t="str">
        <f t="shared" si="255"/>
        <v/>
      </c>
      <c r="DG68" s="250" t="str">
        <f t="shared" si="256"/>
        <v/>
      </c>
      <c r="DH68" s="250" t="str">
        <f t="shared" si="257"/>
        <v/>
      </c>
      <c r="DI68" s="250" t="str">
        <f t="shared" si="258"/>
        <v/>
      </c>
      <c r="DJ68" s="250" t="str">
        <f t="shared" si="259"/>
        <v/>
      </c>
      <c r="DK68" s="250" t="str">
        <f t="shared" si="260"/>
        <v/>
      </c>
      <c r="DL68" s="250" t="str">
        <f t="shared" si="261"/>
        <v/>
      </c>
      <c r="DM68" s="250" t="str">
        <f>IF(CD68="ERROR", "ERROR", IF(AND(OR(Y68=$DM$6, Y68='Lookup Tables'!$AD$21, Y68='Lookup Tables'!$AD$22), E68="Interior"), BJ68, ""))</f>
        <v/>
      </c>
      <c r="DN68" s="250" t="str">
        <f>IF(CD68="ERROR", "ERROR", IF(AND(OR(Y68=$DM$6, Y68='Lookup Tables'!$AD$21, Y68='Lookup Tables'!$AD$22), E68="Exterior"), BJ68, ""))</f>
        <v/>
      </c>
      <c r="DO68" s="100"/>
      <c r="DP68" s="250" t="str">
        <f t="shared" si="198"/>
        <v/>
      </c>
      <c r="DQ68" s="250" t="str">
        <f t="shared" si="262"/>
        <v/>
      </c>
      <c r="DR68" s="250" t="str">
        <f t="shared" si="263"/>
        <v/>
      </c>
      <c r="DS68" s="250" t="str">
        <f t="shared" si="264"/>
        <v/>
      </c>
      <c r="DT68" s="250" t="str">
        <f t="shared" si="265"/>
        <v/>
      </c>
      <c r="DU68" s="250" t="str">
        <f t="shared" si="266"/>
        <v/>
      </c>
      <c r="DV68" s="250" t="str">
        <f t="shared" si="267"/>
        <v/>
      </c>
      <c r="DW68" s="250" t="str">
        <f t="shared" si="268"/>
        <v/>
      </c>
      <c r="DX68" s="250" t="str">
        <f t="shared" si="269"/>
        <v/>
      </c>
      <c r="DY68" s="250" t="str">
        <f t="shared" si="270"/>
        <v/>
      </c>
      <c r="DZ68" s="250" t="str">
        <f t="shared" si="271"/>
        <v/>
      </c>
      <c r="EA68" s="250" t="str">
        <f t="shared" si="272"/>
        <v/>
      </c>
      <c r="EB68" s="250" t="str">
        <f t="shared" si="273"/>
        <v/>
      </c>
      <c r="EC68" s="250" t="str">
        <f t="shared" si="274"/>
        <v/>
      </c>
      <c r="ED68" s="250" t="str">
        <f t="shared" si="275"/>
        <v/>
      </c>
      <c r="EE68" s="250" t="str">
        <f t="shared" si="276"/>
        <v/>
      </c>
      <c r="EF68" s="250" t="str">
        <f t="shared" si="277"/>
        <v/>
      </c>
      <c r="EG68" s="250" t="str">
        <f t="shared" si="278"/>
        <v/>
      </c>
      <c r="EH68" s="250" t="str">
        <f>IF(CD68="ERROR", "ERROR", IF(AND(OR($EH$6=Y68, Y68='Lookup Tables'!$AD$21, Y68='Lookup Tables'!$AD$22),E68="Interior"), SUM(BP68:BP68), ""))</f>
        <v/>
      </c>
      <c r="EI68" s="250" t="str">
        <f>IF(CD68="ERROR", "ERROR", IF(AND(OR($EH$6=Y68, Y68='Lookup Tables'!$AD$21, Y68='Lookup Tables'!$AD$22),E68="Exterior"), SUM(BP68:BP68), ""))</f>
        <v/>
      </c>
      <c r="EJ68" s="109"/>
      <c r="EK68" s="485" t="str">
        <f t="shared" si="58"/>
        <v/>
      </c>
      <c r="EL68" s="252" t="str">
        <f t="shared" si="279"/>
        <v/>
      </c>
      <c r="EM68" s="252" t="str">
        <f t="shared" si="280"/>
        <v/>
      </c>
      <c r="EN68" s="252" t="str">
        <f t="shared" si="281"/>
        <v/>
      </c>
      <c r="EO68" s="252" t="str">
        <f t="shared" si="282"/>
        <v/>
      </c>
      <c r="EP68" s="252" t="str">
        <f t="shared" si="283"/>
        <v/>
      </c>
      <c r="EQ68" s="252" t="str">
        <f t="shared" si="284"/>
        <v/>
      </c>
      <c r="ER68" s="252" t="str">
        <f t="shared" si="285"/>
        <v/>
      </c>
      <c r="ES68" s="252" t="str">
        <f t="shared" si="286"/>
        <v/>
      </c>
      <c r="ET68" s="252" t="str">
        <f t="shared" si="287"/>
        <v/>
      </c>
      <c r="EU68" s="252" t="str">
        <f t="shared" si="288"/>
        <v/>
      </c>
      <c r="EV68" s="252" t="str">
        <f t="shared" si="289"/>
        <v/>
      </c>
      <c r="EW68" s="252" t="str">
        <f t="shared" si="290"/>
        <v/>
      </c>
      <c r="EX68" s="252" t="str">
        <f t="shared" si="291"/>
        <v/>
      </c>
      <c r="EY68" s="252" t="str">
        <f t="shared" si="292"/>
        <v/>
      </c>
      <c r="EZ68" s="252" t="str">
        <f t="shared" si="293"/>
        <v/>
      </c>
      <c r="FA68" s="252" t="str">
        <f t="shared" si="294"/>
        <v/>
      </c>
      <c r="FB68" s="252" t="str">
        <f t="shared" si="295"/>
        <v/>
      </c>
      <c r="FC68" s="252" t="str">
        <f>IF(CD68="ERROR", "ERROR", IF(OR(V68="No Change", V68="Not DLC or Energy Star"), "", IF(AND(OR($FC$6=Y68,Y68='Lookup Tables'!$AD$21, Y68='Lookup Tables'!$AD$22),E68="Interior"), S68, "")))</f>
        <v/>
      </c>
      <c r="FD68" s="252" t="str">
        <f t="shared" si="296"/>
        <v/>
      </c>
      <c r="FE68" s="101"/>
      <c r="FF68" s="579" t="str" cm="1">
        <f t="array" ref="FF68">IFERROR(IF(OR(BQ68&lt;=0,AQ68&lt;20,AND(V68="Exit Signs",AN68&gt;0)),"",IF(AND(AQ68&gt;=20,AN68='Lookup Tables'!$R$101),'Lookup Tables'!$U$101*BQ68,AP68*LOOKUP(2,1/((AN68='Lookup Tables'!$R$91:$R$111)*(AQ68&gt;='Lookup Tables'!$S$91:$S$111)*(AQ68&lt;='Lookup Tables'!$T$91:$T$111)),'Lookup Tables'!$U$91:$U$111))),"")</f>
        <v/>
      </c>
      <c r="FG68" s="579"/>
      <c r="FH68" s="579"/>
      <c r="FI68" s="253" t="str">
        <f>IFERROR(ROUND(IF(CD68="ERROR", "ERROR", IF(AND($FI$7=X68,E68="Interior"),VLOOKUP(W68, 'Lookup Tables'!$AI$6:$AM$102, 5, FALSE)*BP68, "")), 2), "")</f>
        <v/>
      </c>
      <c r="FJ68" s="253" t="str">
        <f>IFERROR(ROUND(IF(CD68="ERROR", "ERROR", IF(AND($FI$7=X68,E68="Exterior"),VLOOKUP(W68, 'Lookup Tables'!$AI$6:$AM$102, 5, FALSE)*BP68, "")), 2), "")</f>
        <v/>
      </c>
      <c r="FK68" s="253" t="str">
        <f>IFERROR(ROUND(IF(CD68="ERROR", "ERROR", IF(AND($FK$7=X68,E68="Interior"),VLOOKUP(W68, 'Lookup Tables'!$AI$6:$AM$102, 5, FALSE)*BP68, "")), 2), "")</f>
        <v/>
      </c>
      <c r="FL68" s="253" t="str">
        <f>IFERROR(ROUND(IF(CD68="ERROR", "ERROR", IF(AND($FK$7=X68,E68="Exterior"),VLOOKUP(W68, 'Lookup Tables'!$AI$6:$AM$102, 5, FALSE)*BP68, "")), 2), "")</f>
        <v/>
      </c>
      <c r="FM68" s="253" t="str">
        <f>IFERROR(ROUND(IF(CD68="ERROR", "ERROR", IF(AND($FM$6=Y68,E68="Interior"), IF(GB68=0, VLOOKUP(W68, 'Lookup Tables'!$AI$6:$AM$102, 5, FALSE)*BP68, IF(VLOOKUP(W68, 'Lookup Tables'!$AI$6:$AM$102, 5, FALSE)*BP68&gt;GB68*'Lighting Inventory'!S68, GB68*'Lighting Inventory'!S68,VLOOKUP(W68, 'Lookup Tables'!$AI$6:$AM$102, 5, FALSE)*BP68)), "")), 2), "")</f>
        <v/>
      </c>
      <c r="FN68" s="253" t="str">
        <f>IFERROR(ROUND(IF(CD68="ERROR", "ERROR", IF(AND($FM$6=Y68,E68="Exterior"), IF(GB68=0, VLOOKUP(W68, 'Lookup Tables'!$AI$6:$AM$102, 5, FALSE)*BP68, IF(VLOOKUP(W68, 'Lookup Tables'!$AI$6:$AM$102, 5, FALSE)*BP68&gt;GB68*'Lighting Inventory'!S68, GB68*'Lighting Inventory'!S68,VLOOKUP(W68, 'Lookup Tables'!$AI$6:$AM$102, 5, FALSE)*BP68)), "")), 2), "")</f>
        <v/>
      </c>
      <c r="FO68" s="253" t="str">
        <f>IFERROR(ROUND(IF(CD68="ERROR", "ERROR", IF(AND($FO$6=Y68,E68="Interior"),VLOOKUP(W68, 'Lookup Tables'!$AI$6:$AM$102, 5, FALSE)*'Lighting Inventory'!AI68, "")), 2), "")</f>
        <v/>
      </c>
      <c r="FP68" s="253" t="str">
        <f>IFERROR(ROUND(IF(CD68="ERROR", "ERROR", IF(AND($FO$6=Y68,E68="Exterior"),VLOOKUP(W68, 'Lookup Tables'!$AI$6:$AM$102, 5, FALSE)*'Lighting Inventory'!AI68, "")), 2), "")</f>
        <v/>
      </c>
      <c r="FQ68" s="253" t="str">
        <f>IFERROR(ROUND(IF(CD68="ERROR", "ERROR", IF(AND($FQ$6=Y68,E68="Interior", BU68="Y"), VLOOKUP('Lighting Inventory'!W68, 'Lookup Tables'!$AI$6:$AM$102, 5, FALSE)*'Lighting Inventory'!S68, IF(AND($FQ$7=Y68,E68="Interior", BU68="N"), 0.025*CD68, ""))), 2), "")</f>
        <v/>
      </c>
      <c r="FR68" s="253" t="str">
        <f>IFERROR(ROUND(IF(CD68="ERROR", "ERROR", IF(AND($FQ$6=Y68,E68="Exterior"), VLOOKUP('Lighting Inventory'!W68, 'Lookup Tables'!$AI$6:$AM$102, 5, FALSE)*'Lighting Inventory'!S68, "")), 2), "")</f>
        <v/>
      </c>
      <c r="FS68" s="253" t="str">
        <f>IFERROR(ROUND(IF(CD68="ERROR", "ERROR", IF(AND($FS$6=Y68,E68="Exterior"), IF(GB68=0, VLOOKUP(W68, 'Lookup Tables'!$AI$6:$AM$102, 5, FALSE)*BP68, IF(VLOOKUP(W68, 'Lookup Tables'!$AI$6:$AM$102, 5, FALSE)*BP68&gt;GB68*'Lighting Inventory'!S68, GB68*'Lighting Inventory'!S68,VLOOKUP(W68, 'Lookup Tables'!$AI$6:$AM$102, 5, FALSE)*BP68)), "")), 2), "")</f>
        <v/>
      </c>
      <c r="FT68" s="253" t="str">
        <f>IFERROR(ROUND(IF(CD68="ERROR", "ERROR", IF(AND($FT$6=Y68,E68="Interior"), IF(GB68=0, VLOOKUP(W68, 'Lookup Tables'!$AI$6:$AM$102, 5, FALSE)*BP68, IF(VLOOKUP(W68, 'Lookup Tables'!$AI$6:$AM$102, 5, FALSE)*BP68&gt;GB68*'Lighting Inventory'!S68, GB68*'Lighting Inventory'!S68,VLOOKUP(W68, 'Lookup Tables'!$AI$6:$AM$102, 5, FALSE)*BP68)), "")), 2), "")</f>
        <v/>
      </c>
      <c r="FU68" s="253" t="str">
        <f>IFERROR(ROUND(IF(CD68="ERROR", "ERROR", IF(AND(Y68=$FU$6, E68="Interior"), IF(BS68="N", 'Lookup Tables'!$AM$101*BP68, VLOOKUP(W68, 'Lookup Tables'!$AI$6:$AM$102, 5, FALSE)*S68*AD68), "")), 2), "")</f>
        <v/>
      </c>
      <c r="FV68" s="253" t="str">
        <f>IFERROR(ROUND(IF(CD68="ERROR", "ERROR", IF(AND(Y68=$FU$6, E68="Exterior"), IF(BS68="N", 'Lookup Tables'!$AM$101*BP68, VLOOKUP(W68, 'Lookup Tables'!$AI$6:$AM$102, 5, FALSE)*S68*AD68), "")), 2), "")</f>
        <v/>
      </c>
      <c r="FW68" s="253" t="str">
        <f>IFERROR(ROUND(IF(CD68="ERROR", "ERROR", IF($FW$6=Y68, IF(BS68="N", 'Lookup Tables'!$AM$101*BP68, MIN((VLOOKUP(W68, 'Lookup Tables'!$AI$6:$AM$102, 5, FALSE)*BP68),GB68*AJ68)), "")), 2), "")</f>
        <v/>
      </c>
      <c r="FX68" s="253" t="str">
        <f>IFERROR(ROUND(IF(CD68="ERROR", "ERROR", IF(AND($FX$6=Y68, E68="Interior"), IF(VLOOKUP(W68, 'Lookup Tables'!$AI$6:$AM$102, 5, FALSE)*BP68&gt;'Lookup Tables'!$AQ$97*'Lighting Inventory'!S68,'Lighting Inventory'!S68*'Lookup Tables'!$AQ$97,VLOOKUP(W68, 'Lookup Tables'!$AI$6:$AM$102, 5, FALSE)*BP68), "")), 2), "")</f>
        <v/>
      </c>
      <c r="FY68" s="253" t="str">
        <f>IFERROR(ROUND(IF(CD68="ERROR", "ERROR", IF(AND($FX$6=Y68, E68="Exterior"), IF(VLOOKUP(W68, 'Lookup Tables'!$AI$6:$AM$102, 5, FALSE)*BP68&gt;'Lookup Tables'!$AQ$97*'Lighting Inventory'!S68,'Lighting Inventory'!S68*'Lookup Tables'!$AQ$97,VLOOKUP(W68, 'Lookup Tables'!$AI$6:$AM$102, 5, FALSE)*BP68), "")), 2), "")</f>
        <v/>
      </c>
      <c r="FZ68" s="253" t="str">
        <f>IFERROR(ROUND(IF(CD68="ERROR", "ERROR", IF(AND($FZ$6=Y68, E68="Interior"), IF(AND(OR(W68="Refrigerated Case Lighting with Doors", W68="Freezer Case Lighting"),Y68="Custom - Process Improvement"),CD68*'Lookup Tables'!$AM$101, IF(B68="Retrofit", IF(VLOOKUP(IF(V68="Custom", V68, W68), 'Lookup Tables'!$AI$6:$AM$102, 5, FALSE)*BP68&gt;GE68, GE68, VLOOKUP(IF(V68="Custom", V68, W68), 'Lookup Tables'!$AI$6:$AM$102, 5, FALSE)*BP68), IF(VLOOKUP(IF(V68="Custom", V68, W68), 'Lookup Tables'!$AI$114:$AM$154, 5, FALSE)*BP68&gt;GE68, GE68, VLOOKUP(IF(V68="Custom", V68, W68), 'Lookup Tables'!$AI$114:$AM$154, 5, FALSE)*BP68))), "")), 2),"")</f>
        <v/>
      </c>
      <c r="GA68" s="253" t="str">
        <f>IFERROR(ROUND(IF(CD68="ERROR", "ERROR", IF(AND($FZ$6=Y68, E68="Exterior"), IF(B68="Retrofit", IF(VLOOKUP(IF(V68="Custom", V68, W68), 'Lookup Tables'!$AI$6:$AM$102, 5, FALSE)*BP68&gt;GE68, GE68, VLOOKUP(IF(V68="Custom", V68, W68), 'Lookup Tables'!$AI$6:$AM$102, 5, FALSE)*BP68), IF(VLOOKUP(IF(V68="Custom", V68, W68), 'Lookup Tables'!$AI$114:$AM$154, 5, FALSE)*BP68&gt;GE68, GE68, VLOOKUP(IF(V68="Custom", V68, W68), 'Lookup Tables'!$AI$114:$AM$154, 5, FALSE)*BP68)), "")), 2),"")</f>
        <v/>
      </c>
      <c r="GB68" s="254" t="str">
        <f t="array" ref="GB68">IF(B68="","",IF(OR(V68="Custom",V68="No Change"),0,IF(B68="Retrofit", INDEX('Lookup Tables'!$AH$6:$AQ$102,MATCH(1,('Lookup Tables'!$AH$6:$AH$102='Lighting Inventory'!V68)*('Lookup Tables'!$AI$6:$AI$102='Lighting Inventory'!W68),FALSE),10),INDEX('Lookup Tables'!$AH$114:$AQ$154,MATCH(1,('Lookup Tables'!$AH$114:$AH$154='Lighting Inventory'!V68)*('Lookup Tables'!$AI$114:$AI$154='Lighting Inventory'!W68),FALSE),10))))</f>
        <v/>
      </c>
      <c r="GC68" s="255" t="str">
        <f t="shared" si="77"/>
        <v/>
      </c>
      <c r="GD68" s="250" t="str">
        <f t="shared" si="78"/>
        <v/>
      </c>
      <c r="GE68" s="253" t="str">
        <f>IFERROR(IF(AND(AF68="", 'General Information'!$F$18="No"),"", IF(AF68="", ((GD68/$CD$266)*$CF$266)*0.5, AF68*S68*0.5)), "")</f>
        <v/>
      </c>
      <c r="GF68" s="255" t="str">
        <f>IF(AND('General Information'!$F$19="", 'General Information'!$F$18="Yes",AF68="",BW68="Y"), "Y", "N")</f>
        <v>N</v>
      </c>
      <c r="GG68" s="255" t="s">
        <v>2946</v>
      </c>
      <c r="GH68" s="255" t="str">
        <f>IFERROR(IF(B68="", "", VLOOKUP(J68, 'Fixture Identities'!$A$6:$N$908, 14, FALSE)), "")</f>
        <v/>
      </c>
      <c r="GI68" s="389" t="str">
        <f>IF(OR(B68="", V68="", W68=""), "", IF(AND(OR(M68='Lookup Tables'!$R$18, M68='Lookup Tables'!$R$19, M68='Lookup Tables'!$R$20, M68='Lookup Tables'!$R$21, M68='Lookup Tables'!$R$22), OR(AN68='Lookup Tables'!$R$17, AN68='Lookup Tables'!$R$17, AN68="")), "Y", "N"))</f>
        <v/>
      </c>
      <c r="GJ68" s="255" t="str">
        <f t="shared" si="79"/>
        <v/>
      </c>
      <c r="GK68" s="255" t="str">
        <f t="shared" si="80"/>
        <v/>
      </c>
      <c r="GL68" s="255" t="str">
        <f t="shared" si="81"/>
        <v/>
      </c>
      <c r="GM68" s="255" t="str">
        <f>IF(AN68="", "", IF(AND(IF(ISNA(VLOOKUP(AN68,'Lookup Tables'!$R$18:$R$22,1,FALSE)), "N", "Y")="Y", E68="Exterior"), "Y", "N"))</f>
        <v/>
      </c>
      <c r="GN68" s="395"/>
      <c r="GO68" s="428">
        <f t="shared" si="98"/>
        <v>0</v>
      </c>
      <c r="GP68" s="428">
        <f t="shared" si="167"/>
        <v>0</v>
      </c>
      <c r="GQ68" s="428">
        <f t="shared" si="99"/>
        <v>0</v>
      </c>
      <c r="GR68" s="428">
        <f t="shared" si="100"/>
        <v>0</v>
      </c>
    </row>
    <row r="69" spans="1:200" s="103" customFormat="1" ht="13.5" customHeight="1" x14ac:dyDescent="0.2">
      <c r="A69" s="272">
        <v>59</v>
      </c>
      <c r="B69" s="110"/>
      <c r="C69" s="110"/>
      <c r="D69" s="110"/>
      <c r="E69" s="110"/>
      <c r="F69" s="110"/>
      <c r="G69" s="110"/>
      <c r="H69" s="110"/>
      <c r="I69" s="29"/>
      <c r="J69" s="29"/>
      <c r="K69" s="272" t="str">
        <f>IFERROR(IF(OR(VLOOKUP(J69, 'Fixture Identities'!$A$6:$L$1023, 3, FALSE)="T12 Linear Fluorescent", VLOOKUP(J69, 'Fixture Identities'!$A$6:$L$1023, 3, FALSE)="T12 U-Tube Fluorescent"), VLOOKUP(VLOOKUP(J69, 'Fixture Identities'!$A$6:$L$1023, 11, FALSE), 'Fixture Identities'!$A$6:$L$1023, 10, FALSE), VLOOKUP(J69, 'Fixture Identities'!$A$6:$L$1023, 10, FALSE)), "")</f>
        <v/>
      </c>
      <c r="L69" s="270" t="str">
        <f t="shared" si="169"/>
        <v/>
      </c>
      <c r="M69" s="110"/>
      <c r="N69" s="110"/>
      <c r="O69" s="110"/>
      <c r="P69" s="272" t="str">
        <f>IFERROR(IF(OR(B69="Retrofit",B69=""),"",IF('Lighting Inventory'!E69="Exterior",VLOOKUP('Lighting Inventory'!N69,'Lookup Tables'!$B$83:$F$103,5,FALSE),IF(N69="Other - Please Estimate EFLH and CFs","Contact Prog. Rep.","ft^2"))), "")</f>
        <v/>
      </c>
      <c r="Q69" s="270" t="str">
        <f>IFERROR(IF(AND(B69="New Construction",E69="Interior",$F$5="Space-by-Space"),VLOOKUP('Lighting Inventory'!N69,'Lookup Tables'!$N$6:$O$97,2,FALSE),IF(AND(B69="New Construction",E69="Exterior"),VLOOKUP(N69,'Lookup Tables'!$B$83:$F$103,2,FALSE),IF(AND(B69="New Construction",'Lighting Inventory'!E69="Interior", $F$5="Building Area"),VLOOKUP(F69,'Lookup Tables'!$A$6:$J$59,10,FALSE),""))), "")</f>
        <v/>
      </c>
      <c r="R69" s="270" t="str">
        <f>IFERROR(IF(P69="Contact Prog. Rep.", "ERROR", IF(OR(B69="",B69="Retrofit"),"",IF(N69="Automated teller machines", ('Lookup Tables'!$A$82:$E$100+('Lighting Inventory'!O69-1)*'Lookup Tables'!$A$82:$E$100)/1000, (Q69*O69)/1000))), "")</f>
        <v/>
      </c>
      <c r="S69" s="595"/>
      <c r="T69" s="105" t="str">
        <f t="shared" si="83"/>
        <v/>
      </c>
      <c r="U69" s="105" t="str">
        <f>IF(S69="","",COUNT($S$11:S69))</f>
        <v/>
      </c>
      <c r="V69" s="111"/>
      <c r="W69" s="112"/>
      <c r="X69" s="105" t="str">
        <f t="shared" si="84"/>
        <v/>
      </c>
      <c r="Y69" s="105" t="str">
        <f t="array" ref="Y69">IF(AND(OR(W69="Freezer Case Lighting", W69="Refrigerated Case Lighting with Doors"), 'General Information'!$X$18="LCI"),'Lookup Tables'!$Y$34, IF(V69="Custom", VLOOKUP(W69, 'Fixture Identities'!$A$974:$M$1023, 13, FALSE), IF(V69="No Change",'Lookup Tables'!$Y$29,IF(OR(V69="",W69=""),"",IF(AND(S69=0,S69&lt;I69,B69="Retrofit"),'Lookup Tables'!$Y$25, IF(B69="Retrofit", INDEX('Lookup Tables'!$AH$6:$AP$102, MATCH(1, ('Lookup Tables'!$AH$6:$AH$102=V69)*('Lookup Tables'!$AI$6:$AI$102=W69), 0), IF('Lighting Inventory'!E69="Interior", 4, 5)), INDEX('Lookup Tables'!$AH$114:$AP$154, MATCH(1, ('Lookup Tables'!$AH$114:$AH$154=V69)*('Lookup Tables'!$AI$114:$AI$154=W69), 0), IF('Lighting Inventory'!E69="Interior", 4, 5))))))))</f>
        <v/>
      </c>
      <c r="Z69" s="105" t="str">
        <f>IFERROR(INDEX('Lookup Tables'!$AH$158:$AH$172,MATCH('Lighting Inventory'!Y69,'Lookup Tables'!$AI$158:$AI$172,0)),"")</f>
        <v/>
      </c>
      <c r="AA69" s="105" t="str">
        <f>IF(AP69&gt;0,INDEX('Lookup Tables'!$AK$158:$AK$172,MATCH('Lighting Inventory'!Y69,'Lookup Tables'!$AI$158:$AI$172,0)),'Lighting Inventory'!Y69)</f>
        <v/>
      </c>
      <c r="AB69" s="105" t="str">
        <f t="array" ref="AB69">IF(V69="Custom", "Custom", IF(V69="", "", IF(V69="Not DLC or Energy Star", "General", IF(B69="New Construction", INDEX('Lookup Tables'!$AH$114:$AP$154,MATCH(1,('Lookup Tables'!$AH$114:$AH$154='Lighting Inventory'!V69)*('Lookup Tables'!$AI$114:$AI$154='Lighting Inventory'!W69),FALSE),8), INDEX('Lookup Tables'!$AH$6:$AP$102,MATCH(1,('Lookup Tables'!$AH$6:$AH$102='Lighting Inventory'!V69)*('Lookup Tables'!$AI$6:$AI$102='Lighting Inventory'!W69),FALSE),8)))))</f>
        <v/>
      </c>
      <c r="AC69" s="272" t="str">
        <f>IF(W69="","",IF(V69="Custom",CONCATENATE("$",'Lookup Tables'!$AM$101," ",'Lookup Tables'!$AN$101),CONCATENATE("$",INDEX('Lookup Tables'!$AM$6:$AM$102,MATCH('Lighting Inventory'!W69,'Lookup Tables'!$AI$6:$AI$102,0))," ",INDEX('Lookup Tables'!$AN$6:$AN$102,MATCH('Lighting Inventory'!W69,'Lookup Tables'!$AI$6:$AI$102,0)))))</f>
        <v/>
      </c>
      <c r="AD69" s="72"/>
      <c r="AE69" s="29"/>
      <c r="AF69" s="379"/>
      <c r="AG69" s="370" t="str">
        <f t="shared" si="2"/>
        <v/>
      </c>
      <c r="AH69" s="370" t="str">
        <f t="shared" si="85"/>
        <v/>
      </c>
      <c r="AI69" s="29"/>
      <c r="AJ69" s="29"/>
      <c r="AK69" s="110"/>
      <c r="AL69" s="375" t="str">
        <f>IF(OR(B69="", V69="", W69=""), "", IF(V69="No Change", K69, IF(V69="Remove Fixture", 0, IF(V69="Custom",VLOOKUP(W69,'Fixture Identities'!$A$6:$K$1023,10,FALSE),IF(AE69="", "← ENTER POST WATTS", 'Lighting Inventory'!AE69)))))</f>
        <v/>
      </c>
      <c r="AM69" s="376" t="str">
        <f t="shared" si="3"/>
        <v/>
      </c>
      <c r="AN69" s="29"/>
      <c r="AO69" s="671"/>
      <c r="AP69" s="29"/>
      <c r="AQ69" s="29"/>
      <c r="AR69" s="29"/>
      <c r="AS69" s="272" t="str">
        <f t="shared" si="4"/>
        <v/>
      </c>
      <c r="AT69" s="270" t="str">
        <f t="shared" si="234"/>
        <v/>
      </c>
      <c r="AU69" s="88" t="str">
        <f t="shared" si="235"/>
        <v/>
      </c>
      <c r="AV69" s="29"/>
      <c r="AW69" s="73"/>
      <c r="AX69" s="271" t="str">
        <f>IF(AND(AV69="Applicant",OR(AW69="", AW69="Use Default Facility Hours")),"← Choose Schedule",IF(F69="","",IF(W69="LED Exit Signs",8760,IF(OR(AV69="Prescribed",AV69=""),VLOOKUP(F69,'Lookup Tables'!$A$6:$G$59,IF(AB69="General", 6, 3),FALSE),VLOOKUP(AW69,'Lookup Tables'!$S$36:$U$43,2,FALSE)))))</f>
        <v/>
      </c>
      <c r="AY69" s="88" t="str">
        <f t="shared" si="7"/>
        <v/>
      </c>
      <c r="AZ69" s="270" t="str">
        <f>IFERROR(IF(F69="", "", IF(W69="LED Exit Signs", 1, IF(AV69="Applicant",VLOOKUP(AW69, 'Lookup Tables'!$S$36:$U$43,3, FALSE), VLOOKUP('Lighting Inventory'!F69, 'Lookup Tables'!$A$6:$H$59, IF('Lighting Inventory'!AB69="General",7,4), FALSE)))), "")</f>
        <v/>
      </c>
      <c r="BA69" s="522" t="str">
        <f>IFERROR(IF(F69="", "", IF(W69="LED Exit Signs", 1, VLOOKUP('Lighting Inventory'!F69, 'Lookup Tables'!$A$6:$H$59, IF('Lighting Inventory'!AB69="General",8,5), FALSE))), "")</f>
        <v/>
      </c>
      <c r="BB69" s="270" t="str">
        <f>IF(G69="", "", IF(E69="Exterior", 0, IF('Lighting Inventory'!G69="Air Conditioned", VLOOKUP(H69, 'Lookup Tables'!$R$6:$T$13, 2, FALSE), VLOOKUP('Lighting Inventory'!G69, 'Lookup Tables'!$R$6:$T$13, 2, FALSE))))</f>
        <v/>
      </c>
      <c r="BC69" s="522" t="str">
        <f>IF(G69="", "", IF(E69="Exterior", 0, IF('Lighting Inventory'!G69="Air Conditioned", VLOOKUP(H69, 'Lookup Tables'!$R$6:$T$13, 3, FALSE), VLOOKUP('Lighting Inventory'!G69, 'Lookup Tables'!$R$6:$T$13, 3, FALSE))))</f>
        <v/>
      </c>
      <c r="BD69" s="270" t="str">
        <f>IF(G69="", "", IF(E69="Exterior", 0, IF('Lighting Inventory'!G69="Air Conditioned", VLOOKUP(H69, 'Lookup Tables'!$R$6:$U$13, 4, FALSE), VLOOKUP('Lighting Inventory'!G69, 'Lookup Tables'!$R$6:$U$13, 4, FALSE))))</f>
        <v/>
      </c>
      <c r="BE69" s="270" t="str">
        <f>IFERROR(IF(B69="", "",  IF(B69="New Construction", VLOOKUP(F69, 'Lookup Tables'!$A$6:$K$59, 11, FALSE),IF(OR(AN69="", AN69="Light Switch"), 0, IF(OR(M69="",M69="None",V69= "LED Exit Signs"),0,_xlfn.XLOOKUP(M69,'Lookup Tables'!$R$91:$R$101,'Lookup Tables'!$V$91:$V$101))))), "")</f>
        <v/>
      </c>
      <c r="BF69" s="270" t="str">
        <f>IF(AND(OR(AN69="Light Switch",AN69=""),B69="New Construction"), VLOOKUP(F69, 'Lookup Tables'!$A$6:$K$59, 11, FALSE),IF(AN69="","",IF(B69="","",IF(OR(AN69="None",AN69="",V69="LED Exit Signs",AN69="Exterior Controls Not Eligible"),0,_xlfn.XLOOKUP(AN69,'Lookup Tables'!$R$91:$R$101,'Lookup Tables'!$V$91:$V$101)))))</f>
        <v/>
      </c>
      <c r="BG69" s="88" t="str">
        <f t="shared" si="86"/>
        <v/>
      </c>
      <c r="BH69" s="88" t="str">
        <f t="shared" si="87"/>
        <v/>
      </c>
      <c r="BI69" s="558" t="str">
        <f t="shared" si="168"/>
        <v/>
      </c>
      <c r="BJ69" s="82" t="str">
        <f t="shared" si="88"/>
        <v/>
      </c>
      <c r="BK69" s="82" t="str">
        <f t="shared" si="89"/>
        <v/>
      </c>
      <c r="BL69" s="559" t="str">
        <f t="shared" si="90"/>
        <v/>
      </c>
      <c r="BM69" s="521" t="str">
        <f t="shared" si="8"/>
        <v/>
      </c>
      <c r="BN69" s="521" t="str">
        <f t="shared" si="9"/>
        <v/>
      </c>
      <c r="BO69" s="522" t="str">
        <f t="shared" si="10"/>
        <v/>
      </c>
      <c r="BP69" s="83" t="str">
        <f t="shared" si="91"/>
        <v/>
      </c>
      <c r="BQ69" s="84" t="str">
        <f t="shared" si="92"/>
        <v/>
      </c>
      <c r="BR69" s="184" t="str">
        <f>IFERROR(IF(B69="", "", IF(OR(VLOOKUP(J69, 'Fixture Identities'!$A$6:$L$1023, 3, FALSE)="T12 Linear Fluorescent",VLOOKUP(J69, 'Fixture Identities'!$A$6:$L$1023, 3, FALSE)="T12 U-Tube Fluorescent"), "Y", "N")), "N")</f>
        <v/>
      </c>
      <c r="BS69" s="184" t="str">
        <f t="array" ref="BS69">IFERROR(IF(OR(B69="", V69="", W69=""), "", IF(V69="Custom", "N", IF(OR(W69="Freezer Case Lighting", W69="Refrigerated Case Lighting with Doors"), BT69, IF(B69="Retrofit", INDEX('Lookup Tables'!$AH$6:$AT$102,MATCH(1,('Lookup Tables'!$AH$6:$AH$102=V69)*('Lookup Tables'!$AI$6:$AI$102=W69),FALSE),IF(VLOOKUP(J69, 'Fixture Identities'!$A$6:$B$1023, 2, FALSE)="Incandescent",12, 13)), INDEX('Lookup Tables'!$AH$114:$AS$154,MATCH(1,('Lookup Tables'!$AH$114:$AH$154=V69)*('Lookup Tables'!$AI$114:$AI$154=W69),FALSE),12))))), "N")</f>
        <v/>
      </c>
      <c r="BT69" s="184" t="str">
        <f>IF(J69="", "", IF(AND(OR(W69="Freezer case Lighting", W69="Refrigerated Case Lighting with Doors"),'General Information'!$X$18="LCI"), "N", IF(OR(VLOOKUP(J69, 'Fixture Identities'!$A$6:$B$1023, 2, FALSE)="T12 EPACT/EISA Baseline", VLOOKUP(J69, 'Fixture Identities'!$A$6:$B$1023, 2, FALSE)="Linear Fluorescent", VLOOKUP(J69, 'Fixture Identities'!$A$6:$B$1023, 2, FALSE)="U-Tube Fluorescent"), "Y", "N")))</f>
        <v/>
      </c>
      <c r="BU69" s="184" t="str">
        <f>IFERROR(IF(B69="", "", IF(VLOOKUP(J69, 'Fixture Identities'!$A$6:$B$1023, 2, FALSE)="Exit Sign", "Y", "N")), "N")</f>
        <v/>
      </c>
      <c r="BV69" s="184" t="str">
        <f>IF(V69="Exit Signs", IF(VLOOKUP(J69, 'Fixture Identities'!$A$6:$B$1023, 2, FALSE)="Exit Sign", "N", "Y"), "")</f>
        <v/>
      </c>
      <c r="BW69" s="184" t="str">
        <f t="array" ref="BW69">IFERROR(IF(B69="", "", IF(B69="New Construction", "N", INDEX('Lookup Tables'!$AH$6:$AU$102, MATCH(1, ('Lookup Tables'!$AH$6:$AH$102='Lighting Inventory'!V69)*('Lookup Tables'!$AI$6:$AI$102='Lighting Inventory'!W69), 0), 14))), "N")</f>
        <v/>
      </c>
      <c r="BX69" s="598" t="str">
        <f t="shared" si="93"/>
        <v/>
      </c>
      <c r="BY69" s="598" t="str">
        <f t="shared" si="94"/>
        <v/>
      </c>
      <c r="BZ69" s="598" t="str">
        <f t="shared" si="95"/>
        <v/>
      </c>
      <c r="CA69" s="598" t="str">
        <f t="shared" si="101"/>
        <v/>
      </c>
      <c r="CB69" s="269" t="str">
        <f t="shared" si="102"/>
        <v/>
      </c>
      <c r="CC69" s="517" t="str">
        <f t="shared" si="96"/>
        <v/>
      </c>
      <c r="CD69" s="565" t="str">
        <f t="shared" si="11"/>
        <v/>
      </c>
      <c r="CE69" s="368">
        <v>0</v>
      </c>
      <c r="CF69" s="368" t="str" cm="1">
        <f t="array" ref="CF69">IFERROR(IF(V69="Custom", "$0.1 per kWh", IF(B69="New Construction", CONCATENATE("$",INDEX('Lookup Tables'!$AH$114:$AN$154,MATCH(1,('Lookup Tables'!$AH$114:$AH$154='Lighting Inventory'!V69)*('Lookup Tables'!$AI$114:$AI$154='Lighting Inventory'!W69),FALSE),6)," ",INDEX('Lookup Tables'!$AH$114:$AN$154,MATCH(1,('Lookup Tables'!$AH$114:$AH$154='Lighting Inventory'!V69)*('Lookup Tables'!$AI$114:$AI$154='Lighting Inventory'!W69),FALSE),7)), IF(AND(BU69="N", V69="Exit Signs"), "$0.025 per kWh", CONCATENATE("$",INDEX('Lookup Tables'!$AH$6:$AN$102,MATCH(1,('Lookup Tables'!$AH$6:$AH$102='Lighting Inventory'!V69)*('Lookup Tables'!$AI$6:$AI$102='Lighting Inventory'!W69),FALSE),6)," ",INDEX('Lookup Tables'!$AH$6:$AN$102,MATCH(1,('Lookup Tables'!$AH$6:$AH$102='Lighting Inventory'!V69)*('Lookup Tables'!$AI$6:$AI$102='Lighting Inventory'!W69),FALSE),7))))), "")</f>
        <v/>
      </c>
      <c r="CG69" s="366"/>
      <c r="CH69" s="248" t="str">
        <f t="shared" si="236"/>
        <v/>
      </c>
      <c r="CI69" s="248" t="str">
        <f t="shared" si="237"/>
        <v>Select_IE</v>
      </c>
      <c r="CJ69" s="248" t="str">
        <f t="shared" si="238"/>
        <v/>
      </c>
      <c r="CK69" s="248" t="str">
        <f t="shared" si="239"/>
        <v/>
      </c>
      <c r="CL69" s="248" t="str">
        <f t="shared" si="240"/>
        <v/>
      </c>
      <c r="CM69" s="248" t="str">
        <f>IFERROR(IF(B69="", "", IF(B69="New Construction", VLOOKUP(V69, 'Lookup Tables'!$AF$114:$AG$120, 2, FALSE), VLOOKUP(V69, 'Lookup Tables'!$AD$6:$AE$25, 2, FALSE))), "")</f>
        <v/>
      </c>
      <c r="CN69" s="248" t="str">
        <f t="shared" si="175"/>
        <v/>
      </c>
      <c r="CO69" s="248" t="str">
        <f t="shared" si="241"/>
        <v/>
      </c>
      <c r="CP69" s="592" t="str">
        <f t="shared" si="242"/>
        <v/>
      </c>
      <c r="CQ69" s="248" t="str">
        <f t="shared" si="97"/>
        <v/>
      </c>
      <c r="CR69" s="100"/>
      <c r="CS69" s="250" t="str">
        <f t="shared" si="178"/>
        <v/>
      </c>
      <c r="CT69" s="250" t="str">
        <f t="shared" si="243"/>
        <v/>
      </c>
      <c r="CU69" s="250" t="str">
        <f t="shared" si="244"/>
        <v/>
      </c>
      <c r="CV69" s="250" t="str">
        <f t="shared" si="245"/>
        <v/>
      </c>
      <c r="CW69" s="250" t="str">
        <f t="shared" si="246"/>
        <v/>
      </c>
      <c r="CX69" s="250" t="str">
        <f t="shared" si="247"/>
        <v/>
      </c>
      <c r="CY69" s="250" t="str">
        <f t="shared" si="248"/>
        <v/>
      </c>
      <c r="CZ69" s="250" t="str">
        <f t="shared" si="249"/>
        <v/>
      </c>
      <c r="DA69" s="250" t="str">
        <f t="shared" si="250"/>
        <v/>
      </c>
      <c r="DB69" s="250" t="str">
        <f t="shared" si="251"/>
        <v/>
      </c>
      <c r="DC69" s="250" t="str">
        <f t="shared" si="252"/>
        <v/>
      </c>
      <c r="DD69" s="250" t="str">
        <f t="shared" si="253"/>
        <v/>
      </c>
      <c r="DE69" s="250" t="str">
        <f t="shared" si="254"/>
        <v/>
      </c>
      <c r="DF69" s="250" t="str">
        <f t="shared" si="255"/>
        <v/>
      </c>
      <c r="DG69" s="250" t="str">
        <f t="shared" si="256"/>
        <v/>
      </c>
      <c r="DH69" s="250" t="str">
        <f t="shared" si="257"/>
        <v/>
      </c>
      <c r="DI69" s="250" t="str">
        <f t="shared" si="258"/>
        <v/>
      </c>
      <c r="DJ69" s="250" t="str">
        <f t="shared" si="259"/>
        <v/>
      </c>
      <c r="DK69" s="250" t="str">
        <f t="shared" si="260"/>
        <v/>
      </c>
      <c r="DL69" s="250" t="str">
        <f t="shared" si="261"/>
        <v/>
      </c>
      <c r="DM69" s="250" t="str">
        <f>IF(CD69="ERROR", "ERROR", IF(AND(OR(Y69=$DM$6, Y69='Lookup Tables'!$AD$21, Y69='Lookup Tables'!$AD$22), E69="Interior"), BJ69, ""))</f>
        <v/>
      </c>
      <c r="DN69" s="250" t="str">
        <f>IF(CD69="ERROR", "ERROR", IF(AND(OR(Y69=$DM$6, Y69='Lookup Tables'!$AD$21, Y69='Lookup Tables'!$AD$22), E69="Exterior"), BJ69, ""))</f>
        <v/>
      </c>
      <c r="DO69" s="100"/>
      <c r="DP69" s="250" t="str">
        <f t="shared" si="198"/>
        <v/>
      </c>
      <c r="DQ69" s="250" t="str">
        <f t="shared" si="262"/>
        <v/>
      </c>
      <c r="DR69" s="250" t="str">
        <f t="shared" si="263"/>
        <v/>
      </c>
      <c r="DS69" s="250" t="str">
        <f t="shared" si="264"/>
        <v/>
      </c>
      <c r="DT69" s="250" t="str">
        <f t="shared" si="265"/>
        <v/>
      </c>
      <c r="DU69" s="250" t="str">
        <f t="shared" si="266"/>
        <v/>
      </c>
      <c r="DV69" s="250" t="str">
        <f t="shared" si="267"/>
        <v/>
      </c>
      <c r="DW69" s="250" t="str">
        <f t="shared" si="268"/>
        <v/>
      </c>
      <c r="DX69" s="250" t="str">
        <f t="shared" si="269"/>
        <v/>
      </c>
      <c r="DY69" s="250" t="str">
        <f t="shared" si="270"/>
        <v/>
      </c>
      <c r="DZ69" s="250" t="str">
        <f t="shared" si="271"/>
        <v/>
      </c>
      <c r="EA69" s="250" t="str">
        <f t="shared" si="272"/>
        <v/>
      </c>
      <c r="EB69" s="250" t="str">
        <f t="shared" si="273"/>
        <v/>
      </c>
      <c r="EC69" s="250" t="str">
        <f t="shared" si="274"/>
        <v/>
      </c>
      <c r="ED69" s="250" t="str">
        <f t="shared" si="275"/>
        <v/>
      </c>
      <c r="EE69" s="250" t="str">
        <f t="shared" si="276"/>
        <v/>
      </c>
      <c r="EF69" s="250" t="str">
        <f t="shared" si="277"/>
        <v/>
      </c>
      <c r="EG69" s="250" t="str">
        <f t="shared" si="278"/>
        <v/>
      </c>
      <c r="EH69" s="250" t="str">
        <f>IF(CD69="ERROR", "ERROR", IF(AND(OR($EH$6=Y69, Y69='Lookup Tables'!$AD$21, Y69='Lookup Tables'!$AD$22),E69="Interior"), SUM(BP69:BP69), ""))</f>
        <v/>
      </c>
      <c r="EI69" s="250" t="str">
        <f>IF(CD69="ERROR", "ERROR", IF(AND(OR($EH$6=Y69, Y69='Lookup Tables'!$AD$21, Y69='Lookup Tables'!$AD$22),E69="Exterior"), SUM(BP69:BP69), ""))</f>
        <v/>
      </c>
      <c r="EJ69" s="109"/>
      <c r="EK69" s="485" t="str">
        <f t="shared" si="58"/>
        <v/>
      </c>
      <c r="EL69" s="252" t="str">
        <f t="shared" si="279"/>
        <v/>
      </c>
      <c r="EM69" s="252" t="str">
        <f t="shared" si="280"/>
        <v/>
      </c>
      <c r="EN69" s="252" t="str">
        <f t="shared" si="281"/>
        <v/>
      </c>
      <c r="EO69" s="252" t="str">
        <f t="shared" si="282"/>
        <v/>
      </c>
      <c r="EP69" s="252" t="str">
        <f t="shared" si="283"/>
        <v/>
      </c>
      <c r="EQ69" s="252" t="str">
        <f t="shared" si="284"/>
        <v/>
      </c>
      <c r="ER69" s="252" t="str">
        <f t="shared" si="285"/>
        <v/>
      </c>
      <c r="ES69" s="252" t="str">
        <f t="shared" si="286"/>
        <v/>
      </c>
      <c r="ET69" s="252" t="str">
        <f t="shared" si="287"/>
        <v/>
      </c>
      <c r="EU69" s="252" t="str">
        <f t="shared" si="288"/>
        <v/>
      </c>
      <c r="EV69" s="252" t="str">
        <f t="shared" si="289"/>
        <v/>
      </c>
      <c r="EW69" s="252" t="str">
        <f t="shared" si="290"/>
        <v/>
      </c>
      <c r="EX69" s="252" t="str">
        <f t="shared" si="291"/>
        <v/>
      </c>
      <c r="EY69" s="252" t="str">
        <f t="shared" si="292"/>
        <v/>
      </c>
      <c r="EZ69" s="252" t="str">
        <f t="shared" si="293"/>
        <v/>
      </c>
      <c r="FA69" s="252" t="str">
        <f t="shared" si="294"/>
        <v/>
      </c>
      <c r="FB69" s="252" t="str">
        <f t="shared" si="295"/>
        <v/>
      </c>
      <c r="FC69" s="252" t="str">
        <f>IF(CD69="ERROR", "ERROR", IF(OR(V69="No Change", V69="Not DLC or Energy Star"), "", IF(AND(OR($FC$6=Y69,Y69='Lookup Tables'!$AD$21, Y69='Lookup Tables'!$AD$22),E69="Interior"), S69, "")))</f>
        <v/>
      </c>
      <c r="FD69" s="252" t="str">
        <f t="shared" si="296"/>
        <v/>
      </c>
      <c r="FE69" s="101"/>
      <c r="FF69" s="579" t="str" cm="1">
        <f t="array" ref="FF69">IFERROR(IF(OR(BQ69&lt;=0,AQ69&lt;20,AND(V69="Exit Signs",AN69&gt;0)),"",IF(AND(AQ69&gt;=20,AN69='Lookup Tables'!$R$101),'Lookup Tables'!$U$101*BQ69,AP69*LOOKUP(2,1/((AN69='Lookup Tables'!$R$91:$R$111)*(AQ69&gt;='Lookup Tables'!$S$91:$S$111)*(AQ69&lt;='Lookup Tables'!$T$91:$T$111)),'Lookup Tables'!$U$91:$U$111))),"")</f>
        <v/>
      </c>
      <c r="FG69" s="579"/>
      <c r="FH69" s="579"/>
      <c r="FI69" s="253" t="str">
        <f>IFERROR(ROUND(IF(CD69="ERROR", "ERROR", IF(AND($FI$7=X69,E69="Interior"),VLOOKUP(W69, 'Lookup Tables'!$AI$6:$AM$102, 5, FALSE)*BP69, "")), 2), "")</f>
        <v/>
      </c>
      <c r="FJ69" s="253" t="str">
        <f>IFERROR(ROUND(IF(CD69="ERROR", "ERROR", IF(AND($FI$7=X69,E69="Exterior"),VLOOKUP(W69, 'Lookup Tables'!$AI$6:$AM$102, 5, FALSE)*BP69, "")), 2), "")</f>
        <v/>
      </c>
      <c r="FK69" s="253" t="str">
        <f>IFERROR(ROUND(IF(CD69="ERROR", "ERROR", IF(AND($FK$7=X69,E69="Interior"),VLOOKUP(W69, 'Lookup Tables'!$AI$6:$AM$102, 5, FALSE)*BP69, "")), 2), "")</f>
        <v/>
      </c>
      <c r="FL69" s="253" t="str">
        <f>IFERROR(ROUND(IF(CD69="ERROR", "ERROR", IF(AND($FK$7=X69,E69="Exterior"),VLOOKUP(W69, 'Lookup Tables'!$AI$6:$AM$102, 5, FALSE)*BP69, "")), 2), "")</f>
        <v/>
      </c>
      <c r="FM69" s="253" t="str">
        <f>IFERROR(ROUND(IF(CD69="ERROR", "ERROR", IF(AND($FM$6=Y69,E69="Interior"), IF(GB69=0, VLOOKUP(W69, 'Lookup Tables'!$AI$6:$AM$102, 5, FALSE)*BP69, IF(VLOOKUP(W69, 'Lookup Tables'!$AI$6:$AM$102, 5, FALSE)*BP69&gt;GB69*'Lighting Inventory'!S69, GB69*'Lighting Inventory'!S69,VLOOKUP(W69, 'Lookup Tables'!$AI$6:$AM$102, 5, FALSE)*BP69)), "")), 2), "")</f>
        <v/>
      </c>
      <c r="FN69" s="253" t="str">
        <f>IFERROR(ROUND(IF(CD69="ERROR", "ERROR", IF(AND($FM$6=Y69,E69="Exterior"), IF(GB69=0, VLOOKUP(W69, 'Lookup Tables'!$AI$6:$AM$102, 5, FALSE)*BP69, IF(VLOOKUP(W69, 'Lookup Tables'!$AI$6:$AM$102, 5, FALSE)*BP69&gt;GB69*'Lighting Inventory'!S69, GB69*'Lighting Inventory'!S69,VLOOKUP(W69, 'Lookup Tables'!$AI$6:$AM$102, 5, FALSE)*BP69)), "")), 2), "")</f>
        <v/>
      </c>
      <c r="FO69" s="253" t="str">
        <f>IFERROR(ROUND(IF(CD69="ERROR", "ERROR", IF(AND($FO$6=Y69,E69="Interior"),VLOOKUP(W69, 'Lookup Tables'!$AI$6:$AM$102, 5, FALSE)*'Lighting Inventory'!AI69, "")), 2), "")</f>
        <v/>
      </c>
      <c r="FP69" s="253" t="str">
        <f>IFERROR(ROUND(IF(CD69="ERROR", "ERROR", IF(AND($FO$6=Y69,E69="Exterior"),VLOOKUP(W69, 'Lookup Tables'!$AI$6:$AM$102, 5, FALSE)*'Lighting Inventory'!AI69, "")), 2), "")</f>
        <v/>
      </c>
      <c r="FQ69" s="253" t="str">
        <f>IFERROR(ROUND(IF(CD69="ERROR", "ERROR", IF(AND($FQ$6=Y69,E69="Interior", BU69="Y"), VLOOKUP('Lighting Inventory'!W69, 'Lookup Tables'!$AI$6:$AM$102, 5, FALSE)*'Lighting Inventory'!S69, IF(AND($FQ$7=Y69,E69="Interior", BU69="N"), 0.025*CD69, ""))), 2), "")</f>
        <v/>
      </c>
      <c r="FR69" s="253" t="str">
        <f>IFERROR(ROUND(IF(CD69="ERROR", "ERROR", IF(AND($FQ$6=Y69,E69="Exterior"), VLOOKUP('Lighting Inventory'!W69, 'Lookup Tables'!$AI$6:$AM$102, 5, FALSE)*'Lighting Inventory'!S69, "")), 2), "")</f>
        <v/>
      </c>
      <c r="FS69" s="253" t="str">
        <f>IFERROR(ROUND(IF(CD69="ERROR", "ERROR", IF(AND($FS$6=Y69,E69="Exterior"), IF(GB69=0, VLOOKUP(W69, 'Lookup Tables'!$AI$6:$AM$102, 5, FALSE)*BP69, IF(VLOOKUP(W69, 'Lookup Tables'!$AI$6:$AM$102, 5, FALSE)*BP69&gt;GB69*'Lighting Inventory'!S69, GB69*'Lighting Inventory'!S69,VLOOKUP(W69, 'Lookup Tables'!$AI$6:$AM$102, 5, FALSE)*BP69)), "")), 2), "")</f>
        <v/>
      </c>
      <c r="FT69" s="253" t="str">
        <f>IFERROR(ROUND(IF(CD69="ERROR", "ERROR", IF(AND($FT$6=Y69,E69="Interior"), IF(GB69=0, VLOOKUP(W69, 'Lookup Tables'!$AI$6:$AM$102, 5, FALSE)*BP69, IF(VLOOKUP(W69, 'Lookup Tables'!$AI$6:$AM$102, 5, FALSE)*BP69&gt;GB69*'Lighting Inventory'!S69, GB69*'Lighting Inventory'!S69,VLOOKUP(W69, 'Lookup Tables'!$AI$6:$AM$102, 5, FALSE)*BP69)), "")), 2), "")</f>
        <v/>
      </c>
      <c r="FU69" s="253" t="str">
        <f>IFERROR(ROUND(IF(CD69="ERROR", "ERROR", IF(AND(Y69=$FU$6, E69="Interior"), IF(BS69="N", 'Lookup Tables'!$AM$101*BP69, VLOOKUP(W69, 'Lookup Tables'!$AI$6:$AM$102, 5, FALSE)*S69*AD69), "")), 2), "")</f>
        <v/>
      </c>
      <c r="FV69" s="253" t="str">
        <f>IFERROR(ROUND(IF(CD69="ERROR", "ERROR", IF(AND(Y69=$FU$6, E69="Exterior"), IF(BS69="N", 'Lookup Tables'!$AM$101*BP69, VLOOKUP(W69, 'Lookup Tables'!$AI$6:$AM$102, 5, FALSE)*S69*AD69), "")), 2), "")</f>
        <v/>
      </c>
      <c r="FW69" s="253" t="str">
        <f>IFERROR(ROUND(IF(CD69="ERROR", "ERROR", IF($FW$6=Y69, IF(BS69="N", 'Lookup Tables'!$AM$101*BP69, MIN((VLOOKUP(W69, 'Lookup Tables'!$AI$6:$AM$102, 5, FALSE)*BP69),GB69*AJ69)), "")), 2), "")</f>
        <v/>
      </c>
      <c r="FX69" s="253" t="str">
        <f>IFERROR(ROUND(IF(CD69="ERROR", "ERROR", IF(AND($FX$6=Y69, E69="Interior"), IF(VLOOKUP(W69, 'Lookup Tables'!$AI$6:$AM$102, 5, FALSE)*BP69&gt;'Lookup Tables'!$AQ$97*'Lighting Inventory'!S69,'Lighting Inventory'!S69*'Lookup Tables'!$AQ$97,VLOOKUP(W69, 'Lookup Tables'!$AI$6:$AM$102, 5, FALSE)*BP69), "")), 2), "")</f>
        <v/>
      </c>
      <c r="FY69" s="253" t="str">
        <f>IFERROR(ROUND(IF(CD69="ERROR", "ERROR", IF(AND($FX$6=Y69, E69="Exterior"), IF(VLOOKUP(W69, 'Lookup Tables'!$AI$6:$AM$102, 5, FALSE)*BP69&gt;'Lookup Tables'!$AQ$97*'Lighting Inventory'!S69,'Lighting Inventory'!S69*'Lookup Tables'!$AQ$97,VLOOKUP(W69, 'Lookup Tables'!$AI$6:$AM$102, 5, FALSE)*BP69), "")), 2), "")</f>
        <v/>
      </c>
      <c r="FZ69" s="253" t="str">
        <f>IFERROR(ROUND(IF(CD69="ERROR", "ERROR", IF(AND($FZ$6=Y69, E69="Interior"), IF(AND(OR(W69="Refrigerated Case Lighting with Doors", W69="Freezer Case Lighting"),Y69="Custom - Process Improvement"),CD69*'Lookup Tables'!$AM$101, IF(B69="Retrofit", IF(VLOOKUP(IF(V69="Custom", V69, W69), 'Lookup Tables'!$AI$6:$AM$102, 5, FALSE)*BP69&gt;GE69, GE69, VLOOKUP(IF(V69="Custom", V69, W69), 'Lookup Tables'!$AI$6:$AM$102, 5, FALSE)*BP69), IF(VLOOKUP(IF(V69="Custom", V69, W69), 'Lookup Tables'!$AI$114:$AM$154, 5, FALSE)*BP69&gt;GE69, GE69, VLOOKUP(IF(V69="Custom", V69, W69), 'Lookup Tables'!$AI$114:$AM$154, 5, FALSE)*BP69))), "")), 2),"")</f>
        <v/>
      </c>
      <c r="GA69" s="253" t="str">
        <f>IFERROR(ROUND(IF(CD69="ERROR", "ERROR", IF(AND($FZ$6=Y69, E69="Exterior"), IF(B69="Retrofit", IF(VLOOKUP(IF(V69="Custom", V69, W69), 'Lookup Tables'!$AI$6:$AM$102, 5, FALSE)*BP69&gt;GE69, GE69, VLOOKUP(IF(V69="Custom", V69, W69), 'Lookup Tables'!$AI$6:$AM$102, 5, FALSE)*BP69), IF(VLOOKUP(IF(V69="Custom", V69, W69), 'Lookup Tables'!$AI$114:$AM$154, 5, FALSE)*BP69&gt;GE69, GE69, VLOOKUP(IF(V69="Custom", V69, W69), 'Lookup Tables'!$AI$114:$AM$154, 5, FALSE)*BP69)), "")), 2),"")</f>
        <v/>
      </c>
      <c r="GB69" s="254" t="str">
        <f t="array" ref="GB69">IF(B69="","",IF(OR(V69="Custom",V69="No Change"),0,IF(B69="Retrofit", INDEX('Lookup Tables'!$AH$6:$AQ$102,MATCH(1,('Lookup Tables'!$AH$6:$AH$102='Lighting Inventory'!V69)*('Lookup Tables'!$AI$6:$AI$102='Lighting Inventory'!W69),FALSE),10),INDEX('Lookup Tables'!$AH$114:$AQ$154,MATCH(1,('Lookup Tables'!$AH$114:$AH$154='Lighting Inventory'!V69)*('Lookup Tables'!$AI$114:$AI$154='Lighting Inventory'!W69),FALSE),10))))</f>
        <v/>
      </c>
      <c r="GC69" s="255" t="str">
        <f t="shared" si="77"/>
        <v/>
      </c>
      <c r="GD69" s="250" t="str">
        <f t="shared" si="78"/>
        <v/>
      </c>
      <c r="GE69" s="253" t="str">
        <f>IFERROR(IF(AND(AF69="", 'General Information'!$F$18="No"),"", IF(AF69="", ((GD69/$CD$266)*$CF$266)*0.5, AF69*S69*0.5)), "")</f>
        <v/>
      </c>
      <c r="GF69" s="255" t="str">
        <f>IF(AND('General Information'!$F$19="", 'General Information'!$F$18="Yes",AF69="",BW69="Y"), "Y", "N")</f>
        <v>N</v>
      </c>
      <c r="GG69" s="255" t="s">
        <v>2946</v>
      </c>
      <c r="GH69" s="255" t="str">
        <f>IFERROR(IF(B69="", "", VLOOKUP(J69, 'Fixture Identities'!$A$6:$N$908, 14, FALSE)), "")</f>
        <v/>
      </c>
      <c r="GI69" s="389" t="str">
        <f>IF(OR(B69="", V69="", W69=""), "", IF(AND(OR(M69='Lookup Tables'!$R$18, M69='Lookup Tables'!$R$19, M69='Lookup Tables'!$R$20, M69='Lookup Tables'!$R$21, M69='Lookup Tables'!$R$22), OR(AN69='Lookup Tables'!$R$17, AN69='Lookup Tables'!$R$17, AN69="")), "Y", "N"))</f>
        <v/>
      </c>
      <c r="GJ69" s="255" t="str">
        <f t="shared" si="79"/>
        <v/>
      </c>
      <c r="GK69" s="255" t="str">
        <f t="shared" si="80"/>
        <v/>
      </c>
      <c r="GL69" s="255" t="str">
        <f t="shared" si="81"/>
        <v/>
      </c>
      <c r="GM69" s="255" t="str">
        <f>IF(AN69="", "", IF(AND(IF(ISNA(VLOOKUP(AN69,'Lookup Tables'!$R$18:$R$22,1,FALSE)), "N", "Y")="Y", E69="Exterior"), "Y", "N"))</f>
        <v/>
      </c>
      <c r="GN69" s="395"/>
      <c r="GO69" s="428">
        <f t="shared" si="98"/>
        <v>0</v>
      </c>
      <c r="GP69" s="428">
        <f t="shared" si="167"/>
        <v>0</v>
      </c>
      <c r="GQ69" s="428">
        <f t="shared" si="99"/>
        <v>0</v>
      </c>
      <c r="GR69" s="428">
        <f t="shared" si="100"/>
        <v>0</v>
      </c>
    </row>
    <row r="70" spans="1:200" s="103" customFormat="1" ht="13.5" customHeight="1" x14ac:dyDescent="0.2">
      <c r="A70" s="272">
        <v>60</v>
      </c>
      <c r="B70" s="110"/>
      <c r="C70" s="110"/>
      <c r="D70" s="110"/>
      <c r="E70" s="110"/>
      <c r="F70" s="110"/>
      <c r="G70" s="110"/>
      <c r="H70" s="110"/>
      <c r="I70" s="29"/>
      <c r="J70" s="29"/>
      <c r="K70" s="272" t="str">
        <f>IFERROR(IF(OR(VLOOKUP(J70, 'Fixture Identities'!$A$6:$L$1023, 3, FALSE)="T12 Linear Fluorescent", VLOOKUP(J70, 'Fixture Identities'!$A$6:$L$1023, 3, FALSE)="T12 U-Tube Fluorescent"), VLOOKUP(VLOOKUP(J70, 'Fixture Identities'!$A$6:$L$1023, 11, FALSE), 'Fixture Identities'!$A$6:$L$1023, 10, FALSE), VLOOKUP(J70, 'Fixture Identities'!$A$6:$L$1023, 10, FALSE)), "")</f>
        <v/>
      </c>
      <c r="L70" s="270" t="str">
        <f t="shared" si="169"/>
        <v/>
      </c>
      <c r="M70" s="110"/>
      <c r="N70" s="110"/>
      <c r="O70" s="110"/>
      <c r="P70" s="272" t="str">
        <f>IFERROR(IF(OR(B70="Retrofit",B70=""),"",IF('Lighting Inventory'!E70="Exterior",VLOOKUP('Lighting Inventory'!N70,'Lookup Tables'!$B$83:$F$103,5,FALSE),IF(N70="Other - Please Estimate EFLH and CFs","Contact Prog. Rep.","ft^2"))), "")</f>
        <v/>
      </c>
      <c r="Q70" s="270" t="str">
        <f>IFERROR(IF(AND(B70="New Construction",E70="Interior",$F$5="Space-by-Space"),VLOOKUP('Lighting Inventory'!N70,'Lookup Tables'!$N$6:$O$97,2,FALSE),IF(AND(B70="New Construction",E70="Exterior"),VLOOKUP(N70,'Lookup Tables'!$B$83:$F$103,2,FALSE),IF(AND(B70="New Construction",'Lighting Inventory'!E70="Interior", $F$5="Building Area"),VLOOKUP(F70,'Lookup Tables'!$A$6:$J$59,10,FALSE),""))), "")</f>
        <v/>
      </c>
      <c r="R70" s="270" t="str">
        <f>IFERROR(IF(P70="Contact Prog. Rep.", "ERROR", IF(OR(B70="",B70="Retrofit"),"",IF(N70="Automated teller machines", ('Lookup Tables'!$A$82:$E$100+('Lighting Inventory'!O70-1)*'Lookup Tables'!$A$82:$E$100)/1000, (Q70*O70)/1000))), "")</f>
        <v/>
      </c>
      <c r="S70" s="595"/>
      <c r="T70" s="105" t="str">
        <f t="shared" si="83"/>
        <v/>
      </c>
      <c r="U70" s="105" t="str">
        <f>IF(S70="","",COUNT($S$11:S70))</f>
        <v/>
      </c>
      <c r="V70" s="111"/>
      <c r="W70" s="112"/>
      <c r="X70" s="105" t="str">
        <f t="shared" si="84"/>
        <v/>
      </c>
      <c r="Y70" s="105" t="str">
        <f t="array" ref="Y70">IF(AND(OR(W70="Freezer Case Lighting", W70="Refrigerated Case Lighting with Doors"), 'General Information'!$X$18="LCI"),'Lookup Tables'!$Y$34, IF(V70="Custom", VLOOKUP(W70, 'Fixture Identities'!$A$974:$M$1023, 13, FALSE), IF(V70="No Change",'Lookup Tables'!$Y$29,IF(OR(V70="",W70=""),"",IF(AND(S70=0,S70&lt;I70,B70="Retrofit"),'Lookup Tables'!$Y$25, IF(B70="Retrofit", INDEX('Lookup Tables'!$AH$6:$AP$102, MATCH(1, ('Lookup Tables'!$AH$6:$AH$102=V70)*('Lookup Tables'!$AI$6:$AI$102=W70), 0), IF('Lighting Inventory'!E70="Interior", 4, 5)), INDEX('Lookup Tables'!$AH$114:$AP$154, MATCH(1, ('Lookup Tables'!$AH$114:$AH$154=V70)*('Lookup Tables'!$AI$114:$AI$154=W70), 0), IF('Lighting Inventory'!E70="Interior", 4, 5))))))))</f>
        <v/>
      </c>
      <c r="Z70" s="105" t="str">
        <f>IFERROR(INDEX('Lookup Tables'!$AH$158:$AH$172,MATCH('Lighting Inventory'!Y70,'Lookup Tables'!$AI$158:$AI$172,0)),"")</f>
        <v/>
      </c>
      <c r="AA70" s="105" t="str">
        <f>IF(AP70&gt;0,INDEX('Lookup Tables'!$AK$158:$AK$172,MATCH('Lighting Inventory'!Y70,'Lookup Tables'!$AI$158:$AI$172,0)),'Lighting Inventory'!Y70)</f>
        <v/>
      </c>
      <c r="AB70" s="105" t="str">
        <f t="array" ref="AB70">IF(V70="Custom", "Custom", IF(V70="", "", IF(V70="Not DLC or Energy Star", "General", IF(B70="New Construction", INDEX('Lookup Tables'!$AH$114:$AP$154,MATCH(1,('Lookup Tables'!$AH$114:$AH$154='Lighting Inventory'!V70)*('Lookup Tables'!$AI$114:$AI$154='Lighting Inventory'!W70),FALSE),8), INDEX('Lookup Tables'!$AH$6:$AP$102,MATCH(1,('Lookup Tables'!$AH$6:$AH$102='Lighting Inventory'!V70)*('Lookup Tables'!$AI$6:$AI$102='Lighting Inventory'!W70),FALSE),8)))))</f>
        <v/>
      </c>
      <c r="AC70" s="272" t="str">
        <f>IF(W70="","",IF(V70="Custom",CONCATENATE("$",'Lookup Tables'!$AM$101," ",'Lookup Tables'!$AN$101),CONCATENATE("$",INDEX('Lookup Tables'!$AM$6:$AM$102,MATCH('Lighting Inventory'!W70,'Lookup Tables'!$AI$6:$AI$102,0))," ",INDEX('Lookup Tables'!$AN$6:$AN$102,MATCH('Lighting Inventory'!W70,'Lookup Tables'!$AI$6:$AI$102,0)))))</f>
        <v/>
      </c>
      <c r="AD70" s="72"/>
      <c r="AE70" s="29"/>
      <c r="AF70" s="379"/>
      <c r="AG70" s="370" t="str">
        <f t="shared" si="2"/>
        <v/>
      </c>
      <c r="AH70" s="370" t="str">
        <f t="shared" si="85"/>
        <v/>
      </c>
      <c r="AI70" s="29"/>
      <c r="AJ70" s="29"/>
      <c r="AK70" s="110"/>
      <c r="AL70" s="375" t="str">
        <f>IF(OR(B70="", V70="", W70=""), "", IF(V70="No Change", K70, IF(V70="Remove Fixture", 0, IF(V70="Custom",VLOOKUP(W70,'Fixture Identities'!$A$6:$K$1023,10,FALSE),IF(AE70="", "← ENTER POST WATTS", 'Lighting Inventory'!AE70)))))</f>
        <v/>
      </c>
      <c r="AM70" s="376" t="str">
        <f t="shared" si="3"/>
        <v/>
      </c>
      <c r="AN70" s="29"/>
      <c r="AO70" s="671"/>
      <c r="AP70" s="29"/>
      <c r="AQ70" s="29"/>
      <c r="AR70" s="29"/>
      <c r="AS70" s="272" t="str">
        <f t="shared" si="4"/>
        <v/>
      </c>
      <c r="AT70" s="270" t="str">
        <f t="shared" si="234"/>
        <v/>
      </c>
      <c r="AU70" s="88" t="str">
        <f t="shared" si="235"/>
        <v/>
      </c>
      <c r="AV70" s="29"/>
      <c r="AW70" s="73"/>
      <c r="AX70" s="271" t="str">
        <f>IF(AND(AV70="Applicant",OR(AW70="", AW70="Use Default Facility Hours")),"← Choose Schedule",IF(F70="","",IF(W70="LED Exit Signs",8760,IF(OR(AV70="Prescribed",AV70=""),VLOOKUP(F70,'Lookup Tables'!$A$6:$G$59,IF(AB70="General", 6, 3),FALSE),VLOOKUP(AW70,'Lookup Tables'!$S$36:$U$43,2,FALSE)))))</f>
        <v/>
      </c>
      <c r="AY70" s="88" t="str">
        <f t="shared" si="7"/>
        <v/>
      </c>
      <c r="AZ70" s="270" t="str">
        <f>IFERROR(IF(F70="", "", IF(W70="LED Exit Signs", 1, IF(AV70="Applicant",VLOOKUP(AW70, 'Lookup Tables'!$S$36:$U$43,3, FALSE), VLOOKUP('Lighting Inventory'!F70, 'Lookup Tables'!$A$6:$H$59, IF('Lighting Inventory'!AB70="General",7,4), FALSE)))), "")</f>
        <v/>
      </c>
      <c r="BA70" s="522" t="str">
        <f>IFERROR(IF(F70="", "", IF(W70="LED Exit Signs", 1, VLOOKUP('Lighting Inventory'!F70, 'Lookup Tables'!$A$6:$H$59, IF('Lighting Inventory'!AB70="General",8,5), FALSE))), "")</f>
        <v/>
      </c>
      <c r="BB70" s="270" t="str">
        <f>IF(G70="", "", IF(E70="Exterior", 0, IF('Lighting Inventory'!G70="Air Conditioned", VLOOKUP(H70, 'Lookup Tables'!$R$6:$T$13, 2, FALSE), VLOOKUP('Lighting Inventory'!G70, 'Lookup Tables'!$R$6:$T$13, 2, FALSE))))</f>
        <v/>
      </c>
      <c r="BC70" s="522" t="str">
        <f>IF(G70="", "", IF(E70="Exterior", 0, IF('Lighting Inventory'!G70="Air Conditioned", VLOOKUP(H70, 'Lookup Tables'!$R$6:$T$13, 3, FALSE), VLOOKUP('Lighting Inventory'!G70, 'Lookup Tables'!$R$6:$T$13, 3, FALSE))))</f>
        <v/>
      </c>
      <c r="BD70" s="270" t="str">
        <f>IF(G70="", "", IF(E70="Exterior", 0, IF('Lighting Inventory'!G70="Air Conditioned", VLOOKUP(H70, 'Lookup Tables'!$R$6:$U$13, 4, FALSE), VLOOKUP('Lighting Inventory'!G70, 'Lookup Tables'!$R$6:$U$13, 4, FALSE))))</f>
        <v/>
      </c>
      <c r="BE70" s="270" t="str">
        <f>IFERROR(IF(B70="", "",  IF(B70="New Construction", VLOOKUP(F70, 'Lookup Tables'!$A$6:$K$59, 11, FALSE),IF(OR(AN70="", AN70="Light Switch"), 0, IF(OR(M70="",M70="None",V70= "LED Exit Signs"),0,_xlfn.XLOOKUP(M70,'Lookup Tables'!$R$91:$R$101,'Lookup Tables'!$V$91:$V$101))))), "")</f>
        <v/>
      </c>
      <c r="BF70" s="270" t="str">
        <f>IF(AND(OR(AN70="Light Switch",AN70=""),B70="New Construction"), VLOOKUP(F70, 'Lookup Tables'!$A$6:$K$59, 11, FALSE),IF(AN70="","",IF(B70="","",IF(OR(AN70="None",AN70="",V70="LED Exit Signs",AN70="Exterior Controls Not Eligible"),0,_xlfn.XLOOKUP(AN70,'Lookup Tables'!$R$91:$R$101,'Lookup Tables'!$V$91:$V$101)))))</f>
        <v/>
      </c>
      <c r="BG70" s="88" t="str">
        <f t="shared" si="86"/>
        <v/>
      </c>
      <c r="BH70" s="88" t="str">
        <f t="shared" si="87"/>
        <v/>
      </c>
      <c r="BI70" s="558" t="str">
        <f t="shared" si="168"/>
        <v/>
      </c>
      <c r="BJ70" s="82" t="str">
        <f t="shared" si="88"/>
        <v/>
      </c>
      <c r="BK70" s="82" t="str">
        <f t="shared" si="89"/>
        <v/>
      </c>
      <c r="BL70" s="559" t="str">
        <f t="shared" si="90"/>
        <v/>
      </c>
      <c r="BM70" s="521" t="str">
        <f t="shared" si="8"/>
        <v/>
      </c>
      <c r="BN70" s="521" t="str">
        <f t="shared" si="9"/>
        <v/>
      </c>
      <c r="BO70" s="522" t="str">
        <f t="shared" si="10"/>
        <v/>
      </c>
      <c r="BP70" s="83" t="str">
        <f t="shared" si="91"/>
        <v/>
      </c>
      <c r="BQ70" s="84" t="str">
        <f t="shared" si="92"/>
        <v/>
      </c>
      <c r="BR70" s="184" t="str">
        <f>IFERROR(IF(B70="", "", IF(OR(VLOOKUP(J70, 'Fixture Identities'!$A$6:$L$1023, 3, FALSE)="T12 Linear Fluorescent",VLOOKUP(J70, 'Fixture Identities'!$A$6:$L$1023, 3, FALSE)="T12 U-Tube Fluorescent"), "Y", "N")), "N")</f>
        <v/>
      </c>
      <c r="BS70" s="184" t="str">
        <f t="array" ref="BS70">IFERROR(IF(OR(B70="", V70="", W70=""), "", IF(V70="Custom", "N", IF(OR(W70="Freezer Case Lighting", W70="Refrigerated Case Lighting with Doors"), BT70, IF(B70="Retrofit", INDEX('Lookup Tables'!$AH$6:$AT$102,MATCH(1,('Lookup Tables'!$AH$6:$AH$102=V70)*('Lookup Tables'!$AI$6:$AI$102=W70),FALSE),IF(VLOOKUP(J70, 'Fixture Identities'!$A$6:$B$1023, 2, FALSE)="Incandescent",12, 13)), INDEX('Lookup Tables'!$AH$114:$AS$154,MATCH(1,('Lookup Tables'!$AH$114:$AH$154=V70)*('Lookup Tables'!$AI$114:$AI$154=W70),FALSE),12))))), "N")</f>
        <v/>
      </c>
      <c r="BT70" s="184" t="str">
        <f>IF(J70="", "", IF(AND(OR(W70="Freezer case Lighting", W70="Refrigerated Case Lighting with Doors"),'General Information'!$X$18="LCI"), "N", IF(OR(VLOOKUP(J70, 'Fixture Identities'!$A$6:$B$1023, 2, FALSE)="T12 EPACT/EISA Baseline", VLOOKUP(J70, 'Fixture Identities'!$A$6:$B$1023, 2, FALSE)="Linear Fluorescent", VLOOKUP(J70, 'Fixture Identities'!$A$6:$B$1023, 2, FALSE)="U-Tube Fluorescent"), "Y", "N")))</f>
        <v/>
      </c>
      <c r="BU70" s="184" t="str">
        <f>IFERROR(IF(B70="", "", IF(VLOOKUP(J70, 'Fixture Identities'!$A$6:$B$1023, 2, FALSE)="Exit Sign", "Y", "N")), "N")</f>
        <v/>
      </c>
      <c r="BV70" s="184" t="str">
        <f>IF(V70="Exit Signs", IF(VLOOKUP(J70, 'Fixture Identities'!$A$6:$B$1023, 2, FALSE)="Exit Sign", "N", "Y"), "")</f>
        <v/>
      </c>
      <c r="BW70" s="184" t="str">
        <f t="array" ref="BW70">IFERROR(IF(B70="", "", IF(B70="New Construction", "N", INDEX('Lookup Tables'!$AH$6:$AU$102, MATCH(1, ('Lookup Tables'!$AH$6:$AH$102='Lighting Inventory'!V70)*('Lookup Tables'!$AI$6:$AI$102='Lighting Inventory'!W70), 0), 14))), "N")</f>
        <v/>
      </c>
      <c r="BX70" s="598" t="str">
        <f t="shared" si="93"/>
        <v/>
      </c>
      <c r="BY70" s="598" t="str">
        <f t="shared" si="94"/>
        <v/>
      </c>
      <c r="BZ70" s="598" t="str">
        <f t="shared" si="95"/>
        <v/>
      </c>
      <c r="CA70" s="598" t="str">
        <f t="shared" si="101"/>
        <v/>
      </c>
      <c r="CB70" s="269" t="str">
        <f t="shared" si="102"/>
        <v/>
      </c>
      <c r="CC70" s="517" t="str">
        <f t="shared" si="96"/>
        <v/>
      </c>
      <c r="CD70" s="565" t="str">
        <f t="shared" si="11"/>
        <v/>
      </c>
      <c r="CE70" s="368">
        <v>0</v>
      </c>
      <c r="CF70" s="368" t="str" cm="1">
        <f t="array" ref="CF70">IFERROR(IF(V70="Custom", "$0.1 per kWh", IF(B70="New Construction", CONCATENATE("$",INDEX('Lookup Tables'!$AH$114:$AN$154,MATCH(1,('Lookup Tables'!$AH$114:$AH$154='Lighting Inventory'!V70)*('Lookup Tables'!$AI$114:$AI$154='Lighting Inventory'!W70),FALSE),6)," ",INDEX('Lookup Tables'!$AH$114:$AN$154,MATCH(1,('Lookup Tables'!$AH$114:$AH$154='Lighting Inventory'!V70)*('Lookup Tables'!$AI$114:$AI$154='Lighting Inventory'!W70),FALSE),7)), IF(AND(BU70="N", V70="Exit Signs"), "$0.025 per kWh", CONCATENATE("$",INDEX('Lookup Tables'!$AH$6:$AN$102,MATCH(1,('Lookup Tables'!$AH$6:$AH$102='Lighting Inventory'!V70)*('Lookup Tables'!$AI$6:$AI$102='Lighting Inventory'!W70),FALSE),6)," ",INDEX('Lookup Tables'!$AH$6:$AN$102,MATCH(1,('Lookup Tables'!$AH$6:$AH$102='Lighting Inventory'!V70)*('Lookup Tables'!$AI$6:$AI$102='Lighting Inventory'!W70),FALSE),7))))), "")</f>
        <v/>
      </c>
      <c r="CG70" s="366"/>
      <c r="CH70" s="248" t="str">
        <f t="shared" si="236"/>
        <v/>
      </c>
      <c r="CI70" s="248" t="str">
        <f t="shared" si="237"/>
        <v>Select_IE</v>
      </c>
      <c r="CJ70" s="248" t="str">
        <f t="shared" si="238"/>
        <v/>
      </c>
      <c r="CK70" s="248" t="str">
        <f t="shared" si="239"/>
        <v/>
      </c>
      <c r="CL70" s="248" t="str">
        <f t="shared" si="240"/>
        <v/>
      </c>
      <c r="CM70" s="248" t="str">
        <f>IFERROR(IF(B70="", "", IF(B70="New Construction", VLOOKUP(V70, 'Lookup Tables'!$AF$114:$AG$120, 2, FALSE), VLOOKUP(V70, 'Lookup Tables'!$AD$6:$AE$25, 2, FALSE))), "")</f>
        <v/>
      </c>
      <c r="CN70" s="248" t="str">
        <f t="shared" si="175"/>
        <v/>
      </c>
      <c r="CO70" s="248" t="str">
        <f t="shared" si="241"/>
        <v/>
      </c>
      <c r="CP70" s="592" t="str">
        <f t="shared" si="242"/>
        <v/>
      </c>
      <c r="CQ70" s="248" t="str">
        <f t="shared" si="97"/>
        <v/>
      </c>
      <c r="CR70" s="249"/>
      <c r="CS70" s="250" t="str">
        <f t="shared" si="178"/>
        <v/>
      </c>
      <c r="CT70" s="250" t="str">
        <f t="shared" si="243"/>
        <v/>
      </c>
      <c r="CU70" s="250" t="str">
        <f t="shared" si="244"/>
        <v/>
      </c>
      <c r="CV70" s="250" t="str">
        <f t="shared" si="245"/>
        <v/>
      </c>
      <c r="CW70" s="250" t="str">
        <f t="shared" si="246"/>
        <v/>
      </c>
      <c r="CX70" s="250" t="str">
        <f t="shared" si="247"/>
        <v/>
      </c>
      <c r="CY70" s="250" t="str">
        <f t="shared" si="248"/>
        <v/>
      </c>
      <c r="CZ70" s="250" t="str">
        <f t="shared" si="249"/>
        <v/>
      </c>
      <c r="DA70" s="250" t="str">
        <f t="shared" si="250"/>
        <v/>
      </c>
      <c r="DB70" s="250" t="str">
        <f t="shared" si="251"/>
        <v/>
      </c>
      <c r="DC70" s="250" t="str">
        <f t="shared" si="252"/>
        <v/>
      </c>
      <c r="DD70" s="250" t="str">
        <f t="shared" si="253"/>
        <v/>
      </c>
      <c r="DE70" s="250" t="str">
        <f t="shared" si="254"/>
        <v/>
      </c>
      <c r="DF70" s="250" t="str">
        <f t="shared" si="255"/>
        <v/>
      </c>
      <c r="DG70" s="250" t="str">
        <f t="shared" si="256"/>
        <v/>
      </c>
      <c r="DH70" s="250" t="str">
        <f t="shared" si="257"/>
        <v/>
      </c>
      <c r="DI70" s="250" t="str">
        <f t="shared" si="258"/>
        <v/>
      </c>
      <c r="DJ70" s="250" t="str">
        <f t="shared" si="259"/>
        <v/>
      </c>
      <c r="DK70" s="250" t="str">
        <f t="shared" si="260"/>
        <v/>
      </c>
      <c r="DL70" s="250" t="str">
        <f t="shared" si="261"/>
        <v/>
      </c>
      <c r="DM70" s="250" t="str">
        <f>IF(CD70="ERROR", "ERROR", IF(AND(OR(Y70=$DM$6, Y70='Lookup Tables'!$AD$21, Y70='Lookup Tables'!$AD$22), E70="Interior"), BJ70, ""))</f>
        <v/>
      </c>
      <c r="DN70" s="250" t="str">
        <f>IF(CD70="ERROR", "ERROR", IF(AND(OR(Y70=$DM$6, Y70='Lookup Tables'!$AD$21, Y70='Lookup Tables'!$AD$22), E70="Exterior"), BJ70, ""))</f>
        <v/>
      </c>
      <c r="DO70" s="249"/>
      <c r="DP70" s="250" t="str">
        <f t="shared" si="198"/>
        <v/>
      </c>
      <c r="DQ70" s="250" t="str">
        <f t="shared" si="262"/>
        <v/>
      </c>
      <c r="DR70" s="250" t="str">
        <f t="shared" si="263"/>
        <v/>
      </c>
      <c r="DS70" s="250" t="str">
        <f t="shared" si="264"/>
        <v/>
      </c>
      <c r="DT70" s="250" t="str">
        <f t="shared" si="265"/>
        <v/>
      </c>
      <c r="DU70" s="250" t="str">
        <f t="shared" si="266"/>
        <v/>
      </c>
      <c r="DV70" s="250" t="str">
        <f t="shared" si="267"/>
        <v/>
      </c>
      <c r="DW70" s="250" t="str">
        <f t="shared" si="268"/>
        <v/>
      </c>
      <c r="DX70" s="250" t="str">
        <f t="shared" si="269"/>
        <v/>
      </c>
      <c r="DY70" s="250" t="str">
        <f t="shared" si="270"/>
        <v/>
      </c>
      <c r="DZ70" s="250" t="str">
        <f t="shared" si="271"/>
        <v/>
      </c>
      <c r="EA70" s="250" t="str">
        <f t="shared" si="272"/>
        <v/>
      </c>
      <c r="EB70" s="250" t="str">
        <f t="shared" si="273"/>
        <v/>
      </c>
      <c r="EC70" s="250" t="str">
        <f t="shared" si="274"/>
        <v/>
      </c>
      <c r="ED70" s="250" t="str">
        <f t="shared" si="275"/>
        <v/>
      </c>
      <c r="EE70" s="250" t="str">
        <f t="shared" si="276"/>
        <v/>
      </c>
      <c r="EF70" s="250" t="str">
        <f t="shared" si="277"/>
        <v/>
      </c>
      <c r="EG70" s="250" t="str">
        <f t="shared" si="278"/>
        <v/>
      </c>
      <c r="EH70" s="250" t="str">
        <f>IF(CD70="ERROR", "ERROR", IF(AND(OR($EH$6=Y70, Y70='Lookup Tables'!$AD$21, Y70='Lookup Tables'!$AD$22),E70="Interior"), SUM(BP70:BP70), ""))</f>
        <v/>
      </c>
      <c r="EI70" s="250" t="str">
        <f>IF(CD70="ERROR", "ERROR", IF(AND(OR($EH$6=Y70, Y70='Lookup Tables'!$AD$21, Y70='Lookup Tables'!$AD$22),E70="Exterior"), SUM(BP70:BP70), ""))</f>
        <v/>
      </c>
      <c r="EJ70" s="109"/>
      <c r="EK70" s="485" t="str">
        <f t="shared" si="58"/>
        <v/>
      </c>
      <c r="EL70" s="252" t="str">
        <f t="shared" si="279"/>
        <v/>
      </c>
      <c r="EM70" s="252" t="str">
        <f t="shared" si="280"/>
        <v/>
      </c>
      <c r="EN70" s="252" t="str">
        <f t="shared" si="281"/>
        <v/>
      </c>
      <c r="EO70" s="252" t="str">
        <f t="shared" si="282"/>
        <v/>
      </c>
      <c r="EP70" s="252" t="str">
        <f t="shared" si="283"/>
        <v/>
      </c>
      <c r="EQ70" s="252" t="str">
        <f t="shared" si="284"/>
        <v/>
      </c>
      <c r="ER70" s="252" t="str">
        <f t="shared" si="285"/>
        <v/>
      </c>
      <c r="ES70" s="252" t="str">
        <f t="shared" si="286"/>
        <v/>
      </c>
      <c r="ET70" s="252" t="str">
        <f t="shared" si="287"/>
        <v/>
      </c>
      <c r="EU70" s="252" t="str">
        <f t="shared" si="288"/>
        <v/>
      </c>
      <c r="EV70" s="252" t="str">
        <f t="shared" si="289"/>
        <v/>
      </c>
      <c r="EW70" s="252" t="str">
        <f t="shared" si="290"/>
        <v/>
      </c>
      <c r="EX70" s="252" t="str">
        <f t="shared" si="291"/>
        <v/>
      </c>
      <c r="EY70" s="252" t="str">
        <f t="shared" si="292"/>
        <v/>
      </c>
      <c r="EZ70" s="252" t="str">
        <f t="shared" si="293"/>
        <v/>
      </c>
      <c r="FA70" s="252" t="str">
        <f t="shared" si="294"/>
        <v/>
      </c>
      <c r="FB70" s="252" t="str">
        <f t="shared" si="295"/>
        <v/>
      </c>
      <c r="FC70" s="252" t="str">
        <f>IF(CD70="ERROR", "ERROR", IF(OR(V70="No Change", V70="Not DLC or Energy Star"), "", IF(AND(OR($FC$6=Y70,Y70='Lookup Tables'!$AD$21, Y70='Lookup Tables'!$AD$22),E70="Interior"), S70, "")))</f>
        <v/>
      </c>
      <c r="FD70" s="252" t="str">
        <f t="shared" si="296"/>
        <v/>
      </c>
      <c r="FE70" s="1"/>
      <c r="FF70" s="579" t="str" cm="1">
        <f t="array" ref="FF70">IFERROR(IF(OR(BQ70&lt;=0,AQ70&lt;20,AND(V70="Exit Signs",AN70&gt;0)),"",IF(AND(AQ70&gt;=20,AN70='Lookup Tables'!$R$101),'Lookup Tables'!$U$101*BQ70,AP70*LOOKUP(2,1/((AN70='Lookup Tables'!$R$91:$R$111)*(AQ70&gt;='Lookup Tables'!$S$91:$S$111)*(AQ70&lt;='Lookup Tables'!$T$91:$T$111)),'Lookup Tables'!$U$91:$U$111))),"")</f>
        <v/>
      </c>
      <c r="FG70" s="579"/>
      <c r="FH70" s="579"/>
      <c r="FI70" s="253" t="str">
        <f>IFERROR(ROUND(IF(CD70="ERROR", "ERROR", IF(AND($FI$7=X70,E70="Interior"),VLOOKUP(W70, 'Lookup Tables'!$AI$6:$AM$102, 5, FALSE)*BP70, "")), 2), "")</f>
        <v/>
      </c>
      <c r="FJ70" s="253" t="str">
        <f>IFERROR(ROUND(IF(CD70="ERROR", "ERROR", IF(AND($FI$7=X70,E70="Exterior"),VLOOKUP(W70, 'Lookup Tables'!$AI$6:$AM$102, 5, FALSE)*BP70, "")), 2), "")</f>
        <v/>
      </c>
      <c r="FK70" s="253" t="str">
        <f>IFERROR(ROUND(IF(CD70="ERROR", "ERROR", IF(AND($FK$7=X70,E70="Interior"),VLOOKUP(W70, 'Lookup Tables'!$AI$6:$AM$102, 5, FALSE)*BP70, "")), 2), "")</f>
        <v/>
      </c>
      <c r="FL70" s="253" t="str">
        <f>IFERROR(ROUND(IF(CD70="ERROR", "ERROR", IF(AND($FK$7=X70,E70="Exterior"),VLOOKUP(W70, 'Lookup Tables'!$AI$6:$AM$102, 5, FALSE)*BP70, "")), 2), "")</f>
        <v/>
      </c>
      <c r="FM70" s="253" t="str">
        <f>IFERROR(ROUND(IF(CD70="ERROR", "ERROR", IF(AND($FM$6=Y70,E70="Interior"), IF(GB70=0, VLOOKUP(W70, 'Lookup Tables'!$AI$6:$AM$102, 5, FALSE)*BP70, IF(VLOOKUP(W70, 'Lookup Tables'!$AI$6:$AM$102, 5, FALSE)*BP70&gt;GB70*'Lighting Inventory'!S70, GB70*'Lighting Inventory'!S70,VLOOKUP(W70, 'Lookup Tables'!$AI$6:$AM$102, 5, FALSE)*BP70)), "")), 2), "")</f>
        <v/>
      </c>
      <c r="FN70" s="253" t="str">
        <f>IFERROR(ROUND(IF(CD70="ERROR", "ERROR", IF(AND($FM$6=Y70,E70="Exterior"), IF(GB70=0, VLOOKUP(W70, 'Lookup Tables'!$AI$6:$AM$102, 5, FALSE)*BP70, IF(VLOOKUP(W70, 'Lookup Tables'!$AI$6:$AM$102, 5, FALSE)*BP70&gt;GB70*'Lighting Inventory'!S70, GB70*'Lighting Inventory'!S70,VLOOKUP(W70, 'Lookup Tables'!$AI$6:$AM$102, 5, FALSE)*BP70)), "")), 2), "")</f>
        <v/>
      </c>
      <c r="FO70" s="253" t="str">
        <f>IFERROR(ROUND(IF(CD70="ERROR", "ERROR", IF(AND($FO$6=Y70,E70="Interior"),VLOOKUP(W70, 'Lookup Tables'!$AI$6:$AM$102, 5, FALSE)*'Lighting Inventory'!AI70, "")), 2), "")</f>
        <v/>
      </c>
      <c r="FP70" s="253" t="str">
        <f>IFERROR(ROUND(IF(CD70="ERROR", "ERROR", IF(AND($FO$6=Y70,E70="Exterior"),VLOOKUP(W70, 'Lookup Tables'!$AI$6:$AM$102, 5, FALSE)*'Lighting Inventory'!AI70, "")), 2), "")</f>
        <v/>
      </c>
      <c r="FQ70" s="253" t="str">
        <f>IFERROR(ROUND(IF(CD70="ERROR", "ERROR", IF(AND($FQ$6=Y70,E70="Interior", BU70="Y"), VLOOKUP('Lighting Inventory'!W70, 'Lookup Tables'!$AI$6:$AM$102, 5, FALSE)*'Lighting Inventory'!S70, IF(AND($FQ$7=Y70,E70="Interior", BU70="N"), 0.025*CD70, ""))), 2), "")</f>
        <v/>
      </c>
      <c r="FR70" s="253" t="str">
        <f>IFERROR(ROUND(IF(CD70="ERROR", "ERROR", IF(AND($FQ$6=Y70,E70="Exterior"), VLOOKUP('Lighting Inventory'!W70, 'Lookup Tables'!$AI$6:$AM$102, 5, FALSE)*'Lighting Inventory'!S70, "")), 2), "")</f>
        <v/>
      </c>
      <c r="FS70" s="253" t="str">
        <f>IFERROR(ROUND(IF(CD70="ERROR", "ERROR", IF(AND($FS$6=Y70,E70="Exterior"), IF(GB70=0, VLOOKUP(W70, 'Lookup Tables'!$AI$6:$AM$102, 5, FALSE)*BP70, IF(VLOOKUP(W70, 'Lookup Tables'!$AI$6:$AM$102, 5, FALSE)*BP70&gt;GB70*'Lighting Inventory'!S70, GB70*'Lighting Inventory'!S70,VLOOKUP(W70, 'Lookup Tables'!$AI$6:$AM$102, 5, FALSE)*BP70)), "")), 2), "")</f>
        <v/>
      </c>
      <c r="FT70" s="253" t="str">
        <f>IFERROR(ROUND(IF(CD70="ERROR", "ERROR", IF(AND($FT$6=Y70,E70="Interior"), IF(GB70=0, VLOOKUP(W70, 'Lookup Tables'!$AI$6:$AM$102, 5, FALSE)*BP70, IF(VLOOKUP(W70, 'Lookup Tables'!$AI$6:$AM$102, 5, FALSE)*BP70&gt;GB70*'Lighting Inventory'!S70, GB70*'Lighting Inventory'!S70,VLOOKUP(W70, 'Lookup Tables'!$AI$6:$AM$102, 5, FALSE)*BP70)), "")), 2), "")</f>
        <v/>
      </c>
      <c r="FU70" s="253" t="str">
        <f>IFERROR(ROUND(IF(CD70="ERROR", "ERROR", IF(AND(Y70=$FU$6, E70="Interior"), IF(BS70="N", 'Lookup Tables'!$AM$101*BP70, VLOOKUP(W70, 'Lookup Tables'!$AI$6:$AM$102, 5, FALSE)*S70*AD70), "")), 2), "")</f>
        <v/>
      </c>
      <c r="FV70" s="253" t="str">
        <f>IFERROR(ROUND(IF(CD70="ERROR", "ERROR", IF(AND(Y70=$FU$6, E70="Exterior"), IF(BS70="N", 'Lookup Tables'!$AM$101*BP70, VLOOKUP(W70, 'Lookup Tables'!$AI$6:$AM$102, 5, FALSE)*S70*AD70), "")), 2), "")</f>
        <v/>
      </c>
      <c r="FW70" s="253" t="str">
        <f>IFERROR(ROUND(IF(CD70="ERROR", "ERROR", IF($FW$6=Y70, IF(BS70="N", 'Lookup Tables'!$AM$101*BP70, MIN((VLOOKUP(W70, 'Lookup Tables'!$AI$6:$AM$102, 5, FALSE)*BP70),GB70*AJ70)), "")), 2), "")</f>
        <v/>
      </c>
      <c r="FX70" s="253" t="str">
        <f>IFERROR(ROUND(IF(CD70="ERROR", "ERROR", IF(AND($FX$6=Y70, E70="Interior"), IF(VLOOKUP(W70, 'Lookup Tables'!$AI$6:$AM$102, 5, FALSE)*BP70&gt;'Lookup Tables'!$AQ$97*'Lighting Inventory'!S70,'Lighting Inventory'!S70*'Lookup Tables'!$AQ$97,VLOOKUP(W70, 'Lookup Tables'!$AI$6:$AM$102, 5, FALSE)*BP70), "")), 2), "")</f>
        <v/>
      </c>
      <c r="FY70" s="253" t="str">
        <f>IFERROR(ROUND(IF(CD70="ERROR", "ERROR", IF(AND($FX$6=Y70, E70="Exterior"), IF(VLOOKUP(W70, 'Lookup Tables'!$AI$6:$AM$102, 5, FALSE)*BP70&gt;'Lookup Tables'!$AQ$97*'Lighting Inventory'!S70,'Lighting Inventory'!S70*'Lookup Tables'!$AQ$97,VLOOKUP(W70, 'Lookup Tables'!$AI$6:$AM$102, 5, FALSE)*BP70), "")), 2), "")</f>
        <v/>
      </c>
      <c r="FZ70" s="253" t="str">
        <f>IFERROR(ROUND(IF(CD70="ERROR", "ERROR", IF(AND($FZ$6=Y70, E70="Interior"), IF(AND(OR(W70="Refrigerated Case Lighting with Doors", W70="Freezer Case Lighting"),Y70="Custom - Process Improvement"),CD70*'Lookup Tables'!$AM$101, IF(B70="Retrofit", IF(VLOOKUP(IF(V70="Custom", V70, W70), 'Lookup Tables'!$AI$6:$AM$102, 5, FALSE)*BP70&gt;GE70, GE70, VLOOKUP(IF(V70="Custom", V70, W70), 'Lookup Tables'!$AI$6:$AM$102, 5, FALSE)*BP70), IF(VLOOKUP(IF(V70="Custom", V70, W70), 'Lookup Tables'!$AI$114:$AM$154, 5, FALSE)*BP70&gt;GE70, GE70, VLOOKUP(IF(V70="Custom", V70, W70), 'Lookup Tables'!$AI$114:$AM$154, 5, FALSE)*BP70))), "")), 2),"")</f>
        <v/>
      </c>
      <c r="GA70" s="253" t="str">
        <f>IFERROR(ROUND(IF(CD70="ERROR", "ERROR", IF(AND($FZ$6=Y70, E70="Exterior"), IF(B70="Retrofit", IF(VLOOKUP(IF(V70="Custom", V70, W70), 'Lookup Tables'!$AI$6:$AM$102, 5, FALSE)*BP70&gt;GE70, GE70, VLOOKUP(IF(V70="Custom", V70, W70), 'Lookup Tables'!$AI$6:$AM$102, 5, FALSE)*BP70), IF(VLOOKUP(IF(V70="Custom", V70, W70), 'Lookup Tables'!$AI$114:$AM$154, 5, FALSE)*BP70&gt;GE70, GE70, VLOOKUP(IF(V70="Custom", V70, W70), 'Lookup Tables'!$AI$114:$AM$154, 5, FALSE)*BP70)), "")), 2),"")</f>
        <v/>
      </c>
      <c r="GB70" s="254" t="str">
        <f t="array" ref="GB70">IF(B70="","",IF(OR(V70="Custom",V70="No Change"),0,IF(B70="Retrofit", INDEX('Lookup Tables'!$AH$6:$AQ$102,MATCH(1,('Lookup Tables'!$AH$6:$AH$102='Lighting Inventory'!V70)*('Lookup Tables'!$AI$6:$AI$102='Lighting Inventory'!W70),FALSE),10),INDEX('Lookup Tables'!$AH$114:$AQ$154,MATCH(1,('Lookup Tables'!$AH$114:$AH$154='Lighting Inventory'!V70)*('Lookup Tables'!$AI$114:$AI$154='Lighting Inventory'!W70),FALSE),10))))</f>
        <v/>
      </c>
      <c r="GC70" s="255" t="str">
        <f t="shared" si="77"/>
        <v/>
      </c>
      <c r="GD70" s="250" t="str">
        <f t="shared" si="78"/>
        <v/>
      </c>
      <c r="GE70" s="253" t="str">
        <f>IFERROR(IF(AND(AF70="", 'General Information'!$F$18="No"),"", IF(AF70="", ((GD70/$CD$266)*$CF$266)*0.5, AF70*S70*0.5)), "")</f>
        <v/>
      </c>
      <c r="GF70" s="255" t="str">
        <f>IF(AND('General Information'!$F$19="", 'General Information'!$F$18="Yes",AF70="",BW70="Y"), "Y", "N")</f>
        <v>N</v>
      </c>
      <c r="GG70" s="255" t="s">
        <v>2946</v>
      </c>
      <c r="GH70" s="255" t="str">
        <f>IFERROR(IF(B70="", "", VLOOKUP(J70, 'Fixture Identities'!$A$6:$N$908, 14, FALSE)), "")</f>
        <v/>
      </c>
      <c r="GI70" s="389" t="str">
        <f>IF(OR(B70="", V70="", W70=""), "", IF(AND(OR(M70='Lookup Tables'!$R$18, M70='Lookup Tables'!$R$19, M70='Lookup Tables'!$R$20, M70='Lookup Tables'!$R$21, M70='Lookup Tables'!$R$22), OR(AN70='Lookup Tables'!$R$17, AN70='Lookup Tables'!$R$17, AN70="")), "Y", "N"))</f>
        <v/>
      </c>
      <c r="GJ70" s="255" t="str">
        <f t="shared" si="79"/>
        <v/>
      </c>
      <c r="GK70" s="255" t="str">
        <f t="shared" si="80"/>
        <v/>
      </c>
      <c r="GL70" s="255" t="str">
        <f t="shared" si="81"/>
        <v/>
      </c>
      <c r="GM70" s="255" t="str">
        <f>IF(AN70="", "", IF(AND(IF(ISNA(VLOOKUP(AN70,'Lookup Tables'!$R$18:$R$22,1,FALSE)), "N", "Y")="Y", E70="Exterior"), "Y", "N"))</f>
        <v/>
      </c>
      <c r="GN70" s="395"/>
      <c r="GO70" s="428">
        <f t="shared" si="98"/>
        <v>0</v>
      </c>
      <c r="GP70" s="428">
        <f t="shared" si="167"/>
        <v>0</v>
      </c>
      <c r="GQ70" s="428">
        <f t="shared" si="99"/>
        <v>0</v>
      </c>
      <c r="GR70" s="428">
        <f t="shared" si="100"/>
        <v>0</v>
      </c>
    </row>
    <row r="71" spans="1:200" s="103" customFormat="1" ht="13.5" customHeight="1" x14ac:dyDescent="0.2">
      <c r="A71" s="272">
        <v>61</v>
      </c>
      <c r="B71" s="110"/>
      <c r="C71" s="110"/>
      <c r="D71" s="110"/>
      <c r="E71" s="110"/>
      <c r="F71" s="110"/>
      <c r="G71" s="110"/>
      <c r="H71" s="110"/>
      <c r="I71" s="29"/>
      <c r="J71" s="29"/>
      <c r="K71" s="272" t="str">
        <f>IFERROR(IF(OR(VLOOKUP(J71, 'Fixture Identities'!$A$6:$L$1023, 3, FALSE)="T12 Linear Fluorescent", VLOOKUP(J71, 'Fixture Identities'!$A$6:$L$1023, 3, FALSE)="T12 U-Tube Fluorescent"), VLOOKUP(VLOOKUP(J71, 'Fixture Identities'!$A$6:$L$1023, 11, FALSE), 'Fixture Identities'!$A$6:$L$1023, 10, FALSE), VLOOKUP(J71, 'Fixture Identities'!$A$6:$L$1023, 10, FALSE)), "")</f>
        <v/>
      </c>
      <c r="L71" s="270" t="str">
        <f t="shared" si="169"/>
        <v/>
      </c>
      <c r="M71" s="110"/>
      <c r="N71" s="110"/>
      <c r="O71" s="110"/>
      <c r="P71" s="272" t="str">
        <f>IFERROR(IF(OR(B71="Retrofit",B71=""),"",IF('Lighting Inventory'!E71="Exterior",VLOOKUP('Lighting Inventory'!N71,'Lookup Tables'!$B$83:$F$103,5,FALSE),IF(N71="Other - Please Estimate EFLH and CFs","Contact Prog. Rep.","ft^2"))), "")</f>
        <v/>
      </c>
      <c r="Q71" s="270" t="str">
        <f>IFERROR(IF(AND(B71="New Construction",E71="Interior",$F$5="Space-by-Space"),VLOOKUP('Lighting Inventory'!N71,'Lookup Tables'!$N$6:$O$97,2,FALSE),IF(AND(B71="New Construction",E71="Exterior"),VLOOKUP(N71,'Lookup Tables'!$B$83:$F$103,2,FALSE),IF(AND(B71="New Construction",'Lighting Inventory'!E71="Interior", $F$5="Building Area"),VLOOKUP(F71,'Lookup Tables'!$A$6:$J$59,10,FALSE),""))), "")</f>
        <v/>
      </c>
      <c r="R71" s="270" t="str">
        <f>IFERROR(IF(P71="Contact Prog. Rep.", "ERROR", IF(OR(B71="",B71="Retrofit"),"",IF(N71="Automated teller machines", ('Lookup Tables'!$A$82:$E$100+('Lighting Inventory'!O71-1)*'Lookup Tables'!$A$82:$E$100)/1000, (Q71*O71)/1000))), "")</f>
        <v/>
      </c>
      <c r="S71" s="595"/>
      <c r="T71" s="105" t="str">
        <f t="shared" si="83"/>
        <v/>
      </c>
      <c r="U71" s="105" t="str">
        <f>IF(S71="","",COUNT($S$11:S71))</f>
        <v/>
      </c>
      <c r="V71" s="111"/>
      <c r="W71" s="112"/>
      <c r="X71" s="105" t="str">
        <f t="shared" si="84"/>
        <v/>
      </c>
      <c r="Y71" s="105" t="str">
        <f t="array" ref="Y71">IF(AND(OR(W71="Freezer Case Lighting", W71="Refrigerated Case Lighting with Doors"), 'General Information'!$X$18="LCI"),'Lookup Tables'!$Y$34, IF(V71="Custom", VLOOKUP(W71, 'Fixture Identities'!$A$974:$M$1023, 13, FALSE), IF(V71="No Change",'Lookup Tables'!$Y$29,IF(OR(V71="",W71=""),"",IF(AND(S71=0,S71&lt;I71,B71="Retrofit"),'Lookup Tables'!$Y$25, IF(B71="Retrofit", INDEX('Lookup Tables'!$AH$6:$AP$102, MATCH(1, ('Lookup Tables'!$AH$6:$AH$102=V71)*('Lookup Tables'!$AI$6:$AI$102=W71), 0), IF('Lighting Inventory'!E71="Interior", 4, 5)), INDEX('Lookup Tables'!$AH$114:$AP$154, MATCH(1, ('Lookup Tables'!$AH$114:$AH$154=V71)*('Lookup Tables'!$AI$114:$AI$154=W71), 0), IF('Lighting Inventory'!E71="Interior", 4, 5))))))))</f>
        <v/>
      </c>
      <c r="Z71" s="105" t="str">
        <f>IFERROR(INDEX('Lookup Tables'!$AH$158:$AH$172,MATCH('Lighting Inventory'!Y71,'Lookup Tables'!$AI$158:$AI$172,0)),"")</f>
        <v/>
      </c>
      <c r="AA71" s="105" t="str">
        <f>IF(AP71&gt;0,INDEX('Lookup Tables'!$AK$158:$AK$172,MATCH('Lighting Inventory'!Y71,'Lookup Tables'!$AI$158:$AI$172,0)),'Lighting Inventory'!Y71)</f>
        <v/>
      </c>
      <c r="AB71" s="105" t="str">
        <f t="array" ref="AB71">IF(V71="Custom", "Custom", IF(V71="", "", IF(V71="Not DLC or Energy Star", "General", IF(B71="New Construction", INDEX('Lookup Tables'!$AH$114:$AP$154,MATCH(1,('Lookup Tables'!$AH$114:$AH$154='Lighting Inventory'!V71)*('Lookup Tables'!$AI$114:$AI$154='Lighting Inventory'!W71),FALSE),8), INDEX('Lookup Tables'!$AH$6:$AP$102,MATCH(1,('Lookup Tables'!$AH$6:$AH$102='Lighting Inventory'!V71)*('Lookup Tables'!$AI$6:$AI$102='Lighting Inventory'!W71),FALSE),8)))))</f>
        <v/>
      </c>
      <c r="AC71" s="272" t="str">
        <f>IF(W71="","",IF(V71="Custom",CONCATENATE("$",'Lookup Tables'!$AM$101," ",'Lookup Tables'!$AN$101),CONCATENATE("$",INDEX('Lookup Tables'!$AM$6:$AM$102,MATCH('Lighting Inventory'!W71,'Lookup Tables'!$AI$6:$AI$102,0))," ",INDEX('Lookup Tables'!$AN$6:$AN$102,MATCH('Lighting Inventory'!W71,'Lookup Tables'!$AI$6:$AI$102,0)))))</f>
        <v/>
      </c>
      <c r="AD71" s="72"/>
      <c r="AE71" s="29"/>
      <c r="AF71" s="379"/>
      <c r="AG71" s="370" t="str">
        <f t="shared" si="2"/>
        <v/>
      </c>
      <c r="AH71" s="370" t="str">
        <f t="shared" si="85"/>
        <v/>
      </c>
      <c r="AI71" s="29"/>
      <c r="AJ71" s="29"/>
      <c r="AK71" s="110"/>
      <c r="AL71" s="375" t="str">
        <f>IF(OR(B71="", V71="", W71=""), "", IF(V71="No Change", K71, IF(V71="Remove Fixture", 0, IF(V71="Custom",VLOOKUP(W71,'Fixture Identities'!$A$6:$K$1023,10,FALSE),IF(AE71="", "← ENTER POST WATTS", 'Lighting Inventory'!AE71)))))</f>
        <v/>
      </c>
      <c r="AM71" s="376" t="str">
        <f t="shared" si="3"/>
        <v/>
      </c>
      <c r="AN71" s="29"/>
      <c r="AO71" s="671"/>
      <c r="AP71" s="29"/>
      <c r="AQ71" s="29"/>
      <c r="AR71" s="29"/>
      <c r="AS71" s="272" t="str">
        <f t="shared" si="4"/>
        <v/>
      </c>
      <c r="AT71" s="270" t="str">
        <f t="shared" si="234"/>
        <v/>
      </c>
      <c r="AU71" s="88" t="str">
        <f t="shared" si="235"/>
        <v/>
      </c>
      <c r="AV71" s="29"/>
      <c r="AW71" s="73"/>
      <c r="AX71" s="271" t="str">
        <f>IF(AND(AV71="Applicant",OR(AW71="", AW71="Use Default Facility Hours")),"← Choose Schedule",IF(F71="","",IF(W71="LED Exit Signs",8760,IF(OR(AV71="Prescribed",AV71=""),VLOOKUP(F71,'Lookup Tables'!$A$6:$G$59,IF(AB71="General", 6, 3),FALSE),VLOOKUP(AW71,'Lookup Tables'!$S$36:$U$43,2,FALSE)))))</f>
        <v/>
      </c>
      <c r="AY71" s="88" t="str">
        <f t="shared" si="7"/>
        <v/>
      </c>
      <c r="AZ71" s="270" t="str">
        <f>IFERROR(IF(F71="", "", IF(W71="LED Exit Signs", 1, IF(AV71="Applicant",VLOOKUP(AW71, 'Lookup Tables'!$S$36:$U$43,3, FALSE), VLOOKUP('Lighting Inventory'!F71, 'Lookup Tables'!$A$6:$H$59, IF('Lighting Inventory'!AB71="General",7,4), FALSE)))), "")</f>
        <v/>
      </c>
      <c r="BA71" s="522" t="str">
        <f>IFERROR(IF(F71="", "", IF(W71="LED Exit Signs", 1, VLOOKUP('Lighting Inventory'!F71, 'Lookup Tables'!$A$6:$H$59, IF('Lighting Inventory'!AB71="General",8,5), FALSE))), "")</f>
        <v/>
      </c>
      <c r="BB71" s="270" t="str">
        <f>IF(G71="", "", IF(E71="Exterior", 0, IF('Lighting Inventory'!G71="Air Conditioned", VLOOKUP(H71, 'Lookup Tables'!$R$6:$T$13, 2, FALSE), VLOOKUP('Lighting Inventory'!G71, 'Lookup Tables'!$R$6:$T$13, 2, FALSE))))</f>
        <v/>
      </c>
      <c r="BC71" s="522" t="str">
        <f>IF(G71="", "", IF(E71="Exterior", 0, IF('Lighting Inventory'!G71="Air Conditioned", VLOOKUP(H71, 'Lookup Tables'!$R$6:$T$13, 3, FALSE), VLOOKUP('Lighting Inventory'!G71, 'Lookup Tables'!$R$6:$T$13, 3, FALSE))))</f>
        <v/>
      </c>
      <c r="BD71" s="270" t="str">
        <f>IF(G71="", "", IF(E71="Exterior", 0, IF('Lighting Inventory'!G71="Air Conditioned", VLOOKUP(H71, 'Lookup Tables'!$R$6:$U$13, 4, FALSE), VLOOKUP('Lighting Inventory'!G71, 'Lookup Tables'!$R$6:$U$13, 4, FALSE))))</f>
        <v/>
      </c>
      <c r="BE71" s="270" t="str">
        <f>IFERROR(IF(B71="", "",  IF(B71="New Construction", VLOOKUP(F71, 'Lookup Tables'!$A$6:$K$59, 11, FALSE),IF(OR(AN71="", AN71="Light Switch"), 0, IF(OR(M71="",M71="None",V71= "LED Exit Signs"),0,_xlfn.XLOOKUP(M71,'Lookup Tables'!$R$91:$R$101,'Lookup Tables'!$V$91:$V$101))))), "")</f>
        <v/>
      </c>
      <c r="BF71" s="270" t="str">
        <f>IF(AND(OR(AN71="Light Switch",AN71=""),B71="New Construction"), VLOOKUP(F71, 'Lookup Tables'!$A$6:$K$59, 11, FALSE),IF(AN71="","",IF(B71="","",IF(OR(AN71="None",AN71="",V71="LED Exit Signs",AN71="Exterior Controls Not Eligible"),0,_xlfn.XLOOKUP(AN71,'Lookup Tables'!$R$91:$R$101,'Lookup Tables'!$V$91:$V$101)))))</f>
        <v/>
      </c>
      <c r="BG71" s="88" t="str">
        <f t="shared" si="86"/>
        <v/>
      </c>
      <c r="BH71" s="88" t="str">
        <f t="shared" si="87"/>
        <v/>
      </c>
      <c r="BI71" s="558" t="str">
        <f t="shared" si="168"/>
        <v/>
      </c>
      <c r="BJ71" s="82" t="str">
        <f t="shared" si="88"/>
        <v/>
      </c>
      <c r="BK71" s="82" t="str">
        <f t="shared" si="89"/>
        <v/>
      </c>
      <c r="BL71" s="559" t="str">
        <f t="shared" si="90"/>
        <v/>
      </c>
      <c r="BM71" s="521" t="str">
        <f t="shared" si="8"/>
        <v/>
      </c>
      <c r="BN71" s="521" t="str">
        <f t="shared" si="9"/>
        <v/>
      </c>
      <c r="BO71" s="522" t="str">
        <f t="shared" si="10"/>
        <v/>
      </c>
      <c r="BP71" s="83" t="str">
        <f t="shared" si="91"/>
        <v/>
      </c>
      <c r="BQ71" s="84" t="str">
        <f t="shared" si="92"/>
        <v/>
      </c>
      <c r="BR71" s="184" t="str">
        <f>IFERROR(IF(B71="", "", IF(OR(VLOOKUP(J71, 'Fixture Identities'!$A$6:$L$1023, 3, FALSE)="T12 Linear Fluorescent",VLOOKUP(J71, 'Fixture Identities'!$A$6:$L$1023, 3, FALSE)="T12 U-Tube Fluorescent"), "Y", "N")), "N")</f>
        <v/>
      </c>
      <c r="BS71" s="184" t="str">
        <f t="array" ref="BS71">IFERROR(IF(OR(B71="", V71="", W71=""), "", IF(V71="Custom", "N", IF(OR(W71="Freezer Case Lighting", W71="Refrigerated Case Lighting with Doors"), BT71, IF(B71="Retrofit", INDEX('Lookup Tables'!$AH$6:$AT$102,MATCH(1,('Lookup Tables'!$AH$6:$AH$102=V71)*('Lookup Tables'!$AI$6:$AI$102=W71),FALSE),IF(VLOOKUP(J71, 'Fixture Identities'!$A$6:$B$1023, 2, FALSE)="Incandescent",12, 13)), INDEX('Lookup Tables'!$AH$114:$AS$154,MATCH(1,('Lookup Tables'!$AH$114:$AH$154=V71)*('Lookup Tables'!$AI$114:$AI$154=W71),FALSE),12))))), "N")</f>
        <v/>
      </c>
      <c r="BT71" s="184" t="str">
        <f>IF(J71="", "", IF(AND(OR(W71="Freezer case Lighting", W71="Refrigerated Case Lighting with Doors"),'General Information'!$X$18="LCI"), "N", IF(OR(VLOOKUP(J71, 'Fixture Identities'!$A$6:$B$1023, 2, FALSE)="T12 EPACT/EISA Baseline", VLOOKUP(J71, 'Fixture Identities'!$A$6:$B$1023, 2, FALSE)="Linear Fluorescent", VLOOKUP(J71, 'Fixture Identities'!$A$6:$B$1023, 2, FALSE)="U-Tube Fluorescent"), "Y", "N")))</f>
        <v/>
      </c>
      <c r="BU71" s="184" t="str">
        <f>IFERROR(IF(B71="", "", IF(VLOOKUP(J71, 'Fixture Identities'!$A$6:$B$1023, 2, FALSE)="Exit Sign", "Y", "N")), "N")</f>
        <v/>
      </c>
      <c r="BV71" s="184" t="str">
        <f>IF(V71="Exit Signs", IF(VLOOKUP(J71, 'Fixture Identities'!$A$6:$B$1023, 2, FALSE)="Exit Sign", "N", "Y"), "")</f>
        <v/>
      </c>
      <c r="BW71" s="184" t="str">
        <f t="array" ref="BW71">IFERROR(IF(B71="", "", IF(B71="New Construction", "N", INDEX('Lookup Tables'!$AH$6:$AU$102, MATCH(1, ('Lookup Tables'!$AH$6:$AH$102='Lighting Inventory'!V71)*('Lookup Tables'!$AI$6:$AI$102='Lighting Inventory'!W71), 0), 14))), "N")</f>
        <v/>
      </c>
      <c r="BX71" s="598" t="str">
        <f t="shared" si="93"/>
        <v/>
      </c>
      <c r="BY71" s="598" t="str">
        <f t="shared" si="94"/>
        <v/>
      </c>
      <c r="BZ71" s="598" t="str">
        <f t="shared" si="95"/>
        <v/>
      </c>
      <c r="CA71" s="598" t="str">
        <f t="shared" si="101"/>
        <v/>
      </c>
      <c r="CB71" s="269" t="str">
        <f t="shared" si="102"/>
        <v/>
      </c>
      <c r="CC71" s="517" t="str">
        <f t="shared" si="96"/>
        <v/>
      </c>
      <c r="CD71" s="565" t="str">
        <f t="shared" si="11"/>
        <v/>
      </c>
      <c r="CE71" s="368">
        <v>0</v>
      </c>
      <c r="CF71" s="368" t="str" cm="1">
        <f t="array" ref="CF71">IFERROR(IF(V71="Custom", "$0.1 per kWh", IF(B71="New Construction", CONCATENATE("$",INDEX('Lookup Tables'!$AH$114:$AN$154,MATCH(1,('Lookup Tables'!$AH$114:$AH$154='Lighting Inventory'!V71)*('Lookup Tables'!$AI$114:$AI$154='Lighting Inventory'!W71),FALSE),6)," ",INDEX('Lookup Tables'!$AH$114:$AN$154,MATCH(1,('Lookup Tables'!$AH$114:$AH$154='Lighting Inventory'!V71)*('Lookup Tables'!$AI$114:$AI$154='Lighting Inventory'!W71),FALSE),7)), IF(AND(BU71="N", V71="Exit Signs"), "$0.025 per kWh", CONCATENATE("$",INDEX('Lookup Tables'!$AH$6:$AN$102,MATCH(1,('Lookup Tables'!$AH$6:$AH$102='Lighting Inventory'!V71)*('Lookup Tables'!$AI$6:$AI$102='Lighting Inventory'!W71),FALSE),6)," ",INDEX('Lookup Tables'!$AH$6:$AN$102,MATCH(1,('Lookup Tables'!$AH$6:$AH$102='Lighting Inventory'!V71)*('Lookup Tables'!$AI$6:$AI$102='Lighting Inventory'!W71),FALSE),7))))), "")</f>
        <v/>
      </c>
      <c r="CG71" s="366"/>
      <c r="CH71" s="248" t="str">
        <f t="shared" si="236"/>
        <v/>
      </c>
      <c r="CI71" s="248" t="str">
        <f t="shared" si="237"/>
        <v>Select_IE</v>
      </c>
      <c r="CJ71" s="248" t="str">
        <f t="shared" si="238"/>
        <v/>
      </c>
      <c r="CK71" s="248" t="str">
        <f t="shared" si="239"/>
        <v/>
      </c>
      <c r="CL71" s="248" t="str">
        <f t="shared" si="240"/>
        <v/>
      </c>
      <c r="CM71" s="248" t="str">
        <f>IFERROR(IF(B71="", "", IF(B71="New Construction", VLOOKUP(V71, 'Lookup Tables'!$AF$114:$AG$120, 2, FALSE), VLOOKUP(V71, 'Lookup Tables'!$AD$6:$AE$25, 2, FALSE))), "")</f>
        <v/>
      </c>
      <c r="CN71" s="248" t="str">
        <f t="shared" si="175"/>
        <v/>
      </c>
      <c r="CO71" s="248" t="str">
        <f t="shared" si="241"/>
        <v/>
      </c>
      <c r="CP71" s="592" t="str">
        <f t="shared" si="242"/>
        <v/>
      </c>
      <c r="CQ71" s="248" t="str">
        <f t="shared" si="97"/>
        <v/>
      </c>
      <c r="CR71" s="100"/>
      <c r="CS71" s="250" t="str">
        <f t="shared" si="178"/>
        <v/>
      </c>
      <c r="CT71" s="250" t="str">
        <f t="shared" si="243"/>
        <v/>
      </c>
      <c r="CU71" s="250" t="str">
        <f t="shared" si="244"/>
        <v/>
      </c>
      <c r="CV71" s="250" t="str">
        <f t="shared" si="245"/>
        <v/>
      </c>
      <c r="CW71" s="250" t="str">
        <f t="shared" si="246"/>
        <v/>
      </c>
      <c r="CX71" s="250" t="str">
        <f t="shared" si="247"/>
        <v/>
      </c>
      <c r="CY71" s="250" t="str">
        <f t="shared" si="248"/>
        <v/>
      </c>
      <c r="CZ71" s="250" t="str">
        <f t="shared" si="249"/>
        <v/>
      </c>
      <c r="DA71" s="250" t="str">
        <f t="shared" si="250"/>
        <v/>
      </c>
      <c r="DB71" s="250" t="str">
        <f t="shared" si="251"/>
        <v/>
      </c>
      <c r="DC71" s="250" t="str">
        <f t="shared" si="252"/>
        <v/>
      </c>
      <c r="DD71" s="250" t="str">
        <f t="shared" si="253"/>
        <v/>
      </c>
      <c r="DE71" s="250" t="str">
        <f t="shared" si="254"/>
        <v/>
      </c>
      <c r="DF71" s="250" t="str">
        <f t="shared" si="255"/>
        <v/>
      </c>
      <c r="DG71" s="250" t="str">
        <f t="shared" si="256"/>
        <v/>
      </c>
      <c r="DH71" s="250" t="str">
        <f t="shared" si="257"/>
        <v/>
      </c>
      <c r="DI71" s="250" t="str">
        <f t="shared" si="258"/>
        <v/>
      </c>
      <c r="DJ71" s="250" t="str">
        <f t="shared" si="259"/>
        <v/>
      </c>
      <c r="DK71" s="250" t="str">
        <f t="shared" si="260"/>
        <v/>
      </c>
      <c r="DL71" s="250" t="str">
        <f t="shared" si="261"/>
        <v/>
      </c>
      <c r="DM71" s="250" t="str">
        <f>IF(CD71="ERROR", "ERROR", IF(AND(OR(Y71=$DM$6, Y71='Lookup Tables'!$AD$21, Y71='Lookup Tables'!$AD$22), E71="Interior"), BJ71, ""))</f>
        <v/>
      </c>
      <c r="DN71" s="250" t="str">
        <f>IF(CD71="ERROR", "ERROR", IF(AND(OR(Y71=$DM$6, Y71='Lookup Tables'!$AD$21, Y71='Lookup Tables'!$AD$22), E71="Exterior"), BJ71, ""))</f>
        <v/>
      </c>
      <c r="DO71" s="100"/>
      <c r="DP71" s="250" t="str">
        <f t="shared" si="198"/>
        <v/>
      </c>
      <c r="DQ71" s="250" t="str">
        <f t="shared" si="262"/>
        <v/>
      </c>
      <c r="DR71" s="250" t="str">
        <f t="shared" si="263"/>
        <v/>
      </c>
      <c r="DS71" s="250" t="str">
        <f t="shared" si="264"/>
        <v/>
      </c>
      <c r="DT71" s="250" t="str">
        <f t="shared" si="265"/>
        <v/>
      </c>
      <c r="DU71" s="250" t="str">
        <f t="shared" si="266"/>
        <v/>
      </c>
      <c r="DV71" s="250" t="str">
        <f t="shared" si="267"/>
        <v/>
      </c>
      <c r="DW71" s="250" t="str">
        <f t="shared" si="268"/>
        <v/>
      </c>
      <c r="DX71" s="250" t="str">
        <f t="shared" si="269"/>
        <v/>
      </c>
      <c r="DY71" s="250" t="str">
        <f t="shared" si="270"/>
        <v/>
      </c>
      <c r="DZ71" s="250" t="str">
        <f t="shared" si="271"/>
        <v/>
      </c>
      <c r="EA71" s="250" t="str">
        <f t="shared" si="272"/>
        <v/>
      </c>
      <c r="EB71" s="250" t="str">
        <f t="shared" si="273"/>
        <v/>
      </c>
      <c r="EC71" s="250" t="str">
        <f t="shared" si="274"/>
        <v/>
      </c>
      <c r="ED71" s="250" t="str">
        <f t="shared" si="275"/>
        <v/>
      </c>
      <c r="EE71" s="250" t="str">
        <f t="shared" si="276"/>
        <v/>
      </c>
      <c r="EF71" s="250" t="str">
        <f t="shared" si="277"/>
        <v/>
      </c>
      <c r="EG71" s="250" t="str">
        <f t="shared" si="278"/>
        <v/>
      </c>
      <c r="EH71" s="250" t="str">
        <f>IF(CD71="ERROR", "ERROR", IF(AND(OR($EH$6=Y71, Y71='Lookup Tables'!$AD$21, Y71='Lookup Tables'!$AD$22),E71="Interior"), SUM(BP71:BP71), ""))</f>
        <v/>
      </c>
      <c r="EI71" s="250" t="str">
        <f>IF(CD71="ERROR", "ERROR", IF(AND(OR($EH$6=Y71, Y71='Lookup Tables'!$AD$21, Y71='Lookup Tables'!$AD$22),E71="Exterior"), SUM(BP71:BP71), ""))</f>
        <v/>
      </c>
      <c r="EJ71" s="109"/>
      <c r="EK71" s="485" t="str">
        <f t="shared" si="58"/>
        <v/>
      </c>
      <c r="EL71" s="252" t="str">
        <f t="shared" si="279"/>
        <v/>
      </c>
      <c r="EM71" s="252" t="str">
        <f t="shared" si="280"/>
        <v/>
      </c>
      <c r="EN71" s="252" t="str">
        <f t="shared" si="281"/>
        <v/>
      </c>
      <c r="EO71" s="252" t="str">
        <f t="shared" si="282"/>
        <v/>
      </c>
      <c r="EP71" s="252" t="str">
        <f t="shared" si="283"/>
        <v/>
      </c>
      <c r="EQ71" s="252" t="str">
        <f t="shared" si="284"/>
        <v/>
      </c>
      <c r="ER71" s="252" t="str">
        <f t="shared" si="285"/>
        <v/>
      </c>
      <c r="ES71" s="252" t="str">
        <f t="shared" si="286"/>
        <v/>
      </c>
      <c r="ET71" s="252" t="str">
        <f t="shared" si="287"/>
        <v/>
      </c>
      <c r="EU71" s="252" t="str">
        <f t="shared" si="288"/>
        <v/>
      </c>
      <c r="EV71" s="252" t="str">
        <f t="shared" si="289"/>
        <v/>
      </c>
      <c r="EW71" s="252" t="str">
        <f t="shared" si="290"/>
        <v/>
      </c>
      <c r="EX71" s="252" t="str">
        <f t="shared" si="291"/>
        <v/>
      </c>
      <c r="EY71" s="252" t="str">
        <f t="shared" si="292"/>
        <v/>
      </c>
      <c r="EZ71" s="252" t="str">
        <f t="shared" si="293"/>
        <v/>
      </c>
      <c r="FA71" s="252" t="str">
        <f t="shared" si="294"/>
        <v/>
      </c>
      <c r="FB71" s="252" t="str">
        <f t="shared" si="295"/>
        <v/>
      </c>
      <c r="FC71" s="252" t="str">
        <f>IF(CD71="ERROR", "ERROR", IF(OR(V71="No Change", V71="Not DLC or Energy Star"), "", IF(AND(OR($FC$6=Y71,Y71='Lookup Tables'!$AD$21, Y71='Lookup Tables'!$AD$22),E71="Interior"), S71, "")))</f>
        <v/>
      </c>
      <c r="FD71" s="252" t="str">
        <f t="shared" si="296"/>
        <v/>
      </c>
      <c r="FE71" s="101"/>
      <c r="FF71" s="579" t="str" cm="1">
        <f t="array" ref="FF71">IFERROR(IF(OR(BQ71&lt;=0,AQ71&lt;20,AND(V71="Exit Signs",AN71&gt;0)),"",IF(AND(AQ71&gt;=20,AN71='Lookup Tables'!$R$101),'Lookup Tables'!$U$101*BQ71,AP71*LOOKUP(2,1/((AN71='Lookup Tables'!$R$91:$R$111)*(AQ71&gt;='Lookup Tables'!$S$91:$S$111)*(AQ71&lt;='Lookup Tables'!$T$91:$T$111)),'Lookup Tables'!$U$91:$U$111))),"")</f>
        <v/>
      </c>
      <c r="FG71" s="579"/>
      <c r="FH71" s="579"/>
      <c r="FI71" s="253" t="str">
        <f>IFERROR(ROUND(IF(CD71="ERROR", "ERROR", IF(AND($FI$7=X71,E71="Interior"),VLOOKUP(W71, 'Lookup Tables'!$AI$6:$AM$102, 5, FALSE)*BP71, "")), 2), "")</f>
        <v/>
      </c>
      <c r="FJ71" s="253" t="str">
        <f>IFERROR(ROUND(IF(CD71="ERROR", "ERROR", IF(AND($FI$7=X71,E71="Exterior"),VLOOKUP(W71, 'Lookup Tables'!$AI$6:$AM$102, 5, FALSE)*BP71, "")), 2), "")</f>
        <v/>
      </c>
      <c r="FK71" s="253" t="str">
        <f>IFERROR(ROUND(IF(CD71="ERROR", "ERROR", IF(AND($FK$7=X71,E71="Interior"),VLOOKUP(W71, 'Lookup Tables'!$AI$6:$AM$102, 5, FALSE)*BP71, "")), 2), "")</f>
        <v/>
      </c>
      <c r="FL71" s="253" t="str">
        <f>IFERROR(ROUND(IF(CD71="ERROR", "ERROR", IF(AND($FK$7=X71,E71="Exterior"),VLOOKUP(W71, 'Lookup Tables'!$AI$6:$AM$102, 5, FALSE)*BP71, "")), 2), "")</f>
        <v/>
      </c>
      <c r="FM71" s="253" t="str">
        <f>IFERROR(ROUND(IF(CD71="ERROR", "ERROR", IF(AND($FM$6=Y71,E71="Interior"), IF(GB71=0, VLOOKUP(W71, 'Lookup Tables'!$AI$6:$AM$102, 5, FALSE)*BP71, IF(VLOOKUP(W71, 'Lookup Tables'!$AI$6:$AM$102, 5, FALSE)*BP71&gt;GB71*'Lighting Inventory'!S71, GB71*'Lighting Inventory'!S71,VLOOKUP(W71, 'Lookup Tables'!$AI$6:$AM$102, 5, FALSE)*BP71)), "")), 2), "")</f>
        <v/>
      </c>
      <c r="FN71" s="253" t="str">
        <f>IFERROR(ROUND(IF(CD71="ERROR", "ERROR", IF(AND($FM$6=Y71,E71="Exterior"), IF(GB71=0, VLOOKUP(W71, 'Lookup Tables'!$AI$6:$AM$102, 5, FALSE)*BP71, IF(VLOOKUP(W71, 'Lookup Tables'!$AI$6:$AM$102, 5, FALSE)*BP71&gt;GB71*'Lighting Inventory'!S71, GB71*'Lighting Inventory'!S71,VLOOKUP(W71, 'Lookup Tables'!$AI$6:$AM$102, 5, FALSE)*BP71)), "")), 2), "")</f>
        <v/>
      </c>
      <c r="FO71" s="253" t="str">
        <f>IFERROR(ROUND(IF(CD71="ERROR", "ERROR", IF(AND($FO$6=Y71,E71="Interior"),VLOOKUP(W71, 'Lookup Tables'!$AI$6:$AM$102, 5, FALSE)*'Lighting Inventory'!AI71, "")), 2), "")</f>
        <v/>
      </c>
      <c r="FP71" s="253" t="str">
        <f>IFERROR(ROUND(IF(CD71="ERROR", "ERROR", IF(AND($FO$6=Y71,E71="Exterior"),VLOOKUP(W71, 'Lookup Tables'!$AI$6:$AM$102, 5, FALSE)*'Lighting Inventory'!AI71, "")), 2), "")</f>
        <v/>
      </c>
      <c r="FQ71" s="253" t="str">
        <f>IFERROR(ROUND(IF(CD71="ERROR", "ERROR", IF(AND($FQ$6=Y71,E71="Interior", BU71="Y"), VLOOKUP('Lighting Inventory'!W71, 'Lookup Tables'!$AI$6:$AM$102, 5, FALSE)*'Lighting Inventory'!S71, IF(AND($FQ$7=Y71,E71="Interior", BU71="N"), 0.025*CD71, ""))), 2), "")</f>
        <v/>
      </c>
      <c r="FR71" s="253" t="str">
        <f>IFERROR(ROUND(IF(CD71="ERROR", "ERROR", IF(AND($FQ$6=Y71,E71="Exterior"), VLOOKUP('Lighting Inventory'!W71, 'Lookup Tables'!$AI$6:$AM$102, 5, FALSE)*'Lighting Inventory'!S71, "")), 2), "")</f>
        <v/>
      </c>
      <c r="FS71" s="253" t="str">
        <f>IFERROR(ROUND(IF(CD71="ERROR", "ERROR", IF(AND($FS$6=Y71,E71="Exterior"), IF(GB71=0, VLOOKUP(W71, 'Lookup Tables'!$AI$6:$AM$102, 5, FALSE)*BP71, IF(VLOOKUP(W71, 'Lookup Tables'!$AI$6:$AM$102, 5, FALSE)*BP71&gt;GB71*'Lighting Inventory'!S71, GB71*'Lighting Inventory'!S71,VLOOKUP(W71, 'Lookup Tables'!$AI$6:$AM$102, 5, FALSE)*BP71)), "")), 2), "")</f>
        <v/>
      </c>
      <c r="FT71" s="253" t="str">
        <f>IFERROR(ROUND(IF(CD71="ERROR", "ERROR", IF(AND($FT$6=Y71,E71="Interior"), IF(GB71=0, VLOOKUP(W71, 'Lookup Tables'!$AI$6:$AM$102, 5, FALSE)*BP71, IF(VLOOKUP(W71, 'Lookup Tables'!$AI$6:$AM$102, 5, FALSE)*BP71&gt;GB71*'Lighting Inventory'!S71, GB71*'Lighting Inventory'!S71,VLOOKUP(W71, 'Lookup Tables'!$AI$6:$AM$102, 5, FALSE)*BP71)), "")), 2), "")</f>
        <v/>
      </c>
      <c r="FU71" s="253" t="str">
        <f>IFERROR(ROUND(IF(CD71="ERROR", "ERROR", IF(AND(Y71=$FU$6, E71="Interior"), IF(BS71="N", 'Lookup Tables'!$AM$101*BP71, VLOOKUP(W71, 'Lookup Tables'!$AI$6:$AM$102, 5, FALSE)*S71*AD71), "")), 2), "")</f>
        <v/>
      </c>
      <c r="FV71" s="253" t="str">
        <f>IFERROR(ROUND(IF(CD71="ERROR", "ERROR", IF(AND(Y71=$FU$6, E71="Exterior"), IF(BS71="N", 'Lookup Tables'!$AM$101*BP71, VLOOKUP(W71, 'Lookup Tables'!$AI$6:$AM$102, 5, FALSE)*S71*AD71), "")), 2), "")</f>
        <v/>
      </c>
      <c r="FW71" s="253" t="str">
        <f>IFERROR(ROUND(IF(CD71="ERROR", "ERROR", IF($FW$6=Y71, IF(BS71="N", 'Lookup Tables'!$AM$101*BP71, MIN((VLOOKUP(W71, 'Lookup Tables'!$AI$6:$AM$102, 5, FALSE)*BP71),GB71*AJ71)), "")), 2), "")</f>
        <v/>
      </c>
      <c r="FX71" s="253" t="str">
        <f>IFERROR(ROUND(IF(CD71="ERROR", "ERROR", IF(AND($FX$6=Y71, E71="Interior"), IF(VLOOKUP(W71, 'Lookup Tables'!$AI$6:$AM$102, 5, FALSE)*BP71&gt;'Lookup Tables'!$AQ$97*'Lighting Inventory'!S71,'Lighting Inventory'!S71*'Lookup Tables'!$AQ$97,VLOOKUP(W71, 'Lookup Tables'!$AI$6:$AM$102, 5, FALSE)*BP71), "")), 2), "")</f>
        <v/>
      </c>
      <c r="FY71" s="253" t="str">
        <f>IFERROR(ROUND(IF(CD71="ERROR", "ERROR", IF(AND($FX$6=Y71, E71="Exterior"), IF(VLOOKUP(W71, 'Lookup Tables'!$AI$6:$AM$102, 5, FALSE)*BP71&gt;'Lookup Tables'!$AQ$97*'Lighting Inventory'!S71,'Lighting Inventory'!S71*'Lookup Tables'!$AQ$97,VLOOKUP(W71, 'Lookup Tables'!$AI$6:$AM$102, 5, FALSE)*BP71), "")), 2), "")</f>
        <v/>
      </c>
      <c r="FZ71" s="253" t="str">
        <f>IFERROR(ROUND(IF(CD71="ERROR", "ERROR", IF(AND($FZ$6=Y71, E71="Interior"), IF(AND(OR(W71="Refrigerated Case Lighting with Doors", W71="Freezer Case Lighting"),Y71="Custom - Process Improvement"),CD71*'Lookup Tables'!$AM$101, IF(B71="Retrofit", IF(VLOOKUP(IF(V71="Custom", V71, W71), 'Lookup Tables'!$AI$6:$AM$102, 5, FALSE)*BP71&gt;GE71, GE71, VLOOKUP(IF(V71="Custom", V71, W71), 'Lookup Tables'!$AI$6:$AM$102, 5, FALSE)*BP71), IF(VLOOKUP(IF(V71="Custom", V71, W71), 'Lookup Tables'!$AI$114:$AM$154, 5, FALSE)*BP71&gt;GE71, GE71, VLOOKUP(IF(V71="Custom", V71, W71), 'Lookup Tables'!$AI$114:$AM$154, 5, FALSE)*BP71))), "")), 2),"")</f>
        <v/>
      </c>
      <c r="GA71" s="253" t="str">
        <f>IFERROR(ROUND(IF(CD71="ERROR", "ERROR", IF(AND($FZ$6=Y71, E71="Exterior"), IF(B71="Retrofit", IF(VLOOKUP(IF(V71="Custom", V71, W71), 'Lookup Tables'!$AI$6:$AM$102, 5, FALSE)*BP71&gt;GE71, GE71, VLOOKUP(IF(V71="Custom", V71, W71), 'Lookup Tables'!$AI$6:$AM$102, 5, FALSE)*BP71), IF(VLOOKUP(IF(V71="Custom", V71, W71), 'Lookup Tables'!$AI$114:$AM$154, 5, FALSE)*BP71&gt;GE71, GE71, VLOOKUP(IF(V71="Custom", V71, W71), 'Lookup Tables'!$AI$114:$AM$154, 5, FALSE)*BP71)), "")), 2),"")</f>
        <v/>
      </c>
      <c r="GB71" s="254" t="str">
        <f t="array" ref="GB71">IF(B71="","",IF(OR(V71="Custom",V71="No Change"),0,IF(B71="Retrofit", INDEX('Lookup Tables'!$AH$6:$AQ$102,MATCH(1,('Lookup Tables'!$AH$6:$AH$102='Lighting Inventory'!V71)*('Lookup Tables'!$AI$6:$AI$102='Lighting Inventory'!W71),FALSE),10),INDEX('Lookup Tables'!$AH$114:$AQ$154,MATCH(1,('Lookup Tables'!$AH$114:$AH$154='Lighting Inventory'!V71)*('Lookup Tables'!$AI$114:$AI$154='Lighting Inventory'!W71),FALSE),10))))</f>
        <v/>
      </c>
      <c r="GC71" s="255" t="str">
        <f t="shared" si="77"/>
        <v/>
      </c>
      <c r="GD71" s="250" t="str">
        <f t="shared" si="78"/>
        <v/>
      </c>
      <c r="GE71" s="253" t="str">
        <f>IFERROR(IF(AND(AF71="", 'General Information'!$F$18="No"),"", IF(AF71="", ((GD71/$CD$266)*$CF$266)*0.5, AF71*S71*0.5)), "")</f>
        <v/>
      </c>
      <c r="GF71" s="255" t="str">
        <f>IF(AND('General Information'!$F$19="", 'General Information'!$F$18="Yes",AF71="",BW71="Y"), "Y", "N")</f>
        <v>N</v>
      </c>
      <c r="GG71" s="255" t="s">
        <v>2946</v>
      </c>
      <c r="GH71" s="255" t="str">
        <f>IFERROR(IF(B71="", "", VLOOKUP(J71, 'Fixture Identities'!$A$6:$N$908, 14, FALSE)), "")</f>
        <v/>
      </c>
      <c r="GI71" s="389" t="str">
        <f>IF(OR(B71="", V71="", W71=""), "", IF(AND(OR(M71='Lookup Tables'!$R$18, M71='Lookup Tables'!$R$19, M71='Lookup Tables'!$R$20, M71='Lookup Tables'!$R$21, M71='Lookup Tables'!$R$22), OR(AN71='Lookup Tables'!$R$17, AN71='Lookup Tables'!$R$17, AN71="")), "Y", "N"))</f>
        <v/>
      </c>
      <c r="GJ71" s="255" t="str">
        <f t="shared" si="79"/>
        <v/>
      </c>
      <c r="GK71" s="255" t="str">
        <f t="shared" si="80"/>
        <v/>
      </c>
      <c r="GL71" s="255" t="str">
        <f t="shared" si="81"/>
        <v/>
      </c>
      <c r="GM71" s="255" t="str">
        <f>IF(AN71="", "", IF(AND(IF(ISNA(VLOOKUP(AN71,'Lookup Tables'!$R$18:$R$22,1,FALSE)), "N", "Y")="Y", E71="Exterior"), "Y", "N"))</f>
        <v/>
      </c>
      <c r="GN71" s="395"/>
      <c r="GO71" s="428">
        <f t="shared" si="98"/>
        <v>0</v>
      </c>
      <c r="GP71" s="428">
        <f t="shared" si="167"/>
        <v>0</v>
      </c>
      <c r="GQ71" s="428">
        <f t="shared" si="99"/>
        <v>0</v>
      </c>
      <c r="GR71" s="428">
        <f t="shared" si="100"/>
        <v>0</v>
      </c>
    </row>
    <row r="72" spans="1:200" s="103" customFormat="1" ht="13.5" customHeight="1" x14ac:dyDescent="0.2">
      <c r="A72" s="272">
        <v>62</v>
      </c>
      <c r="B72" s="110"/>
      <c r="C72" s="110"/>
      <c r="D72" s="110"/>
      <c r="E72" s="110"/>
      <c r="F72" s="110"/>
      <c r="G72" s="110"/>
      <c r="H72" s="110"/>
      <c r="I72" s="29"/>
      <c r="J72" s="29"/>
      <c r="K72" s="272" t="str">
        <f>IFERROR(IF(OR(VLOOKUP(J72, 'Fixture Identities'!$A$6:$L$1023, 3, FALSE)="T12 Linear Fluorescent", VLOOKUP(J72, 'Fixture Identities'!$A$6:$L$1023, 3, FALSE)="T12 U-Tube Fluorescent"), VLOOKUP(VLOOKUP(J72, 'Fixture Identities'!$A$6:$L$1023, 11, FALSE), 'Fixture Identities'!$A$6:$L$1023, 10, FALSE), VLOOKUP(J72, 'Fixture Identities'!$A$6:$L$1023, 10, FALSE)), "")</f>
        <v/>
      </c>
      <c r="L72" s="270" t="str">
        <f t="shared" si="169"/>
        <v/>
      </c>
      <c r="M72" s="110"/>
      <c r="N72" s="110"/>
      <c r="O72" s="110"/>
      <c r="P72" s="272" t="str">
        <f>IFERROR(IF(OR(B72="Retrofit",B72=""),"",IF('Lighting Inventory'!E72="Exterior",VLOOKUP('Lighting Inventory'!N72,'Lookup Tables'!$B$83:$F$103,5,FALSE),IF(N72="Other - Please Estimate EFLH and CFs","Contact Prog. Rep.","ft^2"))), "")</f>
        <v/>
      </c>
      <c r="Q72" s="270" t="str">
        <f>IFERROR(IF(AND(B72="New Construction",E72="Interior",$F$5="Space-by-Space"),VLOOKUP('Lighting Inventory'!N72,'Lookup Tables'!$N$6:$O$97,2,FALSE),IF(AND(B72="New Construction",E72="Exterior"),VLOOKUP(N72,'Lookup Tables'!$B$83:$F$103,2,FALSE),IF(AND(B72="New Construction",'Lighting Inventory'!E72="Interior", $F$5="Building Area"),VLOOKUP(F72,'Lookup Tables'!$A$6:$J$59,10,FALSE),""))), "")</f>
        <v/>
      </c>
      <c r="R72" s="270" t="str">
        <f>IFERROR(IF(P72="Contact Prog. Rep.", "ERROR", IF(OR(B72="",B72="Retrofit"),"",IF(N72="Automated teller machines", ('Lookup Tables'!$A$82:$E$100+('Lighting Inventory'!O72-1)*'Lookup Tables'!$A$82:$E$100)/1000, (Q72*O72)/1000))), "")</f>
        <v/>
      </c>
      <c r="S72" s="595"/>
      <c r="T72" s="105" t="str">
        <f t="shared" si="83"/>
        <v/>
      </c>
      <c r="U72" s="105" t="str">
        <f>IF(S72="","",COUNT($S$11:S72))</f>
        <v/>
      </c>
      <c r="V72" s="111"/>
      <c r="W72" s="112"/>
      <c r="X72" s="105" t="str">
        <f t="shared" si="84"/>
        <v/>
      </c>
      <c r="Y72" s="105" t="str">
        <f t="array" ref="Y72">IF(AND(OR(W72="Freezer Case Lighting", W72="Refrigerated Case Lighting with Doors"), 'General Information'!$X$18="LCI"),'Lookup Tables'!$Y$34, IF(V72="Custom", VLOOKUP(W72, 'Fixture Identities'!$A$974:$M$1023, 13, FALSE), IF(V72="No Change",'Lookup Tables'!$Y$29,IF(OR(V72="",W72=""),"",IF(AND(S72=0,S72&lt;I72,B72="Retrofit"),'Lookup Tables'!$Y$25, IF(B72="Retrofit", INDEX('Lookup Tables'!$AH$6:$AP$102, MATCH(1, ('Lookup Tables'!$AH$6:$AH$102=V72)*('Lookup Tables'!$AI$6:$AI$102=W72), 0), IF('Lighting Inventory'!E72="Interior", 4, 5)), INDEX('Lookup Tables'!$AH$114:$AP$154, MATCH(1, ('Lookup Tables'!$AH$114:$AH$154=V72)*('Lookup Tables'!$AI$114:$AI$154=W72), 0), IF('Lighting Inventory'!E72="Interior", 4, 5))))))))</f>
        <v/>
      </c>
      <c r="Z72" s="105" t="str">
        <f>IFERROR(INDEX('Lookup Tables'!$AH$158:$AH$172,MATCH('Lighting Inventory'!Y72,'Lookup Tables'!$AI$158:$AI$172,0)),"")</f>
        <v/>
      </c>
      <c r="AA72" s="105" t="str">
        <f>IF(AP72&gt;0,INDEX('Lookup Tables'!$AK$158:$AK$172,MATCH('Lighting Inventory'!Y72,'Lookup Tables'!$AI$158:$AI$172,0)),'Lighting Inventory'!Y72)</f>
        <v/>
      </c>
      <c r="AB72" s="105" t="str">
        <f t="array" ref="AB72">IF(V72="Custom", "Custom", IF(V72="", "", IF(V72="Not DLC or Energy Star", "General", IF(B72="New Construction", INDEX('Lookup Tables'!$AH$114:$AP$154,MATCH(1,('Lookup Tables'!$AH$114:$AH$154='Lighting Inventory'!V72)*('Lookup Tables'!$AI$114:$AI$154='Lighting Inventory'!W72),FALSE),8), INDEX('Lookup Tables'!$AH$6:$AP$102,MATCH(1,('Lookup Tables'!$AH$6:$AH$102='Lighting Inventory'!V72)*('Lookup Tables'!$AI$6:$AI$102='Lighting Inventory'!W72),FALSE),8)))))</f>
        <v/>
      </c>
      <c r="AC72" s="272" t="str">
        <f>IF(W72="","",IF(V72="Custom",CONCATENATE("$",'Lookup Tables'!$AM$101," ",'Lookup Tables'!$AN$101),CONCATENATE("$",INDEX('Lookup Tables'!$AM$6:$AM$102,MATCH('Lighting Inventory'!W72,'Lookup Tables'!$AI$6:$AI$102,0))," ",INDEX('Lookup Tables'!$AN$6:$AN$102,MATCH('Lighting Inventory'!W72,'Lookup Tables'!$AI$6:$AI$102,0)))))</f>
        <v/>
      </c>
      <c r="AD72" s="72"/>
      <c r="AE72" s="29"/>
      <c r="AF72" s="379"/>
      <c r="AG72" s="370" t="str">
        <f t="shared" si="2"/>
        <v/>
      </c>
      <c r="AH72" s="370" t="str">
        <f t="shared" si="85"/>
        <v/>
      </c>
      <c r="AI72" s="29"/>
      <c r="AJ72" s="29"/>
      <c r="AK72" s="110"/>
      <c r="AL72" s="375" t="str">
        <f>IF(OR(B72="", V72="", W72=""), "", IF(V72="No Change", K72, IF(V72="Remove Fixture", 0, IF(V72="Custom",VLOOKUP(W72,'Fixture Identities'!$A$6:$K$1023,10,FALSE),IF(AE72="", "← ENTER POST WATTS", 'Lighting Inventory'!AE72)))))</f>
        <v/>
      </c>
      <c r="AM72" s="376" t="str">
        <f t="shared" si="3"/>
        <v/>
      </c>
      <c r="AN72" s="29"/>
      <c r="AO72" s="671"/>
      <c r="AP72" s="29"/>
      <c r="AQ72" s="29"/>
      <c r="AR72" s="29"/>
      <c r="AS72" s="272" t="str">
        <f t="shared" si="4"/>
        <v/>
      </c>
      <c r="AT72" s="270" t="str">
        <f t="shared" si="234"/>
        <v/>
      </c>
      <c r="AU72" s="88" t="str">
        <f t="shared" si="235"/>
        <v/>
      </c>
      <c r="AV72" s="29"/>
      <c r="AW72" s="73"/>
      <c r="AX72" s="271" t="str">
        <f>IF(AND(AV72="Applicant",OR(AW72="", AW72="Use Default Facility Hours")),"← Choose Schedule",IF(F72="","",IF(W72="LED Exit Signs",8760,IF(OR(AV72="Prescribed",AV72=""),VLOOKUP(F72,'Lookup Tables'!$A$6:$G$59,IF(AB72="General", 6, 3),FALSE),VLOOKUP(AW72,'Lookup Tables'!$S$36:$U$43,2,FALSE)))))</f>
        <v/>
      </c>
      <c r="AY72" s="88" t="str">
        <f t="shared" si="7"/>
        <v/>
      </c>
      <c r="AZ72" s="270" t="str">
        <f>IFERROR(IF(F72="", "", IF(W72="LED Exit Signs", 1, IF(AV72="Applicant",VLOOKUP(AW72, 'Lookup Tables'!$S$36:$U$43,3, FALSE), VLOOKUP('Lighting Inventory'!F72, 'Lookup Tables'!$A$6:$H$59, IF('Lighting Inventory'!AB72="General",7,4), FALSE)))), "")</f>
        <v/>
      </c>
      <c r="BA72" s="522" t="str">
        <f>IFERROR(IF(F72="", "", IF(W72="LED Exit Signs", 1, VLOOKUP('Lighting Inventory'!F72, 'Lookup Tables'!$A$6:$H$59, IF('Lighting Inventory'!AB72="General",8,5), FALSE))), "")</f>
        <v/>
      </c>
      <c r="BB72" s="270" t="str">
        <f>IF(G72="", "", IF(E72="Exterior", 0, IF('Lighting Inventory'!G72="Air Conditioned", VLOOKUP(H72, 'Lookup Tables'!$R$6:$T$13, 2, FALSE), VLOOKUP('Lighting Inventory'!G72, 'Lookup Tables'!$R$6:$T$13, 2, FALSE))))</f>
        <v/>
      </c>
      <c r="BC72" s="522" t="str">
        <f>IF(G72="", "", IF(E72="Exterior", 0, IF('Lighting Inventory'!G72="Air Conditioned", VLOOKUP(H72, 'Lookup Tables'!$R$6:$T$13, 3, FALSE), VLOOKUP('Lighting Inventory'!G72, 'Lookup Tables'!$R$6:$T$13, 3, FALSE))))</f>
        <v/>
      </c>
      <c r="BD72" s="270" t="str">
        <f>IF(G72="", "", IF(E72="Exterior", 0, IF('Lighting Inventory'!G72="Air Conditioned", VLOOKUP(H72, 'Lookup Tables'!$R$6:$U$13, 4, FALSE), VLOOKUP('Lighting Inventory'!G72, 'Lookup Tables'!$R$6:$U$13, 4, FALSE))))</f>
        <v/>
      </c>
      <c r="BE72" s="270" t="str">
        <f>IFERROR(IF(B72="", "",  IF(B72="New Construction", VLOOKUP(F72, 'Lookup Tables'!$A$6:$K$59, 11, FALSE),IF(OR(AN72="", AN72="Light Switch"), 0, IF(OR(M72="",M72="None",V72= "LED Exit Signs"),0,_xlfn.XLOOKUP(M72,'Lookup Tables'!$R$91:$R$101,'Lookup Tables'!$V$91:$V$101))))), "")</f>
        <v/>
      </c>
      <c r="BF72" s="270" t="str">
        <f>IF(AND(OR(AN72="Light Switch",AN72=""),B72="New Construction"), VLOOKUP(F72, 'Lookup Tables'!$A$6:$K$59, 11, FALSE),IF(AN72="","",IF(B72="","",IF(OR(AN72="None",AN72="",V72="LED Exit Signs",AN72="Exterior Controls Not Eligible"),0,_xlfn.XLOOKUP(AN72,'Lookup Tables'!$R$91:$R$101,'Lookup Tables'!$V$91:$V$101)))))</f>
        <v/>
      </c>
      <c r="BG72" s="88" t="str">
        <f t="shared" si="86"/>
        <v/>
      </c>
      <c r="BH72" s="88" t="str">
        <f t="shared" si="87"/>
        <v/>
      </c>
      <c r="BI72" s="558" t="str">
        <f t="shared" si="168"/>
        <v/>
      </c>
      <c r="BJ72" s="82" t="str">
        <f t="shared" si="88"/>
        <v/>
      </c>
      <c r="BK72" s="82" t="str">
        <f t="shared" si="89"/>
        <v/>
      </c>
      <c r="BL72" s="559" t="str">
        <f t="shared" si="90"/>
        <v/>
      </c>
      <c r="BM72" s="521" t="str">
        <f t="shared" si="8"/>
        <v/>
      </c>
      <c r="BN72" s="521" t="str">
        <f t="shared" si="9"/>
        <v/>
      </c>
      <c r="BO72" s="522" t="str">
        <f t="shared" si="10"/>
        <v/>
      </c>
      <c r="BP72" s="83" t="str">
        <f t="shared" si="91"/>
        <v/>
      </c>
      <c r="BQ72" s="84" t="str">
        <f t="shared" si="92"/>
        <v/>
      </c>
      <c r="BR72" s="184" t="str">
        <f>IFERROR(IF(B72="", "", IF(OR(VLOOKUP(J72, 'Fixture Identities'!$A$6:$L$1023, 3, FALSE)="T12 Linear Fluorescent",VLOOKUP(J72, 'Fixture Identities'!$A$6:$L$1023, 3, FALSE)="T12 U-Tube Fluorescent"), "Y", "N")), "N")</f>
        <v/>
      </c>
      <c r="BS72" s="184" t="str">
        <f t="array" ref="BS72">IFERROR(IF(OR(B72="", V72="", W72=""), "", IF(V72="Custom", "N", IF(OR(W72="Freezer Case Lighting", W72="Refrigerated Case Lighting with Doors"), BT72, IF(B72="Retrofit", INDEX('Lookup Tables'!$AH$6:$AT$102,MATCH(1,('Lookup Tables'!$AH$6:$AH$102=V72)*('Lookup Tables'!$AI$6:$AI$102=W72),FALSE),IF(VLOOKUP(J72, 'Fixture Identities'!$A$6:$B$1023, 2, FALSE)="Incandescent",12, 13)), INDEX('Lookup Tables'!$AH$114:$AS$154,MATCH(1,('Lookup Tables'!$AH$114:$AH$154=V72)*('Lookup Tables'!$AI$114:$AI$154=W72),FALSE),12))))), "N")</f>
        <v/>
      </c>
      <c r="BT72" s="184" t="str">
        <f>IF(J72="", "", IF(AND(OR(W72="Freezer case Lighting", W72="Refrigerated Case Lighting with Doors"),'General Information'!$X$18="LCI"), "N", IF(OR(VLOOKUP(J72, 'Fixture Identities'!$A$6:$B$1023, 2, FALSE)="T12 EPACT/EISA Baseline", VLOOKUP(J72, 'Fixture Identities'!$A$6:$B$1023, 2, FALSE)="Linear Fluorescent", VLOOKUP(J72, 'Fixture Identities'!$A$6:$B$1023, 2, FALSE)="U-Tube Fluorescent"), "Y", "N")))</f>
        <v/>
      </c>
      <c r="BU72" s="184" t="str">
        <f>IFERROR(IF(B72="", "", IF(VLOOKUP(J72, 'Fixture Identities'!$A$6:$B$1023, 2, FALSE)="Exit Sign", "Y", "N")), "N")</f>
        <v/>
      </c>
      <c r="BV72" s="184" t="str">
        <f>IF(V72="Exit Signs", IF(VLOOKUP(J72, 'Fixture Identities'!$A$6:$B$1023, 2, FALSE)="Exit Sign", "N", "Y"), "")</f>
        <v/>
      </c>
      <c r="BW72" s="184" t="str">
        <f t="array" ref="BW72">IFERROR(IF(B72="", "", IF(B72="New Construction", "N", INDEX('Lookup Tables'!$AH$6:$AU$102, MATCH(1, ('Lookup Tables'!$AH$6:$AH$102='Lighting Inventory'!V72)*('Lookup Tables'!$AI$6:$AI$102='Lighting Inventory'!W72), 0), 14))), "N")</f>
        <v/>
      </c>
      <c r="BX72" s="598" t="str">
        <f t="shared" si="93"/>
        <v/>
      </c>
      <c r="BY72" s="598" t="str">
        <f t="shared" si="94"/>
        <v/>
      </c>
      <c r="BZ72" s="598" t="str">
        <f t="shared" si="95"/>
        <v/>
      </c>
      <c r="CA72" s="598" t="str">
        <f t="shared" si="101"/>
        <v/>
      </c>
      <c r="CB72" s="269" t="str">
        <f t="shared" si="102"/>
        <v/>
      </c>
      <c r="CC72" s="517" t="str">
        <f t="shared" si="96"/>
        <v/>
      </c>
      <c r="CD72" s="565" t="str">
        <f t="shared" si="11"/>
        <v/>
      </c>
      <c r="CE72" s="368">
        <v>0</v>
      </c>
      <c r="CF72" s="368" t="str" cm="1">
        <f t="array" ref="CF72">IFERROR(IF(V72="Custom", "$0.1 per kWh", IF(B72="New Construction", CONCATENATE("$",INDEX('Lookup Tables'!$AH$114:$AN$154,MATCH(1,('Lookup Tables'!$AH$114:$AH$154='Lighting Inventory'!V72)*('Lookup Tables'!$AI$114:$AI$154='Lighting Inventory'!W72),FALSE),6)," ",INDEX('Lookup Tables'!$AH$114:$AN$154,MATCH(1,('Lookup Tables'!$AH$114:$AH$154='Lighting Inventory'!V72)*('Lookup Tables'!$AI$114:$AI$154='Lighting Inventory'!W72),FALSE),7)), IF(AND(BU72="N", V72="Exit Signs"), "$0.025 per kWh", CONCATENATE("$",INDEX('Lookup Tables'!$AH$6:$AN$102,MATCH(1,('Lookup Tables'!$AH$6:$AH$102='Lighting Inventory'!V72)*('Lookup Tables'!$AI$6:$AI$102='Lighting Inventory'!W72),FALSE),6)," ",INDEX('Lookup Tables'!$AH$6:$AN$102,MATCH(1,('Lookup Tables'!$AH$6:$AH$102='Lighting Inventory'!V72)*('Lookup Tables'!$AI$6:$AI$102='Lighting Inventory'!W72),FALSE),7))))), "")</f>
        <v/>
      </c>
      <c r="CG72" s="366"/>
      <c r="CH72" s="248" t="str">
        <f t="shared" si="236"/>
        <v/>
      </c>
      <c r="CI72" s="248" t="str">
        <f t="shared" si="237"/>
        <v>Select_IE</v>
      </c>
      <c r="CJ72" s="248" t="str">
        <f t="shared" si="238"/>
        <v/>
      </c>
      <c r="CK72" s="248" t="str">
        <f t="shared" si="239"/>
        <v/>
      </c>
      <c r="CL72" s="248" t="str">
        <f t="shared" si="240"/>
        <v/>
      </c>
      <c r="CM72" s="248" t="str">
        <f>IFERROR(IF(B72="", "", IF(B72="New Construction", VLOOKUP(V72, 'Lookup Tables'!$AF$114:$AG$120, 2, FALSE), VLOOKUP(V72, 'Lookup Tables'!$AD$6:$AE$25, 2, FALSE))), "")</f>
        <v/>
      </c>
      <c r="CN72" s="248" t="str">
        <f t="shared" si="175"/>
        <v/>
      </c>
      <c r="CO72" s="248" t="str">
        <f t="shared" si="241"/>
        <v/>
      </c>
      <c r="CP72" s="592" t="str">
        <f t="shared" si="242"/>
        <v/>
      </c>
      <c r="CQ72" s="248" t="str">
        <f t="shared" si="97"/>
        <v/>
      </c>
      <c r="CR72" s="100"/>
      <c r="CS72" s="250" t="str">
        <f t="shared" si="178"/>
        <v/>
      </c>
      <c r="CT72" s="250" t="str">
        <f t="shared" si="243"/>
        <v/>
      </c>
      <c r="CU72" s="250" t="str">
        <f t="shared" si="244"/>
        <v/>
      </c>
      <c r="CV72" s="250" t="str">
        <f t="shared" si="245"/>
        <v/>
      </c>
      <c r="CW72" s="250" t="str">
        <f t="shared" si="246"/>
        <v/>
      </c>
      <c r="CX72" s="250" t="str">
        <f t="shared" si="247"/>
        <v/>
      </c>
      <c r="CY72" s="250" t="str">
        <f t="shared" si="248"/>
        <v/>
      </c>
      <c r="CZ72" s="250" t="str">
        <f t="shared" si="249"/>
        <v/>
      </c>
      <c r="DA72" s="250" t="str">
        <f t="shared" si="250"/>
        <v/>
      </c>
      <c r="DB72" s="250" t="str">
        <f t="shared" si="251"/>
        <v/>
      </c>
      <c r="DC72" s="250" t="str">
        <f t="shared" si="252"/>
        <v/>
      </c>
      <c r="DD72" s="250" t="str">
        <f t="shared" si="253"/>
        <v/>
      </c>
      <c r="DE72" s="250" t="str">
        <f t="shared" si="254"/>
        <v/>
      </c>
      <c r="DF72" s="250" t="str">
        <f t="shared" si="255"/>
        <v/>
      </c>
      <c r="DG72" s="250" t="str">
        <f t="shared" si="256"/>
        <v/>
      </c>
      <c r="DH72" s="250" t="str">
        <f t="shared" si="257"/>
        <v/>
      </c>
      <c r="DI72" s="250" t="str">
        <f t="shared" si="258"/>
        <v/>
      </c>
      <c r="DJ72" s="250" t="str">
        <f t="shared" si="259"/>
        <v/>
      </c>
      <c r="DK72" s="250" t="str">
        <f t="shared" si="260"/>
        <v/>
      </c>
      <c r="DL72" s="250" t="str">
        <f t="shared" si="261"/>
        <v/>
      </c>
      <c r="DM72" s="250" t="str">
        <f>IF(CD72="ERROR", "ERROR", IF(AND(OR(Y72=$DM$6, Y72='Lookup Tables'!$AD$21, Y72='Lookup Tables'!$AD$22), E72="Interior"), BJ72, ""))</f>
        <v/>
      </c>
      <c r="DN72" s="250" t="str">
        <f>IF(CD72="ERROR", "ERROR", IF(AND(OR(Y72=$DM$6, Y72='Lookup Tables'!$AD$21, Y72='Lookup Tables'!$AD$22), E72="Exterior"), BJ72, ""))</f>
        <v/>
      </c>
      <c r="DO72" s="100"/>
      <c r="DP72" s="250" t="str">
        <f t="shared" si="198"/>
        <v/>
      </c>
      <c r="DQ72" s="250" t="str">
        <f t="shared" si="262"/>
        <v/>
      </c>
      <c r="DR72" s="250" t="str">
        <f t="shared" si="263"/>
        <v/>
      </c>
      <c r="DS72" s="250" t="str">
        <f t="shared" si="264"/>
        <v/>
      </c>
      <c r="DT72" s="250" t="str">
        <f t="shared" si="265"/>
        <v/>
      </c>
      <c r="DU72" s="250" t="str">
        <f t="shared" si="266"/>
        <v/>
      </c>
      <c r="DV72" s="250" t="str">
        <f t="shared" si="267"/>
        <v/>
      </c>
      <c r="DW72" s="250" t="str">
        <f t="shared" si="268"/>
        <v/>
      </c>
      <c r="DX72" s="250" t="str">
        <f t="shared" si="269"/>
        <v/>
      </c>
      <c r="DY72" s="250" t="str">
        <f t="shared" si="270"/>
        <v/>
      </c>
      <c r="DZ72" s="250" t="str">
        <f t="shared" si="271"/>
        <v/>
      </c>
      <c r="EA72" s="250" t="str">
        <f t="shared" si="272"/>
        <v/>
      </c>
      <c r="EB72" s="250" t="str">
        <f t="shared" si="273"/>
        <v/>
      </c>
      <c r="EC72" s="250" t="str">
        <f t="shared" si="274"/>
        <v/>
      </c>
      <c r="ED72" s="250" t="str">
        <f t="shared" si="275"/>
        <v/>
      </c>
      <c r="EE72" s="250" t="str">
        <f t="shared" si="276"/>
        <v/>
      </c>
      <c r="EF72" s="250" t="str">
        <f t="shared" si="277"/>
        <v/>
      </c>
      <c r="EG72" s="250" t="str">
        <f t="shared" si="278"/>
        <v/>
      </c>
      <c r="EH72" s="250" t="str">
        <f>IF(CD72="ERROR", "ERROR", IF(AND(OR($EH$6=Y72, Y72='Lookup Tables'!$AD$21, Y72='Lookup Tables'!$AD$22),E72="Interior"), SUM(BP72:BP72), ""))</f>
        <v/>
      </c>
      <c r="EI72" s="250" t="str">
        <f>IF(CD72="ERROR", "ERROR", IF(AND(OR($EH$6=Y72, Y72='Lookup Tables'!$AD$21, Y72='Lookup Tables'!$AD$22),E72="Exterior"), SUM(BP72:BP72), ""))</f>
        <v/>
      </c>
      <c r="EJ72" s="109"/>
      <c r="EK72" s="485" t="str">
        <f t="shared" si="58"/>
        <v/>
      </c>
      <c r="EL72" s="252" t="str">
        <f t="shared" si="279"/>
        <v/>
      </c>
      <c r="EM72" s="252" t="str">
        <f t="shared" si="280"/>
        <v/>
      </c>
      <c r="EN72" s="252" t="str">
        <f t="shared" si="281"/>
        <v/>
      </c>
      <c r="EO72" s="252" t="str">
        <f t="shared" si="282"/>
        <v/>
      </c>
      <c r="EP72" s="252" t="str">
        <f t="shared" si="283"/>
        <v/>
      </c>
      <c r="EQ72" s="252" t="str">
        <f t="shared" si="284"/>
        <v/>
      </c>
      <c r="ER72" s="252" t="str">
        <f t="shared" si="285"/>
        <v/>
      </c>
      <c r="ES72" s="252" t="str">
        <f t="shared" si="286"/>
        <v/>
      </c>
      <c r="ET72" s="252" t="str">
        <f t="shared" si="287"/>
        <v/>
      </c>
      <c r="EU72" s="252" t="str">
        <f t="shared" si="288"/>
        <v/>
      </c>
      <c r="EV72" s="252" t="str">
        <f t="shared" si="289"/>
        <v/>
      </c>
      <c r="EW72" s="252" t="str">
        <f t="shared" si="290"/>
        <v/>
      </c>
      <c r="EX72" s="252" t="str">
        <f t="shared" si="291"/>
        <v/>
      </c>
      <c r="EY72" s="252" t="str">
        <f t="shared" si="292"/>
        <v/>
      </c>
      <c r="EZ72" s="252" t="str">
        <f t="shared" si="293"/>
        <v/>
      </c>
      <c r="FA72" s="252" t="str">
        <f t="shared" si="294"/>
        <v/>
      </c>
      <c r="FB72" s="252" t="str">
        <f t="shared" si="295"/>
        <v/>
      </c>
      <c r="FC72" s="252" t="str">
        <f>IF(CD72="ERROR", "ERROR", IF(OR(V72="No Change", V72="Not DLC or Energy Star"), "", IF(AND(OR($FC$6=Y72,Y72='Lookup Tables'!$AD$21, Y72='Lookup Tables'!$AD$22),E72="Interior"), S72, "")))</f>
        <v/>
      </c>
      <c r="FD72" s="252" t="str">
        <f t="shared" si="296"/>
        <v/>
      </c>
      <c r="FE72" s="101"/>
      <c r="FF72" s="579" t="str" cm="1">
        <f t="array" ref="FF72">IFERROR(IF(OR(BQ72&lt;=0,AQ72&lt;20,AND(V72="Exit Signs",AN72&gt;0)),"",IF(AND(AQ72&gt;=20,AN72='Lookup Tables'!$R$101),'Lookup Tables'!$U$101*BQ72,AP72*LOOKUP(2,1/((AN72='Lookup Tables'!$R$91:$R$111)*(AQ72&gt;='Lookup Tables'!$S$91:$S$111)*(AQ72&lt;='Lookup Tables'!$T$91:$T$111)),'Lookup Tables'!$U$91:$U$111))),"")</f>
        <v/>
      </c>
      <c r="FG72" s="579"/>
      <c r="FH72" s="579"/>
      <c r="FI72" s="253" t="str">
        <f>IFERROR(ROUND(IF(CD72="ERROR", "ERROR", IF(AND($FI$7=X72,E72="Interior"),VLOOKUP(W72, 'Lookup Tables'!$AI$6:$AM$102, 5, FALSE)*BP72, "")), 2), "")</f>
        <v/>
      </c>
      <c r="FJ72" s="253" t="str">
        <f>IFERROR(ROUND(IF(CD72="ERROR", "ERROR", IF(AND($FI$7=X72,E72="Exterior"),VLOOKUP(W72, 'Lookup Tables'!$AI$6:$AM$102, 5, FALSE)*BP72, "")), 2), "")</f>
        <v/>
      </c>
      <c r="FK72" s="253" t="str">
        <f>IFERROR(ROUND(IF(CD72="ERROR", "ERROR", IF(AND($FK$7=X72,E72="Interior"),VLOOKUP(W72, 'Lookup Tables'!$AI$6:$AM$102, 5, FALSE)*BP72, "")), 2), "")</f>
        <v/>
      </c>
      <c r="FL72" s="253" t="str">
        <f>IFERROR(ROUND(IF(CD72="ERROR", "ERROR", IF(AND($FK$7=X72,E72="Exterior"),VLOOKUP(W72, 'Lookup Tables'!$AI$6:$AM$102, 5, FALSE)*BP72, "")), 2), "")</f>
        <v/>
      </c>
      <c r="FM72" s="253" t="str">
        <f>IFERROR(ROUND(IF(CD72="ERROR", "ERROR", IF(AND($FM$6=Y72,E72="Interior"), IF(GB72=0, VLOOKUP(W72, 'Lookup Tables'!$AI$6:$AM$102, 5, FALSE)*BP72, IF(VLOOKUP(W72, 'Lookup Tables'!$AI$6:$AM$102, 5, FALSE)*BP72&gt;GB72*'Lighting Inventory'!S72, GB72*'Lighting Inventory'!S72,VLOOKUP(W72, 'Lookup Tables'!$AI$6:$AM$102, 5, FALSE)*BP72)), "")), 2), "")</f>
        <v/>
      </c>
      <c r="FN72" s="253" t="str">
        <f>IFERROR(ROUND(IF(CD72="ERROR", "ERROR", IF(AND($FM$6=Y72,E72="Exterior"), IF(GB72=0, VLOOKUP(W72, 'Lookup Tables'!$AI$6:$AM$102, 5, FALSE)*BP72, IF(VLOOKUP(W72, 'Lookup Tables'!$AI$6:$AM$102, 5, FALSE)*BP72&gt;GB72*'Lighting Inventory'!S72, GB72*'Lighting Inventory'!S72,VLOOKUP(W72, 'Lookup Tables'!$AI$6:$AM$102, 5, FALSE)*BP72)), "")), 2), "")</f>
        <v/>
      </c>
      <c r="FO72" s="253" t="str">
        <f>IFERROR(ROUND(IF(CD72="ERROR", "ERROR", IF(AND($FO$6=Y72,E72="Interior"),VLOOKUP(W72, 'Lookup Tables'!$AI$6:$AM$102, 5, FALSE)*'Lighting Inventory'!AI72, "")), 2), "")</f>
        <v/>
      </c>
      <c r="FP72" s="253" t="str">
        <f>IFERROR(ROUND(IF(CD72="ERROR", "ERROR", IF(AND($FO$6=Y72,E72="Exterior"),VLOOKUP(W72, 'Lookup Tables'!$AI$6:$AM$102, 5, FALSE)*'Lighting Inventory'!AI72, "")), 2), "")</f>
        <v/>
      </c>
      <c r="FQ72" s="253" t="str">
        <f>IFERROR(ROUND(IF(CD72="ERROR", "ERROR", IF(AND($FQ$6=Y72,E72="Interior", BU72="Y"), VLOOKUP('Lighting Inventory'!W72, 'Lookup Tables'!$AI$6:$AM$102, 5, FALSE)*'Lighting Inventory'!S72, IF(AND($FQ$7=Y72,E72="Interior", BU72="N"), 0.025*CD72, ""))), 2), "")</f>
        <v/>
      </c>
      <c r="FR72" s="253" t="str">
        <f>IFERROR(ROUND(IF(CD72="ERROR", "ERROR", IF(AND($FQ$6=Y72,E72="Exterior"), VLOOKUP('Lighting Inventory'!W72, 'Lookup Tables'!$AI$6:$AM$102, 5, FALSE)*'Lighting Inventory'!S72, "")), 2), "")</f>
        <v/>
      </c>
      <c r="FS72" s="253" t="str">
        <f>IFERROR(ROUND(IF(CD72="ERROR", "ERROR", IF(AND($FS$6=Y72,E72="Exterior"), IF(GB72=0, VLOOKUP(W72, 'Lookup Tables'!$AI$6:$AM$102, 5, FALSE)*BP72, IF(VLOOKUP(W72, 'Lookup Tables'!$AI$6:$AM$102, 5, FALSE)*BP72&gt;GB72*'Lighting Inventory'!S72, GB72*'Lighting Inventory'!S72,VLOOKUP(W72, 'Lookup Tables'!$AI$6:$AM$102, 5, FALSE)*BP72)), "")), 2), "")</f>
        <v/>
      </c>
      <c r="FT72" s="253" t="str">
        <f>IFERROR(ROUND(IF(CD72="ERROR", "ERROR", IF(AND($FT$6=Y72,E72="Interior"), IF(GB72=0, VLOOKUP(W72, 'Lookup Tables'!$AI$6:$AM$102, 5, FALSE)*BP72, IF(VLOOKUP(W72, 'Lookup Tables'!$AI$6:$AM$102, 5, FALSE)*BP72&gt;GB72*'Lighting Inventory'!S72, GB72*'Lighting Inventory'!S72,VLOOKUP(W72, 'Lookup Tables'!$AI$6:$AM$102, 5, FALSE)*BP72)), "")), 2), "")</f>
        <v/>
      </c>
      <c r="FU72" s="253" t="str">
        <f>IFERROR(ROUND(IF(CD72="ERROR", "ERROR", IF(AND(Y72=$FU$6, E72="Interior"), IF(BS72="N", 'Lookup Tables'!$AM$101*BP72, VLOOKUP(W72, 'Lookup Tables'!$AI$6:$AM$102, 5, FALSE)*S72*AD72), "")), 2), "")</f>
        <v/>
      </c>
      <c r="FV72" s="253" t="str">
        <f>IFERROR(ROUND(IF(CD72="ERROR", "ERROR", IF(AND(Y72=$FU$6, E72="Exterior"), IF(BS72="N", 'Lookup Tables'!$AM$101*BP72, VLOOKUP(W72, 'Lookup Tables'!$AI$6:$AM$102, 5, FALSE)*S72*AD72), "")), 2), "")</f>
        <v/>
      </c>
      <c r="FW72" s="253" t="str">
        <f>IFERROR(ROUND(IF(CD72="ERROR", "ERROR", IF($FW$6=Y72, IF(BS72="N", 'Lookup Tables'!$AM$101*BP72, MIN((VLOOKUP(W72, 'Lookup Tables'!$AI$6:$AM$102, 5, FALSE)*BP72),GB72*AJ72)), "")), 2), "")</f>
        <v/>
      </c>
      <c r="FX72" s="253" t="str">
        <f>IFERROR(ROUND(IF(CD72="ERROR", "ERROR", IF(AND($FX$6=Y72, E72="Interior"), IF(VLOOKUP(W72, 'Lookup Tables'!$AI$6:$AM$102, 5, FALSE)*BP72&gt;'Lookup Tables'!$AQ$97*'Lighting Inventory'!S72,'Lighting Inventory'!S72*'Lookup Tables'!$AQ$97,VLOOKUP(W72, 'Lookup Tables'!$AI$6:$AM$102, 5, FALSE)*BP72), "")), 2), "")</f>
        <v/>
      </c>
      <c r="FY72" s="253" t="str">
        <f>IFERROR(ROUND(IF(CD72="ERROR", "ERROR", IF(AND($FX$6=Y72, E72="Exterior"), IF(VLOOKUP(W72, 'Lookup Tables'!$AI$6:$AM$102, 5, FALSE)*BP72&gt;'Lookup Tables'!$AQ$97*'Lighting Inventory'!S72,'Lighting Inventory'!S72*'Lookup Tables'!$AQ$97,VLOOKUP(W72, 'Lookup Tables'!$AI$6:$AM$102, 5, FALSE)*BP72), "")), 2), "")</f>
        <v/>
      </c>
      <c r="FZ72" s="253" t="str">
        <f>IFERROR(ROUND(IF(CD72="ERROR", "ERROR", IF(AND($FZ$6=Y72, E72="Interior"), IF(AND(OR(W72="Refrigerated Case Lighting with Doors", W72="Freezer Case Lighting"),Y72="Custom - Process Improvement"),CD72*'Lookup Tables'!$AM$101, IF(B72="Retrofit", IF(VLOOKUP(IF(V72="Custom", V72, W72), 'Lookup Tables'!$AI$6:$AM$102, 5, FALSE)*BP72&gt;GE72, GE72, VLOOKUP(IF(V72="Custom", V72, W72), 'Lookup Tables'!$AI$6:$AM$102, 5, FALSE)*BP72), IF(VLOOKUP(IF(V72="Custom", V72, W72), 'Lookup Tables'!$AI$114:$AM$154, 5, FALSE)*BP72&gt;GE72, GE72, VLOOKUP(IF(V72="Custom", V72, W72), 'Lookup Tables'!$AI$114:$AM$154, 5, FALSE)*BP72))), "")), 2),"")</f>
        <v/>
      </c>
      <c r="GA72" s="253" t="str">
        <f>IFERROR(ROUND(IF(CD72="ERROR", "ERROR", IF(AND($FZ$6=Y72, E72="Exterior"), IF(B72="Retrofit", IF(VLOOKUP(IF(V72="Custom", V72, W72), 'Lookup Tables'!$AI$6:$AM$102, 5, FALSE)*BP72&gt;GE72, GE72, VLOOKUP(IF(V72="Custom", V72, W72), 'Lookup Tables'!$AI$6:$AM$102, 5, FALSE)*BP72), IF(VLOOKUP(IF(V72="Custom", V72, W72), 'Lookup Tables'!$AI$114:$AM$154, 5, FALSE)*BP72&gt;GE72, GE72, VLOOKUP(IF(V72="Custom", V72, W72), 'Lookup Tables'!$AI$114:$AM$154, 5, FALSE)*BP72)), "")), 2),"")</f>
        <v/>
      </c>
      <c r="GB72" s="254" t="str">
        <f t="array" ref="GB72">IF(B72="","",IF(OR(V72="Custom",V72="No Change"),0,IF(B72="Retrofit", INDEX('Lookup Tables'!$AH$6:$AQ$102,MATCH(1,('Lookup Tables'!$AH$6:$AH$102='Lighting Inventory'!V72)*('Lookup Tables'!$AI$6:$AI$102='Lighting Inventory'!W72),FALSE),10),INDEX('Lookup Tables'!$AH$114:$AQ$154,MATCH(1,('Lookup Tables'!$AH$114:$AH$154='Lighting Inventory'!V72)*('Lookup Tables'!$AI$114:$AI$154='Lighting Inventory'!W72),FALSE),10))))</f>
        <v/>
      </c>
      <c r="GC72" s="255" t="str">
        <f t="shared" si="77"/>
        <v/>
      </c>
      <c r="GD72" s="250" t="str">
        <f t="shared" si="78"/>
        <v/>
      </c>
      <c r="GE72" s="253" t="str">
        <f>IFERROR(IF(AND(AF72="", 'General Information'!$F$18="No"),"", IF(AF72="", ((GD72/$CD$266)*$CF$266)*0.5, AF72*S72*0.5)), "")</f>
        <v/>
      </c>
      <c r="GF72" s="255" t="str">
        <f>IF(AND('General Information'!$F$19="", 'General Information'!$F$18="Yes",AF72="",BW72="Y"), "Y", "N")</f>
        <v>N</v>
      </c>
      <c r="GG72" s="255" t="s">
        <v>2946</v>
      </c>
      <c r="GH72" s="255" t="str">
        <f>IFERROR(IF(B72="", "", VLOOKUP(J72, 'Fixture Identities'!$A$6:$N$908, 14, FALSE)), "")</f>
        <v/>
      </c>
      <c r="GI72" s="389" t="str">
        <f>IF(OR(B72="", V72="", W72=""), "", IF(AND(OR(M72='Lookup Tables'!$R$18, M72='Lookup Tables'!$R$19, M72='Lookup Tables'!$R$20, M72='Lookup Tables'!$R$21, M72='Lookup Tables'!$R$22), OR(AN72='Lookup Tables'!$R$17, AN72='Lookup Tables'!$R$17, AN72="")), "Y", "N"))</f>
        <v/>
      </c>
      <c r="GJ72" s="255" t="str">
        <f t="shared" si="79"/>
        <v/>
      </c>
      <c r="GK72" s="255" t="str">
        <f t="shared" si="80"/>
        <v/>
      </c>
      <c r="GL72" s="255" t="str">
        <f t="shared" si="81"/>
        <v/>
      </c>
      <c r="GM72" s="255" t="str">
        <f>IF(AN72="", "", IF(AND(IF(ISNA(VLOOKUP(AN72,'Lookup Tables'!$R$18:$R$22,1,FALSE)), "N", "Y")="Y", E72="Exterior"), "Y", "N"))</f>
        <v/>
      </c>
      <c r="GN72" s="395"/>
      <c r="GO72" s="428">
        <f t="shared" si="98"/>
        <v>0</v>
      </c>
      <c r="GP72" s="428">
        <f t="shared" si="167"/>
        <v>0</v>
      </c>
      <c r="GQ72" s="428">
        <f t="shared" si="99"/>
        <v>0</v>
      </c>
      <c r="GR72" s="428">
        <f t="shared" si="100"/>
        <v>0</v>
      </c>
    </row>
    <row r="73" spans="1:200" s="103" customFormat="1" ht="13.5" customHeight="1" x14ac:dyDescent="0.2">
      <c r="A73" s="272">
        <v>63</v>
      </c>
      <c r="B73" s="110"/>
      <c r="C73" s="110"/>
      <c r="D73" s="110"/>
      <c r="E73" s="110"/>
      <c r="F73" s="110"/>
      <c r="G73" s="110"/>
      <c r="H73" s="110"/>
      <c r="I73" s="29"/>
      <c r="J73" s="29"/>
      <c r="K73" s="272" t="str">
        <f>IFERROR(IF(OR(VLOOKUP(J73, 'Fixture Identities'!$A$6:$L$1023, 3, FALSE)="T12 Linear Fluorescent", VLOOKUP(J73, 'Fixture Identities'!$A$6:$L$1023, 3, FALSE)="T12 U-Tube Fluorescent"), VLOOKUP(VLOOKUP(J73, 'Fixture Identities'!$A$6:$L$1023, 11, FALSE), 'Fixture Identities'!$A$6:$L$1023, 10, FALSE), VLOOKUP(J73, 'Fixture Identities'!$A$6:$L$1023, 10, FALSE)), "")</f>
        <v/>
      </c>
      <c r="L73" s="270" t="str">
        <f t="shared" si="169"/>
        <v/>
      </c>
      <c r="M73" s="110"/>
      <c r="N73" s="110"/>
      <c r="O73" s="110"/>
      <c r="P73" s="272" t="str">
        <f>IFERROR(IF(OR(B73="Retrofit",B73=""),"",IF('Lighting Inventory'!E73="Exterior",VLOOKUP('Lighting Inventory'!N73,'Lookup Tables'!$B$83:$F$103,5,FALSE),IF(N73="Other - Please Estimate EFLH and CFs","Contact Prog. Rep.","ft^2"))), "")</f>
        <v/>
      </c>
      <c r="Q73" s="270" t="str">
        <f>IFERROR(IF(AND(B73="New Construction",E73="Interior",$F$5="Space-by-Space"),VLOOKUP('Lighting Inventory'!N73,'Lookup Tables'!$N$6:$O$97,2,FALSE),IF(AND(B73="New Construction",E73="Exterior"),VLOOKUP(N73,'Lookup Tables'!$B$83:$F$103,2,FALSE),IF(AND(B73="New Construction",'Lighting Inventory'!E73="Interior", $F$5="Building Area"),VLOOKUP(F73,'Lookup Tables'!$A$6:$J$59,10,FALSE),""))), "")</f>
        <v/>
      </c>
      <c r="R73" s="270" t="str">
        <f>IFERROR(IF(P73="Contact Prog. Rep.", "ERROR", IF(OR(B73="",B73="Retrofit"),"",IF(N73="Automated teller machines", ('Lookup Tables'!$A$82:$E$100+('Lighting Inventory'!O73-1)*'Lookup Tables'!$A$82:$E$100)/1000, (Q73*O73)/1000))), "")</f>
        <v/>
      </c>
      <c r="S73" s="595"/>
      <c r="T73" s="105" t="str">
        <f t="shared" si="83"/>
        <v/>
      </c>
      <c r="U73" s="105" t="str">
        <f>IF(S73="","",COUNT($S$11:S73))</f>
        <v/>
      </c>
      <c r="V73" s="111"/>
      <c r="W73" s="112"/>
      <c r="X73" s="105" t="str">
        <f t="shared" si="84"/>
        <v/>
      </c>
      <c r="Y73" s="105" t="str">
        <f t="array" ref="Y73">IF(AND(OR(W73="Freezer Case Lighting", W73="Refrigerated Case Lighting with Doors"), 'General Information'!$X$18="LCI"),'Lookup Tables'!$Y$34, IF(V73="Custom", VLOOKUP(W73, 'Fixture Identities'!$A$974:$M$1023, 13, FALSE), IF(V73="No Change",'Lookup Tables'!$Y$29,IF(OR(V73="",W73=""),"",IF(AND(S73=0,S73&lt;I73,B73="Retrofit"),'Lookup Tables'!$Y$25, IF(B73="Retrofit", INDEX('Lookup Tables'!$AH$6:$AP$102, MATCH(1, ('Lookup Tables'!$AH$6:$AH$102=V73)*('Lookup Tables'!$AI$6:$AI$102=W73), 0), IF('Lighting Inventory'!E73="Interior", 4, 5)), INDEX('Lookup Tables'!$AH$114:$AP$154, MATCH(1, ('Lookup Tables'!$AH$114:$AH$154=V73)*('Lookup Tables'!$AI$114:$AI$154=W73), 0), IF('Lighting Inventory'!E73="Interior", 4, 5))))))))</f>
        <v/>
      </c>
      <c r="Z73" s="105" t="str">
        <f>IFERROR(INDEX('Lookup Tables'!$AH$158:$AH$172,MATCH('Lighting Inventory'!Y73,'Lookup Tables'!$AI$158:$AI$172,0)),"")</f>
        <v/>
      </c>
      <c r="AA73" s="105" t="str">
        <f>IF(AP73&gt;0,INDEX('Lookup Tables'!$AK$158:$AK$172,MATCH('Lighting Inventory'!Y73,'Lookup Tables'!$AI$158:$AI$172,0)),'Lighting Inventory'!Y73)</f>
        <v/>
      </c>
      <c r="AB73" s="105" t="str">
        <f t="array" ref="AB73">IF(V73="Custom", "Custom", IF(V73="", "", IF(V73="Not DLC or Energy Star", "General", IF(B73="New Construction", INDEX('Lookup Tables'!$AH$114:$AP$154,MATCH(1,('Lookup Tables'!$AH$114:$AH$154='Lighting Inventory'!V73)*('Lookup Tables'!$AI$114:$AI$154='Lighting Inventory'!W73),FALSE),8), INDEX('Lookup Tables'!$AH$6:$AP$102,MATCH(1,('Lookup Tables'!$AH$6:$AH$102='Lighting Inventory'!V73)*('Lookup Tables'!$AI$6:$AI$102='Lighting Inventory'!W73),FALSE),8)))))</f>
        <v/>
      </c>
      <c r="AC73" s="272" t="str">
        <f>IF(W73="","",IF(V73="Custom",CONCATENATE("$",'Lookup Tables'!$AM$101," ",'Lookup Tables'!$AN$101),CONCATENATE("$",INDEX('Lookup Tables'!$AM$6:$AM$102,MATCH('Lighting Inventory'!W73,'Lookup Tables'!$AI$6:$AI$102,0))," ",INDEX('Lookup Tables'!$AN$6:$AN$102,MATCH('Lighting Inventory'!W73,'Lookup Tables'!$AI$6:$AI$102,0)))))</f>
        <v/>
      </c>
      <c r="AD73" s="72"/>
      <c r="AE73" s="29"/>
      <c r="AF73" s="379"/>
      <c r="AG73" s="370" t="str">
        <f t="shared" si="2"/>
        <v/>
      </c>
      <c r="AH73" s="370" t="str">
        <f t="shared" si="85"/>
        <v/>
      </c>
      <c r="AI73" s="29"/>
      <c r="AJ73" s="29"/>
      <c r="AK73" s="110"/>
      <c r="AL73" s="375" t="str">
        <f>IF(OR(B73="", V73="", W73=""), "", IF(V73="No Change", K73, IF(V73="Remove Fixture", 0, IF(V73="Custom",VLOOKUP(W73,'Fixture Identities'!$A$6:$K$1023,10,FALSE),IF(AE73="", "← ENTER POST WATTS", 'Lighting Inventory'!AE73)))))</f>
        <v/>
      </c>
      <c r="AM73" s="376" t="str">
        <f t="shared" si="3"/>
        <v/>
      </c>
      <c r="AN73" s="29"/>
      <c r="AO73" s="671"/>
      <c r="AP73" s="29"/>
      <c r="AQ73" s="29"/>
      <c r="AR73" s="29"/>
      <c r="AS73" s="272" t="str">
        <f t="shared" si="4"/>
        <v/>
      </c>
      <c r="AT73" s="270" t="str">
        <f t="shared" si="234"/>
        <v/>
      </c>
      <c r="AU73" s="88" t="str">
        <f t="shared" si="235"/>
        <v/>
      </c>
      <c r="AV73" s="29"/>
      <c r="AW73" s="73"/>
      <c r="AX73" s="271" t="str">
        <f>IF(AND(AV73="Applicant",OR(AW73="", AW73="Use Default Facility Hours")),"← Choose Schedule",IF(F73="","",IF(W73="LED Exit Signs",8760,IF(OR(AV73="Prescribed",AV73=""),VLOOKUP(F73,'Lookup Tables'!$A$6:$G$59,IF(AB73="General", 6, 3),FALSE),VLOOKUP(AW73,'Lookup Tables'!$S$36:$U$43,2,FALSE)))))</f>
        <v/>
      </c>
      <c r="AY73" s="88" t="str">
        <f t="shared" si="7"/>
        <v/>
      </c>
      <c r="AZ73" s="270" t="str">
        <f>IFERROR(IF(F73="", "", IF(W73="LED Exit Signs", 1, IF(AV73="Applicant",VLOOKUP(AW73, 'Lookup Tables'!$S$36:$U$43,3, FALSE), VLOOKUP('Lighting Inventory'!F73, 'Lookup Tables'!$A$6:$H$59, IF('Lighting Inventory'!AB73="General",7,4), FALSE)))), "")</f>
        <v/>
      </c>
      <c r="BA73" s="522" t="str">
        <f>IFERROR(IF(F73="", "", IF(W73="LED Exit Signs", 1, VLOOKUP('Lighting Inventory'!F73, 'Lookup Tables'!$A$6:$H$59, IF('Lighting Inventory'!AB73="General",8,5), FALSE))), "")</f>
        <v/>
      </c>
      <c r="BB73" s="270" t="str">
        <f>IF(G73="", "", IF(E73="Exterior", 0, IF('Lighting Inventory'!G73="Air Conditioned", VLOOKUP(H73, 'Lookup Tables'!$R$6:$T$13, 2, FALSE), VLOOKUP('Lighting Inventory'!G73, 'Lookup Tables'!$R$6:$T$13, 2, FALSE))))</f>
        <v/>
      </c>
      <c r="BC73" s="522" t="str">
        <f>IF(G73="", "", IF(E73="Exterior", 0, IF('Lighting Inventory'!G73="Air Conditioned", VLOOKUP(H73, 'Lookup Tables'!$R$6:$T$13, 3, FALSE), VLOOKUP('Lighting Inventory'!G73, 'Lookup Tables'!$R$6:$T$13, 3, FALSE))))</f>
        <v/>
      </c>
      <c r="BD73" s="270" t="str">
        <f>IF(G73="", "", IF(E73="Exterior", 0, IF('Lighting Inventory'!G73="Air Conditioned", VLOOKUP(H73, 'Lookup Tables'!$R$6:$U$13, 4, FALSE), VLOOKUP('Lighting Inventory'!G73, 'Lookup Tables'!$R$6:$U$13, 4, FALSE))))</f>
        <v/>
      </c>
      <c r="BE73" s="270" t="str">
        <f>IFERROR(IF(B73="", "",  IF(B73="New Construction", VLOOKUP(F73, 'Lookup Tables'!$A$6:$K$59, 11, FALSE),IF(OR(AN73="", AN73="Light Switch"), 0, IF(OR(M73="",M73="None",V73= "LED Exit Signs"),0,_xlfn.XLOOKUP(M73,'Lookup Tables'!$R$91:$R$101,'Lookup Tables'!$V$91:$V$101))))), "")</f>
        <v/>
      </c>
      <c r="BF73" s="270" t="str">
        <f>IF(AND(OR(AN73="Light Switch",AN73=""),B73="New Construction"), VLOOKUP(F73, 'Lookup Tables'!$A$6:$K$59, 11, FALSE),IF(AN73="","",IF(B73="","",IF(OR(AN73="None",AN73="",V73="LED Exit Signs",AN73="Exterior Controls Not Eligible"),0,_xlfn.XLOOKUP(AN73,'Lookup Tables'!$R$91:$R$101,'Lookup Tables'!$V$91:$V$101)))))</f>
        <v/>
      </c>
      <c r="BG73" s="88" t="str">
        <f t="shared" si="86"/>
        <v/>
      </c>
      <c r="BH73" s="88" t="str">
        <f t="shared" si="87"/>
        <v/>
      </c>
      <c r="BI73" s="558" t="str">
        <f t="shared" si="168"/>
        <v/>
      </c>
      <c r="BJ73" s="82" t="str">
        <f t="shared" si="88"/>
        <v/>
      </c>
      <c r="BK73" s="82" t="str">
        <f t="shared" si="89"/>
        <v/>
      </c>
      <c r="BL73" s="559" t="str">
        <f t="shared" si="90"/>
        <v/>
      </c>
      <c r="BM73" s="521" t="str">
        <f t="shared" si="8"/>
        <v/>
      </c>
      <c r="BN73" s="521" t="str">
        <f t="shared" si="9"/>
        <v/>
      </c>
      <c r="BO73" s="522" t="str">
        <f t="shared" si="10"/>
        <v/>
      </c>
      <c r="BP73" s="83" t="str">
        <f t="shared" si="91"/>
        <v/>
      </c>
      <c r="BQ73" s="84" t="str">
        <f t="shared" si="92"/>
        <v/>
      </c>
      <c r="BR73" s="184" t="str">
        <f>IFERROR(IF(B73="", "", IF(OR(VLOOKUP(J73, 'Fixture Identities'!$A$6:$L$1023, 3, FALSE)="T12 Linear Fluorescent",VLOOKUP(J73, 'Fixture Identities'!$A$6:$L$1023, 3, FALSE)="T12 U-Tube Fluorescent"), "Y", "N")), "N")</f>
        <v/>
      </c>
      <c r="BS73" s="184" t="str">
        <f t="array" ref="BS73">IFERROR(IF(OR(B73="", V73="", W73=""), "", IF(V73="Custom", "N", IF(OR(W73="Freezer Case Lighting", W73="Refrigerated Case Lighting with Doors"), BT73, IF(B73="Retrofit", INDEX('Lookup Tables'!$AH$6:$AT$102,MATCH(1,('Lookup Tables'!$AH$6:$AH$102=V73)*('Lookup Tables'!$AI$6:$AI$102=W73),FALSE),IF(VLOOKUP(J73, 'Fixture Identities'!$A$6:$B$1023, 2, FALSE)="Incandescent",12, 13)), INDEX('Lookup Tables'!$AH$114:$AS$154,MATCH(1,('Lookup Tables'!$AH$114:$AH$154=V73)*('Lookup Tables'!$AI$114:$AI$154=W73),FALSE),12))))), "N")</f>
        <v/>
      </c>
      <c r="BT73" s="184" t="str">
        <f>IF(J73="", "", IF(AND(OR(W73="Freezer case Lighting", W73="Refrigerated Case Lighting with Doors"),'General Information'!$X$18="LCI"), "N", IF(OR(VLOOKUP(J73, 'Fixture Identities'!$A$6:$B$1023, 2, FALSE)="T12 EPACT/EISA Baseline", VLOOKUP(J73, 'Fixture Identities'!$A$6:$B$1023, 2, FALSE)="Linear Fluorescent", VLOOKUP(J73, 'Fixture Identities'!$A$6:$B$1023, 2, FALSE)="U-Tube Fluorescent"), "Y", "N")))</f>
        <v/>
      </c>
      <c r="BU73" s="184" t="str">
        <f>IFERROR(IF(B73="", "", IF(VLOOKUP(J73, 'Fixture Identities'!$A$6:$B$1023, 2, FALSE)="Exit Sign", "Y", "N")), "N")</f>
        <v/>
      </c>
      <c r="BV73" s="184" t="str">
        <f>IF(V73="Exit Signs", IF(VLOOKUP(J73, 'Fixture Identities'!$A$6:$B$1023, 2, FALSE)="Exit Sign", "N", "Y"), "")</f>
        <v/>
      </c>
      <c r="BW73" s="184" t="str">
        <f t="array" ref="BW73">IFERROR(IF(B73="", "", IF(B73="New Construction", "N", INDEX('Lookup Tables'!$AH$6:$AU$102, MATCH(1, ('Lookup Tables'!$AH$6:$AH$102='Lighting Inventory'!V73)*('Lookup Tables'!$AI$6:$AI$102='Lighting Inventory'!W73), 0), 14))), "N")</f>
        <v/>
      </c>
      <c r="BX73" s="598" t="str">
        <f t="shared" si="93"/>
        <v/>
      </c>
      <c r="BY73" s="598" t="str">
        <f t="shared" si="94"/>
        <v/>
      </c>
      <c r="BZ73" s="598" t="str">
        <f t="shared" si="95"/>
        <v/>
      </c>
      <c r="CA73" s="598" t="str">
        <f t="shared" si="101"/>
        <v/>
      </c>
      <c r="CB73" s="269" t="str">
        <f t="shared" si="102"/>
        <v/>
      </c>
      <c r="CC73" s="517" t="str">
        <f t="shared" si="96"/>
        <v/>
      </c>
      <c r="CD73" s="565" t="str">
        <f t="shared" si="11"/>
        <v/>
      </c>
      <c r="CE73" s="368">
        <v>0</v>
      </c>
      <c r="CF73" s="368" t="str" cm="1">
        <f t="array" ref="CF73">IFERROR(IF(V73="Custom", "$0.1 per kWh", IF(B73="New Construction", CONCATENATE("$",INDEX('Lookup Tables'!$AH$114:$AN$154,MATCH(1,('Lookup Tables'!$AH$114:$AH$154='Lighting Inventory'!V73)*('Lookup Tables'!$AI$114:$AI$154='Lighting Inventory'!W73),FALSE),6)," ",INDEX('Lookup Tables'!$AH$114:$AN$154,MATCH(1,('Lookup Tables'!$AH$114:$AH$154='Lighting Inventory'!V73)*('Lookup Tables'!$AI$114:$AI$154='Lighting Inventory'!W73),FALSE),7)), IF(AND(BU73="N", V73="Exit Signs"), "$0.025 per kWh", CONCATENATE("$",INDEX('Lookup Tables'!$AH$6:$AN$102,MATCH(1,('Lookup Tables'!$AH$6:$AH$102='Lighting Inventory'!V73)*('Lookup Tables'!$AI$6:$AI$102='Lighting Inventory'!W73),FALSE),6)," ",INDEX('Lookup Tables'!$AH$6:$AN$102,MATCH(1,('Lookup Tables'!$AH$6:$AH$102='Lighting Inventory'!V73)*('Lookup Tables'!$AI$6:$AI$102='Lighting Inventory'!W73),FALSE),7))))), "")</f>
        <v/>
      </c>
      <c r="CG73" s="366"/>
      <c r="CH73" s="248" t="str">
        <f t="shared" si="236"/>
        <v/>
      </c>
      <c r="CI73" s="248" t="str">
        <f t="shared" si="237"/>
        <v>Select_IE</v>
      </c>
      <c r="CJ73" s="248" t="str">
        <f t="shared" si="238"/>
        <v/>
      </c>
      <c r="CK73" s="248" t="str">
        <f t="shared" si="239"/>
        <v/>
      </c>
      <c r="CL73" s="248" t="str">
        <f t="shared" si="240"/>
        <v/>
      </c>
      <c r="CM73" s="248" t="str">
        <f>IFERROR(IF(B73="", "", IF(B73="New Construction", VLOOKUP(V73, 'Lookup Tables'!$AF$114:$AG$120, 2, FALSE), VLOOKUP(V73, 'Lookup Tables'!$AD$6:$AE$25, 2, FALSE))), "")</f>
        <v/>
      </c>
      <c r="CN73" s="248" t="str">
        <f t="shared" si="175"/>
        <v/>
      </c>
      <c r="CO73" s="248" t="str">
        <f t="shared" si="241"/>
        <v/>
      </c>
      <c r="CP73" s="592" t="str">
        <f t="shared" si="242"/>
        <v/>
      </c>
      <c r="CQ73" s="248" t="str">
        <f t="shared" si="97"/>
        <v/>
      </c>
      <c r="CR73" s="100"/>
      <c r="CS73" s="250" t="str">
        <f t="shared" si="178"/>
        <v/>
      </c>
      <c r="CT73" s="250" t="str">
        <f t="shared" si="243"/>
        <v/>
      </c>
      <c r="CU73" s="250" t="str">
        <f t="shared" si="244"/>
        <v/>
      </c>
      <c r="CV73" s="250" t="str">
        <f t="shared" si="245"/>
        <v/>
      </c>
      <c r="CW73" s="250" t="str">
        <f t="shared" si="246"/>
        <v/>
      </c>
      <c r="CX73" s="250" t="str">
        <f t="shared" si="247"/>
        <v/>
      </c>
      <c r="CY73" s="250" t="str">
        <f t="shared" si="248"/>
        <v/>
      </c>
      <c r="CZ73" s="250" t="str">
        <f t="shared" si="249"/>
        <v/>
      </c>
      <c r="DA73" s="250" t="str">
        <f t="shared" si="250"/>
        <v/>
      </c>
      <c r="DB73" s="250" t="str">
        <f t="shared" si="251"/>
        <v/>
      </c>
      <c r="DC73" s="250" t="str">
        <f t="shared" si="252"/>
        <v/>
      </c>
      <c r="DD73" s="250" t="str">
        <f t="shared" si="253"/>
        <v/>
      </c>
      <c r="DE73" s="250" t="str">
        <f t="shared" si="254"/>
        <v/>
      </c>
      <c r="DF73" s="250" t="str">
        <f t="shared" si="255"/>
        <v/>
      </c>
      <c r="DG73" s="250" t="str">
        <f t="shared" si="256"/>
        <v/>
      </c>
      <c r="DH73" s="250" t="str">
        <f t="shared" si="257"/>
        <v/>
      </c>
      <c r="DI73" s="250" t="str">
        <f t="shared" si="258"/>
        <v/>
      </c>
      <c r="DJ73" s="250" t="str">
        <f t="shared" si="259"/>
        <v/>
      </c>
      <c r="DK73" s="250" t="str">
        <f t="shared" si="260"/>
        <v/>
      </c>
      <c r="DL73" s="250" t="str">
        <f t="shared" si="261"/>
        <v/>
      </c>
      <c r="DM73" s="250" t="str">
        <f>IF(CD73="ERROR", "ERROR", IF(AND(OR(Y73=$DM$6, Y73='Lookup Tables'!$AD$21, Y73='Lookup Tables'!$AD$22), E73="Interior"), BJ73, ""))</f>
        <v/>
      </c>
      <c r="DN73" s="250" t="str">
        <f>IF(CD73="ERROR", "ERROR", IF(AND(OR(Y73=$DM$6, Y73='Lookup Tables'!$AD$21, Y73='Lookup Tables'!$AD$22), E73="Exterior"), BJ73, ""))</f>
        <v/>
      </c>
      <c r="DO73" s="100"/>
      <c r="DP73" s="250" t="str">
        <f t="shared" si="198"/>
        <v/>
      </c>
      <c r="DQ73" s="250" t="str">
        <f t="shared" si="262"/>
        <v/>
      </c>
      <c r="DR73" s="250" t="str">
        <f t="shared" si="263"/>
        <v/>
      </c>
      <c r="DS73" s="250" t="str">
        <f t="shared" si="264"/>
        <v/>
      </c>
      <c r="DT73" s="250" t="str">
        <f t="shared" si="265"/>
        <v/>
      </c>
      <c r="DU73" s="250" t="str">
        <f t="shared" si="266"/>
        <v/>
      </c>
      <c r="DV73" s="250" t="str">
        <f t="shared" si="267"/>
        <v/>
      </c>
      <c r="DW73" s="250" t="str">
        <f t="shared" si="268"/>
        <v/>
      </c>
      <c r="DX73" s="250" t="str">
        <f t="shared" si="269"/>
        <v/>
      </c>
      <c r="DY73" s="250" t="str">
        <f t="shared" si="270"/>
        <v/>
      </c>
      <c r="DZ73" s="250" t="str">
        <f t="shared" si="271"/>
        <v/>
      </c>
      <c r="EA73" s="250" t="str">
        <f t="shared" si="272"/>
        <v/>
      </c>
      <c r="EB73" s="250" t="str">
        <f t="shared" si="273"/>
        <v/>
      </c>
      <c r="EC73" s="250" t="str">
        <f t="shared" si="274"/>
        <v/>
      </c>
      <c r="ED73" s="250" t="str">
        <f t="shared" si="275"/>
        <v/>
      </c>
      <c r="EE73" s="250" t="str">
        <f t="shared" si="276"/>
        <v/>
      </c>
      <c r="EF73" s="250" t="str">
        <f t="shared" si="277"/>
        <v/>
      </c>
      <c r="EG73" s="250" t="str">
        <f t="shared" si="278"/>
        <v/>
      </c>
      <c r="EH73" s="250" t="str">
        <f>IF(CD73="ERROR", "ERROR", IF(AND(OR($EH$6=Y73, Y73='Lookup Tables'!$AD$21, Y73='Lookup Tables'!$AD$22),E73="Interior"), SUM(BP73:BP73), ""))</f>
        <v/>
      </c>
      <c r="EI73" s="250" t="str">
        <f>IF(CD73="ERROR", "ERROR", IF(AND(OR($EH$6=Y73, Y73='Lookup Tables'!$AD$21, Y73='Lookup Tables'!$AD$22),E73="Exterior"), SUM(BP73:BP73), ""))</f>
        <v/>
      </c>
      <c r="EJ73" s="109"/>
      <c r="EK73" s="485" t="str">
        <f t="shared" si="58"/>
        <v/>
      </c>
      <c r="EL73" s="252" t="str">
        <f t="shared" si="279"/>
        <v/>
      </c>
      <c r="EM73" s="252" t="str">
        <f t="shared" si="280"/>
        <v/>
      </c>
      <c r="EN73" s="252" t="str">
        <f t="shared" si="281"/>
        <v/>
      </c>
      <c r="EO73" s="252" t="str">
        <f t="shared" si="282"/>
        <v/>
      </c>
      <c r="EP73" s="252" t="str">
        <f t="shared" si="283"/>
        <v/>
      </c>
      <c r="EQ73" s="252" t="str">
        <f t="shared" si="284"/>
        <v/>
      </c>
      <c r="ER73" s="252" t="str">
        <f t="shared" si="285"/>
        <v/>
      </c>
      <c r="ES73" s="252" t="str">
        <f t="shared" si="286"/>
        <v/>
      </c>
      <c r="ET73" s="252" t="str">
        <f t="shared" si="287"/>
        <v/>
      </c>
      <c r="EU73" s="252" t="str">
        <f t="shared" si="288"/>
        <v/>
      </c>
      <c r="EV73" s="252" t="str">
        <f t="shared" si="289"/>
        <v/>
      </c>
      <c r="EW73" s="252" t="str">
        <f t="shared" si="290"/>
        <v/>
      </c>
      <c r="EX73" s="252" t="str">
        <f t="shared" si="291"/>
        <v/>
      </c>
      <c r="EY73" s="252" t="str">
        <f t="shared" si="292"/>
        <v/>
      </c>
      <c r="EZ73" s="252" t="str">
        <f t="shared" si="293"/>
        <v/>
      </c>
      <c r="FA73" s="252" t="str">
        <f t="shared" si="294"/>
        <v/>
      </c>
      <c r="FB73" s="252" t="str">
        <f t="shared" si="295"/>
        <v/>
      </c>
      <c r="FC73" s="252" t="str">
        <f>IF(CD73="ERROR", "ERROR", IF(OR(V73="No Change", V73="Not DLC or Energy Star"), "", IF(AND(OR($FC$6=Y73,Y73='Lookup Tables'!$AD$21, Y73='Lookup Tables'!$AD$22),E73="Interior"), S73, "")))</f>
        <v/>
      </c>
      <c r="FD73" s="252" t="str">
        <f t="shared" si="296"/>
        <v/>
      </c>
      <c r="FE73" s="101"/>
      <c r="FF73" s="579" t="str" cm="1">
        <f t="array" ref="FF73">IFERROR(IF(OR(BQ73&lt;=0,AQ73&lt;20,AND(V73="Exit Signs",AN73&gt;0)),"",IF(AND(AQ73&gt;=20,AN73='Lookup Tables'!$R$101),'Lookup Tables'!$U$101*BQ73,AP73*LOOKUP(2,1/((AN73='Lookup Tables'!$R$91:$R$111)*(AQ73&gt;='Lookup Tables'!$S$91:$S$111)*(AQ73&lt;='Lookup Tables'!$T$91:$T$111)),'Lookup Tables'!$U$91:$U$111))),"")</f>
        <v/>
      </c>
      <c r="FG73" s="579"/>
      <c r="FH73" s="579"/>
      <c r="FI73" s="253" t="str">
        <f>IFERROR(ROUND(IF(CD73="ERROR", "ERROR", IF(AND($FI$7=X73,E73="Interior"),VLOOKUP(W73, 'Lookup Tables'!$AI$6:$AM$102, 5, FALSE)*BP73, "")), 2), "")</f>
        <v/>
      </c>
      <c r="FJ73" s="253" t="str">
        <f>IFERROR(ROUND(IF(CD73="ERROR", "ERROR", IF(AND($FI$7=X73,E73="Exterior"),VLOOKUP(W73, 'Lookup Tables'!$AI$6:$AM$102, 5, FALSE)*BP73, "")), 2), "")</f>
        <v/>
      </c>
      <c r="FK73" s="253" t="str">
        <f>IFERROR(ROUND(IF(CD73="ERROR", "ERROR", IF(AND($FK$7=X73,E73="Interior"),VLOOKUP(W73, 'Lookup Tables'!$AI$6:$AM$102, 5, FALSE)*BP73, "")), 2), "")</f>
        <v/>
      </c>
      <c r="FL73" s="253" t="str">
        <f>IFERROR(ROUND(IF(CD73="ERROR", "ERROR", IF(AND($FK$7=X73,E73="Exterior"),VLOOKUP(W73, 'Lookup Tables'!$AI$6:$AM$102, 5, FALSE)*BP73, "")), 2), "")</f>
        <v/>
      </c>
      <c r="FM73" s="253" t="str">
        <f>IFERROR(ROUND(IF(CD73="ERROR", "ERROR", IF(AND($FM$6=Y73,E73="Interior"), IF(GB73=0, VLOOKUP(W73, 'Lookup Tables'!$AI$6:$AM$102, 5, FALSE)*BP73, IF(VLOOKUP(W73, 'Lookup Tables'!$AI$6:$AM$102, 5, FALSE)*BP73&gt;GB73*'Lighting Inventory'!S73, GB73*'Lighting Inventory'!S73,VLOOKUP(W73, 'Lookup Tables'!$AI$6:$AM$102, 5, FALSE)*BP73)), "")), 2), "")</f>
        <v/>
      </c>
      <c r="FN73" s="253" t="str">
        <f>IFERROR(ROUND(IF(CD73="ERROR", "ERROR", IF(AND($FM$6=Y73,E73="Exterior"), IF(GB73=0, VLOOKUP(W73, 'Lookup Tables'!$AI$6:$AM$102, 5, FALSE)*BP73, IF(VLOOKUP(W73, 'Lookup Tables'!$AI$6:$AM$102, 5, FALSE)*BP73&gt;GB73*'Lighting Inventory'!S73, GB73*'Lighting Inventory'!S73,VLOOKUP(W73, 'Lookup Tables'!$AI$6:$AM$102, 5, FALSE)*BP73)), "")), 2), "")</f>
        <v/>
      </c>
      <c r="FO73" s="253" t="str">
        <f>IFERROR(ROUND(IF(CD73="ERROR", "ERROR", IF(AND($FO$6=Y73,E73="Interior"),VLOOKUP(W73, 'Lookup Tables'!$AI$6:$AM$102, 5, FALSE)*'Lighting Inventory'!AI73, "")), 2), "")</f>
        <v/>
      </c>
      <c r="FP73" s="253" t="str">
        <f>IFERROR(ROUND(IF(CD73="ERROR", "ERROR", IF(AND($FO$6=Y73,E73="Exterior"),VLOOKUP(W73, 'Lookup Tables'!$AI$6:$AM$102, 5, FALSE)*'Lighting Inventory'!AI73, "")), 2), "")</f>
        <v/>
      </c>
      <c r="FQ73" s="253" t="str">
        <f>IFERROR(ROUND(IF(CD73="ERROR", "ERROR", IF(AND($FQ$6=Y73,E73="Interior", BU73="Y"), VLOOKUP('Lighting Inventory'!W73, 'Lookup Tables'!$AI$6:$AM$102, 5, FALSE)*'Lighting Inventory'!S73, IF(AND($FQ$7=Y73,E73="Interior", BU73="N"), 0.025*CD73, ""))), 2), "")</f>
        <v/>
      </c>
      <c r="FR73" s="253" t="str">
        <f>IFERROR(ROUND(IF(CD73="ERROR", "ERROR", IF(AND($FQ$6=Y73,E73="Exterior"), VLOOKUP('Lighting Inventory'!W73, 'Lookup Tables'!$AI$6:$AM$102, 5, FALSE)*'Lighting Inventory'!S73, "")), 2), "")</f>
        <v/>
      </c>
      <c r="FS73" s="253" t="str">
        <f>IFERROR(ROUND(IF(CD73="ERROR", "ERROR", IF(AND($FS$6=Y73,E73="Exterior"), IF(GB73=0, VLOOKUP(W73, 'Lookup Tables'!$AI$6:$AM$102, 5, FALSE)*BP73, IF(VLOOKUP(W73, 'Lookup Tables'!$AI$6:$AM$102, 5, FALSE)*BP73&gt;GB73*'Lighting Inventory'!S73, GB73*'Lighting Inventory'!S73,VLOOKUP(W73, 'Lookup Tables'!$AI$6:$AM$102, 5, FALSE)*BP73)), "")), 2), "")</f>
        <v/>
      </c>
      <c r="FT73" s="253" t="str">
        <f>IFERROR(ROUND(IF(CD73="ERROR", "ERROR", IF(AND($FT$6=Y73,E73="Interior"), IF(GB73=0, VLOOKUP(W73, 'Lookup Tables'!$AI$6:$AM$102, 5, FALSE)*BP73, IF(VLOOKUP(W73, 'Lookup Tables'!$AI$6:$AM$102, 5, FALSE)*BP73&gt;GB73*'Lighting Inventory'!S73, GB73*'Lighting Inventory'!S73,VLOOKUP(W73, 'Lookup Tables'!$AI$6:$AM$102, 5, FALSE)*BP73)), "")), 2), "")</f>
        <v/>
      </c>
      <c r="FU73" s="253" t="str">
        <f>IFERROR(ROUND(IF(CD73="ERROR", "ERROR", IF(AND(Y73=$FU$6, E73="Interior"), IF(BS73="N", 'Lookup Tables'!$AM$101*BP73, VLOOKUP(W73, 'Lookup Tables'!$AI$6:$AM$102, 5, FALSE)*S73*AD73), "")), 2), "")</f>
        <v/>
      </c>
      <c r="FV73" s="253" t="str">
        <f>IFERROR(ROUND(IF(CD73="ERROR", "ERROR", IF(AND(Y73=$FU$6, E73="Exterior"), IF(BS73="N", 'Lookup Tables'!$AM$101*BP73, VLOOKUP(W73, 'Lookup Tables'!$AI$6:$AM$102, 5, FALSE)*S73*AD73), "")), 2), "")</f>
        <v/>
      </c>
      <c r="FW73" s="253" t="str">
        <f>IFERROR(ROUND(IF(CD73="ERROR", "ERROR", IF($FW$6=Y73, IF(BS73="N", 'Lookup Tables'!$AM$101*BP73, MIN((VLOOKUP(W73, 'Lookup Tables'!$AI$6:$AM$102, 5, FALSE)*BP73),GB73*AJ73)), "")), 2), "")</f>
        <v/>
      </c>
      <c r="FX73" s="253" t="str">
        <f>IFERROR(ROUND(IF(CD73="ERROR", "ERROR", IF(AND($FX$6=Y73, E73="Interior"), IF(VLOOKUP(W73, 'Lookup Tables'!$AI$6:$AM$102, 5, FALSE)*BP73&gt;'Lookup Tables'!$AQ$97*'Lighting Inventory'!S73,'Lighting Inventory'!S73*'Lookup Tables'!$AQ$97,VLOOKUP(W73, 'Lookup Tables'!$AI$6:$AM$102, 5, FALSE)*BP73), "")), 2), "")</f>
        <v/>
      </c>
      <c r="FY73" s="253" t="str">
        <f>IFERROR(ROUND(IF(CD73="ERROR", "ERROR", IF(AND($FX$6=Y73, E73="Exterior"), IF(VLOOKUP(W73, 'Lookup Tables'!$AI$6:$AM$102, 5, FALSE)*BP73&gt;'Lookup Tables'!$AQ$97*'Lighting Inventory'!S73,'Lighting Inventory'!S73*'Lookup Tables'!$AQ$97,VLOOKUP(W73, 'Lookup Tables'!$AI$6:$AM$102, 5, FALSE)*BP73), "")), 2), "")</f>
        <v/>
      </c>
      <c r="FZ73" s="253" t="str">
        <f>IFERROR(ROUND(IF(CD73="ERROR", "ERROR", IF(AND($FZ$6=Y73, E73="Interior"), IF(AND(OR(W73="Refrigerated Case Lighting with Doors", W73="Freezer Case Lighting"),Y73="Custom - Process Improvement"),CD73*'Lookup Tables'!$AM$101, IF(B73="Retrofit", IF(VLOOKUP(IF(V73="Custom", V73, W73), 'Lookup Tables'!$AI$6:$AM$102, 5, FALSE)*BP73&gt;GE73, GE73, VLOOKUP(IF(V73="Custom", V73, W73), 'Lookup Tables'!$AI$6:$AM$102, 5, FALSE)*BP73), IF(VLOOKUP(IF(V73="Custom", V73, W73), 'Lookup Tables'!$AI$114:$AM$154, 5, FALSE)*BP73&gt;GE73, GE73, VLOOKUP(IF(V73="Custom", V73, W73), 'Lookup Tables'!$AI$114:$AM$154, 5, FALSE)*BP73))), "")), 2),"")</f>
        <v/>
      </c>
      <c r="GA73" s="253" t="str">
        <f>IFERROR(ROUND(IF(CD73="ERROR", "ERROR", IF(AND($FZ$6=Y73, E73="Exterior"), IF(B73="Retrofit", IF(VLOOKUP(IF(V73="Custom", V73, W73), 'Lookup Tables'!$AI$6:$AM$102, 5, FALSE)*BP73&gt;GE73, GE73, VLOOKUP(IF(V73="Custom", V73, W73), 'Lookup Tables'!$AI$6:$AM$102, 5, FALSE)*BP73), IF(VLOOKUP(IF(V73="Custom", V73, W73), 'Lookup Tables'!$AI$114:$AM$154, 5, FALSE)*BP73&gt;GE73, GE73, VLOOKUP(IF(V73="Custom", V73, W73), 'Lookup Tables'!$AI$114:$AM$154, 5, FALSE)*BP73)), "")), 2),"")</f>
        <v/>
      </c>
      <c r="GB73" s="254" t="str">
        <f t="array" ref="GB73">IF(B73="","",IF(OR(V73="Custom",V73="No Change"),0,IF(B73="Retrofit", INDEX('Lookup Tables'!$AH$6:$AQ$102,MATCH(1,('Lookup Tables'!$AH$6:$AH$102='Lighting Inventory'!V73)*('Lookup Tables'!$AI$6:$AI$102='Lighting Inventory'!W73),FALSE),10),INDEX('Lookup Tables'!$AH$114:$AQ$154,MATCH(1,('Lookup Tables'!$AH$114:$AH$154='Lighting Inventory'!V73)*('Lookup Tables'!$AI$114:$AI$154='Lighting Inventory'!W73),FALSE),10))))</f>
        <v/>
      </c>
      <c r="GC73" s="255" t="str">
        <f t="shared" si="77"/>
        <v/>
      </c>
      <c r="GD73" s="250" t="str">
        <f t="shared" si="78"/>
        <v/>
      </c>
      <c r="GE73" s="253" t="str">
        <f>IFERROR(IF(AND(AF73="", 'General Information'!$F$18="No"),"", IF(AF73="", ((GD73/$CD$266)*$CF$266)*0.5, AF73*S73*0.5)), "")</f>
        <v/>
      </c>
      <c r="GF73" s="255" t="str">
        <f>IF(AND('General Information'!$F$19="", 'General Information'!$F$18="Yes",AF73="",BW73="Y"), "Y", "N")</f>
        <v>N</v>
      </c>
      <c r="GG73" s="255" t="s">
        <v>2946</v>
      </c>
      <c r="GH73" s="255" t="str">
        <f>IFERROR(IF(B73="", "", VLOOKUP(J73, 'Fixture Identities'!$A$6:$N$908, 14, FALSE)), "")</f>
        <v/>
      </c>
      <c r="GI73" s="389" t="str">
        <f>IF(OR(B73="", V73="", W73=""), "", IF(AND(OR(M73='Lookup Tables'!$R$18, M73='Lookup Tables'!$R$19, M73='Lookup Tables'!$R$20, M73='Lookup Tables'!$R$21, M73='Lookup Tables'!$R$22), OR(AN73='Lookup Tables'!$R$17, AN73='Lookup Tables'!$R$17, AN73="")), "Y", "N"))</f>
        <v/>
      </c>
      <c r="GJ73" s="255" t="str">
        <f t="shared" si="79"/>
        <v/>
      </c>
      <c r="GK73" s="255" t="str">
        <f t="shared" si="80"/>
        <v/>
      </c>
      <c r="GL73" s="255" t="str">
        <f t="shared" si="81"/>
        <v/>
      </c>
      <c r="GM73" s="255" t="str">
        <f>IF(AN73="", "", IF(AND(IF(ISNA(VLOOKUP(AN73,'Lookup Tables'!$R$18:$R$22,1,FALSE)), "N", "Y")="Y", E73="Exterior"), "Y", "N"))</f>
        <v/>
      </c>
      <c r="GN73" s="395"/>
      <c r="GO73" s="428">
        <f t="shared" si="98"/>
        <v>0</v>
      </c>
      <c r="GP73" s="428">
        <f t="shared" si="167"/>
        <v>0</v>
      </c>
      <c r="GQ73" s="428">
        <f t="shared" si="99"/>
        <v>0</v>
      </c>
      <c r="GR73" s="428">
        <f t="shared" si="100"/>
        <v>0</v>
      </c>
    </row>
    <row r="74" spans="1:200" s="103" customFormat="1" ht="13.5" customHeight="1" x14ac:dyDescent="0.2">
      <c r="A74" s="272">
        <v>64</v>
      </c>
      <c r="B74" s="110"/>
      <c r="C74" s="110"/>
      <c r="D74" s="110"/>
      <c r="E74" s="110"/>
      <c r="F74" s="110"/>
      <c r="G74" s="110"/>
      <c r="H74" s="110"/>
      <c r="I74" s="29"/>
      <c r="J74" s="29"/>
      <c r="K74" s="272" t="str">
        <f>IFERROR(IF(OR(VLOOKUP(J74, 'Fixture Identities'!$A$6:$L$1023, 3, FALSE)="T12 Linear Fluorescent", VLOOKUP(J74, 'Fixture Identities'!$A$6:$L$1023, 3, FALSE)="T12 U-Tube Fluorescent"), VLOOKUP(VLOOKUP(J74, 'Fixture Identities'!$A$6:$L$1023, 11, FALSE), 'Fixture Identities'!$A$6:$L$1023, 10, FALSE), VLOOKUP(J74, 'Fixture Identities'!$A$6:$L$1023, 10, FALSE)), "")</f>
        <v/>
      </c>
      <c r="L74" s="270" t="str">
        <f t="shared" si="169"/>
        <v/>
      </c>
      <c r="M74" s="110"/>
      <c r="N74" s="110"/>
      <c r="O74" s="110"/>
      <c r="P74" s="272" t="str">
        <f>IFERROR(IF(OR(B74="Retrofit",B74=""),"",IF('Lighting Inventory'!E74="Exterior",VLOOKUP('Lighting Inventory'!N74,'Lookup Tables'!$B$83:$F$103,5,FALSE),IF(N74="Other - Please Estimate EFLH and CFs","Contact Prog. Rep.","ft^2"))), "")</f>
        <v/>
      </c>
      <c r="Q74" s="270" t="str">
        <f>IFERROR(IF(AND(B74="New Construction",E74="Interior",$F$5="Space-by-Space"),VLOOKUP('Lighting Inventory'!N74,'Lookup Tables'!$N$6:$O$97,2,FALSE),IF(AND(B74="New Construction",E74="Exterior"),VLOOKUP(N74,'Lookup Tables'!$B$83:$F$103,2,FALSE),IF(AND(B74="New Construction",'Lighting Inventory'!E74="Interior", $F$5="Building Area"),VLOOKUP(F74,'Lookup Tables'!$A$6:$J$59,10,FALSE),""))), "")</f>
        <v/>
      </c>
      <c r="R74" s="270" t="str">
        <f>IFERROR(IF(P74="Contact Prog. Rep.", "ERROR", IF(OR(B74="",B74="Retrofit"),"",IF(N74="Automated teller machines", ('Lookup Tables'!$A$82:$E$100+('Lighting Inventory'!O74-1)*'Lookup Tables'!$A$82:$E$100)/1000, (Q74*O74)/1000))), "")</f>
        <v/>
      </c>
      <c r="S74" s="595"/>
      <c r="T74" s="105" t="str">
        <f t="shared" si="83"/>
        <v/>
      </c>
      <c r="U74" s="105" t="str">
        <f>IF(S74="","",COUNT($S$11:S74))</f>
        <v/>
      </c>
      <c r="V74" s="111"/>
      <c r="W74" s="112"/>
      <c r="X74" s="105" t="str">
        <f t="shared" si="84"/>
        <v/>
      </c>
      <c r="Y74" s="105" t="str">
        <f t="array" ref="Y74">IF(AND(OR(W74="Freezer Case Lighting", W74="Refrigerated Case Lighting with Doors"), 'General Information'!$X$18="LCI"),'Lookup Tables'!$Y$34, IF(V74="Custom", VLOOKUP(W74, 'Fixture Identities'!$A$974:$M$1023, 13, FALSE), IF(V74="No Change",'Lookup Tables'!$Y$29,IF(OR(V74="",W74=""),"",IF(AND(S74=0,S74&lt;I74,B74="Retrofit"),'Lookup Tables'!$Y$25, IF(B74="Retrofit", INDEX('Lookup Tables'!$AH$6:$AP$102, MATCH(1, ('Lookup Tables'!$AH$6:$AH$102=V74)*('Lookup Tables'!$AI$6:$AI$102=W74), 0), IF('Lighting Inventory'!E74="Interior", 4, 5)), INDEX('Lookup Tables'!$AH$114:$AP$154, MATCH(1, ('Lookup Tables'!$AH$114:$AH$154=V74)*('Lookup Tables'!$AI$114:$AI$154=W74), 0), IF('Lighting Inventory'!E74="Interior", 4, 5))))))))</f>
        <v/>
      </c>
      <c r="Z74" s="105" t="str">
        <f>IFERROR(INDEX('Lookup Tables'!$AH$158:$AH$172,MATCH('Lighting Inventory'!Y74,'Lookup Tables'!$AI$158:$AI$172,0)),"")</f>
        <v/>
      </c>
      <c r="AA74" s="105" t="str">
        <f>IF(AP74&gt;0,INDEX('Lookup Tables'!$AK$158:$AK$172,MATCH('Lighting Inventory'!Y74,'Lookup Tables'!$AI$158:$AI$172,0)),'Lighting Inventory'!Y74)</f>
        <v/>
      </c>
      <c r="AB74" s="105" t="str">
        <f t="array" ref="AB74">IF(V74="Custom", "Custom", IF(V74="", "", IF(V74="Not DLC or Energy Star", "General", IF(B74="New Construction", INDEX('Lookup Tables'!$AH$114:$AP$154,MATCH(1,('Lookup Tables'!$AH$114:$AH$154='Lighting Inventory'!V74)*('Lookup Tables'!$AI$114:$AI$154='Lighting Inventory'!W74),FALSE),8), INDEX('Lookup Tables'!$AH$6:$AP$102,MATCH(1,('Lookup Tables'!$AH$6:$AH$102='Lighting Inventory'!V74)*('Lookup Tables'!$AI$6:$AI$102='Lighting Inventory'!W74),FALSE),8)))))</f>
        <v/>
      </c>
      <c r="AC74" s="272" t="str">
        <f>IF(W74="","",IF(V74="Custom",CONCATENATE("$",'Lookup Tables'!$AM$101," ",'Lookup Tables'!$AN$101),CONCATENATE("$",INDEX('Lookup Tables'!$AM$6:$AM$102,MATCH('Lighting Inventory'!W74,'Lookup Tables'!$AI$6:$AI$102,0))," ",INDEX('Lookup Tables'!$AN$6:$AN$102,MATCH('Lighting Inventory'!W74,'Lookup Tables'!$AI$6:$AI$102,0)))))</f>
        <v/>
      </c>
      <c r="AD74" s="72"/>
      <c r="AE74" s="29"/>
      <c r="AF74" s="379"/>
      <c r="AG74" s="370" t="str">
        <f t="shared" si="2"/>
        <v/>
      </c>
      <c r="AH74" s="370" t="str">
        <f t="shared" si="85"/>
        <v/>
      </c>
      <c r="AI74" s="29"/>
      <c r="AJ74" s="29"/>
      <c r="AK74" s="110"/>
      <c r="AL74" s="375" t="str">
        <f>IF(OR(B74="", V74="", W74=""), "", IF(V74="No Change", K74, IF(V74="Remove Fixture", 0, IF(V74="Custom",VLOOKUP(W74,'Fixture Identities'!$A$6:$K$1023,10,FALSE),IF(AE74="", "← ENTER POST WATTS", 'Lighting Inventory'!AE74)))))</f>
        <v/>
      </c>
      <c r="AM74" s="376" t="str">
        <f t="shared" si="3"/>
        <v/>
      </c>
      <c r="AN74" s="29"/>
      <c r="AO74" s="671"/>
      <c r="AP74" s="29"/>
      <c r="AQ74" s="29"/>
      <c r="AR74" s="29"/>
      <c r="AS74" s="272" t="str">
        <f t="shared" si="4"/>
        <v/>
      </c>
      <c r="AT74" s="270" t="str">
        <f t="shared" si="234"/>
        <v/>
      </c>
      <c r="AU74" s="88" t="str">
        <f t="shared" si="235"/>
        <v/>
      </c>
      <c r="AV74" s="29"/>
      <c r="AW74" s="73"/>
      <c r="AX74" s="271" t="str">
        <f>IF(AND(AV74="Applicant",OR(AW74="", AW74="Use Default Facility Hours")),"← Choose Schedule",IF(F74="","",IF(W74="LED Exit Signs",8760,IF(OR(AV74="Prescribed",AV74=""),VLOOKUP(F74,'Lookup Tables'!$A$6:$G$59,IF(AB74="General", 6, 3),FALSE),VLOOKUP(AW74,'Lookup Tables'!$S$36:$U$43,2,FALSE)))))</f>
        <v/>
      </c>
      <c r="AY74" s="88" t="str">
        <f t="shared" si="7"/>
        <v/>
      </c>
      <c r="AZ74" s="270" t="str">
        <f>IFERROR(IF(F74="", "", IF(W74="LED Exit Signs", 1, IF(AV74="Applicant",VLOOKUP(AW74, 'Lookup Tables'!$S$36:$U$43,3, FALSE), VLOOKUP('Lighting Inventory'!F74, 'Lookup Tables'!$A$6:$H$59, IF('Lighting Inventory'!AB74="General",7,4), FALSE)))), "")</f>
        <v/>
      </c>
      <c r="BA74" s="522" t="str">
        <f>IFERROR(IF(F74="", "", IF(W74="LED Exit Signs", 1, VLOOKUP('Lighting Inventory'!F74, 'Lookup Tables'!$A$6:$H$59, IF('Lighting Inventory'!AB74="General",8,5), FALSE))), "")</f>
        <v/>
      </c>
      <c r="BB74" s="270" t="str">
        <f>IF(G74="", "", IF(E74="Exterior", 0, IF('Lighting Inventory'!G74="Air Conditioned", VLOOKUP(H74, 'Lookup Tables'!$R$6:$T$13, 2, FALSE), VLOOKUP('Lighting Inventory'!G74, 'Lookup Tables'!$R$6:$T$13, 2, FALSE))))</f>
        <v/>
      </c>
      <c r="BC74" s="522" t="str">
        <f>IF(G74="", "", IF(E74="Exterior", 0, IF('Lighting Inventory'!G74="Air Conditioned", VLOOKUP(H74, 'Lookup Tables'!$R$6:$T$13, 3, FALSE), VLOOKUP('Lighting Inventory'!G74, 'Lookup Tables'!$R$6:$T$13, 3, FALSE))))</f>
        <v/>
      </c>
      <c r="BD74" s="270" t="str">
        <f>IF(G74="", "", IF(E74="Exterior", 0, IF('Lighting Inventory'!G74="Air Conditioned", VLOOKUP(H74, 'Lookup Tables'!$R$6:$U$13, 4, FALSE), VLOOKUP('Lighting Inventory'!G74, 'Lookup Tables'!$R$6:$U$13, 4, FALSE))))</f>
        <v/>
      </c>
      <c r="BE74" s="270" t="str">
        <f>IFERROR(IF(B74="", "",  IF(B74="New Construction", VLOOKUP(F74, 'Lookup Tables'!$A$6:$K$59, 11, FALSE),IF(OR(AN74="", AN74="Light Switch"), 0, IF(OR(M74="",M74="None",V74= "LED Exit Signs"),0,_xlfn.XLOOKUP(M74,'Lookup Tables'!$R$91:$R$101,'Lookup Tables'!$V$91:$V$101))))), "")</f>
        <v/>
      </c>
      <c r="BF74" s="270" t="str">
        <f>IF(AND(OR(AN74="Light Switch",AN74=""),B74="New Construction"), VLOOKUP(F74, 'Lookup Tables'!$A$6:$K$59, 11, FALSE),IF(AN74="","",IF(B74="","",IF(OR(AN74="None",AN74="",V74="LED Exit Signs",AN74="Exterior Controls Not Eligible"),0,_xlfn.XLOOKUP(AN74,'Lookup Tables'!$R$91:$R$101,'Lookup Tables'!$V$91:$V$101)))))</f>
        <v/>
      </c>
      <c r="BG74" s="88" t="str">
        <f t="shared" si="86"/>
        <v/>
      </c>
      <c r="BH74" s="88" t="str">
        <f t="shared" si="87"/>
        <v/>
      </c>
      <c r="BI74" s="558" t="str">
        <f t="shared" si="168"/>
        <v/>
      </c>
      <c r="BJ74" s="82" t="str">
        <f t="shared" si="88"/>
        <v/>
      </c>
      <c r="BK74" s="82" t="str">
        <f t="shared" si="89"/>
        <v/>
      </c>
      <c r="BL74" s="559" t="str">
        <f t="shared" si="90"/>
        <v/>
      </c>
      <c r="BM74" s="521" t="str">
        <f t="shared" si="8"/>
        <v/>
      </c>
      <c r="BN74" s="521" t="str">
        <f t="shared" si="9"/>
        <v/>
      </c>
      <c r="BO74" s="522" t="str">
        <f t="shared" si="10"/>
        <v/>
      </c>
      <c r="BP74" s="83" t="str">
        <f t="shared" si="91"/>
        <v/>
      </c>
      <c r="BQ74" s="84" t="str">
        <f t="shared" si="92"/>
        <v/>
      </c>
      <c r="BR74" s="184" t="str">
        <f>IFERROR(IF(B74="", "", IF(OR(VLOOKUP(J74, 'Fixture Identities'!$A$6:$L$1023, 3, FALSE)="T12 Linear Fluorescent",VLOOKUP(J74, 'Fixture Identities'!$A$6:$L$1023, 3, FALSE)="T12 U-Tube Fluorescent"), "Y", "N")), "N")</f>
        <v/>
      </c>
      <c r="BS74" s="184" t="str">
        <f t="array" ref="BS74">IFERROR(IF(OR(B74="", V74="", W74=""), "", IF(V74="Custom", "N", IF(OR(W74="Freezer Case Lighting", W74="Refrigerated Case Lighting with Doors"), BT74, IF(B74="Retrofit", INDEX('Lookup Tables'!$AH$6:$AT$102,MATCH(1,('Lookup Tables'!$AH$6:$AH$102=V74)*('Lookup Tables'!$AI$6:$AI$102=W74),FALSE),IF(VLOOKUP(J74, 'Fixture Identities'!$A$6:$B$1023, 2, FALSE)="Incandescent",12, 13)), INDEX('Lookup Tables'!$AH$114:$AS$154,MATCH(1,('Lookup Tables'!$AH$114:$AH$154=V74)*('Lookup Tables'!$AI$114:$AI$154=W74),FALSE),12))))), "N")</f>
        <v/>
      </c>
      <c r="BT74" s="184" t="str">
        <f>IF(J74="", "", IF(AND(OR(W74="Freezer case Lighting", W74="Refrigerated Case Lighting with Doors"),'General Information'!$X$18="LCI"), "N", IF(OR(VLOOKUP(J74, 'Fixture Identities'!$A$6:$B$1023, 2, FALSE)="T12 EPACT/EISA Baseline", VLOOKUP(J74, 'Fixture Identities'!$A$6:$B$1023, 2, FALSE)="Linear Fluorescent", VLOOKUP(J74, 'Fixture Identities'!$A$6:$B$1023, 2, FALSE)="U-Tube Fluorescent"), "Y", "N")))</f>
        <v/>
      </c>
      <c r="BU74" s="184" t="str">
        <f>IFERROR(IF(B74="", "", IF(VLOOKUP(J74, 'Fixture Identities'!$A$6:$B$1023, 2, FALSE)="Exit Sign", "Y", "N")), "N")</f>
        <v/>
      </c>
      <c r="BV74" s="184" t="str">
        <f>IF(V74="Exit Signs", IF(VLOOKUP(J74, 'Fixture Identities'!$A$6:$B$1023, 2, FALSE)="Exit Sign", "N", "Y"), "")</f>
        <v/>
      </c>
      <c r="BW74" s="184" t="str">
        <f t="array" ref="BW74">IFERROR(IF(B74="", "", IF(B74="New Construction", "N", INDEX('Lookup Tables'!$AH$6:$AU$102, MATCH(1, ('Lookup Tables'!$AH$6:$AH$102='Lighting Inventory'!V74)*('Lookup Tables'!$AI$6:$AI$102='Lighting Inventory'!W74), 0), 14))), "N")</f>
        <v/>
      </c>
      <c r="BX74" s="598" t="str">
        <f t="shared" si="93"/>
        <v/>
      </c>
      <c r="BY74" s="598" t="str">
        <f t="shared" si="94"/>
        <v/>
      </c>
      <c r="BZ74" s="598" t="str">
        <f t="shared" si="95"/>
        <v/>
      </c>
      <c r="CA74" s="598" t="str">
        <f t="shared" si="101"/>
        <v/>
      </c>
      <c r="CB74" s="269" t="str">
        <f t="shared" si="102"/>
        <v/>
      </c>
      <c r="CC74" s="517" t="str">
        <f t="shared" si="96"/>
        <v/>
      </c>
      <c r="CD74" s="565" t="str">
        <f t="shared" si="11"/>
        <v/>
      </c>
      <c r="CE74" s="368">
        <v>0</v>
      </c>
      <c r="CF74" s="368" t="str" cm="1">
        <f t="array" ref="CF74">IFERROR(IF(V74="Custom", "$0.1 per kWh", IF(B74="New Construction", CONCATENATE("$",INDEX('Lookup Tables'!$AH$114:$AN$154,MATCH(1,('Lookup Tables'!$AH$114:$AH$154='Lighting Inventory'!V74)*('Lookup Tables'!$AI$114:$AI$154='Lighting Inventory'!W74),FALSE),6)," ",INDEX('Lookup Tables'!$AH$114:$AN$154,MATCH(1,('Lookup Tables'!$AH$114:$AH$154='Lighting Inventory'!V74)*('Lookup Tables'!$AI$114:$AI$154='Lighting Inventory'!W74),FALSE),7)), IF(AND(BU74="N", V74="Exit Signs"), "$0.025 per kWh", CONCATENATE("$",INDEX('Lookup Tables'!$AH$6:$AN$102,MATCH(1,('Lookup Tables'!$AH$6:$AH$102='Lighting Inventory'!V74)*('Lookup Tables'!$AI$6:$AI$102='Lighting Inventory'!W74),FALSE),6)," ",INDEX('Lookup Tables'!$AH$6:$AN$102,MATCH(1,('Lookup Tables'!$AH$6:$AH$102='Lighting Inventory'!V74)*('Lookup Tables'!$AI$6:$AI$102='Lighting Inventory'!W74),FALSE),7))))), "")</f>
        <v/>
      </c>
      <c r="CG74" s="366"/>
      <c r="CH74" s="248" t="str">
        <f t="shared" si="236"/>
        <v/>
      </c>
      <c r="CI74" s="248" t="str">
        <f t="shared" si="237"/>
        <v>Select_IE</v>
      </c>
      <c r="CJ74" s="248" t="str">
        <f t="shared" si="238"/>
        <v/>
      </c>
      <c r="CK74" s="248" t="str">
        <f t="shared" si="239"/>
        <v/>
      </c>
      <c r="CL74" s="248" t="str">
        <f t="shared" si="240"/>
        <v/>
      </c>
      <c r="CM74" s="248" t="str">
        <f>IFERROR(IF(B74="", "", IF(B74="New Construction", VLOOKUP(V74, 'Lookup Tables'!$AF$114:$AG$120, 2, FALSE), VLOOKUP(V74, 'Lookup Tables'!$AD$6:$AE$25, 2, FALSE))), "")</f>
        <v/>
      </c>
      <c r="CN74" s="248" t="str">
        <f t="shared" si="175"/>
        <v/>
      </c>
      <c r="CO74" s="248" t="str">
        <f t="shared" si="241"/>
        <v/>
      </c>
      <c r="CP74" s="592" t="str">
        <f t="shared" si="242"/>
        <v/>
      </c>
      <c r="CQ74" s="248" t="str">
        <f t="shared" si="97"/>
        <v/>
      </c>
      <c r="CR74" s="249"/>
      <c r="CS74" s="250" t="str">
        <f t="shared" si="178"/>
        <v/>
      </c>
      <c r="CT74" s="250" t="str">
        <f t="shared" si="243"/>
        <v/>
      </c>
      <c r="CU74" s="250" t="str">
        <f t="shared" si="244"/>
        <v/>
      </c>
      <c r="CV74" s="250" t="str">
        <f t="shared" si="245"/>
        <v/>
      </c>
      <c r="CW74" s="250" t="str">
        <f t="shared" si="246"/>
        <v/>
      </c>
      <c r="CX74" s="250" t="str">
        <f t="shared" si="247"/>
        <v/>
      </c>
      <c r="CY74" s="250" t="str">
        <f t="shared" si="248"/>
        <v/>
      </c>
      <c r="CZ74" s="250" t="str">
        <f t="shared" si="249"/>
        <v/>
      </c>
      <c r="DA74" s="250" t="str">
        <f t="shared" si="250"/>
        <v/>
      </c>
      <c r="DB74" s="250" t="str">
        <f t="shared" si="251"/>
        <v/>
      </c>
      <c r="DC74" s="250" t="str">
        <f t="shared" si="252"/>
        <v/>
      </c>
      <c r="DD74" s="250" t="str">
        <f t="shared" si="253"/>
        <v/>
      </c>
      <c r="DE74" s="250" t="str">
        <f t="shared" si="254"/>
        <v/>
      </c>
      <c r="DF74" s="250" t="str">
        <f t="shared" si="255"/>
        <v/>
      </c>
      <c r="DG74" s="250" t="str">
        <f t="shared" si="256"/>
        <v/>
      </c>
      <c r="DH74" s="250" t="str">
        <f t="shared" si="257"/>
        <v/>
      </c>
      <c r="DI74" s="250" t="str">
        <f t="shared" si="258"/>
        <v/>
      </c>
      <c r="DJ74" s="250" t="str">
        <f t="shared" si="259"/>
        <v/>
      </c>
      <c r="DK74" s="250" t="str">
        <f t="shared" si="260"/>
        <v/>
      </c>
      <c r="DL74" s="250" t="str">
        <f t="shared" si="261"/>
        <v/>
      </c>
      <c r="DM74" s="250" t="str">
        <f>IF(CD74="ERROR", "ERROR", IF(AND(OR(Y74=$DM$6, Y74='Lookup Tables'!$AD$21, Y74='Lookup Tables'!$AD$22), E74="Interior"), BJ74, ""))</f>
        <v/>
      </c>
      <c r="DN74" s="250" t="str">
        <f>IF(CD74="ERROR", "ERROR", IF(AND(OR(Y74=$DM$6, Y74='Lookup Tables'!$AD$21, Y74='Lookup Tables'!$AD$22), E74="Exterior"), BJ74, ""))</f>
        <v/>
      </c>
      <c r="DO74" s="249"/>
      <c r="DP74" s="250" t="str">
        <f t="shared" si="198"/>
        <v/>
      </c>
      <c r="DQ74" s="250" t="str">
        <f t="shared" si="262"/>
        <v/>
      </c>
      <c r="DR74" s="250" t="str">
        <f t="shared" si="263"/>
        <v/>
      </c>
      <c r="DS74" s="250" t="str">
        <f t="shared" si="264"/>
        <v/>
      </c>
      <c r="DT74" s="250" t="str">
        <f t="shared" si="265"/>
        <v/>
      </c>
      <c r="DU74" s="250" t="str">
        <f t="shared" si="266"/>
        <v/>
      </c>
      <c r="DV74" s="250" t="str">
        <f t="shared" si="267"/>
        <v/>
      </c>
      <c r="DW74" s="250" t="str">
        <f t="shared" si="268"/>
        <v/>
      </c>
      <c r="DX74" s="250" t="str">
        <f t="shared" si="269"/>
        <v/>
      </c>
      <c r="DY74" s="250" t="str">
        <f t="shared" si="270"/>
        <v/>
      </c>
      <c r="DZ74" s="250" t="str">
        <f t="shared" si="271"/>
        <v/>
      </c>
      <c r="EA74" s="250" t="str">
        <f t="shared" si="272"/>
        <v/>
      </c>
      <c r="EB74" s="250" t="str">
        <f t="shared" si="273"/>
        <v/>
      </c>
      <c r="EC74" s="250" t="str">
        <f t="shared" si="274"/>
        <v/>
      </c>
      <c r="ED74" s="250" t="str">
        <f t="shared" si="275"/>
        <v/>
      </c>
      <c r="EE74" s="250" t="str">
        <f t="shared" si="276"/>
        <v/>
      </c>
      <c r="EF74" s="250" t="str">
        <f t="shared" si="277"/>
        <v/>
      </c>
      <c r="EG74" s="250" t="str">
        <f t="shared" si="278"/>
        <v/>
      </c>
      <c r="EH74" s="250" t="str">
        <f>IF(CD74="ERROR", "ERROR", IF(AND(OR($EH$6=Y74, Y74='Lookup Tables'!$AD$21, Y74='Lookup Tables'!$AD$22),E74="Interior"), SUM(BP74:BP74), ""))</f>
        <v/>
      </c>
      <c r="EI74" s="250" t="str">
        <f>IF(CD74="ERROR", "ERROR", IF(AND(OR($EH$6=Y74, Y74='Lookup Tables'!$AD$21, Y74='Lookup Tables'!$AD$22),E74="Exterior"), SUM(BP74:BP74), ""))</f>
        <v/>
      </c>
      <c r="EJ74" s="109"/>
      <c r="EK74" s="485" t="str">
        <f t="shared" si="58"/>
        <v/>
      </c>
      <c r="EL74" s="252" t="str">
        <f t="shared" si="279"/>
        <v/>
      </c>
      <c r="EM74" s="252" t="str">
        <f t="shared" si="280"/>
        <v/>
      </c>
      <c r="EN74" s="252" t="str">
        <f t="shared" si="281"/>
        <v/>
      </c>
      <c r="EO74" s="252" t="str">
        <f t="shared" si="282"/>
        <v/>
      </c>
      <c r="EP74" s="252" t="str">
        <f t="shared" si="283"/>
        <v/>
      </c>
      <c r="EQ74" s="252" t="str">
        <f t="shared" si="284"/>
        <v/>
      </c>
      <c r="ER74" s="252" t="str">
        <f t="shared" si="285"/>
        <v/>
      </c>
      <c r="ES74" s="252" t="str">
        <f t="shared" si="286"/>
        <v/>
      </c>
      <c r="ET74" s="252" t="str">
        <f t="shared" si="287"/>
        <v/>
      </c>
      <c r="EU74" s="252" t="str">
        <f t="shared" si="288"/>
        <v/>
      </c>
      <c r="EV74" s="252" t="str">
        <f t="shared" si="289"/>
        <v/>
      </c>
      <c r="EW74" s="252" t="str">
        <f t="shared" si="290"/>
        <v/>
      </c>
      <c r="EX74" s="252" t="str">
        <f t="shared" si="291"/>
        <v/>
      </c>
      <c r="EY74" s="252" t="str">
        <f t="shared" si="292"/>
        <v/>
      </c>
      <c r="EZ74" s="252" t="str">
        <f t="shared" si="293"/>
        <v/>
      </c>
      <c r="FA74" s="252" t="str">
        <f t="shared" si="294"/>
        <v/>
      </c>
      <c r="FB74" s="252" t="str">
        <f t="shared" si="295"/>
        <v/>
      </c>
      <c r="FC74" s="252" t="str">
        <f>IF(CD74="ERROR", "ERROR", IF(OR(V74="No Change", V74="Not DLC or Energy Star"), "", IF(AND(OR($FC$6=Y74,Y74='Lookup Tables'!$AD$21, Y74='Lookup Tables'!$AD$22),E74="Interior"), S74, "")))</f>
        <v/>
      </c>
      <c r="FD74" s="252" t="str">
        <f t="shared" si="296"/>
        <v/>
      </c>
      <c r="FE74" s="1"/>
      <c r="FF74" s="579" t="str" cm="1">
        <f t="array" ref="FF74">IFERROR(IF(OR(BQ74&lt;=0,AQ74&lt;20,AND(V74="Exit Signs",AN74&gt;0)),"",IF(AND(AQ74&gt;=20,AN74='Lookup Tables'!$R$101),'Lookup Tables'!$U$101*BQ74,AP74*LOOKUP(2,1/((AN74='Lookup Tables'!$R$91:$R$111)*(AQ74&gt;='Lookup Tables'!$S$91:$S$111)*(AQ74&lt;='Lookup Tables'!$T$91:$T$111)),'Lookup Tables'!$U$91:$U$111))),"")</f>
        <v/>
      </c>
      <c r="FG74" s="579"/>
      <c r="FH74" s="579"/>
      <c r="FI74" s="253" t="str">
        <f>IFERROR(ROUND(IF(CD74="ERROR", "ERROR", IF(AND($FI$7=X74,E74="Interior"),VLOOKUP(W74, 'Lookup Tables'!$AI$6:$AM$102, 5, FALSE)*BP74, "")), 2), "")</f>
        <v/>
      </c>
      <c r="FJ74" s="253" t="str">
        <f>IFERROR(ROUND(IF(CD74="ERROR", "ERROR", IF(AND($FI$7=X74,E74="Exterior"),VLOOKUP(W74, 'Lookup Tables'!$AI$6:$AM$102, 5, FALSE)*BP74, "")), 2), "")</f>
        <v/>
      </c>
      <c r="FK74" s="253" t="str">
        <f>IFERROR(ROUND(IF(CD74="ERROR", "ERROR", IF(AND($FK$7=X74,E74="Interior"),VLOOKUP(W74, 'Lookup Tables'!$AI$6:$AM$102, 5, FALSE)*BP74, "")), 2), "")</f>
        <v/>
      </c>
      <c r="FL74" s="253" t="str">
        <f>IFERROR(ROUND(IF(CD74="ERROR", "ERROR", IF(AND($FK$7=X74,E74="Exterior"),VLOOKUP(W74, 'Lookup Tables'!$AI$6:$AM$102, 5, FALSE)*BP74, "")), 2), "")</f>
        <v/>
      </c>
      <c r="FM74" s="253" t="str">
        <f>IFERROR(ROUND(IF(CD74="ERROR", "ERROR", IF(AND($FM$6=Y74,E74="Interior"), IF(GB74=0, VLOOKUP(W74, 'Lookup Tables'!$AI$6:$AM$102, 5, FALSE)*BP74, IF(VLOOKUP(W74, 'Lookup Tables'!$AI$6:$AM$102, 5, FALSE)*BP74&gt;GB74*'Lighting Inventory'!S74, GB74*'Lighting Inventory'!S74,VLOOKUP(W74, 'Lookup Tables'!$AI$6:$AM$102, 5, FALSE)*BP74)), "")), 2), "")</f>
        <v/>
      </c>
      <c r="FN74" s="253" t="str">
        <f>IFERROR(ROUND(IF(CD74="ERROR", "ERROR", IF(AND($FM$6=Y74,E74="Exterior"), IF(GB74=0, VLOOKUP(W74, 'Lookup Tables'!$AI$6:$AM$102, 5, FALSE)*BP74, IF(VLOOKUP(W74, 'Lookup Tables'!$AI$6:$AM$102, 5, FALSE)*BP74&gt;GB74*'Lighting Inventory'!S74, GB74*'Lighting Inventory'!S74,VLOOKUP(W74, 'Lookup Tables'!$AI$6:$AM$102, 5, FALSE)*BP74)), "")), 2), "")</f>
        <v/>
      </c>
      <c r="FO74" s="253" t="str">
        <f>IFERROR(ROUND(IF(CD74="ERROR", "ERROR", IF(AND($FO$6=Y74,E74="Interior"),VLOOKUP(W74, 'Lookup Tables'!$AI$6:$AM$102, 5, FALSE)*'Lighting Inventory'!AI74, "")), 2), "")</f>
        <v/>
      </c>
      <c r="FP74" s="253" t="str">
        <f>IFERROR(ROUND(IF(CD74="ERROR", "ERROR", IF(AND($FO$6=Y74,E74="Exterior"),VLOOKUP(W74, 'Lookup Tables'!$AI$6:$AM$102, 5, FALSE)*'Lighting Inventory'!AI74, "")), 2), "")</f>
        <v/>
      </c>
      <c r="FQ74" s="253" t="str">
        <f>IFERROR(ROUND(IF(CD74="ERROR", "ERROR", IF(AND($FQ$6=Y74,E74="Interior", BU74="Y"), VLOOKUP('Lighting Inventory'!W74, 'Lookup Tables'!$AI$6:$AM$102, 5, FALSE)*'Lighting Inventory'!S74, IF(AND($FQ$7=Y74,E74="Interior", BU74="N"), 0.025*CD74, ""))), 2), "")</f>
        <v/>
      </c>
      <c r="FR74" s="253" t="str">
        <f>IFERROR(ROUND(IF(CD74="ERROR", "ERROR", IF(AND($FQ$6=Y74,E74="Exterior"), VLOOKUP('Lighting Inventory'!W74, 'Lookup Tables'!$AI$6:$AM$102, 5, FALSE)*'Lighting Inventory'!S74, "")), 2), "")</f>
        <v/>
      </c>
      <c r="FS74" s="253" t="str">
        <f>IFERROR(ROUND(IF(CD74="ERROR", "ERROR", IF(AND($FS$6=Y74,E74="Exterior"), IF(GB74=0, VLOOKUP(W74, 'Lookup Tables'!$AI$6:$AM$102, 5, FALSE)*BP74, IF(VLOOKUP(W74, 'Lookup Tables'!$AI$6:$AM$102, 5, FALSE)*BP74&gt;GB74*'Lighting Inventory'!S74, GB74*'Lighting Inventory'!S74,VLOOKUP(W74, 'Lookup Tables'!$AI$6:$AM$102, 5, FALSE)*BP74)), "")), 2), "")</f>
        <v/>
      </c>
      <c r="FT74" s="253" t="str">
        <f>IFERROR(ROUND(IF(CD74="ERROR", "ERROR", IF(AND($FT$6=Y74,E74="Interior"), IF(GB74=0, VLOOKUP(W74, 'Lookup Tables'!$AI$6:$AM$102, 5, FALSE)*BP74, IF(VLOOKUP(W74, 'Lookup Tables'!$AI$6:$AM$102, 5, FALSE)*BP74&gt;GB74*'Lighting Inventory'!S74, GB74*'Lighting Inventory'!S74,VLOOKUP(W74, 'Lookup Tables'!$AI$6:$AM$102, 5, FALSE)*BP74)), "")), 2), "")</f>
        <v/>
      </c>
      <c r="FU74" s="253" t="str">
        <f>IFERROR(ROUND(IF(CD74="ERROR", "ERROR", IF(AND(Y74=$FU$6, E74="Interior"), IF(BS74="N", 'Lookup Tables'!$AM$101*BP74, VLOOKUP(W74, 'Lookup Tables'!$AI$6:$AM$102, 5, FALSE)*S74*AD74), "")), 2), "")</f>
        <v/>
      </c>
      <c r="FV74" s="253" t="str">
        <f>IFERROR(ROUND(IF(CD74="ERROR", "ERROR", IF(AND(Y74=$FU$6, E74="Exterior"), IF(BS74="N", 'Lookup Tables'!$AM$101*BP74, VLOOKUP(W74, 'Lookup Tables'!$AI$6:$AM$102, 5, FALSE)*S74*AD74), "")), 2), "")</f>
        <v/>
      </c>
      <c r="FW74" s="253" t="str">
        <f>IFERROR(ROUND(IF(CD74="ERROR", "ERROR", IF($FW$6=Y74, IF(BS74="N", 'Lookup Tables'!$AM$101*BP74, MIN((VLOOKUP(W74, 'Lookup Tables'!$AI$6:$AM$102, 5, FALSE)*BP74),GB74*AJ74)), "")), 2), "")</f>
        <v/>
      </c>
      <c r="FX74" s="253" t="str">
        <f>IFERROR(ROUND(IF(CD74="ERROR", "ERROR", IF(AND($FX$6=Y74, E74="Interior"), IF(VLOOKUP(W74, 'Lookup Tables'!$AI$6:$AM$102, 5, FALSE)*BP74&gt;'Lookup Tables'!$AQ$97*'Lighting Inventory'!S74,'Lighting Inventory'!S74*'Lookup Tables'!$AQ$97,VLOOKUP(W74, 'Lookup Tables'!$AI$6:$AM$102, 5, FALSE)*BP74), "")), 2), "")</f>
        <v/>
      </c>
      <c r="FY74" s="253" t="str">
        <f>IFERROR(ROUND(IF(CD74="ERROR", "ERROR", IF(AND($FX$6=Y74, E74="Exterior"), IF(VLOOKUP(W74, 'Lookup Tables'!$AI$6:$AM$102, 5, FALSE)*BP74&gt;'Lookup Tables'!$AQ$97*'Lighting Inventory'!S74,'Lighting Inventory'!S74*'Lookup Tables'!$AQ$97,VLOOKUP(W74, 'Lookup Tables'!$AI$6:$AM$102, 5, FALSE)*BP74), "")), 2), "")</f>
        <v/>
      </c>
      <c r="FZ74" s="253" t="str">
        <f>IFERROR(ROUND(IF(CD74="ERROR", "ERROR", IF(AND($FZ$6=Y74, E74="Interior"), IF(AND(OR(W74="Refrigerated Case Lighting with Doors", W74="Freezer Case Lighting"),Y74="Custom - Process Improvement"),CD74*'Lookup Tables'!$AM$101, IF(B74="Retrofit", IF(VLOOKUP(IF(V74="Custom", V74, W74), 'Lookup Tables'!$AI$6:$AM$102, 5, FALSE)*BP74&gt;GE74, GE74, VLOOKUP(IF(V74="Custom", V74, W74), 'Lookup Tables'!$AI$6:$AM$102, 5, FALSE)*BP74), IF(VLOOKUP(IF(V74="Custom", V74, W74), 'Lookup Tables'!$AI$114:$AM$154, 5, FALSE)*BP74&gt;GE74, GE74, VLOOKUP(IF(V74="Custom", V74, W74), 'Lookup Tables'!$AI$114:$AM$154, 5, FALSE)*BP74))), "")), 2),"")</f>
        <v/>
      </c>
      <c r="GA74" s="253" t="str">
        <f>IFERROR(ROUND(IF(CD74="ERROR", "ERROR", IF(AND($FZ$6=Y74, E74="Exterior"), IF(B74="Retrofit", IF(VLOOKUP(IF(V74="Custom", V74, W74), 'Lookup Tables'!$AI$6:$AM$102, 5, FALSE)*BP74&gt;GE74, GE74, VLOOKUP(IF(V74="Custom", V74, W74), 'Lookup Tables'!$AI$6:$AM$102, 5, FALSE)*BP74), IF(VLOOKUP(IF(V74="Custom", V74, W74), 'Lookup Tables'!$AI$114:$AM$154, 5, FALSE)*BP74&gt;GE74, GE74, VLOOKUP(IF(V74="Custom", V74, W74), 'Lookup Tables'!$AI$114:$AM$154, 5, FALSE)*BP74)), "")), 2),"")</f>
        <v/>
      </c>
      <c r="GB74" s="254" t="str">
        <f t="array" ref="GB74">IF(B74="","",IF(OR(V74="Custom",V74="No Change"),0,IF(B74="Retrofit", INDEX('Lookup Tables'!$AH$6:$AQ$102,MATCH(1,('Lookup Tables'!$AH$6:$AH$102='Lighting Inventory'!V74)*('Lookup Tables'!$AI$6:$AI$102='Lighting Inventory'!W74),FALSE),10),INDEX('Lookup Tables'!$AH$114:$AQ$154,MATCH(1,('Lookup Tables'!$AH$114:$AH$154='Lighting Inventory'!V74)*('Lookup Tables'!$AI$114:$AI$154='Lighting Inventory'!W74),FALSE),10))))</f>
        <v/>
      </c>
      <c r="GC74" s="255" t="str">
        <f t="shared" si="77"/>
        <v/>
      </c>
      <c r="GD74" s="250" t="str">
        <f t="shared" si="78"/>
        <v/>
      </c>
      <c r="GE74" s="253" t="str">
        <f>IFERROR(IF(AND(AF74="", 'General Information'!$F$18="No"),"", IF(AF74="", ((GD74/$CD$266)*$CF$266)*0.5, AF74*S74*0.5)), "")</f>
        <v/>
      </c>
      <c r="GF74" s="255" t="str">
        <f>IF(AND('General Information'!$F$19="", 'General Information'!$F$18="Yes",AF74="",BW74="Y"), "Y", "N")</f>
        <v>N</v>
      </c>
      <c r="GG74" s="255" t="s">
        <v>2946</v>
      </c>
      <c r="GH74" s="255" t="str">
        <f>IFERROR(IF(B74="", "", VLOOKUP(J74, 'Fixture Identities'!$A$6:$N$908, 14, FALSE)), "")</f>
        <v/>
      </c>
      <c r="GI74" s="389" t="str">
        <f>IF(OR(B74="", V74="", W74=""), "", IF(AND(OR(M74='Lookup Tables'!$R$18, M74='Lookup Tables'!$R$19, M74='Lookup Tables'!$R$20, M74='Lookup Tables'!$R$21, M74='Lookup Tables'!$R$22), OR(AN74='Lookup Tables'!$R$17, AN74='Lookup Tables'!$R$17, AN74="")), "Y", "N"))</f>
        <v/>
      </c>
      <c r="GJ74" s="255" t="str">
        <f t="shared" si="79"/>
        <v/>
      </c>
      <c r="GK74" s="255" t="str">
        <f t="shared" si="80"/>
        <v/>
      </c>
      <c r="GL74" s="255" t="str">
        <f t="shared" si="81"/>
        <v/>
      </c>
      <c r="GM74" s="255" t="str">
        <f>IF(AN74="", "", IF(AND(IF(ISNA(VLOOKUP(AN74,'Lookup Tables'!$R$18:$R$22,1,FALSE)), "N", "Y")="Y", E74="Exterior"), "Y", "N"))</f>
        <v/>
      </c>
      <c r="GN74" s="395"/>
      <c r="GO74" s="428">
        <f t="shared" si="98"/>
        <v>0</v>
      </c>
      <c r="GP74" s="428">
        <f t="shared" si="167"/>
        <v>0</v>
      </c>
      <c r="GQ74" s="428">
        <f t="shared" si="99"/>
        <v>0</v>
      </c>
      <c r="GR74" s="428">
        <f t="shared" si="100"/>
        <v>0</v>
      </c>
    </row>
    <row r="75" spans="1:200" s="103" customFormat="1" ht="13.5" customHeight="1" x14ac:dyDescent="0.2">
      <c r="A75" s="272">
        <v>65</v>
      </c>
      <c r="B75" s="110"/>
      <c r="C75" s="110"/>
      <c r="D75" s="110"/>
      <c r="E75" s="110"/>
      <c r="F75" s="110"/>
      <c r="G75" s="110"/>
      <c r="H75" s="110"/>
      <c r="I75" s="29"/>
      <c r="J75" s="29"/>
      <c r="K75" s="272" t="str">
        <f>IFERROR(IF(OR(VLOOKUP(J75, 'Fixture Identities'!$A$6:$L$1023, 3, FALSE)="T12 Linear Fluorescent", VLOOKUP(J75, 'Fixture Identities'!$A$6:$L$1023, 3, FALSE)="T12 U-Tube Fluorescent"), VLOOKUP(VLOOKUP(J75, 'Fixture Identities'!$A$6:$L$1023, 11, FALSE), 'Fixture Identities'!$A$6:$L$1023, 10, FALSE), VLOOKUP(J75, 'Fixture Identities'!$A$6:$L$1023, 10, FALSE)), "")</f>
        <v/>
      </c>
      <c r="L75" s="270" t="str">
        <f t="shared" si="169"/>
        <v/>
      </c>
      <c r="M75" s="110"/>
      <c r="N75" s="110"/>
      <c r="O75" s="110"/>
      <c r="P75" s="272" t="str">
        <f>IFERROR(IF(OR(B75="Retrofit",B75=""),"",IF('Lighting Inventory'!E75="Exterior",VLOOKUP('Lighting Inventory'!N75,'Lookup Tables'!$B$83:$F$103,5,FALSE),IF(N75="Other - Please Estimate EFLH and CFs","Contact Prog. Rep.","ft^2"))), "")</f>
        <v/>
      </c>
      <c r="Q75" s="270" t="str">
        <f>IFERROR(IF(AND(B75="New Construction",E75="Interior",$F$5="Space-by-Space"),VLOOKUP('Lighting Inventory'!N75,'Lookup Tables'!$N$6:$O$97,2,FALSE),IF(AND(B75="New Construction",E75="Exterior"),VLOOKUP(N75,'Lookup Tables'!$B$83:$F$103,2,FALSE),IF(AND(B75="New Construction",'Lighting Inventory'!E75="Interior", $F$5="Building Area"),VLOOKUP(F75,'Lookup Tables'!$A$6:$J$59,10,FALSE),""))), "")</f>
        <v/>
      </c>
      <c r="R75" s="270" t="str">
        <f>IFERROR(IF(P75="Contact Prog. Rep.", "ERROR", IF(OR(B75="",B75="Retrofit"),"",IF(N75="Automated teller machines", ('Lookup Tables'!$A$82:$E$100+('Lighting Inventory'!O75-1)*'Lookup Tables'!$A$82:$E$100)/1000, (Q75*O75)/1000))), "")</f>
        <v/>
      </c>
      <c r="S75" s="595"/>
      <c r="T75" s="105" t="str">
        <f t="shared" si="83"/>
        <v/>
      </c>
      <c r="U75" s="105" t="str">
        <f>IF(S75="","",COUNT($S$11:S75))</f>
        <v/>
      </c>
      <c r="V75" s="111"/>
      <c r="W75" s="112"/>
      <c r="X75" s="105" t="str">
        <f t="shared" si="84"/>
        <v/>
      </c>
      <c r="Y75" s="105" t="str">
        <f t="array" ref="Y75">IF(AND(OR(W75="Freezer Case Lighting", W75="Refrigerated Case Lighting with Doors"), 'General Information'!$X$18="LCI"),'Lookup Tables'!$Y$34, IF(V75="Custom", VLOOKUP(W75, 'Fixture Identities'!$A$974:$M$1023, 13, FALSE), IF(V75="No Change",'Lookup Tables'!$Y$29,IF(OR(V75="",W75=""),"",IF(AND(S75=0,S75&lt;I75,B75="Retrofit"),'Lookup Tables'!$Y$25, IF(B75="Retrofit", INDEX('Lookup Tables'!$AH$6:$AP$102, MATCH(1, ('Lookup Tables'!$AH$6:$AH$102=V75)*('Lookup Tables'!$AI$6:$AI$102=W75), 0), IF('Lighting Inventory'!E75="Interior", 4, 5)), INDEX('Lookup Tables'!$AH$114:$AP$154, MATCH(1, ('Lookup Tables'!$AH$114:$AH$154=V75)*('Lookup Tables'!$AI$114:$AI$154=W75), 0), IF('Lighting Inventory'!E75="Interior", 4, 5))))))))</f>
        <v/>
      </c>
      <c r="Z75" s="105" t="str">
        <f>IFERROR(INDEX('Lookup Tables'!$AH$158:$AH$172,MATCH('Lighting Inventory'!Y75,'Lookup Tables'!$AI$158:$AI$172,0)),"")</f>
        <v/>
      </c>
      <c r="AA75" s="105" t="str">
        <f>IF(AP75&gt;0,INDEX('Lookup Tables'!$AK$158:$AK$172,MATCH('Lighting Inventory'!Y75,'Lookup Tables'!$AI$158:$AI$172,0)),'Lighting Inventory'!Y75)</f>
        <v/>
      </c>
      <c r="AB75" s="105" t="str">
        <f t="array" ref="AB75">IF(V75="Custom", "Custom", IF(V75="", "", IF(V75="Not DLC or Energy Star", "General", IF(B75="New Construction", INDEX('Lookup Tables'!$AH$114:$AP$154,MATCH(1,('Lookup Tables'!$AH$114:$AH$154='Lighting Inventory'!V75)*('Lookup Tables'!$AI$114:$AI$154='Lighting Inventory'!W75),FALSE),8), INDEX('Lookup Tables'!$AH$6:$AP$102,MATCH(1,('Lookup Tables'!$AH$6:$AH$102='Lighting Inventory'!V75)*('Lookup Tables'!$AI$6:$AI$102='Lighting Inventory'!W75),FALSE),8)))))</f>
        <v/>
      </c>
      <c r="AC75" s="272" t="str">
        <f>IF(W75="","",IF(V75="Custom",CONCATENATE("$",'Lookup Tables'!$AM$101," ",'Lookup Tables'!$AN$101),CONCATENATE("$",INDEX('Lookup Tables'!$AM$6:$AM$102,MATCH('Lighting Inventory'!W75,'Lookup Tables'!$AI$6:$AI$102,0))," ",INDEX('Lookup Tables'!$AN$6:$AN$102,MATCH('Lighting Inventory'!W75,'Lookup Tables'!$AI$6:$AI$102,0)))))</f>
        <v/>
      </c>
      <c r="AD75" s="72"/>
      <c r="AE75" s="29"/>
      <c r="AF75" s="379"/>
      <c r="AG75" s="370" t="str">
        <f t="shared" ref="AG75:AG138" si="298">IFERROR(IF(AF75="", ((GD75/$CD$266)*$CF$266)/S75, (AF75*S75)/S75), "")</f>
        <v/>
      </c>
      <c r="AH75" s="370" t="str">
        <f t="shared" si="85"/>
        <v/>
      </c>
      <c r="AI75" s="29"/>
      <c r="AJ75" s="29"/>
      <c r="AK75" s="110"/>
      <c r="AL75" s="375" t="str">
        <f>IF(OR(B75="", V75="", W75=""), "", IF(V75="No Change", K75, IF(V75="Remove Fixture", 0, IF(V75="Custom",VLOOKUP(W75,'Fixture Identities'!$A$6:$K$1023,10,FALSE),IF(AE75="", "← ENTER POST WATTS", 'Lighting Inventory'!AE75)))))</f>
        <v/>
      </c>
      <c r="AM75" s="376" t="str">
        <f t="shared" ref="AM75:AM138" si="299">IFERROR(IF(S75="","", IF(V75="No Change",L75, (AL75*S75)/1000)), "← ENTER POST WATTS")</f>
        <v/>
      </c>
      <c r="AN75" s="29"/>
      <c r="AO75" s="671"/>
      <c r="AP75" s="29"/>
      <c r="AQ75" s="29"/>
      <c r="AR75" s="29"/>
      <c r="AS75" s="272" t="str">
        <f t="shared" si="4"/>
        <v/>
      </c>
      <c r="AT75" s="270" t="str">
        <f t="shared" ref="AT75:AT138" si="300">IFERROR(IF(B75="Retrofit", L75-AM75, R75-AM75), "")</f>
        <v/>
      </c>
      <c r="AU75" s="88" t="str">
        <f t="shared" si="235"/>
        <v/>
      </c>
      <c r="AV75" s="29"/>
      <c r="AW75" s="73"/>
      <c r="AX75" s="271" t="str">
        <f>IF(AND(AV75="Applicant",OR(AW75="", AW75="Use Default Facility Hours")),"← Choose Schedule",IF(F75="","",IF(W75="LED Exit Signs",8760,IF(OR(AV75="Prescribed",AV75=""),VLOOKUP(F75,'Lookup Tables'!$A$6:$G$59,IF(AB75="General", 6, 3),FALSE),VLOOKUP(AW75,'Lookup Tables'!$S$36:$U$43,2,FALSE)))))</f>
        <v/>
      </c>
      <c r="AY75" s="88" t="str">
        <f t="shared" ref="AY75:AY138" si="301">IFERROR((AU75/$AU$261)*AX75, "")</f>
        <v/>
      </c>
      <c r="AZ75" s="270" t="str">
        <f>IFERROR(IF(F75="", "", IF(W75="LED Exit Signs", 1, IF(AV75="Applicant",VLOOKUP(AW75, 'Lookup Tables'!$S$36:$U$43,3, FALSE), VLOOKUP('Lighting Inventory'!F75, 'Lookup Tables'!$A$6:$H$59, IF('Lighting Inventory'!AB75="General",7,4), FALSE)))), "")</f>
        <v/>
      </c>
      <c r="BA75" s="522" t="str">
        <f>IFERROR(IF(F75="", "", IF(W75="LED Exit Signs", 1, VLOOKUP('Lighting Inventory'!F75, 'Lookup Tables'!$A$6:$H$59, IF('Lighting Inventory'!AB75="General",8,5), FALSE))), "")</f>
        <v/>
      </c>
      <c r="BB75" s="270" t="str">
        <f>IF(G75="", "", IF(E75="Exterior", 0, IF('Lighting Inventory'!G75="Air Conditioned", VLOOKUP(H75, 'Lookup Tables'!$R$6:$T$13, 2, FALSE), VLOOKUP('Lighting Inventory'!G75, 'Lookup Tables'!$R$6:$T$13, 2, FALSE))))</f>
        <v/>
      </c>
      <c r="BC75" s="522" t="str">
        <f>IF(G75="", "", IF(E75="Exterior", 0, IF('Lighting Inventory'!G75="Air Conditioned", VLOOKUP(H75, 'Lookup Tables'!$R$6:$T$13, 3, FALSE), VLOOKUP('Lighting Inventory'!G75, 'Lookup Tables'!$R$6:$T$13, 3, FALSE))))</f>
        <v/>
      </c>
      <c r="BD75" s="270" t="str">
        <f>IF(G75="", "", IF(E75="Exterior", 0, IF('Lighting Inventory'!G75="Air Conditioned", VLOOKUP(H75, 'Lookup Tables'!$R$6:$U$13, 4, FALSE), VLOOKUP('Lighting Inventory'!G75, 'Lookup Tables'!$R$6:$U$13, 4, FALSE))))</f>
        <v/>
      </c>
      <c r="BE75" s="270" t="str">
        <f>IFERROR(IF(B75="", "",  IF(B75="New Construction", VLOOKUP(F75, 'Lookup Tables'!$A$6:$K$59, 11, FALSE),IF(OR(AN75="", AN75="Light Switch"), 0, IF(OR(M75="",M75="None",V75= "LED Exit Signs"),0,_xlfn.XLOOKUP(M75,'Lookup Tables'!$R$91:$R$101,'Lookup Tables'!$V$91:$V$101))))), "")</f>
        <v/>
      </c>
      <c r="BF75" s="270" t="str">
        <f>IF(AND(OR(AN75="Light Switch",AN75=""),B75="New Construction"), VLOOKUP(F75, 'Lookup Tables'!$A$6:$K$59, 11, FALSE),IF(AN75="","",IF(B75="","",IF(OR(AN75="None",AN75="",V75="LED Exit Signs",AN75="Exterior Controls Not Eligible"),0,_xlfn.XLOOKUP(AN75,'Lookup Tables'!$R$91:$R$101,'Lookup Tables'!$V$91:$V$101)))))</f>
        <v/>
      </c>
      <c r="BG75" s="88" t="str">
        <f t="shared" si="86"/>
        <v/>
      </c>
      <c r="BH75" s="88" t="str">
        <f t="shared" si="87"/>
        <v/>
      </c>
      <c r="BI75" s="558" t="str">
        <f t="shared" si="168"/>
        <v/>
      </c>
      <c r="BJ75" s="82" t="str">
        <f t="shared" si="88"/>
        <v/>
      </c>
      <c r="BK75" s="82" t="str">
        <f t="shared" si="89"/>
        <v/>
      </c>
      <c r="BL75" s="559" t="str">
        <f t="shared" si="90"/>
        <v/>
      </c>
      <c r="BM75" s="521" t="str">
        <f t="shared" ref="BM75:BM138" si="302">IFERROR(IF(AND(B75="New Construction", V75="LED Exit Signs"), "", IF(B75="", "", IF(B75="Retrofit", (L75-AM75)*BA75*(1-BE75)*(1+BC75), (R75-AM75)*BA75*(1-BE75)*(1+BC75)))), "")</f>
        <v/>
      </c>
      <c r="BN75" s="521" t="str">
        <f t="shared" ref="BN75:BN138" si="303">IFERROR(IF(OR(E75="",V75="LED Exit Signs"),"", BA75*(1+BC75)*AM75*(BF75-BE75)),0)</f>
        <v/>
      </c>
      <c r="BO75" s="522" t="str">
        <f t="shared" ref="BO75:BO138" si="304">IF(AND(E75="New Construction", AB75="LED Exit Signs"), "", IF(E75="", "", SUM(BM75:BN75)))</f>
        <v/>
      </c>
      <c r="BP75" s="83" t="str">
        <f t="shared" si="91"/>
        <v/>
      </c>
      <c r="BQ75" s="84" t="str">
        <f t="shared" si="92"/>
        <v/>
      </c>
      <c r="BR75" s="184" t="str">
        <f>IFERROR(IF(B75="", "", IF(OR(VLOOKUP(J75, 'Fixture Identities'!$A$6:$L$1023, 3, FALSE)="T12 Linear Fluorescent",VLOOKUP(J75, 'Fixture Identities'!$A$6:$L$1023, 3, FALSE)="T12 U-Tube Fluorescent"), "Y", "N")), "N")</f>
        <v/>
      </c>
      <c r="BS75" s="184" t="str">
        <f t="array" ref="BS75">IFERROR(IF(OR(B75="", V75="", W75=""), "", IF(V75="Custom", "N", IF(OR(W75="Freezer Case Lighting", W75="Refrigerated Case Lighting with Doors"), BT75, IF(B75="Retrofit", INDEX('Lookup Tables'!$AH$6:$AT$102,MATCH(1,('Lookup Tables'!$AH$6:$AH$102=V75)*('Lookup Tables'!$AI$6:$AI$102=W75),FALSE),IF(VLOOKUP(J75, 'Fixture Identities'!$A$6:$B$1023, 2, FALSE)="Incandescent",12, 13)), INDEX('Lookup Tables'!$AH$114:$AS$154,MATCH(1,('Lookup Tables'!$AH$114:$AH$154=V75)*('Lookup Tables'!$AI$114:$AI$154=W75),FALSE),12))))), "N")</f>
        <v/>
      </c>
      <c r="BT75" s="184" t="str">
        <f>IF(J75="", "", IF(AND(OR(W75="Freezer case Lighting", W75="Refrigerated Case Lighting with Doors"),'General Information'!$X$18="LCI"), "N", IF(OR(VLOOKUP(J75, 'Fixture Identities'!$A$6:$B$1023, 2, FALSE)="T12 EPACT/EISA Baseline", VLOOKUP(J75, 'Fixture Identities'!$A$6:$B$1023, 2, FALSE)="Linear Fluorescent", VLOOKUP(J75, 'Fixture Identities'!$A$6:$B$1023, 2, FALSE)="U-Tube Fluorescent"), "Y", "N")))</f>
        <v/>
      </c>
      <c r="BU75" s="184" t="str">
        <f>IFERROR(IF(B75="", "", IF(VLOOKUP(J75, 'Fixture Identities'!$A$6:$B$1023, 2, FALSE)="Exit Sign", "Y", "N")), "N")</f>
        <v/>
      </c>
      <c r="BV75" s="184" t="str">
        <f>IF(V75="Exit Signs", IF(VLOOKUP(J75, 'Fixture Identities'!$A$6:$B$1023, 2, FALSE)="Exit Sign", "N", "Y"), "")</f>
        <v/>
      </c>
      <c r="BW75" s="184" t="str">
        <f t="array" ref="BW75">IFERROR(IF(B75="", "", IF(B75="New Construction", "N", INDEX('Lookup Tables'!$AH$6:$AU$102, MATCH(1, ('Lookup Tables'!$AH$6:$AH$102='Lighting Inventory'!V75)*('Lookup Tables'!$AI$6:$AI$102='Lighting Inventory'!W75), 0), 14))), "N")</f>
        <v/>
      </c>
      <c r="BX75" s="598" t="str">
        <f t="shared" si="93"/>
        <v/>
      </c>
      <c r="BY75" s="598" t="str">
        <f t="shared" si="94"/>
        <v/>
      </c>
      <c r="BZ75" s="598" t="str">
        <f t="shared" si="95"/>
        <v/>
      </c>
      <c r="CA75" s="598" t="str">
        <f t="shared" si="101"/>
        <v/>
      </c>
      <c r="CB75" s="269" t="str">
        <f t="shared" si="102"/>
        <v/>
      </c>
      <c r="CC75" s="517" t="str">
        <f t="shared" si="96"/>
        <v/>
      </c>
      <c r="CD75" s="565" t="str">
        <f t="shared" ref="CD75:CD138" si="305">IF(AM75="ERROR", "ERROR", IF(AND(B75="New Construction", V75="LED Exit Signs"), "", IF(AND(E75="Exterior", V75="LED Exit Signs"), "", IF(B75="", "", SUM(BP75:BQ75)))))</f>
        <v/>
      </c>
      <c r="CE75" s="368">
        <v>0</v>
      </c>
      <c r="CF75" s="368" t="str" cm="1">
        <f t="array" ref="CF75">IFERROR(IF(V75="Custom", "$0.1 per kWh", IF(B75="New Construction", CONCATENATE("$",INDEX('Lookup Tables'!$AH$114:$AN$154,MATCH(1,('Lookup Tables'!$AH$114:$AH$154='Lighting Inventory'!V75)*('Lookup Tables'!$AI$114:$AI$154='Lighting Inventory'!W75),FALSE),6)," ",INDEX('Lookup Tables'!$AH$114:$AN$154,MATCH(1,('Lookup Tables'!$AH$114:$AH$154='Lighting Inventory'!V75)*('Lookup Tables'!$AI$114:$AI$154='Lighting Inventory'!W75),FALSE),7)), IF(AND(BU75="N", V75="Exit Signs"), "$0.025 per kWh", CONCATENATE("$",INDEX('Lookup Tables'!$AH$6:$AN$102,MATCH(1,('Lookup Tables'!$AH$6:$AH$102='Lighting Inventory'!V75)*('Lookup Tables'!$AI$6:$AI$102='Lighting Inventory'!W75),FALSE),6)," ",INDEX('Lookup Tables'!$AH$6:$AN$102,MATCH(1,('Lookup Tables'!$AH$6:$AH$102='Lighting Inventory'!V75)*('Lookup Tables'!$AI$6:$AI$102='Lighting Inventory'!W75),FALSE),7))))), "")</f>
        <v/>
      </c>
      <c r="CG75" s="366"/>
      <c r="CH75" s="248" t="str">
        <f t="shared" ref="CH75:CH138" si="306">IF(E75="", "", IF(E75="Exterior", "Ext_Lighting_Description", "Int_Lighting_Description"))</f>
        <v/>
      </c>
      <c r="CI75" s="248" t="str">
        <f t="shared" ref="CI75:CI138" si="307">IF(E75="", "Select_IE", IF(E75="Interior", "Building_Type_Interior", "Building_Type_Exterior"))</f>
        <v>Select_IE</v>
      </c>
      <c r="CJ75" s="248" t="str">
        <f t="shared" ref="CJ75:CJ138" si="308">IF(F75="", "", IF(E75="Exterior", "Uncooled", IF(F75="Storage - Unconditioned", "Uncooled", "Cooled")))</f>
        <v/>
      </c>
      <c r="CK75" s="248" t="str">
        <f t="shared" ref="CK75:CK138" si="309">IF(E75="Exterior", "Unheated", IF(G75="", "", IF(OR(G75="Uncooled", G75="Air Conditioned"), "Heated", "Unheated")))</f>
        <v/>
      </c>
      <c r="CL75" s="248" t="str">
        <f t="shared" ref="CL75:CL138" si="310">IF(B75="", "", IF(AND(B75="New Construction", E75="Interior"), "NC_Fixture_Category_Int", IF(AND(B75="New Construction", E75="Exterior"), "NC_Fixture_Category_Ext", IF(AND(B75="Retrofit", E75="Interior"), "Ret_Fixture_Category_Int", IF(AND(B75="Retrofit", E75="Exterior"), "Ret_Fixture_Category_Ext", "Ret_Fixture_Category_Int")))))</f>
        <v/>
      </c>
      <c r="CM75" s="248" t="str">
        <f>IFERROR(IF(B75="", "", IF(B75="New Construction", VLOOKUP(V75, 'Lookup Tables'!$AF$114:$AG$120, 2, FALSE), VLOOKUP(V75, 'Lookup Tables'!$AD$6:$AE$25, 2, FALSE))), "")</f>
        <v/>
      </c>
      <c r="CN75" s="248" t="str">
        <f t="shared" ref="CN75:CN138" si="311">IF(AV75="", "", IF(AV75="Applicant", "EFLH_schedules", "EFLH_prescribed"))</f>
        <v/>
      </c>
      <c r="CO75" s="248" t="str">
        <f t="shared" ref="CO75:CO138" si="312">IF(B75="", "", IF(AND(B75="New Construction", OR($F$5="Not Applicable", $F$5="")), "NC_Calc_Method", IF(B75="Retrofit", "Not_Applicable", IF(AND(E75="Interior", $F$5="Building Area"), "NC_Facility_Type", IF(AND(E75="Interior", $F$5="Space-by-Space"), "NC_Space_Type_Int", IF(E75="Exterior", "NC_Space_Type_Ext", "Not_Applicable"))))))</f>
        <v/>
      </c>
      <c r="CP75" s="592" t="str">
        <f t="shared" ref="CP75:CP138" si="313">IF(E75="","",IF(E75="Exterior","ext_lighting_controls","Lighting_Controls"))</f>
        <v/>
      </c>
      <c r="CQ75" s="248" t="str">
        <f t="shared" si="97"/>
        <v/>
      </c>
      <c r="CR75" s="100"/>
      <c r="CS75" s="250" t="str">
        <f t="shared" ref="CS75:CS138" si="314">IF(CD75="ERROR","ERROR",BK75)</f>
        <v/>
      </c>
      <c r="CT75" s="250" t="str">
        <f t="shared" si="243"/>
        <v/>
      </c>
      <c r="CU75" s="250" t="str">
        <f t="shared" si="244"/>
        <v/>
      </c>
      <c r="CV75" s="250" t="str">
        <f t="shared" si="245"/>
        <v/>
      </c>
      <c r="CW75" s="250" t="str">
        <f t="shared" si="246"/>
        <v/>
      </c>
      <c r="CX75" s="250" t="str">
        <f t="shared" ref="CX75:CX138" si="315">IF(CD75="ERROR", "ERROR", IF(AND(Y75=$CX$6, E75="Interior"), BJ75, ""))</f>
        <v/>
      </c>
      <c r="CY75" s="250" t="str">
        <f t="shared" ref="CY75:CY138" si="316">IF(CD75="ERROR", "ERROR", IF(AND(Y75=$CX$6, E75="Exterior"), BJ75, ""))</f>
        <v/>
      </c>
      <c r="CZ75" s="250" t="str">
        <f t="shared" ref="CZ75:CZ138" si="317">IF(CD75="ERROR", "ERROR", IF(AND(Y75=$CZ$6, E75="Interior"), BJ75, ""))</f>
        <v/>
      </c>
      <c r="DA75" s="250" t="str">
        <f t="shared" ref="DA75:DA138" si="318">IF(CD75="ERROR", "ERROR", IF(AND(Y75=$CZ$6, E75="Exterior"), BJ75, ""))</f>
        <v/>
      </c>
      <c r="DB75" s="250" t="str">
        <f t="shared" ref="DB75:DB138" si="319">IF(CD75="ERROR", "ERROR", IF(AND(Y75=$DB$6, E75="Interior"), BJ75, ""))</f>
        <v/>
      </c>
      <c r="DC75" s="250" t="str">
        <f t="shared" ref="DC75:DC138" si="320">IF(CD75="ERROR", "ERROR", IF(AND(Y75=$DB$6, E75="Exterior"), BJ75, ""))</f>
        <v/>
      </c>
      <c r="DD75" s="250" t="str">
        <f t="shared" ref="DD75:DD138" si="321">IF(CD75="ERROR", "ERROR", IF(AND(Y75=$DD$6, E75="Interior"), BJ75, ""))</f>
        <v/>
      </c>
      <c r="DE75" s="250" t="str">
        <f t="shared" ref="DE75:DE138" si="322">IF(CD75="ERROR", "ERROR", IF(AND(Y75=$DD$6, E75="Exterior"), BJ75, ""))</f>
        <v/>
      </c>
      <c r="DF75" s="250" t="str">
        <f t="shared" ref="DF75:DF138" si="323">IF(CD75="ERROR", "ERROR", IF(AND(Y75=$DF$6, E75="Interior"), BJ75, ""))</f>
        <v/>
      </c>
      <c r="DG75" s="250" t="str">
        <f t="shared" ref="DG75:DG138" si="324">IF(CD75="ERROR", "ERROR", IF(AND(Y75=$DF$6, E75="Exterior"), BJ75, ""))</f>
        <v/>
      </c>
      <c r="DH75" s="250" t="str">
        <f t="shared" ref="DH75:DH138" si="325">IF(CD75="ERROR", "ERROR", IF(AND(Y75=$DH$6, E75="Interior"), BJ75, ""))</f>
        <v/>
      </c>
      <c r="DI75" s="250" t="str">
        <f t="shared" ref="DI75:DI138" si="326">IF(CD75="ERROR", "ERROR", IF(AND(Y75=$DH$6, E75="Exterior"), BJ75, ""))</f>
        <v/>
      </c>
      <c r="DJ75" s="250" t="str">
        <f t="shared" ref="DJ75:DJ138" si="327">IF(CD75="ERROR", "ERROR", IF(Y75=$DJ$6, BJ75, ""))</f>
        <v/>
      </c>
      <c r="DK75" s="250" t="str">
        <f t="shared" ref="DK75:DK138" si="328">IF(CD75="ERROR", "ERROR", IF(AND(Y75=$DK$6, E75="Interior"), BJ75, ""))</f>
        <v/>
      </c>
      <c r="DL75" s="250" t="str">
        <f t="shared" ref="DL75:DL138" si="329">IF(CD75="ERROR", "ERROR", IF(AND(Y75=$DK$6, E75="Exterior"), BJ75, ""))</f>
        <v/>
      </c>
      <c r="DM75" s="250" t="str">
        <f>IF(CD75="ERROR", "ERROR", IF(AND(OR(Y75=$DM$6, Y75='Lookup Tables'!$AD$21, Y75='Lookup Tables'!$AD$22), E75="Interior"), BJ75, ""))</f>
        <v/>
      </c>
      <c r="DN75" s="250" t="str">
        <f>IF(CD75="ERROR", "ERROR", IF(AND(OR(Y75=$DM$6, Y75='Lookup Tables'!$AD$21, Y75='Lookup Tables'!$AD$22), E75="Exterior"), BJ75, ""))</f>
        <v/>
      </c>
      <c r="DO75" s="100"/>
      <c r="DP75" s="250" t="str">
        <f t="shared" ref="DP75:DP138" si="330">IF(CD75="ERROR","ERROR",BQ75)</f>
        <v/>
      </c>
      <c r="DQ75" s="250" t="str">
        <f t="shared" si="262"/>
        <v/>
      </c>
      <c r="DR75" s="250" t="str">
        <f t="shared" si="263"/>
        <v/>
      </c>
      <c r="DS75" s="250" t="str">
        <f t="shared" si="264"/>
        <v/>
      </c>
      <c r="DT75" s="250" t="str">
        <f t="shared" si="265"/>
        <v/>
      </c>
      <c r="DU75" s="250" t="str">
        <f t="shared" ref="DU75:DU138" si="331">IF(CD75="ERROR", "ERROR", IF(AND($DU$6=Y75,E75="Interior"), BP75, ""))</f>
        <v/>
      </c>
      <c r="DV75" s="250" t="str">
        <f t="shared" ref="DV75:DV138" si="332">IF(CD75="ERROR", "ERROR", IF(AND($DU$6=Y75,E75="Exterior"), BP75, ""))</f>
        <v/>
      </c>
      <c r="DW75" s="250" t="str">
        <f t="shared" ref="DW75:DW138" si="333">IF(CD75="ERROR", "ERROR", IF(AND($DW$6=Y75,E75="Interior"), BP75, ""))</f>
        <v/>
      </c>
      <c r="DX75" s="250" t="str">
        <f t="shared" ref="DX75:DX138" si="334">IF(CD75="ERROR", "ERROR", IF(AND($DW$6=Y75,E75="Exterior"), BP75, ""))</f>
        <v/>
      </c>
      <c r="DY75" s="250" t="str">
        <f t="shared" ref="DY75:DY138" si="335">IF(CD75="ERROR", "ERROR", IF(AND($DY$6=Y75,E75="Interior"), BP75, ""))</f>
        <v/>
      </c>
      <c r="DZ75" s="250" t="str">
        <f t="shared" ref="DZ75:DZ138" si="336">IF(CD75="ERROR", "ERROR", IF(AND($DY$6=Y75,E75="Exterior"), BP75, ""))</f>
        <v/>
      </c>
      <c r="EA75" s="250" t="str">
        <f t="shared" ref="EA75:EA138" si="337">IF(CD75="ERROR", "ERROR", IF(AND($EA$6=Y75,E75="Exterior"), BP75, ""))</f>
        <v/>
      </c>
      <c r="EB75" s="250" t="str">
        <f t="shared" si="273"/>
        <v/>
      </c>
      <c r="EC75" s="250" t="str">
        <f t="shared" ref="EC75:EC138" si="338">IF(CD75="ERROR", "ERROR", IF(AND(Y75=$EC$6, E75="Interior"), BP75, ""))</f>
        <v/>
      </c>
      <c r="ED75" s="250" t="str">
        <f t="shared" ref="ED75:ED138" si="339">IF(CD75="ERROR", "ERROR", IF(AND(Y75=$EC$6, E75="Exterior"), BP75, ""))</f>
        <v/>
      </c>
      <c r="EE75" s="250" t="str">
        <f t="shared" ref="EE75:EE138" si="340">IF(CD75="ERROR", "ERROR", IF(Y75=$EE$6, BP75, ""))</f>
        <v/>
      </c>
      <c r="EF75" s="250" t="str">
        <f t="shared" ref="EF75:EF138" si="341">IF(CD75="ERROR", "ERROR", IF(AND($EF$6=Y75,E75="Interior"), BP75, ""))</f>
        <v/>
      </c>
      <c r="EG75" s="250" t="str">
        <f t="shared" ref="EG75:EG138" si="342">IF(CD75="ERROR", "ERROR", IF(AND($EF$6=Y75,E75="Exterior"), BP75, ""))</f>
        <v/>
      </c>
      <c r="EH75" s="250" t="str">
        <f>IF(CD75="ERROR", "ERROR", IF(AND(OR($EH$6=Y75, Y75='Lookup Tables'!$AD$21, Y75='Lookup Tables'!$AD$22),E75="Interior"), SUM(BP75:BP75), ""))</f>
        <v/>
      </c>
      <c r="EI75" s="250" t="str">
        <f>IF(CD75="ERROR", "ERROR", IF(AND(OR($EH$6=Y75, Y75='Lookup Tables'!$AD$21, Y75='Lookup Tables'!$AD$22),E75="Exterior"), SUM(BP75:BP75), ""))</f>
        <v/>
      </c>
      <c r="EJ75" s="109"/>
      <c r="EK75" s="485" t="str">
        <f t="shared" ref="EK75:EK138" si="343">IF(CD75="ERROR","ERROR",IF(E75="Exterior", "0", IF(OR(AN75="",AN75="Light Switch"), "",AP75)))</f>
        <v/>
      </c>
      <c r="EL75" s="252" t="str">
        <f t="shared" si="279"/>
        <v/>
      </c>
      <c r="EM75" s="252" t="str">
        <f t="shared" si="280"/>
        <v/>
      </c>
      <c r="EN75" s="252" t="str">
        <f t="shared" si="281"/>
        <v/>
      </c>
      <c r="EO75" s="252" t="str">
        <f t="shared" si="282"/>
        <v/>
      </c>
      <c r="EP75" s="252" t="str">
        <f t="shared" si="283"/>
        <v/>
      </c>
      <c r="EQ75" s="252" t="str">
        <f t="shared" si="284"/>
        <v/>
      </c>
      <c r="ER75" s="252" t="str">
        <f t="shared" si="285"/>
        <v/>
      </c>
      <c r="ES75" s="252" t="str">
        <f t="shared" si="286"/>
        <v/>
      </c>
      <c r="ET75" s="252" t="str">
        <f t="shared" si="287"/>
        <v/>
      </c>
      <c r="EU75" s="252" t="str">
        <f t="shared" si="288"/>
        <v/>
      </c>
      <c r="EV75" s="252" t="str">
        <f t="shared" si="289"/>
        <v/>
      </c>
      <c r="EW75" s="252" t="str">
        <f t="shared" si="290"/>
        <v/>
      </c>
      <c r="EX75" s="252" t="str">
        <f t="shared" si="291"/>
        <v/>
      </c>
      <c r="EY75" s="252" t="str">
        <f t="shared" si="292"/>
        <v/>
      </c>
      <c r="EZ75" s="252" t="str">
        <f t="shared" si="293"/>
        <v/>
      </c>
      <c r="FA75" s="252" t="str">
        <f t="shared" si="294"/>
        <v/>
      </c>
      <c r="FB75" s="252" t="str">
        <f t="shared" si="295"/>
        <v/>
      </c>
      <c r="FC75" s="252" t="str">
        <f>IF(CD75="ERROR", "ERROR", IF(OR(V75="No Change", V75="Not DLC or Energy Star"), "", IF(AND(OR($FC$6=Y75,Y75='Lookup Tables'!$AD$21, Y75='Lookup Tables'!$AD$22),E75="Interior"), S75, "")))</f>
        <v/>
      </c>
      <c r="FD75" s="252" t="str">
        <f t="shared" si="296"/>
        <v/>
      </c>
      <c r="FE75" s="101"/>
      <c r="FF75" s="579" t="str" cm="1">
        <f t="array" ref="FF75">IFERROR(IF(OR(BQ75&lt;=0,AQ75&lt;20,AND(V75="Exit Signs",AN75&gt;0)),"",IF(AND(AQ75&gt;=20,AN75='Lookup Tables'!$R$101),'Lookup Tables'!$U$101*BQ75,AP75*LOOKUP(2,1/((AN75='Lookup Tables'!$R$91:$R$111)*(AQ75&gt;='Lookup Tables'!$S$91:$S$111)*(AQ75&lt;='Lookup Tables'!$T$91:$T$111)),'Lookup Tables'!$U$91:$U$111))),"")</f>
        <v/>
      </c>
      <c r="FG75" s="579"/>
      <c r="FH75" s="579"/>
      <c r="FI75" s="253" t="str">
        <f>IFERROR(ROUND(IF(CD75="ERROR", "ERROR", IF(AND($FI$7=X75,E75="Interior"),VLOOKUP(W75, 'Lookup Tables'!$AI$6:$AM$102, 5, FALSE)*BP75, "")), 2), "")</f>
        <v/>
      </c>
      <c r="FJ75" s="253" t="str">
        <f>IFERROR(ROUND(IF(CD75="ERROR", "ERROR", IF(AND($FI$7=X75,E75="Exterior"),VLOOKUP(W75, 'Lookup Tables'!$AI$6:$AM$102, 5, FALSE)*BP75, "")), 2), "")</f>
        <v/>
      </c>
      <c r="FK75" s="253" t="str">
        <f>IFERROR(ROUND(IF(CD75="ERROR", "ERROR", IF(AND($FK$7=X75,E75="Interior"),VLOOKUP(W75, 'Lookup Tables'!$AI$6:$AM$102, 5, FALSE)*BP75, "")), 2), "")</f>
        <v/>
      </c>
      <c r="FL75" s="253" t="str">
        <f>IFERROR(ROUND(IF(CD75="ERROR", "ERROR", IF(AND($FK$7=X75,E75="Exterior"),VLOOKUP(W75, 'Lookup Tables'!$AI$6:$AM$102, 5, FALSE)*BP75, "")), 2), "")</f>
        <v/>
      </c>
      <c r="FM75" s="253" t="str">
        <f>IFERROR(ROUND(IF(CD75="ERROR", "ERROR", IF(AND($FM$6=Y75,E75="Interior"), IF(GB75=0, VLOOKUP(W75, 'Lookup Tables'!$AI$6:$AM$102, 5, FALSE)*BP75, IF(VLOOKUP(W75, 'Lookup Tables'!$AI$6:$AM$102, 5, FALSE)*BP75&gt;GB75*'Lighting Inventory'!S75, GB75*'Lighting Inventory'!S75,VLOOKUP(W75, 'Lookup Tables'!$AI$6:$AM$102, 5, FALSE)*BP75)), "")), 2), "")</f>
        <v/>
      </c>
      <c r="FN75" s="253" t="str">
        <f>IFERROR(ROUND(IF(CD75="ERROR", "ERROR", IF(AND($FM$6=Y75,E75="Exterior"), IF(GB75=0, VLOOKUP(W75, 'Lookup Tables'!$AI$6:$AM$102, 5, FALSE)*BP75, IF(VLOOKUP(W75, 'Lookup Tables'!$AI$6:$AM$102, 5, FALSE)*BP75&gt;GB75*'Lighting Inventory'!S75, GB75*'Lighting Inventory'!S75,VLOOKUP(W75, 'Lookup Tables'!$AI$6:$AM$102, 5, FALSE)*BP75)), "")), 2), "")</f>
        <v/>
      </c>
      <c r="FO75" s="253" t="str">
        <f>IFERROR(ROUND(IF(CD75="ERROR", "ERROR", IF(AND($FO$6=Y75,E75="Interior"),VLOOKUP(W75, 'Lookup Tables'!$AI$6:$AM$102, 5, FALSE)*'Lighting Inventory'!AI75, "")), 2), "")</f>
        <v/>
      </c>
      <c r="FP75" s="253" t="str">
        <f>IFERROR(ROUND(IF(CD75="ERROR", "ERROR", IF(AND($FO$6=Y75,E75="Exterior"),VLOOKUP(W75, 'Lookup Tables'!$AI$6:$AM$102, 5, FALSE)*'Lighting Inventory'!AI75, "")), 2), "")</f>
        <v/>
      </c>
      <c r="FQ75" s="253" t="str">
        <f>IFERROR(ROUND(IF(CD75="ERROR", "ERROR", IF(AND($FQ$6=Y75,E75="Interior", BU75="Y"), VLOOKUP('Lighting Inventory'!W75, 'Lookup Tables'!$AI$6:$AM$102, 5, FALSE)*'Lighting Inventory'!S75, IF(AND($FQ$7=Y75,E75="Interior", BU75="N"), 0.025*CD75, ""))), 2), "")</f>
        <v/>
      </c>
      <c r="FR75" s="253" t="str">
        <f>IFERROR(ROUND(IF(CD75="ERROR", "ERROR", IF(AND($FQ$6=Y75,E75="Exterior"), VLOOKUP('Lighting Inventory'!W75, 'Lookup Tables'!$AI$6:$AM$102, 5, FALSE)*'Lighting Inventory'!S75, "")), 2), "")</f>
        <v/>
      </c>
      <c r="FS75" s="253" t="str">
        <f>IFERROR(ROUND(IF(CD75="ERROR", "ERROR", IF(AND($FS$6=Y75,E75="Exterior"), IF(GB75=0, VLOOKUP(W75, 'Lookup Tables'!$AI$6:$AM$102, 5, FALSE)*BP75, IF(VLOOKUP(W75, 'Lookup Tables'!$AI$6:$AM$102, 5, FALSE)*BP75&gt;GB75*'Lighting Inventory'!S75, GB75*'Lighting Inventory'!S75,VLOOKUP(W75, 'Lookup Tables'!$AI$6:$AM$102, 5, FALSE)*BP75)), "")), 2), "")</f>
        <v/>
      </c>
      <c r="FT75" s="253" t="str">
        <f>IFERROR(ROUND(IF(CD75="ERROR", "ERROR", IF(AND($FT$6=Y75,E75="Interior"), IF(GB75=0, VLOOKUP(W75, 'Lookup Tables'!$AI$6:$AM$102, 5, FALSE)*BP75, IF(VLOOKUP(W75, 'Lookup Tables'!$AI$6:$AM$102, 5, FALSE)*BP75&gt;GB75*'Lighting Inventory'!S75, GB75*'Lighting Inventory'!S75,VLOOKUP(W75, 'Lookup Tables'!$AI$6:$AM$102, 5, FALSE)*BP75)), "")), 2), "")</f>
        <v/>
      </c>
      <c r="FU75" s="253" t="str">
        <f>IFERROR(ROUND(IF(CD75="ERROR", "ERROR", IF(AND(Y75=$FU$6, E75="Interior"), IF(BS75="N", 'Lookup Tables'!$AM$101*BP75, VLOOKUP(W75, 'Lookup Tables'!$AI$6:$AM$102, 5, FALSE)*S75*AD75), "")), 2), "")</f>
        <v/>
      </c>
      <c r="FV75" s="253" t="str">
        <f>IFERROR(ROUND(IF(CD75="ERROR", "ERROR", IF(AND(Y75=$FU$6, E75="Exterior"), IF(BS75="N", 'Lookup Tables'!$AM$101*BP75, VLOOKUP(W75, 'Lookup Tables'!$AI$6:$AM$102, 5, FALSE)*S75*AD75), "")), 2), "")</f>
        <v/>
      </c>
      <c r="FW75" s="253" t="str">
        <f>IFERROR(ROUND(IF(CD75="ERROR", "ERROR", IF($FW$6=Y75, IF(BS75="N", 'Lookup Tables'!$AM$101*BP75, MIN((VLOOKUP(W75, 'Lookup Tables'!$AI$6:$AM$102, 5, FALSE)*BP75),GB75*AJ75)), "")), 2), "")</f>
        <v/>
      </c>
      <c r="FX75" s="253" t="str">
        <f>IFERROR(ROUND(IF(CD75="ERROR", "ERROR", IF(AND($FX$6=Y75, E75="Interior"), IF(VLOOKUP(W75, 'Lookup Tables'!$AI$6:$AM$102, 5, FALSE)*BP75&gt;'Lookup Tables'!$AQ$97*'Lighting Inventory'!S75,'Lighting Inventory'!S75*'Lookup Tables'!$AQ$97,VLOOKUP(W75, 'Lookup Tables'!$AI$6:$AM$102, 5, FALSE)*BP75), "")), 2), "")</f>
        <v/>
      </c>
      <c r="FY75" s="253" t="str">
        <f>IFERROR(ROUND(IF(CD75="ERROR", "ERROR", IF(AND($FX$6=Y75, E75="Exterior"), IF(VLOOKUP(W75, 'Lookup Tables'!$AI$6:$AM$102, 5, FALSE)*BP75&gt;'Lookup Tables'!$AQ$97*'Lighting Inventory'!S75,'Lighting Inventory'!S75*'Lookup Tables'!$AQ$97,VLOOKUP(W75, 'Lookup Tables'!$AI$6:$AM$102, 5, FALSE)*BP75), "")), 2), "")</f>
        <v/>
      </c>
      <c r="FZ75" s="253" t="str">
        <f>IFERROR(ROUND(IF(CD75="ERROR", "ERROR", IF(AND($FZ$6=Y75, E75="Interior"), IF(AND(OR(W75="Refrigerated Case Lighting with Doors", W75="Freezer Case Lighting"),Y75="Custom - Process Improvement"),CD75*'Lookup Tables'!$AM$101, IF(B75="Retrofit", IF(VLOOKUP(IF(V75="Custom", V75, W75), 'Lookup Tables'!$AI$6:$AM$102, 5, FALSE)*BP75&gt;GE75, GE75, VLOOKUP(IF(V75="Custom", V75, W75), 'Lookup Tables'!$AI$6:$AM$102, 5, FALSE)*BP75), IF(VLOOKUP(IF(V75="Custom", V75, W75), 'Lookup Tables'!$AI$114:$AM$154, 5, FALSE)*BP75&gt;GE75, GE75, VLOOKUP(IF(V75="Custom", V75, W75), 'Lookup Tables'!$AI$114:$AM$154, 5, FALSE)*BP75))), "")), 2),"")</f>
        <v/>
      </c>
      <c r="GA75" s="253" t="str">
        <f>IFERROR(ROUND(IF(CD75="ERROR", "ERROR", IF(AND($FZ$6=Y75, E75="Exterior"), IF(B75="Retrofit", IF(VLOOKUP(IF(V75="Custom", V75, W75), 'Lookup Tables'!$AI$6:$AM$102, 5, FALSE)*BP75&gt;GE75, GE75, VLOOKUP(IF(V75="Custom", V75, W75), 'Lookup Tables'!$AI$6:$AM$102, 5, FALSE)*BP75), IF(VLOOKUP(IF(V75="Custom", V75, W75), 'Lookup Tables'!$AI$114:$AM$154, 5, FALSE)*BP75&gt;GE75, GE75, VLOOKUP(IF(V75="Custom", V75, W75), 'Lookup Tables'!$AI$114:$AM$154, 5, FALSE)*BP75)), "")), 2),"")</f>
        <v/>
      </c>
      <c r="GB75" s="254" t="str">
        <f t="array" ref="GB75">IF(B75="","",IF(OR(V75="Custom",V75="No Change"),0,IF(B75="Retrofit", INDEX('Lookup Tables'!$AH$6:$AQ$102,MATCH(1,('Lookup Tables'!$AH$6:$AH$102='Lighting Inventory'!V75)*('Lookup Tables'!$AI$6:$AI$102='Lighting Inventory'!W75),FALSE),10),INDEX('Lookup Tables'!$AH$114:$AQ$154,MATCH(1,('Lookup Tables'!$AH$114:$AH$154='Lighting Inventory'!V75)*('Lookup Tables'!$AI$114:$AI$154='Lighting Inventory'!W75),FALSE),10))))</f>
        <v/>
      </c>
      <c r="GC75" s="255" t="str">
        <f t="shared" ref="GC75:GC138" si="344">IFERROR(IF(OR(GB75="", GB75=0, AE75=""),"", IF(SUM(BP75:BP75)*0.025&gt;(GB75*S75), "Yes", "No")), "")</f>
        <v/>
      </c>
      <c r="GD75" s="250" t="str">
        <f t="shared" ref="GD75:GD138" si="345">IF(BW75="Y", BP75, IFERROR(BQ75+IF(BW75="N", BP75, ""), ""))</f>
        <v/>
      </c>
      <c r="GE75" s="253" t="str">
        <f>IFERROR(IF(AND(AF75="", 'General Information'!$F$18="No"),"", IF(AF75="", ((GD75/$CD$266)*$CF$266)*0.5, AF75*S75*0.5)), "")</f>
        <v/>
      </c>
      <c r="GF75" s="255" t="str">
        <f>IF(AND('General Information'!$F$19="", 'General Information'!$F$18="Yes",AF75="",BW75="Y"), "Y", "N")</f>
        <v>N</v>
      </c>
      <c r="GG75" s="255" t="s">
        <v>2946</v>
      </c>
      <c r="GH75" s="255" t="str">
        <f>IFERROR(IF(B75="", "", VLOOKUP(J75, 'Fixture Identities'!$A$6:$N$908, 14, FALSE)), "")</f>
        <v/>
      </c>
      <c r="GI75" s="389" t="str">
        <f>IF(OR(B75="", V75="", W75=""), "", IF(AND(OR(M75='Lookup Tables'!$R$18, M75='Lookup Tables'!$R$19, M75='Lookup Tables'!$R$20, M75='Lookup Tables'!$R$21, M75='Lookup Tables'!$R$22), OR(AN75='Lookup Tables'!$R$17, AN75='Lookup Tables'!$R$17, AN75="")), "Y", "N"))</f>
        <v/>
      </c>
      <c r="GJ75" s="255" t="str">
        <f t="shared" ref="GJ75:GJ138" si="346">IF(OR(B75="", E75="", F75=""),"", IF(E75="Interior", IF(AND(E75="Interior",ISNA(VLOOKUP(F75,Building_Type_Interior,1,FALSE))=FALSE), "N", "Y"), IF(AND(E75="Exterior",ISNA(VLOOKUP(F75,Building_Type_Exterior,1,FALSE))=FALSE), "N", "Y")))</f>
        <v/>
      </c>
      <c r="GK75" s="255" t="str">
        <f t="shared" ref="GK75:GK138" si="347">IF(OR(B75="",E75="",G75=""),"",IF(E75="Interior",IF(ISNA(VLOOKUP(G75,Cooled,1,FALSE)),"Y","N"),IF(ISNA(VLOOKUP(G75,Uncooled,1,FALSE)),"Y","N")))</f>
        <v/>
      </c>
      <c r="GL75" s="255" t="str">
        <f t="shared" ref="GL75:GL138" si="348">IF(OR(B75="",E75="",H75=""),"",IF(E75="Interior",IF(ISNA(VLOOKUP(H75,Heated,1,FALSE)),"Y","N"),IF(ISNA(VLOOKUP(H75,Unheated,1,FALSE)),"Y","N")))</f>
        <v/>
      </c>
      <c r="GM75" s="255" t="str">
        <f>IF(AN75="", "", IF(AND(IF(ISNA(VLOOKUP(AN75,'Lookup Tables'!$R$18:$R$22,1,FALSE)), "N", "Y")="Y", E75="Exterior"), "Y", "N"))</f>
        <v/>
      </c>
      <c r="GN75" s="395"/>
      <c r="GO75" s="428">
        <f t="shared" si="98"/>
        <v>0</v>
      </c>
      <c r="GP75" s="428">
        <f t="shared" si="167"/>
        <v>0</v>
      </c>
      <c r="GQ75" s="428">
        <f t="shared" si="99"/>
        <v>0</v>
      </c>
      <c r="GR75" s="428">
        <f t="shared" si="100"/>
        <v>0</v>
      </c>
    </row>
    <row r="76" spans="1:200" s="103" customFormat="1" ht="13.5" customHeight="1" x14ac:dyDescent="0.2">
      <c r="A76" s="272">
        <v>66</v>
      </c>
      <c r="B76" s="110"/>
      <c r="C76" s="110"/>
      <c r="D76" s="110"/>
      <c r="E76" s="110"/>
      <c r="F76" s="110"/>
      <c r="G76" s="110"/>
      <c r="H76" s="110"/>
      <c r="I76" s="29"/>
      <c r="J76" s="29"/>
      <c r="K76" s="272" t="str">
        <f>IFERROR(IF(OR(VLOOKUP(J76, 'Fixture Identities'!$A$6:$L$1023, 3, FALSE)="T12 Linear Fluorescent", VLOOKUP(J76, 'Fixture Identities'!$A$6:$L$1023, 3, FALSE)="T12 U-Tube Fluorescent"), VLOOKUP(VLOOKUP(J76, 'Fixture Identities'!$A$6:$L$1023, 11, FALSE), 'Fixture Identities'!$A$6:$L$1023, 10, FALSE), VLOOKUP(J76, 'Fixture Identities'!$A$6:$L$1023, 10, FALSE)), "")</f>
        <v/>
      </c>
      <c r="L76" s="270" t="str">
        <f t="shared" si="169"/>
        <v/>
      </c>
      <c r="M76" s="110"/>
      <c r="N76" s="110"/>
      <c r="O76" s="110"/>
      <c r="P76" s="272" t="str">
        <f>IFERROR(IF(OR(B76="Retrofit",B76=""),"",IF('Lighting Inventory'!E76="Exterior",VLOOKUP('Lighting Inventory'!N76,'Lookup Tables'!$B$83:$F$103,5,FALSE),IF(N76="Other - Please Estimate EFLH and CFs","Contact Prog. Rep.","ft^2"))), "")</f>
        <v/>
      </c>
      <c r="Q76" s="270" t="str">
        <f>IFERROR(IF(AND(B76="New Construction",E76="Interior",$F$5="Space-by-Space"),VLOOKUP('Lighting Inventory'!N76,'Lookup Tables'!$N$6:$O$97,2,FALSE),IF(AND(B76="New Construction",E76="Exterior"),VLOOKUP(N76,'Lookup Tables'!$B$83:$F$103,2,FALSE),IF(AND(B76="New Construction",'Lighting Inventory'!E76="Interior", $F$5="Building Area"),VLOOKUP(F76,'Lookup Tables'!$A$6:$J$59,10,FALSE),""))), "")</f>
        <v/>
      </c>
      <c r="R76" s="270" t="str">
        <f>IFERROR(IF(P76="Contact Prog. Rep.", "ERROR", IF(OR(B76="",B76="Retrofit"),"",IF(N76="Automated teller machines", ('Lookup Tables'!$A$82:$E$100+('Lighting Inventory'!O76-1)*'Lookup Tables'!$A$82:$E$100)/1000, (Q76*O76)/1000))), "")</f>
        <v/>
      </c>
      <c r="S76" s="595"/>
      <c r="T76" s="105" t="str">
        <f t="shared" ref="T76:T139" si="349">IF(S76="","",S76)</f>
        <v/>
      </c>
      <c r="U76" s="105" t="str">
        <f>IF(S76="","",COUNT($S$11:S76))</f>
        <v/>
      </c>
      <c r="V76" s="111"/>
      <c r="W76" s="112"/>
      <c r="X76" s="105" t="str">
        <f t="shared" ref="X76:X139" si="350">IF(W76="T8 Fluorescent - Retrofit","T8",IF(W76="T5 Fluorescent - Retrofit","T5",IF(W76="T8 Fluorescent - Delamp","T8",IF(W76="T5 Fluorescent - Delamp", "T5",""))))</f>
        <v/>
      </c>
      <c r="Y76" s="105" t="str">
        <f t="array" ref="Y76">IF(AND(OR(W76="Freezer Case Lighting", W76="Refrigerated Case Lighting with Doors"), 'General Information'!$X$18="LCI"),'Lookup Tables'!$Y$34, IF(V76="Custom", VLOOKUP(W76, 'Fixture Identities'!$A$974:$M$1023, 13, FALSE), IF(V76="No Change",'Lookup Tables'!$Y$29,IF(OR(V76="",W76=""),"",IF(AND(S76=0,S76&lt;I76,B76="Retrofit"),'Lookup Tables'!$Y$25, IF(B76="Retrofit", INDEX('Lookup Tables'!$AH$6:$AP$102, MATCH(1, ('Lookup Tables'!$AH$6:$AH$102=V76)*('Lookup Tables'!$AI$6:$AI$102=W76), 0), IF('Lighting Inventory'!E76="Interior", 4, 5)), INDEX('Lookup Tables'!$AH$114:$AP$154, MATCH(1, ('Lookup Tables'!$AH$114:$AH$154=V76)*('Lookup Tables'!$AI$114:$AI$154=W76), 0), IF('Lighting Inventory'!E76="Interior", 4, 5))))))))</f>
        <v/>
      </c>
      <c r="Z76" s="105" t="str">
        <f>IFERROR(INDEX('Lookup Tables'!$AH$158:$AH$172,MATCH('Lighting Inventory'!Y76,'Lookup Tables'!$AI$158:$AI$172,0)),"")</f>
        <v/>
      </c>
      <c r="AA76" s="105" t="str">
        <f>IF(AP76&gt;0,INDEX('Lookup Tables'!$AK$158:$AK$172,MATCH('Lighting Inventory'!Y76,'Lookup Tables'!$AI$158:$AI$172,0)),'Lighting Inventory'!Y76)</f>
        <v/>
      </c>
      <c r="AB76" s="105" t="str">
        <f t="array" ref="AB76">IF(V76="Custom", "Custom", IF(V76="", "", IF(V76="Not DLC or Energy Star", "General", IF(B76="New Construction", INDEX('Lookup Tables'!$AH$114:$AP$154,MATCH(1,('Lookup Tables'!$AH$114:$AH$154='Lighting Inventory'!V76)*('Lookup Tables'!$AI$114:$AI$154='Lighting Inventory'!W76),FALSE),8), INDEX('Lookup Tables'!$AH$6:$AP$102,MATCH(1,('Lookup Tables'!$AH$6:$AH$102='Lighting Inventory'!V76)*('Lookup Tables'!$AI$6:$AI$102='Lighting Inventory'!W76),FALSE),8)))))</f>
        <v/>
      </c>
      <c r="AC76" s="272" t="str">
        <f>IF(W76="","",IF(V76="Custom",CONCATENATE("$",'Lookup Tables'!$AM$101," ",'Lookup Tables'!$AN$101),CONCATENATE("$",INDEX('Lookup Tables'!$AM$6:$AM$102,MATCH('Lighting Inventory'!W76,'Lookup Tables'!$AI$6:$AI$102,0))," ",INDEX('Lookup Tables'!$AN$6:$AN$102,MATCH('Lighting Inventory'!W76,'Lookup Tables'!$AI$6:$AI$102,0)))))</f>
        <v/>
      </c>
      <c r="AD76" s="72"/>
      <c r="AE76" s="29"/>
      <c r="AF76" s="379"/>
      <c r="AG76" s="370" t="str">
        <f t="shared" si="298"/>
        <v/>
      </c>
      <c r="AH76" s="370" t="str">
        <f t="shared" ref="AH76:AH139" si="351">IF(S76="","",AF76*S76)</f>
        <v/>
      </c>
      <c r="AI76" s="29"/>
      <c r="AJ76" s="29"/>
      <c r="AK76" s="110"/>
      <c r="AL76" s="375" t="str">
        <f>IF(OR(B76="", V76="", W76=""), "", IF(V76="No Change", K76, IF(V76="Remove Fixture", 0, IF(V76="Custom",VLOOKUP(W76,'Fixture Identities'!$A$6:$K$1023,10,FALSE),IF(AE76="", "← ENTER POST WATTS", 'Lighting Inventory'!AE76)))))</f>
        <v/>
      </c>
      <c r="AM76" s="376" t="str">
        <f t="shared" si="299"/>
        <v/>
      </c>
      <c r="AN76" s="29"/>
      <c r="AO76" s="671"/>
      <c r="AP76" s="29"/>
      <c r="AQ76" s="29"/>
      <c r="AR76" s="29"/>
      <c r="AS76" s="272" t="str">
        <f t="shared" ref="AS76:AS139" si="352">IF(AP76="","",AR76*AP76)</f>
        <v/>
      </c>
      <c r="AT76" s="270" t="str">
        <f t="shared" si="300"/>
        <v/>
      </c>
      <c r="AU76" s="88" t="str">
        <f t="shared" si="235"/>
        <v/>
      </c>
      <c r="AV76" s="29"/>
      <c r="AW76" s="73"/>
      <c r="AX76" s="271" t="str">
        <f>IF(AND(AV76="Applicant",OR(AW76="", AW76="Use Default Facility Hours")),"← Choose Schedule",IF(F76="","",IF(W76="LED Exit Signs",8760,IF(OR(AV76="Prescribed",AV76=""),VLOOKUP(F76,'Lookup Tables'!$A$6:$G$59,IF(AB76="General", 6, 3),FALSE),VLOOKUP(AW76,'Lookup Tables'!$S$36:$U$43,2,FALSE)))))</f>
        <v/>
      </c>
      <c r="AY76" s="88" t="str">
        <f t="shared" si="301"/>
        <v/>
      </c>
      <c r="AZ76" s="270" t="str">
        <f>IFERROR(IF(F76="", "", IF(W76="LED Exit Signs", 1, IF(AV76="Applicant",VLOOKUP(AW76, 'Lookup Tables'!$S$36:$U$43,3, FALSE), VLOOKUP('Lighting Inventory'!F76, 'Lookup Tables'!$A$6:$H$59, IF('Lighting Inventory'!AB76="General",7,4), FALSE)))), "")</f>
        <v/>
      </c>
      <c r="BA76" s="522" t="str">
        <f>IFERROR(IF(F76="", "", IF(W76="LED Exit Signs", 1, VLOOKUP('Lighting Inventory'!F76, 'Lookup Tables'!$A$6:$H$59, IF('Lighting Inventory'!AB76="General",8,5), FALSE))), "")</f>
        <v/>
      </c>
      <c r="BB76" s="270" t="str">
        <f>IF(G76="", "", IF(E76="Exterior", 0, IF('Lighting Inventory'!G76="Air Conditioned", VLOOKUP(H76, 'Lookup Tables'!$R$6:$T$13, 2, FALSE), VLOOKUP('Lighting Inventory'!G76, 'Lookup Tables'!$R$6:$T$13, 2, FALSE))))</f>
        <v/>
      </c>
      <c r="BC76" s="522" t="str">
        <f>IF(G76="", "", IF(E76="Exterior", 0, IF('Lighting Inventory'!G76="Air Conditioned", VLOOKUP(H76, 'Lookup Tables'!$R$6:$T$13, 3, FALSE), VLOOKUP('Lighting Inventory'!G76, 'Lookup Tables'!$R$6:$T$13, 3, FALSE))))</f>
        <v/>
      </c>
      <c r="BD76" s="270" t="str">
        <f>IF(G76="", "", IF(E76="Exterior", 0, IF('Lighting Inventory'!G76="Air Conditioned", VLOOKUP(H76, 'Lookup Tables'!$R$6:$U$13, 4, FALSE), VLOOKUP('Lighting Inventory'!G76, 'Lookup Tables'!$R$6:$U$13, 4, FALSE))))</f>
        <v/>
      </c>
      <c r="BE76" s="270" t="str">
        <f>IFERROR(IF(B76="", "",  IF(B76="New Construction", VLOOKUP(F76, 'Lookup Tables'!$A$6:$K$59, 11, FALSE),IF(OR(AN76="", AN76="Light Switch"), 0, IF(OR(M76="",M76="None",V76= "LED Exit Signs"),0,_xlfn.XLOOKUP(M76,'Lookup Tables'!$R$91:$R$101,'Lookup Tables'!$V$91:$V$101))))), "")</f>
        <v/>
      </c>
      <c r="BF76" s="270" t="str">
        <f>IF(AND(OR(AN76="Light Switch",AN76=""),B76="New Construction"), VLOOKUP(F76, 'Lookup Tables'!$A$6:$K$59, 11, FALSE),IF(AN76="","",IF(B76="","",IF(OR(AN76="None",AN76="",V76="LED Exit Signs",AN76="Exterior Controls Not Eligible"),0,_xlfn.XLOOKUP(AN76,'Lookup Tables'!$R$91:$R$101,'Lookup Tables'!$V$91:$V$101)))))</f>
        <v/>
      </c>
      <c r="BG76" s="88" t="str">
        <f t="shared" ref="BG76:BG139" si="353">IFERROR(IF(AND(B76="New Construction", V76="LED Exit Signs"), "", IF(B76="", "", IF(B76="Retrofit", ((L76-AM76)*(1-BE76)*(1+BB76)), (R76-AM76)*((1-BE76)*(1+BB76))))), "")</f>
        <v/>
      </c>
      <c r="BH76" s="88" t="str">
        <f t="shared" ref="BH76:BH139" si="354">IFERROR(IF(OR(E76="",V76="LED Exit Signs"),"", AM76*(BF76-BE76)*(1+BB76)),0)</f>
        <v/>
      </c>
      <c r="BI76" s="558" t="str">
        <f t="shared" si="168"/>
        <v/>
      </c>
      <c r="BJ76" s="82" t="str">
        <f t="shared" ref="BJ76:BJ139" si="355">IFERROR(ROUND(IF(AND(B76="New Construction", V76="LED Exit Signs"), "", IF(B76="", "", IF(B76="Retrofit", ((L76-AM76)*AZ76*(1-BE76)*(1+BB76)), (R76-AM76)*(AZ76*(1-BE76)*(1+BB76))))),6), "")</f>
        <v/>
      </c>
      <c r="BK76" s="82" t="str">
        <f t="shared" ref="BK76:BK139" si="356">IFERROR(ROUND(IF(OR(E76="",V76="LED Exit Signs"),"", AM76*AZ76*(BF76-BE76)*(1+BB76)),6),"")</f>
        <v/>
      </c>
      <c r="BL76" s="559" t="str">
        <f t="shared" ref="BL76:BL139" si="357">IFERROR(ROUND(IF(AND(B76="New Construction", V76="LED Exit Signs"), "", IF(B76="", "", SUM(BJ76:BK76))),6),"")</f>
        <v/>
      </c>
      <c r="BM76" s="521" t="str">
        <f t="shared" si="302"/>
        <v/>
      </c>
      <c r="BN76" s="521" t="str">
        <f t="shared" si="303"/>
        <v/>
      </c>
      <c r="BO76" s="522" t="str">
        <f t="shared" si="304"/>
        <v/>
      </c>
      <c r="BP76" s="83" t="str">
        <f t="shared" ref="BP76:BP139" si="358">IFERROR(ROUND(IF(AND(B76="New Construction", V76="LED Exit Signs"), "",IF(B76="", "", IF(B76="Retrofit", ((L76-AM76)*AX76*(1-BE76)*(1+BD76)), (R76-AM76)*AX76*(1-BE76)*(1+BD76)))),4), "")</f>
        <v/>
      </c>
      <c r="BQ76" s="84" t="str">
        <f t="shared" ref="BQ76:BQ139" si="359">IFERROR(ROUND(IF(B76="", "", IF(E76="",0, AM76*AX76*(BF76-BE76)*(1+BD76))),4),"")</f>
        <v/>
      </c>
      <c r="BR76" s="184" t="str">
        <f>IFERROR(IF(B76="", "", IF(OR(VLOOKUP(J76, 'Fixture Identities'!$A$6:$L$1023, 3, FALSE)="T12 Linear Fluorescent",VLOOKUP(J76, 'Fixture Identities'!$A$6:$L$1023, 3, FALSE)="T12 U-Tube Fluorescent"), "Y", "N")), "N")</f>
        <v/>
      </c>
      <c r="BS76" s="184" t="str">
        <f t="array" ref="BS76">IFERROR(IF(OR(B76="", V76="", W76=""), "", IF(V76="Custom", "N", IF(OR(W76="Freezer Case Lighting", W76="Refrigerated Case Lighting with Doors"), BT76, IF(B76="Retrofit", INDEX('Lookup Tables'!$AH$6:$AT$102,MATCH(1,('Lookup Tables'!$AH$6:$AH$102=V76)*('Lookup Tables'!$AI$6:$AI$102=W76),FALSE),IF(VLOOKUP(J76, 'Fixture Identities'!$A$6:$B$1023, 2, FALSE)="Incandescent",12, 13)), INDEX('Lookup Tables'!$AH$114:$AS$154,MATCH(1,('Lookup Tables'!$AH$114:$AH$154=V76)*('Lookup Tables'!$AI$114:$AI$154=W76),FALSE),12))))), "N")</f>
        <v/>
      </c>
      <c r="BT76" s="184" t="str">
        <f>IF(J76="", "", IF(AND(OR(W76="Freezer case Lighting", W76="Refrigerated Case Lighting with Doors"),'General Information'!$X$18="LCI"), "N", IF(OR(VLOOKUP(J76, 'Fixture Identities'!$A$6:$B$1023, 2, FALSE)="T12 EPACT/EISA Baseline", VLOOKUP(J76, 'Fixture Identities'!$A$6:$B$1023, 2, FALSE)="Linear Fluorescent", VLOOKUP(J76, 'Fixture Identities'!$A$6:$B$1023, 2, FALSE)="U-Tube Fluorescent"), "Y", "N")))</f>
        <v/>
      </c>
      <c r="BU76" s="184" t="str">
        <f>IFERROR(IF(B76="", "", IF(VLOOKUP(J76, 'Fixture Identities'!$A$6:$B$1023, 2, FALSE)="Exit Sign", "Y", "N")), "N")</f>
        <v/>
      </c>
      <c r="BV76" s="184" t="str">
        <f>IF(V76="Exit Signs", IF(VLOOKUP(J76, 'Fixture Identities'!$A$6:$B$1023, 2, FALSE)="Exit Sign", "N", "Y"), "")</f>
        <v/>
      </c>
      <c r="BW76" s="184" t="str">
        <f t="array" ref="BW76">IFERROR(IF(B76="", "", IF(B76="New Construction", "N", INDEX('Lookup Tables'!$AH$6:$AU$102, MATCH(1, ('Lookup Tables'!$AH$6:$AH$102='Lighting Inventory'!V76)*('Lookup Tables'!$AI$6:$AI$102='Lighting Inventory'!W76), 0), 14))), "N")</f>
        <v/>
      </c>
      <c r="BX76" s="598" t="str">
        <f t="shared" ref="BX76:BX139" si="360">IFERROR(IF(B76="", "", SUM(FF76:FH76)), "")</f>
        <v/>
      </c>
      <c r="BY76" s="598" t="str">
        <f t="shared" ref="BY76:BY139" si="361">IF(BX76="", "",IF(IF(BX76&gt;((AF76*S76)+(AP76*AR76)),((AF76*S76)+(AP76*AR76)),BX76)+CA76&gt;(AF76*S76)+(AP76*AR76),(AF76*S76)+(AP76*AR76)-CA76,IF(BX76&gt;((AF76*S76)+(AP76*AR76)),((AF76*S76)+(AP76*AR76)),BX76)))</f>
        <v/>
      </c>
      <c r="BZ76" s="598" t="str">
        <f t="shared" ref="BZ76:BZ139" si="362">IFERROR(IF(B76="", "", SUM(FI76:GA76)), "")</f>
        <v/>
      </c>
      <c r="CA76" s="598" t="str">
        <f t="shared" ref="CA76:CA139" si="363">IF(BZ76="", "",IF(BZ76&gt;((AF76*S76)+(AP76*AR76)),((AF76*S76)+(AP76*AR76)),BZ76))</f>
        <v/>
      </c>
      <c r="CB76" s="269" t="str">
        <f t="shared" ref="CB76:CB139" si="364">IFERROR(ROUND(IF(B76="", "", SUM(FF76:GA76)),2), "")</f>
        <v/>
      </c>
      <c r="CC76" s="517" t="str">
        <f t="shared" ref="CC76:CC139" si="365">IFERROR(ROUND(IF(CB76="", "",IF(CB76&gt;(BY76+CA76),(BY76+CA76),CB76)),2),"")</f>
        <v/>
      </c>
      <c r="CD76" s="565" t="str">
        <f t="shared" si="305"/>
        <v/>
      </c>
      <c r="CE76" s="368">
        <v>0</v>
      </c>
      <c r="CF76" s="368" t="str" cm="1">
        <f t="array" ref="CF76">IFERROR(IF(V76="Custom", "$0.1 per kWh", IF(B76="New Construction", CONCATENATE("$",INDEX('Lookup Tables'!$AH$114:$AN$154,MATCH(1,('Lookup Tables'!$AH$114:$AH$154='Lighting Inventory'!V76)*('Lookup Tables'!$AI$114:$AI$154='Lighting Inventory'!W76),FALSE),6)," ",INDEX('Lookup Tables'!$AH$114:$AN$154,MATCH(1,('Lookup Tables'!$AH$114:$AH$154='Lighting Inventory'!V76)*('Lookup Tables'!$AI$114:$AI$154='Lighting Inventory'!W76),FALSE),7)), IF(AND(BU76="N", V76="Exit Signs"), "$0.025 per kWh", CONCATENATE("$",INDEX('Lookup Tables'!$AH$6:$AN$102,MATCH(1,('Lookup Tables'!$AH$6:$AH$102='Lighting Inventory'!V76)*('Lookup Tables'!$AI$6:$AI$102='Lighting Inventory'!W76),FALSE),6)," ",INDEX('Lookup Tables'!$AH$6:$AN$102,MATCH(1,('Lookup Tables'!$AH$6:$AH$102='Lighting Inventory'!V76)*('Lookup Tables'!$AI$6:$AI$102='Lighting Inventory'!W76),FALSE),7))))), "")</f>
        <v/>
      </c>
      <c r="CG76" s="366"/>
      <c r="CH76" s="248" t="str">
        <f t="shared" si="306"/>
        <v/>
      </c>
      <c r="CI76" s="248" t="str">
        <f t="shared" si="307"/>
        <v>Select_IE</v>
      </c>
      <c r="CJ76" s="248" t="str">
        <f t="shared" si="308"/>
        <v/>
      </c>
      <c r="CK76" s="248" t="str">
        <f t="shared" si="309"/>
        <v/>
      </c>
      <c r="CL76" s="248" t="str">
        <f t="shared" si="310"/>
        <v/>
      </c>
      <c r="CM76" s="248" t="str">
        <f>IFERROR(IF(B76="", "", IF(B76="New Construction", VLOOKUP(V76, 'Lookup Tables'!$AF$114:$AG$120, 2, FALSE), VLOOKUP(V76, 'Lookup Tables'!$AD$6:$AE$25, 2, FALSE))), "")</f>
        <v/>
      </c>
      <c r="CN76" s="248" t="str">
        <f t="shared" si="311"/>
        <v/>
      </c>
      <c r="CO76" s="248" t="str">
        <f t="shared" si="312"/>
        <v/>
      </c>
      <c r="CP76" s="592" t="str">
        <f t="shared" si="313"/>
        <v/>
      </c>
      <c r="CQ76" s="248" t="str">
        <f t="shared" ref="CQ76:CQ139" si="366">IF(E76="","",IF(E76="Exterior","exterior_controls","interior_Controls"))</f>
        <v/>
      </c>
      <c r="CR76" s="100"/>
      <c r="CS76" s="250" t="str">
        <f t="shared" si="314"/>
        <v/>
      </c>
      <c r="CT76" s="250" t="str">
        <f t="shared" ref="CT76:CT139" si="367">IF(CD76="ERROR", "ERROR", IF(AND(X76=$CT$7, E76="Interior"), BJ76, ""))</f>
        <v/>
      </c>
      <c r="CU76" s="250" t="str">
        <f t="shared" ref="CU76:CU139" si="368">IF(CD76="ERROR", "ERROR", IF(AND(X76=$CT$7, E76="Exterior"), BJ76, ""))</f>
        <v/>
      </c>
      <c r="CV76" s="250" t="str">
        <f t="shared" ref="CV76:CV139" si="369">IF(CD76="ERROR", "ERROR", IF(AND(X76=$CV$7, E76="Interior"), BJ76, ""))</f>
        <v/>
      </c>
      <c r="CW76" s="250" t="str">
        <f t="shared" ref="CW76:CW139" si="370">IF(CD76="ERROR", "ERROR", IF(AND(X76=$CV$7, E76="Exterior"), BJ76, ""))</f>
        <v/>
      </c>
      <c r="CX76" s="250" t="str">
        <f t="shared" si="315"/>
        <v/>
      </c>
      <c r="CY76" s="250" t="str">
        <f t="shared" si="316"/>
        <v/>
      </c>
      <c r="CZ76" s="250" t="str">
        <f t="shared" si="317"/>
        <v/>
      </c>
      <c r="DA76" s="250" t="str">
        <f t="shared" si="318"/>
        <v/>
      </c>
      <c r="DB76" s="250" t="str">
        <f t="shared" si="319"/>
        <v/>
      </c>
      <c r="DC76" s="250" t="str">
        <f t="shared" si="320"/>
        <v/>
      </c>
      <c r="DD76" s="250" t="str">
        <f t="shared" si="321"/>
        <v/>
      </c>
      <c r="DE76" s="250" t="str">
        <f t="shared" si="322"/>
        <v/>
      </c>
      <c r="DF76" s="250" t="str">
        <f t="shared" si="323"/>
        <v/>
      </c>
      <c r="DG76" s="250" t="str">
        <f t="shared" si="324"/>
        <v/>
      </c>
      <c r="DH76" s="250" t="str">
        <f t="shared" si="325"/>
        <v/>
      </c>
      <c r="DI76" s="250" t="str">
        <f t="shared" si="326"/>
        <v/>
      </c>
      <c r="DJ76" s="250" t="str">
        <f t="shared" si="327"/>
        <v/>
      </c>
      <c r="DK76" s="250" t="str">
        <f t="shared" si="328"/>
        <v/>
      </c>
      <c r="DL76" s="250" t="str">
        <f t="shared" si="329"/>
        <v/>
      </c>
      <c r="DM76" s="250" t="str">
        <f>IF(CD76="ERROR", "ERROR", IF(AND(OR(Y76=$DM$6, Y76='Lookup Tables'!$AD$21, Y76='Lookup Tables'!$AD$22), E76="Interior"), BJ76, ""))</f>
        <v/>
      </c>
      <c r="DN76" s="250" t="str">
        <f>IF(CD76="ERROR", "ERROR", IF(AND(OR(Y76=$DM$6, Y76='Lookup Tables'!$AD$21, Y76='Lookup Tables'!$AD$22), E76="Exterior"), BJ76, ""))</f>
        <v/>
      </c>
      <c r="DO76" s="100"/>
      <c r="DP76" s="250" t="str">
        <f t="shared" si="330"/>
        <v/>
      </c>
      <c r="DQ76" s="250" t="str">
        <f t="shared" ref="DQ76:DQ139" si="371">IF(CD76="ERROR", "ERROR", IF(AND($DQ$7=X76,E76="Interior"), BP76, ""))</f>
        <v/>
      </c>
      <c r="DR76" s="250" t="str">
        <f t="shared" ref="DR76:DR139" si="372">IF(CD76="ERROR", "ERROR", IF(AND($DQ$7=X76,E76="Exterior"), BP76, ""))</f>
        <v/>
      </c>
      <c r="DS76" s="250" t="str">
        <f t="shared" ref="DS76:DS139" si="373">IF(CD76="ERROR", "ERROR", IF(AND($DS$7=X76,E76="Interior"), BP76, ""))</f>
        <v/>
      </c>
      <c r="DT76" s="250" t="str">
        <f t="shared" ref="DT76:DT139" si="374">IF(CD76="ERROR", "ERROR", IF(AND($DS$7=X76,E76="Exterior"), BP76, ""))</f>
        <v/>
      </c>
      <c r="DU76" s="250" t="str">
        <f t="shared" si="331"/>
        <v/>
      </c>
      <c r="DV76" s="250" t="str">
        <f t="shared" si="332"/>
        <v/>
      </c>
      <c r="DW76" s="250" t="str">
        <f t="shared" si="333"/>
        <v/>
      </c>
      <c r="DX76" s="250" t="str">
        <f t="shared" si="334"/>
        <v/>
      </c>
      <c r="DY76" s="250" t="str">
        <f t="shared" si="335"/>
        <v/>
      </c>
      <c r="DZ76" s="250" t="str">
        <f t="shared" si="336"/>
        <v/>
      </c>
      <c r="EA76" s="250" t="str">
        <f t="shared" si="337"/>
        <v/>
      </c>
      <c r="EB76" s="250" t="str">
        <f t="shared" ref="EB76:EB139" si="375">IF(CD76="ERROR", "ERROR", IF(AND(Y76=$EB$6, E76="Interior"), BP76, ""))</f>
        <v/>
      </c>
      <c r="EC76" s="250" t="str">
        <f t="shared" si="338"/>
        <v/>
      </c>
      <c r="ED76" s="250" t="str">
        <f t="shared" si="339"/>
        <v/>
      </c>
      <c r="EE76" s="250" t="str">
        <f t="shared" si="340"/>
        <v/>
      </c>
      <c r="EF76" s="250" t="str">
        <f t="shared" si="341"/>
        <v/>
      </c>
      <c r="EG76" s="250" t="str">
        <f t="shared" si="342"/>
        <v/>
      </c>
      <c r="EH76" s="250" t="str">
        <f>IF(CD76="ERROR", "ERROR", IF(AND(OR($EH$6=Y76, Y76='Lookup Tables'!$AD$21, Y76='Lookup Tables'!$AD$22),E76="Interior"), SUM(BP76:BP76), ""))</f>
        <v/>
      </c>
      <c r="EI76" s="250" t="str">
        <f>IF(CD76="ERROR", "ERROR", IF(AND(OR($EH$6=Y76, Y76='Lookup Tables'!$AD$21, Y76='Lookup Tables'!$AD$22),E76="Exterior"), SUM(BP76:BP76), ""))</f>
        <v/>
      </c>
      <c r="EJ76" s="109"/>
      <c r="EK76" s="485" t="str">
        <f t="shared" si="343"/>
        <v/>
      </c>
      <c r="EL76" s="252" t="str">
        <f t="shared" ref="EL76:EL139" si="376">IF(CD76="ERROR", "ERROR", IF(AND($EL$7=X76,E76="Interior"), S76, ""))</f>
        <v/>
      </c>
      <c r="EM76" s="252" t="str">
        <f t="shared" ref="EM76:EM139" si="377">IF(CD76="ERROR", "ERROR", IF(AND($EL$7=X76,E76="Exterior"), S76, ""))</f>
        <v/>
      </c>
      <c r="EN76" s="252" t="str">
        <f t="shared" ref="EN76:EN139" si="378">IF(CD76="ERROR", "ERROR", IF(AND($EN$7=X76,E76="Interior"), S76, ""))</f>
        <v/>
      </c>
      <c r="EO76" s="252" t="str">
        <f t="shared" ref="EO76:EO139" si="379">IF(CD76="ERROR", "ERROR", IF(AND($EN$7=X76,E76="Exterior"), S76, ""))</f>
        <v/>
      </c>
      <c r="EP76" s="252" t="str">
        <f t="shared" ref="EP76:EP139" si="380">IF(CD76="ERROR", "ERROR", IF(AND($EP$6=Y76,E76="Interior"), S76, ""))</f>
        <v/>
      </c>
      <c r="EQ76" s="252" t="str">
        <f t="shared" ref="EQ76:EQ139" si="381">IF(CD76="ERROR", "ERROR", IF(AND($EP$6=Y76,E76="Exterior"), S76, ""))</f>
        <v/>
      </c>
      <c r="ER76" s="252" t="str">
        <f t="shared" ref="ER76:ER139" si="382">IF(CD76="ERROR", "ERROR", IF(AND($ER$6=Y76,E76="Interior"), S76, ""))</f>
        <v/>
      </c>
      <c r="ES76" s="252" t="str">
        <f t="shared" ref="ES76:ES139" si="383">IF(CD76="ERROR", "ERROR", IF(AND($ER$6=Y76,E76="Exterior"), S76, ""))</f>
        <v/>
      </c>
      <c r="ET76" s="252" t="str">
        <f t="shared" ref="ET76:ET139" si="384">IF(CD76="ERROR", "ERROR", IF(AND($ET$6=Y76,E76="Interior"), S76, ""))</f>
        <v/>
      </c>
      <c r="EU76" s="252" t="str">
        <f t="shared" ref="EU76:EU139" si="385">IF(CD76="ERROR", "ERROR", IF(AND($ET$6=Y76,E76="Exterior"), S76, ""))</f>
        <v/>
      </c>
      <c r="EV76" s="252" t="str">
        <f t="shared" ref="EV76:EV139" si="386">IF(CD76="ERROR", "ERROR", IF(AND($EV$6=Y76,E76="Exterior"), S76, ""))</f>
        <v/>
      </c>
      <c r="EW76" s="252" t="str">
        <f t="shared" ref="EW76:EW139" si="387">IF(CD76="ERROR", "ERROR", IF(AND($EW$6=Y76,E76="Interior"), S76, ""))</f>
        <v/>
      </c>
      <c r="EX76" s="252" t="str">
        <f t="shared" ref="EX76:EX139" si="388">IF(CD76="ERROR", "ERROR", IF(AND(Y76=$EX$6, E76="Interior"), S76, ""))</f>
        <v/>
      </c>
      <c r="EY76" s="252" t="str">
        <f t="shared" ref="EY76:EY139" si="389">IF(CD76="ERROR", "ERROR", IF(AND(Y76=$EX$6, E76="Exterior"), S76, ""))</f>
        <v/>
      </c>
      <c r="EZ76" s="252" t="str">
        <f t="shared" ref="EZ76:EZ139" si="390">IF(CD76="ERROR", "ERROR", IF($EZ$6=Y76, AJ76, ""))</f>
        <v/>
      </c>
      <c r="FA76" s="252" t="str">
        <f t="shared" ref="FA76:FA139" si="391">IF(CD76="ERROR", "ERROR", IF(AND($FA$6=Y76, E76="Interior"), S76, ""))</f>
        <v/>
      </c>
      <c r="FB76" s="252" t="str">
        <f t="shared" ref="FB76:FB139" si="392">IF(CD76="ERROR", "ERROR", IF(AND($FA$6=Y76,E76="Exterior"), S76, ""))</f>
        <v/>
      </c>
      <c r="FC76" s="252" t="str">
        <f>IF(CD76="ERROR", "ERROR", IF(OR(V76="No Change", V76="Not DLC or Energy Star"), "", IF(AND(OR($FC$6=Y76,Y76='Lookup Tables'!$AD$21, Y76='Lookup Tables'!$AD$22),E76="Interior"), S76, "")))</f>
        <v/>
      </c>
      <c r="FD76" s="252" t="str">
        <f t="shared" ref="FD76:FD139" si="393">IF(CD76="ERROR", "ERROR", IF(V76="No Change", "", IF(AND($FC$6=Y76,E76="Exterior"), S76, "")))</f>
        <v/>
      </c>
      <c r="FE76" s="101"/>
      <c r="FF76" s="579" t="str" cm="1">
        <f t="array" ref="FF76">IFERROR(IF(OR(BQ76&lt;=0,AQ76&lt;20,AND(V76="Exit Signs",AN76&gt;0)),"",IF(AND(AQ76&gt;=20,AN76='Lookup Tables'!$R$101),'Lookup Tables'!$U$101*BQ76,AP76*LOOKUP(2,1/((AN76='Lookup Tables'!$R$91:$R$111)*(AQ76&gt;='Lookup Tables'!$S$91:$S$111)*(AQ76&lt;='Lookup Tables'!$T$91:$T$111)),'Lookup Tables'!$U$91:$U$111))),"")</f>
        <v/>
      </c>
      <c r="FG76" s="579"/>
      <c r="FH76" s="579"/>
      <c r="FI76" s="253" t="str">
        <f>IFERROR(ROUND(IF(CD76="ERROR", "ERROR", IF(AND($FI$7=X76,E76="Interior"),VLOOKUP(W76, 'Lookup Tables'!$AI$6:$AM$102, 5, FALSE)*BP76, "")), 2), "")</f>
        <v/>
      </c>
      <c r="FJ76" s="253" t="str">
        <f>IFERROR(ROUND(IF(CD76="ERROR", "ERROR", IF(AND($FI$7=X76,E76="Exterior"),VLOOKUP(W76, 'Lookup Tables'!$AI$6:$AM$102, 5, FALSE)*BP76, "")), 2), "")</f>
        <v/>
      </c>
      <c r="FK76" s="253" t="str">
        <f>IFERROR(ROUND(IF(CD76="ERROR", "ERROR", IF(AND($FK$7=X76,E76="Interior"),VLOOKUP(W76, 'Lookup Tables'!$AI$6:$AM$102, 5, FALSE)*BP76, "")), 2), "")</f>
        <v/>
      </c>
      <c r="FL76" s="253" t="str">
        <f>IFERROR(ROUND(IF(CD76="ERROR", "ERROR", IF(AND($FK$7=X76,E76="Exterior"),VLOOKUP(W76, 'Lookup Tables'!$AI$6:$AM$102, 5, FALSE)*BP76, "")), 2), "")</f>
        <v/>
      </c>
      <c r="FM76" s="253" t="str">
        <f>IFERROR(ROUND(IF(CD76="ERROR", "ERROR", IF(AND($FM$6=Y76,E76="Interior"), IF(GB76=0, VLOOKUP(W76, 'Lookup Tables'!$AI$6:$AM$102, 5, FALSE)*BP76, IF(VLOOKUP(W76, 'Lookup Tables'!$AI$6:$AM$102, 5, FALSE)*BP76&gt;GB76*'Lighting Inventory'!S76, GB76*'Lighting Inventory'!S76,VLOOKUP(W76, 'Lookup Tables'!$AI$6:$AM$102, 5, FALSE)*BP76)), "")), 2), "")</f>
        <v/>
      </c>
      <c r="FN76" s="253" t="str">
        <f>IFERROR(ROUND(IF(CD76="ERROR", "ERROR", IF(AND($FM$6=Y76,E76="Exterior"), IF(GB76=0, VLOOKUP(W76, 'Lookup Tables'!$AI$6:$AM$102, 5, FALSE)*BP76, IF(VLOOKUP(W76, 'Lookup Tables'!$AI$6:$AM$102, 5, FALSE)*BP76&gt;GB76*'Lighting Inventory'!S76, GB76*'Lighting Inventory'!S76,VLOOKUP(W76, 'Lookup Tables'!$AI$6:$AM$102, 5, FALSE)*BP76)), "")), 2), "")</f>
        <v/>
      </c>
      <c r="FO76" s="253" t="str">
        <f>IFERROR(ROUND(IF(CD76="ERROR", "ERROR", IF(AND($FO$6=Y76,E76="Interior"),VLOOKUP(W76, 'Lookup Tables'!$AI$6:$AM$102, 5, FALSE)*'Lighting Inventory'!AI76, "")), 2), "")</f>
        <v/>
      </c>
      <c r="FP76" s="253" t="str">
        <f>IFERROR(ROUND(IF(CD76="ERROR", "ERROR", IF(AND($FO$6=Y76,E76="Exterior"),VLOOKUP(W76, 'Lookup Tables'!$AI$6:$AM$102, 5, FALSE)*'Lighting Inventory'!AI76, "")), 2), "")</f>
        <v/>
      </c>
      <c r="FQ76" s="253" t="str">
        <f>IFERROR(ROUND(IF(CD76="ERROR", "ERROR", IF(AND($FQ$6=Y76,E76="Interior", BU76="Y"), VLOOKUP('Lighting Inventory'!W76, 'Lookup Tables'!$AI$6:$AM$102, 5, FALSE)*'Lighting Inventory'!S76, IF(AND($FQ$7=Y76,E76="Interior", BU76="N"), 0.025*CD76, ""))), 2), "")</f>
        <v/>
      </c>
      <c r="FR76" s="253" t="str">
        <f>IFERROR(ROUND(IF(CD76="ERROR", "ERROR", IF(AND($FQ$6=Y76,E76="Exterior"), VLOOKUP('Lighting Inventory'!W76, 'Lookup Tables'!$AI$6:$AM$102, 5, FALSE)*'Lighting Inventory'!S76, "")), 2), "")</f>
        <v/>
      </c>
      <c r="FS76" s="253" t="str">
        <f>IFERROR(ROUND(IF(CD76="ERROR", "ERROR", IF(AND($FS$6=Y76,E76="Exterior"), IF(GB76=0, VLOOKUP(W76, 'Lookup Tables'!$AI$6:$AM$102, 5, FALSE)*BP76, IF(VLOOKUP(W76, 'Lookup Tables'!$AI$6:$AM$102, 5, FALSE)*BP76&gt;GB76*'Lighting Inventory'!S76, GB76*'Lighting Inventory'!S76,VLOOKUP(W76, 'Lookup Tables'!$AI$6:$AM$102, 5, FALSE)*BP76)), "")), 2), "")</f>
        <v/>
      </c>
      <c r="FT76" s="253" t="str">
        <f>IFERROR(ROUND(IF(CD76="ERROR", "ERROR", IF(AND($FT$6=Y76,E76="Interior"), IF(GB76=0, VLOOKUP(W76, 'Lookup Tables'!$AI$6:$AM$102, 5, FALSE)*BP76, IF(VLOOKUP(W76, 'Lookup Tables'!$AI$6:$AM$102, 5, FALSE)*BP76&gt;GB76*'Lighting Inventory'!S76, GB76*'Lighting Inventory'!S76,VLOOKUP(W76, 'Lookup Tables'!$AI$6:$AM$102, 5, FALSE)*BP76)), "")), 2), "")</f>
        <v/>
      </c>
      <c r="FU76" s="253" t="str">
        <f>IFERROR(ROUND(IF(CD76="ERROR", "ERROR", IF(AND(Y76=$FU$6, E76="Interior"), IF(BS76="N", 'Lookup Tables'!$AM$101*BP76, VLOOKUP(W76, 'Lookup Tables'!$AI$6:$AM$102, 5, FALSE)*S76*AD76), "")), 2), "")</f>
        <v/>
      </c>
      <c r="FV76" s="253" t="str">
        <f>IFERROR(ROUND(IF(CD76="ERROR", "ERROR", IF(AND(Y76=$FU$6, E76="Exterior"), IF(BS76="N", 'Lookup Tables'!$AM$101*BP76, VLOOKUP(W76, 'Lookup Tables'!$AI$6:$AM$102, 5, FALSE)*S76*AD76), "")), 2), "")</f>
        <v/>
      </c>
      <c r="FW76" s="253" t="str">
        <f>IFERROR(ROUND(IF(CD76="ERROR", "ERROR", IF($FW$6=Y76, IF(BS76="N", 'Lookup Tables'!$AM$101*BP76, MIN((VLOOKUP(W76, 'Lookup Tables'!$AI$6:$AM$102, 5, FALSE)*BP76),GB76*AJ76)), "")), 2), "")</f>
        <v/>
      </c>
      <c r="FX76" s="253" t="str">
        <f>IFERROR(ROUND(IF(CD76="ERROR", "ERROR", IF(AND($FX$6=Y76, E76="Interior"), IF(VLOOKUP(W76, 'Lookup Tables'!$AI$6:$AM$102, 5, FALSE)*BP76&gt;'Lookup Tables'!$AQ$97*'Lighting Inventory'!S76,'Lighting Inventory'!S76*'Lookup Tables'!$AQ$97,VLOOKUP(W76, 'Lookup Tables'!$AI$6:$AM$102, 5, FALSE)*BP76), "")), 2), "")</f>
        <v/>
      </c>
      <c r="FY76" s="253" t="str">
        <f>IFERROR(ROUND(IF(CD76="ERROR", "ERROR", IF(AND($FX$6=Y76, E76="Exterior"), IF(VLOOKUP(W76, 'Lookup Tables'!$AI$6:$AM$102, 5, FALSE)*BP76&gt;'Lookup Tables'!$AQ$97*'Lighting Inventory'!S76,'Lighting Inventory'!S76*'Lookup Tables'!$AQ$97,VLOOKUP(W76, 'Lookup Tables'!$AI$6:$AM$102, 5, FALSE)*BP76), "")), 2), "")</f>
        <v/>
      </c>
      <c r="FZ76" s="253" t="str">
        <f>IFERROR(ROUND(IF(CD76="ERROR", "ERROR", IF(AND($FZ$6=Y76, E76="Interior"), IF(AND(OR(W76="Refrigerated Case Lighting with Doors", W76="Freezer Case Lighting"),Y76="Custom - Process Improvement"),CD76*'Lookup Tables'!$AM$101, IF(B76="Retrofit", IF(VLOOKUP(IF(V76="Custom", V76, W76), 'Lookup Tables'!$AI$6:$AM$102, 5, FALSE)*BP76&gt;GE76, GE76, VLOOKUP(IF(V76="Custom", V76, W76), 'Lookup Tables'!$AI$6:$AM$102, 5, FALSE)*BP76), IF(VLOOKUP(IF(V76="Custom", V76, W76), 'Lookup Tables'!$AI$114:$AM$154, 5, FALSE)*BP76&gt;GE76, GE76, VLOOKUP(IF(V76="Custom", V76, W76), 'Lookup Tables'!$AI$114:$AM$154, 5, FALSE)*BP76))), "")), 2),"")</f>
        <v/>
      </c>
      <c r="GA76" s="253" t="str">
        <f>IFERROR(ROUND(IF(CD76="ERROR", "ERROR", IF(AND($FZ$6=Y76, E76="Exterior"), IF(B76="Retrofit", IF(VLOOKUP(IF(V76="Custom", V76, W76), 'Lookup Tables'!$AI$6:$AM$102, 5, FALSE)*BP76&gt;GE76, GE76, VLOOKUP(IF(V76="Custom", V76, W76), 'Lookup Tables'!$AI$6:$AM$102, 5, FALSE)*BP76), IF(VLOOKUP(IF(V76="Custom", V76, W76), 'Lookup Tables'!$AI$114:$AM$154, 5, FALSE)*BP76&gt;GE76, GE76, VLOOKUP(IF(V76="Custom", V76, W76), 'Lookup Tables'!$AI$114:$AM$154, 5, FALSE)*BP76)), "")), 2),"")</f>
        <v/>
      </c>
      <c r="GB76" s="254" t="str">
        <f t="array" ref="GB76">IF(B76="","",IF(OR(V76="Custom",V76="No Change"),0,IF(B76="Retrofit", INDEX('Lookup Tables'!$AH$6:$AQ$102,MATCH(1,('Lookup Tables'!$AH$6:$AH$102='Lighting Inventory'!V76)*('Lookup Tables'!$AI$6:$AI$102='Lighting Inventory'!W76),FALSE),10),INDEX('Lookup Tables'!$AH$114:$AQ$154,MATCH(1,('Lookup Tables'!$AH$114:$AH$154='Lighting Inventory'!V76)*('Lookup Tables'!$AI$114:$AI$154='Lighting Inventory'!W76),FALSE),10))))</f>
        <v/>
      </c>
      <c r="GC76" s="255" t="str">
        <f t="shared" si="344"/>
        <v/>
      </c>
      <c r="GD76" s="250" t="str">
        <f t="shared" si="345"/>
        <v/>
      </c>
      <c r="GE76" s="253" t="str">
        <f>IFERROR(IF(AND(AF76="", 'General Information'!$F$18="No"),"", IF(AF76="", ((GD76/$CD$266)*$CF$266)*0.5, AF76*S76*0.5)), "")</f>
        <v/>
      </c>
      <c r="GF76" s="255" t="str">
        <f>IF(AND('General Information'!$F$19="", 'General Information'!$F$18="Yes",AF76="",BW76="Y"), "Y", "N")</f>
        <v>N</v>
      </c>
      <c r="GG76" s="255" t="s">
        <v>2946</v>
      </c>
      <c r="GH76" s="255" t="str">
        <f>IFERROR(IF(B76="", "", VLOOKUP(J76, 'Fixture Identities'!$A$6:$N$908, 14, FALSE)), "")</f>
        <v/>
      </c>
      <c r="GI76" s="389" t="str">
        <f>IF(OR(B76="", V76="", W76=""), "", IF(AND(OR(M76='Lookup Tables'!$R$18, M76='Lookup Tables'!$R$19, M76='Lookup Tables'!$R$20, M76='Lookup Tables'!$R$21, M76='Lookup Tables'!$R$22), OR(AN76='Lookup Tables'!$R$17, AN76='Lookup Tables'!$R$17, AN76="")), "Y", "N"))</f>
        <v/>
      </c>
      <c r="GJ76" s="255" t="str">
        <f t="shared" si="346"/>
        <v/>
      </c>
      <c r="GK76" s="255" t="str">
        <f t="shared" si="347"/>
        <v/>
      </c>
      <c r="GL76" s="255" t="str">
        <f t="shared" si="348"/>
        <v/>
      </c>
      <c r="GM76" s="255" t="str">
        <f>IF(AN76="", "", IF(AND(IF(ISNA(VLOOKUP(AN76,'Lookup Tables'!$R$18:$R$22,1,FALSE)), "N", "Y")="Y", E76="Exterior"), "Y", "N"))</f>
        <v/>
      </c>
      <c r="GN76" s="395"/>
      <c r="GO76" s="428">
        <f t="shared" ref="GO76:GO139" si="394">SUM(FF76:GA76)</f>
        <v>0</v>
      </c>
      <c r="GP76" s="428">
        <f t="shared" si="167"/>
        <v>0</v>
      </c>
      <c r="GQ76" s="428">
        <f t="shared" ref="GQ76:GQ139" si="395">IF(FH76="",0,IF(GP76=0,0,FH76))</f>
        <v>0</v>
      </c>
      <c r="GR76" s="428">
        <f t="shared" ref="GR76:GR139" si="396">IF(GP76=0,0,GP76-GQ76)</f>
        <v>0</v>
      </c>
    </row>
    <row r="77" spans="1:200" s="103" customFormat="1" ht="13.5" customHeight="1" x14ac:dyDescent="0.2">
      <c r="A77" s="272">
        <v>67</v>
      </c>
      <c r="B77" s="110"/>
      <c r="C77" s="110"/>
      <c r="D77" s="110"/>
      <c r="E77" s="110"/>
      <c r="F77" s="110"/>
      <c r="G77" s="110"/>
      <c r="H77" s="110"/>
      <c r="I77" s="29"/>
      <c r="J77" s="29"/>
      <c r="K77" s="272" t="str">
        <f>IFERROR(IF(OR(VLOOKUP(J77, 'Fixture Identities'!$A$6:$L$1023, 3, FALSE)="T12 Linear Fluorescent", VLOOKUP(J77, 'Fixture Identities'!$A$6:$L$1023, 3, FALSE)="T12 U-Tube Fluorescent"), VLOOKUP(VLOOKUP(J77, 'Fixture Identities'!$A$6:$L$1023, 11, FALSE), 'Fixture Identities'!$A$6:$L$1023, 10, FALSE), VLOOKUP(J77, 'Fixture Identities'!$A$6:$L$1023, 10, FALSE)), "")</f>
        <v/>
      </c>
      <c r="L77" s="270" t="str">
        <f t="shared" si="169"/>
        <v/>
      </c>
      <c r="M77" s="110"/>
      <c r="N77" s="110"/>
      <c r="O77" s="110"/>
      <c r="P77" s="272" t="str">
        <f>IFERROR(IF(OR(B77="Retrofit",B77=""),"",IF('Lighting Inventory'!E77="Exterior",VLOOKUP('Lighting Inventory'!N77,'Lookup Tables'!$B$83:$F$103,5,FALSE),IF(N77="Other - Please Estimate EFLH and CFs","Contact Prog. Rep.","ft^2"))), "")</f>
        <v/>
      </c>
      <c r="Q77" s="270" t="str">
        <f>IFERROR(IF(AND(B77="New Construction",E77="Interior",$F$5="Space-by-Space"),VLOOKUP('Lighting Inventory'!N77,'Lookup Tables'!$N$6:$O$97,2,FALSE),IF(AND(B77="New Construction",E77="Exterior"),VLOOKUP(N77,'Lookup Tables'!$B$83:$F$103,2,FALSE),IF(AND(B77="New Construction",'Lighting Inventory'!E77="Interior", $F$5="Building Area"),VLOOKUP(F77,'Lookup Tables'!$A$6:$J$59,10,FALSE),""))), "")</f>
        <v/>
      </c>
      <c r="R77" s="270" t="str">
        <f>IFERROR(IF(P77="Contact Prog. Rep.", "ERROR", IF(OR(B77="",B77="Retrofit"),"",IF(N77="Automated teller machines", ('Lookup Tables'!$A$82:$E$100+('Lighting Inventory'!O77-1)*'Lookup Tables'!$A$82:$E$100)/1000, (Q77*O77)/1000))), "")</f>
        <v/>
      </c>
      <c r="S77" s="595"/>
      <c r="T77" s="105" t="str">
        <f t="shared" si="349"/>
        <v/>
      </c>
      <c r="U77" s="105" t="str">
        <f>IF(S77="","",COUNT($S$11:S77))</f>
        <v/>
      </c>
      <c r="V77" s="111"/>
      <c r="W77" s="112"/>
      <c r="X77" s="105" t="str">
        <f t="shared" si="350"/>
        <v/>
      </c>
      <c r="Y77" s="105" t="str">
        <f t="array" ref="Y77">IF(AND(OR(W77="Freezer Case Lighting", W77="Refrigerated Case Lighting with Doors"), 'General Information'!$X$18="LCI"),'Lookup Tables'!$Y$34, IF(V77="Custom", VLOOKUP(W77, 'Fixture Identities'!$A$974:$M$1023, 13, FALSE), IF(V77="No Change",'Lookup Tables'!$Y$29,IF(OR(V77="",W77=""),"",IF(AND(S77=0,S77&lt;I77,B77="Retrofit"),'Lookup Tables'!$Y$25, IF(B77="Retrofit", INDEX('Lookup Tables'!$AH$6:$AP$102, MATCH(1, ('Lookup Tables'!$AH$6:$AH$102=V77)*('Lookup Tables'!$AI$6:$AI$102=W77), 0), IF('Lighting Inventory'!E77="Interior", 4, 5)), INDEX('Lookup Tables'!$AH$114:$AP$154, MATCH(1, ('Lookup Tables'!$AH$114:$AH$154=V77)*('Lookup Tables'!$AI$114:$AI$154=W77), 0), IF('Lighting Inventory'!E77="Interior", 4, 5))))))))</f>
        <v/>
      </c>
      <c r="Z77" s="105" t="str">
        <f>IFERROR(INDEX('Lookup Tables'!$AH$158:$AH$172,MATCH('Lighting Inventory'!Y77,'Lookup Tables'!$AI$158:$AI$172,0)),"")</f>
        <v/>
      </c>
      <c r="AA77" s="105" t="str">
        <f>IF(AP77&gt;0,INDEX('Lookup Tables'!$AK$158:$AK$172,MATCH('Lighting Inventory'!Y77,'Lookup Tables'!$AI$158:$AI$172,0)),'Lighting Inventory'!Y77)</f>
        <v/>
      </c>
      <c r="AB77" s="105" t="str">
        <f t="array" ref="AB77">IF(V77="Custom", "Custom", IF(V77="", "", IF(V77="Not DLC or Energy Star", "General", IF(B77="New Construction", INDEX('Lookup Tables'!$AH$114:$AP$154,MATCH(1,('Lookup Tables'!$AH$114:$AH$154='Lighting Inventory'!V77)*('Lookup Tables'!$AI$114:$AI$154='Lighting Inventory'!W77),FALSE),8), INDEX('Lookup Tables'!$AH$6:$AP$102,MATCH(1,('Lookup Tables'!$AH$6:$AH$102='Lighting Inventory'!V77)*('Lookup Tables'!$AI$6:$AI$102='Lighting Inventory'!W77),FALSE),8)))))</f>
        <v/>
      </c>
      <c r="AC77" s="272" t="str">
        <f>IF(W77="","",IF(V77="Custom",CONCATENATE("$",'Lookup Tables'!$AM$101," ",'Lookup Tables'!$AN$101),CONCATENATE("$",INDEX('Lookup Tables'!$AM$6:$AM$102,MATCH('Lighting Inventory'!W77,'Lookup Tables'!$AI$6:$AI$102,0))," ",INDEX('Lookup Tables'!$AN$6:$AN$102,MATCH('Lighting Inventory'!W77,'Lookup Tables'!$AI$6:$AI$102,0)))))</f>
        <v/>
      </c>
      <c r="AD77" s="72"/>
      <c r="AE77" s="29"/>
      <c r="AF77" s="379"/>
      <c r="AG77" s="370" t="str">
        <f t="shared" si="298"/>
        <v/>
      </c>
      <c r="AH77" s="370" t="str">
        <f t="shared" si="351"/>
        <v/>
      </c>
      <c r="AI77" s="29"/>
      <c r="AJ77" s="29"/>
      <c r="AK77" s="110"/>
      <c r="AL77" s="375" t="str">
        <f>IF(OR(B77="", V77="", W77=""), "", IF(V77="No Change", K77, IF(V77="Remove Fixture", 0, IF(V77="Custom",VLOOKUP(W77,'Fixture Identities'!$A$6:$K$1023,10,FALSE),IF(AE77="", "← ENTER POST WATTS", 'Lighting Inventory'!AE77)))))</f>
        <v/>
      </c>
      <c r="AM77" s="376" t="str">
        <f t="shared" si="299"/>
        <v/>
      </c>
      <c r="AN77" s="29"/>
      <c r="AO77" s="671"/>
      <c r="AP77" s="29"/>
      <c r="AQ77" s="29"/>
      <c r="AR77" s="29"/>
      <c r="AS77" s="272" t="str">
        <f t="shared" si="352"/>
        <v/>
      </c>
      <c r="AT77" s="270" t="str">
        <f t="shared" si="300"/>
        <v/>
      </c>
      <c r="AU77" s="88" t="str">
        <f t="shared" si="235"/>
        <v/>
      </c>
      <c r="AV77" s="29"/>
      <c r="AW77" s="73"/>
      <c r="AX77" s="271" t="str">
        <f>IF(AND(AV77="Applicant",OR(AW77="", AW77="Use Default Facility Hours")),"← Choose Schedule",IF(F77="","",IF(W77="LED Exit Signs",8760,IF(OR(AV77="Prescribed",AV77=""),VLOOKUP(F77,'Lookup Tables'!$A$6:$G$59,IF(AB77="General", 6, 3),FALSE),VLOOKUP(AW77,'Lookup Tables'!$S$36:$U$43,2,FALSE)))))</f>
        <v/>
      </c>
      <c r="AY77" s="88" t="str">
        <f t="shared" si="301"/>
        <v/>
      </c>
      <c r="AZ77" s="270" t="str">
        <f>IFERROR(IF(F77="", "", IF(W77="LED Exit Signs", 1, IF(AV77="Applicant",VLOOKUP(AW77, 'Lookup Tables'!$S$36:$U$43,3, FALSE), VLOOKUP('Lighting Inventory'!F77, 'Lookup Tables'!$A$6:$H$59, IF('Lighting Inventory'!AB77="General",7,4), FALSE)))), "")</f>
        <v/>
      </c>
      <c r="BA77" s="522" t="str">
        <f>IFERROR(IF(F77="", "", IF(W77="LED Exit Signs", 1, VLOOKUP('Lighting Inventory'!F77, 'Lookup Tables'!$A$6:$H$59, IF('Lighting Inventory'!AB77="General",8,5), FALSE))), "")</f>
        <v/>
      </c>
      <c r="BB77" s="270" t="str">
        <f>IF(G77="", "", IF(E77="Exterior", 0, IF('Lighting Inventory'!G77="Air Conditioned", VLOOKUP(H77, 'Lookup Tables'!$R$6:$T$13, 2, FALSE), VLOOKUP('Lighting Inventory'!G77, 'Lookup Tables'!$R$6:$T$13, 2, FALSE))))</f>
        <v/>
      </c>
      <c r="BC77" s="522" t="str">
        <f>IF(G77="", "", IF(E77="Exterior", 0, IF('Lighting Inventory'!G77="Air Conditioned", VLOOKUP(H77, 'Lookup Tables'!$R$6:$T$13, 3, FALSE), VLOOKUP('Lighting Inventory'!G77, 'Lookup Tables'!$R$6:$T$13, 3, FALSE))))</f>
        <v/>
      </c>
      <c r="BD77" s="270" t="str">
        <f>IF(G77="", "", IF(E77="Exterior", 0, IF('Lighting Inventory'!G77="Air Conditioned", VLOOKUP(H77, 'Lookup Tables'!$R$6:$U$13, 4, FALSE), VLOOKUP('Lighting Inventory'!G77, 'Lookup Tables'!$R$6:$U$13, 4, FALSE))))</f>
        <v/>
      </c>
      <c r="BE77" s="270" t="str">
        <f>IFERROR(IF(B77="", "",  IF(B77="New Construction", VLOOKUP(F77, 'Lookup Tables'!$A$6:$K$59, 11, FALSE),IF(OR(AN77="", AN77="Light Switch"), 0, IF(OR(M77="",M77="None",V77= "LED Exit Signs"),0,_xlfn.XLOOKUP(M77,'Lookup Tables'!$R$91:$R$101,'Lookup Tables'!$V$91:$V$101))))), "")</f>
        <v/>
      </c>
      <c r="BF77" s="270" t="str">
        <f>IF(AND(OR(AN77="Light Switch",AN77=""),B77="New Construction"), VLOOKUP(F77, 'Lookup Tables'!$A$6:$K$59, 11, FALSE),IF(AN77="","",IF(B77="","",IF(OR(AN77="None",AN77="",V77="LED Exit Signs",AN77="Exterior Controls Not Eligible"),0,_xlfn.XLOOKUP(AN77,'Lookup Tables'!$R$91:$R$101,'Lookup Tables'!$V$91:$V$101)))))</f>
        <v/>
      </c>
      <c r="BG77" s="88" t="str">
        <f t="shared" si="353"/>
        <v/>
      </c>
      <c r="BH77" s="88" t="str">
        <f t="shared" si="354"/>
        <v/>
      </c>
      <c r="BI77" s="558" t="str">
        <f t="shared" si="168"/>
        <v/>
      </c>
      <c r="BJ77" s="82" t="str">
        <f t="shared" si="355"/>
        <v/>
      </c>
      <c r="BK77" s="82" t="str">
        <f t="shared" si="356"/>
        <v/>
      </c>
      <c r="BL77" s="559" t="str">
        <f t="shared" si="357"/>
        <v/>
      </c>
      <c r="BM77" s="521" t="str">
        <f t="shared" si="302"/>
        <v/>
      </c>
      <c r="BN77" s="521" t="str">
        <f t="shared" si="303"/>
        <v/>
      </c>
      <c r="BO77" s="522" t="str">
        <f t="shared" si="304"/>
        <v/>
      </c>
      <c r="BP77" s="83" t="str">
        <f t="shared" si="358"/>
        <v/>
      </c>
      <c r="BQ77" s="84" t="str">
        <f t="shared" si="359"/>
        <v/>
      </c>
      <c r="BR77" s="184" t="str">
        <f>IFERROR(IF(B77="", "", IF(OR(VLOOKUP(J77, 'Fixture Identities'!$A$6:$L$1023, 3, FALSE)="T12 Linear Fluorescent",VLOOKUP(J77, 'Fixture Identities'!$A$6:$L$1023, 3, FALSE)="T12 U-Tube Fluorescent"), "Y", "N")), "N")</f>
        <v/>
      </c>
      <c r="BS77" s="184" t="str">
        <f t="array" ref="BS77">IFERROR(IF(OR(B77="", V77="", W77=""), "", IF(V77="Custom", "N", IF(OR(W77="Freezer Case Lighting", W77="Refrigerated Case Lighting with Doors"), BT77, IF(B77="Retrofit", INDEX('Lookup Tables'!$AH$6:$AT$102,MATCH(1,('Lookup Tables'!$AH$6:$AH$102=V77)*('Lookup Tables'!$AI$6:$AI$102=W77),FALSE),IF(VLOOKUP(J77, 'Fixture Identities'!$A$6:$B$1023, 2, FALSE)="Incandescent",12, 13)), INDEX('Lookup Tables'!$AH$114:$AS$154,MATCH(1,('Lookup Tables'!$AH$114:$AH$154=V77)*('Lookup Tables'!$AI$114:$AI$154=W77),FALSE),12))))), "N")</f>
        <v/>
      </c>
      <c r="BT77" s="184" t="str">
        <f>IF(J77="", "", IF(AND(OR(W77="Freezer case Lighting", W77="Refrigerated Case Lighting with Doors"),'General Information'!$X$18="LCI"), "N", IF(OR(VLOOKUP(J77, 'Fixture Identities'!$A$6:$B$1023, 2, FALSE)="T12 EPACT/EISA Baseline", VLOOKUP(J77, 'Fixture Identities'!$A$6:$B$1023, 2, FALSE)="Linear Fluorescent", VLOOKUP(J77, 'Fixture Identities'!$A$6:$B$1023, 2, FALSE)="U-Tube Fluorescent"), "Y", "N")))</f>
        <v/>
      </c>
      <c r="BU77" s="184" t="str">
        <f>IFERROR(IF(B77="", "", IF(VLOOKUP(J77, 'Fixture Identities'!$A$6:$B$1023, 2, FALSE)="Exit Sign", "Y", "N")), "N")</f>
        <v/>
      </c>
      <c r="BV77" s="184" t="str">
        <f>IF(V77="Exit Signs", IF(VLOOKUP(J77, 'Fixture Identities'!$A$6:$B$1023, 2, FALSE)="Exit Sign", "N", "Y"), "")</f>
        <v/>
      </c>
      <c r="BW77" s="184" t="str">
        <f t="array" ref="BW77">IFERROR(IF(B77="", "", IF(B77="New Construction", "N", INDEX('Lookup Tables'!$AH$6:$AU$102, MATCH(1, ('Lookup Tables'!$AH$6:$AH$102='Lighting Inventory'!V77)*('Lookup Tables'!$AI$6:$AI$102='Lighting Inventory'!W77), 0), 14))), "N")</f>
        <v/>
      </c>
      <c r="BX77" s="598" t="str">
        <f t="shared" si="360"/>
        <v/>
      </c>
      <c r="BY77" s="598" t="str">
        <f t="shared" si="361"/>
        <v/>
      </c>
      <c r="BZ77" s="598" t="str">
        <f t="shared" si="362"/>
        <v/>
      </c>
      <c r="CA77" s="598" t="str">
        <f t="shared" si="363"/>
        <v/>
      </c>
      <c r="CB77" s="269" t="str">
        <f t="shared" si="364"/>
        <v/>
      </c>
      <c r="CC77" s="517" t="str">
        <f t="shared" si="365"/>
        <v/>
      </c>
      <c r="CD77" s="565" t="str">
        <f t="shared" si="305"/>
        <v/>
      </c>
      <c r="CE77" s="368">
        <v>0</v>
      </c>
      <c r="CF77" s="368" t="str" cm="1">
        <f t="array" ref="CF77">IFERROR(IF(V77="Custom", "$0.1 per kWh", IF(B77="New Construction", CONCATENATE("$",INDEX('Lookup Tables'!$AH$114:$AN$154,MATCH(1,('Lookup Tables'!$AH$114:$AH$154='Lighting Inventory'!V77)*('Lookup Tables'!$AI$114:$AI$154='Lighting Inventory'!W77),FALSE),6)," ",INDEX('Lookup Tables'!$AH$114:$AN$154,MATCH(1,('Lookup Tables'!$AH$114:$AH$154='Lighting Inventory'!V77)*('Lookup Tables'!$AI$114:$AI$154='Lighting Inventory'!W77),FALSE),7)), IF(AND(BU77="N", V77="Exit Signs"), "$0.025 per kWh", CONCATENATE("$",INDEX('Lookup Tables'!$AH$6:$AN$102,MATCH(1,('Lookup Tables'!$AH$6:$AH$102='Lighting Inventory'!V77)*('Lookup Tables'!$AI$6:$AI$102='Lighting Inventory'!W77),FALSE),6)," ",INDEX('Lookup Tables'!$AH$6:$AN$102,MATCH(1,('Lookup Tables'!$AH$6:$AH$102='Lighting Inventory'!V77)*('Lookup Tables'!$AI$6:$AI$102='Lighting Inventory'!W77),FALSE),7))))), "")</f>
        <v/>
      </c>
      <c r="CG77" s="366"/>
      <c r="CH77" s="248" t="str">
        <f t="shared" si="306"/>
        <v/>
      </c>
      <c r="CI77" s="248" t="str">
        <f t="shared" si="307"/>
        <v>Select_IE</v>
      </c>
      <c r="CJ77" s="248" t="str">
        <f t="shared" si="308"/>
        <v/>
      </c>
      <c r="CK77" s="248" t="str">
        <f t="shared" si="309"/>
        <v/>
      </c>
      <c r="CL77" s="248" t="str">
        <f t="shared" si="310"/>
        <v/>
      </c>
      <c r="CM77" s="248" t="str">
        <f>IFERROR(IF(B77="", "", IF(B77="New Construction", VLOOKUP(V77, 'Lookup Tables'!$AF$114:$AG$120, 2, FALSE), VLOOKUP(V77, 'Lookup Tables'!$AD$6:$AE$25, 2, FALSE))), "")</f>
        <v/>
      </c>
      <c r="CN77" s="248" t="str">
        <f t="shared" si="311"/>
        <v/>
      </c>
      <c r="CO77" s="248" t="str">
        <f t="shared" si="312"/>
        <v/>
      </c>
      <c r="CP77" s="592" t="str">
        <f t="shared" si="313"/>
        <v/>
      </c>
      <c r="CQ77" s="248" t="str">
        <f t="shared" si="366"/>
        <v/>
      </c>
      <c r="CR77" s="100"/>
      <c r="CS77" s="250" t="str">
        <f t="shared" si="314"/>
        <v/>
      </c>
      <c r="CT77" s="250" t="str">
        <f t="shared" si="367"/>
        <v/>
      </c>
      <c r="CU77" s="250" t="str">
        <f t="shared" si="368"/>
        <v/>
      </c>
      <c r="CV77" s="250" t="str">
        <f t="shared" si="369"/>
        <v/>
      </c>
      <c r="CW77" s="250" t="str">
        <f t="shared" si="370"/>
        <v/>
      </c>
      <c r="CX77" s="250" t="str">
        <f t="shared" si="315"/>
        <v/>
      </c>
      <c r="CY77" s="250" t="str">
        <f t="shared" si="316"/>
        <v/>
      </c>
      <c r="CZ77" s="250" t="str">
        <f t="shared" si="317"/>
        <v/>
      </c>
      <c r="DA77" s="250" t="str">
        <f t="shared" si="318"/>
        <v/>
      </c>
      <c r="DB77" s="250" t="str">
        <f t="shared" si="319"/>
        <v/>
      </c>
      <c r="DC77" s="250" t="str">
        <f t="shared" si="320"/>
        <v/>
      </c>
      <c r="DD77" s="250" t="str">
        <f t="shared" si="321"/>
        <v/>
      </c>
      <c r="DE77" s="250" t="str">
        <f t="shared" si="322"/>
        <v/>
      </c>
      <c r="DF77" s="250" t="str">
        <f t="shared" si="323"/>
        <v/>
      </c>
      <c r="DG77" s="250" t="str">
        <f t="shared" si="324"/>
        <v/>
      </c>
      <c r="DH77" s="250" t="str">
        <f t="shared" si="325"/>
        <v/>
      </c>
      <c r="DI77" s="250" t="str">
        <f t="shared" si="326"/>
        <v/>
      </c>
      <c r="DJ77" s="250" t="str">
        <f t="shared" si="327"/>
        <v/>
      </c>
      <c r="DK77" s="250" t="str">
        <f t="shared" si="328"/>
        <v/>
      </c>
      <c r="DL77" s="250" t="str">
        <f t="shared" si="329"/>
        <v/>
      </c>
      <c r="DM77" s="250" t="str">
        <f>IF(CD77="ERROR", "ERROR", IF(AND(OR(Y77=$DM$6, Y77='Lookup Tables'!$AD$21, Y77='Lookup Tables'!$AD$22), E77="Interior"), BJ77, ""))</f>
        <v/>
      </c>
      <c r="DN77" s="250" t="str">
        <f>IF(CD77="ERROR", "ERROR", IF(AND(OR(Y77=$DM$6, Y77='Lookup Tables'!$AD$21, Y77='Lookup Tables'!$AD$22), E77="Exterior"), BJ77, ""))</f>
        <v/>
      </c>
      <c r="DO77" s="100"/>
      <c r="DP77" s="250" t="str">
        <f t="shared" si="330"/>
        <v/>
      </c>
      <c r="DQ77" s="250" t="str">
        <f t="shared" si="371"/>
        <v/>
      </c>
      <c r="DR77" s="250" t="str">
        <f t="shared" si="372"/>
        <v/>
      </c>
      <c r="DS77" s="250" t="str">
        <f t="shared" si="373"/>
        <v/>
      </c>
      <c r="DT77" s="250" t="str">
        <f t="shared" si="374"/>
        <v/>
      </c>
      <c r="DU77" s="250" t="str">
        <f t="shared" si="331"/>
        <v/>
      </c>
      <c r="DV77" s="250" t="str">
        <f t="shared" si="332"/>
        <v/>
      </c>
      <c r="DW77" s="250" t="str">
        <f t="shared" si="333"/>
        <v/>
      </c>
      <c r="DX77" s="250" t="str">
        <f t="shared" si="334"/>
        <v/>
      </c>
      <c r="DY77" s="250" t="str">
        <f t="shared" si="335"/>
        <v/>
      </c>
      <c r="DZ77" s="250" t="str">
        <f t="shared" si="336"/>
        <v/>
      </c>
      <c r="EA77" s="250" t="str">
        <f t="shared" si="337"/>
        <v/>
      </c>
      <c r="EB77" s="250" t="str">
        <f t="shared" si="375"/>
        <v/>
      </c>
      <c r="EC77" s="250" t="str">
        <f t="shared" si="338"/>
        <v/>
      </c>
      <c r="ED77" s="250" t="str">
        <f t="shared" si="339"/>
        <v/>
      </c>
      <c r="EE77" s="250" t="str">
        <f t="shared" si="340"/>
        <v/>
      </c>
      <c r="EF77" s="250" t="str">
        <f t="shared" si="341"/>
        <v/>
      </c>
      <c r="EG77" s="250" t="str">
        <f t="shared" si="342"/>
        <v/>
      </c>
      <c r="EH77" s="250" t="str">
        <f>IF(CD77="ERROR", "ERROR", IF(AND(OR($EH$6=Y77, Y77='Lookup Tables'!$AD$21, Y77='Lookup Tables'!$AD$22),E77="Interior"), SUM(BP77:BP77), ""))</f>
        <v/>
      </c>
      <c r="EI77" s="250" t="str">
        <f>IF(CD77="ERROR", "ERROR", IF(AND(OR($EH$6=Y77, Y77='Lookup Tables'!$AD$21, Y77='Lookup Tables'!$AD$22),E77="Exterior"), SUM(BP77:BP77), ""))</f>
        <v/>
      </c>
      <c r="EJ77" s="109"/>
      <c r="EK77" s="485" t="str">
        <f t="shared" si="343"/>
        <v/>
      </c>
      <c r="EL77" s="252" t="str">
        <f t="shared" si="376"/>
        <v/>
      </c>
      <c r="EM77" s="252" t="str">
        <f t="shared" si="377"/>
        <v/>
      </c>
      <c r="EN77" s="252" t="str">
        <f t="shared" si="378"/>
        <v/>
      </c>
      <c r="EO77" s="252" t="str">
        <f t="shared" si="379"/>
        <v/>
      </c>
      <c r="EP77" s="252" t="str">
        <f t="shared" si="380"/>
        <v/>
      </c>
      <c r="EQ77" s="252" t="str">
        <f t="shared" si="381"/>
        <v/>
      </c>
      <c r="ER77" s="252" t="str">
        <f t="shared" si="382"/>
        <v/>
      </c>
      <c r="ES77" s="252" t="str">
        <f t="shared" si="383"/>
        <v/>
      </c>
      <c r="ET77" s="252" t="str">
        <f t="shared" si="384"/>
        <v/>
      </c>
      <c r="EU77" s="252" t="str">
        <f t="shared" si="385"/>
        <v/>
      </c>
      <c r="EV77" s="252" t="str">
        <f t="shared" si="386"/>
        <v/>
      </c>
      <c r="EW77" s="252" t="str">
        <f t="shared" si="387"/>
        <v/>
      </c>
      <c r="EX77" s="252" t="str">
        <f t="shared" si="388"/>
        <v/>
      </c>
      <c r="EY77" s="252" t="str">
        <f t="shared" si="389"/>
        <v/>
      </c>
      <c r="EZ77" s="252" t="str">
        <f t="shared" si="390"/>
        <v/>
      </c>
      <c r="FA77" s="252" t="str">
        <f t="shared" si="391"/>
        <v/>
      </c>
      <c r="FB77" s="252" t="str">
        <f t="shared" si="392"/>
        <v/>
      </c>
      <c r="FC77" s="252" t="str">
        <f>IF(CD77="ERROR", "ERROR", IF(OR(V77="No Change", V77="Not DLC or Energy Star"), "", IF(AND(OR($FC$6=Y77,Y77='Lookup Tables'!$AD$21, Y77='Lookup Tables'!$AD$22),E77="Interior"), S77, "")))</f>
        <v/>
      </c>
      <c r="FD77" s="252" t="str">
        <f t="shared" si="393"/>
        <v/>
      </c>
      <c r="FE77" s="101"/>
      <c r="FF77" s="579" t="str" cm="1">
        <f t="array" ref="FF77">IFERROR(IF(OR(BQ77&lt;=0,AQ77&lt;20,AND(V77="Exit Signs",AN77&gt;0)),"",IF(AND(AQ77&gt;=20,AN77='Lookup Tables'!$R$101),'Lookup Tables'!$U$101*BQ77,AP77*LOOKUP(2,1/((AN77='Lookup Tables'!$R$91:$R$111)*(AQ77&gt;='Lookup Tables'!$S$91:$S$111)*(AQ77&lt;='Lookup Tables'!$T$91:$T$111)),'Lookup Tables'!$U$91:$U$111))),"")</f>
        <v/>
      </c>
      <c r="FG77" s="579"/>
      <c r="FH77" s="579"/>
      <c r="FI77" s="253" t="str">
        <f>IFERROR(ROUND(IF(CD77="ERROR", "ERROR", IF(AND($FI$7=X77,E77="Interior"),VLOOKUP(W77, 'Lookup Tables'!$AI$6:$AM$102, 5, FALSE)*BP77, "")), 2), "")</f>
        <v/>
      </c>
      <c r="FJ77" s="253" t="str">
        <f>IFERROR(ROUND(IF(CD77="ERROR", "ERROR", IF(AND($FI$7=X77,E77="Exterior"),VLOOKUP(W77, 'Lookup Tables'!$AI$6:$AM$102, 5, FALSE)*BP77, "")), 2), "")</f>
        <v/>
      </c>
      <c r="FK77" s="253" t="str">
        <f>IFERROR(ROUND(IF(CD77="ERROR", "ERROR", IF(AND($FK$7=X77,E77="Interior"),VLOOKUP(W77, 'Lookup Tables'!$AI$6:$AM$102, 5, FALSE)*BP77, "")), 2), "")</f>
        <v/>
      </c>
      <c r="FL77" s="253" t="str">
        <f>IFERROR(ROUND(IF(CD77="ERROR", "ERROR", IF(AND($FK$7=X77,E77="Exterior"),VLOOKUP(W77, 'Lookup Tables'!$AI$6:$AM$102, 5, FALSE)*BP77, "")), 2), "")</f>
        <v/>
      </c>
      <c r="FM77" s="253" t="str">
        <f>IFERROR(ROUND(IF(CD77="ERROR", "ERROR", IF(AND($FM$6=Y77,E77="Interior"), IF(GB77=0, VLOOKUP(W77, 'Lookup Tables'!$AI$6:$AM$102, 5, FALSE)*BP77, IF(VLOOKUP(W77, 'Lookup Tables'!$AI$6:$AM$102, 5, FALSE)*BP77&gt;GB77*'Lighting Inventory'!S77, GB77*'Lighting Inventory'!S77,VLOOKUP(W77, 'Lookup Tables'!$AI$6:$AM$102, 5, FALSE)*BP77)), "")), 2), "")</f>
        <v/>
      </c>
      <c r="FN77" s="253" t="str">
        <f>IFERROR(ROUND(IF(CD77="ERROR", "ERROR", IF(AND($FM$6=Y77,E77="Exterior"), IF(GB77=0, VLOOKUP(W77, 'Lookup Tables'!$AI$6:$AM$102, 5, FALSE)*BP77, IF(VLOOKUP(W77, 'Lookup Tables'!$AI$6:$AM$102, 5, FALSE)*BP77&gt;GB77*'Lighting Inventory'!S77, GB77*'Lighting Inventory'!S77,VLOOKUP(W77, 'Lookup Tables'!$AI$6:$AM$102, 5, FALSE)*BP77)), "")), 2), "")</f>
        <v/>
      </c>
      <c r="FO77" s="253" t="str">
        <f>IFERROR(ROUND(IF(CD77="ERROR", "ERROR", IF(AND($FO$6=Y77,E77="Interior"),VLOOKUP(W77, 'Lookup Tables'!$AI$6:$AM$102, 5, FALSE)*'Lighting Inventory'!AI77, "")), 2), "")</f>
        <v/>
      </c>
      <c r="FP77" s="253" t="str">
        <f>IFERROR(ROUND(IF(CD77="ERROR", "ERROR", IF(AND($FO$6=Y77,E77="Exterior"),VLOOKUP(W77, 'Lookup Tables'!$AI$6:$AM$102, 5, FALSE)*'Lighting Inventory'!AI77, "")), 2), "")</f>
        <v/>
      </c>
      <c r="FQ77" s="253" t="str">
        <f>IFERROR(ROUND(IF(CD77="ERROR", "ERROR", IF(AND($FQ$6=Y77,E77="Interior", BU77="Y"), VLOOKUP('Lighting Inventory'!W77, 'Lookup Tables'!$AI$6:$AM$102, 5, FALSE)*'Lighting Inventory'!S77, IF(AND($FQ$7=Y77,E77="Interior", BU77="N"), 0.025*CD77, ""))), 2), "")</f>
        <v/>
      </c>
      <c r="FR77" s="253" t="str">
        <f>IFERROR(ROUND(IF(CD77="ERROR", "ERROR", IF(AND($FQ$6=Y77,E77="Exterior"), VLOOKUP('Lighting Inventory'!W77, 'Lookup Tables'!$AI$6:$AM$102, 5, FALSE)*'Lighting Inventory'!S77, "")), 2), "")</f>
        <v/>
      </c>
      <c r="FS77" s="253" t="str">
        <f>IFERROR(ROUND(IF(CD77="ERROR", "ERROR", IF(AND($FS$6=Y77,E77="Exterior"), IF(GB77=0, VLOOKUP(W77, 'Lookup Tables'!$AI$6:$AM$102, 5, FALSE)*BP77, IF(VLOOKUP(W77, 'Lookup Tables'!$AI$6:$AM$102, 5, FALSE)*BP77&gt;GB77*'Lighting Inventory'!S77, GB77*'Lighting Inventory'!S77,VLOOKUP(W77, 'Lookup Tables'!$AI$6:$AM$102, 5, FALSE)*BP77)), "")), 2), "")</f>
        <v/>
      </c>
      <c r="FT77" s="253" t="str">
        <f>IFERROR(ROUND(IF(CD77="ERROR", "ERROR", IF(AND($FT$6=Y77,E77="Interior"), IF(GB77=0, VLOOKUP(W77, 'Lookup Tables'!$AI$6:$AM$102, 5, FALSE)*BP77, IF(VLOOKUP(W77, 'Lookup Tables'!$AI$6:$AM$102, 5, FALSE)*BP77&gt;GB77*'Lighting Inventory'!S77, GB77*'Lighting Inventory'!S77,VLOOKUP(W77, 'Lookup Tables'!$AI$6:$AM$102, 5, FALSE)*BP77)), "")), 2), "")</f>
        <v/>
      </c>
      <c r="FU77" s="253" t="str">
        <f>IFERROR(ROUND(IF(CD77="ERROR", "ERROR", IF(AND(Y77=$FU$6, E77="Interior"), IF(BS77="N", 'Lookup Tables'!$AM$101*BP77, VLOOKUP(W77, 'Lookup Tables'!$AI$6:$AM$102, 5, FALSE)*S77*AD77), "")), 2), "")</f>
        <v/>
      </c>
      <c r="FV77" s="253" t="str">
        <f>IFERROR(ROUND(IF(CD77="ERROR", "ERROR", IF(AND(Y77=$FU$6, E77="Exterior"), IF(BS77="N", 'Lookup Tables'!$AM$101*BP77, VLOOKUP(W77, 'Lookup Tables'!$AI$6:$AM$102, 5, FALSE)*S77*AD77), "")), 2), "")</f>
        <v/>
      </c>
      <c r="FW77" s="253" t="str">
        <f>IFERROR(ROUND(IF(CD77="ERROR", "ERROR", IF($FW$6=Y77, IF(BS77="N", 'Lookup Tables'!$AM$101*BP77, MIN((VLOOKUP(W77, 'Lookup Tables'!$AI$6:$AM$102, 5, FALSE)*BP77),GB77*AJ77)), "")), 2), "")</f>
        <v/>
      </c>
      <c r="FX77" s="253" t="str">
        <f>IFERROR(ROUND(IF(CD77="ERROR", "ERROR", IF(AND($FX$6=Y77, E77="Interior"), IF(VLOOKUP(W77, 'Lookup Tables'!$AI$6:$AM$102, 5, FALSE)*BP77&gt;'Lookup Tables'!$AQ$97*'Lighting Inventory'!S77,'Lighting Inventory'!S77*'Lookup Tables'!$AQ$97,VLOOKUP(W77, 'Lookup Tables'!$AI$6:$AM$102, 5, FALSE)*BP77), "")), 2), "")</f>
        <v/>
      </c>
      <c r="FY77" s="253" t="str">
        <f>IFERROR(ROUND(IF(CD77="ERROR", "ERROR", IF(AND($FX$6=Y77, E77="Exterior"), IF(VLOOKUP(W77, 'Lookup Tables'!$AI$6:$AM$102, 5, FALSE)*BP77&gt;'Lookup Tables'!$AQ$97*'Lighting Inventory'!S77,'Lighting Inventory'!S77*'Lookup Tables'!$AQ$97,VLOOKUP(W77, 'Lookup Tables'!$AI$6:$AM$102, 5, FALSE)*BP77), "")), 2), "")</f>
        <v/>
      </c>
      <c r="FZ77" s="253" t="str">
        <f>IFERROR(ROUND(IF(CD77="ERROR", "ERROR", IF(AND($FZ$6=Y77, E77="Interior"), IF(AND(OR(W77="Refrigerated Case Lighting with Doors", W77="Freezer Case Lighting"),Y77="Custom - Process Improvement"),CD77*'Lookup Tables'!$AM$101, IF(B77="Retrofit", IF(VLOOKUP(IF(V77="Custom", V77, W77), 'Lookup Tables'!$AI$6:$AM$102, 5, FALSE)*BP77&gt;GE77, GE77, VLOOKUP(IF(V77="Custom", V77, W77), 'Lookup Tables'!$AI$6:$AM$102, 5, FALSE)*BP77), IF(VLOOKUP(IF(V77="Custom", V77, W77), 'Lookup Tables'!$AI$114:$AM$154, 5, FALSE)*BP77&gt;GE77, GE77, VLOOKUP(IF(V77="Custom", V77, W77), 'Lookup Tables'!$AI$114:$AM$154, 5, FALSE)*BP77))), "")), 2),"")</f>
        <v/>
      </c>
      <c r="GA77" s="253" t="str">
        <f>IFERROR(ROUND(IF(CD77="ERROR", "ERROR", IF(AND($FZ$6=Y77, E77="Exterior"), IF(B77="Retrofit", IF(VLOOKUP(IF(V77="Custom", V77, W77), 'Lookup Tables'!$AI$6:$AM$102, 5, FALSE)*BP77&gt;GE77, GE77, VLOOKUP(IF(V77="Custom", V77, W77), 'Lookup Tables'!$AI$6:$AM$102, 5, FALSE)*BP77), IF(VLOOKUP(IF(V77="Custom", V77, W77), 'Lookup Tables'!$AI$114:$AM$154, 5, FALSE)*BP77&gt;GE77, GE77, VLOOKUP(IF(V77="Custom", V77, W77), 'Lookup Tables'!$AI$114:$AM$154, 5, FALSE)*BP77)), "")), 2),"")</f>
        <v/>
      </c>
      <c r="GB77" s="254" t="str">
        <f t="array" ref="GB77">IF(B77="","",IF(OR(V77="Custom",V77="No Change"),0,IF(B77="Retrofit", INDEX('Lookup Tables'!$AH$6:$AQ$102,MATCH(1,('Lookup Tables'!$AH$6:$AH$102='Lighting Inventory'!V77)*('Lookup Tables'!$AI$6:$AI$102='Lighting Inventory'!W77),FALSE),10),INDEX('Lookup Tables'!$AH$114:$AQ$154,MATCH(1,('Lookup Tables'!$AH$114:$AH$154='Lighting Inventory'!V77)*('Lookup Tables'!$AI$114:$AI$154='Lighting Inventory'!W77),FALSE),10))))</f>
        <v/>
      </c>
      <c r="GC77" s="255" t="str">
        <f t="shared" si="344"/>
        <v/>
      </c>
      <c r="GD77" s="250" t="str">
        <f t="shared" si="345"/>
        <v/>
      </c>
      <c r="GE77" s="253" t="str">
        <f>IFERROR(IF(AND(AF77="", 'General Information'!$F$18="No"),"", IF(AF77="", ((GD77/$CD$266)*$CF$266)*0.5, AF77*S77*0.5)), "")</f>
        <v/>
      </c>
      <c r="GF77" s="255" t="str">
        <f>IF(AND('General Information'!$F$19="", 'General Information'!$F$18="Yes",AF77="",BW77="Y"), "Y", "N")</f>
        <v>N</v>
      </c>
      <c r="GG77" s="255" t="s">
        <v>2946</v>
      </c>
      <c r="GH77" s="255" t="str">
        <f>IFERROR(IF(B77="", "", VLOOKUP(J77, 'Fixture Identities'!$A$6:$N$908, 14, FALSE)), "")</f>
        <v/>
      </c>
      <c r="GI77" s="389" t="str">
        <f>IF(OR(B77="", V77="", W77=""), "", IF(AND(OR(M77='Lookup Tables'!$R$18, M77='Lookup Tables'!$R$19, M77='Lookup Tables'!$R$20, M77='Lookup Tables'!$R$21, M77='Lookup Tables'!$R$22), OR(AN77='Lookup Tables'!$R$17, AN77='Lookup Tables'!$R$17, AN77="")), "Y", "N"))</f>
        <v/>
      </c>
      <c r="GJ77" s="255" t="str">
        <f t="shared" si="346"/>
        <v/>
      </c>
      <c r="GK77" s="255" t="str">
        <f t="shared" si="347"/>
        <v/>
      </c>
      <c r="GL77" s="255" t="str">
        <f t="shared" si="348"/>
        <v/>
      </c>
      <c r="GM77" s="255" t="str">
        <f>IF(AN77="", "", IF(AND(IF(ISNA(VLOOKUP(AN77,'Lookup Tables'!$R$18:$R$22,1,FALSE)), "N", "Y")="Y", E77="Exterior"), "Y", "N"))</f>
        <v/>
      </c>
      <c r="GN77" s="395"/>
      <c r="GO77" s="428">
        <f t="shared" si="394"/>
        <v>0</v>
      </c>
      <c r="GP77" s="428">
        <f t="shared" ref="GP77:GP140" si="397">GO77</f>
        <v>0</v>
      </c>
      <c r="GQ77" s="428">
        <f t="shared" si="395"/>
        <v>0</v>
      </c>
      <c r="GR77" s="428">
        <f t="shared" si="396"/>
        <v>0</v>
      </c>
    </row>
    <row r="78" spans="1:200" s="103" customFormat="1" ht="13.5" customHeight="1" x14ac:dyDescent="0.2">
      <c r="A78" s="272">
        <v>68</v>
      </c>
      <c r="B78" s="110"/>
      <c r="C78" s="110"/>
      <c r="D78" s="110"/>
      <c r="E78" s="110"/>
      <c r="F78" s="110"/>
      <c r="G78" s="110"/>
      <c r="H78" s="110"/>
      <c r="I78" s="29"/>
      <c r="J78" s="29"/>
      <c r="K78" s="272" t="str">
        <f>IFERROR(IF(OR(VLOOKUP(J78, 'Fixture Identities'!$A$6:$L$1023, 3, FALSE)="T12 Linear Fluorescent", VLOOKUP(J78, 'Fixture Identities'!$A$6:$L$1023, 3, FALSE)="T12 U-Tube Fluorescent"), VLOOKUP(VLOOKUP(J78, 'Fixture Identities'!$A$6:$L$1023, 11, FALSE), 'Fixture Identities'!$A$6:$L$1023, 10, FALSE), VLOOKUP(J78, 'Fixture Identities'!$A$6:$L$1023, 10, FALSE)), "")</f>
        <v/>
      </c>
      <c r="L78" s="270" t="str">
        <f t="shared" si="169"/>
        <v/>
      </c>
      <c r="M78" s="110"/>
      <c r="N78" s="110"/>
      <c r="O78" s="110"/>
      <c r="P78" s="272" t="str">
        <f>IFERROR(IF(OR(B78="Retrofit",B78=""),"",IF('Lighting Inventory'!E78="Exterior",VLOOKUP('Lighting Inventory'!N78,'Lookup Tables'!$B$83:$F$103,5,FALSE),IF(N78="Other - Please Estimate EFLH and CFs","Contact Prog. Rep.","ft^2"))), "")</f>
        <v/>
      </c>
      <c r="Q78" s="270" t="str">
        <f>IFERROR(IF(AND(B78="New Construction",E78="Interior",$F$5="Space-by-Space"),VLOOKUP('Lighting Inventory'!N78,'Lookup Tables'!$N$6:$O$97,2,FALSE),IF(AND(B78="New Construction",E78="Exterior"),VLOOKUP(N78,'Lookup Tables'!$B$83:$F$103,2,FALSE),IF(AND(B78="New Construction",'Lighting Inventory'!E78="Interior", $F$5="Building Area"),VLOOKUP(F78,'Lookup Tables'!$A$6:$J$59,10,FALSE),""))), "")</f>
        <v/>
      </c>
      <c r="R78" s="270" t="str">
        <f>IFERROR(IF(P78="Contact Prog. Rep.", "ERROR", IF(OR(B78="",B78="Retrofit"),"",IF(N78="Automated teller machines", ('Lookup Tables'!$A$82:$E$100+('Lighting Inventory'!O78-1)*'Lookup Tables'!$A$82:$E$100)/1000, (Q78*O78)/1000))), "")</f>
        <v/>
      </c>
      <c r="S78" s="595"/>
      <c r="T78" s="105" t="str">
        <f t="shared" si="349"/>
        <v/>
      </c>
      <c r="U78" s="105" t="str">
        <f>IF(S78="","",COUNT($S$11:S78))</f>
        <v/>
      </c>
      <c r="V78" s="111"/>
      <c r="W78" s="112"/>
      <c r="X78" s="105" t="str">
        <f t="shared" si="350"/>
        <v/>
      </c>
      <c r="Y78" s="105" t="str">
        <f t="array" ref="Y78">IF(AND(OR(W78="Freezer Case Lighting", W78="Refrigerated Case Lighting with Doors"), 'General Information'!$X$18="LCI"),'Lookup Tables'!$Y$34, IF(V78="Custom", VLOOKUP(W78, 'Fixture Identities'!$A$974:$M$1023, 13, FALSE), IF(V78="No Change",'Lookup Tables'!$Y$29,IF(OR(V78="",W78=""),"",IF(AND(S78=0,S78&lt;I78,B78="Retrofit"),'Lookup Tables'!$Y$25, IF(B78="Retrofit", INDEX('Lookup Tables'!$AH$6:$AP$102, MATCH(1, ('Lookup Tables'!$AH$6:$AH$102=V78)*('Lookup Tables'!$AI$6:$AI$102=W78), 0), IF('Lighting Inventory'!E78="Interior", 4, 5)), INDEX('Lookup Tables'!$AH$114:$AP$154, MATCH(1, ('Lookup Tables'!$AH$114:$AH$154=V78)*('Lookup Tables'!$AI$114:$AI$154=W78), 0), IF('Lighting Inventory'!E78="Interior", 4, 5))))))))</f>
        <v/>
      </c>
      <c r="Z78" s="105" t="str">
        <f>IFERROR(INDEX('Lookup Tables'!$AH$158:$AH$172,MATCH('Lighting Inventory'!Y78,'Lookup Tables'!$AI$158:$AI$172,0)),"")</f>
        <v/>
      </c>
      <c r="AA78" s="105" t="str">
        <f>IF(AP78&gt;0,INDEX('Lookup Tables'!$AK$158:$AK$172,MATCH('Lighting Inventory'!Y78,'Lookup Tables'!$AI$158:$AI$172,0)),'Lighting Inventory'!Y78)</f>
        <v/>
      </c>
      <c r="AB78" s="105" t="str">
        <f t="array" ref="AB78">IF(V78="Custom", "Custom", IF(V78="", "", IF(V78="Not DLC or Energy Star", "General", IF(B78="New Construction", INDEX('Lookup Tables'!$AH$114:$AP$154,MATCH(1,('Lookup Tables'!$AH$114:$AH$154='Lighting Inventory'!V78)*('Lookup Tables'!$AI$114:$AI$154='Lighting Inventory'!W78),FALSE),8), INDEX('Lookup Tables'!$AH$6:$AP$102,MATCH(1,('Lookup Tables'!$AH$6:$AH$102='Lighting Inventory'!V78)*('Lookup Tables'!$AI$6:$AI$102='Lighting Inventory'!W78),FALSE),8)))))</f>
        <v/>
      </c>
      <c r="AC78" s="272" t="str">
        <f>IF(W78="","",IF(V78="Custom",CONCATENATE("$",'Lookup Tables'!$AM$101," ",'Lookup Tables'!$AN$101),CONCATENATE("$",INDEX('Lookup Tables'!$AM$6:$AM$102,MATCH('Lighting Inventory'!W78,'Lookup Tables'!$AI$6:$AI$102,0))," ",INDEX('Lookup Tables'!$AN$6:$AN$102,MATCH('Lighting Inventory'!W78,'Lookup Tables'!$AI$6:$AI$102,0)))))</f>
        <v/>
      </c>
      <c r="AD78" s="72"/>
      <c r="AE78" s="29"/>
      <c r="AF78" s="379"/>
      <c r="AG78" s="370" t="str">
        <f t="shared" si="298"/>
        <v/>
      </c>
      <c r="AH78" s="370" t="str">
        <f t="shared" si="351"/>
        <v/>
      </c>
      <c r="AI78" s="29"/>
      <c r="AJ78" s="29"/>
      <c r="AK78" s="110"/>
      <c r="AL78" s="375" t="str">
        <f>IF(OR(B78="", V78="", W78=""), "", IF(V78="No Change", K78, IF(V78="Remove Fixture", 0, IF(V78="Custom",VLOOKUP(W78,'Fixture Identities'!$A$6:$K$1023,10,FALSE),IF(AE78="", "← ENTER POST WATTS", 'Lighting Inventory'!AE78)))))</f>
        <v/>
      </c>
      <c r="AM78" s="376" t="str">
        <f t="shared" si="299"/>
        <v/>
      </c>
      <c r="AN78" s="29"/>
      <c r="AO78" s="671"/>
      <c r="AP78" s="29"/>
      <c r="AQ78" s="29"/>
      <c r="AR78" s="29"/>
      <c r="AS78" s="272" t="str">
        <f t="shared" si="352"/>
        <v/>
      </c>
      <c r="AT78" s="270" t="str">
        <f t="shared" si="300"/>
        <v/>
      </c>
      <c r="AU78" s="88" t="str">
        <f t="shared" si="235"/>
        <v/>
      </c>
      <c r="AV78" s="29"/>
      <c r="AW78" s="73"/>
      <c r="AX78" s="271" t="str">
        <f>IF(AND(AV78="Applicant",OR(AW78="", AW78="Use Default Facility Hours")),"← Choose Schedule",IF(F78="","",IF(W78="LED Exit Signs",8760,IF(OR(AV78="Prescribed",AV78=""),VLOOKUP(F78,'Lookup Tables'!$A$6:$G$59,IF(AB78="General", 6, 3),FALSE),VLOOKUP(AW78,'Lookup Tables'!$S$36:$U$43,2,FALSE)))))</f>
        <v/>
      </c>
      <c r="AY78" s="88" t="str">
        <f t="shared" si="301"/>
        <v/>
      </c>
      <c r="AZ78" s="270" t="str">
        <f>IFERROR(IF(F78="", "", IF(W78="LED Exit Signs", 1, IF(AV78="Applicant",VLOOKUP(AW78, 'Lookup Tables'!$S$36:$U$43,3, FALSE), VLOOKUP('Lighting Inventory'!F78, 'Lookup Tables'!$A$6:$H$59, IF('Lighting Inventory'!AB78="General",7,4), FALSE)))), "")</f>
        <v/>
      </c>
      <c r="BA78" s="522" t="str">
        <f>IFERROR(IF(F78="", "", IF(W78="LED Exit Signs", 1, VLOOKUP('Lighting Inventory'!F78, 'Lookup Tables'!$A$6:$H$59, IF('Lighting Inventory'!AB78="General",8,5), FALSE))), "")</f>
        <v/>
      </c>
      <c r="BB78" s="270" t="str">
        <f>IF(G78="", "", IF(E78="Exterior", 0, IF('Lighting Inventory'!G78="Air Conditioned", VLOOKUP(H78, 'Lookup Tables'!$R$6:$T$13, 2, FALSE), VLOOKUP('Lighting Inventory'!G78, 'Lookup Tables'!$R$6:$T$13, 2, FALSE))))</f>
        <v/>
      </c>
      <c r="BC78" s="522" t="str">
        <f>IF(G78="", "", IF(E78="Exterior", 0, IF('Lighting Inventory'!G78="Air Conditioned", VLOOKUP(H78, 'Lookup Tables'!$R$6:$T$13, 3, FALSE), VLOOKUP('Lighting Inventory'!G78, 'Lookup Tables'!$R$6:$T$13, 3, FALSE))))</f>
        <v/>
      </c>
      <c r="BD78" s="270" t="str">
        <f>IF(G78="", "", IF(E78="Exterior", 0, IF('Lighting Inventory'!G78="Air Conditioned", VLOOKUP(H78, 'Lookup Tables'!$R$6:$U$13, 4, FALSE), VLOOKUP('Lighting Inventory'!G78, 'Lookup Tables'!$R$6:$U$13, 4, FALSE))))</f>
        <v/>
      </c>
      <c r="BE78" s="270" t="str">
        <f>IFERROR(IF(B78="", "",  IF(B78="New Construction", VLOOKUP(F78, 'Lookup Tables'!$A$6:$K$59, 11, FALSE),IF(OR(AN78="", AN78="Light Switch"), 0, IF(OR(M78="",M78="None",V78= "LED Exit Signs"),0,_xlfn.XLOOKUP(M78,'Lookup Tables'!$R$91:$R$101,'Lookup Tables'!$V$91:$V$101))))), "")</f>
        <v/>
      </c>
      <c r="BF78" s="270" t="str">
        <f>IF(AND(OR(AN78="Light Switch",AN78=""),B78="New Construction"), VLOOKUP(F78, 'Lookup Tables'!$A$6:$K$59, 11, FALSE),IF(AN78="","",IF(B78="","",IF(OR(AN78="None",AN78="",V78="LED Exit Signs",AN78="Exterior Controls Not Eligible"),0,_xlfn.XLOOKUP(AN78,'Lookup Tables'!$R$91:$R$101,'Lookup Tables'!$V$91:$V$101)))))</f>
        <v/>
      </c>
      <c r="BG78" s="88" t="str">
        <f t="shared" si="353"/>
        <v/>
      </c>
      <c r="BH78" s="88" t="str">
        <f t="shared" si="354"/>
        <v/>
      </c>
      <c r="BI78" s="558" t="str">
        <f t="shared" ref="BI78:BI141" si="398">IFERROR(ROUND(IF(AND(B78="New Construction", V78="LED Exit Signs"), "", IF(B78="", "", SUM(BG78:BH78))),6),"")</f>
        <v/>
      </c>
      <c r="BJ78" s="82" t="str">
        <f t="shared" si="355"/>
        <v/>
      </c>
      <c r="BK78" s="82" t="str">
        <f t="shared" si="356"/>
        <v/>
      </c>
      <c r="BL78" s="559" t="str">
        <f t="shared" si="357"/>
        <v/>
      </c>
      <c r="BM78" s="521" t="str">
        <f t="shared" si="302"/>
        <v/>
      </c>
      <c r="BN78" s="521" t="str">
        <f t="shared" si="303"/>
        <v/>
      </c>
      <c r="BO78" s="522" t="str">
        <f t="shared" si="304"/>
        <v/>
      </c>
      <c r="BP78" s="83" t="str">
        <f t="shared" si="358"/>
        <v/>
      </c>
      <c r="BQ78" s="84" t="str">
        <f t="shared" si="359"/>
        <v/>
      </c>
      <c r="BR78" s="184" t="str">
        <f>IFERROR(IF(B78="", "", IF(OR(VLOOKUP(J78, 'Fixture Identities'!$A$6:$L$1023, 3, FALSE)="T12 Linear Fluorescent",VLOOKUP(J78, 'Fixture Identities'!$A$6:$L$1023, 3, FALSE)="T12 U-Tube Fluorescent"), "Y", "N")), "N")</f>
        <v/>
      </c>
      <c r="BS78" s="184" t="str">
        <f t="array" ref="BS78">IFERROR(IF(OR(B78="", V78="", W78=""), "", IF(V78="Custom", "N", IF(OR(W78="Freezer Case Lighting", W78="Refrigerated Case Lighting with Doors"), BT78, IF(B78="Retrofit", INDEX('Lookup Tables'!$AH$6:$AT$102,MATCH(1,('Lookup Tables'!$AH$6:$AH$102=V78)*('Lookup Tables'!$AI$6:$AI$102=W78),FALSE),IF(VLOOKUP(J78, 'Fixture Identities'!$A$6:$B$1023, 2, FALSE)="Incandescent",12, 13)), INDEX('Lookup Tables'!$AH$114:$AS$154,MATCH(1,('Lookup Tables'!$AH$114:$AH$154=V78)*('Lookup Tables'!$AI$114:$AI$154=W78),FALSE),12))))), "N")</f>
        <v/>
      </c>
      <c r="BT78" s="184" t="str">
        <f>IF(J78="", "", IF(AND(OR(W78="Freezer case Lighting", W78="Refrigerated Case Lighting with Doors"),'General Information'!$X$18="LCI"), "N", IF(OR(VLOOKUP(J78, 'Fixture Identities'!$A$6:$B$1023, 2, FALSE)="T12 EPACT/EISA Baseline", VLOOKUP(J78, 'Fixture Identities'!$A$6:$B$1023, 2, FALSE)="Linear Fluorescent", VLOOKUP(J78, 'Fixture Identities'!$A$6:$B$1023, 2, FALSE)="U-Tube Fluorescent"), "Y", "N")))</f>
        <v/>
      </c>
      <c r="BU78" s="184" t="str">
        <f>IFERROR(IF(B78="", "", IF(VLOOKUP(J78, 'Fixture Identities'!$A$6:$B$1023, 2, FALSE)="Exit Sign", "Y", "N")), "N")</f>
        <v/>
      </c>
      <c r="BV78" s="184" t="str">
        <f>IF(V78="Exit Signs", IF(VLOOKUP(J78, 'Fixture Identities'!$A$6:$B$1023, 2, FALSE)="Exit Sign", "N", "Y"), "")</f>
        <v/>
      </c>
      <c r="BW78" s="184" t="str">
        <f t="array" ref="BW78">IFERROR(IF(B78="", "", IF(B78="New Construction", "N", INDEX('Lookup Tables'!$AH$6:$AU$102, MATCH(1, ('Lookup Tables'!$AH$6:$AH$102='Lighting Inventory'!V78)*('Lookup Tables'!$AI$6:$AI$102='Lighting Inventory'!W78), 0), 14))), "N")</f>
        <v/>
      </c>
      <c r="BX78" s="598" t="str">
        <f t="shared" si="360"/>
        <v/>
      </c>
      <c r="BY78" s="598" t="str">
        <f t="shared" si="361"/>
        <v/>
      </c>
      <c r="BZ78" s="598" t="str">
        <f t="shared" si="362"/>
        <v/>
      </c>
      <c r="CA78" s="598" t="str">
        <f t="shared" si="363"/>
        <v/>
      </c>
      <c r="CB78" s="269" t="str">
        <f t="shared" si="364"/>
        <v/>
      </c>
      <c r="CC78" s="517" t="str">
        <f t="shared" si="365"/>
        <v/>
      </c>
      <c r="CD78" s="565" t="str">
        <f t="shared" si="305"/>
        <v/>
      </c>
      <c r="CE78" s="368">
        <v>0</v>
      </c>
      <c r="CF78" s="368" t="str" cm="1">
        <f t="array" ref="CF78">IFERROR(IF(V78="Custom", "$0.1 per kWh", IF(B78="New Construction", CONCATENATE("$",INDEX('Lookup Tables'!$AH$114:$AN$154,MATCH(1,('Lookup Tables'!$AH$114:$AH$154='Lighting Inventory'!V78)*('Lookup Tables'!$AI$114:$AI$154='Lighting Inventory'!W78),FALSE),6)," ",INDEX('Lookup Tables'!$AH$114:$AN$154,MATCH(1,('Lookup Tables'!$AH$114:$AH$154='Lighting Inventory'!V78)*('Lookup Tables'!$AI$114:$AI$154='Lighting Inventory'!W78),FALSE),7)), IF(AND(BU78="N", V78="Exit Signs"), "$0.025 per kWh", CONCATENATE("$",INDEX('Lookup Tables'!$AH$6:$AN$102,MATCH(1,('Lookup Tables'!$AH$6:$AH$102='Lighting Inventory'!V78)*('Lookup Tables'!$AI$6:$AI$102='Lighting Inventory'!W78),FALSE),6)," ",INDEX('Lookup Tables'!$AH$6:$AN$102,MATCH(1,('Lookup Tables'!$AH$6:$AH$102='Lighting Inventory'!V78)*('Lookup Tables'!$AI$6:$AI$102='Lighting Inventory'!W78),FALSE),7))))), "")</f>
        <v/>
      </c>
      <c r="CG78" s="366"/>
      <c r="CH78" s="248" t="str">
        <f t="shared" si="306"/>
        <v/>
      </c>
      <c r="CI78" s="248" t="str">
        <f t="shared" si="307"/>
        <v>Select_IE</v>
      </c>
      <c r="CJ78" s="248" t="str">
        <f t="shared" si="308"/>
        <v/>
      </c>
      <c r="CK78" s="248" t="str">
        <f t="shared" si="309"/>
        <v/>
      </c>
      <c r="CL78" s="248" t="str">
        <f t="shared" si="310"/>
        <v/>
      </c>
      <c r="CM78" s="248" t="str">
        <f>IFERROR(IF(B78="", "", IF(B78="New Construction", VLOOKUP(V78, 'Lookup Tables'!$AF$114:$AG$120, 2, FALSE), VLOOKUP(V78, 'Lookup Tables'!$AD$6:$AE$25, 2, FALSE))), "")</f>
        <v/>
      </c>
      <c r="CN78" s="248" t="str">
        <f t="shared" si="311"/>
        <v/>
      </c>
      <c r="CO78" s="248" t="str">
        <f t="shared" si="312"/>
        <v/>
      </c>
      <c r="CP78" s="592" t="str">
        <f t="shared" si="313"/>
        <v/>
      </c>
      <c r="CQ78" s="248" t="str">
        <f t="shared" si="366"/>
        <v/>
      </c>
      <c r="CR78" s="249"/>
      <c r="CS78" s="250" t="str">
        <f t="shared" si="314"/>
        <v/>
      </c>
      <c r="CT78" s="250" t="str">
        <f t="shared" si="367"/>
        <v/>
      </c>
      <c r="CU78" s="250" t="str">
        <f t="shared" si="368"/>
        <v/>
      </c>
      <c r="CV78" s="250" t="str">
        <f t="shared" si="369"/>
        <v/>
      </c>
      <c r="CW78" s="250" t="str">
        <f t="shared" si="370"/>
        <v/>
      </c>
      <c r="CX78" s="250" t="str">
        <f t="shared" si="315"/>
        <v/>
      </c>
      <c r="CY78" s="250" t="str">
        <f t="shared" si="316"/>
        <v/>
      </c>
      <c r="CZ78" s="250" t="str">
        <f t="shared" si="317"/>
        <v/>
      </c>
      <c r="DA78" s="250" t="str">
        <f t="shared" si="318"/>
        <v/>
      </c>
      <c r="DB78" s="250" t="str">
        <f t="shared" si="319"/>
        <v/>
      </c>
      <c r="DC78" s="250" t="str">
        <f t="shared" si="320"/>
        <v/>
      </c>
      <c r="DD78" s="250" t="str">
        <f t="shared" si="321"/>
        <v/>
      </c>
      <c r="DE78" s="250" t="str">
        <f t="shared" si="322"/>
        <v/>
      </c>
      <c r="DF78" s="250" t="str">
        <f t="shared" si="323"/>
        <v/>
      </c>
      <c r="DG78" s="250" t="str">
        <f t="shared" si="324"/>
        <v/>
      </c>
      <c r="DH78" s="250" t="str">
        <f t="shared" si="325"/>
        <v/>
      </c>
      <c r="DI78" s="250" t="str">
        <f t="shared" si="326"/>
        <v/>
      </c>
      <c r="DJ78" s="250" t="str">
        <f t="shared" si="327"/>
        <v/>
      </c>
      <c r="DK78" s="250" t="str">
        <f t="shared" si="328"/>
        <v/>
      </c>
      <c r="DL78" s="250" t="str">
        <f t="shared" si="329"/>
        <v/>
      </c>
      <c r="DM78" s="250" t="str">
        <f>IF(CD78="ERROR", "ERROR", IF(AND(OR(Y78=$DM$6, Y78='Lookup Tables'!$AD$21, Y78='Lookup Tables'!$AD$22), E78="Interior"), BJ78, ""))</f>
        <v/>
      </c>
      <c r="DN78" s="250" t="str">
        <f>IF(CD78="ERROR", "ERROR", IF(AND(OR(Y78=$DM$6, Y78='Lookup Tables'!$AD$21, Y78='Lookup Tables'!$AD$22), E78="Exterior"), BJ78, ""))</f>
        <v/>
      </c>
      <c r="DO78" s="249"/>
      <c r="DP78" s="250" t="str">
        <f t="shared" si="330"/>
        <v/>
      </c>
      <c r="DQ78" s="250" t="str">
        <f t="shared" si="371"/>
        <v/>
      </c>
      <c r="DR78" s="250" t="str">
        <f t="shared" si="372"/>
        <v/>
      </c>
      <c r="DS78" s="250" t="str">
        <f t="shared" si="373"/>
        <v/>
      </c>
      <c r="DT78" s="250" t="str">
        <f t="shared" si="374"/>
        <v/>
      </c>
      <c r="DU78" s="250" t="str">
        <f t="shared" si="331"/>
        <v/>
      </c>
      <c r="DV78" s="250" t="str">
        <f t="shared" si="332"/>
        <v/>
      </c>
      <c r="DW78" s="250" t="str">
        <f t="shared" si="333"/>
        <v/>
      </c>
      <c r="DX78" s="250" t="str">
        <f t="shared" si="334"/>
        <v/>
      </c>
      <c r="DY78" s="250" t="str">
        <f t="shared" si="335"/>
        <v/>
      </c>
      <c r="DZ78" s="250" t="str">
        <f t="shared" si="336"/>
        <v/>
      </c>
      <c r="EA78" s="250" t="str">
        <f t="shared" si="337"/>
        <v/>
      </c>
      <c r="EB78" s="250" t="str">
        <f t="shared" si="375"/>
        <v/>
      </c>
      <c r="EC78" s="250" t="str">
        <f t="shared" si="338"/>
        <v/>
      </c>
      <c r="ED78" s="250" t="str">
        <f t="shared" si="339"/>
        <v/>
      </c>
      <c r="EE78" s="250" t="str">
        <f t="shared" si="340"/>
        <v/>
      </c>
      <c r="EF78" s="250" t="str">
        <f t="shared" si="341"/>
        <v/>
      </c>
      <c r="EG78" s="250" t="str">
        <f t="shared" si="342"/>
        <v/>
      </c>
      <c r="EH78" s="250" t="str">
        <f>IF(CD78="ERROR", "ERROR", IF(AND(OR($EH$6=Y78, Y78='Lookup Tables'!$AD$21, Y78='Lookup Tables'!$AD$22),E78="Interior"), SUM(BP78:BP78), ""))</f>
        <v/>
      </c>
      <c r="EI78" s="250" t="str">
        <f>IF(CD78="ERROR", "ERROR", IF(AND(OR($EH$6=Y78, Y78='Lookup Tables'!$AD$21, Y78='Lookup Tables'!$AD$22),E78="Exterior"), SUM(BP78:BP78), ""))</f>
        <v/>
      </c>
      <c r="EJ78" s="109"/>
      <c r="EK78" s="485" t="str">
        <f t="shared" si="343"/>
        <v/>
      </c>
      <c r="EL78" s="252" t="str">
        <f t="shared" si="376"/>
        <v/>
      </c>
      <c r="EM78" s="252" t="str">
        <f t="shared" si="377"/>
        <v/>
      </c>
      <c r="EN78" s="252" t="str">
        <f t="shared" si="378"/>
        <v/>
      </c>
      <c r="EO78" s="252" t="str">
        <f t="shared" si="379"/>
        <v/>
      </c>
      <c r="EP78" s="252" t="str">
        <f t="shared" si="380"/>
        <v/>
      </c>
      <c r="EQ78" s="252" t="str">
        <f t="shared" si="381"/>
        <v/>
      </c>
      <c r="ER78" s="252" t="str">
        <f t="shared" si="382"/>
        <v/>
      </c>
      <c r="ES78" s="252" t="str">
        <f t="shared" si="383"/>
        <v/>
      </c>
      <c r="ET78" s="252" t="str">
        <f t="shared" si="384"/>
        <v/>
      </c>
      <c r="EU78" s="252" t="str">
        <f t="shared" si="385"/>
        <v/>
      </c>
      <c r="EV78" s="252" t="str">
        <f t="shared" si="386"/>
        <v/>
      </c>
      <c r="EW78" s="252" t="str">
        <f t="shared" si="387"/>
        <v/>
      </c>
      <c r="EX78" s="252" t="str">
        <f t="shared" si="388"/>
        <v/>
      </c>
      <c r="EY78" s="252" t="str">
        <f t="shared" si="389"/>
        <v/>
      </c>
      <c r="EZ78" s="252" t="str">
        <f t="shared" si="390"/>
        <v/>
      </c>
      <c r="FA78" s="252" t="str">
        <f t="shared" si="391"/>
        <v/>
      </c>
      <c r="FB78" s="252" t="str">
        <f t="shared" si="392"/>
        <v/>
      </c>
      <c r="FC78" s="252" t="str">
        <f>IF(CD78="ERROR", "ERROR", IF(OR(V78="No Change", V78="Not DLC or Energy Star"), "", IF(AND(OR($FC$6=Y78,Y78='Lookup Tables'!$AD$21, Y78='Lookup Tables'!$AD$22),E78="Interior"), S78, "")))</f>
        <v/>
      </c>
      <c r="FD78" s="252" t="str">
        <f t="shared" si="393"/>
        <v/>
      </c>
      <c r="FE78" s="1"/>
      <c r="FF78" s="579" t="str" cm="1">
        <f t="array" ref="FF78">IFERROR(IF(OR(BQ78&lt;=0,AQ78&lt;20,AND(V78="Exit Signs",AN78&gt;0)),"",IF(AND(AQ78&gt;=20,AN78='Lookup Tables'!$R$101),'Lookup Tables'!$U$101*BQ78,AP78*LOOKUP(2,1/((AN78='Lookup Tables'!$R$91:$R$111)*(AQ78&gt;='Lookup Tables'!$S$91:$S$111)*(AQ78&lt;='Lookup Tables'!$T$91:$T$111)),'Lookup Tables'!$U$91:$U$111))),"")</f>
        <v/>
      </c>
      <c r="FG78" s="579"/>
      <c r="FH78" s="579"/>
      <c r="FI78" s="253" t="str">
        <f>IFERROR(ROUND(IF(CD78="ERROR", "ERROR", IF(AND($FI$7=X78,E78="Interior"),VLOOKUP(W78, 'Lookup Tables'!$AI$6:$AM$102, 5, FALSE)*BP78, "")), 2), "")</f>
        <v/>
      </c>
      <c r="FJ78" s="253" t="str">
        <f>IFERROR(ROUND(IF(CD78="ERROR", "ERROR", IF(AND($FI$7=X78,E78="Exterior"),VLOOKUP(W78, 'Lookup Tables'!$AI$6:$AM$102, 5, FALSE)*BP78, "")), 2), "")</f>
        <v/>
      </c>
      <c r="FK78" s="253" t="str">
        <f>IFERROR(ROUND(IF(CD78="ERROR", "ERROR", IF(AND($FK$7=X78,E78="Interior"),VLOOKUP(W78, 'Lookup Tables'!$AI$6:$AM$102, 5, FALSE)*BP78, "")), 2), "")</f>
        <v/>
      </c>
      <c r="FL78" s="253" t="str">
        <f>IFERROR(ROUND(IF(CD78="ERROR", "ERROR", IF(AND($FK$7=X78,E78="Exterior"),VLOOKUP(W78, 'Lookup Tables'!$AI$6:$AM$102, 5, FALSE)*BP78, "")), 2), "")</f>
        <v/>
      </c>
      <c r="FM78" s="253" t="str">
        <f>IFERROR(ROUND(IF(CD78="ERROR", "ERROR", IF(AND($FM$6=Y78,E78="Interior"), IF(GB78=0, VLOOKUP(W78, 'Lookup Tables'!$AI$6:$AM$102, 5, FALSE)*BP78, IF(VLOOKUP(W78, 'Lookup Tables'!$AI$6:$AM$102, 5, FALSE)*BP78&gt;GB78*'Lighting Inventory'!S78, GB78*'Lighting Inventory'!S78,VLOOKUP(W78, 'Lookup Tables'!$AI$6:$AM$102, 5, FALSE)*BP78)), "")), 2), "")</f>
        <v/>
      </c>
      <c r="FN78" s="253" t="str">
        <f>IFERROR(ROUND(IF(CD78="ERROR", "ERROR", IF(AND($FM$6=Y78,E78="Exterior"), IF(GB78=0, VLOOKUP(W78, 'Lookup Tables'!$AI$6:$AM$102, 5, FALSE)*BP78, IF(VLOOKUP(W78, 'Lookup Tables'!$AI$6:$AM$102, 5, FALSE)*BP78&gt;GB78*'Lighting Inventory'!S78, GB78*'Lighting Inventory'!S78,VLOOKUP(W78, 'Lookup Tables'!$AI$6:$AM$102, 5, FALSE)*BP78)), "")), 2), "")</f>
        <v/>
      </c>
      <c r="FO78" s="253" t="str">
        <f>IFERROR(ROUND(IF(CD78="ERROR", "ERROR", IF(AND($FO$6=Y78,E78="Interior"),VLOOKUP(W78, 'Lookup Tables'!$AI$6:$AM$102, 5, FALSE)*'Lighting Inventory'!AI78, "")), 2), "")</f>
        <v/>
      </c>
      <c r="FP78" s="253" t="str">
        <f>IFERROR(ROUND(IF(CD78="ERROR", "ERROR", IF(AND($FO$6=Y78,E78="Exterior"),VLOOKUP(W78, 'Lookup Tables'!$AI$6:$AM$102, 5, FALSE)*'Lighting Inventory'!AI78, "")), 2), "")</f>
        <v/>
      </c>
      <c r="FQ78" s="253" t="str">
        <f>IFERROR(ROUND(IF(CD78="ERROR", "ERROR", IF(AND($FQ$6=Y78,E78="Interior", BU78="Y"), VLOOKUP('Lighting Inventory'!W78, 'Lookup Tables'!$AI$6:$AM$102, 5, FALSE)*'Lighting Inventory'!S78, IF(AND($FQ$7=Y78,E78="Interior", BU78="N"), 0.025*CD78, ""))), 2), "")</f>
        <v/>
      </c>
      <c r="FR78" s="253" t="str">
        <f>IFERROR(ROUND(IF(CD78="ERROR", "ERROR", IF(AND($FQ$6=Y78,E78="Exterior"), VLOOKUP('Lighting Inventory'!W78, 'Lookup Tables'!$AI$6:$AM$102, 5, FALSE)*'Lighting Inventory'!S78, "")), 2), "")</f>
        <v/>
      </c>
      <c r="FS78" s="253" t="str">
        <f>IFERROR(ROUND(IF(CD78="ERROR", "ERROR", IF(AND($FS$6=Y78,E78="Exterior"), IF(GB78=0, VLOOKUP(W78, 'Lookup Tables'!$AI$6:$AM$102, 5, FALSE)*BP78, IF(VLOOKUP(W78, 'Lookup Tables'!$AI$6:$AM$102, 5, FALSE)*BP78&gt;GB78*'Lighting Inventory'!S78, GB78*'Lighting Inventory'!S78,VLOOKUP(W78, 'Lookup Tables'!$AI$6:$AM$102, 5, FALSE)*BP78)), "")), 2), "")</f>
        <v/>
      </c>
      <c r="FT78" s="253" t="str">
        <f>IFERROR(ROUND(IF(CD78="ERROR", "ERROR", IF(AND($FT$6=Y78,E78="Interior"), IF(GB78=0, VLOOKUP(W78, 'Lookup Tables'!$AI$6:$AM$102, 5, FALSE)*BP78, IF(VLOOKUP(W78, 'Lookup Tables'!$AI$6:$AM$102, 5, FALSE)*BP78&gt;GB78*'Lighting Inventory'!S78, GB78*'Lighting Inventory'!S78,VLOOKUP(W78, 'Lookup Tables'!$AI$6:$AM$102, 5, FALSE)*BP78)), "")), 2), "")</f>
        <v/>
      </c>
      <c r="FU78" s="253" t="str">
        <f>IFERROR(ROUND(IF(CD78="ERROR", "ERROR", IF(AND(Y78=$FU$6, E78="Interior"), IF(BS78="N", 'Lookup Tables'!$AM$101*BP78, VLOOKUP(W78, 'Lookup Tables'!$AI$6:$AM$102, 5, FALSE)*S78*AD78), "")), 2), "")</f>
        <v/>
      </c>
      <c r="FV78" s="253" t="str">
        <f>IFERROR(ROUND(IF(CD78="ERROR", "ERROR", IF(AND(Y78=$FU$6, E78="Exterior"), IF(BS78="N", 'Lookup Tables'!$AM$101*BP78, VLOOKUP(W78, 'Lookup Tables'!$AI$6:$AM$102, 5, FALSE)*S78*AD78), "")), 2), "")</f>
        <v/>
      </c>
      <c r="FW78" s="253" t="str">
        <f>IFERROR(ROUND(IF(CD78="ERROR", "ERROR", IF($FW$6=Y78, IF(BS78="N", 'Lookup Tables'!$AM$101*BP78, MIN((VLOOKUP(W78, 'Lookup Tables'!$AI$6:$AM$102, 5, FALSE)*BP78),GB78*AJ78)), "")), 2), "")</f>
        <v/>
      </c>
      <c r="FX78" s="253" t="str">
        <f>IFERROR(ROUND(IF(CD78="ERROR", "ERROR", IF(AND($FX$6=Y78, E78="Interior"), IF(VLOOKUP(W78, 'Lookup Tables'!$AI$6:$AM$102, 5, FALSE)*BP78&gt;'Lookup Tables'!$AQ$97*'Lighting Inventory'!S78,'Lighting Inventory'!S78*'Lookup Tables'!$AQ$97,VLOOKUP(W78, 'Lookup Tables'!$AI$6:$AM$102, 5, FALSE)*BP78), "")), 2), "")</f>
        <v/>
      </c>
      <c r="FY78" s="253" t="str">
        <f>IFERROR(ROUND(IF(CD78="ERROR", "ERROR", IF(AND($FX$6=Y78, E78="Exterior"), IF(VLOOKUP(W78, 'Lookup Tables'!$AI$6:$AM$102, 5, FALSE)*BP78&gt;'Lookup Tables'!$AQ$97*'Lighting Inventory'!S78,'Lighting Inventory'!S78*'Lookup Tables'!$AQ$97,VLOOKUP(W78, 'Lookup Tables'!$AI$6:$AM$102, 5, FALSE)*BP78), "")), 2), "")</f>
        <v/>
      </c>
      <c r="FZ78" s="253" t="str">
        <f>IFERROR(ROUND(IF(CD78="ERROR", "ERROR", IF(AND($FZ$6=Y78, E78="Interior"), IF(AND(OR(W78="Refrigerated Case Lighting with Doors", W78="Freezer Case Lighting"),Y78="Custom - Process Improvement"),CD78*'Lookup Tables'!$AM$101, IF(B78="Retrofit", IF(VLOOKUP(IF(V78="Custom", V78, W78), 'Lookup Tables'!$AI$6:$AM$102, 5, FALSE)*BP78&gt;GE78, GE78, VLOOKUP(IF(V78="Custom", V78, W78), 'Lookup Tables'!$AI$6:$AM$102, 5, FALSE)*BP78), IF(VLOOKUP(IF(V78="Custom", V78, W78), 'Lookup Tables'!$AI$114:$AM$154, 5, FALSE)*BP78&gt;GE78, GE78, VLOOKUP(IF(V78="Custom", V78, W78), 'Lookup Tables'!$AI$114:$AM$154, 5, FALSE)*BP78))), "")), 2),"")</f>
        <v/>
      </c>
      <c r="GA78" s="253" t="str">
        <f>IFERROR(ROUND(IF(CD78="ERROR", "ERROR", IF(AND($FZ$6=Y78, E78="Exterior"), IF(B78="Retrofit", IF(VLOOKUP(IF(V78="Custom", V78, W78), 'Lookup Tables'!$AI$6:$AM$102, 5, FALSE)*BP78&gt;GE78, GE78, VLOOKUP(IF(V78="Custom", V78, W78), 'Lookup Tables'!$AI$6:$AM$102, 5, FALSE)*BP78), IF(VLOOKUP(IF(V78="Custom", V78, W78), 'Lookup Tables'!$AI$114:$AM$154, 5, FALSE)*BP78&gt;GE78, GE78, VLOOKUP(IF(V78="Custom", V78, W78), 'Lookup Tables'!$AI$114:$AM$154, 5, FALSE)*BP78)), "")), 2),"")</f>
        <v/>
      </c>
      <c r="GB78" s="254" t="str">
        <f t="array" ref="GB78">IF(B78="","",IF(OR(V78="Custom",V78="No Change"),0,IF(B78="Retrofit", INDEX('Lookup Tables'!$AH$6:$AQ$102,MATCH(1,('Lookup Tables'!$AH$6:$AH$102='Lighting Inventory'!V78)*('Lookup Tables'!$AI$6:$AI$102='Lighting Inventory'!W78),FALSE),10),INDEX('Lookup Tables'!$AH$114:$AQ$154,MATCH(1,('Lookup Tables'!$AH$114:$AH$154='Lighting Inventory'!V78)*('Lookup Tables'!$AI$114:$AI$154='Lighting Inventory'!W78),FALSE),10))))</f>
        <v/>
      </c>
      <c r="GC78" s="255" t="str">
        <f t="shared" si="344"/>
        <v/>
      </c>
      <c r="GD78" s="250" t="str">
        <f t="shared" si="345"/>
        <v/>
      </c>
      <c r="GE78" s="253" t="str">
        <f>IFERROR(IF(AND(AF78="", 'General Information'!$F$18="No"),"", IF(AF78="", ((GD78/$CD$266)*$CF$266)*0.5, AF78*S78*0.5)), "")</f>
        <v/>
      </c>
      <c r="GF78" s="255" t="str">
        <f>IF(AND('General Information'!$F$19="", 'General Information'!$F$18="Yes",AF78="",BW78="Y"), "Y", "N")</f>
        <v>N</v>
      </c>
      <c r="GG78" s="255" t="s">
        <v>2946</v>
      </c>
      <c r="GH78" s="255" t="str">
        <f>IFERROR(IF(B78="", "", VLOOKUP(J78, 'Fixture Identities'!$A$6:$N$908, 14, FALSE)), "")</f>
        <v/>
      </c>
      <c r="GI78" s="389" t="str">
        <f>IF(OR(B78="", V78="", W78=""), "", IF(AND(OR(M78='Lookup Tables'!$R$18, M78='Lookup Tables'!$R$19, M78='Lookup Tables'!$R$20, M78='Lookup Tables'!$R$21, M78='Lookup Tables'!$R$22), OR(AN78='Lookup Tables'!$R$17, AN78='Lookup Tables'!$R$17, AN78="")), "Y", "N"))</f>
        <v/>
      </c>
      <c r="GJ78" s="255" t="str">
        <f t="shared" si="346"/>
        <v/>
      </c>
      <c r="GK78" s="255" t="str">
        <f t="shared" si="347"/>
        <v/>
      </c>
      <c r="GL78" s="255" t="str">
        <f t="shared" si="348"/>
        <v/>
      </c>
      <c r="GM78" s="255" t="str">
        <f>IF(AN78="", "", IF(AND(IF(ISNA(VLOOKUP(AN78,'Lookup Tables'!$R$18:$R$22,1,FALSE)), "N", "Y")="Y", E78="Exterior"), "Y", "N"))</f>
        <v/>
      </c>
      <c r="GN78" s="395"/>
      <c r="GO78" s="428">
        <f t="shared" si="394"/>
        <v>0</v>
      </c>
      <c r="GP78" s="428">
        <f t="shared" si="397"/>
        <v>0</v>
      </c>
      <c r="GQ78" s="428">
        <f t="shared" si="395"/>
        <v>0</v>
      </c>
      <c r="GR78" s="428">
        <f t="shared" si="396"/>
        <v>0</v>
      </c>
    </row>
    <row r="79" spans="1:200" s="103" customFormat="1" ht="13.5" customHeight="1" x14ac:dyDescent="0.2">
      <c r="A79" s="272">
        <v>69</v>
      </c>
      <c r="B79" s="110"/>
      <c r="C79" s="110"/>
      <c r="D79" s="110"/>
      <c r="E79" s="110"/>
      <c r="F79" s="110"/>
      <c r="G79" s="110"/>
      <c r="H79" s="110"/>
      <c r="I79" s="29"/>
      <c r="J79" s="29"/>
      <c r="K79" s="272" t="str">
        <f>IFERROR(IF(OR(VLOOKUP(J79, 'Fixture Identities'!$A$6:$L$1023, 3, FALSE)="T12 Linear Fluorescent", VLOOKUP(J79, 'Fixture Identities'!$A$6:$L$1023, 3, FALSE)="T12 U-Tube Fluorescent"), VLOOKUP(VLOOKUP(J79, 'Fixture Identities'!$A$6:$L$1023, 11, FALSE), 'Fixture Identities'!$A$6:$L$1023, 10, FALSE), VLOOKUP(J79, 'Fixture Identities'!$A$6:$L$1023, 10, FALSE)), "")</f>
        <v/>
      </c>
      <c r="L79" s="270" t="str">
        <f t="shared" si="169"/>
        <v/>
      </c>
      <c r="M79" s="110"/>
      <c r="N79" s="110"/>
      <c r="O79" s="110"/>
      <c r="P79" s="272" t="str">
        <f>IFERROR(IF(OR(B79="Retrofit",B79=""),"",IF('Lighting Inventory'!E79="Exterior",VLOOKUP('Lighting Inventory'!N79,'Lookup Tables'!$B$83:$F$103,5,FALSE),IF(N79="Other - Please Estimate EFLH and CFs","Contact Prog. Rep.","ft^2"))), "")</f>
        <v/>
      </c>
      <c r="Q79" s="270" t="str">
        <f>IFERROR(IF(AND(B79="New Construction",E79="Interior",$F$5="Space-by-Space"),VLOOKUP('Lighting Inventory'!N79,'Lookup Tables'!$N$6:$O$97,2,FALSE),IF(AND(B79="New Construction",E79="Exterior"),VLOOKUP(N79,'Lookup Tables'!$B$83:$F$103,2,FALSE),IF(AND(B79="New Construction",'Lighting Inventory'!E79="Interior", $F$5="Building Area"),VLOOKUP(F79,'Lookup Tables'!$A$6:$J$59,10,FALSE),""))), "")</f>
        <v/>
      </c>
      <c r="R79" s="270" t="str">
        <f>IFERROR(IF(P79="Contact Prog. Rep.", "ERROR", IF(OR(B79="",B79="Retrofit"),"",IF(N79="Automated teller machines", ('Lookup Tables'!$A$82:$E$100+('Lighting Inventory'!O79-1)*'Lookup Tables'!$A$82:$E$100)/1000, (Q79*O79)/1000))), "")</f>
        <v/>
      </c>
      <c r="S79" s="595"/>
      <c r="T79" s="105" t="str">
        <f t="shared" si="349"/>
        <v/>
      </c>
      <c r="U79" s="105" t="str">
        <f>IF(S79="","",COUNT($S$11:S79))</f>
        <v/>
      </c>
      <c r="V79" s="111"/>
      <c r="W79" s="112"/>
      <c r="X79" s="105" t="str">
        <f t="shared" si="350"/>
        <v/>
      </c>
      <c r="Y79" s="105" t="str">
        <f t="array" ref="Y79">IF(AND(OR(W79="Freezer Case Lighting", W79="Refrigerated Case Lighting with Doors"), 'General Information'!$X$18="LCI"),'Lookup Tables'!$Y$34, IF(V79="Custom", VLOOKUP(W79, 'Fixture Identities'!$A$974:$M$1023, 13, FALSE), IF(V79="No Change",'Lookup Tables'!$Y$29,IF(OR(V79="",W79=""),"",IF(AND(S79=0,S79&lt;I79,B79="Retrofit"),'Lookup Tables'!$Y$25, IF(B79="Retrofit", INDEX('Lookup Tables'!$AH$6:$AP$102, MATCH(1, ('Lookup Tables'!$AH$6:$AH$102=V79)*('Lookup Tables'!$AI$6:$AI$102=W79), 0), IF('Lighting Inventory'!E79="Interior", 4, 5)), INDEX('Lookup Tables'!$AH$114:$AP$154, MATCH(1, ('Lookup Tables'!$AH$114:$AH$154=V79)*('Lookup Tables'!$AI$114:$AI$154=W79), 0), IF('Lighting Inventory'!E79="Interior", 4, 5))))))))</f>
        <v/>
      </c>
      <c r="Z79" s="105" t="str">
        <f>IFERROR(INDEX('Lookup Tables'!$AH$158:$AH$172,MATCH('Lighting Inventory'!Y79,'Lookup Tables'!$AI$158:$AI$172,0)),"")</f>
        <v/>
      </c>
      <c r="AA79" s="105" t="str">
        <f>IF(AP79&gt;0,INDEX('Lookup Tables'!$AK$158:$AK$172,MATCH('Lighting Inventory'!Y79,'Lookup Tables'!$AI$158:$AI$172,0)),'Lighting Inventory'!Y79)</f>
        <v/>
      </c>
      <c r="AB79" s="105" t="str">
        <f t="array" ref="AB79">IF(V79="Custom", "Custom", IF(V79="", "", IF(V79="Not DLC or Energy Star", "General", IF(B79="New Construction", INDEX('Lookup Tables'!$AH$114:$AP$154,MATCH(1,('Lookup Tables'!$AH$114:$AH$154='Lighting Inventory'!V79)*('Lookup Tables'!$AI$114:$AI$154='Lighting Inventory'!W79),FALSE),8), INDEX('Lookup Tables'!$AH$6:$AP$102,MATCH(1,('Lookup Tables'!$AH$6:$AH$102='Lighting Inventory'!V79)*('Lookup Tables'!$AI$6:$AI$102='Lighting Inventory'!W79),FALSE),8)))))</f>
        <v/>
      </c>
      <c r="AC79" s="272" t="str">
        <f>IF(W79="","",IF(V79="Custom",CONCATENATE("$",'Lookup Tables'!$AM$101," ",'Lookup Tables'!$AN$101),CONCATENATE("$",INDEX('Lookup Tables'!$AM$6:$AM$102,MATCH('Lighting Inventory'!W79,'Lookup Tables'!$AI$6:$AI$102,0))," ",INDEX('Lookup Tables'!$AN$6:$AN$102,MATCH('Lighting Inventory'!W79,'Lookup Tables'!$AI$6:$AI$102,0)))))</f>
        <v/>
      </c>
      <c r="AD79" s="72"/>
      <c r="AE79" s="29"/>
      <c r="AF79" s="379"/>
      <c r="AG79" s="370" t="str">
        <f t="shared" si="298"/>
        <v/>
      </c>
      <c r="AH79" s="370" t="str">
        <f t="shared" si="351"/>
        <v/>
      </c>
      <c r="AI79" s="29"/>
      <c r="AJ79" s="29"/>
      <c r="AK79" s="110"/>
      <c r="AL79" s="375" t="str">
        <f>IF(OR(B79="", V79="", W79=""), "", IF(V79="No Change", K79, IF(V79="Remove Fixture", 0, IF(V79="Custom",VLOOKUP(W79,'Fixture Identities'!$A$6:$K$1023,10,FALSE),IF(AE79="", "← ENTER POST WATTS", 'Lighting Inventory'!AE79)))))</f>
        <v/>
      </c>
      <c r="AM79" s="376" t="str">
        <f t="shared" si="299"/>
        <v/>
      </c>
      <c r="AN79" s="29"/>
      <c r="AO79" s="671"/>
      <c r="AP79" s="29"/>
      <c r="AQ79" s="29"/>
      <c r="AR79" s="29"/>
      <c r="AS79" s="272" t="str">
        <f t="shared" si="352"/>
        <v/>
      </c>
      <c r="AT79" s="270" t="str">
        <f t="shared" si="300"/>
        <v/>
      </c>
      <c r="AU79" s="88" t="str">
        <f t="shared" si="235"/>
        <v/>
      </c>
      <c r="AV79" s="29"/>
      <c r="AW79" s="73"/>
      <c r="AX79" s="271" t="str">
        <f>IF(AND(AV79="Applicant",OR(AW79="", AW79="Use Default Facility Hours")),"← Choose Schedule",IF(F79="","",IF(W79="LED Exit Signs",8760,IF(OR(AV79="Prescribed",AV79=""),VLOOKUP(F79,'Lookup Tables'!$A$6:$G$59,IF(AB79="General", 6, 3),FALSE),VLOOKUP(AW79,'Lookup Tables'!$S$36:$U$43,2,FALSE)))))</f>
        <v/>
      </c>
      <c r="AY79" s="88" t="str">
        <f t="shared" si="301"/>
        <v/>
      </c>
      <c r="AZ79" s="270" t="str">
        <f>IFERROR(IF(F79="", "", IF(W79="LED Exit Signs", 1, IF(AV79="Applicant",VLOOKUP(AW79, 'Lookup Tables'!$S$36:$U$43,3, FALSE), VLOOKUP('Lighting Inventory'!F79, 'Lookup Tables'!$A$6:$H$59, IF('Lighting Inventory'!AB79="General",7,4), FALSE)))), "")</f>
        <v/>
      </c>
      <c r="BA79" s="522" t="str">
        <f>IFERROR(IF(F79="", "", IF(W79="LED Exit Signs", 1, VLOOKUP('Lighting Inventory'!F79, 'Lookup Tables'!$A$6:$H$59, IF('Lighting Inventory'!AB79="General",8,5), FALSE))), "")</f>
        <v/>
      </c>
      <c r="BB79" s="270" t="str">
        <f>IF(G79="", "", IF(E79="Exterior", 0, IF('Lighting Inventory'!G79="Air Conditioned", VLOOKUP(H79, 'Lookup Tables'!$R$6:$T$13, 2, FALSE), VLOOKUP('Lighting Inventory'!G79, 'Lookup Tables'!$R$6:$T$13, 2, FALSE))))</f>
        <v/>
      </c>
      <c r="BC79" s="522" t="str">
        <f>IF(G79="", "", IF(E79="Exterior", 0, IF('Lighting Inventory'!G79="Air Conditioned", VLOOKUP(H79, 'Lookup Tables'!$R$6:$T$13, 3, FALSE), VLOOKUP('Lighting Inventory'!G79, 'Lookup Tables'!$R$6:$T$13, 3, FALSE))))</f>
        <v/>
      </c>
      <c r="BD79" s="270" t="str">
        <f>IF(G79="", "", IF(E79="Exterior", 0, IF('Lighting Inventory'!G79="Air Conditioned", VLOOKUP(H79, 'Lookup Tables'!$R$6:$U$13, 4, FALSE), VLOOKUP('Lighting Inventory'!G79, 'Lookup Tables'!$R$6:$U$13, 4, FALSE))))</f>
        <v/>
      </c>
      <c r="BE79" s="270" t="str">
        <f>IFERROR(IF(B79="", "",  IF(B79="New Construction", VLOOKUP(F79, 'Lookup Tables'!$A$6:$K$59, 11, FALSE),IF(OR(AN79="", AN79="Light Switch"), 0, IF(OR(M79="",M79="None",V79= "LED Exit Signs"),0,_xlfn.XLOOKUP(M79,'Lookup Tables'!$R$91:$R$101,'Lookup Tables'!$V$91:$V$101))))), "")</f>
        <v/>
      </c>
      <c r="BF79" s="270" t="str">
        <f>IF(AND(OR(AN79="Light Switch",AN79=""),B79="New Construction"), VLOOKUP(F79, 'Lookup Tables'!$A$6:$K$59, 11, FALSE),IF(AN79="","",IF(B79="","",IF(OR(AN79="None",AN79="",V79="LED Exit Signs",AN79="Exterior Controls Not Eligible"),0,_xlfn.XLOOKUP(AN79,'Lookup Tables'!$R$91:$R$101,'Lookup Tables'!$V$91:$V$101)))))</f>
        <v/>
      </c>
      <c r="BG79" s="88" t="str">
        <f t="shared" si="353"/>
        <v/>
      </c>
      <c r="BH79" s="88" t="str">
        <f t="shared" si="354"/>
        <v/>
      </c>
      <c r="BI79" s="558" t="str">
        <f t="shared" si="398"/>
        <v/>
      </c>
      <c r="BJ79" s="82" t="str">
        <f t="shared" si="355"/>
        <v/>
      </c>
      <c r="BK79" s="82" t="str">
        <f t="shared" si="356"/>
        <v/>
      </c>
      <c r="BL79" s="559" t="str">
        <f t="shared" si="357"/>
        <v/>
      </c>
      <c r="BM79" s="521" t="str">
        <f t="shared" si="302"/>
        <v/>
      </c>
      <c r="BN79" s="521" t="str">
        <f t="shared" si="303"/>
        <v/>
      </c>
      <c r="BO79" s="522" t="str">
        <f t="shared" si="304"/>
        <v/>
      </c>
      <c r="BP79" s="83" t="str">
        <f t="shared" si="358"/>
        <v/>
      </c>
      <c r="BQ79" s="84" t="str">
        <f t="shared" si="359"/>
        <v/>
      </c>
      <c r="BR79" s="184" t="str">
        <f>IFERROR(IF(B79="", "", IF(OR(VLOOKUP(J79, 'Fixture Identities'!$A$6:$L$1023, 3, FALSE)="T12 Linear Fluorescent",VLOOKUP(J79, 'Fixture Identities'!$A$6:$L$1023, 3, FALSE)="T12 U-Tube Fluorescent"), "Y", "N")), "N")</f>
        <v/>
      </c>
      <c r="BS79" s="184" t="str">
        <f t="array" ref="BS79">IFERROR(IF(OR(B79="", V79="", W79=""), "", IF(V79="Custom", "N", IF(OR(W79="Freezer Case Lighting", W79="Refrigerated Case Lighting with Doors"), BT79, IF(B79="Retrofit", INDEX('Lookup Tables'!$AH$6:$AT$102,MATCH(1,('Lookup Tables'!$AH$6:$AH$102=V79)*('Lookup Tables'!$AI$6:$AI$102=W79),FALSE),IF(VLOOKUP(J79, 'Fixture Identities'!$A$6:$B$1023, 2, FALSE)="Incandescent",12, 13)), INDEX('Lookup Tables'!$AH$114:$AS$154,MATCH(1,('Lookup Tables'!$AH$114:$AH$154=V79)*('Lookup Tables'!$AI$114:$AI$154=W79),FALSE),12))))), "N")</f>
        <v/>
      </c>
      <c r="BT79" s="184" t="str">
        <f>IF(J79="", "", IF(AND(OR(W79="Freezer case Lighting", W79="Refrigerated Case Lighting with Doors"),'General Information'!$X$18="LCI"), "N", IF(OR(VLOOKUP(J79, 'Fixture Identities'!$A$6:$B$1023, 2, FALSE)="T12 EPACT/EISA Baseline", VLOOKUP(J79, 'Fixture Identities'!$A$6:$B$1023, 2, FALSE)="Linear Fluorescent", VLOOKUP(J79, 'Fixture Identities'!$A$6:$B$1023, 2, FALSE)="U-Tube Fluorescent"), "Y", "N")))</f>
        <v/>
      </c>
      <c r="BU79" s="184" t="str">
        <f>IFERROR(IF(B79="", "", IF(VLOOKUP(J79, 'Fixture Identities'!$A$6:$B$1023, 2, FALSE)="Exit Sign", "Y", "N")), "N")</f>
        <v/>
      </c>
      <c r="BV79" s="184" t="str">
        <f>IF(V79="Exit Signs", IF(VLOOKUP(J79, 'Fixture Identities'!$A$6:$B$1023, 2, FALSE)="Exit Sign", "N", "Y"), "")</f>
        <v/>
      </c>
      <c r="BW79" s="184" t="str">
        <f t="array" ref="BW79">IFERROR(IF(B79="", "", IF(B79="New Construction", "N", INDEX('Lookup Tables'!$AH$6:$AU$102, MATCH(1, ('Lookup Tables'!$AH$6:$AH$102='Lighting Inventory'!V79)*('Lookup Tables'!$AI$6:$AI$102='Lighting Inventory'!W79), 0), 14))), "N")</f>
        <v/>
      </c>
      <c r="BX79" s="598" t="str">
        <f t="shared" si="360"/>
        <v/>
      </c>
      <c r="BY79" s="598" t="str">
        <f t="shared" si="361"/>
        <v/>
      </c>
      <c r="BZ79" s="598" t="str">
        <f t="shared" si="362"/>
        <v/>
      </c>
      <c r="CA79" s="598" t="str">
        <f t="shared" si="363"/>
        <v/>
      </c>
      <c r="CB79" s="269" t="str">
        <f t="shared" si="364"/>
        <v/>
      </c>
      <c r="CC79" s="517" t="str">
        <f t="shared" si="365"/>
        <v/>
      </c>
      <c r="CD79" s="565" t="str">
        <f t="shared" si="305"/>
        <v/>
      </c>
      <c r="CE79" s="368">
        <v>0</v>
      </c>
      <c r="CF79" s="368" t="str" cm="1">
        <f t="array" ref="CF79">IFERROR(IF(V79="Custom", "$0.1 per kWh", IF(B79="New Construction", CONCATENATE("$",INDEX('Lookup Tables'!$AH$114:$AN$154,MATCH(1,('Lookup Tables'!$AH$114:$AH$154='Lighting Inventory'!V79)*('Lookup Tables'!$AI$114:$AI$154='Lighting Inventory'!W79),FALSE),6)," ",INDEX('Lookup Tables'!$AH$114:$AN$154,MATCH(1,('Lookup Tables'!$AH$114:$AH$154='Lighting Inventory'!V79)*('Lookup Tables'!$AI$114:$AI$154='Lighting Inventory'!W79),FALSE),7)), IF(AND(BU79="N", V79="Exit Signs"), "$0.025 per kWh", CONCATENATE("$",INDEX('Lookup Tables'!$AH$6:$AN$102,MATCH(1,('Lookup Tables'!$AH$6:$AH$102='Lighting Inventory'!V79)*('Lookup Tables'!$AI$6:$AI$102='Lighting Inventory'!W79),FALSE),6)," ",INDEX('Lookup Tables'!$AH$6:$AN$102,MATCH(1,('Lookup Tables'!$AH$6:$AH$102='Lighting Inventory'!V79)*('Lookup Tables'!$AI$6:$AI$102='Lighting Inventory'!W79),FALSE),7))))), "")</f>
        <v/>
      </c>
      <c r="CG79" s="366"/>
      <c r="CH79" s="248" t="str">
        <f t="shared" si="306"/>
        <v/>
      </c>
      <c r="CI79" s="248" t="str">
        <f t="shared" si="307"/>
        <v>Select_IE</v>
      </c>
      <c r="CJ79" s="248" t="str">
        <f t="shared" si="308"/>
        <v/>
      </c>
      <c r="CK79" s="248" t="str">
        <f t="shared" si="309"/>
        <v/>
      </c>
      <c r="CL79" s="248" t="str">
        <f t="shared" si="310"/>
        <v/>
      </c>
      <c r="CM79" s="248" t="str">
        <f>IFERROR(IF(B79="", "", IF(B79="New Construction", VLOOKUP(V79, 'Lookup Tables'!$AF$114:$AG$120, 2, FALSE), VLOOKUP(V79, 'Lookup Tables'!$AD$6:$AE$25, 2, FALSE))), "")</f>
        <v/>
      </c>
      <c r="CN79" s="248" t="str">
        <f t="shared" si="311"/>
        <v/>
      </c>
      <c r="CO79" s="248" t="str">
        <f t="shared" si="312"/>
        <v/>
      </c>
      <c r="CP79" s="592" t="str">
        <f t="shared" si="313"/>
        <v/>
      </c>
      <c r="CQ79" s="248" t="str">
        <f t="shared" si="366"/>
        <v/>
      </c>
      <c r="CR79" s="100"/>
      <c r="CS79" s="250" t="str">
        <f t="shared" si="314"/>
        <v/>
      </c>
      <c r="CT79" s="250" t="str">
        <f t="shared" si="367"/>
        <v/>
      </c>
      <c r="CU79" s="250" t="str">
        <f t="shared" si="368"/>
        <v/>
      </c>
      <c r="CV79" s="250" t="str">
        <f t="shared" si="369"/>
        <v/>
      </c>
      <c r="CW79" s="250" t="str">
        <f t="shared" si="370"/>
        <v/>
      </c>
      <c r="CX79" s="250" t="str">
        <f t="shared" si="315"/>
        <v/>
      </c>
      <c r="CY79" s="250" t="str">
        <f t="shared" si="316"/>
        <v/>
      </c>
      <c r="CZ79" s="250" t="str">
        <f t="shared" si="317"/>
        <v/>
      </c>
      <c r="DA79" s="250" t="str">
        <f t="shared" si="318"/>
        <v/>
      </c>
      <c r="DB79" s="250" t="str">
        <f t="shared" si="319"/>
        <v/>
      </c>
      <c r="DC79" s="250" t="str">
        <f t="shared" si="320"/>
        <v/>
      </c>
      <c r="DD79" s="250" t="str">
        <f t="shared" si="321"/>
        <v/>
      </c>
      <c r="DE79" s="250" t="str">
        <f t="shared" si="322"/>
        <v/>
      </c>
      <c r="DF79" s="250" t="str">
        <f t="shared" si="323"/>
        <v/>
      </c>
      <c r="DG79" s="250" t="str">
        <f t="shared" si="324"/>
        <v/>
      </c>
      <c r="DH79" s="250" t="str">
        <f t="shared" si="325"/>
        <v/>
      </c>
      <c r="DI79" s="250" t="str">
        <f t="shared" si="326"/>
        <v/>
      </c>
      <c r="DJ79" s="250" t="str">
        <f t="shared" si="327"/>
        <v/>
      </c>
      <c r="DK79" s="250" t="str">
        <f t="shared" si="328"/>
        <v/>
      </c>
      <c r="DL79" s="250" t="str">
        <f t="shared" si="329"/>
        <v/>
      </c>
      <c r="DM79" s="250" t="str">
        <f>IF(CD79="ERROR", "ERROR", IF(AND(OR(Y79=$DM$6, Y79='Lookup Tables'!$AD$21, Y79='Lookup Tables'!$AD$22), E79="Interior"), BJ79, ""))</f>
        <v/>
      </c>
      <c r="DN79" s="250" t="str">
        <f>IF(CD79="ERROR", "ERROR", IF(AND(OR(Y79=$DM$6, Y79='Lookup Tables'!$AD$21, Y79='Lookup Tables'!$AD$22), E79="Exterior"), BJ79, ""))</f>
        <v/>
      </c>
      <c r="DO79" s="100"/>
      <c r="DP79" s="250" t="str">
        <f t="shared" si="330"/>
        <v/>
      </c>
      <c r="DQ79" s="250" t="str">
        <f t="shared" si="371"/>
        <v/>
      </c>
      <c r="DR79" s="250" t="str">
        <f t="shared" si="372"/>
        <v/>
      </c>
      <c r="DS79" s="250" t="str">
        <f t="shared" si="373"/>
        <v/>
      </c>
      <c r="DT79" s="250" t="str">
        <f t="shared" si="374"/>
        <v/>
      </c>
      <c r="DU79" s="250" t="str">
        <f t="shared" si="331"/>
        <v/>
      </c>
      <c r="DV79" s="250" t="str">
        <f t="shared" si="332"/>
        <v/>
      </c>
      <c r="DW79" s="250" t="str">
        <f t="shared" si="333"/>
        <v/>
      </c>
      <c r="DX79" s="250" t="str">
        <f t="shared" si="334"/>
        <v/>
      </c>
      <c r="DY79" s="250" t="str">
        <f t="shared" si="335"/>
        <v/>
      </c>
      <c r="DZ79" s="250" t="str">
        <f t="shared" si="336"/>
        <v/>
      </c>
      <c r="EA79" s="250" t="str">
        <f t="shared" si="337"/>
        <v/>
      </c>
      <c r="EB79" s="250" t="str">
        <f t="shared" si="375"/>
        <v/>
      </c>
      <c r="EC79" s="250" t="str">
        <f t="shared" si="338"/>
        <v/>
      </c>
      <c r="ED79" s="250" t="str">
        <f t="shared" si="339"/>
        <v/>
      </c>
      <c r="EE79" s="250" t="str">
        <f t="shared" si="340"/>
        <v/>
      </c>
      <c r="EF79" s="250" t="str">
        <f t="shared" si="341"/>
        <v/>
      </c>
      <c r="EG79" s="250" t="str">
        <f t="shared" si="342"/>
        <v/>
      </c>
      <c r="EH79" s="250" t="str">
        <f>IF(CD79="ERROR", "ERROR", IF(AND(OR($EH$6=Y79, Y79='Lookup Tables'!$AD$21, Y79='Lookup Tables'!$AD$22),E79="Interior"), SUM(BP79:BP79), ""))</f>
        <v/>
      </c>
      <c r="EI79" s="250" t="str">
        <f>IF(CD79="ERROR", "ERROR", IF(AND(OR($EH$6=Y79, Y79='Lookup Tables'!$AD$21, Y79='Lookup Tables'!$AD$22),E79="Exterior"), SUM(BP79:BP79), ""))</f>
        <v/>
      </c>
      <c r="EJ79" s="109"/>
      <c r="EK79" s="485" t="str">
        <f t="shared" si="343"/>
        <v/>
      </c>
      <c r="EL79" s="252" t="str">
        <f t="shared" si="376"/>
        <v/>
      </c>
      <c r="EM79" s="252" t="str">
        <f t="shared" si="377"/>
        <v/>
      </c>
      <c r="EN79" s="252" t="str">
        <f t="shared" si="378"/>
        <v/>
      </c>
      <c r="EO79" s="252" t="str">
        <f t="shared" si="379"/>
        <v/>
      </c>
      <c r="EP79" s="252" t="str">
        <f t="shared" si="380"/>
        <v/>
      </c>
      <c r="EQ79" s="252" t="str">
        <f t="shared" si="381"/>
        <v/>
      </c>
      <c r="ER79" s="252" t="str">
        <f t="shared" si="382"/>
        <v/>
      </c>
      <c r="ES79" s="252" t="str">
        <f t="shared" si="383"/>
        <v/>
      </c>
      <c r="ET79" s="252" t="str">
        <f t="shared" si="384"/>
        <v/>
      </c>
      <c r="EU79" s="252" t="str">
        <f t="shared" si="385"/>
        <v/>
      </c>
      <c r="EV79" s="252" t="str">
        <f t="shared" si="386"/>
        <v/>
      </c>
      <c r="EW79" s="252" t="str">
        <f t="shared" si="387"/>
        <v/>
      </c>
      <c r="EX79" s="252" t="str">
        <f t="shared" si="388"/>
        <v/>
      </c>
      <c r="EY79" s="252" t="str">
        <f t="shared" si="389"/>
        <v/>
      </c>
      <c r="EZ79" s="252" t="str">
        <f t="shared" si="390"/>
        <v/>
      </c>
      <c r="FA79" s="252" t="str">
        <f t="shared" si="391"/>
        <v/>
      </c>
      <c r="FB79" s="252" t="str">
        <f t="shared" si="392"/>
        <v/>
      </c>
      <c r="FC79" s="252" t="str">
        <f>IF(CD79="ERROR", "ERROR", IF(OR(V79="No Change", V79="Not DLC or Energy Star"), "", IF(AND(OR($FC$6=Y79,Y79='Lookup Tables'!$AD$21, Y79='Lookup Tables'!$AD$22),E79="Interior"), S79, "")))</f>
        <v/>
      </c>
      <c r="FD79" s="252" t="str">
        <f t="shared" si="393"/>
        <v/>
      </c>
      <c r="FE79" s="101"/>
      <c r="FF79" s="579" t="str" cm="1">
        <f t="array" ref="FF79">IFERROR(IF(OR(BQ79&lt;=0,AQ79&lt;20,AND(V79="Exit Signs",AN79&gt;0)),"",IF(AND(AQ79&gt;=20,AN79='Lookup Tables'!$R$101),'Lookup Tables'!$U$101*BQ79,AP79*LOOKUP(2,1/((AN79='Lookup Tables'!$R$91:$R$111)*(AQ79&gt;='Lookup Tables'!$S$91:$S$111)*(AQ79&lt;='Lookup Tables'!$T$91:$T$111)),'Lookup Tables'!$U$91:$U$111))),"")</f>
        <v/>
      </c>
      <c r="FG79" s="579"/>
      <c r="FH79" s="579"/>
      <c r="FI79" s="253" t="str">
        <f>IFERROR(ROUND(IF(CD79="ERROR", "ERROR", IF(AND($FI$7=X79,E79="Interior"),VLOOKUP(W79, 'Lookup Tables'!$AI$6:$AM$102, 5, FALSE)*BP79, "")), 2), "")</f>
        <v/>
      </c>
      <c r="FJ79" s="253" t="str">
        <f>IFERROR(ROUND(IF(CD79="ERROR", "ERROR", IF(AND($FI$7=X79,E79="Exterior"),VLOOKUP(W79, 'Lookup Tables'!$AI$6:$AM$102, 5, FALSE)*BP79, "")), 2), "")</f>
        <v/>
      </c>
      <c r="FK79" s="253" t="str">
        <f>IFERROR(ROUND(IF(CD79="ERROR", "ERROR", IF(AND($FK$7=X79,E79="Interior"),VLOOKUP(W79, 'Lookup Tables'!$AI$6:$AM$102, 5, FALSE)*BP79, "")), 2), "")</f>
        <v/>
      </c>
      <c r="FL79" s="253" t="str">
        <f>IFERROR(ROUND(IF(CD79="ERROR", "ERROR", IF(AND($FK$7=X79,E79="Exterior"),VLOOKUP(W79, 'Lookup Tables'!$AI$6:$AM$102, 5, FALSE)*BP79, "")), 2), "")</f>
        <v/>
      </c>
      <c r="FM79" s="253" t="str">
        <f>IFERROR(ROUND(IF(CD79="ERROR", "ERROR", IF(AND($FM$6=Y79,E79="Interior"), IF(GB79=0, VLOOKUP(W79, 'Lookup Tables'!$AI$6:$AM$102, 5, FALSE)*BP79, IF(VLOOKUP(W79, 'Lookup Tables'!$AI$6:$AM$102, 5, FALSE)*BP79&gt;GB79*'Lighting Inventory'!S79, GB79*'Lighting Inventory'!S79,VLOOKUP(W79, 'Lookup Tables'!$AI$6:$AM$102, 5, FALSE)*BP79)), "")), 2), "")</f>
        <v/>
      </c>
      <c r="FN79" s="253" t="str">
        <f>IFERROR(ROUND(IF(CD79="ERROR", "ERROR", IF(AND($FM$6=Y79,E79="Exterior"), IF(GB79=0, VLOOKUP(W79, 'Lookup Tables'!$AI$6:$AM$102, 5, FALSE)*BP79, IF(VLOOKUP(W79, 'Lookup Tables'!$AI$6:$AM$102, 5, FALSE)*BP79&gt;GB79*'Lighting Inventory'!S79, GB79*'Lighting Inventory'!S79,VLOOKUP(W79, 'Lookup Tables'!$AI$6:$AM$102, 5, FALSE)*BP79)), "")), 2), "")</f>
        <v/>
      </c>
      <c r="FO79" s="253" t="str">
        <f>IFERROR(ROUND(IF(CD79="ERROR", "ERROR", IF(AND($FO$6=Y79,E79="Interior"),VLOOKUP(W79, 'Lookup Tables'!$AI$6:$AM$102, 5, FALSE)*'Lighting Inventory'!AI79, "")), 2), "")</f>
        <v/>
      </c>
      <c r="FP79" s="253" t="str">
        <f>IFERROR(ROUND(IF(CD79="ERROR", "ERROR", IF(AND($FO$6=Y79,E79="Exterior"),VLOOKUP(W79, 'Lookup Tables'!$AI$6:$AM$102, 5, FALSE)*'Lighting Inventory'!AI79, "")), 2), "")</f>
        <v/>
      </c>
      <c r="FQ79" s="253" t="str">
        <f>IFERROR(ROUND(IF(CD79="ERROR", "ERROR", IF(AND($FQ$6=Y79,E79="Interior", BU79="Y"), VLOOKUP('Lighting Inventory'!W79, 'Lookup Tables'!$AI$6:$AM$102, 5, FALSE)*'Lighting Inventory'!S79, IF(AND($FQ$7=Y79,E79="Interior", BU79="N"), 0.025*CD79, ""))), 2), "")</f>
        <v/>
      </c>
      <c r="FR79" s="253" t="str">
        <f>IFERROR(ROUND(IF(CD79="ERROR", "ERROR", IF(AND($FQ$6=Y79,E79="Exterior"), VLOOKUP('Lighting Inventory'!W79, 'Lookup Tables'!$AI$6:$AM$102, 5, FALSE)*'Lighting Inventory'!S79, "")), 2), "")</f>
        <v/>
      </c>
      <c r="FS79" s="253" t="str">
        <f>IFERROR(ROUND(IF(CD79="ERROR", "ERROR", IF(AND($FS$6=Y79,E79="Exterior"), IF(GB79=0, VLOOKUP(W79, 'Lookup Tables'!$AI$6:$AM$102, 5, FALSE)*BP79, IF(VLOOKUP(W79, 'Lookup Tables'!$AI$6:$AM$102, 5, FALSE)*BP79&gt;GB79*'Lighting Inventory'!S79, GB79*'Lighting Inventory'!S79,VLOOKUP(W79, 'Lookup Tables'!$AI$6:$AM$102, 5, FALSE)*BP79)), "")), 2), "")</f>
        <v/>
      </c>
      <c r="FT79" s="253" t="str">
        <f>IFERROR(ROUND(IF(CD79="ERROR", "ERROR", IF(AND($FT$6=Y79,E79="Interior"), IF(GB79=0, VLOOKUP(W79, 'Lookup Tables'!$AI$6:$AM$102, 5, FALSE)*BP79, IF(VLOOKUP(W79, 'Lookup Tables'!$AI$6:$AM$102, 5, FALSE)*BP79&gt;GB79*'Lighting Inventory'!S79, GB79*'Lighting Inventory'!S79,VLOOKUP(W79, 'Lookup Tables'!$AI$6:$AM$102, 5, FALSE)*BP79)), "")), 2), "")</f>
        <v/>
      </c>
      <c r="FU79" s="253" t="str">
        <f>IFERROR(ROUND(IF(CD79="ERROR", "ERROR", IF(AND(Y79=$FU$6, E79="Interior"), IF(BS79="N", 'Lookup Tables'!$AM$101*BP79, VLOOKUP(W79, 'Lookup Tables'!$AI$6:$AM$102, 5, FALSE)*S79*AD79), "")), 2), "")</f>
        <v/>
      </c>
      <c r="FV79" s="253" t="str">
        <f>IFERROR(ROUND(IF(CD79="ERROR", "ERROR", IF(AND(Y79=$FU$6, E79="Exterior"), IF(BS79="N", 'Lookup Tables'!$AM$101*BP79, VLOOKUP(W79, 'Lookup Tables'!$AI$6:$AM$102, 5, FALSE)*S79*AD79), "")), 2), "")</f>
        <v/>
      </c>
      <c r="FW79" s="253" t="str">
        <f>IFERROR(ROUND(IF(CD79="ERROR", "ERROR", IF($FW$6=Y79, IF(BS79="N", 'Lookup Tables'!$AM$101*BP79, MIN((VLOOKUP(W79, 'Lookup Tables'!$AI$6:$AM$102, 5, FALSE)*BP79),GB79*AJ79)), "")), 2), "")</f>
        <v/>
      </c>
      <c r="FX79" s="253" t="str">
        <f>IFERROR(ROUND(IF(CD79="ERROR", "ERROR", IF(AND($FX$6=Y79, E79="Interior"), IF(VLOOKUP(W79, 'Lookup Tables'!$AI$6:$AM$102, 5, FALSE)*BP79&gt;'Lookup Tables'!$AQ$97*'Lighting Inventory'!S79,'Lighting Inventory'!S79*'Lookup Tables'!$AQ$97,VLOOKUP(W79, 'Lookup Tables'!$AI$6:$AM$102, 5, FALSE)*BP79), "")), 2), "")</f>
        <v/>
      </c>
      <c r="FY79" s="253" t="str">
        <f>IFERROR(ROUND(IF(CD79="ERROR", "ERROR", IF(AND($FX$6=Y79, E79="Exterior"), IF(VLOOKUP(W79, 'Lookup Tables'!$AI$6:$AM$102, 5, FALSE)*BP79&gt;'Lookup Tables'!$AQ$97*'Lighting Inventory'!S79,'Lighting Inventory'!S79*'Lookup Tables'!$AQ$97,VLOOKUP(W79, 'Lookup Tables'!$AI$6:$AM$102, 5, FALSE)*BP79), "")), 2), "")</f>
        <v/>
      </c>
      <c r="FZ79" s="253" t="str">
        <f>IFERROR(ROUND(IF(CD79="ERROR", "ERROR", IF(AND($FZ$6=Y79, E79="Interior"), IF(AND(OR(W79="Refrigerated Case Lighting with Doors", W79="Freezer Case Lighting"),Y79="Custom - Process Improvement"),CD79*'Lookup Tables'!$AM$101, IF(B79="Retrofit", IF(VLOOKUP(IF(V79="Custom", V79, W79), 'Lookup Tables'!$AI$6:$AM$102, 5, FALSE)*BP79&gt;GE79, GE79, VLOOKUP(IF(V79="Custom", V79, W79), 'Lookup Tables'!$AI$6:$AM$102, 5, FALSE)*BP79), IF(VLOOKUP(IF(V79="Custom", V79, W79), 'Lookup Tables'!$AI$114:$AM$154, 5, FALSE)*BP79&gt;GE79, GE79, VLOOKUP(IF(V79="Custom", V79, W79), 'Lookup Tables'!$AI$114:$AM$154, 5, FALSE)*BP79))), "")), 2),"")</f>
        <v/>
      </c>
      <c r="GA79" s="253" t="str">
        <f>IFERROR(ROUND(IF(CD79="ERROR", "ERROR", IF(AND($FZ$6=Y79, E79="Exterior"), IF(B79="Retrofit", IF(VLOOKUP(IF(V79="Custom", V79, W79), 'Lookup Tables'!$AI$6:$AM$102, 5, FALSE)*BP79&gt;GE79, GE79, VLOOKUP(IF(V79="Custom", V79, W79), 'Lookup Tables'!$AI$6:$AM$102, 5, FALSE)*BP79), IF(VLOOKUP(IF(V79="Custom", V79, W79), 'Lookup Tables'!$AI$114:$AM$154, 5, FALSE)*BP79&gt;GE79, GE79, VLOOKUP(IF(V79="Custom", V79, W79), 'Lookup Tables'!$AI$114:$AM$154, 5, FALSE)*BP79)), "")), 2),"")</f>
        <v/>
      </c>
      <c r="GB79" s="254" t="str">
        <f t="array" ref="GB79">IF(B79="","",IF(OR(V79="Custom",V79="No Change"),0,IF(B79="Retrofit", INDEX('Lookup Tables'!$AH$6:$AQ$102,MATCH(1,('Lookup Tables'!$AH$6:$AH$102='Lighting Inventory'!V79)*('Lookup Tables'!$AI$6:$AI$102='Lighting Inventory'!W79),FALSE),10),INDEX('Lookup Tables'!$AH$114:$AQ$154,MATCH(1,('Lookup Tables'!$AH$114:$AH$154='Lighting Inventory'!V79)*('Lookup Tables'!$AI$114:$AI$154='Lighting Inventory'!W79),FALSE),10))))</f>
        <v/>
      </c>
      <c r="GC79" s="255" t="str">
        <f t="shared" si="344"/>
        <v/>
      </c>
      <c r="GD79" s="250" t="str">
        <f t="shared" si="345"/>
        <v/>
      </c>
      <c r="GE79" s="253" t="str">
        <f>IFERROR(IF(AND(AF79="", 'General Information'!$F$18="No"),"", IF(AF79="", ((GD79/$CD$266)*$CF$266)*0.5, AF79*S79*0.5)), "")</f>
        <v/>
      </c>
      <c r="GF79" s="255" t="str">
        <f>IF(AND('General Information'!$F$19="", 'General Information'!$F$18="Yes",AF79="",BW79="Y"), "Y", "N")</f>
        <v>N</v>
      </c>
      <c r="GG79" s="255" t="s">
        <v>2946</v>
      </c>
      <c r="GH79" s="255" t="str">
        <f>IFERROR(IF(B79="", "", VLOOKUP(J79, 'Fixture Identities'!$A$6:$N$908, 14, FALSE)), "")</f>
        <v/>
      </c>
      <c r="GI79" s="389" t="str">
        <f>IF(OR(B79="", V79="", W79=""), "", IF(AND(OR(M79='Lookup Tables'!$R$18, M79='Lookup Tables'!$R$19, M79='Lookup Tables'!$R$20, M79='Lookup Tables'!$R$21, M79='Lookup Tables'!$R$22), OR(AN79='Lookup Tables'!$R$17, AN79='Lookup Tables'!$R$17, AN79="")), "Y", "N"))</f>
        <v/>
      </c>
      <c r="GJ79" s="255" t="str">
        <f t="shared" si="346"/>
        <v/>
      </c>
      <c r="GK79" s="255" t="str">
        <f t="shared" si="347"/>
        <v/>
      </c>
      <c r="GL79" s="255" t="str">
        <f t="shared" si="348"/>
        <v/>
      </c>
      <c r="GM79" s="255" t="str">
        <f>IF(AN79="", "", IF(AND(IF(ISNA(VLOOKUP(AN79,'Lookup Tables'!$R$18:$R$22,1,FALSE)), "N", "Y")="Y", E79="Exterior"), "Y", "N"))</f>
        <v/>
      </c>
      <c r="GN79" s="395"/>
      <c r="GO79" s="428">
        <f t="shared" si="394"/>
        <v>0</v>
      </c>
      <c r="GP79" s="428">
        <f t="shared" si="397"/>
        <v>0</v>
      </c>
      <c r="GQ79" s="428">
        <f t="shared" si="395"/>
        <v>0</v>
      </c>
      <c r="GR79" s="428">
        <f t="shared" si="396"/>
        <v>0</v>
      </c>
    </row>
    <row r="80" spans="1:200" s="103" customFormat="1" ht="13.5" customHeight="1" x14ac:dyDescent="0.2">
      <c r="A80" s="272">
        <v>70</v>
      </c>
      <c r="B80" s="110"/>
      <c r="C80" s="110"/>
      <c r="D80" s="110"/>
      <c r="E80" s="110"/>
      <c r="F80" s="110"/>
      <c r="G80" s="110"/>
      <c r="H80" s="110"/>
      <c r="I80" s="29"/>
      <c r="J80" s="29"/>
      <c r="K80" s="272" t="str">
        <f>IFERROR(IF(OR(VLOOKUP(J80, 'Fixture Identities'!$A$6:$L$1023, 3, FALSE)="T12 Linear Fluorescent", VLOOKUP(J80, 'Fixture Identities'!$A$6:$L$1023, 3, FALSE)="T12 U-Tube Fluorescent"), VLOOKUP(VLOOKUP(J80, 'Fixture Identities'!$A$6:$L$1023, 11, FALSE), 'Fixture Identities'!$A$6:$L$1023, 10, FALSE), VLOOKUP(J80, 'Fixture Identities'!$A$6:$L$1023, 10, FALSE)), "")</f>
        <v/>
      </c>
      <c r="L80" s="270" t="str">
        <f t="shared" ref="L80:L143" si="399">IFERROR(IF(I80="", "", (K80*I80)/1000), "")</f>
        <v/>
      </c>
      <c r="M80" s="110"/>
      <c r="N80" s="110"/>
      <c r="O80" s="110"/>
      <c r="P80" s="272" t="str">
        <f>IFERROR(IF(OR(B80="Retrofit",B80=""),"",IF('Lighting Inventory'!E80="Exterior",VLOOKUP('Lighting Inventory'!N80,'Lookup Tables'!$B$83:$F$103,5,FALSE),IF(N80="Other - Please Estimate EFLH and CFs","Contact Prog. Rep.","ft^2"))), "")</f>
        <v/>
      </c>
      <c r="Q80" s="270" t="str">
        <f>IFERROR(IF(AND(B80="New Construction",E80="Interior",$F$5="Space-by-Space"),VLOOKUP('Lighting Inventory'!N80,'Lookup Tables'!$N$6:$O$97,2,FALSE),IF(AND(B80="New Construction",E80="Exterior"),VLOOKUP(N80,'Lookup Tables'!$B$83:$F$103,2,FALSE),IF(AND(B80="New Construction",'Lighting Inventory'!E80="Interior", $F$5="Building Area"),VLOOKUP(F80,'Lookup Tables'!$A$6:$J$59,10,FALSE),""))), "")</f>
        <v/>
      </c>
      <c r="R80" s="270" t="str">
        <f>IFERROR(IF(P80="Contact Prog. Rep.", "ERROR", IF(OR(B80="",B80="Retrofit"),"",IF(N80="Automated teller machines", ('Lookup Tables'!$A$82:$E$100+('Lighting Inventory'!O80-1)*'Lookup Tables'!$A$82:$E$100)/1000, (Q80*O80)/1000))), "")</f>
        <v/>
      </c>
      <c r="S80" s="595"/>
      <c r="T80" s="105" t="str">
        <f t="shared" si="349"/>
        <v/>
      </c>
      <c r="U80" s="105" t="str">
        <f>IF(S80="","",COUNT($S$11:S80))</f>
        <v/>
      </c>
      <c r="V80" s="111"/>
      <c r="W80" s="112"/>
      <c r="X80" s="105" t="str">
        <f t="shared" si="350"/>
        <v/>
      </c>
      <c r="Y80" s="105" t="str">
        <f t="array" ref="Y80">IF(AND(OR(W80="Freezer Case Lighting", W80="Refrigerated Case Lighting with Doors"), 'General Information'!$X$18="LCI"),'Lookup Tables'!$Y$34, IF(V80="Custom", VLOOKUP(W80, 'Fixture Identities'!$A$974:$M$1023, 13, FALSE), IF(V80="No Change",'Lookup Tables'!$Y$29,IF(OR(V80="",W80=""),"",IF(AND(S80=0,S80&lt;I80,B80="Retrofit"),'Lookup Tables'!$Y$25, IF(B80="Retrofit", INDEX('Lookup Tables'!$AH$6:$AP$102, MATCH(1, ('Lookup Tables'!$AH$6:$AH$102=V80)*('Lookup Tables'!$AI$6:$AI$102=W80), 0), IF('Lighting Inventory'!E80="Interior", 4, 5)), INDEX('Lookup Tables'!$AH$114:$AP$154, MATCH(1, ('Lookup Tables'!$AH$114:$AH$154=V80)*('Lookup Tables'!$AI$114:$AI$154=W80), 0), IF('Lighting Inventory'!E80="Interior", 4, 5))))))))</f>
        <v/>
      </c>
      <c r="Z80" s="105" t="str">
        <f>IFERROR(INDEX('Lookup Tables'!$AH$158:$AH$172,MATCH('Lighting Inventory'!Y80,'Lookup Tables'!$AI$158:$AI$172,0)),"")</f>
        <v/>
      </c>
      <c r="AA80" s="105" t="str">
        <f>IF(AP80&gt;0,INDEX('Lookup Tables'!$AK$158:$AK$172,MATCH('Lighting Inventory'!Y80,'Lookup Tables'!$AI$158:$AI$172,0)),'Lighting Inventory'!Y80)</f>
        <v/>
      </c>
      <c r="AB80" s="105" t="str">
        <f t="array" ref="AB80">IF(V80="Custom", "Custom", IF(V80="", "", IF(V80="Not DLC or Energy Star", "General", IF(B80="New Construction", INDEX('Lookup Tables'!$AH$114:$AP$154,MATCH(1,('Lookup Tables'!$AH$114:$AH$154='Lighting Inventory'!V80)*('Lookup Tables'!$AI$114:$AI$154='Lighting Inventory'!W80),FALSE),8), INDEX('Lookup Tables'!$AH$6:$AP$102,MATCH(1,('Lookup Tables'!$AH$6:$AH$102='Lighting Inventory'!V80)*('Lookup Tables'!$AI$6:$AI$102='Lighting Inventory'!W80),FALSE),8)))))</f>
        <v/>
      </c>
      <c r="AC80" s="272" t="str">
        <f>IF(W80="","",IF(V80="Custom",CONCATENATE("$",'Lookup Tables'!$AM$101," ",'Lookup Tables'!$AN$101),CONCATENATE("$",INDEX('Lookup Tables'!$AM$6:$AM$102,MATCH('Lighting Inventory'!W80,'Lookup Tables'!$AI$6:$AI$102,0))," ",INDEX('Lookup Tables'!$AN$6:$AN$102,MATCH('Lighting Inventory'!W80,'Lookup Tables'!$AI$6:$AI$102,0)))))</f>
        <v/>
      </c>
      <c r="AD80" s="72"/>
      <c r="AE80" s="29"/>
      <c r="AF80" s="379"/>
      <c r="AG80" s="370" t="str">
        <f t="shared" si="298"/>
        <v/>
      </c>
      <c r="AH80" s="370" t="str">
        <f t="shared" si="351"/>
        <v/>
      </c>
      <c r="AI80" s="29"/>
      <c r="AJ80" s="29"/>
      <c r="AK80" s="110"/>
      <c r="AL80" s="375" t="str">
        <f>IF(OR(B80="", V80="", W80=""), "", IF(V80="No Change", K80, IF(V80="Remove Fixture", 0, IF(V80="Custom",VLOOKUP(W80,'Fixture Identities'!$A$6:$K$1023,10,FALSE),IF(AE80="", "← ENTER POST WATTS", 'Lighting Inventory'!AE80)))))</f>
        <v/>
      </c>
      <c r="AM80" s="376" t="str">
        <f t="shared" si="299"/>
        <v/>
      </c>
      <c r="AN80" s="29"/>
      <c r="AO80" s="671"/>
      <c r="AP80" s="29"/>
      <c r="AQ80" s="29"/>
      <c r="AR80" s="29"/>
      <c r="AS80" s="272" t="str">
        <f t="shared" si="352"/>
        <v/>
      </c>
      <c r="AT80" s="270" t="str">
        <f t="shared" si="300"/>
        <v/>
      </c>
      <c r="AU80" s="88" t="str">
        <f t="shared" ref="AU80:AU143" si="400">IFERROR(ABS(AT80), "")</f>
        <v/>
      </c>
      <c r="AV80" s="29"/>
      <c r="AW80" s="73"/>
      <c r="AX80" s="271" t="str">
        <f>IF(AND(AV80="Applicant",OR(AW80="", AW80="Use Default Facility Hours")),"← Choose Schedule",IF(F80="","",IF(W80="LED Exit Signs",8760,IF(OR(AV80="Prescribed",AV80=""),VLOOKUP(F80,'Lookup Tables'!$A$6:$G$59,IF(AB80="General", 6, 3),FALSE),VLOOKUP(AW80,'Lookup Tables'!$S$36:$U$43,2,FALSE)))))</f>
        <v/>
      </c>
      <c r="AY80" s="88" t="str">
        <f t="shared" si="301"/>
        <v/>
      </c>
      <c r="AZ80" s="270" t="str">
        <f>IFERROR(IF(F80="", "", IF(W80="LED Exit Signs", 1, IF(AV80="Applicant",VLOOKUP(AW80, 'Lookup Tables'!$S$36:$U$43,3, FALSE), VLOOKUP('Lighting Inventory'!F80, 'Lookup Tables'!$A$6:$H$59, IF('Lighting Inventory'!AB80="General",7,4), FALSE)))), "")</f>
        <v/>
      </c>
      <c r="BA80" s="522" t="str">
        <f>IFERROR(IF(F80="", "", IF(W80="LED Exit Signs", 1, VLOOKUP('Lighting Inventory'!F80, 'Lookup Tables'!$A$6:$H$59, IF('Lighting Inventory'!AB80="General",8,5), FALSE))), "")</f>
        <v/>
      </c>
      <c r="BB80" s="270" t="str">
        <f>IF(G80="", "", IF(E80="Exterior", 0, IF('Lighting Inventory'!G80="Air Conditioned", VLOOKUP(H80, 'Lookup Tables'!$R$6:$T$13, 2, FALSE), VLOOKUP('Lighting Inventory'!G80, 'Lookup Tables'!$R$6:$T$13, 2, FALSE))))</f>
        <v/>
      </c>
      <c r="BC80" s="522" t="str">
        <f>IF(G80="", "", IF(E80="Exterior", 0, IF('Lighting Inventory'!G80="Air Conditioned", VLOOKUP(H80, 'Lookup Tables'!$R$6:$T$13, 3, FALSE), VLOOKUP('Lighting Inventory'!G80, 'Lookup Tables'!$R$6:$T$13, 3, FALSE))))</f>
        <v/>
      </c>
      <c r="BD80" s="270" t="str">
        <f>IF(G80="", "", IF(E80="Exterior", 0, IF('Lighting Inventory'!G80="Air Conditioned", VLOOKUP(H80, 'Lookup Tables'!$R$6:$U$13, 4, FALSE), VLOOKUP('Lighting Inventory'!G80, 'Lookup Tables'!$R$6:$U$13, 4, FALSE))))</f>
        <v/>
      </c>
      <c r="BE80" s="270" t="str">
        <f>IFERROR(IF(B80="", "",  IF(B80="New Construction", VLOOKUP(F80, 'Lookup Tables'!$A$6:$K$59, 11, FALSE),IF(OR(AN80="", AN80="Light Switch"), 0, IF(OR(M80="",M80="None",V80= "LED Exit Signs"),0,_xlfn.XLOOKUP(M80,'Lookup Tables'!$R$91:$R$101,'Lookup Tables'!$V$91:$V$101))))), "")</f>
        <v/>
      </c>
      <c r="BF80" s="270" t="str">
        <f>IF(AND(OR(AN80="Light Switch",AN80=""),B80="New Construction"), VLOOKUP(F80, 'Lookup Tables'!$A$6:$K$59, 11, FALSE),IF(AN80="","",IF(B80="","",IF(OR(AN80="None",AN80="",V80="LED Exit Signs",AN80="Exterior Controls Not Eligible"),0,_xlfn.XLOOKUP(AN80,'Lookup Tables'!$R$91:$R$101,'Lookup Tables'!$V$91:$V$101)))))</f>
        <v/>
      </c>
      <c r="BG80" s="88" t="str">
        <f t="shared" si="353"/>
        <v/>
      </c>
      <c r="BH80" s="88" t="str">
        <f t="shared" si="354"/>
        <v/>
      </c>
      <c r="BI80" s="558" t="str">
        <f t="shared" si="398"/>
        <v/>
      </c>
      <c r="BJ80" s="82" t="str">
        <f t="shared" si="355"/>
        <v/>
      </c>
      <c r="BK80" s="82" t="str">
        <f t="shared" si="356"/>
        <v/>
      </c>
      <c r="BL80" s="559" t="str">
        <f t="shared" si="357"/>
        <v/>
      </c>
      <c r="BM80" s="521" t="str">
        <f t="shared" si="302"/>
        <v/>
      </c>
      <c r="BN80" s="521" t="str">
        <f t="shared" si="303"/>
        <v/>
      </c>
      <c r="BO80" s="522" t="str">
        <f t="shared" si="304"/>
        <v/>
      </c>
      <c r="BP80" s="83" t="str">
        <f t="shared" si="358"/>
        <v/>
      </c>
      <c r="BQ80" s="84" t="str">
        <f t="shared" si="359"/>
        <v/>
      </c>
      <c r="BR80" s="184" t="str">
        <f>IFERROR(IF(B80="", "", IF(OR(VLOOKUP(J80, 'Fixture Identities'!$A$6:$L$1023, 3, FALSE)="T12 Linear Fluorescent",VLOOKUP(J80, 'Fixture Identities'!$A$6:$L$1023, 3, FALSE)="T12 U-Tube Fluorescent"), "Y", "N")), "N")</f>
        <v/>
      </c>
      <c r="BS80" s="184" t="str">
        <f t="array" ref="BS80">IFERROR(IF(OR(B80="", V80="", W80=""), "", IF(V80="Custom", "N", IF(OR(W80="Freezer Case Lighting", W80="Refrigerated Case Lighting with Doors"), BT80, IF(B80="Retrofit", INDEX('Lookup Tables'!$AH$6:$AT$102,MATCH(1,('Lookup Tables'!$AH$6:$AH$102=V80)*('Lookup Tables'!$AI$6:$AI$102=W80),FALSE),IF(VLOOKUP(J80, 'Fixture Identities'!$A$6:$B$1023, 2, FALSE)="Incandescent",12, 13)), INDEX('Lookup Tables'!$AH$114:$AS$154,MATCH(1,('Lookup Tables'!$AH$114:$AH$154=V80)*('Lookup Tables'!$AI$114:$AI$154=W80),FALSE),12))))), "N")</f>
        <v/>
      </c>
      <c r="BT80" s="184" t="str">
        <f>IF(J80="", "", IF(AND(OR(W80="Freezer case Lighting", W80="Refrigerated Case Lighting with Doors"),'General Information'!$X$18="LCI"), "N", IF(OR(VLOOKUP(J80, 'Fixture Identities'!$A$6:$B$1023, 2, FALSE)="T12 EPACT/EISA Baseline", VLOOKUP(J80, 'Fixture Identities'!$A$6:$B$1023, 2, FALSE)="Linear Fluorescent", VLOOKUP(J80, 'Fixture Identities'!$A$6:$B$1023, 2, FALSE)="U-Tube Fluorescent"), "Y", "N")))</f>
        <v/>
      </c>
      <c r="BU80" s="184" t="str">
        <f>IFERROR(IF(B80="", "", IF(VLOOKUP(J80, 'Fixture Identities'!$A$6:$B$1023, 2, FALSE)="Exit Sign", "Y", "N")), "N")</f>
        <v/>
      </c>
      <c r="BV80" s="184" t="str">
        <f>IF(V80="Exit Signs", IF(VLOOKUP(J80, 'Fixture Identities'!$A$6:$B$1023, 2, FALSE)="Exit Sign", "N", "Y"), "")</f>
        <v/>
      </c>
      <c r="BW80" s="184" t="str">
        <f t="array" ref="BW80">IFERROR(IF(B80="", "", IF(B80="New Construction", "N", INDEX('Lookup Tables'!$AH$6:$AU$102, MATCH(1, ('Lookup Tables'!$AH$6:$AH$102='Lighting Inventory'!V80)*('Lookup Tables'!$AI$6:$AI$102='Lighting Inventory'!W80), 0), 14))), "N")</f>
        <v/>
      </c>
      <c r="BX80" s="598" t="str">
        <f t="shared" si="360"/>
        <v/>
      </c>
      <c r="BY80" s="598" t="str">
        <f t="shared" si="361"/>
        <v/>
      </c>
      <c r="BZ80" s="598" t="str">
        <f t="shared" si="362"/>
        <v/>
      </c>
      <c r="CA80" s="598" t="str">
        <f t="shared" si="363"/>
        <v/>
      </c>
      <c r="CB80" s="269" t="str">
        <f t="shared" si="364"/>
        <v/>
      </c>
      <c r="CC80" s="517" t="str">
        <f t="shared" si="365"/>
        <v/>
      </c>
      <c r="CD80" s="565" t="str">
        <f t="shared" si="305"/>
        <v/>
      </c>
      <c r="CE80" s="368">
        <v>0</v>
      </c>
      <c r="CF80" s="368" t="str" cm="1">
        <f t="array" ref="CF80">IFERROR(IF(V80="Custom", "$0.1 per kWh", IF(B80="New Construction", CONCATENATE("$",INDEX('Lookup Tables'!$AH$114:$AN$154,MATCH(1,('Lookup Tables'!$AH$114:$AH$154='Lighting Inventory'!V80)*('Lookup Tables'!$AI$114:$AI$154='Lighting Inventory'!W80),FALSE),6)," ",INDEX('Lookup Tables'!$AH$114:$AN$154,MATCH(1,('Lookup Tables'!$AH$114:$AH$154='Lighting Inventory'!V80)*('Lookup Tables'!$AI$114:$AI$154='Lighting Inventory'!W80),FALSE),7)), IF(AND(BU80="N", V80="Exit Signs"), "$0.025 per kWh", CONCATENATE("$",INDEX('Lookup Tables'!$AH$6:$AN$102,MATCH(1,('Lookup Tables'!$AH$6:$AH$102='Lighting Inventory'!V80)*('Lookup Tables'!$AI$6:$AI$102='Lighting Inventory'!W80),FALSE),6)," ",INDEX('Lookup Tables'!$AH$6:$AN$102,MATCH(1,('Lookup Tables'!$AH$6:$AH$102='Lighting Inventory'!V80)*('Lookup Tables'!$AI$6:$AI$102='Lighting Inventory'!W80),FALSE),7))))), "")</f>
        <v/>
      </c>
      <c r="CG80" s="366"/>
      <c r="CH80" s="248" t="str">
        <f t="shared" si="306"/>
        <v/>
      </c>
      <c r="CI80" s="248" t="str">
        <f t="shared" si="307"/>
        <v>Select_IE</v>
      </c>
      <c r="CJ80" s="248" t="str">
        <f t="shared" si="308"/>
        <v/>
      </c>
      <c r="CK80" s="248" t="str">
        <f t="shared" si="309"/>
        <v/>
      </c>
      <c r="CL80" s="248" t="str">
        <f t="shared" si="310"/>
        <v/>
      </c>
      <c r="CM80" s="248" t="str">
        <f>IFERROR(IF(B80="", "", IF(B80="New Construction", VLOOKUP(V80, 'Lookup Tables'!$AF$114:$AG$120, 2, FALSE), VLOOKUP(V80, 'Lookup Tables'!$AD$6:$AE$25, 2, FALSE))), "")</f>
        <v/>
      </c>
      <c r="CN80" s="248" t="str">
        <f t="shared" si="311"/>
        <v/>
      </c>
      <c r="CO80" s="248" t="str">
        <f t="shared" si="312"/>
        <v/>
      </c>
      <c r="CP80" s="592" t="str">
        <f t="shared" si="313"/>
        <v/>
      </c>
      <c r="CQ80" s="248" t="str">
        <f t="shared" si="366"/>
        <v/>
      </c>
      <c r="CR80" s="100"/>
      <c r="CS80" s="250" t="str">
        <f t="shared" si="314"/>
        <v/>
      </c>
      <c r="CT80" s="250" t="str">
        <f t="shared" si="367"/>
        <v/>
      </c>
      <c r="CU80" s="250" t="str">
        <f t="shared" si="368"/>
        <v/>
      </c>
      <c r="CV80" s="250" t="str">
        <f t="shared" si="369"/>
        <v/>
      </c>
      <c r="CW80" s="250" t="str">
        <f t="shared" si="370"/>
        <v/>
      </c>
      <c r="CX80" s="250" t="str">
        <f t="shared" si="315"/>
        <v/>
      </c>
      <c r="CY80" s="250" t="str">
        <f t="shared" si="316"/>
        <v/>
      </c>
      <c r="CZ80" s="250" t="str">
        <f t="shared" si="317"/>
        <v/>
      </c>
      <c r="DA80" s="250" t="str">
        <f t="shared" si="318"/>
        <v/>
      </c>
      <c r="DB80" s="250" t="str">
        <f t="shared" si="319"/>
        <v/>
      </c>
      <c r="DC80" s="250" t="str">
        <f t="shared" si="320"/>
        <v/>
      </c>
      <c r="DD80" s="250" t="str">
        <f t="shared" si="321"/>
        <v/>
      </c>
      <c r="DE80" s="250" t="str">
        <f t="shared" si="322"/>
        <v/>
      </c>
      <c r="DF80" s="250" t="str">
        <f t="shared" si="323"/>
        <v/>
      </c>
      <c r="DG80" s="250" t="str">
        <f t="shared" si="324"/>
        <v/>
      </c>
      <c r="DH80" s="250" t="str">
        <f t="shared" si="325"/>
        <v/>
      </c>
      <c r="DI80" s="250" t="str">
        <f t="shared" si="326"/>
        <v/>
      </c>
      <c r="DJ80" s="250" t="str">
        <f t="shared" si="327"/>
        <v/>
      </c>
      <c r="DK80" s="250" t="str">
        <f t="shared" si="328"/>
        <v/>
      </c>
      <c r="DL80" s="250" t="str">
        <f t="shared" si="329"/>
        <v/>
      </c>
      <c r="DM80" s="250" t="str">
        <f>IF(CD80="ERROR", "ERROR", IF(AND(OR(Y80=$DM$6, Y80='Lookup Tables'!$AD$21, Y80='Lookup Tables'!$AD$22), E80="Interior"), BJ80, ""))</f>
        <v/>
      </c>
      <c r="DN80" s="250" t="str">
        <f>IF(CD80="ERROR", "ERROR", IF(AND(OR(Y80=$DM$6, Y80='Lookup Tables'!$AD$21, Y80='Lookup Tables'!$AD$22), E80="Exterior"), BJ80, ""))</f>
        <v/>
      </c>
      <c r="DO80" s="100"/>
      <c r="DP80" s="250" t="str">
        <f t="shared" si="330"/>
        <v/>
      </c>
      <c r="DQ80" s="250" t="str">
        <f t="shared" si="371"/>
        <v/>
      </c>
      <c r="DR80" s="250" t="str">
        <f t="shared" si="372"/>
        <v/>
      </c>
      <c r="DS80" s="250" t="str">
        <f t="shared" si="373"/>
        <v/>
      </c>
      <c r="DT80" s="250" t="str">
        <f t="shared" si="374"/>
        <v/>
      </c>
      <c r="DU80" s="250" t="str">
        <f t="shared" si="331"/>
        <v/>
      </c>
      <c r="DV80" s="250" t="str">
        <f t="shared" si="332"/>
        <v/>
      </c>
      <c r="DW80" s="250" t="str">
        <f t="shared" si="333"/>
        <v/>
      </c>
      <c r="DX80" s="250" t="str">
        <f t="shared" si="334"/>
        <v/>
      </c>
      <c r="DY80" s="250" t="str">
        <f t="shared" si="335"/>
        <v/>
      </c>
      <c r="DZ80" s="250" t="str">
        <f t="shared" si="336"/>
        <v/>
      </c>
      <c r="EA80" s="250" t="str">
        <f t="shared" si="337"/>
        <v/>
      </c>
      <c r="EB80" s="250" t="str">
        <f t="shared" si="375"/>
        <v/>
      </c>
      <c r="EC80" s="250" t="str">
        <f t="shared" si="338"/>
        <v/>
      </c>
      <c r="ED80" s="250" t="str">
        <f t="shared" si="339"/>
        <v/>
      </c>
      <c r="EE80" s="250" t="str">
        <f t="shared" si="340"/>
        <v/>
      </c>
      <c r="EF80" s="250" t="str">
        <f t="shared" si="341"/>
        <v/>
      </c>
      <c r="EG80" s="250" t="str">
        <f t="shared" si="342"/>
        <v/>
      </c>
      <c r="EH80" s="250" t="str">
        <f>IF(CD80="ERROR", "ERROR", IF(AND(OR($EH$6=Y80, Y80='Lookup Tables'!$AD$21, Y80='Lookup Tables'!$AD$22),E80="Interior"), SUM(BP80:BP80), ""))</f>
        <v/>
      </c>
      <c r="EI80" s="250" t="str">
        <f>IF(CD80="ERROR", "ERROR", IF(AND(OR($EH$6=Y80, Y80='Lookup Tables'!$AD$21, Y80='Lookup Tables'!$AD$22),E80="Exterior"), SUM(BP80:BP80), ""))</f>
        <v/>
      </c>
      <c r="EJ80" s="109"/>
      <c r="EK80" s="485" t="str">
        <f t="shared" si="343"/>
        <v/>
      </c>
      <c r="EL80" s="252" t="str">
        <f t="shared" si="376"/>
        <v/>
      </c>
      <c r="EM80" s="252" t="str">
        <f t="shared" si="377"/>
        <v/>
      </c>
      <c r="EN80" s="252" t="str">
        <f t="shared" si="378"/>
        <v/>
      </c>
      <c r="EO80" s="252" t="str">
        <f t="shared" si="379"/>
        <v/>
      </c>
      <c r="EP80" s="252" t="str">
        <f t="shared" si="380"/>
        <v/>
      </c>
      <c r="EQ80" s="252" t="str">
        <f t="shared" si="381"/>
        <v/>
      </c>
      <c r="ER80" s="252" t="str">
        <f t="shared" si="382"/>
        <v/>
      </c>
      <c r="ES80" s="252" t="str">
        <f t="shared" si="383"/>
        <v/>
      </c>
      <c r="ET80" s="252" t="str">
        <f t="shared" si="384"/>
        <v/>
      </c>
      <c r="EU80" s="252" t="str">
        <f t="shared" si="385"/>
        <v/>
      </c>
      <c r="EV80" s="252" t="str">
        <f t="shared" si="386"/>
        <v/>
      </c>
      <c r="EW80" s="252" t="str">
        <f t="shared" si="387"/>
        <v/>
      </c>
      <c r="EX80" s="252" t="str">
        <f t="shared" si="388"/>
        <v/>
      </c>
      <c r="EY80" s="252" t="str">
        <f t="shared" si="389"/>
        <v/>
      </c>
      <c r="EZ80" s="252" t="str">
        <f t="shared" si="390"/>
        <v/>
      </c>
      <c r="FA80" s="252" t="str">
        <f t="shared" si="391"/>
        <v/>
      </c>
      <c r="FB80" s="252" t="str">
        <f t="shared" si="392"/>
        <v/>
      </c>
      <c r="FC80" s="252" t="str">
        <f>IF(CD80="ERROR", "ERROR", IF(OR(V80="No Change", V80="Not DLC or Energy Star"), "", IF(AND(OR($FC$6=Y80,Y80='Lookup Tables'!$AD$21, Y80='Lookup Tables'!$AD$22),E80="Interior"), S80, "")))</f>
        <v/>
      </c>
      <c r="FD80" s="252" t="str">
        <f t="shared" si="393"/>
        <v/>
      </c>
      <c r="FE80" s="101"/>
      <c r="FF80" s="579" t="str" cm="1">
        <f t="array" ref="FF80">IFERROR(IF(OR(BQ80&lt;=0,AQ80&lt;20,AND(V80="Exit Signs",AN80&gt;0)),"",IF(AND(AQ80&gt;=20,AN80='Lookup Tables'!$R$101),'Lookup Tables'!$U$101*BQ80,AP80*LOOKUP(2,1/((AN80='Lookup Tables'!$R$91:$R$111)*(AQ80&gt;='Lookup Tables'!$S$91:$S$111)*(AQ80&lt;='Lookup Tables'!$T$91:$T$111)),'Lookup Tables'!$U$91:$U$111))),"")</f>
        <v/>
      </c>
      <c r="FG80" s="579"/>
      <c r="FH80" s="579"/>
      <c r="FI80" s="253" t="str">
        <f>IFERROR(ROUND(IF(CD80="ERROR", "ERROR", IF(AND($FI$7=X80,E80="Interior"),VLOOKUP(W80, 'Lookup Tables'!$AI$6:$AM$102, 5, FALSE)*BP80, "")), 2), "")</f>
        <v/>
      </c>
      <c r="FJ80" s="253" t="str">
        <f>IFERROR(ROUND(IF(CD80="ERROR", "ERROR", IF(AND($FI$7=X80,E80="Exterior"),VLOOKUP(W80, 'Lookup Tables'!$AI$6:$AM$102, 5, FALSE)*BP80, "")), 2), "")</f>
        <v/>
      </c>
      <c r="FK80" s="253" t="str">
        <f>IFERROR(ROUND(IF(CD80="ERROR", "ERROR", IF(AND($FK$7=X80,E80="Interior"),VLOOKUP(W80, 'Lookup Tables'!$AI$6:$AM$102, 5, FALSE)*BP80, "")), 2), "")</f>
        <v/>
      </c>
      <c r="FL80" s="253" t="str">
        <f>IFERROR(ROUND(IF(CD80="ERROR", "ERROR", IF(AND($FK$7=X80,E80="Exterior"),VLOOKUP(W80, 'Lookup Tables'!$AI$6:$AM$102, 5, FALSE)*BP80, "")), 2), "")</f>
        <v/>
      </c>
      <c r="FM80" s="253" t="str">
        <f>IFERROR(ROUND(IF(CD80="ERROR", "ERROR", IF(AND($FM$6=Y80,E80="Interior"), IF(GB80=0, VLOOKUP(W80, 'Lookup Tables'!$AI$6:$AM$102, 5, FALSE)*BP80, IF(VLOOKUP(W80, 'Lookup Tables'!$AI$6:$AM$102, 5, FALSE)*BP80&gt;GB80*'Lighting Inventory'!S80, GB80*'Lighting Inventory'!S80,VLOOKUP(W80, 'Lookup Tables'!$AI$6:$AM$102, 5, FALSE)*BP80)), "")), 2), "")</f>
        <v/>
      </c>
      <c r="FN80" s="253" t="str">
        <f>IFERROR(ROUND(IF(CD80="ERROR", "ERROR", IF(AND($FM$6=Y80,E80="Exterior"), IF(GB80=0, VLOOKUP(W80, 'Lookup Tables'!$AI$6:$AM$102, 5, FALSE)*BP80, IF(VLOOKUP(W80, 'Lookup Tables'!$AI$6:$AM$102, 5, FALSE)*BP80&gt;GB80*'Lighting Inventory'!S80, GB80*'Lighting Inventory'!S80,VLOOKUP(W80, 'Lookup Tables'!$AI$6:$AM$102, 5, FALSE)*BP80)), "")), 2), "")</f>
        <v/>
      </c>
      <c r="FO80" s="253" t="str">
        <f>IFERROR(ROUND(IF(CD80="ERROR", "ERROR", IF(AND($FO$6=Y80,E80="Interior"),VLOOKUP(W80, 'Lookup Tables'!$AI$6:$AM$102, 5, FALSE)*'Lighting Inventory'!AI80, "")), 2), "")</f>
        <v/>
      </c>
      <c r="FP80" s="253" t="str">
        <f>IFERROR(ROUND(IF(CD80="ERROR", "ERROR", IF(AND($FO$6=Y80,E80="Exterior"),VLOOKUP(W80, 'Lookup Tables'!$AI$6:$AM$102, 5, FALSE)*'Lighting Inventory'!AI80, "")), 2), "")</f>
        <v/>
      </c>
      <c r="FQ80" s="253" t="str">
        <f>IFERROR(ROUND(IF(CD80="ERROR", "ERROR", IF(AND($FQ$6=Y80,E80="Interior", BU80="Y"), VLOOKUP('Lighting Inventory'!W80, 'Lookup Tables'!$AI$6:$AM$102, 5, FALSE)*'Lighting Inventory'!S80, IF(AND($FQ$7=Y80,E80="Interior", BU80="N"), 0.025*CD80, ""))), 2), "")</f>
        <v/>
      </c>
      <c r="FR80" s="253" t="str">
        <f>IFERROR(ROUND(IF(CD80="ERROR", "ERROR", IF(AND($FQ$6=Y80,E80="Exterior"), VLOOKUP('Lighting Inventory'!W80, 'Lookup Tables'!$AI$6:$AM$102, 5, FALSE)*'Lighting Inventory'!S80, "")), 2), "")</f>
        <v/>
      </c>
      <c r="FS80" s="253" t="str">
        <f>IFERROR(ROUND(IF(CD80="ERROR", "ERROR", IF(AND($FS$6=Y80,E80="Exterior"), IF(GB80=0, VLOOKUP(W80, 'Lookup Tables'!$AI$6:$AM$102, 5, FALSE)*BP80, IF(VLOOKUP(W80, 'Lookup Tables'!$AI$6:$AM$102, 5, FALSE)*BP80&gt;GB80*'Lighting Inventory'!S80, GB80*'Lighting Inventory'!S80,VLOOKUP(W80, 'Lookup Tables'!$AI$6:$AM$102, 5, FALSE)*BP80)), "")), 2), "")</f>
        <v/>
      </c>
      <c r="FT80" s="253" t="str">
        <f>IFERROR(ROUND(IF(CD80="ERROR", "ERROR", IF(AND($FT$6=Y80,E80="Interior"), IF(GB80=0, VLOOKUP(W80, 'Lookup Tables'!$AI$6:$AM$102, 5, FALSE)*BP80, IF(VLOOKUP(W80, 'Lookup Tables'!$AI$6:$AM$102, 5, FALSE)*BP80&gt;GB80*'Lighting Inventory'!S80, GB80*'Lighting Inventory'!S80,VLOOKUP(W80, 'Lookup Tables'!$AI$6:$AM$102, 5, FALSE)*BP80)), "")), 2), "")</f>
        <v/>
      </c>
      <c r="FU80" s="253" t="str">
        <f>IFERROR(ROUND(IF(CD80="ERROR", "ERROR", IF(AND(Y80=$FU$6, E80="Interior"), IF(BS80="N", 'Lookup Tables'!$AM$101*BP80, VLOOKUP(W80, 'Lookup Tables'!$AI$6:$AM$102, 5, FALSE)*S80*AD80), "")), 2), "")</f>
        <v/>
      </c>
      <c r="FV80" s="253" t="str">
        <f>IFERROR(ROUND(IF(CD80="ERROR", "ERROR", IF(AND(Y80=$FU$6, E80="Exterior"), IF(BS80="N", 'Lookup Tables'!$AM$101*BP80, VLOOKUP(W80, 'Lookup Tables'!$AI$6:$AM$102, 5, FALSE)*S80*AD80), "")), 2), "")</f>
        <v/>
      </c>
      <c r="FW80" s="253" t="str">
        <f>IFERROR(ROUND(IF(CD80="ERROR", "ERROR", IF($FW$6=Y80, IF(BS80="N", 'Lookup Tables'!$AM$101*BP80, MIN((VLOOKUP(W80, 'Lookup Tables'!$AI$6:$AM$102, 5, FALSE)*BP80),GB80*AJ80)), "")), 2), "")</f>
        <v/>
      </c>
      <c r="FX80" s="253" t="str">
        <f>IFERROR(ROUND(IF(CD80="ERROR", "ERROR", IF(AND($FX$6=Y80, E80="Interior"), IF(VLOOKUP(W80, 'Lookup Tables'!$AI$6:$AM$102, 5, FALSE)*BP80&gt;'Lookup Tables'!$AQ$97*'Lighting Inventory'!S80,'Lighting Inventory'!S80*'Lookup Tables'!$AQ$97,VLOOKUP(W80, 'Lookup Tables'!$AI$6:$AM$102, 5, FALSE)*BP80), "")), 2), "")</f>
        <v/>
      </c>
      <c r="FY80" s="253" t="str">
        <f>IFERROR(ROUND(IF(CD80="ERROR", "ERROR", IF(AND($FX$6=Y80, E80="Exterior"), IF(VLOOKUP(W80, 'Lookup Tables'!$AI$6:$AM$102, 5, FALSE)*BP80&gt;'Lookup Tables'!$AQ$97*'Lighting Inventory'!S80,'Lighting Inventory'!S80*'Lookup Tables'!$AQ$97,VLOOKUP(W80, 'Lookup Tables'!$AI$6:$AM$102, 5, FALSE)*BP80), "")), 2), "")</f>
        <v/>
      </c>
      <c r="FZ80" s="253" t="str">
        <f>IFERROR(ROUND(IF(CD80="ERROR", "ERROR", IF(AND($FZ$6=Y80, E80="Interior"), IF(AND(OR(W80="Refrigerated Case Lighting with Doors", W80="Freezer Case Lighting"),Y80="Custom - Process Improvement"),CD80*'Lookup Tables'!$AM$101, IF(B80="Retrofit", IF(VLOOKUP(IF(V80="Custom", V80, W80), 'Lookup Tables'!$AI$6:$AM$102, 5, FALSE)*BP80&gt;GE80, GE80, VLOOKUP(IF(V80="Custom", V80, W80), 'Lookup Tables'!$AI$6:$AM$102, 5, FALSE)*BP80), IF(VLOOKUP(IF(V80="Custom", V80, W80), 'Lookup Tables'!$AI$114:$AM$154, 5, FALSE)*BP80&gt;GE80, GE80, VLOOKUP(IF(V80="Custom", V80, W80), 'Lookup Tables'!$AI$114:$AM$154, 5, FALSE)*BP80))), "")), 2),"")</f>
        <v/>
      </c>
      <c r="GA80" s="253" t="str">
        <f>IFERROR(ROUND(IF(CD80="ERROR", "ERROR", IF(AND($FZ$6=Y80, E80="Exterior"), IF(B80="Retrofit", IF(VLOOKUP(IF(V80="Custom", V80, W80), 'Lookup Tables'!$AI$6:$AM$102, 5, FALSE)*BP80&gt;GE80, GE80, VLOOKUP(IF(V80="Custom", V80, W80), 'Lookup Tables'!$AI$6:$AM$102, 5, FALSE)*BP80), IF(VLOOKUP(IF(V80="Custom", V80, W80), 'Lookup Tables'!$AI$114:$AM$154, 5, FALSE)*BP80&gt;GE80, GE80, VLOOKUP(IF(V80="Custom", V80, W80), 'Lookup Tables'!$AI$114:$AM$154, 5, FALSE)*BP80)), "")), 2),"")</f>
        <v/>
      </c>
      <c r="GB80" s="254" t="str">
        <f t="array" ref="GB80">IF(B80="","",IF(OR(V80="Custom",V80="No Change"),0,IF(B80="Retrofit", INDEX('Lookup Tables'!$AH$6:$AQ$102,MATCH(1,('Lookup Tables'!$AH$6:$AH$102='Lighting Inventory'!V80)*('Lookup Tables'!$AI$6:$AI$102='Lighting Inventory'!W80),FALSE),10),INDEX('Lookup Tables'!$AH$114:$AQ$154,MATCH(1,('Lookup Tables'!$AH$114:$AH$154='Lighting Inventory'!V80)*('Lookup Tables'!$AI$114:$AI$154='Lighting Inventory'!W80),FALSE),10))))</f>
        <v/>
      </c>
      <c r="GC80" s="255" t="str">
        <f t="shared" si="344"/>
        <v/>
      </c>
      <c r="GD80" s="250" t="str">
        <f t="shared" si="345"/>
        <v/>
      </c>
      <c r="GE80" s="253" t="str">
        <f>IFERROR(IF(AND(AF80="", 'General Information'!$F$18="No"),"", IF(AF80="", ((GD80/$CD$266)*$CF$266)*0.5, AF80*S80*0.5)), "")</f>
        <v/>
      </c>
      <c r="GF80" s="255" t="str">
        <f>IF(AND('General Information'!$F$19="", 'General Information'!$F$18="Yes",AF80="",BW80="Y"), "Y", "N")</f>
        <v>N</v>
      </c>
      <c r="GG80" s="255" t="s">
        <v>2946</v>
      </c>
      <c r="GH80" s="255" t="str">
        <f>IFERROR(IF(B80="", "", VLOOKUP(J80, 'Fixture Identities'!$A$6:$N$908, 14, FALSE)), "")</f>
        <v/>
      </c>
      <c r="GI80" s="389" t="str">
        <f>IF(OR(B80="", V80="", W80=""), "", IF(AND(OR(M80='Lookup Tables'!$R$18, M80='Lookup Tables'!$R$19, M80='Lookup Tables'!$R$20, M80='Lookup Tables'!$R$21, M80='Lookup Tables'!$R$22), OR(AN80='Lookup Tables'!$R$17, AN80='Lookup Tables'!$R$17, AN80="")), "Y", "N"))</f>
        <v/>
      </c>
      <c r="GJ80" s="255" t="str">
        <f t="shared" si="346"/>
        <v/>
      </c>
      <c r="GK80" s="255" t="str">
        <f t="shared" si="347"/>
        <v/>
      </c>
      <c r="GL80" s="255" t="str">
        <f t="shared" si="348"/>
        <v/>
      </c>
      <c r="GM80" s="255" t="str">
        <f>IF(AN80="", "", IF(AND(IF(ISNA(VLOOKUP(AN80,'Lookup Tables'!$R$18:$R$22,1,FALSE)), "N", "Y")="Y", E80="Exterior"), "Y", "N"))</f>
        <v/>
      </c>
      <c r="GN80" s="395"/>
      <c r="GO80" s="428">
        <f t="shared" si="394"/>
        <v>0</v>
      </c>
      <c r="GP80" s="428">
        <f t="shared" si="397"/>
        <v>0</v>
      </c>
      <c r="GQ80" s="428">
        <f t="shared" si="395"/>
        <v>0</v>
      </c>
      <c r="GR80" s="428">
        <f t="shared" si="396"/>
        <v>0</v>
      </c>
    </row>
    <row r="81" spans="1:200" s="103" customFormat="1" ht="13.5" customHeight="1" x14ac:dyDescent="0.2">
      <c r="A81" s="272">
        <v>71</v>
      </c>
      <c r="B81" s="110"/>
      <c r="C81" s="110"/>
      <c r="D81" s="110"/>
      <c r="E81" s="110"/>
      <c r="F81" s="110"/>
      <c r="G81" s="110"/>
      <c r="H81" s="110"/>
      <c r="I81" s="29"/>
      <c r="J81" s="29"/>
      <c r="K81" s="272" t="str">
        <f>IFERROR(IF(OR(VLOOKUP(J81, 'Fixture Identities'!$A$6:$L$1023, 3, FALSE)="T12 Linear Fluorescent", VLOOKUP(J81, 'Fixture Identities'!$A$6:$L$1023, 3, FALSE)="T12 U-Tube Fluorescent"), VLOOKUP(VLOOKUP(J81, 'Fixture Identities'!$A$6:$L$1023, 11, FALSE), 'Fixture Identities'!$A$6:$L$1023, 10, FALSE), VLOOKUP(J81, 'Fixture Identities'!$A$6:$L$1023, 10, FALSE)), "")</f>
        <v/>
      </c>
      <c r="L81" s="270" t="str">
        <f t="shared" si="399"/>
        <v/>
      </c>
      <c r="M81" s="110"/>
      <c r="N81" s="110"/>
      <c r="O81" s="110"/>
      <c r="P81" s="272" t="str">
        <f>IFERROR(IF(OR(B81="Retrofit",B81=""),"",IF('Lighting Inventory'!E81="Exterior",VLOOKUP('Lighting Inventory'!N81,'Lookup Tables'!$B$83:$F$103,5,FALSE),IF(N81="Other - Please Estimate EFLH and CFs","Contact Prog. Rep.","ft^2"))), "")</f>
        <v/>
      </c>
      <c r="Q81" s="270" t="str">
        <f>IFERROR(IF(AND(B81="New Construction",E81="Interior",$F$5="Space-by-Space"),VLOOKUP('Lighting Inventory'!N81,'Lookup Tables'!$N$6:$O$97,2,FALSE),IF(AND(B81="New Construction",E81="Exterior"),VLOOKUP(N81,'Lookup Tables'!$B$83:$F$103,2,FALSE),IF(AND(B81="New Construction",'Lighting Inventory'!E81="Interior", $F$5="Building Area"),VLOOKUP(F81,'Lookup Tables'!$A$6:$J$59,10,FALSE),""))), "")</f>
        <v/>
      </c>
      <c r="R81" s="270" t="str">
        <f>IFERROR(IF(P81="Contact Prog. Rep.", "ERROR", IF(OR(B81="",B81="Retrofit"),"",IF(N81="Automated teller machines", ('Lookup Tables'!$A$82:$E$100+('Lighting Inventory'!O81-1)*'Lookup Tables'!$A$82:$E$100)/1000, (Q81*O81)/1000))), "")</f>
        <v/>
      </c>
      <c r="S81" s="595"/>
      <c r="T81" s="105" t="str">
        <f t="shared" si="349"/>
        <v/>
      </c>
      <c r="U81" s="105" t="str">
        <f>IF(S81="","",COUNT($S$11:S81))</f>
        <v/>
      </c>
      <c r="V81" s="111"/>
      <c r="W81" s="112"/>
      <c r="X81" s="105" t="str">
        <f t="shared" si="350"/>
        <v/>
      </c>
      <c r="Y81" s="105" t="str">
        <f t="array" ref="Y81">IF(AND(OR(W81="Freezer Case Lighting", W81="Refrigerated Case Lighting with Doors"), 'General Information'!$X$18="LCI"),'Lookup Tables'!$Y$34, IF(V81="Custom", VLOOKUP(W81, 'Fixture Identities'!$A$974:$M$1023, 13, FALSE), IF(V81="No Change",'Lookup Tables'!$Y$29,IF(OR(V81="",W81=""),"",IF(AND(S81=0,S81&lt;I81,B81="Retrofit"),'Lookup Tables'!$Y$25, IF(B81="Retrofit", INDEX('Lookup Tables'!$AH$6:$AP$102, MATCH(1, ('Lookup Tables'!$AH$6:$AH$102=V81)*('Lookup Tables'!$AI$6:$AI$102=W81), 0), IF('Lighting Inventory'!E81="Interior", 4, 5)), INDEX('Lookup Tables'!$AH$114:$AP$154, MATCH(1, ('Lookup Tables'!$AH$114:$AH$154=V81)*('Lookup Tables'!$AI$114:$AI$154=W81), 0), IF('Lighting Inventory'!E81="Interior", 4, 5))))))))</f>
        <v/>
      </c>
      <c r="Z81" s="105" t="str">
        <f>IFERROR(INDEX('Lookup Tables'!$AH$158:$AH$172,MATCH('Lighting Inventory'!Y81,'Lookup Tables'!$AI$158:$AI$172,0)),"")</f>
        <v/>
      </c>
      <c r="AA81" s="105" t="str">
        <f>IF(AP81&gt;0,INDEX('Lookup Tables'!$AK$158:$AK$172,MATCH('Lighting Inventory'!Y81,'Lookup Tables'!$AI$158:$AI$172,0)),'Lighting Inventory'!Y81)</f>
        <v/>
      </c>
      <c r="AB81" s="105" t="str">
        <f t="array" ref="AB81">IF(V81="Custom", "Custom", IF(V81="", "", IF(V81="Not DLC or Energy Star", "General", IF(B81="New Construction", INDEX('Lookup Tables'!$AH$114:$AP$154,MATCH(1,('Lookup Tables'!$AH$114:$AH$154='Lighting Inventory'!V81)*('Lookup Tables'!$AI$114:$AI$154='Lighting Inventory'!W81),FALSE),8), INDEX('Lookup Tables'!$AH$6:$AP$102,MATCH(1,('Lookup Tables'!$AH$6:$AH$102='Lighting Inventory'!V81)*('Lookup Tables'!$AI$6:$AI$102='Lighting Inventory'!W81),FALSE),8)))))</f>
        <v/>
      </c>
      <c r="AC81" s="272" t="str">
        <f>IF(W81="","",IF(V81="Custom",CONCATENATE("$",'Lookup Tables'!$AM$101," ",'Lookup Tables'!$AN$101),CONCATENATE("$",INDEX('Lookup Tables'!$AM$6:$AM$102,MATCH('Lighting Inventory'!W81,'Lookup Tables'!$AI$6:$AI$102,0))," ",INDEX('Lookup Tables'!$AN$6:$AN$102,MATCH('Lighting Inventory'!W81,'Lookup Tables'!$AI$6:$AI$102,0)))))</f>
        <v/>
      </c>
      <c r="AD81" s="72"/>
      <c r="AE81" s="29"/>
      <c r="AF81" s="379"/>
      <c r="AG81" s="370" t="str">
        <f t="shared" si="298"/>
        <v/>
      </c>
      <c r="AH81" s="370" t="str">
        <f t="shared" si="351"/>
        <v/>
      </c>
      <c r="AI81" s="29"/>
      <c r="AJ81" s="29"/>
      <c r="AK81" s="110"/>
      <c r="AL81" s="375" t="str">
        <f>IF(OR(B81="", V81="", W81=""), "", IF(V81="No Change", K81, IF(V81="Remove Fixture", 0, IF(V81="Custom",VLOOKUP(W81,'Fixture Identities'!$A$6:$K$1023,10,FALSE),IF(AE81="", "← ENTER POST WATTS", 'Lighting Inventory'!AE81)))))</f>
        <v/>
      </c>
      <c r="AM81" s="376" t="str">
        <f t="shared" si="299"/>
        <v/>
      </c>
      <c r="AN81" s="29"/>
      <c r="AO81" s="671"/>
      <c r="AP81" s="29"/>
      <c r="AQ81" s="29"/>
      <c r="AR81" s="29"/>
      <c r="AS81" s="272" t="str">
        <f t="shared" si="352"/>
        <v/>
      </c>
      <c r="AT81" s="270" t="str">
        <f t="shared" si="300"/>
        <v/>
      </c>
      <c r="AU81" s="88" t="str">
        <f t="shared" si="400"/>
        <v/>
      </c>
      <c r="AV81" s="29"/>
      <c r="AW81" s="73"/>
      <c r="AX81" s="271" t="str">
        <f>IF(AND(AV81="Applicant",OR(AW81="", AW81="Use Default Facility Hours")),"← Choose Schedule",IF(F81="","",IF(W81="LED Exit Signs",8760,IF(OR(AV81="Prescribed",AV81=""),VLOOKUP(F81,'Lookup Tables'!$A$6:$G$59,IF(AB81="General", 6, 3),FALSE),VLOOKUP(AW81,'Lookup Tables'!$S$36:$U$43,2,FALSE)))))</f>
        <v/>
      </c>
      <c r="AY81" s="88" t="str">
        <f t="shared" si="301"/>
        <v/>
      </c>
      <c r="AZ81" s="270" t="str">
        <f>IFERROR(IF(F81="", "", IF(W81="LED Exit Signs", 1, IF(AV81="Applicant",VLOOKUP(AW81, 'Lookup Tables'!$S$36:$U$43,3, FALSE), VLOOKUP('Lighting Inventory'!F81, 'Lookup Tables'!$A$6:$H$59, IF('Lighting Inventory'!AB81="General",7,4), FALSE)))), "")</f>
        <v/>
      </c>
      <c r="BA81" s="522" t="str">
        <f>IFERROR(IF(F81="", "", IF(W81="LED Exit Signs", 1, VLOOKUP('Lighting Inventory'!F81, 'Lookup Tables'!$A$6:$H$59, IF('Lighting Inventory'!AB81="General",8,5), FALSE))), "")</f>
        <v/>
      </c>
      <c r="BB81" s="270" t="str">
        <f>IF(G81="", "", IF(E81="Exterior", 0, IF('Lighting Inventory'!G81="Air Conditioned", VLOOKUP(H81, 'Lookup Tables'!$R$6:$T$13, 2, FALSE), VLOOKUP('Lighting Inventory'!G81, 'Lookup Tables'!$R$6:$T$13, 2, FALSE))))</f>
        <v/>
      </c>
      <c r="BC81" s="522" t="str">
        <f>IF(G81="", "", IF(E81="Exterior", 0, IF('Lighting Inventory'!G81="Air Conditioned", VLOOKUP(H81, 'Lookup Tables'!$R$6:$T$13, 3, FALSE), VLOOKUP('Lighting Inventory'!G81, 'Lookup Tables'!$R$6:$T$13, 3, FALSE))))</f>
        <v/>
      </c>
      <c r="BD81" s="270" t="str">
        <f>IF(G81="", "", IF(E81="Exterior", 0, IF('Lighting Inventory'!G81="Air Conditioned", VLOOKUP(H81, 'Lookup Tables'!$R$6:$U$13, 4, FALSE), VLOOKUP('Lighting Inventory'!G81, 'Lookup Tables'!$R$6:$U$13, 4, FALSE))))</f>
        <v/>
      </c>
      <c r="BE81" s="270" t="str">
        <f>IFERROR(IF(B81="", "",  IF(B81="New Construction", VLOOKUP(F81, 'Lookup Tables'!$A$6:$K$59, 11, FALSE),IF(OR(AN81="", AN81="Light Switch"), 0, IF(OR(M81="",M81="None",V81= "LED Exit Signs"),0,_xlfn.XLOOKUP(M81,'Lookup Tables'!$R$91:$R$101,'Lookup Tables'!$V$91:$V$101))))), "")</f>
        <v/>
      </c>
      <c r="BF81" s="270" t="str">
        <f>IF(AND(OR(AN81="Light Switch",AN81=""),B81="New Construction"), VLOOKUP(F81, 'Lookup Tables'!$A$6:$K$59, 11, FALSE),IF(AN81="","",IF(B81="","",IF(OR(AN81="None",AN81="",V81="LED Exit Signs",AN81="Exterior Controls Not Eligible"),0,_xlfn.XLOOKUP(AN81,'Lookup Tables'!$R$91:$R$101,'Lookup Tables'!$V$91:$V$101)))))</f>
        <v/>
      </c>
      <c r="BG81" s="88" t="str">
        <f t="shared" si="353"/>
        <v/>
      </c>
      <c r="BH81" s="88" t="str">
        <f t="shared" si="354"/>
        <v/>
      </c>
      <c r="BI81" s="558" t="str">
        <f t="shared" si="398"/>
        <v/>
      </c>
      <c r="BJ81" s="82" t="str">
        <f t="shared" si="355"/>
        <v/>
      </c>
      <c r="BK81" s="82" t="str">
        <f t="shared" si="356"/>
        <v/>
      </c>
      <c r="BL81" s="559" t="str">
        <f t="shared" si="357"/>
        <v/>
      </c>
      <c r="BM81" s="521" t="str">
        <f t="shared" si="302"/>
        <v/>
      </c>
      <c r="BN81" s="521" t="str">
        <f t="shared" si="303"/>
        <v/>
      </c>
      <c r="BO81" s="522" t="str">
        <f t="shared" si="304"/>
        <v/>
      </c>
      <c r="BP81" s="83" t="str">
        <f t="shared" si="358"/>
        <v/>
      </c>
      <c r="BQ81" s="84" t="str">
        <f t="shared" si="359"/>
        <v/>
      </c>
      <c r="BR81" s="184" t="str">
        <f>IFERROR(IF(B81="", "", IF(OR(VLOOKUP(J81, 'Fixture Identities'!$A$6:$L$1023, 3, FALSE)="T12 Linear Fluorescent",VLOOKUP(J81, 'Fixture Identities'!$A$6:$L$1023, 3, FALSE)="T12 U-Tube Fluorescent"), "Y", "N")), "N")</f>
        <v/>
      </c>
      <c r="BS81" s="184" t="str">
        <f t="array" ref="BS81">IFERROR(IF(OR(B81="", V81="", W81=""), "", IF(V81="Custom", "N", IF(OR(W81="Freezer Case Lighting", W81="Refrigerated Case Lighting with Doors"), BT81, IF(B81="Retrofit", INDEX('Lookup Tables'!$AH$6:$AT$102,MATCH(1,('Lookup Tables'!$AH$6:$AH$102=V81)*('Lookup Tables'!$AI$6:$AI$102=W81),FALSE),IF(VLOOKUP(J81, 'Fixture Identities'!$A$6:$B$1023, 2, FALSE)="Incandescent",12, 13)), INDEX('Lookup Tables'!$AH$114:$AS$154,MATCH(1,('Lookup Tables'!$AH$114:$AH$154=V81)*('Lookup Tables'!$AI$114:$AI$154=W81),FALSE),12))))), "N")</f>
        <v/>
      </c>
      <c r="BT81" s="184" t="str">
        <f>IF(J81="", "", IF(AND(OR(W81="Freezer case Lighting", W81="Refrigerated Case Lighting with Doors"),'General Information'!$X$18="LCI"), "N", IF(OR(VLOOKUP(J81, 'Fixture Identities'!$A$6:$B$1023, 2, FALSE)="T12 EPACT/EISA Baseline", VLOOKUP(J81, 'Fixture Identities'!$A$6:$B$1023, 2, FALSE)="Linear Fluorescent", VLOOKUP(J81, 'Fixture Identities'!$A$6:$B$1023, 2, FALSE)="U-Tube Fluorescent"), "Y", "N")))</f>
        <v/>
      </c>
      <c r="BU81" s="184" t="str">
        <f>IFERROR(IF(B81="", "", IF(VLOOKUP(J81, 'Fixture Identities'!$A$6:$B$1023, 2, FALSE)="Exit Sign", "Y", "N")), "N")</f>
        <v/>
      </c>
      <c r="BV81" s="184" t="str">
        <f>IF(V81="Exit Signs", IF(VLOOKUP(J81, 'Fixture Identities'!$A$6:$B$1023, 2, FALSE)="Exit Sign", "N", "Y"), "")</f>
        <v/>
      </c>
      <c r="BW81" s="184" t="str">
        <f t="array" ref="BW81">IFERROR(IF(B81="", "", IF(B81="New Construction", "N", INDEX('Lookup Tables'!$AH$6:$AU$102, MATCH(1, ('Lookup Tables'!$AH$6:$AH$102='Lighting Inventory'!V81)*('Lookup Tables'!$AI$6:$AI$102='Lighting Inventory'!W81), 0), 14))), "N")</f>
        <v/>
      </c>
      <c r="BX81" s="598" t="str">
        <f t="shared" si="360"/>
        <v/>
      </c>
      <c r="BY81" s="598" t="str">
        <f t="shared" si="361"/>
        <v/>
      </c>
      <c r="BZ81" s="598" t="str">
        <f t="shared" si="362"/>
        <v/>
      </c>
      <c r="CA81" s="598" t="str">
        <f t="shared" si="363"/>
        <v/>
      </c>
      <c r="CB81" s="269" t="str">
        <f t="shared" si="364"/>
        <v/>
      </c>
      <c r="CC81" s="517" t="str">
        <f t="shared" si="365"/>
        <v/>
      </c>
      <c r="CD81" s="565" t="str">
        <f t="shared" si="305"/>
        <v/>
      </c>
      <c r="CE81" s="368">
        <v>0</v>
      </c>
      <c r="CF81" s="368" t="str" cm="1">
        <f t="array" ref="CF81">IFERROR(IF(V81="Custom", "$0.1 per kWh", IF(B81="New Construction", CONCATENATE("$",INDEX('Lookup Tables'!$AH$114:$AN$154,MATCH(1,('Lookup Tables'!$AH$114:$AH$154='Lighting Inventory'!V81)*('Lookup Tables'!$AI$114:$AI$154='Lighting Inventory'!W81),FALSE),6)," ",INDEX('Lookup Tables'!$AH$114:$AN$154,MATCH(1,('Lookup Tables'!$AH$114:$AH$154='Lighting Inventory'!V81)*('Lookup Tables'!$AI$114:$AI$154='Lighting Inventory'!W81),FALSE),7)), IF(AND(BU81="N", V81="Exit Signs"), "$0.025 per kWh", CONCATENATE("$",INDEX('Lookup Tables'!$AH$6:$AN$102,MATCH(1,('Lookup Tables'!$AH$6:$AH$102='Lighting Inventory'!V81)*('Lookup Tables'!$AI$6:$AI$102='Lighting Inventory'!W81),FALSE),6)," ",INDEX('Lookup Tables'!$AH$6:$AN$102,MATCH(1,('Lookup Tables'!$AH$6:$AH$102='Lighting Inventory'!V81)*('Lookup Tables'!$AI$6:$AI$102='Lighting Inventory'!W81),FALSE),7))))), "")</f>
        <v/>
      </c>
      <c r="CG81" s="366"/>
      <c r="CH81" s="248" t="str">
        <f t="shared" si="306"/>
        <v/>
      </c>
      <c r="CI81" s="248" t="str">
        <f t="shared" si="307"/>
        <v>Select_IE</v>
      </c>
      <c r="CJ81" s="248" t="str">
        <f t="shared" si="308"/>
        <v/>
      </c>
      <c r="CK81" s="248" t="str">
        <f t="shared" si="309"/>
        <v/>
      </c>
      <c r="CL81" s="248" t="str">
        <f t="shared" si="310"/>
        <v/>
      </c>
      <c r="CM81" s="248" t="str">
        <f>IFERROR(IF(B81="", "", IF(B81="New Construction", VLOOKUP(V81, 'Lookup Tables'!$AF$114:$AG$120, 2, FALSE), VLOOKUP(V81, 'Lookup Tables'!$AD$6:$AE$25, 2, FALSE))), "")</f>
        <v/>
      </c>
      <c r="CN81" s="248" t="str">
        <f t="shared" si="311"/>
        <v/>
      </c>
      <c r="CO81" s="248" t="str">
        <f t="shared" si="312"/>
        <v/>
      </c>
      <c r="CP81" s="592" t="str">
        <f t="shared" si="313"/>
        <v/>
      </c>
      <c r="CQ81" s="248" t="str">
        <f t="shared" si="366"/>
        <v/>
      </c>
      <c r="CR81" s="100"/>
      <c r="CS81" s="250" t="str">
        <f t="shared" si="314"/>
        <v/>
      </c>
      <c r="CT81" s="250" t="str">
        <f t="shared" si="367"/>
        <v/>
      </c>
      <c r="CU81" s="250" t="str">
        <f t="shared" si="368"/>
        <v/>
      </c>
      <c r="CV81" s="250" t="str">
        <f t="shared" si="369"/>
        <v/>
      </c>
      <c r="CW81" s="250" t="str">
        <f t="shared" si="370"/>
        <v/>
      </c>
      <c r="CX81" s="250" t="str">
        <f t="shared" si="315"/>
        <v/>
      </c>
      <c r="CY81" s="250" t="str">
        <f t="shared" si="316"/>
        <v/>
      </c>
      <c r="CZ81" s="250" t="str">
        <f t="shared" si="317"/>
        <v/>
      </c>
      <c r="DA81" s="250" t="str">
        <f t="shared" si="318"/>
        <v/>
      </c>
      <c r="DB81" s="250" t="str">
        <f t="shared" si="319"/>
        <v/>
      </c>
      <c r="DC81" s="250" t="str">
        <f t="shared" si="320"/>
        <v/>
      </c>
      <c r="DD81" s="250" t="str">
        <f t="shared" si="321"/>
        <v/>
      </c>
      <c r="DE81" s="250" t="str">
        <f t="shared" si="322"/>
        <v/>
      </c>
      <c r="DF81" s="250" t="str">
        <f t="shared" si="323"/>
        <v/>
      </c>
      <c r="DG81" s="250" t="str">
        <f t="shared" si="324"/>
        <v/>
      </c>
      <c r="DH81" s="250" t="str">
        <f t="shared" si="325"/>
        <v/>
      </c>
      <c r="DI81" s="250" t="str">
        <f t="shared" si="326"/>
        <v/>
      </c>
      <c r="DJ81" s="250" t="str">
        <f t="shared" si="327"/>
        <v/>
      </c>
      <c r="DK81" s="250" t="str">
        <f t="shared" si="328"/>
        <v/>
      </c>
      <c r="DL81" s="250" t="str">
        <f t="shared" si="329"/>
        <v/>
      </c>
      <c r="DM81" s="250" t="str">
        <f>IF(CD81="ERROR", "ERROR", IF(AND(OR(Y81=$DM$6, Y81='Lookup Tables'!$AD$21, Y81='Lookup Tables'!$AD$22), E81="Interior"), BJ81, ""))</f>
        <v/>
      </c>
      <c r="DN81" s="250" t="str">
        <f>IF(CD81="ERROR", "ERROR", IF(AND(OR(Y81=$DM$6, Y81='Lookup Tables'!$AD$21, Y81='Lookup Tables'!$AD$22), E81="Exterior"), BJ81, ""))</f>
        <v/>
      </c>
      <c r="DO81" s="100"/>
      <c r="DP81" s="250" t="str">
        <f t="shared" si="330"/>
        <v/>
      </c>
      <c r="DQ81" s="250" t="str">
        <f t="shared" si="371"/>
        <v/>
      </c>
      <c r="DR81" s="250" t="str">
        <f t="shared" si="372"/>
        <v/>
      </c>
      <c r="DS81" s="250" t="str">
        <f t="shared" si="373"/>
        <v/>
      </c>
      <c r="DT81" s="250" t="str">
        <f t="shared" si="374"/>
        <v/>
      </c>
      <c r="DU81" s="250" t="str">
        <f t="shared" si="331"/>
        <v/>
      </c>
      <c r="DV81" s="250" t="str">
        <f t="shared" si="332"/>
        <v/>
      </c>
      <c r="DW81" s="250" t="str">
        <f t="shared" si="333"/>
        <v/>
      </c>
      <c r="DX81" s="250" t="str">
        <f t="shared" si="334"/>
        <v/>
      </c>
      <c r="DY81" s="250" t="str">
        <f t="shared" si="335"/>
        <v/>
      </c>
      <c r="DZ81" s="250" t="str">
        <f t="shared" si="336"/>
        <v/>
      </c>
      <c r="EA81" s="250" t="str">
        <f t="shared" si="337"/>
        <v/>
      </c>
      <c r="EB81" s="250" t="str">
        <f t="shared" si="375"/>
        <v/>
      </c>
      <c r="EC81" s="250" t="str">
        <f t="shared" si="338"/>
        <v/>
      </c>
      <c r="ED81" s="250" t="str">
        <f t="shared" si="339"/>
        <v/>
      </c>
      <c r="EE81" s="250" t="str">
        <f t="shared" si="340"/>
        <v/>
      </c>
      <c r="EF81" s="250" t="str">
        <f t="shared" si="341"/>
        <v/>
      </c>
      <c r="EG81" s="250" t="str">
        <f t="shared" si="342"/>
        <v/>
      </c>
      <c r="EH81" s="250" t="str">
        <f>IF(CD81="ERROR", "ERROR", IF(AND(OR($EH$6=Y81, Y81='Lookup Tables'!$AD$21, Y81='Lookup Tables'!$AD$22),E81="Interior"), SUM(BP81:BP81), ""))</f>
        <v/>
      </c>
      <c r="EI81" s="250" t="str">
        <f>IF(CD81="ERROR", "ERROR", IF(AND(OR($EH$6=Y81, Y81='Lookup Tables'!$AD$21, Y81='Lookup Tables'!$AD$22),E81="Exterior"), SUM(BP81:BP81), ""))</f>
        <v/>
      </c>
      <c r="EJ81" s="109"/>
      <c r="EK81" s="485" t="str">
        <f t="shared" si="343"/>
        <v/>
      </c>
      <c r="EL81" s="252" t="str">
        <f t="shared" si="376"/>
        <v/>
      </c>
      <c r="EM81" s="252" t="str">
        <f t="shared" si="377"/>
        <v/>
      </c>
      <c r="EN81" s="252" t="str">
        <f t="shared" si="378"/>
        <v/>
      </c>
      <c r="EO81" s="252" t="str">
        <f t="shared" si="379"/>
        <v/>
      </c>
      <c r="EP81" s="252" t="str">
        <f t="shared" si="380"/>
        <v/>
      </c>
      <c r="EQ81" s="252" t="str">
        <f t="shared" si="381"/>
        <v/>
      </c>
      <c r="ER81" s="252" t="str">
        <f t="shared" si="382"/>
        <v/>
      </c>
      <c r="ES81" s="252" t="str">
        <f t="shared" si="383"/>
        <v/>
      </c>
      <c r="ET81" s="252" t="str">
        <f t="shared" si="384"/>
        <v/>
      </c>
      <c r="EU81" s="252" t="str">
        <f t="shared" si="385"/>
        <v/>
      </c>
      <c r="EV81" s="252" t="str">
        <f t="shared" si="386"/>
        <v/>
      </c>
      <c r="EW81" s="252" t="str">
        <f t="shared" si="387"/>
        <v/>
      </c>
      <c r="EX81" s="252" t="str">
        <f t="shared" si="388"/>
        <v/>
      </c>
      <c r="EY81" s="252" t="str">
        <f t="shared" si="389"/>
        <v/>
      </c>
      <c r="EZ81" s="252" t="str">
        <f t="shared" si="390"/>
        <v/>
      </c>
      <c r="FA81" s="252" t="str">
        <f t="shared" si="391"/>
        <v/>
      </c>
      <c r="FB81" s="252" t="str">
        <f t="shared" si="392"/>
        <v/>
      </c>
      <c r="FC81" s="252" t="str">
        <f>IF(CD81="ERROR", "ERROR", IF(OR(V81="No Change", V81="Not DLC or Energy Star"), "", IF(AND(OR($FC$6=Y81,Y81='Lookup Tables'!$AD$21, Y81='Lookup Tables'!$AD$22),E81="Interior"), S81, "")))</f>
        <v/>
      </c>
      <c r="FD81" s="252" t="str">
        <f t="shared" si="393"/>
        <v/>
      </c>
      <c r="FE81" s="101"/>
      <c r="FF81" s="579" t="str" cm="1">
        <f t="array" ref="FF81">IFERROR(IF(OR(BQ81&lt;=0,AQ81&lt;20,AND(V81="Exit Signs",AN81&gt;0)),"",IF(AND(AQ81&gt;=20,AN81='Lookup Tables'!$R$101),'Lookup Tables'!$U$101*BQ81,AP81*LOOKUP(2,1/((AN81='Lookup Tables'!$R$91:$R$111)*(AQ81&gt;='Lookup Tables'!$S$91:$S$111)*(AQ81&lt;='Lookup Tables'!$T$91:$T$111)),'Lookup Tables'!$U$91:$U$111))),"")</f>
        <v/>
      </c>
      <c r="FG81" s="579"/>
      <c r="FH81" s="579"/>
      <c r="FI81" s="253" t="str">
        <f>IFERROR(ROUND(IF(CD81="ERROR", "ERROR", IF(AND($FI$7=X81,E81="Interior"),VLOOKUP(W81, 'Lookup Tables'!$AI$6:$AM$102, 5, FALSE)*BP81, "")), 2), "")</f>
        <v/>
      </c>
      <c r="FJ81" s="253" t="str">
        <f>IFERROR(ROUND(IF(CD81="ERROR", "ERROR", IF(AND($FI$7=X81,E81="Exterior"),VLOOKUP(W81, 'Lookup Tables'!$AI$6:$AM$102, 5, FALSE)*BP81, "")), 2), "")</f>
        <v/>
      </c>
      <c r="FK81" s="253" t="str">
        <f>IFERROR(ROUND(IF(CD81="ERROR", "ERROR", IF(AND($FK$7=X81,E81="Interior"),VLOOKUP(W81, 'Lookup Tables'!$AI$6:$AM$102, 5, FALSE)*BP81, "")), 2), "")</f>
        <v/>
      </c>
      <c r="FL81" s="253" t="str">
        <f>IFERROR(ROUND(IF(CD81="ERROR", "ERROR", IF(AND($FK$7=X81,E81="Exterior"),VLOOKUP(W81, 'Lookup Tables'!$AI$6:$AM$102, 5, FALSE)*BP81, "")), 2), "")</f>
        <v/>
      </c>
      <c r="FM81" s="253" t="str">
        <f>IFERROR(ROUND(IF(CD81="ERROR", "ERROR", IF(AND($FM$6=Y81,E81="Interior"), IF(GB81=0, VLOOKUP(W81, 'Lookup Tables'!$AI$6:$AM$102, 5, FALSE)*BP81, IF(VLOOKUP(W81, 'Lookup Tables'!$AI$6:$AM$102, 5, FALSE)*BP81&gt;GB81*'Lighting Inventory'!S81, GB81*'Lighting Inventory'!S81,VLOOKUP(W81, 'Lookup Tables'!$AI$6:$AM$102, 5, FALSE)*BP81)), "")), 2), "")</f>
        <v/>
      </c>
      <c r="FN81" s="253" t="str">
        <f>IFERROR(ROUND(IF(CD81="ERROR", "ERROR", IF(AND($FM$6=Y81,E81="Exterior"), IF(GB81=0, VLOOKUP(W81, 'Lookup Tables'!$AI$6:$AM$102, 5, FALSE)*BP81, IF(VLOOKUP(W81, 'Lookup Tables'!$AI$6:$AM$102, 5, FALSE)*BP81&gt;GB81*'Lighting Inventory'!S81, GB81*'Lighting Inventory'!S81,VLOOKUP(W81, 'Lookup Tables'!$AI$6:$AM$102, 5, FALSE)*BP81)), "")), 2), "")</f>
        <v/>
      </c>
      <c r="FO81" s="253" t="str">
        <f>IFERROR(ROUND(IF(CD81="ERROR", "ERROR", IF(AND($FO$6=Y81,E81="Interior"),VLOOKUP(W81, 'Lookup Tables'!$AI$6:$AM$102, 5, FALSE)*'Lighting Inventory'!AI81, "")), 2), "")</f>
        <v/>
      </c>
      <c r="FP81" s="253" t="str">
        <f>IFERROR(ROUND(IF(CD81="ERROR", "ERROR", IF(AND($FO$6=Y81,E81="Exterior"),VLOOKUP(W81, 'Lookup Tables'!$AI$6:$AM$102, 5, FALSE)*'Lighting Inventory'!AI81, "")), 2), "")</f>
        <v/>
      </c>
      <c r="FQ81" s="253" t="str">
        <f>IFERROR(ROUND(IF(CD81="ERROR", "ERROR", IF(AND($FQ$6=Y81,E81="Interior", BU81="Y"), VLOOKUP('Lighting Inventory'!W81, 'Lookup Tables'!$AI$6:$AM$102, 5, FALSE)*'Lighting Inventory'!S81, IF(AND($FQ$7=Y81,E81="Interior", BU81="N"), 0.025*CD81, ""))), 2), "")</f>
        <v/>
      </c>
      <c r="FR81" s="253" t="str">
        <f>IFERROR(ROUND(IF(CD81="ERROR", "ERROR", IF(AND($FQ$6=Y81,E81="Exterior"), VLOOKUP('Lighting Inventory'!W81, 'Lookup Tables'!$AI$6:$AM$102, 5, FALSE)*'Lighting Inventory'!S81, "")), 2), "")</f>
        <v/>
      </c>
      <c r="FS81" s="253" t="str">
        <f>IFERROR(ROUND(IF(CD81="ERROR", "ERROR", IF(AND($FS$6=Y81,E81="Exterior"), IF(GB81=0, VLOOKUP(W81, 'Lookup Tables'!$AI$6:$AM$102, 5, FALSE)*BP81, IF(VLOOKUP(W81, 'Lookup Tables'!$AI$6:$AM$102, 5, FALSE)*BP81&gt;GB81*'Lighting Inventory'!S81, GB81*'Lighting Inventory'!S81,VLOOKUP(W81, 'Lookup Tables'!$AI$6:$AM$102, 5, FALSE)*BP81)), "")), 2), "")</f>
        <v/>
      </c>
      <c r="FT81" s="253" t="str">
        <f>IFERROR(ROUND(IF(CD81="ERROR", "ERROR", IF(AND($FT$6=Y81,E81="Interior"), IF(GB81=0, VLOOKUP(W81, 'Lookup Tables'!$AI$6:$AM$102, 5, FALSE)*BP81, IF(VLOOKUP(W81, 'Lookup Tables'!$AI$6:$AM$102, 5, FALSE)*BP81&gt;GB81*'Lighting Inventory'!S81, GB81*'Lighting Inventory'!S81,VLOOKUP(W81, 'Lookup Tables'!$AI$6:$AM$102, 5, FALSE)*BP81)), "")), 2), "")</f>
        <v/>
      </c>
      <c r="FU81" s="253" t="str">
        <f>IFERROR(ROUND(IF(CD81="ERROR", "ERROR", IF(AND(Y81=$FU$6, E81="Interior"), IF(BS81="N", 'Lookup Tables'!$AM$101*BP81, VLOOKUP(W81, 'Lookup Tables'!$AI$6:$AM$102, 5, FALSE)*S81*AD81), "")), 2), "")</f>
        <v/>
      </c>
      <c r="FV81" s="253" t="str">
        <f>IFERROR(ROUND(IF(CD81="ERROR", "ERROR", IF(AND(Y81=$FU$6, E81="Exterior"), IF(BS81="N", 'Lookup Tables'!$AM$101*BP81, VLOOKUP(W81, 'Lookup Tables'!$AI$6:$AM$102, 5, FALSE)*S81*AD81), "")), 2), "")</f>
        <v/>
      </c>
      <c r="FW81" s="253" t="str">
        <f>IFERROR(ROUND(IF(CD81="ERROR", "ERROR", IF($FW$6=Y81, IF(BS81="N", 'Lookup Tables'!$AM$101*BP81, MIN((VLOOKUP(W81, 'Lookup Tables'!$AI$6:$AM$102, 5, FALSE)*BP81),GB81*AJ81)), "")), 2), "")</f>
        <v/>
      </c>
      <c r="FX81" s="253" t="str">
        <f>IFERROR(ROUND(IF(CD81="ERROR", "ERROR", IF(AND($FX$6=Y81, E81="Interior"), IF(VLOOKUP(W81, 'Lookup Tables'!$AI$6:$AM$102, 5, FALSE)*BP81&gt;'Lookup Tables'!$AQ$97*'Lighting Inventory'!S81,'Lighting Inventory'!S81*'Lookup Tables'!$AQ$97,VLOOKUP(W81, 'Lookup Tables'!$AI$6:$AM$102, 5, FALSE)*BP81), "")), 2), "")</f>
        <v/>
      </c>
      <c r="FY81" s="253" t="str">
        <f>IFERROR(ROUND(IF(CD81="ERROR", "ERROR", IF(AND($FX$6=Y81, E81="Exterior"), IF(VLOOKUP(W81, 'Lookup Tables'!$AI$6:$AM$102, 5, FALSE)*BP81&gt;'Lookup Tables'!$AQ$97*'Lighting Inventory'!S81,'Lighting Inventory'!S81*'Lookup Tables'!$AQ$97,VLOOKUP(W81, 'Lookup Tables'!$AI$6:$AM$102, 5, FALSE)*BP81), "")), 2), "")</f>
        <v/>
      </c>
      <c r="FZ81" s="253" t="str">
        <f>IFERROR(ROUND(IF(CD81="ERROR", "ERROR", IF(AND($FZ$6=Y81, E81="Interior"), IF(AND(OR(W81="Refrigerated Case Lighting with Doors", W81="Freezer Case Lighting"),Y81="Custom - Process Improvement"),CD81*'Lookup Tables'!$AM$101, IF(B81="Retrofit", IF(VLOOKUP(IF(V81="Custom", V81, W81), 'Lookup Tables'!$AI$6:$AM$102, 5, FALSE)*BP81&gt;GE81, GE81, VLOOKUP(IF(V81="Custom", V81, W81), 'Lookup Tables'!$AI$6:$AM$102, 5, FALSE)*BP81), IF(VLOOKUP(IF(V81="Custom", V81, W81), 'Lookup Tables'!$AI$114:$AM$154, 5, FALSE)*BP81&gt;GE81, GE81, VLOOKUP(IF(V81="Custom", V81, W81), 'Lookup Tables'!$AI$114:$AM$154, 5, FALSE)*BP81))), "")), 2),"")</f>
        <v/>
      </c>
      <c r="GA81" s="253" t="str">
        <f>IFERROR(ROUND(IF(CD81="ERROR", "ERROR", IF(AND($FZ$6=Y81, E81="Exterior"), IF(B81="Retrofit", IF(VLOOKUP(IF(V81="Custom", V81, W81), 'Lookup Tables'!$AI$6:$AM$102, 5, FALSE)*BP81&gt;GE81, GE81, VLOOKUP(IF(V81="Custom", V81, W81), 'Lookup Tables'!$AI$6:$AM$102, 5, FALSE)*BP81), IF(VLOOKUP(IF(V81="Custom", V81, W81), 'Lookup Tables'!$AI$114:$AM$154, 5, FALSE)*BP81&gt;GE81, GE81, VLOOKUP(IF(V81="Custom", V81, W81), 'Lookup Tables'!$AI$114:$AM$154, 5, FALSE)*BP81)), "")), 2),"")</f>
        <v/>
      </c>
      <c r="GB81" s="254" t="str">
        <f t="array" ref="GB81">IF(B81="","",IF(OR(V81="Custom",V81="No Change"),0,IF(B81="Retrofit", INDEX('Lookup Tables'!$AH$6:$AQ$102,MATCH(1,('Lookup Tables'!$AH$6:$AH$102='Lighting Inventory'!V81)*('Lookup Tables'!$AI$6:$AI$102='Lighting Inventory'!W81),FALSE),10),INDEX('Lookup Tables'!$AH$114:$AQ$154,MATCH(1,('Lookup Tables'!$AH$114:$AH$154='Lighting Inventory'!V81)*('Lookup Tables'!$AI$114:$AI$154='Lighting Inventory'!W81),FALSE),10))))</f>
        <v/>
      </c>
      <c r="GC81" s="255" t="str">
        <f t="shared" si="344"/>
        <v/>
      </c>
      <c r="GD81" s="250" t="str">
        <f t="shared" si="345"/>
        <v/>
      </c>
      <c r="GE81" s="253" t="str">
        <f>IFERROR(IF(AND(AF81="", 'General Information'!$F$18="No"),"", IF(AF81="", ((GD81/$CD$266)*$CF$266)*0.5, AF81*S81*0.5)), "")</f>
        <v/>
      </c>
      <c r="GF81" s="255" t="str">
        <f>IF(AND('General Information'!$F$19="", 'General Information'!$F$18="Yes",AF81="",BW81="Y"), "Y", "N")</f>
        <v>N</v>
      </c>
      <c r="GG81" s="255" t="s">
        <v>2946</v>
      </c>
      <c r="GH81" s="255" t="str">
        <f>IFERROR(IF(B81="", "", VLOOKUP(J81, 'Fixture Identities'!$A$6:$N$908, 14, FALSE)), "")</f>
        <v/>
      </c>
      <c r="GI81" s="389" t="str">
        <f>IF(OR(B81="", V81="", W81=""), "", IF(AND(OR(M81='Lookup Tables'!$R$18, M81='Lookup Tables'!$R$19, M81='Lookup Tables'!$R$20, M81='Lookup Tables'!$R$21, M81='Lookup Tables'!$R$22), OR(AN81='Lookup Tables'!$R$17, AN81='Lookup Tables'!$R$17, AN81="")), "Y", "N"))</f>
        <v/>
      </c>
      <c r="GJ81" s="255" t="str">
        <f t="shared" si="346"/>
        <v/>
      </c>
      <c r="GK81" s="255" t="str">
        <f t="shared" si="347"/>
        <v/>
      </c>
      <c r="GL81" s="255" t="str">
        <f t="shared" si="348"/>
        <v/>
      </c>
      <c r="GM81" s="255" t="str">
        <f>IF(AN81="", "", IF(AND(IF(ISNA(VLOOKUP(AN81,'Lookup Tables'!$R$18:$R$22,1,FALSE)), "N", "Y")="Y", E81="Exterior"), "Y", "N"))</f>
        <v/>
      </c>
      <c r="GN81" s="395"/>
      <c r="GO81" s="428">
        <f t="shared" si="394"/>
        <v>0</v>
      </c>
      <c r="GP81" s="428">
        <f t="shared" si="397"/>
        <v>0</v>
      </c>
      <c r="GQ81" s="428">
        <f t="shared" si="395"/>
        <v>0</v>
      </c>
      <c r="GR81" s="428">
        <f t="shared" si="396"/>
        <v>0</v>
      </c>
    </row>
    <row r="82" spans="1:200" s="103" customFormat="1" ht="13.5" customHeight="1" x14ac:dyDescent="0.2">
      <c r="A82" s="272">
        <v>72</v>
      </c>
      <c r="B82" s="110"/>
      <c r="C82" s="110"/>
      <c r="D82" s="110"/>
      <c r="E82" s="110"/>
      <c r="F82" s="110"/>
      <c r="G82" s="110"/>
      <c r="H82" s="110"/>
      <c r="I82" s="29"/>
      <c r="J82" s="29"/>
      <c r="K82" s="272" t="str">
        <f>IFERROR(IF(OR(VLOOKUP(J82, 'Fixture Identities'!$A$6:$L$1023, 3, FALSE)="T12 Linear Fluorescent", VLOOKUP(J82, 'Fixture Identities'!$A$6:$L$1023, 3, FALSE)="T12 U-Tube Fluorescent"), VLOOKUP(VLOOKUP(J82, 'Fixture Identities'!$A$6:$L$1023, 11, FALSE), 'Fixture Identities'!$A$6:$L$1023, 10, FALSE), VLOOKUP(J82, 'Fixture Identities'!$A$6:$L$1023, 10, FALSE)), "")</f>
        <v/>
      </c>
      <c r="L82" s="270" t="str">
        <f t="shared" si="399"/>
        <v/>
      </c>
      <c r="M82" s="110"/>
      <c r="N82" s="110"/>
      <c r="O82" s="110"/>
      <c r="P82" s="272" t="str">
        <f>IFERROR(IF(OR(B82="Retrofit",B82=""),"",IF('Lighting Inventory'!E82="Exterior",VLOOKUP('Lighting Inventory'!N82,'Lookup Tables'!$B$83:$F$103,5,FALSE),IF(N82="Other - Please Estimate EFLH and CFs","Contact Prog. Rep.","ft^2"))), "")</f>
        <v/>
      </c>
      <c r="Q82" s="270" t="str">
        <f>IFERROR(IF(AND(B82="New Construction",E82="Interior",$F$5="Space-by-Space"),VLOOKUP('Lighting Inventory'!N82,'Lookup Tables'!$N$6:$O$97,2,FALSE),IF(AND(B82="New Construction",E82="Exterior"),VLOOKUP(N82,'Lookup Tables'!$B$83:$F$103,2,FALSE),IF(AND(B82="New Construction",'Lighting Inventory'!E82="Interior", $F$5="Building Area"),VLOOKUP(F82,'Lookup Tables'!$A$6:$J$59,10,FALSE),""))), "")</f>
        <v/>
      </c>
      <c r="R82" s="270" t="str">
        <f>IFERROR(IF(P82="Contact Prog. Rep.", "ERROR", IF(OR(B82="",B82="Retrofit"),"",IF(N82="Automated teller machines", ('Lookup Tables'!$A$82:$E$100+('Lighting Inventory'!O82-1)*'Lookup Tables'!$A$82:$E$100)/1000, (Q82*O82)/1000))), "")</f>
        <v/>
      </c>
      <c r="S82" s="595"/>
      <c r="T82" s="105" t="str">
        <f t="shared" si="349"/>
        <v/>
      </c>
      <c r="U82" s="105" t="str">
        <f>IF(S82="","",COUNT($S$11:S82))</f>
        <v/>
      </c>
      <c r="V82" s="111"/>
      <c r="W82" s="112"/>
      <c r="X82" s="105" t="str">
        <f t="shared" si="350"/>
        <v/>
      </c>
      <c r="Y82" s="105" t="str">
        <f t="array" ref="Y82">IF(AND(OR(W82="Freezer Case Lighting", W82="Refrigerated Case Lighting with Doors"), 'General Information'!$X$18="LCI"),'Lookup Tables'!$Y$34, IF(V82="Custom", VLOOKUP(W82, 'Fixture Identities'!$A$974:$M$1023, 13, FALSE), IF(V82="No Change",'Lookup Tables'!$Y$29,IF(OR(V82="",W82=""),"",IF(AND(S82=0,S82&lt;I82,B82="Retrofit"),'Lookup Tables'!$Y$25, IF(B82="Retrofit", INDEX('Lookup Tables'!$AH$6:$AP$102, MATCH(1, ('Lookup Tables'!$AH$6:$AH$102=V82)*('Lookup Tables'!$AI$6:$AI$102=W82), 0), IF('Lighting Inventory'!E82="Interior", 4, 5)), INDEX('Lookup Tables'!$AH$114:$AP$154, MATCH(1, ('Lookup Tables'!$AH$114:$AH$154=V82)*('Lookup Tables'!$AI$114:$AI$154=W82), 0), IF('Lighting Inventory'!E82="Interior", 4, 5))))))))</f>
        <v/>
      </c>
      <c r="Z82" s="105" t="str">
        <f>IFERROR(INDEX('Lookup Tables'!$AH$158:$AH$172,MATCH('Lighting Inventory'!Y82,'Lookup Tables'!$AI$158:$AI$172,0)),"")</f>
        <v/>
      </c>
      <c r="AA82" s="105" t="str">
        <f>IF(AP82&gt;0,INDEX('Lookup Tables'!$AK$158:$AK$172,MATCH('Lighting Inventory'!Y82,'Lookup Tables'!$AI$158:$AI$172,0)),'Lighting Inventory'!Y82)</f>
        <v/>
      </c>
      <c r="AB82" s="105" t="str">
        <f t="array" ref="AB82">IF(V82="Custom", "Custom", IF(V82="", "", IF(V82="Not DLC or Energy Star", "General", IF(B82="New Construction", INDEX('Lookup Tables'!$AH$114:$AP$154,MATCH(1,('Lookup Tables'!$AH$114:$AH$154='Lighting Inventory'!V82)*('Lookup Tables'!$AI$114:$AI$154='Lighting Inventory'!W82),FALSE),8), INDEX('Lookup Tables'!$AH$6:$AP$102,MATCH(1,('Lookup Tables'!$AH$6:$AH$102='Lighting Inventory'!V82)*('Lookup Tables'!$AI$6:$AI$102='Lighting Inventory'!W82),FALSE),8)))))</f>
        <v/>
      </c>
      <c r="AC82" s="272" t="str">
        <f>IF(W82="","",IF(V82="Custom",CONCATENATE("$",'Lookup Tables'!$AM$101," ",'Lookup Tables'!$AN$101),CONCATENATE("$",INDEX('Lookup Tables'!$AM$6:$AM$102,MATCH('Lighting Inventory'!W82,'Lookup Tables'!$AI$6:$AI$102,0))," ",INDEX('Lookup Tables'!$AN$6:$AN$102,MATCH('Lighting Inventory'!W82,'Lookup Tables'!$AI$6:$AI$102,0)))))</f>
        <v/>
      </c>
      <c r="AD82" s="72"/>
      <c r="AE82" s="29"/>
      <c r="AF82" s="379"/>
      <c r="AG82" s="370" t="str">
        <f t="shared" si="298"/>
        <v/>
      </c>
      <c r="AH82" s="370" t="str">
        <f t="shared" si="351"/>
        <v/>
      </c>
      <c r="AI82" s="29"/>
      <c r="AJ82" s="29"/>
      <c r="AK82" s="110"/>
      <c r="AL82" s="375" t="str">
        <f>IF(OR(B82="", V82="", W82=""), "", IF(V82="No Change", K82, IF(V82="Remove Fixture", 0, IF(V82="Custom",VLOOKUP(W82,'Fixture Identities'!$A$6:$K$1023,10,FALSE),IF(AE82="", "← ENTER POST WATTS", 'Lighting Inventory'!AE82)))))</f>
        <v/>
      </c>
      <c r="AM82" s="376" t="str">
        <f t="shared" si="299"/>
        <v/>
      </c>
      <c r="AN82" s="29"/>
      <c r="AO82" s="671"/>
      <c r="AP82" s="29"/>
      <c r="AQ82" s="29"/>
      <c r="AR82" s="29"/>
      <c r="AS82" s="272" t="str">
        <f t="shared" si="352"/>
        <v/>
      </c>
      <c r="AT82" s="270" t="str">
        <f t="shared" si="300"/>
        <v/>
      </c>
      <c r="AU82" s="88" t="str">
        <f t="shared" si="400"/>
        <v/>
      </c>
      <c r="AV82" s="29"/>
      <c r="AW82" s="73"/>
      <c r="AX82" s="271" t="str">
        <f>IF(AND(AV82="Applicant",OR(AW82="", AW82="Use Default Facility Hours")),"← Choose Schedule",IF(F82="","",IF(W82="LED Exit Signs",8760,IF(OR(AV82="Prescribed",AV82=""),VLOOKUP(F82,'Lookup Tables'!$A$6:$G$59,IF(AB82="General", 6, 3),FALSE),VLOOKUP(AW82,'Lookup Tables'!$S$36:$U$43,2,FALSE)))))</f>
        <v/>
      </c>
      <c r="AY82" s="88" t="str">
        <f t="shared" si="301"/>
        <v/>
      </c>
      <c r="AZ82" s="270" t="str">
        <f>IFERROR(IF(F82="", "", IF(W82="LED Exit Signs", 1, IF(AV82="Applicant",VLOOKUP(AW82, 'Lookup Tables'!$S$36:$U$43,3, FALSE), VLOOKUP('Lighting Inventory'!F82, 'Lookup Tables'!$A$6:$H$59, IF('Lighting Inventory'!AB82="General",7,4), FALSE)))), "")</f>
        <v/>
      </c>
      <c r="BA82" s="522" t="str">
        <f>IFERROR(IF(F82="", "", IF(W82="LED Exit Signs", 1, VLOOKUP('Lighting Inventory'!F82, 'Lookup Tables'!$A$6:$H$59, IF('Lighting Inventory'!AB82="General",8,5), FALSE))), "")</f>
        <v/>
      </c>
      <c r="BB82" s="270" t="str">
        <f>IF(G82="", "", IF(E82="Exterior", 0, IF('Lighting Inventory'!G82="Air Conditioned", VLOOKUP(H82, 'Lookup Tables'!$R$6:$T$13, 2, FALSE), VLOOKUP('Lighting Inventory'!G82, 'Lookup Tables'!$R$6:$T$13, 2, FALSE))))</f>
        <v/>
      </c>
      <c r="BC82" s="522" t="str">
        <f>IF(G82="", "", IF(E82="Exterior", 0, IF('Lighting Inventory'!G82="Air Conditioned", VLOOKUP(H82, 'Lookup Tables'!$R$6:$T$13, 3, FALSE), VLOOKUP('Lighting Inventory'!G82, 'Lookup Tables'!$R$6:$T$13, 3, FALSE))))</f>
        <v/>
      </c>
      <c r="BD82" s="270" t="str">
        <f>IF(G82="", "", IF(E82="Exterior", 0, IF('Lighting Inventory'!G82="Air Conditioned", VLOOKUP(H82, 'Lookup Tables'!$R$6:$U$13, 4, FALSE), VLOOKUP('Lighting Inventory'!G82, 'Lookup Tables'!$R$6:$U$13, 4, FALSE))))</f>
        <v/>
      </c>
      <c r="BE82" s="270" t="str">
        <f>IFERROR(IF(B82="", "",  IF(B82="New Construction", VLOOKUP(F82, 'Lookup Tables'!$A$6:$K$59, 11, FALSE),IF(OR(AN82="", AN82="Light Switch"), 0, IF(OR(M82="",M82="None",V82= "LED Exit Signs"),0,_xlfn.XLOOKUP(M82,'Lookup Tables'!$R$91:$R$101,'Lookup Tables'!$V$91:$V$101))))), "")</f>
        <v/>
      </c>
      <c r="BF82" s="270" t="str">
        <f>IF(AND(OR(AN82="Light Switch",AN82=""),B82="New Construction"), VLOOKUP(F82, 'Lookup Tables'!$A$6:$K$59, 11, FALSE),IF(AN82="","",IF(B82="","",IF(OR(AN82="None",AN82="",V82="LED Exit Signs",AN82="Exterior Controls Not Eligible"),0,_xlfn.XLOOKUP(AN82,'Lookup Tables'!$R$91:$R$101,'Lookup Tables'!$V$91:$V$101)))))</f>
        <v/>
      </c>
      <c r="BG82" s="88" t="str">
        <f t="shared" si="353"/>
        <v/>
      </c>
      <c r="BH82" s="88" t="str">
        <f t="shared" si="354"/>
        <v/>
      </c>
      <c r="BI82" s="558" t="str">
        <f t="shared" si="398"/>
        <v/>
      </c>
      <c r="BJ82" s="82" t="str">
        <f t="shared" si="355"/>
        <v/>
      </c>
      <c r="BK82" s="82" t="str">
        <f t="shared" si="356"/>
        <v/>
      </c>
      <c r="BL82" s="559" t="str">
        <f t="shared" si="357"/>
        <v/>
      </c>
      <c r="BM82" s="521" t="str">
        <f t="shared" si="302"/>
        <v/>
      </c>
      <c r="BN82" s="521" t="str">
        <f t="shared" si="303"/>
        <v/>
      </c>
      <c r="BO82" s="522" t="str">
        <f t="shared" si="304"/>
        <v/>
      </c>
      <c r="BP82" s="83" t="str">
        <f t="shared" si="358"/>
        <v/>
      </c>
      <c r="BQ82" s="84" t="str">
        <f t="shared" si="359"/>
        <v/>
      </c>
      <c r="BR82" s="184" t="str">
        <f>IFERROR(IF(B82="", "", IF(OR(VLOOKUP(J82, 'Fixture Identities'!$A$6:$L$1023, 3, FALSE)="T12 Linear Fluorescent",VLOOKUP(J82, 'Fixture Identities'!$A$6:$L$1023, 3, FALSE)="T12 U-Tube Fluorescent"), "Y", "N")), "N")</f>
        <v/>
      </c>
      <c r="BS82" s="184" t="str">
        <f t="array" ref="BS82">IFERROR(IF(OR(B82="", V82="", W82=""), "", IF(V82="Custom", "N", IF(OR(W82="Freezer Case Lighting", W82="Refrigerated Case Lighting with Doors"), BT82, IF(B82="Retrofit", INDEX('Lookup Tables'!$AH$6:$AT$102,MATCH(1,('Lookup Tables'!$AH$6:$AH$102=V82)*('Lookup Tables'!$AI$6:$AI$102=W82),FALSE),IF(VLOOKUP(J82, 'Fixture Identities'!$A$6:$B$1023, 2, FALSE)="Incandescent",12, 13)), INDEX('Lookup Tables'!$AH$114:$AS$154,MATCH(1,('Lookup Tables'!$AH$114:$AH$154=V82)*('Lookup Tables'!$AI$114:$AI$154=W82),FALSE),12))))), "N")</f>
        <v/>
      </c>
      <c r="BT82" s="184" t="str">
        <f>IF(J82="", "", IF(AND(OR(W82="Freezer case Lighting", W82="Refrigerated Case Lighting with Doors"),'General Information'!$X$18="LCI"), "N", IF(OR(VLOOKUP(J82, 'Fixture Identities'!$A$6:$B$1023, 2, FALSE)="T12 EPACT/EISA Baseline", VLOOKUP(J82, 'Fixture Identities'!$A$6:$B$1023, 2, FALSE)="Linear Fluorescent", VLOOKUP(J82, 'Fixture Identities'!$A$6:$B$1023, 2, FALSE)="U-Tube Fluorescent"), "Y", "N")))</f>
        <v/>
      </c>
      <c r="BU82" s="184" t="str">
        <f>IFERROR(IF(B82="", "", IF(VLOOKUP(J82, 'Fixture Identities'!$A$6:$B$1023, 2, FALSE)="Exit Sign", "Y", "N")), "N")</f>
        <v/>
      </c>
      <c r="BV82" s="184" t="str">
        <f>IF(V82="Exit Signs", IF(VLOOKUP(J82, 'Fixture Identities'!$A$6:$B$1023, 2, FALSE)="Exit Sign", "N", "Y"), "")</f>
        <v/>
      </c>
      <c r="BW82" s="184" t="str">
        <f t="array" ref="BW82">IFERROR(IF(B82="", "", IF(B82="New Construction", "N", INDEX('Lookup Tables'!$AH$6:$AU$102, MATCH(1, ('Lookup Tables'!$AH$6:$AH$102='Lighting Inventory'!V82)*('Lookup Tables'!$AI$6:$AI$102='Lighting Inventory'!W82), 0), 14))), "N")</f>
        <v/>
      </c>
      <c r="BX82" s="598" t="str">
        <f t="shared" si="360"/>
        <v/>
      </c>
      <c r="BY82" s="598" t="str">
        <f t="shared" si="361"/>
        <v/>
      </c>
      <c r="BZ82" s="598" t="str">
        <f t="shared" si="362"/>
        <v/>
      </c>
      <c r="CA82" s="598" t="str">
        <f t="shared" si="363"/>
        <v/>
      </c>
      <c r="CB82" s="269" t="str">
        <f t="shared" si="364"/>
        <v/>
      </c>
      <c r="CC82" s="517" t="str">
        <f t="shared" si="365"/>
        <v/>
      </c>
      <c r="CD82" s="565" t="str">
        <f t="shared" si="305"/>
        <v/>
      </c>
      <c r="CE82" s="368">
        <v>0</v>
      </c>
      <c r="CF82" s="368" t="str" cm="1">
        <f t="array" ref="CF82">IFERROR(IF(V82="Custom", "$0.1 per kWh", IF(B82="New Construction", CONCATENATE("$",INDEX('Lookup Tables'!$AH$114:$AN$154,MATCH(1,('Lookup Tables'!$AH$114:$AH$154='Lighting Inventory'!V82)*('Lookup Tables'!$AI$114:$AI$154='Lighting Inventory'!W82),FALSE),6)," ",INDEX('Lookup Tables'!$AH$114:$AN$154,MATCH(1,('Lookup Tables'!$AH$114:$AH$154='Lighting Inventory'!V82)*('Lookup Tables'!$AI$114:$AI$154='Lighting Inventory'!W82),FALSE),7)), IF(AND(BU82="N", V82="Exit Signs"), "$0.025 per kWh", CONCATENATE("$",INDEX('Lookup Tables'!$AH$6:$AN$102,MATCH(1,('Lookup Tables'!$AH$6:$AH$102='Lighting Inventory'!V82)*('Lookup Tables'!$AI$6:$AI$102='Lighting Inventory'!W82),FALSE),6)," ",INDEX('Lookup Tables'!$AH$6:$AN$102,MATCH(1,('Lookup Tables'!$AH$6:$AH$102='Lighting Inventory'!V82)*('Lookup Tables'!$AI$6:$AI$102='Lighting Inventory'!W82),FALSE),7))))), "")</f>
        <v/>
      </c>
      <c r="CG82" s="366"/>
      <c r="CH82" s="248" t="str">
        <f t="shared" si="306"/>
        <v/>
      </c>
      <c r="CI82" s="248" t="str">
        <f t="shared" si="307"/>
        <v>Select_IE</v>
      </c>
      <c r="CJ82" s="248" t="str">
        <f t="shared" si="308"/>
        <v/>
      </c>
      <c r="CK82" s="248" t="str">
        <f t="shared" si="309"/>
        <v/>
      </c>
      <c r="CL82" s="248" t="str">
        <f t="shared" si="310"/>
        <v/>
      </c>
      <c r="CM82" s="248" t="str">
        <f>IFERROR(IF(B82="", "", IF(B82="New Construction", VLOOKUP(V82, 'Lookup Tables'!$AF$114:$AG$120, 2, FALSE), VLOOKUP(V82, 'Lookup Tables'!$AD$6:$AE$25, 2, FALSE))), "")</f>
        <v/>
      </c>
      <c r="CN82" s="248" t="str">
        <f t="shared" si="311"/>
        <v/>
      </c>
      <c r="CO82" s="248" t="str">
        <f t="shared" si="312"/>
        <v/>
      </c>
      <c r="CP82" s="592" t="str">
        <f t="shared" si="313"/>
        <v/>
      </c>
      <c r="CQ82" s="248" t="str">
        <f t="shared" si="366"/>
        <v/>
      </c>
      <c r="CR82" s="249"/>
      <c r="CS82" s="250" t="str">
        <f t="shared" si="314"/>
        <v/>
      </c>
      <c r="CT82" s="250" t="str">
        <f t="shared" si="367"/>
        <v/>
      </c>
      <c r="CU82" s="250" t="str">
        <f t="shared" si="368"/>
        <v/>
      </c>
      <c r="CV82" s="250" t="str">
        <f t="shared" si="369"/>
        <v/>
      </c>
      <c r="CW82" s="250" t="str">
        <f t="shared" si="370"/>
        <v/>
      </c>
      <c r="CX82" s="250" t="str">
        <f t="shared" si="315"/>
        <v/>
      </c>
      <c r="CY82" s="250" t="str">
        <f t="shared" si="316"/>
        <v/>
      </c>
      <c r="CZ82" s="250" t="str">
        <f t="shared" si="317"/>
        <v/>
      </c>
      <c r="DA82" s="250" t="str">
        <f t="shared" si="318"/>
        <v/>
      </c>
      <c r="DB82" s="250" t="str">
        <f t="shared" si="319"/>
        <v/>
      </c>
      <c r="DC82" s="250" t="str">
        <f t="shared" si="320"/>
        <v/>
      </c>
      <c r="DD82" s="250" t="str">
        <f t="shared" si="321"/>
        <v/>
      </c>
      <c r="DE82" s="250" t="str">
        <f t="shared" si="322"/>
        <v/>
      </c>
      <c r="DF82" s="250" t="str">
        <f t="shared" si="323"/>
        <v/>
      </c>
      <c r="DG82" s="250" t="str">
        <f t="shared" si="324"/>
        <v/>
      </c>
      <c r="DH82" s="250" t="str">
        <f t="shared" si="325"/>
        <v/>
      </c>
      <c r="DI82" s="250" t="str">
        <f t="shared" si="326"/>
        <v/>
      </c>
      <c r="DJ82" s="250" t="str">
        <f t="shared" si="327"/>
        <v/>
      </c>
      <c r="DK82" s="250" t="str">
        <f t="shared" si="328"/>
        <v/>
      </c>
      <c r="DL82" s="250" t="str">
        <f t="shared" si="329"/>
        <v/>
      </c>
      <c r="DM82" s="250" t="str">
        <f>IF(CD82="ERROR", "ERROR", IF(AND(OR(Y82=$DM$6, Y82='Lookup Tables'!$AD$21, Y82='Lookup Tables'!$AD$22), E82="Interior"), BJ82, ""))</f>
        <v/>
      </c>
      <c r="DN82" s="250" t="str">
        <f>IF(CD82="ERROR", "ERROR", IF(AND(OR(Y82=$DM$6, Y82='Lookup Tables'!$AD$21, Y82='Lookup Tables'!$AD$22), E82="Exterior"), BJ82, ""))</f>
        <v/>
      </c>
      <c r="DO82" s="249"/>
      <c r="DP82" s="250" t="str">
        <f t="shared" si="330"/>
        <v/>
      </c>
      <c r="DQ82" s="250" t="str">
        <f t="shared" si="371"/>
        <v/>
      </c>
      <c r="DR82" s="250" t="str">
        <f t="shared" si="372"/>
        <v/>
      </c>
      <c r="DS82" s="250" t="str">
        <f t="shared" si="373"/>
        <v/>
      </c>
      <c r="DT82" s="250" t="str">
        <f t="shared" si="374"/>
        <v/>
      </c>
      <c r="DU82" s="250" t="str">
        <f t="shared" si="331"/>
        <v/>
      </c>
      <c r="DV82" s="250" t="str">
        <f t="shared" si="332"/>
        <v/>
      </c>
      <c r="DW82" s="250" t="str">
        <f t="shared" si="333"/>
        <v/>
      </c>
      <c r="DX82" s="250" t="str">
        <f t="shared" si="334"/>
        <v/>
      </c>
      <c r="DY82" s="250" t="str">
        <f t="shared" si="335"/>
        <v/>
      </c>
      <c r="DZ82" s="250" t="str">
        <f t="shared" si="336"/>
        <v/>
      </c>
      <c r="EA82" s="250" t="str">
        <f t="shared" si="337"/>
        <v/>
      </c>
      <c r="EB82" s="250" t="str">
        <f t="shared" si="375"/>
        <v/>
      </c>
      <c r="EC82" s="250" t="str">
        <f t="shared" si="338"/>
        <v/>
      </c>
      <c r="ED82" s="250" t="str">
        <f t="shared" si="339"/>
        <v/>
      </c>
      <c r="EE82" s="250" t="str">
        <f t="shared" si="340"/>
        <v/>
      </c>
      <c r="EF82" s="250" t="str">
        <f t="shared" si="341"/>
        <v/>
      </c>
      <c r="EG82" s="250" t="str">
        <f t="shared" si="342"/>
        <v/>
      </c>
      <c r="EH82" s="250" t="str">
        <f>IF(CD82="ERROR", "ERROR", IF(AND(OR($EH$6=Y82, Y82='Lookup Tables'!$AD$21, Y82='Lookup Tables'!$AD$22),E82="Interior"), SUM(BP82:BP82), ""))</f>
        <v/>
      </c>
      <c r="EI82" s="250" t="str">
        <f>IF(CD82="ERROR", "ERROR", IF(AND(OR($EH$6=Y82, Y82='Lookup Tables'!$AD$21, Y82='Lookup Tables'!$AD$22),E82="Exterior"), SUM(BP82:BP82), ""))</f>
        <v/>
      </c>
      <c r="EJ82" s="109"/>
      <c r="EK82" s="485" t="str">
        <f t="shared" si="343"/>
        <v/>
      </c>
      <c r="EL82" s="252" t="str">
        <f t="shared" si="376"/>
        <v/>
      </c>
      <c r="EM82" s="252" t="str">
        <f t="shared" si="377"/>
        <v/>
      </c>
      <c r="EN82" s="252" t="str">
        <f t="shared" si="378"/>
        <v/>
      </c>
      <c r="EO82" s="252" t="str">
        <f t="shared" si="379"/>
        <v/>
      </c>
      <c r="EP82" s="252" t="str">
        <f t="shared" si="380"/>
        <v/>
      </c>
      <c r="EQ82" s="252" t="str">
        <f t="shared" si="381"/>
        <v/>
      </c>
      <c r="ER82" s="252" t="str">
        <f t="shared" si="382"/>
        <v/>
      </c>
      <c r="ES82" s="252" t="str">
        <f t="shared" si="383"/>
        <v/>
      </c>
      <c r="ET82" s="252" t="str">
        <f t="shared" si="384"/>
        <v/>
      </c>
      <c r="EU82" s="252" t="str">
        <f t="shared" si="385"/>
        <v/>
      </c>
      <c r="EV82" s="252" t="str">
        <f t="shared" si="386"/>
        <v/>
      </c>
      <c r="EW82" s="252" t="str">
        <f t="shared" si="387"/>
        <v/>
      </c>
      <c r="EX82" s="252" t="str">
        <f t="shared" si="388"/>
        <v/>
      </c>
      <c r="EY82" s="252" t="str">
        <f t="shared" si="389"/>
        <v/>
      </c>
      <c r="EZ82" s="252" t="str">
        <f t="shared" si="390"/>
        <v/>
      </c>
      <c r="FA82" s="252" t="str">
        <f t="shared" si="391"/>
        <v/>
      </c>
      <c r="FB82" s="252" t="str">
        <f t="shared" si="392"/>
        <v/>
      </c>
      <c r="FC82" s="252" t="str">
        <f>IF(CD82="ERROR", "ERROR", IF(OR(V82="No Change", V82="Not DLC or Energy Star"), "", IF(AND(OR($FC$6=Y82,Y82='Lookup Tables'!$AD$21, Y82='Lookup Tables'!$AD$22),E82="Interior"), S82, "")))</f>
        <v/>
      </c>
      <c r="FD82" s="252" t="str">
        <f t="shared" si="393"/>
        <v/>
      </c>
      <c r="FE82" s="1"/>
      <c r="FF82" s="579" t="str" cm="1">
        <f t="array" ref="FF82">IFERROR(IF(OR(BQ82&lt;=0,AQ82&lt;20,AND(V82="Exit Signs",AN82&gt;0)),"",IF(AND(AQ82&gt;=20,AN82='Lookup Tables'!$R$101),'Lookup Tables'!$U$101*BQ82,AP82*LOOKUP(2,1/((AN82='Lookup Tables'!$R$91:$R$111)*(AQ82&gt;='Lookup Tables'!$S$91:$S$111)*(AQ82&lt;='Lookup Tables'!$T$91:$T$111)),'Lookup Tables'!$U$91:$U$111))),"")</f>
        <v/>
      </c>
      <c r="FG82" s="579"/>
      <c r="FH82" s="579"/>
      <c r="FI82" s="253" t="str">
        <f>IFERROR(ROUND(IF(CD82="ERROR", "ERROR", IF(AND($FI$7=X82,E82="Interior"),VLOOKUP(W82, 'Lookup Tables'!$AI$6:$AM$102, 5, FALSE)*BP82, "")), 2), "")</f>
        <v/>
      </c>
      <c r="FJ82" s="253" t="str">
        <f>IFERROR(ROUND(IF(CD82="ERROR", "ERROR", IF(AND($FI$7=X82,E82="Exterior"),VLOOKUP(W82, 'Lookup Tables'!$AI$6:$AM$102, 5, FALSE)*BP82, "")), 2), "")</f>
        <v/>
      </c>
      <c r="FK82" s="253" t="str">
        <f>IFERROR(ROUND(IF(CD82="ERROR", "ERROR", IF(AND($FK$7=X82,E82="Interior"),VLOOKUP(W82, 'Lookup Tables'!$AI$6:$AM$102, 5, FALSE)*BP82, "")), 2), "")</f>
        <v/>
      </c>
      <c r="FL82" s="253" t="str">
        <f>IFERROR(ROUND(IF(CD82="ERROR", "ERROR", IF(AND($FK$7=X82,E82="Exterior"),VLOOKUP(W82, 'Lookup Tables'!$AI$6:$AM$102, 5, FALSE)*BP82, "")), 2), "")</f>
        <v/>
      </c>
      <c r="FM82" s="253" t="str">
        <f>IFERROR(ROUND(IF(CD82="ERROR", "ERROR", IF(AND($FM$6=Y82,E82="Interior"), IF(GB82=0, VLOOKUP(W82, 'Lookup Tables'!$AI$6:$AM$102, 5, FALSE)*BP82, IF(VLOOKUP(W82, 'Lookup Tables'!$AI$6:$AM$102, 5, FALSE)*BP82&gt;GB82*'Lighting Inventory'!S82, GB82*'Lighting Inventory'!S82,VLOOKUP(W82, 'Lookup Tables'!$AI$6:$AM$102, 5, FALSE)*BP82)), "")), 2), "")</f>
        <v/>
      </c>
      <c r="FN82" s="253" t="str">
        <f>IFERROR(ROUND(IF(CD82="ERROR", "ERROR", IF(AND($FM$6=Y82,E82="Exterior"), IF(GB82=0, VLOOKUP(W82, 'Lookup Tables'!$AI$6:$AM$102, 5, FALSE)*BP82, IF(VLOOKUP(W82, 'Lookup Tables'!$AI$6:$AM$102, 5, FALSE)*BP82&gt;GB82*'Lighting Inventory'!S82, GB82*'Lighting Inventory'!S82,VLOOKUP(W82, 'Lookup Tables'!$AI$6:$AM$102, 5, FALSE)*BP82)), "")), 2), "")</f>
        <v/>
      </c>
      <c r="FO82" s="253" t="str">
        <f>IFERROR(ROUND(IF(CD82="ERROR", "ERROR", IF(AND($FO$6=Y82,E82="Interior"),VLOOKUP(W82, 'Lookup Tables'!$AI$6:$AM$102, 5, FALSE)*'Lighting Inventory'!AI82, "")), 2), "")</f>
        <v/>
      </c>
      <c r="FP82" s="253" t="str">
        <f>IFERROR(ROUND(IF(CD82="ERROR", "ERROR", IF(AND($FO$6=Y82,E82="Exterior"),VLOOKUP(W82, 'Lookup Tables'!$AI$6:$AM$102, 5, FALSE)*'Lighting Inventory'!AI82, "")), 2), "")</f>
        <v/>
      </c>
      <c r="FQ82" s="253" t="str">
        <f>IFERROR(ROUND(IF(CD82="ERROR", "ERROR", IF(AND($FQ$6=Y82,E82="Interior", BU82="Y"), VLOOKUP('Lighting Inventory'!W82, 'Lookup Tables'!$AI$6:$AM$102, 5, FALSE)*'Lighting Inventory'!S82, IF(AND($FQ$7=Y82,E82="Interior", BU82="N"), 0.025*CD82, ""))), 2), "")</f>
        <v/>
      </c>
      <c r="FR82" s="253" t="str">
        <f>IFERROR(ROUND(IF(CD82="ERROR", "ERROR", IF(AND($FQ$6=Y82,E82="Exterior"), VLOOKUP('Lighting Inventory'!W82, 'Lookup Tables'!$AI$6:$AM$102, 5, FALSE)*'Lighting Inventory'!S82, "")), 2), "")</f>
        <v/>
      </c>
      <c r="FS82" s="253" t="str">
        <f>IFERROR(ROUND(IF(CD82="ERROR", "ERROR", IF(AND($FS$6=Y82,E82="Exterior"), IF(GB82=0, VLOOKUP(W82, 'Lookup Tables'!$AI$6:$AM$102, 5, FALSE)*BP82, IF(VLOOKUP(W82, 'Lookup Tables'!$AI$6:$AM$102, 5, FALSE)*BP82&gt;GB82*'Lighting Inventory'!S82, GB82*'Lighting Inventory'!S82,VLOOKUP(W82, 'Lookup Tables'!$AI$6:$AM$102, 5, FALSE)*BP82)), "")), 2), "")</f>
        <v/>
      </c>
      <c r="FT82" s="253" t="str">
        <f>IFERROR(ROUND(IF(CD82="ERROR", "ERROR", IF(AND($FT$6=Y82,E82="Interior"), IF(GB82=0, VLOOKUP(W82, 'Lookup Tables'!$AI$6:$AM$102, 5, FALSE)*BP82, IF(VLOOKUP(W82, 'Lookup Tables'!$AI$6:$AM$102, 5, FALSE)*BP82&gt;GB82*'Lighting Inventory'!S82, GB82*'Lighting Inventory'!S82,VLOOKUP(W82, 'Lookup Tables'!$AI$6:$AM$102, 5, FALSE)*BP82)), "")), 2), "")</f>
        <v/>
      </c>
      <c r="FU82" s="253" t="str">
        <f>IFERROR(ROUND(IF(CD82="ERROR", "ERROR", IF(AND(Y82=$FU$6, E82="Interior"), IF(BS82="N", 'Lookup Tables'!$AM$101*BP82, VLOOKUP(W82, 'Lookup Tables'!$AI$6:$AM$102, 5, FALSE)*S82*AD82), "")), 2), "")</f>
        <v/>
      </c>
      <c r="FV82" s="253" t="str">
        <f>IFERROR(ROUND(IF(CD82="ERROR", "ERROR", IF(AND(Y82=$FU$6, E82="Exterior"), IF(BS82="N", 'Lookup Tables'!$AM$101*BP82, VLOOKUP(W82, 'Lookup Tables'!$AI$6:$AM$102, 5, FALSE)*S82*AD82), "")), 2), "")</f>
        <v/>
      </c>
      <c r="FW82" s="253" t="str">
        <f>IFERROR(ROUND(IF(CD82="ERROR", "ERROR", IF($FW$6=Y82, IF(BS82="N", 'Lookup Tables'!$AM$101*BP82, MIN((VLOOKUP(W82, 'Lookup Tables'!$AI$6:$AM$102, 5, FALSE)*BP82),GB82*AJ82)), "")), 2), "")</f>
        <v/>
      </c>
      <c r="FX82" s="253" t="str">
        <f>IFERROR(ROUND(IF(CD82="ERROR", "ERROR", IF(AND($FX$6=Y82, E82="Interior"), IF(VLOOKUP(W82, 'Lookup Tables'!$AI$6:$AM$102, 5, FALSE)*BP82&gt;'Lookup Tables'!$AQ$97*'Lighting Inventory'!S82,'Lighting Inventory'!S82*'Lookup Tables'!$AQ$97,VLOOKUP(W82, 'Lookup Tables'!$AI$6:$AM$102, 5, FALSE)*BP82), "")), 2), "")</f>
        <v/>
      </c>
      <c r="FY82" s="253" t="str">
        <f>IFERROR(ROUND(IF(CD82="ERROR", "ERROR", IF(AND($FX$6=Y82, E82="Exterior"), IF(VLOOKUP(W82, 'Lookup Tables'!$AI$6:$AM$102, 5, FALSE)*BP82&gt;'Lookup Tables'!$AQ$97*'Lighting Inventory'!S82,'Lighting Inventory'!S82*'Lookup Tables'!$AQ$97,VLOOKUP(W82, 'Lookup Tables'!$AI$6:$AM$102, 5, FALSE)*BP82), "")), 2), "")</f>
        <v/>
      </c>
      <c r="FZ82" s="253" t="str">
        <f>IFERROR(ROUND(IF(CD82="ERROR", "ERROR", IF(AND($FZ$6=Y82, E82="Interior"), IF(AND(OR(W82="Refrigerated Case Lighting with Doors", W82="Freezer Case Lighting"),Y82="Custom - Process Improvement"),CD82*'Lookup Tables'!$AM$101, IF(B82="Retrofit", IF(VLOOKUP(IF(V82="Custom", V82, W82), 'Lookup Tables'!$AI$6:$AM$102, 5, FALSE)*BP82&gt;GE82, GE82, VLOOKUP(IF(V82="Custom", V82, W82), 'Lookup Tables'!$AI$6:$AM$102, 5, FALSE)*BP82), IF(VLOOKUP(IF(V82="Custom", V82, W82), 'Lookup Tables'!$AI$114:$AM$154, 5, FALSE)*BP82&gt;GE82, GE82, VLOOKUP(IF(V82="Custom", V82, W82), 'Lookup Tables'!$AI$114:$AM$154, 5, FALSE)*BP82))), "")), 2),"")</f>
        <v/>
      </c>
      <c r="GA82" s="253" t="str">
        <f>IFERROR(ROUND(IF(CD82="ERROR", "ERROR", IF(AND($FZ$6=Y82, E82="Exterior"), IF(B82="Retrofit", IF(VLOOKUP(IF(V82="Custom", V82, W82), 'Lookup Tables'!$AI$6:$AM$102, 5, FALSE)*BP82&gt;GE82, GE82, VLOOKUP(IF(V82="Custom", V82, W82), 'Lookup Tables'!$AI$6:$AM$102, 5, FALSE)*BP82), IF(VLOOKUP(IF(V82="Custom", V82, W82), 'Lookup Tables'!$AI$114:$AM$154, 5, FALSE)*BP82&gt;GE82, GE82, VLOOKUP(IF(V82="Custom", V82, W82), 'Lookup Tables'!$AI$114:$AM$154, 5, FALSE)*BP82)), "")), 2),"")</f>
        <v/>
      </c>
      <c r="GB82" s="254" t="str">
        <f t="array" ref="GB82">IF(B82="","",IF(OR(V82="Custom",V82="No Change"),0,IF(B82="Retrofit", INDEX('Lookup Tables'!$AH$6:$AQ$102,MATCH(1,('Lookup Tables'!$AH$6:$AH$102='Lighting Inventory'!V82)*('Lookup Tables'!$AI$6:$AI$102='Lighting Inventory'!W82),FALSE),10),INDEX('Lookup Tables'!$AH$114:$AQ$154,MATCH(1,('Lookup Tables'!$AH$114:$AH$154='Lighting Inventory'!V82)*('Lookup Tables'!$AI$114:$AI$154='Lighting Inventory'!W82),FALSE),10))))</f>
        <v/>
      </c>
      <c r="GC82" s="255" t="str">
        <f t="shared" si="344"/>
        <v/>
      </c>
      <c r="GD82" s="250" t="str">
        <f t="shared" si="345"/>
        <v/>
      </c>
      <c r="GE82" s="253" t="str">
        <f>IFERROR(IF(AND(AF82="", 'General Information'!$F$18="No"),"", IF(AF82="", ((GD82/$CD$266)*$CF$266)*0.5, AF82*S82*0.5)), "")</f>
        <v/>
      </c>
      <c r="GF82" s="255" t="str">
        <f>IF(AND('General Information'!$F$19="", 'General Information'!$F$18="Yes",AF82="",BW82="Y"), "Y", "N")</f>
        <v>N</v>
      </c>
      <c r="GG82" s="255" t="s">
        <v>2946</v>
      </c>
      <c r="GH82" s="255" t="str">
        <f>IFERROR(IF(B82="", "", VLOOKUP(J82, 'Fixture Identities'!$A$6:$N$908, 14, FALSE)), "")</f>
        <v/>
      </c>
      <c r="GI82" s="389" t="str">
        <f>IF(OR(B82="", V82="", W82=""), "", IF(AND(OR(M82='Lookup Tables'!$R$18, M82='Lookup Tables'!$R$19, M82='Lookup Tables'!$R$20, M82='Lookup Tables'!$R$21, M82='Lookup Tables'!$R$22), OR(AN82='Lookup Tables'!$R$17, AN82='Lookup Tables'!$R$17, AN82="")), "Y", "N"))</f>
        <v/>
      </c>
      <c r="GJ82" s="255" t="str">
        <f t="shared" si="346"/>
        <v/>
      </c>
      <c r="GK82" s="255" t="str">
        <f t="shared" si="347"/>
        <v/>
      </c>
      <c r="GL82" s="255" t="str">
        <f t="shared" si="348"/>
        <v/>
      </c>
      <c r="GM82" s="255" t="str">
        <f>IF(AN82="", "", IF(AND(IF(ISNA(VLOOKUP(AN82,'Lookup Tables'!$R$18:$R$22,1,FALSE)), "N", "Y")="Y", E82="Exterior"), "Y", "N"))</f>
        <v/>
      </c>
      <c r="GN82" s="395"/>
      <c r="GO82" s="428">
        <f t="shared" si="394"/>
        <v>0</v>
      </c>
      <c r="GP82" s="428">
        <f t="shared" si="397"/>
        <v>0</v>
      </c>
      <c r="GQ82" s="428">
        <f t="shared" si="395"/>
        <v>0</v>
      </c>
      <c r="GR82" s="428">
        <f t="shared" si="396"/>
        <v>0</v>
      </c>
    </row>
    <row r="83" spans="1:200" s="103" customFormat="1" ht="13.5" customHeight="1" x14ac:dyDescent="0.2">
      <c r="A83" s="272">
        <v>73</v>
      </c>
      <c r="B83" s="110"/>
      <c r="C83" s="110"/>
      <c r="D83" s="110"/>
      <c r="E83" s="110"/>
      <c r="F83" s="110"/>
      <c r="G83" s="110"/>
      <c r="H83" s="110"/>
      <c r="I83" s="29"/>
      <c r="J83" s="29"/>
      <c r="K83" s="272" t="str">
        <f>IFERROR(IF(OR(VLOOKUP(J83, 'Fixture Identities'!$A$6:$L$1023, 3, FALSE)="T12 Linear Fluorescent", VLOOKUP(J83, 'Fixture Identities'!$A$6:$L$1023, 3, FALSE)="T12 U-Tube Fluorescent"), VLOOKUP(VLOOKUP(J83, 'Fixture Identities'!$A$6:$L$1023, 11, FALSE), 'Fixture Identities'!$A$6:$L$1023, 10, FALSE), VLOOKUP(J83, 'Fixture Identities'!$A$6:$L$1023, 10, FALSE)), "")</f>
        <v/>
      </c>
      <c r="L83" s="270" t="str">
        <f t="shared" si="399"/>
        <v/>
      </c>
      <c r="M83" s="110"/>
      <c r="N83" s="110"/>
      <c r="O83" s="110"/>
      <c r="P83" s="272" t="str">
        <f>IFERROR(IF(OR(B83="Retrofit",B83=""),"",IF('Lighting Inventory'!E83="Exterior",VLOOKUP('Lighting Inventory'!N83,'Lookup Tables'!$B$83:$F$103,5,FALSE),IF(N83="Other - Please Estimate EFLH and CFs","Contact Prog. Rep.","ft^2"))), "")</f>
        <v/>
      </c>
      <c r="Q83" s="270" t="str">
        <f>IFERROR(IF(AND(B83="New Construction",E83="Interior",$F$5="Space-by-Space"),VLOOKUP('Lighting Inventory'!N83,'Lookup Tables'!$N$6:$O$97,2,FALSE),IF(AND(B83="New Construction",E83="Exterior"),VLOOKUP(N83,'Lookup Tables'!$B$83:$F$103,2,FALSE),IF(AND(B83="New Construction",'Lighting Inventory'!E83="Interior", $F$5="Building Area"),VLOOKUP(F83,'Lookup Tables'!$A$6:$J$59,10,FALSE),""))), "")</f>
        <v/>
      </c>
      <c r="R83" s="270" t="str">
        <f>IFERROR(IF(P83="Contact Prog. Rep.", "ERROR", IF(OR(B83="",B83="Retrofit"),"",IF(N83="Automated teller machines", ('Lookup Tables'!$A$82:$E$100+('Lighting Inventory'!O83-1)*'Lookup Tables'!$A$82:$E$100)/1000, (Q83*O83)/1000))), "")</f>
        <v/>
      </c>
      <c r="S83" s="595"/>
      <c r="T83" s="105" t="str">
        <f t="shared" si="349"/>
        <v/>
      </c>
      <c r="U83" s="105" t="str">
        <f>IF(S83="","",COUNT($S$11:S83))</f>
        <v/>
      </c>
      <c r="V83" s="111"/>
      <c r="W83" s="112"/>
      <c r="X83" s="105" t="str">
        <f t="shared" si="350"/>
        <v/>
      </c>
      <c r="Y83" s="105" t="str">
        <f t="array" ref="Y83">IF(AND(OR(W83="Freezer Case Lighting", W83="Refrigerated Case Lighting with Doors"), 'General Information'!$X$18="LCI"),'Lookup Tables'!$Y$34, IF(V83="Custom", VLOOKUP(W83, 'Fixture Identities'!$A$974:$M$1023, 13, FALSE), IF(V83="No Change",'Lookup Tables'!$Y$29,IF(OR(V83="",W83=""),"",IF(AND(S83=0,S83&lt;I83,B83="Retrofit"),'Lookup Tables'!$Y$25, IF(B83="Retrofit", INDEX('Lookup Tables'!$AH$6:$AP$102, MATCH(1, ('Lookup Tables'!$AH$6:$AH$102=V83)*('Lookup Tables'!$AI$6:$AI$102=W83), 0), IF('Lighting Inventory'!E83="Interior", 4, 5)), INDEX('Lookup Tables'!$AH$114:$AP$154, MATCH(1, ('Lookup Tables'!$AH$114:$AH$154=V83)*('Lookup Tables'!$AI$114:$AI$154=W83), 0), IF('Lighting Inventory'!E83="Interior", 4, 5))))))))</f>
        <v/>
      </c>
      <c r="Z83" s="105" t="str">
        <f>IFERROR(INDEX('Lookup Tables'!$AH$158:$AH$172,MATCH('Lighting Inventory'!Y83,'Lookup Tables'!$AI$158:$AI$172,0)),"")</f>
        <v/>
      </c>
      <c r="AA83" s="105" t="str">
        <f>IF(AP83&gt;0,INDEX('Lookup Tables'!$AK$158:$AK$172,MATCH('Lighting Inventory'!Y83,'Lookup Tables'!$AI$158:$AI$172,0)),'Lighting Inventory'!Y83)</f>
        <v/>
      </c>
      <c r="AB83" s="105" t="str">
        <f t="array" ref="AB83">IF(V83="Custom", "Custom", IF(V83="", "", IF(V83="Not DLC or Energy Star", "General", IF(B83="New Construction", INDEX('Lookup Tables'!$AH$114:$AP$154,MATCH(1,('Lookup Tables'!$AH$114:$AH$154='Lighting Inventory'!V83)*('Lookup Tables'!$AI$114:$AI$154='Lighting Inventory'!W83),FALSE),8), INDEX('Lookup Tables'!$AH$6:$AP$102,MATCH(1,('Lookup Tables'!$AH$6:$AH$102='Lighting Inventory'!V83)*('Lookup Tables'!$AI$6:$AI$102='Lighting Inventory'!W83),FALSE),8)))))</f>
        <v/>
      </c>
      <c r="AC83" s="272" t="str">
        <f>IF(W83="","",IF(V83="Custom",CONCATENATE("$",'Lookup Tables'!$AM$101," ",'Lookup Tables'!$AN$101),CONCATENATE("$",INDEX('Lookup Tables'!$AM$6:$AM$102,MATCH('Lighting Inventory'!W83,'Lookup Tables'!$AI$6:$AI$102,0))," ",INDEX('Lookup Tables'!$AN$6:$AN$102,MATCH('Lighting Inventory'!W83,'Lookup Tables'!$AI$6:$AI$102,0)))))</f>
        <v/>
      </c>
      <c r="AD83" s="72"/>
      <c r="AE83" s="29"/>
      <c r="AF83" s="379"/>
      <c r="AG83" s="370" t="str">
        <f t="shared" si="298"/>
        <v/>
      </c>
      <c r="AH83" s="370" t="str">
        <f t="shared" si="351"/>
        <v/>
      </c>
      <c r="AI83" s="29"/>
      <c r="AJ83" s="29"/>
      <c r="AK83" s="110"/>
      <c r="AL83" s="375" t="str">
        <f>IF(OR(B83="", V83="", W83=""), "", IF(V83="No Change", K83, IF(V83="Remove Fixture", 0, IF(V83="Custom",VLOOKUP(W83,'Fixture Identities'!$A$6:$K$1023,10,FALSE),IF(AE83="", "← ENTER POST WATTS", 'Lighting Inventory'!AE83)))))</f>
        <v/>
      </c>
      <c r="AM83" s="376" t="str">
        <f t="shared" si="299"/>
        <v/>
      </c>
      <c r="AN83" s="29"/>
      <c r="AO83" s="671"/>
      <c r="AP83" s="29"/>
      <c r="AQ83" s="29"/>
      <c r="AR83" s="29"/>
      <c r="AS83" s="272" t="str">
        <f t="shared" si="352"/>
        <v/>
      </c>
      <c r="AT83" s="270" t="str">
        <f t="shared" si="300"/>
        <v/>
      </c>
      <c r="AU83" s="88" t="str">
        <f t="shared" si="400"/>
        <v/>
      </c>
      <c r="AV83" s="29"/>
      <c r="AW83" s="73"/>
      <c r="AX83" s="271" t="str">
        <f>IF(AND(AV83="Applicant",OR(AW83="", AW83="Use Default Facility Hours")),"← Choose Schedule",IF(F83="","",IF(W83="LED Exit Signs",8760,IF(OR(AV83="Prescribed",AV83=""),VLOOKUP(F83,'Lookup Tables'!$A$6:$G$59,IF(AB83="General", 6, 3),FALSE),VLOOKUP(AW83,'Lookup Tables'!$S$36:$U$43,2,FALSE)))))</f>
        <v/>
      </c>
      <c r="AY83" s="88" t="str">
        <f t="shared" si="301"/>
        <v/>
      </c>
      <c r="AZ83" s="270" t="str">
        <f>IFERROR(IF(F83="", "", IF(W83="LED Exit Signs", 1, IF(AV83="Applicant",VLOOKUP(AW83, 'Lookup Tables'!$S$36:$U$43,3, FALSE), VLOOKUP('Lighting Inventory'!F83, 'Lookup Tables'!$A$6:$H$59, IF('Lighting Inventory'!AB83="General",7,4), FALSE)))), "")</f>
        <v/>
      </c>
      <c r="BA83" s="522" t="str">
        <f>IFERROR(IF(F83="", "", IF(W83="LED Exit Signs", 1, VLOOKUP('Lighting Inventory'!F83, 'Lookup Tables'!$A$6:$H$59, IF('Lighting Inventory'!AB83="General",8,5), FALSE))), "")</f>
        <v/>
      </c>
      <c r="BB83" s="270" t="str">
        <f>IF(G83="", "", IF(E83="Exterior", 0, IF('Lighting Inventory'!G83="Air Conditioned", VLOOKUP(H83, 'Lookup Tables'!$R$6:$T$13, 2, FALSE), VLOOKUP('Lighting Inventory'!G83, 'Lookup Tables'!$R$6:$T$13, 2, FALSE))))</f>
        <v/>
      </c>
      <c r="BC83" s="522" t="str">
        <f>IF(G83="", "", IF(E83="Exterior", 0, IF('Lighting Inventory'!G83="Air Conditioned", VLOOKUP(H83, 'Lookup Tables'!$R$6:$T$13, 3, FALSE), VLOOKUP('Lighting Inventory'!G83, 'Lookup Tables'!$R$6:$T$13, 3, FALSE))))</f>
        <v/>
      </c>
      <c r="BD83" s="270" t="str">
        <f>IF(G83="", "", IF(E83="Exterior", 0, IF('Lighting Inventory'!G83="Air Conditioned", VLOOKUP(H83, 'Lookup Tables'!$R$6:$U$13, 4, FALSE), VLOOKUP('Lighting Inventory'!G83, 'Lookup Tables'!$R$6:$U$13, 4, FALSE))))</f>
        <v/>
      </c>
      <c r="BE83" s="270" t="str">
        <f>IFERROR(IF(B83="", "",  IF(B83="New Construction", VLOOKUP(F83, 'Lookup Tables'!$A$6:$K$59, 11, FALSE),IF(OR(AN83="", AN83="Light Switch"), 0, IF(OR(M83="",M83="None",V83= "LED Exit Signs"),0,_xlfn.XLOOKUP(M83,'Lookup Tables'!$R$91:$R$101,'Lookup Tables'!$V$91:$V$101))))), "")</f>
        <v/>
      </c>
      <c r="BF83" s="270" t="str">
        <f>IF(AND(OR(AN83="Light Switch",AN83=""),B83="New Construction"), VLOOKUP(F83, 'Lookup Tables'!$A$6:$K$59, 11, FALSE),IF(AN83="","",IF(B83="","",IF(OR(AN83="None",AN83="",V83="LED Exit Signs",AN83="Exterior Controls Not Eligible"),0,_xlfn.XLOOKUP(AN83,'Lookup Tables'!$R$91:$R$101,'Lookup Tables'!$V$91:$V$101)))))</f>
        <v/>
      </c>
      <c r="BG83" s="88" t="str">
        <f t="shared" si="353"/>
        <v/>
      </c>
      <c r="BH83" s="88" t="str">
        <f t="shared" si="354"/>
        <v/>
      </c>
      <c r="BI83" s="558" t="str">
        <f t="shared" si="398"/>
        <v/>
      </c>
      <c r="BJ83" s="82" t="str">
        <f t="shared" si="355"/>
        <v/>
      </c>
      <c r="BK83" s="82" t="str">
        <f t="shared" si="356"/>
        <v/>
      </c>
      <c r="BL83" s="559" t="str">
        <f t="shared" si="357"/>
        <v/>
      </c>
      <c r="BM83" s="521" t="str">
        <f t="shared" si="302"/>
        <v/>
      </c>
      <c r="BN83" s="521" t="str">
        <f t="shared" si="303"/>
        <v/>
      </c>
      <c r="BO83" s="522" t="str">
        <f t="shared" si="304"/>
        <v/>
      </c>
      <c r="BP83" s="83" t="str">
        <f t="shared" si="358"/>
        <v/>
      </c>
      <c r="BQ83" s="84" t="str">
        <f t="shared" si="359"/>
        <v/>
      </c>
      <c r="BR83" s="184" t="str">
        <f>IFERROR(IF(B83="", "", IF(OR(VLOOKUP(J83, 'Fixture Identities'!$A$6:$L$1023, 3, FALSE)="T12 Linear Fluorescent",VLOOKUP(J83, 'Fixture Identities'!$A$6:$L$1023, 3, FALSE)="T12 U-Tube Fluorescent"), "Y", "N")), "N")</f>
        <v/>
      </c>
      <c r="BS83" s="184" t="str">
        <f t="array" ref="BS83">IFERROR(IF(OR(B83="", V83="", W83=""), "", IF(V83="Custom", "N", IF(OR(W83="Freezer Case Lighting", W83="Refrigerated Case Lighting with Doors"), BT83, IF(B83="Retrofit", INDEX('Lookup Tables'!$AH$6:$AT$102,MATCH(1,('Lookup Tables'!$AH$6:$AH$102=V83)*('Lookup Tables'!$AI$6:$AI$102=W83),FALSE),IF(VLOOKUP(J83, 'Fixture Identities'!$A$6:$B$1023, 2, FALSE)="Incandescent",12, 13)), INDEX('Lookup Tables'!$AH$114:$AS$154,MATCH(1,('Lookup Tables'!$AH$114:$AH$154=V83)*('Lookup Tables'!$AI$114:$AI$154=W83),FALSE),12))))), "N")</f>
        <v/>
      </c>
      <c r="BT83" s="184" t="str">
        <f>IF(J83="", "", IF(AND(OR(W83="Freezer case Lighting", W83="Refrigerated Case Lighting with Doors"),'General Information'!$X$18="LCI"), "N", IF(OR(VLOOKUP(J83, 'Fixture Identities'!$A$6:$B$1023, 2, FALSE)="T12 EPACT/EISA Baseline", VLOOKUP(J83, 'Fixture Identities'!$A$6:$B$1023, 2, FALSE)="Linear Fluorescent", VLOOKUP(J83, 'Fixture Identities'!$A$6:$B$1023, 2, FALSE)="U-Tube Fluorescent"), "Y", "N")))</f>
        <v/>
      </c>
      <c r="BU83" s="184" t="str">
        <f>IFERROR(IF(B83="", "", IF(VLOOKUP(J83, 'Fixture Identities'!$A$6:$B$1023, 2, FALSE)="Exit Sign", "Y", "N")), "N")</f>
        <v/>
      </c>
      <c r="BV83" s="184" t="str">
        <f>IF(V83="Exit Signs", IF(VLOOKUP(J83, 'Fixture Identities'!$A$6:$B$1023, 2, FALSE)="Exit Sign", "N", "Y"), "")</f>
        <v/>
      </c>
      <c r="BW83" s="184" t="str">
        <f t="array" ref="BW83">IFERROR(IF(B83="", "", IF(B83="New Construction", "N", INDEX('Lookup Tables'!$AH$6:$AU$102, MATCH(1, ('Lookup Tables'!$AH$6:$AH$102='Lighting Inventory'!V83)*('Lookup Tables'!$AI$6:$AI$102='Lighting Inventory'!W83), 0), 14))), "N")</f>
        <v/>
      </c>
      <c r="BX83" s="598" t="str">
        <f t="shared" si="360"/>
        <v/>
      </c>
      <c r="BY83" s="598" t="str">
        <f t="shared" si="361"/>
        <v/>
      </c>
      <c r="BZ83" s="598" t="str">
        <f t="shared" si="362"/>
        <v/>
      </c>
      <c r="CA83" s="598" t="str">
        <f t="shared" si="363"/>
        <v/>
      </c>
      <c r="CB83" s="269" t="str">
        <f t="shared" si="364"/>
        <v/>
      </c>
      <c r="CC83" s="517" t="str">
        <f t="shared" si="365"/>
        <v/>
      </c>
      <c r="CD83" s="565" t="str">
        <f t="shared" si="305"/>
        <v/>
      </c>
      <c r="CE83" s="368">
        <v>0</v>
      </c>
      <c r="CF83" s="368" t="str" cm="1">
        <f t="array" ref="CF83">IFERROR(IF(V83="Custom", "$0.1 per kWh", IF(B83="New Construction", CONCATENATE("$",INDEX('Lookup Tables'!$AH$114:$AN$154,MATCH(1,('Lookup Tables'!$AH$114:$AH$154='Lighting Inventory'!V83)*('Lookup Tables'!$AI$114:$AI$154='Lighting Inventory'!W83),FALSE),6)," ",INDEX('Lookup Tables'!$AH$114:$AN$154,MATCH(1,('Lookup Tables'!$AH$114:$AH$154='Lighting Inventory'!V83)*('Lookup Tables'!$AI$114:$AI$154='Lighting Inventory'!W83),FALSE),7)), IF(AND(BU83="N", V83="Exit Signs"), "$0.025 per kWh", CONCATENATE("$",INDEX('Lookup Tables'!$AH$6:$AN$102,MATCH(1,('Lookup Tables'!$AH$6:$AH$102='Lighting Inventory'!V83)*('Lookup Tables'!$AI$6:$AI$102='Lighting Inventory'!W83),FALSE),6)," ",INDEX('Lookup Tables'!$AH$6:$AN$102,MATCH(1,('Lookup Tables'!$AH$6:$AH$102='Lighting Inventory'!V83)*('Lookup Tables'!$AI$6:$AI$102='Lighting Inventory'!W83),FALSE),7))))), "")</f>
        <v/>
      </c>
      <c r="CG83" s="366"/>
      <c r="CH83" s="248" t="str">
        <f t="shared" si="306"/>
        <v/>
      </c>
      <c r="CI83" s="248" t="str">
        <f t="shared" si="307"/>
        <v>Select_IE</v>
      </c>
      <c r="CJ83" s="248" t="str">
        <f t="shared" si="308"/>
        <v/>
      </c>
      <c r="CK83" s="248" t="str">
        <f t="shared" si="309"/>
        <v/>
      </c>
      <c r="CL83" s="248" t="str">
        <f t="shared" si="310"/>
        <v/>
      </c>
      <c r="CM83" s="248" t="str">
        <f>IFERROR(IF(B83="", "", IF(B83="New Construction", VLOOKUP(V83, 'Lookup Tables'!$AF$114:$AG$120, 2, FALSE), VLOOKUP(V83, 'Lookup Tables'!$AD$6:$AE$25, 2, FALSE))), "")</f>
        <v/>
      </c>
      <c r="CN83" s="248" t="str">
        <f t="shared" si="311"/>
        <v/>
      </c>
      <c r="CO83" s="248" t="str">
        <f t="shared" si="312"/>
        <v/>
      </c>
      <c r="CP83" s="592" t="str">
        <f t="shared" si="313"/>
        <v/>
      </c>
      <c r="CQ83" s="248" t="str">
        <f t="shared" si="366"/>
        <v/>
      </c>
      <c r="CR83" s="100"/>
      <c r="CS83" s="250" t="str">
        <f t="shared" si="314"/>
        <v/>
      </c>
      <c r="CT83" s="250" t="str">
        <f t="shared" si="367"/>
        <v/>
      </c>
      <c r="CU83" s="250" t="str">
        <f t="shared" si="368"/>
        <v/>
      </c>
      <c r="CV83" s="250" t="str">
        <f t="shared" si="369"/>
        <v/>
      </c>
      <c r="CW83" s="250" t="str">
        <f t="shared" si="370"/>
        <v/>
      </c>
      <c r="CX83" s="250" t="str">
        <f t="shared" si="315"/>
        <v/>
      </c>
      <c r="CY83" s="250" t="str">
        <f t="shared" si="316"/>
        <v/>
      </c>
      <c r="CZ83" s="250" t="str">
        <f t="shared" si="317"/>
        <v/>
      </c>
      <c r="DA83" s="250" t="str">
        <f t="shared" si="318"/>
        <v/>
      </c>
      <c r="DB83" s="250" t="str">
        <f t="shared" si="319"/>
        <v/>
      </c>
      <c r="DC83" s="250" t="str">
        <f t="shared" si="320"/>
        <v/>
      </c>
      <c r="DD83" s="250" t="str">
        <f t="shared" si="321"/>
        <v/>
      </c>
      <c r="DE83" s="250" t="str">
        <f t="shared" si="322"/>
        <v/>
      </c>
      <c r="DF83" s="250" t="str">
        <f t="shared" si="323"/>
        <v/>
      </c>
      <c r="DG83" s="250" t="str">
        <f t="shared" si="324"/>
        <v/>
      </c>
      <c r="DH83" s="250" t="str">
        <f t="shared" si="325"/>
        <v/>
      </c>
      <c r="DI83" s="250" t="str">
        <f t="shared" si="326"/>
        <v/>
      </c>
      <c r="DJ83" s="250" t="str">
        <f t="shared" si="327"/>
        <v/>
      </c>
      <c r="DK83" s="250" t="str">
        <f t="shared" si="328"/>
        <v/>
      </c>
      <c r="DL83" s="250" t="str">
        <f t="shared" si="329"/>
        <v/>
      </c>
      <c r="DM83" s="250" t="str">
        <f>IF(CD83="ERROR", "ERROR", IF(AND(OR(Y83=$DM$6, Y83='Lookup Tables'!$AD$21, Y83='Lookup Tables'!$AD$22), E83="Interior"), BJ83, ""))</f>
        <v/>
      </c>
      <c r="DN83" s="250" t="str">
        <f>IF(CD83="ERROR", "ERROR", IF(AND(OR(Y83=$DM$6, Y83='Lookup Tables'!$AD$21, Y83='Lookup Tables'!$AD$22), E83="Exterior"), BJ83, ""))</f>
        <v/>
      </c>
      <c r="DO83" s="100"/>
      <c r="DP83" s="250" t="str">
        <f t="shared" si="330"/>
        <v/>
      </c>
      <c r="DQ83" s="250" t="str">
        <f t="shared" si="371"/>
        <v/>
      </c>
      <c r="DR83" s="250" t="str">
        <f t="shared" si="372"/>
        <v/>
      </c>
      <c r="DS83" s="250" t="str">
        <f t="shared" si="373"/>
        <v/>
      </c>
      <c r="DT83" s="250" t="str">
        <f t="shared" si="374"/>
        <v/>
      </c>
      <c r="DU83" s="250" t="str">
        <f t="shared" si="331"/>
        <v/>
      </c>
      <c r="DV83" s="250" t="str">
        <f t="shared" si="332"/>
        <v/>
      </c>
      <c r="DW83" s="250" t="str">
        <f t="shared" si="333"/>
        <v/>
      </c>
      <c r="DX83" s="250" t="str">
        <f t="shared" si="334"/>
        <v/>
      </c>
      <c r="DY83" s="250" t="str">
        <f t="shared" si="335"/>
        <v/>
      </c>
      <c r="DZ83" s="250" t="str">
        <f t="shared" si="336"/>
        <v/>
      </c>
      <c r="EA83" s="250" t="str">
        <f t="shared" si="337"/>
        <v/>
      </c>
      <c r="EB83" s="250" t="str">
        <f t="shared" si="375"/>
        <v/>
      </c>
      <c r="EC83" s="250" t="str">
        <f t="shared" si="338"/>
        <v/>
      </c>
      <c r="ED83" s="250" t="str">
        <f t="shared" si="339"/>
        <v/>
      </c>
      <c r="EE83" s="250" t="str">
        <f t="shared" si="340"/>
        <v/>
      </c>
      <c r="EF83" s="250" t="str">
        <f t="shared" si="341"/>
        <v/>
      </c>
      <c r="EG83" s="250" t="str">
        <f t="shared" si="342"/>
        <v/>
      </c>
      <c r="EH83" s="250" t="str">
        <f>IF(CD83="ERROR", "ERROR", IF(AND(OR($EH$6=Y83, Y83='Lookup Tables'!$AD$21, Y83='Lookup Tables'!$AD$22),E83="Interior"), SUM(BP83:BP83), ""))</f>
        <v/>
      </c>
      <c r="EI83" s="250" t="str">
        <f>IF(CD83="ERROR", "ERROR", IF(AND(OR($EH$6=Y83, Y83='Lookup Tables'!$AD$21, Y83='Lookup Tables'!$AD$22),E83="Exterior"), SUM(BP83:BP83), ""))</f>
        <v/>
      </c>
      <c r="EJ83" s="109"/>
      <c r="EK83" s="485" t="str">
        <f t="shared" si="343"/>
        <v/>
      </c>
      <c r="EL83" s="252" t="str">
        <f t="shared" si="376"/>
        <v/>
      </c>
      <c r="EM83" s="252" t="str">
        <f t="shared" si="377"/>
        <v/>
      </c>
      <c r="EN83" s="252" t="str">
        <f t="shared" si="378"/>
        <v/>
      </c>
      <c r="EO83" s="252" t="str">
        <f t="shared" si="379"/>
        <v/>
      </c>
      <c r="EP83" s="252" t="str">
        <f t="shared" si="380"/>
        <v/>
      </c>
      <c r="EQ83" s="252" t="str">
        <f t="shared" si="381"/>
        <v/>
      </c>
      <c r="ER83" s="252" t="str">
        <f t="shared" si="382"/>
        <v/>
      </c>
      <c r="ES83" s="252" t="str">
        <f t="shared" si="383"/>
        <v/>
      </c>
      <c r="ET83" s="252" t="str">
        <f t="shared" si="384"/>
        <v/>
      </c>
      <c r="EU83" s="252" t="str">
        <f t="shared" si="385"/>
        <v/>
      </c>
      <c r="EV83" s="252" t="str">
        <f t="shared" si="386"/>
        <v/>
      </c>
      <c r="EW83" s="252" t="str">
        <f t="shared" si="387"/>
        <v/>
      </c>
      <c r="EX83" s="252" t="str">
        <f t="shared" si="388"/>
        <v/>
      </c>
      <c r="EY83" s="252" t="str">
        <f t="shared" si="389"/>
        <v/>
      </c>
      <c r="EZ83" s="252" t="str">
        <f t="shared" si="390"/>
        <v/>
      </c>
      <c r="FA83" s="252" t="str">
        <f t="shared" si="391"/>
        <v/>
      </c>
      <c r="FB83" s="252" t="str">
        <f t="shared" si="392"/>
        <v/>
      </c>
      <c r="FC83" s="252" t="str">
        <f>IF(CD83="ERROR", "ERROR", IF(OR(V83="No Change", V83="Not DLC or Energy Star"), "", IF(AND(OR($FC$6=Y83,Y83='Lookup Tables'!$AD$21, Y83='Lookup Tables'!$AD$22),E83="Interior"), S83, "")))</f>
        <v/>
      </c>
      <c r="FD83" s="252" t="str">
        <f t="shared" si="393"/>
        <v/>
      </c>
      <c r="FE83" s="101"/>
      <c r="FF83" s="579" t="str" cm="1">
        <f t="array" ref="FF83">IFERROR(IF(OR(BQ83&lt;=0,AQ83&lt;20,AND(V83="Exit Signs",AN83&gt;0)),"",IF(AND(AQ83&gt;=20,AN83='Lookup Tables'!$R$101),'Lookup Tables'!$U$101*BQ83,AP83*LOOKUP(2,1/((AN83='Lookup Tables'!$R$91:$R$111)*(AQ83&gt;='Lookup Tables'!$S$91:$S$111)*(AQ83&lt;='Lookup Tables'!$T$91:$T$111)),'Lookup Tables'!$U$91:$U$111))),"")</f>
        <v/>
      </c>
      <c r="FG83" s="579"/>
      <c r="FH83" s="579"/>
      <c r="FI83" s="253" t="str">
        <f>IFERROR(ROUND(IF(CD83="ERROR", "ERROR", IF(AND($FI$7=X83,E83="Interior"),VLOOKUP(W83, 'Lookup Tables'!$AI$6:$AM$102, 5, FALSE)*BP83, "")), 2), "")</f>
        <v/>
      </c>
      <c r="FJ83" s="253" t="str">
        <f>IFERROR(ROUND(IF(CD83="ERROR", "ERROR", IF(AND($FI$7=X83,E83="Exterior"),VLOOKUP(W83, 'Lookup Tables'!$AI$6:$AM$102, 5, FALSE)*BP83, "")), 2), "")</f>
        <v/>
      </c>
      <c r="FK83" s="253" t="str">
        <f>IFERROR(ROUND(IF(CD83="ERROR", "ERROR", IF(AND($FK$7=X83,E83="Interior"),VLOOKUP(W83, 'Lookup Tables'!$AI$6:$AM$102, 5, FALSE)*BP83, "")), 2), "")</f>
        <v/>
      </c>
      <c r="FL83" s="253" t="str">
        <f>IFERROR(ROUND(IF(CD83="ERROR", "ERROR", IF(AND($FK$7=X83,E83="Exterior"),VLOOKUP(W83, 'Lookup Tables'!$AI$6:$AM$102, 5, FALSE)*BP83, "")), 2), "")</f>
        <v/>
      </c>
      <c r="FM83" s="253" t="str">
        <f>IFERROR(ROUND(IF(CD83="ERROR", "ERROR", IF(AND($FM$6=Y83,E83="Interior"), IF(GB83=0, VLOOKUP(W83, 'Lookup Tables'!$AI$6:$AM$102, 5, FALSE)*BP83, IF(VLOOKUP(W83, 'Lookup Tables'!$AI$6:$AM$102, 5, FALSE)*BP83&gt;GB83*'Lighting Inventory'!S83, GB83*'Lighting Inventory'!S83,VLOOKUP(W83, 'Lookup Tables'!$AI$6:$AM$102, 5, FALSE)*BP83)), "")), 2), "")</f>
        <v/>
      </c>
      <c r="FN83" s="253" t="str">
        <f>IFERROR(ROUND(IF(CD83="ERROR", "ERROR", IF(AND($FM$6=Y83,E83="Exterior"), IF(GB83=0, VLOOKUP(W83, 'Lookup Tables'!$AI$6:$AM$102, 5, FALSE)*BP83, IF(VLOOKUP(W83, 'Lookup Tables'!$AI$6:$AM$102, 5, FALSE)*BP83&gt;GB83*'Lighting Inventory'!S83, GB83*'Lighting Inventory'!S83,VLOOKUP(W83, 'Lookup Tables'!$AI$6:$AM$102, 5, FALSE)*BP83)), "")), 2), "")</f>
        <v/>
      </c>
      <c r="FO83" s="253" t="str">
        <f>IFERROR(ROUND(IF(CD83="ERROR", "ERROR", IF(AND($FO$6=Y83,E83="Interior"),VLOOKUP(W83, 'Lookup Tables'!$AI$6:$AM$102, 5, FALSE)*'Lighting Inventory'!AI83, "")), 2), "")</f>
        <v/>
      </c>
      <c r="FP83" s="253" t="str">
        <f>IFERROR(ROUND(IF(CD83="ERROR", "ERROR", IF(AND($FO$6=Y83,E83="Exterior"),VLOOKUP(W83, 'Lookup Tables'!$AI$6:$AM$102, 5, FALSE)*'Lighting Inventory'!AI83, "")), 2), "")</f>
        <v/>
      </c>
      <c r="FQ83" s="253" t="str">
        <f>IFERROR(ROUND(IF(CD83="ERROR", "ERROR", IF(AND($FQ$6=Y83,E83="Interior", BU83="Y"), VLOOKUP('Lighting Inventory'!W83, 'Lookup Tables'!$AI$6:$AM$102, 5, FALSE)*'Lighting Inventory'!S83, IF(AND($FQ$7=Y83,E83="Interior", BU83="N"), 0.025*CD83, ""))), 2), "")</f>
        <v/>
      </c>
      <c r="FR83" s="253" t="str">
        <f>IFERROR(ROUND(IF(CD83="ERROR", "ERROR", IF(AND($FQ$6=Y83,E83="Exterior"), VLOOKUP('Lighting Inventory'!W83, 'Lookup Tables'!$AI$6:$AM$102, 5, FALSE)*'Lighting Inventory'!S83, "")), 2), "")</f>
        <v/>
      </c>
      <c r="FS83" s="253" t="str">
        <f>IFERROR(ROUND(IF(CD83="ERROR", "ERROR", IF(AND($FS$6=Y83,E83="Exterior"), IF(GB83=0, VLOOKUP(W83, 'Lookup Tables'!$AI$6:$AM$102, 5, FALSE)*BP83, IF(VLOOKUP(W83, 'Lookup Tables'!$AI$6:$AM$102, 5, FALSE)*BP83&gt;GB83*'Lighting Inventory'!S83, GB83*'Lighting Inventory'!S83,VLOOKUP(W83, 'Lookup Tables'!$AI$6:$AM$102, 5, FALSE)*BP83)), "")), 2), "")</f>
        <v/>
      </c>
      <c r="FT83" s="253" t="str">
        <f>IFERROR(ROUND(IF(CD83="ERROR", "ERROR", IF(AND($FT$6=Y83,E83="Interior"), IF(GB83=0, VLOOKUP(W83, 'Lookup Tables'!$AI$6:$AM$102, 5, FALSE)*BP83, IF(VLOOKUP(W83, 'Lookup Tables'!$AI$6:$AM$102, 5, FALSE)*BP83&gt;GB83*'Lighting Inventory'!S83, GB83*'Lighting Inventory'!S83,VLOOKUP(W83, 'Lookup Tables'!$AI$6:$AM$102, 5, FALSE)*BP83)), "")), 2), "")</f>
        <v/>
      </c>
      <c r="FU83" s="253" t="str">
        <f>IFERROR(ROUND(IF(CD83="ERROR", "ERROR", IF(AND(Y83=$FU$6, E83="Interior"), IF(BS83="N", 'Lookup Tables'!$AM$101*BP83, VLOOKUP(W83, 'Lookup Tables'!$AI$6:$AM$102, 5, FALSE)*S83*AD83), "")), 2), "")</f>
        <v/>
      </c>
      <c r="FV83" s="253" t="str">
        <f>IFERROR(ROUND(IF(CD83="ERROR", "ERROR", IF(AND(Y83=$FU$6, E83="Exterior"), IF(BS83="N", 'Lookup Tables'!$AM$101*BP83, VLOOKUP(W83, 'Lookup Tables'!$AI$6:$AM$102, 5, FALSE)*S83*AD83), "")), 2), "")</f>
        <v/>
      </c>
      <c r="FW83" s="253" t="str">
        <f>IFERROR(ROUND(IF(CD83="ERROR", "ERROR", IF($FW$6=Y83, IF(BS83="N", 'Lookup Tables'!$AM$101*BP83, MIN((VLOOKUP(W83, 'Lookup Tables'!$AI$6:$AM$102, 5, FALSE)*BP83),GB83*AJ83)), "")), 2), "")</f>
        <v/>
      </c>
      <c r="FX83" s="253" t="str">
        <f>IFERROR(ROUND(IF(CD83="ERROR", "ERROR", IF(AND($FX$6=Y83, E83="Interior"), IF(VLOOKUP(W83, 'Lookup Tables'!$AI$6:$AM$102, 5, FALSE)*BP83&gt;'Lookup Tables'!$AQ$97*'Lighting Inventory'!S83,'Lighting Inventory'!S83*'Lookup Tables'!$AQ$97,VLOOKUP(W83, 'Lookup Tables'!$AI$6:$AM$102, 5, FALSE)*BP83), "")), 2), "")</f>
        <v/>
      </c>
      <c r="FY83" s="253" t="str">
        <f>IFERROR(ROUND(IF(CD83="ERROR", "ERROR", IF(AND($FX$6=Y83, E83="Exterior"), IF(VLOOKUP(W83, 'Lookup Tables'!$AI$6:$AM$102, 5, FALSE)*BP83&gt;'Lookup Tables'!$AQ$97*'Lighting Inventory'!S83,'Lighting Inventory'!S83*'Lookup Tables'!$AQ$97,VLOOKUP(W83, 'Lookup Tables'!$AI$6:$AM$102, 5, FALSE)*BP83), "")), 2), "")</f>
        <v/>
      </c>
      <c r="FZ83" s="253" t="str">
        <f>IFERROR(ROUND(IF(CD83="ERROR", "ERROR", IF(AND($FZ$6=Y83, E83="Interior"), IF(AND(OR(W83="Refrigerated Case Lighting with Doors", W83="Freezer Case Lighting"),Y83="Custom - Process Improvement"),CD83*'Lookup Tables'!$AM$101, IF(B83="Retrofit", IF(VLOOKUP(IF(V83="Custom", V83, W83), 'Lookup Tables'!$AI$6:$AM$102, 5, FALSE)*BP83&gt;GE83, GE83, VLOOKUP(IF(V83="Custom", V83, W83), 'Lookup Tables'!$AI$6:$AM$102, 5, FALSE)*BP83), IF(VLOOKUP(IF(V83="Custom", V83, W83), 'Lookup Tables'!$AI$114:$AM$154, 5, FALSE)*BP83&gt;GE83, GE83, VLOOKUP(IF(V83="Custom", V83, W83), 'Lookup Tables'!$AI$114:$AM$154, 5, FALSE)*BP83))), "")), 2),"")</f>
        <v/>
      </c>
      <c r="GA83" s="253" t="str">
        <f>IFERROR(ROUND(IF(CD83="ERROR", "ERROR", IF(AND($FZ$6=Y83, E83="Exterior"), IF(B83="Retrofit", IF(VLOOKUP(IF(V83="Custom", V83, W83), 'Lookup Tables'!$AI$6:$AM$102, 5, FALSE)*BP83&gt;GE83, GE83, VLOOKUP(IF(V83="Custom", V83, W83), 'Lookup Tables'!$AI$6:$AM$102, 5, FALSE)*BP83), IF(VLOOKUP(IF(V83="Custom", V83, W83), 'Lookup Tables'!$AI$114:$AM$154, 5, FALSE)*BP83&gt;GE83, GE83, VLOOKUP(IF(V83="Custom", V83, W83), 'Lookup Tables'!$AI$114:$AM$154, 5, FALSE)*BP83)), "")), 2),"")</f>
        <v/>
      </c>
      <c r="GB83" s="254" t="str">
        <f t="array" ref="GB83">IF(B83="","",IF(OR(V83="Custom",V83="No Change"),0,IF(B83="Retrofit", INDEX('Lookup Tables'!$AH$6:$AQ$102,MATCH(1,('Lookup Tables'!$AH$6:$AH$102='Lighting Inventory'!V83)*('Lookup Tables'!$AI$6:$AI$102='Lighting Inventory'!W83),FALSE),10),INDEX('Lookup Tables'!$AH$114:$AQ$154,MATCH(1,('Lookup Tables'!$AH$114:$AH$154='Lighting Inventory'!V83)*('Lookup Tables'!$AI$114:$AI$154='Lighting Inventory'!W83),FALSE),10))))</f>
        <v/>
      </c>
      <c r="GC83" s="255" t="str">
        <f t="shared" si="344"/>
        <v/>
      </c>
      <c r="GD83" s="250" t="str">
        <f t="shared" si="345"/>
        <v/>
      </c>
      <c r="GE83" s="253" t="str">
        <f>IFERROR(IF(AND(AF83="", 'General Information'!$F$18="No"),"", IF(AF83="", ((GD83/$CD$266)*$CF$266)*0.5, AF83*S83*0.5)), "")</f>
        <v/>
      </c>
      <c r="GF83" s="255" t="str">
        <f>IF(AND('General Information'!$F$19="", 'General Information'!$F$18="Yes",AF83="",BW83="Y"), "Y", "N")</f>
        <v>N</v>
      </c>
      <c r="GG83" s="255" t="s">
        <v>2946</v>
      </c>
      <c r="GH83" s="255" t="str">
        <f>IFERROR(IF(B83="", "", VLOOKUP(J83, 'Fixture Identities'!$A$6:$N$908, 14, FALSE)), "")</f>
        <v/>
      </c>
      <c r="GI83" s="389" t="str">
        <f>IF(OR(B83="", V83="", W83=""), "", IF(AND(OR(M83='Lookup Tables'!$R$18, M83='Lookup Tables'!$R$19, M83='Lookup Tables'!$R$20, M83='Lookup Tables'!$R$21, M83='Lookup Tables'!$R$22), OR(AN83='Lookup Tables'!$R$17, AN83='Lookup Tables'!$R$17, AN83="")), "Y", "N"))</f>
        <v/>
      </c>
      <c r="GJ83" s="255" t="str">
        <f t="shared" si="346"/>
        <v/>
      </c>
      <c r="GK83" s="255" t="str">
        <f t="shared" si="347"/>
        <v/>
      </c>
      <c r="GL83" s="255" t="str">
        <f t="shared" si="348"/>
        <v/>
      </c>
      <c r="GM83" s="255" t="str">
        <f>IF(AN83="", "", IF(AND(IF(ISNA(VLOOKUP(AN83,'Lookup Tables'!$R$18:$R$22,1,FALSE)), "N", "Y")="Y", E83="Exterior"), "Y", "N"))</f>
        <v/>
      </c>
      <c r="GN83" s="395"/>
      <c r="GO83" s="428">
        <f t="shared" si="394"/>
        <v>0</v>
      </c>
      <c r="GP83" s="428">
        <f t="shared" si="397"/>
        <v>0</v>
      </c>
      <c r="GQ83" s="428">
        <f t="shared" si="395"/>
        <v>0</v>
      </c>
      <c r="GR83" s="428">
        <f t="shared" si="396"/>
        <v>0</v>
      </c>
    </row>
    <row r="84" spans="1:200" s="103" customFormat="1" ht="13.5" customHeight="1" x14ac:dyDescent="0.2">
      <c r="A84" s="272">
        <v>74</v>
      </c>
      <c r="B84" s="110"/>
      <c r="C84" s="110"/>
      <c r="D84" s="110"/>
      <c r="E84" s="110"/>
      <c r="F84" s="110"/>
      <c r="G84" s="110"/>
      <c r="H84" s="110"/>
      <c r="I84" s="29"/>
      <c r="J84" s="29"/>
      <c r="K84" s="272" t="str">
        <f>IFERROR(IF(OR(VLOOKUP(J84, 'Fixture Identities'!$A$6:$L$1023, 3, FALSE)="T12 Linear Fluorescent", VLOOKUP(J84, 'Fixture Identities'!$A$6:$L$1023, 3, FALSE)="T12 U-Tube Fluorescent"), VLOOKUP(VLOOKUP(J84, 'Fixture Identities'!$A$6:$L$1023, 11, FALSE), 'Fixture Identities'!$A$6:$L$1023, 10, FALSE), VLOOKUP(J84, 'Fixture Identities'!$A$6:$L$1023, 10, FALSE)), "")</f>
        <v/>
      </c>
      <c r="L84" s="270" t="str">
        <f t="shared" si="399"/>
        <v/>
      </c>
      <c r="M84" s="110"/>
      <c r="N84" s="110"/>
      <c r="O84" s="110"/>
      <c r="P84" s="272" t="str">
        <f>IFERROR(IF(OR(B84="Retrofit",B84=""),"",IF('Lighting Inventory'!E84="Exterior",VLOOKUP('Lighting Inventory'!N84,'Lookup Tables'!$B$83:$F$103,5,FALSE),IF(N84="Other - Please Estimate EFLH and CFs","Contact Prog. Rep.","ft^2"))), "")</f>
        <v/>
      </c>
      <c r="Q84" s="270" t="str">
        <f>IFERROR(IF(AND(B84="New Construction",E84="Interior",$F$5="Space-by-Space"),VLOOKUP('Lighting Inventory'!N84,'Lookup Tables'!$N$6:$O$97,2,FALSE),IF(AND(B84="New Construction",E84="Exterior"),VLOOKUP(N84,'Lookup Tables'!$B$83:$F$103,2,FALSE),IF(AND(B84="New Construction",'Lighting Inventory'!E84="Interior", $F$5="Building Area"),VLOOKUP(F84,'Lookup Tables'!$A$6:$J$59,10,FALSE),""))), "")</f>
        <v/>
      </c>
      <c r="R84" s="270" t="str">
        <f>IFERROR(IF(P84="Contact Prog. Rep.", "ERROR", IF(OR(B84="",B84="Retrofit"),"",IF(N84="Automated teller machines", ('Lookup Tables'!$A$82:$E$100+('Lighting Inventory'!O84-1)*'Lookup Tables'!$A$82:$E$100)/1000, (Q84*O84)/1000))), "")</f>
        <v/>
      </c>
      <c r="S84" s="595"/>
      <c r="T84" s="105" t="str">
        <f t="shared" si="349"/>
        <v/>
      </c>
      <c r="U84" s="105" t="str">
        <f>IF(S84="","",COUNT($S$11:S84))</f>
        <v/>
      </c>
      <c r="V84" s="111"/>
      <c r="W84" s="112"/>
      <c r="X84" s="105" t="str">
        <f t="shared" si="350"/>
        <v/>
      </c>
      <c r="Y84" s="105" t="str">
        <f t="array" ref="Y84">IF(AND(OR(W84="Freezer Case Lighting", W84="Refrigerated Case Lighting with Doors"), 'General Information'!$X$18="LCI"),'Lookup Tables'!$Y$34, IF(V84="Custom", VLOOKUP(W84, 'Fixture Identities'!$A$974:$M$1023, 13, FALSE), IF(V84="No Change",'Lookup Tables'!$Y$29,IF(OR(V84="",W84=""),"",IF(AND(S84=0,S84&lt;I84,B84="Retrofit"),'Lookup Tables'!$Y$25, IF(B84="Retrofit", INDEX('Lookup Tables'!$AH$6:$AP$102, MATCH(1, ('Lookup Tables'!$AH$6:$AH$102=V84)*('Lookup Tables'!$AI$6:$AI$102=W84), 0), IF('Lighting Inventory'!E84="Interior", 4, 5)), INDEX('Lookup Tables'!$AH$114:$AP$154, MATCH(1, ('Lookup Tables'!$AH$114:$AH$154=V84)*('Lookup Tables'!$AI$114:$AI$154=W84), 0), IF('Lighting Inventory'!E84="Interior", 4, 5))))))))</f>
        <v/>
      </c>
      <c r="Z84" s="105" t="str">
        <f>IFERROR(INDEX('Lookup Tables'!$AH$158:$AH$172,MATCH('Lighting Inventory'!Y84,'Lookup Tables'!$AI$158:$AI$172,0)),"")</f>
        <v/>
      </c>
      <c r="AA84" s="105" t="str">
        <f>IF(AP84&gt;0,INDEX('Lookup Tables'!$AK$158:$AK$172,MATCH('Lighting Inventory'!Y84,'Lookup Tables'!$AI$158:$AI$172,0)),'Lighting Inventory'!Y84)</f>
        <v/>
      </c>
      <c r="AB84" s="105" t="str">
        <f t="array" ref="AB84">IF(V84="Custom", "Custom", IF(V84="", "", IF(V84="Not DLC or Energy Star", "General", IF(B84="New Construction", INDEX('Lookup Tables'!$AH$114:$AP$154,MATCH(1,('Lookup Tables'!$AH$114:$AH$154='Lighting Inventory'!V84)*('Lookup Tables'!$AI$114:$AI$154='Lighting Inventory'!W84),FALSE),8), INDEX('Lookup Tables'!$AH$6:$AP$102,MATCH(1,('Lookup Tables'!$AH$6:$AH$102='Lighting Inventory'!V84)*('Lookup Tables'!$AI$6:$AI$102='Lighting Inventory'!W84),FALSE),8)))))</f>
        <v/>
      </c>
      <c r="AC84" s="272" t="str">
        <f>IF(W84="","",IF(V84="Custom",CONCATENATE("$",'Lookup Tables'!$AM$101," ",'Lookup Tables'!$AN$101),CONCATENATE("$",INDEX('Lookup Tables'!$AM$6:$AM$102,MATCH('Lighting Inventory'!W84,'Lookup Tables'!$AI$6:$AI$102,0))," ",INDEX('Lookup Tables'!$AN$6:$AN$102,MATCH('Lighting Inventory'!W84,'Lookup Tables'!$AI$6:$AI$102,0)))))</f>
        <v/>
      </c>
      <c r="AD84" s="72"/>
      <c r="AE84" s="29"/>
      <c r="AF84" s="379"/>
      <c r="AG84" s="370" t="str">
        <f t="shared" si="298"/>
        <v/>
      </c>
      <c r="AH84" s="370" t="str">
        <f t="shared" si="351"/>
        <v/>
      </c>
      <c r="AI84" s="29"/>
      <c r="AJ84" s="29"/>
      <c r="AK84" s="110"/>
      <c r="AL84" s="375" t="str">
        <f>IF(OR(B84="", V84="", W84=""), "", IF(V84="No Change", K84, IF(V84="Remove Fixture", 0, IF(V84="Custom",VLOOKUP(W84,'Fixture Identities'!$A$6:$K$1023,10,FALSE),IF(AE84="", "← ENTER POST WATTS", 'Lighting Inventory'!AE84)))))</f>
        <v/>
      </c>
      <c r="AM84" s="376" t="str">
        <f t="shared" si="299"/>
        <v/>
      </c>
      <c r="AN84" s="29"/>
      <c r="AO84" s="671"/>
      <c r="AP84" s="29"/>
      <c r="AQ84" s="29"/>
      <c r="AR84" s="29"/>
      <c r="AS84" s="272" t="str">
        <f t="shared" si="352"/>
        <v/>
      </c>
      <c r="AT84" s="270" t="str">
        <f t="shared" si="300"/>
        <v/>
      </c>
      <c r="AU84" s="88" t="str">
        <f t="shared" si="400"/>
        <v/>
      </c>
      <c r="AV84" s="29"/>
      <c r="AW84" s="73"/>
      <c r="AX84" s="271" t="str">
        <f>IF(AND(AV84="Applicant",OR(AW84="", AW84="Use Default Facility Hours")),"← Choose Schedule",IF(F84="","",IF(W84="LED Exit Signs",8760,IF(OR(AV84="Prescribed",AV84=""),VLOOKUP(F84,'Lookup Tables'!$A$6:$G$59,IF(AB84="General", 6, 3),FALSE),VLOOKUP(AW84,'Lookup Tables'!$S$36:$U$43,2,FALSE)))))</f>
        <v/>
      </c>
      <c r="AY84" s="88" t="str">
        <f t="shared" si="301"/>
        <v/>
      </c>
      <c r="AZ84" s="270" t="str">
        <f>IFERROR(IF(F84="", "", IF(W84="LED Exit Signs", 1, IF(AV84="Applicant",VLOOKUP(AW84, 'Lookup Tables'!$S$36:$U$43,3, FALSE), VLOOKUP('Lighting Inventory'!F84, 'Lookup Tables'!$A$6:$H$59, IF('Lighting Inventory'!AB84="General",7,4), FALSE)))), "")</f>
        <v/>
      </c>
      <c r="BA84" s="522" t="str">
        <f>IFERROR(IF(F84="", "", IF(W84="LED Exit Signs", 1, VLOOKUP('Lighting Inventory'!F84, 'Lookup Tables'!$A$6:$H$59, IF('Lighting Inventory'!AB84="General",8,5), FALSE))), "")</f>
        <v/>
      </c>
      <c r="BB84" s="270" t="str">
        <f>IF(G84="", "", IF(E84="Exterior", 0, IF('Lighting Inventory'!G84="Air Conditioned", VLOOKUP(H84, 'Lookup Tables'!$R$6:$T$13, 2, FALSE), VLOOKUP('Lighting Inventory'!G84, 'Lookup Tables'!$R$6:$T$13, 2, FALSE))))</f>
        <v/>
      </c>
      <c r="BC84" s="522" t="str">
        <f>IF(G84="", "", IF(E84="Exterior", 0, IF('Lighting Inventory'!G84="Air Conditioned", VLOOKUP(H84, 'Lookup Tables'!$R$6:$T$13, 3, FALSE), VLOOKUP('Lighting Inventory'!G84, 'Lookup Tables'!$R$6:$T$13, 3, FALSE))))</f>
        <v/>
      </c>
      <c r="BD84" s="270" t="str">
        <f>IF(G84="", "", IF(E84="Exterior", 0, IF('Lighting Inventory'!G84="Air Conditioned", VLOOKUP(H84, 'Lookup Tables'!$R$6:$U$13, 4, FALSE), VLOOKUP('Lighting Inventory'!G84, 'Lookup Tables'!$R$6:$U$13, 4, FALSE))))</f>
        <v/>
      </c>
      <c r="BE84" s="270" t="str">
        <f>IFERROR(IF(B84="", "",  IF(B84="New Construction", VLOOKUP(F84, 'Lookup Tables'!$A$6:$K$59, 11, FALSE),IF(OR(AN84="", AN84="Light Switch"), 0, IF(OR(M84="",M84="None",V84= "LED Exit Signs"),0,_xlfn.XLOOKUP(M84,'Lookup Tables'!$R$91:$R$101,'Lookup Tables'!$V$91:$V$101))))), "")</f>
        <v/>
      </c>
      <c r="BF84" s="270" t="str">
        <f>IF(AND(OR(AN84="Light Switch",AN84=""),B84="New Construction"), VLOOKUP(F84, 'Lookup Tables'!$A$6:$K$59, 11, FALSE),IF(AN84="","",IF(B84="","",IF(OR(AN84="None",AN84="",V84="LED Exit Signs",AN84="Exterior Controls Not Eligible"),0,_xlfn.XLOOKUP(AN84,'Lookup Tables'!$R$91:$R$101,'Lookup Tables'!$V$91:$V$101)))))</f>
        <v/>
      </c>
      <c r="BG84" s="88" t="str">
        <f t="shared" si="353"/>
        <v/>
      </c>
      <c r="BH84" s="88" t="str">
        <f t="shared" si="354"/>
        <v/>
      </c>
      <c r="BI84" s="558" t="str">
        <f t="shared" si="398"/>
        <v/>
      </c>
      <c r="BJ84" s="82" t="str">
        <f t="shared" si="355"/>
        <v/>
      </c>
      <c r="BK84" s="82" t="str">
        <f t="shared" si="356"/>
        <v/>
      </c>
      <c r="BL84" s="559" t="str">
        <f t="shared" si="357"/>
        <v/>
      </c>
      <c r="BM84" s="521" t="str">
        <f t="shared" si="302"/>
        <v/>
      </c>
      <c r="BN84" s="521" t="str">
        <f t="shared" si="303"/>
        <v/>
      </c>
      <c r="BO84" s="522" t="str">
        <f t="shared" si="304"/>
        <v/>
      </c>
      <c r="BP84" s="83" t="str">
        <f t="shared" si="358"/>
        <v/>
      </c>
      <c r="BQ84" s="84" t="str">
        <f t="shared" si="359"/>
        <v/>
      </c>
      <c r="BR84" s="184" t="str">
        <f>IFERROR(IF(B84="", "", IF(OR(VLOOKUP(J84, 'Fixture Identities'!$A$6:$L$1023, 3, FALSE)="T12 Linear Fluorescent",VLOOKUP(J84, 'Fixture Identities'!$A$6:$L$1023, 3, FALSE)="T12 U-Tube Fluorescent"), "Y", "N")), "N")</f>
        <v/>
      </c>
      <c r="BS84" s="184" t="str">
        <f t="array" ref="BS84">IFERROR(IF(OR(B84="", V84="", W84=""), "", IF(V84="Custom", "N", IF(OR(W84="Freezer Case Lighting", W84="Refrigerated Case Lighting with Doors"), BT84, IF(B84="Retrofit", INDEX('Lookup Tables'!$AH$6:$AT$102,MATCH(1,('Lookup Tables'!$AH$6:$AH$102=V84)*('Lookup Tables'!$AI$6:$AI$102=W84),FALSE),IF(VLOOKUP(J84, 'Fixture Identities'!$A$6:$B$1023, 2, FALSE)="Incandescent",12, 13)), INDEX('Lookup Tables'!$AH$114:$AS$154,MATCH(1,('Lookup Tables'!$AH$114:$AH$154=V84)*('Lookup Tables'!$AI$114:$AI$154=W84),FALSE),12))))), "N")</f>
        <v/>
      </c>
      <c r="BT84" s="184" t="str">
        <f>IF(J84="", "", IF(AND(OR(W84="Freezer case Lighting", W84="Refrigerated Case Lighting with Doors"),'General Information'!$X$18="LCI"), "N", IF(OR(VLOOKUP(J84, 'Fixture Identities'!$A$6:$B$1023, 2, FALSE)="T12 EPACT/EISA Baseline", VLOOKUP(J84, 'Fixture Identities'!$A$6:$B$1023, 2, FALSE)="Linear Fluorescent", VLOOKUP(J84, 'Fixture Identities'!$A$6:$B$1023, 2, FALSE)="U-Tube Fluorescent"), "Y", "N")))</f>
        <v/>
      </c>
      <c r="BU84" s="184" t="str">
        <f>IFERROR(IF(B84="", "", IF(VLOOKUP(J84, 'Fixture Identities'!$A$6:$B$1023, 2, FALSE)="Exit Sign", "Y", "N")), "N")</f>
        <v/>
      </c>
      <c r="BV84" s="184" t="str">
        <f>IF(V84="Exit Signs", IF(VLOOKUP(J84, 'Fixture Identities'!$A$6:$B$1023, 2, FALSE)="Exit Sign", "N", "Y"), "")</f>
        <v/>
      </c>
      <c r="BW84" s="184" t="str">
        <f t="array" ref="BW84">IFERROR(IF(B84="", "", IF(B84="New Construction", "N", INDEX('Lookup Tables'!$AH$6:$AU$102, MATCH(1, ('Lookup Tables'!$AH$6:$AH$102='Lighting Inventory'!V84)*('Lookup Tables'!$AI$6:$AI$102='Lighting Inventory'!W84), 0), 14))), "N")</f>
        <v/>
      </c>
      <c r="BX84" s="598" t="str">
        <f t="shared" si="360"/>
        <v/>
      </c>
      <c r="BY84" s="598" t="str">
        <f t="shared" si="361"/>
        <v/>
      </c>
      <c r="BZ84" s="598" t="str">
        <f t="shared" si="362"/>
        <v/>
      </c>
      <c r="CA84" s="598" t="str">
        <f t="shared" si="363"/>
        <v/>
      </c>
      <c r="CB84" s="269" t="str">
        <f t="shared" si="364"/>
        <v/>
      </c>
      <c r="CC84" s="517" t="str">
        <f t="shared" si="365"/>
        <v/>
      </c>
      <c r="CD84" s="565" t="str">
        <f t="shared" si="305"/>
        <v/>
      </c>
      <c r="CE84" s="368">
        <v>0</v>
      </c>
      <c r="CF84" s="368" t="str" cm="1">
        <f t="array" ref="CF84">IFERROR(IF(V84="Custom", "$0.1 per kWh", IF(B84="New Construction", CONCATENATE("$",INDEX('Lookup Tables'!$AH$114:$AN$154,MATCH(1,('Lookup Tables'!$AH$114:$AH$154='Lighting Inventory'!V84)*('Lookup Tables'!$AI$114:$AI$154='Lighting Inventory'!W84),FALSE),6)," ",INDEX('Lookup Tables'!$AH$114:$AN$154,MATCH(1,('Lookup Tables'!$AH$114:$AH$154='Lighting Inventory'!V84)*('Lookup Tables'!$AI$114:$AI$154='Lighting Inventory'!W84),FALSE),7)), IF(AND(BU84="N", V84="Exit Signs"), "$0.025 per kWh", CONCATENATE("$",INDEX('Lookup Tables'!$AH$6:$AN$102,MATCH(1,('Lookup Tables'!$AH$6:$AH$102='Lighting Inventory'!V84)*('Lookup Tables'!$AI$6:$AI$102='Lighting Inventory'!W84),FALSE),6)," ",INDEX('Lookup Tables'!$AH$6:$AN$102,MATCH(1,('Lookup Tables'!$AH$6:$AH$102='Lighting Inventory'!V84)*('Lookup Tables'!$AI$6:$AI$102='Lighting Inventory'!W84),FALSE),7))))), "")</f>
        <v/>
      </c>
      <c r="CG84" s="366"/>
      <c r="CH84" s="248" t="str">
        <f t="shared" si="306"/>
        <v/>
      </c>
      <c r="CI84" s="248" t="str">
        <f t="shared" si="307"/>
        <v>Select_IE</v>
      </c>
      <c r="CJ84" s="248" t="str">
        <f t="shared" si="308"/>
        <v/>
      </c>
      <c r="CK84" s="248" t="str">
        <f t="shared" si="309"/>
        <v/>
      </c>
      <c r="CL84" s="248" t="str">
        <f t="shared" si="310"/>
        <v/>
      </c>
      <c r="CM84" s="248" t="str">
        <f>IFERROR(IF(B84="", "", IF(B84="New Construction", VLOOKUP(V84, 'Lookup Tables'!$AF$114:$AG$120, 2, FALSE), VLOOKUP(V84, 'Lookup Tables'!$AD$6:$AE$25, 2, FALSE))), "")</f>
        <v/>
      </c>
      <c r="CN84" s="248" t="str">
        <f t="shared" si="311"/>
        <v/>
      </c>
      <c r="CO84" s="248" t="str">
        <f t="shared" si="312"/>
        <v/>
      </c>
      <c r="CP84" s="592" t="str">
        <f t="shared" si="313"/>
        <v/>
      </c>
      <c r="CQ84" s="248" t="str">
        <f t="shared" si="366"/>
        <v/>
      </c>
      <c r="CR84" s="100"/>
      <c r="CS84" s="250" t="str">
        <f t="shared" si="314"/>
        <v/>
      </c>
      <c r="CT84" s="250" t="str">
        <f t="shared" si="367"/>
        <v/>
      </c>
      <c r="CU84" s="250" t="str">
        <f t="shared" si="368"/>
        <v/>
      </c>
      <c r="CV84" s="250" t="str">
        <f t="shared" si="369"/>
        <v/>
      </c>
      <c r="CW84" s="250" t="str">
        <f t="shared" si="370"/>
        <v/>
      </c>
      <c r="CX84" s="250" t="str">
        <f t="shared" si="315"/>
        <v/>
      </c>
      <c r="CY84" s="250" t="str">
        <f t="shared" si="316"/>
        <v/>
      </c>
      <c r="CZ84" s="250" t="str">
        <f t="shared" si="317"/>
        <v/>
      </c>
      <c r="DA84" s="250" t="str">
        <f t="shared" si="318"/>
        <v/>
      </c>
      <c r="DB84" s="250" t="str">
        <f t="shared" si="319"/>
        <v/>
      </c>
      <c r="DC84" s="250" t="str">
        <f t="shared" si="320"/>
        <v/>
      </c>
      <c r="DD84" s="250" t="str">
        <f t="shared" si="321"/>
        <v/>
      </c>
      <c r="DE84" s="250" t="str">
        <f t="shared" si="322"/>
        <v/>
      </c>
      <c r="DF84" s="250" t="str">
        <f t="shared" si="323"/>
        <v/>
      </c>
      <c r="DG84" s="250" t="str">
        <f t="shared" si="324"/>
        <v/>
      </c>
      <c r="DH84" s="250" t="str">
        <f t="shared" si="325"/>
        <v/>
      </c>
      <c r="DI84" s="250" t="str">
        <f t="shared" si="326"/>
        <v/>
      </c>
      <c r="DJ84" s="250" t="str">
        <f t="shared" si="327"/>
        <v/>
      </c>
      <c r="DK84" s="250" t="str">
        <f t="shared" si="328"/>
        <v/>
      </c>
      <c r="DL84" s="250" t="str">
        <f t="shared" si="329"/>
        <v/>
      </c>
      <c r="DM84" s="250" t="str">
        <f>IF(CD84="ERROR", "ERROR", IF(AND(OR(Y84=$DM$6, Y84='Lookup Tables'!$AD$21, Y84='Lookup Tables'!$AD$22), E84="Interior"), BJ84, ""))</f>
        <v/>
      </c>
      <c r="DN84" s="250" t="str">
        <f>IF(CD84="ERROR", "ERROR", IF(AND(OR(Y84=$DM$6, Y84='Lookup Tables'!$AD$21, Y84='Lookup Tables'!$AD$22), E84="Exterior"), BJ84, ""))</f>
        <v/>
      </c>
      <c r="DO84" s="100"/>
      <c r="DP84" s="250" t="str">
        <f t="shared" si="330"/>
        <v/>
      </c>
      <c r="DQ84" s="250" t="str">
        <f t="shared" si="371"/>
        <v/>
      </c>
      <c r="DR84" s="250" t="str">
        <f t="shared" si="372"/>
        <v/>
      </c>
      <c r="DS84" s="250" t="str">
        <f t="shared" si="373"/>
        <v/>
      </c>
      <c r="DT84" s="250" t="str">
        <f t="shared" si="374"/>
        <v/>
      </c>
      <c r="DU84" s="250" t="str">
        <f t="shared" si="331"/>
        <v/>
      </c>
      <c r="DV84" s="250" t="str">
        <f t="shared" si="332"/>
        <v/>
      </c>
      <c r="DW84" s="250" t="str">
        <f t="shared" si="333"/>
        <v/>
      </c>
      <c r="DX84" s="250" t="str">
        <f t="shared" si="334"/>
        <v/>
      </c>
      <c r="DY84" s="250" t="str">
        <f t="shared" si="335"/>
        <v/>
      </c>
      <c r="DZ84" s="250" t="str">
        <f t="shared" si="336"/>
        <v/>
      </c>
      <c r="EA84" s="250" t="str">
        <f t="shared" si="337"/>
        <v/>
      </c>
      <c r="EB84" s="250" t="str">
        <f t="shared" si="375"/>
        <v/>
      </c>
      <c r="EC84" s="250" t="str">
        <f t="shared" si="338"/>
        <v/>
      </c>
      <c r="ED84" s="250" t="str">
        <f t="shared" si="339"/>
        <v/>
      </c>
      <c r="EE84" s="250" t="str">
        <f t="shared" si="340"/>
        <v/>
      </c>
      <c r="EF84" s="250" t="str">
        <f t="shared" si="341"/>
        <v/>
      </c>
      <c r="EG84" s="250" t="str">
        <f t="shared" si="342"/>
        <v/>
      </c>
      <c r="EH84" s="250" t="str">
        <f>IF(CD84="ERROR", "ERROR", IF(AND(OR($EH$6=Y84, Y84='Lookup Tables'!$AD$21, Y84='Lookup Tables'!$AD$22),E84="Interior"), SUM(BP84:BP84), ""))</f>
        <v/>
      </c>
      <c r="EI84" s="250" t="str">
        <f>IF(CD84="ERROR", "ERROR", IF(AND(OR($EH$6=Y84, Y84='Lookup Tables'!$AD$21, Y84='Lookup Tables'!$AD$22),E84="Exterior"), SUM(BP84:BP84), ""))</f>
        <v/>
      </c>
      <c r="EJ84" s="109"/>
      <c r="EK84" s="485" t="str">
        <f t="shared" si="343"/>
        <v/>
      </c>
      <c r="EL84" s="252" t="str">
        <f t="shared" si="376"/>
        <v/>
      </c>
      <c r="EM84" s="252" t="str">
        <f t="shared" si="377"/>
        <v/>
      </c>
      <c r="EN84" s="252" t="str">
        <f t="shared" si="378"/>
        <v/>
      </c>
      <c r="EO84" s="252" t="str">
        <f t="shared" si="379"/>
        <v/>
      </c>
      <c r="EP84" s="252" t="str">
        <f t="shared" si="380"/>
        <v/>
      </c>
      <c r="EQ84" s="252" t="str">
        <f t="shared" si="381"/>
        <v/>
      </c>
      <c r="ER84" s="252" t="str">
        <f t="shared" si="382"/>
        <v/>
      </c>
      <c r="ES84" s="252" t="str">
        <f t="shared" si="383"/>
        <v/>
      </c>
      <c r="ET84" s="252" t="str">
        <f t="shared" si="384"/>
        <v/>
      </c>
      <c r="EU84" s="252" t="str">
        <f t="shared" si="385"/>
        <v/>
      </c>
      <c r="EV84" s="252" t="str">
        <f t="shared" si="386"/>
        <v/>
      </c>
      <c r="EW84" s="252" t="str">
        <f t="shared" si="387"/>
        <v/>
      </c>
      <c r="EX84" s="252" t="str">
        <f t="shared" si="388"/>
        <v/>
      </c>
      <c r="EY84" s="252" t="str">
        <f t="shared" si="389"/>
        <v/>
      </c>
      <c r="EZ84" s="252" t="str">
        <f t="shared" si="390"/>
        <v/>
      </c>
      <c r="FA84" s="252" t="str">
        <f t="shared" si="391"/>
        <v/>
      </c>
      <c r="FB84" s="252" t="str">
        <f t="shared" si="392"/>
        <v/>
      </c>
      <c r="FC84" s="252" t="str">
        <f>IF(CD84="ERROR", "ERROR", IF(OR(V84="No Change", V84="Not DLC or Energy Star"), "", IF(AND(OR($FC$6=Y84,Y84='Lookup Tables'!$AD$21, Y84='Lookup Tables'!$AD$22),E84="Interior"), S84, "")))</f>
        <v/>
      </c>
      <c r="FD84" s="252" t="str">
        <f t="shared" si="393"/>
        <v/>
      </c>
      <c r="FE84" s="101"/>
      <c r="FF84" s="579" t="str" cm="1">
        <f t="array" ref="FF84">IFERROR(IF(OR(BQ84&lt;=0,AQ84&lt;20,AND(V84="Exit Signs",AN84&gt;0)),"",IF(AND(AQ84&gt;=20,AN84='Lookup Tables'!$R$101),'Lookup Tables'!$U$101*BQ84,AP84*LOOKUP(2,1/((AN84='Lookup Tables'!$R$91:$R$111)*(AQ84&gt;='Lookup Tables'!$S$91:$S$111)*(AQ84&lt;='Lookup Tables'!$T$91:$T$111)),'Lookup Tables'!$U$91:$U$111))),"")</f>
        <v/>
      </c>
      <c r="FG84" s="579"/>
      <c r="FH84" s="579"/>
      <c r="FI84" s="253" t="str">
        <f>IFERROR(ROUND(IF(CD84="ERROR", "ERROR", IF(AND($FI$7=X84,E84="Interior"),VLOOKUP(W84, 'Lookup Tables'!$AI$6:$AM$102, 5, FALSE)*BP84, "")), 2), "")</f>
        <v/>
      </c>
      <c r="FJ84" s="253" t="str">
        <f>IFERROR(ROUND(IF(CD84="ERROR", "ERROR", IF(AND($FI$7=X84,E84="Exterior"),VLOOKUP(W84, 'Lookup Tables'!$AI$6:$AM$102, 5, FALSE)*BP84, "")), 2), "")</f>
        <v/>
      </c>
      <c r="FK84" s="253" t="str">
        <f>IFERROR(ROUND(IF(CD84="ERROR", "ERROR", IF(AND($FK$7=X84,E84="Interior"),VLOOKUP(W84, 'Lookup Tables'!$AI$6:$AM$102, 5, FALSE)*BP84, "")), 2), "")</f>
        <v/>
      </c>
      <c r="FL84" s="253" t="str">
        <f>IFERROR(ROUND(IF(CD84="ERROR", "ERROR", IF(AND($FK$7=X84,E84="Exterior"),VLOOKUP(W84, 'Lookup Tables'!$AI$6:$AM$102, 5, FALSE)*BP84, "")), 2), "")</f>
        <v/>
      </c>
      <c r="FM84" s="253" t="str">
        <f>IFERROR(ROUND(IF(CD84="ERROR", "ERROR", IF(AND($FM$6=Y84,E84="Interior"), IF(GB84=0, VLOOKUP(W84, 'Lookup Tables'!$AI$6:$AM$102, 5, FALSE)*BP84, IF(VLOOKUP(W84, 'Lookup Tables'!$AI$6:$AM$102, 5, FALSE)*BP84&gt;GB84*'Lighting Inventory'!S84, GB84*'Lighting Inventory'!S84,VLOOKUP(W84, 'Lookup Tables'!$AI$6:$AM$102, 5, FALSE)*BP84)), "")), 2), "")</f>
        <v/>
      </c>
      <c r="FN84" s="253" t="str">
        <f>IFERROR(ROUND(IF(CD84="ERROR", "ERROR", IF(AND($FM$6=Y84,E84="Exterior"), IF(GB84=0, VLOOKUP(W84, 'Lookup Tables'!$AI$6:$AM$102, 5, FALSE)*BP84, IF(VLOOKUP(W84, 'Lookup Tables'!$AI$6:$AM$102, 5, FALSE)*BP84&gt;GB84*'Lighting Inventory'!S84, GB84*'Lighting Inventory'!S84,VLOOKUP(W84, 'Lookup Tables'!$AI$6:$AM$102, 5, FALSE)*BP84)), "")), 2), "")</f>
        <v/>
      </c>
      <c r="FO84" s="253" t="str">
        <f>IFERROR(ROUND(IF(CD84="ERROR", "ERROR", IF(AND($FO$6=Y84,E84="Interior"),VLOOKUP(W84, 'Lookup Tables'!$AI$6:$AM$102, 5, FALSE)*'Lighting Inventory'!AI84, "")), 2), "")</f>
        <v/>
      </c>
      <c r="FP84" s="253" t="str">
        <f>IFERROR(ROUND(IF(CD84="ERROR", "ERROR", IF(AND($FO$6=Y84,E84="Exterior"),VLOOKUP(W84, 'Lookup Tables'!$AI$6:$AM$102, 5, FALSE)*'Lighting Inventory'!AI84, "")), 2), "")</f>
        <v/>
      </c>
      <c r="FQ84" s="253" t="str">
        <f>IFERROR(ROUND(IF(CD84="ERROR", "ERROR", IF(AND($FQ$6=Y84,E84="Interior", BU84="Y"), VLOOKUP('Lighting Inventory'!W84, 'Lookup Tables'!$AI$6:$AM$102, 5, FALSE)*'Lighting Inventory'!S84, IF(AND($FQ$7=Y84,E84="Interior", BU84="N"), 0.025*CD84, ""))), 2), "")</f>
        <v/>
      </c>
      <c r="FR84" s="253" t="str">
        <f>IFERROR(ROUND(IF(CD84="ERROR", "ERROR", IF(AND($FQ$6=Y84,E84="Exterior"), VLOOKUP('Lighting Inventory'!W84, 'Lookup Tables'!$AI$6:$AM$102, 5, FALSE)*'Lighting Inventory'!S84, "")), 2), "")</f>
        <v/>
      </c>
      <c r="FS84" s="253" t="str">
        <f>IFERROR(ROUND(IF(CD84="ERROR", "ERROR", IF(AND($FS$6=Y84,E84="Exterior"), IF(GB84=0, VLOOKUP(W84, 'Lookup Tables'!$AI$6:$AM$102, 5, FALSE)*BP84, IF(VLOOKUP(W84, 'Lookup Tables'!$AI$6:$AM$102, 5, FALSE)*BP84&gt;GB84*'Lighting Inventory'!S84, GB84*'Lighting Inventory'!S84,VLOOKUP(W84, 'Lookup Tables'!$AI$6:$AM$102, 5, FALSE)*BP84)), "")), 2), "")</f>
        <v/>
      </c>
      <c r="FT84" s="253" t="str">
        <f>IFERROR(ROUND(IF(CD84="ERROR", "ERROR", IF(AND($FT$6=Y84,E84="Interior"), IF(GB84=0, VLOOKUP(W84, 'Lookup Tables'!$AI$6:$AM$102, 5, FALSE)*BP84, IF(VLOOKUP(W84, 'Lookup Tables'!$AI$6:$AM$102, 5, FALSE)*BP84&gt;GB84*'Lighting Inventory'!S84, GB84*'Lighting Inventory'!S84,VLOOKUP(W84, 'Lookup Tables'!$AI$6:$AM$102, 5, FALSE)*BP84)), "")), 2), "")</f>
        <v/>
      </c>
      <c r="FU84" s="253" t="str">
        <f>IFERROR(ROUND(IF(CD84="ERROR", "ERROR", IF(AND(Y84=$FU$6, E84="Interior"), IF(BS84="N", 'Lookup Tables'!$AM$101*BP84, VLOOKUP(W84, 'Lookup Tables'!$AI$6:$AM$102, 5, FALSE)*S84*AD84), "")), 2), "")</f>
        <v/>
      </c>
      <c r="FV84" s="253" t="str">
        <f>IFERROR(ROUND(IF(CD84="ERROR", "ERROR", IF(AND(Y84=$FU$6, E84="Exterior"), IF(BS84="N", 'Lookup Tables'!$AM$101*BP84, VLOOKUP(W84, 'Lookup Tables'!$AI$6:$AM$102, 5, FALSE)*S84*AD84), "")), 2), "")</f>
        <v/>
      </c>
      <c r="FW84" s="253" t="str">
        <f>IFERROR(ROUND(IF(CD84="ERROR", "ERROR", IF($FW$6=Y84, IF(BS84="N", 'Lookup Tables'!$AM$101*BP84, MIN((VLOOKUP(W84, 'Lookup Tables'!$AI$6:$AM$102, 5, FALSE)*BP84),GB84*AJ84)), "")), 2), "")</f>
        <v/>
      </c>
      <c r="FX84" s="253" t="str">
        <f>IFERROR(ROUND(IF(CD84="ERROR", "ERROR", IF(AND($FX$6=Y84, E84="Interior"), IF(VLOOKUP(W84, 'Lookup Tables'!$AI$6:$AM$102, 5, FALSE)*BP84&gt;'Lookup Tables'!$AQ$97*'Lighting Inventory'!S84,'Lighting Inventory'!S84*'Lookup Tables'!$AQ$97,VLOOKUP(W84, 'Lookup Tables'!$AI$6:$AM$102, 5, FALSE)*BP84), "")), 2), "")</f>
        <v/>
      </c>
      <c r="FY84" s="253" t="str">
        <f>IFERROR(ROUND(IF(CD84="ERROR", "ERROR", IF(AND($FX$6=Y84, E84="Exterior"), IF(VLOOKUP(W84, 'Lookup Tables'!$AI$6:$AM$102, 5, FALSE)*BP84&gt;'Lookup Tables'!$AQ$97*'Lighting Inventory'!S84,'Lighting Inventory'!S84*'Lookup Tables'!$AQ$97,VLOOKUP(W84, 'Lookup Tables'!$AI$6:$AM$102, 5, FALSE)*BP84), "")), 2), "")</f>
        <v/>
      </c>
      <c r="FZ84" s="253" t="str">
        <f>IFERROR(ROUND(IF(CD84="ERROR", "ERROR", IF(AND($FZ$6=Y84, E84="Interior"), IF(AND(OR(W84="Refrigerated Case Lighting with Doors", W84="Freezer Case Lighting"),Y84="Custom - Process Improvement"),CD84*'Lookup Tables'!$AM$101, IF(B84="Retrofit", IF(VLOOKUP(IF(V84="Custom", V84, W84), 'Lookup Tables'!$AI$6:$AM$102, 5, FALSE)*BP84&gt;GE84, GE84, VLOOKUP(IF(V84="Custom", V84, W84), 'Lookup Tables'!$AI$6:$AM$102, 5, FALSE)*BP84), IF(VLOOKUP(IF(V84="Custom", V84, W84), 'Lookup Tables'!$AI$114:$AM$154, 5, FALSE)*BP84&gt;GE84, GE84, VLOOKUP(IF(V84="Custom", V84, W84), 'Lookup Tables'!$AI$114:$AM$154, 5, FALSE)*BP84))), "")), 2),"")</f>
        <v/>
      </c>
      <c r="GA84" s="253" t="str">
        <f>IFERROR(ROUND(IF(CD84="ERROR", "ERROR", IF(AND($FZ$6=Y84, E84="Exterior"), IF(B84="Retrofit", IF(VLOOKUP(IF(V84="Custom", V84, W84), 'Lookup Tables'!$AI$6:$AM$102, 5, FALSE)*BP84&gt;GE84, GE84, VLOOKUP(IF(V84="Custom", V84, W84), 'Lookup Tables'!$AI$6:$AM$102, 5, FALSE)*BP84), IF(VLOOKUP(IF(V84="Custom", V84, W84), 'Lookup Tables'!$AI$114:$AM$154, 5, FALSE)*BP84&gt;GE84, GE84, VLOOKUP(IF(V84="Custom", V84, W84), 'Lookup Tables'!$AI$114:$AM$154, 5, FALSE)*BP84)), "")), 2),"")</f>
        <v/>
      </c>
      <c r="GB84" s="254" t="str">
        <f t="array" ref="GB84">IF(B84="","",IF(OR(V84="Custom",V84="No Change"),0,IF(B84="Retrofit", INDEX('Lookup Tables'!$AH$6:$AQ$102,MATCH(1,('Lookup Tables'!$AH$6:$AH$102='Lighting Inventory'!V84)*('Lookup Tables'!$AI$6:$AI$102='Lighting Inventory'!W84),FALSE),10),INDEX('Lookup Tables'!$AH$114:$AQ$154,MATCH(1,('Lookup Tables'!$AH$114:$AH$154='Lighting Inventory'!V84)*('Lookup Tables'!$AI$114:$AI$154='Lighting Inventory'!W84),FALSE),10))))</f>
        <v/>
      </c>
      <c r="GC84" s="255" t="str">
        <f t="shared" si="344"/>
        <v/>
      </c>
      <c r="GD84" s="250" t="str">
        <f t="shared" si="345"/>
        <v/>
      </c>
      <c r="GE84" s="253" t="str">
        <f>IFERROR(IF(AND(AF84="", 'General Information'!$F$18="No"),"", IF(AF84="", ((GD84/$CD$266)*$CF$266)*0.5, AF84*S84*0.5)), "")</f>
        <v/>
      </c>
      <c r="GF84" s="255" t="str">
        <f>IF(AND('General Information'!$F$19="", 'General Information'!$F$18="Yes",AF84="",BW84="Y"), "Y", "N")</f>
        <v>N</v>
      </c>
      <c r="GG84" s="255" t="s">
        <v>2946</v>
      </c>
      <c r="GH84" s="255" t="str">
        <f>IFERROR(IF(B84="", "", VLOOKUP(J84, 'Fixture Identities'!$A$6:$N$908, 14, FALSE)), "")</f>
        <v/>
      </c>
      <c r="GI84" s="389" t="str">
        <f>IF(OR(B84="", V84="", W84=""), "", IF(AND(OR(M84='Lookup Tables'!$R$18, M84='Lookup Tables'!$R$19, M84='Lookup Tables'!$R$20, M84='Lookup Tables'!$R$21, M84='Lookup Tables'!$R$22), OR(AN84='Lookup Tables'!$R$17, AN84='Lookup Tables'!$R$17, AN84="")), "Y", "N"))</f>
        <v/>
      </c>
      <c r="GJ84" s="255" t="str">
        <f t="shared" si="346"/>
        <v/>
      </c>
      <c r="GK84" s="255" t="str">
        <f t="shared" si="347"/>
        <v/>
      </c>
      <c r="GL84" s="255" t="str">
        <f t="shared" si="348"/>
        <v/>
      </c>
      <c r="GM84" s="255" t="str">
        <f>IF(AN84="", "", IF(AND(IF(ISNA(VLOOKUP(AN84,'Lookup Tables'!$R$18:$R$22,1,FALSE)), "N", "Y")="Y", E84="Exterior"), "Y", "N"))</f>
        <v/>
      </c>
      <c r="GN84" s="395"/>
      <c r="GO84" s="428">
        <f t="shared" si="394"/>
        <v>0</v>
      </c>
      <c r="GP84" s="428">
        <f t="shared" si="397"/>
        <v>0</v>
      </c>
      <c r="GQ84" s="428">
        <f t="shared" si="395"/>
        <v>0</v>
      </c>
      <c r="GR84" s="428">
        <f t="shared" si="396"/>
        <v>0</v>
      </c>
    </row>
    <row r="85" spans="1:200" s="103" customFormat="1" ht="13.5" customHeight="1" x14ac:dyDescent="0.2">
      <c r="A85" s="272">
        <v>75</v>
      </c>
      <c r="B85" s="110"/>
      <c r="C85" s="110"/>
      <c r="D85" s="110"/>
      <c r="E85" s="110"/>
      <c r="F85" s="110"/>
      <c r="G85" s="110"/>
      <c r="H85" s="110"/>
      <c r="I85" s="29"/>
      <c r="J85" s="29"/>
      <c r="K85" s="272" t="str">
        <f>IFERROR(IF(OR(VLOOKUP(J85, 'Fixture Identities'!$A$6:$L$1023, 3, FALSE)="T12 Linear Fluorescent", VLOOKUP(J85, 'Fixture Identities'!$A$6:$L$1023, 3, FALSE)="T12 U-Tube Fluorescent"), VLOOKUP(VLOOKUP(J85, 'Fixture Identities'!$A$6:$L$1023, 11, FALSE), 'Fixture Identities'!$A$6:$L$1023, 10, FALSE), VLOOKUP(J85, 'Fixture Identities'!$A$6:$L$1023, 10, FALSE)), "")</f>
        <v/>
      </c>
      <c r="L85" s="270" t="str">
        <f t="shared" si="399"/>
        <v/>
      </c>
      <c r="M85" s="110"/>
      <c r="N85" s="110"/>
      <c r="O85" s="110"/>
      <c r="P85" s="272" t="str">
        <f>IFERROR(IF(OR(B85="Retrofit",B85=""),"",IF('Lighting Inventory'!E85="Exterior",VLOOKUP('Lighting Inventory'!N85,'Lookup Tables'!$B$83:$F$103,5,FALSE),IF(N85="Other - Please Estimate EFLH and CFs","Contact Prog. Rep.","ft^2"))), "")</f>
        <v/>
      </c>
      <c r="Q85" s="270" t="str">
        <f>IFERROR(IF(AND(B85="New Construction",E85="Interior",$F$5="Space-by-Space"),VLOOKUP('Lighting Inventory'!N85,'Lookup Tables'!$N$6:$O$97,2,FALSE),IF(AND(B85="New Construction",E85="Exterior"),VLOOKUP(N85,'Lookup Tables'!$B$83:$F$103,2,FALSE),IF(AND(B85="New Construction",'Lighting Inventory'!E85="Interior", $F$5="Building Area"),VLOOKUP(F85,'Lookup Tables'!$A$6:$J$59,10,FALSE),""))), "")</f>
        <v/>
      </c>
      <c r="R85" s="270" t="str">
        <f>IFERROR(IF(P85="Contact Prog. Rep.", "ERROR", IF(OR(B85="",B85="Retrofit"),"",IF(N85="Automated teller machines", ('Lookup Tables'!$A$82:$E$100+('Lighting Inventory'!O85-1)*'Lookup Tables'!$A$82:$E$100)/1000, (Q85*O85)/1000))), "")</f>
        <v/>
      </c>
      <c r="S85" s="595"/>
      <c r="T85" s="105" t="str">
        <f t="shared" si="349"/>
        <v/>
      </c>
      <c r="U85" s="105" t="str">
        <f>IF(S85="","",COUNT($S$11:S85))</f>
        <v/>
      </c>
      <c r="V85" s="111"/>
      <c r="W85" s="112"/>
      <c r="X85" s="105" t="str">
        <f t="shared" si="350"/>
        <v/>
      </c>
      <c r="Y85" s="105" t="str">
        <f t="array" ref="Y85">IF(AND(OR(W85="Freezer Case Lighting", W85="Refrigerated Case Lighting with Doors"), 'General Information'!$X$18="LCI"),'Lookup Tables'!$Y$34, IF(V85="Custom", VLOOKUP(W85, 'Fixture Identities'!$A$974:$M$1023, 13, FALSE), IF(V85="No Change",'Lookup Tables'!$Y$29,IF(OR(V85="",W85=""),"",IF(AND(S85=0,S85&lt;I85,B85="Retrofit"),'Lookup Tables'!$Y$25, IF(B85="Retrofit", INDEX('Lookup Tables'!$AH$6:$AP$102, MATCH(1, ('Lookup Tables'!$AH$6:$AH$102=V85)*('Lookup Tables'!$AI$6:$AI$102=W85), 0), IF('Lighting Inventory'!E85="Interior", 4, 5)), INDEX('Lookup Tables'!$AH$114:$AP$154, MATCH(1, ('Lookup Tables'!$AH$114:$AH$154=V85)*('Lookup Tables'!$AI$114:$AI$154=W85), 0), IF('Lighting Inventory'!E85="Interior", 4, 5))))))))</f>
        <v/>
      </c>
      <c r="Z85" s="105" t="str">
        <f>IFERROR(INDEX('Lookup Tables'!$AH$158:$AH$172,MATCH('Lighting Inventory'!Y85,'Lookup Tables'!$AI$158:$AI$172,0)),"")</f>
        <v/>
      </c>
      <c r="AA85" s="105" t="str">
        <f>IF(AP85&gt;0,INDEX('Lookup Tables'!$AK$158:$AK$172,MATCH('Lighting Inventory'!Y85,'Lookup Tables'!$AI$158:$AI$172,0)),'Lighting Inventory'!Y85)</f>
        <v/>
      </c>
      <c r="AB85" s="105" t="str">
        <f t="array" ref="AB85">IF(V85="Custom", "Custom", IF(V85="", "", IF(V85="Not DLC or Energy Star", "General", IF(B85="New Construction", INDEX('Lookup Tables'!$AH$114:$AP$154,MATCH(1,('Lookup Tables'!$AH$114:$AH$154='Lighting Inventory'!V85)*('Lookup Tables'!$AI$114:$AI$154='Lighting Inventory'!W85),FALSE),8), INDEX('Lookup Tables'!$AH$6:$AP$102,MATCH(1,('Lookup Tables'!$AH$6:$AH$102='Lighting Inventory'!V85)*('Lookup Tables'!$AI$6:$AI$102='Lighting Inventory'!W85),FALSE),8)))))</f>
        <v/>
      </c>
      <c r="AC85" s="272" t="str">
        <f>IF(W85="","",IF(V85="Custom",CONCATENATE("$",'Lookup Tables'!$AM$101," ",'Lookup Tables'!$AN$101),CONCATENATE("$",INDEX('Lookup Tables'!$AM$6:$AM$102,MATCH('Lighting Inventory'!W85,'Lookup Tables'!$AI$6:$AI$102,0))," ",INDEX('Lookup Tables'!$AN$6:$AN$102,MATCH('Lighting Inventory'!W85,'Lookup Tables'!$AI$6:$AI$102,0)))))</f>
        <v/>
      </c>
      <c r="AD85" s="72"/>
      <c r="AE85" s="29"/>
      <c r="AF85" s="379"/>
      <c r="AG85" s="370" t="str">
        <f t="shared" si="298"/>
        <v/>
      </c>
      <c r="AH85" s="370" t="str">
        <f t="shared" si="351"/>
        <v/>
      </c>
      <c r="AI85" s="29"/>
      <c r="AJ85" s="29"/>
      <c r="AK85" s="110"/>
      <c r="AL85" s="375" t="str">
        <f>IF(OR(B85="", V85="", W85=""), "", IF(V85="No Change", K85, IF(V85="Remove Fixture", 0, IF(V85="Custom",VLOOKUP(W85,'Fixture Identities'!$A$6:$K$1023,10,FALSE),IF(AE85="", "← ENTER POST WATTS", 'Lighting Inventory'!AE85)))))</f>
        <v/>
      </c>
      <c r="AM85" s="376" t="str">
        <f t="shared" si="299"/>
        <v/>
      </c>
      <c r="AN85" s="29"/>
      <c r="AO85" s="671"/>
      <c r="AP85" s="29"/>
      <c r="AQ85" s="29"/>
      <c r="AR85" s="29"/>
      <c r="AS85" s="272" t="str">
        <f t="shared" si="352"/>
        <v/>
      </c>
      <c r="AT85" s="270" t="str">
        <f t="shared" si="300"/>
        <v/>
      </c>
      <c r="AU85" s="88" t="str">
        <f t="shared" si="400"/>
        <v/>
      </c>
      <c r="AV85" s="29"/>
      <c r="AW85" s="73"/>
      <c r="AX85" s="271" t="str">
        <f>IF(AND(AV85="Applicant",OR(AW85="", AW85="Use Default Facility Hours")),"← Choose Schedule",IF(F85="","",IF(W85="LED Exit Signs",8760,IF(OR(AV85="Prescribed",AV85=""),VLOOKUP(F85,'Lookup Tables'!$A$6:$G$59,IF(AB85="General", 6, 3),FALSE),VLOOKUP(AW85,'Lookup Tables'!$S$36:$U$43,2,FALSE)))))</f>
        <v/>
      </c>
      <c r="AY85" s="88" t="str">
        <f t="shared" si="301"/>
        <v/>
      </c>
      <c r="AZ85" s="270" t="str">
        <f>IFERROR(IF(F85="", "", IF(W85="LED Exit Signs", 1, IF(AV85="Applicant",VLOOKUP(AW85, 'Lookup Tables'!$S$36:$U$43,3, FALSE), VLOOKUP('Lighting Inventory'!F85, 'Lookup Tables'!$A$6:$H$59, IF('Lighting Inventory'!AB85="General",7,4), FALSE)))), "")</f>
        <v/>
      </c>
      <c r="BA85" s="522" t="str">
        <f>IFERROR(IF(F85="", "", IF(W85="LED Exit Signs", 1, VLOOKUP('Lighting Inventory'!F85, 'Lookup Tables'!$A$6:$H$59, IF('Lighting Inventory'!AB85="General",8,5), FALSE))), "")</f>
        <v/>
      </c>
      <c r="BB85" s="270" t="str">
        <f>IF(G85="", "", IF(E85="Exterior", 0, IF('Lighting Inventory'!G85="Air Conditioned", VLOOKUP(H85, 'Lookup Tables'!$R$6:$T$13, 2, FALSE), VLOOKUP('Lighting Inventory'!G85, 'Lookup Tables'!$R$6:$T$13, 2, FALSE))))</f>
        <v/>
      </c>
      <c r="BC85" s="522" t="str">
        <f>IF(G85="", "", IF(E85="Exterior", 0, IF('Lighting Inventory'!G85="Air Conditioned", VLOOKUP(H85, 'Lookup Tables'!$R$6:$T$13, 3, FALSE), VLOOKUP('Lighting Inventory'!G85, 'Lookup Tables'!$R$6:$T$13, 3, FALSE))))</f>
        <v/>
      </c>
      <c r="BD85" s="270" t="str">
        <f>IF(G85="", "", IF(E85="Exterior", 0, IF('Lighting Inventory'!G85="Air Conditioned", VLOOKUP(H85, 'Lookup Tables'!$R$6:$U$13, 4, FALSE), VLOOKUP('Lighting Inventory'!G85, 'Lookup Tables'!$R$6:$U$13, 4, FALSE))))</f>
        <v/>
      </c>
      <c r="BE85" s="270" t="str">
        <f>IFERROR(IF(B85="", "",  IF(B85="New Construction", VLOOKUP(F85, 'Lookup Tables'!$A$6:$K$59, 11, FALSE),IF(OR(AN85="", AN85="Light Switch"), 0, IF(OR(M85="",M85="None",V85= "LED Exit Signs"),0,_xlfn.XLOOKUP(M85,'Lookup Tables'!$R$91:$R$101,'Lookup Tables'!$V$91:$V$101))))), "")</f>
        <v/>
      </c>
      <c r="BF85" s="270" t="str">
        <f>IF(AND(OR(AN85="Light Switch",AN85=""),B85="New Construction"), VLOOKUP(F85, 'Lookup Tables'!$A$6:$K$59, 11, FALSE),IF(AN85="","",IF(B85="","",IF(OR(AN85="None",AN85="",V85="LED Exit Signs",AN85="Exterior Controls Not Eligible"),0,_xlfn.XLOOKUP(AN85,'Lookup Tables'!$R$91:$R$101,'Lookup Tables'!$V$91:$V$101)))))</f>
        <v/>
      </c>
      <c r="BG85" s="88" t="str">
        <f t="shared" si="353"/>
        <v/>
      </c>
      <c r="BH85" s="88" t="str">
        <f t="shared" si="354"/>
        <v/>
      </c>
      <c r="BI85" s="558" t="str">
        <f t="shared" si="398"/>
        <v/>
      </c>
      <c r="BJ85" s="82" t="str">
        <f t="shared" si="355"/>
        <v/>
      </c>
      <c r="BK85" s="82" t="str">
        <f t="shared" si="356"/>
        <v/>
      </c>
      <c r="BL85" s="559" t="str">
        <f t="shared" si="357"/>
        <v/>
      </c>
      <c r="BM85" s="521" t="str">
        <f t="shared" si="302"/>
        <v/>
      </c>
      <c r="BN85" s="521" t="str">
        <f t="shared" si="303"/>
        <v/>
      </c>
      <c r="BO85" s="522" t="str">
        <f t="shared" si="304"/>
        <v/>
      </c>
      <c r="BP85" s="83" t="str">
        <f t="shared" si="358"/>
        <v/>
      </c>
      <c r="BQ85" s="84" t="str">
        <f t="shared" si="359"/>
        <v/>
      </c>
      <c r="BR85" s="184" t="str">
        <f>IFERROR(IF(B85="", "", IF(OR(VLOOKUP(J85, 'Fixture Identities'!$A$6:$L$1023, 3, FALSE)="T12 Linear Fluorescent",VLOOKUP(J85, 'Fixture Identities'!$A$6:$L$1023, 3, FALSE)="T12 U-Tube Fluorescent"), "Y", "N")), "N")</f>
        <v/>
      </c>
      <c r="BS85" s="184" t="str">
        <f t="array" ref="BS85">IFERROR(IF(OR(B85="", V85="", W85=""), "", IF(V85="Custom", "N", IF(OR(W85="Freezer Case Lighting", W85="Refrigerated Case Lighting with Doors"), BT85, IF(B85="Retrofit", INDEX('Lookup Tables'!$AH$6:$AT$102,MATCH(1,('Lookup Tables'!$AH$6:$AH$102=V85)*('Lookup Tables'!$AI$6:$AI$102=W85),FALSE),IF(VLOOKUP(J85, 'Fixture Identities'!$A$6:$B$1023, 2, FALSE)="Incandescent",12, 13)), INDEX('Lookup Tables'!$AH$114:$AS$154,MATCH(1,('Lookup Tables'!$AH$114:$AH$154=V85)*('Lookup Tables'!$AI$114:$AI$154=W85),FALSE),12))))), "N")</f>
        <v/>
      </c>
      <c r="BT85" s="184" t="str">
        <f>IF(J85="", "", IF(AND(OR(W85="Freezer case Lighting", W85="Refrigerated Case Lighting with Doors"),'General Information'!$X$18="LCI"), "N", IF(OR(VLOOKUP(J85, 'Fixture Identities'!$A$6:$B$1023, 2, FALSE)="T12 EPACT/EISA Baseline", VLOOKUP(J85, 'Fixture Identities'!$A$6:$B$1023, 2, FALSE)="Linear Fluorescent", VLOOKUP(J85, 'Fixture Identities'!$A$6:$B$1023, 2, FALSE)="U-Tube Fluorescent"), "Y", "N")))</f>
        <v/>
      </c>
      <c r="BU85" s="184" t="str">
        <f>IFERROR(IF(B85="", "", IF(VLOOKUP(J85, 'Fixture Identities'!$A$6:$B$1023, 2, FALSE)="Exit Sign", "Y", "N")), "N")</f>
        <v/>
      </c>
      <c r="BV85" s="184" t="str">
        <f>IF(V85="Exit Signs", IF(VLOOKUP(J85, 'Fixture Identities'!$A$6:$B$1023, 2, FALSE)="Exit Sign", "N", "Y"), "")</f>
        <v/>
      </c>
      <c r="BW85" s="184" t="str">
        <f t="array" ref="BW85">IFERROR(IF(B85="", "", IF(B85="New Construction", "N", INDEX('Lookup Tables'!$AH$6:$AU$102, MATCH(1, ('Lookup Tables'!$AH$6:$AH$102='Lighting Inventory'!V85)*('Lookup Tables'!$AI$6:$AI$102='Lighting Inventory'!W85), 0), 14))), "N")</f>
        <v/>
      </c>
      <c r="BX85" s="598" t="str">
        <f t="shared" si="360"/>
        <v/>
      </c>
      <c r="BY85" s="598" t="str">
        <f t="shared" si="361"/>
        <v/>
      </c>
      <c r="BZ85" s="598" t="str">
        <f t="shared" si="362"/>
        <v/>
      </c>
      <c r="CA85" s="598" t="str">
        <f t="shared" si="363"/>
        <v/>
      </c>
      <c r="CB85" s="269" t="str">
        <f t="shared" si="364"/>
        <v/>
      </c>
      <c r="CC85" s="517" t="str">
        <f t="shared" si="365"/>
        <v/>
      </c>
      <c r="CD85" s="565" t="str">
        <f t="shared" si="305"/>
        <v/>
      </c>
      <c r="CE85" s="368">
        <v>0</v>
      </c>
      <c r="CF85" s="368" t="str" cm="1">
        <f t="array" ref="CF85">IFERROR(IF(V85="Custom", "$0.1 per kWh", IF(B85="New Construction", CONCATENATE("$",INDEX('Lookup Tables'!$AH$114:$AN$154,MATCH(1,('Lookup Tables'!$AH$114:$AH$154='Lighting Inventory'!V85)*('Lookup Tables'!$AI$114:$AI$154='Lighting Inventory'!W85),FALSE),6)," ",INDEX('Lookup Tables'!$AH$114:$AN$154,MATCH(1,('Lookup Tables'!$AH$114:$AH$154='Lighting Inventory'!V85)*('Lookup Tables'!$AI$114:$AI$154='Lighting Inventory'!W85),FALSE),7)), IF(AND(BU85="N", V85="Exit Signs"), "$0.025 per kWh", CONCATENATE("$",INDEX('Lookup Tables'!$AH$6:$AN$102,MATCH(1,('Lookup Tables'!$AH$6:$AH$102='Lighting Inventory'!V85)*('Lookup Tables'!$AI$6:$AI$102='Lighting Inventory'!W85),FALSE),6)," ",INDEX('Lookup Tables'!$AH$6:$AN$102,MATCH(1,('Lookup Tables'!$AH$6:$AH$102='Lighting Inventory'!V85)*('Lookup Tables'!$AI$6:$AI$102='Lighting Inventory'!W85),FALSE),7))))), "")</f>
        <v/>
      </c>
      <c r="CG85" s="366"/>
      <c r="CH85" s="248" t="str">
        <f t="shared" si="306"/>
        <v/>
      </c>
      <c r="CI85" s="248" t="str">
        <f t="shared" si="307"/>
        <v>Select_IE</v>
      </c>
      <c r="CJ85" s="248" t="str">
        <f t="shared" si="308"/>
        <v/>
      </c>
      <c r="CK85" s="248" t="str">
        <f t="shared" si="309"/>
        <v/>
      </c>
      <c r="CL85" s="248" t="str">
        <f t="shared" si="310"/>
        <v/>
      </c>
      <c r="CM85" s="248" t="str">
        <f>IFERROR(IF(B85="", "", IF(B85="New Construction", VLOOKUP(V85, 'Lookup Tables'!$AF$114:$AG$120, 2, FALSE), VLOOKUP(V85, 'Lookup Tables'!$AD$6:$AE$25, 2, FALSE))), "")</f>
        <v/>
      </c>
      <c r="CN85" s="248" t="str">
        <f t="shared" si="311"/>
        <v/>
      </c>
      <c r="CO85" s="248" t="str">
        <f t="shared" si="312"/>
        <v/>
      </c>
      <c r="CP85" s="592" t="str">
        <f t="shared" si="313"/>
        <v/>
      </c>
      <c r="CQ85" s="248" t="str">
        <f t="shared" si="366"/>
        <v/>
      </c>
      <c r="CR85" s="100"/>
      <c r="CS85" s="250" t="str">
        <f t="shared" si="314"/>
        <v/>
      </c>
      <c r="CT85" s="250" t="str">
        <f t="shared" si="367"/>
        <v/>
      </c>
      <c r="CU85" s="250" t="str">
        <f t="shared" si="368"/>
        <v/>
      </c>
      <c r="CV85" s="250" t="str">
        <f t="shared" si="369"/>
        <v/>
      </c>
      <c r="CW85" s="250" t="str">
        <f t="shared" si="370"/>
        <v/>
      </c>
      <c r="CX85" s="250" t="str">
        <f t="shared" si="315"/>
        <v/>
      </c>
      <c r="CY85" s="250" t="str">
        <f t="shared" si="316"/>
        <v/>
      </c>
      <c r="CZ85" s="250" t="str">
        <f t="shared" si="317"/>
        <v/>
      </c>
      <c r="DA85" s="250" t="str">
        <f t="shared" si="318"/>
        <v/>
      </c>
      <c r="DB85" s="250" t="str">
        <f t="shared" si="319"/>
        <v/>
      </c>
      <c r="DC85" s="250" t="str">
        <f t="shared" si="320"/>
        <v/>
      </c>
      <c r="DD85" s="250" t="str">
        <f t="shared" si="321"/>
        <v/>
      </c>
      <c r="DE85" s="250" t="str">
        <f t="shared" si="322"/>
        <v/>
      </c>
      <c r="DF85" s="250" t="str">
        <f t="shared" si="323"/>
        <v/>
      </c>
      <c r="DG85" s="250" t="str">
        <f t="shared" si="324"/>
        <v/>
      </c>
      <c r="DH85" s="250" t="str">
        <f t="shared" si="325"/>
        <v/>
      </c>
      <c r="DI85" s="250" t="str">
        <f t="shared" si="326"/>
        <v/>
      </c>
      <c r="DJ85" s="250" t="str">
        <f t="shared" si="327"/>
        <v/>
      </c>
      <c r="DK85" s="250" t="str">
        <f t="shared" si="328"/>
        <v/>
      </c>
      <c r="DL85" s="250" t="str">
        <f t="shared" si="329"/>
        <v/>
      </c>
      <c r="DM85" s="250" t="str">
        <f>IF(CD85="ERROR", "ERROR", IF(AND(OR(Y85=$DM$6, Y85='Lookup Tables'!$AD$21, Y85='Lookup Tables'!$AD$22), E85="Interior"), BJ85, ""))</f>
        <v/>
      </c>
      <c r="DN85" s="250" t="str">
        <f>IF(CD85="ERROR", "ERROR", IF(AND(OR(Y85=$DM$6, Y85='Lookup Tables'!$AD$21, Y85='Lookup Tables'!$AD$22), E85="Exterior"), BJ85, ""))</f>
        <v/>
      </c>
      <c r="DO85" s="100"/>
      <c r="DP85" s="250" t="str">
        <f t="shared" si="330"/>
        <v/>
      </c>
      <c r="DQ85" s="250" t="str">
        <f t="shared" si="371"/>
        <v/>
      </c>
      <c r="DR85" s="250" t="str">
        <f t="shared" si="372"/>
        <v/>
      </c>
      <c r="DS85" s="250" t="str">
        <f t="shared" si="373"/>
        <v/>
      </c>
      <c r="DT85" s="250" t="str">
        <f t="shared" si="374"/>
        <v/>
      </c>
      <c r="DU85" s="250" t="str">
        <f t="shared" si="331"/>
        <v/>
      </c>
      <c r="DV85" s="250" t="str">
        <f t="shared" si="332"/>
        <v/>
      </c>
      <c r="DW85" s="250" t="str">
        <f t="shared" si="333"/>
        <v/>
      </c>
      <c r="DX85" s="250" t="str">
        <f t="shared" si="334"/>
        <v/>
      </c>
      <c r="DY85" s="250" t="str">
        <f t="shared" si="335"/>
        <v/>
      </c>
      <c r="DZ85" s="250" t="str">
        <f t="shared" si="336"/>
        <v/>
      </c>
      <c r="EA85" s="250" t="str">
        <f t="shared" si="337"/>
        <v/>
      </c>
      <c r="EB85" s="250" t="str">
        <f t="shared" si="375"/>
        <v/>
      </c>
      <c r="EC85" s="250" t="str">
        <f t="shared" si="338"/>
        <v/>
      </c>
      <c r="ED85" s="250" t="str">
        <f t="shared" si="339"/>
        <v/>
      </c>
      <c r="EE85" s="250" t="str">
        <f t="shared" si="340"/>
        <v/>
      </c>
      <c r="EF85" s="250" t="str">
        <f t="shared" si="341"/>
        <v/>
      </c>
      <c r="EG85" s="250" t="str">
        <f t="shared" si="342"/>
        <v/>
      </c>
      <c r="EH85" s="250" t="str">
        <f>IF(CD85="ERROR", "ERROR", IF(AND(OR($EH$6=Y85, Y85='Lookup Tables'!$AD$21, Y85='Lookup Tables'!$AD$22),E85="Interior"), SUM(BP85:BP85), ""))</f>
        <v/>
      </c>
      <c r="EI85" s="250" t="str">
        <f>IF(CD85="ERROR", "ERROR", IF(AND(OR($EH$6=Y85, Y85='Lookup Tables'!$AD$21, Y85='Lookup Tables'!$AD$22),E85="Exterior"), SUM(BP85:BP85), ""))</f>
        <v/>
      </c>
      <c r="EJ85" s="109"/>
      <c r="EK85" s="485" t="str">
        <f t="shared" si="343"/>
        <v/>
      </c>
      <c r="EL85" s="252" t="str">
        <f t="shared" si="376"/>
        <v/>
      </c>
      <c r="EM85" s="252" t="str">
        <f t="shared" si="377"/>
        <v/>
      </c>
      <c r="EN85" s="252" t="str">
        <f t="shared" si="378"/>
        <v/>
      </c>
      <c r="EO85" s="252" t="str">
        <f t="shared" si="379"/>
        <v/>
      </c>
      <c r="EP85" s="252" t="str">
        <f t="shared" si="380"/>
        <v/>
      </c>
      <c r="EQ85" s="252" t="str">
        <f t="shared" si="381"/>
        <v/>
      </c>
      <c r="ER85" s="252" t="str">
        <f t="shared" si="382"/>
        <v/>
      </c>
      <c r="ES85" s="252" t="str">
        <f t="shared" si="383"/>
        <v/>
      </c>
      <c r="ET85" s="252" t="str">
        <f t="shared" si="384"/>
        <v/>
      </c>
      <c r="EU85" s="252" t="str">
        <f t="shared" si="385"/>
        <v/>
      </c>
      <c r="EV85" s="252" t="str">
        <f t="shared" si="386"/>
        <v/>
      </c>
      <c r="EW85" s="252" t="str">
        <f t="shared" si="387"/>
        <v/>
      </c>
      <c r="EX85" s="252" t="str">
        <f t="shared" si="388"/>
        <v/>
      </c>
      <c r="EY85" s="252" t="str">
        <f t="shared" si="389"/>
        <v/>
      </c>
      <c r="EZ85" s="252" t="str">
        <f t="shared" si="390"/>
        <v/>
      </c>
      <c r="FA85" s="252" t="str">
        <f t="shared" si="391"/>
        <v/>
      </c>
      <c r="FB85" s="252" t="str">
        <f t="shared" si="392"/>
        <v/>
      </c>
      <c r="FC85" s="252" t="str">
        <f>IF(CD85="ERROR", "ERROR", IF(OR(V85="No Change", V85="Not DLC or Energy Star"), "", IF(AND(OR($FC$6=Y85,Y85='Lookup Tables'!$AD$21, Y85='Lookup Tables'!$AD$22),E85="Interior"), S85, "")))</f>
        <v/>
      </c>
      <c r="FD85" s="252" t="str">
        <f t="shared" si="393"/>
        <v/>
      </c>
      <c r="FE85" s="101"/>
      <c r="FF85" s="579" t="str" cm="1">
        <f t="array" ref="FF85">IFERROR(IF(OR(BQ85&lt;=0,AQ85&lt;20,AND(V85="Exit Signs",AN85&gt;0)),"",IF(AND(AQ85&gt;=20,AN85='Lookup Tables'!$R$101),'Lookup Tables'!$U$101*BQ85,AP85*LOOKUP(2,1/((AN85='Lookup Tables'!$R$91:$R$111)*(AQ85&gt;='Lookup Tables'!$S$91:$S$111)*(AQ85&lt;='Lookup Tables'!$T$91:$T$111)),'Lookup Tables'!$U$91:$U$111))),"")</f>
        <v/>
      </c>
      <c r="FG85" s="579"/>
      <c r="FH85" s="579"/>
      <c r="FI85" s="253" t="str">
        <f>IFERROR(ROUND(IF(CD85="ERROR", "ERROR", IF(AND($FI$7=X85,E85="Interior"),VLOOKUP(W85, 'Lookup Tables'!$AI$6:$AM$102, 5, FALSE)*BP85, "")), 2), "")</f>
        <v/>
      </c>
      <c r="FJ85" s="253" t="str">
        <f>IFERROR(ROUND(IF(CD85="ERROR", "ERROR", IF(AND($FI$7=X85,E85="Exterior"),VLOOKUP(W85, 'Lookup Tables'!$AI$6:$AM$102, 5, FALSE)*BP85, "")), 2), "")</f>
        <v/>
      </c>
      <c r="FK85" s="253" t="str">
        <f>IFERROR(ROUND(IF(CD85="ERROR", "ERROR", IF(AND($FK$7=X85,E85="Interior"),VLOOKUP(W85, 'Lookup Tables'!$AI$6:$AM$102, 5, FALSE)*BP85, "")), 2), "")</f>
        <v/>
      </c>
      <c r="FL85" s="253" t="str">
        <f>IFERROR(ROUND(IF(CD85="ERROR", "ERROR", IF(AND($FK$7=X85,E85="Exterior"),VLOOKUP(W85, 'Lookup Tables'!$AI$6:$AM$102, 5, FALSE)*BP85, "")), 2), "")</f>
        <v/>
      </c>
      <c r="FM85" s="253" t="str">
        <f>IFERROR(ROUND(IF(CD85="ERROR", "ERROR", IF(AND($FM$6=Y85,E85="Interior"), IF(GB85=0, VLOOKUP(W85, 'Lookup Tables'!$AI$6:$AM$102, 5, FALSE)*BP85, IF(VLOOKUP(W85, 'Lookup Tables'!$AI$6:$AM$102, 5, FALSE)*BP85&gt;GB85*'Lighting Inventory'!S85, GB85*'Lighting Inventory'!S85,VLOOKUP(W85, 'Lookup Tables'!$AI$6:$AM$102, 5, FALSE)*BP85)), "")), 2), "")</f>
        <v/>
      </c>
      <c r="FN85" s="253" t="str">
        <f>IFERROR(ROUND(IF(CD85="ERROR", "ERROR", IF(AND($FM$6=Y85,E85="Exterior"), IF(GB85=0, VLOOKUP(W85, 'Lookup Tables'!$AI$6:$AM$102, 5, FALSE)*BP85, IF(VLOOKUP(W85, 'Lookup Tables'!$AI$6:$AM$102, 5, FALSE)*BP85&gt;GB85*'Lighting Inventory'!S85, GB85*'Lighting Inventory'!S85,VLOOKUP(W85, 'Lookup Tables'!$AI$6:$AM$102, 5, FALSE)*BP85)), "")), 2), "")</f>
        <v/>
      </c>
      <c r="FO85" s="253" t="str">
        <f>IFERROR(ROUND(IF(CD85="ERROR", "ERROR", IF(AND($FO$6=Y85,E85="Interior"),VLOOKUP(W85, 'Lookup Tables'!$AI$6:$AM$102, 5, FALSE)*'Lighting Inventory'!AI85, "")), 2), "")</f>
        <v/>
      </c>
      <c r="FP85" s="253" t="str">
        <f>IFERROR(ROUND(IF(CD85="ERROR", "ERROR", IF(AND($FO$6=Y85,E85="Exterior"),VLOOKUP(W85, 'Lookup Tables'!$AI$6:$AM$102, 5, FALSE)*'Lighting Inventory'!AI85, "")), 2), "")</f>
        <v/>
      </c>
      <c r="FQ85" s="253" t="str">
        <f>IFERROR(ROUND(IF(CD85="ERROR", "ERROR", IF(AND($FQ$6=Y85,E85="Interior", BU85="Y"), VLOOKUP('Lighting Inventory'!W85, 'Lookup Tables'!$AI$6:$AM$102, 5, FALSE)*'Lighting Inventory'!S85, IF(AND($FQ$7=Y85,E85="Interior", BU85="N"), 0.025*CD85, ""))), 2), "")</f>
        <v/>
      </c>
      <c r="FR85" s="253" t="str">
        <f>IFERROR(ROUND(IF(CD85="ERROR", "ERROR", IF(AND($FQ$6=Y85,E85="Exterior"), VLOOKUP('Lighting Inventory'!W85, 'Lookup Tables'!$AI$6:$AM$102, 5, FALSE)*'Lighting Inventory'!S85, "")), 2), "")</f>
        <v/>
      </c>
      <c r="FS85" s="253" t="str">
        <f>IFERROR(ROUND(IF(CD85="ERROR", "ERROR", IF(AND($FS$6=Y85,E85="Exterior"), IF(GB85=0, VLOOKUP(W85, 'Lookup Tables'!$AI$6:$AM$102, 5, FALSE)*BP85, IF(VLOOKUP(W85, 'Lookup Tables'!$AI$6:$AM$102, 5, FALSE)*BP85&gt;GB85*'Lighting Inventory'!S85, GB85*'Lighting Inventory'!S85,VLOOKUP(W85, 'Lookup Tables'!$AI$6:$AM$102, 5, FALSE)*BP85)), "")), 2), "")</f>
        <v/>
      </c>
      <c r="FT85" s="253" t="str">
        <f>IFERROR(ROUND(IF(CD85="ERROR", "ERROR", IF(AND($FT$6=Y85,E85="Interior"), IF(GB85=0, VLOOKUP(W85, 'Lookup Tables'!$AI$6:$AM$102, 5, FALSE)*BP85, IF(VLOOKUP(W85, 'Lookup Tables'!$AI$6:$AM$102, 5, FALSE)*BP85&gt;GB85*'Lighting Inventory'!S85, GB85*'Lighting Inventory'!S85,VLOOKUP(W85, 'Lookup Tables'!$AI$6:$AM$102, 5, FALSE)*BP85)), "")), 2), "")</f>
        <v/>
      </c>
      <c r="FU85" s="253" t="str">
        <f>IFERROR(ROUND(IF(CD85="ERROR", "ERROR", IF(AND(Y85=$FU$6, E85="Interior"), IF(BS85="N", 'Lookup Tables'!$AM$101*BP85, VLOOKUP(W85, 'Lookup Tables'!$AI$6:$AM$102, 5, FALSE)*S85*AD85), "")), 2), "")</f>
        <v/>
      </c>
      <c r="FV85" s="253" t="str">
        <f>IFERROR(ROUND(IF(CD85="ERROR", "ERROR", IF(AND(Y85=$FU$6, E85="Exterior"), IF(BS85="N", 'Lookup Tables'!$AM$101*BP85, VLOOKUP(W85, 'Lookup Tables'!$AI$6:$AM$102, 5, FALSE)*S85*AD85), "")), 2), "")</f>
        <v/>
      </c>
      <c r="FW85" s="253" t="str">
        <f>IFERROR(ROUND(IF(CD85="ERROR", "ERROR", IF($FW$6=Y85, IF(BS85="N", 'Lookup Tables'!$AM$101*BP85, MIN((VLOOKUP(W85, 'Lookup Tables'!$AI$6:$AM$102, 5, FALSE)*BP85),GB85*AJ85)), "")), 2), "")</f>
        <v/>
      </c>
      <c r="FX85" s="253" t="str">
        <f>IFERROR(ROUND(IF(CD85="ERROR", "ERROR", IF(AND($FX$6=Y85, E85="Interior"), IF(VLOOKUP(W85, 'Lookup Tables'!$AI$6:$AM$102, 5, FALSE)*BP85&gt;'Lookup Tables'!$AQ$97*'Lighting Inventory'!S85,'Lighting Inventory'!S85*'Lookup Tables'!$AQ$97,VLOOKUP(W85, 'Lookup Tables'!$AI$6:$AM$102, 5, FALSE)*BP85), "")), 2), "")</f>
        <v/>
      </c>
      <c r="FY85" s="253" t="str">
        <f>IFERROR(ROUND(IF(CD85="ERROR", "ERROR", IF(AND($FX$6=Y85, E85="Exterior"), IF(VLOOKUP(W85, 'Lookup Tables'!$AI$6:$AM$102, 5, FALSE)*BP85&gt;'Lookup Tables'!$AQ$97*'Lighting Inventory'!S85,'Lighting Inventory'!S85*'Lookup Tables'!$AQ$97,VLOOKUP(W85, 'Lookup Tables'!$AI$6:$AM$102, 5, FALSE)*BP85), "")), 2), "")</f>
        <v/>
      </c>
      <c r="FZ85" s="253" t="str">
        <f>IFERROR(ROUND(IF(CD85="ERROR", "ERROR", IF(AND($FZ$6=Y85, E85="Interior"), IF(AND(OR(W85="Refrigerated Case Lighting with Doors", W85="Freezer Case Lighting"),Y85="Custom - Process Improvement"),CD85*'Lookup Tables'!$AM$101, IF(B85="Retrofit", IF(VLOOKUP(IF(V85="Custom", V85, W85), 'Lookup Tables'!$AI$6:$AM$102, 5, FALSE)*BP85&gt;GE85, GE85, VLOOKUP(IF(V85="Custom", V85, W85), 'Lookup Tables'!$AI$6:$AM$102, 5, FALSE)*BP85), IF(VLOOKUP(IF(V85="Custom", V85, W85), 'Lookup Tables'!$AI$114:$AM$154, 5, FALSE)*BP85&gt;GE85, GE85, VLOOKUP(IF(V85="Custom", V85, W85), 'Lookup Tables'!$AI$114:$AM$154, 5, FALSE)*BP85))), "")), 2),"")</f>
        <v/>
      </c>
      <c r="GA85" s="253" t="str">
        <f>IFERROR(ROUND(IF(CD85="ERROR", "ERROR", IF(AND($FZ$6=Y85, E85="Exterior"), IF(B85="Retrofit", IF(VLOOKUP(IF(V85="Custom", V85, W85), 'Lookup Tables'!$AI$6:$AM$102, 5, FALSE)*BP85&gt;GE85, GE85, VLOOKUP(IF(V85="Custom", V85, W85), 'Lookup Tables'!$AI$6:$AM$102, 5, FALSE)*BP85), IF(VLOOKUP(IF(V85="Custom", V85, W85), 'Lookup Tables'!$AI$114:$AM$154, 5, FALSE)*BP85&gt;GE85, GE85, VLOOKUP(IF(V85="Custom", V85, W85), 'Lookup Tables'!$AI$114:$AM$154, 5, FALSE)*BP85)), "")), 2),"")</f>
        <v/>
      </c>
      <c r="GB85" s="254" t="str">
        <f t="array" ref="GB85">IF(B85="","",IF(OR(V85="Custom",V85="No Change"),0,IF(B85="Retrofit", INDEX('Lookup Tables'!$AH$6:$AQ$102,MATCH(1,('Lookup Tables'!$AH$6:$AH$102='Lighting Inventory'!V85)*('Lookup Tables'!$AI$6:$AI$102='Lighting Inventory'!W85),FALSE),10),INDEX('Lookup Tables'!$AH$114:$AQ$154,MATCH(1,('Lookup Tables'!$AH$114:$AH$154='Lighting Inventory'!V85)*('Lookup Tables'!$AI$114:$AI$154='Lighting Inventory'!W85),FALSE),10))))</f>
        <v/>
      </c>
      <c r="GC85" s="255" t="str">
        <f t="shared" si="344"/>
        <v/>
      </c>
      <c r="GD85" s="250" t="str">
        <f t="shared" si="345"/>
        <v/>
      </c>
      <c r="GE85" s="253" t="str">
        <f>IFERROR(IF(AND(AF85="", 'General Information'!$F$18="No"),"", IF(AF85="", ((GD85/$CD$266)*$CF$266)*0.5, AF85*S85*0.5)), "")</f>
        <v/>
      </c>
      <c r="GF85" s="255" t="str">
        <f>IF(AND('General Information'!$F$19="", 'General Information'!$F$18="Yes",AF85="",BW85="Y"), "Y", "N")</f>
        <v>N</v>
      </c>
      <c r="GG85" s="255" t="s">
        <v>2946</v>
      </c>
      <c r="GH85" s="255" t="str">
        <f>IFERROR(IF(B85="", "", VLOOKUP(J85, 'Fixture Identities'!$A$6:$N$908, 14, FALSE)), "")</f>
        <v/>
      </c>
      <c r="GI85" s="389" t="str">
        <f>IF(OR(B85="", V85="", W85=""), "", IF(AND(OR(M85='Lookup Tables'!$R$18, M85='Lookup Tables'!$R$19, M85='Lookup Tables'!$R$20, M85='Lookup Tables'!$R$21, M85='Lookup Tables'!$R$22), OR(AN85='Lookup Tables'!$R$17, AN85='Lookup Tables'!$R$17, AN85="")), "Y", "N"))</f>
        <v/>
      </c>
      <c r="GJ85" s="255" t="str">
        <f t="shared" si="346"/>
        <v/>
      </c>
      <c r="GK85" s="255" t="str">
        <f t="shared" si="347"/>
        <v/>
      </c>
      <c r="GL85" s="255" t="str">
        <f t="shared" si="348"/>
        <v/>
      </c>
      <c r="GM85" s="255" t="str">
        <f>IF(AN85="", "", IF(AND(IF(ISNA(VLOOKUP(AN85,'Lookup Tables'!$R$18:$R$22,1,FALSE)), "N", "Y")="Y", E85="Exterior"), "Y", "N"))</f>
        <v/>
      </c>
      <c r="GN85" s="395"/>
      <c r="GO85" s="428">
        <f t="shared" si="394"/>
        <v>0</v>
      </c>
      <c r="GP85" s="428">
        <f t="shared" si="397"/>
        <v>0</v>
      </c>
      <c r="GQ85" s="428">
        <f t="shared" si="395"/>
        <v>0</v>
      </c>
      <c r="GR85" s="428">
        <f t="shared" si="396"/>
        <v>0</v>
      </c>
    </row>
    <row r="86" spans="1:200" s="103" customFormat="1" ht="13.5" customHeight="1" x14ac:dyDescent="0.2">
      <c r="A86" s="272">
        <v>76</v>
      </c>
      <c r="B86" s="110"/>
      <c r="C86" s="110"/>
      <c r="D86" s="110"/>
      <c r="E86" s="110"/>
      <c r="F86" s="110"/>
      <c r="G86" s="110"/>
      <c r="H86" s="110"/>
      <c r="I86" s="29"/>
      <c r="J86" s="29"/>
      <c r="K86" s="272" t="str">
        <f>IFERROR(IF(OR(VLOOKUP(J86, 'Fixture Identities'!$A$6:$L$1023, 3, FALSE)="T12 Linear Fluorescent", VLOOKUP(J86, 'Fixture Identities'!$A$6:$L$1023, 3, FALSE)="T12 U-Tube Fluorescent"), VLOOKUP(VLOOKUP(J86, 'Fixture Identities'!$A$6:$L$1023, 11, FALSE), 'Fixture Identities'!$A$6:$L$1023, 10, FALSE), VLOOKUP(J86, 'Fixture Identities'!$A$6:$L$1023, 10, FALSE)), "")</f>
        <v/>
      </c>
      <c r="L86" s="270" t="str">
        <f t="shared" si="399"/>
        <v/>
      </c>
      <c r="M86" s="110"/>
      <c r="N86" s="110"/>
      <c r="O86" s="110"/>
      <c r="P86" s="272" t="str">
        <f>IFERROR(IF(OR(B86="Retrofit",B86=""),"",IF('Lighting Inventory'!E86="Exterior",VLOOKUP('Lighting Inventory'!N86,'Lookup Tables'!$B$83:$F$103,5,FALSE),IF(N86="Other - Please Estimate EFLH and CFs","Contact Prog. Rep.","ft^2"))), "")</f>
        <v/>
      </c>
      <c r="Q86" s="270" t="str">
        <f>IFERROR(IF(AND(B86="New Construction",E86="Interior",$F$5="Space-by-Space"),VLOOKUP('Lighting Inventory'!N86,'Lookup Tables'!$N$6:$O$97,2,FALSE),IF(AND(B86="New Construction",E86="Exterior"),VLOOKUP(N86,'Lookup Tables'!$B$83:$F$103,2,FALSE),IF(AND(B86="New Construction",'Lighting Inventory'!E86="Interior", $F$5="Building Area"),VLOOKUP(F86,'Lookup Tables'!$A$6:$J$59,10,FALSE),""))), "")</f>
        <v/>
      </c>
      <c r="R86" s="270" t="str">
        <f>IFERROR(IF(P86="Contact Prog. Rep.", "ERROR", IF(OR(B86="",B86="Retrofit"),"",IF(N86="Automated teller machines", ('Lookup Tables'!$A$82:$E$100+('Lighting Inventory'!O86-1)*'Lookup Tables'!$A$82:$E$100)/1000, (Q86*O86)/1000))), "")</f>
        <v/>
      </c>
      <c r="S86" s="595"/>
      <c r="T86" s="105" t="str">
        <f t="shared" si="349"/>
        <v/>
      </c>
      <c r="U86" s="105" t="str">
        <f>IF(S86="","",COUNT($S$11:S86))</f>
        <v/>
      </c>
      <c r="V86" s="111"/>
      <c r="W86" s="112"/>
      <c r="X86" s="105" t="str">
        <f t="shared" si="350"/>
        <v/>
      </c>
      <c r="Y86" s="105" t="str">
        <f t="array" ref="Y86">IF(AND(OR(W86="Freezer Case Lighting", W86="Refrigerated Case Lighting with Doors"), 'General Information'!$X$18="LCI"),'Lookup Tables'!$Y$34, IF(V86="Custom", VLOOKUP(W86, 'Fixture Identities'!$A$974:$M$1023, 13, FALSE), IF(V86="No Change",'Lookup Tables'!$Y$29,IF(OR(V86="",W86=""),"",IF(AND(S86=0,S86&lt;I86,B86="Retrofit"),'Lookup Tables'!$Y$25, IF(B86="Retrofit", INDEX('Lookup Tables'!$AH$6:$AP$102, MATCH(1, ('Lookup Tables'!$AH$6:$AH$102=V86)*('Lookup Tables'!$AI$6:$AI$102=W86), 0), IF('Lighting Inventory'!E86="Interior", 4, 5)), INDEX('Lookup Tables'!$AH$114:$AP$154, MATCH(1, ('Lookup Tables'!$AH$114:$AH$154=V86)*('Lookup Tables'!$AI$114:$AI$154=W86), 0), IF('Lighting Inventory'!E86="Interior", 4, 5))))))))</f>
        <v/>
      </c>
      <c r="Z86" s="105" t="str">
        <f>IFERROR(INDEX('Lookup Tables'!$AH$158:$AH$172,MATCH('Lighting Inventory'!Y86,'Lookup Tables'!$AI$158:$AI$172,0)),"")</f>
        <v/>
      </c>
      <c r="AA86" s="105" t="str">
        <f>IF(AP86&gt;0,INDEX('Lookup Tables'!$AK$158:$AK$172,MATCH('Lighting Inventory'!Y86,'Lookup Tables'!$AI$158:$AI$172,0)),'Lighting Inventory'!Y86)</f>
        <v/>
      </c>
      <c r="AB86" s="105" t="str">
        <f t="array" ref="AB86">IF(V86="Custom", "Custom", IF(V86="", "", IF(V86="Not DLC or Energy Star", "General", IF(B86="New Construction", INDEX('Lookup Tables'!$AH$114:$AP$154,MATCH(1,('Lookup Tables'!$AH$114:$AH$154='Lighting Inventory'!V86)*('Lookup Tables'!$AI$114:$AI$154='Lighting Inventory'!W86),FALSE),8), INDEX('Lookup Tables'!$AH$6:$AP$102,MATCH(1,('Lookup Tables'!$AH$6:$AH$102='Lighting Inventory'!V86)*('Lookup Tables'!$AI$6:$AI$102='Lighting Inventory'!W86),FALSE),8)))))</f>
        <v/>
      </c>
      <c r="AC86" s="272" t="str">
        <f>IF(W86="","",IF(V86="Custom",CONCATENATE("$",'Lookup Tables'!$AM$101," ",'Lookup Tables'!$AN$101),CONCATENATE("$",INDEX('Lookup Tables'!$AM$6:$AM$102,MATCH('Lighting Inventory'!W86,'Lookup Tables'!$AI$6:$AI$102,0))," ",INDEX('Lookup Tables'!$AN$6:$AN$102,MATCH('Lighting Inventory'!W86,'Lookup Tables'!$AI$6:$AI$102,0)))))</f>
        <v/>
      </c>
      <c r="AD86" s="72"/>
      <c r="AE86" s="29"/>
      <c r="AF86" s="379"/>
      <c r="AG86" s="370" t="str">
        <f t="shared" si="298"/>
        <v/>
      </c>
      <c r="AH86" s="370" t="str">
        <f t="shared" si="351"/>
        <v/>
      </c>
      <c r="AI86" s="29"/>
      <c r="AJ86" s="29"/>
      <c r="AK86" s="110"/>
      <c r="AL86" s="375" t="str">
        <f>IF(OR(B86="", V86="", W86=""), "", IF(V86="No Change", K86, IF(V86="Remove Fixture", 0, IF(V86="Custom",VLOOKUP(W86,'Fixture Identities'!$A$6:$K$1023,10,FALSE),IF(AE86="", "← ENTER POST WATTS", 'Lighting Inventory'!AE86)))))</f>
        <v/>
      </c>
      <c r="AM86" s="376" t="str">
        <f t="shared" si="299"/>
        <v/>
      </c>
      <c r="AN86" s="29"/>
      <c r="AO86" s="671"/>
      <c r="AP86" s="29"/>
      <c r="AQ86" s="29"/>
      <c r="AR86" s="29"/>
      <c r="AS86" s="272" t="str">
        <f t="shared" si="352"/>
        <v/>
      </c>
      <c r="AT86" s="270" t="str">
        <f t="shared" si="300"/>
        <v/>
      </c>
      <c r="AU86" s="88" t="str">
        <f t="shared" si="400"/>
        <v/>
      </c>
      <c r="AV86" s="29"/>
      <c r="AW86" s="73"/>
      <c r="AX86" s="271" t="str">
        <f>IF(AND(AV86="Applicant",OR(AW86="", AW86="Use Default Facility Hours")),"← Choose Schedule",IF(F86="","",IF(W86="LED Exit Signs",8760,IF(OR(AV86="Prescribed",AV86=""),VLOOKUP(F86,'Lookup Tables'!$A$6:$G$59,IF(AB86="General", 6, 3),FALSE),VLOOKUP(AW86,'Lookup Tables'!$S$36:$U$43,2,FALSE)))))</f>
        <v/>
      </c>
      <c r="AY86" s="88" t="str">
        <f t="shared" si="301"/>
        <v/>
      </c>
      <c r="AZ86" s="270" t="str">
        <f>IFERROR(IF(F86="", "", IF(W86="LED Exit Signs", 1, IF(AV86="Applicant",VLOOKUP(AW86, 'Lookup Tables'!$S$36:$U$43,3, FALSE), VLOOKUP('Lighting Inventory'!F86, 'Lookup Tables'!$A$6:$H$59, IF('Lighting Inventory'!AB86="General",7,4), FALSE)))), "")</f>
        <v/>
      </c>
      <c r="BA86" s="522" t="str">
        <f>IFERROR(IF(F86="", "", IF(W86="LED Exit Signs", 1, VLOOKUP('Lighting Inventory'!F86, 'Lookup Tables'!$A$6:$H$59, IF('Lighting Inventory'!AB86="General",8,5), FALSE))), "")</f>
        <v/>
      </c>
      <c r="BB86" s="270" t="str">
        <f>IF(G86="", "", IF(E86="Exterior", 0, IF('Lighting Inventory'!G86="Air Conditioned", VLOOKUP(H86, 'Lookup Tables'!$R$6:$T$13, 2, FALSE), VLOOKUP('Lighting Inventory'!G86, 'Lookup Tables'!$R$6:$T$13, 2, FALSE))))</f>
        <v/>
      </c>
      <c r="BC86" s="522" t="str">
        <f>IF(G86="", "", IF(E86="Exterior", 0, IF('Lighting Inventory'!G86="Air Conditioned", VLOOKUP(H86, 'Lookup Tables'!$R$6:$T$13, 3, FALSE), VLOOKUP('Lighting Inventory'!G86, 'Lookup Tables'!$R$6:$T$13, 3, FALSE))))</f>
        <v/>
      </c>
      <c r="BD86" s="270" t="str">
        <f>IF(G86="", "", IF(E86="Exterior", 0, IF('Lighting Inventory'!G86="Air Conditioned", VLOOKUP(H86, 'Lookup Tables'!$R$6:$U$13, 4, FALSE), VLOOKUP('Lighting Inventory'!G86, 'Lookup Tables'!$R$6:$U$13, 4, FALSE))))</f>
        <v/>
      </c>
      <c r="BE86" s="270" t="str">
        <f>IFERROR(IF(B86="", "",  IF(B86="New Construction", VLOOKUP(F86, 'Lookup Tables'!$A$6:$K$59, 11, FALSE),IF(OR(AN86="", AN86="Light Switch"), 0, IF(OR(M86="",M86="None",V86= "LED Exit Signs"),0,_xlfn.XLOOKUP(M86,'Lookup Tables'!$R$91:$R$101,'Lookup Tables'!$V$91:$V$101))))), "")</f>
        <v/>
      </c>
      <c r="BF86" s="270" t="str">
        <f>IF(AND(OR(AN86="Light Switch",AN86=""),B86="New Construction"), VLOOKUP(F86, 'Lookup Tables'!$A$6:$K$59, 11, FALSE),IF(AN86="","",IF(B86="","",IF(OR(AN86="None",AN86="",V86="LED Exit Signs",AN86="Exterior Controls Not Eligible"),0,_xlfn.XLOOKUP(AN86,'Lookup Tables'!$R$91:$R$101,'Lookup Tables'!$V$91:$V$101)))))</f>
        <v/>
      </c>
      <c r="BG86" s="88" t="str">
        <f t="shared" si="353"/>
        <v/>
      </c>
      <c r="BH86" s="88" t="str">
        <f t="shared" si="354"/>
        <v/>
      </c>
      <c r="BI86" s="558" t="str">
        <f t="shared" si="398"/>
        <v/>
      </c>
      <c r="BJ86" s="82" t="str">
        <f t="shared" si="355"/>
        <v/>
      </c>
      <c r="BK86" s="82" t="str">
        <f t="shared" si="356"/>
        <v/>
      </c>
      <c r="BL86" s="559" t="str">
        <f t="shared" si="357"/>
        <v/>
      </c>
      <c r="BM86" s="521" t="str">
        <f t="shared" si="302"/>
        <v/>
      </c>
      <c r="BN86" s="521" t="str">
        <f t="shared" si="303"/>
        <v/>
      </c>
      <c r="BO86" s="522" t="str">
        <f t="shared" si="304"/>
        <v/>
      </c>
      <c r="BP86" s="83" t="str">
        <f t="shared" si="358"/>
        <v/>
      </c>
      <c r="BQ86" s="84" t="str">
        <f t="shared" si="359"/>
        <v/>
      </c>
      <c r="BR86" s="184" t="str">
        <f>IFERROR(IF(B86="", "", IF(OR(VLOOKUP(J86, 'Fixture Identities'!$A$6:$L$1023, 3, FALSE)="T12 Linear Fluorescent",VLOOKUP(J86, 'Fixture Identities'!$A$6:$L$1023, 3, FALSE)="T12 U-Tube Fluorescent"), "Y", "N")), "N")</f>
        <v/>
      </c>
      <c r="BS86" s="184" t="str">
        <f t="array" ref="BS86">IFERROR(IF(OR(B86="", V86="", W86=""), "", IF(V86="Custom", "N", IF(OR(W86="Freezer Case Lighting", W86="Refrigerated Case Lighting with Doors"), BT86, IF(B86="Retrofit", INDEX('Lookup Tables'!$AH$6:$AT$102,MATCH(1,('Lookup Tables'!$AH$6:$AH$102=V86)*('Lookup Tables'!$AI$6:$AI$102=W86),FALSE),IF(VLOOKUP(J86, 'Fixture Identities'!$A$6:$B$1023, 2, FALSE)="Incandescent",12, 13)), INDEX('Lookup Tables'!$AH$114:$AS$154,MATCH(1,('Lookup Tables'!$AH$114:$AH$154=V86)*('Lookup Tables'!$AI$114:$AI$154=W86),FALSE),12))))), "N")</f>
        <v/>
      </c>
      <c r="BT86" s="184" t="str">
        <f>IF(J86="", "", IF(AND(OR(W86="Freezer case Lighting", W86="Refrigerated Case Lighting with Doors"),'General Information'!$X$18="LCI"), "N", IF(OR(VLOOKUP(J86, 'Fixture Identities'!$A$6:$B$1023, 2, FALSE)="T12 EPACT/EISA Baseline", VLOOKUP(J86, 'Fixture Identities'!$A$6:$B$1023, 2, FALSE)="Linear Fluorescent", VLOOKUP(J86, 'Fixture Identities'!$A$6:$B$1023, 2, FALSE)="U-Tube Fluorescent"), "Y", "N")))</f>
        <v/>
      </c>
      <c r="BU86" s="184" t="str">
        <f>IFERROR(IF(B86="", "", IF(VLOOKUP(J86, 'Fixture Identities'!$A$6:$B$1023, 2, FALSE)="Exit Sign", "Y", "N")), "N")</f>
        <v/>
      </c>
      <c r="BV86" s="184" t="str">
        <f>IF(V86="Exit Signs", IF(VLOOKUP(J86, 'Fixture Identities'!$A$6:$B$1023, 2, FALSE)="Exit Sign", "N", "Y"), "")</f>
        <v/>
      </c>
      <c r="BW86" s="184" t="str">
        <f t="array" ref="BW86">IFERROR(IF(B86="", "", IF(B86="New Construction", "N", INDEX('Lookup Tables'!$AH$6:$AU$102, MATCH(1, ('Lookup Tables'!$AH$6:$AH$102='Lighting Inventory'!V86)*('Lookup Tables'!$AI$6:$AI$102='Lighting Inventory'!W86), 0), 14))), "N")</f>
        <v/>
      </c>
      <c r="BX86" s="598" t="str">
        <f t="shared" si="360"/>
        <v/>
      </c>
      <c r="BY86" s="598" t="str">
        <f t="shared" si="361"/>
        <v/>
      </c>
      <c r="BZ86" s="598" t="str">
        <f t="shared" si="362"/>
        <v/>
      </c>
      <c r="CA86" s="598" t="str">
        <f t="shared" si="363"/>
        <v/>
      </c>
      <c r="CB86" s="269" t="str">
        <f t="shared" si="364"/>
        <v/>
      </c>
      <c r="CC86" s="517" t="str">
        <f t="shared" si="365"/>
        <v/>
      </c>
      <c r="CD86" s="565" t="str">
        <f t="shared" si="305"/>
        <v/>
      </c>
      <c r="CE86" s="368">
        <v>0</v>
      </c>
      <c r="CF86" s="368" t="str" cm="1">
        <f t="array" ref="CF86">IFERROR(IF(V86="Custom", "$0.1 per kWh", IF(B86="New Construction", CONCATENATE("$",INDEX('Lookup Tables'!$AH$114:$AN$154,MATCH(1,('Lookup Tables'!$AH$114:$AH$154='Lighting Inventory'!V86)*('Lookup Tables'!$AI$114:$AI$154='Lighting Inventory'!W86),FALSE),6)," ",INDEX('Lookup Tables'!$AH$114:$AN$154,MATCH(1,('Lookup Tables'!$AH$114:$AH$154='Lighting Inventory'!V86)*('Lookup Tables'!$AI$114:$AI$154='Lighting Inventory'!W86),FALSE),7)), IF(AND(BU86="N", V86="Exit Signs"), "$0.025 per kWh", CONCATENATE("$",INDEX('Lookup Tables'!$AH$6:$AN$102,MATCH(1,('Lookup Tables'!$AH$6:$AH$102='Lighting Inventory'!V86)*('Lookup Tables'!$AI$6:$AI$102='Lighting Inventory'!W86),FALSE),6)," ",INDEX('Lookup Tables'!$AH$6:$AN$102,MATCH(1,('Lookup Tables'!$AH$6:$AH$102='Lighting Inventory'!V86)*('Lookup Tables'!$AI$6:$AI$102='Lighting Inventory'!W86),FALSE),7))))), "")</f>
        <v/>
      </c>
      <c r="CG86" s="366"/>
      <c r="CH86" s="248" t="str">
        <f t="shared" si="306"/>
        <v/>
      </c>
      <c r="CI86" s="248" t="str">
        <f t="shared" si="307"/>
        <v>Select_IE</v>
      </c>
      <c r="CJ86" s="248" t="str">
        <f t="shared" si="308"/>
        <v/>
      </c>
      <c r="CK86" s="248" t="str">
        <f t="shared" si="309"/>
        <v/>
      </c>
      <c r="CL86" s="248" t="str">
        <f t="shared" si="310"/>
        <v/>
      </c>
      <c r="CM86" s="248" t="str">
        <f>IFERROR(IF(B86="", "", IF(B86="New Construction", VLOOKUP(V86, 'Lookup Tables'!$AF$114:$AG$120, 2, FALSE), VLOOKUP(V86, 'Lookup Tables'!$AD$6:$AE$25, 2, FALSE))), "")</f>
        <v/>
      </c>
      <c r="CN86" s="248" t="str">
        <f t="shared" si="311"/>
        <v/>
      </c>
      <c r="CO86" s="248" t="str">
        <f t="shared" si="312"/>
        <v/>
      </c>
      <c r="CP86" s="592" t="str">
        <f t="shared" si="313"/>
        <v/>
      </c>
      <c r="CQ86" s="248" t="str">
        <f t="shared" si="366"/>
        <v/>
      </c>
      <c r="CR86" s="249"/>
      <c r="CS86" s="250" t="str">
        <f t="shared" si="314"/>
        <v/>
      </c>
      <c r="CT86" s="250" t="str">
        <f t="shared" si="367"/>
        <v/>
      </c>
      <c r="CU86" s="250" t="str">
        <f t="shared" si="368"/>
        <v/>
      </c>
      <c r="CV86" s="250" t="str">
        <f t="shared" si="369"/>
        <v/>
      </c>
      <c r="CW86" s="250" t="str">
        <f t="shared" si="370"/>
        <v/>
      </c>
      <c r="CX86" s="250" t="str">
        <f t="shared" si="315"/>
        <v/>
      </c>
      <c r="CY86" s="250" t="str">
        <f t="shared" si="316"/>
        <v/>
      </c>
      <c r="CZ86" s="250" t="str">
        <f t="shared" si="317"/>
        <v/>
      </c>
      <c r="DA86" s="250" t="str">
        <f t="shared" si="318"/>
        <v/>
      </c>
      <c r="DB86" s="250" t="str">
        <f t="shared" si="319"/>
        <v/>
      </c>
      <c r="DC86" s="250" t="str">
        <f t="shared" si="320"/>
        <v/>
      </c>
      <c r="DD86" s="250" t="str">
        <f t="shared" si="321"/>
        <v/>
      </c>
      <c r="DE86" s="250" t="str">
        <f t="shared" si="322"/>
        <v/>
      </c>
      <c r="DF86" s="250" t="str">
        <f t="shared" si="323"/>
        <v/>
      </c>
      <c r="DG86" s="250" t="str">
        <f t="shared" si="324"/>
        <v/>
      </c>
      <c r="DH86" s="250" t="str">
        <f t="shared" si="325"/>
        <v/>
      </c>
      <c r="DI86" s="250" t="str">
        <f t="shared" si="326"/>
        <v/>
      </c>
      <c r="DJ86" s="250" t="str">
        <f t="shared" si="327"/>
        <v/>
      </c>
      <c r="DK86" s="250" t="str">
        <f t="shared" si="328"/>
        <v/>
      </c>
      <c r="DL86" s="250" t="str">
        <f t="shared" si="329"/>
        <v/>
      </c>
      <c r="DM86" s="250" t="str">
        <f>IF(CD86="ERROR", "ERROR", IF(AND(OR(Y86=$DM$6, Y86='Lookup Tables'!$AD$21, Y86='Lookup Tables'!$AD$22), E86="Interior"), BJ86, ""))</f>
        <v/>
      </c>
      <c r="DN86" s="250" t="str">
        <f>IF(CD86="ERROR", "ERROR", IF(AND(OR(Y86=$DM$6, Y86='Lookup Tables'!$AD$21, Y86='Lookup Tables'!$AD$22), E86="Exterior"), BJ86, ""))</f>
        <v/>
      </c>
      <c r="DO86" s="249"/>
      <c r="DP86" s="250" t="str">
        <f t="shared" si="330"/>
        <v/>
      </c>
      <c r="DQ86" s="250" t="str">
        <f t="shared" si="371"/>
        <v/>
      </c>
      <c r="DR86" s="250" t="str">
        <f t="shared" si="372"/>
        <v/>
      </c>
      <c r="DS86" s="250" t="str">
        <f t="shared" si="373"/>
        <v/>
      </c>
      <c r="DT86" s="250" t="str">
        <f t="shared" si="374"/>
        <v/>
      </c>
      <c r="DU86" s="250" t="str">
        <f t="shared" si="331"/>
        <v/>
      </c>
      <c r="DV86" s="250" t="str">
        <f t="shared" si="332"/>
        <v/>
      </c>
      <c r="DW86" s="250" t="str">
        <f t="shared" si="333"/>
        <v/>
      </c>
      <c r="DX86" s="250" t="str">
        <f t="shared" si="334"/>
        <v/>
      </c>
      <c r="DY86" s="250" t="str">
        <f t="shared" si="335"/>
        <v/>
      </c>
      <c r="DZ86" s="250" t="str">
        <f t="shared" si="336"/>
        <v/>
      </c>
      <c r="EA86" s="250" t="str">
        <f t="shared" si="337"/>
        <v/>
      </c>
      <c r="EB86" s="250" t="str">
        <f t="shared" si="375"/>
        <v/>
      </c>
      <c r="EC86" s="250" t="str">
        <f t="shared" si="338"/>
        <v/>
      </c>
      <c r="ED86" s="250" t="str">
        <f t="shared" si="339"/>
        <v/>
      </c>
      <c r="EE86" s="250" t="str">
        <f t="shared" si="340"/>
        <v/>
      </c>
      <c r="EF86" s="250" t="str">
        <f t="shared" si="341"/>
        <v/>
      </c>
      <c r="EG86" s="250" t="str">
        <f t="shared" si="342"/>
        <v/>
      </c>
      <c r="EH86" s="250" t="str">
        <f>IF(CD86="ERROR", "ERROR", IF(AND(OR($EH$6=Y86, Y86='Lookup Tables'!$AD$21, Y86='Lookup Tables'!$AD$22),E86="Interior"), SUM(BP86:BP86), ""))</f>
        <v/>
      </c>
      <c r="EI86" s="250" t="str">
        <f>IF(CD86="ERROR", "ERROR", IF(AND(OR($EH$6=Y86, Y86='Lookup Tables'!$AD$21, Y86='Lookup Tables'!$AD$22),E86="Exterior"), SUM(BP86:BP86), ""))</f>
        <v/>
      </c>
      <c r="EJ86" s="109"/>
      <c r="EK86" s="485" t="str">
        <f t="shared" si="343"/>
        <v/>
      </c>
      <c r="EL86" s="252" t="str">
        <f t="shared" si="376"/>
        <v/>
      </c>
      <c r="EM86" s="252" t="str">
        <f t="shared" si="377"/>
        <v/>
      </c>
      <c r="EN86" s="252" t="str">
        <f t="shared" si="378"/>
        <v/>
      </c>
      <c r="EO86" s="252" t="str">
        <f t="shared" si="379"/>
        <v/>
      </c>
      <c r="EP86" s="252" t="str">
        <f t="shared" si="380"/>
        <v/>
      </c>
      <c r="EQ86" s="252" t="str">
        <f t="shared" si="381"/>
        <v/>
      </c>
      <c r="ER86" s="252" t="str">
        <f t="shared" si="382"/>
        <v/>
      </c>
      <c r="ES86" s="252" t="str">
        <f t="shared" si="383"/>
        <v/>
      </c>
      <c r="ET86" s="252" t="str">
        <f t="shared" si="384"/>
        <v/>
      </c>
      <c r="EU86" s="252" t="str">
        <f t="shared" si="385"/>
        <v/>
      </c>
      <c r="EV86" s="252" t="str">
        <f t="shared" si="386"/>
        <v/>
      </c>
      <c r="EW86" s="252" t="str">
        <f t="shared" si="387"/>
        <v/>
      </c>
      <c r="EX86" s="252" t="str">
        <f t="shared" si="388"/>
        <v/>
      </c>
      <c r="EY86" s="252" t="str">
        <f t="shared" si="389"/>
        <v/>
      </c>
      <c r="EZ86" s="252" t="str">
        <f t="shared" si="390"/>
        <v/>
      </c>
      <c r="FA86" s="252" t="str">
        <f t="shared" si="391"/>
        <v/>
      </c>
      <c r="FB86" s="252" t="str">
        <f t="shared" si="392"/>
        <v/>
      </c>
      <c r="FC86" s="252" t="str">
        <f>IF(CD86="ERROR", "ERROR", IF(OR(V86="No Change", V86="Not DLC or Energy Star"), "", IF(AND(OR($FC$6=Y86,Y86='Lookup Tables'!$AD$21, Y86='Lookup Tables'!$AD$22),E86="Interior"), S86, "")))</f>
        <v/>
      </c>
      <c r="FD86" s="252" t="str">
        <f t="shared" si="393"/>
        <v/>
      </c>
      <c r="FE86" s="1"/>
      <c r="FF86" s="579" t="str" cm="1">
        <f t="array" ref="FF86">IFERROR(IF(OR(BQ86&lt;=0,AQ86&lt;20,AND(V86="Exit Signs",AN86&gt;0)),"",IF(AND(AQ86&gt;=20,AN86='Lookup Tables'!$R$101),'Lookup Tables'!$U$101*BQ86,AP86*LOOKUP(2,1/((AN86='Lookup Tables'!$R$91:$R$111)*(AQ86&gt;='Lookup Tables'!$S$91:$S$111)*(AQ86&lt;='Lookup Tables'!$T$91:$T$111)),'Lookup Tables'!$U$91:$U$111))),"")</f>
        <v/>
      </c>
      <c r="FG86" s="579"/>
      <c r="FH86" s="579"/>
      <c r="FI86" s="253" t="str">
        <f>IFERROR(ROUND(IF(CD86="ERROR", "ERROR", IF(AND($FI$7=X86,E86="Interior"),VLOOKUP(W86, 'Lookup Tables'!$AI$6:$AM$102, 5, FALSE)*BP86, "")), 2), "")</f>
        <v/>
      </c>
      <c r="FJ86" s="253" t="str">
        <f>IFERROR(ROUND(IF(CD86="ERROR", "ERROR", IF(AND($FI$7=X86,E86="Exterior"),VLOOKUP(W86, 'Lookup Tables'!$AI$6:$AM$102, 5, FALSE)*BP86, "")), 2), "")</f>
        <v/>
      </c>
      <c r="FK86" s="253" t="str">
        <f>IFERROR(ROUND(IF(CD86="ERROR", "ERROR", IF(AND($FK$7=X86,E86="Interior"),VLOOKUP(W86, 'Lookup Tables'!$AI$6:$AM$102, 5, FALSE)*BP86, "")), 2), "")</f>
        <v/>
      </c>
      <c r="FL86" s="253" t="str">
        <f>IFERROR(ROUND(IF(CD86="ERROR", "ERROR", IF(AND($FK$7=X86,E86="Exterior"),VLOOKUP(W86, 'Lookup Tables'!$AI$6:$AM$102, 5, FALSE)*BP86, "")), 2), "")</f>
        <v/>
      </c>
      <c r="FM86" s="253" t="str">
        <f>IFERROR(ROUND(IF(CD86="ERROR", "ERROR", IF(AND($FM$6=Y86,E86="Interior"), IF(GB86=0, VLOOKUP(W86, 'Lookup Tables'!$AI$6:$AM$102, 5, FALSE)*BP86, IF(VLOOKUP(W86, 'Lookup Tables'!$AI$6:$AM$102, 5, FALSE)*BP86&gt;GB86*'Lighting Inventory'!S86, GB86*'Lighting Inventory'!S86,VLOOKUP(W86, 'Lookup Tables'!$AI$6:$AM$102, 5, FALSE)*BP86)), "")), 2), "")</f>
        <v/>
      </c>
      <c r="FN86" s="253" t="str">
        <f>IFERROR(ROUND(IF(CD86="ERROR", "ERROR", IF(AND($FM$6=Y86,E86="Exterior"), IF(GB86=0, VLOOKUP(W86, 'Lookup Tables'!$AI$6:$AM$102, 5, FALSE)*BP86, IF(VLOOKUP(W86, 'Lookup Tables'!$AI$6:$AM$102, 5, FALSE)*BP86&gt;GB86*'Lighting Inventory'!S86, GB86*'Lighting Inventory'!S86,VLOOKUP(W86, 'Lookup Tables'!$AI$6:$AM$102, 5, FALSE)*BP86)), "")), 2), "")</f>
        <v/>
      </c>
      <c r="FO86" s="253" t="str">
        <f>IFERROR(ROUND(IF(CD86="ERROR", "ERROR", IF(AND($FO$6=Y86,E86="Interior"),VLOOKUP(W86, 'Lookup Tables'!$AI$6:$AM$102, 5, FALSE)*'Lighting Inventory'!AI86, "")), 2), "")</f>
        <v/>
      </c>
      <c r="FP86" s="253" t="str">
        <f>IFERROR(ROUND(IF(CD86="ERROR", "ERROR", IF(AND($FO$6=Y86,E86="Exterior"),VLOOKUP(W86, 'Lookup Tables'!$AI$6:$AM$102, 5, FALSE)*'Lighting Inventory'!AI86, "")), 2), "")</f>
        <v/>
      </c>
      <c r="FQ86" s="253" t="str">
        <f>IFERROR(ROUND(IF(CD86="ERROR", "ERROR", IF(AND($FQ$6=Y86,E86="Interior", BU86="Y"), VLOOKUP('Lighting Inventory'!W86, 'Lookup Tables'!$AI$6:$AM$102, 5, FALSE)*'Lighting Inventory'!S86, IF(AND($FQ$7=Y86,E86="Interior", BU86="N"), 0.025*CD86, ""))), 2), "")</f>
        <v/>
      </c>
      <c r="FR86" s="253" t="str">
        <f>IFERROR(ROUND(IF(CD86="ERROR", "ERROR", IF(AND($FQ$6=Y86,E86="Exterior"), VLOOKUP('Lighting Inventory'!W86, 'Lookup Tables'!$AI$6:$AM$102, 5, FALSE)*'Lighting Inventory'!S86, "")), 2), "")</f>
        <v/>
      </c>
      <c r="FS86" s="253" t="str">
        <f>IFERROR(ROUND(IF(CD86="ERROR", "ERROR", IF(AND($FS$6=Y86,E86="Exterior"), IF(GB86=0, VLOOKUP(W86, 'Lookup Tables'!$AI$6:$AM$102, 5, FALSE)*BP86, IF(VLOOKUP(W86, 'Lookup Tables'!$AI$6:$AM$102, 5, FALSE)*BP86&gt;GB86*'Lighting Inventory'!S86, GB86*'Lighting Inventory'!S86,VLOOKUP(W86, 'Lookup Tables'!$AI$6:$AM$102, 5, FALSE)*BP86)), "")), 2), "")</f>
        <v/>
      </c>
      <c r="FT86" s="253" t="str">
        <f>IFERROR(ROUND(IF(CD86="ERROR", "ERROR", IF(AND($FT$6=Y86,E86="Interior"), IF(GB86=0, VLOOKUP(W86, 'Lookup Tables'!$AI$6:$AM$102, 5, FALSE)*BP86, IF(VLOOKUP(W86, 'Lookup Tables'!$AI$6:$AM$102, 5, FALSE)*BP86&gt;GB86*'Lighting Inventory'!S86, GB86*'Lighting Inventory'!S86,VLOOKUP(W86, 'Lookup Tables'!$AI$6:$AM$102, 5, FALSE)*BP86)), "")), 2), "")</f>
        <v/>
      </c>
      <c r="FU86" s="253" t="str">
        <f>IFERROR(ROUND(IF(CD86="ERROR", "ERROR", IF(AND(Y86=$FU$6, E86="Interior"), IF(BS86="N", 'Lookup Tables'!$AM$101*BP86, VLOOKUP(W86, 'Lookup Tables'!$AI$6:$AM$102, 5, FALSE)*S86*AD86), "")), 2), "")</f>
        <v/>
      </c>
      <c r="FV86" s="253" t="str">
        <f>IFERROR(ROUND(IF(CD86="ERROR", "ERROR", IF(AND(Y86=$FU$6, E86="Exterior"), IF(BS86="N", 'Lookup Tables'!$AM$101*BP86, VLOOKUP(W86, 'Lookup Tables'!$AI$6:$AM$102, 5, FALSE)*S86*AD86), "")), 2), "")</f>
        <v/>
      </c>
      <c r="FW86" s="253" t="str">
        <f>IFERROR(ROUND(IF(CD86="ERROR", "ERROR", IF($FW$6=Y86, IF(BS86="N", 'Lookup Tables'!$AM$101*BP86, MIN((VLOOKUP(W86, 'Lookup Tables'!$AI$6:$AM$102, 5, FALSE)*BP86),GB86*AJ86)), "")), 2), "")</f>
        <v/>
      </c>
      <c r="FX86" s="253" t="str">
        <f>IFERROR(ROUND(IF(CD86="ERROR", "ERROR", IF(AND($FX$6=Y86, E86="Interior"), IF(VLOOKUP(W86, 'Lookup Tables'!$AI$6:$AM$102, 5, FALSE)*BP86&gt;'Lookup Tables'!$AQ$97*'Lighting Inventory'!S86,'Lighting Inventory'!S86*'Lookup Tables'!$AQ$97,VLOOKUP(W86, 'Lookup Tables'!$AI$6:$AM$102, 5, FALSE)*BP86), "")), 2), "")</f>
        <v/>
      </c>
      <c r="FY86" s="253" t="str">
        <f>IFERROR(ROUND(IF(CD86="ERROR", "ERROR", IF(AND($FX$6=Y86, E86="Exterior"), IF(VLOOKUP(W86, 'Lookup Tables'!$AI$6:$AM$102, 5, FALSE)*BP86&gt;'Lookup Tables'!$AQ$97*'Lighting Inventory'!S86,'Lighting Inventory'!S86*'Lookup Tables'!$AQ$97,VLOOKUP(W86, 'Lookup Tables'!$AI$6:$AM$102, 5, FALSE)*BP86), "")), 2), "")</f>
        <v/>
      </c>
      <c r="FZ86" s="253" t="str">
        <f>IFERROR(ROUND(IF(CD86="ERROR", "ERROR", IF(AND($FZ$6=Y86, E86="Interior"), IF(AND(OR(W86="Refrigerated Case Lighting with Doors", W86="Freezer Case Lighting"),Y86="Custom - Process Improvement"),CD86*'Lookup Tables'!$AM$101, IF(B86="Retrofit", IF(VLOOKUP(IF(V86="Custom", V86, W86), 'Lookup Tables'!$AI$6:$AM$102, 5, FALSE)*BP86&gt;GE86, GE86, VLOOKUP(IF(V86="Custom", V86, W86), 'Lookup Tables'!$AI$6:$AM$102, 5, FALSE)*BP86), IF(VLOOKUP(IF(V86="Custom", V86, W86), 'Lookup Tables'!$AI$114:$AM$154, 5, FALSE)*BP86&gt;GE86, GE86, VLOOKUP(IF(V86="Custom", V86, W86), 'Lookup Tables'!$AI$114:$AM$154, 5, FALSE)*BP86))), "")), 2),"")</f>
        <v/>
      </c>
      <c r="GA86" s="253" t="str">
        <f>IFERROR(ROUND(IF(CD86="ERROR", "ERROR", IF(AND($FZ$6=Y86, E86="Exterior"), IF(B86="Retrofit", IF(VLOOKUP(IF(V86="Custom", V86, W86), 'Lookup Tables'!$AI$6:$AM$102, 5, FALSE)*BP86&gt;GE86, GE86, VLOOKUP(IF(V86="Custom", V86, W86), 'Lookup Tables'!$AI$6:$AM$102, 5, FALSE)*BP86), IF(VLOOKUP(IF(V86="Custom", V86, W86), 'Lookup Tables'!$AI$114:$AM$154, 5, FALSE)*BP86&gt;GE86, GE86, VLOOKUP(IF(V86="Custom", V86, W86), 'Lookup Tables'!$AI$114:$AM$154, 5, FALSE)*BP86)), "")), 2),"")</f>
        <v/>
      </c>
      <c r="GB86" s="254" t="str">
        <f t="array" ref="GB86">IF(B86="","",IF(OR(V86="Custom",V86="No Change"),0,IF(B86="Retrofit", INDEX('Lookup Tables'!$AH$6:$AQ$102,MATCH(1,('Lookup Tables'!$AH$6:$AH$102='Lighting Inventory'!V86)*('Lookup Tables'!$AI$6:$AI$102='Lighting Inventory'!W86),FALSE),10),INDEX('Lookup Tables'!$AH$114:$AQ$154,MATCH(1,('Lookup Tables'!$AH$114:$AH$154='Lighting Inventory'!V86)*('Lookup Tables'!$AI$114:$AI$154='Lighting Inventory'!W86),FALSE),10))))</f>
        <v/>
      </c>
      <c r="GC86" s="255" t="str">
        <f t="shared" si="344"/>
        <v/>
      </c>
      <c r="GD86" s="250" t="str">
        <f t="shared" si="345"/>
        <v/>
      </c>
      <c r="GE86" s="253" t="str">
        <f>IFERROR(IF(AND(AF86="", 'General Information'!$F$18="No"),"", IF(AF86="", ((GD86/$CD$266)*$CF$266)*0.5, AF86*S86*0.5)), "")</f>
        <v/>
      </c>
      <c r="GF86" s="255" t="str">
        <f>IF(AND('General Information'!$F$19="", 'General Information'!$F$18="Yes",AF86="",BW86="Y"), "Y", "N")</f>
        <v>N</v>
      </c>
      <c r="GG86" s="255" t="s">
        <v>2946</v>
      </c>
      <c r="GH86" s="255" t="str">
        <f>IFERROR(IF(B86="", "", VLOOKUP(J86, 'Fixture Identities'!$A$6:$N$908, 14, FALSE)), "")</f>
        <v/>
      </c>
      <c r="GI86" s="389" t="str">
        <f>IF(OR(B86="", V86="", W86=""), "", IF(AND(OR(M86='Lookup Tables'!$R$18, M86='Lookup Tables'!$R$19, M86='Lookup Tables'!$R$20, M86='Lookup Tables'!$R$21, M86='Lookup Tables'!$R$22), OR(AN86='Lookup Tables'!$R$17, AN86='Lookup Tables'!$R$17, AN86="")), "Y", "N"))</f>
        <v/>
      </c>
      <c r="GJ86" s="255" t="str">
        <f t="shared" si="346"/>
        <v/>
      </c>
      <c r="GK86" s="255" t="str">
        <f t="shared" si="347"/>
        <v/>
      </c>
      <c r="GL86" s="255" t="str">
        <f t="shared" si="348"/>
        <v/>
      </c>
      <c r="GM86" s="255" t="str">
        <f>IF(AN86="", "", IF(AND(IF(ISNA(VLOOKUP(AN86,'Lookup Tables'!$R$18:$R$22,1,FALSE)), "N", "Y")="Y", E86="Exterior"), "Y", "N"))</f>
        <v/>
      </c>
      <c r="GN86" s="395"/>
      <c r="GO86" s="428">
        <f t="shared" si="394"/>
        <v>0</v>
      </c>
      <c r="GP86" s="428">
        <f t="shared" si="397"/>
        <v>0</v>
      </c>
      <c r="GQ86" s="428">
        <f t="shared" si="395"/>
        <v>0</v>
      </c>
      <c r="GR86" s="428">
        <f t="shared" si="396"/>
        <v>0</v>
      </c>
    </row>
    <row r="87" spans="1:200" s="103" customFormat="1" ht="13.5" customHeight="1" x14ac:dyDescent="0.2">
      <c r="A87" s="272">
        <v>77</v>
      </c>
      <c r="B87" s="110"/>
      <c r="C87" s="110"/>
      <c r="D87" s="110"/>
      <c r="E87" s="110"/>
      <c r="F87" s="110"/>
      <c r="G87" s="110"/>
      <c r="H87" s="110"/>
      <c r="I87" s="29"/>
      <c r="J87" s="29"/>
      <c r="K87" s="272" t="str">
        <f>IFERROR(IF(OR(VLOOKUP(J87, 'Fixture Identities'!$A$6:$L$1023, 3, FALSE)="T12 Linear Fluorescent", VLOOKUP(J87, 'Fixture Identities'!$A$6:$L$1023, 3, FALSE)="T12 U-Tube Fluorescent"), VLOOKUP(VLOOKUP(J87, 'Fixture Identities'!$A$6:$L$1023, 11, FALSE), 'Fixture Identities'!$A$6:$L$1023, 10, FALSE), VLOOKUP(J87, 'Fixture Identities'!$A$6:$L$1023, 10, FALSE)), "")</f>
        <v/>
      </c>
      <c r="L87" s="270" t="str">
        <f t="shared" si="399"/>
        <v/>
      </c>
      <c r="M87" s="110"/>
      <c r="N87" s="110"/>
      <c r="O87" s="110"/>
      <c r="P87" s="272" t="str">
        <f>IFERROR(IF(OR(B87="Retrofit",B87=""),"",IF('Lighting Inventory'!E87="Exterior",VLOOKUP('Lighting Inventory'!N87,'Lookup Tables'!$B$83:$F$103,5,FALSE),IF(N87="Other - Please Estimate EFLH and CFs","Contact Prog. Rep.","ft^2"))), "")</f>
        <v/>
      </c>
      <c r="Q87" s="270" t="str">
        <f>IFERROR(IF(AND(B87="New Construction",E87="Interior",$F$5="Space-by-Space"),VLOOKUP('Lighting Inventory'!N87,'Lookup Tables'!$N$6:$O$97,2,FALSE),IF(AND(B87="New Construction",E87="Exterior"),VLOOKUP(N87,'Lookup Tables'!$B$83:$F$103,2,FALSE),IF(AND(B87="New Construction",'Lighting Inventory'!E87="Interior", $F$5="Building Area"),VLOOKUP(F87,'Lookup Tables'!$A$6:$J$59,10,FALSE),""))), "")</f>
        <v/>
      </c>
      <c r="R87" s="270" t="str">
        <f>IFERROR(IF(P87="Contact Prog. Rep.", "ERROR", IF(OR(B87="",B87="Retrofit"),"",IF(N87="Automated teller machines", ('Lookup Tables'!$A$82:$E$100+('Lighting Inventory'!O87-1)*'Lookup Tables'!$A$82:$E$100)/1000, (Q87*O87)/1000))), "")</f>
        <v/>
      </c>
      <c r="S87" s="595"/>
      <c r="T87" s="105" t="str">
        <f t="shared" si="349"/>
        <v/>
      </c>
      <c r="U87" s="105" t="str">
        <f>IF(S87="","",COUNT($S$11:S87))</f>
        <v/>
      </c>
      <c r="V87" s="111"/>
      <c r="W87" s="112"/>
      <c r="X87" s="105" t="str">
        <f t="shared" si="350"/>
        <v/>
      </c>
      <c r="Y87" s="105" t="str">
        <f t="array" ref="Y87">IF(AND(OR(W87="Freezer Case Lighting", W87="Refrigerated Case Lighting with Doors"), 'General Information'!$X$18="LCI"),'Lookup Tables'!$Y$34, IF(V87="Custom", VLOOKUP(W87, 'Fixture Identities'!$A$974:$M$1023, 13, FALSE), IF(V87="No Change",'Lookup Tables'!$Y$29,IF(OR(V87="",W87=""),"",IF(AND(S87=0,S87&lt;I87,B87="Retrofit"),'Lookup Tables'!$Y$25, IF(B87="Retrofit", INDEX('Lookup Tables'!$AH$6:$AP$102, MATCH(1, ('Lookup Tables'!$AH$6:$AH$102=V87)*('Lookup Tables'!$AI$6:$AI$102=W87), 0), IF('Lighting Inventory'!E87="Interior", 4, 5)), INDEX('Lookup Tables'!$AH$114:$AP$154, MATCH(1, ('Lookup Tables'!$AH$114:$AH$154=V87)*('Lookup Tables'!$AI$114:$AI$154=W87), 0), IF('Lighting Inventory'!E87="Interior", 4, 5))))))))</f>
        <v/>
      </c>
      <c r="Z87" s="105" t="str">
        <f>IFERROR(INDEX('Lookup Tables'!$AH$158:$AH$172,MATCH('Lighting Inventory'!Y87,'Lookup Tables'!$AI$158:$AI$172,0)),"")</f>
        <v/>
      </c>
      <c r="AA87" s="105" t="str">
        <f>IF(AP87&gt;0,INDEX('Lookup Tables'!$AK$158:$AK$172,MATCH('Lighting Inventory'!Y87,'Lookup Tables'!$AI$158:$AI$172,0)),'Lighting Inventory'!Y87)</f>
        <v/>
      </c>
      <c r="AB87" s="105" t="str">
        <f t="array" ref="AB87">IF(V87="Custom", "Custom", IF(V87="", "", IF(V87="Not DLC or Energy Star", "General", IF(B87="New Construction", INDEX('Lookup Tables'!$AH$114:$AP$154,MATCH(1,('Lookup Tables'!$AH$114:$AH$154='Lighting Inventory'!V87)*('Lookup Tables'!$AI$114:$AI$154='Lighting Inventory'!W87),FALSE),8), INDEX('Lookup Tables'!$AH$6:$AP$102,MATCH(1,('Lookup Tables'!$AH$6:$AH$102='Lighting Inventory'!V87)*('Lookup Tables'!$AI$6:$AI$102='Lighting Inventory'!W87),FALSE),8)))))</f>
        <v/>
      </c>
      <c r="AC87" s="272" t="str">
        <f>IF(W87="","",IF(V87="Custom",CONCATENATE("$",'Lookup Tables'!$AM$101," ",'Lookup Tables'!$AN$101),CONCATENATE("$",INDEX('Lookup Tables'!$AM$6:$AM$102,MATCH('Lighting Inventory'!W87,'Lookup Tables'!$AI$6:$AI$102,0))," ",INDEX('Lookup Tables'!$AN$6:$AN$102,MATCH('Lighting Inventory'!W87,'Lookup Tables'!$AI$6:$AI$102,0)))))</f>
        <v/>
      </c>
      <c r="AD87" s="72"/>
      <c r="AE87" s="29"/>
      <c r="AF87" s="379"/>
      <c r="AG87" s="370" t="str">
        <f t="shared" si="298"/>
        <v/>
      </c>
      <c r="AH87" s="370" t="str">
        <f t="shared" si="351"/>
        <v/>
      </c>
      <c r="AI87" s="29"/>
      <c r="AJ87" s="29"/>
      <c r="AK87" s="110"/>
      <c r="AL87" s="375" t="str">
        <f>IF(OR(B87="", V87="", W87=""), "", IF(V87="No Change", K87, IF(V87="Remove Fixture", 0, IF(V87="Custom",VLOOKUP(W87,'Fixture Identities'!$A$6:$K$1023,10,FALSE),IF(AE87="", "← ENTER POST WATTS", 'Lighting Inventory'!AE87)))))</f>
        <v/>
      </c>
      <c r="AM87" s="376" t="str">
        <f t="shared" si="299"/>
        <v/>
      </c>
      <c r="AN87" s="29"/>
      <c r="AO87" s="671"/>
      <c r="AP87" s="29"/>
      <c r="AQ87" s="29"/>
      <c r="AR87" s="29"/>
      <c r="AS87" s="272" t="str">
        <f t="shared" si="352"/>
        <v/>
      </c>
      <c r="AT87" s="270" t="str">
        <f t="shared" si="300"/>
        <v/>
      </c>
      <c r="AU87" s="88" t="str">
        <f t="shared" si="400"/>
        <v/>
      </c>
      <c r="AV87" s="29"/>
      <c r="AW87" s="73"/>
      <c r="AX87" s="271" t="str">
        <f>IF(AND(AV87="Applicant",OR(AW87="", AW87="Use Default Facility Hours")),"← Choose Schedule",IF(F87="","",IF(W87="LED Exit Signs",8760,IF(OR(AV87="Prescribed",AV87=""),VLOOKUP(F87,'Lookup Tables'!$A$6:$G$59,IF(AB87="General", 6, 3),FALSE),VLOOKUP(AW87,'Lookup Tables'!$S$36:$U$43,2,FALSE)))))</f>
        <v/>
      </c>
      <c r="AY87" s="88" t="str">
        <f t="shared" si="301"/>
        <v/>
      </c>
      <c r="AZ87" s="270" t="str">
        <f>IFERROR(IF(F87="", "", IF(W87="LED Exit Signs", 1, IF(AV87="Applicant",VLOOKUP(AW87, 'Lookup Tables'!$S$36:$U$43,3, FALSE), VLOOKUP('Lighting Inventory'!F87, 'Lookup Tables'!$A$6:$H$59, IF('Lighting Inventory'!AB87="General",7,4), FALSE)))), "")</f>
        <v/>
      </c>
      <c r="BA87" s="522" t="str">
        <f>IFERROR(IF(F87="", "", IF(W87="LED Exit Signs", 1, VLOOKUP('Lighting Inventory'!F87, 'Lookup Tables'!$A$6:$H$59, IF('Lighting Inventory'!AB87="General",8,5), FALSE))), "")</f>
        <v/>
      </c>
      <c r="BB87" s="270" t="str">
        <f>IF(G87="", "", IF(E87="Exterior", 0, IF('Lighting Inventory'!G87="Air Conditioned", VLOOKUP(H87, 'Lookup Tables'!$R$6:$T$13, 2, FALSE), VLOOKUP('Lighting Inventory'!G87, 'Lookup Tables'!$R$6:$T$13, 2, FALSE))))</f>
        <v/>
      </c>
      <c r="BC87" s="522" t="str">
        <f>IF(G87="", "", IF(E87="Exterior", 0, IF('Lighting Inventory'!G87="Air Conditioned", VLOOKUP(H87, 'Lookup Tables'!$R$6:$T$13, 3, FALSE), VLOOKUP('Lighting Inventory'!G87, 'Lookup Tables'!$R$6:$T$13, 3, FALSE))))</f>
        <v/>
      </c>
      <c r="BD87" s="270" t="str">
        <f>IF(G87="", "", IF(E87="Exterior", 0, IF('Lighting Inventory'!G87="Air Conditioned", VLOOKUP(H87, 'Lookup Tables'!$R$6:$U$13, 4, FALSE), VLOOKUP('Lighting Inventory'!G87, 'Lookup Tables'!$R$6:$U$13, 4, FALSE))))</f>
        <v/>
      </c>
      <c r="BE87" s="270" t="str">
        <f>IFERROR(IF(B87="", "",  IF(B87="New Construction", VLOOKUP(F87, 'Lookup Tables'!$A$6:$K$59, 11, FALSE),IF(OR(AN87="", AN87="Light Switch"), 0, IF(OR(M87="",M87="None",V87= "LED Exit Signs"),0,_xlfn.XLOOKUP(M87,'Lookup Tables'!$R$91:$R$101,'Lookup Tables'!$V$91:$V$101))))), "")</f>
        <v/>
      </c>
      <c r="BF87" s="270" t="str">
        <f>IF(AND(OR(AN87="Light Switch",AN87=""),B87="New Construction"), VLOOKUP(F87, 'Lookup Tables'!$A$6:$K$59, 11, FALSE),IF(AN87="","",IF(B87="","",IF(OR(AN87="None",AN87="",V87="LED Exit Signs",AN87="Exterior Controls Not Eligible"),0,_xlfn.XLOOKUP(AN87,'Lookup Tables'!$R$91:$R$101,'Lookup Tables'!$V$91:$V$101)))))</f>
        <v/>
      </c>
      <c r="BG87" s="88" t="str">
        <f t="shared" si="353"/>
        <v/>
      </c>
      <c r="BH87" s="88" t="str">
        <f t="shared" si="354"/>
        <v/>
      </c>
      <c r="BI87" s="558" t="str">
        <f t="shared" si="398"/>
        <v/>
      </c>
      <c r="BJ87" s="82" t="str">
        <f t="shared" si="355"/>
        <v/>
      </c>
      <c r="BK87" s="82" t="str">
        <f t="shared" si="356"/>
        <v/>
      </c>
      <c r="BL87" s="559" t="str">
        <f t="shared" si="357"/>
        <v/>
      </c>
      <c r="BM87" s="521" t="str">
        <f t="shared" si="302"/>
        <v/>
      </c>
      <c r="BN87" s="521" t="str">
        <f t="shared" si="303"/>
        <v/>
      </c>
      <c r="BO87" s="522" t="str">
        <f t="shared" si="304"/>
        <v/>
      </c>
      <c r="BP87" s="83" t="str">
        <f t="shared" si="358"/>
        <v/>
      </c>
      <c r="BQ87" s="84" t="str">
        <f t="shared" si="359"/>
        <v/>
      </c>
      <c r="BR87" s="184" t="str">
        <f>IFERROR(IF(B87="", "", IF(OR(VLOOKUP(J87, 'Fixture Identities'!$A$6:$L$1023, 3, FALSE)="T12 Linear Fluorescent",VLOOKUP(J87, 'Fixture Identities'!$A$6:$L$1023, 3, FALSE)="T12 U-Tube Fluorescent"), "Y", "N")), "N")</f>
        <v/>
      </c>
      <c r="BS87" s="184" t="str">
        <f t="array" ref="BS87">IFERROR(IF(OR(B87="", V87="", W87=""), "", IF(V87="Custom", "N", IF(OR(W87="Freezer Case Lighting", W87="Refrigerated Case Lighting with Doors"), BT87, IF(B87="Retrofit", INDEX('Lookup Tables'!$AH$6:$AT$102,MATCH(1,('Lookup Tables'!$AH$6:$AH$102=V87)*('Lookup Tables'!$AI$6:$AI$102=W87),FALSE),IF(VLOOKUP(J87, 'Fixture Identities'!$A$6:$B$1023, 2, FALSE)="Incandescent",12, 13)), INDEX('Lookup Tables'!$AH$114:$AS$154,MATCH(1,('Lookup Tables'!$AH$114:$AH$154=V87)*('Lookup Tables'!$AI$114:$AI$154=W87),FALSE),12))))), "N")</f>
        <v/>
      </c>
      <c r="BT87" s="184" t="str">
        <f>IF(J87="", "", IF(AND(OR(W87="Freezer case Lighting", W87="Refrigerated Case Lighting with Doors"),'General Information'!$X$18="LCI"), "N", IF(OR(VLOOKUP(J87, 'Fixture Identities'!$A$6:$B$1023, 2, FALSE)="T12 EPACT/EISA Baseline", VLOOKUP(J87, 'Fixture Identities'!$A$6:$B$1023, 2, FALSE)="Linear Fluorescent", VLOOKUP(J87, 'Fixture Identities'!$A$6:$B$1023, 2, FALSE)="U-Tube Fluorescent"), "Y", "N")))</f>
        <v/>
      </c>
      <c r="BU87" s="184" t="str">
        <f>IFERROR(IF(B87="", "", IF(VLOOKUP(J87, 'Fixture Identities'!$A$6:$B$1023, 2, FALSE)="Exit Sign", "Y", "N")), "N")</f>
        <v/>
      </c>
      <c r="BV87" s="184" t="str">
        <f>IF(V87="Exit Signs", IF(VLOOKUP(J87, 'Fixture Identities'!$A$6:$B$1023, 2, FALSE)="Exit Sign", "N", "Y"), "")</f>
        <v/>
      </c>
      <c r="BW87" s="184" t="str">
        <f t="array" ref="BW87">IFERROR(IF(B87="", "", IF(B87="New Construction", "N", INDEX('Lookup Tables'!$AH$6:$AU$102, MATCH(1, ('Lookup Tables'!$AH$6:$AH$102='Lighting Inventory'!V87)*('Lookup Tables'!$AI$6:$AI$102='Lighting Inventory'!W87), 0), 14))), "N")</f>
        <v/>
      </c>
      <c r="BX87" s="598" t="str">
        <f t="shared" si="360"/>
        <v/>
      </c>
      <c r="BY87" s="598" t="str">
        <f t="shared" si="361"/>
        <v/>
      </c>
      <c r="BZ87" s="598" t="str">
        <f t="shared" si="362"/>
        <v/>
      </c>
      <c r="CA87" s="598" t="str">
        <f t="shared" si="363"/>
        <v/>
      </c>
      <c r="CB87" s="269" t="str">
        <f t="shared" si="364"/>
        <v/>
      </c>
      <c r="CC87" s="517" t="str">
        <f t="shared" si="365"/>
        <v/>
      </c>
      <c r="CD87" s="565" t="str">
        <f t="shared" si="305"/>
        <v/>
      </c>
      <c r="CE87" s="368">
        <v>0</v>
      </c>
      <c r="CF87" s="368" t="str" cm="1">
        <f t="array" ref="CF87">IFERROR(IF(V87="Custom", "$0.1 per kWh", IF(B87="New Construction", CONCATENATE("$",INDEX('Lookup Tables'!$AH$114:$AN$154,MATCH(1,('Lookup Tables'!$AH$114:$AH$154='Lighting Inventory'!V87)*('Lookup Tables'!$AI$114:$AI$154='Lighting Inventory'!W87),FALSE),6)," ",INDEX('Lookup Tables'!$AH$114:$AN$154,MATCH(1,('Lookup Tables'!$AH$114:$AH$154='Lighting Inventory'!V87)*('Lookup Tables'!$AI$114:$AI$154='Lighting Inventory'!W87),FALSE),7)), IF(AND(BU87="N", V87="Exit Signs"), "$0.025 per kWh", CONCATENATE("$",INDEX('Lookup Tables'!$AH$6:$AN$102,MATCH(1,('Lookup Tables'!$AH$6:$AH$102='Lighting Inventory'!V87)*('Lookup Tables'!$AI$6:$AI$102='Lighting Inventory'!W87),FALSE),6)," ",INDEX('Lookup Tables'!$AH$6:$AN$102,MATCH(1,('Lookup Tables'!$AH$6:$AH$102='Lighting Inventory'!V87)*('Lookup Tables'!$AI$6:$AI$102='Lighting Inventory'!W87),FALSE),7))))), "")</f>
        <v/>
      </c>
      <c r="CG87" s="366"/>
      <c r="CH87" s="248" t="str">
        <f t="shared" si="306"/>
        <v/>
      </c>
      <c r="CI87" s="248" t="str">
        <f t="shared" si="307"/>
        <v>Select_IE</v>
      </c>
      <c r="CJ87" s="248" t="str">
        <f t="shared" si="308"/>
        <v/>
      </c>
      <c r="CK87" s="248" t="str">
        <f t="shared" si="309"/>
        <v/>
      </c>
      <c r="CL87" s="248" t="str">
        <f t="shared" si="310"/>
        <v/>
      </c>
      <c r="CM87" s="248" t="str">
        <f>IFERROR(IF(B87="", "", IF(B87="New Construction", VLOOKUP(V87, 'Lookup Tables'!$AF$114:$AG$120, 2, FALSE), VLOOKUP(V87, 'Lookup Tables'!$AD$6:$AE$25, 2, FALSE))), "")</f>
        <v/>
      </c>
      <c r="CN87" s="248" t="str">
        <f t="shared" si="311"/>
        <v/>
      </c>
      <c r="CO87" s="248" t="str">
        <f t="shared" si="312"/>
        <v/>
      </c>
      <c r="CP87" s="592" t="str">
        <f t="shared" si="313"/>
        <v/>
      </c>
      <c r="CQ87" s="248" t="str">
        <f t="shared" si="366"/>
        <v/>
      </c>
      <c r="CR87" s="100"/>
      <c r="CS87" s="250" t="str">
        <f t="shared" si="314"/>
        <v/>
      </c>
      <c r="CT87" s="250" t="str">
        <f t="shared" si="367"/>
        <v/>
      </c>
      <c r="CU87" s="250" t="str">
        <f t="shared" si="368"/>
        <v/>
      </c>
      <c r="CV87" s="250" t="str">
        <f t="shared" si="369"/>
        <v/>
      </c>
      <c r="CW87" s="250" t="str">
        <f t="shared" si="370"/>
        <v/>
      </c>
      <c r="CX87" s="250" t="str">
        <f t="shared" si="315"/>
        <v/>
      </c>
      <c r="CY87" s="250" t="str">
        <f t="shared" si="316"/>
        <v/>
      </c>
      <c r="CZ87" s="250" t="str">
        <f t="shared" si="317"/>
        <v/>
      </c>
      <c r="DA87" s="250" t="str">
        <f t="shared" si="318"/>
        <v/>
      </c>
      <c r="DB87" s="250" t="str">
        <f t="shared" si="319"/>
        <v/>
      </c>
      <c r="DC87" s="250" t="str">
        <f t="shared" si="320"/>
        <v/>
      </c>
      <c r="DD87" s="250" t="str">
        <f t="shared" si="321"/>
        <v/>
      </c>
      <c r="DE87" s="250" t="str">
        <f t="shared" si="322"/>
        <v/>
      </c>
      <c r="DF87" s="250" t="str">
        <f t="shared" si="323"/>
        <v/>
      </c>
      <c r="DG87" s="250" t="str">
        <f t="shared" si="324"/>
        <v/>
      </c>
      <c r="DH87" s="250" t="str">
        <f t="shared" si="325"/>
        <v/>
      </c>
      <c r="DI87" s="250" t="str">
        <f t="shared" si="326"/>
        <v/>
      </c>
      <c r="DJ87" s="250" t="str">
        <f t="shared" si="327"/>
        <v/>
      </c>
      <c r="DK87" s="250" t="str">
        <f t="shared" si="328"/>
        <v/>
      </c>
      <c r="DL87" s="250" t="str">
        <f t="shared" si="329"/>
        <v/>
      </c>
      <c r="DM87" s="250" t="str">
        <f>IF(CD87="ERROR", "ERROR", IF(AND(OR(Y87=$DM$6, Y87='Lookup Tables'!$AD$21, Y87='Lookup Tables'!$AD$22), E87="Interior"), BJ87, ""))</f>
        <v/>
      </c>
      <c r="DN87" s="250" t="str">
        <f>IF(CD87="ERROR", "ERROR", IF(AND(OR(Y87=$DM$6, Y87='Lookup Tables'!$AD$21, Y87='Lookup Tables'!$AD$22), E87="Exterior"), BJ87, ""))</f>
        <v/>
      </c>
      <c r="DO87" s="100"/>
      <c r="DP87" s="250" t="str">
        <f t="shared" si="330"/>
        <v/>
      </c>
      <c r="DQ87" s="250" t="str">
        <f t="shared" si="371"/>
        <v/>
      </c>
      <c r="DR87" s="250" t="str">
        <f t="shared" si="372"/>
        <v/>
      </c>
      <c r="DS87" s="250" t="str">
        <f t="shared" si="373"/>
        <v/>
      </c>
      <c r="DT87" s="250" t="str">
        <f t="shared" si="374"/>
        <v/>
      </c>
      <c r="DU87" s="250" t="str">
        <f t="shared" si="331"/>
        <v/>
      </c>
      <c r="DV87" s="250" t="str">
        <f t="shared" si="332"/>
        <v/>
      </c>
      <c r="DW87" s="250" t="str">
        <f t="shared" si="333"/>
        <v/>
      </c>
      <c r="DX87" s="250" t="str">
        <f t="shared" si="334"/>
        <v/>
      </c>
      <c r="DY87" s="250" t="str">
        <f t="shared" si="335"/>
        <v/>
      </c>
      <c r="DZ87" s="250" t="str">
        <f t="shared" si="336"/>
        <v/>
      </c>
      <c r="EA87" s="250" t="str">
        <f t="shared" si="337"/>
        <v/>
      </c>
      <c r="EB87" s="250" t="str">
        <f t="shared" si="375"/>
        <v/>
      </c>
      <c r="EC87" s="250" t="str">
        <f t="shared" si="338"/>
        <v/>
      </c>
      <c r="ED87" s="250" t="str">
        <f t="shared" si="339"/>
        <v/>
      </c>
      <c r="EE87" s="250" t="str">
        <f t="shared" si="340"/>
        <v/>
      </c>
      <c r="EF87" s="250" t="str">
        <f t="shared" si="341"/>
        <v/>
      </c>
      <c r="EG87" s="250" t="str">
        <f t="shared" si="342"/>
        <v/>
      </c>
      <c r="EH87" s="250" t="str">
        <f>IF(CD87="ERROR", "ERROR", IF(AND(OR($EH$6=Y87, Y87='Lookup Tables'!$AD$21, Y87='Lookup Tables'!$AD$22),E87="Interior"), SUM(BP87:BP87), ""))</f>
        <v/>
      </c>
      <c r="EI87" s="250" t="str">
        <f>IF(CD87="ERROR", "ERROR", IF(AND(OR($EH$6=Y87, Y87='Lookup Tables'!$AD$21, Y87='Lookup Tables'!$AD$22),E87="Exterior"), SUM(BP87:BP87), ""))</f>
        <v/>
      </c>
      <c r="EJ87" s="109"/>
      <c r="EK87" s="485" t="str">
        <f t="shared" si="343"/>
        <v/>
      </c>
      <c r="EL87" s="252" t="str">
        <f t="shared" si="376"/>
        <v/>
      </c>
      <c r="EM87" s="252" t="str">
        <f t="shared" si="377"/>
        <v/>
      </c>
      <c r="EN87" s="252" t="str">
        <f t="shared" si="378"/>
        <v/>
      </c>
      <c r="EO87" s="252" t="str">
        <f t="shared" si="379"/>
        <v/>
      </c>
      <c r="EP87" s="252" t="str">
        <f t="shared" si="380"/>
        <v/>
      </c>
      <c r="EQ87" s="252" t="str">
        <f t="shared" si="381"/>
        <v/>
      </c>
      <c r="ER87" s="252" t="str">
        <f t="shared" si="382"/>
        <v/>
      </c>
      <c r="ES87" s="252" t="str">
        <f t="shared" si="383"/>
        <v/>
      </c>
      <c r="ET87" s="252" t="str">
        <f t="shared" si="384"/>
        <v/>
      </c>
      <c r="EU87" s="252" t="str">
        <f t="shared" si="385"/>
        <v/>
      </c>
      <c r="EV87" s="252" t="str">
        <f t="shared" si="386"/>
        <v/>
      </c>
      <c r="EW87" s="252" t="str">
        <f t="shared" si="387"/>
        <v/>
      </c>
      <c r="EX87" s="252" t="str">
        <f t="shared" si="388"/>
        <v/>
      </c>
      <c r="EY87" s="252" t="str">
        <f t="shared" si="389"/>
        <v/>
      </c>
      <c r="EZ87" s="252" t="str">
        <f t="shared" si="390"/>
        <v/>
      </c>
      <c r="FA87" s="252" t="str">
        <f t="shared" si="391"/>
        <v/>
      </c>
      <c r="FB87" s="252" t="str">
        <f t="shared" si="392"/>
        <v/>
      </c>
      <c r="FC87" s="252" t="str">
        <f>IF(CD87="ERROR", "ERROR", IF(OR(V87="No Change", V87="Not DLC or Energy Star"), "", IF(AND(OR($FC$6=Y87,Y87='Lookup Tables'!$AD$21, Y87='Lookup Tables'!$AD$22),E87="Interior"), S87, "")))</f>
        <v/>
      </c>
      <c r="FD87" s="252" t="str">
        <f t="shared" si="393"/>
        <v/>
      </c>
      <c r="FE87" s="101"/>
      <c r="FF87" s="579" t="str" cm="1">
        <f t="array" ref="FF87">IFERROR(IF(OR(BQ87&lt;=0,AQ87&lt;20,AND(V87="Exit Signs",AN87&gt;0)),"",IF(AND(AQ87&gt;=20,AN87='Lookup Tables'!$R$101),'Lookup Tables'!$U$101*BQ87,AP87*LOOKUP(2,1/((AN87='Lookup Tables'!$R$91:$R$111)*(AQ87&gt;='Lookup Tables'!$S$91:$S$111)*(AQ87&lt;='Lookup Tables'!$T$91:$T$111)),'Lookup Tables'!$U$91:$U$111))),"")</f>
        <v/>
      </c>
      <c r="FG87" s="579"/>
      <c r="FH87" s="579"/>
      <c r="FI87" s="253" t="str">
        <f>IFERROR(ROUND(IF(CD87="ERROR", "ERROR", IF(AND($FI$7=X87,E87="Interior"),VLOOKUP(W87, 'Lookup Tables'!$AI$6:$AM$102, 5, FALSE)*BP87, "")), 2), "")</f>
        <v/>
      </c>
      <c r="FJ87" s="253" t="str">
        <f>IFERROR(ROUND(IF(CD87="ERROR", "ERROR", IF(AND($FI$7=X87,E87="Exterior"),VLOOKUP(W87, 'Lookup Tables'!$AI$6:$AM$102, 5, FALSE)*BP87, "")), 2), "")</f>
        <v/>
      </c>
      <c r="FK87" s="253" t="str">
        <f>IFERROR(ROUND(IF(CD87="ERROR", "ERROR", IF(AND($FK$7=X87,E87="Interior"),VLOOKUP(W87, 'Lookup Tables'!$AI$6:$AM$102, 5, FALSE)*BP87, "")), 2), "")</f>
        <v/>
      </c>
      <c r="FL87" s="253" t="str">
        <f>IFERROR(ROUND(IF(CD87="ERROR", "ERROR", IF(AND($FK$7=X87,E87="Exterior"),VLOOKUP(W87, 'Lookup Tables'!$AI$6:$AM$102, 5, FALSE)*BP87, "")), 2), "")</f>
        <v/>
      </c>
      <c r="FM87" s="253" t="str">
        <f>IFERROR(ROUND(IF(CD87="ERROR", "ERROR", IF(AND($FM$6=Y87,E87="Interior"), IF(GB87=0, VLOOKUP(W87, 'Lookup Tables'!$AI$6:$AM$102, 5, FALSE)*BP87, IF(VLOOKUP(W87, 'Lookup Tables'!$AI$6:$AM$102, 5, FALSE)*BP87&gt;GB87*'Lighting Inventory'!S87, GB87*'Lighting Inventory'!S87,VLOOKUP(W87, 'Lookup Tables'!$AI$6:$AM$102, 5, FALSE)*BP87)), "")), 2), "")</f>
        <v/>
      </c>
      <c r="FN87" s="253" t="str">
        <f>IFERROR(ROUND(IF(CD87="ERROR", "ERROR", IF(AND($FM$6=Y87,E87="Exterior"), IF(GB87=0, VLOOKUP(W87, 'Lookup Tables'!$AI$6:$AM$102, 5, FALSE)*BP87, IF(VLOOKUP(W87, 'Lookup Tables'!$AI$6:$AM$102, 5, FALSE)*BP87&gt;GB87*'Lighting Inventory'!S87, GB87*'Lighting Inventory'!S87,VLOOKUP(W87, 'Lookup Tables'!$AI$6:$AM$102, 5, FALSE)*BP87)), "")), 2), "")</f>
        <v/>
      </c>
      <c r="FO87" s="253" t="str">
        <f>IFERROR(ROUND(IF(CD87="ERROR", "ERROR", IF(AND($FO$6=Y87,E87="Interior"),VLOOKUP(W87, 'Lookup Tables'!$AI$6:$AM$102, 5, FALSE)*'Lighting Inventory'!AI87, "")), 2), "")</f>
        <v/>
      </c>
      <c r="FP87" s="253" t="str">
        <f>IFERROR(ROUND(IF(CD87="ERROR", "ERROR", IF(AND($FO$6=Y87,E87="Exterior"),VLOOKUP(W87, 'Lookup Tables'!$AI$6:$AM$102, 5, FALSE)*'Lighting Inventory'!AI87, "")), 2), "")</f>
        <v/>
      </c>
      <c r="FQ87" s="253" t="str">
        <f>IFERROR(ROUND(IF(CD87="ERROR", "ERROR", IF(AND($FQ$6=Y87,E87="Interior", BU87="Y"), VLOOKUP('Lighting Inventory'!W87, 'Lookup Tables'!$AI$6:$AM$102, 5, FALSE)*'Lighting Inventory'!S87, IF(AND($FQ$7=Y87,E87="Interior", BU87="N"), 0.025*CD87, ""))), 2), "")</f>
        <v/>
      </c>
      <c r="FR87" s="253" t="str">
        <f>IFERROR(ROUND(IF(CD87="ERROR", "ERROR", IF(AND($FQ$6=Y87,E87="Exterior"), VLOOKUP('Lighting Inventory'!W87, 'Lookup Tables'!$AI$6:$AM$102, 5, FALSE)*'Lighting Inventory'!S87, "")), 2), "")</f>
        <v/>
      </c>
      <c r="FS87" s="253" t="str">
        <f>IFERROR(ROUND(IF(CD87="ERROR", "ERROR", IF(AND($FS$6=Y87,E87="Exterior"), IF(GB87=0, VLOOKUP(W87, 'Lookup Tables'!$AI$6:$AM$102, 5, FALSE)*BP87, IF(VLOOKUP(W87, 'Lookup Tables'!$AI$6:$AM$102, 5, FALSE)*BP87&gt;GB87*'Lighting Inventory'!S87, GB87*'Lighting Inventory'!S87,VLOOKUP(W87, 'Lookup Tables'!$AI$6:$AM$102, 5, FALSE)*BP87)), "")), 2), "")</f>
        <v/>
      </c>
      <c r="FT87" s="253" t="str">
        <f>IFERROR(ROUND(IF(CD87="ERROR", "ERROR", IF(AND($FT$6=Y87,E87="Interior"), IF(GB87=0, VLOOKUP(W87, 'Lookup Tables'!$AI$6:$AM$102, 5, FALSE)*BP87, IF(VLOOKUP(W87, 'Lookup Tables'!$AI$6:$AM$102, 5, FALSE)*BP87&gt;GB87*'Lighting Inventory'!S87, GB87*'Lighting Inventory'!S87,VLOOKUP(W87, 'Lookup Tables'!$AI$6:$AM$102, 5, FALSE)*BP87)), "")), 2), "")</f>
        <v/>
      </c>
      <c r="FU87" s="253" t="str">
        <f>IFERROR(ROUND(IF(CD87="ERROR", "ERROR", IF(AND(Y87=$FU$6, E87="Interior"), IF(BS87="N", 'Lookup Tables'!$AM$101*BP87, VLOOKUP(W87, 'Lookup Tables'!$AI$6:$AM$102, 5, FALSE)*S87*AD87), "")), 2), "")</f>
        <v/>
      </c>
      <c r="FV87" s="253" t="str">
        <f>IFERROR(ROUND(IF(CD87="ERROR", "ERROR", IF(AND(Y87=$FU$6, E87="Exterior"), IF(BS87="N", 'Lookup Tables'!$AM$101*BP87, VLOOKUP(W87, 'Lookup Tables'!$AI$6:$AM$102, 5, FALSE)*S87*AD87), "")), 2), "")</f>
        <v/>
      </c>
      <c r="FW87" s="253" t="str">
        <f>IFERROR(ROUND(IF(CD87="ERROR", "ERROR", IF($FW$6=Y87, IF(BS87="N", 'Lookup Tables'!$AM$101*BP87, MIN((VLOOKUP(W87, 'Lookup Tables'!$AI$6:$AM$102, 5, FALSE)*BP87),GB87*AJ87)), "")), 2), "")</f>
        <v/>
      </c>
      <c r="FX87" s="253" t="str">
        <f>IFERROR(ROUND(IF(CD87="ERROR", "ERROR", IF(AND($FX$6=Y87, E87="Interior"), IF(VLOOKUP(W87, 'Lookup Tables'!$AI$6:$AM$102, 5, FALSE)*BP87&gt;'Lookup Tables'!$AQ$97*'Lighting Inventory'!S87,'Lighting Inventory'!S87*'Lookup Tables'!$AQ$97,VLOOKUP(W87, 'Lookup Tables'!$AI$6:$AM$102, 5, FALSE)*BP87), "")), 2), "")</f>
        <v/>
      </c>
      <c r="FY87" s="253" t="str">
        <f>IFERROR(ROUND(IF(CD87="ERROR", "ERROR", IF(AND($FX$6=Y87, E87="Exterior"), IF(VLOOKUP(W87, 'Lookup Tables'!$AI$6:$AM$102, 5, FALSE)*BP87&gt;'Lookup Tables'!$AQ$97*'Lighting Inventory'!S87,'Lighting Inventory'!S87*'Lookup Tables'!$AQ$97,VLOOKUP(W87, 'Lookup Tables'!$AI$6:$AM$102, 5, FALSE)*BP87), "")), 2), "")</f>
        <v/>
      </c>
      <c r="FZ87" s="253" t="str">
        <f>IFERROR(ROUND(IF(CD87="ERROR", "ERROR", IF(AND($FZ$6=Y87, E87="Interior"), IF(AND(OR(W87="Refrigerated Case Lighting with Doors", W87="Freezer Case Lighting"),Y87="Custom - Process Improvement"),CD87*'Lookup Tables'!$AM$101, IF(B87="Retrofit", IF(VLOOKUP(IF(V87="Custom", V87, W87), 'Lookup Tables'!$AI$6:$AM$102, 5, FALSE)*BP87&gt;GE87, GE87, VLOOKUP(IF(V87="Custom", V87, W87), 'Lookup Tables'!$AI$6:$AM$102, 5, FALSE)*BP87), IF(VLOOKUP(IF(V87="Custom", V87, W87), 'Lookup Tables'!$AI$114:$AM$154, 5, FALSE)*BP87&gt;GE87, GE87, VLOOKUP(IF(V87="Custom", V87, W87), 'Lookup Tables'!$AI$114:$AM$154, 5, FALSE)*BP87))), "")), 2),"")</f>
        <v/>
      </c>
      <c r="GA87" s="253" t="str">
        <f>IFERROR(ROUND(IF(CD87="ERROR", "ERROR", IF(AND($FZ$6=Y87, E87="Exterior"), IF(B87="Retrofit", IF(VLOOKUP(IF(V87="Custom", V87, W87), 'Lookup Tables'!$AI$6:$AM$102, 5, FALSE)*BP87&gt;GE87, GE87, VLOOKUP(IF(V87="Custom", V87, W87), 'Lookup Tables'!$AI$6:$AM$102, 5, FALSE)*BP87), IF(VLOOKUP(IF(V87="Custom", V87, W87), 'Lookup Tables'!$AI$114:$AM$154, 5, FALSE)*BP87&gt;GE87, GE87, VLOOKUP(IF(V87="Custom", V87, W87), 'Lookup Tables'!$AI$114:$AM$154, 5, FALSE)*BP87)), "")), 2),"")</f>
        <v/>
      </c>
      <c r="GB87" s="254" t="str">
        <f t="array" ref="GB87">IF(B87="","",IF(OR(V87="Custom",V87="No Change"),0,IF(B87="Retrofit", INDEX('Lookup Tables'!$AH$6:$AQ$102,MATCH(1,('Lookup Tables'!$AH$6:$AH$102='Lighting Inventory'!V87)*('Lookup Tables'!$AI$6:$AI$102='Lighting Inventory'!W87),FALSE),10),INDEX('Lookup Tables'!$AH$114:$AQ$154,MATCH(1,('Lookup Tables'!$AH$114:$AH$154='Lighting Inventory'!V87)*('Lookup Tables'!$AI$114:$AI$154='Lighting Inventory'!W87),FALSE),10))))</f>
        <v/>
      </c>
      <c r="GC87" s="255" t="str">
        <f t="shared" si="344"/>
        <v/>
      </c>
      <c r="GD87" s="250" t="str">
        <f t="shared" si="345"/>
        <v/>
      </c>
      <c r="GE87" s="253" t="str">
        <f>IFERROR(IF(AND(AF87="", 'General Information'!$F$18="No"),"", IF(AF87="", ((GD87/$CD$266)*$CF$266)*0.5, AF87*S87*0.5)), "")</f>
        <v/>
      </c>
      <c r="GF87" s="255" t="str">
        <f>IF(AND('General Information'!$F$19="", 'General Information'!$F$18="Yes",AF87="",BW87="Y"), "Y", "N")</f>
        <v>N</v>
      </c>
      <c r="GG87" s="255" t="s">
        <v>2946</v>
      </c>
      <c r="GH87" s="255" t="str">
        <f>IFERROR(IF(B87="", "", VLOOKUP(J87, 'Fixture Identities'!$A$6:$N$908, 14, FALSE)), "")</f>
        <v/>
      </c>
      <c r="GI87" s="389" t="str">
        <f>IF(OR(B87="", V87="", W87=""), "", IF(AND(OR(M87='Lookup Tables'!$R$18, M87='Lookup Tables'!$R$19, M87='Lookup Tables'!$R$20, M87='Lookup Tables'!$R$21, M87='Lookup Tables'!$R$22), OR(AN87='Lookup Tables'!$R$17, AN87='Lookup Tables'!$R$17, AN87="")), "Y", "N"))</f>
        <v/>
      </c>
      <c r="GJ87" s="255" t="str">
        <f t="shared" si="346"/>
        <v/>
      </c>
      <c r="GK87" s="255" t="str">
        <f t="shared" si="347"/>
        <v/>
      </c>
      <c r="GL87" s="255" t="str">
        <f t="shared" si="348"/>
        <v/>
      </c>
      <c r="GM87" s="255" t="str">
        <f>IF(AN87="", "", IF(AND(IF(ISNA(VLOOKUP(AN87,'Lookup Tables'!$R$18:$R$22,1,FALSE)), "N", "Y")="Y", E87="Exterior"), "Y", "N"))</f>
        <v/>
      </c>
      <c r="GN87" s="395"/>
      <c r="GO87" s="428">
        <f t="shared" si="394"/>
        <v>0</v>
      </c>
      <c r="GP87" s="428">
        <f t="shared" si="397"/>
        <v>0</v>
      </c>
      <c r="GQ87" s="428">
        <f t="shared" si="395"/>
        <v>0</v>
      </c>
      <c r="GR87" s="428">
        <f t="shared" si="396"/>
        <v>0</v>
      </c>
    </row>
    <row r="88" spans="1:200" s="103" customFormat="1" ht="13.5" customHeight="1" x14ac:dyDescent="0.2">
      <c r="A88" s="272">
        <v>78</v>
      </c>
      <c r="B88" s="110"/>
      <c r="C88" s="110"/>
      <c r="D88" s="110"/>
      <c r="E88" s="110"/>
      <c r="F88" s="110"/>
      <c r="G88" s="110"/>
      <c r="H88" s="110"/>
      <c r="I88" s="29"/>
      <c r="J88" s="29"/>
      <c r="K88" s="272" t="str">
        <f>IFERROR(IF(OR(VLOOKUP(J88, 'Fixture Identities'!$A$6:$L$1023, 3, FALSE)="T12 Linear Fluorescent", VLOOKUP(J88, 'Fixture Identities'!$A$6:$L$1023, 3, FALSE)="T12 U-Tube Fluorescent"), VLOOKUP(VLOOKUP(J88, 'Fixture Identities'!$A$6:$L$1023, 11, FALSE), 'Fixture Identities'!$A$6:$L$1023, 10, FALSE), VLOOKUP(J88, 'Fixture Identities'!$A$6:$L$1023, 10, FALSE)), "")</f>
        <v/>
      </c>
      <c r="L88" s="270" t="str">
        <f t="shared" si="399"/>
        <v/>
      </c>
      <c r="M88" s="110"/>
      <c r="N88" s="110"/>
      <c r="O88" s="110"/>
      <c r="P88" s="272" t="str">
        <f>IFERROR(IF(OR(B88="Retrofit",B88=""),"",IF('Lighting Inventory'!E88="Exterior",VLOOKUP('Lighting Inventory'!N88,'Lookup Tables'!$B$83:$F$103,5,FALSE),IF(N88="Other - Please Estimate EFLH and CFs","Contact Prog. Rep.","ft^2"))), "")</f>
        <v/>
      </c>
      <c r="Q88" s="270" t="str">
        <f>IFERROR(IF(AND(B88="New Construction",E88="Interior",$F$5="Space-by-Space"),VLOOKUP('Lighting Inventory'!N88,'Lookup Tables'!$N$6:$O$97,2,FALSE),IF(AND(B88="New Construction",E88="Exterior"),VLOOKUP(N88,'Lookup Tables'!$B$83:$F$103,2,FALSE),IF(AND(B88="New Construction",'Lighting Inventory'!E88="Interior", $F$5="Building Area"),VLOOKUP(F88,'Lookup Tables'!$A$6:$J$59,10,FALSE),""))), "")</f>
        <v/>
      </c>
      <c r="R88" s="270" t="str">
        <f>IFERROR(IF(P88="Contact Prog. Rep.", "ERROR", IF(OR(B88="",B88="Retrofit"),"",IF(N88="Automated teller machines", ('Lookup Tables'!$A$82:$E$100+('Lighting Inventory'!O88-1)*'Lookup Tables'!$A$82:$E$100)/1000, (Q88*O88)/1000))), "")</f>
        <v/>
      </c>
      <c r="S88" s="595"/>
      <c r="T88" s="105" t="str">
        <f t="shared" si="349"/>
        <v/>
      </c>
      <c r="U88" s="105" t="str">
        <f>IF(S88="","",COUNT($S$11:S88))</f>
        <v/>
      </c>
      <c r="V88" s="111"/>
      <c r="W88" s="112"/>
      <c r="X88" s="105" t="str">
        <f t="shared" si="350"/>
        <v/>
      </c>
      <c r="Y88" s="105" t="str">
        <f t="array" ref="Y88">IF(AND(OR(W88="Freezer Case Lighting", W88="Refrigerated Case Lighting with Doors"), 'General Information'!$X$18="LCI"),'Lookup Tables'!$Y$34, IF(V88="Custom", VLOOKUP(W88, 'Fixture Identities'!$A$974:$M$1023, 13, FALSE), IF(V88="No Change",'Lookup Tables'!$Y$29,IF(OR(V88="",W88=""),"",IF(AND(S88=0,S88&lt;I88,B88="Retrofit"),'Lookup Tables'!$Y$25, IF(B88="Retrofit", INDEX('Lookup Tables'!$AH$6:$AP$102, MATCH(1, ('Lookup Tables'!$AH$6:$AH$102=V88)*('Lookup Tables'!$AI$6:$AI$102=W88), 0), IF('Lighting Inventory'!E88="Interior", 4, 5)), INDEX('Lookup Tables'!$AH$114:$AP$154, MATCH(1, ('Lookup Tables'!$AH$114:$AH$154=V88)*('Lookup Tables'!$AI$114:$AI$154=W88), 0), IF('Lighting Inventory'!E88="Interior", 4, 5))))))))</f>
        <v/>
      </c>
      <c r="Z88" s="105" t="str">
        <f>IFERROR(INDEX('Lookup Tables'!$AH$158:$AH$172,MATCH('Lighting Inventory'!Y88,'Lookup Tables'!$AI$158:$AI$172,0)),"")</f>
        <v/>
      </c>
      <c r="AA88" s="105" t="str">
        <f>IF(AP88&gt;0,INDEX('Lookup Tables'!$AK$158:$AK$172,MATCH('Lighting Inventory'!Y88,'Lookup Tables'!$AI$158:$AI$172,0)),'Lighting Inventory'!Y88)</f>
        <v/>
      </c>
      <c r="AB88" s="105" t="str">
        <f t="array" ref="AB88">IF(V88="Custom", "Custom", IF(V88="", "", IF(V88="Not DLC or Energy Star", "General", IF(B88="New Construction", INDEX('Lookup Tables'!$AH$114:$AP$154,MATCH(1,('Lookup Tables'!$AH$114:$AH$154='Lighting Inventory'!V88)*('Lookup Tables'!$AI$114:$AI$154='Lighting Inventory'!W88),FALSE),8), INDEX('Lookup Tables'!$AH$6:$AP$102,MATCH(1,('Lookup Tables'!$AH$6:$AH$102='Lighting Inventory'!V88)*('Lookup Tables'!$AI$6:$AI$102='Lighting Inventory'!W88),FALSE),8)))))</f>
        <v/>
      </c>
      <c r="AC88" s="272" t="str">
        <f>IF(W88="","",IF(V88="Custom",CONCATENATE("$",'Lookup Tables'!$AM$101," ",'Lookup Tables'!$AN$101),CONCATENATE("$",INDEX('Lookup Tables'!$AM$6:$AM$102,MATCH('Lighting Inventory'!W88,'Lookup Tables'!$AI$6:$AI$102,0))," ",INDEX('Lookup Tables'!$AN$6:$AN$102,MATCH('Lighting Inventory'!W88,'Lookup Tables'!$AI$6:$AI$102,0)))))</f>
        <v/>
      </c>
      <c r="AD88" s="72"/>
      <c r="AE88" s="29"/>
      <c r="AF88" s="379"/>
      <c r="AG88" s="370" t="str">
        <f t="shared" si="298"/>
        <v/>
      </c>
      <c r="AH88" s="370" t="str">
        <f t="shared" si="351"/>
        <v/>
      </c>
      <c r="AI88" s="29"/>
      <c r="AJ88" s="29"/>
      <c r="AK88" s="110"/>
      <c r="AL88" s="375" t="str">
        <f>IF(OR(B88="", V88="", W88=""), "", IF(V88="No Change", K88, IF(V88="Remove Fixture", 0, IF(V88="Custom",VLOOKUP(W88,'Fixture Identities'!$A$6:$K$1023,10,FALSE),IF(AE88="", "← ENTER POST WATTS", 'Lighting Inventory'!AE88)))))</f>
        <v/>
      </c>
      <c r="AM88" s="376" t="str">
        <f t="shared" si="299"/>
        <v/>
      </c>
      <c r="AN88" s="29"/>
      <c r="AO88" s="671"/>
      <c r="AP88" s="29"/>
      <c r="AQ88" s="29"/>
      <c r="AR88" s="29"/>
      <c r="AS88" s="272" t="str">
        <f t="shared" si="352"/>
        <v/>
      </c>
      <c r="AT88" s="270" t="str">
        <f t="shared" si="300"/>
        <v/>
      </c>
      <c r="AU88" s="88" t="str">
        <f t="shared" si="400"/>
        <v/>
      </c>
      <c r="AV88" s="29"/>
      <c r="AW88" s="73"/>
      <c r="AX88" s="271" t="str">
        <f>IF(AND(AV88="Applicant",OR(AW88="", AW88="Use Default Facility Hours")),"← Choose Schedule",IF(F88="","",IF(W88="LED Exit Signs",8760,IF(OR(AV88="Prescribed",AV88=""),VLOOKUP(F88,'Lookup Tables'!$A$6:$G$59,IF(AB88="General", 6, 3),FALSE),VLOOKUP(AW88,'Lookup Tables'!$S$36:$U$43,2,FALSE)))))</f>
        <v/>
      </c>
      <c r="AY88" s="88" t="str">
        <f t="shared" si="301"/>
        <v/>
      </c>
      <c r="AZ88" s="270" t="str">
        <f>IFERROR(IF(F88="", "", IF(W88="LED Exit Signs", 1, IF(AV88="Applicant",VLOOKUP(AW88, 'Lookup Tables'!$S$36:$U$43,3, FALSE), VLOOKUP('Lighting Inventory'!F88, 'Lookup Tables'!$A$6:$H$59, IF('Lighting Inventory'!AB88="General",7,4), FALSE)))), "")</f>
        <v/>
      </c>
      <c r="BA88" s="522" t="str">
        <f>IFERROR(IF(F88="", "", IF(W88="LED Exit Signs", 1, VLOOKUP('Lighting Inventory'!F88, 'Lookup Tables'!$A$6:$H$59, IF('Lighting Inventory'!AB88="General",8,5), FALSE))), "")</f>
        <v/>
      </c>
      <c r="BB88" s="270" t="str">
        <f>IF(G88="", "", IF(E88="Exterior", 0, IF('Lighting Inventory'!G88="Air Conditioned", VLOOKUP(H88, 'Lookup Tables'!$R$6:$T$13, 2, FALSE), VLOOKUP('Lighting Inventory'!G88, 'Lookup Tables'!$R$6:$T$13, 2, FALSE))))</f>
        <v/>
      </c>
      <c r="BC88" s="522" t="str">
        <f>IF(G88="", "", IF(E88="Exterior", 0, IF('Lighting Inventory'!G88="Air Conditioned", VLOOKUP(H88, 'Lookup Tables'!$R$6:$T$13, 3, FALSE), VLOOKUP('Lighting Inventory'!G88, 'Lookup Tables'!$R$6:$T$13, 3, FALSE))))</f>
        <v/>
      </c>
      <c r="BD88" s="270" t="str">
        <f>IF(G88="", "", IF(E88="Exterior", 0, IF('Lighting Inventory'!G88="Air Conditioned", VLOOKUP(H88, 'Lookup Tables'!$R$6:$U$13, 4, FALSE), VLOOKUP('Lighting Inventory'!G88, 'Lookup Tables'!$R$6:$U$13, 4, FALSE))))</f>
        <v/>
      </c>
      <c r="BE88" s="270" t="str">
        <f>IFERROR(IF(B88="", "",  IF(B88="New Construction", VLOOKUP(F88, 'Lookup Tables'!$A$6:$K$59, 11, FALSE),IF(OR(AN88="", AN88="Light Switch"), 0, IF(OR(M88="",M88="None",V88= "LED Exit Signs"),0,_xlfn.XLOOKUP(M88,'Lookup Tables'!$R$91:$R$101,'Lookup Tables'!$V$91:$V$101))))), "")</f>
        <v/>
      </c>
      <c r="BF88" s="270" t="str">
        <f>IF(AND(OR(AN88="Light Switch",AN88=""),B88="New Construction"), VLOOKUP(F88, 'Lookup Tables'!$A$6:$K$59, 11, FALSE),IF(AN88="","",IF(B88="","",IF(OR(AN88="None",AN88="",V88="LED Exit Signs",AN88="Exterior Controls Not Eligible"),0,_xlfn.XLOOKUP(AN88,'Lookup Tables'!$R$91:$R$101,'Lookup Tables'!$V$91:$V$101)))))</f>
        <v/>
      </c>
      <c r="BG88" s="88" t="str">
        <f t="shared" si="353"/>
        <v/>
      </c>
      <c r="BH88" s="88" t="str">
        <f t="shared" si="354"/>
        <v/>
      </c>
      <c r="BI88" s="558" t="str">
        <f t="shared" si="398"/>
        <v/>
      </c>
      <c r="BJ88" s="82" t="str">
        <f t="shared" si="355"/>
        <v/>
      </c>
      <c r="BK88" s="82" t="str">
        <f t="shared" si="356"/>
        <v/>
      </c>
      <c r="BL88" s="559" t="str">
        <f t="shared" si="357"/>
        <v/>
      </c>
      <c r="BM88" s="521" t="str">
        <f t="shared" si="302"/>
        <v/>
      </c>
      <c r="BN88" s="521" t="str">
        <f t="shared" si="303"/>
        <v/>
      </c>
      <c r="BO88" s="522" t="str">
        <f t="shared" si="304"/>
        <v/>
      </c>
      <c r="BP88" s="83" t="str">
        <f t="shared" si="358"/>
        <v/>
      </c>
      <c r="BQ88" s="84" t="str">
        <f t="shared" si="359"/>
        <v/>
      </c>
      <c r="BR88" s="184" t="str">
        <f>IFERROR(IF(B88="", "", IF(OR(VLOOKUP(J88, 'Fixture Identities'!$A$6:$L$1023, 3, FALSE)="T12 Linear Fluorescent",VLOOKUP(J88, 'Fixture Identities'!$A$6:$L$1023, 3, FALSE)="T12 U-Tube Fluorescent"), "Y", "N")), "N")</f>
        <v/>
      </c>
      <c r="BS88" s="184" t="str">
        <f t="array" ref="BS88">IFERROR(IF(OR(B88="", V88="", W88=""), "", IF(V88="Custom", "N", IF(OR(W88="Freezer Case Lighting", W88="Refrigerated Case Lighting with Doors"), BT88, IF(B88="Retrofit", INDEX('Lookup Tables'!$AH$6:$AT$102,MATCH(1,('Lookup Tables'!$AH$6:$AH$102=V88)*('Lookup Tables'!$AI$6:$AI$102=W88),FALSE),IF(VLOOKUP(J88, 'Fixture Identities'!$A$6:$B$1023, 2, FALSE)="Incandescent",12, 13)), INDEX('Lookup Tables'!$AH$114:$AS$154,MATCH(1,('Lookup Tables'!$AH$114:$AH$154=V88)*('Lookup Tables'!$AI$114:$AI$154=W88),FALSE),12))))), "N")</f>
        <v/>
      </c>
      <c r="BT88" s="184" t="str">
        <f>IF(J88="", "", IF(AND(OR(W88="Freezer case Lighting", W88="Refrigerated Case Lighting with Doors"),'General Information'!$X$18="LCI"), "N", IF(OR(VLOOKUP(J88, 'Fixture Identities'!$A$6:$B$1023, 2, FALSE)="T12 EPACT/EISA Baseline", VLOOKUP(J88, 'Fixture Identities'!$A$6:$B$1023, 2, FALSE)="Linear Fluorescent", VLOOKUP(J88, 'Fixture Identities'!$A$6:$B$1023, 2, FALSE)="U-Tube Fluorescent"), "Y", "N")))</f>
        <v/>
      </c>
      <c r="BU88" s="184" t="str">
        <f>IFERROR(IF(B88="", "", IF(VLOOKUP(J88, 'Fixture Identities'!$A$6:$B$1023, 2, FALSE)="Exit Sign", "Y", "N")), "N")</f>
        <v/>
      </c>
      <c r="BV88" s="184" t="str">
        <f>IF(V88="Exit Signs", IF(VLOOKUP(J88, 'Fixture Identities'!$A$6:$B$1023, 2, FALSE)="Exit Sign", "N", "Y"), "")</f>
        <v/>
      </c>
      <c r="BW88" s="184" t="str">
        <f t="array" ref="BW88">IFERROR(IF(B88="", "", IF(B88="New Construction", "N", INDEX('Lookup Tables'!$AH$6:$AU$102, MATCH(1, ('Lookup Tables'!$AH$6:$AH$102='Lighting Inventory'!V88)*('Lookup Tables'!$AI$6:$AI$102='Lighting Inventory'!W88), 0), 14))), "N")</f>
        <v/>
      </c>
      <c r="BX88" s="598" t="str">
        <f t="shared" si="360"/>
        <v/>
      </c>
      <c r="BY88" s="598" t="str">
        <f t="shared" si="361"/>
        <v/>
      </c>
      <c r="BZ88" s="598" t="str">
        <f t="shared" si="362"/>
        <v/>
      </c>
      <c r="CA88" s="598" t="str">
        <f t="shared" si="363"/>
        <v/>
      </c>
      <c r="CB88" s="269" t="str">
        <f t="shared" si="364"/>
        <v/>
      </c>
      <c r="CC88" s="517" t="str">
        <f t="shared" si="365"/>
        <v/>
      </c>
      <c r="CD88" s="565" t="str">
        <f t="shared" si="305"/>
        <v/>
      </c>
      <c r="CE88" s="368">
        <v>0</v>
      </c>
      <c r="CF88" s="368" t="str" cm="1">
        <f t="array" ref="CF88">IFERROR(IF(V88="Custom", "$0.1 per kWh", IF(B88="New Construction", CONCATENATE("$",INDEX('Lookup Tables'!$AH$114:$AN$154,MATCH(1,('Lookup Tables'!$AH$114:$AH$154='Lighting Inventory'!V88)*('Lookup Tables'!$AI$114:$AI$154='Lighting Inventory'!W88),FALSE),6)," ",INDEX('Lookup Tables'!$AH$114:$AN$154,MATCH(1,('Lookup Tables'!$AH$114:$AH$154='Lighting Inventory'!V88)*('Lookup Tables'!$AI$114:$AI$154='Lighting Inventory'!W88),FALSE),7)), IF(AND(BU88="N", V88="Exit Signs"), "$0.025 per kWh", CONCATENATE("$",INDEX('Lookup Tables'!$AH$6:$AN$102,MATCH(1,('Lookup Tables'!$AH$6:$AH$102='Lighting Inventory'!V88)*('Lookup Tables'!$AI$6:$AI$102='Lighting Inventory'!W88),FALSE),6)," ",INDEX('Lookup Tables'!$AH$6:$AN$102,MATCH(1,('Lookup Tables'!$AH$6:$AH$102='Lighting Inventory'!V88)*('Lookup Tables'!$AI$6:$AI$102='Lighting Inventory'!W88),FALSE),7))))), "")</f>
        <v/>
      </c>
      <c r="CG88" s="366"/>
      <c r="CH88" s="248" t="str">
        <f t="shared" si="306"/>
        <v/>
      </c>
      <c r="CI88" s="248" t="str">
        <f t="shared" si="307"/>
        <v>Select_IE</v>
      </c>
      <c r="CJ88" s="248" t="str">
        <f t="shared" si="308"/>
        <v/>
      </c>
      <c r="CK88" s="248" t="str">
        <f t="shared" si="309"/>
        <v/>
      </c>
      <c r="CL88" s="248" t="str">
        <f t="shared" si="310"/>
        <v/>
      </c>
      <c r="CM88" s="248" t="str">
        <f>IFERROR(IF(B88="", "", IF(B88="New Construction", VLOOKUP(V88, 'Lookup Tables'!$AF$114:$AG$120, 2, FALSE), VLOOKUP(V88, 'Lookup Tables'!$AD$6:$AE$25, 2, FALSE))), "")</f>
        <v/>
      </c>
      <c r="CN88" s="248" t="str">
        <f t="shared" si="311"/>
        <v/>
      </c>
      <c r="CO88" s="248" t="str">
        <f t="shared" si="312"/>
        <v/>
      </c>
      <c r="CP88" s="592" t="str">
        <f t="shared" si="313"/>
        <v/>
      </c>
      <c r="CQ88" s="248" t="str">
        <f t="shared" si="366"/>
        <v/>
      </c>
      <c r="CR88" s="100"/>
      <c r="CS88" s="250" t="str">
        <f t="shared" si="314"/>
        <v/>
      </c>
      <c r="CT88" s="250" t="str">
        <f t="shared" si="367"/>
        <v/>
      </c>
      <c r="CU88" s="250" t="str">
        <f t="shared" si="368"/>
        <v/>
      </c>
      <c r="CV88" s="250" t="str">
        <f t="shared" si="369"/>
        <v/>
      </c>
      <c r="CW88" s="250" t="str">
        <f t="shared" si="370"/>
        <v/>
      </c>
      <c r="CX88" s="250" t="str">
        <f t="shared" si="315"/>
        <v/>
      </c>
      <c r="CY88" s="250" t="str">
        <f t="shared" si="316"/>
        <v/>
      </c>
      <c r="CZ88" s="250" t="str">
        <f t="shared" si="317"/>
        <v/>
      </c>
      <c r="DA88" s="250" t="str">
        <f t="shared" si="318"/>
        <v/>
      </c>
      <c r="DB88" s="250" t="str">
        <f t="shared" si="319"/>
        <v/>
      </c>
      <c r="DC88" s="250" t="str">
        <f t="shared" si="320"/>
        <v/>
      </c>
      <c r="DD88" s="250" t="str">
        <f t="shared" si="321"/>
        <v/>
      </c>
      <c r="DE88" s="250" t="str">
        <f t="shared" si="322"/>
        <v/>
      </c>
      <c r="DF88" s="250" t="str">
        <f t="shared" si="323"/>
        <v/>
      </c>
      <c r="DG88" s="250" t="str">
        <f t="shared" si="324"/>
        <v/>
      </c>
      <c r="DH88" s="250" t="str">
        <f t="shared" si="325"/>
        <v/>
      </c>
      <c r="DI88" s="250" t="str">
        <f t="shared" si="326"/>
        <v/>
      </c>
      <c r="DJ88" s="250" t="str">
        <f t="shared" si="327"/>
        <v/>
      </c>
      <c r="DK88" s="250" t="str">
        <f t="shared" si="328"/>
        <v/>
      </c>
      <c r="DL88" s="250" t="str">
        <f t="shared" si="329"/>
        <v/>
      </c>
      <c r="DM88" s="250" t="str">
        <f>IF(CD88="ERROR", "ERROR", IF(AND(OR(Y88=$DM$6, Y88='Lookup Tables'!$AD$21, Y88='Lookup Tables'!$AD$22), E88="Interior"), BJ88, ""))</f>
        <v/>
      </c>
      <c r="DN88" s="250" t="str">
        <f>IF(CD88="ERROR", "ERROR", IF(AND(OR(Y88=$DM$6, Y88='Lookup Tables'!$AD$21, Y88='Lookup Tables'!$AD$22), E88="Exterior"), BJ88, ""))</f>
        <v/>
      </c>
      <c r="DO88" s="100"/>
      <c r="DP88" s="250" t="str">
        <f t="shared" si="330"/>
        <v/>
      </c>
      <c r="DQ88" s="250" t="str">
        <f t="shared" si="371"/>
        <v/>
      </c>
      <c r="DR88" s="250" t="str">
        <f t="shared" si="372"/>
        <v/>
      </c>
      <c r="DS88" s="250" t="str">
        <f t="shared" si="373"/>
        <v/>
      </c>
      <c r="DT88" s="250" t="str">
        <f t="shared" si="374"/>
        <v/>
      </c>
      <c r="DU88" s="250" t="str">
        <f t="shared" si="331"/>
        <v/>
      </c>
      <c r="DV88" s="250" t="str">
        <f t="shared" si="332"/>
        <v/>
      </c>
      <c r="DW88" s="250" t="str">
        <f t="shared" si="333"/>
        <v/>
      </c>
      <c r="DX88" s="250" t="str">
        <f t="shared" si="334"/>
        <v/>
      </c>
      <c r="DY88" s="250" t="str">
        <f t="shared" si="335"/>
        <v/>
      </c>
      <c r="DZ88" s="250" t="str">
        <f t="shared" si="336"/>
        <v/>
      </c>
      <c r="EA88" s="250" t="str">
        <f t="shared" si="337"/>
        <v/>
      </c>
      <c r="EB88" s="250" t="str">
        <f t="shared" si="375"/>
        <v/>
      </c>
      <c r="EC88" s="250" t="str">
        <f t="shared" si="338"/>
        <v/>
      </c>
      <c r="ED88" s="250" t="str">
        <f t="shared" si="339"/>
        <v/>
      </c>
      <c r="EE88" s="250" t="str">
        <f t="shared" si="340"/>
        <v/>
      </c>
      <c r="EF88" s="250" t="str">
        <f t="shared" si="341"/>
        <v/>
      </c>
      <c r="EG88" s="250" t="str">
        <f t="shared" si="342"/>
        <v/>
      </c>
      <c r="EH88" s="250" t="str">
        <f>IF(CD88="ERROR", "ERROR", IF(AND(OR($EH$6=Y88, Y88='Lookup Tables'!$AD$21, Y88='Lookup Tables'!$AD$22),E88="Interior"), SUM(BP88:BP88), ""))</f>
        <v/>
      </c>
      <c r="EI88" s="250" t="str">
        <f>IF(CD88="ERROR", "ERROR", IF(AND(OR($EH$6=Y88, Y88='Lookup Tables'!$AD$21, Y88='Lookup Tables'!$AD$22),E88="Exterior"), SUM(BP88:BP88), ""))</f>
        <v/>
      </c>
      <c r="EJ88" s="109"/>
      <c r="EK88" s="485" t="str">
        <f t="shared" si="343"/>
        <v/>
      </c>
      <c r="EL88" s="252" t="str">
        <f t="shared" si="376"/>
        <v/>
      </c>
      <c r="EM88" s="252" t="str">
        <f t="shared" si="377"/>
        <v/>
      </c>
      <c r="EN88" s="252" t="str">
        <f t="shared" si="378"/>
        <v/>
      </c>
      <c r="EO88" s="252" t="str">
        <f t="shared" si="379"/>
        <v/>
      </c>
      <c r="EP88" s="252" t="str">
        <f t="shared" si="380"/>
        <v/>
      </c>
      <c r="EQ88" s="252" t="str">
        <f t="shared" si="381"/>
        <v/>
      </c>
      <c r="ER88" s="252" t="str">
        <f t="shared" si="382"/>
        <v/>
      </c>
      <c r="ES88" s="252" t="str">
        <f t="shared" si="383"/>
        <v/>
      </c>
      <c r="ET88" s="252" t="str">
        <f t="shared" si="384"/>
        <v/>
      </c>
      <c r="EU88" s="252" t="str">
        <f t="shared" si="385"/>
        <v/>
      </c>
      <c r="EV88" s="252" t="str">
        <f t="shared" si="386"/>
        <v/>
      </c>
      <c r="EW88" s="252" t="str">
        <f t="shared" si="387"/>
        <v/>
      </c>
      <c r="EX88" s="252" t="str">
        <f t="shared" si="388"/>
        <v/>
      </c>
      <c r="EY88" s="252" t="str">
        <f t="shared" si="389"/>
        <v/>
      </c>
      <c r="EZ88" s="252" t="str">
        <f t="shared" si="390"/>
        <v/>
      </c>
      <c r="FA88" s="252" t="str">
        <f t="shared" si="391"/>
        <v/>
      </c>
      <c r="FB88" s="252" t="str">
        <f t="shared" si="392"/>
        <v/>
      </c>
      <c r="FC88" s="252" t="str">
        <f>IF(CD88="ERROR", "ERROR", IF(OR(V88="No Change", V88="Not DLC or Energy Star"), "", IF(AND(OR($FC$6=Y88,Y88='Lookup Tables'!$AD$21, Y88='Lookup Tables'!$AD$22),E88="Interior"), S88, "")))</f>
        <v/>
      </c>
      <c r="FD88" s="252" t="str">
        <f t="shared" si="393"/>
        <v/>
      </c>
      <c r="FE88" s="101"/>
      <c r="FF88" s="579" t="str" cm="1">
        <f t="array" ref="FF88">IFERROR(IF(OR(BQ88&lt;=0,AQ88&lt;20,AND(V88="Exit Signs",AN88&gt;0)),"",IF(AND(AQ88&gt;=20,AN88='Lookup Tables'!$R$101),'Lookup Tables'!$U$101*BQ88,AP88*LOOKUP(2,1/((AN88='Lookup Tables'!$R$91:$R$111)*(AQ88&gt;='Lookup Tables'!$S$91:$S$111)*(AQ88&lt;='Lookup Tables'!$T$91:$T$111)),'Lookup Tables'!$U$91:$U$111))),"")</f>
        <v/>
      </c>
      <c r="FG88" s="579"/>
      <c r="FH88" s="579"/>
      <c r="FI88" s="253" t="str">
        <f>IFERROR(ROUND(IF(CD88="ERROR", "ERROR", IF(AND($FI$7=X88,E88="Interior"),VLOOKUP(W88, 'Lookup Tables'!$AI$6:$AM$102, 5, FALSE)*BP88, "")), 2), "")</f>
        <v/>
      </c>
      <c r="FJ88" s="253" t="str">
        <f>IFERROR(ROUND(IF(CD88="ERROR", "ERROR", IF(AND($FI$7=X88,E88="Exterior"),VLOOKUP(W88, 'Lookup Tables'!$AI$6:$AM$102, 5, FALSE)*BP88, "")), 2), "")</f>
        <v/>
      </c>
      <c r="FK88" s="253" t="str">
        <f>IFERROR(ROUND(IF(CD88="ERROR", "ERROR", IF(AND($FK$7=X88,E88="Interior"),VLOOKUP(W88, 'Lookup Tables'!$AI$6:$AM$102, 5, FALSE)*BP88, "")), 2), "")</f>
        <v/>
      </c>
      <c r="FL88" s="253" t="str">
        <f>IFERROR(ROUND(IF(CD88="ERROR", "ERROR", IF(AND($FK$7=X88,E88="Exterior"),VLOOKUP(W88, 'Lookup Tables'!$AI$6:$AM$102, 5, FALSE)*BP88, "")), 2), "")</f>
        <v/>
      </c>
      <c r="FM88" s="253" t="str">
        <f>IFERROR(ROUND(IF(CD88="ERROR", "ERROR", IF(AND($FM$6=Y88,E88="Interior"), IF(GB88=0, VLOOKUP(W88, 'Lookup Tables'!$AI$6:$AM$102, 5, FALSE)*BP88, IF(VLOOKUP(W88, 'Lookup Tables'!$AI$6:$AM$102, 5, FALSE)*BP88&gt;GB88*'Lighting Inventory'!S88, GB88*'Lighting Inventory'!S88,VLOOKUP(W88, 'Lookup Tables'!$AI$6:$AM$102, 5, FALSE)*BP88)), "")), 2), "")</f>
        <v/>
      </c>
      <c r="FN88" s="253" t="str">
        <f>IFERROR(ROUND(IF(CD88="ERROR", "ERROR", IF(AND($FM$6=Y88,E88="Exterior"), IF(GB88=0, VLOOKUP(W88, 'Lookup Tables'!$AI$6:$AM$102, 5, FALSE)*BP88, IF(VLOOKUP(W88, 'Lookup Tables'!$AI$6:$AM$102, 5, FALSE)*BP88&gt;GB88*'Lighting Inventory'!S88, GB88*'Lighting Inventory'!S88,VLOOKUP(W88, 'Lookup Tables'!$AI$6:$AM$102, 5, FALSE)*BP88)), "")), 2), "")</f>
        <v/>
      </c>
      <c r="FO88" s="253" t="str">
        <f>IFERROR(ROUND(IF(CD88="ERROR", "ERROR", IF(AND($FO$6=Y88,E88="Interior"),VLOOKUP(W88, 'Lookup Tables'!$AI$6:$AM$102, 5, FALSE)*'Lighting Inventory'!AI88, "")), 2), "")</f>
        <v/>
      </c>
      <c r="FP88" s="253" t="str">
        <f>IFERROR(ROUND(IF(CD88="ERROR", "ERROR", IF(AND($FO$6=Y88,E88="Exterior"),VLOOKUP(W88, 'Lookup Tables'!$AI$6:$AM$102, 5, FALSE)*'Lighting Inventory'!AI88, "")), 2), "")</f>
        <v/>
      </c>
      <c r="FQ88" s="253" t="str">
        <f>IFERROR(ROUND(IF(CD88="ERROR", "ERROR", IF(AND($FQ$6=Y88,E88="Interior", BU88="Y"), VLOOKUP('Lighting Inventory'!W88, 'Lookup Tables'!$AI$6:$AM$102, 5, FALSE)*'Lighting Inventory'!S88, IF(AND($FQ$7=Y88,E88="Interior", BU88="N"), 0.025*CD88, ""))), 2), "")</f>
        <v/>
      </c>
      <c r="FR88" s="253" t="str">
        <f>IFERROR(ROUND(IF(CD88="ERROR", "ERROR", IF(AND($FQ$6=Y88,E88="Exterior"), VLOOKUP('Lighting Inventory'!W88, 'Lookup Tables'!$AI$6:$AM$102, 5, FALSE)*'Lighting Inventory'!S88, "")), 2), "")</f>
        <v/>
      </c>
      <c r="FS88" s="253" t="str">
        <f>IFERROR(ROUND(IF(CD88="ERROR", "ERROR", IF(AND($FS$6=Y88,E88="Exterior"), IF(GB88=0, VLOOKUP(W88, 'Lookup Tables'!$AI$6:$AM$102, 5, FALSE)*BP88, IF(VLOOKUP(W88, 'Lookup Tables'!$AI$6:$AM$102, 5, FALSE)*BP88&gt;GB88*'Lighting Inventory'!S88, GB88*'Lighting Inventory'!S88,VLOOKUP(W88, 'Lookup Tables'!$AI$6:$AM$102, 5, FALSE)*BP88)), "")), 2), "")</f>
        <v/>
      </c>
      <c r="FT88" s="253" t="str">
        <f>IFERROR(ROUND(IF(CD88="ERROR", "ERROR", IF(AND($FT$6=Y88,E88="Interior"), IF(GB88=0, VLOOKUP(W88, 'Lookup Tables'!$AI$6:$AM$102, 5, FALSE)*BP88, IF(VLOOKUP(W88, 'Lookup Tables'!$AI$6:$AM$102, 5, FALSE)*BP88&gt;GB88*'Lighting Inventory'!S88, GB88*'Lighting Inventory'!S88,VLOOKUP(W88, 'Lookup Tables'!$AI$6:$AM$102, 5, FALSE)*BP88)), "")), 2), "")</f>
        <v/>
      </c>
      <c r="FU88" s="253" t="str">
        <f>IFERROR(ROUND(IF(CD88="ERROR", "ERROR", IF(AND(Y88=$FU$6, E88="Interior"), IF(BS88="N", 'Lookup Tables'!$AM$101*BP88, VLOOKUP(W88, 'Lookup Tables'!$AI$6:$AM$102, 5, FALSE)*S88*AD88), "")), 2), "")</f>
        <v/>
      </c>
      <c r="FV88" s="253" t="str">
        <f>IFERROR(ROUND(IF(CD88="ERROR", "ERROR", IF(AND(Y88=$FU$6, E88="Exterior"), IF(BS88="N", 'Lookup Tables'!$AM$101*BP88, VLOOKUP(W88, 'Lookup Tables'!$AI$6:$AM$102, 5, FALSE)*S88*AD88), "")), 2), "")</f>
        <v/>
      </c>
      <c r="FW88" s="253" t="str">
        <f>IFERROR(ROUND(IF(CD88="ERROR", "ERROR", IF($FW$6=Y88, IF(BS88="N", 'Lookup Tables'!$AM$101*BP88, MIN((VLOOKUP(W88, 'Lookup Tables'!$AI$6:$AM$102, 5, FALSE)*BP88),GB88*AJ88)), "")), 2), "")</f>
        <v/>
      </c>
      <c r="FX88" s="253" t="str">
        <f>IFERROR(ROUND(IF(CD88="ERROR", "ERROR", IF(AND($FX$6=Y88, E88="Interior"), IF(VLOOKUP(W88, 'Lookup Tables'!$AI$6:$AM$102, 5, FALSE)*BP88&gt;'Lookup Tables'!$AQ$97*'Lighting Inventory'!S88,'Lighting Inventory'!S88*'Lookup Tables'!$AQ$97,VLOOKUP(W88, 'Lookup Tables'!$AI$6:$AM$102, 5, FALSE)*BP88), "")), 2), "")</f>
        <v/>
      </c>
      <c r="FY88" s="253" t="str">
        <f>IFERROR(ROUND(IF(CD88="ERROR", "ERROR", IF(AND($FX$6=Y88, E88="Exterior"), IF(VLOOKUP(W88, 'Lookup Tables'!$AI$6:$AM$102, 5, FALSE)*BP88&gt;'Lookup Tables'!$AQ$97*'Lighting Inventory'!S88,'Lighting Inventory'!S88*'Lookup Tables'!$AQ$97,VLOOKUP(W88, 'Lookup Tables'!$AI$6:$AM$102, 5, FALSE)*BP88), "")), 2), "")</f>
        <v/>
      </c>
      <c r="FZ88" s="253" t="str">
        <f>IFERROR(ROUND(IF(CD88="ERROR", "ERROR", IF(AND($FZ$6=Y88, E88="Interior"), IF(AND(OR(W88="Refrigerated Case Lighting with Doors", W88="Freezer Case Lighting"),Y88="Custom - Process Improvement"),CD88*'Lookup Tables'!$AM$101, IF(B88="Retrofit", IF(VLOOKUP(IF(V88="Custom", V88, W88), 'Lookup Tables'!$AI$6:$AM$102, 5, FALSE)*BP88&gt;GE88, GE88, VLOOKUP(IF(V88="Custom", V88, W88), 'Lookup Tables'!$AI$6:$AM$102, 5, FALSE)*BP88), IF(VLOOKUP(IF(V88="Custom", V88, W88), 'Lookup Tables'!$AI$114:$AM$154, 5, FALSE)*BP88&gt;GE88, GE88, VLOOKUP(IF(V88="Custom", V88, W88), 'Lookup Tables'!$AI$114:$AM$154, 5, FALSE)*BP88))), "")), 2),"")</f>
        <v/>
      </c>
      <c r="GA88" s="253" t="str">
        <f>IFERROR(ROUND(IF(CD88="ERROR", "ERROR", IF(AND($FZ$6=Y88, E88="Exterior"), IF(B88="Retrofit", IF(VLOOKUP(IF(V88="Custom", V88, W88), 'Lookup Tables'!$AI$6:$AM$102, 5, FALSE)*BP88&gt;GE88, GE88, VLOOKUP(IF(V88="Custom", V88, W88), 'Lookup Tables'!$AI$6:$AM$102, 5, FALSE)*BP88), IF(VLOOKUP(IF(V88="Custom", V88, W88), 'Lookup Tables'!$AI$114:$AM$154, 5, FALSE)*BP88&gt;GE88, GE88, VLOOKUP(IF(V88="Custom", V88, W88), 'Lookup Tables'!$AI$114:$AM$154, 5, FALSE)*BP88)), "")), 2),"")</f>
        <v/>
      </c>
      <c r="GB88" s="254" t="str">
        <f t="array" ref="GB88">IF(B88="","",IF(OR(V88="Custom",V88="No Change"),0,IF(B88="Retrofit", INDEX('Lookup Tables'!$AH$6:$AQ$102,MATCH(1,('Lookup Tables'!$AH$6:$AH$102='Lighting Inventory'!V88)*('Lookup Tables'!$AI$6:$AI$102='Lighting Inventory'!W88),FALSE),10),INDEX('Lookup Tables'!$AH$114:$AQ$154,MATCH(1,('Lookup Tables'!$AH$114:$AH$154='Lighting Inventory'!V88)*('Lookup Tables'!$AI$114:$AI$154='Lighting Inventory'!W88),FALSE),10))))</f>
        <v/>
      </c>
      <c r="GC88" s="255" t="str">
        <f t="shared" si="344"/>
        <v/>
      </c>
      <c r="GD88" s="250" t="str">
        <f t="shared" si="345"/>
        <v/>
      </c>
      <c r="GE88" s="253" t="str">
        <f>IFERROR(IF(AND(AF88="", 'General Information'!$F$18="No"),"", IF(AF88="", ((GD88/$CD$266)*$CF$266)*0.5, AF88*S88*0.5)), "")</f>
        <v/>
      </c>
      <c r="GF88" s="255" t="str">
        <f>IF(AND('General Information'!$F$19="", 'General Information'!$F$18="Yes",AF88="",BW88="Y"), "Y", "N")</f>
        <v>N</v>
      </c>
      <c r="GG88" s="255" t="s">
        <v>2946</v>
      </c>
      <c r="GH88" s="255" t="str">
        <f>IFERROR(IF(B88="", "", VLOOKUP(J88, 'Fixture Identities'!$A$6:$N$908, 14, FALSE)), "")</f>
        <v/>
      </c>
      <c r="GI88" s="389" t="str">
        <f>IF(OR(B88="", V88="", W88=""), "", IF(AND(OR(M88='Lookup Tables'!$R$18, M88='Lookup Tables'!$R$19, M88='Lookup Tables'!$R$20, M88='Lookup Tables'!$R$21, M88='Lookup Tables'!$R$22), OR(AN88='Lookup Tables'!$R$17, AN88='Lookup Tables'!$R$17, AN88="")), "Y", "N"))</f>
        <v/>
      </c>
      <c r="GJ88" s="255" t="str">
        <f t="shared" si="346"/>
        <v/>
      </c>
      <c r="GK88" s="255" t="str">
        <f t="shared" si="347"/>
        <v/>
      </c>
      <c r="GL88" s="255" t="str">
        <f t="shared" si="348"/>
        <v/>
      </c>
      <c r="GM88" s="255" t="str">
        <f>IF(AN88="", "", IF(AND(IF(ISNA(VLOOKUP(AN88,'Lookup Tables'!$R$18:$R$22,1,FALSE)), "N", "Y")="Y", E88="Exterior"), "Y", "N"))</f>
        <v/>
      </c>
      <c r="GN88" s="395"/>
      <c r="GO88" s="428">
        <f t="shared" si="394"/>
        <v>0</v>
      </c>
      <c r="GP88" s="428">
        <f t="shared" si="397"/>
        <v>0</v>
      </c>
      <c r="GQ88" s="428">
        <f t="shared" si="395"/>
        <v>0</v>
      </c>
      <c r="GR88" s="428">
        <f t="shared" si="396"/>
        <v>0</v>
      </c>
    </row>
    <row r="89" spans="1:200" s="103" customFormat="1" ht="13.5" customHeight="1" x14ac:dyDescent="0.2">
      <c r="A89" s="272">
        <v>79</v>
      </c>
      <c r="B89" s="110"/>
      <c r="C89" s="110"/>
      <c r="D89" s="110"/>
      <c r="E89" s="110"/>
      <c r="F89" s="110"/>
      <c r="G89" s="110"/>
      <c r="H89" s="110"/>
      <c r="I89" s="29"/>
      <c r="J89" s="29"/>
      <c r="K89" s="272" t="str">
        <f>IFERROR(IF(OR(VLOOKUP(J89, 'Fixture Identities'!$A$6:$L$1023, 3, FALSE)="T12 Linear Fluorescent", VLOOKUP(J89, 'Fixture Identities'!$A$6:$L$1023, 3, FALSE)="T12 U-Tube Fluorescent"), VLOOKUP(VLOOKUP(J89, 'Fixture Identities'!$A$6:$L$1023, 11, FALSE), 'Fixture Identities'!$A$6:$L$1023, 10, FALSE), VLOOKUP(J89, 'Fixture Identities'!$A$6:$L$1023, 10, FALSE)), "")</f>
        <v/>
      </c>
      <c r="L89" s="270" t="str">
        <f t="shared" si="399"/>
        <v/>
      </c>
      <c r="M89" s="110"/>
      <c r="N89" s="110"/>
      <c r="O89" s="110"/>
      <c r="P89" s="272" t="str">
        <f>IFERROR(IF(OR(B89="Retrofit",B89=""),"",IF('Lighting Inventory'!E89="Exterior",VLOOKUP('Lighting Inventory'!N89,'Lookup Tables'!$B$83:$F$103,5,FALSE),IF(N89="Other - Please Estimate EFLH and CFs","Contact Prog. Rep.","ft^2"))), "")</f>
        <v/>
      </c>
      <c r="Q89" s="270" t="str">
        <f>IFERROR(IF(AND(B89="New Construction",E89="Interior",$F$5="Space-by-Space"),VLOOKUP('Lighting Inventory'!N89,'Lookup Tables'!$N$6:$O$97,2,FALSE),IF(AND(B89="New Construction",E89="Exterior"),VLOOKUP(N89,'Lookup Tables'!$B$83:$F$103,2,FALSE),IF(AND(B89="New Construction",'Lighting Inventory'!E89="Interior", $F$5="Building Area"),VLOOKUP(F89,'Lookup Tables'!$A$6:$J$59,10,FALSE),""))), "")</f>
        <v/>
      </c>
      <c r="R89" s="270" t="str">
        <f>IFERROR(IF(P89="Contact Prog. Rep.", "ERROR", IF(OR(B89="",B89="Retrofit"),"",IF(N89="Automated teller machines", ('Lookup Tables'!$A$82:$E$100+('Lighting Inventory'!O89-1)*'Lookup Tables'!$A$82:$E$100)/1000, (Q89*O89)/1000))), "")</f>
        <v/>
      </c>
      <c r="S89" s="595"/>
      <c r="T89" s="105" t="str">
        <f t="shared" si="349"/>
        <v/>
      </c>
      <c r="U89" s="105" t="str">
        <f>IF(S89="","",COUNT($S$11:S89))</f>
        <v/>
      </c>
      <c r="V89" s="111"/>
      <c r="W89" s="112"/>
      <c r="X89" s="105" t="str">
        <f t="shared" si="350"/>
        <v/>
      </c>
      <c r="Y89" s="105" t="str">
        <f t="array" ref="Y89">IF(AND(OR(W89="Freezer Case Lighting", W89="Refrigerated Case Lighting with Doors"), 'General Information'!$X$18="LCI"),'Lookup Tables'!$Y$34, IF(V89="Custom", VLOOKUP(W89, 'Fixture Identities'!$A$974:$M$1023, 13, FALSE), IF(V89="No Change",'Lookup Tables'!$Y$29,IF(OR(V89="",W89=""),"",IF(AND(S89=0,S89&lt;I89,B89="Retrofit"),'Lookup Tables'!$Y$25, IF(B89="Retrofit", INDEX('Lookup Tables'!$AH$6:$AP$102, MATCH(1, ('Lookup Tables'!$AH$6:$AH$102=V89)*('Lookup Tables'!$AI$6:$AI$102=W89), 0), IF('Lighting Inventory'!E89="Interior", 4, 5)), INDEX('Lookup Tables'!$AH$114:$AP$154, MATCH(1, ('Lookup Tables'!$AH$114:$AH$154=V89)*('Lookup Tables'!$AI$114:$AI$154=W89), 0), IF('Lighting Inventory'!E89="Interior", 4, 5))))))))</f>
        <v/>
      </c>
      <c r="Z89" s="105" t="str">
        <f>IFERROR(INDEX('Lookup Tables'!$AH$158:$AH$172,MATCH('Lighting Inventory'!Y89,'Lookup Tables'!$AI$158:$AI$172,0)),"")</f>
        <v/>
      </c>
      <c r="AA89" s="105" t="str">
        <f>IF(AP89&gt;0,INDEX('Lookup Tables'!$AK$158:$AK$172,MATCH('Lighting Inventory'!Y89,'Lookup Tables'!$AI$158:$AI$172,0)),'Lighting Inventory'!Y89)</f>
        <v/>
      </c>
      <c r="AB89" s="105" t="str">
        <f t="array" ref="AB89">IF(V89="Custom", "Custom", IF(V89="", "", IF(V89="Not DLC or Energy Star", "General", IF(B89="New Construction", INDEX('Lookup Tables'!$AH$114:$AP$154,MATCH(1,('Lookup Tables'!$AH$114:$AH$154='Lighting Inventory'!V89)*('Lookup Tables'!$AI$114:$AI$154='Lighting Inventory'!W89),FALSE),8), INDEX('Lookup Tables'!$AH$6:$AP$102,MATCH(1,('Lookup Tables'!$AH$6:$AH$102='Lighting Inventory'!V89)*('Lookup Tables'!$AI$6:$AI$102='Lighting Inventory'!W89),FALSE),8)))))</f>
        <v/>
      </c>
      <c r="AC89" s="272" t="str">
        <f>IF(W89="","",IF(V89="Custom",CONCATENATE("$",'Lookup Tables'!$AM$101," ",'Lookup Tables'!$AN$101),CONCATENATE("$",INDEX('Lookup Tables'!$AM$6:$AM$102,MATCH('Lighting Inventory'!W89,'Lookup Tables'!$AI$6:$AI$102,0))," ",INDEX('Lookup Tables'!$AN$6:$AN$102,MATCH('Lighting Inventory'!W89,'Lookup Tables'!$AI$6:$AI$102,0)))))</f>
        <v/>
      </c>
      <c r="AD89" s="72"/>
      <c r="AE89" s="29"/>
      <c r="AF89" s="379"/>
      <c r="AG89" s="370" t="str">
        <f t="shared" si="298"/>
        <v/>
      </c>
      <c r="AH89" s="370" t="str">
        <f t="shared" si="351"/>
        <v/>
      </c>
      <c r="AI89" s="29"/>
      <c r="AJ89" s="29"/>
      <c r="AK89" s="110"/>
      <c r="AL89" s="375" t="str">
        <f>IF(OR(B89="", V89="", W89=""), "", IF(V89="No Change", K89, IF(V89="Remove Fixture", 0, IF(V89="Custom",VLOOKUP(W89,'Fixture Identities'!$A$6:$K$1023,10,FALSE),IF(AE89="", "← ENTER POST WATTS", 'Lighting Inventory'!AE89)))))</f>
        <v/>
      </c>
      <c r="AM89" s="376" t="str">
        <f t="shared" si="299"/>
        <v/>
      </c>
      <c r="AN89" s="29"/>
      <c r="AO89" s="671"/>
      <c r="AP89" s="29"/>
      <c r="AQ89" s="29"/>
      <c r="AR89" s="29"/>
      <c r="AS89" s="272" t="str">
        <f t="shared" si="352"/>
        <v/>
      </c>
      <c r="AT89" s="270" t="str">
        <f t="shared" si="300"/>
        <v/>
      </c>
      <c r="AU89" s="88" t="str">
        <f t="shared" si="400"/>
        <v/>
      </c>
      <c r="AV89" s="29"/>
      <c r="AW89" s="73"/>
      <c r="AX89" s="271" t="str">
        <f>IF(AND(AV89="Applicant",OR(AW89="", AW89="Use Default Facility Hours")),"← Choose Schedule",IF(F89="","",IF(W89="LED Exit Signs",8760,IF(OR(AV89="Prescribed",AV89=""),VLOOKUP(F89,'Lookup Tables'!$A$6:$G$59,IF(AB89="General", 6, 3),FALSE),VLOOKUP(AW89,'Lookup Tables'!$S$36:$U$43,2,FALSE)))))</f>
        <v/>
      </c>
      <c r="AY89" s="88" t="str">
        <f t="shared" si="301"/>
        <v/>
      </c>
      <c r="AZ89" s="270" t="str">
        <f>IFERROR(IF(F89="", "", IF(W89="LED Exit Signs", 1, IF(AV89="Applicant",VLOOKUP(AW89, 'Lookup Tables'!$S$36:$U$43,3, FALSE), VLOOKUP('Lighting Inventory'!F89, 'Lookup Tables'!$A$6:$H$59, IF('Lighting Inventory'!AB89="General",7,4), FALSE)))), "")</f>
        <v/>
      </c>
      <c r="BA89" s="522" t="str">
        <f>IFERROR(IF(F89="", "", IF(W89="LED Exit Signs", 1, VLOOKUP('Lighting Inventory'!F89, 'Lookup Tables'!$A$6:$H$59, IF('Lighting Inventory'!AB89="General",8,5), FALSE))), "")</f>
        <v/>
      </c>
      <c r="BB89" s="270" t="str">
        <f>IF(G89="", "", IF(E89="Exterior", 0, IF('Lighting Inventory'!G89="Air Conditioned", VLOOKUP(H89, 'Lookup Tables'!$R$6:$T$13, 2, FALSE), VLOOKUP('Lighting Inventory'!G89, 'Lookup Tables'!$R$6:$T$13, 2, FALSE))))</f>
        <v/>
      </c>
      <c r="BC89" s="522" t="str">
        <f>IF(G89="", "", IF(E89="Exterior", 0, IF('Lighting Inventory'!G89="Air Conditioned", VLOOKUP(H89, 'Lookup Tables'!$R$6:$T$13, 3, FALSE), VLOOKUP('Lighting Inventory'!G89, 'Lookup Tables'!$R$6:$T$13, 3, FALSE))))</f>
        <v/>
      </c>
      <c r="BD89" s="270" t="str">
        <f>IF(G89="", "", IF(E89="Exterior", 0, IF('Lighting Inventory'!G89="Air Conditioned", VLOOKUP(H89, 'Lookup Tables'!$R$6:$U$13, 4, FALSE), VLOOKUP('Lighting Inventory'!G89, 'Lookup Tables'!$R$6:$U$13, 4, FALSE))))</f>
        <v/>
      </c>
      <c r="BE89" s="270" t="str">
        <f>IFERROR(IF(B89="", "",  IF(B89="New Construction", VLOOKUP(F89, 'Lookup Tables'!$A$6:$K$59, 11, FALSE),IF(OR(AN89="", AN89="Light Switch"), 0, IF(OR(M89="",M89="None",V89= "LED Exit Signs"),0,_xlfn.XLOOKUP(M89,'Lookup Tables'!$R$91:$R$101,'Lookup Tables'!$V$91:$V$101))))), "")</f>
        <v/>
      </c>
      <c r="BF89" s="270" t="str">
        <f>IF(AND(OR(AN89="Light Switch",AN89=""),B89="New Construction"), VLOOKUP(F89, 'Lookup Tables'!$A$6:$K$59, 11, FALSE),IF(AN89="","",IF(B89="","",IF(OR(AN89="None",AN89="",V89="LED Exit Signs",AN89="Exterior Controls Not Eligible"),0,_xlfn.XLOOKUP(AN89,'Lookup Tables'!$R$91:$R$101,'Lookup Tables'!$V$91:$V$101)))))</f>
        <v/>
      </c>
      <c r="BG89" s="88" t="str">
        <f t="shared" si="353"/>
        <v/>
      </c>
      <c r="BH89" s="88" t="str">
        <f t="shared" si="354"/>
        <v/>
      </c>
      <c r="BI89" s="558" t="str">
        <f t="shared" si="398"/>
        <v/>
      </c>
      <c r="BJ89" s="82" t="str">
        <f t="shared" si="355"/>
        <v/>
      </c>
      <c r="BK89" s="82" t="str">
        <f t="shared" si="356"/>
        <v/>
      </c>
      <c r="BL89" s="559" t="str">
        <f t="shared" si="357"/>
        <v/>
      </c>
      <c r="BM89" s="521" t="str">
        <f t="shared" si="302"/>
        <v/>
      </c>
      <c r="BN89" s="521" t="str">
        <f t="shared" si="303"/>
        <v/>
      </c>
      <c r="BO89" s="522" t="str">
        <f t="shared" si="304"/>
        <v/>
      </c>
      <c r="BP89" s="83" t="str">
        <f t="shared" si="358"/>
        <v/>
      </c>
      <c r="BQ89" s="84" t="str">
        <f t="shared" si="359"/>
        <v/>
      </c>
      <c r="BR89" s="184" t="str">
        <f>IFERROR(IF(B89="", "", IF(OR(VLOOKUP(J89, 'Fixture Identities'!$A$6:$L$1023, 3, FALSE)="T12 Linear Fluorescent",VLOOKUP(J89, 'Fixture Identities'!$A$6:$L$1023, 3, FALSE)="T12 U-Tube Fluorescent"), "Y", "N")), "N")</f>
        <v/>
      </c>
      <c r="BS89" s="184" t="str">
        <f t="array" ref="BS89">IFERROR(IF(OR(B89="", V89="", W89=""), "", IF(V89="Custom", "N", IF(OR(W89="Freezer Case Lighting", W89="Refrigerated Case Lighting with Doors"), BT89, IF(B89="Retrofit", INDEX('Lookup Tables'!$AH$6:$AT$102,MATCH(1,('Lookup Tables'!$AH$6:$AH$102=V89)*('Lookup Tables'!$AI$6:$AI$102=W89),FALSE),IF(VLOOKUP(J89, 'Fixture Identities'!$A$6:$B$1023, 2, FALSE)="Incandescent",12, 13)), INDEX('Lookup Tables'!$AH$114:$AS$154,MATCH(1,('Lookup Tables'!$AH$114:$AH$154=V89)*('Lookup Tables'!$AI$114:$AI$154=W89),FALSE),12))))), "N")</f>
        <v/>
      </c>
      <c r="BT89" s="184" t="str">
        <f>IF(J89="", "", IF(AND(OR(W89="Freezer case Lighting", W89="Refrigerated Case Lighting with Doors"),'General Information'!$X$18="LCI"), "N", IF(OR(VLOOKUP(J89, 'Fixture Identities'!$A$6:$B$1023, 2, FALSE)="T12 EPACT/EISA Baseline", VLOOKUP(J89, 'Fixture Identities'!$A$6:$B$1023, 2, FALSE)="Linear Fluorescent", VLOOKUP(J89, 'Fixture Identities'!$A$6:$B$1023, 2, FALSE)="U-Tube Fluorescent"), "Y", "N")))</f>
        <v/>
      </c>
      <c r="BU89" s="184" t="str">
        <f>IFERROR(IF(B89="", "", IF(VLOOKUP(J89, 'Fixture Identities'!$A$6:$B$1023, 2, FALSE)="Exit Sign", "Y", "N")), "N")</f>
        <v/>
      </c>
      <c r="BV89" s="184" t="str">
        <f>IF(V89="Exit Signs", IF(VLOOKUP(J89, 'Fixture Identities'!$A$6:$B$1023, 2, FALSE)="Exit Sign", "N", "Y"), "")</f>
        <v/>
      </c>
      <c r="BW89" s="184" t="str">
        <f t="array" ref="BW89">IFERROR(IF(B89="", "", IF(B89="New Construction", "N", INDEX('Lookup Tables'!$AH$6:$AU$102, MATCH(1, ('Lookup Tables'!$AH$6:$AH$102='Lighting Inventory'!V89)*('Lookup Tables'!$AI$6:$AI$102='Lighting Inventory'!W89), 0), 14))), "N")</f>
        <v/>
      </c>
      <c r="BX89" s="598" t="str">
        <f t="shared" si="360"/>
        <v/>
      </c>
      <c r="BY89" s="598" t="str">
        <f t="shared" si="361"/>
        <v/>
      </c>
      <c r="BZ89" s="598" t="str">
        <f t="shared" si="362"/>
        <v/>
      </c>
      <c r="CA89" s="598" t="str">
        <f t="shared" si="363"/>
        <v/>
      </c>
      <c r="CB89" s="269" t="str">
        <f t="shared" si="364"/>
        <v/>
      </c>
      <c r="CC89" s="517" t="str">
        <f t="shared" si="365"/>
        <v/>
      </c>
      <c r="CD89" s="565" t="str">
        <f t="shared" si="305"/>
        <v/>
      </c>
      <c r="CE89" s="368">
        <v>0</v>
      </c>
      <c r="CF89" s="368" t="str" cm="1">
        <f t="array" ref="CF89">IFERROR(IF(V89="Custom", "$0.1 per kWh", IF(B89="New Construction", CONCATENATE("$",INDEX('Lookup Tables'!$AH$114:$AN$154,MATCH(1,('Lookup Tables'!$AH$114:$AH$154='Lighting Inventory'!V89)*('Lookup Tables'!$AI$114:$AI$154='Lighting Inventory'!W89),FALSE),6)," ",INDEX('Lookup Tables'!$AH$114:$AN$154,MATCH(1,('Lookup Tables'!$AH$114:$AH$154='Lighting Inventory'!V89)*('Lookup Tables'!$AI$114:$AI$154='Lighting Inventory'!W89),FALSE),7)), IF(AND(BU89="N", V89="Exit Signs"), "$0.025 per kWh", CONCATENATE("$",INDEX('Lookup Tables'!$AH$6:$AN$102,MATCH(1,('Lookup Tables'!$AH$6:$AH$102='Lighting Inventory'!V89)*('Lookup Tables'!$AI$6:$AI$102='Lighting Inventory'!W89),FALSE),6)," ",INDEX('Lookup Tables'!$AH$6:$AN$102,MATCH(1,('Lookup Tables'!$AH$6:$AH$102='Lighting Inventory'!V89)*('Lookup Tables'!$AI$6:$AI$102='Lighting Inventory'!W89),FALSE),7))))), "")</f>
        <v/>
      </c>
      <c r="CG89" s="366"/>
      <c r="CH89" s="248" t="str">
        <f t="shared" si="306"/>
        <v/>
      </c>
      <c r="CI89" s="248" t="str">
        <f t="shared" si="307"/>
        <v>Select_IE</v>
      </c>
      <c r="CJ89" s="248" t="str">
        <f t="shared" si="308"/>
        <v/>
      </c>
      <c r="CK89" s="248" t="str">
        <f t="shared" si="309"/>
        <v/>
      </c>
      <c r="CL89" s="248" t="str">
        <f t="shared" si="310"/>
        <v/>
      </c>
      <c r="CM89" s="248" t="str">
        <f>IFERROR(IF(B89="", "", IF(B89="New Construction", VLOOKUP(V89, 'Lookup Tables'!$AF$114:$AG$120, 2, FALSE), VLOOKUP(V89, 'Lookup Tables'!$AD$6:$AE$25, 2, FALSE))), "")</f>
        <v/>
      </c>
      <c r="CN89" s="248" t="str">
        <f t="shared" si="311"/>
        <v/>
      </c>
      <c r="CO89" s="248" t="str">
        <f t="shared" si="312"/>
        <v/>
      </c>
      <c r="CP89" s="592" t="str">
        <f t="shared" si="313"/>
        <v/>
      </c>
      <c r="CQ89" s="248" t="str">
        <f t="shared" si="366"/>
        <v/>
      </c>
      <c r="CR89" s="100"/>
      <c r="CS89" s="250" t="str">
        <f t="shared" si="314"/>
        <v/>
      </c>
      <c r="CT89" s="250" t="str">
        <f t="shared" si="367"/>
        <v/>
      </c>
      <c r="CU89" s="250" t="str">
        <f t="shared" si="368"/>
        <v/>
      </c>
      <c r="CV89" s="250" t="str">
        <f t="shared" si="369"/>
        <v/>
      </c>
      <c r="CW89" s="250" t="str">
        <f t="shared" si="370"/>
        <v/>
      </c>
      <c r="CX89" s="250" t="str">
        <f t="shared" si="315"/>
        <v/>
      </c>
      <c r="CY89" s="250" t="str">
        <f t="shared" si="316"/>
        <v/>
      </c>
      <c r="CZ89" s="250" t="str">
        <f t="shared" si="317"/>
        <v/>
      </c>
      <c r="DA89" s="250" t="str">
        <f t="shared" si="318"/>
        <v/>
      </c>
      <c r="DB89" s="250" t="str">
        <f t="shared" si="319"/>
        <v/>
      </c>
      <c r="DC89" s="250" t="str">
        <f t="shared" si="320"/>
        <v/>
      </c>
      <c r="DD89" s="250" t="str">
        <f t="shared" si="321"/>
        <v/>
      </c>
      <c r="DE89" s="250" t="str">
        <f t="shared" si="322"/>
        <v/>
      </c>
      <c r="DF89" s="250" t="str">
        <f t="shared" si="323"/>
        <v/>
      </c>
      <c r="DG89" s="250" t="str">
        <f t="shared" si="324"/>
        <v/>
      </c>
      <c r="DH89" s="250" t="str">
        <f t="shared" si="325"/>
        <v/>
      </c>
      <c r="DI89" s="250" t="str">
        <f t="shared" si="326"/>
        <v/>
      </c>
      <c r="DJ89" s="250" t="str">
        <f t="shared" si="327"/>
        <v/>
      </c>
      <c r="DK89" s="250" t="str">
        <f t="shared" si="328"/>
        <v/>
      </c>
      <c r="DL89" s="250" t="str">
        <f t="shared" si="329"/>
        <v/>
      </c>
      <c r="DM89" s="250" t="str">
        <f>IF(CD89="ERROR", "ERROR", IF(AND(OR(Y89=$DM$6, Y89='Lookup Tables'!$AD$21, Y89='Lookup Tables'!$AD$22), E89="Interior"), BJ89, ""))</f>
        <v/>
      </c>
      <c r="DN89" s="250" t="str">
        <f>IF(CD89="ERROR", "ERROR", IF(AND(OR(Y89=$DM$6, Y89='Lookup Tables'!$AD$21, Y89='Lookup Tables'!$AD$22), E89="Exterior"), BJ89, ""))</f>
        <v/>
      </c>
      <c r="DO89" s="100"/>
      <c r="DP89" s="250" t="str">
        <f t="shared" si="330"/>
        <v/>
      </c>
      <c r="DQ89" s="250" t="str">
        <f t="shared" si="371"/>
        <v/>
      </c>
      <c r="DR89" s="250" t="str">
        <f t="shared" si="372"/>
        <v/>
      </c>
      <c r="DS89" s="250" t="str">
        <f t="shared" si="373"/>
        <v/>
      </c>
      <c r="DT89" s="250" t="str">
        <f t="shared" si="374"/>
        <v/>
      </c>
      <c r="DU89" s="250" t="str">
        <f t="shared" si="331"/>
        <v/>
      </c>
      <c r="DV89" s="250" t="str">
        <f t="shared" si="332"/>
        <v/>
      </c>
      <c r="DW89" s="250" t="str">
        <f t="shared" si="333"/>
        <v/>
      </c>
      <c r="DX89" s="250" t="str">
        <f t="shared" si="334"/>
        <v/>
      </c>
      <c r="DY89" s="250" t="str">
        <f t="shared" si="335"/>
        <v/>
      </c>
      <c r="DZ89" s="250" t="str">
        <f t="shared" si="336"/>
        <v/>
      </c>
      <c r="EA89" s="250" t="str">
        <f t="shared" si="337"/>
        <v/>
      </c>
      <c r="EB89" s="250" t="str">
        <f t="shared" si="375"/>
        <v/>
      </c>
      <c r="EC89" s="250" t="str">
        <f t="shared" si="338"/>
        <v/>
      </c>
      <c r="ED89" s="250" t="str">
        <f t="shared" si="339"/>
        <v/>
      </c>
      <c r="EE89" s="250" t="str">
        <f t="shared" si="340"/>
        <v/>
      </c>
      <c r="EF89" s="250" t="str">
        <f t="shared" si="341"/>
        <v/>
      </c>
      <c r="EG89" s="250" t="str">
        <f t="shared" si="342"/>
        <v/>
      </c>
      <c r="EH89" s="250" t="str">
        <f>IF(CD89="ERROR", "ERROR", IF(AND(OR($EH$6=Y89, Y89='Lookup Tables'!$AD$21, Y89='Lookup Tables'!$AD$22),E89="Interior"), SUM(BP89:BP89), ""))</f>
        <v/>
      </c>
      <c r="EI89" s="250" t="str">
        <f>IF(CD89="ERROR", "ERROR", IF(AND(OR($EH$6=Y89, Y89='Lookup Tables'!$AD$21, Y89='Lookup Tables'!$AD$22),E89="Exterior"), SUM(BP89:BP89), ""))</f>
        <v/>
      </c>
      <c r="EJ89" s="109"/>
      <c r="EK89" s="485" t="str">
        <f t="shared" si="343"/>
        <v/>
      </c>
      <c r="EL89" s="252" t="str">
        <f t="shared" si="376"/>
        <v/>
      </c>
      <c r="EM89" s="252" t="str">
        <f t="shared" si="377"/>
        <v/>
      </c>
      <c r="EN89" s="252" t="str">
        <f t="shared" si="378"/>
        <v/>
      </c>
      <c r="EO89" s="252" t="str">
        <f t="shared" si="379"/>
        <v/>
      </c>
      <c r="EP89" s="252" t="str">
        <f t="shared" si="380"/>
        <v/>
      </c>
      <c r="EQ89" s="252" t="str">
        <f t="shared" si="381"/>
        <v/>
      </c>
      <c r="ER89" s="252" t="str">
        <f t="shared" si="382"/>
        <v/>
      </c>
      <c r="ES89" s="252" t="str">
        <f t="shared" si="383"/>
        <v/>
      </c>
      <c r="ET89" s="252" t="str">
        <f t="shared" si="384"/>
        <v/>
      </c>
      <c r="EU89" s="252" t="str">
        <f t="shared" si="385"/>
        <v/>
      </c>
      <c r="EV89" s="252" t="str">
        <f t="shared" si="386"/>
        <v/>
      </c>
      <c r="EW89" s="252" t="str">
        <f t="shared" si="387"/>
        <v/>
      </c>
      <c r="EX89" s="252" t="str">
        <f t="shared" si="388"/>
        <v/>
      </c>
      <c r="EY89" s="252" t="str">
        <f t="shared" si="389"/>
        <v/>
      </c>
      <c r="EZ89" s="252" t="str">
        <f t="shared" si="390"/>
        <v/>
      </c>
      <c r="FA89" s="252" t="str">
        <f t="shared" si="391"/>
        <v/>
      </c>
      <c r="FB89" s="252" t="str">
        <f t="shared" si="392"/>
        <v/>
      </c>
      <c r="FC89" s="252" t="str">
        <f>IF(CD89="ERROR", "ERROR", IF(OR(V89="No Change", V89="Not DLC or Energy Star"), "", IF(AND(OR($FC$6=Y89,Y89='Lookup Tables'!$AD$21, Y89='Lookup Tables'!$AD$22),E89="Interior"), S89, "")))</f>
        <v/>
      </c>
      <c r="FD89" s="252" t="str">
        <f t="shared" si="393"/>
        <v/>
      </c>
      <c r="FE89" s="101"/>
      <c r="FF89" s="579" t="str" cm="1">
        <f t="array" ref="FF89">IFERROR(IF(OR(BQ89&lt;=0,AQ89&lt;20,AND(V89="Exit Signs",AN89&gt;0)),"",IF(AND(AQ89&gt;=20,AN89='Lookup Tables'!$R$101),'Lookup Tables'!$U$101*BQ89,AP89*LOOKUP(2,1/((AN89='Lookup Tables'!$R$91:$R$111)*(AQ89&gt;='Lookup Tables'!$S$91:$S$111)*(AQ89&lt;='Lookup Tables'!$T$91:$T$111)),'Lookup Tables'!$U$91:$U$111))),"")</f>
        <v/>
      </c>
      <c r="FG89" s="579"/>
      <c r="FH89" s="579"/>
      <c r="FI89" s="253" t="str">
        <f>IFERROR(ROUND(IF(CD89="ERROR", "ERROR", IF(AND($FI$7=X89,E89="Interior"),VLOOKUP(W89, 'Lookup Tables'!$AI$6:$AM$102, 5, FALSE)*BP89, "")), 2), "")</f>
        <v/>
      </c>
      <c r="FJ89" s="253" t="str">
        <f>IFERROR(ROUND(IF(CD89="ERROR", "ERROR", IF(AND($FI$7=X89,E89="Exterior"),VLOOKUP(W89, 'Lookup Tables'!$AI$6:$AM$102, 5, FALSE)*BP89, "")), 2), "")</f>
        <v/>
      </c>
      <c r="FK89" s="253" t="str">
        <f>IFERROR(ROUND(IF(CD89="ERROR", "ERROR", IF(AND($FK$7=X89,E89="Interior"),VLOOKUP(W89, 'Lookup Tables'!$AI$6:$AM$102, 5, FALSE)*BP89, "")), 2), "")</f>
        <v/>
      </c>
      <c r="FL89" s="253" t="str">
        <f>IFERROR(ROUND(IF(CD89="ERROR", "ERROR", IF(AND($FK$7=X89,E89="Exterior"),VLOOKUP(W89, 'Lookup Tables'!$AI$6:$AM$102, 5, FALSE)*BP89, "")), 2), "")</f>
        <v/>
      </c>
      <c r="FM89" s="253" t="str">
        <f>IFERROR(ROUND(IF(CD89="ERROR", "ERROR", IF(AND($FM$6=Y89,E89="Interior"), IF(GB89=0, VLOOKUP(W89, 'Lookup Tables'!$AI$6:$AM$102, 5, FALSE)*BP89, IF(VLOOKUP(W89, 'Lookup Tables'!$AI$6:$AM$102, 5, FALSE)*BP89&gt;GB89*'Lighting Inventory'!S89, GB89*'Lighting Inventory'!S89,VLOOKUP(W89, 'Lookup Tables'!$AI$6:$AM$102, 5, FALSE)*BP89)), "")), 2), "")</f>
        <v/>
      </c>
      <c r="FN89" s="253" t="str">
        <f>IFERROR(ROUND(IF(CD89="ERROR", "ERROR", IF(AND($FM$6=Y89,E89="Exterior"), IF(GB89=0, VLOOKUP(W89, 'Lookup Tables'!$AI$6:$AM$102, 5, FALSE)*BP89, IF(VLOOKUP(W89, 'Lookup Tables'!$AI$6:$AM$102, 5, FALSE)*BP89&gt;GB89*'Lighting Inventory'!S89, GB89*'Lighting Inventory'!S89,VLOOKUP(W89, 'Lookup Tables'!$AI$6:$AM$102, 5, FALSE)*BP89)), "")), 2), "")</f>
        <v/>
      </c>
      <c r="FO89" s="253" t="str">
        <f>IFERROR(ROUND(IF(CD89="ERROR", "ERROR", IF(AND($FO$6=Y89,E89="Interior"),VLOOKUP(W89, 'Lookup Tables'!$AI$6:$AM$102, 5, FALSE)*'Lighting Inventory'!AI89, "")), 2), "")</f>
        <v/>
      </c>
      <c r="FP89" s="253" t="str">
        <f>IFERROR(ROUND(IF(CD89="ERROR", "ERROR", IF(AND($FO$6=Y89,E89="Exterior"),VLOOKUP(W89, 'Lookup Tables'!$AI$6:$AM$102, 5, FALSE)*'Lighting Inventory'!AI89, "")), 2), "")</f>
        <v/>
      </c>
      <c r="FQ89" s="253" t="str">
        <f>IFERROR(ROUND(IF(CD89="ERROR", "ERROR", IF(AND($FQ$6=Y89,E89="Interior", BU89="Y"), VLOOKUP('Lighting Inventory'!W89, 'Lookup Tables'!$AI$6:$AM$102, 5, FALSE)*'Lighting Inventory'!S89, IF(AND($FQ$7=Y89,E89="Interior", BU89="N"), 0.025*CD89, ""))), 2), "")</f>
        <v/>
      </c>
      <c r="FR89" s="253" t="str">
        <f>IFERROR(ROUND(IF(CD89="ERROR", "ERROR", IF(AND($FQ$6=Y89,E89="Exterior"), VLOOKUP('Lighting Inventory'!W89, 'Lookup Tables'!$AI$6:$AM$102, 5, FALSE)*'Lighting Inventory'!S89, "")), 2), "")</f>
        <v/>
      </c>
      <c r="FS89" s="253" t="str">
        <f>IFERROR(ROUND(IF(CD89="ERROR", "ERROR", IF(AND($FS$6=Y89,E89="Exterior"), IF(GB89=0, VLOOKUP(W89, 'Lookup Tables'!$AI$6:$AM$102, 5, FALSE)*BP89, IF(VLOOKUP(W89, 'Lookup Tables'!$AI$6:$AM$102, 5, FALSE)*BP89&gt;GB89*'Lighting Inventory'!S89, GB89*'Lighting Inventory'!S89,VLOOKUP(W89, 'Lookup Tables'!$AI$6:$AM$102, 5, FALSE)*BP89)), "")), 2), "")</f>
        <v/>
      </c>
      <c r="FT89" s="253" t="str">
        <f>IFERROR(ROUND(IF(CD89="ERROR", "ERROR", IF(AND($FT$6=Y89,E89="Interior"), IF(GB89=0, VLOOKUP(W89, 'Lookup Tables'!$AI$6:$AM$102, 5, FALSE)*BP89, IF(VLOOKUP(W89, 'Lookup Tables'!$AI$6:$AM$102, 5, FALSE)*BP89&gt;GB89*'Lighting Inventory'!S89, GB89*'Lighting Inventory'!S89,VLOOKUP(W89, 'Lookup Tables'!$AI$6:$AM$102, 5, FALSE)*BP89)), "")), 2), "")</f>
        <v/>
      </c>
      <c r="FU89" s="253" t="str">
        <f>IFERROR(ROUND(IF(CD89="ERROR", "ERROR", IF(AND(Y89=$FU$6, E89="Interior"), IF(BS89="N", 'Lookup Tables'!$AM$101*BP89, VLOOKUP(W89, 'Lookup Tables'!$AI$6:$AM$102, 5, FALSE)*S89*AD89), "")), 2), "")</f>
        <v/>
      </c>
      <c r="FV89" s="253" t="str">
        <f>IFERROR(ROUND(IF(CD89="ERROR", "ERROR", IF(AND(Y89=$FU$6, E89="Exterior"), IF(BS89="N", 'Lookup Tables'!$AM$101*BP89, VLOOKUP(W89, 'Lookup Tables'!$AI$6:$AM$102, 5, FALSE)*S89*AD89), "")), 2), "")</f>
        <v/>
      </c>
      <c r="FW89" s="253" t="str">
        <f>IFERROR(ROUND(IF(CD89="ERROR", "ERROR", IF($FW$6=Y89, IF(BS89="N", 'Lookup Tables'!$AM$101*BP89, MIN((VLOOKUP(W89, 'Lookup Tables'!$AI$6:$AM$102, 5, FALSE)*BP89),GB89*AJ89)), "")), 2), "")</f>
        <v/>
      </c>
      <c r="FX89" s="253" t="str">
        <f>IFERROR(ROUND(IF(CD89="ERROR", "ERROR", IF(AND($FX$6=Y89, E89="Interior"), IF(VLOOKUP(W89, 'Lookup Tables'!$AI$6:$AM$102, 5, FALSE)*BP89&gt;'Lookup Tables'!$AQ$97*'Lighting Inventory'!S89,'Lighting Inventory'!S89*'Lookup Tables'!$AQ$97,VLOOKUP(W89, 'Lookup Tables'!$AI$6:$AM$102, 5, FALSE)*BP89), "")), 2), "")</f>
        <v/>
      </c>
      <c r="FY89" s="253" t="str">
        <f>IFERROR(ROUND(IF(CD89="ERROR", "ERROR", IF(AND($FX$6=Y89, E89="Exterior"), IF(VLOOKUP(W89, 'Lookup Tables'!$AI$6:$AM$102, 5, FALSE)*BP89&gt;'Lookup Tables'!$AQ$97*'Lighting Inventory'!S89,'Lighting Inventory'!S89*'Lookup Tables'!$AQ$97,VLOOKUP(W89, 'Lookup Tables'!$AI$6:$AM$102, 5, FALSE)*BP89), "")), 2), "")</f>
        <v/>
      </c>
      <c r="FZ89" s="253" t="str">
        <f>IFERROR(ROUND(IF(CD89="ERROR", "ERROR", IF(AND($FZ$6=Y89, E89="Interior"), IF(AND(OR(W89="Refrigerated Case Lighting with Doors", W89="Freezer Case Lighting"),Y89="Custom - Process Improvement"),CD89*'Lookup Tables'!$AM$101, IF(B89="Retrofit", IF(VLOOKUP(IF(V89="Custom", V89, W89), 'Lookup Tables'!$AI$6:$AM$102, 5, FALSE)*BP89&gt;GE89, GE89, VLOOKUP(IF(V89="Custom", V89, W89), 'Lookup Tables'!$AI$6:$AM$102, 5, FALSE)*BP89), IF(VLOOKUP(IF(V89="Custom", V89, W89), 'Lookup Tables'!$AI$114:$AM$154, 5, FALSE)*BP89&gt;GE89, GE89, VLOOKUP(IF(V89="Custom", V89, W89), 'Lookup Tables'!$AI$114:$AM$154, 5, FALSE)*BP89))), "")), 2),"")</f>
        <v/>
      </c>
      <c r="GA89" s="253" t="str">
        <f>IFERROR(ROUND(IF(CD89="ERROR", "ERROR", IF(AND($FZ$6=Y89, E89="Exterior"), IF(B89="Retrofit", IF(VLOOKUP(IF(V89="Custom", V89, W89), 'Lookup Tables'!$AI$6:$AM$102, 5, FALSE)*BP89&gt;GE89, GE89, VLOOKUP(IF(V89="Custom", V89, W89), 'Lookup Tables'!$AI$6:$AM$102, 5, FALSE)*BP89), IF(VLOOKUP(IF(V89="Custom", V89, W89), 'Lookup Tables'!$AI$114:$AM$154, 5, FALSE)*BP89&gt;GE89, GE89, VLOOKUP(IF(V89="Custom", V89, W89), 'Lookup Tables'!$AI$114:$AM$154, 5, FALSE)*BP89)), "")), 2),"")</f>
        <v/>
      </c>
      <c r="GB89" s="254" t="str">
        <f t="array" ref="GB89">IF(B89="","",IF(OR(V89="Custom",V89="No Change"),0,IF(B89="Retrofit", INDEX('Lookup Tables'!$AH$6:$AQ$102,MATCH(1,('Lookup Tables'!$AH$6:$AH$102='Lighting Inventory'!V89)*('Lookup Tables'!$AI$6:$AI$102='Lighting Inventory'!W89),FALSE),10),INDEX('Lookup Tables'!$AH$114:$AQ$154,MATCH(1,('Lookup Tables'!$AH$114:$AH$154='Lighting Inventory'!V89)*('Lookup Tables'!$AI$114:$AI$154='Lighting Inventory'!W89),FALSE),10))))</f>
        <v/>
      </c>
      <c r="GC89" s="255" t="str">
        <f t="shared" si="344"/>
        <v/>
      </c>
      <c r="GD89" s="250" t="str">
        <f t="shared" si="345"/>
        <v/>
      </c>
      <c r="GE89" s="253" t="str">
        <f>IFERROR(IF(AND(AF89="", 'General Information'!$F$18="No"),"", IF(AF89="", ((GD89/$CD$266)*$CF$266)*0.5, AF89*S89*0.5)), "")</f>
        <v/>
      </c>
      <c r="GF89" s="255" t="str">
        <f>IF(AND('General Information'!$F$19="", 'General Information'!$F$18="Yes",AF89="",BW89="Y"), "Y", "N")</f>
        <v>N</v>
      </c>
      <c r="GG89" s="255" t="s">
        <v>2946</v>
      </c>
      <c r="GH89" s="255" t="str">
        <f>IFERROR(IF(B89="", "", VLOOKUP(J89, 'Fixture Identities'!$A$6:$N$908, 14, FALSE)), "")</f>
        <v/>
      </c>
      <c r="GI89" s="389" t="str">
        <f>IF(OR(B89="", V89="", W89=""), "", IF(AND(OR(M89='Lookup Tables'!$R$18, M89='Lookup Tables'!$R$19, M89='Lookup Tables'!$R$20, M89='Lookup Tables'!$R$21, M89='Lookup Tables'!$R$22), OR(AN89='Lookup Tables'!$R$17, AN89='Lookup Tables'!$R$17, AN89="")), "Y", "N"))</f>
        <v/>
      </c>
      <c r="GJ89" s="255" t="str">
        <f t="shared" si="346"/>
        <v/>
      </c>
      <c r="GK89" s="255" t="str">
        <f t="shared" si="347"/>
        <v/>
      </c>
      <c r="GL89" s="255" t="str">
        <f t="shared" si="348"/>
        <v/>
      </c>
      <c r="GM89" s="255" t="str">
        <f>IF(AN89="", "", IF(AND(IF(ISNA(VLOOKUP(AN89,'Lookup Tables'!$R$18:$R$22,1,FALSE)), "N", "Y")="Y", E89="Exterior"), "Y", "N"))</f>
        <v/>
      </c>
      <c r="GN89" s="395"/>
      <c r="GO89" s="428">
        <f t="shared" si="394"/>
        <v>0</v>
      </c>
      <c r="GP89" s="428">
        <f t="shared" si="397"/>
        <v>0</v>
      </c>
      <c r="GQ89" s="428">
        <f t="shared" si="395"/>
        <v>0</v>
      </c>
      <c r="GR89" s="428">
        <f t="shared" si="396"/>
        <v>0</v>
      </c>
    </row>
    <row r="90" spans="1:200" s="103" customFormat="1" ht="13.5" customHeight="1" x14ac:dyDescent="0.2">
      <c r="A90" s="272">
        <v>80</v>
      </c>
      <c r="B90" s="110"/>
      <c r="C90" s="110"/>
      <c r="D90" s="110"/>
      <c r="E90" s="110"/>
      <c r="F90" s="110"/>
      <c r="G90" s="110"/>
      <c r="H90" s="110"/>
      <c r="I90" s="29"/>
      <c r="J90" s="29"/>
      <c r="K90" s="272" t="str">
        <f>IFERROR(IF(OR(VLOOKUP(J90, 'Fixture Identities'!$A$6:$L$1023, 3, FALSE)="T12 Linear Fluorescent", VLOOKUP(J90, 'Fixture Identities'!$A$6:$L$1023, 3, FALSE)="T12 U-Tube Fluorescent"), VLOOKUP(VLOOKUP(J90, 'Fixture Identities'!$A$6:$L$1023, 11, FALSE), 'Fixture Identities'!$A$6:$L$1023, 10, FALSE), VLOOKUP(J90, 'Fixture Identities'!$A$6:$L$1023, 10, FALSE)), "")</f>
        <v/>
      </c>
      <c r="L90" s="270" t="str">
        <f t="shared" si="399"/>
        <v/>
      </c>
      <c r="M90" s="110"/>
      <c r="N90" s="110"/>
      <c r="O90" s="110"/>
      <c r="P90" s="272" t="str">
        <f>IFERROR(IF(OR(B90="Retrofit",B90=""),"",IF('Lighting Inventory'!E90="Exterior",VLOOKUP('Lighting Inventory'!N90,'Lookup Tables'!$B$83:$F$103,5,FALSE),IF(N90="Other - Please Estimate EFLH and CFs","Contact Prog. Rep.","ft^2"))), "")</f>
        <v/>
      </c>
      <c r="Q90" s="270" t="str">
        <f>IFERROR(IF(AND(B90="New Construction",E90="Interior",$F$5="Space-by-Space"),VLOOKUP('Lighting Inventory'!N90,'Lookup Tables'!$N$6:$O$97,2,FALSE),IF(AND(B90="New Construction",E90="Exterior"),VLOOKUP(N90,'Lookup Tables'!$B$83:$F$103,2,FALSE),IF(AND(B90="New Construction",'Lighting Inventory'!E90="Interior", $F$5="Building Area"),VLOOKUP(F90,'Lookup Tables'!$A$6:$J$59,10,FALSE),""))), "")</f>
        <v/>
      </c>
      <c r="R90" s="270" t="str">
        <f>IFERROR(IF(P90="Contact Prog. Rep.", "ERROR", IF(OR(B90="",B90="Retrofit"),"",IF(N90="Automated teller machines", ('Lookup Tables'!$A$82:$E$100+('Lighting Inventory'!O90-1)*'Lookup Tables'!$A$82:$E$100)/1000, (Q90*O90)/1000))), "")</f>
        <v/>
      </c>
      <c r="S90" s="595"/>
      <c r="T90" s="105" t="str">
        <f t="shared" si="349"/>
        <v/>
      </c>
      <c r="U90" s="105" t="str">
        <f>IF(S90="","",COUNT($S$11:S90))</f>
        <v/>
      </c>
      <c r="V90" s="111"/>
      <c r="W90" s="112"/>
      <c r="X90" s="105" t="str">
        <f t="shared" si="350"/>
        <v/>
      </c>
      <c r="Y90" s="105" t="str">
        <f t="array" ref="Y90">IF(AND(OR(W90="Freezer Case Lighting", W90="Refrigerated Case Lighting with Doors"), 'General Information'!$X$18="LCI"),'Lookup Tables'!$Y$34, IF(V90="Custom", VLOOKUP(W90, 'Fixture Identities'!$A$974:$M$1023, 13, FALSE), IF(V90="No Change",'Lookup Tables'!$Y$29,IF(OR(V90="",W90=""),"",IF(AND(S90=0,S90&lt;I90,B90="Retrofit"),'Lookup Tables'!$Y$25, IF(B90="Retrofit", INDEX('Lookup Tables'!$AH$6:$AP$102, MATCH(1, ('Lookup Tables'!$AH$6:$AH$102=V90)*('Lookup Tables'!$AI$6:$AI$102=W90), 0), IF('Lighting Inventory'!E90="Interior", 4, 5)), INDEX('Lookup Tables'!$AH$114:$AP$154, MATCH(1, ('Lookup Tables'!$AH$114:$AH$154=V90)*('Lookup Tables'!$AI$114:$AI$154=W90), 0), IF('Lighting Inventory'!E90="Interior", 4, 5))))))))</f>
        <v/>
      </c>
      <c r="Z90" s="105" t="str">
        <f>IFERROR(INDEX('Lookup Tables'!$AH$158:$AH$172,MATCH('Lighting Inventory'!Y90,'Lookup Tables'!$AI$158:$AI$172,0)),"")</f>
        <v/>
      </c>
      <c r="AA90" s="105" t="str">
        <f>IF(AP90&gt;0,INDEX('Lookup Tables'!$AK$158:$AK$172,MATCH('Lighting Inventory'!Y90,'Lookup Tables'!$AI$158:$AI$172,0)),'Lighting Inventory'!Y90)</f>
        <v/>
      </c>
      <c r="AB90" s="105" t="str">
        <f t="array" ref="AB90">IF(V90="Custom", "Custom", IF(V90="", "", IF(V90="Not DLC or Energy Star", "General", IF(B90="New Construction", INDEX('Lookup Tables'!$AH$114:$AP$154,MATCH(1,('Lookup Tables'!$AH$114:$AH$154='Lighting Inventory'!V90)*('Lookup Tables'!$AI$114:$AI$154='Lighting Inventory'!W90),FALSE),8), INDEX('Lookup Tables'!$AH$6:$AP$102,MATCH(1,('Lookup Tables'!$AH$6:$AH$102='Lighting Inventory'!V90)*('Lookup Tables'!$AI$6:$AI$102='Lighting Inventory'!W90),FALSE),8)))))</f>
        <v/>
      </c>
      <c r="AC90" s="272" t="str">
        <f>IF(W90="","",IF(V90="Custom",CONCATENATE("$",'Lookup Tables'!$AM$101," ",'Lookup Tables'!$AN$101),CONCATENATE("$",INDEX('Lookup Tables'!$AM$6:$AM$102,MATCH('Lighting Inventory'!W90,'Lookup Tables'!$AI$6:$AI$102,0))," ",INDEX('Lookup Tables'!$AN$6:$AN$102,MATCH('Lighting Inventory'!W90,'Lookup Tables'!$AI$6:$AI$102,0)))))</f>
        <v/>
      </c>
      <c r="AD90" s="72"/>
      <c r="AE90" s="29"/>
      <c r="AF90" s="379"/>
      <c r="AG90" s="370" t="str">
        <f t="shared" si="298"/>
        <v/>
      </c>
      <c r="AH90" s="370" t="str">
        <f t="shared" si="351"/>
        <v/>
      </c>
      <c r="AI90" s="29"/>
      <c r="AJ90" s="29"/>
      <c r="AK90" s="110"/>
      <c r="AL90" s="375" t="str">
        <f>IF(OR(B90="", V90="", W90=""), "", IF(V90="No Change", K90, IF(V90="Remove Fixture", 0, IF(V90="Custom",VLOOKUP(W90,'Fixture Identities'!$A$6:$K$1023,10,FALSE),IF(AE90="", "← ENTER POST WATTS", 'Lighting Inventory'!AE90)))))</f>
        <v/>
      </c>
      <c r="AM90" s="376" t="str">
        <f t="shared" si="299"/>
        <v/>
      </c>
      <c r="AN90" s="29"/>
      <c r="AO90" s="671"/>
      <c r="AP90" s="29"/>
      <c r="AQ90" s="29"/>
      <c r="AR90" s="29"/>
      <c r="AS90" s="272" t="str">
        <f t="shared" si="352"/>
        <v/>
      </c>
      <c r="AT90" s="270" t="str">
        <f t="shared" si="300"/>
        <v/>
      </c>
      <c r="AU90" s="88" t="str">
        <f t="shared" si="400"/>
        <v/>
      </c>
      <c r="AV90" s="29"/>
      <c r="AW90" s="73"/>
      <c r="AX90" s="271" t="str">
        <f>IF(AND(AV90="Applicant",OR(AW90="", AW90="Use Default Facility Hours")),"← Choose Schedule",IF(F90="","",IF(W90="LED Exit Signs",8760,IF(OR(AV90="Prescribed",AV90=""),VLOOKUP(F90,'Lookup Tables'!$A$6:$G$59,IF(AB90="General", 6, 3),FALSE),VLOOKUP(AW90,'Lookup Tables'!$S$36:$U$43,2,FALSE)))))</f>
        <v/>
      </c>
      <c r="AY90" s="88" t="str">
        <f t="shared" si="301"/>
        <v/>
      </c>
      <c r="AZ90" s="270" t="str">
        <f>IFERROR(IF(F90="", "", IF(W90="LED Exit Signs", 1, IF(AV90="Applicant",VLOOKUP(AW90, 'Lookup Tables'!$S$36:$U$43,3, FALSE), VLOOKUP('Lighting Inventory'!F90, 'Lookup Tables'!$A$6:$H$59, IF('Lighting Inventory'!AB90="General",7,4), FALSE)))), "")</f>
        <v/>
      </c>
      <c r="BA90" s="522" t="str">
        <f>IFERROR(IF(F90="", "", IF(W90="LED Exit Signs", 1, VLOOKUP('Lighting Inventory'!F90, 'Lookup Tables'!$A$6:$H$59, IF('Lighting Inventory'!AB90="General",8,5), FALSE))), "")</f>
        <v/>
      </c>
      <c r="BB90" s="270" t="str">
        <f>IF(G90="", "", IF(E90="Exterior", 0, IF('Lighting Inventory'!G90="Air Conditioned", VLOOKUP(H90, 'Lookup Tables'!$R$6:$T$13, 2, FALSE), VLOOKUP('Lighting Inventory'!G90, 'Lookup Tables'!$R$6:$T$13, 2, FALSE))))</f>
        <v/>
      </c>
      <c r="BC90" s="522" t="str">
        <f>IF(G90="", "", IF(E90="Exterior", 0, IF('Lighting Inventory'!G90="Air Conditioned", VLOOKUP(H90, 'Lookup Tables'!$R$6:$T$13, 3, FALSE), VLOOKUP('Lighting Inventory'!G90, 'Lookup Tables'!$R$6:$T$13, 3, FALSE))))</f>
        <v/>
      </c>
      <c r="BD90" s="270" t="str">
        <f>IF(G90="", "", IF(E90="Exterior", 0, IF('Lighting Inventory'!G90="Air Conditioned", VLOOKUP(H90, 'Lookup Tables'!$R$6:$U$13, 4, FALSE), VLOOKUP('Lighting Inventory'!G90, 'Lookup Tables'!$R$6:$U$13, 4, FALSE))))</f>
        <v/>
      </c>
      <c r="BE90" s="270" t="str">
        <f>IFERROR(IF(B90="", "",  IF(B90="New Construction", VLOOKUP(F90, 'Lookup Tables'!$A$6:$K$59, 11, FALSE),IF(OR(AN90="", AN90="Light Switch"), 0, IF(OR(M90="",M90="None",V90= "LED Exit Signs"),0,_xlfn.XLOOKUP(M90,'Lookup Tables'!$R$91:$R$101,'Lookup Tables'!$V$91:$V$101))))), "")</f>
        <v/>
      </c>
      <c r="BF90" s="270" t="str">
        <f>IF(AND(OR(AN90="Light Switch",AN90=""),B90="New Construction"), VLOOKUP(F90, 'Lookup Tables'!$A$6:$K$59, 11, FALSE),IF(AN90="","",IF(B90="","",IF(OR(AN90="None",AN90="",V90="LED Exit Signs",AN90="Exterior Controls Not Eligible"),0,_xlfn.XLOOKUP(AN90,'Lookup Tables'!$R$91:$R$101,'Lookup Tables'!$V$91:$V$101)))))</f>
        <v/>
      </c>
      <c r="BG90" s="88" t="str">
        <f t="shared" si="353"/>
        <v/>
      </c>
      <c r="BH90" s="88" t="str">
        <f t="shared" si="354"/>
        <v/>
      </c>
      <c r="BI90" s="558" t="str">
        <f t="shared" si="398"/>
        <v/>
      </c>
      <c r="BJ90" s="82" t="str">
        <f t="shared" si="355"/>
        <v/>
      </c>
      <c r="BK90" s="82" t="str">
        <f t="shared" si="356"/>
        <v/>
      </c>
      <c r="BL90" s="559" t="str">
        <f t="shared" si="357"/>
        <v/>
      </c>
      <c r="BM90" s="521" t="str">
        <f t="shared" si="302"/>
        <v/>
      </c>
      <c r="BN90" s="521" t="str">
        <f t="shared" si="303"/>
        <v/>
      </c>
      <c r="BO90" s="522" t="str">
        <f t="shared" si="304"/>
        <v/>
      </c>
      <c r="BP90" s="83" t="str">
        <f t="shared" si="358"/>
        <v/>
      </c>
      <c r="BQ90" s="84" t="str">
        <f t="shared" si="359"/>
        <v/>
      </c>
      <c r="BR90" s="184" t="str">
        <f>IFERROR(IF(B90="", "", IF(OR(VLOOKUP(J90, 'Fixture Identities'!$A$6:$L$1023, 3, FALSE)="T12 Linear Fluorescent",VLOOKUP(J90, 'Fixture Identities'!$A$6:$L$1023, 3, FALSE)="T12 U-Tube Fluorescent"), "Y", "N")), "N")</f>
        <v/>
      </c>
      <c r="BS90" s="184" t="str">
        <f t="array" ref="BS90">IFERROR(IF(OR(B90="", V90="", W90=""), "", IF(V90="Custom", "N", IF(OR(W90="Freezer Case Lighting", W90="Refrigerated Case Lighting with Doors"), BT90, IF(B90="Retrofit", INDEX('Lookup Tables'!$AH$6:$AT$102,MATCH(1,('Lookup Tables'!$AH$6:$AH$102=V90)*('Lookup Tables'!$AI$6:$AI$102=W90),FALSE),IF(VLOOKUP(J90, 'Fixture Identities'!$A$6:$B$1023, 2, FALSE)="Incandescent",12, 13)), INDEX('Lookup Tables'!$AH$114:$AS$154,MATCH(1,('Lookup Tables'!$AH$114:$AH$154=V90)*('Lookup Tables'!$AI$114:$AI$154=W90),FALSE),12))))), "N")</f>
        <v/>
      </c>
      <c r="BT90" s="184" t="str">
        <f>IF(J90="", "", IF(AND(OR(W90="Freezer case Lighting", W90="Refrigerated Case Lighting with Doors"),'General Information'!$X$18="LCI"), "N", IF(OR(VLOOKUP(J90, 'Fixture Identities'!$A$6:$B$1023, 2, FALSE)="T12 EPACT/EISA Baseline", VLOOKUP(J90, 'Fixture Identities'!$A$6:$B$1023, 2, FALSE)="Linear Fluorescent", VLOOKUP(J90, 'Fixture Identities'!$A$6:$B$1023, 2, FALSE)="U-Tube Fluorescent"), "Y", "N")))</f>
        <v/>
      </c>
      <c r="BU90" s="184" t="str">
        <f>IFERROR(IF(B90="", "", IF(VLOOKUP(J90, 'Fixture Identities'!$A$6:$B$1023, 2, FALSE)="Exit Sign", "Y", "N")), "N")</f>
        <v/>
      </c>
      <c r="BV90" s="184" t="str">
        <f>IF(V90="Exit Signs", IF(VLOOKUP(J90, 'Fixture Identities'!$A$6:$B$1023, 2, FALSE)="Exit Sign", "N", "Y"), "")</f>
        <v/>
      </c>
      <c r="BW90" s="184" t="str">
        <f t="array" ref="BW90">IFERROR(IF(B90="", "", IF(B90="New Construction", "N", INDEX('Lookup Tables'!$AH$6:$AU$102, MATCH(1, ('Lookup Tables'!$AH$6:$AH$102='Lighting Inventory'!V90)*('Lookup Tables'!$AI$6:$AI$102='Lighting Inventory'!W90), 0), 14))), "N")</f>
        <v/>
      </c>
      <c r="BX90" s="598" t="str">
        <f t="shared" si="360"/>
        <v/>
      </c>
      <c r="BY90" s="598" t="str">
        <f t="shared" si="361"/>
        <v/>
      </c>
      <c r="BZ90" s="598" t="str">
        <f t="shared" si="362"/>
        <v/>
      </c>
      <c r="CA90" s="598" t="str">
        <f t="shared" si="363"/>
        <v/>
      </c>
      <c r="CB90" s="269" t="str">
        <f t="shared" si="364"/>
        <v/>
      </c>
      <c r="CC90" s="517" t="str">
        <f t="shared" si="365"/>
        <v/>
      </c>
      <c r="CD90" s="565" t="str">
        <f t="shared" si="305"/>
        <v/>
      </c>
      <c r="CE90" s="368">
        <v>0</v>
      </c>
      <c r="CF90" s="368" t="str" cm="1">
        <f t="array" ref="CF90">IFERROR(IF(V90="Custom", "$0.1 per kWh", IF(B90="New Construction", CONCATENATE("$",INDEX('Lookup Tables'!$AH$114:$AN$154,MATCH(1,('Lookup Tables'!$AH$114:$AH$154='Lighting Inventory'!V90)*('Lookup Tables'!$AI$114:$AI$154='Lighting Inventory'!W90),FALSE),6)," ",INDEX('Lookup Tables'!$AH$114:$AN$154,MATCH(1,('Lookup Tables'!$AH$114:$AH$154='Lighting Inventory'!V90)*('Lookup Tables'!$AI$114:$AI$154='Lighting Inventory'!W90),FALSE),7)), IF(AND(BU90="N", V90="Exit Signs"), "$0.025 per kWh", CONCATENATE("$",INDEX('Lookup Tables'!$AH$6:$AN$102,MATCH(1,('Lookup Tables'!$AH$6:$AH$102='Lighting Inventory'!V90)*('Lookup Tables'!$AI$6:$AI$102='Lighting Inventory'!W90),FALSE),6)," ",INDEX('Lookup Tables'!$AH$6:$AN$102,MATCH(1,('Lookup Tables'!$AH$6:$AH$102='Lighting Inventory'!V90)*('Lookup Tables'!$AI$6:$AI$102='Lighting Inventory'!W90),FALSE),7))))), "")</f>
        <v/>
      </c>
      <c r="CG90" s="366"/>
      <c r="CH90" s="248" t="str">
        <f t="shared" si="306"/>
        <v/>
      </c>
      <c r="CI90" s="248" t="str">
        <f t="shared" si="307"/>
        <v>Select_IE</v>
      </c>
      <c r="CJ90" s="248" t="str">
        <f t="shared" si="308"/>
        <v/>
      </c>
      <c r="CK90" s="248" t="str">
        <f t="shared" si="309"/>
        <v/>
      </c>
      <c r="CL90" s="248" t="str">
        <f t="shared" si="310"/>
        <v/>
      </c>
      <c r="CM90" s="248" t="str">
        <f>IFERROR(IF(B90="", "", IF(B90="New Construction", VLOOKUP(V90, 'Lookup Tables'!$AF$114:$AG$120, 2, FALSE), VLOOKUP(V90, 'Lookup Tables'!$AD$6:$AE$25, 2, FALSE))), "")</f>
        <v/>
      </c>
      <c r="CN90" s="248" t="str">
        <f t="shared" si="311"/>
        <v/>
      </c>
      <c r="CO90" s="248" t="str">
        <f t="shared" si="312"/>
        <v/>
      </c>
      <c r="CP90" s="592" t="str">
        <f t="shared" si="313"/>
        <v/>
      </c>
      <c r="CQ90" s="248" t="str">
        <f t="shared" si="366"/>
        <v/>
      </c>
      <c r="CR90" s="249"/>
      <c r="CS90" s="250" t="str">
        <f t="shared" si="314"/>
        <v/>
      </c>
      <c r="CT90" s="250" t="str">
        <f t="shared" si="367"/>
        <v/>
      </c>
      <c r="CU90" s="250" t="str">
        <f t="shared" si="368"/>
        <v/>
      </c>
      <c r="CV90" s="250" t="str">
        <f t="shared" si="369"/>
        <v/>
      </c>
      <c r="CW90" s="250" t="str">
        <f t="shared" si="370"/>
        <v/>
      </c>
      <c r="CX90" s="250" t="str">
        <f t="shared" si="315"/>
        <v/>
      </c>
      <c r="CY90" s="250" t="str">
        <f t="shared" si="316"/>
        <v/>
      </c>
      <c r="CZ90" s="250" t="str">
        <f t="shared" si="317"/>
        <v/>
      </c>
      <c r="DA90" s="250" t="str">
        <f t="shared" si="318"/>
        <v/>
      </c>
      <c r="DB90" s="250" t="str">
        <f t="shared" si="319"/>
        <v/>
      </c>
      <c r="DC90" s="250" t="str">
        <f t="shared" si="320"/>
        <v/>
      </c>
      <c r="DD90" s="250" t="str">
        <f t="shared" si="321"/>
        <v/>
      </c>
      <c r="DE90" s="250" t="str">
        <f t="shared" si="322"/>
        <v/>
      </c>
      <c r="DF90" s="250" t="str">
        <f t="shared" si="323"/>
        <v/>
      </c>
      <c r="DG90" s="250" t="str">
        <f t="shared" si="324"/>
        <v/>
      </c>
      <c r="DH90" s="250" t="str">
        <f t="shared" si="325"/>
        <v/>
      </c>
      <c r="DI90" s="250" t="str">
        <f t="shared" si="326"/>
        <v/>
      </c>
      <c r="DJ90" s="250" t="str">
        <f t="shared" si="327"/>
        <v/>
      </c>
      <c r="DK90" s="250" t="str">
        <f t="shared" si="328"/>
        <v/>
      </c>
      <c r="DL90" s="250" t="str">
        <f t="shared" si="329"/>
        <v/>
      </c>
      <c r="DM90" s="250" t="str">
        <f>IF(CD90="ERROR", "ERROR", IF(AND(OR(Y90=$DM$6, Y90='Lookup Tables'!$AD$21, Y90='Lookup Tables'!$AD$22), E90="Interior"), BJ90, ""))</f>
        <v/>
      </c>
      <c r="DN90" s="250" t="str">
        <f>IF(CD90="ERROR", "ERROR", IF(AND(OR(Y90=$DM$6, Y90='Lookup Tables'!$AD$21, Y90='Lookup Tables'!$AD$22), E90="Exterior"), BJ90, ""))</f>
        <v/>
      </c>
      <c r="DO90" s="249"/>
      <c r="DP90" s="250" t="str">
        <f t="shared" si="330"/>
        <v/>
      </c>
      <c r="DQ90" s="250" t="str">
        <f t="shared" si="371"/>
        <v/>
      </c>
      <c r="DR90" s="250" t="str">
        <f t="shared" si="372"/>
        <v/>
      </c>
      <c r="DS90" s="250" t="str">
        <f t="shared" si="373"/>
        <v/>
      </c>
      <c r="DT90" s="250" t="str">
        <f t="shared" si="374"/>
        <v/>
      </c>
      <c r="DU90" s="250" t="str">
        <f t="shared" si="331"/>
        <v/>
      </c>
      <c r="DV90" s="250" t="str">
        <f t="shared" si="332"/>
        <v/>
      </c>
      <c r="DW90" s="250" t="str">
        <f t="shared" si="333"/>
        <v/>
      </c>
      <c r="DX90" s="250" t="str">
        <f t="shared" si="334"/>
        <v/>
      </c>
      <c r="DY90" s="250" t="str">
        <f t="shared" si="335"/>
        <v/>
      </c>
      <c r="DZ90" s="250" t="str">
        <f t="shared" si="336"/>
        <v/>
      </c>
      <c r="EA90" s="250" t="str">
        <f t="shared" si="337"/>
        <v/>
      </c>
      <c r="EB90" s="250" t="str">
        <f t="shared" si="375"/>
        <v/>
      </c>
      <c r="EC90" s="250" t="str">
        <f t="shared" si="338"/>
        <v/>
      </c>
      <c r="ED90" s="250" t="str">
        <f t="shared" si="339"/>
        <v/>
      </c>
      <c r="EE90" s="250" t="str">
        <f t="shared" si="340"/>
        <v/>
      </c>
      <c r="EF90" s="250" t="str">
        <f t="shared" si="341"/>
        <v/>
      </c>
      <c r="EG90" s="250" t="str">
        <f t="shared" si="342"/>
        <v/>
      </c>
      <c r="EH90" s="250" t="str">
        <f>IF(CD90="ERROR", "ERROR", IF(AND(OR($EH$6=Y90, Y90='Lookup Tables'!$AD$21, Y90='Lookup Tables'!$AD$22),E90="Interior"), SUM(BP90:BP90), ""))</f>
        <v/>
      </c>
      <c r="EI90" s="250" t="str">
        <f>IF(CD90="ERROR", "ERROR", IF(AND(OR($EH$6=Y90, Y90='Lookup Tables'!$AD$21, Y90='Lookup Tables'!$AD$22),E90="Exterior"), SUM(BP90:BP90), ""))</f>
        <v/>
      </c>
      <c r="EJ90" s="109"/>
      <c r="EK90" s="485" t="str">
        <f t="shared" si="343"/>
        <v/>
      </c>
      <c r="EL90" s="252" t="str">
        <f t="shared" si="376"/>
        <v/>
      </c>
      <c r="EM90" s="252" t="str">
        <f t="shared" si="377"/>
        <v/>
      </c>
      <c r="EN90" s="252" t="str">
        <f t="shared" si="378"/>
        <v/>
      </c>
      <c r="EO90" s="252" t="str">
        <f t="shared" si="379"/>
        <v/>
      </c>
      <c r="EP90" s="252" t="str">
        <f t="shared" si="380"/>
        <v/>
      </c>
      <c r="EQ90" s="252" t="str">
        <f t="shared" si="381"/>
        <v/>
      </c>
      <c r="ER90" s="252" t="str">
        <f t="shared" si="382"/>
        <v/>
      </c>
      <c r="ES90" s="252" t="str">
        <f t="shared" si="383"/>
        <v/>
      </c>
      <c r="ET90" s="252" t="str">
        <f t="shared" si="384"/>
        <v/>
      </c>
      <c r="EU90" s="252" t="str">
        <f t="shared" si="385"/>
        <v/>
      </c>
      <c r="EV90" s="252" t="str">
        <f t="shared" si="386"/>
        <v/>
      </c>
      <c r="EW90" s="252" t="str">
        <f t="shared" si="387"/>
        <v/>
      </c>
      <c r="EX90" s="252" t="str">
        <f t="shared" si="388"/>
        <v/>
      </c>
      <c r="EY90" s="252" t="str">
        <f t="shared" si="389"/>
        <v/>
      </c>
      <c r="EZ90" s="252" t="str">
        <f t="shared" si="390"/>
        <v/>
      </c>
      <c r="FA90" s="252" t="str">
        <f t="shared" si="391"/>
        <v/>
      </c>
      <c r="FB90" s="252" t="str">
        <f t="shared" si="392"/>
        <v/>
      </c>
      <c r="FC90" s="252" t="str">
        <f>IF(CD90="ERROR", "ERROR", IF(OR(V90="No Change", V90="Not DLC or Energy Star"), "", IF(AND(OR($FC$6=Y90,Y90='Lookup Tables'!$AD$21, Y90='Lookup Tables'!$AD$22),E90="Interior"), S90, "")))</f>
        <v/>
      </c>
      <c r="FD90" s="252" t="str">
        <f t="shared" si="393"/>
        <v/>
      </c>
      <c r="FE90" s="1"/>
      <c r="FF90" s="579" t="str" cm="1">
        <f t="array" ref="FF90">IFERROR(IF(OR(BQ90&lt;=0,AQ90&lt;20,AND(V90="Exit Signs",AN90&gt;0)),"",IF(AND(AQ90&gt;=20,AN90='Lookup Tables'!$R$101),'Lookup Tables'!$U$101*BQ90,AP90*LOOKUP(2,1/((AN90='Lookup Tables'!$R$91:$R$111)*(AQ90&gt;='Lookup Tables'!$S$91:$S$111)*(AQ90&lt;='Lookup Tables'!$T$91:$T$111)),'Lookup Tables'!$U$91:$U$111))),"")</f>
        <v/>
      </c>
      <c r="FG90" s="579"/>
      <c r="FH90" s="579"/>
      <c r="FI90" s="253" t="str">
        <f>IFERROR(ROUND(IF(CD90="ERROR", "ERROR", IF(AND($FI$7=X90,E90="Interior"),VLOOKUP(W90, 'Lookup Tables'!$AI$6:$AM$102, 5, FALSE)*BP90, "")), 2), "")</f>
        <v/>
      </c>
      <c r="FJ90" s="253" t="str">
        <f>IFERROR(ROUND(IF(CD90="ERROR", "ERROR", IF(AND($FI$7=X90,E90="Exterior"),VLOOKUP(W90, 'Lookup Tables'!$AI$6:$AM$102, 5, FALSE)*BP90, "")), 2), "")</f>
        <v/>
      </c>
      <c r="FK90" s="253" t="str">
        <f>IFERROR(ROUND(IF(CD90="ERROR", "ERROR", IF(AND($FK$7=X90,E90="Interior"),VLOOKUP(W90, 'Lookup Tables'!$AI$6:$AM$102, 5, FALSE)*BP90, "")), 2), "")</f>
        <v/>
      </c>
      <c r="FL90" s="253" t="str">
        <f>IFERROR(ROUND(IF(CD90="ERROR", "ERROR", IF(AND($FK$7=X90,E90="Exterior"),VLOOKUP(W90, 'Lookup Tables'!$AI$6:$AM$102, 5, FALSE)*BP90, "")), 2), "")</f>
        <v/>
      </c>
      <c r="FM90" s="253" t="str">
        <f>IFERROR(ROUND(IF(CD90="ERROR", "ERROR", IF(AND($FM$6=Y90,E90="Interior"), IF(GB90=0, VLOOKUP(W90, 'Lookup Tables'!$AI$6:$AM$102, 5, FALSE)*BP90, IF(VLOOKUP(W90, 'Lookup Tables'!$AI$6:$AM$102, 5, FALSE)*BP90&gt;GB90*'Lighting Inventory'!S90, GB90*'Lighting Inventory'!S90,VLOOKUP(W90, 'Lookup Tables'!$AI$6:$AM$102, 5, FALSE)*BP90)), "")), 2), "")</f>
        <v/>
      </c>
      <c r="FN90" s="253" t="str">
        <f>IFERROR(ROUND(IF(CD90="ERROR", "ERROR", IF(AND($FM$6=Y90,E90="Exterior"), IF(GB90=0, VLOOKUP(W90, 'Lookup Tables'!$AI$6:$AM$102, 5, FALSE)*BP90, IF(VLOOKUP(W90, 'Lookup Tables'!$AI$6:$AM$102, 5, FALSE)*BP90&gt;GB90*'Lighting Inventory'!S90, GB90*'Lighting Inventory'!S90,VLOOKUP(W90, 'Lookup Tables'!$AI$6:$AM$102, 5, FALSE)*BP90)), "")), 2), "")</f>
        <v/>
      </c>
      <c r="FO90" s="253" t="str">
        <f>IFERROR(ROUND(IF(CD90="ERROR", "ERROR", IF(AND($FO$6=Y90,E90="Interior"),VLOOKUP(W90, 'Lookup Tables'!$AI$6:$AM$102, 5, FALSE)*'Lighting Inventory'!AI90, "")), 2), "")</f>
        <v/>
      </c>
      <c r="FP90" s="253" t="str">
        <f>IFERROR(ROUND(IF(CD90="ERROR", "ERROR", IF(AND($FO$6=Y90,E90="Exterior"),VLOOKUP(W90, 'Lookup Tables'!$AI$6:$AM$102, 5, FALSE)*'Lighting Inventory'!AI90, "")), 2), "")</f>
        <v/>
      </c>
      <c r="FQ90" s="253" t="str">
        <f>IFERROR(ROUND(IF(CD90="ERROR", "ERROR", IF(AND($FQ$6=Y90,E90="Interior", BU90="Y"), VLOOKUP('Lighting Inventory'!W90, 'Lookup Tables'!$AI$6:$AM$102, 5, FALSE)*'Lighting Inventory'!S90, IF(AND($FQ$7=Y90,E90="Interior", BU90="N"), 0.025*CD90, ""))), 2), "")</f>
        <v/>
      </c>
      <c r="FR90" s="253" t="str">
        <f>IFERROR(ROUND(IF(CD90="ERROR", "ERROR", IF(AND($FQ$6=Y90,E90="Exterior"), VLOOKUP('Lighting Inventory'!W90, 'Lookup Tables'!$AI$6:$AM$102, 5, FALSE)*'Lighting Inventory'!S90, "")), 2), "")</f>
        <v/>
      </c>
      <c r="FS90" s="253" t="str">
        <f>IFERROR(ROUND(IF(CD90="ERROR", "ERROR", IF(AND($FS$6=Y90,E90="Exterior"), IF(GB90=0, VLOOKUP(W90, 'Lookup Tables'!$AI$6:$AM$102, 5, FALSE)*BP90, IF(VLOOKUP(W90, 'Lookup Tables'!$AI$6:$AM$102, 5, FALSE)*BP90&gt;GB90*'Lighting Inventory'!S90, GB90*'Lighting Inventory'!S90,VLOOKUP(W90, 'Lookup Tables'!$AI$6:$AM$102, 5, FALSE)*BP90)), "")), 2), "")</f>
        <v/>
      </c>
      <c r="FT90" s="253" t="str">
        <f>IFERROR(ROUND(IF(CD90="ERROR", "ERROR", IF(AND($FT$6=Y90,E90="Interior"), IF(GB90=0, VLOOKUP(W90, 'Lookup Tables'!$AI$6:$AM$102, 5, FALSE)*BP90, IF(VLOOKUP(W90, 'Lookup Tables'!$AI$6:$AM$102, 5, FALSE)*BP90&gt;GB90*'Lighting Inventory'!S90, GB90*'Lighting Inventory'!S90,VLOOKUP(W90, 'Lookup Tables'!$AI$6:$AM$102, 5, FALSE)*BP90)), "")), 2), "")</f>
        <v/>
      </c>
      <c r="FU90" s="253" t="str">
        <f>IFERROR(ROUND(IF(CD90="ERROR", "ERROR", IF(AND(Y90=$FU$6, E90="Interior"), IF(BS90="N", 'Lookup Tables'!$AM$101*BP90, VLOOKUP(W90, 'Lookup Tables'!$AI$6:$AM$102, 5, FALSE)*S90*AD90), "")), 2), "")</f>
        <v/>
      </c>
      <c r="FV90" s="253" t="str">
        <f>IFERROR(ROUND(IF(CD90="ERROR", "ERROR", IF(AND(Y90=$FU$6, E90="Exterior"), IF(BS90="N", 'Lookup Tables'!$AM$101*BP90, VLOOKUP(W90, 'Lookup Tables'!$AI$6:$AM$102, 5, FALSE)*S90*AD90), "")), 2), "")</f>
        <v/>
      </c>
      <c r="FW90" s="253" t="str">
        <f>IFERROR(ROUND(IF(CD90="ERROR", "ERROR", IF($FW$6=Y90, IF(BS90="N", 'Lookup Tables'!$AM$101*BP90, MIN((VLOOKUP(W90, 'Lookup Tables'!$AI$6:$AM$102, 5, FALSE)*BP90),GB90*AJ90)), "")), 2), "")</f>
        <v/>
      </c>
      <c r="FX90" s="253" t="str">
        <f>IFERROR(ROUND(IF(CD90="ERROR", "ERROR", IF(AND($FX$6=Y90, E90="Interior"), IF(VLOOKUP(W90, 'Lookup Tables'!$AI$6:$AM$102, 5, FALSE)*BP90&gt;'Lookup Tables'!$AQ$97*'Lighting Inventory'!S90,'Lighting Inventory'!S90*'Lookup Tables'!$AQ$97,VLOOKUP(W90, 'Lookup Tables'!$AI$6:$AM$102, 5, FALSE)*BP90), "")), 2), "")</f>
        <v/>
      </c>
      <c r="FY90" s="253" t="str">
        <f>IFERROR(ROUND(IF(CD90="ERROR", "ERROR", IF(AND($FX$6=Y90, E90="Exterior"), IF(VLOOKUP(W90, 'Lookup Tables'!$AI$6:$AM$102, 5, FALSE)*BP90&gt;'Lookup Tables'!$AQ$97*'Lighting Inventory'!S90,'Lighting Inventory'!S90*'Lookup Tables'!$AQ$97,VLOOKUP(W90, 'Lookup Tables'!$AI$6:$AM$102, 5, FALSE)*BP90), "")), 2), "")</f>
        <v/>
      </c>
      <c r="FZ90" s="253" t="str">
        <f>IFERROR(ROUND(IF(CD90="ERROR", "ERROR", IF(AND($FZ$6=Y90, E90="Interior"), IF(AND(OR(W90="Refrigerated Case Lighting with Doors", W90="Freezer Case Lighting"),Y90="Custom - Process Improvement"),CD90*'Lookup Tables'!$AM$101, IF(B90="Retrofit", IF(VLOOKUP(IF(V90="Custom", V90, W90), 'Lookup Tables'!$AI$6:$AM$102, 5, FALSE)*BP90&gt;GE90, GE90, VLOOKUP(IF(V90="Custom", V90, W90), 'Lookup Tables'!$AI$6:$AM$102, 5, FALSE)*BP90), IF(VLOOKUP(IF(V90="Custom", V90, W90), 'Lookup Tables'!$AI$114:$AM$154, 5, FALSE)*BP90&gt;GE90, GE90, VLOOKUP(IF(V90="Custom", V90, W90), 'Lookup Tables'!$AI$114:$AM$154, 5, FALSE)*BP90))), "")), 2),"")</f>
        <v/>
      </c>
      <c r="GA90" s="253" t="str">
        <f>IFERROR(ROUND(IF(CD90="ERROR", "ERROR", IF(AND($FZ$6=Y90, E90="Exterior"), IF(B90="Retrofit", IF(VLOOKUP(IF(V90="Custom", V90, W90), 'Lookup Tables'!$AI$6:$AM$102, 5, FALSE)*BP90&gt;GE90, GE90, VLOOKUP(IF(V90="Custom", V90, W90), 'Lookup Tables'!$AI$6:$AM$102, 5, FALSE)*BP90), IF(VLOOKUP(IF(V90="Custom", V90, W90), 'Lookup Tables'!$AI$114:$AM$154, 5, FALSE)*BP90&gt;GE90, GE90, VLOOKUP(IF(V90="Custom", V90, W90), 'Lookup Tables'!$AI$114:$AM$154, 5, FALSE)*BP90)), "")), 2),"")</f>
        <v/>
      </c>
      <c r="GB90" s="254" t="str">
        <f t="array" ref="GB90">IF(B90="","",IF(OR(V90="Custom",V90="No Change"),0,IF(B90="Retrofit", INDEX('Lookup Tables'!$AH$6:$AQ$102,MATCH(1,('Lookup Tables'!$AH$6:$AH$102='Lighting Inventory'!V90)*('Lookup Tables'!$AI$6:$AI$102='Lighting Inventory'!W90),FALSE),10),INDEX('Lookup Tables'!$AH$114:$AQ$154,MATCH(1,('Lookup Tables'!$AH$114:$AH$154='Lighting Inventory'!V90)*('Lookup Tables'!$AI$114:$AI$154='Lighting Inventory'!W90),FALSE),10))))</f>
        <v/>
      </c>
      <c r="GC90" s="255" t="str">
        <f t="shared" si="344"/>
        <v/>
      </c>
      <c r="GD90" s="250" t="str">
        <f t="shared" si="345"/>
        <v/>
      </c>
      <c r="GE90" s="253" t="str">
        <f>IFERROR(IF(AND(AF90="", 'General Information'!$F$18="No"),"", IF(AF90="", ((GD90/$CD$266)*$CF$266)*0.5, AF90*S90*0.5)), "")</f>
        <v/>
      </c>
      <c r="GF90" s="255" t="str">
        <f>IF(AND('General Information'!$F$19="", 'General Information'!$F$18="Yes",AF90="",BW90="Y"), "Y", "N")</f>
        <v>N</v>
      </c>
      <c r="GG90" s="255" t="s">
        <v>2946</v>
      </c>
      <c r="GH90" s="255" t="str">
        <f>IFERROR(IF(B90="", "", VLOOKUP(J90, 'Fixture Identities'!$A$6:$N$908, 14, FALSE)), "")</f>
        <v/>
      </c>
      <c r="GI90" s="389" t="str">
        <f>IF(OR(B90="", V90="", W90=""), "", IF(AND(OR(M90='Lookup Tables'!$R$18, M90='Lookup Tables'!$R$19, M90='Lookup Tables'!$R$20, M90='Lookup Tables'!$R$21, M90='Lookup Tables'!$R$22), OR(AN90='Lookup Tables'!$R$17, AN90='Lookup Tables'!$R$17, AN90="")), "Y", "N"))</f>
        <v/>
      </c>
      <c r="GJ90" s="255" t="str">
        <f t="shared" si="346"/>
        <v/>
      </c>
      <c r="GK90" s="255" t="str">
        <f t="shared" si="347"/>
        <v/>
      </c>
      <c r="GL90" s="255" t="str">
        <f t="shared" si="348"/>
        <v/>
      </c>
      <c r="GM90" s="255" t="str">
        <f>IF(AN90="", "", IF(AND(IF(ISNA(VLOOKUP(AN90,'Lookup Tables'!$R$18:$R$22,1,FALSE)), "N", "Y")="Y", E90="Exterior"), "Y", "N"))</f>
        <v/>
      </c>
      <c r="GN90" s="395"/>
      <c r="GO90" s="428">
        <f t="shared" si="394"/>
        <v>0</v>
      </c>
      <c r="GP90" s="428">
        <f t="shared" si="397"/>
        <v>0</v>
      </c>
      <c r="GQ90" s="428">
        <f t="shared" si="395"/>
        <v>0</v>
      </c>
      <c r="GR90" s="428">
        <f t="shared" si="396"/>
        <v>0</v>
      </c>
    </row>
    <row r="91" spans="1:200" s="103" customFormat="1" ht="13.5" customHeight="1" x14ac:dyDescent="0.2">
      <c r="A91" s="272">
        <v>81</v>
      </c>
      <c r="B91" s="110"/>
      <c r="C91" s="110"/>
      <c r="D91" s="110"/>
      <c r="E91" s="110"/>
      <c r="F91" s="110"/>
      <c r="G91" s="110"/>
      <c r="H91" s="110"/>
      <c r="I91" s="29"/>
      <c r="J91" s="29"/>
      <c r="K91" s="272" t="str">
        <f>IFERROR(IF(OR(VLOOKUP(J91, 'Fixture Identities'!$A$6:$L$1023, 3, FALSE)="T12 Linear Fluorescent", VLOOKUP(J91, 'Fixture Identities'!$A$6:$L$1023, 3, FALSE)="T12 U-Tube Fluorescent"), VLOOKUP(VLOOKUP(J91, 'Fixture Identities'!$A$6:$L$1023, 11, FALSE), 'Fixture Identities'!$A$6:$L$1023, 10, FALSE), VLOOKUP(J91, 'Fixture Identities'!$A$6:$L$1023, 10, FALSE)), "")</f>
        <v/>
      </c>
      <c r="L91" s="270" t="str">
        <f t="shared" si="399"/>
        <v/>
      </c>
      <c r="M91" s="110"/>
      <c r="N91" s="110"/>
      <c r="O91" s="110"/>
      <c r="P91" s="272" t="str">
        <f>IFERROR(IF(OR(B91="Retrofit",B91=""),"",IF('Lighting Inventory'!E91="Exterior",VLOOKUP('Lighting Inventory'!N91,'Lookup Tables'!$B$83:$F$103,5,FALSE),IF(N91="Other - Please Estimate EFLH and CFs","Contact Prog. Rep.","ft^2"))), "")</f>
        <v/>
      </c>
      <c r="Q91" s="270" t="str">
        <f>IFERROR(IF(AND(B91="New Construction",E91="Interior",$F$5="Space-by-Space"),VLOOKUP('Lighting Inventory'!N91,'Lookup Tables'!$N$6:$O$97,2,FALSE),IF(AND(B91="New Construction",E91="Exterior"),VLOOKUP(N91,'Lookup Tables'!$B$83:$F$103,2,FALSE),IF(AND(B91="New Construction",'Lighting Inventory'!E91="Interior", $F$5="Building Area"),VLOOKUP(F91,'Lookup Tables'!$A$6:$J$59,10,FALSE),""))), "")</f>
        <v/>
      </c>
      <c r="R91" s="270" t="str">
        <f>IFERROR(IF(P91="Contact Prog. Rep.", "ERROR", IF(OR(B91="",B91="Retrofit"),"",IF(N91="Automated teller machines", ('Lookup Tables'!$A$82:$E$100+('Lighting Inventory'!O91-1)*'Lookup Tables'!$A$82:$E$100)/1000, (Q91*O91)/1000))), "")</f>
        <v/>
      </c>
      <c r="S91" s="595"/>
      <c r="T91" s="105" t="str">
        <f t="shared" si="349"/>
        <v/>
      </c>
      <c r="U91" s="105" t="str">
        <f>IF(S91="","",COUNT($S$11:S91))</f>
        <v/>
      </c>
      <c r="V91" s="111"/>
      <c r="W91" s="112"/>
      <c r="X91" s="105" t="str">
        <f t="shared" si="350"/>
        <v/>
      </c>
      <c r="Y91" s="105" t="str">
        <f t="array" ref="Y91">IF(AND(OR(W91="Freezer Case Lighting", W91="Refrigerated Case Lighting with Doors"), 'General Information'!$X$18="LCI"),'Lookup Tables'!$Y$34, IF(V91="Custom", VLOOKUP(W91, 'Fixture Identities'!$A$974:$M$1023, 13, FALSE), IF(V91="No Change",'Lookup Tables'!$Y$29,IF(OR(V91="",W91=""),"",IF(AND(S91=0,S91&lt;I91,B91="Retrofit"),'Lookup Tables'!$Y$25, IF(B91="Retrofit", INDEX('Lookup Tables'!$AH$6:$AP$102, MATCH(1, ('Lookup Tables'!$AH$6:$AH$102=V91)*('Lookup Tables'!$AI$6:$AI$102=W91), 0), IF('Lighting Inventory'!E91="Interior", 4, 5)), INDEX('Lookup Tables'!$AH$114:$AP$154, MATCH(1, ('Lookup Tables'!$AH$114:$AH$154=V91)*('Lookup Tables'!$AI$114:$AI$154=W91), 0), IF('Lighting Inventory'!E91="Interior", 4, 5))))))))</f>
        <v/>
      </c>
      <c r="Z91" s="105" t="str">
        <f>IFERROR(INDEX('Lookup Tables'!$AH$158:$AH$172,MATCH('Lighting Inventory'!Y91,'Lookup Tables'!$AI$158:$AI$172,0)),"")</f>
        <v/>
      </c>
      <c r="AA91" s="105" t="str">
        <f>IF(AP91&gt;0,INDEX('Lookup Tables'!$AK$158:$AK$172,MATCH('Lighting Inventory'!Y91,'Lookup Tables'!$AI$158:$AI$172,0)),'Lighting Inventory'!Y91)</f>
        <v/>
      </c>
      <c r="AB91" s="105" t="str">
        <f t="array" ref="AB91">IF(V91="Custom", "Custom", IF(V91="", "", IF(V91="Not DLC or Energy Star", "General", IF(B91="New Construction", INDEX('Lookup Tables'!$AH$114:$AP$154,MATCH(1,('Lookup Tables'!$AH$114:$AH$154='Lighting Inventory'!V91)*('Lookup Tables'!$AI$114:$AI$154='Lighting Inventory'!W91),FALSE),8), INDEX('Lookup Tables'!$AH$6:$AP$102,MATCH(1,('Lookup Tables'!$AH$6:$AH$102='Lighting Inventory'!V91)*('Lookup Tables'!$AI$6:$AI$102='Lighting Inventory'!W91),FALSE),8)))))</f>
        <v/>
      </c>
      <c r="AC91" s="272" t="str">
        <f>IF(W91="","",IF(V91="Custom",CONCATENATE("$",'Lookup Tables'!$AM$101," ",'Lookup Tables'!$AN$101),CONCATENATE("$",INDEX('Lookup Tables'!$AM$6:$AM$102,MATCH('Lighting Inventory'!W91,'Lookup Tables'!$AI$6:$AI$102,0))," ",INDEX('Lookup Tables'!$AN$6:$AN$102,MATCH('Lighting Inventory'!W91,'Lookup Tables'!$AI$6:$AI$102,0)))))</f>
        <v/>
      </c>
      <c r="AD91" s="72"/>
      <c r="AE91" s="29"/>
      <c r="AF91" s="379"/>
      <c r="AG91" s="370" t="str">
        <f t="shared" si="298"/>
        <v/>
      </c>
      <c r="AH91" s="370" t="str">
        <f t="shared" si="351"/>
        <v/>
      </c>
      <c r="AI91" s="29"/>
      <c r="AJ91" s="29"/>
      <c r="AK91" s="110"/>
      <c r="AL91" s="375" t="str">
        <f>IF(OR(B91="", V91="", W91=""), "", IF(V91="No Change", K91, IF(V91="Remove Fixture", 0, IF(V91="Custom",VLOOKUP(W91,'Fixture Identities'!$A$6:$K$1023,10,FALSE),IF(AE91="", "← ENTER POST WATTS", 'Lighting Inventory'!AE91)))))</f>
        <v/>
      </c>
      <c r="AM91" s="376" t="str">
        <f t="shared" si="299"/>
        <v/>
      </c>
      <c r="AN91" s="29"/>
      <c r="AO91" s="671"/>
      <c r="AP91" s="29"/>
      <c r="AQ91" s="29"/>
      <c r="AR91" s="29"/>
      <c r="AS91" s="272" t="str">
        <f t="shared" si="352"/>
        <v/>
      </c>
      <c r="AT91" s="270" t="str">
        <f t="shared" si="300"/>
        <v/>
      </c>
      <c r="AU91" s="88" t="str">
        <f t="shared" si="400"/>
        <v/>
      </c>
      <c r="AV91" s="29"/>
      <c r="AW91" s="73"/>
      <c r="AX91" s="271" t="str">
        <f>IF(AND(AV91="Applicant",OR(AW91="", AW91="Use Default Facility Hours")),"← Choose Schedule",IF(F91="","",IF(W91="LED Exit Signs",8760,IF(OR(AV91="Prescribed",AV91=""),VLOOKUP(F91,'Lookup Tables'!$A$6:$G$59,IF(AB91="General", 6, 3),FALSE),VLOOKUP(AW91,'Lookup Tables'!$S$36:$U$43,2,FALSE)))))</f>
        <v/>
      </c>
      <c r="AY91" s="88" t="str">
        <f t="shared" si="301"/>
        <v/>
      </c>
      <c r="AZ91" s="270" t="str">
        <f>IFERROR(IF(F91="", "", IF(W91="LED Exit Signs", 1, IF(AV91="Applicant",VLOOKUP(AW91, 'Lookup Tables'!$S$36:$U$43,3, FALSE), VLOOKUP('Lighting Inventory'!F91, 'Lookup Tables'!$A$6:$H$59, IF('Lighting Inventory'!AB91="General",7,4), FALSE)))), "")</f>
        <v/>
      </c>
      <c r="BA91" s="522" t="str">
        <f>IFERROR(IF(F91="", "", IF(W91="LED Exit Signs", 1, VLOOKUP('Lighting Inventory'!F91, 'Lookup Tables'!$A$6:$H$59, IF('Lighting Inventory'!AB91="General",8,5), FALSE))), "")</f>
        <v/>
      </c>
      <c r="BB91" s="270" t="str">
        <f>IF(G91="", "", IF(E91="Exterior", 0, IF('Lighting Inventory'!G91="Air Conditioned", VLOOKUP(H91, 'Lookup Tables'!$R$6:$T$13, 2, FALSE), VLOOKUP('Lighting Inventory'!G91, 'Lookup Tables'!$R$6:$T$13, 2, FALSE))))</f>
        <v/>
      </c>
      <c r="BC91" s="522" t="str">
        <f>IF(G91="", "", IF(E91="Exterior", 0, IF('Lighting Inventory'!G91="Air Conditioned", VLOOKUP(H91, 'Lookup Tables'!$R$6:$T$13, 3, FALSE), VLOOKUP('Lighting Inventory'!G91, 'Lookup Tables'!$R$6:$T$13, 3, FALSE))))</f>
        <v/>
      </c>
      <c r="BD91" s="270" t="str">
        <f>IF(G91="", "", IF(E91="Exterior", 0, IF('Lighting Inventory'!G91="Air Conditioned", VLOOKUP(H91, 'Lookup Tables'!$R$6:$U$13, 4, FALSE), VLOOKUP('Lighting Inventory'!G91, 'Lookup Tables'!$R$6:$U$13, 4, FALSE))))</f>
        <v/>
      </c>
      <c r="BE91" s="270" t="str">
        <f>IFERROR(IF(B91="", "",  IF(B91="New Construction", VLOOKUP(F91, 'Lookup Tables'!$A$6:$K$59, 11, FALSE),IF(OR(AN91="", AN91="Light Switch"), 0, IF(OR(M91="",M91="None",V91= "LED Exit Signs"),0,_xlfn.XLOOKUP(M91,'Lookup Tables'!$R$91:$R$101,'Lookup Tables'!$V$91:$V$101))))), "")</f>
        <v/>
      </c>
      <c r="BF91" s="270" t="str">
        <f>IF(AND(OR(AN91="Light Switch",AN91=""),B91="New Construction"), VLOOKUP(F91, 'Lookup Tables'!$A$6:$K$59, 11, FALSE),IF(AN91="","",IF(B91="","",IF(OR(AN91="None",AN91="",V91="LED Exit Signs",AN91="Exterior Controls Not Eligible"),0,_xlfn.XLOOKUP(AN91,'Lookup Tables'!$R$91:$R$101,'Lookup Tables'!$V$91:$V$101)))))</f>
        <v/>
      </c>
      <c r="BG91" s="88" t="str">
        <f t="shared" si="353"/>
        <v/>
      </c>
      <c r="BH91" s="88" t="str">
        <f t="shared" si="354"/>
        <v/>
      </c>
      <c r="BI91" s="558" t="str">
        <f t="shared" si="398"/>
        <v/>
      </c>
      <c r="BJ91" s="82" t="str">
        <f t="shared" si="355"/>
        <v/>
      </c>
      <c r="BK91" s="82" t="str">
        <f t="shared" si="356"/>
        <v/>
      </c>
      <c r="BL91" s="559" t="str">
        <f t="shared" si="357"/>
        <v/>
      </c>
      <c r="BM91" s="521" t="str">
        <f t="shared" si="302"/>
        <v/>
      </c>
      <c r="BN91" s="521" t="str">
        <f t="shared" si="303"/>
        <v/>
      </c>
      <c r="BO91" s="522" t="str">
        <f t="shared" si="304"/>
        <v/>
      </c>
      <c r="BP91" s="83" t="str">
        <f t="shared" si="358"/>
        <v/>
      </c>
      <c r="BQ91" s="84" t="str">
        <f t="shared" si="359"/>
        <v/>
      </c>
      <c r="BR91" s="184" t="str">
        <f>IFERROR(IF(B91="", "", IF(OR(VLOOKUP(J91, 'Fixture Identities'!$A$6:$L$1023, 3, FALSE)="T12 Linear Fluorescent",VLOOKUP(J91, 'Fixture Identities'!$A$6:$L$1023, 3, FALSE)="T12 U-Tube Fluorescent"), "Y", "N")), "N")</f>
        <v/>
      </c>
      <c r="BS91" s="184" t="str">
        <f t="array" ref="BS91">IFERROR(IF(OR(B91="", V91="", W91=""), "", IF(V91="Custom", "N", IF(OR(W91="Freezer Case Lighting", W91="Refrigerated Case Lighting with Doors"), BT91, IF(B91="Retrofit", INDEX('Lookup Tables'!$AH$6:$AT$102,MATCH(1,('Lookup Tables'!$AH$6:$AH$102=V91)*('Lookup Tables'!$AI$6:$AI$102=W91),FALSE),IF(VLOOKUP(J91, 'Fixture Identities'!$A$6:$B$1023, 2, FALSE)="Incandescent",12, 13)), INDEX('Lookup Tables'!$AH$114:$AS$154,MATCH(1,('Lookup Tables'!$AH$114:$AH$154=V91)*('Lookup Tables'!$AI$114:$AI$154=W91),FALSE),12))))), "N")</f>
        <v/>
      </c>
      <c r="BT91" s="184" t="str">
        <f>IF(J91="", "", IF(AND(OR(W91="Freezer case Lighting", W91="Refrigerated Case Lighting with Doors"),'General Information'!$X$18="LCI"), "N", IF(OR(VLOOKUP(J91, 'Fixture Identities'!$A$6:$B$1023, 2, FALSE)="T12 EPACT/EISA Baseline", VLOOKUP(J91, 'Fixture Identities'!$A$6:$B$1023, 2, FALSE)="Linear Fluorescent", VLOOKUP(J91, 'Fixture Identities'!$A$6:$B$1023, 2, FALSE)="U-Tube Fluorescent"), "Y", "N")))</f>
        <v/>
      </c>
      <c r="BU91" s="184" t="str">
        <f>IFERROR(IF(B91="", "", IF(VLOOKUP(J91, 'Fixture Identities'!$A$6:$B$1023, 2, FALSE)="Exit Sign", "Y", "N")), "N")</f>
        <v/>
      </c>
      <c r="BV91" s="184" t="str">
        <f>IF(V91="Exit Signs", IF(VLOOKUP(J91, 'Fixture Identities'!$A$6:$B$1023, 2, FALSE)="Exit Sign", "N", "Y"), "")</f>
        <v/>
      </c>
      <c r="BW91" s="184" t="str">
        <f t="array" ref="BW91">IFERROR(IF(B91="", "", IF(B91="New Construction", "N", INDEX('Lookup Tables'!$AH$6:$AU$102, MATCH(1, ('Lookup Tables'!$AH$6:$AH$102='Lighting Inventory'!V91)*('Lookup Tables'!$AI$6:$AI$102='Lighting Inventory'!W91), 0), 14))), "N")</f>
        <v/>
      </c>
      <c r="BX91" s="598" t="str">
        <f t="shared" si="360"/>
        <v/>
      </c>
      <c r="BY91" s="598" t="str">
        <f t="shared" si="361"/>
        <v/>
      </c>
      <c r="BZ91" s="598" t="str">
        <f t="shared" si="362"/>
        <v/>
      </c>
      <c r="CA91" s="598" t="str">
        <f t="shared" si="363"/>
        <v/>
      </c>
      <c r="CB91" s="269" t="str">
        <f t="shared" si="364"/>
        <v/>
      </c>
      <c r="CC91" s="517" t="str">
        <f t="shared" si="365"/>
        <v/>
      </c>
      <c r="CD91" s="565" t="str">
        <f t="shared" si="305"/>
        <v/>
      </c>
      <c r="CE91" s="368">
        <v>0</v>
      </c>
      <c r="CF91" s="368" t="str" cm="1">
        <f t="array" ref="CF91">IFERROR(IF(V91="Custom", "$0.1 per kWh", IF(B91="New Construction", CONCATENATE("$",INDEX('Lookup Tables'!$AH$114:$AN$154,MATCH(1,('Lookup Tables'!$AH$114:$AH$154='Lighting Inventory'!V91)*('Lookup Tables'!$AI$114:$AI$154='Lighting Inventory'!W91),FALSE),6)," ",INDEX('Lookup Tables'!$AH$114:$AN$154,MATCH(1,('Lookup Tables'!$AH$114:$AH$154='Lighting Inventory'!V91)*('Lookup Tables'!$AI$114:$AI$154='Lighting Inventory'!W91),FALSE),7)), IF(AND(BU91="N", V91="Exit Signs"), "$0.025 per kWh", CONCATENATE("$",INDEX('Lookup Tables'!$AH$6:$AN$102,MATCH(1,('Lookup Tables'!$AH$6:$AH$102='Lighting Inventory'!V91)*('Lookup Tables'!$AI$6:$AI$102='Lighting Inventory'!W91),FALSE),6)," ",INDEX('Lookup Tables'!$AH$6:$AN$102,MATCH(1,('Lookup Tables'!$AH$6:$AH$102='Lighting Inventory'!V91)*('Lookup Tables'!$AI$6:$AI$102='Lighting Inventory'!W91),FALSE),7))))), "")</f>
        <v/>
      </c>
      <c r="CG91" s="366"/>
      <c r="CH91" s="248" t="str">
        <f t="shared" si="306"/>
        <v/>
      </c>
      <c r="CI91" s="248" t="str">
        <f t="shared" si="307"/>
        <v>Select_IE</v>
      </c>
      <c r="CJ91" s="248" t="str">
        <f t="shared" si="308"/>
        <v/>
      </c>
      <c r="CK91" s="248" t="str">
        <f t="shared" si="309"/>
        <v/>
      </c>
      <c r="CL91" s="248" t="str">
        <f t="shared" si="310"/>
        <v/>
      </c>
      <c r="CM91" s="248" t="str">
        <f>IFERROR(IF(B91="", "", IF(B91="New Construction", VLOOKUP(V91, 'Lookup Tables'!$AF$114:$AG$120, 2, FALSE), VLOOKUP(V91, 'Lookup Tables'!$AD$6:$AE$25, 2, FALSE))), "")</f>
        <v/>
      </c>
      <c r="CN91" s="248" t="str">
        <f t="shared" si="311"/>
        <v/>
      </c>
      <c r="CO91" s="248" t="str">
        <f t="shared" si="312"/>
        <v/>
      </c>
      <c r="CP91" s="592" t="str">
        <f t="shared" si="313"/>
        <v/>
      </c>
      <c r="CQ91" s="248" t="str">
        <f t="shared" si="366"/>
        <v/>
      </c>
      <c r="CR91" s="100"/>
      <c r="CS91" s="250" t="str">
        <f t="shared" si="314"/>
        <v/>
      </c>
      <c r="CT91" s="250" t="str">
        <f t="shared" si="367"/>
        <v/>
      </c>
      <c r="CU91" s="250" t="str">
        <f t="shared" si="368"/>
        <v/>
      </c>
      <c r="CV91" s="250" t="str">
        <f t="shared" si="369"/>
        <v/>
      </c>
      <c r="CW91" s="250" t="str">
        <f t="shared" si="370"/>
        <v/>
      </c>
      <c r="CX91" s="250" t="str">
        <f t="shared" si="315"/>
        <v/>
      </c>
      <c r="CY91" s="250" t="str">
        <f t="shared" si="316"/>
        <v/>
      </c>
      <c r="CZ91" s="250" t="str">
        <f t="shared" si="317"/>
        <v/>
      </c>
      <c r="DA91" s="250" t="str">
        <f t="shared" si="318"/>
        <v/>
      </c>
      <c r="DB91" s="250" t="str">
        <f t="shared" si="319"/>
        <v/>
      </c>
      <c r="DC91" s="250" t="str">
        <f t="shared" si="320"/>
        <v/>
      </c>
      <c r="DD91" s="250" t="str">
        <f t="shared" si="321"/>
        <v/>
      </c>
      <c r="DE91" s="250" t="str">
        <f t="shared" si="322"/>
        <v/>
      </c>
      <c r="DF91" s="250" t="str">
        <f t="shared" si="323"/>
        <v/>
      </c>
      <c r="DG91" s="250" t="str">
        <f t="shared" si="324"/>
        <v/>
      </c>
      <c r="DH91" s="250" t="str">
        <f t="shared" si="325"/>
        <v/>
      </c>
      <c r="DI91" s="250" t="str">
        <f t="shared" si="326"/>
        <v/>
      </c>
      <c r="DJ91" s="250" t="str">
        <f t="shared" si="327"/>
        <v/>
      </c>
      <c r="DK91" s="250" t="str">
        <f t="shared" si="328"/>
        <v/>
      </c>
      <c r="DL91" s="250" t="str">
        <f t="shared" si="329"/>
        <v/>
      </c>
      <c r="DM91" s="250" t="str">
        <f>IF(CD91="ERROR", "ERROR", IF(AND(OR(Y91=$DM$6, Y91='Lookup Tables'!$AD$21, Y91='Lookup Tables'!$AD$22), E91="Interior"), BJ91, ""))</f>
        <v/>
      </c>
      <c r="DN91" s="250" t="str">
        <f>IF(CD91="ERROR", "ERROR", IF(AND(OR(Y91=$DM$6, Y91='Lookup Tables'!$AD$21, Y91='Lookup Tables'!$AD$22), E91="Exterior"), BJ91, ""))</f>
        <v/>
      </c>
      <c r="DO91" s="100"/>
      <c r="DP91" s="250" t="str">
        <f t="shared" si="330"/>
        <v/>
      </c>
      <c r="DQ91" s="250" t="str">
        <f t="shared" si="371"/>
        <v/>
      </c>
      <c r="DR91" s="250" t="str">
        <f t="shared" si="372"/>
        <v/>
      </c>
      <c r="DS91" s="250" t="str">
        <f t="shared" si="373"/>
        <v/>
      </c>
      <c r="DT91" s="250" t="str">
        <f t="shared" si="374"/>
        <v/>
      </c>
      <c r="DU91" s="250" t="str">
        <f t="shared" si="331"/>
        <v/>
      </c>
      <c r="DV91" s="250" t="str">
        <f t="shared" si="332"/>
        <v/>
      </c>
      <c r="DW91" s="250" t="str">
        <f t="shared" si="333"/>
        <v/>
      </c>
      <c r="DX91" s="250" t="str">
        <f t="shared" si="334"/>
        <v/>
      </c>
      <c r="DY91" s="250" t="str">
        <f t="shared" si="335"/>
        <v/>
      </c>
      <c r="DZ91" s="250" t="str">
        <f t="shared" si="336"/>
        <v/>
      </c>
      <c r="EA91" s="250" t="str">
        <f t="shared" si="337"/>
        <v/>
      </c>
      <c r="EB91" s="250" t="str">
        <f t="shared" si="375"/>
        <v/>
      </c>
      <c r="EC91" s="250" t="str">
        <f t="shared" si="338"/>
        <v/>
      </c>
      <c r="ED91" s="250" t="str">
        <f t="shared" si="339"/>
        <v/>
      </c>
      <c r="EE91" s="250" t="str">
        <f t="shared" si="340"/>
        <v/>
      </c>
      <c r="EF91" s="250" t="str">
        <f t="shared" si="341"/>
        <v/>
      </c>
      <c r="EG91" s="250" t="str">
        <f t="shared" si="342"/>
        <v/>
      </c>
      <c r="EH91" s="250" t="str">
        <f>IF(CD91="ERROR", "ERROR", IF(AND(OR($EH$6=Y91, Y91='Lookup Tables'!$AD$21, Y91='Lookup Tables'!$AD$22),E91="Interior"), SUM(BP91:BP91), ""))</f>
        <v/>
      </c>
      <c r="EI91" s="250" t="str">
        <f>IF(CD91="ERROR", "ERROR", IF(AND(OR($EH$6=Y91, Y91='Lookup Tables'!$AD$21, Y91='Lookup Tables'!$AD$22),E91="Exterior"), SUM(BP91:BP91), ""))</f>
        <v/>
      </c>
      <c r="EJ91" s="109"/>
      <c r="EK91" s="485" t="str">
        <f t="shared" si="343"/>
        <v/>
      </c>
      <c r="EL91" s="252" t="str">
        <f t="shared" si="376"/>
        <v/>
      </c>
      <c r="EM91" s="252" t="str">
        <f t="shared" si="377"/>
        <v/>
      </c>
      <c r="EN91" s="252" t="str">
        <f t="shared" si="378"/>
        <v/>
      </c>
      <c r="EO91" s="252" t="str">
        <f t="shared" si="379"/>
        <v/>
      </c>
      <c r="EP91" s="252" t="str">
        <f t="shared" si="380"/>
        <v/>
      </c>
      <c r="EQ91" s="252" t="str">
        <f t="shared" si="381"/>
        <v/>
      </c>
      <c r="ER91" s="252" t="str">
        <f t="shared" si="382"/>
        <v/>
      </c>
      <c r="ES91" s="252" t="str">
        <f t="shared" si="383"/>
        <v/>
      </c>
      <c r="ET91" s="252" t="str">
        <f t="shared" si="384"/>
        <v/>
      </c>
      <c r="EU91" s="252" t="str">
        <f t="shared" si="385"/>
        <v/>
      </c>
      <c r="EV91" s="252" t="str">
        <f t="shared" si="386"/>
        <v/>
      </c>
      <c r="EW91" s="252" t="str">
        <f t="shared" si="387"/>
        <v/>
      </c>
      <c r="EX91" s="252" t="str">
        <f t="shared" si="388"/>
        <v/>
      </c>
      <c r="EY91" s="252" t="str">
        <f t="shared" si="389"/>
        <v/>
      </c>
      <c r="EZ91" s="252" t="str">
        <f t="shared" si="390"/>
        <v/>
      </c>
      <c r="FA91" s="252" t="str">
        <f t="shared" si="391"/>
        <v/>
      </c>
      <c r="FB91" s="252" t="str">
        <f t="shared" si="392"/>
        <v/>
      </c>
      <c r="FC91" s="252" t="str">
        <f>IF(CD91="ERROR", "ERROR", IF(OR(V91="No Change", V91="Not DLC or Energy Star"), "", IF(AND(OR($FC$6=Y91,Y91='Lookup Tables'!$AD$21, Y91='Lookup Tables'!$AD$22),E91="Interior"), S91, "")))</f>
        <v/>
      </c>
      <c r="FD91" s="252" t="str">
        <f t="shared" si="393"/>
        <v/>
      </c>
      <c r="FE91" s="101"/>
      <c r="FF91" s="579" t="str" cm="1">
        <f t="array" ref="FF91">IFERROR(IF(OR(BQ91&lt;=0,AQ91&lt;20,AND(V91="Exit Signs",AN91&gt;0)),"",IF(AND(AQ91&gt;=20,AN91='Lookup Tables'!$R$101),'Lookup Tables'!$U$101*BQ91,AP91*LOOKUP(2,1/((AN91='Lookup Tables'!$R$91:$R$111)*(AQ91&gt;='Lookup Tables'!$S$91:$S$111)*(AQ91&lt;='Lookup Tables'!$T$91:$T$111)),'Lookup Tables'!$U$91:$U$111))),"")</f>
        <v/>
      </c>
      <c r="FG91" s="579"/>
      <c r="FH91" s="579"/>
      <c r="FI91" s="253" t="str">
        <f>IFERROR(ROUND(IF(CD91="ERROR", "ERROR", IF(AND($FI$7=X91,E91="Interior"),VLOOKUP(W91, 'Lookup Tables'!$AI$6:$AM$102, 5, FALSE)*BP91, "")), 2), "")</f>
        <v/>
      </c>
      <c r="FJ91" s="253" t="str">
        <f>IFERROR(ROUND(IF(CD91="ERROR", "ERROR", IF(AND($FI$7=X91,E91="Exterior"),VLOOKUP(W91, 'Lookup Tables'!$AI$6:$AM$102, 5, FALSE)*BP91, "")), 2), "")</f>
        <v/>
      </c>
      <c r="FK91" s="253" t="str">
        <f>IFERROR(ROUND(IF(CD91="ERROR", "ERROR", IF(AND($FK$7=X91,E91="Interior"),VLOOKUP(W91, 'Lookup Tables'!$AI$6:$AM$102, 5, FALSE)*BP91, "")), 2), "")</f>
        <v/>
      </c>
      <c r="FL91" s="253" t="str">
        <f>IFERROR(ROUND(IF(CD91="ERROR", "ERROR", IF(AND($FK$7=X91,E91="Exterior"),VLOOKUP(W91, 'Lookup Tables'!$AI$6:$AM$102, 5, FALSE)*BP91, "")), 2), "")</f>
        <v/>
      </c>
      <c r="FM91" s="253" t="str">
        <f>IFERROR(ROUND(IF(CD91="ERROR", "ERROR", IF(AND($FM$6=Y91,E91="Interior"), IF(GB91=0, VLOOKUP(W91, 'Lookup Tables'!$AI$6:$AM$102, 5, FALSE)*BP91, IF(VLOOKUP(W91, 'Lookup Tables'!$AI$6:$AM$102, 5, FALSE)*BP91&gt;GB91*'Lighting Inventory'!S91, GB91*'Lighting Inventory'!S91,VLOOKUP(W91, 'Lookup Tables'!$AI$6:$AM$102, 5, FALSE)*BP91)), "")), 2), "")</f>
        <v/>
      </c>
      <c r="FN91" s="253" t="str">
        <f>IFERROR(ROUND(IF(CD91="ERROR", "ERROR", IF(AND($FM$6=Y91,E91="Exterior"), IF(GB91=0, VLOOKUP(W91, 'Lookup Tables'!$AI$6:$AM$102, 5, FALSE)*BP91, IF(VLOOKUP(W91, 'Lookup Tables'!$AI$6:$AM$102, 5, FALSE)*BP91&gt;GB91*'Lighting Inventory'!S91, GB91*'Lighting Inventory'!S91,VLOOKUP(W91, 'Lookup Tables'!$AI$6:$AM$102, 5, FALSE)*BP91)), "")), 2), "")</f>
        <v/>
      </c>
      <c r="FO91" s="253" t="str">
        <f>IFERROR(ROUND(IF(CD91="ERROR", "ERROR", IF(AND($FO$6=Y91,E91="Interior"),VLOOKUP(W91, 'Lookup Tables'!$AI$6:$AM$102, 5, FALSE)*'Lighting Inventory'!AI91, "")), 2), "")</f>
        <v/>
      </c>
      <c r="FP91" s="253" t="str">
        <f>IFERROR(ROUND(IF(CD91="ERROR", "ERROR", IF(AND($FO$6=Y91,E91="Exterior"),VLOOKUP(W91, 'Lookup Tables'!$AI$6:$AM$102, 5, FALSE)*'Lighting Inventory'!AI91, "")), 2), "")</f>
        <v/>
      </c>
      <c r="FQ91" s="253" t="str">
        <f>IFERROR(ROUND(IF(CD91="ERROR", "ERROR", IF(AND($FQ$6=Y91,E91="Interior", BU91="Y"), VLOOKUP('Lighting Inventory'!W91, 'Lookup Tables'!$AI$6:$AM$102, 5, FALSE)*'Lighting Inventory'!S91, IF(AND($FQ$7=Y91,E91="Interior", BU91="N"), 0.025*CD91, ""))), 2), "")</f>
        <v/>
      </c>
      <c r="FR91" s="253" t="str">
        <f>IFERROR(ROUND(IF(CD91="ERROR", "ERROR", IF(AND($FQ$6=Y91,E91="Exterior"), VLOOKUP('Lighting Inventory'!W91, 'Lookup Tables'!$AI$6:$AM$102, 5, FALSE)*'Lighting Inventory'!S91, "")), 2), "")</f>
        <v/>
      </c>
      <c r="FS91" s="253" t="str">
        <f>IFERROR(ROUND(IF(CD91="ERROR", "ERROR", IF(AND($FS$6=Y91,E91="Exterior"), IF(GB91=0, VLOOKUP(W91, 'Lookup Tables'!$AI$6:$AM$102, 5, FALSE)*BP91, IF(VLOOKUP(W91, 'Lookup Tables'!$AI$6:$AM$102, 5, FALSE)*BP91&gt;GB91*'Lighting Inventory'!S91, GB91*'Lighting Inventory'!S91,VLOOKUP(W91, 'Lookup Tables'!$AI$6:$AM$102, 5, FALSE)*BP91)), "")), 2), "")</f>
        <v/>
      </c>
      <c r="FT91" s="253" t="str">
        <f>IFERROR(ROUND(IF(CD91="ERROR", "ERROR", IF(AND($FT$6=Y91,E91="Interior"), IF(GB91=0, VLOOKUP(W91, 'Lookup Tables'!$AI$6:$AM$102, 5, FALSE)*BP91, IF(VLOOKUP(W91, 'Lookup Tables'!$AI$6:$AM$102, 5, FALSE)*BP91&gt;GB91*'Lighting Inventory'!S91, GB91*'Lighting Inventory'!S91,VLOOKUP(W91, 'Lookup Tables'!$AI$6:$AM$102, 5, FALSE)*BP91)), "")), 2), "")</f>
        <v/>
      </c>
      <c r="FU91" s="253" t="str">
        <f>IFERROR(ROUND(IF(CD91="ERROR", "ERROR", IF(AND(Y91=$FU$6, E91="Interior"), IF(BS91="N", 'Lookup Tables'!$AM$101*BP91, VLOOKUP(W91, 'Lookup Tables'!$AI$6:$AM$102, 5, FALSE)*S91*AD91), "")), 2), "")</f>
        <v/>
      </c>
      <c r="FV91" s="253" t="str">
        <f>IFERROR(ROUND(IF(CD91="ERROR", "ERROR", IF(AND(Y91=$FU$6, E91="Exterior"), IF(BS91="N", 'Lookup Tables'!$AM$101*BP91, VLOOKUP(W91, 'Lookup Tables'!$AI$6:$AM$102, 5, FALSE)*S91*AD91), "")), 2), "")</f>
        <v/>
      </c>
      <c r="FW91" s="253" t="str">
        <f>IFERROR(ROUND(IF(CD91="ERROR", "ERROR", IF($FW$6=Y91, IF(BS91="N", 'Lookup Tables'!$AM$101*BP91, MIN((VLOOKUP(W91, 'Lookup Tables'!$AI$6:$AM$102, 5, FALSE)*BP91),GB91*AJ91)), "")), 2), "")</f>
        <v/>
      </c>
      <c r="FX91" s="253" t="str">
        <f>IFERROR(ROUND(IF(CD91="ERROR", "ERROR", IF(AND($FX$6=Y91, E91="Interior"), IF(VLOOKUP(W91, 'Lookup Tables'!$AI$6:$AM$102, 5, FALSE)*BP91&gt;'Lookup Tables'!$AQ$97*'Lighting Inventory'!S91,'Lighting Inventory'!S91*'Lookup Tables'!$AQ$97,VLOOKUP(W91, 'Lookup Tables'!$AI$6:$AM$102, 5, FALSE)*BP91), "")), 2), "")</f>
        <v/>
      </c>
      <c r="FY91" s="253" t="str">
        <f>IFERROR(ROUND(IF(CD91="ERROR", "ERROR", IF(AND($FX$6=Y91, E91="Exterior"), IF(VLOOKUP(W91, 'Lookup Tables'!$AI$6:$AM$102, 5, FALSE)*BP91&gt;'Lookup Tables'!$AQ$97*'Lighting Inventory'!S91,'Lighting Inventory'!S91*'Lookup Tables'!$AQ$97,VLOOKUP(W91, 'Lookup Tables'!$AI$6:$AM$102, 5, FALSE)*BP91), "")), 2), "")</f>
        <v/>
      </c>
      <c r="FZ91" s="253" t="str">
        <f>IFERROR(ROUND(IF(CD91="ERROR", "ERROR", IF(AND($FZ$6=Y91, E91="Interior"), IF(AND(OR(W91="Refrigerated Case Lighting with Doors", W91="Freezer Case Lighting"),Y91="Custom - Process Improvement"),CD91*'Lookup Tables'!$AM$101, IF(B91="Retrofit", IF(VLOOKUP(IF(V91="Custom", V91, W91), 'Lookup Tables'!$AI$6:$AM$102, 5, FALSE)*BP91&gt;GE91, GE91, VLOOKUP(IF(V91="Custom", V91, W91), 'Lookup Tables'!$AI$6:$AM$102, 5, FALSE)*BP91), IF(VLOOKUP(IF(V91="Custom", V91, W91), 'Lookup Tables'!$AI$114:$AM$154, 5, FALSE)*BP91&gt;GE91, GE91, VLOOKUP(IF(V91="Custom", V91, W91), 'Lookup Tables'!$AI$114:$AM$154, 5, FALSE)*BP91))), "")), 2),"")</f>
        <v/>
      </c>
      <c r="GA91" s="253" t="str">
        <f>IFERROR(ROUND(IF(CD91="ERROR", "ERROR", IF(AND($FZ$6=Y91, E91="Exterior"), IF(B91="Retrofit", IF(VLOOKUP(IF(V91="Custom", V91, W91), 'Lookup Tables'!$AI$6:$AM$102, 5, FALSE)*BP91&gt;GE91, GE91, VLOOKUP(IF(V91="Custom", V91, W91), 'Lookup Tables'!$AI$6:$AM$102, 5, FALSE)*BP91), IF(VLOOKUP(IF(V91="Custom", V91, W91), 'Lookup Tables'!$AI$114:$AM$154, 5, FALSE)*BP91&gt;GE91, GE91, VLOOKUP(IF(V91="Custom", V91, W91), 'Lookup Tables'!$AI$114:$AM$154, 5, FALSE)*BP91)), "")), 2),"")</f>
        <v/>
      </c>
      <c r="GB91" s="254" t="str">
        <f t="array" ref="GB91">IF(B91="","",IF(OR(V91="Custom",V91="No Change"),0,IF(B91="Retrofit", INDEX('Lookup Tables'!$AH$6:$AQ$102,MATCH(1,('Lookup Tables'!$AH$6:$AH$102='Lighting Inventory'!V91)*('Lookup Tables'!$AI$6:$AI$102='Lighting Inventory'!W91),FALSE),10),INDEX('Lookup Tables'!$AH$114:$AQ$154,MATCH(1,('Lookup Tables'!$AH$114:$AH$154='Lighting Inventory'!V91)*('Lookup Tables'!$AI$114:$AI$154='Lighting Inventory'!W91),FALSE),10))))</f>
        <v/>
      </c>
      <c r="GC91" s="255" t="str">
        <f t="shared" si="344"/>
        <v/>
      </c>
      <c r="GD91" s="250" t="str">
        <f t="shared" si="345"/>
        <v/>
      </c>
      <c r="GE91" s="253" t="str">
        <f>IFERROR(IF(AND(AF91="", 'General Information'!$F$18="No"),"", IF(AF91="", ((GD91/$CD$266)*$CF$266)*0.5, AF91*S91*0.5)), "")</f>
        <v/>
      </c>
      <c r="GF91" s="255" t="str">
        <f>IF(AND('General Information'!$F$19="", 'General Information'!$F$18="Yes",AF91="",BW91="Y"), "Y", "N")</f>
        <v>N</v>
      </c>
      <c r="GG91" s="255" t="s">
        <v>2946</v>
      </c>
      <c r="GH91" s="255" t="str">
        <f>IFERROR(IF(B91="", "", VLOOKUP(J91, 'Fixture Identities'!$A$6:$N$908, 14, FALSE)), "")</f>
        <v/>
      </c>
      <c r="GI91" s="389" t="str">
        <f>IF(OR(B91="", V91="", W91=""), "", IF(AND(OR(M91='Lookup Tables'!$R$18, M91='Lookup Tables'!$R$19, M91='Lookup Tables'!$R$20, M91='Lookup Tables'!$R$21, M91='Lookup Tables'!$R$22), OR(AN91='Lookup Tables'!$R$17, AN91='Lookup Tables'!$R$17, AN91="")), "Y", "N"))</f>
        <v/>
      </c>
      <c r="GJ91" s="255" t="str">
        <f t="shared" si="346"/>
        <v/>
      </c>
      <c r="GK91" s="255" t="str">
        <f t="shared" si="347"/>
        <v/>
      </c>
      <c r="GL91" s="255" t="str">
        <f t="shared" si="348"/>
        <v/>
      </c>
      <c r="GM91" s="255" t="str">
        <f>IF(AN91="", "", IF(AND(IF(ISNA(VLOOKUP(AN91,'Lookup Tables'!$R$18:$R$22,1,FALSE)), "N", "Y")="Y", E91="Exterior"), "Y", "N"))</f>
        <v/>
      </c>
      <c r="GN91" s="395"/>
      <c r="GO91" s="428">
        <f t="shared" si="394"/>
        <v>0</v>
      </c>
      <c r="GP91" s="428">
        <f t="shared" si="397"/>
        <v>0</v>
      </c>
      <c r="GQ91" s="428">
        <f t="shared" si="395"/>
        <v>0</v>
      </c>
      <c r="GR91" s="428">
        <f t="shared" si="396"/>
        <v>0</v>
      </c>
    </row>
    <row r="92" spans="1:200" s="103" customFormat="1" ht="13.5" customHeight="1" x14ac:dyDescent="0.2">
      <c r="A92" s="272">
        <v>82</v>
      </c>
      <c r="B92" s="110"/>
      <c r="C92" s="110"/>
      <c r="D92" s="110"/>
      <c r="E92" s="110"/>
      <c r="F92" s="110"/>
      <c r="G92" s="110"/>
      <c r="H92" s="110"/>
      <c r="I92" s="29"/>
      <c r="J92" s="29"/>
      <c r="K92" s="272" t="str">
        <f>IFERROR(IF(OR(VLOOKUP(J92, 'Fixture Identities'!$A$6:$L$1023, 3, FALSE)="T12 Linear Fluorescent", VLOOKUP(J92, 'Fixture Identities'!$A$6:$L$1023, 3, FALSE)="T12 U-Tube Fluorescent"), VLOOKUP(VLOOKUP(J92, 'Fixture Identities'!$A$6:$L$1023, 11, FALSE), 'Fixture Identities'!$A$6:$L$1023, 10, FALSE), VLOOKUP(J92, 'Fixture Identities'!$A$6:$L$1023, 10, FALSE)), "")</f>
        <v/>
      </c>
      <c r="L92" s="270" t="str">
        <f t="shared" si="399"/>
        <v/>
      </c>
      <c r="M92" s="110"/>
      <c r="N92" s="110"/>
      <c r="O92" s="110"/>
      <c r="P92" s="272" t="str">
        <f>IFERROR(IF(OR(B92="Retrofit",B92=""),"",IF('Lighting Inventory'!E92="Exterior",VLOOKUP('Lighting Inventory'!N92,'Lookup Tables'!$B$83:$F$103,5,FALSE),IF(N92="Other - Please Estimate EFLH and CFs","Contact Prog. Rep.","ft^2"))), "")</f>
        <v/>
      </c>
      <c r="Q92" s="270" t="str">
        <f>IFERROR(IF(AND(B92="New Construction",E92="Interior",$F$5="Space-by-Space"),VLOOKUP('Lighting Inventory'!N92,'Lookup Tables'!$N$6:$O$97,2,FALSE),IF(AND(B92="New Construction",E92="Exterior"),VLOOKUP(N92,'Lookup Tables'!$B$83:$F$103,2,FALSE),IF(AND(B92="New Construction",'Lighting Inventory'!E92="Interior", $F$5="Building Area"),VLOOKUP(F92,'Lookup Tables'!$A$6:$J$59,10,FALSE),""))), "")</f>
        <v/>
      </c>
      <c r="R92" s="270" t="str">
        <f>IFERROR(IF(P92="Contact Prog. Rep.", "ERROR", IF(OR(B92="",B92="Retrofit"),"",IF(N92="Automated teller machines", ('Lookup Tables'!$A$82:$E$100+('Lighting Inventory'!O92-1)*'Lookup Tables'!$A$82:$E$100)/1000, (Q92*O92)/1000))), "")</f>
        <v/>
      </c>
      <c r="S92" s="595"/>
      <c r="T92" s="105" t="str">
        <f t="shared" si="349"/>
        <v/>
      </c>
      <c r="U92" s="105" t="str">
        <f>IF(S92="","",COUNT($S$11:S92))</f>
        <v/>
      </c>
      <c r="V92" s="111"/>
      <c r="W92" s="112"/>
      <c r="X92" s="105" t="str">
        <f t="shared" si="350"/>
        <v/>
      </c>
      <c r="Y92" s="105" t="str">
        <f t="array" ref="Y92">IF(AND(OR(W92="Freezer Case Lighting", W92="Refrigerated Case Lighting with Doors"), 'General Information'!$X$18="LCI"),'Lookup Tables'!$Y$34, IF(V92="Custom", VLOOKUP(W92, 'Fixture Identities'!$A$974:$M$1023, 13, FALSE), IF(V92="No Change",'Lookup Tables'!$Y$29,IF(OR(V92="",W92=""),"",IF(AND(S92=0,S92&lt;I92,B92="Retrofit"),'Lookup Tables'!$Y$25, IF(B92="Retrofit", INDEX('Lookup Tables'!$AH$6:$AP$102, MATCH(1, ('Lookup Tables'!$AH$6:$AH$102=V92)*('Lookup Tables'!$AI$6:$AI$102=W92), 0), IF('Lighting Inventory'!E92="Interior", 4, 5)), INDEX('Lookup Tables'!$AH$114:$AP$154, MATCH(1, ('Lookup Tables'!$AH$114:$AH$154=V92)*('Lookup Tables'!$AI$114:$AI$154=W92), 0), IF('Lighting Inventory'!E92="Interior", 4, 5))))))))</f>
        <v/>
      </c>
      <c r="Z92" s="105" t="str">
        <f>IFERROR(INDEX('Lookup Tables'!$AH$158:$AH$172,MATCH('Lighting Inventory'!Y92,'Lookup Tables'!$AI$158:$AI$172,0)),"")</f>
        <v/>
      </c>
      <c r="AA92" s="105" t="str">
        <f>IF(AP92&gt;0,INDEX('Lookup Tables'!$AK$158:$AK$172,MATCH('Lighting Inventory'!Y92,'Lookup Tables'!$AI$158:$AI$172,0)),'Lighting Inventory'!Y92)</f>
        <v/>
      </c>
      <c r="AB92" s="105" t="str">
        <f t="array" ref="AB92">IF(V92="Custom", "Custom", IF(V92="", "", IF(V92="Not DLC or Energy Star", "General", IF(B92="New Construction", INDEX('Lookup Tables'!$AH$114:$AP$154,MATCH(1,('Lookup Tables'!$AH$114:$AH$154='Lighting Inventory'!V92)*('Lookup Tables'!$AI$114:$AI$154='Lighting Inventory'!W92),FALSE),8), INDEX('Lookup Tables'!$AH$6:$AP$102,MATCH(1,('Lookup Tables'!$AH$6:$AH$102='Lighting Inventory'!V92)*('Lookup Tables'!$AI$6:$AI$102='Lighting Inventory'!W92),FALSE),8)))))</f>
        <v/>
      </c>
      <c r="AC92" s="272" t="str">
        <f>IF(W92="","",IF(V92="Custom",CONCATENATE("$",'Lookup Tables'!$AM$101," ",'Lookup Tables'!$AN$101),CONCATENATE("$",INDEX('Lookup Tables'!$AM$6:$AM$102,MATCH('Lighting Inventory'!W92,'Lookup Tables'!$AI$6:$AI$102,0))," ",INDEX('Lookup Tables'!$AN$6:$AN$102,MATCH('Lighting Inventory'!W92,'Lookup Tables'!$AI$6:$AI$102,0)))))</f>
        <v/>
      </c>
      <c r="AD92" s="72"/>
      <c r="AE92" s="29"/>
      <c r="AF92" s="379"/>
      <c r="AG92" s="370" t="str">
        <f t="shared" si="298"/>
        <v/>
      </c>
      <c r="AH92" s="370" t="str">
        <f t="shared" si="351"/>
        <v/>
      </c>
      <c r="AI92" s="29"/>
      <c r="AJ92" s="29"/>
      <c r="AK92" s="110"/>
      <c r="AL92" s="375" t="str">
        <f>IF(OR(B92="", V92="", W92=""), "", IF(V92="No Change", K92, IF(V92="Remove Fixture", 0, IF(V92="Custom",VLOOKUP(W92,'Fixture Identities'!$A$6:$K$1023,10,FALSE),IF(AE92="", "← ENTER POST WATTS", 'Lighting Inventory'!AE92)))))</f>
        <v/>
      </c>
      <c r="AM92" s="376" t="str">
        <f t="shared" si="299"/>
        <v/>
      </c>
      <c r="AN92" s="29"/>
      <c r="AO92" s="671"/>
      <c r="AP92" s="29"/>
      <c r="AQ92" s="29"/>
      <c r="AR92" s="29"/>
      <c r="AS92" s="272" t="str">
        <f t="shared" si="352"/>
        <v/>
      </c>
      <c r="AT92" s="270" t="str">
        <f t="shared" si="300"/>
        <v/>
      </c>
      <c r="AU92" s="88" t="str">
        <f t="shared" si="400"/>
        <v/>
      </c>
      <c r="AV92" s="29"/>
      <c r="AW92" s="73"/>
      <c r="AX92" s="271" t="str">
        <f>IF(AND(AV92="Applicant",OR(AW92="", AW92="Use Default Facility Hours")),"← Choose Schedule",IF(F92="","",IF(W92="LED Exit Signs",8760,IF(OR(AV92="Prescribed",AV92=""),VLOOKUP(F92,'Lookup Tables'!$A$6:$G$59,IF(AB92="General", 6, 3),FALSE),VLOOKUP(AW92,'Lookup Tables'!$S$36:$U$43,2,FALSE)))))</f>
        <v/>
      </c>
      <c r="AY92" s="88" t="str">
        <f t="shared" si="301"/>
        <v/>
      </c>
      <c r="AZ92" s="270" t="str">
        <f>IFERROR(IF(F92="", "", IF(W92="LED Exit Signs", 1, IF(AV92="Applicant",VLOOKUP(AW92, 'Lookup Tables'!$S$36:$U$43,3, FALSE), VLOOKUP('Lighting Inventory'!F92, 'Lookup Tables'!$A$6:$H$59, IF('Lighting Inventory'!AB92="General",7,4), FALSE)))), "")</f>
        <v/>
      </c>
      <c r="BA92" s="522" t="str">
        <f>IFERROR(IF(F92="", "", IF(W92="LED Exit Signs", 1, VLOOKUP('Lighting Inventory'!F92, 'Lookup Tables'!$A$6:$H$59, IF('Lighting Inventory'!AB92="General",8,5), FALSE))), "")</f>
        <v/>
      </c>
      <c r="BB92" s="270" t="str">
        <f>IF(G92="", "", IF(E92="Exterior", 0, IF('Lighting Inventory'!G92="Air Conditioned", VLOOKUP(H92, 'Lookup Tables'!$R$6:$T$13, 2, FALSE), VLOOKUP('Lighting Inventory'!G92, 'Lookup Tables'!$R$6:$T$13, 2, FALSE))))</f>
        <v/>
      </c>
      <c r="BC92" s="522" t="str">
        <f>IF(G92="", "", IF(E92="Exterior", 0, IF('Lighting Inventory'!G92="Air Conditioned", VLOOKUP(H92, 'Lookup Tables'!$R$6:$T$13, 3, FALSE), VLOOKUP('Lighting Inventory'!G92, 'Lookup Tables'!$R$6:$T$13, 3, FALSE))))</f>
        <v/>
      </c>
      <c r="BD92" s="270" t="str">
        <f>IF(G92="", "", IF(E92="Exterior", 0, IF('Lighting Inventory'!G92="Air Conditioned", VLOOKUP(H92, 'Lookup Tables'!$R$6:$U$13, 4, FALSE), VLOOKUP('Lighting Inventory'!G92, 'Lookup Tables'!$R$6:$U$13, 4, FALSE))))</f>
        <v/>
      </c>
      <c r="BE92" s="270" t="str">
        <f>IFERROR(IF(B92="", "",  IF(B92="New Construction", VLOOKUP(F92, 'Lookup Tables'!$A$6:$K$59, 11, FALSE),IF(OR(AN92="", AN92="Light Switch"), 0, IF(OR(M92="",M92="None",V92= "LED Exit Signs"),0,_xlfn.XLOOKUP(M92,'Lookup Tables'!$R$91:$R$101,'Lookup Tables'!$V$91:$V$101))))), "")</f>
        <v/>
      </c>
      <c r="BF92" s="270" t="str">
        <f>IF(AND(OR(AN92="Light Switch",AN92=""),B92="New Construction"), VLOOKUP(F92, 'Lookup Tables'!$A$6:$K$59, 11, FALSE),IF(AN92="","",IF(B92="","",IF(OR(AN92="None",AN92="",V92="LED Exit Signs",AN92="Exterior Controls Not Eligible"),0,_xlfn.XLOOKUP(AN92,'Lookup Tables'!$R$91:$R$101,'Lookup Tables'!$V$91:$V$101)))))</f>
        <v/>
      </c>
      <c r="BG92" s="88" t="str">
        <f t="shared" si="353"/>
        <v/>
      </c>
      <c r="BH92" s="88" t="str">
        <f t="shared" si="354"/>
        <v/>
      </c>
      <c r="BI92" s="558" t="str">
        <f t="shared" si="398"/>
        <v/>
      </c>
      <c r="BJ92" s="82" t="str">
        <f t="shared" si="355"/>
        <v/>
      </c>
      <c r="BK92" s="82" t="str">
        <f t="shared" si="356"/>
        <v/>
      </c>
      <c r="BL92" s="559" t="str">
        <f t="shared" si="357"/>
        <v/>
      </c>
      <c r="BM92" s="521" t="str">
        <f t="shared" si="302"/>
        <v/>
      </c>
      <c r="BN92" s="521" t="str">
        <f t="shared" si="303"/>
        <v/>
      </c>
      <c r="BO92" s="522" t="str">
        <f t="shared" si="304"/>
        <v/>
      </c>
      <c r="BP92" s="83" t="str">
        <f t="shared" si="358"/>
        <v/>
      </c>
      <c r="BQ92" s="84" t="str">
        <f t="shared" si="359"/>
        <v/>
      </c>
      <c r="BR92" s="184" t="str">
        <f>IFERROR(IF(B92="", "", IF(OR(VLOOKUP(J92, 'Fixture Identities'!$A$6:$L$1023, 3, FALSE)="T12 Linear Fluorescent",VLOOKUP(J92, 'Fixture Identities'!$A$6:$L$1023, 3, FALSE)="T12 U-Tube Fluorescent"), "Y", "N")), "N")</f>
        <v/>
      </c>
      <c r="BS92" s="184" t="str">
        <f t="array" ref="BS92">IFERROR(IF(OR(B92="", V92="", W92=""), "", IF(V92="Custom", "N", IF(OR(W92="Freezer Case Lighting", W92="Refrigerated Case Lighting with Doors"), BT92, IF(B92="Retrofit", INDEX('Lookup Tables'!$AH$6:$AT$102,MATCH(1,('Lookup Tables'!$AH$6:$AH$102=V92)*('Lookup Tables'!$AI$6:$AI$102=W92),FALSE),IF(VLOOKUP(J92, 'Fixture Identities'!$A$6:$B$1023, 2, FALSE)="Incandescent",12, 13)), INDEX('Lookup Tables'!$AH$114:$AS$154,MATCH(1,('Lookup Tables'!$AH$114:$AH$154=V92)*('Lookup Tables'!$AI$114:$AI$154=W92),FALSE),12))))), "N")</f>
        <v/>
      </c>
      <c r="BT92" s="184" t="str">
        <f>IF(J92="", "", IF(AND(OR(W92="Freezer case Lighting", W92="Refrigerated Case Lighting with Doors"),'General Information'!$X$18="LCI"), "N", IF(OR(VLOOKUP(J92, 'Fixture Identities'!$A$6:$B$1023, 2, FALSE)="T12 EPACT/EISA Baseline", VLOOKUP(J92, 'Fixture Identities'!$A$6:$B$1023, 2, FALSE)="Linear Fluorescent", VLOOKUP(J92, 'Fixture Identities'!$A$6:$B$1023, 2, FALSE)="U-Tube Fluorescent"), "Y", "N")))</f>
        <v/>
      </c>
      <c r="BU92" s="184" t="str">
        <f>IFERROR(IF(B92="", "", IF(VLOOKUP(J92, 'Fixture Identities'!$A$6:$B$1023, 2, FALSE)="Exit Sign", "Y", "N")), "N")</f>
        <v/>
      </c>
      <c r="BV92" s="184" t="str">
        <f>IF(V92="Exit Signs", IF(VLOOKUP(J92, 'Fixture Identities'!$A$6:$B$1023, 2, FALSE)="Exit Sign", "N", "Y"), "")</f>
        <v/>
      </c>
      <c r="BW92" s="184" t="str">
        <f t="array" ref="BW92">IFERROR(IF(B92="", "", IF(B92="New Construction", "N", INDEX('Lookup Tables'!$AH$6:$AU$102, MATCH(1, ('Lookup Tables'!$AH$6:$AH$102='Lighting Inventory'!V92)*('Lookup Tables'!$AI$6:$AI$102='Lighting Inventory'!W92), 0), 14))), "N")</f>
        <v/>
      </c>
      <c r="BX92" s="598" t="str">
        <f t="shared" si="360"/>
        <v/>
      </c>
      <c r="BY92" s="598" t="str">
        <f t="shared" si="361"/>
        <v/>
      </c>
      <c r="BZ92" s="598" t="str">
        <f t="shared" si="362"/>
        <v/>
      </c>
      <c r="CA92" s="598" t="str">
        <f t="shared" si="363"/>
        <v/>
      </c>
      <c r="CB92" s="269" t="str">
        <f t="shared" si="364"/>
        <v/>
      </c>
      <c r="CC92" s="517" t="str">
        <f t="shared" si="365"/>
        <v/>
      </c>
      <c r="CD92" s="565" t="str">
        <f t="shared" si="305"/>
        <v/>
      </c>
      <c r="CE92" s="368">
        <v>0</v>
      </c>
      <c r="CF92" s="368" t="str" cm="1">
        <f t="array" ref="CF92">IFERROR(IF(V92="Custom", "$0.1 per kWh", IF(B92="New Construction", CONCATENATE("$",INDEX('Lookup Tables'!$AH$114:$AN$154,MATCH(1,('Lookup Tables'!$AH$114:$AH$154='Lighting Inventory'!V92)*('Lookup Tables'!$AI$114:$AI$154='Lighting Inventory'!W92),FALSE),6)," ",INDEX('Lookup Tables'!$AH$114:$AN$154,MATCH(1,('Lookup Tables'!$AH$114:$AH$154='Lighting Inventory'!V92)*('Lookup Tables'!$AI$114:$AI$154='Lighting Inventory'!W92),FALSE),7)), IF(AND(BU92="N", V92="Exit Signs"), "$0.025 per kWh", CONCATENATE("$",INDEX('Lookup Tables'!$AH$6:$AN$102,MATCH(1,('Lookup Tables'!$AH$6:$AH$102='Lighting Inventory'!V92)*('Lookup Tables'!$AI$6:$AI$102='Lighting Inventory'!W92),FALSE),6)," ",INDEX('Lookup Tables'!$AH$6:$AN$102,MATCH(1,('Lookup Tables'!$AH$6:$AH$102='Lighting Inventory'!V92)*('Lookup Tables'!$AI$6:$AI$102='Lighting Inventory'!W92),FALSE),7))))), "")</f>
        <v/>
      </c>
      <c r="CG92" s="366"/>
      <c r="CH92" s="248" t="str">
        <f t="shared" si="306"/>
        <v/>
      </c>
      <c r="CI92" s="248" t="str">
        <f t="shared" si="307"/>
        <v>Select_IE</v>
      </c>
      <c r="CJ92" s="248" t="str">
        <f t="shared" si="308"/>
        <v/>
      </c>
      <c r="CK92" s="248" t="str">
        <f t="shared" si="309"/>
        <v/>
      </c>
      <c r="CL92" s="248" t="str">
        <f t="shared" si="310"/>
        <v/>
      </c>
      <c r="CM92" s="248" t="str">
        <f>IFERROR(IF(B92="", "", IF(B92="New Construction", VLOOKUP(V92, 'Lookup Tables'!$AF$114:$AG$120, 2, FALSE), VLOOKUP(V92, 'Lookup Tables'!$AD$6:$AE$25, 2, FALSE))), "")</f>
        <v/>
      </c>
      <c r="CN92" s="248" t="str">
        <f t="shared" si="311"/>
        <v/>
      </c>
      <c r="CO92" s="248" t="str">
        <f t="shared" si="312"/>
        <v/>
      </c>
      <c r="CP92" s="592" t="str">
        <f t="shared" si="313"/>
        <v/>
      </c>
      <c r="CQ92" s="248" t="str">
        <f t="shared" si="366"/>
        <v/>
      </c>
      <c r="CR92" s="100"/>
      <c r="CS92" s="250" t="str">
        <f t="shared" si="314"/>
        <v/>
      </c>
      <c r="CT92" s="250" t="str">
        <f t="shared" si="367"/>
        <v/>
      </c>
      <c r="CU92" s="250" t="str">
        <f t="shared" si="368"/>
        <v/>
      </c>
      <c r="CV92" s="250" t="str">
        <f t="shared" si="369"/>
        <v/>
      </c>
      <c r="CW92" s="250" t="str">
        <f t="shared" si="370"/>
        <v/>
      </c>
      <c r="CX92" s="250" t="str">
        <f t="shared" si="315"/>
        <v/>
      </c>
      <c r="CY92" s="250" t="str">
        <f t="shared" si="316"/>
        <v/>
      </c>
      <c r="CZ92" s="250" t="str">
        <f t="shared" si="317"/>
        <v/>
      </c>
      <c r="DA92" s="250" t="str">
        <f t="shared" si="318"/>
        <v/>
      </c>
      <c r="DB92" s="250" t="str">
        <f t="shared" si="319"/>
        <v/>
      </c>
      <c r="DC92" s="250" t="str">
        <f t="shared" si="320"/>
        <v/>
      </c>
      <c r="DD92" s="250" t="str">
        <f t="shared" si="321"/>
        <v/>
      </c>
      <c r="DE92" s="250" t="str">
        <f t="shared" si="322"/>
        <v/>
      </c>
      <c r="DF92" s="250" t="str">
        <f t="shared" si="323"/>
        <v/>
      </c>
      <c r="DG92" s="250" t="str">
        <f t="shared" si="324"/>
        <v/>
      </c>
      <c r="DH92" s="250" t="str">
        <f t="shared" si="325"/>
        <v/>
      </c>
      <c r="DI92" s="250" t="str">
        <f t="shared" si="326"/>
        <v/>
      </c>
      <c r="DJ92" s="250" t="str">
        <f t="shared" si="327"/>
        <v/>
      </c>
      <c r="DK92" s="250" t="str">
        <f t="shared" si="328"/>
        <v/>
      </c>
      <c r="DL92" s="250" t="str">
        <f t="shared" si="329"/>
        <v/>
      </c>
      <c r="DM92" s="250" t="str">
        <f>IF(CD92="ERROR", "ERROR", IF(AND(OR(Y92=$DM$6, Y92='Lookup Tables'!$AD$21, Y92='Lookup Tables'!$AD$22), E92="Interior"), BJ92, ""))</f>
        <v/>
      </c>
      <c r="DN92" s="250" t="str">
        <f>IF(CD92="ERROR", "ERROR", IF(AND(OR(Y92=$DM$6, Y92='Lookup Tables'!$AD$21, Y92='Lookup Tables'!$AD$22), E92="Exterior"), BJ92, ""))</f>
        <v/>
      </c>
      <c r="DO92" s="100"/>
      <c r="DP92" s="250" t="str">
        <f t="shared" si="330"/>
        <v/>
      </c>
      <c r="DQ92" s="250" t="str">
        <f t="shared" si="371"/>
        <v/>
      </c>
      <c r="DR92" s="250" t="str">
        <f t="shared" si="372"/>
        <v/>
      </c>
      <c r="DS92" s="250" t="str">
        <f t="shared" si="373"/>
        <v/>
      </c>
      <c r="DT92" s="250" t="str">
        <f t="shared" si="374"/>
        <v/>
      </c>
      <c r="DU92" s="250" t="str">
        <f t="shared" si="331"/>
        <v/>
      </c>
      <c r="DV92" s="250" t="str">
        <f t="shared" si="332"/>
        <v/>
      </c>
      <c r="DW92" s="250" t="str">
        <f t="shared" si="333"/>
        <v/>
      </c>
      <c r="DX92" s="250" t="str">
        <f t="shared" si="334"/>
        <v/>
      </c>
      <c r="DY92" s="250" t="str">
        <f t="shared" si="335"/>
        <v/>
      </c>
      <c r="DZ92" s="250" t="str">
        <f t="shared" si="336"/>
        <v/>
      </c>
      <c r="EA92" s="250" t="str">
        <f t="shared" si="337"/>
        <v/>
      </c>
      <c r="EB92" s="250" t="str">
        <f t="shared" si="375"/>
        <v/>
      </c>
      <c r="EC92" s="250" t="str">
        <f t="shared" si="338"/>
        <v/>
      </c>
      <c r="ED92" s="250" t="str">
        <f t="shared" si="339"/>
        <v/>
      </c>
      <c r="EE92" s="250" t="str">
        <f t="shared" si="340"/>
        <v/>
      </c>
      <c r="EF92" s="250" t="str">
        <f t="shared" si="341"/>
        <v/>
      </c>
      <c r="EG92" s="250" t="str">
        <f t="shared" si="342"/>
        <v/>
      </c>
      <c r="EH92" s="250" t="str">
        <f>IF(CD92="ERROR", "ERROR", IF(AND(OR($EH$6=Y92, Y92='Lookup Tables'!$AD$21, Y92='Lookup Tables'!$AD$22),E92="Interior"), SUM(BP92:BP92), ""))</f>
        <v/>
      </c>
      <c r="EI92" s="250" t="str">
        <f>IF(CD92="ERROR", "ERROR", IF(AND(OR($EH$6=Y92, Y92='Lookup Tables'!$AD$21, Y92='Lookup Tables'!$AD$22),E92="Exterior"), SUM(BP92:BP92), ""))</f>
        <v/>
      </c>
      <c r="EJ92" s="109"/>
      <c r="EK92" s="485" t="str">
        <f t="shared" si="343"/>
        <v/>
      </c>
      <c r="EL92" s="252" t="str">
        <f t="shared" si="376"/>
        <v/>
      </c>
      <c r="EM92" s="252" t="str">
        <f t="shared" si="377"/>
        <v/>
      </c>
      <c r="EN92" s="252" t="str">
        <f t="shared" si="378"/>
        <v/>
      </c>
      <c r="EO92" s="252" t="str">
        <f t="shared" si="379"/>
        <v/>
      </c>
      <c r="EP92" s="252" t="str">
        <f t="shared" si="380"/>
        <v/>
      </c>
      <c r="EQ92" s="252" t="str">
        <f t="shared" si="381"/>
        <v/>
      </c>
      <c r="ER92" s="252" t="str">
        <f t="shared" si="382"/>
        <v/>
      </c>
      <c r="ES92" s="252" t="str">
        <f t="shared" si="383"/>
        <v/>
      </c>
      <c r="ET92" s="252" t="str">
        <f t="shared" si="384"/>
        <v/>
      </c>
      <c r="EU92" s="252" t="str">
        <f t="shared" si="385"/>
        <v/>
      </c>
      <c r="EV92" s="252" t="str">
        <f t="shared" si="386"/>
        <v/>
      </c>
      <c r="EW92" s="252" t="str">
        <f t="shared" si="387"/>
        <v/>
      </c>
      <c r="EX92" s="252" t="str">
        <f t="shared" si="388"/>
        <v/>
      </c>
      <c r="EY92" s="252" t="str">
        <f t="shared" si="389"/>
        <v/>
      </c>
      <c r="EZ92" s="252" t="str">
        <f t="shared" si="390"/>
        <v/>
      </c>
      <c r="FA92" s="252" t="str">
        <f t="shared" si="391"/>
        <v/>
      </c>
      <c r="FB92" s="252" t="str">
        <f t="shared" si="392"/>
        <v/>
      </c>
      <c r="FC92" s="252" t="str">
        <f>IF(CD92="ERROR", "ERROR", IF(OR(V92="No Change", V92="Not DLC or Energy Star"), "", IF(AND(OR($FC$6=Y92,Y92='Lookup Tables'!$AD$21, Y92='Lookup Tables'!$AD$22),E92="Interior"), S92, "")))</f>
        <v/>
      </c>
      <c r="FD92" s="252" t="str">
        <f t="shared" si="393"/>
        <v/>
      </c>
      <c r="FE92" s="101"/>
      <c r="FF92" s="579" t="str" cm="1">
        <f t="array" ref="FF92">IFERROR(IF(OR(BQ92&lt;=0,AQ92&lt;20,AND(V92="Exit Signs",AN92&gt;0)),"",IF(AND(AQ92&gt;=20,AN92='Lookup Tables'!$R$101),'Lookup Tables'!$U$101*BQ92,AP92*LOOKUP(2,1/((AN92='Lookup Tables'!$R$91:$R$111)*(AQ92&gt;='Lookup Tables'!$S$91:$S$111)*(AQ92&lt;='Lookup Tables'!$T$91:$T$111)),'Lookup Tables'!$U$91:$U$111))),"")</f>
        <v/>
      </c>
      <c r="FG92" s="579"/>
      <c r="FH92" s="579"/>
      <c r="FI92" s="253" t="str">
        <f>IFERROR(ROUND(IF(CD92="ERROR", "ERROR", IF(AND($FI$7=X92,E92="Interior"),VLOOKUP(W92, 'Lookup Tables'!$AI$6:$AM$102, 5, FALSE)*BP92, "")), 2), "")</f>
        <v/>
      </c>
      <c r="FJ92" s="253" t="str">
        <f>IFERROR(ROUND(IF(CD92="ERROR", "ERROR", IF(AND($FI$7=X92,E92="Exterior"),VLOOKUP(W92, 'Lookup Tables'!$AI$6:$AM$102, 5, FALSE)*BP92, "")), 2), "")</f>
        <v/>
      </c>
      <c r="FK92" s="253" t="str">
        <f>IFERROR(ROUND(IF(CD92="ERROR", "ERROR", IF(AND($FK$7=X92,E92="Interior"),VLOOKUP(W92, 'Lookup Tables'!$AI$6:$AM$102, 5, FALSE)*BP92, "")), 2), "")</f>
        <v/>
      </c>
      <c r="FL92" s="253" t="str">
        <f>IFERROR(ROUND(IF(CD92="ERROR", "ERROR", IF(AND($FK$7=X92,E92="Exterior"),VLOOKUP(W92, 'Lookup Tables'!$AI$6:$AM$102, 5, FALSE)*BP92, "")), 2), "")</f>
        <v/>
      </c>
      <c r="FM92" s="253" t="str">
        <f>IFERROR(ROUND(IF(CD92="ERROR", "ERROR", IF(AND($FM$6=Y92,E92="Interior"), IF(GB92=0, VLOOKUP(W92, 'Lookup Tables'!$AI$6:$AM$102, 5, FALSE)*BP92, IF(VLOOKUP(W92, 'Lookup Tables'!$AI$6:$AM$102, 5, FALSE)*BP92&gt;GB92*'Lighting Inventory'!S92, GB92*'Lighting Inventory'!S92,VLOOKUP(W92, 'Lookup Tables'!$AI$6:$AM$102, 5, FALSE)*BP92)), "")), 2), "")</f>
        <v/>
      </c>
      <c r="FN92" s="253" t="str">
        <f>IFERROR(ROUND(IF(CD92="ERROR", "ERROR", IF(AND($FM$6=Y92,E92="Exterior"), IF(GB92=0, VLOOKUP(W92, 'Lookup Tables'!$AI$6:$AM$102, 5, FALSE)*BP92, IF(VLOOKUP(W92, 'Lookup Tables'!$AI$6:$AM$102, 5, FALSE)*BP92&gt;GB92*'Lighting Inventory'!S92, GB92*'Lighting Inventory'!S92,VLOOKUP(W92, 'Lookup Tables'!$AI$6:$AM$102, 5, FALSE)*BP92)), "")), 2), "")</f>
        <v/>
      </c>
      <c r="FO92" s="253" t="str">
        <f>IFERROR(ROUND(IF(CD92="ERROR", "ERROR", IF(AND($FO$6=Y92,E92="Interior"),VLOOKUP(W92, 'Lookup Tables'!$AI$6:$AM$102, 5, FALSE)*'Lighting Inventory'!AI92, "")), 2), "")</f>
        <v/>
      </c>
      <c r="FP92" s="253" t="str">
        <f>IFERROR(ROUND(IF(CD92="ERROR", "ERROR", IF(AND($FO$6=Y92,E92="Exterior"),VLOOKUP(W92, 'Lookup Tables'!$AI$6:$AM$102, 5, FALSE)*'Lighting Inventory'!AI92, "")), 2), "")</f>
        <v/>
      </c>
      <c r="FQ92" s="253" t="str">
        <f>IFERROR(ROUND(IF(CD92="ERROR", "ERROR", IF(AND($FQ$6=Y92,E92="Interior", BU92="Y"), VLOOKUP('Lighting Inventory'!W92, 'Lookup Tables'!$AI$6:$AM$102, 5, FALSE)*'Lighting Inventory'!S92, IF(AND($FQ$7=Y92,E92="Interior", BU92="N"), 0.025*CD92, ""))), 2), "")</f>
        <v/>
      </c>
      <c r="FR92" s="253" t="str">
        <f>IFERROR(ROUND(IF(CD92="ERROR", "ERROR", IF(AND($FQ$6=Y92,E92="Exterior"), VLOOKUP('Lighting Inventory'!W92, 'Lookup Tables'!$AI$6:$AM$102, 5, FALSE)*'Lighting Inventory'!S92, "")), 2), "")</f>
        <v/>
      </c>
      <c r="FS92" s="253" t="str">
        <f>IFERROR(ROUND(IF(CD92="ERROR", "ERROR", IF(AND($FS$6=Y92,E92="Exterior"), IF(GB92=0, VLOOKUP(W92, 'Lookup Tables'!$AI$6:$AM$102, 5, FALSE)*BP92, IF(VLOOKUP(W92, 'Lookup Tables'!$AI$6:$AM$102, 5, FALSE)*BP92&gt;GB92*'Lighting Inventory'!S92, GB92*'Lighting Inventory'!S92,VLOOKUP(W92, 'Lookup Tables'!$AI$6:$AM$102, 5, FALSE)*BP92)), "")), 2), "")</f>
        <v/>
      </c>
      <c r="FT92" s="253" t="str">
        <f>IFERROR(ROUND(IF(CD92="ERROR", "ERROR", IF(AND($FT$6=Y92,E92="Interior"), IF(GB92=0, VLOOKUP(W92, 'Lookup Tables'!$AI$6:$AM$102, 5, FALSE)*BP92, IF(VLOOKUP(W92, 'Lookup Tables'!$AI$6:$AM$102, 5, FALSE)*BP92&gt;GB92*'Lighting Inventory'!S92, GB92*'Lighting Inventory'!S92,VLOOKUP(W92, 'Lookup Tables'!$AI$6:$AM$102, 5, FALSE)*BP92)), "")), 2), "")</f>
        <v/>
      </c>
      <c r="FU92" s="253" t="str">
        <f>IFERROR(ROUND(IF(CD92="ERROR", "ERROR", IF(AND(Y92=$FU$6, E92="Interior"), IF(BS92="N", 'Lookup Tables'!$AM$101*BP92, VLOOKUP(W92, 'Lookup Tables'!$AI$6:$AM$102, 5, FALSE)*S92*AD92), "")), 2), "")</f>
        <v/>
      </c>
      <c r="FV92" s="253" t="str">
        <f>IFERROR(ROUND(IF(CD92="ERROR", "ERROR", IF(AND(Y92=$FU$6, E92="Exterior"), IF(BS92="N", 'Lookup Tables'!$AM$101*BP92, VLOOKUP(W92, 'Lookup Tables'!$AI$6:$AM$102, 5, FALSE)*S92*AD92), "")), 2), "")</f>
        <v/>
      </c>
      <c r="FW92" s="253" t="str">
        <f>IFERROR(ROUND(IF(CD92="ERROR", "ERROR", IF($FW$6=Y92, IF(BS92="N", 'Lookup Tables'!$AM$101*BP92, MIN((VLOOKUP(W92, 'Lookup Tables'!$AI$6:$AM$102, 5, FALSE)*BP92),GB92*AJ92)), "")), 2), "")</f>
        <v/>
      </c>
      <c r="FX92" s="253" t="str">
        <f>IFERROR(ROUND(IF(CD92="ERROR", "ERROR", IF(AND($FX$6=Y92, E92="Interior"), IF(VLOOKUP(W92, 'Lookup Tables'!$AI$6:$AM$102, 5, FALSE)*BP92&gt;'Lookup Tables'!$AQ$97*'Lighting Inventory'!S92,'Lighting Inventory'!S92*'Lookup Tables'!$AQ$97,VLOOKUP(W92, 'Lookup Tables'!$AI$6:$AM$102, 5, FALSE)*BP92), "")), 2), "")</f>
        <v/>
      </c>
      <c r="FY92" s="253" t="str">
        <f>IFERROR(ROUND(IF(CD92="ERROR", "ERROR", IF(AND($FX$6=Y92, E92="Exterior"), IF(VLOOKUP(W92, 'Lookup Tables'!$AI$6:$AM$102, 5, FALSE)*BP92&gt;'Lookup Tables'!$AQ$97*'Lighting Inventory'!S92,'Lighting Inventory'!S92*'Lookup Tables'!$AQ$97,VLOOKUP(W92, 'Lookup Tables'!$AI$6:$AM$102, 5, FALSE)*BP92), "")), 2), "")</f>
        <v/>
      </c>
      <c r="FZ92" s="253" t="str">
        <f>IFERROR(ROUND(IF(CD92="ERROR", "ERROR", IF(AND($FZ$6=Y92, E92="Interior"), IF(AND(OR(W92="Refrigerated Case Lighting with Doors", W92="Freezer Case Lighting"),Y92="Custom - Process Improvement"),CD92*'Lookup Tables'!$AM$101, IF(B92="Retrofit", IF(VLOOKUP(IF(V92="Custom", V92, W92), 'Lookup Tables'!$AI$6:$AM$102, 5, FALSE)*BP92&gt;GE92, GE92, VLOOKUP(IF(V92="Custom", V92, W92), 'Lookup Tables'!$AI$6:$AM$102, 5, FALSE)*BP92), IF(VLOOKUP(IF(V92="Custom", V92, W92), 'Lookup Tables'!$AI$114:$AM$154, 5, FALSE)*BP92&gt;GE92, GE92, VLOOKUP(IF(V92="Custom", V92, W92), 'Lookup Tables'!$AI$114:$AM$154, 5, FALSE)*BP92))), "")), 2),"")</f>
        <v/>
      </c>
      <c r="GA92" s="253" t="str">
        <f>IFERROR(ROUND(IF(CD92="ERROR", "ERROR", IF(AND($FZ$6=Y92, E92="Exterior"), IF(B92="Retrofit", IF(VLOOKUP(IF(V92="Custom", V92, W92), 'Lookup Tables'!$AI$6:$AM$102, 5, FALSE)*BP92&gt;GE92, GE92, VLOOKUP(IF(V92="Custom", V92, W92), 'Lookup Tables'!$AI$6:$AM$102, 5, FALSE)*BP92), IF(VLOOKUP(IF(V92="Custom", V92, W92), 'Lookup Tables'!$AI$114:$AM$154, 5, FALSE)*BP92&gt;GE92, GE92, VLOOKUP(IF(V92="Custom", V92, W92), 'Lookup Tables'!$AI$114:$AM$154, 5, FALSE)*BP92)), "")), 2),"")</f>
        <v/>
      </c>
      <c r="GB92" s="254" t="str">
        <f t="array" ref="GB92">IF(B92="","",IF(OR(V92="Custom",V92="No Change"),0,IF(B92="Retrofit", INDEX('Lookup Tables'!$AH$6:$AQ$102,MATCH(1,('Lookup Tables'!$AH$6:$AH$102='Lighting Inventory'!V92)*('Lookup Tables'!$AI$6:$AI$102='Lighting Inventory'!W92),FALSE),10),INDEX('Lookup Tables'!$AH$114:$AQ$154,MATCH(1,('Lookup Tables'!$AH$114:$AH$154='Lighting Inventory'!V92)*('Lookup Tables'!$AI$114:$AI$154='Lighting Inventory'!W92),FALSE),10))))</f>
        <v/>
      </c>
      <c r="GC92" s="255" t="str">
        <f t="shared" si="344"/>
        <v/>
      </c>
      <c r="GD92" s="250" t="str">
        <f t="shared" si="345"/>
        <v/>
      </c>
      <c r="GE92" s="253" t="str">
        <f>IFERROR(IF(AND(AF92="", 'General Information'!$F$18="No"),"", IF(AF92="", ((GD92/$CD$266)*$CF$266)*0.5, AF92*S92*0.5)), "")</f>
        <v/>
      </c>
      <c r="GF92" s="255" t="str">
        <f>IF(AND('General Information'!$F$19="", 'General Information'!$F$18="Yes",AF92="",BW92="Y"), "Y", "N")</f>
        <v>N</v>
      </c>
      <c r="GG92" s="255" t="s">
        <v>2946</v>
      </c>
      <c r="GH92" s="255" t="str">
        <f>IFERROR(IF(B92="", "", VLOOKUP(J92, 'Fixture Identities'!$A$6:$N$908, 14, FALSE)), "")</f>
        <v/>
      </c>
      <c r="GI92" s="389" t="str">
        <f>IF(OR(B92="", V92="", W92=""), "", IF(AND(OR(M92='Lookup Tables'!$R$18, M92='Lookup Tables'!$R$19, M92='Lookup Tables'!$R$20, M92='Lookup Tables'!$R$21, M92='Lookup Tables'!$R$22), OR(AN92='Lookup Tables'!$R$17, AN92='Lookup Tables'!$R$17, AN92="")), "Y", "N"))</f>
        <v/>
      </c>
      <c r="GJ92" s="255" t="str">
        <f t="shared" si="346"/>
        <v/>
      </c>
      <c r="GK92" s="255" t="str">
        <f t="shared" si="347"/>
        <v/>
      </c>
      <c r="GL92" s="255" t="str">
        <f t="shared" si="348"/>
        <v/>
      </c>
      <c r="GM92" s="255" t="str">
        <f>IF(AN92="", "", IF(AND(IF(ISNA(VLOOKUP(AN92,'Lookup Tables'!$R$18:$R$22,1,FALSE)), "N", "Y")="Y", E92="Exterior"), "Y", "N"))</f>
        <v/>
      </c>
      <c r="GN92" s="395"/>
      <c r="GO92" s="428">
        <f t="shared" si="394"/>
        <v>0</v>
      </c>
      <c r="GP92" s="428">
        <f t="shared" si="397"/>
        <v>0</v>
      </c>
      <c r="GQ92" s="428">
        <f t="shared" si="395"/>
        <v>0</v>
      </c>
      <c r="GR92" s="428">
        <f t="shared" si="396"/>
        <v>0</v>
      </c>
    </row>
    <row r="93" spans="1:200" s="103" customFormat="1" ht="13.5" customHeight="1" x14ac:dyDescent="0.2">
      <c r="A93" s="272">
        <v>83</v>
      </c>
      <c r="B93" s="110"/>
      <c r="C93" s="110"/>
      <c r="D93" s="110"/>
      <c r="E93" s="110"/>
      <c r="F93" s="110"/>
      <c r="G93" s="110"/>
      <c r="H93" s="110"/>
      <c r="I93" s="29"/>
      <c r="J93" s="29"/>
      <c r="K93" s="272" t="str">
        <f>IFERROR(IF(OR(VLOOKUP(J93, 'Fixture Identities'!$A$6:$L$1023, 3, FALSE)="T12 Linear Fluorescent", VLOOKUP(J93, 'Fixture Identities'!$A$6:$L$1023, 3, FALSE)="T12 U-Tube Fluorescent"), VLOOKUP(VLOOKUP(J93, 'Fixture Identities'!$A$6:$L$1023, 11, FALSE), 'Fixture Identities'!$A$6:$L$1023, 10, FALSE), VLOOKUP(J93, 'Fixture Identities'!$A$6:$L$1023, 10, FALSE)), "")</f>
        <v/>
      </c>
      <c r="L93" s="270" t="str">
        <f t="shared" si="399"/>
        <v/>
      </c>
      <c r="M93" s="110"/>
      <c r="N93" s="110"/>
      <c r="O93" s="110"/>
      <c r="P93" s="272" t="str">
        <f>IFERROR(IF(OR(B93="Retrofit",B93=""),"",IF('Lighting Inventory'!E93="Exterior",VLOOKUP('Lighting Inventory'!N93,'Lookup Tables'!$B$83:$F$103,5,FALSE),IF(N93="Other - Please Estimate EFLH and CFs","Contact Prog. Rep.","ft^2"))), "")</f>
        <v/>
      </c>
      <c r="Q93" s="270" t="str">
        <f>IFERROR(IF(AND(B93="New Construction",E93="Interior",$F$5="Space-by-Space"),VLOOKUP('Lighting Inventory'!N93,'Lookup Tables'!$N$6:$O$97,2,FALSE),IF(AND(B93="New Construction",E93="Exterior"),VLOOKUP(N93,'Lookup Tables'!$B$83:$F$103,2,FALSE),IF(AND(B93="New Construction",'Lighting Inventory'!E93="Interior", $F$5="Building Area"),VLOOKUP(F93,'Lookup Tables'!$A$6:$J$59,10,FALSE),""))), "")</f>
        <v/>
      </c>
      <c r="R93" s="270" t="str">
        <f>IFERROR(IF(P93="Contact Prog. Rep.", "ERROR", IF(OR(B93="",B93="Retrofit"),"",IF(N93="Automated teller machines", ('Lookup Tables'!$A$82:$E$100+('Lighting Inventory'!O93-1)*'Lookup Tables'!$A$82:$E$100)/1000, (Q93*O93)/1000))), "")</f>
        <v/>
      </c>
      <c r="S93" s="595"/>
      <c r="T93" s="105" t="str">
        <f t="shared" si="349"/>
        <v/>
      </c>
      <c r="U93" s="105" t="str">
        <f>IF(S93="","",COUNT($S$11:S93))</f>
        <v/>
      </c>
      <c r="V93" s="111"/>
      <c r="W93" s="112"/>
      <c r="X93" s="105" t="str">
        <f t="shared" si="350"/>
        <v/>
      </c>
      <c r="Y93" s="105" t="str">
        <f t="array" ref="Y93">IF(AND(OR(W93="Freezer Case Lighting", W93="Refrigerated Case Lighting with Doors"), 'General Information'!$X$18="LCI"),'Lookup Tables'!$Y$34, IF(V93="Custom", VLOOKUP(W93, 'Fixture Identities'!$A$974:$M$1023, 13, FALSE), IF(V93="No Change",'Lookup Tables'!$Y$29,IF(OR(V93="",W93=""),"",IF(AND(S93=0,S93&lt;I93,B93="Retrofit"),'Lookup Tables'!$Y$25, IF(B93="Retrofit", INDEX('Lookup Tables'!$AH$6:$AP$102, MATCH(1, ('Lookup Tables'!$AH$6:$AH$102=V93)*('Lookup Tables'!$AI$6:$AI$102=W93), 0), IF('Lighting Inventory'!E93="Interior", 4, 5)), INDEX('Lookup Tables'!$AH$114:$AP$154, MATCH(1, ('Lookup Tables'!$AH$114:$AH$154=V93)*('Lookup Tables'!$AI$114:$AI$154=W93), 0), IF('Lighting Inventory'!E93="Interior", 4, 5))))))))</f>
        <v/>
      </c>
      <c r="Z93" s="105" t="str">
        <f>IFERROR(INDEX('Lookup Tables'!$AH$158:$AH$172,MATCH('Lighting Inventory'!Y93,'Lookup Tables'!$AI$158:$AI$172,0)),"")</f>
        <v/>
      </c>
      <c r="AA93" s="105" t="str">
        <f>IF(AP93&gt;0,INDEX('Lookup Tables'!$AK$158:$AK$172,MATCH('Lighting Inventory'!Y93,'Lookup Tables'!$AI$158:$AI$172,0)),'Lighting Inventory'!Y93)</f>
        <v/>
      </c>
      <c r="AB93" s="105" t="str">
        <f t="array" ref="AB93">IF(V93="Custom", "Custom", IF(V93="", "", IF(V93="Not DLC or Energy Star", "General", IF(B93="New Construction", INDEX('Lookup Tables'!$AH$114:$AP$154,MATCH(1,('Lookup Tables'!$AH$114:$AH$154='Lighting Inventory'!V93)*('Lookup Tables'!$AI$114:$AI$154='Lighting Inventory'!W93),FALSE),8), INDEX('Lookup Tables'!$AH$6:$AP$102,MATCH(1,('Lookup Tables'!$AH$6:$AH$102='Lighting Inventory'!V93)*('Lookup Tables'!$AI$6:$AI$102='Lighting Inventory'!W93),FALSE),8)))))</f>
        <v/>
      </c>
      <c r="AC93" s="272" t="str">
        <f>IF(W93="","",IF(V93="Custom",CONCATENATE("$",'Lookup Tables'!$AM$101," ",'Lookup Tables'!$AN$101),CONCATENATE("$",INDEX('Lookup Tables'!$AM$6:$AM$102,MATCH('Lighting Inventory'!W93,'Lookup Tables'!$AI$6:$AI$102,0))," ",INDEX('Lookup Tables'!$AN$6:$AN$102,MATCH('Lighting Inventory'!W93,'Lookup Tables'!$AI$6:$AI$102,0)))))</f>
        <v/>
      </c>
      <c r="AD93" s="72"/>
      <c r="AE93" s="29"/>
      <c r="AF93" s="379"/>
      <c r="AG93" s="370" t="str">
        <f t="shared" si="298"/>
        <v/>
      </c>
      <c r="AH93" s="370" t="str">
        <f t="shared" si="351"/>
        <v/>
      </c>
      <c r="AI93" s="29"/>
      <c r="AJ93" s="29"/>
      <c r="AK93" s="110"/>
      <c r="AL93" s="375" t="str">
        <f>IF(OR(B93="", V93="", W93=""), "", IF(V93="No Change", K93, IF(V93="Remove Fixture", 0, IF(V93="Custom",VLOOKUP(W93,'Fixture Identities'!$A$6:$K$1023,10,FALSE),IF(AE93="", "← ENTER POST WATTS", 'Lighting Inventory'!AE93)))))</f>
        <v/>
      </c>
      <c r="AM93" s="376" t="str">
        <f t="shared" si="299"/>
        <v/>
      </c>
      <c r="AN93" s="29"/>
      <c r="AO93" s="671"/>
      <c r="AP93" s="29"/>
      <c r="AQ93" s="29"/>
      <c r="AR93" s="29"/>
      <c r="AS93" s="272" t="str">
        <f t="shared" si="352"/>
        <v/>
      </c>
      <c r="AT93" s="270" t="str">
        <f t="shared" si="300"/>
        <v/>
      </c>
      <c r="AU93" s="88" t="str">
        <f t="shared" si="400"/>
        <v/>
      </c>
      <c r="AV93" s="29"/>
      <c r="AW93" s="73"/>
      <c r="AX93" s="271" t="str">
        <f>IF(AND(AV93="Applicant",OR(AW93="", AW93="Use Default Facility Hours")),"← Choose Schedule",IF(F93="","",IF(W93="LED Exit Signs",8760,IF(OR(AV93="Prescribed",AV93=""),VLOOKUP(F93,'Lookup Tables'!$A$6:$G$59,IF(AB93="General", 6, 3),FALSE),VLOOKUP(AW93,'Lookup Tables'!$S$36:$U$43,2,FALSE)))))</f>
        <v/>
      </c>
      <c r="AY93" s="88" t="str">
        <f t="shared" si="301"/>
        <v/>
      </c>
      <c r="AZ93" s="270" t="str">
        <f>IFERROR(IF(F93="", "", IF(W93="LED Exit Signs", 1, IF(AV93="Applicant",VLOOKUP(AW93, 'Lookup Tables'!$S$36:$U$43,3, FALSE), VLOOKUP('Lighting Inventory'!F93, 'Lookup Tables'!$A$6:$H$59, IF('Lighting Inventory'!AB93="General",7,4), FALSE)))), "")</f>
        <v/>
      </c>
      <c r="BA93" s="522" t="str">
        <f>IFERROR(IF(F93="", "", IF(W93="LED Exit Signs", 1, VLOOKUP('Lighting Inventory'!F93, 'Lookup Tables'!$A$6:$H$59, IF('Lighting Inventory'!AB93="General",8,5), FALSE))), "")</f>
        <v/>
      </c>
      <c r="BB93" s="270" t="str">
        <f>IF(G93="", "", IF(E93="Exterior", 0, IF('Lighting Inventory'!G93="Air Conditioned", VLOOKUP(H93, 'Lookup Tables'!$R$6:$T$13, 2, FALSE), VLOOKUP('Lighting Inventory'!G93, 'Lookup Tables'!$R$6:$T$13, 2, FALSE))))</f>
        <v/>
      </c>
      <c r="BC93" s="522" t="str">
        <f>IF(G93="", "", IF(E93="Exterior", 0, IF('Lighting Inventory'!G93="Air Conditioned", VLOOKUP(H93, 'Lookup Tables'!$R$6:$T$13, 3, FALSE), VLOOKUP('Lighting Inventory'!G93, 'Lookup Tables'!$R$6:$T$13, 3, FALSE))))</f>
        <v/>
      </c>
      <c r="BD93" s="270" t="str">
        <f>IF(G93="", "", IF(E93="Exterior", 0, IF('Lighting Inventory'!G93="Air Conditioned", VLOOKUP(H93, 'Lookup Tables'!$R$6:$U$13, 4, FALSE), VLOOKUP('Lighting Inventory'!G93, 'Lookup Tables'!$R$6:$U$13, 4, FALSE))))</f>
        <v/>
      </c>
      <c r="BE93" s="270" t="str">
        <f>IFERROR(IF(B93="", "",  IF(B93="New Construction", VLOOKUP(F93, 'Lookup Tables'!$A$6:$K$59, 11, FALSE),IF(OR(AN93="", AN93="Light Switch"), 0, IF(OR(M93="",M93="None",V93= "LED Exit Signs"),0,_xlfn.XLOOKUP(M93,'Lookup Tables'!$R$91:$R$101,'Lookup Tables'!$V$91:$V$101))))), "")</f>
        <v/>
      </c>
      <c r="BF93" s="270" t="str">
        <f>IF(AND(OR(AN93="Light Switch",AN93=""),B93="New Construction"), VLOOKUP(F93, 'Lookup Tables'!$A$6:$K$59, 11, FALSE),IF(AN93="","",IF(B93="","",IF(OR(AN93="None",AN93="",V93="LED Exit Signs",AN93="Exterior Controls Not Eligible"),0,_xlfn.XLOOKUP(AN93,'Lookup Tables'!$R$91:$R$101,'Lookup Tables'!$V$91:$V$101)))))</f>
        <v/>
      </c>
      <c r="BG93" s="88" t="str">
        <f t="shared" si="353"/>
        <v/>
      </c>
      <c r="BH93" s="88" t="str">
        <f t="shared" si="354"/>
        <v/>
      </c>
      <c r="BI93" s="558" t="str">
        <f t="shared" si="398"/>
        <v/>
      </c>
      <c r="BJ93" s="82" t="str">
        <f t="shared" si="355"/>
        <v/>
      </c>
      <c r="BK93" s="82" t="str">
        <f t="shared" si="356"/>
        <v/>
      </c>
      <c r="BL93" s="559" t="str">
        <f t="shared" si="357"/>
        <v/>
      </c>
      <c r="BM93" s="521" t="str">
        <f t="shared" si="302"/>
        <v/>
      </c>
      <c r="BN93" s="521" t="str">
        <f t="shared" si="303"/>
        <v/>
      </c>
      <c r="BO93" s="522" t="str">
        <f t="shared" si="304"/>
        <v/>
      </c>
      <c r="BP93" s="83" t="str">
        <f t="shared" si="358"/>
        <v/>
      </c>
      <c r="BQ93" s="84" t="str">
        <f t="shared" si="359"/>
        <v/>
      </c>
      <c r="BR93" s="184" t="str">
        <f>IFERROR(IF(B93="", "", IF(OR(VLOOKUP(J93, 'Fixture Identities'!$A$6:$L$1023, 3, FALSE)="T12 Linear Fluorescent",VLOOKUP(J93, 'Fixture Identities'!$A$6:$L$1023, 3, FALSE)="T12 U-Tube Fluorescent"), "Y", "N")), "N")</f>
        <v/>
      </c>
      <c r="BS93" s="184" t="str">
        <f t="array" ref="BS93">IFERROR(IF(OR(B93="", V93="", W93=""), "", IF(V93="Custom", "N", IF(OR(W93="Freezer Case Lighting", W93="Refrigerated Case Lighting with Doors"), BT93, IF(B93="Retrofit", INDEX('Lookup Tables'!$AH$6:$AT$102,MATCH(1,('Lookup Tables'!$AH$6:$AH$102=V93)*('Lookup Tables'!$AI$6:$AI$102=W93),FALSE),IF(VLOOKUP(J93, 'Fixture Identities'!$A$6:$B$1023, 2, FALSE)="Incandescent",12, 13)), INDEX('Lookup Tables'!$AH$114:$AS$154,MATCH(1,('Lookup Tables'!$AH$114:$AH$154=V93)*('Lookup Tables'!$AI$114:$AI$154=W93),FALSE),12))))), "N")</f>
        <v/>
      </c>
      <c r="BT93" s="184" t="str">
        <f>IF(J93="", "", IF(AND(OR(W93="Freezer case Lighting", W93="Refrigerated Case Lighting with Doors"),'General Information'!$X$18="LCI"), "N", IF(OR(VLOOKUP(J93, 'Fixture Identities'!$A$6:$B$1023, 2, FALSE)="T12 EPACT/EISA Baseline", VLOOKUP(J93, 'Fixture Identities'!$A$6:$B$1023, 2, FALSE)="Linear Fluorescent", VLOOKUP(J93, 'Fixture Identities'!$A$6:$B$1023, 2, FALSE)="U-Tube Fluorescent"), "Y", "N")))</f>
        <v/>
      </c>
      <c r="BU93" s="184" t="str">
        <f>IFERROR(IF(B93="", "", IF(VLOOKUP(J93, 'Fixture Identities'!$A$6:$B$1023, 2, FALSE)="Exit Sign", "Y", "N")), "N")</f>
        <v/>
      </c>
      <c r="BV93" s="184" t="str">
        <f>IF(V93="Exit Signs", IF(VLOOKUP(J93, 'Fixture Identities'!$A$6:$B$1023, 2, FALSE)="Exit Sign", "N", "Y"), "")</f>
        <v/>
      </c>
      <c r="BW93" s="184" t="str">
        <f t="array" ref="BW93">IFERROR(IF(B93="", "", IF(B93="New Construction", "N", INDEX('Lookup Tables'!$AH$6:$AU$102, MATCH(1, ('Lookup Tables'!$AH$6:$AH$102='Lighting Inventory'!V93)*('Lookup Tables'!$AI$6:$AI$102='Lighting Inventory'!W93), 0), 14))), "N")</f>
        <v/>
      </c>
      <c r="BX93" s="598" t="str">
        <f t="shared" si="360"/>
        <v/>
      </c>
      <c r="BY93" s="598" t="str">
        <f t="shared" si="361"/>
        <v/>
      </c>
      <c r="BZ93" s="598" t="str">
        <f t="shared" si="362"/>
        <v/>
      </c>
      <c r="CA93" s="598" t="str">
        <f t="shared" si="363"/>
        <v/>
      </c>
      <c r="CB93" s="269" t="str">
        <f t="shared" si="364"/>
        <v/>
      </c>
      <c r="CC93" s="517" t="str">
        <f t="shared" si="365"/>
        <v/>
      </c>
      <c r="CD93" s="565" t="str">
        <f t="shared" si="305"/>
        <v/>
      </c>
      <c r="CE93" s="368">
        <v>0</v>
      </c>
      <c r="CF93" s="368" t="str" cm="1">
        <f t="array" ref="CF93">IFERROR(IF(V93="Custom", "$0.1 per kWh", IF(B93="New Construction", CONCATENATE("$",INDEX('Lookup Tables'!$AH$114:$AN$154,MATCH(1,('Lookup Tables'!$AH$114:$AH$154='Lighting Inventory'!V93)*('Lookup Tables'!$AI$114:$AI$154='Lighting Inventory'!W93),FALSE),6)," ",INDEX('Lookup Tables'!$AH$114:$AN$154,MATCH(1,('Lookup Tables'!$AH$114:$AH$154='Lighting Inventory'!V93)*('Lookup Tables'!$AI$114:$AI$154='Lighting Inventory'!W93),FALSE),7)), IF(AND(BU93="N", V93="Exit Signs"), "$0.025 per kWh", CONCATENATE("$",INDEX('Lookup Tables'!$AH$6:$AN$102,MATCH(1,('Lookup Tables'!$AH$6:$AH$102='Lighting Inventory'!V93)*('Lookup Tables'!$AI$6:$AI$102='Lighting Inventory'!W93),FALSE),6)," ",INDEX('Lookup Tables'!$AH$6:$AN$102,MATCH(1,('Lookup Tables'!$AH$6:$AH$102='Lighting Inventory'!V93)*('Lookup Tables'!$AI$6:$AI$102='Lighting Inventory'!W93),FALSE),7))))), "")</f>
        <v/>
      </c>
      <c r="CG93" s="366"/>
      <c r="CH93" s="248" t="str">
        <f t="shared" si="306"/>
        <v/>
      </c>
      <c r="CI93" s="248" t="str">
        <f t="shared" si="307"/>
        <v>Select_IE</v>
      </c>
      <c r="CJ93" s="248" t="str">
        <f t="shared" si="308"/>
        <v/>
      </c>
      <c r="CK93" s="248" t="str">
        <f t="shared" si="309"/>
        <v/>
      </c>
      <c r="CL93" s="248" t="str">
        <f t="shared" si="310"/>
        <v/>
      </c>
      <c r="CM93" s="248" t="str">
        <f>IFERROR(IF(B93="", "", IF(B93="New Construction", VLOOKUP(V93, 'Lookup Tables'!$AF$114:$AG$120, 2, FALSE), VLOOKUP(V93, 'Lookup Tables'!$AD$6:$AE$25, 2, FALSE))), "")</f>
        <v/>
      </c>
      <c r="CN93" s="248" t="str">
        <f t="shared" si="311"/>
        <v/>
      </c>
      <c r="CO93" s="248" t="str">
        <f t="shared" si="312"/>
        <v/>
      </c>
      <c r="CP93" s="592" t="str">
        <f t="shared" si="313"/>
        <v/>
      </c>
      <c r="CQ93" s="248" t="str">
        <f t="shared" si="366"/>
        <v/>
      </c>
      <c r="CR93" s="100"/>
      <c r="CS93" s="250" t="str">
        <f t="shared" si="314"/>
        <v/>
      </c>
      <c r="CT93" s="250" t="str">
        <f t="shared" si="367"/>
        <v/>
      </c>
      <c r="CU93" s="250" t="str">
        <f t="shared" si="368"/>
        <v/>
      </c>
      <c r="CV93" s="250" t="str">
        <f t="shared" si="369"/>
        <v/>
      </c>
      <c r="CW93" s="250" t="str">
        <f t="shared" si="370"/>
        <v/>
      </c>
      <c r="CX93" s="250" t="str">
        <f t="shared" si="315"/>
        <v/>
      </c>
      <c r="CY93" s="250" t="str">
        <f t="shared" si="316"/>
        <v/>
      </c>
      <c r="CZ93" s="250" t="str">
        <f t="shared" si="317"/>
        <v/>
      </c>
      <c r="DA93" s="250" t="str">
        <f t="shared" si="318"/>
        <v/>
      </c>
      <c r="DB93" s="250" t="str">
        <f t="shared" si="319"/>
        <v/>
      </c>
      <c r="DC93" s="250" t="str">
        <f t="shared" si="320"/>
        <v/>
      </c>
      <c r="DD93" s="250" t="str">
        <f t="shared" si="321"/>
        <v/>
      </c>
      <c r="DE93" s="250" t="str">
        <f t="shared" si="322"/>
        <v/>
      </c>
      <c r="DF93" s="250" t="str">
        <f t="shared" si="323"/>
        <v/>
      </c>
      <c r="DG93" s="250" t="str">
        <f t="shared" si="324"/>
        <v/>
      </c>
      <c r="DH93" s="250" t="str">
        <f t="shared" si="325"/>
        <v/>
      </c>
      <c r="DI93" s="250" t="str">
        <f t="shared" si="326"/>
        <v/>
      </c>
      <c r="DJ93" s="250" t="str">
        <f t="shared" si="327"/>
        <v/>
      </c>
      <c r="DK93" s="250" t="str">
        <f t="shared" si="328"/>
        <v/>
      </c>
      <c r="DL93" s="250" t="str">
        <f t="shared" si="329"/>
        <v/>
      </c>
      <c r="DM93" s="250" t="str">
        <f>IF(CD93="ERROR", "ERROR", IF(AND(OR(Y93=$DM$6, Y93='Lookup Tables'!$AD$21, Y93='Lookup Tables'!$AD$22), E93="Interior"), BJ93, ""))</f>
        <v/>
      </c>
      <c r="DN93" s="250" t="str">
        <f>IF(CD93="ERROR", "ERROR", IF(AND(OR(Y93=$DM$6, Y93='Lookup Tables'!$AD$21, Y93='Lookup Tables'!$AD$22), E93="Exterior"), BJ93, ""))</f>
        <v/>
      </c>
      <c r="DO93" s="100"/>
      <c r="DP93" s="250" t="str">
        <f t="shared" si="330"/>
        <v/>
      </c>
      <c r="DQ93" s="250" t="str">
        <f t="shared" si="371"/>
        <v/>
      </c>
      <c r="DR93" s="250" t="str">
        <f t="shared" si="372"/>
        <v/>
      </c>
      <c r="DS93" s="250" t="str">
        <f t="shared" si="373"/>
        <v/>
      </c>
      <c r="DT93" s="250" t="str">
        <f t="shared" si="374"/>
        <v/>
      </c>
      <c r="DU93" s="250" t="str">
        <f t="shared" si="331"/>
        <v/>
      </c>
      <c r="DV93" s="250" t="str">
        <f t="shared" si="332"/>
        <v/>
      </c>
      <c r="DW93" s="250" t="str">
        <f t="shared" si="333"/>
        <v/>
      </c>
      <c r="DX93" s="250" t="str">
        <f t="shared" si="334"/>
        <v/>
      </c>
      <c r="DY93" s="250" t="str">
        <f t="shared" si="335"/>
        <v/>
      </c>
      <c r="DZ93" s="250" t="str">
        <f t="shared" si="336"/>
        <v/>
      </c>
      <c r="EA93" s="250" t="str">
        <f t="shared" si="337"/>
        <v/>
      </c>
      <c r="EB93" s="250" t="str">
        <f t="shared" si="375"/>
        <v/>
      </c>
      <c r="EC93" s="250" t="str">
        <f t="shared" si="338"/>
        <v/>
      </c>
      <c r="ED93" s="250" t="str">
        <f t="shared" si="339"/>
        <v/>
      </c>
      <c r="EE93" s="250" t="str">
        <f t="shared" si="340"/>
        <v/>
      </c>
      <c r="EF93" s="250" t="str">
        <f t="shared" si="341"/>
        <v/>
      </c>
      <c r="EG93" s="250" t="str">
        <f t="shared" si="342"/>
        <v/>
      </c>
      <c r="EH93" s="250" t="str">
        <f>IF(CD93="ERROR", "ERROR", IF(AND(OR($EH$6=Y93, Y93='Lookup Tables'!$AD$21, Y93='Lookup Tables'!$AD$22),E93="Interior"), SUM(BP93:BP93), ""))</f>
        <v/>
      </c>
      <c r="EI93" s="250" t="str">
        <f>IF(CD93="ERROR", "ERROR", IF(AND(OR($EH$6=Y93, Y93='Lookup Tables'!$AD$21, Y93='Lookup Tables'!$AD$22),E93="Exterior"), SUM(BP93:BP93), ""))</f>
        <v/>
      </c>
      <c r="EJ93" s="109"/>
      <c r="EK93" s="485" t="str">
        <f t="shared" si="343"/>
        <v/>
      </c>
      <c r="EL93" s="252" t="str">
        <f t="shared" si="376"/>
        <v/>
      </c>
      <c r="EM93" s="252" t="str">
        <f t="shared" si="377"/>
        <v/>
      </c>
      <c r="EN93" s="252" t="str">
        <f t="shared" si="378"/>
        <v/>
      </c>
      <c r="EO93" s="252" t="str">
        <f t="shared" si="379"/>
        <v/>
      </c>
      <c r="EP93" s="252" t="str">
        <f t="shared" si="380"/>
        <v/>
      </c>
      <c r="EQ93" s="252" t="str">
        <f t="shared" si="381"/>
        <v/>
      </c>
      <c r="ER93" s="252" t="str">
        <f t="shared" si="382"/>
        <v/>
      </c>
      <c r="ES93" s="252" t="str">
        <f t="shared" si="383"/>
        <v/>
      </c>
      <c r="ET93" s="252" t="str">
        <f t="shared" si="384"/>
        <v/>
      </c>
      <c r="EU93" s="252" t="str">
        <f t="shared" si="385"/>
        <v/>
      </c>
      <c r="EV93" s="252" t="str">
        <f t="shared" si="386"/>
        <v/>
      </c>
      <c r="EW93" s="252" t="str">
        <f t="shared" si="387"/>
        <v/>
      </c>
      <c r="EX93" s="252" t="str">
        <f t="shared" si="388"/>
        <v/>
      </c>
      <c r="EY93" s="252" t="str">
        <f t="shared" si="389"/>
        <v/>
      </c>
      <c r="EZ93" s="252" t="str">
        <f t="shared" si="390"/>
        <v/>
      </c>
      <c r="FA93" s="252" t="str">
        <f t="shared" si="391"/>
        <v/>
      </c>
      <c r="FB93" s="252" t="str">
        <f t="shared" si="392"/>
        <v/>
      </c>
      <c r="FC93" s="252" t="str">
        <f>IF(CD93="ERROR", "ERROR", IF(OR(V93="No Change", V93="Not DLC or Energy Star"), "", IF(AND(OR($FC$6=Y93,Y93='Lookup Tables'!$AD$21, Y93='Lookup Tables'!$AD$22),E93="Interior"), S93, "")))</f>
        <v/>
      </c>
      <c r="FD93" s="252" t="str">
        <f t="shared" si="393"/>
        <v/>
      </c>
      <c r="FE93" s="101"/>
      <c r="FF93" s="579" t="str" cm="1">
        <f t="array" ref="FF93">IFERROR(IF(OR(BQ93&lt;=0,AQ93&lt;20,AND(V93="Exit Signs",AN93&gt;0)),"",IF(AND(AQ93&gt;=20,AN93='Lookup Tables'!$R$101),'Lookup Tables'!$U$101*BQ93,AP93*LOOKUP(2,1/((AN93='Lookup Tables'!$R$91:$R$111)*(AQ93&gt;='Lookup Tables'!$S$91:$S$111)*(AQ93&lt;='Lookup Tables'!$T$91:$T$111)),'Lookup Tables'!$U$91:$U$111))),"")</f>
        <v/>
      </c>
      <c r="FG93" s="579"/>
      <c r="FH93" s="579"/>
      <c r="FI93" s="253" t="str">
        <f>IFERROR(ROUND(IF(CD93="ERROR", "ERROR", IF(AND($FI$7=X93,E93="Interior"),VLOOKUP(W93, 'Lookup Tables'!$AI$6:$AM$102, 5, FALSE)*BP93, "")), 2), "")</f>
        <v/>
      </c>
      <c r="FJ93" s="253" t="str">
        <f>IFERROR(ROUND(IF(CD93="ERROR", "ERROR", IF(AND($FI$7=X93,E93="Exterior"),VLOOKUP(W93, 'Lookup Tables'!$AI$6:$AM$102, 5, FALSE)*BP93, "")), 2), "")</f>
        <v/>
      </c>
      <c r="FK93" s="253" t="str">
        <f>IFERROR(ROUND(IF(CD93="ERROR", "ERROR", IF(AND($FK$7=X93,E93="Interior"),VLOOKUP(W93, 'Lookup Tables'!$AI$6:$AM$102, 5, FALSE)*BP93, "")), 2), "")</f>
        <v/>
      </c>
      <c r="FL93" s="253" t="str">
        <f>IFERROR(ROUND(IF(CD93="ERROR", "ERROR", IF(AND($FK$7=X93,E93="Exterior"),VLOOKUP(W93, 'Lookup Tables'!$AI$6:$AM$102, 5, FALSE)*BP93, "")), 2), "")</f>
        <v/>
      </c>
      <c r="FM93" s="253" t="str">
        <f>IFERROR(ROUND(IF(CD93="ERROR", "ERROR", IF(AND($FM$6=Y93,E93="Interior"), IF(GB93=0, VLOOKUP(W93, 'Lookup Tables'!$AI$6:$AM$102, 5, FALSE)*BP93, IF(VLOOKUP(W93, 'Lookup Tables'!$AI$6:$AM$102, 5, FALSE)*BP93&gt;GB93*'Lighting Inventory'!S93, GB93*'Lighting Inventory'!S93,VLOOKUP(W93, 'Lookup Tables'!$AI$6:$AM$102, 5, FALSE)*BP93)), "")), 2), "")</f>
        <v/>
      </c>
      <c r="FN93" s="253" t="str">
        <f>IFERROR(ROUND(IF(CD93="ERROR", "ERROR", IF(AND($FM$6=Y93,E93="Exterior"), IF(GB93=0, VLOOKUP(W93, 'Lookup Tables'!$AI$6:$AM$102, 5, FALSE)*BP93, IF(VLOOKUP(W93, 'Lookup Tables'!$AI$6:$AM$102, 5, FALSE)*BP93&gt;GB93*'Lighting Inventory'!S93, GB93*'Lighting Inventory'!S93,VLOOKUP(W93, 'Lookup Tables'!$AI$6:$AM$102, 5, FALSE)*BP93)), "")), 2), "")</f>
        <v/>
      </c>
      <c r="FO93" s="253" t="str">
        <f>IFERROR(ROUND(IF(CD93="ERROR", "ERROR", IF(AND($FO$6=Y93,E93="Interior"),VLOOKUP(W93, 'Lookup Tables'!$AI$6:$AM$102, 5, FALSE)*'Lighting Inventory'!AI93, "")), 2), "")</f>
        <v/>
      </c>
      <c r="FP93" s="253" t="str">
        <f>IFERROR(ROUND(IF(CD93="ERROR", "ERROR", IF(AND($FO$6=Y93,E93="Exterior"),VLOOKUP(W93, 'Lookup Tables'!$AI$6:$AM$102, 5, FALSE)*'Lighting Inventory'!AI93, "")), 2), "")</f>
        <v/>
      </c>
      <c r="FQ93" s="253" t="str">
        <f>IFERROR(ROUND(IF(CD93="ERROR", "ERROR", IF(AND($FQ$6=Y93,E93="Interior", BU93="Y"), VLOOKUP('Lighting Inventory'!W93, 'Lookup Tables'!$AI$6:$AM$102, 5, FALSE)*'Lighting Inventory'!S93, IF(AND($FQ$7=Y93,E93="Interior", BU93="N"), 0.025*CD93, ""))), 2), "")</f>
        <v/>
      </c>
      <c r="FR93" s="253" t="str">
        <f>IFERROR(ROUND(IF(CD93="ERROR", "ERROR", IF(AND($FQ$6=Y93,E93="Exterior"), VLOOKUP('Lighting Inventory'!W93, 'Lookup Tables'!$AI$6:$AM$102, 5, FALSE)*'Lighting Inventory'!S93, "")), 2), "")</f>
        <v/>
      </c>
      <c r="FS93" s="253" t="str">
        <f>IFERROR(ROUND(IF(CD93="ERROR", "ERROR", IF(AND($FS$6=Y93,E93="Exterior"), IF(GB93=0, VLOOKUP(W93, 'Lookup Tables'!$AI$6:$AM$102, 5, FALSE)*BP93, IF(VLOOKUP(W93, 'Lookup Tables'!$AI$6:$AM$102, 5, FALSE)*BP93&gt;GB93*'Lighting Inventory'!S93, GB93*'Lighting Inventory'!S93,VLOOKUP(W93, 'Lookup Tables'!$AI$6:$AM$102, 5, FALSE)*BP93)), "")), 2), "")</f>
        <v/>
      </c>
      <c r="FT93" s="253" t="str">
        <f>IFERROR(ROUND(IF(CD93="ERROR", "ERROR", IF(AND($FT$6=Y93,E93="Interior"), IF(GB93=0, VLOOKUP(W93, 'Lookup Tables'!$AI$6:$AM$102, 5, FALSE)*BP93, IF(VLOOKUP(W93, 'Lookup Tables'!$AI$6:$AM$102, 5, FALSE)*BP93&gt;GB93*'Lighting Inventory'!S93, GB93*'Lighting Inventory'!S93,VLOOKUP(W93, 'Lookup Tables'!$AI$6:$AM$102, 5, FALSE)*BP93)), "")), 2), "")</f>
        <v/>
      </c>
      <c r="FU93" s="253" t="str">
        <f>IFERROR(ROUND(IF(CD93="ERROR", "ERROR", IF(AND(Y93=$FU$6, E93="Interior"), IF(BS93="N", 'Lookup Tables'!$AM$101*BP93, VLOOKUP(W93, 'Lookup Tables'!$AI$6:$AM$102, 5, FALSE)*S93*AD93), "")), 2), "")</f>
        <v/>
      </c>
      <c r="FV93" s="253" t="str">
        <f>IFERROR(ROUND(IF(CD93="ERROR", "ERROR", IF(AND(Y93=$FU$6, E93="Exterior"), IF(BS93="N", 'Lookup Tables'!$AM$101*BP93, VLOOKUP(W93, 'Lookup Tables'!$AI$6:$AM$102, 5, FALSE)*S93*AD93), "")), 2), "")</f>
        <v/>
      </c>
      <c r="FW93" s="253" t="str">
        <f>IFERROR(ROUND(IF(CD93="ERROR", "ERROR", IF($FW$6=Y93, IF(BS93="N", 'Lookup Tables'!$AM$101*BP93, MIN((VLOOKUP(W93, 'Lookup Tables'!$AI$6:$AM$102, 5, FALSE)*BP93),GB93*AJ93)), "")), 2), "")</f>
        <v/>
      </c>
      <c r="FX93" s="253" t="str">
        <f>IFERROR(ROUND(IF(CD93="ERROR", "ERROR", IF(AND($FX$6=Y93, E93="Interior"), IF(VLOOKUP(W93, 'Lookup Tables'!$AI$6:$AM$102, 5, FALSE)*BP93&gt;'Lookup Tables'!$AQ$97*'Lighting Inventory'!S93,'Lighting Inventory'!S93*'Lookup Tables'!$AQ$97,VLOOKUP(W93, 'Lookup Tables'!$AI$6:$AM$102, 5, FALSE)*BP93), "")), 2), "")</f>
        <v/>
      </c>
      <c r="FY93" s="253" t="str">
        <f>IFERROR(ROUND(IF(CD93="ERROR", "ERROR", IF(AND($FX$6=Y93, E93="Exterior"), IF(VLOOKUP(W93, 'Lookup Tables'!$AI$6:$AM$102, 5, FALSE)*BP93&gt;'Lookup Tables'!$AQ$97*'Lighting Inventory'!S93,'Lighting Inventory'!S93*'Lookup Tables'!$AQ$97,VLOOKUP(W93, 'Lookup Tables'!$AI$6:$AM$102, 5, FALSE)*BP93), "")), 2), "")</f>
        <v/>
      </c>
      <c r="FZ93" s="253" t="str">
        <f>IFERROR(ROUND(IF(CD93="ERROR", "ERROR", IF(AND($FZ$6=Y93, E93="Interior"), IF(AND(OR(W93="Refrigerated Case Lighting with Doors", W93="Freezer Case Lighting"),Y93="Custom - Process Improvement"),CD93*'Lookup Tables'!$AM$101, IF(B93="Retrofit", IF(VLOOKUP(IF(V93="Custom", V93, W93), 'Lookup Tables'!$AI$6:$AM$102, 5, FALSE)*BP93&gt;GE93, GE93, VLOOKUP(IF(V93="Custom", V93, W93), 'Lookup Tables'!$AI$6:$AM$102, 5, FALSE)*BP93), IF(VLOOKUP(IF(V93="Custom", V93, W93), 'Lookup Tables'!$AI$114:$AM$154, 5, FALSE)*BP93&gt;GE93, GE93, VLOOKUP(IF(V93="Custom", V93, W93), 'Lookup Tables'!$AI$114:$AM$154, 5, FALSE)*BP93))), "")), 2),"")</f>
        <v/>
      </c>
      <c r="GA93" s="253" t="str">
        <f>IFERROR(ROUND(IF(CD93="ERROR", "ERROR", IF(AND($FZ$6=Y93, E93="Exterior"), IF(B93="Retrofit", IF(VLOOKUP(IF(V93="Custom", V93, W93), 'Lookup Tables'!$AI$6:$AM$102, 5, FALSE)*BP93&gt;GE93, GE93, VLOOKUP(IF(V93="Custom", V93, W93), 'Lookup Tables'!$AI$6:$AM$102, 5, FALSE)*BP93), IF(VLOOKUP(IF(V93="Custom", V93, W93), 'Lookup Tables'!$AI$114:$AM$154, 5, FALSE)*BP93&gt;GE93, GE93, VLOOKUP(IF(V93="Custom", V93, W93), 'Lookup Tables'!$AI$114:$AM$154, 5, FALSE)*BP93)), "")), 2),"")</f>
        <v/>
      </c>
      <c r="GB93" s="254" t="str">
        <f t="array" ref="GB93">IF(B93="","",IF(OR(V93="Custom",V93="No Change"),0,IF(B93="Retrofit", INDEX('Lookup Tables'!$AH$6:$AQ$102,MATCH(1,('Lookup Tables'!$AH$6:$AH$102='Lighting Inventory'!V93)*('Lookup Tables'!$AI$6:$AI$102='Lighting Inventory'!W93),FALSE),10),INDEX('Lookup Tables'!$AH$114:$AQ$154,MATCH(1,('Lookup Tables'!$AH$114:$AH$154='Lighting Inventory'!V93)*('Lookup Tables'!$AI$114:$AI$154='Lighting Inventory'!W93),FALSE),10))))</f>
        <v/>
      </c>
      <c r="GC93" s="255" t="str">
        <f t="shared" si="344"/>
        <v/>
      </c>
      <c r="GD93" s="250" t="str">
        <f t="shared" si="345"/>
        <v/>
      </c>
      <c r="GE93" s="253" t="str">
        <f>IFERROR(IF(AND(AF93="", 'General Information'!$F$18="No"),"", IF(AF93="", ((GD93/$CD$266)*$CF$266)*0.5, AF93*S93*0.5)), "")</f>
        <v/>
      </c>
      <c r="GF93" s="255" t="str">
        <f>IF(AND('General Information'!$F$19="", 'General Information'!$F$18="Yes",AF93="",BW93="Y"), "Y", "N")</f>
        <v>N</v>
      </c>
      <c r="GG93" s="255" t="s">
        <v>2946</v>
      </c>
      <c r="GH93" s="255" t="str">
        <f>IFERROR(IF(B93="", "", VLOOKUP(J93, 'Fixture Identities'!$A$6:$N$908, 14, FALSE)), "")</f>
        <v/>
      </c>
      <c r="GI93" s="389" t="str">
        <f>IF(OR(B93="", V93="", W93=""), "", IF(AND(OR(M93='Lookup Tables'!$R$18, M93='Lookup Tables'!$R$19, M93='Lookup Tables'!$R$20, M93='Lookup Tables'!$R$21, M93='Lookup Tables'!$R$22), OR(AN93='Lookup Tables'!$R$17, AN93='Lookup Tables'!$R$17, AN93="")), "Y", "N"))</f>
        <v/>
      </c>
      <c r="GJ93" s="255" t="str">
        <f t="shared" si="346"/>
        <v/>
      </c>
      <c r="GK93" s="255" t="str">
        <f t="shared" si="347"/>
        <v/>
      </c>
      <c r="GL93" s="255" t="str">
        <f t="shared" si="348"/>
        <v/>
      </c>
      <c r="GM93" s="255" t="str">
        <f>IF(AN93="", "", IF(AND(IF(ISNA(VLOOKUP(AN93,'Lookup Tables'!$R$18:$R$22,1,FALSE)), "N", "Y")="Y", E93="Exterior"), "Y", "N"))</f>
        <v/>
      </c>
      <c r="GN93" s="395"/>
      <c r="GO93" s="428">
        <f t="shared" si="394"/>
        <v>0</v>
      </c>
      <c r="GP93" s="428">
        <f t="shared" si="397"/>
        <v>0</v>
      </c>
      <c r="GQ93" s="428">
        <f t="shared" si="395"/>
        <v>0</v>
      </c>
      <c r="GR93" s="428">
        <f t="shared" si="396"/>
        <v>0</v>
      </c>
    </row>
    <row r="94" spans="1:200" s="103" customFormat="1" ht="13.5" customHeight="1" x14ac:dyDescent="0.2">
      <c r="A94" s="272">
        <v>84</v>
      </c>
      <c r="B94" s="110"/>
      <c r="C94" s="110"/>
      <c r="D94" s="110"/>
      <c r="E94" s="110"/>
      <c r="F94" s="110"/>
      <c r="G94" s="110"/>
      <c r="H94" s="110"/>
      <c r="I94" s="29"/>
      <c r="J94" s="29"/>
      <c r="K94" s="272" t="str">
        <f>IFERROR(IF(OR(VLOOKUP(J94, 'Fixture Identities'!$A$6:$L$1023, 3, FALSE)="T12 Linear Fluorescent", VLOOKUP(J94, 'Fixture Identities'!$A$6:$L$1023, 3, FALSE)="T12 U-Tube Fluorescent"), VLOOKUP(VLOOKUP(J94, 'Fixture Identities'!$A$6:$L$1023, 11, FALSE), 'Fixture Identities'!$A$6:$L$1023, 10, FALSE), VLOOKUP(J94, 'Fixture Identities'!$A$6:$L$1023, 10, FALSE)), "")</f>
        <v/>
      </c>
      <c r="L94" s="270" t="str">
        <f t="shared" si="399"/>
        <v/>
      </c>
      <c r="M94" s="110"/>
      <c r="N94" s="110"/>
      <c r="O94" s="110"/>
      <c r="P94" s="272" t="str">
        <f>IFERROR(IF(OR(B94="Retrofit",B94=""),"",IF('Lighting Inventory'!E94="Exterior",VLOOKUP('Lighting Inventory'!N94,'Lookup Tables'!$B$83:$F$103,5,FALSE),IF(N94="Other - Please Estimate EFLH and CFs","Contact Prog. Rep.","ft^2"))), "")</f>
        <v/>
      </c>
      <c r="Q94" s="270" t="str">
        <f>IFERROR(IF(AND(B94="New Construction",E94="Interior",$F$5="Space-by-Space"),VLOOKUP('Lighting Inventory'!N94,'Lookup Tables'!$N$6:$O$97,2,FALSE),IF(AND(B94="New Construction",E94="Exterior"),VLOOKUP(N94,'Lookup Tables'!$B$83:$F$103,2,FALSE),IF(AND(B94="New Construction",'Lighting Inventory'!E94="Interior", $F$5="Building Area"),VLOOKUP(F94,'Lookup Tables'!$A$6:$J$59,10,FALSE),""))), "")</f>
        <v/>
      </c>
      <c r="R94" s="270" t="str">
        <f>IFERROR(IF(P94="Contact Prog. Rep.", "ERROR", IF(OR(B94="",B94="Retrofit"),"",IF(N94="Automated teller machines", ('Lookup Tables'!$A$82:$E$100+('Lighting Inventory'!O94-1)*'Lookup Tables'!$A$82:$E$100)/1000, (Q94*O94)/1000))), "")</f>
        <v/>
      </c>
      <c r="S94" s="595"/>
      <c r="T94" s="105" t="str">
        <f t="shared" si="349"/>
        <v/>
      </c>
      <c r="U94" s="105" t="str">
        <f>IF(S94="","",COUNT($S$11:S94))</f>
        <v/>
      </c>
      <c r="V94" s="111"/>
      <c r="W94" s="112"/>
      <c r="X94" s="105" t="str">
        <f t="shared" si="350"/>
        <v/>
      </c>
      <c r="Y94" s="105" t="str">
        <f t="array" ref="Y94">IF(AND(OR(W94="Freezer Case Lighting", W94="Refrigerated Case Lighting with Doors"), 'General Information'!$X$18="LCI"),'Lookup Tables'!$Y$34, IF(V94="Custom", VLOOKUP(W94, 'Fixture Identities'!$A$974:$M$1023, 13, FALSE), IF(V94="No Change",'Lookup Tables'!$Y$29,IF(OR(V94="",W94=""),"",IF(AND(S94=0,S94&lt;I94,B94="Retrofit"),'Lookup Tables'!$Y$25, IF(B94="Retrofit", INDEX('Lookup Tables'!$AH$6:$AP$102, MATCH(1, ('Lookup Tables'!$AH$6:$AH$102=V94)*('Lookup Tables'!$AI$6:$AI$102=W94), 0), IF('Lighting Inventory'!E94="Interior", 4, 5)), INDEX('Lookup Tables'!$AH$114:$AP$154, MATCH(1, ('Lookup Tables'!$AH$114:$AH$154=V94)*('Lookup Tables'!$AI$114:$AI$154=W94), 0), IF('Lighting Inventory'!E94="Interior", 4, 5))))))))</f>
        <v/>
      </c>
      <c r="Z94" s="105" t="str">
        <f>IFERROR(INDEX('Lookup Tables'!$AH$158:$AH$172,MATCH('Lighting Inventory'!Y94,'Lookup Tables'!$AI$158:$AI$172,0)),"")</f>
        <v/>
      </c>
      <c r="AA94" s="105" t="str">
        <f>IF(AP94&gt;0,INDEX('Lookup Tables'!$AK$158:$AK$172,MATCH('Lighting Inventory'!Y94,'Lookup Tables'!$AI$158:$AI$172,0)),'Lighting Inventory'!Y94)</f>
        <v/>
      </c>
      <c r="AB94" s="105" t="str">
        <f t="array" ref="AB94">IF(V94="Custom", "Custom", IF(V94="", "", IF(V94="Not DLC or Energy Star", "General", IF(B94="New Construction", INDEX('Lookup Tables'!$AH$114:$AP$154,MATCH(1,('Lookup Tables'!$AH$114:$AH$154='Lighting Inventory'!V94)*('Lookup Tables'!$AI$114:$AI$154='Lighting Inventory'!W94),FALSE),8), INDEX('Lookup Tables'!$AH$6:$AP$102,MATCH(1,('Lookup Tables'!$AH$6:$AH$102='Lighting Inventory'!V94)*('Lookup Tables'!$AI$6:$AI$102='Lighting Inventory'!W94),FALSE),8)))))</f>
        <v/>
      </c>
      <c r="AC94" s="272" t="str">
        <f>IF(W94="","",IF(V94="Custom",CONCATENATE("$",'Lookup Tables'!$AM$101," ",'Lookup Tables'!$AN$101),CONCATENATE("$",INDEX('Lookup Tables'!$AM$6:$AM$102,MATCH('Lighting Inventory'!W94,'Lookup Tables'!$AI$6:$AI$102,0))," ",INDEX('Lookup Tables'!$AN$6:$AN$102,MATCH('Lighting Inventory'!W94,'Lookup Tables'!$AI$6:$AI$102,0)))))</f>
        <v/>
      </c>
      <c r="AD94" s="72"/>
      <c r="AE94" s="29"/>
      <c r="AF94" s="379"/>
      <c r="AG94" s="370" t="str">
        <f t="shared" si="298"/>
        <v/>
      </c>
      <c r="AH94" s="370" t="str">
        <f t="shared" si="351"/>
        <v/>
      </c>
      <c r="AI94" s="29"/>
      <c r="AJ94" s="29"/>
      <c r="AK94" s="110"/>
      <c r="AL94" s="375" t="str">
        <f>IF(OR(B94="", V94="", W94=""), "", IF(V94="No Change", K94, IF(V94="Remove Fixture", 0, IF(V94="Custom",VLOOKUP(W94,'Fixture Identities'!$A$6:$K$1023,10,FALSE),IF(AE94="", "← ENTER POST WATTS", 'Lighting Inventory'!AE94)))))</f>
        <v/>
      </c>
      <c r="AM94" s="376" t="str">
        <f t="shared" si="299"/>
        <v/>
      </c>
      <c r="AN94" s="29"/>
      <c r="AO94" s="671"/>
      <c r="AP94" s="29"/>
      <c r="AQ94" s="29"/>
      <c r="AR94" s="29"/>
      <c r="AS94" s="272" t="str">
        <f t="shared" si="352"/>
        <v/>
      </c>
      <c r="AT94" s="270" t="str">
        <f t="shared" si="300"/>
        <v/>
      </c>
      <c r="AU94" s="88" t="str">
        <f t="shared" si="400"/>
        <v/>
      </c>
      <c r="AV94" s="29"/>
      <c r="AW94" s="73"/>
      <c r="AX94" s="271" t="str">
        <f>IF(AND(AV94="Applicant",OR(AW94="", AW94="Use Default Facility Hours")),"← Choose Schedule",IF(F94="","",IF(W94="LED Exit Signs",8760,IF(OR(AV94="Prescribed",AV94=""),VLOOKUP(F94,'Lookup Tables'!$A$6:$G$59,IF(AB94="General", 6, 3),FALSE),VLOOKUP(AW94,'Lookup Tables'!$S$36:$U$43,2,FALSE)))))</f>
        <v/>
      </c>
      <c r="AY94" s="88" t="str">
        <f t="shared" si="301"/>
        <v/>
      </c>
      <c r="AZ94" s="270" t="str">
        <f>IFERROR(IF(F94="", "", IF(W94="LED Exit Signs", 1, IF(AV94="Applicant",VLOOKUP(AW94, 'Lookup Tables'!$S$36:$U$43,3, FALSE), VLOOKUP('Lighting Inventory'!F94, 'Lookup Tables'!$A$6:$H$59, IF('Lighting Inventory'!AB94="General",7,4), FALSE)))), "")</f>
        <v/>
      </c>
      <c r="BA94" s="522" t="str">
        <f>IFERROR(IF(F94="", "", IF(W94="LED Exit Signs", 1, VLOOKUP('Lighting Inventory'!F94, 'Lookup Tables'!$A$6:$H$59, IF('Lighting Inventory'!AB94="General",8,5), FALSE))), "")</f>
        <v/>
      </c>
      <c r="BB94" s="270" t="str">
        <f>IF(G94="", "", IF(E94="Exterior", 0, IF('Lighting Inventory'!G94="Air Conditioned", VLOOKUP(H94, 'Lookup Tables'!$R$6:$T$13, 2, FALSE), VLOOKUP('Lighting Inventory'!G94, 'Lookup Tables'!$R$6:$T$13, 2, FALSE))))</f>
        <v/>
      </c>
      <c r="BC94" s="522" t="str">
        <f>IF(G94="", "", IF(E94="Exterior", 0, IF('Lighting Inventory'!G94="Air Conditioned", VLOOKUP(H94, 'Lookup Tables'!$R$6:$T$13, 3, FALSE), VLOOKUP('Lighting Inventory'!G94, 'Lookup Tables'!$R$6:$T$13, 3, FALSE))))</f>
        <v/>
      </c>
      <c r="BD94" s="270" t="str">
        <f>IF(G94="", "", IF(E94="Exterior", 0, IF('Lighting Inventory'!G94="Air Conditioned", VLOOKUP(H94, 'Lookup Tables'!$R$6:$U$13, 4, FALSE), VLOOKUP('Lighting Inventory'!G94, 'Lookup Tables'!$R$6:$U$13, 4, FALSE))))</f>
        <v/>
      </c>
      <c r="BE94" s="270" t="str">
        <f>IFERROR(IF(B94="", "",  IF(B94="New Construction", VLOOKUP(F94, 'Lookup Tables'!$A$6:$K$59, 11, FALSE),IF(OR(AN94="", AN94="Light Switch"), 0, IF(OR(M94="",M94="None",V94= "LED Exit Signs"),0,_xlfn.XLOOKUP(M94,'Lookup Tables'!$R$91:$R$101,'Lookup Tables'!$V$91:$V$101))))), "")</f>
        <v/>
      </c>
      <c r="BF94" s="270" t="str">
        <f>IF(AND(OR(AN94="Light Switch",AN94=""),B94="New Construction"), VLOOKUP(F94, 'Lookup Tables'!$A$6:$K$59, 11, FALSE),IF(AN94="","",IF(B94="","",IF(OR(AN94="None",AN94="",V94="LED Exit Signs",AN94="Exterior Controls Not Eligible"),0,_xlfn.XLOOKUP(AN94,'Lookup Tables'!$R$91:$R$101,'Lookup Tables'!$V$91:$V$101)))))</f>
        <v/>
      </c>
      <c r="BG94" s="88" t="str">
        <f t="shared" si="353"/>
        <v/>
      </c>
      <c r="BH94" s="88" t="str">
        <f t="shared" si="354"/>
        <v/>
      </c>
      <c r="BI94" s="558" t="str">
        <f t="shared" si="398"/>
        <v/>
      </c>
      <c r="BJ94" s="82" t="str">
        <f t="shared" si="355"/>
        <v/>
      </c>
      <c r="BK94" s="82" t="str">
        <f t="shared" si="356"/>
        <v/>
      </c>
      <c r="BL94" s="559" t="str">
        <f t="shared" si="357"/>
        <v/>
      </c>
      <c r="BM94" s="521" t="str">
        <f t="shared" si="302"/>
        <v/>
      </c>
      <c r="BN94" s="521" t="str">
        <f t="shared" si="303"/>
        <v/>
      </c>
      <c r="BO94" s="522" t="str">
        <f t="shared" si="304"/>
        <v/>
      </c>
      <c r="BP94" s="83" t="str">
        <f t="shared" si="358"/>
        <v/>
      </c>
      <c r="BQ94" s="84" t="str">
        <f t="shared" si="359"/>
        <v/>
      </c>
      <c r="BR94" s="184" t="str">
        <f>IFERROR(IF(B94="", "", IF(OR(VLOOKUP(J94, 'Fixture Identities'!$A$6:$L$1023, 3, FALSE)="T12 Linear Fluorescent",VLOOKUP(J94, 'Fixture Identities'!$A$6:$L$1023, 3, FALSE)="T12 U-Tube Fluorescent"), "Y", "N")), "N")</f>
        <v/>
      </c>
      <c r="BS94" s="184" t="str">
        <f t="array" ref="BS94">IFERROR(IF(OR(B94="", V94="", W94=""), "", IF(V94="Custom", "N", IF(OR(W94="Freezer Case Lighting", W94="Refrigerated Case Lighting with Doors"), BT94, IF(B94="Retrofit", INDEX('Lookup Tables'!$AH$6:$AT$102,MATCH(1,('Lookup Tables'!$AH$6:$AH$102=V94)*('Lookup Tables'!$AI$6:$AI$102=W94),FALSE),IF(VLOOKUP(J94, 'Fixture Identities'!$A$6:$B$1023, 2, FALSE)="Incandescent",12, 13)), INDEX('Lookup Tables'!$AH$114:$AS$154,MATCH(1,('Lookup Tables'!$AH$114:$AH$154=V94)*('Lookup Tables'!$AI$114:$AI$154=W94),FALSE),12))))), "N")</f>
        <v/>
      </c>
      <c r="BT94" s="184" t="str">
        <f>IF(J94="", "", IF(AND(OR(W94="Freezer case Lighting", W94="Refrigerated Case Lighting with Doors"),'General Information'!$X$18="LCI"), "N", IF(OR(VLOOKUP(J94, 'Fixture Identities'!$A$6:$B$1023, 2, FALSE)="T12 EPACT/EISA Baseline", VLOOKUP(J94, 'Fixture Identities'!$A$6:$B$1023, 2, FALSE)="Linear Fluorescent", VLOOKUP(J94, 'Fixture Identities'!$A$6:$B$1023, 2, FALSE)="U-Tube Fluorescent"), "Y", "N")))</f>
        <v/>
      </c>
      <c r="BU94" s="184" t="str">
        <f>IFERROR(IF(B94="", "", IF(VLOOKUP(J94, 'Fixture Identities'!$A$6:$B$1023, 2, FALSE)="Exit Sign", "Y", "N")), "N")</f>
        <v/>
      </c>
      <c r="BV94" s="184" t="str">
        <f>IF(V94="Exit Signs", IF(VLOOKUP(J94, 'Fixture Identities'!$A$6:$B$1023, 2, FALSE)="Exit Sign", "N", "Y"), "")</f>
        <v/>
      </c>
      <c r="BW94" s="184" t="str">
        <f t="array" ref="BW94">IFERROR(IF(B94="", "", IF(B94="New Construction", "N", INDEX('Lookup Tables'!$AH$6:$AU$102, MATCH(1, ('Lookup Tables'!$AH$6:$AH$102='Lighting Inventory'!V94)*('Lookup Tables'!$AI$6:$AI$102='Lighting Inventory'!W94), 0), 14))), "N")</f>
        <v/>
      </c>
      <c r="BX94" s="598" t="str">
        <f t="shared" si="360"/>
        <v/>
      </c>
      <c r="BY94" s="598" t="str">
        <f t="shared" si="361"/>
        <v/>
      </c>
      <c r="BZ94" s="598" t="str">
        <f t="shared" si="362"/>
        <v/>
      </c>
      <c r="CA94" s="598" t="str">
        <f t="shared" si="363"/>
        <v/>
      </c>
      <c r="CB94" s="269" t="str">
        <f t="shared" si="364"/>
        <v/>
      </c>
      <c r="CC94" s="517" t="str">
        <f t="shared" si="365"/>
        <v/>
      </c>
      <c r="CD94" s="565" t="str">
        <f t="shared" si="305"/>
        <v/>
      </c>
      <c r="CE94" s="368">
        <v>0</v>
      </c>
      <c r="CF94" s="368" t="str" cm="1">
        <f t="array" ref="CF94">IFERROR(IF(V94="Custom", "$0.1 per kWh", IF(B94="New Construction", CONCATENATE("$",INDEX('Lookup Tables'!$AH$114:$AN$154,MATCH(1,('Lookup Tables'!$AH$114:$AH$154='Lighting Inventory'!V94)*('Lookup Tables'!$AI$114:$AI$154='Lighting Inventory'!W94),FALSE),6)," ",INDEX('Lookup Tables'!$AH$114:$AN$154,MATCH(1,('Lookup Tables'!$AH$114:$AH$154='Lighting Inventory'!V94)*('Lookup Tables'!$AI$114:$AI$154='Lighting Inventory'!W94),FALSE),7)), IF(AND(BU94="N", V94="Exit Signs"), "$0.025 per kWh", CONCATENATE("$",INDEX('Lookup Tables'!$AH$6:$AN$102,MATCH(1,('Lookup Tables'!$AH$6:$AH$102='Lighting Inventory'!V94)*('Lookup Tables'!$AI$6:$AI$102='Lighting Inventory'!W94),FALSE),6)," ",INDEX('Lookup Tables'!$AH$6:$AN$102,MATCH(1,('Lookup Tables'!$AH$6:$AH$102='Lighting Inventory'!V94)*('Lookup Tables'!$AI$6:$AI$102='Lighting Inventory'!W94),FALSE),7))))), "")</f>
        <v/>
      </c>
      <c r="CG94" s="366"/>
      <c r="CH94" s="248" t="str">
        <f t="shared" si="306"/>
        <v/>
      </c>
      <c r="CI94" s="248" t="str">
        <f t="shared" si="307"/>
        <v>Select_IE</v>
      </c>
      <c r="CJ94" s="248" t="str">
        <f t="shared" si="308"/>
        <v/>
      </c>
      <c r="CK94" s="248" t="str">
        <f t="shared" si="309"/>
        <v/>
      </c>
      <c r="CL94" s="248" t="str">
        <f t="shared" si="310"/>
        <v/>
      </c>
      <c r="CM94" s="248" t="str">
        <f>IFERROR(IF(B94="", "", IF(B94="New Construction", VLOOKUP(V94, 'Lookup Tables'!$AF$114:$AG$120, 2, FALSE), VLOOKUP(V94, 'Lookup Tables'!$AD$6:$AE$25, 2, FALSE))), "")</f>
        <v/>
      </c>
      <c r="CN94" s="248" t="str">
        <f t="shared" si="311"/>
        <v/>
      </c>
      <c r="CO94" s="248" t="str">
        <f t="shared" si="312"/>
        <v/>
      </c>
      <c r="CP94" s="592" t="str">
        <f t="shared" si="313"/>
        <v/>
      </c>
      <c r="CQ94" s="248" t="str">
        <f t="shared" si="366"/>
        <v/>
      </c>
      <c r="CR94" s="249"/>
      <c r="CS94" s="250" t="str">
        <f t="shared" si="314"/>
        <v/>
      </c>
      <c r="CT94" s="250" t="str">
        <f t="shared" si="367"/>
        <v/>
      </c>
      <c r="CU94" s="250" t="str">
        <f t="shared" si="368"/>
        <v/>
      </c>
      <c r="CV94" s="250" t="str">
        <f t="shared" si="369"/>
        <v/>
      </c>
      <c r="CW94" s="250" t="str">
        <f t="shared" si="370"/>
        <v/>
      </c>
      <c r="CX94" s="250" t="str">
        <f t="shared" si="315"/>
        <v/>
      </c>
      <c r="CY94" s="250" t="str">
        <f t="shared" si="316"/>
        <v/>
      </c>
      <c r="CZ94" s="250" t="str">
        <f t="shared" si="317"/>
        <v/>
      </c>
      <c r="DA94" s="250" t="str">
        <f t="shared" si="318"/>
        <v/>
      </c>
      <c r="DB94" s="250" t="str">
        <f t="shared" si="319"/>
        <v/>
      </c>
      <c r="DC94" s="250" t="str">
        <f t="shared" si="320"/>
        <v/>
      </c>
      <c r="DD94" s="250" t="str">
        <f t="shared" si="321"/>
        <v/>
      </c>
      <c r="DE94" s="250" t="str">
        <f t="shared" si="322"/>
        <v/>
      </c>
      <c r="DF94" s="250" t="str">
        <f t="shared" si="323"/>
        <v/>
      </c>
      <c r="DG94" s="250" t="str">
        <f t="shared" si="324"/>
        <v/>
      </c>
      <c r="DH94" s="250" t="str">
        <f t="shared" si="325"/>
        <v/>
      </c>
      <c r="DI94" s="250" t="str">
        <f t="shared" si="326"/>
        <v/>
      </c>
      <c r="DJ94" s="250" t="str">
        <f t="shared" si="327"/>
        <v/>
      </c>
      <c r="DK94" s="250" t="str">
        <f t="shared" si="328"/>
        <v/>
      </c>
      <c r="DL94" s="250" t="str">
        <f t="shared" si="329"/>
        <v/>
      </c>
      <c r="DM94" s="250" t="str">
        <f>IF(CD94="ERROR", "ERROR", IF(AND(OR(Y94=$DM$6, Y94='Lookup Tables'!$AD$21, Y94='Lookup Tables'!$AD$22), E94="Interior"), BJ94, ""))</f>
        <v/>
      </c>
      <c r="DN94" s="250" t="str">
        <f>IF(CD94="ERROR", "ERROR", IF(AND(OR(Y94=$DM$6, Y94='Lookup Tables'!$AD$21, Y94='Lookup Tables'!$AD$22), E94="Exterior"), BJ94, ""))</f>
        <v/>
      </c>
      <c r="DO94" s="249"/>
      <c r="DP94" s="250" t="str">
        <f t="shared" si="330"/>
        <v/>
      </c>
      <c r="DQ94" s="250" t="str">
        <f t="shared" si="371"/>
        <v/>
      </c>
      <c r="DR94" s="250" t="str">
        <f t="shared" si="372"/>
        <v/>
      </c>
      <c r="DS94" s="250" t="str">
        <f t="shared" si="373"/>
        <v/>
      </c>
      <c r="DT94" s="250" t="str">
        <f t="shared" si="374"/>
        <v/>
      </c>
      <c r="DU94" s="250" t="str">
        <f t="shared" si="331"/>
        <v/>
      </c>
      <c r="DV94" s="250" t="str">
        <f t="shared" si="332"/>
        <v/>
      </c>
      <c r="DW94" s="250" t="str">
        <f t="shared" si="333"/>
        <v/>
      </c>
      <c r="DX94" s="250" t="str">
        <f t="shared" si="334"/>
        <v/>
      </c>
      <c r="DY94" s="250" t="str">
        <f t="shared" si="335"/>
        <v/>
      </c>
      <c r="DZ94" s="250" t="str">
        <f t="shared" si="336"/>
        <v/>
      </c>
      <c r="EA94" s="250" t="str">
        <f t="shared" si="337"/>
        <v/>
      </c>
      <c r="EB94" s="250" t="str">
        <f t="shared" si="375"/>
        <v/>
      </c>
      <c r="EC94" s="250" t="str">
        <f t="shared" si="338"/>
        <v/>
      </c>
      <c r="ED94" s="250" t="str">
        <f t="shared" si="339"/>
        <v/>
      </c>
      <c r="EE94" s="250" t="str">
        <f t="shared" si="340"/>
        <v/>
      </c>
      <c r="EF94" s="250" t="str">
        <f t="shared" si="341"/>
        <v/>
      </c>
      <c r="EG94" s="250" t="str">
        <f t="shared" si="342"/>
        <v/>
      </c>
      <c r="EH94" s="250" t="str">
        <f>IF(CD94="ERROR", "ERROR", IF(AND(OR($EH$6=Y94, Y94='Lookup Tables'!$AD$21, Y94='Lookup Tables'!$AD$22),E94="Interior"), SUM(BP94:BP94), ""))</f>
        <v/>
      </c>
      <c r="EI94" s="250" t="str">
        <f>IF(CD94="ERROR", "ERROR", IF(AND(OR($EH$6=Y94, Y94='Lookup Tables'!$AD$21, Y94='Lookup Tables'!$AD$22),E94="Exterior"), SUM(BP94:BP94), ""))</f>
        <v/>
      </c>
      <c r="EJ94" s="109"/>
      <c r="EK94" s="485" t="str">
        <f t="shared" si="343"/>
        <v/>
      </c>
      <c r="EL94" s="252" t="str">
        <f t="shared" si="376"/>
        <v/>
      </c>
      <c r="EM94" s="252" t="str">
        <f t="shared" si="377"/>
        <v/>
      </c>
      <c r="EN94" s="252" t="str">
        <f t="shared" si="378"/>
        <v/>
      </c>
      <c r="EO94" s="252" t="str">
        <f t="shared" si="379"/>
        <v/>
      </c>
      <c r="EP94" s="252" t="str">
        <f t="shared" si="380"/>
        <v/>
      </c>
      <c r="EQ94" s="252" t="str">
        <f t="shared" si="381"/>
        <v/>
      </c>
      <c r="ER94" s="252" t="str">
        <f t="shared" si="382"/>
        <v/>
      </c>
      <c r="ES94" s="252" t="str">
        <f t="shared" si="383"/>
        <v/>
      </c>
      <c r="ET94" s="252" t="str">
        <f t="shared" si="384"/>
        <v/>
      </c>
      <c r="EU94" s="252" t="str">
        <f t="shared" si="385"/>
        <v/>
      </c>
      <c r="EV94" s="252" t="str">
        <f t="shared" si="386"/>
        <v/>
      </c>
      <c r="EW94" s="252" t="str">
        <f t="shared" si="387"/>
        <v/>
      </c>
      <c r="EX94" s="252" t="str">
        <f t="shared" si="388"/>
        <v/>
      </c>
      <c r="EY94" s="252" t="str">
        <f t="shared" si="389"/>
        <v/>
      </c>
      <c r="EZ94" s="252" t="str">
        <f t="shared" si="390"/>
        <v/>
      </c>
      <c r="FA94" s="252" t="str">
        <f t="shared" si="391"/>
        <v/>
      </c>
      <c r="FB94" s="252" t="str">
        <f t="shared" si="392"/>
        <v/>
      </c>
      <c r="FC94" s="252" t="str">
        <f>IF(CD94="ERROR", "ERROR", IF(OR(V94="No Change", V94="Not DLC or Energy Star"), "", IF(AND(OR($FC$6=Y94,Y94='Lookup Tables'!$AD$21, Y94='Lookup Tables'!$AD$22),E94="Interior"), S94, "")))</f>
        <v/>
      </c>
      <c r="FD94" s="252" t="str">
        <f t="shared" si="393"/>
        <v/>
      </c>
      <c r="FE94" s="1"/>
      <c r="FF94" s="579" t="str" cm="1">
        <f t="array" ref="FF94">IFERROR(IF(OR(BQ94&lt;=0,AQ94&lt;20,AND(V94="Exit Signs",AN94&gt;0)),"",IF(AND(AQ94&gt;=20,AN94='Lookup Tables'!$R$101),'Lookup Tables'!$U$101*BQ94,AP94*LOOKUP(2,1/((AN94='Lookup Tables'!$R$91:$R$111)*(AQ94&gt;='Lookup Tables'!$S$91:$S$111)*(AQ94&lt;='Lookup Tables'!$T$91:$T$111)),'Lookup Tables'!$U$91:$U$111))),"")</f>
        <v/>
      </c>
      <c r="FG94" s="579"/>
      <c r="FH94" s="579"/>
      <c r="FI94" s="253" t="str">
        <f>IFERROR(ROUND(IF(CD94="ERROR", "ERROR", IF(AND($FI$7=X94,E94="Interior"),VLOOKUP(W94, 'Lookup Tables'!$AI$6:$AM$102, 5, FALSE)*BP94, "")), 2), "")</f>
        <v/>
      </c>
      <c r="FJ94" s="253" t="str">
        <f>IFERROR(ROUND(IF(CD94="ERROR", "ERROR", IF(AND($FI$7=X94,E94="Exterior"),VLOOKUP(W94, 'Lookup Tables'!$AI$6:$AM$102, 5, FALSE)*BP94, "")), 2), "")</f>
        <v/>
      </c>
      <c r="FK94" s="253" t="str">
        <f>IFERROR(ROUND(IF(CD94="ERROR", "ERROR", IF(AND($FK$7=X94,E94="Interior"),VLOOKUP(W94, 'Lookup Tables'!$AI$6:$AM$102, 5, FALSE)*BP94, "")), 2), "")</f>
        <v/>
      </c>
      <c r="FL94" s="253" t="str">
        <f>IFERROR(ROUND(IF(CD94="ERROR", "ERROR", IF(AND($FK$7=X94,E94="Exterior"),VLOOKUP(W94, 'Lookup Tables'!$AI$6:$AM$102, 5, FALSE)*BP94, "")), 2), "")</f>
        <v/>
      </c>
      <c r="FM94" s="253" t="str">
        <f>IFERROR(ROUND(IF(CD94="ERROR", "ERROR", IF(AND($FM$6=Y94,E94="Interior"), IF(GB94=0, VLOOKUP(W94, 'Lookup Tables'!$AI$6:$AM$102, 5, FALSE)*BP94, IF(VLOOKUP(W94, 'Lookup Tables'!$AI$6:$AM$102, 5, FALSE)*BP94&gt;GB94*'Lighting Inventory'!S94, GB94*'Lighting Inventory'!S94,VLOOKUP(W94, 'Lookup Tables'!$AI$6:$AM$102, 5, FALSE)*BP94)), "")), 2), "")</f>
        <v/>
      </c>
      <c r="FN94" s="253" t="str">
        <f>IFERROR(ROUND(IF(CD94="ERROR", "ERROR", IF(AND($FM$6=Y94,E94="Exterior"), IF(GB94=0, VLOOKUP(W94, 'Lookup Tables'!$AI$6:$AM$102, 5, FALSE)*BP94, IF(VLOOKUP(W94, 'Lookup Tables'!$AI$6:$AM$102, 5, FALSE)*BP94&gt;GB94*'Lighting Inventory'!S94, GB94*'Lighting Inventory'!S94,VLOOKUP(W94, 'Lookup Tables'!$AI$6:$AM$102, 5, FALSE)*BP94)), "")), 2), "")</f>
        <v/>
      </c>
      <c r="FO94" s="253" t="str">
        <f>IFERROR(ROUND(IF(CD94="ERROR", "ERROR", IF(AND($FO$6=Y94,E94="Interior"),VLOOKUP(W94, 'Lookup Tables'!$AI$6:$AM$102, 5, FALSE)*'Lighting Inventory'!AI94, "")), 2), "")</f>
        <v/>
      </c>
      <c r="FP94" s="253" t="str">
        <f>IFERROR(ROUND(IF(CD94="ERROR", "ERROR", IF(AND($FO$6=Y94,E94="Exterior"),VLOOKUP(W94, 'Lookup Tables'!$AI$6:$AM$102, 5, FALSE)*'Lighting Inventory'!AI94, "")), 2), "")</f>
        <v/>
      </c>
      <c r="FQ94" s="253" t="str">
        <f>IFERROR(ROUND(IF(CD94="ERROR", "ERROR", IF(AND($FQ$6=Y94,E94="Interior", BU94="Y"), VLOOKUP('Lighting Inventory'!W94, 'Lookup Tables'!$AI$6:$AM$102, 5, FALSE)*'Lighting Inventory'!S94, IF(AND($FQ$7=Y94,E94="Interior", BU94="N"), 0.025*CD94, ""))), 2), "")</f>
        <v/>
      </c>
      <c r="FR94" s="253" t="str">
        <f>IFERROR(ROUND(IF(CD94="ERROR", "ERROR", IF(AND($FQ$6=Y94,E94="Exterior"), VLOOKUP('Lighting Inventory'!W94, 'Lookup Tables'!$AI$6:$AM$102, 5, FALSE)*'Lighting Inventory'!S94, "")), 2), "")</f>
        <v/>
      </c>
      <c r="FS94" s="253" t="str">
        <f>IFERROR(ROUND(IF(CD94="ERROR", "ERROR", IF(AND($FS$6=Y94,E94="Exterior"), IF(GB94=0, VLOOKUP(W94, 'Lookup Tables'!$AI$6:$AM$102, 5, FALSE)*BP94, IF(VLOOKUP(W94, 'Lookup Tables'!$AI$6:$AM$102, 5, FALSE)*BP94&gt;GB94*'Lighting Inventory'!S94, GB94*'Lighting Inventory'!S94,VLOOKUP(W94, 'Lookup Tables'!$AI$6:$AM$102, 5, FALSE)*BP94)), "")), 2), "")</f>
        <v/>
      </c>
      <c r="FT94" s="253" t="str">
        <f>IFERROR(ROUND(IF(CD94="ERROR", "ERROR", IF(AND($FT$6=Y94,E94="Interior"), IF(GB94=0, VLOOKUP(W94, 'Lookup Tables'!$AI$6:$AM$102, 5, FALSE)*BP94, IF(VLOOKUP(W94, 'Lookup Tables'!$AI$6:$AM$102, 5, FALSE)*BP94&gt;GB94*'Lighting Inventory'!S94, GB94*'Lighting Inventory'!S94,VLOOKUP(W94, 'Lookup Tables'!$AI$6:$AM$102, 5, FALSE)*BP94)), "")), 2), "")</f>
        <v/>
      </c>
      <c r="FU94" s="253" t="str">
        <f>IFERROR(ROUND(IF(CD94="ERROR", "ERROR", IF(AND(Y94=$FU$6, E94="Interior"), IF(BS94="N", 'Lookup Tables'!$AM$101*BP94, VLOOKUP(W94, 'Lookup Tables'!$AI$6:$AM$102, 5, FALSE)*S94*AD94), "")), 2), "")</f>
        <v/>
      </c>
      <c r="FV94" s="253" t="str">
        <f>IFERROR(ROUND(IF(CD94="ERROR", "ERROR", IF(AND(Y94=$FU$6, E94="Exterior"), IF(BS94="N", 'Lookup Tables'!$AM$101*BP94, VLOOKUP(W94, 'Lookup Tables'!$AI$6:$AM$102, 5, FALSE)*S94*AD94), "")), 2), "")</f>
        <v/>
      </c>
      <c r="FW94" s="253" t="str">
        <f>IFERROR(ROUND(IF(CD94="ERROR", "ERROR", IF($FW$6=Y94, IF(BS94="N", 'Lookup Tables'!$AM$101*BP94, MIN((VLOOKUP(W94, 'Lookup Tables'!$AI$6:$AM$102, 5, FALSE)*BP94),GB94*AJ94)), "")), 2), "")</f>
        <v/>
      </c>
      <c r="FX94" s="253" t="str">
        <f>IFERROR(ROUND(IF(CD94="ERROR", "ERROR", IF(AND($FX$6=Y94, E94="Interior"), IF(VLOOKUP(W94, 'Lookup Tables'!$AI$6:$AM$102, 5, FALSE)*BP94&gt;'Lookup Tables'!$AQ$97*'Lighting Inventory'!S94,'Lighting Inventory'!S94*'Lookup Tables'!$AQ$97,VLOOKUP(W94, 'Lookup Tables'!$AI$6:$AM$102, 5, FALSE)*BP94), "")), 2), "")</f>
        <v/>
      </c>
      <c r="FY94" s="253" t="str">
        <f>IFERROR(ROUND(IF(CD94="ERROR", "ERROR", IF(AND($FX$6=Y94, E94="Exterior"), IF(VLOOKUP(W94, 'Lookup Tables'!$AI$6:$AM$102, 5, FALSE)*BP94&gt;'Lookup Tables'!$AQ$97*'Lighting Inventory'!S94,'Lighting Inventory'!S94*'Lookup Tables'!$AQ$97,VLOOKUP(W94, 'Lookup Tables'!$AI$6:$AM$102, 5, FALSE)*BP94), "")), 2), "")</f>
        <v/>
      </c>
      <c r="FZ94" s="253" t="str">
        <f>IFERROR(ROUND(IF(CD94="ERROR", "ERROR", IF(AND($FZ$6=Y94, E94="Interior"), IF(AND(OR(W94="Refrigerated Case Lighting with Doors", W94="Freezer Case Lighting"),Y94="Custom - Process Improvement"),CD94*'Lookup Tables'!$AM$101, IF(B94="Retrofit", IF(VLOOKUP(IF(V94="Custom", V94, W94), 'Lookup Tables'!$AI$6:$AM$102, 5, FALSE)*BP94&gt;GE94, GE94, VLOOKUP(IF(V94="Custom", V94, W94), 'Lookup Tables'!$AI$6:$AM$102, 5, FALSE)*BP94), IF(VLOOKUP(IF(V94="Custom", V94, W94), 'Lookup Tables'!$AI$114:$AM$154, 5, FALSE)*BP94&gt;GE94, GE94, VLOOKUP(IF(V94="Custom", V94, W94), 'Lookup Tables'!$AI$114:$AM$154, 5, FALSE)*BP94))), "")), 2),"")</f>
        <v/>
      </c>
      <c r="GA94" s="253" t="str">
        <f>IFERROR(ROUND(IF(CD94="ERROR", "ERROR", IF(AND($FZ$6=Y94, E94="Exterior"), IF(B94="Retrofit", IF(VLOOKUP(IF(V94="Custom", V94, W94), 'Lookup Tables'!$AI$6:$AM$102, 5, FALSE)*BP94&gt;GE94, GE94, VLOOKUP(IF(V94="Custom", V94, W94), 'Lookup Tables'!$AI$6:$AM$102, 5, FALSE)*BP94), IF(VLOOKUP(IF(V94="Custom", V94, W94), 'Lookup Tables'!$AI$114:$AM$154, 5, FALSE)*BP94&gt;GE94, GE94, VLOOKUP(IF(V94="Custom", V94, W94), 'Lookup Tables'!$AI$114:$AM$154, 5, FALSE)*BP94)), "")), 2),"")</f>
        <v/>
      </c>
      <c r="GB94" s="254" t="str">
        <f t="array" ref="GB94">IF(B94="","",IF(OR(V94="Custom",V94="No Change"),0,IF(B94="Retrofit", INDEX('Lookup Tables'!$AH$6:$AQ$102,MATCH(1,('Lookup Tables'!$AH$6:$AH$102='Lighting Inventory'!V94)*('Lookup Tables'!$AI$6:$AI$102='Lighting Inventory'!W94),FALSE),10),INDEX('Lookup Tables'!$AH$114:$AQ$154,MATCH(1,('Lookup Tables'!$AH$114:$AH$154='Lighting Inventory'!V94)*('Lookup Tables'!$AI$114:$AI$154='Lighting Inventory'!W94),FALSE),10))))</f>
        <v/>
      </c>
      <c r="GC94" s="255" t="str">
        <f t="shared" si="344"/>
        <v/>
      </c>
      <c r="GD94" s="250" t="str">
        <f t="shared" si="345"/>
        <v/>
      </c>
      <c r="GE94" s="253" t="str">
        <f>IFERROR(IF(AND(AF94="", 'General Information'!$F$18="No"),"", IF(AF94="", ((GD94/$CD$266)*$CF$266)*0.5, AF94*S94*0.5)), "")</f>
        <v/>
      </c>
      <c r="GF94" s="255" t="str">
        <f>IF(AND('General Information'!$F$19="", 'General Information'!$F$18="Yes",AF94="",BW94="Y"), "Y", "N")</f>
        <v>N</v>
      </c>
      <c r="GG94" s="255" t="s">
        <v>2946</v>
      </c>
      <c r="GH94" s="255" t="str">
        <f>IFERROR(IF(B94="", "", VLOOKUP(J94, 'Fixture Identities'!$A$6:$N$908, 14, FALSE)), "")</f>
        <v/>
      </c>
      <c r="GI94" s="389" t="str">
        <f>IF(OR(B94="", V94="", W94=""), "", IF(AND(OR(M94='Lookup Tables'!$R$18, M94='Lookup Tables'!$R$19, M94='Lookup Tables'!$R$20, M94='Lookup Tables'!$R$21, M94='Lookup Tables'!$R$22), OR(AN94='Lookup Tables'!$R$17, AN94='Lookup Tables'!$R$17, AN94="")), "Y", "N"))</f>
        <v/>
      </c>
      <c r="GJ94" s="255" t="str">
        <f t="shared" si="346"/>
        <v/>
      </c>
      <c r="GK94" s="255" t="str">
        <f t="shared" si="347"/>
        <v/>
      </c>
      <c r="GL94" s="255" t="str">
        <f t="shared" si="348"/>
        <v/>
      </c>
      <c r="GM94" s="255" t="str">
        <f>IF(AN94="", "", IF(AND(IF(ISNA(VLOOKUP(AN94,'Lookup Tables'!$R$18:$R$22,1,FALSE)), "N", "Y")="Y", E94="Exterior"), "Y", "N"))</f>
        <v/>
      </c>
      <c r="GN94" s="395"/>
      <c r="GO94" s="428">
        <f t="shared" si="394"/>
        <v>0</v>
      </c>
      <c r="GP94" s="428">
        <f t="shared" si="397"/>
        <v>0</v>
      </c>
      <c r="GQ94" s="428">
        <f t="shared" si="395"/>
        <v>0</v>
      </c>
      <c r="GR94" s="428">
        <f t="shared" si="396"/>
        <v>0</v>
      </c>
    </row>
    <row r="95" spans="1:200" s="103" customFormat="1" ht="13.5" customHeight="1" x14ac:dyDescent="0.2">
      <c r="A95" s="272">
        <v>85</v>
      </c>
      <c r="B95" s="110"/>
      <c r="C95" s="110"/>
      <c r="D95" s="110"/>
      <c r="E95" s="110"/>
      <c r="F95" s="110"/>
      <c r="G95" s="110"/>
      <c r="H95" s="110"/>
      <c r="I95" s="29"/>
      <c r="J95" s="29"/>
      <c r="K95" s="272" t="str">
        <f>IFERROR(IF(OR(VLOOKUP(J95, 'Fixture Identities'!$A$6:$L$1023, 3, FALSE)="T12 Linear Fluorescent", VLOOKUP(J95, 'Fixture Identities'!$A$6:$L$1023, 3, FALSE)="T12 U-Tube Fluorescent"), VLOOKUP(VLOOKUP(J95, 'Fixture Identities'!$A$6:$L$1023, 11, FALSE), 'Fixture Identities'!$A$6:$L$1023, 10, FALSE), VLOOKUP(J95, 'Fixture Identities'!$A$6:$L$1023, 10, FALSE)), "")</f>
        <v/>
      </c>
      <c r="L95" s="270" t="str">
        <f t="shared" si="399"/>
        <v/>
      </c>
      <c r="M95" s="110"/>
      <c r="N95" s="110"/>
      <c r="O95" s="110"/>
      <c r="P95" s="272" t="str">
        <f>IFERROR(IF(OR(B95="Retrofit",B95=""),"",IF('Lighting Inventory'!E95="Exterior",VLOOKUP('Lighting Inventory'!N95,'Lookup Tables'!$B$83:$F$103,5,FALSE),IF(N95="Other - Please Estimate EFLH and CFs","Contact Prog. Rep.","ft^2"))), "")</f>
        <v/>
      </c>
      <c r="Q95" s="270" t="str">
        <f>IFERROR(IF(AND(B95="New Construction",E95="Interior",$F$5="Space-by-Space"),VLOOKUP('Lighting Inventory'!N95,'Lookup Tables'!$N$6:$O$97,2,FALSE),IF(AND(B95="New Construction",E95="Exterior"),VLOOKUP(N95,'Lookup Tables'!$B$83:$F$103,2,FALSE),IF(AND(B95="New Construction",'Lighting Inventory'!E95="Interior", $F$5="Building Area"),VLOOKUP(F95,'Lookup Tables'!$A$6:$J$59,10,FALSE),""))), "")</f>
        <v/>
      </c>
      <c r="R95" s="270" t="str">
        <f>IFERROR(IF(P95="Contact Prog. Rep.", "ERROR", IF(OR(B95="",B95="Retrofit"),"",IF(N95="Automated teller machines", ('Lookup Tables'!$A$82:$E$100+('Lighting Inventory'!O95-1)*'Lookup Tables'!$A$82:$E$100)/1000, (Q95*O95)/1000))), "")</f>
        <v/>
      </c>
      <c r="S95" s="595"/>
      <c r="T95" s="105" t="str">
        <f t="shared" si="349"/>
        <v/>
      </c>
      <c r="U95" s="105" t="str">
        <f>IF(S95="","",COUNT($S$11:S95))</f>
        <v/>
      </c>
      <c r="V95" s="111"/>
      <c r="W95" s="112"/>
      <c r="X95" s="105" t="str">
        <f t="shared" si="350"/>
        <v/>
      </c>
      <c r="Y95" s="105" t="str">
        <f t="array" ref="Y95">IF(AND(OR(W95="Freezer Case Lighting", W95="Refrigerated Case Lighting with Doors"), 'General Information'!$X$18="LCI"),'Lookup Tables'!$Y$34, IF(V95="Custom", VLOOKUP(W95, 'Fixture Identities'!$A$974:$M$1023, 13, FALSE), IF(V95="No Change",'Lookup Tables'!$Y$29,IF(OR(V95="",W95=""),"",IF(AND(S95=0,S95&lt;I95,B95="Retrofit"),'Lookup Tables'!$Y$25, IF(B95="Retrofit", INDEX('Lookup Tables'!$AH$6:$AP$102, MATCH(1, ('Lookup Tables'!$AH$6:$AH$102=V95)*('Lookup Tables'!$AI$6:$AI$102=W95), 0), IF('Lighting Inventory'!E95="Interior", 4, 5)), INDEX('Lookup Tables'!$AH$114:$AP$154, MATCH(1, ('Lookup Tables'!$AH$114:$AH$154=V95)*('Lookup Tables'!$AI$114:$AI$154=W95), 0), IF('Lighting Inventory'!E95="Interior", 4, 5))))))))</f>
        <v/>
      </c>
      <c r="Z95" s="105" t="str">
        <f>IFERROR(INDEX('Lookup Tables'!$AH$158:$AH$172,MATCH('Lighting Inventory'!Y95,'Lookup Tables'!$AI$158:$AI$172,0)),"")</f>
        <v/>
      </c>
      <c r="AA95" s="105" t="str">
        <f>IF(AP95&gt;0,INDEX('Lookup Tables'!$AK$158:$AK$172,MATCH('Lighting Inventory'!Y95,'Lookup Tables'!$AI$158:$AI$172,0)),'Lighting Inventory'!Y95)</f>
        <v/>
      </c>
      <c r="AB95" s="105" t="str">
        <f t="array" ref="AB95">IF(V95="Custom", "Custom", IF(V95="", "", IF(V95="Not DLC or Energy Star", "General", IF(B95="New Construction", INDEX('Lookup Tables'!$AH$114:$AP$154,MATCH(1,('Lookup Tables'!$AH$114:$AH$154='Lighting Inventory'!V95)*('Lookup Tables'!$AI$114:$AI$154='Lighting Inventory'!W95),FALSE),8), INDEX('Lookup Tables'!$AH$6:$AP$102,MATCH(1,('Lookup Tables'!$AH$6:$AH$102='Lighting Inventory'!V95)*('Lookup Tables'!$AI$6:$AI$102='Lighting Inventory'!W95),FALSE),8)))))</f>
        <v/>
      </c>
      <c r="AC95" s="272" t="str">
        <f>IF(W95="","",IF(V95="Custom",CONCATENATE("$",'Lookup Tables'!$AM$101," ",'Lookup Tables'!$AN$101),CONCATENATE("$",INDEX('Lookup Tables'!$AM$6:$AM$102,MATCH('Lighting Inventory'!W95,'Lookup Tables'!$AI$6:$AI$102,0))," ",INDEX('Lookup Tables'!$AN$6:$AN$102,MATCH('Lighting Inventory'!W95,'Lookup Tables'!$AI$6:$AI$102,0)))))</f>
        <v/>
      </c>
      <c r="AD95" s="72"/>
      <c r="AE95" s="29"/>
      <c r="AF95" s="379"/>
      <c r="AG95" s="370" t="str">
        <f t="shared" si="298"/>
        <v/>
      </c>
      <c r="AH95" s="370" t="str">
        <f t="shared" si="351"/>
        <v/>
      </c>
      <c r="AI95" s="29"/>
      <c r="AJ95" s="29"/>
      <c r="AK95" s="110"/>
      <c r="AL95" s="375" t="str">
        <f>IF(OR(B95="", V95="", W95=""), "", IF(V95="No Change", K95, IF(V95="Remove Fixture", 0, IF(V95="Custom",VLOOKUP(W95,'Fixture Identities'!$A$6:$K$1023,10,FALSE),IF(AE95="", "← ENTER POST WATTS", 'Lighting Inventory'!AE95)))))</f>
        <v/>
      </c>
      <c r="AM95" s="376" t="str">
        <f t="shared" si="299"/>
        <v/>
      </c>
      <c r="AN95" s="29"/>
      <c r="AO95" s="671"/>
      <c r="AP95" s="29"/>
      <c r="AQ95" s="29"/>
      <c r="AR95" s="29"/>
      <c r="AS95" s="272" t="str">
        <f t="shared" si="352"/>
        <v/>
      </c>
      <c r="AT95" s="270" t="str">
        <f t="shared" si="300"/>
        <v/>
      </c>
      <c r="AU95" s="88" t="str">
        <f t="shared" si="400"/>
        <v/>
      </c>
      <c r="AV95" s="29"/>
      <c r="AW95" s="73"/>
      <c r="AX95" s="271" t="str">
        <f>IF(AND(AV95="Applicant",OR(AW95="", AW95="Use Default Facility Hours")),"← Choose Schedule",IF(F95="","",IF(W95="LED Exit Signs",8760,IF(OR(AV95="Prescribed",AV95=""),VLOOKUP(F95,'Lookup Tables'!$A$6:$G$59,IF(AB95="General", 6, 3),FALSE),VLOOKUP(AW95,'Lookup Tables'!$S$36:$U$43,2,FALSE)))))</f>
        <v/>
      </c>
      <c r="AY95" s="88" t="str">
        <f t="shared" si="301"/>
        <v/>
      </c>
      <c r="AZ95" s="270" t="str">
        <f>IFERROR(IF(F95="", "", IF(W95="LED Exit Signs", 1, IF(AV95="Applicant",VLOOKUP(AW95, 'Lookup Tables'!$S$36:$U$43,3, FALSE), VLOOKUP('Lighting Inventory'!F95, 'Lookup Tables'!$A$6:$H$59, IF('Lighting Inventory'!AB95="General",7,4), FALSE)))), "")</f>
        <v/>
      </c>
      <c r="BA95" s="522" t="str">
        <f>IFERROR(IF(F95="", "", IF(W95="LED Exit Signs", 1, VLOOKUP('Lighting Inventory'!F95, 'Lookup Tables'!$A$6:$H$59, IF('Lighting Inventory'!AB95="General",8,5), FALSE))), "")</f>
        <v/>
      </c>
      <c r="BB95" s="270" t="str">
        <f>IF(G95="", "", IF(E95="Exterior", 0, IF('Lighting Inventory'!G95="Air Conditioned", VLOOKUP(H95, 'Lookup Tables'!$R$6:$T$13, 2, FALSE), VLOOKUP('Lighting Inventory'!G95, 'Lookup Tables'!$R$6:$T$13, 2, FALSE))))</f>
        <v/>
      </c>
      <c r="BC95" s="522" t="str">
        <f>IF(G95="", "", IF(E95="Exterior", 0, IF('Lighting Inventory'!G95="Air Conditioned", VLOOKUP(H95, 'Lookup Tables'!$R$6:$T$13, 3, FALSE), VLOOKUP('Lighting Inventory'!G95, 'Lookup Tables'!$R$6:$T$13, 3, FALSE))))</f>
        <v/>
      </c>
      <c r="BD95" s="270" t="str">
        <f>IF(G95="", "", IF(E95="Exterior", 0, IF('Lighting Inventory'!G95="Air Conditioned", VLOOKUP(H95, 'Lookup Tables'!$R$6:$U$13, 4, FALSE), VLOOKUP('Lighting Inventory'!G95, 'Lookup Tables'!$R$6:$U$13, 4, FALSE))))</f>
        <v/>
      </c>
      <c r="BE95" s="270" t="str">
        <f>IFERROR(IF(B95="", "",  IF(B95="New Construction", VLOOKUP(F95, 'Lookup Tables'!$A$6:$K$59, 11, FALSE),IF(OR(AN95="", AN95="Light Switch"), 0, IF(OR(M95="",M95="None",V95= "LED Exit Signs"),0,_xlfn.XLOOKUP(M95,'Lookup Tables'!$R$91:$R$101,'Lookup Tables'!$V$91:$V$101))))), "")</f>
        <v/>
      </c>
      <c r="BF95" s="270" t="str">
        <f>IF(AND(OR(AN95="Light Switch",AN95=""),B95="New Construction"), VLOOKUP(F95, 'Lookup Tables'!$A$6:$K$59, 11, FALSE),IF(AN95="","",IF(B95="","",IF(OR(AN95="None",AN95="",V95="LED Exit Signs",AN95="Exterior Controls Not Eligible"),0,_xlfn.XLOOKUP(AN95,'Lookup Tables'!$R$91:$R$101,'Lookup Tables'!$V$91:$V$101)))))</f>
        <v/>
      </c>
      <c r="BG95" s="88" t="str">
        <f t="shared" si="353"/>
        <v/>
      </c>
      <c r="BH95" s="88" t="str">
        <f t="shared" si="354"/>
        <v/>
      </c>
      <c r="BI95" s="558" t="str">
        <f t="shared" si="398"/>
        <v/>
      </c>
      <c r="BJ95" s="82" t="str">
        <f t="shared" si="355"/>
        <v/>
      </c>
      <c r="BK95" s="82" t="str">
        <f t="shared" si="356"/>
        <v/>
      </c>
      <c r="BL95" s="559" t="str">
        <f t="shared" si="357"/>
        <v/>
      </c>
      <c r="BM95" s="521" t="str">
        <f t="shared" si="302"/>
        <v/>
      </c>
      <c r="BN95" s="521" t="str">
        <f t="shared" si="303"/>
        <v/>
      </c>
      <c r="BO95" s="522" t="str">
        <f t="shared" si="304"/>
        <v/>
      </c>
      <c r="BP95" s="83" t="str">
        <f t="shared" si="358"/>
        <v/>
      </c>
      <c r="BQ95" s="84" t="str">
        <f t="shared" si="359"/>
        <v/>
      </c>
      <c r="BR95" s="184" t="str">
        <f>IFERROR(IF(B95="", "", IF(OR(VLOOKUP(J95, 'Fixture Identities'!$A$6:$L$1023, 3, FALSE)="T12 Linear Fluorescent",VLOOKUP(J95, 'Fixture Identities'!$A$6:$L$1023, 3, FALSE)="T12 U-Tube Fluorescent"), "Y", "N")), "N")</f>
        <v/>
      </c>
      <c r="BS95" s="184" t="str">
        <f t="array" ref="BS95">IFERROR(IF(OR(B95="", V95="", W95=""), "", IF(V95="Custom", "N", IF(OR(W95="Freezer Case Lighting", W95="Refrigerated Case Lighting with Doors"), BT95, IF(B95="Retrofit", INDEX('Lookup Tables'!$AH$6:$AT$102,MATCH(1,('Lookup Tables'!$AH$6:$AH$102=V95)*('Lookup Tables'!$AI$6:$AI$102=W95),FALSE),IF(VLOOKUP(J95, 'Fixture Identities'!$A$6:$B$1023, 2, FALSE)="Incandescent",12, 13)), INDEX('Lookup Tables'!$AH$114:$AS$154,MATCH(1,('Lookup Tables'!$AH$114:$AH$154=V95)*('Lookup Tables'!$AI$114:$AI$154=W95),FALSE),12))))), "N")</f>
        <v/>
      </c>
      <c r="BT95" s="184" t="str">
        <f>IF(J95="", "", IF(AND(OR(W95="Freezer case Lighting", W95="Refrigerated Case Lighting with Doors"),'General Information'!$X$18="LCI"), "N", IF(OR(VLOOKUP(J95, 'Fixture Identities'!$A$6:$B$1023, 2, FALSE)="T12 EPACT/EISA Baseline", VLOOKUP(J95, 'Fixture Identities'!$A$6:$B$1023, 2, FALSE)="Linear Fluorescent", VLOOKUP(J95, 'Fixture Identities'!$A$6:$B$1023, 2, FALSE)="U-Tube Fluorescent"), "Y", "N")))</f>
        <v/>
      </c>
      <c r="BU95" s="184" t="str">
        <f>IFERROR(IF(B95="", "", IF(VLOOKUP(J95, 'Fixture Identities'!$A$6:$B$1023, 2, FALSE)="Exit Sign", "Y", "N")), "N")</f>
        <v/>
      </c>
      <c r="BV95" s="184" t="str">
        <f>IF(V95="Exit Signs", IF(VLOOKUP(J95, 'Fixture Identities'!$A$6:$B$1023, 2, FALSE)="Exit Sign", "N", "Y"), "")</f>
        <v/>
      </c>
      <c r="BW95" s="184" t="str">
        <f t="array" ref="BW95">IFERROR(IF(B95="", "", IF(B95="New Construction", "N", INDEX('Lookup Tables'!$AH$6:$AU$102, MATCH(1, ('Lookup Tables'!$AH$6:$AH$102='Lighting Inventory'!V95)*('Lookup Tables'!$AI$6:$AI$102='Lighting Inventory'!W95), 0), 14))), "N")</f>
        <v/>
      </c>
      <c r="BX95" s="598" t="str">
        <f t="shared" si="360"/>
        <v/>
      </c>
      <c r="BY95" s="598" t="str">
        <f t="shared" si="361"/>
        <v/>
      </c>
      <c r="BZ95" s="598" t="str">
        <f t="shared" si="362"/>
        <v/>
      </c>
      <c r="CA95" s="598" t="str">
        <f t="shared" si="363"/>
        <v/>
      </c>
      <c r="CB95" s="269" t="str">
        <f t="shared" si="364"/>
        <v/>
      </c>
      <c r="CC95" s="517" t="str">
        <f t="shared" si="365"/>
        <v/>
      </c>
      <c r="CD95" s="565" t="str">
        <f t="shared" si="305"/>
        <v/>
      </c>
      <c r="CE95" s="368">
        <v>0</v>
      </c>
      <c r="CF95" s="368" t="str" cm="1">
        <f t="array" ref="CF95">IFERROR(IF(V95="Custom", "$0.1 per kWh", IF(B95="New Construction", CONCATENATE("$",INDEX('Lookup Tables'!$AH$114:$AN$154,MATCH(1,('Lookup Tables'!$AH$114:$AH$154='Lighting Inventory'!V95)*('Lookup Tables'!$AI$114:$AI$154='Lighting Inventory'!W95),FALSE),6)," ",INDEX('Lookup Tables'!$AH$114:$AN$154,MATCH(1,('Lookup Tables'!$AH$114:$AH$154='Lighting Inventory'!V95)*('Lookup Tables'!$AI$114:$AI$154='Lighting Inventory'!W95),FALSE),7)), IF(AND(BU95="N", V95="Exit Signs"), "$0.025 per kWh", CONCATENATE("$",INDEX('Lookup Tables'!$AH$6:$AN$102,MATCH(1,('Lookup Tables'!$AH$6:$AH$102='Lighting Inventory'!V95)*('Lookup Tables'!$AI$6:$AI$102='Lighting Inventory'!W95),FALSE),6)," ",INDEX('Lookup Tables'!$AH$6:$AN$102,MATCH(1,('Lookup Tables'!$AH$6:$AH$102='Lighting Inventory'!V95)*('Lookup Tables'!$AI$6:$AI$102='Lighting Inventory'!W95),FALSE),7))))), "")</f>
        <v/>
      </c>
      <c r="CG95" s="366"/>
      <c r="CH95" s="248" t="str">
        <f t="shared" si="306"/>
        <v/>
      </c>
      <c r="CI95" s="248" t="str">
        <f t="shared" si="307"/>
        <v>Select_IE</v>
      </c>
      <c r="CJ95" s="248" t="str">
        <f t="shared" si="308"/>
        <v/>
      </c>
      <c r="CK95" s="248" t="str">
        <f t="shared" si="309"/>
        <v/>
      </c>
      <c r="CL95" s="248" t="str">
        <f t="shared" si="310"/>
        <v/>
      </c>
      <c r="CM95" s="248" t="str">
        <f>IFERROR(IF(B95="", "", IF(B95="New Construction", VLOOKUP(V95, 'Lookup Tables'!$AF$114:$AG$120, 2, FALSE), VLOOKUP(V95, 'Lookup Tables'!$AD$6:$AE$25, 2, FALSE))), "")</f>
        <v/>
      </c>
      <c r="CN95" s="248" t="str">
        <f t="shared" si="311"/>
        <v/>
      </c>
      <c r="CO95" s="248" t="str">
        <f t="shared" si="312"/>
        <v/>
      </c>
      <c r="CP95" s="592" t="str">
        <f t="shared" si="313"/>
        <v/>
      </c>
      <c r="CQ95" s="248" t="str">
        <f t="shared" si="366"/>
        <v/>
      </c>
      <c r="CR95" s="100"/>
      <c r="CS95" s="250" t="str">
        <f t="shared" si="314"/>
        <v/>
      </c>
      <c r="CT95" s="250" t="str">
        <f t="shared" si="367"/>
        <v/>
      </c>
      <c r="CU95" s="250" t="str">
        <f t="shared" si="368"/>
        <v/>
      </c>
      <c r="CV95" s="250" t="str">
        <f t="shared" si="369"/>
        <v/>
      </c>
      <c r="CW95" s="250" t="str">
        <f t="shared" si="370"/>
        <v/>
      </c>
      <c r="CX95" s="250" t="str">
        <f t="shared" si="315"/>
        <v/>
      </c>
      <c r="CY95" s="250" t="str">
        <f t="shared" si="316"/>
        <v/>
      </c>
      <c r="CZ95" s="250" t="str">
        <f t="shared" si="317"/>
        <v/>
      </c>
      <c r="DA95" s="250" t="str">
        <f t="shared" si="318"/>
        <v/>
      </c>
      <c r="DB95" s="250" t="str">
        <f t="shared" si="319"/>
        <v/>
      </c>
      <c r="DC95" s="250" t="str">
        <f t="shared" si="320"/>
        <v/>
      </c>
      <c r="DD95" s="250" t="str">
        <f t="shared" si="321"/>
        <v/>
      </c>
      <c r="DE95" s="250" t="str">
        <f t="shared" si="322"/>
        <v/>
      </c>
      <c r="DF95" s="250" t="str">
        <f t="shared" si="323"/>
        <v/>
      </c>
      <c r="DG95" s="250" t="str">
        <f t="shared" si="324"/>
        <v/>
      </c>
      <c r="DH95" s="250" t="str">
        <f t="shared" si="325"/>
        <v/>
      </c>
      <c r="DI95" s="250" t="str">
        <f t="shared" si="326"/>
        <v/>
      </c>
      <c r="DJ95" s="250" t="str">
        <f t="shared" si="327"/>
        <v/>
      </c>
      <c r="DK95" s="250" t="str">
        <f t="shared" si="328"/>
        <v/>
      </c>
      <c r="DL95" s="250" t="str">
        <f t="shared" si="329"/>
        <v/>
      </c>
      <c r="DM95" s="250" t="str">
        <f>IF(CD95="ERROR", "ERROR", IF(AND(OR(Y95=$DM$6, Y95='Lookup Tables'!$AD$21, Y95='Lookup Tables'!$AD$22), E95="Interior"), BJ95, ""))</f>
        <v/>
      </c>
      <c r="DN95" s="250" t="str">
        <f>IF(CD95="ERROR", "ERROR", IF(AND(OR(Y95=$DM$6, Y95='Lookup Tables'!$AD$21, Y95='Lookup Tables'!$AD$22), E95="Exterior"), BJ95, ""))</f>
        <v/>
      </c>
      <c r="DO95" s="100"/>
      <c r="DP95" s="250" t="str">
        <f t="shared" si="330"/>
        <v/>
      </c>
      <c r="DQ95" s="250" t="str">
        <f t="shared" si="371"/>
        <v/>
      </c>
      <c r="DR95" s="250" t="str">
        <f t="shared" si="372"/>
        <v/>
      </c>
      <c r="DS95" s="250" t="str">
        <f t="shared" si="373"/>
        <v/>
      </c>
      <c r="DT95" s="250" t="str">
        <f t="shared" si="374"/>
        <v/>
      </c>
      <c r="DU95" s="250" t="str">
        <f t="shared" si="331"/>
        <v/>
      </c>
      <c r="DV95" s="250" t="str">
        <f t="shared" si="332"/>
        <v/>
      </c>
      <c r="DW95" s="250" t="str">
        <f t="shared" si="333"/>
        <v/>
      </c>
      <c r="DX95" s="250" t="str">
        <f t="shared" si="334"/>
        <v/>
      </c>
      <c r="DY95" s="250" t="str">
        <f t="shared" si="335"/>
        <v/>
      </c>
      <c r="DZ95" s="250" t="str">
        <f t="shared" si="336"/>
        <v/>
      </c>
      <c r="EA95" s="250" t="str">
        <f t="shared" si="337"/>
        <v/>
      </c>
      <c r="EB95" s="250" t="str">
        <f t="shared" si="375"/>
        <v/>
      </c>
      <c r="EC95" s="250" t="str">
        <f t="shared" si="338"/>
        <v/>
      </c>
      <c r="ED95" s="250" t="str">
        <f t="shared" si="339"/>
        <v/>
      </c>
      <c r="EE95" s="250" t="str">
        <f t="shared" si="340"/>
        <v/>
      </c>
      <c r="EF95" s="250" t="str">
        <f t="shared" si="341"/>
        <v/>
      </c>
      <c r="EG95" s="250" t="str">
        <f t="shared" si="342"/>
        <v/>
      </c>
      <c r="EH95" s="250" t="str">
        <f>IF(CD95="ERROR", "ERROR", IF(AND(OR($EH$6=Y95, Y95='Lookup Tables'!$AD$21, Y95='Lookup Tables'!$AD$22),E95="Interior"), SUM(BP95:BP95), ""))</f>
        <v/>
      </c>
      <c r="EI95" s="250" t="str">
        <f>IF(CD95="ERROR", "ERROR", IF(AND(OR($EH$6=Y95, Y95='Lookup Tables'!$AD$21, Y95='Lookup Tables'!$AD$22),E95="Exterior"), SUM(BP95:BP95), ""))</f>
        <v/>
      </c>
      <c r="EJ95" s="109"/>
      <c r="EK95" s="485" t="str">
        <f t="shared" si="343"/>
        <v/>
      </c>
      <c r="EL95" s="252" t="str">
        <f t="shared" si="376"/>
        <v/>
      </c>
      <c r="EM95" s="252" t="str">
        <f t="shared" si="377"/>
        <v/>
      </c>
      <c r="EN95" s="252" t="str">
        <f t="shared" si="378"/>
        <v/>
      </c>
      <c r="EO95" s="252" t="str">
        <f t="shared" si="379"/>
        <v/>
      </c>
      <c r="EP95" s="252" t="str">
        <f t="shared" si="380"/>
        <v/>
      </c>
      <c r="EQ95" s="252" t="str">
        <f t="shared" si="381"/>
        <v/>
      </c>
      <c r="ER95" s="252" t="str">
        <f t="shared" si="382"/>
        <v/>
      </c>
      <c r="ES95" s="252" t="str">
        <f t="shared" si="383"/>
        <v/>
      </c>
      <c r="ET95" s="252" t="str">
        <f t="shared" si="384"/>
        <v/>
      </c>
      <c r="EU95" s="252" t="str">
        <f t="shared" si="385"/>
        <v/>
      </c>
      <c r="EV95" s="252" t="str">
        <f t="shared" si="386"/>
        <v/>
      </c>
      <c r="EW95" s="252" t="str">
        <f t="shared" si="387"/>
        <v/>
      </c>
      <c r="EX95" s="252" t="str">
        <f t="shared" si="388"/>
        <v/>
      </c>
      <c r="EY95" s="252" t="str">
        <f t="shared" si="389"/>
        <v/>
      </c>
      <c r="EZ95" s="252" t="str">
        <f t="shared" si="390"/>
        <v/>
      </c>
      <c r="FA95" s="252" t="str">
        <f t="shared" si="391"/>
        <v/>
      </c>
      <c r="FB95" s="252" t="str">
        <f t="shared" si="392"/>
        <v/>
      </c>
      <c r="FC95" s="252" t="str">
        <f>IF(CD95="ERROR", "ERROR", IF(OR(V95="No Change", V95="Not DLC or Energy Star"), "", IF(AND(OR($FC$6=Y95,Y95='Lookup Tables'!$AD$21, Y95='Lookup Tables'!$AD$22),E95="Interior"), S95, "")))</f>
        <v/>
      </c>
      <c r="FD95" s="252" t="str">
        <f t="shared" si="393"/>
        <v/>
      </c>
      <c r="FE95" s="101"/>
      <c r="FF95" s="579" t="str" cm="1">
        <f t="array" ref="FF95">IFERROR(IF(OR(BQ95&lt;=0,AQ95&lt;20,AND(V95="Exit Signs",AN95&gt;0)),"",IF(AND(AQ95&gt;=20,AN95='Lookup Tables'!$R$101),'Lookup Tables'!$U$101*BQ95,AP95*LOOKUP(2,1/((AN95='Lookup Tables'!$R$91:$R$111)*(AQ95&gt;='Lookup Tables'!$S$91:$S$111)*(AQ95&lt;='Lookup Tables'!$T$91:$T$111)),'Lookup Tables'!$U$91:$U$111))),"")</f>
        <v/>
      </c>
      <c r="FG95" s="579"/>
      <c r="FH95" s="579"/>
      <c r="FI95" s="253" t="str">
        <f>IFERROR(ROUND(IF(CD95="ERROR", "ERROR", IF(AND($FI$7=X95,E95="Interior"),VLOOKUP(W95, 'Lookup Tables'!$AI$6:$AM$102, 5, FALSE)*BP95, "")), 2), "")</f>
        <v/>
      </c>
      <c r="FJ95" s="253" t="str">
        <f>IFERROR(ROUND(IF(CD95="ERROR", "ERROR", IF(AND($FI$7=X95,E95="Exterior"),VLOOKUP(W95, 'Lookup Tables'!$AI$6:$AM$102, 5, FALSE)*BP95, "")), 2), "")</f>
        <v/>
      </c>
      <c r="FK95" s="253" t="str">
        <f>IFERROR(ROUND(IF(CD95="ERROR", "ERROR", IF(AND($FK$7=X95,E95="Interior"),VLOOKUP(W95, 'Lookup Tables'!$AI$6:$AM$102, 5, FALSE)*BP95, "")), 2), "")</f>
        <v/>
      </c>
      <c r="FL95" s="253" t="str">
        <f>IFERROR(ROUND(IF(CD95="ERROR", "ERROR", IF(AND($FK$7=X95,E95="Exterior"),VLOOKUP(W95, 'Lookup Tables'!$AI$6:$AM$102, 5, FALSE)*BP95, "")), 2), "")</f>
        <v/>
      </c>
      <c r="FM95" s="253" t="str">
        <f>IFERROR(ROUND(IF(CD95="ERROR", "ERROR", IF(AND($FM$6=Y95,E95="Interior"), IF(GB95=0, VLOOKUP(W95, 'Lookup Tables'!$AI$6:$AM$102, 5, FALSE)*BP95, IF(VLOOKUP(W95, 'Lookup Tables'!$AI$6:$AM$102, 5, FALSE)*BP95&gt;GB95*'Lighting Inventory'!S95, GB95*'Lighting Inventory'!S95,VLOOKUP(W95, 'Lookup Tables'!$AI$6:$AM$102, 5, FALSE)*BP95)), "")), 2), "")</f>
        <v/>
      </c>
      <c r="FN95" s="253" t="str">
        <f>IFERROR(ROUND(IF(CD95="ERROR", "ERROR", IF(AND($FM$6=Y95,E95="Exterior"), IF(GB95=0, VLOOKUP(W95, 'Lookup Tables'!$AI$6:$AM$102, 5, FALSE)*BP95, IF(VLOOKUP(W95, 'Lookup Tables'!$AI$6:$AM$102, 5, FALSE)*BP95&gt;GB95*'Lighting Inventory'!S95, GB95*'Lighting Inventory'!S95,VLOOKUP(W95, 'Lookup Tables'!$AI$6:$AM$102, 5, FALSE)*BP95)), "")), 2), "")</f>
        <v/>
      </c>
      <c r="FO95" s="253" t="str">
        <f>IFERROR(ROUND(IF(CD95="ERROR", "ERROR", IF(AND($FO$6=Y95,E95="Interior"),VLOOKUP(W95, 'Lookup Tables'!$AI$6:$AM$102, 5, FALSE)*'Lighting Inventory'!AI95, "")), 2), "")</f>
        <v/>
      </c>
      <c r="FP95" s="253" t="str">
        <f>IFERROR(ROUND(IF(CD95="ERROR", "ERROR", IF(AND($FO$6=Y95,E95="Exterior"),VLOOKUP(W95, 'Lookup Tables'!$AI$6:$AM$102, 5, FALSE)*'Lighting Inventory'!AI95, "")), 2), "")</f>
        <v/>
      </c>
      <c r="FQ95" s="253" t="str">
        <f>IFERROR(ROUND(IF(CD95="ERROR", "ERROR", IF(AND($FQ$6=Y95,E95="Interior", BU95="Y"), VLOOKUP('Lighting Inventory'!W95, 'Lookup Tables'!$AI$6:$AM$102, 5, FALSE)*'Lighting Inventory'!S95, IF(AND($FQ$7=Y95,E95="Interior", BU95="N"), 0.025*CD95, ""))), 2), "")</f>
        <v/>
      </c>
      <c r="FR95" s="253" t="str">
        <f>IFERROR(ROUND(IF(CD95="ERROR", "ERROR", IF(AND($FQ$6=Y95,E95="Exterior"), VLOOKUP('Lighting Inventory'!W95, 'Lookup Tables'!$AI$6:$AM$102, 5, FALSE)*'Lighting Inventory'!S95, "")), 2), "")</f>
        <v/>
      </c>
      <c r="FS95" s="253" t="str">
        <f>IFERROR(ROUND(IF(CD95="ERROR", "ERROR", IF(AND($FS$6=Y95,E95="Exterior"), IF(GB95=0, VLOOKUP(W95, 'Lookup Tables'!$AI$6:$AM$102, 5, FALSE)*BP95, IF(VLOOKUP(W95, 'Lookup Tables'!$AI$6:$AM$102, 5, FALSE)*BP95&gt;GB95*'Lighting Inventory'!S95, GB95*'Lighting Inventory'!S95,VLOOKUP(W95, 'Lookup Tables'!$AI$6:$AM$102, 5, FALSE)*BP95)), "")), 2), "")</f>
        <v/>
      </c>
      <c r="FT95" s="253" t="str">
        <f>IFERROR(ROUND(IF(CD95="ERROR", "ERROR", IF(AND($FT$6=Y95,E95="Interior"), IF(GB95=0, VLOOKUP(W95, 'Lookup Tables'!$AI$6:$AM$102, 5, FALSE)*BP95, IF(VLOOKUP(W95, 'Lookup Tables'!$AI$6:$AM$102, 5, FALSE)*BP95&gt;GB95*'Lighting Inventory'!S95, GB95*'Lighting Inventory'!S95,VLOOKUP(W95, 'Lookup Tables'!$AI$6:$AM$102, 5, FALSE)*BP95)), "")), 2), "")</f>
        <v/>
      </c>
      <c r="FU95" s="253" t="str">
        <f>IFERROR(ROUND(IF(CD95="ERROR", "ERROR", IF(AND(Y95=$FU$6, E95="Interior"), IF(BS95="N", 'Lookup Tables'!$AM$101*BP95, VLOOKUP(W95, 'Lookup Tables'!$AI$6:$AM$102, 5, FALSE)*S95*AD95), "")), 2), "")</f>
        <v/>
      </c>
      <c r="FV95" s="253" t="str">
        <f>IFERROR(ROUND(IF(CD95="ERROR", "ERROR", IF(AND(Y95=$FU$6, E95="Exterior"), IF(BS95="N", 'Lookup Tables'!$AM$101*BP95, VLOOKUP(W95, 'Lookup Tables'!$AI$6:$AM$102, 5, FALSE)*S95*AD95), "")), 2), "")</f>
        <v/>
      </c>
      <c r="FW95" s="253" t="str">
        <f>IFERROR(ROUND(IF(CD95="ERROR", "ERROR", IF($FW$6=Y95, IF(BS95="N", 'Lookup Tables'!$AM$101*BP95, MIN((VLOOKUP(W95, 'Lookup Tables'!$AI$6:$AM$102, 5, FALSE)*BP95),GB95*AJ95)), "")), 2), "")</f>
        <v/>
      </c>
      <c r="FX95" s="253" t="str">
        <f>IFERROR(ROUND(IF(CD95="ERROR", "ERROR", IF(AND($FX$6=Y95, E95="Interior"), IF(VLOOKUP(W95, 'Lookup Tables'!$AI$6:$AM$102, 5, FALSE)*BP95&gt;'Lookup Tables'!$AQ$97*'Lighting Inventory'!S95,'Lighting Inventory'!S95*'Lookup Tables'!$AQ$97,VLOOKUP(W95, 'Lookup Tables'!$AI$6:$AM$102, 5, FALSE)*BP95), "")), 2), "")</f>
        <v/>
      </c>
      <c r="FY95" s="253" t="str">
        <f>IFERROR(ROUND(IF(CD95="ERROR", "ERROR", IF(AND($FX$6=Y95, E95="Exterior"), IF(VLOOKUP(W95, 'Lookup Tables'!$AI$6:$AM$102, 5, FALSE)*BP95&gt;'Lookup Tables'!$AQ$97*'Lighting Inventory'!S95,'Lighting Inventory'!S95*'Lookup Tables'!$AQ$97,VLOOKUP(W95, 'Lookup Tables'!$AI$6:$AM$102, 5, FALSE)*BP95), "")), 2), "")</f>
        <v/>
      </c>
      <c r="FZ95" s="253" t="str">
        <f>IFERROR(ROUND(IF(CD95="ERROR", "ERROR", IF(AND($FZ$6=Y95, E95="Interior"), IF(AND(OR(W95="Refrigerated Case Lighting with Doors", W95="Freezer Case Lighting"),Y95="Custom - Process Improvement"),CD95*'Lookup Tables'!$AM$101, IF(B95="Retrofit", IF(VLOOKUP(IF(V95="Custom", V95, W95), 'Lookup Tables'!$AI$6:$AM$102, 5, FALSE)*BP95&gt;GE95, GE95, VLOOKUP(IF(V95="Custom", V95, W95), 'Lookup Tables'!$AI$6:$AM$102, 5, FALSE)*BP95), IF(VLOOKUP(IF(V95="Custom", V95, W95), 'Lookup Tables'!$AI$114:$AM$154, 5, FALSE)*BP95&gt;GE95, GE95, VLOOKUP(IF(V95="Custom", V95, W95), 'Lookup Tables'!$AI$114:$AM$154, 5, FALSE)*BP95))), "")), 2),"")</f>
        <v/>
      </c>
      <c r="GA95" s="253" t="str">
        <f>IFERROR(ROUND(IF(CD95="ERROR", "ERROR", IF(AND($FZ$6=Y95, E95="Exterior"), IF(B95="Retrofit", IF(VLOOKUP(IF(V95="Custom", V95, W95), 'Lookup Tables'!$AI$6:$AM$102, 5, FALSE)*BP95&gt;GE95, GE95, VLOOKUP(IF(V95="Custom", V95, W95), 'Lookup Tables'!$AI$6:$AM$102, 5, FALSE)*BP95), IF(VLOOKUP(IF(V95="Custom", V95, W95), 'Lookup Tables'!$AI$114:$AM$154, 5, FALSE)*BP95&gt;GE95, GE95, VLOOKUP(IF(V95="Custom", V95, W95), 'Lookup Tables'!$AI$114:$AM$154, 5, FALSE)*BP95)), "")), 2),"")</f>
        <v/>
      </c>
      <c r="GB95" s="254" t="str">
        <f t="array" ref="GB95">IF(B95="","",IF(OR(V95="Custom",V95="No Change"),0,IF(B95="Retrofit", INDEX('Lookup Tables'!$AH$6:$AQ$102,MATCH(1,('Lookup Tables'!$AH$6:$AH$102='Lighting Inventory'!V95)*('Lookup Tables'!$AI$6:$AI$102='Lighting Inventory'!W95),FALSE),10),INDEX('Lookup Tables'!$AH$114:$AQ$154,MATCH(1,('Lookup Tables'!$AH$114:$AH$154='Lighting Inventory'!V95)*('Lookup Tables'!$AI$114:$AI$154='Lighting Inventory'!W95),FALSE),10))))</f>
        <v/>
      </c>
      <c r="GC95" s="255" t="str">
        <f t="shared" si="344"/>
        <v/>
      </c>
      <c r="GD95" s="250" t="str">
        <f t="shared" si="345"/>
        <v/>
      </c>
      <c r="GE95" s="253" t="str">
        <f>IFERROR(IF(AND(AF95="", 'General Information'!$F$18="No"),"", IF(AF95="", ((GD95/$CD$266)*$CF$266)*0.5, AF95*S95*0.5)), "")</f>
        <v/>
      </c>
      <c r="GF95" s="255" t="str">
        <f>IF(AND('General Information'!$F$19="", 'General Information'!$F$18="Yes",AF95="",BW95="Y"), "Y", "N")</f>
        <v>N</v>
      </c>
      <c r="GG95" s="255" t="s">
        <v>2946</v>
      </c>
      <c r="GH95" s="255" t="str">
        <f>IFERROR(IF(B95="", "", VLOOKUP(J95, 'Fixture Identities'!$A$6:$N$908, 14, FALSE)), "")</f>
        <v/>
      </c>
      <c r="GI95" s="389" t="str">
        <f>IF(OR(B95="", V95="", W95=""), "", IF(AND(OR(M95='Lookup Tables'!$R$18, M95='Lookup Tables'!$R$19, M95='Lookup Tables'!$R$20, M95='Lookup Tables'!$R$21, M95='Lookup Tables'!$R$22), OR(AN95='Lookup Tables'!$R$17, AN95='Lookup Tables'!$R$17, AN95="")), "Y", "N"))</f>
        <v/>
      </c>
      <c r="GJ95" s="255" t="str">
        <f t="shared" si="346"/>
        <v/>
      </c>
      <c r="GK95" s="255" t="str">
        <f t="shared" si="347"/>
        <v/>
      </c>
      <c r="GL95" s="255" t="str">
        <f t="shared" si="348"/>
        <v/>
      </c>
      <c r="GM95" s="255" t="str">
        <f>IF(AN95="", "", IF(AND(IF(ISNA(VLOOKUP(AN95,'Lookup Tables'!$R$18:$R$22,1,FALSE)), "N", "Y")="Y", E95="Exterior"), "Y", "N"))</f>
        <v/>
      </c>
      <c r="GN95" s="395"/>
      <c r="GO95" s="428">
        <f t="shared" si="394"/>
        <v>0</v>
      </c>
      <c r="GP95" s="428">
        <f t="shared" si="397"/>
        <v>0</v>
      </c>
      <c r="GQ95" s="428">
        <f t="shared" si="395"/>
        <v>0</v>
      </c>
      <c r="GR95" s="428">
        <f t="shared" si="396"/>
        <v>0</v>
      </c>
    </row>
    <row r="96" spans="1:200" s="103" customFormat="1" ht="13.5" customHeight="1" x14ac:dyDescent="0.2">
      <c r="A96" s="272">
        <v>86</v>
      </c>
      <c r="B96" s="110"/>
      <c r="C96" s="110"/>
      <c r="D96" s="110"/>
      <c r="E96" s="110"/>
      <c r="F96" s="110"/>
      <c r="G96" s="110"/>
      <c r="H96" s="110"/>
      <c r="I96" s="29"/>
      <c r="J96" s="29"/>
      <c r="K96" s="272" t="str">
        <f>IFERROR(IF(OR(VLOOKUP(J96, 'Fixture Identities'!$A$6:$L$1023, 3, FALSE)="T12 Linear Fluorescent", VLOOKUP(J96, 'Fixture Identities'!$A$6:$L$1023, 3, FALSE)="T12 U-Tube Fluorescent"), VLOOKUP(VLOOKUP(J96, 'Fixture Identities'!$A$6:$L$1023, 11, FALSE), 'Fixture Identities'!$A$6:$L$1023, 10, FALSE), VLOOKUP(J96, 'Fixture Identities'!$A$6:$L$1023, 10, FALSE)), "")</f>
        <v/>
      </c>
      <c r="L96" s="270" t="str">
        <f t="shared" si="399"/>
        <v/>
      </c>
      <c r="M96" s="110"/>
      <c r="N96" s="110"/>
      <c r="O96" s="110"/>
      <c r="P96" s="272" t="str">
        <f>IFERROR(IF(OR(B96="Retrofit",B96=""),"",IF('Lighting Inventory'!E96="Exterior",VLOOKUP('Lighting Inventory'!N96,'Lookup Tables'!$B$83:$F$103,5,FALSE),IF(N96="Other - Please Estimate EFLH and CFs","Contact Prog. Rep.","ft^2"))), "")</f>
        <v/>
      </c>
      <c r="Q96" s="270" t="str">
        <f>IFERROR(IF(AND(B96="New Construction",E96="Interior",$F$5="Space-by-Space"),VLOOKUP('Lighting Inventory'!N96,'Lookup Tables'!$N$6:$O$97,2,FALSE),IF(AND(B96="New Construction",E96="Exterior"),VLOOKUP(N96,'Lookup Tables'!$B$83:$F$103,2,FALSE),IF(AND(B96="New Construction",'Lighting Inventory'!E96="Interior", $F$5="Building Area"),VLOOKUP(F96,'Lookup Tables'!$A$6:$J$59,10,FALSE),""))), "")</f>
        <v/>
      </c>
      <c r="R96" s="270" t="str">
        <f>IFERROR(IF(P96="Contact Prog. Rep.", "ERROR", IF(OR(B96="",B96="Retrofit"),"",IF(N96="Automated teller machines", ('Lookup Tables'!$A$82:$E$100+('Lighting Inventory'!O96-1)*'Lookup Tables'!$A$82:$E$100)/1000, (Q96*O96)/1000))), "")</f>
        <v/>
      </c>
      <c r="S96" s="595"/>
      <c r="T96" s="105" t="str">
        <f t="shared" si="349"/>
        <v/>
      </c>
      <c r="U96" s="105" t="str">
        <f>IF(S96="","",COUNT($S$11:S96))</f>
        <v/>
      </c>
      <c r="V96" s="111"/>
      <c r="W96" s="112"/>
      <c r="X96" s="105" t="str">
        <f t="shared" si="350"/>
        <v/>
      </c>
      <c r="Y96" s="105" t="str">
        <f t="array" ref="Y96">IF(AND(OR(W96="Freezer Case Lighting", W96="Refrigerated Case Lighting with Doors"), 'General Information'!$X$18="LCI"),'Lookup Tables'!$Y$34, IF(V96="Custom", VLOOKUP(W96, 'Fixture Identities'!$A$974:$M$1023, 13, FALSE), IF(V96="No Change",'Lookup Tables'!$Y$29,IF(OR(V96="",W96=""),"",IF(AND(S96=0,S96&lt;I96,B96="Retrofit"),'Lookup Tables'!$Y$25, IF(B96="Retrofit", INDEX('Lookup Tables'!$AH$6:$AP$102, MATCH(1, ('Lookup Tables'!$AH$6:$AH$102=V96)*('Lookup Tables'!$AI$6:$AI$102=W96), 0), IF('Lighting Inventory'!E96="Interior", 4, 5)), INDEX('Lookup Tables'!$AH$114:$AP$154, MATCH(1, ('Lookup Tables'!$AH$114:$AH$154=V96)*('Lookup Tables'!$AI$114:$AI$154=W96), 0), IF('Lighting Inventory'!E96="Interior", 4, 5))))))))</f>
        <v/>
      </c>
      <c r="Z96" s="105" t="str">
        <f>IFERROR(INDEX('Lookup Tables'!$AH$158:$AH$172,MATCH('Lighting Inventory'!Y96,'Lookup Tables'!$AI$158:$AI$172,0)),"")</f>
        <v/>
      </c>
      <c r="AA96" s="105" t="str">
        <f>IF(AP96&gt;0,INDEX('Lookup Tables'!$AK$158:$AK$172,MATCH('Lighting Inventory'!Y96,'Lookup Tables'!$AI$158:$AI$172,0)),'Lighting Inventory'!Y96)</f>
        <v/>
      </c>
      <c r="AB96" s="105" t="str">
        <f t="array" ref="AB96">IF(V96="Custom", "Custom", IF(V96="", "", IF(V96="Not DLC or Energy Star", "General", IF(B96="New Construction", INDEX('Lookup Tables'!$AH$114:$AP$154,MATCH(1,('Lookup Tables'!$AH$114:$AH$154='Lighting Inventory'!V96)*('Lookup Tables'!$AI$114:$AI$154='Lighting Inventory'!W96),FALSE),8), INDEX('Lookup Tables'!$AH$6:$AP$102,MATCH(1,('Lookup Tables'!$AH$6:$AH$102='Lighting Inventory'!V96)*('Lookup Tables'!$AI$6:$AI$102='Lighting Inventory'!W96),FALSE),8)))))</f>
        <v/>
      </c>
      <c r="AC96" s="272" t="str">
        <f>IF(W96="","",IF(V96="Custom",CONCATENATE("$",'Lookup Tables'!$AM$101," ",'Lookup Tables'!$AN$101),CONCATENATE("$",INDEX('Lookup Tables'!$AM$6:$AM$102,MATCH('Lighting Inventory'!W96,'Lookup Tables'!$AI$6:$AI$102,0))," ",INDEX('Lookup Tables'!$AN$6:$AN$102,MATCH('Lighting Inventory'!W96,'Lookup Tables'!$AI$6:$AI$102,0)))))</f>
        <v/>
      </c>
      <c r="AD96" s="72"/>
      <c r="AE96" s="29"/>
      <c r="AF96" s="379"/>
      <c r="AG96" s="370" t="str">
        <f t="shared" si="298"/>
        <v/>
      </c>
      <c r="AH96" s="370" t="str">
        <f t="shared" si="351"/>
        <v/>
      </c>
      <c r="AI96" s="29"/>
      <c r="AJ96" s="29"/>
      <c r="AK96" s="110"/>
      <c r="AL96" s="375" t="str">
        <f>IF(OR(B96="", V96="", W96=""), "", IF(V96="No Change", K96, IF(V96="Remove Fixture", 0, IF(V96="Custom",VLOOKUP(W96,'Fixture Identities'!$A$6:$K$1023,10,FALSE),IF(AE96="", "← ENTER POST WATTS", 'Lighting Inventory'!AE96)))))</f>
        <v/>
      </c>
      <c r="AM96" s="376" t="str">
        <f t="shared" si="299"/>
        <v/>
      </c>
      <c r="AN96" s="29"/>
      <c r="AO96" s="671"/>
      <c r="AP96" s="29"/>
      <c r="AQ96" s="29"/>
      <c r="AR96" s="29"/>
      <c r="AS96" s="272" t="str">
        <f t="shared" si="352"/>
        <v/>
      </c>
      <c r="AT96" s="270" t="str">
        <f t="shared" si="300"/>
        <v/>
      </c>
      <c r="AU96" s="88" t="str">
        <f t="shared" si="400"/>
        <v/>
      </c>
      <c r="AV96" s="29"/>
      <c r="AW96" s="73"/>
      <c r="AX96" s="271" t="str">
        <f>IF(AND(AV96="Applicant",OR(AW96="", AW96="Use Default Facility Hours")),"← Choose Schedule",IF(F96="","",IF(W96="LED Exit Signs",8760,IF(OR(AV96="Prescribed",AV96=""),VLOOKUP(F96,'Lookup Tables'!$A$6:$G$59,IF(AB96="General", 6, 3),FALSE),VLOOKUP(AW96,'Lookup Tables'!$S$36:$U$43,2,FALSE)))))</f>
        <v/>
      </c>
      <c r="AY96" s="88" t="str">
        <f t="shared" si="301"/>
        <v/>
      </c>
      <c r="AZ96" s="270" t="str">
        <f>IFERROR(IF(F96="", "", IF(W96="LED Exit Signs", 1, IF(AV96="Applicant",VLOOKUP(AW96, 'Lookup Tables'!$S$36:$U$43,3, FALSE), VLOOKUP('Lighting Inventory'!F96, 'Lookup Tables'!$A$6:$H$59, IF('Lighting Inventory'!AB96="General",7,4), FALSE)))), "")</f>
        <v/>
      </c>
      <c r="BA96" s="522" t="str">
        <f>IFERROR(IF(F96="", "", IF(W96="LED Exit Signs", 1, VLOOKUP('Lighting Inventory'!F96, 'Lookup Tables'!$A$6:$H$59, IF('Lighting Inventory'!AB96="General",8,5), FALSE))), "")</f>
        <v/>
      </c>
      <c r="BB96" s="270" t="str">
        <f>IF(G96="", "", IF(E96="Exterior", 0, IF('Lighting Inventory'!G96="Air Conditioned", VLOOKUP(H96, 'Lookup Tables'!$R$6:$T$13, 2, FALSE), VLOOKUP('Lighting Inventory'!G96, 'Lookup Tables'!$R$6:$T$13, 2, FALSE))))</f>
        <v/>
      </c>
      <c r="BC96" s="522" t="str">
        <f>IF(G96="", "", IF(E96="Exterior", 0, IF('Lighting Inventory'!G96="Air Conditioned", VLOOKUP(H96, 'Lookup Tables'!$R$6:$T$13, 3, FALSE), VLOOKUP('Lighting Inventory'!G96, 'Lookup Tables'!$R$6:$T$13, 3, FALSE))))</f>
        <v/>
      </c>
      <c r="BD96" s="270" t="str">
        <f>IF(G96="", "", IF(E96="Exterior", 0, IF('Lighting Inventory'!G96="Air Conditioned", VLOOKUP(H96, 'Lookup Tables'!$R$6:$U$13, 4, FALSE), VLOOKUP('Lighting Inventory'!G96, 'Lookup Tables'!$R$6:$U$13, 4, FALSE))))</f>
        <v/>
      </c>
      <c r="BE96" s="270" t="str">
        <f>IFERROR(IF(B96="", "",  IF(B96="New Construction", VLOOKUP(F96, 'Lookup Tables'!$A$6:$K$59, 11, FALSE),IF(OR(AN96="", AN96="Light Switch"), 0, IF(OR(M96="",M96="None",V96= "LED Exit Signs"),0,_xlfn.XLOOKUP(M96,'Lookup Tables'!$R$91:$R$101,'Lookup Tables'!$V$91:$V$101))))), "")</f>
        <v/>
      </c>
      <c r="BF96" s="270" t="str">
        <f>IF(AND(OR(AN96="Light Switch",AN96=""),B96="New Construction"), VLOOKUP(F96, 'Lookup Tables'!$A$6:$K$59, 11, FALSE),IF(AN96="","",IF(B96="","",IF(OR(AN96="None",AN96="",V96="LED Exit Signs",AN96="Exterior Controls Not Eligible"),0,_xlfn.XLOOKUP(AN96,'Lookup Tables'!$R$91:$R$101,'Lookup Tables'!$V$91:$V$101)))))</f>
        <v/>
      </c>
      <c r="BG96" s="88" t="str">
        <f t="shared" si="353"/>
        <v/>
      </c>
      <c r="BH96" s="88" t="str">
        <f t="shared" si="354"/>
        <v/>
      </c>
      <c r="BI96" s="558" t="str">
        <f t="shared" si="398"/>
        <v/>
      </c>
      <c r="BJ96" s="82" t="str">
        <f t="shared" si="355"/>
        <v/>
      </c>
      <c r="BK96" s="82" t="str">
        <f t="shared" si="356"/>
        <v/>
      </c>
      <c r="BL96" s="559" t="str">
        <f t="shared" si="357"/>
        <v/>
      </c>
      <c r="BM96" s="521" t="str">
        <f t="shared" si="302"/>
        <v/>
      </c>
      <c r="BN96" s="521" t="str">
        <f t="shared" si="303"/>
        <v/>
      </c>
      <c r="BO96" s="522" t="str">
        <f t="shared" si="304"/>
        <v/>
      </c>
      <c r="BP96" s="83" t="str">
        <f t="shared" si="358"/>
        <v/>
      </c>
      <c r="BQ96" s="84" t="str">
        <f t="shared" si="359"/>
        <v/>
      </c>
      <c r="BR96" s="184" t="str">
        <f>IFERROR(IF(B96="", "", IF(OR(VLOOKUP(J96, 'Fixture Identities'!$A$6:$L$1023, 3, FALSE)="T12 Linear Fluorescent",VLOOKUP(J96, 'Fixture Identities'!$A$6:$L$1023, 3, FALSE)="T12 U-Tube Fluorescent"), "Y", "N")), "N")</f>
        <v/>
      </c>
      <c r="BS96" s="184" t="str">
        <f t="array" ref="BS96">IFERROR(IF(OR(B96="", V96="", W96=""), "", IF(V96="Custom", "N", IF(OR(W96="Freezer Case Lighting", W96="Refrigerated Case Lighting with Doors"), BT96, IF(B96="Retrofit", INDEX('Lookup Tables'!$AH$6:$AT$102,MATCH(1,('Lookup Tables'!$AH$6:$AH$102=V96)*('Lookup Tables'!$AI$6:$AI$102=W96),FALSE),IF(VLOOKUP(J96, 'Fixture Identities'!$A$6:$B$1023, 2, FALSE)="Incandescent",12, 13)), INDEX('Lookup Tables'!$AH$114:$AS$154,MATCH(1,('Lookup Tables'!$AH$114:$AH$154=V96)*('Lookup Tables'!$AI$114:$AI$154=W96),FALSE),12))))), "N")</f>
        <v/>
      </c>
      <c r="BT96" s="184" t="str">
        <f>IF(J96="", "", IF(AND(OR(W96="Freezer case Lighting", W96="Refrigerated Case Lighting with Doors"),'General Information'!$X$18="LCI"), "N", IF(OR(VLOOKUP(J96, 'Fixture Identities'!$A$6:$B$1023, 2, FALSE)="T12 EPACT/EISA Baseline", VLOOKUP(J96, 'Fixture Identities'!$A$6:$B$1023, 2, FALSE)="Linear Fluorescent", VLOOKUP(J96, 'Fixture Identities'!$A$6:$B$1023, 2, FALSE)="U-Tube Fluorescent"), "Y", "N")))</f>
        <v/>
      </c>
      <c r="BU96" s="184" t="str">
        <f>IFERROR(IF(B96="", "", IF(VLOOKUP(J96, 'Fixture Identities'!$A$6:$B$1023, 2, FALSE)="Exit Sign", "Y", "N")), "N")</f>
        <v/>
      </c>
      <c r="BV96" s="184" t="str">
        <f>IF(V96="Exit Signs", IF(VLOOKUP(J96, 'Fixture Identities'!$A$6:$B$1023, 2, FALSE)="Exit Sign", "N", "Y"), "")</f>
        <v/>
      </c>
      <c r="BW96" s="184" t="str">
        <f t="array" ref="BW96">IFERROR(IF(B96="", "", IF(B96="New Construction", "N", INDEX('Lookup Tables'!$AH$6:$AU$102, MATCH(1, ('Lookup Tables'!$AH$6:$AH$102='Lighting Inventory'!V96)*('Lookup Tables'!$AI$6:$AI$102='Lighting Inventory'!W96), 0), 14))), "N")</f>
        <v/>
      </c>
      <c r="BX96" s="598" t="str">
        <f t="shared" si="360"/>
        <v/>
      </c>
      <c r="BY96" s="598" t="str">
        <f t="shared" si="361"/>
        <v/>
      </c>
      <c r="BZ96" s="598" t="str">
        <f t="shared" si="362"/>
        <v/>
      </c>
      <c r="CA96" s="598" t="str">
        <f t="shared" si="363"/>
        <v/>
      </c>
      <c r="CB96" s="269" t="str">
        <f t="shared" si="364"/>
        <v/>
      </c>
      <c r="CC96" s="517" t="str">
        <f t="shared" si="365"/>
        <v/>
      </c>
      <c r="CD96" s="565" t="str">
        <f t="shared" si="305"/>
        <v/>
      </c>
      <c r="CE96" s="368">
        <v>0</v>
      </c>
      <c r="CF96" s="368" t="str" cm="1">
        <f t="array" ref="CF96">IFERROR(IF(V96="Custom", "$0.1 per kWh", IF(B96="New Construction", CONCATENATE("$",INDEX('Lookup Tables'!$AH$114:$AN$154,MATCH(1,('Lookup Tables'!$AH$114:$AH$154='Lighting Inventory'!V96)*('Lookup Tables'!$AI$114:$AI$154='Lighting Inventory'!W96),FALSE),6)," ",INDEX('Lookup Tables'!$AH$114:$AN$154,MATCH(1,('Lookup Tables'!$AH$114:$AH$154='Lighting Inventory'!V96)*('Lookup Tables'!$AI$114:$AI$154='Lighting Inventory'!W96),FALSE),7)), IF(AND(BU96="N", V96="Exit Signs"), "$0.025 per kWh", CONCATENATE("$",INDEX('Lookup Tables'!$AH$6:$AN$102,MATCH(1,('Lookup Tables'!$AH$6:$AH$102='Lighting Inventory'!V96)*('Lookup Tables'!$AI$6:$AI$102='Lighting Inventory'!W96),FALSE),6)," ",INDEX('Lookup Tables'!$AH$6:$AN$102,MATCH(1,('Lookup Tables'!$AH$6:$AH$102='Lighting Inventory'!V96)*('Lookup Tables'!$AI$6:$AI$102='Lighting Inventory'!W96),FALSE),7))))), "")</f>
        <v/>
      </c>
      <c r="CG96" s="366"/>
      <c r="CH96" s="248" t="str">
        <f t="shared" si="306"/>
        <v/>
      </c>
      <c r="CI96" s="248" t="str">
        <f t="shared" si="307"/>
        <v>Select_IE</v>
      </c>
      <c r="CJ96" s="248" t="str">
        <f t="shared" si="308"/>
        <v/>
      </c>
      <c r="CK96" s="248" t="str">
        <f t="shared" si="309"/>
        <v/>
      </c>
      <c r="CL96" s="248" t="str">
        <f t="shared" si="310"/>
        <v/>
      </c>
      <c r="CM96" s="248" t="str">
        <f>IFERROR(IF(B96="", "", IF(B96="New Construction", VLOOKUP(V96, 'Lookup Tables'!$AF$114:$AG$120, 2, FALSE), VLOOKUP(V96, 'Lookup Tables'!$AD$6:$AE$25, 2, FALSE))), "")</f>
        <v/>
      </c>
      <c r="CN96" s="248" t="str">
        <f t="shared" si="311"/>
        <v/>
      </c>
      <c r="CO96" s="248" t="str">
        <f t="shared" si="312"/>
        <v/>
      </c>
      <c r="CP96" s="592" t="str">
        <f t="shared" si="313"/>
        <v/>
      </c>
      <c r="CQ96" s="248" t="str">
        <f t="shared" si="366"/>
        <v/>
      </c>
      <c r="CR96" s="100"/>
      <c r="CS96" s="250" t="str">
        <f t="shared" si="314"/>
        <v/>
      </c>
      <c r="CT96" s="250" t="str">
        <f t="shared" si="367"/>
        <v/>
      </c>
      <c r="CU96" s="250" t="str">
        <f t="shared" si="368"/>
        <v/>
      </c>
      <c r="CV96" s="250" t="str">
        <f t="shared" si="369"/>
        <v/>
      </c>
      <c r="CW96" s="250" t="str">
        <f t="shared" si="370"/>
        <v/>
      </c>
      <c r="CX96" s="250" t="str">
        <f t="shared" si="315"/>
        <v/>
      </c>
      <c r="CY96" s="250" t="str">
        <f t="shared" si="316"/>
        <v/>
      </c>
      <c r="CZ96" s="250" t="str">
        <f t="shared" si="317"/>
        <v/>
      </c>
      <c r="DA96" s="250" t="str">
        <f t="shared" si="318"/>
        <v/>
      </c>
      <c r="DB96" s="250" t="str">
        <f t="shared" si="319"/>
        <v/>
      </c>
      <c r="DC96" s="250" t="str">
        <f t="shared" si="320"/>
        <v/>
      </c>
      <c r="DD96" s="250" t="str">
        <f t="shared" si="321"/>
        <v/>
      </c>
      <c r="DE96" s="250" t="str">
        <f t="shared" si="322"/>
        <v/>
      </c>
      <c r="DF96" s="250" t="str">
        <f t="shared" si="323"/>
        <v/>
      </c>
      <c r="DG96" s="250" t="str">
        <f t="shared" si="324"/>
        <v/>
      </c>
      <c r="DH96" s="250" t="str">
        <f t="shared" si="325"/>
        <v/>
      </c>
      <c r="DI96" s="250" t="str">
        <f t="shared" si="326"/>
        <v/>
      </c>
      <c r="DJ96" s="250" t="str">
        <f t="shared" si="327"/>
        <v/>
      </c>
      <c r="DK96" s="250" t="str">
        <f t="shared" si="328"/>
        <v/>
      </c>
      <c r="DL96" s="250" t="str">
        <f t="shared" si="329"/>
        <v/>
      </c>
      <c r="DM96" s="250" t="str">
        <f>IF(CD96="ERROR", "ERROR", IF(AND(OR(Y96=$DM$6, Y96='Lookup Tables'!$AD$21, Y96='Lookup Tables'!$AD$22), E96="Interior"), BJ96, ""))</f>
        <v/>
      </c>
      <c r="DN96" s="250" t="str">
        <f>IF(CD96="ERROR", "ERROR", IF(AND(OR(Y96=$DM$6, Y96='Lookup Tables'!$AD$21, Y96='Lookup Tables'!$AD$22), E96="Exterior"), BJ96, ""))</f>
        <v/>
      </c>
      <c r="DO96" s="100"/>
      <c r="DP96" s="250" t="str">
        <f t="shared" si="330"/>
        <v/>
      </c>
      <c r="DQ96" s="250" t="str">
        <f t="shared" si="371"/>
        <v/>
      </c>
      <c r="DR96" s="250" t="str">
        <f t="shared" si="372"/>
        <v/>
      </c>
      <c r="DS96" s="250" t="str">
        <f t="shared" si="373"/>
        <v/>
      </c>
      <c r="DT96" s="250" t="str">
        <f t="shared" si="374"/>
        <v/>
      </c>
      <c r="DU96" s="250" t="str">
        <f t="shared" si="331"/>
        <v/>
      </c>
      <c r="DV96" s="250" t="str">
        <f t="shared" si="332"/>
        <v/>
      </c>
      <c r="DW96" s="250" t="str">
        <f t="shared" si="333"/>
        <v/>
      </c>
      <c r="DX96" s="250" t="str">
        <f t="shared" si="334"/>
        <v/>
      </c>
      <c r="DY96" s="250" t="str">
        <f t="shared" si="335"/>
        <v/>
      </c>
      <c r="DZ96" s="250" t="str">
        <f t="shared" si="336"/>
        <v/>
      </c>
      <c r="EA96" s="250" t="str">
        <f t="shared" si="337"/>
        <v/>
      </c>
      <c r="EB96" s="250" t="str">
        <f t="shared" si="375"/>
        <v/>
      </c>
      <c r="EC96" s="250" t="str">
        <f t="shared" si="338"/>
        <v/>
      </c>
      <c r="ED96" s="250" t="str">
        <f t="shared" si="339"/>
        <v/>
      </c>
      <c r="EE96" s="250" t="str">
        <f t="shared" si="340"/>
        <v/>
      </c>
      <c r="EF96" s="250" t="str">
        <f t="shared" si="341"/>
        <v/>
      </c>
      <c r="EG96" s="250" t="str">
        <f t="shared" si="342"/>
        <v/>
      </c>
      <c r="EH96" s="250" t="str">
        <f>IF(CD96="ERROR", "ERROR", IF(AND(OR($EH$6=Y96, Y96='Lookup Tables'!$AD$21, Y96='Lookup Tables'!$AD$22),E96="Interior"), SUM(BP96:BP96), ""))</f>
        <v/>
      </c>
      <c r="EI96" s="250" t="str">
        <f>IF(CD96="ERROR", "ERROR", IF(AND(OR($EH$6=Y96, Y96='Lookup Tables'!$AD$21, Y96='Lookup Tables'!$AD$22),E96="Exterior"), SUM(BP96:BP96), ""))</f>
        <v/>
      </c>
      <c r="EJ96" s="109"/>
      <c r="EK96" s="485" t="str">
        <f t="shared" si="343"/>
        <v/>
      </c>
      <c r="EL96" s="252" t="str">
        <f t="shared" si="376"/>
        <v/>
      </c>
      <c r="EM96" s="252" t="str">
        <f t="shared" si="377"/>
        <v/>
      </c>
      <c r="EN96" s="252" t="str">
        <f t="shared" si="378"/>
        <v/>
      </c>
      <c r="EO96" s="252" t="str">
        <f t="shared" si="379"/>
        <v/>
      </c>
      <c r="EP96" s="252" t="str">
        <f t="shared" si="380"/>
        <v/>
      </c>
      <c r="EQ96" s="252" t="str">
        <f t="shared" si="381"/>
        <v/>
      </c>
      <c r="ER96" s="252" t="str">
        <f t="shared" si="382"/>
        <v/>
      </c>
      <c r="ES96" s="252" t="str">
        <f t="shared" si="383"/>
        <v/>
      </c>
      <c r="ET96" s="252" t="str">
        <f t="shared" si="384"/>
        <v/>
      </c>
      <c r="EU96" s="252" t="str">
        <f t="shared" si="385"/>
        <v/>
      </c>
      <c r="EV96" s="252" t="str">
        <f t="shared" si="386"/>
        <v/>
      </c>
      <c r="EW96" s="252" t="str">
        <f t="shared" si="387"/>
        <v/>
      </c>
      <c r="EX96" s="252" t="str">
        <f t="shared" si="388"/>
        <v/>
      </c>
      <c r="EY96" s="252" t="str">
        <f t="shared" si="389"/>
        <v/>
      </c>
      <c r="EZ96" s="252" t="str">
        <f t="shared" si="390"/>
        <v/>
      </c>
      <c r="FA96" s="252" t="str">
        <f t="shared" si="391"/>
        <v/>
      </c>
      <c r="FB96" s="252" t="str">
        <f t="shared" si="392"/>
        <v/>
      </c>
      <c r="FC96" s="252" t="str">
        <f>IF(CD96="ERROR", "ERROR", IF(OR(V96="No Change", V96="Not DLC or Energy Star"), "", IF(AND(OR($FC$6=Y96,Y96='Lookup Tables'!$AD$21, Y96='Lookup Tables'!$AD$22),E96="Interior"), S96, "")))</f>
        <v/>
      </c>
      <c r="FD96" s="252" t="str">
        <f t="shared" si="393"/>
        <v/>
      </c>
      <c r="FE96" s="101"/>
      <c r="FF96" s="579" t="str" cm="1">
        <f t="array" ref="FF96">IFERROR(IF(OR(BQ96&lt;=0,AQ96&lt;20,AND(V96="Exit Signs",AN96&gt;0)),"",IF(AND(AQ96&gt;=20,AN96='Lookup Tables'!$R$101),'Lookup Tables'!$U$101*BQ96,AP96*LOOKUP(2,1/((AN96='Lookup Tables'!$R$91:$R$111)*(AQ96&gt;='Lookup Tables'!$S$91:$S$111)*(AQ96&lt;='Lookup Tables'!$T$91:$T$111)),'Lookup Tables'!$U$91:$U$111))),"")</f>
        <v/>
      </c>
      <c r="FG96" s="579"/>
      <c r="FH96" s="579"/>
      <c r="FI96" s="253" t="str">
        <f>IFERROR(ROUND(IF(CD96="ERROR", "ERROR", IF(AND($FI$7=X96,E96="Interior"),VLOOKUP(W96, 'Lookup Tables'!$AI$6:$AM$102, 5, FALSE)*BP96, "")), 2), "")</f>
        <v/>
      </c>
      <c r="FJ96" s="253" t="str">
        <f>IFERROR(ROUND(IF(CD96="ERROR", "ERROR", IF(AND($FI$7=X96,E96="Exterior"),VLOOKUP(W96, 'Lookup Tables'!$AI$6:$AM$102, 5, FALSE)*BP96, "")), 2), "")</f>
        <v/>
      </c>
      <c r="FK96" s="253" t="str">
        <f>IFERROR(ROUND(IF(CD96="ERROR", "ERROR", IF(AND($FK$7=X96,E96="Interior"),VLOOKUP(W96, 'Lookup Tables'!$AI$6:$AM$102, 5, FALSE)*BP96, "")), 2), "")</f>
        <v/>
      </c>
      <c r="FL96" s="253" t="str">
        <f>IFERROR(ROUND(IF(CD96="ERROR", "ERROR", IF(AND($FK$7=X96,E96="Exterior"),VLOOKUP(W96, 'Lookup Tables'!$AI$6:$AM$102, 5, FALSE)*BP96, "")), 2), "")</f>
        <v/>
      </c>
      <c r="FM96" s="253" t="str">
        <f>IFERROR(ROUND(IF(CD96="ERROR", "ERROR", IF(AND($FM$6=Y96,E96="Interior"), IF(GB96=0, VLOOKUP(W96, 'Lookup Tables'!$AI$6:$AM$102, 5, FALSE)*BP96, IF(VLOOKUP(W96, 'Lookup Tables'!$AI$6:$AM$102, 5, FALSE)*BP96&gt;GB96*'Lighting Inventory'!S96, GB96*'Lighting Inventory'!S96,VLOOKUP(W96, 'Lookup Tables'!$AI$6:$AM$102, 5, FALSE)*BP96)), "")), 2), "")</f>
        <v/>
      </c>
      <c r="FN96" s="253" t="str">
        <f>IFERROR(ROUND(IF(CD96="ERROR", "ERROR", IF(AND($FM$6=Y96,E96="Exterior"), IF(GB96=0, VLOOKUP(W96, 'Lookup Tables'!$AI$6:$AM$102, 5, FALSE)*BP96, IF(VLOOKUP(W96, 'Lookup Tables'!$AI$6:$AM$102, 5, FALSE)*BP96&gt;GB96*'Lighting Inventory'!S96, GB96*'Lighting Inventory'!S96,VLOOKUP(W96, 'Lookup Tables'!$AI$6:$AM$102, 5, FALSE)*BP96)), "")), 2), "")</f>
        <v/>
      </c>
      <c r="FO96" s="253" t="str">
        <f>IFERROR(ROUND(IF(CD96="ERROR", "ERROR", IF(AND($FO$6=Y96,E96="Interior"),VLOOKUP(W96, 'Lookup Tables'!$AI$6:$AM$102, 5, FALSE)*'Lighting Inventory'!AI96, "")), 2), "")</f>
        <v/>
      </c>
      <c r="FP96" s="253" t="str">
        <f>IFERROR(ROUND(IF(CD96="ERROR", "ERROR", IF(AND($FO$6=Y96,E96="Exterior"),VLOOKUP(W96, 'Lookup Tables'!$AI$6:$AM$102, 5, FALSE)*'Lighting Inventory'!AI96, "")), 2), "")</f>
        <v/>
      </c>
      <c r="FQ96" s="253" t="str">
        <f>IFERROR(ROUND(IF(CD96="ERROR", "ERROR", IF(AND($FQ$6=Y96,E96="Interior", BU96="Y"), VLOOKUP('Lighting Inventory'!W96, 'Lookup Tables'!$AI$6:$AM$102, 5, FALSE)*'Lighting Inventory'!S96, IF(AND($FQ$7=Y96,E96="Interior", BU96="N"), 0.025*CD96, ""))), 2), "")</f>
        <v/>
      </c>
      <c r="FR96" s="253" t="str">
        <f>IFERROR(ROUND(IF(CD96="ERROR", "ERROR", IF(AND($FQ$6=Y96,E96="Exterior"), VLOOKUP('Lighting Inventory'!W96, 'Lookup Tables'!$AI$6:$AM$102, 5, FALSE)*'Lighting Inventory'!S96, "")), 2), "")</f>
        <v/>
      </c>
      <c r="FS96" s="253" t="str">
        <f>IFERROR(ROUND(IF(CD96="ERROR", "ERROR", IF(AND($FS$6=Y96,E96="Exterior"), IF(GB96=0, VLOOKUP(W96, 'Lookup Tables'!$AI$6:$AM$102, 5, FALSE)*BP96, IF(VLOOKUP(W96, 'Lookup Tables'!$AI$6:$AM$102, 5, FALSE)*BP96&gt;GB96*'Lighting Inventory'!S96, GB96*'Lighting Inventory'!S96,VLOOKUP(W96, 'Lookup Tables'!$AI$6:$AM$102, 5, FALSE)*BP96)), "")), 2), "")</f>
        <v/>
      </c>
      <c r="FT96" s="253" t="str">
        <f>IFERROR(ROUND(IF(CD96="ERROR", "ERROR", IF(AND($FT$6=Y96,E96="Interior"), IF(GB96=0, VLOOKUP(W96, 'Lookup Tables'!$AI$6:$AM$102, 5, FALSE)*BP96, IF(VLOOKUP(W96, 'Lookup Tables'!$AI$6:$AM$102, 5, FALSE)*BP96&gt;GB96*'Lighting Inventory'!S96, GB96*'Lighting Inventory'!S96,VLOOKUP(W96, 'Lookup Tables'!$AI$6:$AM$102, 5, FALSE)*BP96)), "")), 2), "")</f>
        <v/>
      </c>
      <c r="FU96" s="253" t="str">
        <f>IFERROR(ROUND(IF(CD96="ERROR", "ERROR", IF(AND(Y96=$FU$6, E96="Interior"), IF(BS96="N", 'Lookup Tables'!$AM$101*BP96, VLOOKUP(W96, 'Lookup Tables'!$AI$6:$AM$102, 5, FALSE)*S96*AD96), "")), 2), "")</f>
        <v/>
      </c>
      <c r="FV96" s="253" t="str">
        <f>IFERROR(ROUND(IF(CD96="ERROR", "ERROR", IF(AND(Y96=$FU$6, E96="Exterior"), IF(BS96="N", 'Lookup Tables'!$AM$101*BP96, VLOOKUP(W96, 'Lookup Tables'!$AI$6:$AM$102, 5, FALSE)*S96*AD96), "")), 2), "")</f>
        <v/>
      </c>
      <c r="FW96" s="253" t="str">
        <f>IFERROR(ROUND(IF(CD96="ERROR", "ERROR", IF($FW$6=Y96, IF(BS96="N", 'Lookup Tables'!$AM$101*BP96, MIN((VLOOKUP(W96, 'Lookup Tables'!$AI$6:$AM$102, 5, FALSE)*BP96),GB96*AJ96)), "")), 2), "")</f>
        <v/>
      </c>
      <c r="FX96" s="253" t="str">
        <f>IFERROR(ROUND(IF(CD96="ERROR", "ERROR", IF(AND($FX$6=Y96, E96="Interior"), IF(VLOOKUP(W96, 'Lookup Tables'!$AI$6:$AM$102, 5, FALSE)*BP96&gt;'Lookup Tables'!$AQ$97*'Lighting Inventory'!S96,'Lighting Inventory'!S96*'Lookup Tables'!$AQ$97,VLOOKUP(W96, 'Lookup Tables'!$AI$6:$AM$102, 5, FALSE)*BP96), "")), 2), "")</f>
        <v/>
      </c>
      <c r="FY96" s="253" t="str">
        <f>IFERROR(ROUND(IF(CD96="ERROR", "ERROR", IF(AND($FX$6=Y96, E96="Exterior"), IF(VLOOKUP(W96, 'Lookup Tables'!$AI$6:$AM$102, 5, FALSE)*BP96&gt;'Lookup Tables'!$AQ$97*'Lighting Inventory'!S96,'Lighting Inventory'!S96*'Lookup Tables'!$AQ$97,VLOOKUP(W96, 'Lookup Tables'!$AI$6:$AM$102, 5, FALSE)*BP96), "")), 2), "")</f>
        <v/>
      </c>
      <c r="FZ96" s="253" t="str">
        <f>IFERROR(ROUND(IF(CD96="ERROR", "ERROR", IF(AND($FZ$6=Y96, E96="Interior"), IF(AND(OR(W96="Refrigerated Case Lighting with Doors", W96="Freezer Case Lighting"),Y96="Custom - Process Improvement"),CD96*'Lookup Tables'!$AM$101, IF(B96="Retrofit", IF(VLOOKUP(IF(V96="Custom", V96, W96), 'Lookup Tables'!$AI$6:$AM$102, 5, FALSE)*BP96&gt;GE96, GE96, VLOOKUP(IF(V96="Custom", V96, W96), 'Lookup Tables'!$AI$6:$AM$102, 5, FALSE)*BP96), IF(VLOOKUP(IF(V96="Custom", V96, W96), 'Lookup Tables'!$AI$114:$AM$154, 5, FALSE)*BP96&gt;GE96, GE96, VLOOKUP(IF(V96="Custom", V96, W96), 'Lookup Tables'!$AI$114:$AM$154, 5, FALSE)*BP96))), "")), 2),"")</f>
        <v/>
      </c>
      <c r="GA96" s="253" t="str">
        <f>IFERROR(ROUND(IF(CD96="ERROR", "ERROR", IF(AND($FZ$6=Y96, E96="Exterior"), IF(B96="Retrofit", IF(VLOOKUP(IF(V96="Custom", V96, W96), 'Lookup Tables'!$AI$6:$AM$102, 5, FALSE)*BP96&gt;GE96, GE96, VLOOKUP(IF(V96="Custom", V96, W96), 'Lookup Tables'!$AI$6:$AM$102, 5, FALSE)*BP96), IF(VLOOKUP(IF(V96="Custom", V96, W96), 'Lookup Tables'!$AI$114:$AM$154, 5, FALSE)*BP96&gt;GE96, GE96, VLOOKUP(IF(V96="Custom", V96, W96), 'Lookup Tables'!$AI$114:$AM$154, 5, FALSE)*BP96)), "")), 2),"")</f>
        <v/>
      </c>
      <c r="GB96" s="254" t="str">
        <f t="array" ref="GB96">IF(B96="","",IF(OR(V96="Custom",V96="No Change"),0,IF(B96="Retrofit", INDEX('Lookup Tables'!$AH$6:$AQ$102,MATCH(1,('Lookup Tables'!$AH$6:$AH$102='Lighting Inventory'!V96)*('Lookup Tables'!$AI$6:$AI$102='Lighting Inventory'!W96),FALSE),10),INDEX('Lookup Tables'!$AH$114:$AQ$154,MATCH(1,('Lookup Tables'!$AH$114:$AH$154='Lighting Inventory'!V96)*('Lookup Tables'!$AI$114:$AI$154='Lighting Inventory'!W96),FALSE),10))))</f>
        <v/>
      </c>
      <c r="GC96" s="255" t="str">
        <f t="shared" si="344"/>
        <v/>
      </c>
      <c r="GD96" s="250" t="str">
        <f t="shared" si="345"/>
        <v/>
      </c>
      <c r="GE96" s="253" t="str">
        <f>IFERROR(IF(AND(AF96="", 'General Information'!$F$18="No"),"", IF(AF96="", ((GD96/$CD$266)*$CF$266)*0.5, AF96*S96*0.5)), "")</f>
        <v/>
      </c>
      <c r="GF96" s="255" t="str">
        <f>IF(AND('General Information'!$F$19="", 'General Information'!$F$18="Yes",AF96="",BW96="Y"), "Y", "N")</f>
        <v>N</v>
      </c>
      <c r="GG96" s="255" t="s">
        <v>2946</v>
      </c>
      <c r="GH96" s="255" t="str">
        <f>IFERROR(IF(B96="", "", VLOOKUP(J96, 'Fixture Identities'!$A$6:$N$908, 14, FALSE)), "")</f>
        <v/>
      </c>
      <c r="GI96" s="389" t="str">
        <f>IF(OR(B96="", V96="", W96=""), "", IF(AND(OR(M96='Lookup Tables'!$R$18, M96='Lookup Tables'!$R$19, M96='Lookup Tables'!$R$20, M96='Lookup Tables'!$R$21, M96='Lookup Tables'!$R$22), OR(AN96='Lookup Tables'!$R$17, AN96='Lookup Tables'!$R$17, AN96="")), "Y", "N"))</f>
        <v/>
      </c>
      <c r="GJ96" s="255" t="str">
        <f t="shared" si="346"/>
        <v/>
      </c>
      <c r="GK96" s="255" t="str">
        <f t="shared" si="347"/>
        <v/>
      </c>
      <c r="GL96" s="255" t="str">
        <f t="shared" si="348"/>
        <v/>
      </c>
      <c r="GM96" s="255" t="str">
        <f>IF(AN96="", "", IF(AND(IF(ISNA(VLOOKUP(AN96,'Lookup Tables'!$R$18:$R$22,1,FALSE)), "N", "Y")="Y", E96="Exterior"), "Y", "N"))</f>
        <v/>
      </c>
      <c r="GN96" s="395"/>
      <c r="GO96" s="428">
        <f t="shared" si="394"/>
        <v>0</v>
      </c>
      <c r="GP96" s="428">
        <f t="shared" si="397"/>
        <v>0</v>
      </c>
      <c r="GQ96" s="428">
        <f t="shared" si="395"/>
        <v>0</v>
      </c>
      <c r="GR96" s="428">
        <f t="shared" si="396"/>
        <v>0</v>
      </c>
    </row>
    <row r="97" spans="1:200" s="103" customFormat="1" ht="13.5" customHeight="1" x14ac:dyDescent="0.2">
      <c r="A97" s="272">
        <v>87</v>
      </c>
      <c r="B97" s="110"/>
      <c r="C97" s="110"/>
      <c r="D97" s="110"/>
      <c r="E97" s="110"/>
      <c r="F97" s="110"/>
      <c r="G97" s="110"/>
      <c r="H97" s="110"/>
      <c r="I97" s="29"/>
      <c r="J97" s="29"/>
      <c r="K97" s="272" t="str">
        <f>IFERROR(IF(OR(VLOOKUP(J97, 'Fixture Identities'!$A$6:$L$1023, 3, FALSE)="T12 Linear Fluorescent", VLOOKUP(J97, 'Fixture Identities'!$A$6:$L$1023, 3, FALSE)="T12 U-Tube Fluorescent"), VLOOKUP(VLOOKUP(J97, 'Fixture Identities'!$A$6:$L$1023, 11, FALSE), 'Fixture Identities'!$A$6:$L$1023, 10, FALSE), VLOOKUP(J97, 'Fixture Identities'!$A$6:$L$1023, 10, FALSE)), "")</f>
        <v/>
      </c>
      <c r="L97" s="270" t="str">
        <f t="shared" si="399"/>
        <v/>
      </c>
      <c r="M97" s="110"/>
      <c r="N97" s="110"/>
      <c r="O97" s="110"/>
      <c r="P97" s="272" t="str">
        <f>IFERROR(IF(OR(B97="Retrofit",B97=""),"",IF('Lighting Inventory'!E97="Exterior",VLOOKUP('Lighting Inventory'!N97,'Lookup Tables'!$B$83:$F$103,5,FALSE),IF(N97="Other - Please Estimate EFLH and CFs","Contact Prog. Rep.","ft^2"))), "")</f>
        <v/>
      </c>
      <c r="Q97" s="270" t="str">
        <f>IFERROR(IF(AND(B97="New Construction",E97="Interior",$F$5="Space-by-Space"),VLOOKUP('Lighting Inventory'!N97,'Lookup Tables'!$N$6:$O$97,2,FALSE),IF(AND(B97="New Construction",E97="Exterior"),VLOOKUP(N97,'Lookup Tables'!$B$83:$F$103,2,FALSE),IF(AND(B97="New Construction",'Lighting Inventory'!E97="Interior", $F$5="Building Area"),VLOOKUP(F97,'Lookup Tables'!$A$6:$J$59,10,FALSE),""))), "")</f>
        <v/>
      </c>
      <c r="R97" s="270" t="str">
        <f>IFERROR(IF(P97="Contact Prog. Rep.", "ERROR", IF(OR(B97="",B97="Retrofit"),"",IF(N97="Automated teller machines", ('Lookup Tables'!$A$82:$E$100+('Lighting Inventory'!O97-1)*'Lookup Tables'!$A$82:$E$100)/1000, (Q97*O97)/1000))), "")</f>
        <v/>
      </c>
      <c r="S97" s="595"/>
      <c r="T97" s="105" t="str">
        <f t="shared" si="349"/>
        <v/>
      </c>
      <c r="U97" s="105" t="str">
        <f>IF(S97="","",COUNT($S$11:S97))</f>
        <v/>
      </c>
      <c r="V97" s="111"/>
      <c r="W97" s="112"/>
      <c r="X97" s="105" t="str">
        <f t="shared" si="350"/>
        <v/>
      </c>
      <c r="Y97" s="105" t="str">
        <f t="array" ref="Y97">IF(AND(OR(W97="Freezer Case Lighting", W97="Refrigerated Case Lighting with Doors"), 'General Information'!$X$18="LCI"),'Lookup Tables'!$Y$34, IF(V97="Custom", VLOOKUP(W97, 'Fixture Identities'!$A$974:$M$1023, 13, FALSE), IF(V97="No Change",'Lookup Tables'!$Y$29,IF(OR(V97="",W97=""),"",IF(AND(S97=0,S97&lt;I97,B97="Retrofit"),'Lookup Tables'!$Y$25, IF(B97="Retrofit", INDEX('Lookup Tables'!$AH$6:$AP$102, MATCH(1, ('Lookup Tables'!$AH$6:$AH$102=V97)*('Lookup Tables'!$AI$6:$AI$102=W97), 0), IF('Lighting Inventory'!E97="Interior", 4, 5)), INDEX('Lookup Tables'!$AH$114:$AP$154, MATCH(1, ('Lookup Tables'!$AH$114:$AH$154=V97)*('Lookup Tables'!$AI$114:$AI$154=W97), 0), IF('Lighting Inventory'!E97="Interior", 4, 5))))))))</f>
        <v/>
      </c>
      <c r="Z97" s="105" t="str">
        <f>IFERROR(INDEX('Lookup Tables'!$AH$158:$AH$172,MATCH('Lighting Inventory'!Y97,'Lookup Tables'!$AI$158:$AI$172,0)),"")</f>
        <v/>
      </c>
      <c r="AA97" s="105" t="str">
        <f>IF(AP97&gt;0,INDEX('Lookup Tables'!$AK$158:$AK$172,MATCH('Lighting Inventory'!Y97,'Lookup Tables'!$AI$158:$AI$172,0)),'Lighting Inventory'!Y97)</f>
        <v/>
      </c>
      <c r="AB97" s="105" t="str">
        <f t="array" ref="AB97">IF(V97="Custom", "Custom", IF(V97="", "", IF(V97="Not DLC or Energy Star", "General", IF(B97="New Construction", INDEX('Lookup Tables'!$AH$114:$AP$154,MATCH(1,('Lookup Tables'!$AH$114:$AH$154='Lighting Inventory'!V97)*('Lookup Tables'!$AI$114:$AI$154='Lighting Inventory'!W97),FALSE),8), INDEX('Lookup Tables'!$AH$6:$AP$102,MATCH(1,('Lookup Tables'!$AH$6:$AH$102='Lighting Inventory'!V97)*('Lookup Tables'!$AI$6:$AI$102='Lighting Inventory'!W97),FALSE),8)))))</f>
        <v/>
      </c>
      <c r="AC97" s="272" t="str">
        <f>IF(W97="","",IF(V97="Custom",CONCATENATE("$",'Lookup Tables'!$AM$101," ",'Lookup Tables'!$AN$101),CONCATENATE("$",INDEX('Lookup Tables'!$AM$6:$AM$102,MATCH('Lighting Inventory'!W97,'Lookup Tables'!$AI$6:$AI$102,0))," ",INDEX('Lookup Tables'!$AN$6:$AN$102,MATCH('Lighting Inventory'!W97,'Lookup Tables'!$AI$6:$AI$102,0)))))</f>
        <v/>
      </c>
      <c r="AD97" s="72"/>
      <c r="AE97" s="29"/>
      <c r="AF97" s="379"/>
      <c r="AG97" s="370" t="str">
        <f t="shared" si="298"/>
        <v/>
      </c>
      <c r="AH97" s="370" t="str">
        <f t="shared" si="351"/>
        <v/>
      </c>
      <c r="AI97" s="29"/>
      <c r="AJ97" s="29"/>
      <c r="AK97" s="110"/>
      <c r="AL97" s="375" t="str">
        <f>IF(OR(B97="", V97="", W97=""), "", IF(V97="No Change", K97, IF(V97="Remove Fixture", 0, IF(V97="Custom",VLOOKUP(W97,'Fixture Identities'!$A$6:$K$1023,10,FALSE),IF(AE97="", "← ENTER POST WATTS", 'Lighting Inventory'!AE97)))))</f>
        <v/>
      </c>
      <c r="AM97" s="376" t="str">
        <f t="shared" si="299"/>
        <v/>
      </c>
      <c r="AN97" s="29"/>
      <c r="AO97" s="671"/>
      <c r="AP97" s="29"/>
      <c r="AQ97" s="29"/>
      <c r="AR97" s="29"/>
      <c r="AS97" s="272" t="str">
        <f t="shared" si="352"/>
        <v/>
      </c>
      <c r="AT97" s="270" t="str">
        <f t="shared" si="300"/>
        <v/>
      </c>
      <c r="AU97" s="88" t="str">
        <f t="shared" si="400"/>
        <v/>
      </c>
      <c r="AV97" s="29"/>
      <c r="AW97" s="73"/>
      <c r="AX97" s="271" t="str">
        <f>IF(AND(AV97="Applicant",OR(AW97="", AW97="Use Default Facility Hours")),"← Choose Schedule",IF(F97="","",IF(W97="LED Exit Signs",8760,IF(OR(AV97="Prescribed",AV97=""),VLOOKUP(F97,'Lookup Tables'!$A$6:$G$59,IF(AB97="General", 6, 3),FALSE),VLOOKUP(AW97,'Lookup Tables'!$S$36:$U$43,2,FALSE)))))</f>
        <v/>
      </c>
      <c r="AY97" s="88" t="str">
        <f t="shared" si="301"/>
        <v/>
      </c>
      <c r="AZ97" s="270" t="str">
        <f>IFERROR(IF(F97="", "", IF(W97="LED Exit Signs", 1, IF(AV97="Applicant",VLOOKUP(AW97, 'Lookup Tables'!$S$36:$U$43,3, FALSE), VLOOKUP('Lighting Inventory'!F97, 'Lookup Tables'!$A$6:$H$59, IF('Lighting Inventory'!AB97="General",7,4), FALSE)))), "")</f>
        <v/>
      </c>
      <c r="BA97" s="522" t="str">
        <f>IFERROR(IF(F97="", "", IF(W97="LED Exit Signs", 1, VLOOKUP('Lighting Inventory'!F97, 'Lookup Tables'!$A$6:$H$59, IF('Lighting Inventory'!AB97="General",8,5), FALSE))), "")</f>
        <v/>
      </c>
      <c r="BB97" s="270" t="str">
        <f>IF(G97="", "", IF(E97="Exterior", 0, IF('Lighting Inventory'!G97="Air Conditioned", VLOOKUP(H97, 'Lookup Tables'!$R$6:$T$13, 2, FALSE), VLOOKUP('Lighting Inventory'!G97, 'Lookup Tables'!$R$6:$T$13, 2, FALSE))))</f>
        <v/>
      </c>
      <c r="BC97" s="522" t="str">
        <f>IF(G97="", "", IF(E97="Exterior", 0, IF('Lighting Inventory'!G97="Air Conditioned", VLOOKUP(H97, 'Lookup Tables'!$R$6:$T$13, 3, FALSE), VLOOKUP('Lighting Inventory'!G97, 'Lookup Tables'!$R$6:$T$13, 3, FALSE))))</f>
        <v/>
      </c>
      <c r="BD97" s="270" t="str">
        <f>IF(G97="", "", IF(E97="Exterior", 0, IF('Lighting Inventory'!G97="Air Conditioned", VLOOKUP(H97, 'Lookup Tables'!$R$6:$U$13, 4, FALSE), VLOOKUP('Lighting Inventory'!G97, 'Lookup Tables'!$R$6:$U$13, 4, FALSE))))</f>
        <v/>
      </c>
      <c r="BE97" s="270" t="str">
        <f>IFERROR(IF(B97="", "",  IF(B97="New Construction", VLOOKUP(F97, 'Lookup Tables'!$A$6:$K$59, 11, FALSE),IF(OR(AN97="", AN97="Light Switch"), 0, IF(OR(M97="",M97="None",V97= "LED Exit Signs"),0,_xlfn.XLOOKUP(M97,'Lookup Tables'!$R$91:$R$101,'Lookup Tables'!$V$91:$V$101))))), "")</f>
        <v/>
      </c>
      <c r="BF97" s="270" t="str">
        <f>IF(AND(OR(AN97="Light Switch",AN97=""),B97="New Construction"), VLOOKUP(F97, 'Lookup Tables'!$A$6:$K$59, 11, FALSE),IF(AN97="","",IF(B97="","",IF(OR(AN97="None",AN97="",V97="LED Exit Signs",AN97="Exterior Controls Not Eligible"),0,_xlfn.XLOOKUP(AN97,'Lookup Tables'!$R$91:$R$101,'Lookup Tables'!$V$91:$V$101)))))</f>
        <v/>
      </c>
      <c r="BG97" s="88" t="str">
        <f t="shared" si="353"/>
        <v/>
      </c>
      <c r="BH97" s="88" t="str">
        <f t="shared" si="354"/>
        <v/>
      </c>
      <c r="BI97" s="558" t="str">
        <f t="shared" si="398"/>
        <v/>
      </c>
      <c r="BJ97" s="82" t="str">
        <f t="shared" si="355"/>
        <v/>
      </c>
      <c r="BK97" s="82" t="str">
        <f t="shared" si="356"/>
        <v/>
      </c>
      <c r="BL97" s="559" t="str">
        <f t="shared" si="357"/>
        <v/>
      </c>
      <c r="BM97" s="521" t="str">
        <f t="shared" si="302"/>
        <v/>
      </c>
      <c r="BN97" s="521" t="str">
        <f t="shared" si="303"/>
        <v/>
      </c>
      <c r="BO97" s="522" t="str">
        <f t="shared" si="304"/>
        <v/>
      </c>
      <c r="BP97" s="83" t="str">
        <f t="shared" si="358"/>
        <v/>
      </c>
      <c r="BQ97" s="84" t="str">
        <f t="shared" si="359"/>
        <v/>
      </c>
      <c r="BR97" s="184" t="str">
        <f>IFERROR(IF(B97="", "", IF(OR(VLOOKUP(J97, 'Fixture Identities'!$A$6:$L$1023, 3, FALSE)="T12 Linear Fluorescent",VLOOKUP(J97, 'Fixture Identities'!$A$6:$L$1023, 3, FALSE)="T12 U-Tube Fluorescent"), "Y", "N")), "N")</f>
        <v/>
      </c>
      <c r="BS97" s="184" t="str">
        <f t="array" ref="BS97">IFERROR(IF(OR(B97="", V97="", W97=""), "", IF(V97="Custom", "N", IF(OR(W97="Freezer Case Lighting", W97="Refrigerated Case Lighting with Doors"), BT97, IF(B97="Retrofit", INDEX('Lookup Tables'!$AH$6:$AT$102,MATCH(1,('Lookup Tables'!$AH$6:$AH$102=V97)*('Lookup Tables'!$AI$6:$AI$102=W97),FALSE),IF(VLOOKUP(J97, 'Fixture Identities'!$A$6:$B$1023, 2, FALSE)="Incandescent",12, 13)), INDEX('Lookup Tables'!$AH$114:$AS$154,MATCH(1,('Lookup Tables'!$AH$114:$AH$154=V97)*('Lookup Tables'!$AI$114:$AI$154=W97),FALSE),12))))), "N")</f>
        <v/>
      </c>
      <c r="BT97" s="184" t="str">
        <f>IF(J97="", "", IF(AND(OR(W97="Freezer case Lighting", W97="Refrigerated Case Lighting with Doors"),'General Information'!$X$18="LCI"), "N", IF(OR(VLOOKUP(J97, 'Fixture Identities'!$A$6:$B$1023, 2, FALSE)="T12 EPACT/EISA Baseline", VLOOKUP(J97, 'Fixture Identities'!$A$6:$B$1023, 2, FALSE)="Linear Fluorescent", VLOOKUP(J97, 'Fixture Identities'!$A$6:$B$1023, 2, FALSE)="U-Tube Fluorescent"), "Y", "N")))</f>
        <v/>
      </c>
      <c r="BU97" s="184" t="str">
        <f>IFERROR(IF(B97="", "", IF(VLOOKUP(J97, 'Fixture Identities'!$A$6:$B$1023, 2, FALSE)="Exit Sign", "Y", "N")), "N")</f>
        <v/>
      </c>
      <c r="BV97" s="184" t="str">
        <f>IF(V97="Exit Signs", IF(VLOOKUP(J97, 'Fixture Identities'!$A$6:$B$1023, 2, FALSE)="Exit Sign", "N", "Y"), "")</f>
        <v/>
      </c>
      <c r="BW97" s="184" t="str">
        <f t="array" ref="BW97">IFERROR(IF(B97="", "", IF(B97="New Construction", "N", INDEX('Lookup Tables'!$AH$6:$AU$102, MATCH(1, ('Lookup Tables'!$AH$6:$AH$102='Lighting Inventory'!V97)*('Lookup Tables'!$AI$6:$AI$102='Lighting Inventory'!W97), 0), 14))), "N")</f>
        <v/>
      </c>
      <c r="BX97" s="598" t="str">
        <f t="shared" si="360"/>
        <v/>
      </c>
      <c r="BY97" s="598" t="str">
        <f t="shared" si="361"/>
        <v/>
      </c>
      <c r="BZ97" s="598" t="str">
        <f t="shared" si="362"/>
        <v/>
      </c>
      <c r="CA97" s="598" t="str">
        <f t="shared" si="363"/>
        <v/>
      </c>
      <c r="CB97" s="269" t="str">
        <f t="shared" si="364"/>
        <v/>
      </c>
      <c r="CC97" s="517" t="str">
        <f t="shared" si="365"/>
        <v/>
      </c>
      <c r="CD97" s="565" t="str">
        <f t="shared" si="305"/>
        <v/>
      </c>
      <c r="CE97" s="368">
        <v>0</v>
      </c>
      <c r="CF97" s="368" t="str" cm="1">
        <f t="array" ref="CF97">IFERROR(IF(V97="Custom", "$0.1 per kWh", IF(B97="New Construction", CONCATENATE("$",INDEX('Lookup Tables'!$AH$114:$AN$154,MATCH(1,('Lookup Tables'!$AH$114:$AH$154='Lighting Inventory'!V97)*('Lookup Tables'!$AI$114:$AI$154='Lighting Inventory'!W97),FALSE),6)," ",INDEX('Lookup Tables'!$AH$114:$AN$154,MATCH(1,('Lookup Tables'!$AH$114:$AH$154='Lighting Inventory'!V97)*('Lookup Tables'!$AI$114:$AI$154='Lighting Inventory'!W97),FALSE),7)), IF(AND(BU97="N", V97="Exit Signs"), "$0.025 per kWh", CONCATENATE("$",INDEX('Lookup Tables'!$AH$6:$AN$102,MATCH(1,('Lookup Tables'!$AH$6:$AH$102='Lighting Inventory'!V97)*('Lookup Tables'!$AI$6:$AI$102='Lighting Inventory'!W97),FALSE),6)," ",INDEX('Lookup Tables'!$AH$6:$AN$102,MATCH(1,('Lookup Tables'!$AH$6:$AH$102='Lighting Inventory'!V97)*('Lookup Tables'!$AI$6:$AI$102='Lighting Inventory'!W97),FALSE),7))))), "")</f>
        <v/>
      </c>
      <c r="CG97" s="366"/>
      <c r="CH97" s="248" t="str">
        <f t="shared" si="306"/>
        <v/>
      </c>
      <c r="CI97" s="248" t="str">
        <f t="shared" si="307"/>
        <v>Select_IE</v>
      </c>
      <c r="CJ97" s="248" t="str">
        <f t="shared" si="308"/>
        <v/>
      </c>
      <c r="CK97" s="248" t="str">
        <f t="shared" si="309"/>
        <v/>
      </c>
      <c r="CL97" s="248" t="str">
        <f t="shared" si="310"/>
        <v/>
      </c>
      <c r="CM97" s="248" t="str">
        <f>IFERROR(IF(B97="", "", IF(B97="New Construction", VLOOKUP(V97, 'Lookup Tables'!$AF$114:$AG$120, 2, FALSE), VLOOKUP(V97, 'Lookup Tables'!$AD$6:$AE$25, 2, FALSE))), "")</f>
        <v/>
      </c>
      <c r="CN97" s="248" t="str">
        <f t="shared" si="311"/>
        <v/>
      </c>
      <c r="CO97" s="248" t="str">
        <f t="shared" si="312"/>
        <v/>
      </c>
      <c r="CP97" s="592" t="str">
        <f t="shared" si="313"/>
        <v/>
      </c>
      <c r="CQ97" s="248" t="str">
        <f t="shared" si="366"/>
        <v/>
      </c>
      <c r="CR97" s="100"/>
      <c r="CS97" s="250" t="str">
        <f t="shared" si="314"/>
        <v/>
      </c>
      <c r="CT97" s="250" t="str">
        <f t="shared" si="367"/>
        <v/>
      </c>
      <c r="CU97" s="250" t="str">
        <f t="shared" si="368"/>
        <v/>
      </c>
      <c r="CV97" s="250" t="str">
        <f t="shared" si="369"/>
        <v/>
      </c>
      <c r="CW97" s="250" t="str">
        <f t="shared" si="370"/>
        <v/>
      </c>
      <c r="CX97" s="250" t="str">
        <f t="shared" si="315"/>
        <v/>
      </c>
      <c r="CY97" s="250" t="str">
        <f t="shared" si="316"/>
        <v/>
      </c>
      <c r="CZ97" s="250" t="str">
        <f t="shared" si="317"/>
        <v/>
      </c>
      <c r="DA97" s="250" t="str">
        <f t="shared" si="318"/>
        <v/>
      </c>
      <c r="DB97" s="250" t="str">
        <f t="shared" si="319"/>
        <v/>
      </c>
      <c r="DC97" s="250" t="str">
        <f t="shared" si="320"/>
        <v/>
      </c>
      <c r="DD97" s="250" t="str">
        <f t="shared" si="321"/>
        <v/>
      </c>
      <c r="DE97" s="250" t="str">
        <f t="shared" si="322"/>
        <v/>
      </c>
      <c r="DF97" s="250" t="str">
        <f t="shared" si="323"/>
        <v/>
      </c>
      <c r="DG97" s="250" t="str">
        <f t="shared" si="324"/>
        <v/>
      </c>
      <c r="DH97" s="250" t="str">
        <f t="shared" si="325"/>
        <v/>
      </c>
      <c r="DI97" s="250" t="str">
        <f t="shared" si="326"/>
        <v/>
      </c>
      <c r="DJ97" s="250" t="str">
        <f t="shared" si="327"/>
        <v/>
      </c>
      <c r="DK97" s="250" t="str">
        <f t="shared" si="328"/>
        <v/>
      </c>
      <c r="DL97" s="250" t="str">
        <f t="shared" si="329"/>
        <v/>
      </c>
      <c r="DM97" s="250" t="str">
        <f>IF(CD97="ERROR", "ERROR", IF(AND(OR(Y97=$DM$6, Y97='Lookup Tables'!$AD$21, Y97='Lookup Tables'!$AD$22), E97="Interior"), BJ97, ""))</f>
        <v/>
      </c>
      <c r="DN97" s="250" t="str">
        <f>IF(CD97="ERROR", "ERROR", IF(AND(OR(Y97=$DM$6, Y97='Lookup Tables'!$AD$21, Y97='Lookup Tables'!$AD$22), E97="Exterior"), BJ97, ""))</f>
        <v/>
      </c>
      <c r="DO97" s="100"/>
      <c r="DP97" s="250" t="str">
        <f t="shared" si="330"/>
        <v/>
      </c>
      <c r="DQ97" s="250" t="str">
        <f t="shared" si="371"/>
        <v/>
      </c>
      <c r="DR97" s="250" t="str">
        <f t="shared" si="372"/>
        <v/>
      </c>
      <c r="DS97" s="250" t="str">
        <f t="shared" si="373"/>
        <v/>
      </c>
      <c r="DT97" s="250" t="str">
        <f t="shared" si="374"/>
        <v/>
      </c>
      <c r="DU97" s="250" t="str">
        <f t="shared" si="331"/>
        <v/>
      </c>
      <c r="DV97" s="250" t="str">
        <f t="shared" si="332"/>
        <v/>
      </c>
      <c r="DW97" s="250" t="str">
        <f t="shared" si="333"/>
        <v/>
      </c>
      <c r="DX97" s="250" t="str">
        <f t="shared" si="334"/>
        <v/>
      </c>
      <c r="DY97" s="250" t="str">
        <f t="shared" si="335"/>
        <v/>
      </c>
      <c r="DZ97" s="250" t="str">
        <f t="shared" si="336"/>
        <v/>
      </c>
      <c r="EA97" s="250" t="str">
        <f t="shared" si="337"/>
        <v/>
      </c>
      <c r="EB97" s="250" t="str">
        <f t="shared" si="375"/>
        <v/>
      </c>
      <c r="EC97" s="250" t="str">
        <f t="shared" si="338"/>
        <v/>
      </c>
      <c r="ED97" s="250" t="str">
        <f t="shared" si="339"/>
        <v/>
      </c>
      <c r="EE97" s="250" t="str">
        <f t="shared" si="340"/>
        <v/>
      </c>
      <c r="EF97" s="250" t="str">
        <f t="shared" si="341"/>
        <v/>
      </c>
      <c r="EG97" s="250" t="str">
        <f t="shared" si="342"/>
        <v/>
      </c>
      <c r="EH97" s="250" t="str">
        <f>IF(CD97="ERROR", "ERROR", IF(AND(OR($EH$6=Y97, Y97='Lookup Tables'!$AD$21, Y97='Lookup Tables'!$AD$22),E97="Interior"), SUM(BP97:BP97), ""))</f>
        <v/>
      </c>
      <c r="EI97" s="250" t="str">
        <f>IF(CD97="ERROR", "ERROR", IF(AND(OR($EH$6=Y97, Y97='Lookup Tables'!$AD$21, Y97='Lookup Tables'!$AD$22),E97="Exterior"), SUM(BP97:BP97), ""))</f>
        <v/>
      </c>
      <c r="EJ97" s="109"/>
      <c r="EK97" s="485" t="str">
        <f t="shared" si="343"/>
        <v/>
      </c>
      <c r="EL97" s="252" t="str">
        <f t="shared" si="376"/>
        <v/>
      </c>
      <c r="EM97" s="252" t="str">
        <f t="shared" si="377"/>
        <v/>
      </c>
      <c r="EN97" s="252" t="str">
        <f t="shared" si="378"/>
        <v/>
      </c>
      <c r="EO97" s="252" t="str">
        <f t="shared" si="379"/>
        <v/>
      </c>
      <c r="EP97" s="252" t="str">
        <f t="shared" si="380"/>
        <v/>
      </c>
      <c r="EQ97" s="252" t="str">
        <f t="shared" si="381"/>
        <v/>
      </c>
      <c r="ER97" s="252" t="str">
        <f t="shared" si="382"/>
        <v/>
      </c>
      <c r="ES97" s="252" t="str">
        <f t="shared" si="383"/>
        <v/>
      </c>
      <c r="ET97" s="252" t="str">
        <f t="shared" si="384"/>
        <v/>
      </c>
      <c r="EU97" s="252" t="str">
        <f t="shared" si="385"/>
        <v/>
      </c>
      <c r="EV97" s="252" t="str">
        <f t="shared" si="386"/>
        <v/>
      </c>
      <c r="EW97" s="252" t="str">
        <f t="shared" si="387"/>
        <v/>
      </c>
      <c r="EX97" s="252" t="str">
        <f t="shared" si="388"/>
        <v/>
      </c>
      <c r="EY97" s="252" t="str">
        <f t="shared" si="389"/>
        <v/>
      </c>
      <c r="EZ97" s="252" t="str">
        <f t="shared" si="390"/>
        <v/>
      </c>
      <c r="FA97" s="252" t="str">
        <f t="shared" si="391"/>
        <v/>
      </c>
      <c r="FB97" s="252" t="str">
        <f t="shared" si="392"/>
        <v/>
      </c>
      <c r="FC97" s="252" t="str">
        <f>IF(CD97="ERROR", "ERROR", IF(OR(V97="No Change", V97="Not DLC or Energy Star"), "", IF(AND(OR($FC$6=Y97,Y97='Lookup Tables'!$AD$21, Y97='Lookup Tables'!$AD$22),E97="Interior"), S97, "")))</f>
        <v/>
      </c>
      <c r="FD97" s="252" t="str">
        <f t="shared" si="393"/>
        <v/>
      </c>
      <c r="FE97" s="101"/>
      <c r="FF97" s="579" t="str" cm="1">
        <f t="array" ref="FF97">IFERROR(IF(OR(BQ97&lt;=0,AQ97&lt;20,AND(V97="Exit Signs",AN97&gt;0)),"",IF(AND(AQ97&gt;=20,AN97='Lookup Tables'!$R$101),'Lookup Tables'!$U$101*BQ97,AP97*LOOKUP(2,1/((AN97='Lookup Tables'!$R$91:$R$111)*(AQ97&gt;='Lookup Tables'!$S$91:$S$111)*(AQ97&lt;='Lookup Tables'!$T$91:$T$111)),'Lookup Tables'!$U$91:$U$111))),"")</f>
        <v/>
      </c>
      <c r="FG97" s="579"/>
      <c r="FH97" s="579"/>
      <c r="FI97" s="253" t="str">
        <f>IFERROR(ROUND(IF(CD97="ERROR", "ERROR", IF(AND($FI$7=X97,E97="Interior"),VLOOKUP(W97, 'Lookup Tables'!$AI$6:$AM$102, 5, FALSE)*BP97, "")), 2), "")</f>
        <v/>
      </c>
      <c r="FJ97" s="253" t="str">
        <f>IFERROR(ROUND(IF(CD97="ERROR", "ERROR", IF(AND($FI$7=X97,E97="Exterior"),VLOOKUP(W97, 'Lookup Tables'!$AI$6:$AM$102, 5, FALSE)*BP97, "")), 2), "")</f>
        <v/>
      </c>
      <c r="FK97" s="253" t="str">
        <f>IFERROR(ROUND(IF(CD97="ERROR", "ERROR", IF(AND($FK$7=X97,E97="Interior"),VLOOKUP(W97, 'Lookup Tables'!$AI$6:$AM$102, 5, FALSE)*BP97, "")), 2), "")</f>
        <v/>
      </c>
      <c r="FL97" s="253" t="str">
        <f>IFERROR(ROUND(IF(CD97="ERROR", "ERROR", IF(AND($FK$7=X97,E97="Exterior"),VLOOKUP(W97, 'Lookup Tables'!$AI$6:$AM$102, 5, FALSE)*BP97, "")), 2), "")</f>
        <v/>
      </c>
      <c r="FM97" s="253" t="str">
        <f>IFERROR(ROUND(IF(CD97="ERROR", "ERROR", IF(AND($FM$6=Y97,E97="Interior"), IF(GB97=0, VLOOKUP(W97, 'Lookup Tables'!$AI$6:$AM$102, 5, FALSE)*BP97, IF(VLOOKUP(W97, 'Lookup Tables'!$AI$6:$AM$102, 5, FALSE)*BP97&gt;GB97*'Lighting Inventory'!S97, GB97*'Lighting Inventory'!S97,VLOOKUP(W97, 'Lookup Tables'!$AI$6:$AM$102, 5, FALSE)*BP97)), "")), 2), "")</f>
        <v/>
      </c>
      <c r="FN97" s="253" t="str">
        <f>IFERROR(ROUND(IF(CD97="ERROR", "ERROR", IF(AND($FM$6=Y97,E97="Exterior"), IF(GB97=0, VLOOKUP(W97, 'Lookup Tables'!$AI$6:$AM$102, 5, FALSE)*BP97, IF(VLOOKUP(W97, 'Lookup Tables'!$AI$6:$AM$102, 5, FALSE)*BP97&gt;GB97*'Lighting Inventory'!S97, GB97*'Lighting Inventory'!S97,VLOOKUP(W97, 'Lookup Tables'!$AI$6:$AM$102, 5, FALSE)*BP97)), "")), 2), "")</f>
        <v/>
      </c>
      <c r="FO97" s="253" t="str">
        <f>IFERROR(ROUND(IF(CD97="ERROR", "ERROR", IF(AND($FO$6=Y97,E97="Interior"),VLOOKUP(W97, 'Lookup Tables'!$AI$6:$AM$102, 5, FALSE)*'Lighting Inventory'!AI97, "")), 2), "")</f>
        <v/>
      </c>
      <c r="FP97" s="253" t="str">
        <f>IFERROR(ROUND(IF(CD97="ERROR", "ERROR", IF(AND($FO$6=Y97,E97="Exterior"),VLOOKUP(W97, 'Lookup Tables'!$AI$6:$AM$102, 5, FALSE)*'Lighting Inventory'!AI97, "")), 2), "")</f>
        <v/>
      </c>
      <c r="FQ97" s="253" t="str">
        <f>IFERROR(ROUND(IF(CD97="ERROR", "ERROR", IF(AND($FQ$6=Y97,E97="Interior", BU97="Y"), VLOOKUP('Lighting Inventory'!W97, 'Lookup Tables'!$AI$6:$AM$102, 5, FALSE)*'Lighting Inventory'!S97, IF(AND($FQ$7=Y97,E97="Interior", BU97="N"), 0.025*CD97, ""))), 2), "")</f>
        <v/>
      </c>
      <c r="FR97" s="253" t="str">
        <f>IFERROR(ROUND(IF(CD97="ERROR", "ERROR", IF(AND($FQ$6=Y97,E97="Exterior"), VLOOKUP('Lighting Inventory'!W97, 'Lookup Tables'!$AI$6:$AM$102, 5, FALSE)*'Lighting Inventory'!S97, "")), 2), "")</f>
        <v/>
      </c>
      <c r="FS97" s="253" t="str">
        <f>IFERROR(ROUND(IF(CD97="ERROR", "ERROR", IF(AND($FS$6=Y97,E97="Exterior"), IF(GB97=0, VLOOKUP(W97, 'Lookup Tables'!$AI$6:$AM$102, 5, FALSE)*BP97, IF(VLOOKUP(W97, 'Lookup Tables'!$AI$6:$AM$102, 5, FALSE)*BP97&gt;GB97*'Lighting Inventory'!S97, GB97*'Lighting Inventory'!S97,VLOOKUP(W97, 'Lookup Tables'!$AI$6:$AM$102, 5, FALSE)*BP97)), "")), 2), "")</f>
        <v/>
      </c>
      <c r="FT97" s="253" t="str">
        <f>IFERROR(ROUND(IF(CD97="ERROR", "ERROR", IF(AND($FT$6=Y97,E97="Interior"), IF(GB97=0, VLOOKUP(W97, 'Lookup Tables'!$AI$6:$AM$102, 5, FALSE)*BP97, IF(VLOOKUP(W97, 'Lookup Tables'!$AI$6:$AM$102, 5, FALSE)*BP97&gt;GB97*'Lighting Inventory'!S97, GB97*'Lighting Inventory'!S97,VLOOKUP(W97, 'Lookup Tables'!$AI$6:$AM$102, 5, FALSE)*BP97)), "")), 2), "")</f>
        <v/>
      </c>
      <c r="FU97" s="253" t="str">
        <f>IFERROR(ROUND(IF(CD97="ERROR", "ERROR", IF(AND(Y97=$FU$6, E97="Interior"), IF(BS97="N", 'Lookup Tables'!$AM$101*BP97, VLOOKUP(W97, 'Lookup Tables'!$AI$6:$AM$102, 5, FALSE)*S97*AD97), "")), 2), "")</f>
        <v/>
      </c>
      <c r="FV97" s="253" t="str">
        <f>IFERROR(ROUND(IF(CD97="ERROR", "ERROR", IF(AND(Y97=$FU$6, E97="Exterior"), IF(BS97="N", 'Lookup Tables'!$AM$101*BP97, VLOOKUP(W97, 'Lookup Tables'!$AI$6:$AM$102, 5, FALSE)*S97*AD97), "")), 2), "")</f>
        <v/>
      </c>
      <c r="FW97" s="253" t="str">
        <f>IFERROR(ROUND(IF(CD97="ERROR", "ERROR", IF($FW$6=Y97, IF(BS97="N", 'Lookup Tables'!$AM$101*BP97, MIN((VLOOKUP(W97, 'Lookup Tables'!$AI$6:$AM$102, 5, FALSE)*BP97),GB97*AJ97)), "")), 2), "")</f>
        <v/>
      </c>
      <c r="FX97" s="253" t="str">
        <f>IFERROR(ROUND(IF(CD97="ERROR", "ERROR", IF(AND($FX$6=Y97, E97="Interior"), IF(VLOOKUP(W97, 'Lookup Tables'!$AI$6:$AM$102, 5, FALSE)*BP97&gt;'Lookup Tables'!$AQ$97*'Lighting Inventory'!S97,'Lighting Inventory'!S97*'Lookup Tables'!$AQ$97,VLOOKUP(W97, 'Lookup Tables'!$AI$6:$AM$102, 5, FALSE)*BP97), "")), 2), "")</f>
        <v/>
      </c>
      <c r="FY97" s="253" t="str">
        <f>IFERROR(ROUND(IF(CD97="ERROR", "ERROR", IF(AND($FX$6=Y97, E97="Exterior"), IF(VLOOKUP(W97, 'Lookup Tables'!$AI$6:$AM$102, 5, FALSE)*BP97&gt;'Lookup Tables'!$AQ$97*'Lighting Inventory'!S97,'Lighting Inventory'!S97*'Lookup Tables'!$AQ$97,VLOOKUP(W97, 'Lookup Tables'!$AI$6:$AM$102, 5, FALSE)*BP97), "")), 2), "")</f>
        <v/>
      </c>
      <c r="FZ97" s="253" t="str">
        <f>IFERROR(ROUND(IF(CD97="ERROR", "ERROR", IF(AND($FZ$6=Y97, E97="Interior"), IF(AND(OR(W97="Refrigerated Case Lighting with Doors", W97="Freezer Case Lighting"),Y97="Custom - Process Improvement"),CD97*'Lookup Tables'!$AM$101, IF(B97="Retrofit", IF(VLOOKUP(IF(V97="Custom", V97, W97), 'Lookup Tables'!$AI$6:$AM$102, 5, FALSE)*BP97&gt;GE97, GE97, VLOOKUP(IF(V97="Custom", V97, W97), 'Lookup Tables'!$AI$6:$AM$102, 5, FALSE)*BP97), IF(VLOOKUP(IF(V97="Custom", V97, W97), 'Lookup Tables'!$AI$114:$AM$154, 5, FALSE)*BP97&gt;GE97, GE97, VLOOKUP(IF(V97="Custom", V97, W97), 'Lookup Tables'!$AI$114:$AM$154, 5, FALSE)*BP97))), "")), 2),"")</f>
        <v/>
      </c>
      <c r="GA97" s="253" t="str">
        <f>IFERROR(ROUND(IF(CD97="ERROR", "ERROR", IF(AND($FZ$6=Y97, E97="Exterior"), IF(B97="Retrofit", IF(VLOOKUP(IF(V97="Custom", V97, W97), 'Lookup Tables'!$AI$6:$AM$102, 5, FALSE)*BP97&gt;GE97, GE97, VLOOKUP(IF(V97="Custom", V97, W97), 'Lookup Tables'!$AI$6:$AM$102, 5, FALSE)*BP97), IF(VLOOKUP(IF(V97="Custom", V97, W97), 'Lookup Tables'!$AI$114:$AM$154, 5, FALSE)*BP97&gt;GE97, GE97, VLOOKUP(IF(V97="Custom", V97, W97), 'Lookup Tables'!$AI$114:$AM$154, 5, FALSE)*BP97)), "")), 2),"")</f>
        <v/>
      </c>
      <c r="GB97" s="254" t="str">
        <f t="array" ref="GB97">IF(B97="","",IF(OR(V97="Custom",V97="No Change"),0,IF(B97="Retrofit", INDEX('Lookup Tables'!$AH$6:$AQ$102,MATCH(1,('Lookup Tables'!$AH$6:$AH$102='Lighting Inventory'!V97)*('Lookup Tables'!$AI$6:$AI$102='Lighting Inventory'!W97),FALSE),10),INDEX('Lookup Tables'!$AH$114:$AQ$154,MATCH(1,('Lookup Tables'!$AH$114:$AH$154='Lighting Inventory'!V97)*('Lookup Tables'!$AI$114:$AI$154='Lighting Inventory'!W97),FALSE),10))))</f>
        <v/>
      </c>
      <c r="GC97" s="255" t="str">
        <f t="shared" si="344"/>
        <v/>
      </c>
      <c r="GD97" s="250" t="str">
        <f t="shared" si="345"/>
        <v/>
      </c>
      <c r="GE97" s="253" t="str">
        <f>IFERROR(IF(AND(AF97="", 'General Information'!$F$18="No"),"", IF(AF97="", ((GD97/$CD$266)*$CF$266)*0.5, AF97*S97*0.5)), "")</f>
        <v/>
      </c>
      <c r="GF97" s="255" t="str">
        <f>IF(AND('General Information'!$F$19="", 'General Information'!$F$18="Yes",AF97="",BW97="Y"), "Y", "N")</f>
        <v>N</v>
      </c>
      <c r="GG97" s="255" t="s">
        <v>2946</v>
      </c>
      <c r="GH97" s="255" t="str">
        <f>IFERROR(IF(B97="", "", VLOOKUP(J97, 'Fixture Identities'!$A$6:$N$908, 14, FALSE)), "")</f>
        <v/>
      </c>
      <c r="GI97" s="389" t="str">
        <f>IF(OR(B97="", V97="", W97=""), "", IF(AND(OR(M97='Lookup Tables'!$R$18, M97='Lookup Tables'!$R$19, M97='Lookup Tables'!$R$20, M97='Lookup Tables'!$R$21, M97='Lookup Tables'!$R$22), OR(AN97='Lookup Tables'!$R$17, AN97='Lookup Tables'!$R$17, AN97="")), "Y", "N"))</f>
        <v/>
      </c>
      <c r="GJ97" s="255" t="str">
        <f t="shared" si="346"/>
        <v/>
      </c>
      <c r="GK97" s="255" t="str">
        <f t="shared" si="347"/>
        <v/>
      </c>
      <c r="GL97" s="255" t="str">
        <f t="shared" si="348"/>
        <v/>
      </c>
      <c r="GM97" s="255" t="str">
        <f>IF(AN97="", "", IF(AND(IF(ISNA(VLOOKUP(AN97,'Lookup Tables'!$R$18:$R$22,1,FALSE)), "N", "Y")="Y", E97="Exterior"), "Y", "N"))</f>
        <v/>
      </c>
      <c r="GN97" s="395"/>
      <c r="GO97" s="428">
        <f t="shared" si="394"/>
        <v>0</v>
      </c>
      <c r="GP97" s="428">
        <f t="shared" si="397"/>
        <v>0</v>
      </c>
      <c r="GQ97" s="428">
        <f t="shared" si="395"/>
        <v>0</v>
      </c>
      <c r="GR97" s="428">
        <f t="shared" si="396"/>
        <v>0</v>
      </c>
    </row>
    <row r="98" spans="1:200" s="103" customFormat="1" ht="13.5" customHeight="1" x14ac:dyDescent="0.2">
      <c r="A98" s="272">
        <v>88</v>
      </c>
      <c r="B98" s="110"/>
      <c r="C98" s="110"/>
      <c r="D98" s="110"/>
      <c r="E98" s="110"/>
      <c r="F98" s="110"/>
      <c r="G98" s="110"/>
      <c r="H98" s="110"/>
      <c r="I98" s="29"/>
      <c r="J98" s="29"/>
      <c r="K98" s="272" t="str">
        <f>IFERROR(IF(OR(VLOOKUP(J98, 'Fixture Identities'!$A$6:$L$1023, 3, FALSE)="T12 Linear Fluorescent", VLOOKUP(J98, 'Fixture Identities'!$A$6:$L$1023, 3, FALSE)="T12 U-Tube Fluorescent"), VLOOKUP(VLOOKUP(J98, 'Fixture Identities'!$A$6:$L$1023, 11, FALSE), 'Fixture Identities'!$A$6:$L$1023, 10, FALSE), VLOOKUP(J98, 'Fixture Identities'!$A$6:$L$1023, 10, FALSE)), "")</f>
        <v/>
      </c>
      <c r="L98" s="270" t="str">
        <f t="shared" si="399"/>
        <v/>
      </c>
      <c r="M98" s="110"/>
      <c r="N98" s="110"/>
      <c r="O98" s="110"/>
      <c r="P98" s="272" t="str">
        <f>IFERROR(IF(OR(B98="Retrofit",B98=""),"",IF('Lighting Inventory'!E98="Exterior",VLOOKUP('Lighting Inventory'!N98,'Lookup Tables'!$B$83:$F$103,5,FALSE),IF(N98="Other - Please Estimate EFLH and CFs","Contact Prog. Rep.","ft^2"))), "")</f>
        <v/>
      </c>
      <c r="Q98" s="270" t="str">
        <f>IFERROR(IF(AND(B98="New Construction",E98="Interior",$F$5="Space-by-Space"),VLOOKUP('Lighting Inventory'!N98,'Lookup Tables'!$N$6:$O$97,2,FALSE),IF(AND(B98="New Construction",E98="Exterior"),VLOOKUP(N98,'Lookup Tables'!$B$83:$F$103,2,FALSE),IF(AND(B98="New Construction",'Lighting Inventory'!E98="Interior", $F$5="Building Area"),VLOOKUP(F98,'Lookup Tables'!$A$6:$J$59,10,FALSE),""))), "")</f>
        <v/>
      </c>
      <c r="R98" s="270" t="str">
        <f>IFERROR(IF(P98="Contact Prog. Rep.", "ERROR", IF(OR(B98="",B98="Retrofit"),"",IF(N98="Automated teller machines", ('Lookup Tables'!$A$82:$E$100+('Lighting Inventory'!O98-1)*'Lookup Tables'!$A$82:$E$100)/1000, (Q98*O98)/1000))), "")</f>
        <v/>
      </c>
      <c r="S98" s="595"/>
      <c r="T98" s="105" t="str">
        <f t="shared" si="349"/>
        <v/>
      </c>
      <c r="U98" s="105" t="str">
        <f>IF(S98="","",COUNT($S$11:S98))</f>
        <v/>
      </c>
      <c r="V98" s="111"/>
      <c r="W98" s="112"/>
      <c r="X98" s="105" t="str">
        <f t="shared" si="350"/>
        <v/>
      </c>
      <c r="Y98" s="105" t="str">
        <f t="array" ref="Y98">IF(AND(OR(W98="Freezer Case Lighting", W98="Refrigerated Case Lighting with Doors"), 'General Information'!$X$18="LCI"),'Lookup Tables'!$Y$34, IF(V98="Custom", VLOOKUP(W98, 'Fixture Identities'!$A$974:$M$1023, 13, FALSE), IF(V98="No Change",'Lookup Tables'!$Y$29,IF(OR(V98="",W98=""),"",IF(AND(S98=0,S98&lt;I98,B98="Retrofit"),'Lookup Tables'!$Y$25, IF(B98="Retrofit", INDEX('Lookup Tables'!$AH$6:$AP$102, MATCH(1, ('Lookup Tables'!$AH$6:$AH$102=V98)*('Lookup Tables'!$AI$6:$AI$102=W98), 0), IF('Lighting Inventory'!E98="Interior", 4, 5)), INDEX('Lookup Tables'!$AH$114:$AP$154, MATCH(1, ('Lookup Tables'!$AH$114:$AH$154=V98)*('Lookup Tables'!$AI$114:$AI$154=W98), 0), IF('Lighting Inventory'!E98="Interior", 4, 5))))))))</f>
        <v/>
      </c>
      <c r="Z98" s="105" t="str">
        <f>IFERROR(INDEX('Lookup Tables'!$AH$158:$AH$172,MATCH('Lighting Inventory'!Y98,'Lookup Tables'!$AI$158:$AI$172,0)),"")</f>
        <v/>
      </c>
      <c r="AA98" s="105" t="str">
        <f>IF(AP98&gt;0,INDEX('Lookup Tables'!$AK$158:$AK$172,MATCH('Lighting Inventory'!Y98,'Lookup Tables'!$AI$158:$AI$172,0)),'Lighting Inventory'!Y98)</f>
        <v/>
      </c>
      <c r="AB98" s="105" t="str">
        <f t="array" ref="AB98">IF(V98="Custom", "Custom", IF(V98="", "", IF(V98="Not DLC or Energy Star", "General", IF(B98="New Construction", INDEX('Lookup Tables'!$AH$114:$AP$154,MATCH(1,('Lookup Tables'!$AH$114:$AH$154='Lighting Inventory'!V98)*('Lookup Tables'!$AI$114:$AI$154='Lighting Inventory'!W98),FALSE),8), INDEX('Lookup Tables'!$AH$6:$AP$102,MATCH(1,('Lookup Tables'!$AH$6:$AH$102='Lighting Inventory'!V98)*('Lookup Tables'!$AI$6:$AI$102='Lighting Inventory'!W98),FALSE),8)))))</f>
        <v/>
      </c>
      <c r="AC98" s="272" t="str">
        <f>IF(W98="","",IF(V98="Custom",CONCATENATE("$",'Lookup Tables'!$AM$101," ",'Lookup Tables'!$AN$101),CONCATENATE("$",INDEX('Lookup Tables'!$AM$6:$AM$102,MATCH('Lighting Inventory'!W98,'Lookup Tables'!$AI$6:$AI$102,0))," ",INDEX('Lookup Tables'!$AN$6:$AN$102,MATCH('Lighting Inventory'!W98,'Lookup Tables'!$AI$6:$AI$102,0)))))</f>
        <v/>
      </c>
      <c r="AD98" s="72"/>
      <c r="AE98" s="29"/>
      <c r="AF98" s="379"/>
      <c r="AG98" s="370" t="str">
        <f t="shared" si="298"/>
        <v/>
      </c>
      <c r="AH98" s="370" t="str">
        <f t="shared" si="351"/>
        <v/>
      </c>
      <c r="AI98" s="29"/>
      <c r="AJ98" s="29"/>
      <c r="AK98" s="110"/>
      <c r="AL98" s="375" t="str">
        <f>IF(OR(B98="", V98="", W98=""), "", IF(V98="No Change", K98, IF(V98="Remove Fixture", 0, IF(V98="Custom",VLOOKUP(W98,'Fixture Identities'!$A$6:$K$1023,10,FALSE),IF(AE98="", "← ENTER POST WATTS", 'Lighting Inventory'!AE98)))))</f>
        <v/>
      </c>
      <c r="AM98" s="376" t="str">
        <f t="shared" si="299"/>
        <v/>
      </c>
      <c r="AN98" s="29"/>
      <c r="AO98" s="671"/>
      <c r="AP98" s="29"/>
      <c r="AQ98" s="29"/>
      <c r="AR98" s="29"/>
      <c r="AS98" s="272" t="str">
        <f t="shared" si="352"/>
        <v/>
      </c>
      <c r="AT98" s="270" t="str">
        <f t="shared" si="300"/>
        <v/>
      </c>
      <c r="AU98" s="88" t="str">
        <f t="shared" si="400"/>
        <v/>
      </c>
      <c r="AV98" s="29"/>
      <c r="AW98" s="73"/>
      <c r="AX98" s="271" t="str">
        <f>IF(AND(AV98="Applicant",OR(AW98="", AW98="Use Default Facility Hours")),"← Choose Schedule",IF(F98="","",IF(W98="LED Exit Signs",8760,IF(OR(AV98="Prescribed",AV98=""),VLOOKUP(F98,'Lookup Tables'!$A$6:$G$59,IF(AB98="General", 6, 3),FALSE),VLOOKUP(AW98,'Lookup Tables'!$S$36:$U$43,2,FALSE)))))</f>
        <v/>
      </c>
      <c r="AY98" s="88" t="str">
        <f t="shared" si="301"/>
        <v/>
      </c>
      <c r="AZ98" s="270" t="str">
        <f>IFERROR(IF(F98="", "", IF(W98="LED Exit Signs", 1, IF(AV98="Applicant",VLOOKUP(AW98, 'Lookup Tables'!$S$36:$U$43,3, FALSE), VLOOKUP('Lighting Inventory'!F98, 'Lookup Tables'!$A$6:$H$59, IF('Lighting Inventory'!AB98="General",7,4), FALSE)))), "")</f>
        <v/>
      </c>
      <c r="BA98" s="522" t="str">
        <f>IFERROR(IF(F98="", "", IF(W98="LED Exit Signs", 1, VLOOKUP('Lighting Inventory'!F98, 'Lookup Tables'!$A$6:$H$59, IF('Lighting Inventory'!AB98="General",8,5), FALSE))), "")</f>
        <v/>
      </c>
      <c r="BB98" s="270" t="str">
        <f>IF(G98="", "", IF(E98="Exterior", 0, IF('Lighting Inventory'!G98="Air Conditioned", VLOOKUP(H98, 'Lookup Tables'!$R$6:$T$13, 2, FALSE), VLOOKUP('Lighting Inventory'!G98, 'Lookup Tables'!$R$6:$T$13, 2, FALSE))))</f>
        <v/>
      </c>
      <c r="BC98" s="522" t="str">
        <f>IF(G98="", "", IF(E98="Exterior", 0, IF('Lighting Inventory'!G98="Air Conditioned", VLOOKUP(H98, 'Lookup Tables'!$R$6:$T$13, 3, FALSE), VLOOKUP('Lighting Inventory'!G98, 'Lookup Tables'!$R$6:$T$13, 3, FALSE))))</f>
        <v/>
      </c>
      <c r="BD98" s="270" t="str">
        <f>IF(G98="", "", IF(E98="Exterior", 0, IF('Lighting Inventory'!G98="Air Conditioned", VLOOKUP(H98, 'Lookup Tables'!$R$6:$U$13, 4, FALSE), VLOOKUP('Lighting Inventory'!G98, 'Lookup Tables'!$R$6:$U$13, 4, FALSE))))</f>
        <v/>
      </c>
      <c r="BE98" s="270" t="str">
        <f>IFERROR(IF(B98="", "",  IF(B98="New Construction", VLOOKUP(F98, 'Lookup Tables'!$A$6:$K$59, 11, FALSE),IF(OR(AN98="", AN98="Light Switch"), 0, IF(OR(M98="",M98="None",V98= "LED Exit Signs"),0,_xlfn.XLOOKUP(M98,'Lookup Tables'!$R$91:$R$101,'Lookup Tables'!$V$91:$V$101))))), "")</f>
        <v/>
      </c>
      <c r="BF98" s="270" t="str">
        <f>IF(AND(OR(AN98="Light Switch",AN98=""),B98="New Construction"), VLOOKUP(F98, 'Lookup Tables'!$A$6:$K$59, 11, FALSE),IF(AN98="","",IF(B98="","",IF(OR(AN98="None",AN98="",V98="LED Exit Signs",AN98="Exterior Controls Not Eligible"),0,_xlfn.XLOOKUP(AN98,'Lookup Tables'!$R$91:$R$101,'Lookup Tables'!$V$91:$V$101)))))</f>
        <v/>
      </c>
      <c r="BG98" s="88" t="str">
        <f t="shared" si="353"/>
        <v/>
      </c>
      <c r="BH98" s="88" t="str">
        <f t="shared" si="354"/>
        <v/>
      </c>
      <c r="BI98" s="558" t="str">
        <f t="shared" si="398"/>
        <v/>
      </c>
      <c r="BJ98" s="82" t="str">
        <f t="shared" si="355"/>
        <v/>
      </c>
      <c r="BK98" s="82" t="str">
        <f t="shared" si="356"/>
        <v/>
      </c>
      <c r="BL98" s="559" t="str">
        <f t="shared" si="357"/>
        <v/>
      </c>
      <c r="BM98" s="521" t="str">
        <f t="shared" si="302"/>
        <v/>
      </c>
      <c r="BN98" s="521" t="str">
        <f t="shared" si="303"/>
        <v/>
      </c>
      <c r="BO98" s="522" t="str">
        <f t="shared" si="304"/>
        <v/>
      </c>
      <c r="BP98" s="83" t="str">
        <f t="shared" si="358"/>
        <v/>
      </c>
      <c r="BQ98" s="84" t="str">
        <f t="shared" si="359"/>
        <v/>
      </c>
      <c r="BR98" s="184" t="str">
        <f>IFERROR(IF(B98="", "", IF(OR(VLOOKUP(J98, 'Fixture Identities'!$A$6:$L$1023, 3, FALSE)="T12 Linear Fluorescent",VLOOKUP(J98, 'Fixture Identities'!$A$6:$L$1023, 3, FALSE)="T12 U-Tube Fluorescent"), "Y", "N")), "N")</f>
        <v/>
      </c>
      <c r="BS98" s="184" t="str">
        <f t="array" ref="BS98">IFERROR(IF(OR(B98="", V98="", W98=""), "", IF(V98="Custom", "N", IF(OR(W98="Freezer Case Lighting", W98="Refrigerated Case Lighting with Doors"), BT98, IF(B98="Retrofit", INDEX('Lookup Tables'!$AH$6:$AT$102,MATCH(1,('Lookup Tables'!$AH$6:$AH$102=V98)*('Lookup Tables'!$AI$6:$AI$102=W98),FALSE),IF(VLOOKUP(J98, 'Fixture Identities'!$A$6:$B$1023, 2, FALSE)="Incandescent",12, 13)), INDEX('Lookup Tables'!$AH$114:$AS$154,MATCH(1,('Lookup Tables'!$AH$114:$AH$154=V98)*('Lookup Tables'!$AI$114:$AI$154=W98),FALSE),12))))), "N")</f>
        <v/>
      </c>
      <c r="BT98" s="184" t="str">
        <f>IF(J98="", "", IF(AND(OR(W98="Freezer case Lighting", W98="Refrigerated Case Lighting with Doors"),'General Information'!$X$18="LCI"), "N", IF(OR(VLOOKUP(J98, 'Fixture Identities'!$A$6:$B$1023, 2, FALSE)="T12 EPACT/EISA Baseline", VLOOKUP(J98, 'Fixture Identities'!$A$6:$B$1023, 2, FALSE)="Linear Fluorescent", VLOOKUP(J98, 'Fixture Identities'!$A$6:$B$1023, 2, FALSE)="U-Tube Fluorescent"), "Y", "N")))</f>
        <v/>
      </c>
      <c r="BU98" s="184" t="str">
        <f>IFERROR(IF(B98="", "", IF(VLOOKUP(J98, 'Fixture Identities'!$A$6:$B$1023, 2, FALSE)="Exit Sign", "Y", "N")), "N")</f>
        <v/>
      </c>
      <c r="BV98" s="184" t="str">
        <f>IF(V98="Exit Signs", IF(VLOOKUP(J98, 'Fixture Identities'!$A$6:$B$1023, 2, FALSE)="Exit Sign", "N", "Y"), "")</f>
        <v/>
      </c>
      <c r="BW98" s="184" t="str">
        <f t="array" ref="BW98">IFERROR(IF(B98="", "", IF(B98="New Construction", "N", INDEX('Lookup Tables'!$AH$6:$AU$102, MATCH(1, ('Lookup Tables'!$AH$6:$AH$102='Lighting Inventory'!V98)*('Lookup Tables'!$AI$6:$AI$102='Lighting Inventory'!W98), 0), 14))), "N")</f>
        <v/>
      </c>
      <c r="BX98" s="598" t="str">
        <f t="shared" si="360"/>
        <v/>
      </c>
      <c r="BY98" s="598" t="str">
        <f t="shared" si="361"/>
        <v/>
      </c>
      <c r="BZ98" s="598" t="str">
        <f t="shared" si="362"/>
        <v/>
      </c>
      <c r="CA98" s="598" t="str">
        <f t="shared" si="363"/>
        <v/>
      </c>
      <c r="CB98" s="269" t="str">
        <f t="shared" si="364"/>
        <v/>
      </c>
      <c r="CC98" s="517" t="str">
        <f t="shared" si="365"/>
        <v/>
      </c>
      <c r="CD98" s="565" t="str">
        <f t="shared" si="305"/>
        <v/>
      </c>
      <c r="CE98" s="368">
        <v>0</v>
      </c>
      <c r="CF98" s="368" t="str" cm="1">
        <f t="array" ref="CF98">IFERROR(IF(V98="Custom", "$0.1 per kWh", IF(B98="New Construction", CONCATENATE("$",INDEX('Lookup Tables'!$AH$114:$AN$154,MATCH(1,('Lookup Tables'!$AH$114:$AH$154='Lighting Inventory'!V98)*('Lookup Tables'!$AI$114:$AI$154='Lighting Inventory'!W98),FALSE),6)," ",INDEX('Lookup Tables'!$AH$114:$AN$154,MATCH(1,('Lookup Tables'!$AH$114:$AH$154='Lighting Inventory'!V98)*('Lookup Tables'!$AI$114:$AI$154='Lighting Inventory'!W98),FALSE),7)), IF(AND(BU98="N", V98="Exit Signs"), "$0.025 per kWh", CONCATENATE("$",INDEX('Lookup Tables'!$AH$6:$AN$102,MATCH(1,('Lookup Tables'!$AH$6:$AH$102='Lighting Inventory'!V98)*('Lookup Tables'!$AI$6:$AI$102='Lighting Inventory'!W98),FALSE),6)," ",INDEX('Lookup Tables'!$AH$6:$AN$102,MATCH(1,('Lookup Tables'!$AH$6:$AH$102='Lighting Inventory'!V98)*('Lookup Tables'!$AI$6:$AI$102='Lighting Inventory'!W98),FALSE),7))))), "")</f>
        <v/>
      </c>
      <c r="CG98" s="366"/>
      <c r="CH98" s="248" t="str">
        <f t="shared" si="306"/>
        <v/>
      </c>
      <c r="CI98" s="248" t="str">
        <f t="shared" si="307"/>
        <v>Select_IE</v>
      </c>
      <c r="CJ98" s="248" t="str">
        <f t="shared" si="308"/>
        <v/>
      </c>
      <c r="CK98" s="248" t="str">
        <f t="shared" si="309"/>
        <v/>
      </c>
      <c r="CL98" s="248" t="str">
        <f t="shared" si="310"/>
        <v/>
      </c>
      <c r="CM98" s="248" t="str">
        <f>IFERROR(IF(B98="", "", IF(B98="New Construction", VLOOKUP(V98, 'Lookup Tables'!$AF$114:$AG$120, 2, FALSE), VLOOKUP(V98, 'Lookup Tables'!$AD$6:$AE$25, 2, FALSE))), "")</f>
        <v/>
      </c>
      <c r="CN98" s="248" t="str">
        <f t="shared" si="311"/>
        <v/>
      </c>
      <c r="CO98" s="248" t="str">
        <f t="shared" si="312"/>
        <v/>
      </c>
      <c r="CP98" s="592" t="str">
        <f t="shared" si="313"/>
        <v/>
      </c>
      <c r="CQ98" s="248" t="str">
        <f t="shared" si="366"/>
        <v/>
      </c>
      <c r="CR98" s="249"/>
      <c r="CS98" s="250" t="str">
        <f t="shared" si="314"/>
        <v/>
      </c>
      <c r="CT98" s="250" t="str">
        <f t="shared" si="367"/>
        <v/>
      </c>
      <c r="CU98" s="250" t="str">
        <f t="shared" si="368"/>
        <v/>
      </c>
      <c r="CV98" s="250" t="str">
        <f t="shared" si="369"/>
        <v/>
      </c>
      <c r="CW98" s="250" t="str">
        <f t="shared" si="370"/>
        <v/>
      </c>
      <c r="CX98" s="250" t="str">
        <f t="shared" si="315"/>
        <v/>
      </c>
      <c r="CY98" s="250" t="str">
        <f t="shared" si="316"/>
        <v/>
      </c>
      <c r="CZ98" s="250" t="str">
        <f t="shared" si="317"/>
        <v/>
      </c>
      <c r="DA98" s="250" t="str">
        <f t="shared" si="318"/>
        <v/>
      </c>
      <c r="DB98" s="250" t="str">
        <f t="shared" si="319"/>
        <v/>
      </c>
      <c r="DC98" s="250" t="str">
        <f t="shared" si="320"/>
        <v/>
      </c>
      <c r="DD98" s="250" t="str">
        <f t="shared" si="321"/>
        <v/>
      </c>
      <c r="DE98" s="250" t="str">
        <f t="shared" si="322"/>
        <v/>
      </c>
      <c r="DF98" s="250" t="str">
        <f t="shared" si="323"/>
        <v/>
      </c>
      <c r="DG98" s="250" t="str">
        <f t="shared" si="324"/>
        <v/>
      </c>
      <c r="DH98" s="250" t="str">
        <f t="shared" si="325"/>
        <v/>
      </c>
      <c r="DI98" s="250" t="str">
        <f t="shared" si="326"/>
        <v/>
      </c>
      <c r="DJ98" s="250" t="str">
        <f t="shared" si="327"/>
        <v/>
      </c>
      <c r="DK98" s="250" t="str">
        <f t="shared" si="328"/>
        <v/>
      </c>
      <c r="DL98" s="250" t="str">
        <f t="shared" si="329"/>
        <v/>
      </c>
      <c r="DM98" s="250" t="str">
        <f>IF(CD98="ERROR", "ERROR", IF(AND(OR(Y98=$DM$6, Y98='Lookup Tables'!$AD$21, Y98='Lookup Tables'!$AD$22), E98="Interior"), BJ98, ""))</f>
        <v/>
      </c>
      <c r="DN98" s="250" t="str">
        <f>IF(CD98="ERROR", "ERROR", IF(AND(OR(Y98=$DM$6, Y98='Lookup Tables'!$AD$21, Y98='Lookup Tables'!$AD$22), E98="Exterior"), BJ98, ""))</f>
        <v/>
      </c>
      <c r="DO98" s="249"/>
      <c r="DP98" s="250" t="str">
        <f t="shared" si="330"/>
        <v/>
      </c>
      <c r="DQ98" s="250" t="str">
        <f t="shared" si="371"/>
        <v/>
      </c>
      <c r="DR98" s="250" t="str">
        <f t="shared" si="372"/>
        <v/>
      </c>
      <c r="DS98" s="250" t="str">
        <f t="shared" si="373"/>
        <v/>
      </c>
      <c r="DT98" s="250" t="str">
        <f t="shared" si="374"/>
        <v/>
      </c>
      <c r="DU98" s="250" t="str">
        <f t="shared" si="331"/>
        <v/>
      </c>
      <c r="DV98" s="250" t="str">
        <f t="shared" si="332"/>
        <v/>
      </c>
      <c r="DW98" s="250" t="str">
        <f t="shared" si="333"/>
        <v/>
      </c>
      <c r="DX98" s="250" t="str">
        <f t="shared" si="334"/>
        <v/>
      </c>
      <c r="DY98" s="250" t="str">
        <f t="shared" si="335"/>
        <v/>
      </c>
      <c r="DZ98" s="250" t="str">
        <f t="shared" si="336"/>
        <v/>
      </c>
      <c r="EA98" s="250" t="str">
        <f t="shared" si="337"/>
        <v/>
      </c>
      <c r="EB98" s="250" t="str">
        <f t="shared" si="375"/>
        <v/>
      </c>
      <c r="EC98" s="250" t="str">
        <f t="shared" si="338"/>
        <v/>
      </c>
      <c r="ED98" s="250" t="str">
        <f t="shared" si="339"/>
        <v/>
      </c>
      <c r="EE98" s="250" t="str">
        <f t="shared" si="340"/>
        <v/>
      </c>
      <c r="EF98" s="250" t="str">
        <f t="shared" si="341"/>
        <v/>
      </c>
      <c r="EG98" s="250" t="str">
        <f t="shared" si="342"/>
        <v/>
      </c>
      <c r="EH98" s="250" t="str">
        <f>IF(CD98="ERROR", "ERROR", IF(AND(OR($EH$6=Y98, Y98='Lookup Tables'!$AD$21, Y98='Lookup Tables'!$AD$22),E98="Interior"), SUM(BP98:BP98), ""))</f>
        <v/>
      </c>
      <c r="EI98" s="250" t="str">
        <f>IF(CD98="ERROR", "ERROR", IF(AND(OR($EH$6=Y98, Y98='Lookup Tables'!$AD$21, Y98='Lookup Tables'!$AD$22),E98="Exterior"), SUM(BP98:BP98), ""))</f>
        <v/>
      </c>
      <c r="EJ98" s="109"/>
      <c r="EK98" s="485" t="str">
        <f t="shared" si="343"/>
        <v/>
      </c>
      <c r="EL98" s="252" t="str">
        <f t="shared" si="376"/>
        <v/>
      </c>
      <c r="EM98" s="252" t="str">
        <f t="shared" si="377"/>
        <v/>
      </c>
      <c r="EN98" s="252" t="str">
        <f t="shared" si="378"/>
        <v/>
      </c>
      <c r="EO98" s="252" t="str">
        <f t="shared" si="379"/>
        <v/>
      </c>
      <c r="EP98" s="252" t="str">
        <f t="shared" si="380"/>
        <v/>
      </c>
      <c r="EQ98" s="252" t="str">
        <f t="shared" si="381"/>
        <v/>
      </c>
      <c r="ER98" s="252" t="str">
        <f t="shared" si="382"/>
        <v/>
      </c>
      <c r="ES98" s="252" t="str">
        <f t="shared" si="383"/>
        <v/>
      </c>
      <c r="ET98" s="252" t="str">
        <f t="shared" si="384"/>
        <v/>
      </c>
      <c r="EU98" s="252" t="str">
        <f t="shared" si="385"/>
        <v/>
      </c>
      <c r="EV98" s="252" t="str">
        <f t="shared" si="386"/>
        <v/>
      </c>
      <c r="EW98" s="252" t="str">
        <f t="shared" si="387"/>
        <v/>
      </c>
      <c r="EX98" s="252" t="str">
        <f t="shared" si="388"/>
        <v/>
      </c>
      <c r="EY98" s="252" t="str">
        <f t="shared" si="389"/>
        <v/>
      </c>
      <c r="EZ98" s="252" t="str">
        <f t="shared" si="390"/>
        <v/>
      </c>
      <c r="FA98" s="252" t="str">
        <f t="shared" si="391"/>
        <v/>
      </c>
      <c r="FB98" s="252" t="str">
        <f t="shared" si="392"/>
        <v/>
      </c>
      <c r="FC98" s="252" t="str">
        <f>IF(CD98="ERROR", "ERROR", IF(OR(V98="No Change", V98="Not DLC or Energy Star"), "", IF(AND(OR($FC$6=Y98,Y98='Lookup Tables'!$AD$21, Y98='Lookup Tables'!$AD$22),E98="Interior"), S98, "")))</f>
        <v/>
      </c>
      <c r="FD98" s="252" t="str">
        <f t="shared" si="393"/>
        <v/>
      </c>
      <c r="FE98" s="1"/>
      <c r="FF98" s="579" t="str" cm="1">
        <f t="array" ref="FF98">IFERROR(IF(OR(BQ98&lt;=0,AQ98&lt;20,AND(V98="Exit Signs",AN98&gt;0)),"",IF(AND(AQ98&gt;=20,AN98='Lookup Tables'!$R$101),'Lookup Tables'!$U$101*BQ98,AP98*LOOKUP(2,1/((AN98='Lookup Tables'!$R$91:$R$111)*(AQ98&gt;='Lookup Tables'!$S$91:$S$111)*(AQ98&lt;='Lookup Tables'!$T$91:$T$111)),'Lookup Tables'!$U$91:$U$111))),"")</f>
        <v/>
      </c>
      <c r="FG98" s="579"/>
      <c r="FH98" s="579"/>
      <c r="FI98" s="253" t="str">
        <f>IFERROR(ROUND(IF(CD98="ERROR", "ERROR", IF(AND($FI$7=X98,E98="Interior"),VLOOKUP(W98, 'Lookup Tables'!$AI$6:$AM$102, 5, FALSE)*BP98, "")), 2), "")</f>
        <v/>
      </c>
      <c r="FJ98" s="253" t="str">
        <f>IFERROR(ROUND(IF(CD98="ERROR", "ERROR", IF(AND($FI$7=X98,E98="Exterior"),VLOOKUP(W98, 'Lookup Tables'!$AI$6:$AM$102, 5, FALSE)*BP98, "")), 2), "")</f>
        <v/>
      </c>
      <c r="FK98" s="253" t="str">
        <f>IFERROR(ROUND(IF(CD98="ERROR", "ERROR", IF(AND($FK$7=X98,E98="Interior"),VLOOKUP(W98, 'Lookup Tables'!$AI$6:$AM$102, 5, FALSE)*BP98, "")), 2), "")</f>
        <v/>
      </c>
      <c r="FL98" s="253" t="str">
        <f>IFERROR(ROUND(IF(CD98="ERROR", "ERROR", IF(AND($FK$7=X98,E98="Exterior"),VLOOKUP(W98, 'Lookup Tables'!$AI$6:$AM$102, 5, FALSE)*BP98, "")), 2), "")</f>
        <v/>
      </c>
      <c r="FM98" s="253" t="str">
        <f>IFERROR(ROUND(IF(CD98="ERROR", "ERROR", IF(AND($FM$6=Y98,E98="Interior"), IF(GB98=0, VLOOKUP(W98, 'Lookup Tables'!$AI$6:$AM$102, 5, FALSE)*BP98, IF(VLOOKUP(W98, 'Lookup Tables'!$AI$6:$AM$102, 5, FALSE)*BP98&gt;GB98*'Lighting Inventory'!S98, GB98*'Lighting Inventory'!S98,VLOOKUP(W98, 'Lookup Tables'!$AI$6:$AM$102, 5, FALSE)*BP98)), "")), 2), "")</f>
        <v/>
      </c>
      <c r="FN98" s="253" t="str">
        <f>IFERROR(ROUND(IF(CD98="ERROR", "ERROR", IF(AND($FM$6=Y98,E98="Exterior"), IF(GB98=0, VLOOKUP(W98, 'Lookup Tables'!$AI$6:$AM$102, 5, FALSE)*BP98, IF(VLOOKUP(W98, 'Lookup Tables'!$AI$6:$AM$102, 5, FALSE)*BP98&gt;GB98*'Lighting Inventory'!S98, GB98*'Lighting Inventory'!S98,VLOOKUP(W98, 'Lookup Tables'!$AI$6:$AM$102, 5, FALSE)*BP98)), "")), 2), "")</f>
        <v/>
      </c>
      <c r="FO98" s="253" t="str">
        <f>IFERROR(ROUND(IF(CD98="ERROR", "ERROR", IF(AND($FO$6=Y98,E98="Interior"),VLOOKUP(W98, 'Lookup Tables'!$AI$6:$AM$102, 5, FALSE)*'Lighting Inventory'!AI98, "")), 2), "")</f>
        <v/>
      </c>
      <c r="FP98" s="253" t="str">
        <f>IFERROR(ROUND(IF(CD98="ERROR", "ERROR", IF(AND($FO$6=Y98,E98="Exterior"),VLOOKUP(W98, 'Lookup Tables'!$AI$6:$AM$102, 5, FALSE)*'Lighting Inventory'!AI98, "")), 2), "")</f>
        <v/>
      </c>
      <c r="FQ98" s="253" t="str">
        <f>IFERROR(ROUND(IF(CD98="ERROR", "ERROR", IF(AND($FQ$6=Y98,E98="Interior", BU98="Y"), VLOOKUP('Lighting Inventory'!W98, 'Lookup Tables'!$AI$6:$AM$102, 5, FALSE)*'Lighting Inventory'!S98, IF(AND($FQ$7=Y98,E98="Interior", BU98="N"), 0.025*CD98, ""))), 2), "")</f>
        <v/>
      </c>
      <c r="FR98" s="253" t="str">
        <f>IFERROR(ROUND(IF(CD98="ERROR", "ERROR", IF(AND($FQ$6=Y98,E98="Exterior"), VLOOKUP('Lighting Inventory'!W98, 'Lookup Tables'!$AI$6:$AM$102, 5, FALSE)*'Lighting Inventory'!S98, "")), 2), "")</f>
        <v/>
      </c>
      <c r="FS98" s="253" t="str">
        <f>IFERROR(ROUND(IF(CD98="ERROR", "ERROR", IF(AND($FS$6=Y98,E98="Exterior"), IF(GB98=0, VLOOKUP(W98, 'Lookup Tables'!$AI$6:$AM$102, 5, FALSE)*BP98, IF(VLOOKUP(W98, 'Lookup Tables'!$AI$6:$AM$102, 5, FALSE)*BP98&gt;GB98*'Lighting Inventory'!S98, GB98*'Lighting Inventory'!S98,VLOOKUP(W98, 'Lookup Tables'!$AI$6:$AM$102, 5, FALSE)*BP98)), "")), 2), "")</f>
        <v/>
      </c>
      <c r="FT98" s="253" t="str">
        <f>IFERROR(ROUND(IF(CD98="ERROR", "ERROR", IF(AND($FT$6=Y98,E98="Interior"), IF(GB98=0, VLOOKUP(W98, 'Lookup Tables'!$AI$6:$AM$102, 5, FALSE)*BP98, IF(VLOOKUP(W98, 'Lookup Tables'!$AI$6:$AM$102, 5, FALSE)*BP98&gt;GB98*'Lighting Inventory'!S98, GB98*'Lighting Inventory'!S98,VLOOKUP(W98, 'Lookup Tables'!$AI$6:$AM$102, 5, FALSE)*BP98)), "")), 2), "")</f>
        <v/>
      </c>
      <c r="FU98" s="253" t="str">
        <f>IFERROR(ROUND(IF(CD98="ERROR", "ERROR", IF(AND(Y98=$FU$6, E98="Interior"), IF(BS98="N", 'Lookup Tables'!$AM$101*BP98, VLOOKUP(W98, 'Lookup Tables'!$AI$6:$AM$102, 5, FALSE)*S98*AD98), "")), 2), "")</f>
        <v/>
      </c>
      <c r="FV98" s="253" t="str">
        <f>IFERROR(ROUND(IF(CD98="ERROR", "ERROR", IF(AND(Y98=$FU$6, E98="Exterior"), IF(BS98="N", 'Lookup Tables'!$AM$101*BP98, VLOOKUP(W98, 'Lookup Tables'!$AI$6:$AM$102, 5, FALSE)*S98*AD98), "")), 2), "")</f>
        <v/>
      </c>
      <c r="FW98" s="253" t="str">
        <f>IFERROR(ROUND(IF(CD98="ERROR", "ERROR", IF($FW$6=Y98, IF(BS98="N", 'Lookup Tables'!$AM$101*BP98, MIN((VLOOKUP(W98, 'Lookup Tables'!$AI$6:$AM$102, 5, FALSE)*BP98),GB98*AJ98)), "")), 2), "")</f>
        <v/>
      </c>
      <c r="FX98" s="253" t="str">
        <f>IFERROR(ROUND(IF(CD98="ERROR", "ERROR", IF(AND($FX$6=Y98, E98="Interior"), IF(VLOOKUP(W98, 'Lookup Tables'!$AI$6:$AM$102, 5, FALSE)*BP98&gt;'Lookup Tables'!$AQ$97*'Lighting Inventory'!S98,'Lighting Inventory'!S98*'Lookup Tables'!$AQ$97,VLOOKUP(W98, 'Lookup Tables'!$AI$6:$AM$102, 5, FALSE)*BP98), "")), 2), "")</f>
        <v/>
      </c>
      <c r="FY98" s="253" t="str">
        <f>IFERROR(ROUND(IF(CD98="ERROR", "ERROR", IF(AND($FX$6=Y98, E98="Exterior"), IF(VLOOKUP(W98, 'Lookup Tables'!$AI$6:$AM$102, 5, FALSE)*BP98&gt;'Lookup Tables'!$AQ$97*'Lighting Inventory'!S98,'Lighting Inventory'!S98*'Lookup Tables'!$AQ$97,VLOOKUP(W98, 'Lookup Tables'!$AI$6:$AM$102, 5, FALSE)*BP98), "")), 2), "")</f>
        <v/>
      </c>
      <c r="FZ98" s="253" t="str">
        <f>IFERROR(ROUND(IF(CD98="ERROR", "ERROR", IF(AND($FZ$6=Y98, E98="Interior"), IF(AND(OR(W98="Refrigerated Case Lighting with Doors", W98="Freezer Case Lighting"),Y98="Custom - Process Improvement"),CD98*'Lookup Tables'!$AM$101, IF(B98="Retrofit", IF(VLOOKUP(IF(V98="Custom", V98, W98), 'Lookup Tables'!$AI$6:$AM$102, 5, FALSE)*BP98&gt;GE98, GE98, VLOOKUP(IF(V98="Custom", V98, W98), 'Lookup Tables'!$AI$6:$AM$102, 5, FALSE)*BP98), IF(VLOOKUP(IF(V98="Custom", V98, W98), 'Lookup Tables'!$AI$114:$AM$154, 5, FALSE)*BP98&gt;GE98, GE98, VLOOKUP(IF(V98="Custom", V98, W98), 'Lookup Tables'!$AI$114:$AM$154, 5, FALSE)*BP98))), "")), 2),"")</f>
        <v/>
      </c>
      <c r="GA98" s="253" t="str">
        <f>IFERROR(ROUND(IF(CD98="ERROR", "ERROR", IF(AND($FZ$6=Y98, E98="Exterior"), IF(B98="Retrofit", IF(VLOOKUP(IF(V98="Custom", V98, W98), 'Lookup Tables'!$AI$6:$AM$102, 5, FALSE)*BP98&gt;GE98, GE98, VLOOKUP(IF(V98="Custom", V98, W98), 'Lookup Tables'!$AI$6:$AM$102, 5, FALSE)*BP98), IF(VLOOKUP(IF(V98="Custom", V98, W98), 'Lookup Tables'!$AI$114:$AM$154, 5, FALSE)*BP98&gt;GE98, GE98, VLOOKUP(IF(V98="Custom", V98, W98), 'Lookup Tables'!$AI$114:$AM$154, 5, FALSE)*BP98)), "")), 2),"")</f>
        <v/>
      </c>
      <c r="GB98" s="254" t="str">
        <f t="array" ref="GB98">IF(B98="","",IF(OR(V98="Custom",V98="No Change"),0,IF(B98="Retrofit", INDEX('Lookup Tables'!$AH$6:$AQ$102,MATCH(1,('Lookup Tables'!$AH$6:$AH$102='Lighting Inventory'!V98)*('Lookup Tables'!$AI$6:$AI$102='Lighting Inventory'!W98),FALSE),10),INDEX('Lookup Tables'!$AH$114:$AQ$154,MATCH(1,('Lookup Tables'!$AH$114:$AH$154='Lighting Inventory'!V98)*('Lookup Tables'!$AI$114:$AI$154='Lighting Inventory'!W98),FALSE),10))))</f>
        <v/>
      </c>
      <c r="GC98" s="255" t="str">
        <f t="shared" si="344"/>
        <v/>
      </c>
      <c r="GD98" s="250" t="str">
        <f t="shared" si="345"/>
        <v/>
      </c>
      <c r="GE98" s="253" t="str">
        <f>IFERROR(IF(AND(AF98="", 'General Information'!$F$18="No"),"", IF(AF98="", ((GD98/$CD$266)*$CF$266)*0.5, AF98*S98*0.5)), "")</f>
        <v/>
      </c>
      <c r="GF98" s="255" t="str">
        <f>IF(AND('General Information'!$F$19="", 'General Information'!$F$18="Yes",AF98="",BW98="Y"), "Y", "N")</f>
        <v>N</v>
      </c>
      <c r="GG98" s="255" t="s">
        <v>2946</v>
      </c>
      <c r="GH98" s="255" t="str">
        <f>IFERROR(IF(B98="", "", VLOOKUP(J98, 'Fixture Identities'!$A$6:$N$908, 14, FALSE)), "")</f>
        <v/>
      </c>
      <c r="GI98" s="389" t="str">
        <f>IF(OR(B98="", V98="", W98=""), "", IF(AND(OR(M98='Lookup Tables'!$R$18, M98='Lookup Tables'!$R$19, M98='Lookup Tables'!$R$20, M98='Lookup Tables'!$R$21, M98='Lookup Tables'!$R$22), OR(AN98='Lookup Tables'!$R$17, AN98='Lookup Tables'!$R$17, AN98="")), "Y", "N"))</f>
        <v/>
      </c>
      <c r="GJ98" s="255" t="str">
        <f t="shared" si="346"/>
        <v/>
      </c>
      <c r="GK98" s="255" t="str">
        <f t="shared" si="347"/>
        <v/>
      </c>
      <c r="GL98" s="255" t="str">
        <f t="shared" si="348"/>
        <v/>
      </c>
      <c r="GM98" s="255" t="str">
        <f>IF(AN98="", "", IF(AND(IF(ISNA(VLOOKUP(AN98,'Lookup Tables'!$R$18:$R$22,1,FALSE)), "N", "Y")="Y", E98="Exterior"), "Y", "N"))</f>
        <v/>
      </c>
      <c r="GN98" s="395"/>
      <c r="GO98" s="428">
        <f t="shared" si="394"/>
        <v>0</v>
      </c>
      <c r="GP98" s="428">
        <f t="shared" si="397"/>
        <v>0</v>
      </c>
      <c r="GQ98" s="428">
        <f t="shared" si="395"/>
        <v>0</v>
      </c>
      <c r="GR98" s="428">
        <f t="shared" si="396"/>
        <v>0</v>
      </c>
    </row>
    <row r="99" spans="1:200" s="103" customFormat="1" ht="13.5" customHeight="1" x14ac:dyDescent="0.2">
      <c r="A99" s="272">
        <v>89</v>
      </c>
      <c r="B99" s="110"/>
      <c r="C99" s="110"/>
      <c r="D99" s="110"/>
      <c r="E99" s="110"/>
      <c r="F99" s="110"/>
      <c r="G99" s="110"/>
      <c r="H99" s="110"/>
      <c r="I99" s="29"/>
      <c r="J99" s="29"/>
      <c r="K99" s="272" t="str">
        <f>IFERROR(IF(OR(VLOOKUP(J99, 'Fixture Identities'!$A$6:$L$1023, 3, FALSE)="T12 Linear Fluorescent", VLOOKUP(J99, 'Fixture Identities'!$A$6:$L$1023, 3, FALSE)="T12 U-Tube Fluorescent"), VLOOKUP(VLOOKUP(J99, 'Fixture Identities'!$A$6:$L$1023, 11, FALSE), 'Fixture Identities'!$A$6:$L$1023, 10, FALSE), VLOOKUP(J99, 'Fixture Identities'!$A$6:$L$1023, 10, FALSE)), "")</f>
        <v/>
      </c>
      <c r="L99" s="270" t="str">
        <f t="shared" si="399"/>
        <v/>
      </c>
      <c r="M99" s="110"/>
      <c r="N99" s="110"/>
      <c r="O99" s="110"/>
      <c r="P99" s="272" t="str">
        <f>IFERROR(IF(OR(B99="Retrofit",B99=""),"",IF('Lighting Inventory'!E99="Exterior",VLOOKUP('Lighting Inventory'!N99,'Lookup Tables'!$B$83:$F$103,5,FALSE),IF(N99="Other - Please Estimate EFLH and CFs","Contact Prog. Rep.","ft^2"))), "")</f>
        <v/>
      </c>
      <c r="Q99" s="270" t="str">
        <f>IFERROR(IF(AND(B99="New Construction",E99="Interior",$F$5="Space-by-Space"),VLOOKUP('Lighting Inventory'!N99,'Lookup Tables'!$N$6:$O$97,2,FALSE),IF(AND(B99="New Construction",E99="Exterior"),VLOOKUP(N99,'Lookup Tables'!$B$83:$F$103,2,FALSE),IF(AND(B99="New Construction",'Lighting Inventory'!E99="Interior", $F$5="Building Area"),VLOOKUP(F99,'Lookup Tables'!$A$6:$J$59,10,FALSE),""))), "")</f>
        <v/>
      </c>
      <c r="R99" s="270" t="str">
        <f>IFERROR(IF(P99="Contact Prog. Rep.", "ERROR", IF(OR(B99="",B99="Retrofit"),"",IF(N99="Automated teller machines", ('Lookup Tables'!$A$82:$E$100+('Lighting Inventory'!O99-1)*'Lookup Tables'!$A$82:$E$100)/1000, (Q99*O99)/1000))), "")</f>
        <v/>
      </c>
      <c r="S99" s="595"/>
      <c r="T99" s="105" t="str">
        <f t="shared" si="349"/>
        <v/>
      </c>
      <c r="U99" s="105" t="str">
        <f>IF(S99="","",COUNT($S$11:S99))</f>
        <v/>
      </c>
      <c r="V99" s="111"/>
      <c r="W99" s="112"/>
      <c r="X99" s="105" t="str">
        <f t="shared" si="350"/>
        <v/>
      </c>
      <c r="Y99" s="105" t="str">
        <f t="array" ref="Y99">IF(AND(OR(W99="Freezer Case Lighting", W99="Refrigerated Case Lighting with Doors"), 'General Information'!$X$18="LCI"),'Lookup Tables'!$Y$34, IF(V99="Custom", VLOOKUP(W99, 'Fixture Identities'!$A$974:$M$1023, 13, FALSE), IF(V99="No Change",'Lookup Tables'!$Y$29,IF(OR(V99="",W99=""),"",IF(AND(S99=0,S99&lt;I99,B99="Retrofit"),'Lookup Tables'!$Y$25, IF(B99="Retrofit", INDEX('Lookup Tables'!$AH$6:$AP$102, MATCH(1, ('Lookup Tables'!$AH$6:$AH$102=V99)*('Lookup Tables'!$AI$6:$AI$102=W99), 0), IF('Lighting Inventory'!E99="Interior", 4, 5)), INDEX('Lookup Tables'!$AH$114:$AP$154, MATCH(1, ('Lookup Tables'!$AH$114:$AH$154=V99)*('Lookup Tables'!$AI$114:$AI$154=W99), 0), IF('Lighting Inventory'!E99="Interior", 4, 5))))))))</f>
        <v/>
      </c>
      <c r="Z99" s="105" t="str">
        <f>IFERROR(INDEX('Lookup Tables'!$AH$158:$AH$172,MATCH('Lighting Inventory'!Y99,'Lookup Tables'!$AI$158:$AI$172,0)),"")</f>
        <v/>
      </c>
      <c r="AA99" s="105" t="str">
        <f>IF(AP99&gt;0,INDEX('Lookup Tables'!$AK$158:$AK$172,MATCH('Lighting Inventory'!Y99,'Lookup Tables'!$AI$158:$AI$172,0)),'Lighting Inventory'!Y99)</f>
        <v/>
      </c>
      <c r="AB99" s="105" t="str">
        <f t="array" ref="AB99">IF(V99="Custom", "Custom", IF(V99="", "", IF(V99="Not DLC or Energy Star", "General", IF(B99="New Construction", INDEX('Lookup Tables'!$AH$114:$AP$154,MATCH(1,('Lookup Tables'!$AH$114:$AH$154='Lighting Inventory'!V99)*('Lookup Tables'!$AI$114:$AI$154='Lighting Inventory'!W99),FALSE),8), INDEX('Lookup Tables'!$AH$6:$AP$102,MATCH(1,('Lookup Tables'!$AH$6:$AH$102='Lighting Inventory'!V99)*('Lookup Tables'!$AI$6:$AI$102='Lighting Inventory'!W99),FALSE),8)))))</f>
        <v/>
      </c>
      <c r="AC99" s="272" t="str">
        <f>IF(W99="","",IF(V99="Custom",CONCATENATE("$",'Lookup Tables'!$AM$101," ",'Lookup Tables'!$AN$101),CONCATENATE("$",INDEX('Lookup Tables'!$AM$6:$AM$102,MATCH('Lighting Inventory'!W99,'Lookup Tables'!$AI$6:$AI$102,0))," ",INDEX('Lookup Tables'!$AN$6:$AN$102,MATCH('Lighting Inventory'!W99,'Lookup Tables'!$AI$6:$AI$102,0)))))</f>
        <v/>
      </c>
      <c r="AD99" s="72"/>
      <c r="AE99" s="29"/>
      <c r="AF99" s="379"/>
      <c r="AG99" s="370" t="str">
        <f t="shared" si="298"/>
        <v/>
      </c>
      <c r="AH99" s="370" t="str">
        <f t="shared" si="351"/>
        <v/>
      </c>
      <c r="AI99" s="29"/>
      <c r="AJ99" s="29"/>
      <c r="AK99" s="110"/>
      <c r="AL99" s="375" t="str">
        <f>IF(OR(B99="", V99="", W99=""), "", IF(V99="No Change", K99, IF(V99="Remove Fixture", 0, IF(V99="Custom",VLOOKUP(W99,'Fixture Identities'!$A$6:$K$1023,10,FALSE),IF(AE99="", "← ENTER POST WATTS", 'Lighting Inventory'!AE99)))))</f>
        <v/>
      </c>
      <c r="AM99" s="376" t="str">
        <f t="shared" si="299"/>
        <v/>
      </c>
      <c r="AN99" s="29"/>
      <c r="AO99" s="671"/>
      <c r="AP99" s="29"/>
      <c r="AQ99" s="29"/>
      <c r="AR99" s="29"/>
      <c r="AS99" s="272" t="str">
        <f t="shared" si="352"/>
        <v/>
      </c>
      <c r="AT99" s="270" t="str">
        <f t="shared" si="300"/>
        <v/>
      </c>
      <c r="AU99" s="88" t="str">
        <f t="shared" si="400"/>
        <v/>
      </c>
      <c r="AV99" s="29"/>
      <c r="AW99" s="73"/>
      <c r="AX99" s="271" t="str">
        <f>IF(AND(AV99="Applicant",OR(AW99="", AW99="Use Default Facility Hours")),"← Choose Schedule",IF(F99="","",IF(W99="LED Exit Signs",8760,IF(OR(AV99="Prescribed",AV99=""),VLOOKUP(F99,'Lookup Tables'!$A$6:$G$59,IF(AB99="General", 6, 3),FALSE),VLOOKUP(AW99,'Lookup Tables'!$S$36:$U$43,2,FALSE)))))</f>
        <v/>
      </c>
      <c r="AY99" s="88" t="str">
        <f t="shared" si="301"/>
        <v/>
      </c>
      <c r="AZ99" s="270" t="str">
        <f>IFERROR(IF(F99="", "", IF(W99="LED Exit Signs", 1, IF(AV99="Applicant",VLOOKUP(AW99, 'Lookup Tables'!$S$36:$U$43,3, FALSE), VLOOKUP('Lighting Inventory'!F99, 'Lookup Tables'!$A$6:$H$59, IF('Lighting Inventory'!AB99="General",7,4), FALSE)))), "")</f>
        <v/>
      </c>
      <c r="BA99" s="522" t="str">
        <f>IFERROR(IF(F99="", "", IF(W99="LED Exit Signs", 1, VLOOKUP('Lighting Inventory'!F99, 'Lookup Tables'!$A$6:$H$59, IF('Lighting Inventory'!AB99="General",8,5), FALSE))), "")</f>
        <v/>
      </c>
      <c r="BB99" s="270" t="str">
        <f>IF(G99="", "", IF(E99="Exterior", 0, IF('Lighting Inventory'!G99="Air Conditioned", VLOOKUP(H99, 'Lookup Tables'!$R$6:$T$13, 2, FALSE), VLOOKUP('Lighting Inventory'!G99, 'Lookup Tables'!$R$6:$T$13, 2, FALSE))))</f>
        <v/>
      </c>
      <c r="BC99" s="522" t="str">
        <f>IF(G99="", "", IF(E99="Exterior", 0, IF('Lighting Inventory'!G99="Air Conditioned", VLOOKUP(H99, 'Lookup Tables'!$R$6:$T$13, 3, FALSE), VLOOKUP('Lighting Inventory'!G99, 'Lookup Tables'!$R$6:$T$13, 3, FALSE))))</f>
        <v/>
      </c>
      <c r="BD99" s="270" t="str">
        <f>IF(G99="", "", IF(E99="Exterior", 0, IF('Lighting Inventory'!G99="Air Conditioned", VLOOKUP(H99, 'Lookup Tables'!$R$6:$U$13, 4, FALSE), VLOOKUP('Lighting Inventory'!G99, 'Lookup Tables'!$R$6:$U$13, 4, FALSE))))</f>
        <v/>
      </c>
      <c r="BE99" s="270" t="str">
        <f>IFERROR(IF(B99="", "",  IF(B99="New Construction", VLOOKUP(F99, 'Lookup Tables'!$A$6:$K$59, 11, FALSE),IF(OR(AN99="", AN99="Light Switch"), 0, IF(OR(M99="",M99="None",V99= "LED Exit Signs"),0,_xlfn.XLOOKUP(M99,'Lookup Tables'!$R$91:$R$101,'Lookup Tables'!$V$91:$V$101))))), "")</f>
        <v/>
      </c>
      <c r="BF99" s="270" t="str">
        <f>IF(AND(OR(AN99="Light Switch",AN99=""),B99="New Construction"), VLOOKUP(F99, 'Lookup Tables'!$A$6:$K$59, 11, FALSE),IF(AN99="","",IF(B99="","",IF(OR(AN99="None",AN99="",V99="LED Exit Signs",AN99="Exterior Controls Not Eligible"),0,_xlfn.XLOOKUP(AN99,'Lookup Tables'!$R$91:$R$101,'Lookup Tables'!$V$91:$V$101)))))</f>
        <v/>
      </c>
      <c r="BG99" s="88" t="str">
        <f t="shared" si="353"/>
        <v/>
      </c>
      <c r="BH99" s="88" t="str">
        <f t="shared" si="354"/>
        <v/>
      </c>
      <c r="BI99" s="558" t="str">
        <f t="shared" si="398"/>
        <v/>
      </c>
      <c r="BJ99" s="82" t="str">
        <f t="shared" si="355"/>
        <v/>
      </c>
      <c r="BK99" s="82" t="str">
        <f t="shared" si="356"/>
        <v/>
      </c>
      <c r="BL99" s="559" t="str">
        <f t="shared" si="357"/>
        <v/>
      </c>
      <c r="BM99" s="521" t="str">
        <f t="shared" si="302"/>
        <v/>
      </c>
      <c r="BN99" s="521" t="str">
        <f t="shared" si="303"/>
        <v/>
      </c>
      <c r="BO99" s="522" t="str">
        <f t="shared" si="304"/>
        <v/>
      </c>
      <c r="BP99" s="83" t="str">
        <f t="shared" si="358"/>
        <v/>
      </c>
      <c r="BQ99" s="84" t="str">
        <f t="shared" si="359"/>
        <v/>
      </c>
      <c r="BR99" s="184" t="str">
        <f>IFERROR(IF(B99="", "", IF(OR(VLOOKUP(J99, 'Fixture Identities'!$A$6:$L$1023, 3, FALSE)="T12 Linear Fluorescent",VLOOKUP(J99, 'Fixture Identities'!$A$6:$L$1023, 3, FALSE)="T12 U-Tube Fluorescent"), "Y", "N")), "N")</f>
        <v/>
      </c>
      <c r="BS99" s="184" t="str">
        <f t="array" ref="BS99">IFERROR(IF(OR(B99="", V99="", W99=""), "", IF(V99="Custom", "N", IF(OR(W99="Freezer Case Lighting", W99="Refrigerated Case Lighting with Doors"), BT99, IF(B99="Retrofit", INDEX('Lookup Tables'!$AH$6:$AT$102,MATCH(1,('Lookup Tables'!$AH$6:$AH$102=V99)*('Lookup Tables'!$AI$6:$AI$102=W99),FALSE),IF(VLOOKUP(J99, 'Fixture Identities'!$A$6:$B$1023, 2, FALSE)="Incandescent",12, 13)), INDEX('Lookup Tables'!$AH$114:$AS$154,MATCH(1,('Lookup Tables'!$AH$114:$AH$154=V99)*('Lookup Tables'!$AI$114:$AI$154=W99),FALSE),12))))), "N")</f>
        <v/>
      </c>
      <c r="BT99" s="184" t="str">
        <f>IF(J99="", "", IF(AND(OR(W99="Freezer case Lighting", W99="Refrigerated Case Lighting with Doors"),'General Information'!$X$18="LCI"), "N", IF(OR(VLOOKUP(J99, 'Fixture Identities'!$A$6:$B$1023, 2, FALSE)="T12 EPACT/EISA Baseline", VLOOKUP(J99, 'Fixture Identities'!$A$6:$B$1023, 2, FALSE)="Linear Fluorescent", VLOOKUP(J99, 'Fixture Identities'!$A$6:$B$1023, 2, FALSE)="U-Tube Fluorescent"), "Y", "N")))</f>
        <v/>
      </c>
      <c r="BU99" s="184" t="str">
        <f>IFERROR(IF(B99="", "", IF(VLOOKUP(J99, 'Fixture Identities'!$A$6:$B$1023, 2, FALSE)="Exit Sign", "Y", "N")), "N")</f>
        <v/>
      </c>
      <c r="BV99" s="184" t="str">
        <f>IF(V99="Exit Signs", IF(VLOOKUP(J99, 'Fixture Identities'!$A$6:$B$1023, 2, FALSE)="Exit Sign", "N", "Y"), "")</f>
        <v/>
      </c>
      <c r="BW99" s="184" t="str">
        <f t="array" ref="BW99">IFERROR(IF(B99="", "", IF(B99="New Construction", "N", INDEX('Lookup Tables'!$AH$6:$AU$102, MATCH(1, ('Lookup Tables'!$AH$6:$AH$102='Lighting Inventory'!V99)*('Lookup Tables'!$AI$6:$AI$102='Lighting Inventory'!W99), 0), 14))), "N")</f>
        <v/>
      </c>
      <c r="BX99" s="598" t="str">
        <f t="shared" si="360"/>
        <v/>
      </c>
      <c r="BY99" s="598" t="str">
        <f t="shared" si="361"/>
        <v/>
      </c>
      <c r="BZ99" s="598" t="str">
        <f t="shared" si="362"/>
        <v/>
      </c>
      <c r="CA99" s="598" t="str">
        <f t="shared" si="363"/>
        <v/>
      </c>
      <c r="CB99" s="269" t="str">
        <f t="shared" si="364"/>
        <v/>
      </c>
      <c r="CC99" s="517" t="str">
        <f t="shared" si="365"/>
        <v/>
      </c>
      <c r="CD99" s="565" t="str">
        <f t="shared" si="305"/>
        <v/>
      </c>
      <c r="CE99" s="368">
        <v>0</v>
      </c>
      <c r="CF99" s="368" t="str" cm="1">
        <f t="array" ref="CF99">IFERROR(IF(V99="Custom", "$0.1 per kWh", IF(B99="New Construction", CONCATENATE("$",INDEX('Lookup Tables'!$AH$114:$AN$154,MATCH(1,('Lookup Tables'!$AH$114:$AH$154='Lighting Inventory'!V99)*('Lookup Tables'!$AI$114:$AI$154='Lighting Inventory'!W99),FALSE),6)," ",INDEX('Lookup Tables'!$AH$114:$AN$154,MATCH(1,('Lookup Tables'!$AH$114:$AH$154='Lighting Inventory'!V99)*('Lookup Tables'!$AI$114:$AI$154='Lighting Inventory'!W99),FALSE),7)), IF(AND(BU99="N", V99="Exit Signs"), "$0.025 per kWh", CONCATENATE("$",INDEX('Lookup Tables'!$AH$6:$AN$102,MATCH(1,('Lookup Tables'!$AH$6:$AH$102='Lighting Inventory'!V99)*('Lookup Tables'!$AI$6:$AI$102='Lighting Inventory'!W99),FALSE),6)," ",INDEX('Lookup Tables'!$AH$6:$AN$102,MATCH(1,('Lookup Tables'!$AH$6:$AH$102='Lighting Inventory'!V99)*('Lookup Tables'!$AI$6:$AI$102='Lighting Inventory'!W99),FALSE),7))))), "")</f>
        <v/>
      </c>
      <c r="CG99" s="366"/>
      <c r="CH99" s="248" t="str">
        <f t="shared" si="306"/>
        <v/>
      </c>
      <c r="CI99" s="248" t="str">
        <f t="shared" si="307"/>
        <v>Select_IE</v>
      </c>
      <c r="CJ99" s="248" t="str">
        <f t="shared" si="308"/>
        <v/>
      </c>
      <c r="CK99" s="248" t="str">
        <f t="shared" si="309"/>
        <v/>
      </c>
      <c r="CL99" s="248" t="str">
        <f t="shared" si="310"/>
        <v/>
      </c>
      <c r="CM99" s="248" t="str">
        <f>IFERROR(IF(B99="", "", IF(B99="New Construction", VLOOKUP(V99, 'Lookup Tables'!$AF$114:$AG$120, 2, FALSE), VLOOKUP(V99, 'Lookup Tables'!$AD$6:$AE$25, 2, FALSE))), "")</f>
        <v/>
      </c>
      <c r="CN99" s="248" t="str">
        <f t="shared" si="311"/>
        <v/>
      </c>
      <c r="CO99" s="248" t="str">
        <f t="shared" si="312"/>
        <v/>
      </c>
      <c r="CP99" s="592" t="str">
        <f t="shared" si="313"/>
        <v/>
      </c>
      <c r="CQ99" s="248" t="str">
        <f t="shared" si="366"/>
        <v/>
      </c>
      <c r="CR99" s="100"/>
      <c r="CS99" s="250" t="str">
        <f t="shared" si="314"/>
        <v/>
      </c>
      <c r="CT99" s="250" t="str">
        <f t="shared" si="367"/>
        <v/>
      </c>
      <c r="CU99" s="250" t="str">
        <f t="shared" si="368"/>
        <v/>
      </c>
      <c r="CV99" s="250" t="str">
        <f t="shared" si="369"/>
        <v/>
      </c>
      <c r="CW99" s="250" t="str">
        <f t="shared" si="370"/>
        <v/>
      </c>
      <c r="CX99" s="250" t="str">
        <f t="shared" si="315"/>
        <v/>
      </c>
      <c r="CY99" s="250" t="str">
        <f t="shared" si="316"/>
        <v/>
      </c>
      <c r="CZ99" s="250" t="str">
        <f t="shared" si="317"/>
        <v/>
      </c>
      <c r="DA99" s="250" t="str">
        <f t="shared" si="318"/>
        <v/>
      </c>
      <c r="DB99" s="250" t="str">
        <f t="shared" si="319"/>
        <v/>
      </c>
      <c r="DC99" s="250" t="str">
        <f t="shared" si="320"/>
        <v/>
      </c>
      <c r="DD99" s="250" t="str">
        <f t="shared" si="321"/>
        <v/>
      </c>
      <c r="DE99" s="250" t="str">
        <f t="shared" si="322"/>
        <v/>
      </c>
      <c r="DF99" s="250" t="str">
        <f t="shared" si="323"/>
        <v/>
      </c>
      <c r="DG99" s="250" t="str">
        <f t="shared" si="324"/>
        <v/>
      </c>
      <c r="DH99" s="250" t="str">
        <f t="shared" si="325"/>
        <v/>
      </c>
      <c r="DI99" s="250" t="str">
        <f t="shared" si="326"/>
        <v/>
      </c>
      <c r="DJ99" s="250" t="str">
        <f t="shared" si="327"/>
        <v/>
      </c>
      <c r="DK99" s="250" t="str">
        <f t="shared" si="328"/>
        <v/>
      </c>
      <c r="DL99" s="250" t="str">
        <f t="shared" si="329"/>
        <v/>
      </c>
      <c r="DM99" s="250" t="str">
        <f>IF(CD99="ERROR", "ERROR", IF(AND(OR(Y99=$DM$6, Y99='Lookup Tables'!$AD$21, Y99='Lookup Tables'!$AD$22), E99="Interior"), BJ99, ""))</f>
        <v/>
      </c>
      <c r="DN99" s="250" t="str">
        <f>IF(CD99="ERROR", "ERROR", IF(AND(OR(Y99=$DM$6, Y99='Lookup Tables'!$AD$21, Y99='Lookup Tables'!$AD$22), E99="Exterior"), BJ99, ""))</f>
        <v/>
      </c>
      <c r="DO99" s="100"/>
      <c r="DP99" s="250" t="str">
        <f t="shared" si="330"/>
        <v/>
      </c>
      <c r="DQ99" s="250" t="str">
        <f t="shared" si="371"/>
        <v/>
      </c>
      <c r="DR99" s="250" t="str">
        <f t="shared" si="372"/>
        <v/>
      </c>
      <c r="DS99" s="250" t="str">
        <f t="shared" si="373"/>
        <v/>
      </c>
      <c r="DT99" s="250" t="str">
        <f t="shared" si="374"/>
        <v/>
      </c>
      <c r="DU99" s="250" t="str">
        <f t="shared" si="331"/>
        <v/>
      </c>
      <c r="DV99" s="250" t="str">
        <f t="shared" si="332"/>
        <v/>
      </c>
      <c r="DW99" s="250" t="str">
        <f t="shared" si="333"/>
        <v/>
      </c>
      <c r="DX99" s="250" t="str">
        <f t="shared" si="334"/>
        <v/>
      </c>
      <c r="DY99" s="250" t="str">
        <f t="shared" si="335"/>
        <v/>
      </c>
      <c r="DZ99" s="250" t="str">
        <f t="shared" si="336"/>
        <v/>
      </c>
      <c r="EA99" s="250" t="str">
        <f t="shared" si="337"/>
        <v/>
      </c>
      <c r="EB99" s="250" t="str">
        <f t="shared" si="375"/>
        <v/>
      </c>
      <c r="EC99" s="250" t="str">
        <f t="shared" si="338"/>
        <v/>
      </c>
      <c r="ED99" s="250" t="str">
        <f t="shared" si="339"/>
        <v/>
      </c>
      <c r="EE99" s="250" t="str">
        <f t="shared" si="340"/>
        <v/>
      </c>
      <c r="EF99" s="250" t="str">
        <f t="shared" si="341"/>
        <v/>
      </c>
      <c r="EG99" s="250" t="str">
        <f t="shared" si="342"/>
        <v/>
      </c>
      <c r="EH99" s="250" t="str">
        <f>IF(CD99="ERROR", "ERROR", IF(AND(OR($EH$6=Y99, Y99='Lookup Tables'!$AD$21, Y99='Lookup Tables'!$AD$22),E99="Interior"), SUM(BP99:BP99), ""))</f>
        <v/>
      </c>
      <c r="EI99" s="250" t="str">
        <f>IF(CD99="ERROR", "ERROR", IF(AND(OR($EH$6=Y99, Y99='Lookup Tables'!$AD$21, Y99='Lookup Tables'!$AD$22),E99="Exterior"), SUM(BP99:BP99), ""))</f>
        <v/>
      </c>
      <c r="EJ99" s="109"/>
      <c r="EK99" s="485" t="str">
        <f t="shared" si="343"/>
        <v/>
      </c>
      <c r="EL99" s="252" t="str">
        <f t="shared" si="376"/>
        <v/>
      </c>
      <c r="EM99" s="252" t="str">
        <f t="shared" si="377"/>
        <v/>
      </c>
      <c r="EN99" s="252" t="str">
        <f t="shared" si="378"/>
        <v/>
      </c>
      <c r="EO99" s="252" t="str">
        <f t="shared" si="379"/>
        <v/>
      </c>
      <c r="EP99" s="252" t="str">
        <f t="shared" si="380"/>
        <v/>
      </c>
      <c r="EQ99" s="252" t="str">
        <f t="shared" si="381"/>
        <v/>
      </c>
      <c r="ER99" s="252" t="str">
        <f t="shared" si="382"/>
        <v/>
      </c>
      <c r="ES99" s="252" t="str">
        <f t="shared" si="383"/>
        <v/>
      </c>
      <c r="ET99" s="252" t="str">
        <f t="shared" si="384"/>
        <v/>
      </c>
      <c r="EU99" s="252" t="str">
        <f t="shared" si="385"/>
        <v/>
      </c>
      <c r="EV99" s="252" t="str">
        <f t="shared" si="386"/>
        <v/>
      </c>
      <c r="EW99" s="252" t="str">
        <f t="shared" si="387"/>
        <v/>
      </c>
      <c r="EX99" s="252" t="str">
        <f t="shared" si="388"/>
        <v/>
      </c>
      <c r="EY99" s="252" t="str">
        <f t="shared" si="389"/>
        <v/>
      </c>
      <c r="EZ99" s="252" t="str">
        <f t="shared" si="390"/>
        <v/>
      </c>
      <c r="FA99" s="252" t="str">
        <f t="shared" si="391"/>
        <v/>
      </c>
      <c r="FB99" s="252" t="str">
        <f t="shared" si="392"/>
        <v/>
      </c>
      <c r="FC99" s="252" t="str">
        <f>IF(CD99="ERROR", "ERROR", IF(OR(V99="No Change", V99="Not DLC or Energy Star"), "", IF(AND(OR($FC$6=Y99,Y99='Lookup Tables'!$AD$21, Y99='Lookup Tables'!$AD$22),E99="Interior"), S99, "")))</f>
        <v/>
      </c>
      <c r="FD99" s="252" t="str">
        <f t="shared" si="393"/>
        <v/>
      </c>
      <c r="FE99" s="101"/>
      <c r="FF99" s="579" t="str" cm="1">
        <f t="array" ref="FF99">IFERROR(IF(OR(BQ99&lt;=0,AQ99&lt;20,AND(V99="Exit Signs",AN99&gt;0)),"",IF(AND(AQ99&gt;=20,AN99='Lookup Tables'!$R$101),'Lookup Tables'!$U$101*BQ99,AP99*LOOKUP(2,1/((AN99='Lookup Tables'!$R$91:$R$111)*(AQ99&gt;='Lookup Tables'!$S$91:$S$111)*(AQ99&lt;='Lookup Tables'!$T$91:$T$111)),'Lookup Tables'!$U$91:$U$111))),"")</f>
        <v/>
      </c>
      <c r="FG99" s="579"/>
      <c r="FH99" s="579"/>
      <c r="FI99" s="253" t="str">
        <f>IFERROR(ROUND(IF(CD99="ERROR", "ERROR", IF(AND($FI$7=X99,E99="Interior"),VLOOKUP(W99, 'Lookup Tables'!$AI$6:$AM$102, 5, FALSE)*BP99, "")), 2), "")</f>
        <v/>
      </c>
      <c r="FJ99" s="253" t="str">
        <f>IFERROR(ROUND(IF(CD99="ERROR", "ERROR", IF(AND($FI$7=X99,E99="Exterior"),VLOOKUP(W99, 'Lookup Tables'!$AI$6:$AM$102, 5, FALSE)*BP99, "")), 2), "")</f>
        <v/>
      </c>
      <c r="FK99" s="253" t="str">
        <f>IFERROR(ROUND(IF(CD99="ERROR", "ERROR", IF(AND($FK$7=X99,E99="Interior"),VLOOKUP(W99, 'Lookup Tables'!$AI$6:$AM$102, 5, FALSE)*BP99, "")), 2), "")</f>
        <v/>
      </c>
      <c r="FL99" s="253" t="str">
        <f>IFERROR(ROUND(IF(CD99="ERROR", "ERROR", IF(AND($FK$7=X99,E99="Exterior"),VLOOKUP(W99, 'Lookup Tables'!$AI$6:$AM$102, 5, FALSE)*BP99, "")), 2), "")</f>
        <v/>
      </c>
      <c r="FM99" s="253" t="str">
        <f>IFERROR(ROUND(IF(CD99="ERROR", "ERROR", IF(AND($FM$6=Y99,E99="Interior"), IF(GB99=0, VLOOKUP(W99, 'Lookup Tables'!$AI$6:$AM$102, 5, FALSE)*BP99, IF(VLOOKUP(W99, 'Lookup Tables'!$AI$6:$AM$102, 5, FALSE)*BP99&gt;GB99*'Lighting Inventory'!S99, GB99*'Lighting Inventory'!S99,VLOOKUP(W99, 'Lookup Tables'!$AI$6:$AM$102, 5, FALSE)*BP99)), "")), 2), "")</f>
        <v/>
      </c>
      <c r="FN99" s="253" t="str">
        <f>IFERROR(ROUND(IF(CD99="ERROR", "ERROR", IF(AND($FM$6=Y99,E99="Exterior"), IF(GB99=0, VLOOKUP(W99, 'Lookup Tables'!$AI$6:$AM$102, 5, FALSE)*BP99, IF(VLOOKUP(W99, 'Lookup Tables'!$AI$6:$AM$102, 5, FALSE)*BP99&gt;GB99*'Lighting Inventory'!S99, GB99*'Lighting Inventory'!S99,VLOOKUP(W99, 'Lookup Tables'!$AI$6:$AM$102, 5, FALSE)*BP99)), "")), 2), "")</f>
        <v/>
      </c>
      <c r="FO99" s="253" t="str">
        <f>IFERROR(ROUND(IF(CD99="ERROR", "ERROR", IF(AND($FO$6=Y99,E99="Interior"),VLOOKUP(W99, 'Lookup Tables'!$AI$6:$AM$102, 5, FALSE)*'Lighting Inventory'!AI99, "")), 2), "")</f>
        <v/>
      </c>
      <c r="FP99" s="253" t="str">
        <f>IFERROR(ROUND(IF(CD99="ERROR", "ERROR", IF(AND($FO$6=Y99,E99="Exterior"),VLOOKUP(W99, 'Lookup Tables'!$AI$6:$AM$102, 5, FALSE)*'Lighting Inventory'!AI99, "")), 2), "")</f>
        <v/>
      </c>
      <c r="FQ99" s="253" t="str">
        <f>IFERROR(ROUND(IF(CD99="ERROR", "ERROR", IF(AND($FQ$6=Y99,E99="Interior", BU99="Y"), VLOOKUP('Lighting Inventory'!W99, 'Lookup Tables'!$AI$6:$AM$102, 5, FALSE)*'Lighting Inventory'!S99, IF(AND($FQ$7=Y99,E99="Interior", BU99="N"), 0.025*CD99, ""))), 2), "")</f>
        <v/>
      </c>
      <c r="FR99" s="253" t="str">
        <f>IFERROR(ROUND(IF(CD99="ERROR", "ERROR", IF(AND($FQ$6=Y99,E99="Exterior"), VLOOKUP('Lighting Inventory'!W99, 'Lookup Tables'!$AI$6:$AM$102, 5, FALSE)*'Lighting Inventory'!S99, "")), 2), "")</f>
        <v/>
      </c>
      <c r="FS99" s="253" t="str">
        <f>IFERROR(ROUND(IF(CD99="ERROR", "ERROR", IF(AND($FS$6=Y99,E99="Exterior"), IF(GB99=0, VLOOKUP(W99, 'Lookup Tables'!$AI$6:$AM$102, 5, FALSE)*BP99, IF(VLOOKUP(W99, 'Lookup Tables'!$AI$6:$AM$102, 5, FALSE)*BP99&gt;GB99*'Lighting Inventory'!S99, GB99*'Lighting Inventory'!S99,VLOOKUP(W99, 'Lookup Tables'!$AI$6:$AM$102, 5, FALSE)*BP99)), "")), 2), "")</f>
        <v/>
      </c>
      <c r="FT99" s="253" t="str">
        <f>IFERROR(ROUND(IF(CD99="ERROR", "ERROR", IF(AND($FT$6=Y99,E99="Interior"), IF(GB99=0, VLOOKUP(W99, 'Lookup Tables'!$AI$6:$AM$102, 5, FALSE)*BP99, IF(VLOOKUP(W99, 'Lookup Tables'!$AI$6:$AM$102, 5, FALSE)*BP99&gt;GB99*'Lighting Inventory'!S99, GB99*'Lighting Inventory'!S99,VLOOKUP(W99, 'Lookup Tables'!$AI$6:$AM$102, 5, FALSE)*BP99)), "")), 2), "")</f>
        <v/>
      </c>
      <c r="FU99" s="253" t="str">
        <f>IFERROR(ROUND(IF(CD99="ERROR", "ERROR", IF(AND(Y99=$FU$6, E99="Interior"), IF(BS99="N", 'Lookup Tables'!$AM$101*BP99, VLOOKUP(W99, 'Lookup Tables'!$AI$6:$AM$102, 5, FALSE)*S99*AD99), "")), 2), "")</f>
        <v/>
      </c>
      <c r="FV99" s="253" t="str">
        <f>IFERROR(ROUND(IF(CD99="ERROR", "ERROR", IF(AND(Y99=$FU$6, E99="Exterior"), IF(BS99="N", 'Lookup Tables'!$AM$101*BP99, VLOOKUP(W99, 'Lookup Tables'!$AI$6:$AM$102, 5, FALSE)*S99*AD99), "")), 2), "")</f>
        <v/>
      </c>
      <c r="FW99" s="253" t="str">
        <f>IFERROR(ROUND(IF(CD99="ERROR", "ERROR", IF($FW$6=Y99, IF(BS99="N", 'Lookup Tables'!$AM$101*BP99, MIN((VLOOKUP(W99, 'Lookup Tables'!$AI$6:$AM$102, 5, FALSE)*BP99),GB99*AJ99)), "")), 2), "")</f>
        <v/>
      </c>
      <c r="FX99" s="253" t="str">
        <f>IFERROR(ROUND(IF(CD99="ERROR", "ERROR", IF(AND($FX$6=Y99, E99="Interior"), IF(VLOOKUP(W99, 'Lookup Tables'!$AI$6:$AM$102, 5, FALSE)*BP99&gt;'Lookup Tables'!$AQ$97*'Lighting Inventory'!S99,'Lighting Inventory'!S99*'Lookup Tables'!$AQ$97,VLOOKUP(W99, 'Lookup Tables'!$AI$6:$AM$102, 5, FALSE)*BP99), "")), 2), "")</f>
        <v/>
      </c>
      <c r="FY99" s="253" t="str">
        <f>IFERROR(ROUND(IF(CD99="ERROR", "ERROR", IF(AND($FX$6=Y99, E99="Exterior"), IF(VLOOKUP(W99, 'Lookup Tables'!$AI$6:$AM$102, 5, FALSE)*BP99&gt;'Lookup Tables'!$AQ$97*'Lighting Inventory'!S99,'Lighting Inventory'!S99*'Lookup Tables'!$AQ$97,VLOOKUP(W99, 'Lookup Tables'!$AI$6:$AM$102, 5, FALSE)*BP99), "")), 2), "")</f>
        <v/>
      </c>
      <c r="FZ99" s="253" t="str">
        <f>IFERROR(ROUND(IF(CD99="ERROR", "ERROR", IF(AND($FZ$6=Y99, E99="Interior"), IF(AND(OR(W99="Refrigerated Case Lighting with Doors", W99="Freezer Case Lighting"),Y99="Custom - Process Improvement"),CD99*'Lookup Tables'!$AM$101, IF(B99="Retrofit", IF(VLOOKUP(IF(V99="Custom", V99, W99), 'Lookup Tables'!$AI$6:$AM$102, 5, FALSE)*BP99&gt;GE99, GE99, VLOOKUP(IF(V99="Custom", V99, W99), 'Lookup Tables'!$AI$6:$AM$102, 5, FALSE)*BP99), IF(VLOOKUP(IF(V99="Custom", V99, W99), 'Lookup Tables'!$AI$114:$AM$154, 5, FALSE)*BP99&gt;GE99, GE99, VLOOKUP(IF(V99="Custom", V99, W99), 'Lookup Tables'!$AI$114:$AM$154, 5, FALSE)*BP99))), "")), 2),"")</f>
        <v/>
      </c>
      <c r="GA99" s="253" t="str">
        <f>IFERROR(ROUND(IF(CD99="ERROR", "ERROR", IF(AND($FZ$6=Y99, E99="Exterior"), IF(B99="Retrofit", IF(VLOOKUP(IF(V99="Custom", V99, W99), 'Lookup Tables'!$AI$6:$AM$102, 5, FALSE)*BP99&gt;GE99, GE99, VLOOKUP(IF(V99="Custom", V99, W99), 'Lookup Tables'!$AI$6:$AM$102, 5, FALSE)*BP99), IF(VLOOKUP(IF(V99="Custom", V99, W99), 'Lookup Tables'!$AI$114:$AM$154, 5, FALSE)*BP99&gt;GE99, GE99, VLOOKUP(IF(V99="Custom", V99, W99), 'Lookup Tables'!$AI$114:$AM$154, 5, FALSE)*BP99)), "")), 2),"")</f>
        <v/>
      </c>
      <c r="GB99" s="254" t="str">
        <f t="array" ref="GB99">IF(B99="","",IF(OR(V99="Custom",V99="No Change"),0,IF(B99="Retrofit", INDEX('Lookup Tables'!$AH$6:$AQ$102,MATCH(1,('Lookup Tables'!$AH$6:$AH$102='Lighting Inventory'!V99)*('Lookup Tables'!$AI$6:$AI$102='Lighting Inventory'!W99),FALSE),10),INDEX('Lookup Tables'!$AH$114:$AQ$154,MATCH(1,('Lookup Tables'!$AH$114:$AH$154='Lighting Inventory'!V99)*('Lookup Tables'!$AI$114:$AI$154='Lighting Inventory'!W99),FALSE),10))))</f>
        <v/>
      </c>
      <c r="GC99" s="255" t="str">
        <f t="shared" si="344"/>
        <v/>
      </c>
      <c r="GD99" s="250" t="str">
        <f t="shared" si="345"/>
        <v/>
      </c>
      <c r="GE99" s="253" t="str">
        <f>IFERROR(IF(AND(AF99="", 'General Information'!$F$18="No"),"", IF(AF99="", ((GD99/$CD$266)*$CF$266)*0.5, AF99*S99*0.5)), "")</f>
        <v/>
      </c>
      <c r="GF99" s="255" t="str">
        <f>IF(AND('General Information'!$F$19="", 'General Information'!$F$18="Yes",AF99="",BW99="Y"), "Y", "N")</f>
        <v>N</v>
      </c>
      <c r="GG99" s="255" t="s">
        <v>2946</v>
      </c>
      <c r="GH99" s="255" t="str">
        <f>IFERROR(IF(B99="", "", VLOOKUP(J99, 'Fixture Identities'!$A$6:$N$908, 14, FALSE)), "")</f>
        <v/>
      </c>
      <c r="GI99" s="389" t="str">
        <f>IF(OR(B99="", V99="", W99=""), "", IF(AND(OR(M99='Lookup Tables'!$R$18, M99='Lookup Tables'!$R$19, M99='Lookup Tables'!$R$20, M99='Lookup Tables'!$R$21, M99='Lookup Tables'!$R$22), OR(AN99='Lookup Tables'!$R$17, AN99='Lookup Tables'!$R$17, AN99="")), "Y", "N"))</f>
        <v/>
      </c>
      <c r="GJ99" s="255" t="str">
        <f t="shared" si="346"/>
        <v/>
      </c>
      <c r="GK99" s="255" t="str">
        <f t="shared" si="347"/>
        <v/>
      </c>
      <c r="GL99" s="255" t="str">
        <f t="shared" si="348"/>
        <v/>
      </c>
      <c r="GM99" s="255" t="str">
        <f>IF(AN99="", "", IF(AND(IF(ISNA(VLOOKUP(AN99,'Lookup Tables'!$R$18:$R$22,1,FALSE)), "N", "Y")="Y", E99="Exterior"), "Y", "N"))</f>
        <v/>
      </c>
      <c r="GN99" s="395"/>
      <c r="GO99" s="428">
        <f t="shared" si="394"/>
        <v>0</v>
      </c>
      <c r="GP99" s="428">
        <f t="shared" si="397"/>
        <v>0</v>
      </c>
      <c r="GQ99" s="428">
        <f t="shared" si="395"/>
        <v>0</v>
      </c>
      <c r="GR99" s="428">
        <f t="shared" si="396"/>
        <v>0</v>
      </c>
    </row>
    <row r="100" spans="1:200" s="103" customFormat="1" ht="13.5" customHeight="1" x14ac:dyDescent="0.2">
      <c r="A100" s="272">
        <v>90</v>
      </c>
      <c r="B100" s="110"/>
      <c r="C100" s="110"/>
      <c r="D100" s="110"/>
      <c r="E100" s="110"/>
      <c r="F100" s="110"/>
      <c r="G100" s="110"/>
      <c r="H100" s="110"/>
      <c r="I100" s="29"/>
      <c r="J100" s="29"/>
      <c r="K100" s="272" t="str">
        <f>IFERROR(IF(OR(VLOOKUP(J100, 'Fixture Identities'!$A$6:$L$1023, 3, FALSE)="T12 Linear Fluorescent", VLOOKUP(J100, 'Fixture Identities'!$A$6:$L$1023, 3, FALSE)="T12 U-Tube Fluorescent"), VLOOKUP(VLOOKUP(J100, 'Fixture Identities'!$A$6:$L$1023, 11, FALSE), 'Fixture Identities'!$A$6:$L$1023, 10, FALSE), VLOOKUP(J100, 'Fixture Identities'!$A$6:$L$1023, 10, FALSE)), "")</f>
        <v/>
      </c>
      <c r="L100" s="270" t="str">
        <f t="shared" si="399"/>
        <v/>
      </c>
      <c r="M100" s="110"/>
      <c r="N100" s="110"/>
      <c r="O100" s="110"/>
      <c r="P100" s="272" t="str">
        <f>IFERROR(IF(OR(B100="Retrofit",B100=""),"",IF('Lighting Inventory'!E100="Exterior",VLOOKUP('Lighting Inventory'!N100,'Lookup Tables'!$B$83:$F$103,5,FALSE),IF(N100="Other - Please Estimate EFLH and CFs","Contact Prog. Rep.","ft^2"))), "")</f>
        <v/>
      </c>
      <c r="Q100" s="270" t="str">
        <f>IFERROR(IF(AND(B100="New Construction",E100="Interior",$F$5="Space-by-Space"),VLOOKUP('Lighting Inventory'!N100,'Lookup Tables'!$N$6:$O$97,2,FALSE),IF(AND(B100="New Construction",E100="Exterior"),VLOOKUP(N100,'Lookup Tables'!$B$83:$F$103,2,FALSE),IF(AND(B100="New Construction",'Lighting Inventory'!E100="Interior", $F$5="Building Area"),VLOOKUP(F100,'Lookup Tables'!$A$6:$J$59,10,FALSE),""))), "")</f>
        <v/>
      </c>
      <c r="R100" s="270" t="str">
        <f>IFERROR(IF(P100="Contact Prog. Rep.", "ERROR", IF(OR(B100="",B100="Retrofit"),"",IF(N100="Automated teller machines", ('Lookup Tables'!$A$82:$E$100+('Lighting Inventory'!O100-1)*'Lookup Tables'!$A$82:$E$100)/1000, (Q100*O100)/1000))), "")</f>
        <v/>
      </c>
      <c r="S100" s="595"/>
      <c r="T100" s="105" t="str">
        <f t="shared" si="349"/>
        <v/>
      </c>
      <c r="U100" s="105" t="str">
        <f>IF(S100="","",COUNT($S$11:S100))</f>
        <v/>
      </c>
      <c r="V100" s="111"/>
      <c r="W100" s="112"/>
      <c r="X100" s="105" t="str">
        <f t="shared" si="350"/>
        <v/>
      </c>
      <c r="Y100" s="105" t="str">
        <f t="array" ref="Y100">IF(AND(OR(W100="Freezer Case Lighting", W100="Refrigerated Case Lighting with Doors"), 'General Information'!$X$18="LCI"),'Lookup Tables'!$Y$34, IF(V100="Custom", VLOOKUP(W100, 'Fixture Identities'!$A$974:$M$1023, 13, FALSE), IF(V100="No Change",'Lookup Tables'!$Y$29,IF(OR(V100="",W100=""),"",IF(AND(S100=0,S100&lt;I100,B100="Retrofit"),'Lookup Tables'!$Y$25, IF(B100="Retrofit", INDEX('Lookup Tables'!$AH$6:$AP$102, MATCH(1, ('Lookup Tables'!$AH$6:$AH$102=V100)*('Lookup Tables'!$AI$6:$AI$102=W100), 0), IF('Lighting Inventory'!E100="Interior", 4, 5)), INDEX('Lookup Tables'!$AH$114:$AP$154, MATCH(1, ('Lookup Tables'!$AH$114:$AH$154=V100)*('Lookup Tables'!$AI$114:$AI$154=W100), 0), IF('Lighting Inventory'!E100="Interior", 4, 5))))))))</f>
        <v/>
      </c>
      <c r="Z100" s="105" t="str">
        <f>IFERROR(INDEX('Lookup Tables'!$AH$158:$AH$172,MATCH('Lighting Inventory'!Y100,'Lookup Tables'!$AI$158:$AI$172,0)),"")</f>
        <v/>
      </c>
      <c r="AA100" s="105" t="str">
        <f>IF(AP100&gt;0,INDEX('Lookup Tables'!$AK$158:$AK$172,MATCH('Lighting Inventory'!Y100,'Lookup Tables'!$AI$158:$AI$172,0)),'Lighting Inventory'!Y100)</f>
        <v/>
      </c>
      <c r="AB100" s="105" t="str">
        <f t="array" ref="AB100">IF(V100="Custom", "Custom", IF(V100="", "", IF(V100="Not DLC or Energy Star", "General", IF(B100="New Construction", INDEX('Lookup Tables'!$AH$114:$AP$154,MATCH(1,('Lookup Tables'!$AH$114:$AH$154='Lighting Inventory'!V100)*('Lookup Tables'!$AI$114:$AI$154='Lighting Inventory'!W100),FALSE),8), INDEX('Lookup Tables'!$AH$6:$AP$102,MATCH(1,('Lookup Tables'!$AH$6:$AH$102='Lighting Inventory'!V100)*('Lookup Tables'!$AI$6:$AI$102='Lighting Inventory'!W100),FALSE),8)))))</f>
        <v/>
      </c>
      <c r="AC100" s="272" t="str">
        <f>IF(W100="","",IF(V100="Custom",CONCATENATE("$",'Lookup Tables'!$AM$101," ",'Lookup Tables'!$AN$101),CONCATENATE("$",INDEX('Lookup Tables'!$AM$6:$AM$102,MATCH('Lighting Inventory'!W100,'Lookup Tables'!$AI$6:$AI$102,0))," ",INDEX('Lookup Tables'!$AN$6:$AN$102,MATCH('Lighting Inventory'!W100,'Lookup Tables'!$AI$6:$AI$102,0)))))</f>
        <v/>
      </c>
      <c r="AD100" s="72"/>
      <c r="AE100" s="29"/>
      <c r="AF100" s="379"/>
      <c r="AG100" s="370" t="str">
        <f t="shared" si="298"/>
        <v/>
      </c>
      <c r="AH100" s="370" t="str">
        <f t="shared" si="351"/>
        <v/>
      </c>
      <c r="AI100" s="29"/>
      <c r="AJ100" s="29"/>
      <c r="AK100" s="110"/>
      <c r="AL100" s="375" t="str">
        <f>IF(OR(B100="", V100="", W100=""), "", IF(V100="No Change", K100, IF(V100="Remove Fixture", 0, IF(V100="Custom",VLOOKUP(W100,'Fixture Identities'!$A$6:$K$1023,10,FALSE),IF(AE100="", "← ENTER POST WATTS", 'Lighting Inventory'!AE100)))))</f>
        <v/>
      </c>
      <c r="AM100" s="376" t="str">
        <f t="shared" si="299"/>
        <v/>
      </c>
      <c r="AN100" s="29"/>
      <c r="AO100" s="671"/>
      <c r="AP100" s="29"/>
      <c r="AQ100" s="29"/>
      <c r="AR100" s="29"/>
      <c r="AS100" s="272" t="str">
        <f t="shared" si="352"/>
        <v/>
      </c>
      <c r="AT100" s="270" t="str">
        <f t="shared" si="300"/>
        <v/>
      </c>
      <c r="AU100" s="88" t="str">
        <f t="shared" si="400"/>
        <v/>
      </c>
      <c r="AV100" s="29"/>
      <c r="AW100" s="73"/>
      <c r="AX100" s="271" t="str">
        <f>IF(AND(AV100="Applicant",OR(AW100="", AW100="Use Default Facility Hours")),"← Choose Schedule",IF(F100="","",IF(W100="LED Exit Signs",8760,IF(OR(AV100="Prescribed",AV100=""),VLOOKUP(F100,'Lookup Tables'!$A$6:$G$59,IF(AB100="General", 6, 3),FALSE),VLOOKUP(AW100,'Lookup Tables'!$S$36:$U$43,2,FALSE)))))</f>
        <v/>
      </c>
      <c r="AY100" s="88" t="str">
        <f t="shared" si="301"/>
        <v/>
      </c>
      <c r="AZ100" s="270" t="str">
        <f>IFERROR(IF(F100="", "", IF(W100="LED Exit Signs", 1, IF(AV100="Applicant",VLOOKUP(AW100, 'Lookup Tables'!$S$36:$U$43,3, FALSE), VLOOKUP('Lighting Inventory'!F100, 'Lookup Tables'!$A$6:$H$59, IF('Lighting Inventory'!AB100="General",7,4), FALSE)))), "")</f>
        <v/>
      </c>
      <c r="BA100" s="522" t="str">
        <f>IFERROR(IF(F100="", "", IF(W100="LED Exit Signs", 1, VLOOKUP('Lighting Inventory'!F100, 'Lookup Tables'!$A$6:$H$59, IF('Lighting Inventory'!AB100="General",8,5), FALSE))), "")</f>
        <v/>
      </c>
      <c r="BB100" s="270" t="str">
        <f>IF(G100="", "", IF(E100="Exterior", 0, IF('Lighting Inventory'!G100="Air Conditioned", VLOOKUP(H100, 'Lookup Tables'!$R$6:$T$13, 2, FALSE), VLOOKUP('Lighting Inventory'!G100, 'Lookup Tables'!$R$6:$T$13, 2, FALSE))))</f>
        <v/>
      </c>
      <c r="BC100" s="522" t="str">
        <f>IF(G100="", "", IF(E100="Exterior", 0, IF('Lighting Inventory'!G100="Air Conditioned", VLOOKUP(H100, 'Lookup Tables'!$R$6:$T$13, 3, FALSE), VLOOKUP('Lighting Inventory'!G100, 'Lookup Tables'!$R$6:$T$13, 3, FALSE))))</f>
        <v/>
      </c>
      <c r="BD100" s="270" t="str">
        <f>IF(G100="", "", IF(E100="Exterior", 0, IF('Lighting Inventory'!G100="Air Conditioned", VLOOKUP(H100, 'Lookup Tables'!$R$6:$U$13, 4, FALSE), VLOOKUP('Lighting Inventory'!G100, 'Lookup Tables'!$R$6:$U$13, 4, FALSE))))</f>
        <v/>
      </c>
      <c r="BE100" s="270" t="str">
        <f>IFERROR(IF(B100="", "",  IF(B100="New Construction", VLOOKUP(F100, 'Lookup Tables'!$A$6:$K$59, 11, FALSE),IF(OR(AN100="", AN100="Light Switch"), 0, IF(OR(M100="",M100="None",V100= "LED Exit Signs"),0,_xlfn.XLOOKUP(M100,'Lookup Tables'!$R$91:$R$101,'Lookup Tables'!$V$91:$V$101))))), "")</f>
        <v/>
      </c>
      <c r="BF100" s="270" t="str">
        <f>IF(AND(OR(AN100="Light Switch",AN100=""),B100="New Construction"), VLOOKUP(F100, 'Lookup Tables'!$A$6:$K$59, 11, FALSE),IF(AN100="","",IF(B100="","",IF(OR(AN100="None",AN100="",V100="LED Exit Signs",AN100="Exterior Controls Not Eligible"),0,_xlfn.XLOOKUP(AN100,'Lookup Tables'!$R$91:$R$101,'Lookup Tables'!$V$91:$V$101)))))</f>
        <v/>
      </c>
      <c r="BG100" s="88" t="str">
        <f t="shared" si="353"/>
        <v/>
      </c>
      <c r="BH100" s="88" t="str">
        <f t="shared" si="354"/>
        <v/>
      </c>
      <c r="BI100" s="558" t="str">
        <f t="shared" si="398"/>
        <v/>
      </c>
      <c r="BJ100" s="82" t="str">
        <f t="shared" si="355"/>
        <v/>
      </c>
      <c r="BK100" s="82" t="str">
        <f t="shared" si="356"/>
        <v/>
      </c>
      <c r="BL100" s="559" t="str">
        <f t="shared" si="357"/>
        <v/>
      </c>
      <c r="BM100" s="521" t="str">
        <f t="shared" si="302"/>
        <v/>
      </c>
      <c r="BN100" s="521" t="str">
        <f t="shared" si="303"/>
        <v/>
      </c>
      <c r="BO100" s="522" t="str">
        <f t="shared" si="304"/>
        <v/>
      </c>
      <c r="BP100" s="83" t="str">
        <f t="shared" si="358"/>
        <v/>
      </c>
      <c r="BQ100" s="84" t="str">
        <f t="shared" si="359"/>
        <v/>
      </c>
      <c r="BR100" s="184" t="str">
        <f>IFERROR(IF(B100="", "", IF(OR(VLOOKUP(J100, 'Fixture Identities'!$A$6:$L$1023, 3, FALSE)="T12 Linear Fluorescent",VLOOKUP(J100, 'Fixture Identities'!$A$6:$L$1023, 3, FALSE)="T12 U-Tube Fluorescent"), "Y", "N")), "N")</f>
        <v/>
      </c>
      <c r="BS100" s="184" t="str">
        <f t="array" ref="BS100">IFERROR(IF(OR(B100="", V100="", W100=""), "", IF(V100="Custom", "N", IF(OR(W100="Freezer Case Lighting", W100="Refrigerated Case Lighting with Doors"), BT100, IF(B100="Retrofit", INDEX('Lookup Tables'!$AH$6:$AT$102,MATCH(1,('Lookup Tables'!$AH$6:$AH$102=V100)*('Lookup Tables'!$AI$6:$AI$102=W100),FALSE),IF(VLOOKUP(J100, 'Fixture Identities'!$A$6:$B$1023, 2, FALSE)="Incandescent",12, 13)), INDEX('Lookup Tables'!$AH$114:$AS$154,MATCH(1,('Lookup Tables'!$AH$114:$AH$154=V100)*('Lookup Tables'!$AI$114:$AI$154=W100),FALSE),12))))), "N")</f>
        <v/>
      </c>
      <c r="BT100" s="184" t="str">
        <f>IF(J100="", "", IF(AND(OR(W100="Freezer case Lighting", W100="Refrigerated Case Lighting with Doors"),'General Information'!$X$18="LCI"), "N", IF(OR(VLOOKUP(J100, 'Fixture Identities'!$A$6:$B$1023, 2, FALSE)="T12 EPACT/EISA Baseline", VLOOKUP(J100, 'Fixture Identities'!$A$6:$B$1023, 2, FALSE)="Linear Fluorescent", VLOOKUP(J100, 'Fixture Identities'!$A$6:$B$1023, 2, FALSE)="U-Tube Fluorescent"), "Y", "N")))</f>
        <v/>
      </c>
      <c r="BU100" s="184" t="str">
        <f>IFERROR(IF(B100="", "", IF(VLOOKUP(J100, 'Fixture Identities'!$A$6:$B$1023, 2, FALSE)="Exit Sign", "Y", "N")), "N")</f>
        <v/>
      </c>
      <c r="BV100" s="184" t="str">
        <f>IF(V100="Exit Signs", IF(VLOOKUP(J100, 'Fixture Identities'!$A$6:$B$1023, 2, FALSE)="Exit Sign", "N", "Y"), "")</f>
        <v/>
      </c>
      <c r="BW100" s="184" t="str">
        <f t="array" ref="BW100">IFERROR(IF(B100="", "", IF(B100="New Construction", "N", INDEX('Lookup Tables'!$AH$6:$AU$102, MATCH(1, ('Lookup Tables'!$AH$6:$AH$102='Lighting Inventory'!V100)*('Lookup Tables'!$AI$6:$AI$102='Lighting Inventory'!W100), 0), 14))), "N")</f>
        <v/>
      </c>
      <c r="BX100" s="598" t="str">
        <f t="shared" si="360"/>
        <v/>
      </c>
      <c r="BY100" s="598" t="str">
        <f t="shared" si="361"/>
        <v/>
      </c>
      <c r="BZ100" s="598" t="str">
        <f t="shared" si="362"/>
        <v/>
      </c>
      <c r="CA100" s="598" t="str">
        <f t="shared" si="363"/>
        <v/>
      </c>
      <c r="CB100" s="269" t="str">
        <f t="shared" si="364"/>
        <v/>
      </c>
      <c r="CC100" s="517" t="str">
        <f t="shared" si="365"/>
        <v/>
      </c>
      <c r="CD100" s="565" t="str">
        <f t="shared" si="305"/>
        <v/>
      </c>
      <c r="CE100" s="368">
        <v>0</v>
      </c>
      <c r="CF100" s="368" t="str" cm="1">
        <f t="array" ref="CF100">IFERROR(IF(V100="Custom", "$0.1 per kWh", IF(B100="New Construction", CONCATENATE("$",INDEX('Lookup Tables'!$AH$114:$AN$154,MATCH(1,('Lookup Tables'!$AH$114:$AH$154='Lighting Inventory'!V100)*('Lookup Tables'!$AI$114:$AI$154='Lighting Inventory'!W100),FALSE),6)," ",INDEX('Lookup Tables'!$AH$114:$AN$154,MATCH(1,('Lookup Tables'!$AH$114:$AH$154='Lighting Inventory'!V100)*('Lookup Tables'!$AI$114:$AI$154='Lighting Inventory'!W100),FALSE),7)), IF(AND(BU100="N", V100="Exit Signs"), "$0.025 per kWh", CONCATENATE("$",INDEX('Lookup Tables'!$AH$6:$AN$102,MATCH(1,('Lookup Tables'!$AH$6:$AH$102='Lighting Inventory'!V100)*('Lookup Tables'!$AI$6:$AI$102='Lighting Inventory'!W100),FALSE),6)," ",INDEX('Lookup Tables'!$AH$6:$AN$102,MATCH(1,('Lookup Tables'!$AH$6:$AH$102='Lighting Inventory'!V100)*('Lookup Tables'!$AI$6:$AI$102='Lighting Inventory'!W100),FALSE),7))))), "")</f>
        <v/>
      </c>
      <c r="CG100" s="366"/>
      <c r="CH100" s="248" t="str">
        <f t="shared" si="306"/>
        <v/>
      </c>
      <c r="CI100" s="248" t="str">
        <f t="shared" si="307"/>
        <v>Select_IE</v>
      </c>
      <c r="CJ100" s="248" t="str">
        <f t="shared" si="308"/>
        <v/>
      </c>
      <c r="CK100" s="248" t="str">
        <f t="shared" si="309"/>
        <v/>
      </c>
      <c r="CL100" s="248" t="str">
        <f t="shared" si="310"/>
        <v/>
      </c>
      <c r="CM100" s="248" t="str">
        <f>IFERROR(IF(B100="", "", IF(B100="New Construction", VLOOKUP(V100, 'Lookup Tables'!$AF$114:$AG$120, 2, FALSE), VLOOKUP(V100, 'Lookup Tables'!$AD$6:$AE$25, 2, FALSE))), "")</f>
        <v/>
      </c>
      <c r="CN100" s="248" t="str">
        <f t="shared" si="311"/>
        <v/>
      </c>
      <c r="CO100" s="248" t="str">
        <f t="shared" si="312"/>
        <v/>
      </c>
      <c r="CP100" s="592" t="str">
        <f t="shared" si="313"/>
        <v/>
      </c>
      <c r="CQ100" s="248" t="str">
        <f t="shared" si="366"/>
        <v/>
      </c>
      <c r="CR100" s="100"/>
      <c r="CS100" s="250" t="str">
        <f t="shared" si="314"/>
        <v/>
      </c>
      <c r="CT100" s="250" t="str">
        <f t="shared" si="367"/>
        <v/>
      </c>
      <c r="CU100" s="250" t="str">
        <f t="shared" si="368"/>
        <v/>
      </c>
      <c r="CV100" s="250" t="str">
        <f t="shared" si="369"/>
        <v/>
      </c>
      <c r="CW100" s="250" t="str">
        <f t="shared" si="370"/>
        <v/>
      </c>
      <c r="CX100" s="250" t="str">
        <f t="shared" si="315"/>
        <v/>
      </c>
      <c r="CY100" s="250" t="str">
        <f t="shared" si="316"/>
        <v/>
      </c>
      <c r="CZ100" s="250" t="str">
        <f t="shared" si="317"/>
        <v/>
      </c>
      <c r="DA100" s="250" t="str">
        <f t="shared" si="318"/>
        <v/>
      </c>
      <c r="DB100" s="250" t="str">
        <f t="shared" si="319"/>
        <v/>
      </c>
      <c r="DC100" s="250" t="str">
        <f t="shared" si="320"/>
        <v/>
      </c>
      <c r="DD100" s="250" t="str">
        <f t="shared" si="321"/>
        <v/>
      </c>
      <c r="DE100" s="250" t="str">
        <f t="shared" si="322"/>
        <v/>
      </c>
      <c r="DF100" s="250" t="str">
        <f t="shared" si="323"/>
        <v/>
      </c>
      <c r="DG100" s="250" t="str">
        <f t="shared" si="324"/>
        <v/>
      </c>
      <c r="DH100" s="250" t="str">
        <f t="shared" si="325"/>
        <v/>
      </c>
      <c r="DI100" s="250" t="str">
        <f t="shared" si="326"/>
        <v/>
      </c>
      <c r="DJ100" s="250" t="str">
        <f t="shared" si="327"/>
        <v/>
      </c>
      <c r="DK100" s="250" t="str">
        <f t="shared" si="328"/>
        <v/>
      </c>
      <c r="DL100" s="250" t="str">
        <f t="shared" si="329"/>
        <v/>
      </c>
      <c r="DM100" s="250" t="str">
        <f>IF(CD100="ERROR", "ERROR", IF(AND(OR(Y100=$DM$6, Y100='Lookup Tables'!$AD$21, Y100='Lookup Tables'!$AD$22), E100="Interior"), BJ100, ""))</f>
        <v/>
      </c>
      <c r="DN100" s="250" t="str">
        <f>IF(CD100="ERROR", "ERROR", IF(AND(OR(Y100=$DM$6, Y100='Lookup Tables'!$AD$21, Y100='Lookup Tables'!$AD$22), E100="Exterior"), BJ100, ""))</f>
        <v/>
      </c>
      <c r="DO100" s="100"/>
      <c r="DP100" s="250" t="str">
        <f t="shared" si="330"/>
        <v/>
      </c>
      <c r="DQ100" s="250" t="str">
        <f t="shared" si="371"/>
        <v/>
      </c>
      <c r="DR100" s="250" t="str">
        <f t="shared" si="372"/>
        <v/>
      </c>
      <c r="DS100" s="250" t="str">
        <f t="shared" si="373"/>
        <v/>
      </c>
      <c r="DT100" s="250" t="str">
        <f t="shared" si="374"/>
        <v/>
      </c>
      <c r="DU100" s="250" t="str">
        <f t="shared" si="331"/>
        <v/>
      </c>
      <c r="DV100" s="250" t="str">
        <f t="shared" si="332"/>
        <v/>
      </c>
      <c r="DW100" s="250" t="str">
        <f t="shared" si="333"/>
        <v/>
      </c>
      <c r="DX100" s="250" t="str">
        <f t="shared" si="334"/>
        <v/>
      </c>
      <c r="DY100" s="250" t="str">
        <f t="shared" si="335"/>
        <v/>
      </c>
      <c r="DZ100" s="250" t="str">
        <f t="shared" si="336"/>
        <v/>
      </c>
      <c r="EA100" s="250" t="str">
        <f t="shared" si="337"/>
        <v/>
      </c>
      <c r="EB100" s="250" t="str">
        <f t="shared" si="375"/>
        <v/>
      </c>
      <c r="EC100" s="250" t="str">
        <f t="shared" si="338"/>
        <v/>
      </c>
      <c r="ED100" s="250" t="str">
        <f t="shared" si="339"/>
        <v/>
      </c>
      <c r="EE100" s="250" t="str">
        <f t="shared" si="340"/>
        <v/>
      </c>
      <c r="EF100" s="250" t="str">
        <f t="shared" si="341"/>
        <v/>
      </c>
      <c r="EG100" s="250" t="str">
        <f t="shared" si="342"/>
        <v/>
      </c>
      <c r="EH100" s="250" t="str">
        <f>IF(CD100="ERROR", "ERROR", IF(AND(OR($EH$6=Y100, Y100='Lookup Tables'!$AD$21, Y100='Lookup Tables'!$AD$22),E100="Interior"), SUM(BP100:BP100), ""))</f>
        <v/>
      </c>
      <c r="EI100" s="250" t="str">
        <f>IF(CD100="ERROR", "ERROR", IF(AND(OR($EH$6=Y100, Y100='Lookup Tables'!$AD$21, Y100='Lookup Tables'!$AD$22),E100="Exterior"), SUM(BP100:BP100), ""))</f>
        <v/>
      </c>
      <c r="EJ100" s="109"/>
      <c r="EK100" s="485" t="str">
        <f t="shared" si="343"/>
        <v/>
      </c>
      <c r="EL100" s="252" t="str">
        <f t="shared" si="376"/>
        <v/>
      </c>
      <c r="EM100" s="252" t="str">
        <f t="shared" si="377"/>
        <v/>
      </c>
      <c r="EN100" s="252" t="str">
        <f t="shared" si="378"/>
        <v/>
      </c>
      <c r="EO100" s="252" t="str">
        <f t="shared" si="379"/>
        <v/>
      </c>
      <c r="EP100" s="252" t="str">
        <f t="shared" si="380"/>
        <v/>
      </c>
      <c r="EQ100" s="252" t="str">
        <f t="shared" si="381"/>
        <v/>
      </c>
      <c r="ER100" s="252" t="str">
        <f t="shared" si="382"/>
        <v/>
      </c>
      <c r="ES100" s="252" t="str">
        <f t="shared" si="383"/>
        <v/>
      </c>
      <c r="ET100" s="252" t="str">
        <f t="shared" si="384"/>
        <v/>
      </c>
      <c r="EU100" s="252" t="str">
        <f t="shared" si="385"/>
        <v/>
      </c>
      <c r="EV100" s="252" t="str">
        <f t="shared" si="386"/>
        <v/>
      </c>
      <c r="EW100" s="252" t="str">
        <f t="shared" si="387"/>
        <v/>
      </c>
      <c r="EX100" s="252" t="str">
        <f t="shared" si="388"/>
        <v/>
      </c>
      <c r="EY100" s="252" t="str">
        <f t="shared" si="389"/>
        <v/>
      </c>
      <c r="EZ100" s="252" t="str">
        <f t="shared" si="390"/>
        <v/>
      </c>
      <c r="FA100" s="252" t="str">
        <f t="shared" si="391"/>
        <v/>
      </c>
      <c r="FB100" s="252" t="str">
        <f t="shared" si="392"/>
        <v/>
      </c>
      <c r="FC100" s="252" t="str">
        <f>IF(CD100="ERROR", "ERROR", IF(OR(V100="No Change", V100="Not DLC or Energy Star"), "", IF(AND(OR($FC$6=Y100,Y100='Lookup Tables'!$AD$21, Y100='Lookup Tables'!$AD$22),E100="Interior"), S100, "")))</f>
        <v/>
      </c>
      <c r="FD100" s="252" t="str">
        <f t="shared" si="393"/>
        <v/>
      </c>
      <c r="FE100" s="101"/>
      <c r="FF100" s="579" t="str" cm="1">
        <f t="array" ref="FF100">IFERROR(IF(OR(BQ100&lt;=0,AQ100&lt;20,AND(V100="Exit Signs",AN100&gt;0)),"",IF(AND(AQ100&gt;=20,AN100='Lookup Tables'!$R$101),'Lookup Tables'!$U$101*BQ100,AP100*LOOKUP(2,1/((AN100='Lookup Tables'!$R$91:$R$111)*(AQ100&gt;='Lookup Tables'!$S$91:$S$111)*(AQ100&lt;='Lookup Tables'!$T$91:$T$111)),'Lookup Tables'!$U$91:$U$111))),"")</f>
        <v/>
      </c>
      <c r="FG100" s="579"/>
      <c r="FH100" s="579"/>
      <c r="FI100" s="253" t="str">
        <f>IFERROR(ROUND(IF(CD100="ERROR", "ERROR", IF(AND($FI$7=X100,E100="Interior"),VLOOKUP(W100, 'Lookup Tables'!$AI$6:$AM$102, 5, FALSE)*BP100, "")), 2), "")</f>
        <v/>
      </c>
      <c r="FJ100" s="253" t="str">
        <f>IFERROR(ROUND(IF(CD100="ERROR", "ERROR", IF(AND($FI$7=X100,E100="Exterior"),VLOOKUP(W100, 'Lookup Tables'!$AI$6:$AM$102, 5, FALSE)*BP100, "")), 2), "")</f>
        <v/>
      </c>
      <c r="FK100" s="253" t="str">
        <f>IFERROR(ROUND(IF(CD100="ERROR", "ERROR", IF(AND($FK$7=X100,E100="Interior"),VLOOKUP(W100, 'Lookup Tables'!$AI$6:$AM$102, 5, FALSE)*BP100, "")), 2), "")</f>
        <v/>
      </c>
      <c r="FL100" s="253" t="str">
        <f>IFERROR(ROUND(IF(CD100="ERROR", "ERROR", IF(AND($FK$7=X100,E100="Exterior"),VLOOKUP(W100, 'Lookup Tables'!$AI$6:$AM$102, 5, FALSE)*BP100, "")), 2), "")</f>
        <v/>
      </c>
      <c r="FM100" s="253" t="str">
        <f>IFERROR(ROUND(IF(CD100="ERROR", "ERROR", IF(AND($FM$6=Y100,E100="Interior"), IF(GB100=0, VLOOKUP(W100, 'Lookup Tables'!$AI$6:$AM$102, 5, FALSE)*BP100, IF(VLOOKUP(W100, 'Lookup Tables'!$AI$6:$AM$102, 5, FALSE)*BP100&gt;GB100*'Lighting Inventory'!S100, GB100*'Lighting Inventory'!S100,VLOOKUP(W100, 'Lookup Tables'!$AI$6:$AM$102, 5, FALSE)*BP100)), "")), 2), "")</f>
        <v/>
      </c>
      <c r="FN100" s="253" t="str">
        <f>IFERROR(ROUND(IF(CD100="ERROR", "ERROR", IF(AND($FM$6=Y100,E100="Exterior"), IF(GB100=0, VLOOKUP(W100, 'Lookup Tables'!$AI$6:$AM$102, 5, FALSE)*BP100, IF(VLOOKUP(W100, 'Lookup Tables'!$AI$6:$AM$102, 5, FALSE)*BP100&gt;GB100*'Lighting Inventory'!S100, GB100*'Lighting Inventory'!S100,VLOOKUP(W100, 'Lookup Tables'!$AI$6:$AM$102, 5, FALSE)*BP100)), "")), 2), "")</f>
        <v/>
      </c>
      <c r="FO100" s="253" t="str">
        <f>IFERROR(ROUND(IF(CD100="ERROR", "ERROR", IF(AND($FO$6=Y100,E100="Interior"),VLOOKUP(W100, 'Lookup Tables'!$AI$6:$AM$102, 5, FALSE)*'Lighting Inventory'!AI100, "")), 2), "")</f>
        <v/>
      </c>
      <c r="FP100" s="253" t="str">
        <f>IFERROR(ROUND(IF(CD100="ERROR", "ERROR", IF(AND($FO$6=Y100,E100="Exterior"),VLOOKUP(W100, 'Lookup Tables'!$AI$6:$AM$102, 5, FALSE)*'Lighting Inventory'!AI100, "")), 2), "")</f>
        <v/>
      </c>
      <c r="FQ100" s="253" t="str">
        <f>IFERROR(ROUND(IF(CD100="ERROR", "ERROR", IF(AND($FQ$6=Y100,E100="Interior", BU100="Y"), VLOOKUP('Lighting Inventory'!W100, 'Lookup Tables'!$AI$6:$AM$102, 5, FALSE)*'Lighting Inventory'!S100, IF(AND($FQ$7=Y100,E100="Interior", BU100="N"), 0.025*CD100, ""))), 2), "")</f>
        <v/>
      </c>
      <c r="FR100" s="253" t="str">
        <f>IFERROR(ROUND(IF(CD100="ERROR", "ERROR", IF(AND($FQ$6=Y100,E100="Exterior"), VLOOKUP('Lighting Inventory'!W100, 'Lookup Tables'!$AI$6:$AM$102, 5, FALSE)*'Lighting Inventory'!S100, "")), 2), "")</f>
        <v/>
      </c>
      <c r="FS100" s="253" t="str">
        <f>IFERROR(ROUND(IF(CD100="ERROR", "ERROR", IF(AND($FS$6=Y100,E100="Exterior"), IF(GB100=0, VLOOKUP(W100, 'Lookup Tables'!$AI$6:$AM$102, 5, FALSE)*BP100, IF(VLOOKUP(W100, 'Lookup Tables'!$AI$6:$AM$102, 5, FALSE)*BP100&gt;GB100*'Lighting Inventory'!S100, GB100*'Lighting Inventory'!S100,VLOOKUP(W100, 'Lookup Tables'!$AI$6:$AM$102, 5, FALSE)*BP100)), "")), 2), "")</f>
        <v/>
      </c>
      <c r="FT100" s="253" t="str">
        <f>IFERROR(ROUND(IF(CD100="ERROR", "ERROR", IF(AND($FT$6=Y100,E100="Interior"), IF(GB100=0, VLOOKUP(W100, 'Lookup Tables'!$AI$6:$AM$102, 5, FALSE)*BP100, IF(VLOOKUP(W100, 'Lookup Tables'!$AI$6:$AM$102, 5, FALSE)*BP100&gt;GB100*'Lighting Inventory'!S100, GB100*'Lighting Inventory'!S100,VLOOKUP(W100, 'Lookup Tables'!$AI$6:$AM$102, 5, FALSE)*BP100)), "")), 2), "")</f>
        <v/>
      </c>
      <c r="FU100" s="253" t="str">
        <f>IFERROR(ROUND(IF(CD100="ERROR", "ERROR", IF(AND(Y100=$FU$6, E100="Interior"), IF(BS100="N", 'Lookup Tables'!$AM$101*BP100, VLOOKUP(W100, 'Lookup Tables'!$AI$6:$AM$102, 5, FALSE)*S100*AD100), "")), 2), "")</f>
        <v/>
      </c>
      <c r="FV100" s="253" t="str">
        <f>IFERROR(ROUND(IF(CD100="ERROR", "ERROR", IF(AND(Y100=$FU$6, E100="Exterior"), IF(BS100="N", 'Lookup Tables'!$AM$101*BP100, VLOOKUP(W100, 'Lookup Tables'!$AI$6:$AM$102, 5, FALSE)*S100*AD100), "")), 2), "")</f>
        <v/>
      </c>
      <c r="FW100" s="253" t="str">
        <f>IFERROR(ROUND(IF(CD100="ERROR", "ERROR", IF($FW$6=Y100, IF(BS100="N", 'Lookup Tables'!$AM$101*BP100, MIN((VLOOKUP(W100, 'Lookup Tables'!$AI$6:$AM$102, 5, FALSE)*BP100),GB100*AJ100)), "")), 2), "")</f>
        <v/>
      </c>
      <c r="FX100" s="253" t="str">
        <f>IFERROR(ROUND(IF(CD100="ERROR", "ERROR", IF(AND($FX$6=Y100, E100="Interior"), IF(VLOOKUP(W100, 'Lookup Tables'!$AI$6:$AM$102, 5, FALSE)*BP100&gt;'Lookup Tables'!$AQ$97*'Lighting Inventory'!S100,'Lighting Inventory'!S100*'Lookup Tables'!$AQ$97,VLOOKUP(W100, 'Lookup Tables'!$AI$6:$AM$102, 5, FALSE)*BP100), "")), 2), "")</f>
        <v/>
      </c>
      <c r="FY100" s="253" t="str">
        <f>IFERROR(ROUND(IF(CD100="ERROR", "ERROR", IF(AND($FX$6=Y100, E100="Exterior"), IF(VLOOKUP(W100, 'Lookup Tables'!$AI$6:$AM$102, 5, FALSE)*BP100&gt;'Lookup Tables'!$AQ$97*'Lighting Inventory'!S100,'Lighting Inventory'!S100*'Lookup Tables'!$AQ$97,VLOOKUP(W100, 'Lookup Tables'!$AI$6:$AM$102, 5, FALSE)*BP100), "")), 2), "")</f>
        <v/>
      </c>
      <c r="FZ100" s="253" t="str">
        <f>IFERROR(ROUND(IF(CD100="ERROR", "ERROR", IF(AND($FZ$6=Y100, E100="Interior"), IF(AND(OR(W100="Refrigerated Case Lighting with Doors", W100="Freezer Case Lighting"),Y100="Custom - Process Improvement"),CD100*'Lookup Tables'!$AM$101, IF(B100="Retrofit", IF(VLOOKUP(IF(V100="Custom", V100, W100), 'Lookup Tables'!$AI$6:$AM$102, 5, FALSE)*BP100&gt;GE100, GE100, VLOOKUP(IF(V100="Custom", V100, W100), 'Lookup Tables'!$AI$6:$AM$102, 5, FALSE)*BP100), IF(VLOOKUP(IF(V100="Custom", V100, W100), 'Lookup Tables'!$AI$114:$AM$154, 5, FALSE)*BP100&gt;GE100, GE100, VLOOKUP(IF(V100="Custom", V100, W100), 'Lookup Tables'!$AI$114:$AM$154, 5, FALSE)*BP100))), "")), 2),"")</f>
        <v/>
      </c>
      <c r="GA100" s="253" t="str">
        <f>IFERROR(ROUND(IF(CD100="ERROR", "ERROR", IF(AND($FZ$6=Y100, E100="Exterior"), IF(B100="Retrofit", IF(VLOOKUP(IF(V100="Custom", V100, W100), 'Lookup Tables'!$AI$6:$AM$102, 5, FALSE)*BP100&gt;GE100, GE100, VLOOKUP(IF(V100="Custom", V100, W100), 'Lookup Tables'!$AI$6:$AM$102, 5, FALSE)*BP100), IF(VLOOKUP(IF(V100="Custom", V100, W100), 'Lookup Tables'!$AI$114:$AM$154, 5, FALSE)*BP100&gt;GE100, GE100, VLOOKUP(IF(V100="Custom", V100, W100), 'Lookup Tables'!$AI$114:$AM$154, 5, FALSE)*BP100)), "")), 2),"")</f>
        <v/>
      </c>
      <c r="GB100" s="254" t="str">
        <f t="array" ref="GB100">IF(B100="","",IF(OR(V100="Custom",V100="No Change"),0,IF(B100="Retrofit", INDEX('Lookup Tables'!$AH$6:$AQ$102,MATCH(1,('Lookup Tables'!$AH$6:$AH$102='Lighting Inventory'!V100)*('Lookup Tables'!$AI$6:$AI$102='Lighting Inventory'!W100),FALSE),10),INDEX('Lookup Tables'!$AH$114:$AQ$154,MATCH(1,('Lookup Tables'!$AH$114:$AH$154='Lighting Inventory'!V100)*('Lookup Tables'!$AI$114:$AI$154='Lighting Inventory'!W100),FALSE),10))))</f>
        <v/>
      </c>
      <c r="GC100" s="255" t="str">
        <f t="shared" si="344"/>
        <v/>
      </c>
      <c r="GD100" s="250" t="str">
        <f t="shared" si="345"/>
        <v/>
      </c>
      <c r="GE100" s="253" t="str">
        <f>IFERROR(IF(AND(AF100="", 'General Information'!$F$18="No"),"", IF(AF100="", ((GD100/$CD$266)*$CF$266)*0.5, AF100*S100*0.5)), "")</f>
        <v/>
      </c>
      <c r="GF100" s="255" t="str">
        <f>IF(AND('General Information'!$F$19="", 'General Information'!$F$18="Yes",AF100="",BW100="Y"), "Y", "N")</f>
        <v>N</v>
      </c>
      <c r="GG100" s="255" t="s">
        <v>2946</v>
      </c>
      <c r="GH100" s="255" t="str">
        <f>IFERROR(IF(B100="", "", VLOOKUP(J100, 'Fixture Identities'!$A$6:$N$908, 14, FALSE)), "")</f>
        <v/>
      </c>
      <c r="GI100" s="389" t="str">
        <f>IF(OR(B100="", V100="", W100=""), "", IF(AND(OR(M100='Lookup Tables'!$R$18, M100='Lookup Tables'!$R$19, M100='Lookup Tables'!$R$20, M100='Lookup Tables'!$R$21, M100='Lookup Tables'!$R$22), OR(AN100='Lookup Tables'!$R$17, AN100='Lookup Tables'!$R$17, AN100="")), "Y", "N"))</f>
        <v/>
      </c>
      <c r="GJ100" s="255" t="str">
        <f t="shared" si="346"/>
        <v/>
      </c>
      <c r="GK100" s="255" t="str">
        <f t="shared" si="347"/>
        <v/>
      </c>
      <c r="GL100" s="255" t="str">
        <f t="shared" si="348"/>
        <v/>
      </c>
      <c r="GM100" s="255" t="str">
        <f>IF(AN100="", "", IF(AND(IF(ISNA(VLOOKUP(AN100,'Lookup Tables'!$R$18:$R$22,1,FALSE)), "N", "Y")="Y", E100="Exterior"), "Y", "N"))</f>
        <v/>
      </c>
      <c r="GN100" s="395"/>
      <c r="GO100" s="428">
        <f t="shared" si="394"/>
        <v>0</v>
      </c>
      <c r="GP100" s="428">
        <f t="shared" si="397"/>
        <v>0</v>
      </c>
      <c r="GQ100" s="428">
        <f t="shared" si="395"/>
        <v>0</v>
      </c>
      <c r="GR100" s="428">
        <f t="shared" si="396"/>
        <v>0</v>
      </c>
    </row>
    <row r="101" spans="1:200" s="103" customFormat="1" ht="13.5" customHeight="1" x14ac:dyDescent="0.2">
      <c r="A101" s="272">
        <v>91</v>
      </c>
      <c r="B101" s="110"/>
      <c r="C101" s="110"/>
      <c r="D101" s="110"/>
      <c r="E101" s="110"/>
      <c r="F101" s="110"/>
      <c r="G101" s="110"/>
      <c r="H101" s="110"/>
      <c r="I101" s="29"/>
      <c r="J101" s="29"/>
      <c r="K101" s="272" t="str">
        <f>IFERROR(IF(OR(VLOOKUP(J101, 'Fixture Identities'!$A$6:$L$1023, 3, FALSE)="T12 Linear Fluorescent", VLOOKUP(J101, 'Fixture Identities'!$A$6:$L$1023, 3, FALSE)="T12 U-Tube Fluorescent"), VLOOKUP(VLOOKUP(J101, 'Fixture Identities'!$A$6:$L$1023, 11, FALSE), 'Fixture Identities'!$A$6:$L$1023, 10, FALSE), VLOOKUP(J101, 'Fixture Identities'!$A$6:$L$1023, 10, FALSE)), "")</f>
        <v/>
      </c>
      <c r="L101" s="270" t="str">
        <f t="shared" si="399"/>
        <v/>
      </c>
      <c r="M101" s="110"/>
      <c r="N101" s="110"/>
      <c r="O101" s="110"/>
      <c r="P101" s="272" t="str">
        <f>IFERROR(IF(OR(B101="Retrofit",B101=""),"",IF('Lighting Inventory'!E101="Exterior",VLOOKUP('Lighting Inventory'!N101,'Lookup Tables'!$B$83:$F$103,5,FALSE),IF(N101="Other - Please Estimate EFLH and CFs","Contact Prog. Rep.","ft^2"))), "")</f>
        <v/>
      </c>
      <c r="Q101" s="270" t="str">
        <f>IFERROR(IF(AND(B101="New Construction",E101="Interior",$F$5="Space-by-Space"),VLOOKUP('Lighting Inventory'!N101,'Lookup Tables'!$N$6:$O$97,2,FALSE),IF(AND(B101="New Construction",E101="Exterior"),VLOOKUP(N101,'Lookup Tables'!$B$83:$F$103,2,FALSE),IF(AND(B101="New Construction",'Lighting Inventory'!E101="Interior", $F$5="Building Area"),VLOOKUP(F101,'Lookup Tables'!$A$6:$J$59,10,FALSE),""))), "")</f>
        <v/>
      </c>
      <c r="R101" s="270" t="str">
        <f>IFERROR(IF(P101="Contact Prog. Rep.", "ERROR", IF(OR(B101="",B101="Retrofit"),"",IF(N101="Automated teller machines", ('Lookup Tables'!$A$82:$E$100+('Lighting Inventory'!O101-1)*'Lookup Tables'!$A$82:$E$100)/1000, (Q101*O101)/1000))), "")</f>
        <v/>
      </c>
      <c r="S101" s="595"/>
      <c r="T101" s="105" t="str">
        <f t="shared" si="349"/>
        <v/>
      </c>
      <c r="U101" s="105" t="str">
        <f>IF(S101="","",COUNT($S$11:S101))</f>
        <v/>
      </c>
      <c r="V101" s="111"/>
      <c r="W101" s="112"/>
      <c r="X101" s="105" t="str">
        <f t="shared" si="350"/>
        <v/>
      </c>
      <c r="Y101" s="105" t="str">
        <f t="array" ref="Y101">IF(AND(OR(W101="Freezer Case Lighting", W101="Refrigerated Case Lighting with Doors"), 'General Information'!$X$18="LCI"),'Lookup Tables'!$Y$34, IF(V101="Custom", VLOOKUP(W101, 'Fixture Identities'!$A$974:$M$1023, 13, FALSE), IF(V101="No Change",'Lookup Tables'!$Y$29,IF(OR(V101="",W101=""),"",IF(AND(S101=0,S101&lt;I101,B101="Retrofit"),'Lookup Tables'!$Y$25, IF(B101="Retrofit", INDEX('Lookup Tables'!$AH$6:$AP$102, MATCH(1, ('Lookup Tables'!$AH$6:$AH$102=V101)*('Lookup Tables'!$AI$6:$AI$102=W101), 0), IF('Lighting Inventory'!E101="Interior", 4, 5)), INDEX('Lookup Tables'!$AH$114:$AP$154, MATCH(1, ('Lookup Tables'!$AH$114:$AH$154=V101)*('Lookup Tables'!$AI$114:$AI$154=W101), 0), IF('Lighting Inventory'!E101="Interior", 4, 5))))))))</f>
        <v/>
      </c>
      <c r="Z101" s="105" t="str">
        <f>IFERROR(INDEX('Lookup Tables'!$AH$158:$AH$172,MATCH('Lighting Inventory'!Y101,'Lookup Tables'!$AI$158:$AI$172,0)),"")</f>
        <v/>
      </c>
      <c r="AA101" s="105" t="str">
        <f>IF(AP101&gt;0,INDEX('Lookup Tables'!$AK$158:$AK$172,MATCH('Lighting Inventory'!Y101,'Lookup Tables'!$AI$158:$AI$172,0)),'Lighting Inventory'!Y101)</f>
        <v/>
      </c>
      <c r="AB101" s="105" t="str">
        <f t="array" ref="AB101">IF(V101="Custom", "Custom", IF(V101="", "", IF(V101="Not DLC or Energy Star", "General", IF(B101="New Construction", INDEX('Lookup Tables'!$AH$114:$AP$154,MATCH(1,('Lookup Tables'!$AH$114:$AH$154='Lighting Inventory'!V101)*('Lookup Tables'!$AI$114:$AI$154='Lighting Inventory'!W101),FALSE),8), INDEX('Lookup Tables'!$AH$6:$AP$102,MATCH(1,('Lookup Tables'!$AH$6:$AH$102='Lighting Inventory'!V101)*('Lookup Tables'!$AI$6:$AI$102='Lighting Inventory'!W101),FALSE),8)))))</f>
        <v/>
      </c>
      <c r="AC101" s="272" t="str">
        <f>IF(W101="","",IF(V101="Custom",CONCATENATE("$",'Lookup Tables'!$AM$101," ",'Lookup Tables'!$AN$101),CONCATENATE("$",INDEX('Lookup Tables'!$AM$6:$AM$102,MATCH('Lighting Inventory'!W101,'Lookup Tables'!$AI$6:$AI$102,0))," ",INDEX('Lookup Tables'!$AN$6:$AN$102,MATCH('Lighting Inventory'!W101,'Lookup Tables'!$AI$6:$AI$102,0)))))</f>
        <v/>
      </c>
      <c r="AD101" s="72"/>
      <c r="AE101" s="29"/>
      <c r="AF101" s="379"/>
      <c r="AG101" s="370" t="str">
        <f t="shared" si="298"/>
        <v/>
      </c>
      <c r="AH101" s="370" t="str">
        <f t="shared" si="351"/>
        <v/>
      </c>
      <c r="AI101" s="29"/>
      <c r="AJ101" s="29"/>
      <c r="AK101" s="110"/>
      <c r="AL101" s="375" t="str">
        <f>IF(OR(B101="", V101="", W101=""), "", IF(V101="No Change", K101, IF(V101="Remove Fixture", 0, IF(V101="Custom",VLOOKUP(W101,'Fixture Identities'!$A$6:$K$1023,10,FALSE),IF(AE101="", "← ENTER POST WATTS", 'Lighting Inventory'!AE101)))))</f>
        <v/>
      </c>
      <c r="AM101" s="376" t="str">
        <f t="shared" si="299"/>
        <v/>
      </c>
      <c r="AN101" s="29"/>
      <c r="AO101" s="671"/>
      <c r="AP101" s="29"/>
      <c r="AQ101" s="29"/>
      <c r="AR101" s="29"/>
      <c r="AS101" s="272" t="str">
        <f t="shared" si="352"/>
        <v/>
      </c>
      <c r="AT101" s="270" t="str">
        <f t="shared" si="300"/>
        <v/>
      </c>
      <c r="AU101" s="88" t="str">
        <f t="shared" si="400"/>
        <v/>
      </c>
      <c r="AV101" s="29"/>
      <c r="AW101" s="73"/>
      <c r="AX101" s="271" t="str">
        <f>IF(AND(AV101="Applicant",OR(AW101="", AW101="Use Default Facility Hours")),"← Choose Schedule",IF(F101="","",IF(W101="LED Exit Signs",8760,IF(OR(AV101="Prescribed",AV101=""),VLOOKUP(F101,'Lookup Tables'!$A$6:$G$59,IF(AB101="General", 6, 3),FALSE),VLOOKUP(AW101,'Lookup Tables'!$S$36:$U$43,2,FALSE)))))</f>
        <v/>
      </c>
      <c r="AY101" s="88" t="str">
        <f t="shared" si="301"/>
        <v/>
      </c>
      <c r="AZ101" s="270" t="str">
        <f>IFERROR(IF(F101="", "", IF(W101="LED Exit Signs", 1, IF(AV101="Applicant",VLOOKUP(AW101, 'Lookup Tables'!$S$36:$U$43,3, FALSE), VLOOKUP('Lighting Inventory'!F101, 'Lookup Tables'!$A$6:$H$59, IF('Lighting Inventory'!AB101="General",7,4), FALSE)))), "")</f>
        <v/>
      </c>
      <c r="BA101" s="522" t="str">
        <f>IFERROR(IF(F101="", "", IF(W101="LED Exit Signs", 1, VLOOKUP('Lighting Inventory'!F101, 'Lookup Tables'!$A$6:$H$59, IF('Lighting Inventory'!AB101="General",8,5), FALSE))), "")</f>
        <v/>
      </c>
      <c r="BB101" s="270" t="str">
        <f>IF(G101="", "", IF(E101="Exterior", 0, IF('Lighting Inventory'!G101="Air Conditioned", VLOOKUP(H101, 'Lookup Tables'!$R$6:$T$13, 2, FALSE), VLOOKUP('Lighting Inventory'!G101, 'Lookup Tables'!$R$6:$T$13, 2, FALSE))))</f>
        <v/>
      </c>
      <c r="BC101" s="522" t="str">
        <f>IF(G101="", "", IF(E101="Exterior", 0, IF('Lighting Inventory'!G101="Air Conditioned", VLOOKUP(H101, 'Lookup Tables'!$R$6:$T$13, 3, FALSE), VLOOKUP('Lighting Inventory'!G101, 'Lookup Tables'!$R$6:$T$13, 3, FALSE))))</f>
        <v/>
      </c>
      <c r="BD101" s="270" t="str">
        <f>IF(G101="", "", IF(E101="Exterior", 0, IF('Lighting Inventory'!G101="Air Conditioned", VLOOKUP(H101, 'Lookup Tables'!$R$6:$U$13, 4, FALSE), VLOOKUP('Lighting Inventory'!G101, 'Lookup Tables'!$R$6:$U$13, 4, FALSE))))</f>
        <v/>
      </c>
      <c r="BE101" s="270" t="str">
        <f>IFERROR(IF(B101="", "",  IF(B101="New Construction", VLOOKUP(F101, 'Lookup Tables'!$A$6:$K$59, 11, FALSE),IF(OR(AN101="", AN101="Light Switch"), 0, IF(OR(M101="",M101="None",V101= "LED Exit Signs"),0,_xlfn.XLOOKUP(M101,'Lookup Tables'!$R$91:$R$101,'Lookup Tables'!$V$91:$V$101))))), "")</f>
        <v/>
      </c>
      <c r="BF101" s="270" t="str">
        <f>IF(AND(OR(AN101="Light Switch",AN101=""),B101="New Construction"), VLOOKUP(F101, 'Lookup Tables'!$A$6:$K$59, 11, FALSE),IF(AN101="","",IF(B101="","",IF(OR(AN101="None",AN101="",V101="LED Exit Signs",AN101="Exterior Controls Not Eligible"),0,_xlfn.XLOOKUP(AN101,'Lookup Tables'!$R$91:$R$101,'Lookup Tables'!$V$91:$V$101)))))</f>
        <v/>
      </c>
      <c r="BG101" s="88" t="str">
        <f t="shared" si="353"/>
        <v/>
      </c>
      <c r="BH101" s="88" t="str">
        <f t="shared" si="354"/>
        <v/>
      </c>
      <c r="BI101" s="558" t="str">
        <f t="shared" si="398"/>
        <v/>
      </c>
      <c r="BJ101" s="82" t="str">
        <f t="shared" si="355"/>
        <v/>
      </c>
      <c r="BK101" s="82" t="str">
        <f t="shared" si="356"/>
        <v/>
      </c>
      <c r="BL101" s="559" t="str">
        <f t="shared" si="357"/>
        <v/>
      </c>
      <c r="BM101" s="521" t="str">
        <f t="shared" si="302"/>
        <v/>
      </c>
      <c r="BN101" s="521" t="str">
        <f t="shared" si="303"/>
        <v/>
      </c>
      <c r="BO101" s="522" t="str">
        <f t="shared" si="304"/>
        <v/>
      </c>
      <c r="BP101" s="83" t="str">
        <f t="shared" si="358"/>
        <v/>
      </c>
      <c r="BQ101" s="84" t="str">
        <f t="shared" si="359"/>
        <v/>
      </c>
      <c r="BR101" s="184" t="str">
        <f>IFERROR(IF(B101="", "", IF(OR(VLOOKUP(J101, 'Fixture Identities'!$A$6:$L$1023, 3, FALSE)="T12 Linear Fluorescent",VLOOKUP(J101, 'Fixture Identities'!$A$6:$L$1023, 3, FALSE)="T12 U-Tube Fluorescent"), "Y", "N")), "N")</f>
        <v/>
      </c>
      <c r="BS101" s="184" t="str">
        <f t="array" ref="BS101">IFERROR(IF(OR(B101="", V101="", W101=""), "", IF(V101="Custom", "N", IF(OR(W101="Freezer Case Lighting", W101="Refrigerated Case Lighting with Doors"), BT101, IF(B101="Retrofit", INDEX('Lookup Tables'!$AH$6:$AT$102,MATCH(1,('Lookup Tables'!$AH$6:$AH$102=V101)*('Lookup Tables'!$AI$6:$AI$102=W101),FALSE),IF(VLOOKUP(J101, 'Fixture Identities'!$A$6:$B$1023, 2, FALSE)="Incandescent",12, 13)), INDEX('Lookup Tables'!$AH$114:$AS$154,MATCH(1,('Lookup Tables'!$AH$114:$AH$154=V101)*('Lookup Tables'!$AI$114:$AI$154=W101),FALSE),12))))), "N")</f>
        <v/>
      </c>
      <c r="BT101" s="184" t="str">
        <f>IF(J101="", "", IF(AND(OR(W101="Freezer case Lighting", W101="Refrigerated Case Lighting with Doors"),'General Information'!$X$18="LCI"), "N", IF(OR(VLOOKUP(J101, 'Fixture Identities'!$A$6:$B$1023, 2, FALSE)="T12 EPACT/EISA Baseline", VLOOKUP(J101, 'Fixture Identities'!$A$6:$B$1023, 2, FALSE)="Linear Fluorescent", VLOOKUP(J101, 'Fixture Identities'!$A$6:$B$1023, 2, FALSE)="U-Tube Fluorescent"), "Y", "N")))</f>
        <v/>
      </c>
      <c r="BU101" s="184" t="str">
        <f>IFERROR(IF(B101="", "", IF(VLOOKUP(J101, 'Fixture Identities'!$A$6:$B$1023, 2, FALSE)="Exit Sign", "Y", "N")), "N")</f>
        <v/>
      </c>
      <c r="BV101" s="184" t="str">
        <f>IF(V101="Exit Signs", IF(VLOOKUP(J101, 'Fixture Identities'!$A$6:$B$1023, 2, FALSE)="Exit Sign", "N", "Y"), "")</f>
        <v/>
      </c>
      <c r="BW101" s="184" t="str">
        <f t="array" ref="BW101">IFERROR(IF(B101="", "", IF(B101="New Construction", "N", INDEX('Lookup Tables'!$AH$6:$AU$102, MATCH(1, ('Lookup Tables'!$AH$6:$AH$102='Lighting Inventory'!V101)*('Lookup Tables'!$AI$6:$AI$102='Lighting Inventory'!W101), 0), 14))), "N")</f>
        <v/>
      </c>
      <c r="BX101" s="598" t="str">
        <f t="shared" si="360"/>
        <v/>
      </c>
      <c r="BY101" s="598" t="str">
        <f t="shared" si="361"/>
        <v/>
      </c>
      <c r="BZ101" s="598" t="str">
        <f t="shared" si="362"/>
        <v/>
      </c>
      <c r="CA101" s="598" t="str">
        <f t="shared" si="363"/>
        <v/>
      </c>
      <c r="CB101" s="269" t="str">
        <f t="shared" si="364"/>
        <v/>
      </c>
      <c r="CC101" s="517" t="str">
        <f t="shared" si="365"/>
        <v/>
      </c>
      <c r="CD101" s="565" t="str">
        <f t="shared" si="305"/>
        <v/>
      </c>
      <c r="CE101" s="368">
        <v>0</v>
      </c>
      <c r="CF101" s="368" t="str" cm="1">
        <f t="array" ref="CF101">IFERROR(IF(V101="Custom", "$0.1 per kWh", IF(B101="New Construction", CONCATENATE("$",INDEX('Lookup Tables'!$AH$114:$AN$154,MATCH(1,('Lookup Tables'!$AH$114:$AH$154='Lighting Inventory'!V101)*('Lookup Tables'!$AI$114:$AI$154='Lighting Inventory'!W101),FALSE),6)," ",INDEX('Lookup Tables'!$AH$114:$AN$154,MATCH(1,('Lookup Tables'!$AH$114:$AH$154='Lighting Inventory'!V101)*('Lookup Tables'!$AI$114:$AI$154='Lighting Inventory'!W101),FALSE),7)), IF(AND(BU101="N", V101="Exit Signs"), "$0.025 per kWh", CONCATENATE("$",INDEX('Lookup Tables'!$AH$6:$AN$102,MATCH(1,('Lookup Tables'!$AH$6:$AH$102='Lighting Inventory'!V101)*('Lookup Tables'!$AI$6:$AI$102='Lighting Inventory'!W101),FALSE),6)," ",INDEX('Lookup Tables'!$AH$6:$AN$102,MATCH(1,('Lookup Tables'!$AH$6:$AH$102='Lighting Inventory'!V101)*('Lookup Tables'!$AI$6:$AI$102='Lighting Inventory'!W101),FALSE),7))))), "")</f>
        <v/>
      </c>
      <c r="CG101" s="366"/>
      <c r="CH101" s="248" t="str">
        <f t="shared" si="306"/>
        <v/>
      </c>
      <c r="CI101" s="248" t="str">
        <f t="shared" si="307"/>
        <v>Select_IE</v>
      </c>
      <c r="CJ101" s="248" t="str">
        <f t="shared" si="308"/>
        <v/>
      </c>
      <c r="CK101" s="248" t="str">
        <f t="shared" si="309"/>
        <v/>
      </c>
      <c r="CL101" s="248" t="str">
        <f t="shared" si="310"/>
        <v/>
      </c>
      <c r="CM101" s="248" t="str">
        <f>IFERROR(IF(B101="", "", IF(B101="New Construction", VLOOKUP(V101, 'Lookup Tables'!$AF$114:$AG$120, 2, FALSE), VLOOKUP(V101, 'Lookup Tables'!$AD$6:$AE$25, 2, FALSE))), "")</f>
        <v/>
      </c>
      <c r="CN101" s="248" t="str">
        <f t="shared" si="311"/>
        <v/>
      </c>
      <c r="CO101" s="248" t="str">
        <f t="shared" si="312"/>
        <v/>
      </c>
      <c r="CP101" s="592" t="str">
        <f t="shared" si="313"/>
        <v/>
      </c>
      <c r="CQ101" s="248" t="str">
        <f t="shared" si="366"/>
        <v/>
      </c>
      <c r="CR101" s="100"/>
      <c r="CS101" s="250" t="str">
        <f t="shared" si="314"/>
        <v/>
      </c>
      <c r="CT101" s="250" t="str">
        <f t="shared" si="367"/>
        <v/>
      </c>
      <c r="CU101" s="250" t="str">
        <f t="shared" si="368"/>
        <v/>
      </c>
      <c r="CV101" s="250" t="str">
        <f t="shared" si="369"/>
        <v/>
      </c>
      <c r="CW101" s="250" t="str">
        <f t="shared" si="370"/>
        <v/>
      </c>
      <c r="CX101" s="250" t="str">
        <f t="shared" si="315"/>
        <v/>
      </c>
      <c r="CY101" s="250" t="str">
        <f t="shared" si="316"/>
        <v/>
      </c>
      <c r="CZ101" s="250" t="str">
        <f t="shared" si="317"/>
        <v/>
      </c>
      <c r="DA101" s="250" t="str">
        <f t="shared" si="318"/>
        <v/>
      </c>
      <c r="DB101" s="250" t="str">
        <f t="shared" si="319"/>
        <v/>
      </c>
      <c r="DC101" s="250" t="str">
        <f t="shared" si="320"/>
        <v/>
      </c>
      <c r="DD101" s="250" t="str">
        <f t="shared" si="321"/>
        <v/>
      </c>
      <c r="DE101" s="250" t="str">
        <f t="shared" si="322"/>
        <v/>
      </c>
      <c r="DF101" s="250" t="str">
        <f t="shared" si="323"/>
        <v/>
      </c>
      <c r="DG101" s="250" t="str">
        <f t="shared" si="324"/>
        <v/>
      </c>
      <c r="DH101" s="250" t="str">
        <f t="shared" si="325"/>
        <v/>
      </c>
      <c r="DI101" s="250" t="str">
        <f t="shared" si="326"/>
        <v/>
      </c>
      <c r="DJ101" s="250" t="str">
        <f t="shared" si="327"/>
        <v/>
      </c>
      <c r="DK101" s="250" t="str">
        <f t="shared" si="328"/>
        <v/>
      </c>
      <c r="DL101" s="250" t="str">
        <f t="shared" si="329"/>
        <v/>
      </c>
      <c r="DM101" s="250" t="str">
        <f>IF(CD101="ERROR", "ERROR", IF(AND(OR(Y101=$DM$6, Y101='Lookup Tables'!$AD$21, Y101='Lookup Tables'!$AD$22), E101="Interior"), BJ101, ""))</f>
        <v/>
      </c>
      <c r="DN101" s="250" t="str">
        <f>IF(CD101="ERROR", "ERROR", IF(AND(OR(Y101=$DM$6, Y101='Lookup Tables'!$AD$21, Y101='Lookup Tables'!$AD$22), E101="Exterior"), BJ101, ""))</f>
        <v/>
      </c>
      <c r="DO101" s="100"/>
      <c r="DP101" s="250" t="str">
        <f t="shared" si="330"/>
        <v/>
      </c>
      <c r="DQ101" s="250" t="str">
        <f t="shared" si="371"/>
        <v/>
      </c>
      <c r="DR101" s="250" t="str">
        <f t="shared" si="372"/>
        <v/>
      </c>
      <c r="DS101" s="250" t="str">
        <f t="shared" si="373"/>
        <v/>
      </c>
      <c r="DT101" s="250" t="str">
        <f t="shared" si="374"/>
        <v/>
      </c>
      <c r="DU101" s="250" t="str">
        <f t="shared" si="331"/>
        <v/>
      </c>
      <c r="DV101" s="250" t="str">
        <f t="shared" si="332"/>
        <v/>
      </c>
      <c r="DW101" s="250" t="str">
        <f t="shared" si="333"/>
        <v/>
      </c>
      <c r="DX101" s="250" t="str">
        <f t="shared" si="334"/>
        <v/>
      </c>
      <c r="DY101" s="250" t="str">
        <f t="shared" si="335"/>
        <v/>
      </c>
      <c r="DZ101" s="250" t="str">
        <f t="shared" si="336"/>
        <v/>
      </c>
      <c r="EA101" s="250" t="str">
        <f t="shared" si="337"/>
        <v/>
      </c>
      <c r="EB101" s="250" t="str">
        <f t="shared" si="375"/>
        <v/>
      </c>
      <c r="EC101" s="250" t="str">
        <f t="shared" si="338"/>
        <v/>
      </c>
      <c r="ED101" s="250" t="str">
        <f t="shared" si="339"/>
        <v/>
      </c>
      <c r="EE101" s="250" t="str">
        <f t="shared" si="340"/>
        <v/>
      </c>
      <c r="EF101" s="250" t="str">
        <f t="shared" si="341"/>
        <v/>
      </c>
      <c r="EG101" s="250" t="str">
        <f t="shared" si="342"/>
        <v/>
      </c>
      <c r="EH101" s="250" t="str">
        <f>IF(CD101="ERROR", "ERROR", IF(AND(OR($EH$6=Y101, Y101='Lookup Tables'!$AD$21, Y101='Lookup Tables'!$AD$22),E101="Interior"), SUM(BP101:BP101), ""))</f>
        <v/>
      </c>
      <c r="EI101" s="250" t="str">
        <f>IF(CD101="ERROR", "ERROR", IF(AND(OR($EH$6=Y101, Y101='Lookup Tables'!$AD$21, Y101='Lookup Tables'!$AD$22),E101="Exterior"), SUM(BP101:BP101), ""))</f>
        <v/>
      </c>
      <c r="EJ101" s="109"/>
      <c r="EK101" s="485" t="str">
        <f t="shared" si="343"/>
        <v/>
      </c>
      <c r="EL101" s="252" t="str">
        <f t="shared" si="376"/>
        <v/>
      </c>
      <c r="EM101" s="252" t="str">
        <f t="shared" si="377"/>
        <v/>
      </c>
      <c r="EN101" s="252" t="str">
        <f t="shared" si="378"/>
        <v/>
      </c>
      <c r="EO101" s="252" t="str">
        <f t="shared" si="379"/>
        <v/>
      </c>
      <c r="EP101" s="252" t="str">
        <f t="shared" si="380"/>
        <v/>
      </c>
      <c r="EQ101" s="252" t="str">
        <f t="shared" si="381"/>
        <v/>
      </c>
      <c r="ER101" s="252" t="str">
        <f t="shared" si="382"/>
        <v/>
      </c>
      <c r="ES101" s="252" t="str">
        <f t="shared" si="383"/>
        <v/>
      </c>
      <c r="ET101" s="252" t="str">
        <f t="shared" si="384"/>
        <v/>
      </c>
      <c r="EU101" s="252" t="str">
        <f t="shared" si="385"/>
        <v/>
      </c>
      <c r="EV101" s="252" t="str">
        <f t="shared" si="386"/>
        <v/>
      </c>
      <c r="EW101" s="252" t="str">
        <f t="shared" si="387"/>
        <v/>
      </c>
      <c r="EX101" s="252" t="str">
        <f t="shared" si="388"/>
        <v/>
      </c>
      <c r="EY101" s="252" t="str">
        <f t="shared" si="389"/>
        <v/>
      </c>
      <c r="EZ101" s="252" t="str">
        <f t="shared" si="390"/>
        <v/>
      </c>
      <c r="FA101" s="252" t="str">
        <f t="shared" si="391"/>
        <v/>
      </c>
      <c r="FB101" s="252" t="str">
        <f t="shared" si="392"/>
        <v/>
      </c>
      <c r="FC101" s="252" t="str">
        <f>IF(CD101="ERROR", "ERROR", IF(OR(V101="No Change", V101="Not DLC or Energy Star"), "", IF(AND(OR($FC$6=Y101,Y101='Lookup Tables'!$AD$21, Y101='Lookup Tables'!$AD$22),E101="Interior"), S101, "")))</f>
        <v/>
      </c>
      <c r="FD101" s="252" t="str">
        <f t="shared" si="393"/>
        <v/>
      </c>
      <c r="FE101" s="101"/>
      <c r="FF101" s="579" t="str" cm="1">
        <f t="array" ref="FF101">IFERROR(IF(OR(BQ101&lt;=0,AQ101&lt;20,AND(V101="Exit Signs",AN101&gt;0)),"",IF(AND(AQ101&gt;=20,AN101='Lookup Tables'!$R$101),'Lookup Tables'!$U$101*BQ101,AP101*LOOKUP(2,1/((AN101='Lookup Tables'!$R$91:$R$111)*(AQ101&gt;='Lookup Tables'!$S$91:$S$111)*(AQ101&lt;='Lookup Tables'!$T$91:$T$111)),'Lookup Tables'!$U$91:$U$111))),"")</f>
        <v/>
      </c>
      <c r="FG101" s="579"/>
      <c r="FH101" s="579"/>
      <c r="FI101" s="253" t="str">
        <f>IFERROR(ROUND(IF(CD101="ERROR", "ERROR", IF(AND($FI$7=X101,E101="Interior"),VLOOKUP(W101, 'Lookup Tables'!$AI$6:$AM$102, 5, FALSE)*BP101, "")), 2), "")</f>
        <v/>
      </c>
      <c r="FJ101" s="253" t="str">
        <f>IFERROR(ROUND(IF(CD101="ERROR", "ERROR", IF(AND($FI$7=X101,E101="Exterior"),VLOOKUP(W101, 'Lookup Tables'!$AI$6:$AM$102, 5, FALSE)*BP101, "")), 2), "")</f>
        <v/>
      </c>
      <c r="FK101" s="253" t="str">
        <f>IFERROR(ROUND(IF(CD101="ERROR", "ERROR", IF(AND($FK$7=X101,E101="Interior"),VLOOKUP(W101, 'Lookup Tables'!$AI$6:$AM$102, 5, FALSE)*BP101, "")), 2), "")</f>
        <v/>
      </c>
      <c r="FL101" s="253" t="str">
        <f>IFERROR(ROUND(IF(CD101="ERROR", "ERROR", IF(AND($FK$7=X101,E101="Exterior"),VLOOKUP(W101, 'Lookup Tables'!$AI$6:$AM$102, 5, FALSE)*BP101, "")), 2), "")</f>
        <v/>
      </c>
      <c r="FM101" s="253" t="str">
        <f>IFERROR(ROUND(IF(CD101="ERROR", "ERROR", IF(AND($FM$6=Y101,E101="Interior"), IF(GB101=0, VLOOKUP(W101, 'Lookup Tables'!$AI$6:$AM$102, 5, FALSE)*BP101, IF(VLOOKUP(W101, 'Lookup Tables'!$AI$6:$AM$102, 5, FALSE)*BP101&gt;GB101*'Lighting Inventory'!S101, GB101*'Lighting Inventory'!S101,VLOOKUP(W101, 'Lookup Tables'!$AI$6:$AM$102, 5, FALSE)*BP101)), "")), 2), "")</f>
        <v/>
      </c>
      <c r="FN101" s="253" t="str">
        <f>IFERROR(ROUND(IF(CD101="ERROR", "ERROR", IF(AND($FM$6=Y101,E101="Exterior"), IF(GB101=0, VLOOKUP(W101, 'Lookup Tables'!$AI$6:$AM$102, 5, FALSE)*BP101, IF(VLOOKUP(W101, 'Lookup Tables'!$AI$6:$AM$102, 5, FALSE)*BP101&gt;GB101*'Lighting Inventory'!S101, GB101*'Lighting Inventory'!S101,VLOOKUP(W101, 'Lookup Tables'!$AI$6:$AM$102, 5, FALSE)*BP101)), "")), 2), "")</f>
        <v/>
      </c>
      <c r="FO101" s="253" t="str">
        <f>IFERROR(ROUND(IF(CD101="ERROR", "ERROR", IF(AND($FO$6=Y101,E101="Interior"),VLOOKUP(W101, 'Lookup Tables'!$AI$6:$AM$102, 5, FALSE)*'Lighting Inventory'!AI101, "")), 2), "")</f>
        <v/>
      </c>
      <c r="FP101" s="253" t="str">
        <f>IFERROR(ROUND(IF(CD101="ERROR", "ERROR", IF(AND($FO$6=Y101,E101="Exterior"),VLOOKUP(W101, 'Lookup Tables'!$AI$6:$AM$102, 5, FALSE)*'Lighting Inventory'!AI101, "")), 2), "")</f>
        <v/>
      </c>
      <c r="FQ101" s="253" t="str">
        <f>IFERROR(ROUND(IF(CD101="ERROR", "ERROR", IF(AND($FQ$6=Y101,E101="Interior", BU101="Y"), VLOOKUP('Lighting Inventory'!W101, 'Lookup Tables'!$AI$6:$AM$102, 5, FALSE)*'Lighting Inventory'!S101, IF(AND($FQ$7=Y101,E101="Interior", BU101="N"), 0.025*CD101, ""))), 2), "")</f>
        <v/>
      </c>
      <c r="FR101" s="253" t="str">
        <f>IFERROR(ROUND(IF(CD101="ERROR", "ERROR", IF(AND($FQ$6=Y101,E101="Exterior"), VLOOKUP('Lighting Inventory'!W101, 'Lookup Tables'!$AI$6:$AM$102, 5, FALSE)*'Lighting Inventory'!S101, "")), 2), "")</f>
        <v/>
      </c>
      <c r="FS101" s="253" t="str">
        <f>IFERROR(ROUND(IF(CD101="ERROR", "ERROR", IF(AND($FS$6=Y101,E101="Exterior"), IF(GB101=0, VLOOKUP(W101, 'Lookup Tables'!$AI$6:$AM$102, 5, FALSE)*BP101, IF(VLOOKUP(W101, 'Lookup Tables'!$AI$6:$AM$102, 5, FALSE)*BP101&gt;GB101*'Lighting Inventory'!S101, GB101*'Lighting Inventory'!S101,VLOOKUP(W101, 'Lookup Tables'!$AI$6:$AM$102, 5, FALSE)*BP101)), "")), 2), "")</f>
        <v/>
      </c>
      <c r="FT101" s="253" t="str">
        <f>IFERROR(ROUND(IF(CD101="ERROR", "ERROR", IF(AND($FT$6=Y101,E101="Interior"), IF(GB101=0, VLOOKUP(W101, 'Lookup Tables'!$AI$6:$AM$102, 5, FALSE)*BP101, IF(VLOOKUP(W101, 'Lookup Tables'!$AI$6:$AM$102, 5, FALSE)*BP101&gt;GB101*'Lighting Inventory'!S101, GB101*'Lighting Inventory'!S101,VLOOKUP(W101, 'Lookup Tables'!$AI$6:$AM$102, 5, FALSE)*BP101)), "")), 2), "")</f>
        <v/>
      </c>
      <c r="FU101" s="253" t="str">
        <f>IFERROR(ROUND(IF(CD101="ERROR", "ERROR", IF(AND(Y101=$FU$6, E101="Interior"), IF(BS101="N", 'Lookup Tables'!$AM$101*BP101, VLOOKUP(W101, 'Lookup Tables'!$AI$6:$AM$102, 5, FALSE)*S101*AD101), "")), 2), "")</f>
        <v/>
      </c>
      <c r="FV101" s="253" t="str">
        <f>IFERROR(ROUND(IF(CD101="ERROR", "ERROR", IF(AND(Y101=$FU$6, E101="Exterior"), IF(BS101="N", 'Lookup Tables'!$AM$101*BP101, VLOOKUP(W101, 'Lookup Tables'!$AI$6:$AM$102, 5, FALSE)*S101*AD101), "")), 2), "")</f>
        <v/>
      </c>
      <c r="FW101" s="253" t="str">
        <f>IFERROR(ROUND(IF(CD101="ERROR", "ERROR", IF($FW$6=Y101, IF(BS101="N", 'Lookup Tables'!$AM$101*BP101, MIN((VLOOKUP(W101, 'Lookup Tables'!$AI$6:$AM$102, 5, FALSE)*BP101),GB101*AJ101)), "")), 2), "")</f>
        <v/>
      </c>
      <c r="FX101" s="253" t="str">
        <f>IFERROR(ROUND(IF(CD101="ERROR", "ERROR", IF(AND($FX$6=Y101, E101="Interior"), IF(VLOOKUP(W101, 'Lookup Tables'!$AI$6:$AM$102, 5, FALSE)*BP101&gt;'Lookup Tables'!$AQ$97*'Lighting Inventory'!S101,'Lighting Inventory'!S101*'Lookup Tables'!$AQ$97,VLOOKUP(W101, 'Lookup Tables'!$AI$6:$AM$102, 5, FALSE)*BP101), "")), 2), "")</f>
        <v/>
      </c>
      <c r="FY101" s="253" t="str">
        <f>IFERROR(ROUND(IF(CD101="ERROR", "ERROR", IF(AND($FX$6=Y101, E101="Exterior"), IF(VLOOKUP(W101, 'Lookup Tables'!$AI$6:$AM$102, 5, FALSE)*BP101&gt;'Lookup Tables'!$AQ$97*'Lighting Inventory'!S101,'Lighting Inventory'!S101*'Lookup Tables'!$AQ$97,VLOOKUP(W101, 'Lookup Tables'!$AI$6:$AM$102, 5, FALSE)*BP101), "")), 2), "")</f>
        <v/>
      </c>
      <c r="FZ101" s="253" t="str">
        <f>IFERROR(ROUND(IF(CD101="ERROR", "ERROR", IF(AND($FZ$6=Y101, E101="Interior"), IF(AND(OR(W101="Refrigerated Case Lighting with Doors", W101="Freezer Case Lighting"),Y101="Custom - Process Improvement"),CD101*'Lookup Tables'!$AM$101, IF(B101="Retrofit", IF(VLOOKUP(IF(V101="Custom", V101, W101), 'Lookup Tables'!$AI$6:$AM$102, 5, FALSE)*BP101&gt;GE101, GE101, VLOOKUP(IF(V101="Custom", V101, W101), 'Lookup Tables'!$AI$6:$AM$102, 5, FALSE)*BP101), IF(VLOOKUP(IF(V101="Custom", V101, W101), 'Lookup Tables'!$AI$114:$AM$154, 5, FALSE)*BP101&gt;GE101, GE101, VLOOKUP(IF(V101="Custom", V101, W101), 'Lookup Tables'!$AI$114:$AM$154, 5, FALSE)*BP101))), "")), 2),"")</f>
        <v/>
      </c>
      <c r="GA101" s="253" t="str">
        <f>IFERROR(ROUND(IF(CD101="ERROR", "ERROR", IF(AND($FZ$6=Y101, E101="Exterior"), IF(B101="Retrofit", IF(VLOOKUP(IF(V101="Custom", V101, W101), 'Lookup Tables'!$AI$6:$AM$102, 5, FALSE)*BP101&gt;GE101, GE101, VLOOKUP(IF(V101="Custom", V101, W101), 'Lookup Tables'!$AI$6:$AM$102, 5, FALSE)*BP101), IF(VLOOKUP(IF(V101="Custom", V101, W101), 'Lookup Tables'!$AI$114:$AM$154, 5, FALSE)*BP101&gt;GE101, GE101, VLOOKUP(IF(V101="Custom", V101, W101), 'Lookup Tables'!$AI$114:$AM$154, 5, FALSE)*BP101)), "")), 2),"")</f>
        <v/>
      </c>
      <c r="GB101" s="254" t="str">
        <f t="array" ref="GB101">IF(B101="","",IF(OR(V101="Custom",V101="No Change"),0,IF(B101="Retrofit", INDEX('Lookup Tables'!$AH$6:$AQ$102,MATCH(1,('Lookup Tables'!$AH$6:$AH$102='Lighting Inventory'!V101)*('Lookup Tables'!$AI$6:$AI$102='Lighting Inventory'!W101),FALSE),10),INDEX('Lookup Tables'!$AH$114:$AQ$154,MATCH(1,('Lookup Tables'!$AH$114:$AH$154='Lighting Inventory'!V101)*('Lookup Tables'!$AI$114:$AI$154='Lighting Inventory'!W101),FALSE),10))))</f>
        <v/>
      </c>
      <c r="GC101" s="255" t="str">
        <f t="shared" si="344"/>
        <v/>
      </c>
      <c r="GD101" s="250" t="str">
        <f t="shared" si="345"/>
        <v/>
      </c>
      <c r="GE101" s="253" t="str">
        <f>IFERROR(IF(AND(AF101="", 'General Information'!$F$18="No"),"", IF(AF101="", ((GD101/$CD$266)*$CF$266)*0.5, AF101*S101*0.5)), "")</f>
        <v/>
      </c>
      <c r="GF101" s="255" t="str">
        <f>IF(AND('General Information'!$F$19="", 'General Information'!$F$18="Yes",AF101="",BW101="Y"), "Y", "N")</f>
        <v>N</v>
      </c>
      <c r="GG101" s="255" t="s">
        <v>2946</v>
      </c>
      <c r="GH101" s="255" t="str">
        <f>IFERROR(IF(B101="", "", VLOOKUP(J101, 'Fixture Identities'!$A$6:$N$908, 14, FALSE)), "")</f>
        <v/>
      </c>
      <c r="GI101" s="389" t="str">
        <f>IF(OR(B101="", V101="", W101=""), "", IF(AND(OR(M101='Lookup Tables'!$R$18, M101='Lookup Tables'!$R$19, M101='Lookup Tables'!$R$20, M101='Lookup Tables'!$R$21, M101='Lookup Tables'!$R$22), OR(AN101='Lookup Tables'!$R$17, AN101='Lookup Tables'!$R$17, AN101="")), "Y", "N"))</f>
        <v/>
      </c>
      <c r="GJ101" s="255" t="str">
        <f t="shared" si="346"/>
        <v/>
      </c>
      <c r="GK101" s="255" t="str">
        <f t="shared" si="347"/>
        <v/>
      </c>
      <c r="GL101" s="255" t="str">
        <f t="shared" si="348"/>
        <v/>
      </c>
      <c r="GM101" s="255" t="str">
        <f>IF(AN101="", "", IF(AND(IF(ISNA(VLOOKUP(AN101,'Lookup Tables'!$R$18:$R$22,1,FALSE)), "N", "Y")="Y", E101="Exterior"), "Y", "N"))</f>
        <v/>
      </c>
      <c r="GN101" s="395"/>
      <c r="GO101" s="428">
        <f t="shared" si="394"/>
        <v>0</v>
      </c>
      <c r="GP101" s="428">
        <f t="shared" si="397"/>
        <v>0</v>
      </c>
      <c r="GQ101" s="428">
        <f t="shared" si="395"/>
        <v>0</v>
      </c>
      <c r="GR101" s="428">
        <f t="shared" si="396"/>
        <v>0</v>
      </c>
    </row>
    <row r="102" spans="1:200" s="103" customFormat="1" ht="13.5" customHeight="1" x14ac:dyDescent="0.2">
      <c r="A102" s="272">
        <v>92</v>
      </c>
      <c r="B102" s="110"/>
      <c r="C102" s="110"/>
      <c r="D102" s="110"/>
      <c r="E102" s="110"/>
      <c r="F102" s="110"/>
      <c r="G102" s="110"/>
      <c r="H102" s="110"/>
      <c r="I102" s="29"/>
      <c r="J102" s="29"/>
      <c r="K102" s="272" t="str">
        <f>IFERROR(IF(OR(VLOOKUP(J102, 'Fixture Identities'!$A$6:$L$1023, 3, FALSE)="T12 Linear Fluorescent", VLOOKUP(J102, 'Fixture Identities'!$A$6:$L$1023, 3, FALSE)="T12 U-Tube Fluorescent"), VLOOKUP(VLOOKUP(J102, 'Fixture Identities'!$A$6:$L$1023, 11, FALSE), 'Fixture Identities'!$A$6:$L$1023, 10, FALSE), VLOOKUP(J102, 'Fixture Identities'!$A$6:$L$1023, 10, FALSE)), "")</f>
        <v/>
      </c>
      <c r="L102" s="270" t="str">
        <f t="shared" si="399"/>
        <v/>
      </c>
      <c r="M102" s="110"/>
      <c r="N102" s="110"/>
      <c r="O102" s="110"/>
      <c r="P102" s="272" t="str">
        <f>IFERROR(IF(OR(B102="Retrofit",B102=""),"",IF('Lighting Inventory'!E102="Exterior",VLOOKUP('Lighting Inventory'!N102,'Lookup Tables'!$B$83:$F$103,5,FALSE),IF(N102="Other - Please Estimate EFLH and CFs","Contact Prog. Rep.","ft^2"))), "")</f>
        <v/>
      </c>
      <c r="Q102" s="270" t="str">
        <f>IFERROR(IF(AND(B102="New Construction",E102="Interior",$F$5="Space-by-Space"),VLOOKUP('Lighting Inventory'!N102,'Lookup Tables'!$N$6:$O$97,2,FALSE),IF(AND(B102="New Construction",E102="Exterior"),VLOOKUP(N102,'Lookup Tables'!$B$83:$F$103,2,FALSE),IF(AND(B102="New Construction",'Lighting Inventory'!E102="Interior", $F$5="Building Area"),VLOOKUP(F102,'Lookup Tables'!$A$6:$J$59,10,FALSE),""))), "")</f>
        <v/>
      </c>
      <c r="R102" s="270" t="str">
        <f>IFERROR(IF(P102="Contact Prog. Rep.", "ERROR", IF(OR(B102="",B102="Retrofit"),"",IF(N102="Automated teller machines", ('Lookup Tables'!$A$82:$E$100+('Lighting Inventory'!O102-1)*'Lookup Tables'!$A$82:$E$100)/1000, (Q102*O102)/1000))), "")</f>
        <v/>
      </c>
      <c r="S102" s="595"/>
      <c r="T102" s="105" t="str">
        <f t="shared" si="349"/>
        <v/>
      </c>
      <c r="U102" s="105" t="str">
        <f>IF(S102="","",COUNT($S$11:S102))</f>
        <v/>
      </c>
      <c r="V102" s="111"/>
      <c r="W102" s="112"/>
      <c r="X102" s="105" t="str">
        <f t="shared" si="350"/>
        <v/>
      </c>
      <c r="Y102" s="105" t="str">
        <f t="array" ref="Y102">IF(AND(OR(W102="Freezer Case Lighting", W102="Refrigerated Case Lighting with Doors"), 'General Information'!$X$18="LCI"),'Lookup Tables'!$Y$34, IF(V102="Custom", VLOOKUP(W102, 'Fixture Identities'!$A$974:$M$1023, 13, FALSE), IF(V102="No Change",'Lookup Tables'!$Y$29,IF(OR(V102="",W102=""),"",IF(AND(S102=0,S102&lt;I102,B102="Retrofit"),'Lookup Tables'!$Y$25, IF(B102="Retrofit", INDEX('Lookup Tables'!$AH$6:$AP$102, MATCH(1, ('Lookup Tables'!$AH$6:$AH$102=V102)*('Lookup Tables'!$AI$6:$AI$102=W102), 0), IF('Lighting Inventory'!E102="Interior", 4, 5)), INDEX('Lookup Tables'!$AH$114:$AP$154, MATCH(1, ('Lookup Tables'!$AH$114:$AH$154=V102)*('Lookup Tables'!$AI$114:$AI$154=W102), 0), IF('Lighting Inventory'!E102="Interior", 4, 5))))))))</f>
        <v/>
      </c>
      <c r="Z102" s="105" t="str">
        <f>IFERROR(INDEX('Lookup Tables'!$AH$158:$AH$172,MATCH('Lighting Inventory'!Y102,'Lookup Tables'!$AI$158:$AI$172,0)),"")</f>
        <v/>
      </c>
      <c r="AA102" s="105" t="str">
        <f>IF(AP102&gt;0,INDEX('Lookup Tables'!$AK$158:$AK$172,MATCH('Lighting Inventory'!Y102,'Lookup Tables'!$AI$158:$AI$172,0)),'Lighting Inventory'!Y102)</f>
        <v/>
      </c>
      <c r="AB102" s="105" t="str">
        <f t="array" ref="AB102">IF(V102="Custom", "Custom", IF(V102="", "", IF(V102="Not DLC or Energy Star", "General", IF(B102="New Construction", INDEX('Lookup Tables'!$AH$114:$AP$154,MATCH(1,('Lookup Tables'!$AH$114:$AH$154='Lighting Inventory'!V102)*('Lookup Tables'!$AI$114:$AI$154='Lighting Inventory'!W102),FALSE),8), INDEX('Lookup Tables'!$AH$6:$AP$102,MATCH(1,('Lookup Tables'!$AH$6:$AH$102='Lighting Inventory'!V102)*('Lookup Tables'!$AI$6:$AI$102='Lighting Inventory'!W102),FALSE),8)))))</f>
        <v/>
      </c>
      <c r="AC102" s="272" t="str">
        <f>IF(W102="","",IF(V102="Custom",CONCATENATE("$",'Lookup Tables'!$AM$101," ",'Lookup Tables'!$AN$101),CONCATENATE("$",INDEX('Lookup Tables'!$AM$6:$AM$102,MATCH('Lighting Inventory'!W102,'Lookup Tables'!$AI$6:$AI$102,0))," ",INDEX('Lookup Tables'!$AN$6:$AN$102,MATCH('Lighting Inventory'!W102,'Lookup Tables'!$AI$6:$AI$102,0)))))</f>
        <v/>
      </c>
      <c r="AD102" s="72"/>
      <c r="AE102" s="29"/>
      <c r="AF102" s="379"/>
      <c r="AG102" s="370" t="str">
        <f t="shared" si="298"/>
        <v/>
      </c>
      <c r="AH102" s="370" t="str">
        <f t="shared" si="351"/>
        <v/>
      </c>
      <c r="AI102" s="29"/>
      <c r="AJ102" s="29"/>
      <c r="AK102" s="110"/>
      <c r="AL102" s="375" t="str">
        <f>IF(OR(B102="", V102="", W102=""), "", IF(V102="No Change", K102, IF(V102="Remove Fixture", 0, IF(V102="Custom",VLOOKUP(W102,'Fixture Identities'!$A$6:$K$1023,10,FALSE),IF(AE102="", "← ENTER POST WATTS", 'Lighting Inventory'!AE102)))))</f>
        <v/>
      </c>
      <c r="AM102" s="376" t="str">
        <f t="shared" si="299"/>
        <v/>
      </c>
      <c r="AN102" s="29"/>
      <c r="AO102" s="671"/>
      <c r="AP102" s="29"/>
      <c r="AQ102" s="29"/>
      <c r="AR102" s="29"/>
      <c r="AS102" s="272" t="str">
        <f t="shared" si="352"/>
        <v/>
      </c>
      <c r="AT102" s="270" t="str">
        <f t="shared" si="300"/>
        <v/>
      </c>
      <c r="AU102" s="88" t="str">
        <f t="shared" si="400"/>
        <v/>
      </c>
      <c r="AV102" s="29"/>
      <c r="AW102" s="73"/>
      <c r="AX102" s="271" t="str">
        <f>IF(AND(AV102="Applicant",OR(AW102="", AW102="Use Default Facility Hours")),"← Choose Schedule",IF(F102="","",IF(W102="LED Exit Signs",8760,IF(OR(AV102="Prescribed",AV102=""),VLOOKUP(F102,'Lookup Tables'!$A$6:$G$59,IF(AB102="General", 6, 3),FALSE),VLOOKUP(AW102,'Lookup Tables'!$S$36:$U$43,2,FALSE)))))</f>
        <v/>
      </c>
      <c r="AY102" s="88" t="str">
        <f t="shared" si="301"/>
        <v/>
      </c>
      <c r="AZ102" s="270" t="str">
        <f>IFERROR(IF(F102="", "", IF(W102="LED Exit Signs", 1, IF(AV102="Applicant",VLOOKUP(AW102, 'Lookup Tables'!$S$36:$U$43,3, FALSE), VLOOKUP('Lighting Inventory'!F102, 'Lookup Tables'!$A$6:$H$59, IF('Lighting Inventory'!AB102="General",7,4), FALSE)))), "")</f>
        <v/>
      </c>
      <c r="BA102" s="522" t="str">
        <f>IFERROR(IF(F102="", "", IF(W102="LED Exit Signs", 1, VLOOKUP('Lighting Inventory'!F102, 'Lookup Tables'!$A$6:$H$59, IF('Lighting Inventory'!AB102="General",8,5), FALSE))), "")</f>
        <v/>
      </c>
      <c r="BB102" s="270" t="str">
        <f>IF(G102="", "", IF(E102="Exterior", 0, IF('Lighting Inventory'!G102="Air Conditioned", VLOOKUP(H102, 'Lookup Tables'!$R$6:$T$13, 2, FALSE), VLOOKUP('Lighting Inventory'!G102, 'Lookup Tables'!$R$6:$T$13, 2, FALSE))))</f>
        <v/>
      </c>
      <c r="BC102" s="522" t="str">
        <f>IF(G102="", "", IF(E102="Exterior", 0, IF('Lighting Inventory'!G102="Air Conditioned", VLOOKUP(H102, 'Lookup Tables'!$R$6:$T$13, 3, FALSE), VLOOKUP('Lighting Inventory'!G102, 'Lookup Tables'!$R$6:$T$13, 3, FALSE))))</f>
        <v/>
      </c>
      <c r="BD102" s="270" t="str">
        <f>IF(G102="", "", IF(E102="Exterior", 0, IF('Lighting Inventory'!G102="Air Conditioned", VLOOKUP(H102, 'Lookup Tables'!$R$6:$U$13, 4, FALSE), VLOOKUP('Lighting Inventory'!G102, 'Lookup Tables'!$R$6:$U$13, 4, FALSE))))</f>
        <v/>
      </c>
      <c r="BE102" s="270" t="str">
        <f>IFERROR(IF(B102="", "",  IF(B102="New Construction", VLOOKUP(F102, 'Lookup Tables'!$A$6:$K$59, 11, FALSE),IF(OR(AN102="", AN102="Light Switch"), 0, IF(OR(M102="",M102="None",V102= "LED Exit Signs"),0,_xlfn.XLOOKUP(M102,'Lookup Tables'!$R$91:$R$101,'Lookup Tables'!$V$91:$V$101))))), "")</f>
        <v/>
      </c>
      <c r="BF102" s="270" t="str">
        <f>IF(AND(OR(AN102="Light Switch",AN102=""),B102="New Construction"), VLOOKUP(F102, 'Lookup Tables'!$A$6:$K$59, 11, FALSE),IF(AN102="","",IF(B102="","",IF(OR(AN102="None",AN102="",V102="LED Exit Signs",AN102="Exterior Controls Not Eligible"),0,_xlfn.XLOOKUP(AN102,'Lookup Tables'!$R$91:$R$101,'Lookup Tables'!$V$91:$V$101)))))</f>
        <v/>
      </c>
      <c r="BG102" s="88" t="str">
        <f t="shared" si="353"/>
        <v/>
      </c>
      <c r="BH102" s="88" t="str">
        <f t="shared" si="354"/>
        <v/>
      </c>
      <c r="BI102" s="558" t="str">
        <f t="shared" si="398"/>
        <v/>
      </c>
      <c r="BJ102" s="82" t="str">
        <f t="shared" si="355"/>
        <v/>
      </c>
      <c r="BK102" s="82" t="str">
        <f t="shared" si="356"/>
        <v/>
      </c>
      <c r="BL102" s="559" t="str">
        <f t="shared" si="357"/>
        <v/>
      </c>
      <c r="BM102" s="521" t="str">
        <f t="shared" si="302"/>
        <v/>
      </c>
      <c r="BN102" s="521" t="str">
        <f t="shared" si="303"/>
        <v/>
      </c>
      <c r="BO102" s="522" t="str">
        <f t="shared" si="304"/>
        <v/>
      </c>
      <c r="BP102" s="83" t="str">
        <f t="shared" si="358"/>
        <v/>
      </c>
      <c r="BQ102" s="84" t="str">
        <f t="shared" si="359"/>
        <v/>
      </c>
      <c r="BR102" s="184" t="str">
        <f>IFERROR(IF(B102="", "", IF(OR(VLOOKUP(J102, 'Fixture Identities'!$A$6:$L$1023, 3, FALSE)="T12 Linear Fluorescent",VLOOKUP(J102, 'Fixture Identities'!$A$6:$L$1023, 3, FALSE)="T12 U-Tube Fluorescent"), "Y", "N")), "N")</f>
        <v/>
      </c>
      <c r="BS102" s="184" t="str">
        <f t="array" ref="BS102">IFERROR(IF(OR(B102="", V102="", W102=""), "", IF(V102="Custom", "N", IF(OR(W102="Freezer Case Lighting", W102="Refrigerated Case Lighting with Doors"), BT102, IF(B102="Retrofit", INDEX('Lookup Tables'!$AH$6:$AT$102,MATCH(1,('Lookup Tables'!$AH$6:$AH$102=V102)*('Lookup Tables'!$AI$6:$AI$102=W102),FALSE),IF(VLOOKUP(J102, 'Fixture Identities'!$A$6:$B$1023, 2, FALSE)="Incandescent",12, 13)), INDEX('Lookup Tables'!$AH$114:$AS$154,MATCH(1,('Lookup Tables'!$AH$114:$AH$154=V102)*('Lookup Tables'!$AI$114:$AI$154=W102),FALSE),12))))), "N")</f>
        <v/>
      </c>
      <c r="BT102" s="184" t="str">
        <f>IF(J102="", "", IF(AND(OR(W102="Freezer case Lighting", W102="Refrigerated Case Lighting with Doors"),'General Information'!$X$18="LCI"), "N", IF(OR(VLOOKUP(J102, 'Fixture Identities'!$A$6:$B$1023, 2, FALSE)="T12 EPACT/EISA Baseline", VLOOKUP(J102, 'Fixture Identities'!$A$6:$B$1023, 2, FALSE)="Linear Fluorescent", VLOOKUP(J102, 'Fixture Identities'!$A$6:$B$1023, 2, FALSE)="U-Tube Fluorescent"), "Y", "N")))</f>
        <v/>
      </c>
      <c r="BU102" s="184" t="str">
        <f>IFERROR(IF(B102="", "", IF(VLOOKUP(J102, 'Fixture Identities'!$A$6:$B$1023, 2, FALSE)="Exit Sign", "Y", "N")), "N")</f>
        <v/>
      </c>
      <c r="BV102" s="184" t="str">
        <f>IF(V102="Exit Signs", IF(VLOOKUP(J102, 'Fixture Identities'!$A$6:$B$1023, 2, FALSE)="Exit Sign", "N", "Y"), "")</f>
        <v/>
      </c>
      <c r="BW102" s="184" t="str">
        <f t="array" ref="BW102">IFERROR(IF(B102="", "", IF(B102="New Construction", "N", INDEX('Lookup Tables'!$AH$6:$AU$102, MATCH(1, ('Lookup Tables'!$AH$6:$AH$102='Lighting Inventory'!V102)*('Lookup Tables'!$AI$6:$AI$102='Lighting Inventory'!W102), 0), 14))), "N")</f>
        <v/>
      </c>
      <c r="BX102" s="598" t="str">
        <f t="shared" si="360"/>
        <v/>
      </c>
      <c r="BY102" s="598" t="str">
        <f t="shared" si="361"/>
        <v/>
      </c>
      <c r="BZ102" s="598" t="str">
        <f t="shared" si="362"/>
        <v/>
      </c>
      <c r="CA102" s="598" t="str">
        <f t="shared" si="363"/>
        <v/>
      </c>
      <c r="CB102" s="269" t="str">
        <f t="shared" si="364"/>
        <v/>
      </c>
      <c r="CC102" s="517" t="str">
        <f t="shared" si="365"/>
        <v/>
      </c>
      <c r="CD102" s="565" t="str">
        <f t="shared" si="305"/>
        <v/>
      </c>
      <c r="CE102" s="368">
        <v>0</v>
      </c>
      <c r="CF102" s="368" t="str" cm="1">
        <f t="array" ref="CF102">IFERROR(IF(V102="Custom", "$0.1 per kWh", IF(B102="New Construction", CONCATENATE("$",INDEX('Lookup Tables'!$AH$114:$AN$154,MATCH(1,('Lookup Tables'!$AH$114:$AH$154='Lighting Inventory'!V102)*('Lookup Tables'!$AI$114:$AI$154='Lighting Inventory'!W102),FALSE),6)," ",INDEX('Lookup Tables'!$AH$114:$AN$154,MATCH(1,('Lookup Tables'!$AH$114:$AH$154='Lighting Inventory'!V102)*('Lookup Tables'!$AI$114:$AI$154='Lighting Inventory'!W102),FALSE),7)), IF(AND(BU102="N", V102="Exit Signs"), "$0.025 per kWh", CONCATENATE("$",INDEX('Lookup Tables'!$AH$6:$AN$102,MATCH(1,('Lookup Tables'!$AH$6:$AH$102='Lighting Inventory'!V102)*('Lookup Tables'!$AI$6:$AI$102='Lighting Inventory'!W102),FALSE),6)," ",INDEX('Lookup Tables'!$AH$6:$AN$102,MATCH(1,('Lookup Tables'!$AH$6:$AH$102='Lighting Inventory'!V102)*('Lookup Tables'!$AI$6:$AI$102='Lighting Inventory'!W102),FALSE),7))))), "")</f>
        <v/>
      </c>
      <c r="CG102" s="366"/>
      <c r="CH102" s="248" t="str">
        <f t="shared" si="306"/>
        <v/>
      </c>
      <c r="CI102" s="248" t="str">
        <f t="shared" si="307"/>
        <v>Select_IE</v>
      </c>
      <c r="CJ102" s="248" t="str">
        <f t="shared" si="308"/>
        <v/>
      </c>
      <c r="CK102" s="248" t="str">
        <f t="shared" si="309"/>
        <v/>
      </c>
      <c r="CL102" s="248" t="str">
        <f t="shared" si="310"/>
        <v/>
      </c>
      <c r="CM102" s="248" t="str">
        <f>IFERROR(IF(B102="", "", IF(B102="New Construction", VLOOKUP(V102, 'Lookup Tables'!$AF$114:$AG$120, 2, FALSE), VLOOKUP(V102, 'Lookup Tables'!$AD$6:$AE$25, 2, FALSE))), "")</f>
        <v/>
      </c>
      <c r="CN102" s="248" t="str">
        <f t="shared" si="311"/>
        <v/>
      </c>
      <c r="CO102" s="248" t="str">
        <f t="shared" si="312"/>
        <v/>
      </c>
      <c r="CP102" s="592" t="str">
        <f t="shared" si="313"/>
        <v/>
      </c>
      <c r="CQ102" s="248" t="str">
        <f t="shared" si="366"/>
        <v/>
      </c>
      <c r="CR102" s="249"/>
      <c r="CS102" s="250" t="str">
        <f t="shared" si="314"/>
        <v/>
      </c>
      <c r="CT102" s="250" t="str">
        <f t="shared" si="367"/>
        <v/>
      </c>
      <c r="CU102" s="250" t="str">
        <f t="shared" si="368"/>
        <v/>
      </c>
      <c r="CV102" s="250" t="str">
        <f t="shared" si="369"/>
        <v/>
      </c>
      <c r="CW102" s="250" t="str">
        <f t="shared" si="370"/>
        <v/>
      </c>
      <c r="CX102" s="250" t="str">
        <f t="shared" si="315"/>
        <v/>
      </c>
      <c r="CY102" s="250" t="str">
        <f t="shared" si="316"/>
        <v/>
      </c>
      <c r="CZ102" s="250" t="str">
        <f t="shared" si="317"/>
        <v/>
      </c>
      <c r="DA102" s="250" t="str">
        <f t="shared" si="318"/>
        <v/>
      </c>
      <c r="DB102" s="250" t="str">
        <f t="shared" si="319"/>
        <v/>
      </c>
      <c r="DC102" s="250" t="str">
        <f t="shared" si="320"/>
        <v/>
      </c>
      <c r="DD102" s="250" t="str">
        <f t="shared" si="321"/>
        <v/>
      </c>
      <c r="DE102" s="250" t="str">
        <f t="shared" si="322"/>
        <v/>
      </c>
      <c r="DF102" s="250" t="str">
        <f t="shared" si="323"/>
        <v/>
      </c>
      <c r="DG102" s="250" t="str">
        <f t="shared" si="324"/>
        <v/>
      </c>
      <c r="DH102" s="250" t="str">
        <f t="shared" si="325"/>
        <v/>
      </c>
      <c r="DI102" s="250" t="str">
        <f t="shared" si="326"/>
        <v/>
      </c>
      <c r="DJ102" s="250" t="str">
        <f t="shared" si="327"/>
        <v/>
      </c>
      <c r="DK102" s="250" t="str">
        <f t="shared" si="328"/>
        <v/>
      </c>
      <c r="DL102" s="250" t="str">
        <f t="shared" si="329"/>
        <v/>
      </c>
      <c r="DM102" s="250" t="str">
        <f>IF(CD102="ERROR", "ERROR", IF(AND(OR(Y102=$DM$6, Y102='Lookup Tables'!$AD$21, Y102='Lookup Tables'!$AD$22), E102="Interior"), BJ102, ""))</f>
        <v/>
      </c>
      <c r="DN102" s="250" t="str">
        <f>IF(CD102="ERROR", "ERROR", IF(AND(OR(Y102=$DM$6, Y102='Lookup Tables'!$AD$21, Y102='Lookup Tables'!$AD$22), E102="Exterior"), BJ102, ""))</f>
        <v/>
      </c>
      <c r="DO102" s="249"/>
      <c r="DP102" s="250" t="str">
        <f t="shared" si="330"/>
        <v/>
      </c>
      <c r="DQ102" s="250" t="str">
        <f t="shared" si="371"/>
        <v/>
      </c>
      <c r="DR102" s="250" t="str">
        <f t="shared" si="372"/>
        <v/>
      </c>
      <c r="DS102" s="250" t="str">
        <f t="shared" si="373"/>
        <v/>
      </c>
      <c r="DT102" s="250" t="str">
        <f t="shared" si="374"/>
        <v/>
      </c>
      <c r="DU102" s="250" t="str">
        <f t="shared" si="331"/>
        <v/>
      </c>
      <c r="DV102" s="250" t="str">
        <f t="shared" si="332"/>
        <v/>
      </c>
      <c r="DW102" s="250" t="str">
        <f t="shared" si="333"/>
        <v/>
      </c>
      <c r="DX102" s="250" t="str">
        <f t="shared" si="334"/>
        <v/>
      </c>
      <c r="DY102" s="250" t="str">
        <f t="shared" si="335"/>
        <v/>
      </c>
      <c r="DZ102" s="250" t="str">
        <f t="shared" si="336"/>
        <v/>
      </c>
      <c r="EA102" s="250" t="str">
        <f t="shared" si="337"/>
        <v/>
      </c>
      <c r="EB102" s="250" t="str">
        <f t="shared" si="375"/>
        <v/>
      </c>
      <c r="EC102" s="250" t="str">
        <f t="shared" si="338"/>
        <v/>
      </c>
      <c r="ED102" s="250" t="str">
        <f t="shared" si="339"/>
        <v/>
      </c>
      <c r="EE102" s="250" t="str">
        <f t="shared" si="340"/>
        <v/>
      </c>
      <c r="EF102" s="250" t="str">
        <f t="shared" si="341"/>
        <v/>
      </c>
      <c r="EG102" s="250" t="str">
        <f t="shared" si="342"/>
        <v/>
      </c>
      <c r="EH102" s="250" t="str">
        <f>IF(CD102="ERROR", "ERROR", IF(AND(OR($EH$6=Y102, Y102='Lookup Tables'!$AD$21, Y102='Lookup Tables'!$AD$22),E102="Interior"), SUM(BP102:BP102), ""))</f>
        <v/>
      </c>
      <c r="EI102" s="250" t="str">
        <f>IF(CD102="ERROR", "ERROR", IF(AND(OR($EH$6=Y102, Y102='Lookup Tables'!$AD$21, Y102='Lookup Tables'!$AD$22),E102="Exterior"), SUM(BP102:BP102), ""))</f>
        <v/>
      </c>
      <c r="EJ102" s="109"/>
      <c r="EK102" s="485" t="str">
        <f t="shared" si="343"/>
        <v/>
      </c>
      <c r="EL102" s="252" t="str">
        <f t="shared" si="376"/>
        <v/>
      </c>
      <c r="EM102" s="252" t="str">
        <f t="shared" si="377"/>
        <v/>
      </c>
      <c r="EN102" s="252" t="str">
        <f t="shared" si="378"/>
        <v/>
      </c>
      <c r="EO102" s="252" t="str">
        <f t="shared" si="379"/>
        <v/>
      </c>
      <c r="EP102" s="252" t="str">
        <f t="shared" si="380"/>
        <v/>
      </c>
      <c r="EQ102" s="252" t="str">
        <f t="shared" si="381"/>
        <v/>
      </c>
      <c r="ER102" s="252" t="str">
        <f t="shared" si="382"/>
        <v/>
      </c>
      <c r="ES102" s="252" t="str">
        <f t="shared" si="383"/>
        <v/>
      </c>
      <c r="ET102" s="252" t="str">
        <f t="shared" si="384"/>
        <v/>
      </c>
      <c r="EU102" s="252" t="str">
        <f t="shared" si="385"/>
        <v/>
      </c>
      <c r="EV102" s="252" t="str">
        <f t="shared" si="386"/>
        <v/>
      </c>
      <c r="EW102" s="252" t="str">
        <f t="shared" si="387"/>
        <v/>
      </c>
      <c r="EX102" s="252" t="str">
        <f t="shared" si="388"/>
        <v/>
      </c>
      <c r="EY102" s="252" t="str">
        <f t="shared" si="389"/>
        <v/>
      </c>
      <c r="EZ102" s="252" t="str">
        <f t="shared" si="390"/>
        <v/>
      </c>
      <c r="FA102" s="252" t="str">
        <f t="shared" si="391"/>
        <v/>
      </c>
      <c r="FB102" s="252" t="str">
        <f t="shared" si="392"/>
        <v/>
      </c>
      <c r="FC102" s="252" t="str">
        <f>IF(CD102="ERROR", "ERROR", IF(OR(V102="No Change", V102="Not DLC or Energy Star"), "", IF(AND(OR($FC$6=Y102,Y102='Lookup Tables'!$AD$21, Y102='Lookup Tables'!$AD$22),E102="Interior"), S102, "")))</f>
        <v/>
      </c>
      <c r="FD102" s="252" t="str">
        <f t="shared" si="393"/>
        <v/>
      </c>
      <c r="FE102" s="1"/>
      <c r="FF102" s="579" t="str" cm="1">
        <f t="array" ref="FF102">IFERROR(IF(OR(BQ102&lt;=0,AQ102&lt;20,AND(V102="Exit Signs",AN102&gt;0)),"",IF(AND(AQ102&gt;=20,AN102='Lookup Tables'!$R$101),'Lookup Tables'!$U$101*BQ102,AP102*LOOKUP(2,1/((AN102='Lookup Tables'!$R$91:$R$111)*(AQ102&gt;='Lookup Tables'!$S$91:$S$111)*(AQ102&lt;='Lookup Tables'!$T$91:$T$111)),'Lookup Tables'!$U$91:$U$111))),"")</f>
        <v/>
      </c>
      <c r="FG102" s="579"/>
      <c r="FH102" s="579"/>
      <c r="FI102" s="253" t="str">
        <f>IFERROR(ROUND(IF(CD102="ERROR", "ERROR", IF(AND($FI$7=X102,E102="Interior"),VLOOKUP(W102, 'Lookup Tables'!$AI$6:$AM$102, 5, FALSE)*BP102, "")), 2), "")</f>
        <v/>
      </c>
      <c r="FJ102" s="253" t="str">
        <f>IFERROR(ROUND(IF(CD102="ERROR", "ERROR", IF(AND($FI$7=X102,E102="Exterior"),VLOOKUP(W102, 'Lookup Tables'!$AI$6:$AM$102, 5, FALSE)*BP102, "")), 2), "")</f>
        <v/>
      </c>
      <c r="FK102" s="253" t="str">
        <f>IFERROR(ROUND(IF(CD102="ERROR", "ERROR", IF(AND($FK$7=X102,E102="Interior"),VLOOKUP(W102, 'Lookup Tables'!$AI$6:$AM$102, 5, FALSE)*BP102, "")), 2), "")</f>
        <v/>
      </c>
      <c r="FL102" s="253" t="str">
        <f>IFERROR(ROUND(IF(CD102="ERROR", "ERROR", IF(AND($FK$7=X102,E102="Exterior"),VLOOKUP(W102, 'Lookup Tables'!$AI$6:$AM$102, 5, FALSE)*BP102, "")), 2), "")</f>
        <v/>
      </c>
      <c r="FM102" s="253" t="str">
        <f>IFERROR(ROUND(IF(CD102="ERROR", "ERROR", IF(AND($FM$6=Y102,E102="Interior"), IF(GB102=0, VLOOKUP(W102, 'Lookup Tables'!$AI$6:$AM$102, 5, FALSE)*BP102, IF(VLOOKUP(W102, 'Lookup Tables'!$AI$6:$AM$102, 5, FALSE)*BP102&gt;GB102*'Lighting Inventory'!S102, GB102*'Lighting Inventory'!S102,VLOOKUP(W102, 'Lookup Tables'!$AI$6:$AM$102, 5, FALSE)*BP102)), "")), 2), "")</f>
        <v/>
      </c>
      <c r="FN102" s="253" t="str">
        <f>IFERROR(ROUND(IF(CD102="ERROR", "ERROR", IF(AND($FM$6=Y102,E102="Exterior"), IF(GB102=0, VLOOKUP(W102, 'Lookup Tables'!$AI$6:$AM$102, 5, FALSE)*BP102, IF(VLOOKUP(W102, 'Lookup Tables'!$AI$6:$AM$102, 5, FALSE)*BP102&gt;GB102*'Lighting Inventory'!S102, GB102*'Lighting Inventory'!S102,VLOOKUP(W102, 'Lookup Tables'!$AI$6:$AM$102, 5, FALSE)*BP102)), "")), 2), "")</f>
        <v/>
      </c>
      <c r="FO102" s="253" t="str">
        <f>IFERROR(ROUND(IF(CD102="ERROR", "ERROR", IF(AND($FO$6=Y102,E102="Interior"),VLOOKUP(W102, 'Lookup Tables'!$AI$6:$AM$102, 5, FALSE)*'Lighting Inventory'!AI102, "")), 2), "")</f>
        <v/>
      </c>
      <c r="FP102" s="253" t="str">
        <f>IFERROR(ROUND(IF(CD102="ERROR", "ERROR", IF(AND($FO$6=Y102,E102="Exterior"),VLOOKUP(W102, 'Lookup Tables'!$AI$6:$AM$102, 5, FALSE)*'Lighting Inventory'!AI102, "")), 2), "")</f>
        <v/>
      </c>
      <c r="FQ102" s="253" t="str">
        <f>IFERROR(ROUND(IF(CD102="ERROR", "ERROR", IF(AND($FQ$6=Y102,E102="Interior", BU102="Y"), VLOOKUP('Lighting Inventory'!W102, 'Lookup Tables'!$AI$6:$AM$102, 5, FALSE)*'Lighting Inventory'!S102, IF(AND($FQ$7=Y102,E102="Interior", BU102="N"), 0.025*CD102, ""))), 2), "")</f>
        <v/>
      </c>
      <c r="FR102" s="253" t="str">
        <f>IFERROR(ROUND(IF(CD102="ERROR", "ERROR", IF(AND($FQ$6=Y102,E102="Exterior"), VLOOKUP('Lighting Inventory'!W102, 'Lookup Tables'!$AI$6:$AM$102, 5, FALSE)*'Lighting Inventory'!S102, "")), 2), "")</f>
        <v/>
      </c>
      <c r="FS102" s="253" t="str">
        <f>IFERROR(ROUND(IF(CD102="ERROR", "ERROR", IF(AND($FS$6=Y102,E102="Exterior"), IF(GB102=0, VLOOKUP(W102, 'Lookup Tables'!$AI$6:$AM$102, 5, FALSE)*BP102, IF(VLOOKUP(W102, 'Lookup Tables'!$AI$6:$AM$102, 5, FALSE)*BP102&gt;GB102*'Lighting Inventory'!S102, GB102*'Lighting Inventory'!S102,VLOOKUP(W102, 'Lookup Tables'!$AI$6:$AM$102, 5, FALSE)*BP102)), "")), 2), "")</f>
        <v/>
      </c>
      <c r="FT102" s="253" t="str">
        <f>IFERROR(ROUND(IF(CD102="ERROR", "ERROR", IF(AND($FT$6=Y102,E102="Interior"), IF(GB102=0, VLOOKUP(W102, 'Lookup Tables'!$AI$6:$AM$102, 5, FALSE)*BP102, IF(VLOOKUP(W102, 'Lookup Tables'!$AI$6:$AM$102, 5, FALSE)*BP102&gt;GB102*'Lighting Inventory'!S102, GB102*'Lighting Inventory'!S102,VLOOKUP(W102, 'Lookup Tables'!$AI$6:$AM$102, 5, FALSE)*BP102)), "")), 2), "")</f>
        <v/>
      </c>
      <c r="FU102" s="253" t="str">
        <f>IFERROR(ROUND(IF(CD102="ERROR", "ERROR", IF(AND(Y102=$FU$6, E102="Interior"), IF(BS102="N", 'Lookup Tables'!$AM$101*BP102, VLOOKUP(W102, 'Lookup Tables'!$AI$6:$AM$102, 5, FALSE)*S102*AD102), "")), 2), "")</f>
        <v/>
      </c>
      <c r="FV102" s="253" t="str">
        <f>IFERROR(ROUND(IF(CD102="ERROR", "ERROR", IF(AND(Y102=$FU$6, E102="Exterior"), IF(BS102="N", 'Lookup Tables'!$AM$101*BP102, VLOOKUP(W102, 'Lookup Tables'!$AI$6:$AM$102, 5, FALSE)*S102*AD102), "")), 2), "")</f>
        <v/>
      </c>
      <c r="FW102" s="253" t="str">
        <f>IFERROR(ROUND(IF(CD102="ERROR", "ERROR", IF($FW$6=Y102, IF(BS102="N", 'Lookup Tables'!$AM$101*BP102, MIN((VLOOKUP(W102, 'Lookup Tables'!$AI$6:$AM$102, 5, FALSE)*BP102),GB102*AJ102)), "")), 2), "")</f>
        <v/>
      </c>
      <c r="FX102" s="253" t="str">
        <f>IFERROR(ROUND(IF(CD102="ERROR", "ERROR", IF(AND($FX$6=Y102, E102="Interior"), IF(VLOOKUP(W102, 'Lookup Tables'!$AI$6:$AM$102, 5, FALSE)*BP102&gt;'Lookup Tables'!$AQ$97*'Lighting Inventory'!S102,'Lighting Inventory'!S102*'Lookup Tables'!$AQ$97,VLOOKUP(W102, 'Lookup Tables'!$AI$6:$AM$102, 5, FALSE)*BP102), "")), 2), "")</f>
        <v/>
      </c>
      <c r="FY102" s="253" t="str">
        <f>IFERROR(ROUND(IF(CD102="ERROR", "ERROR", IF(AND($FX$6=Y102, E102="Exterior"), IF(VLOOKUP(W102, 'Lookup Tables'!$AI$6:$AM$102, 5, FALSE)*BP102&gt;'Lookup Tables'!$AQ$97*'Lighting Inventory'!S102,'Lighting Inventory'!S102*'Lookup Tables'!$AQ$97,VLOOKUP(W102, 'Lookup Tables'!$AI$6:$AM$102, 5, FALSE)*BP102), "")), 2), "")</f>
        <v/>
      </c>
      <c r="FZ102" s="253" t="str">
        <f>IFERROR(ROUND(IF(CD102="ERROR", "ERROR", IF(AND($FZ$6=Y102, E102="Interior"), IF(AND(OR(W102="Refrigerated Case Lighting with Doors", W102="Freezer Case Lighting"),Y102="Custom - Process Improvement"),CD102*'Lookup Tables'!$AM$101, IF(B102="Retrofit", IF(VLOOKUP(IF(V102="Custom", V102, W102), 'Lookup Tables'!$AI$6:$AM$102, 5, FALSE)*BP102&gt;GE102, GE102, VLOOKUP(IF(V102="Custom", V102, W102), 'Lookup Tables'!$AI$6:$AM$102, 5, FALSE)*BP102), IF(VLOOKUP(IF(V102="Custom", V102, W102), 'Lookup Tables'!$AI$114:$AM$154, 5, FALSE)*BP102&gt;GE102, GE102, VLOOKUP(IF(V102="Custom", V102, W102), 'Lookup Tables'!$AI$114:$AM$154, 5, FALSE)*BP102))), "")), 2),"")</f>
        <v/>
      </c>
      <c r="GA102" s="253" t="str">
        <f>IFERROR(ROUND(IF(CD102="ERROR", "ERROR", IF(AND($FZ$6=Y102, E102="Exterior"), IF(B102="Retrofit", IF(VLOOKUP(IF(V102="Custom", V102, W102), 'Lookup Tables'!$AI$6:$AM$102, 5, FALSE)*BP102&gt;GE102, GE102, VLOOKUP(IF(V102="Custom", V102, W102), 'Lookup Tables'!$AI$6:$AM$102, 5, FALSE)*BP102), IF(VLOOKUP(IF(V102="Custom", V102, W102), 'Lookup Tables'!$AI$114:$AM$154, 5, FALSE)*BP102&gt;GE102, GE102, VLOOKUP(IF(V102="Custom", V102, W102), 'Lookup Tables'!$AI$114:$AM$154, 5, FALSE)*BP102)), "")), 2),"")</f>
        <v/>
      </c>
      <c r="GB102" s="254" t="str">
        <f t="array" ref="GB102">IF(B102="","",IF(OR(V102="Custom",V102="No Change"),0,IF(B102="Retrofit", INDEX('Lookup Tables'!$AH$6:$AQ$102,MATCH(1,('Lookup Tables'!$AH$6:$AH$102='Lighting Inventory'!V102)*('Lookup Tables'!$AI$6:$AI$102='Lighting Inventory'!W102),FALSE),10),INDEX('Lookup Tables'!$AH$114:$AQ$154,MATCH(1,('Lookup Tables'!$AH$114:$AH$154='Lighting Inventory'!V102)*('Lookup Tables'!$AI$114:$AI$154='Lighting Inventory'!W102),FALSE),10))))</f>
        <v/>
      </c>
      <c r="GC102" s="255" t="str">
        <f t="shared" si="344"/>
        <v/>
      </c>
      <c r="GD102" s="250" t="str">
        <f t="shared" si="345"/>
        <v/>
      </c>
      <c r="GE102" s="253" t="str">
        <f>IFERROR(IF(AND(AF102="", 'General Information'!$F$18="No"),"", IF(AF102="", ((GD102/$CD$266)*$CF$266)*0.5, AF102*S102*0.5)), "")</f>
        <v/>
      </c>
      <c r="GF102" s="255" t="str">
        <f>IF(AND('General Information'!$F$19="", 'General Information'!$F$18="Yes",AF102="",BW102="Y"), "Y", "N")</f>
        <v>N</v>
      </c>
      <c r="GG102" s="255" t="s">
        <v>2946</v>
      </c>
      <c r="GH102" s="255" t="str">
        <f>IFERROR(IF(B102="", "", VLOOKUP(J102, 'Fixture Identities'!$A$6:$N$908, 14, FALSE)), "")</f>
        <v/>
      </c>
      <c r="GI102" s="389" t="str">
        <f>IF(OR(B102="", V102="", W102=""), "", IF(AND(OR(M102='Lookup Tables'!$R$18, M102='Lookup Tables'!$R$19, M102='Lookup Tables'!$R$20, M102='Lookup Tables'!$R$21, M102='Lookup Tables'!$R$22), OR(AN102='Lookup Tables'!$R$17, AN102='Lookup Tables'!$R$17, AN102="")), "Y", "N"))</f>
        <v/>
      </c>
      <c r="GJ102" s="255" t="str">
        <f t="shared" si="346"/>
        <v/>
      </c>
      <c r="GK102" s="255" t="str">
        <f t="shared" si="347"/>
        <v/>
      </c>
      <c r="GL102" s="255" t="str">
        <f t="shared" si="348"/>
        <v/>
      </c>
      <c r="GM102" s="255" t="str">
        <f>IF(AN102="", "", IF(AND(IF(ISNA(VLOOKUP(AN102,'Lookup Tables'!$R$18:$R$22,1,FALSE)), "N", "Y")="Y", E102="Exterior"), "Y", "N"))</f>
        <v/>
      </c>
      <c r="GN102" s="395"/>
      <c r="GO102" s="428">
        <f t="shared" si="394"/>
        <v>0</v>
      </c>
      <c r="GP102" s="428">
        <f t="shared" si="397"/>
        <v>0</v>
      </c>
      <c r="GQ102" s="428">
        <f t="shared" si="395"/>
        <v>0</v>
      </c>
      <c r="GR102" s="428">
        <f t="shared" si="396"/>
        <v>0</v>
      </c>
    </row>
    <row r="103" spans="1:200" s="103" customFormat="1" ht="13.5" customHeight="1" x14ac:dyDescent="0.2">
      <c r="A103" s="272">
        <v>93</v>
      </c>
      <c r="B103" s="110"/>
      <c r="C103" s="110"/>
      <c r="D103" s="110"/>
      <c r="E103" s="110"/>
      <c r="F103" s="110"/>
      <c r="G103" s="110"/>
      <c r="H103" s="110"/>
      <c r="I103" s="29"/>
      <c r="J103" s="29"/>
      <c r="K103" s="272" t="str">
        <f>IFERROR(IF(OR(VLOOKUP(J103, 'Fixture Identities'!$A$6:$L$1023, 3, FALSE)="T12 Linear Fluorescent", VLOOKUP(J103, 'Fixture Identities'!$A$6:$L$1023, 3, FALSE)="T12 U-Tube Fluorescent"), VLOOKUP(VLOOKUP(J103, 'Fixture Identities'!$A$6:$L$1023, 11, FALSE), 'Fixture Identities'!$A$6:$L$1023, 10, FALSE), VLOOKUP(J103, 'Fixture Identities'!$A$6:$L$1023, 10, FALSE)), "")</f>
        <v/>
      </c>
      <c r="L103" s="270" t="str">
        <f t="shared" si="399"/>
        <v/>
      </c>
      <c r="M103" s="110"/>
      <c r="N103" s="110"/>
      <c r="O103" s="110"/>
      <c r="P103" s="272" t="str">
        <f>IFERROR(IF(OR(B103="Retrofit",B103=""),"",IF('Lighting Inventory'!E103="Exterior",VLOOKUP('Lighting Inventory'!N103,'Lookup Tables'!$B$83:$F$103,5,FALSE),IF(N103="Other - Please Estimate EFLH and CFs","Contact Prog. Rep.","ft^2"))), "")</f>
        <v/>
      </c>
      <c r="Q103" s="270" t="str">
        <f>IFERROR(IF(AND(B103="New Construction",E103="Interior",$F$5="Space-by-Space"),VLOOKUP('Lighting Inventory'!N103,'Lookup Tables'!$N$6:$O$97,2,FALSE),IF(AND(B103="New Construction",E103="Exterior"),VLOOKUP(N103,'Lookup Tables'!$B$83:$F$103,2,FALSE),IF(AND(B103="New Construction",'Lighting Inventory'!E103="Interior", $F$5="Building Area"),VLOOKUP(F103,'Lookup Tables'!$A$6:$J$59,10,FALSE),""))), "")</f>
        <v/>
      </c>
      <c r="R103" s="270" t="str">
        <f>IFERROR(IF(P103="Contact Prog. Rep.", "ERROR", IF(OR(B103="",B103="Retrofit"),"",IF(N103="Automated teller machines", ('Lookup Tables'!$A$82:$E$100+('Lighting Inventory'!O103-1)*'Lookup Tables'!$A$82:$E$100)/1000, (Q103*O103)/1000))), "")</f>
        <v/>
      </c>
      <c r="S103" s="595"/>
      <c r="T103" s="105" t="str">
        <f t="shared" si="349"/>
        <v/>
      </c>
      <c r="U103" s="105" t="str">
        <f>IF(S103="","",COUNT($S$11:S103))</f>
        <v/>
      </c>
      <c r="V103" s="111"/>
      <c r="W103" s="112"/>
      <c r="X103" s="105" t="str">
        <f t="shared" si="350"/>
        <v/>
      </c>
      <c r="Y103" s="105" t="str">
        <f t="array" ref="Y103">IF(AND(OR(W103="Freezer Case Lighting", W103="Refrigerated Case Lighting with Doors"), 'General Information'!$X$18="LCI"),'Lookup Tables'!$Y$34, IF(V103="Custom", VLOOKUP(W103, 'Fixture Identities'!$A$974:$M$1023, 13, FALSE), IF(V103="No Change",'Lookup Tables'!$Y$29,IF(OR(V103="",W103=""),"",IF(AND(S103=0,S103&lt;I103,B103="Retrofit"),'Lookup Tables'!$Y$25, IF(B103="Retrofit", INDEX('Lookup Tables'!$AH$6:$AP$102, MATCH(1, ('Lookup Tables'!$AH$6:$AH$102=V103)*('Lookup Tables'!$AI$6:$AI$102=W103), 0), IF('Lighting Inventory'!E103="Interior", 4, 5)), INDEX('Lookup Tables'!$AH$114:$AP$154, MATCH(1, ('Lookup Tables'!$AH$114:$AH$154=V103)*('Lookup Tables'!$AI$114:$AI$154=W103), 0), IF('Lighting Inventory'!E103="Interior", 4, 5))))))))</f>
        <v/>
      </c>
      <c r="Z103" s="105" t="str">
        <f>IFERROR(INDEX('Lookup Tables'!$AH$158:$AH$172,MATCH('Lighting Inventory'!Y103,'Lookup Tables'!$AI$158:$AI$172,0)),"")</f>
        <v/>
      </c>
      <c r="AA103" s="105" t="str">
        <f>IF(AP103&gt;0,INDEX('Lookup Tables'!$AK$158:$AK$172,MATCH('Lighting Inventory'!Y103,'Lookup Tables'!$AI$158:$AI$172,0)),'Lighting Inventory'!Y103)</f>
        <v/>
      </c>
      <c r="AB103" s="105" t="str">
        <f t="array" ref="AB103">IF(V103="Custom", "Custom", IF(V103="", "", IF(V103="Not DLC or Energy Star", "General", IF(B103="New Construction", INDEX('Lookup Tables'!$AH$114:$AP$154,MATCH(1,('Lookup Tables'!$AH$114:$AH$154='Lighting Inventory'!V103)*('Lookup Tables'!$AI$114:$AI$154='Lighting Inventory'!W103),FALSE),8), INDEX('Lookup Tables'!$AH$6:$AP$102,MATCH(1,('Lookup Tables'!$AH$6:$AH$102='Lighting Inventory'!V103)*('Lookup Tables'!$AI$6:$AI$102='Lighting Inventory'!W103),FALSE),8)))))</f>
        <v/>
      </c>
      <c r="AC103" s="272" t="str">
        <f>IF(W103="","",IF(V103="Custom",CONCATENATE("$",'Lookup Tables'!$AM$101," ",'Lookup Tables'!$AN$101),CONCATENATE("$",INDEX('Lookup Tables'!$AM$6:$AM$102,MATCH('Lighting Inventory'!W103,'Lookup Tables'!$AI$6:$AI$102,0))," ",INDEX('Lookup Tables'!$AN$6:$AN$102,MATCH('Lighting Inventory'!W103,'Lookup Tables'!$AI$6:$AI$102,0)))))</f>
        <v/>
      </c>
      <c r="AD103" s="72"/>
      <c r="AE103" s="29"/>
      <c r="AF103" s="379"/>
      <c r="AG103" s="370" t="str">
        <f t="shared" si="298"/>
        <v/>
      </c>
      <c r="AH103" s="370" t="str">
        <f t="shared" si="351"/>
        <v/>
      </c>
      <c r="AI103" s="29"/>
      <c r="AJ103" s="29"/>
      <c r="AK103" s="110"/>
      <c r="AL103" s="375" t="str">
        <f>IF(OR(B103="", V103="", W103=""), "", IF(V103="No Change", K103, IF(V103="Remove Fixture", 0, IF(V103="Custom",VLOOKUP(W103,'Fixture Identities'!$A$6:$K$1023,10,FALSE),IF(AE103="", "← ENTER POST WATTS", 'Lighting Inventory'!AE103)))))</f>
        <v/>
      </c>
      <c r="AM103" s="376" t="str">
        <f t="shared" si="299"/>
        <v/>
      </c>
      <c r="AN103" s="29"/>
      <c r="AO103" s="671"/>
      <c r="AP103" s="29"/>
      <c r="AQ103" s="29"/>
      <c r="AR103" s="29"/>
      <c r="AS103" s="272" t="str">
        <f t="shared" si="352"/>
        <v/>
      </c>
      <c r="AT103" s="270" t="str">
        <f t="shared" si="300"/>
        <v/>
      </c>
      <c r="AU103" s="88" t="str">
        <f t="shared" si="400"/>
        <v/>
      </c>
      <c r="AV103" s="29"/>
      <c r="AW103" s="73"/>
      <c r="AX103" s="271" t="str">
        <f>IF(AND(AV103="Applicant",OR(AW103="", AW103="Use Default Facility Hours")),"← Choose Schedule",IF(F103="","",IF(W103="LED Exit Signs",8760,IF(OR(AV103="Prescribed",AV103=""),VLOOKUP(F103,'Lookup Tables'!$A$6:$G$59,IF(AB103="General", 6, 3),FALSE),VLOOKUP(AW103,'Lookup Tables'!$S$36:$U$43,2,FALSE)))))</f>
        <v/>
      </c>
      <c r="AY103" s="88" t="str">
        <f t="shared" si="301"/>
        <v/>
      </c>
      <c r="AZ103" s="270" t="str">
        <f>IFERROR(IF(F103="", "", IF(W103="LED Exit Signs", 1, IF(AV103="Applicant",VLOOKUP(AW103, 'Lookup Tables'!$S$36:$U$43,3, FALSE), VLOOKUP('Lighting Inventory'!F103, 'Lookup Tables'!$A$6:$H$59, IF('Lighting Inventory'!AB103="General",7,4), FALSE)))), "")</f>
        <v/>
      </c>
      <c r="BA103" s="522" t="str">
        <f>IFERROR(IF(F103="", "", IF(W103="LED Exit Signs", 1, VLOOKUP('Lighting Inventory'!F103, 'Lookup Tables'!$A$6:$H$59, IF('Lighting Inventory'!AB103="General",8,5), FALSE))), "")</f>
        <v/>
      </c>
      <c r="BB103" s="270" t="str">
        <f>IF(G103="", "", IF(E103="Exterior", 0, IF('Lighting Inventory'!G103="Air Conditioned", VLOOKUP(H103, 'Lookup Tables'!$R$6:$T$13, 2, FALSE), VLOOKUP('Lighting Inventory'!G103, 'Lookup Tables'!$R$6:$T$13, 2, FALSE))))</f>
        <v/>
      </c>
      <c r="BC103" s="522" t="str">
        <f>IF(G103="", "", IF(E103="Exterior", 0, IF('Lighting Inventory'!G103="Air Conditioned", VLOOKUP(H103, 'Lookup Tables'!$R$6:$T$13, 3, FALSE), VLOOKUP('Lighting Inventory'!G103, 'Lookup Tables'!$R$6:$T$13, 3, FALSE))))</f>
        <v/>
      </c>
      <c r="BD103" s="270" t="str">
        <f>IF(G103="", "", IF(E103="Exterior", 0, IF('Lighting Inventory'!G103="Air Conditioned", VLOOKUP(H103, 'Lookup Tables'!$R$6:$U$13, 4, FALSE), VLOOKUP('Lighting Inventory'!G103, 'Lookup Tables'!$R$6:$U$13, 4, FALSE))))</f>
        <v/>
      </c>
      <c r="BE103" s="270" t="str">
        <f>IFERROR(IF(B103="", "",  IF(B103="New Construction", VLOOKUP(F103, 'Lookup Tables'!$A$6:$K$59, 11, FALSE),IF(OR(AN103="", AN103="Light Switch"), 0, IF(OR(M103="",M103="None",V103= "LED Exit Signs"),0,_xlfn.XLOOKUP(M103,'Lookup Tables'!$R$91:$R$101,'Lookup Tables'!$V$91:$V$101))))), "")</f>
        <v/>
      </c>
      <c r="BF103" s="270" t="str">
        <f>IF(AND(OR(AN103="Light Switch",AN103=""),B103="New Construction"), VLOOKUP(F103, 'Lookup Tables'!$A$6:$K$59, 11, FALSE),IF(AN103="","",IF(B103="","",IF(OR(AN103="None",AN103="",V103="LED Exit Signs",AN103="Exterior Controls Not Eligible"),0,_xlfn.XLOOKUP(AN103,'Lookup Tables'!$R$91:$R$101,'Lookup Tables'!$V$91:$V$101)))))</f>
        <v/>
      </c>
      <c r="BG103" s="88" t="str">
        <f t="shared" si="353"/>
        <v/>
      </c>
      <c r="BH103" s="88" t="str">
        <f t="shared" si="354"/>
        <v/>
      </c>
      <c r="BI103" s="558" t="str">
        <f t="shared" si="398"/>
        <v/>
      </c>
      <c r="BJ103" s="82" t="str">
        <f t="shared" si="355"/>
        <v/>
      </c>
      <c r="BK103" s="82" t="str">
        <f t="shared" si="356"/>
        <v/>
      </c>
      <c r="BL103" s="559" t="str">
        <f t="shared" si="357"/>
        <v/>
      </c>
      <c r="BM103" s="521" t="str">
        <f t="shared" si="302"/>
        <v/>
      </c>
      <c r="BN103" s="521" t="str">
        <f t="shared" si="303"/>
        <v/>
      </c>
      <c r="BO103" s="522" t="str">
        <f t="shared" si="304"/>
        <v/>
      </c>
      <c r="BP103" s="83" t="str">
        <f t="shared" si="358"/>
        <v/>
      </c>
      <c r="BQ103" s="84" t="str">
        <f t="shared" si="359"/>
        <v/>
      </c>
      <c r="BR103" s="184" t="str">
        <f>IFERROR(IF(B103="", "", IF(OR(VLOOKUP(J103, 'Fixture Identities'!$A$6:$L$1023, 3, FALSE)="T12 Linear Fluorescent",VLOOKUP(J103, 'Fixture Identities'!$A$6:$L$1023, 3, FALSE)="T12 U-Tube Fluorescent"), "Y", "N")), "N")</f>
        <v/>
      </c>
      <c r="BS103" s="184" t="str">
        <f t="array" ref="BS103">IFERROR(IF(OR(B103="", V103="", W103=""), "", IF(V103="Custom", "N", IF(OR(W103="Freezer Case Lighting", W103="Refrigerated Case Lighting with Doors"), BT103, IF(B103="Retrofit", INDEX('Lookup Tables'!$AH$6:$AT$102,MATCH(1,('Lookup Tables'!$AH$6:$AH$102=V103)*('Lookup Tables'!$AI$6:$AI$102=W103),FALSE),IF(VLOOKUP(J103, 'Fixture Identities'!$A$6:$B$1023, 2, FALSE)="Incandescent",12, 13)), INDEX('Lookup Tables'!$AH$114:$AS$154,MATCH(1,('Lookup Tables'!$AH$114:$AH$154=V103)*('Lookup Tables'!$AI$114:$AI$154=W103),FALSE),12))))), "N")</f>
        <v/>
      </c>
      <c r="BT103" s="184" t="str">
        <f>IF(J103="", "", IF(AND(OR(W103="Freezer case Lighting", W103="Refrigerated Case Lighting with Doors"),'General Information'!$X$18="LCI"), "N", IF(OR(VLOOKUP(J103, 'Fixture Identities'!$A$6:$B$1023, 2, FALSE)="T12 EPACT/EISA Baseline", VLOOKUP(J103, 'Fixture Identities'!$A$6:$B$1023, 2, FALSE)="Linear Fluorescent", VLOOKUP(J103, 'Fixture Identities'!$A$6:$B$1023, 2, FALSE)="U-Tube Fluorescent"), "Y", "N")))</f>
        <v/>
      </c>
      <c r="BU103" s="184" t="str">
        <f>IFERROR(IF(B103="", "", IF(VLOOKUP(J103, 'Fixture Identities'!$A$6:$B$1023, 2, FALSE)="Exit Sign", "Y", "N")), "N")</f>
        <v/>
      </c>
      <c r="BV103" s="184" t="str">
        <f>IF(V103="Exit Signs", IF(VLOOKUP(J103, 'Fixture Identities'!$A$6:$B$1023, 2, FALSE)="Exit Sign", "N", "Y"), "")</f>
        <v/>
      </c>
      <c r="BW103" s="184" t="str">
        <f t="array" ref="BW103">IFERROR(IF(B103="", "", IF(B103="New Construction", "N", INDEX('Lookup Tables'!$AH$6:$AU$102, MATCH(1, ('Lookup Tables'!$AH$6:$AH$102='Lighting Inventory'!V103)*('Lookup Tables'!$AI$6:$AI$102='Lighting Inventory'!W103), 0), 14))), "N")</f>
        <v/>
      </c>
      <c r="BX103" s="598" t="str">
        <f t="shared" si="360"/>
        <v/>
      </c>
      <c r="BY103" s="598" t="str">
        <f t="shared" si="361"/>
        <v/>
      </c>
      <c r="BZ103" s="598" t="str">
        <f t="shared" si="362"/>
        <v/>
      </c>
      <c r="CA103" s="598" t="str">
        <f t="shared" si="363"/>
        <v/>
      </c>
      <c r="CB103" s="269" t="str">
        <f t="shared" si="364"/>
        <v/>
      </c>
      <c r="CC103" s="517" t="str">
        <f t="shared" si="365"/>
        <v/>
      </c>
      <c r="CD103" s="565" t="str">
        <f t="shared" si="305"/>
        <v/>
      </c>
      <c r="CE103" s="368">
        <v>0</v>
      </c>
      <c r="CF103" s="368" t="str" cm="1">
        <f t="array" ref="CF103">IFERROR(IF(V103="Custom", "$0.1 per kWh", IF(B103="New Construction", CONCATENATE("$",INDEX('Lookup Tables'!$AH$114:$AN$154,MATCH(1,('Lookup Tables'!$AH$114:$AH$154='Lighting Inventory'!V103)*('Lookup Tables'!$AI$114:$AI$154='Lighting Inventory'!W103),FALSE),6)," ",INDEX('Lookup Tables'!$AH$114:$AN$154,MATCH(1,('Lookup Tables'!$AH$114:$AH$154='Lighting Inventory'!V103)*('Lookup Tables'!$AI$114:$AI$154='Lighting Inventory'!W103),FALSE),7)), IF(AND(BU103="N", V103="Exit Signs"), "$0.025 per kWh", CONCATENATE("$",INDEX('Lookup Tables'!$AH$6:$AN$102,MATCH(1,('Lookup Tables'!$AH$6:$AH$102='Lighting Inventory'!V103)*('Lookup Tables'!$AI$6:$AI$102='Lighting Inventory'!W103),FALSE),6)," ",INDEX('Lookup Tables'!$AH$6:$AN$102,MATCH(1,('Lookup Tables'!$AH$6:$AH$102='Lighting Inventory'!V103)*('Lookup Tables'!$AI$6:$AI$102='Lighting Inventory'!W103),FALSE),7))))), "")</f>
        <v/>
      </c>
      <c r="CG103" s="366"/>
      <c r="CH103" s="248" t="str">
        <f t="shared" si="306"/>
        <v/>
      </c>
      <c r="CI103" s="248" t="str">
        <f t="shared" si="307"/>
        <v>Select_IE</v>
      </c>
      <c r="CJ103" s="248" t="str">
        <f t="shared" si="308"/>
        <v/>
      </c>
      <c r="CK103" s="248" t="str">
        <f t="shared" si="309"/>
        <v/>
      </c>
      <c r="CL103" s="248" t="str">
        <f t="shared" si="310"/>
        <v/>
      </c>
      <c r="CM103" s="248" t="str">
        <f>IFERROR(IF(B103="", "", IF(B103="New Construction", VLOOKUP(V103, 'Lookup Tables'!$AF$114:$AG$120, 2, FALSE), VLOOKUP(V103, 'Lookup Tables'!$AD$6:$AE$25, 2, FALSE))), "")</f>
        <v/>
      </c>
      <c r="CN103" s="248" t="str">
        <f t="shared" si="311"/>
        <v/>
      </c>
      <c r="CO103" s="248" t="str">
        <f t="shared" si="312"/>
        <v/>
      </c>
      <c r="CP103" s="592" t="str">
        <f t="shared" si="313"/>
        <v/>
      </c>
      <c r="CQ103" s="248" t="str">
        <f t="shared" si="366"/>
        <v/>
      </c>
      <c r="CR103" s="100"/>
      <c r="CS103" s="250" t="str">
        <f t="shared" si="314"/>
        <v/>
      </c>
      <c r="CT103" s="250" t="str">
        <f t="shared" si="367"/>
        <v/>
      </c>
      <c r="CU103" s="250" t="str">
        <f t="shared" si="368"/>
        <v/>
      </c>
      <c r="CV103" s="250" t="str">
        <f t="shared" si="369"/>
        <v/>
      </c>
      <c r="CW103" s="250" t="str">
        <f t="shared" si="370"/>
        <v/>
      </c>
      <c r="CX103" s="250" t="str">
        <f t="shared" si="315"/>
        <v/>
      </c>
      <c r="CY103" s="250" t="str">
        <f t="shared" si="316"/>
        <v/>
      </c>
      <c r="CZ103" s="250" t="str">
        <f t="shared" si="317"/>
        <v/>
      </c>
      <c r="DA103" s="250" t="str">
        <f t="shared" si="318"/>
        <v/>
      </c>
      <c r="DB103" s="250" t="str">
        <f t="shared" si="319"/>
        <v/>
      </c>
      <c r="DC103" s="250" t="str">
        <f t="shared" si="320"/>
        <v/>
      </c>
      <c r="DD103" s="250" t="str">
        <f t="shared" si="321"/>
        <v/>
      </c>
      <c r="DE103" s="250" t="str">
        <f t="shared" si="322"/>
        <v/>
      </c>
      <c r="DF103" s="250" t="str">
        <f t="shared" si="323"/>
        <v/>
      </c>
      <c r="DG103" s="250" t="str">
        <f t="shared" si="324"/>
        <v/>
      </c>
      <c r="DH103" s="250" t="str">
        <f t="shared" si="325"/>
        <v/>
      </c>
      <c r="DI103" s="250" t="str">
        <f t="shared" si="326"/>
        <v/>
      </c>
      <c r="DJ103" s="250" t="str">
        <f t="shared" si="327"/>
        <v/>
      </c>
      <c r="DK103" s="250" t="str">
        <f t="shared" si="328"/>
        <v/>
      </c>
      <c r="DL103" s="250" t="str">
        <f t="shared" si="329"/>
        <v/>
      </c>
      <c r="DM103" s="250" t="str">
        <f>IF(CD103="ERROR", "ERROR", IF(AND(OR(Y103=$DM$6, Y103='Lookup Tables'!$AD$21, Y103='Lookup Tables'!$AD$22), E103="Interior"), BJ103, ""))</f>
        <v/>
      </c>
      <c r="DN103" s="250" t="str">
        <f>IF(CD103="ERROR", "ERROR", IF(AND(OR(Y103=$DM$6, Y103='Lookup Tables'!$AD$21, Y103='Lookup Tables'!$AD$22), E103="Exterior"), BJ103, ""))</f>
        <v/>
      </c>
      <c r="DO103" s="100"/>
      <c r="DP103" s="250" t="str">
        <f t="shared" si="330"/>
        <v/>
      </c>
      <c r="DQ103" s="250" t="str">
        <f t="shared" si="371"/>
        <v/>
      </c>
      <c r="DR103" s="250" t="str">
        <f t="shared" si="372"/>
        <v/>
      </c>
      <c r="DS103" s="250" t="str">
        <f t="shared" si="373"/>
        <v/>
      </c>
      <c r="DT103" s="250" t="str">
        <f t="shared" si="374"/>
        <v/>
      </c>
      <c r="DU103" s="250" t="str">
        <f t="shared" si="331"/>
        <v/>
      </c>
      <c r="DV103" s="250" t="str">
        <f t="shared" si="332"/>
        <v/>
      </c>
      <c r="DW103" s="250" t="str">
        <f t="shared" si="333"/>
        <v/>
      </c>
      <c r="DX103" s="250" t="str">
        <f t="shared" si="334"/>
        <v/>
      </c>
      <c r="DY103" s="250" t="str">
        <f t="shared" si="335"/>
        <v/>
      </c>
      <c r="DZ103" s="250" t="str">
        <f t="shared" si="336"/>
        <v/>
      </c>
      <c r="EA103" s="250" t="str">
        <f t="shared" si="337"/>
        <v/>
      </c>
      <c r="EB103" s="250" t="str">
        <f t="shared" si="375"/>
        <v/>
      </c>
      <c r="EC103" s="250" t="str">
        <f t="shared" si="338"/>
        <v/>
      </c>
      <c r="ED103" s="250" t="str">
        <f t="shared" si="339"/>
        <v/>
      </c>
      <c r="EE103" s="250" t="str">
        <f t="shared" si="340"/>
        <v/>
      </c>
      <c r="EF103" s="250" t="str">
        <f t="shared" si="341"/>
        <v/>
      </c>
      <c r="EG103" s="250" t="str">
        <f t="shared" si="342"/>
        <v/>
      </c>
      <c r="EH103" s="250" t="str">
        <f>IF(CD103="ERROR", "ERROR", IF(AND(OR($EH$6=Y103, Y103='Lookup Tables'!$AD$21, Y103='Lookup Tables'!$AD$22),E103="Interior"), SUM(BP103:BP103), ""))</f>
        <v/>
      </c>
      <c r="EI103" s="250" t="str">
        <f>IF(CD103="ERROR", "ERROR", IF(AND(OR($EH$6=Y103, Y103='Lookup Tables'!$AD$21, Y103='Lookup Tables'!$AD$22),E103="Exterior"), SUM(BP103:BP103), ""))</f>
        <v/>
      </c>
      <c r="EJ103" s="109"/>
      <c r="EK103" s="485" t="str">
        <f t="shared" si="343"/>
        <v/>
      </c>
      <c r="EL103" s="252" t="str">
        <f t="shared" si="376"/>
        <v/>
      </c>
      <c r="EM103" s="252" t="str">
        <f t="shared" si="377"/>
        <v/>
      </c>
      <c r="EN103" s="252" t="str">
        <f t="shared" si="378"/>
        <v/>
      </c>
      <c r="EO103" s="252" t="str">
        <f t="shared" si="379"/>
        <v/>
      </c>
      <c r="EP103" s="252" t="str">
        <f t="shared" si="380"/>
        <v/>
      </c>
      <c r="EQ103" s="252" t="str">
        <f t="shared" si="381"/>
        <v/>
      </c>
      <c r="ER103" s="252" t="str">
        <f t="shared" si="382"/>
        <v/>
      </c>
      <c r="ES103" s="252" t="str">
        <f t="shared" si="383"/>
        <v/>
      </c>
      <c r="ET103" s="252" t="str">
        <f t="shared" si="384"/>
        <v/>
      </c>
      <c r="EU103" s="252" t="str">
        <f t="shared" si="385"/>
        <v/>
      </c>
      <c r="EV103" s="252" t="str">
        <f t="shared" si="386"/>
        <v/>
      </c>
      <c r="EW103" s="252" t="str">
        <f t="shared" si="387"/>
        <v/>
      </c>
      <c r="EX103" s="252" t="str">
        <f t="shared" si="388"/>
        <v/>
      </c>
      <c r="EY103" s="252" t="str">
        <f t="shared" si="389"/>
        <v/>
      </c>
      <c r="EZ103" s="252" t="str">
        <f t="shared" si="390"/>
        <v/>
      </c>
      <c r="FA103" s="252" t="str">
        <f t="shared" si="391"/>
        <v/>
      </c>
      <c r="FB103" s="252" t="str">
        <f t="shared" si="392"/>
        <v/>
      </c>
      <c r="FC103" s="252" t="str">
        <f>IF(CD103="ERROR", "ERROR", IF(OR(V103="No Change", V103="Not DLC or Energy Star"), "", IF(AND(OR($FC$6=Y103,Y103='Lookup Tables'!$AD$21, Y103='Lookup Tables'!$AD$22),E103="Interior"), S103, "")))</f>
        <v/>
      </c>
      <c r="FD103" s="252" t="str">
        <f t="shared" si="393"/>
        <v/>
      </c>
      <c r="FE103" s="101"/>
      <c r="FF103" s="579" t="str" cm="1">
        <f t="array" ref="FF103">IFERROR(IF(OR(BQ103&lt;=0,AQ103&lt;20,AND(V103="Exit Signs",AN103&gt;0)),"",IF(AND(AQ103&gt;=20,AN103='Lookup Tables'!$R$101),'Lookup Tables'!$U$101*BQ103,AP103*LOOKUP(2,1/((AN103='Lookup Tables'!$R$91:$R$111)*(AQ103&gt;='Lookup Tables'!$S$91:$S$111)*(AQ103&lt;='Lookup Tables'!$T$91:$T$111)),'Lookup Tables'!$U$91:$U$111))),"")</f>
        <v/>
      </c>
      <c r="FG103" s="579"/>
      <c r="FH103" s="579"/>
      <c r="FI103" s="253" t="str">
        <f>IFERROR(ROUND(IF(CD103="ERROR", "ERROR", IF(AND($FI$7=X103,E103="Interior"),VLOOKUP(W103, 'Lookup Tables'!$AI$6:$AM$102, 5, FALSE)*BP103, "")), 2), "")</f>
        <v/>
      </c>
      <c r="FJ103" s="253" t="str">
        <f>IFERROR(ROUND(IF(CD103="ERROR", "ERROR", IF(AND($FI$7=X103,E103="Exterior"),VLOOKUP(W103, 'Lookup Tables'!$AI$6:$AM$102, 5, FALSE)*BP103, "")), 2), "")</f>
        <v/>
      </c>
      <c r="FK103" s="253" t="str">
        <f>IFERROR(ROUND(IF(CD103="ERROR", "ERROR", IF(AND($FK$7=X103,E103="Interior"),VLOOKUP(W103, 'Lookup Tables'!$AI$6:$AM$102, 5, FALSE)*BP103, "")), 2), "")</f>
        <v/>
      </c>
      <c r="FL103" s="253" t="str">
        <f>IFERROR(ROUND(IF(CD103="ERROR", "ERROR", IF(AND($FK$7=X103,E103="Exterior"),VLOOKUP(W103, 'Lookup Tables'!$AI$6:$AM$102, 5, FALSE)*BP103, "")), 2), "")</f>
        <v/>
      </c>
      <c r="FM103" s="253" t="str">
        <f>IFERROR(ROUND(IF(CD103="ERROR", "ERROR", IF(AND($FM$6=Y103,E103="Interior"), IF(GB103=0, VLOOKUP(W103, 'Lookup Tables'!$AI$6:$AM$102, 5, FALSE)*BP103, IF(VLOOKUP(W103, 'Lookup Tables'!$AI$6:$AM$102, 5, FALSE)*BP103&gt;GB103*'Lighting Inventory'!S103, GB103*'Lighting Inventory'!S103,VLOOKUP(W103, 'Lookup Tables'!$AI$6:$AM$102, 5, FALSE)*BP103)), "")), 2), "")</f>
        <v/>
      </c>
      <c r="FN103" s="253" t="str">
        <f>IFERROR(ROUND(IF(CD103="ERROR", "ERROR", IF(AND($FM$6=Y103,E103="Exterior"), IF(GB103=0, VLOOKUP(W103, 'Lookup Tables'!$AI$6:$AM$102, 5, FALSE)*BP103, IF(VLOOKUP(W103, 'Lookup Tables'!$AI$6:$AM$102, 5, FALSE)*BP103&gt;GB103*'Lighting Inventory'!S103, GB103*'Lighting Inventory'!S103,VLOOKUP(W103, 'Lookup Tables'!$AI$6:$AM$102, 5, FALSE)*BP103)), "")), 2), "")</f>
        <v/>
      </c>
      <c r="FO103" s="253" t="str">
        <f>IFERROR(ROUND(IF(CD103="ERROR", "ERROR", IF(AND($FO$6=Y103,E103="Interior"),VLOOKUP(W103, 'Lookup Tables'!$AI$6:$AM$102, 5, FALSE)*'Lighting Inventory'!AI103, "")), 2), "")</f>
        <v/>
      </c>
      <c r="FP103" s="253" t="str">
        <f>IFERROR(ROUND(IF(CD103="ERROR", "ERROR", IF(AND($FO$6=Y103,E103="Exterior"),VLOOKUP(W103, 'Lookup Tables'!$AI$6:$AM$102, 5, FALSE)*'Lighting Inventory'!AI103, "")), 2), "")</f>
        <v/>
      </c>
      <c r="FQ103" s="253" t="str">
        <f>IFERROR(ROUND(IF(CD103="ERROR", "ERROR", IF(AND($FQ$6=Y103,E103="Interior", BU103="Y"), VLOOKUP('Lighting Inventory'!W103, 'Lookup Tables'!$AI$6:$AM$102, 5, FALSE)*'Lighting Inventory'!S103, IF(AND($FQ$7=Y103,E103="Interior", BU103="N"), 0.025*CD103, ""))), 2), "")</f>
        <v/>
      </c>
      <c r="FR103" s="253" t="str">
        <f>IFERROR(ROUND(IF(CD103="ERROR", "ERROR", IF(AND($FQ$6=Y103,E103="Exterior"), VLOOKUP('Lighting Inventory'!W103, 'Lookup Tables'!$AI$6:$AM$102, 5, FALSE)*'Lighting Inventory'!S103, "")), 2), "")</f>
        <v/>
      </c>
      <c r="FS103" s="253" t="str">
        <f>IFERROR(ROUND(IF(CD103="ERROR", "ERROR", IF(AND($FS$6=Y103,E103="Exterior"), IF(GB103=0, VLOOKUP(W103, 'Lookup Tables'!$AI$6:$AM$102, 5, FALSE)*BP103, IF(VLOOKUP(W103, 'Lookup Tables'!$AI$6:$AM$102, 5, FALSE)*BP103&gt;GB103*'Lighting Inventory'!S103, GB103*'Lighting Inventory'!S103,VLOOKUP(W103, 'Lookup Tables'!$AI$6:$AM$102, 5, FALSE)*BP103)), "")), 2), "")</f>
        <v/>
      </c>
      <c r="FT103" s="253" t="str">
        <f>IFERROR(ROUND(IF(CD103="ERROR", "ERROR", IF(AND($FT$6=Y103,E103="Interior"), IF(GB103=0, VLOOKUP(W103, 'Lookup Tables'!$AI$6:$AM$102, 5, FALSE)*BP103, IF(VLOOKUP(W103, 'Lookup Tables'!$AI$6:$AM$102, 5, FALSE)*BP103&gt;GB103*'Lighting Inventory'!S103, GB103*'Lighting Inventory'!S103,VLOOKUP(W103, 'Lookup Tables'!$AI$6:$AM$102, 5, FALSE)*BP103)), "")), 2), "")</f>
        <v/>
      </c>
      <c r="FU103" s="253" t="str">
        <f>IFERROR(ROUND(IF(CD103="ERROR", "ERROR", IF(AND(Y103=$FU$6, E103="Interior"), IF(BS103="N", 'Lookup Tables'!$AM$101*BP103, VLOOKUP(W103, 'Lookup Tables'!$AI$6:$AM$102, 5, FALSE)*S103*AD103), "")), 2), "")</f>
        <v/>
      </c>
      <c r="FV103" s="253" t="str">
        <f>IFERROR(ROUND(IF(CD103="ERROR", "ERROR", IF(AND(Y103=$FU$6, E103="Exterior"), IF(BS103="N", 'Lookup Tables'!$AM$101*BP103, VLOOKUP(W103, 'Lookup Tables'!$AI$6:$AM$102, 5, FALSE)*S103*AD103), "")), 2), "")</f>
        <v/>
      </c>
      <c r="FW103" s="253" t="str">
        <f>IFERROR(ROUND(IF(CD103="ERROR", "ERROR", IF($FW$6=Y103, IF(BS103="N", 'Lookup Tables'!$AM$101*BP103, MIN((VLOOKUP(W103, 'Lookup Tables'!$AI$6:$AM$102, 5, FALSE)*BP103),GB103*AJ103)), "")), 2), "")</f>
        <v/>
      </c>
      <c r="FX103" s="253" t="str">
        <f>IFERROR(ROUND(IF(CD103="ERROR", "ERROR", IF(AND($FX$6=Y103, E103="Interior"), IF(VLOOKUP(W103, 'Lookup Tables'!$AI$6:$AM$102, 5, FALSE)*BP103&gt;'Lookup Tables'!$AQ$97*'Lighting Inventory'!S103,'Lighting Inventory'!S103*'Lookup Tables'!$AQ$97,VLOOKUP(W103, 'Lookup Tables'!$AI$6:$AM$102, 5, FALSE)*BP103), "")), 2), "")</f>
        <v/>
      </c>
      <c r="FY103" s="253" t="str">
        <f>IFERROR(ROUND(IF(CD103="ERROR", "ERROR", IF(AND($FX$6=Y103, E103="Exterior"), IF(VLOOKUP(W103, 'Lookup Tables'!$AI$6:$AM$102, 5, FALSE)*BP103&gt;'Lookup Tables'!$AQ$97*'Lighting Inventory'!S103,'Lighting Inventory'!S103*'Lookup Tables'!$AQ$97,VLOOKUP(W103, 'Lookup Tables'!$AI$6:$AM$102, 5, FALSE)*BP103), "")), 2), "")</f>
        <v/>
      </c>
      <c r="FZ103" s="253" t="str">
        <f>IFERROR(ROUND(IF(CD103="ERROR", "ERROR", IF(AND($FZ$6=Y103, E103="Interior"), IF(AND(OR(W103="Refrigerated Case Lighting with Doors", W103="Freezer Case Lighting"),Y103="Custom - Process Improvement"),CD103*'Lookup Tables'!$AM$101, IF(B103="Retrofit", IF(VLOOKUP(IF(V103="Custom", V103, W103), 'Lookup Tables'!$AI$6:$AM$102, 5, FALSE)*BP103&gt;GE103, GE103, VLOOKUP(IF(V103="Custom", V103, W103), 'Lookup Tables'!$AI$6:$AM$102, 5, FALSE)*BP103), IF(VLOOKUP(IF(V103="Custom", V103, W103), 'Lookup Tables'!$AI$114:$AM$154, 5, FALSE)*BP103&gt;GE103, GE103, VLOOKUP(IF(V103="Custom", V103, W103), 'Lookup Tables'!$AI$114:$AM$154, 5, FALSE)*BP103))), "")), 2),"")</f>
        <v/>
      </c>
      <c r="GA103" s="253" t="str">
        <f>IFERROR(ROUND(IF(CD103="ERROR", "ERROR", IF(AND($FZ$6=Y103, E103="Exterior"), IF(B103="Retrofit", IF(VLOOKUP(IF(V103="Custom", V103, W103), 'Lookup Tables'!$AI$6:$AM$102, 5, FALSE)*BP103&gt;GE103, GE103, VLOOKUP(IF(V103="Custom", V103, W103), 'Lookup Tables'!$AI$6:$AM$102, 5, FALSE)*BP103), IF(VLOOKUP(IF(V103="Custom", V103, W103), 'Lookup Tables'!$AI$114:$AM$154, 5, FALSE)*BP103&gt;GE103, GE103, VLOOKUP(IF(V103="Custom", V103, W103), 'Lookup Tables'!$AI$114:$AM$154, 5, FALSE)*BP103)), "")), 2),"")</f>
        <v/>
      </c>
      <c r="GB103" s="254" t="str">
        <f t="array" ref="GB103">IF(B103="","",IF(OR(V103="Custom",V103="No Change"),0,IF(B103="Retrofit", INDEX('Lookup Tables'!$AH$6:$AQ$102,MATCH(1,('Lookup Tables'!$AH$6:$AH$102='Lighting Inventory'!V103)*('Lookup Tables'!$AI$6:$AI$102='Lighting Inventory'!W103),FALSE),10),INDEX('Lookup Tables'!$AH$114:$AQ$154,MATCH(1,('Lookup Tables'!$AH$114:$AH$154='Lighting Inventory'!V103)*('Lookup Tables'!$AI$114:$AI$154='Lighting Inventory'!W103),FALSE),10))))</f>
        <v/>
      </c>
      <c r="GC103" s="255" t="str">
        <f t="shared" si="344"/>
        <v/>
      </c>
      <c r="GD103" s="250" t="str">
        <f t="shared" si="345"/>
        <v/>
      </c>
      <c r="GE103" s="253" t="str">
        <f>IFERROR(IF(AND(AF103="", 'General Information'!$F$18="No"),"", IF(AF103="", ((GD103/$CD$266)*$CF$266)*0.5, AF103*S103*0.5)), "")</f>
        <v/>
      </c>
      <c r="GF103" s="255" t="str">
        <f>IF(AND('General Information'!$F$19="", 'General Information'!$F$18="Yes",AF103="",BW103="Y"), "Y", "N")</f>
        <v>N</v>
      </c>
      <c r="GG103" s="255" t="s">
        <v>2946</v>
      </c>
      <c r="GH103" s="255" t="str">
        <f>IFERROR(IF(B103="", "", VLOOKUP(J103, 'Fixture Identities'!$A$6:$N$908, 14, FALSE)), "")</f>
        <v/>
      </c>
      <c r="GI103" s="389" t="str">
        <f>IF(OR(B103="", V103="", W103=""), "", IF(AND(OR(M103='Lookup Tables'!$R$18, M103='Lookup Tables'!$R$19, M103='Lookup Tables'!$R$20, M103='Lookup Tables'!$R$21, M103='Lookup Tables'!$R$22), OR(AN103='Lookup Tables'!$R$17, AN103='Lookup Tables'!$R$17, AN103="")), "Y", "N"))</f>
        <v/>
      </c>
      <c r="GJ103" s="255" t="str">
        <f t="shared" si="346"/>
        <v/>
      </c>
      <c r="GK103" s="255" t="str">
        <f t="shared" si="347"/>
        <v/>
      </c>
      <c r="GL103" s="255" t="str">
        <f t="shared" si="348"/>
        <v/>
      </c>
      <c r="GM103" s="255" t="str">
        <f>IF(AN103="", "", IF(AND(IF(ISNA(VLOOKUP(AN103,'Lookup Tables'!$R$18:$R$22,1,FALSE)), "N", "Y")="Y", E103="Exterior"), "Y", "N"))</f>
        <v/>
      </c>
      <c r="GN103" s="395"/>
      <c r="GO103" s="428">
        <f t="shared" si="394"/>
        <v>0</v>
      </c>
      <c r="GP103" s="428">
        <f t="shared" si="397"/>
        <v>0</v>
      </c>
      <c r="GQ103" s="428">
        <f t="shared" si="395"/>
        <v>0</v>
      </c>
      <c r="GR103" s="428">
        <f t="shared" si="396"/>
        <v>0</v>
      </c>
    </row>
    <row r="104" spans="1:200" s="103" customFormat="1" ht="13.5" customHeight="1" x14ac:dyDescent="0.2">
      <c r="A104" s="272">
        <v>94</v>
      </c>
      <c r="B104" s="110"/>
      <c r="C104" s="110"/>
      <c r="D104" s="110"/>
      <c r="E104" s="110"/>
      <c r="F104" s="110"/>
      <c r="G104" s="110"/>
      <c r="H104" s="110"/>
      <c r="I104" s="29"/>
      <c r="J104" s="29"/>
      <c r="K104" s="272" t="str">
        <f>IFERROR(IF(OR(VLOOKUP(J104, 'Fixture Identities'!$A$6:$L$1023, 3, FALSE)="T12 Linear Fluorescent", VLOOKUP(J104, 'Fixture Identities'!$A$6:$L$1023, 3, FALSE)="T12 U-Tube Fluorescent"), VLOOKUP(VLOOKUP(J104, 'Fixture Identities'!$A$6:$L$1023, 11, FALSE), 'Fixture Identities'!$A$6:$L$1023, 10, FALSE), VLOOKUP(J104, 'Fixture Identities'!$A$6:$L$1023, 10, FALSE)), "")</f>
        <v/>
      </c>
      <c r="L104" s="270" t="str">
        <f t="shared" si="399"/>
        <v/>
      </c>
      <c r="M104" s="110"/>
      <c r="N104" s="110"/>
      <c r="O104" s="110"/>
      <c r="P104" s="272" t="str">
        <f>IFERROR(IF(OR(B104="Retrofit",B104=""),"",IF('Lighting Inventory'!E104="Exterior",VLOOKUP('Lighting Inventory'!N104,'Lookup Tables'!$B$83:$F$103,5,FALSE),IF(N104="Other - Please Estimate EFLH and CFs","Contact Prog. Rep.","ft^2"))), "")</f>
        <v/>
      </c>
      <c r="Q104" s="270" t="str">
        <f>IFERROR(IF(AND(B104="New Construction",E104="Interior",$F$5="Space-by-Space"),VLOOKUP('Lighting Inventory'!N104,'Lookup Tables'!$N$6:$O$97,2,FALSE),IF(AND(B104="New Construction",E104="Exterior"),VLOOKUP(N104,'Lookup Tables'!$B$83:$F$103,2,FALSE),IF(AND(B104="New Construction",'Lighting Inventory'!E104="Interior", $F$5="Building Area"),VLOOKUP(F104,'Lookup Tables'!$A$6:$J$59,10,FALSE),""))), "")</f>
        <v/>
      </c>
      <c r="R104" s="270" t="str">
        <f>IFERROR(IF(P104="Contact Prog. Rep.", "ERROR", IF(OR(B104="",B104="Retrofit"),"",IF(N104="Automated teller machines", ('Lookup Tables'!$A$82:$E$100+('Lighting Inventory'!O104-1)*'Lookup Tables'!$A$82:$E$100)/1000, (Q104*O104)/1000))), "")</f>
        <v/>
      </c>
      <c r="S104" s="595"/>
      <c r="T104" s="105" t="str">
        <f t="shared" si="349"/>
        <v/>
      </c>
      <c r="U104" s="105" t="str">
        <f>IF(S104="","",COUNT($S$11:S104))</f>
        <v/>
      </c>
      <c r="V104" s="111"/>
      <c r="W104" s="112"/>
      <c r="X104" s="105" t="str">
        <f t="shared" si="350"/>
        <v/>
      </c>
      <c r="Y104" s="105" t="str">
        <f t="array" ref="Y104">IF(AND(OR(W104="Freezer Case Lighting", W104="Refrigerated Case Lighting with Doors"), 'General Information'!$X$18="LCI"),'Lookup Tables'!$Y$34, IF(V104="Custom", VLOOKUP(W104, 'Fixture Identities'!$A$974:$M$1023, 13, FALSE), IF(V104="No Change",'Lookup Tables'!$Y$29,IF(OR(V104="",W104=""),"",IF(AND(S104=0,S104&lt;I104,B104="Retrofit"),'Lookup Tables'!$Y$25, IF(B104="Retrofit", INDEX('Lookup Tables'!$AH$6:$AP$102, MATCH(1, ('Lookup Tables'!$AH$6:$AH$102=V104)*('Lookup Tables'!$AI$6:$AI$102=W104), 0), IF('Lighting Inventory'!E104="Interior", 4, 5)), INDEX('Lookup Tables'!$AH$114:$AP$154, MATCH(1, ('Lookup Tables'!$AH$114:$AH$154=V104)*('Lookup Tables'!$AI$114:$AI$154=W104), 0), IF('Lighting Inventory'!E104="Interior", 4, 5))))))))</f>
        <v/>
      </c>
      <c r="Z104" s="105" t="str">
        <f>IFERROR(INDEX('Lookup Tables'!$AH$158:$AH$172,MATCH('Lighting Inventory'!Y104,'Lookup Tables'!$AI$158:$AI$172,0)),"")</f>
        <v/>
      </c>
      <c r="AA104" s="105" t="str">
        <f>IF(AP104&gt;0,INDEX('Lookup Tables'!$AK$158:$AK$172,MATCH('Lighting Inventory'!Y104,'Lookup Tables'!$AI$158:$AI$172,0)),'Lighting Inventory'!Y104)</f>
        <v/>
      </c>
      <c r="AB104" s="105" t="str">
        <f t="array" ref="AB104">IF(V104="Custom", "Custom", IF(V104="", "", IF(V104="Not DLC or Energy Star", "General", IF(B104="New Construction", INDEX('Lookup Tables'!$AH$114:$AP$154,MATCH(1,('Lookup Tables'!$AH$114:$AH$154='Lighting Inventory'!V104)*('Lookup Tables'!$AI$114:$AI$154='Lighting Inventory'!W104),FALSE),8), INDEX('Lookup Tables'!$AH$6:$AP$102,MATCH(1,('Lookup Tables'!$AH$6:$AH$102='Lighting Inventory'!V104)*('Lookup Tables'!$AI$6:$AI$102='Lighting Inventory'!W104),FALSE),8)))))</f>
        <v/>
      </c>
      <c r="AC104" s="272" t="str">
        <f>IF(W104="","",IF(V104="Custom",CONCATENATE("$",'Lookup Tables'!$AM$101," ",'Lookup Tables'!$AN$101),CONCATENATE("$",INDEX('Lookup Tables'!$AM$6:$AM$102,MATCH('Lighting Inventory'!W104,'Lookup Tables'!$AI$6:$AI$102,0))," ",INDEX('Lookup Tables'!$AN$6:$AN$102,MATCH('Lighting Inventory'!W104,'Lookup Tables'!$AI$6:$AI$102,0)))))</f>
        <v/>
      </c>
      <c r="AD104" s="72"/>
      <c r="AE104" s="29"/>
      <c r="AF104" s="379"/>
      <c r="AG104" s="370" t="str">
        <f t="shared" si="298"/>
        <v/>
      </c>
      <c r="AH104" s="370" t="str">
        <f t="shared" si="351"/>
        <v/>
      </c>
      <c r="AI104" s="29"/>
      <c r="AJ104" s="29"/>
      <c r="AK104" s="110"/>
      <c r="AL104" s="375" t="str">
        <f>IF(OR(B104="", V104="", W104=""), "", IF(V104="No Change", K104, IF(V104="Remove Fixture", 0, IF(V104="Custom",VLOOKUP(W104,'Fixture Identities'!$A$6:$K$1023,10,FALSE),IF(AE104="", "← ENTER POST WATTS", 'Lighting Inventory'!AE104)))))</f>
        <v/>
      </c>
      <c r="AM104" s="376" t="str">
        <f t="shared" si="299"/>
        <v/>
      </c>
      <c r="AN104" s="29"/>
      <c r="AO104" s="671"/>
      <c r="AP104" s="29"/>
      <c r="AQ104" s="29"/>
      <c r="AR104" s="29"/>
      <c r="AS104" s="272" t="str">
        <f t="shared" si="352"/>
        <v/>
      </c>
      <c r="AT104" s="270" t="str">
        <f t="shared" si="300"/>
        <v/>
      </c>
      <c r="AU104" s="88" t="str">
        <f t="shared" si="400"/>
        <v/>
      </c>
      <c r="AV104" s="29"/>
      <c r="AW104" s="73"/>
      <c r="AX104" s="271" t="str">
        <f>IF(AND(AV104="Applicant",OR(AW104="", AW104="Use Default Facility Hours")),"← Choose Schedule",IF(F104="","",IF(W104="LED Exit Signs",8760,IF(OR(AV104="Prescribed",AV104=""),VLOOKUP(F104,'Lookup Tables'!$A$6:$G$59,IF(AB104="General", 6, 3),FALSE),VLOOKUP(AW104,'Lookup Tables'!$S$36:$U$43,2,FALSE)))))</f>
        <v/>
      </c>
      <c r="AY104" s="88" t="str">
        <f t="shared" si="301"/>
        <v/>
      </c>
      <c r="AZ104" s="270" t="str">
        <f>IFERROR(IF(F104="", "", IF(W104="LED Exit Signs", 1, IF(AV104="Applicant",VLOOKUP(AW104, 'Lookup Tables'!$S$36:$U$43,3, FALSE), VLOOKUP('Lighting Inventory'!F104, 'Lookup Tables'!$A$6:$H$59, IF('Lighting Inventory'!AB104="General",7,4), FALSE)))), "")</f>
        <v/>
      </c>
      <c r="BA104" s="522" t="str">
        <f>IFERROR(IF(F104="", "", IF(W104="LED Exit Signs", 1, VLOOKUP('Lighting Inventory'!F104, 'Lookup Tables'!$A$6:$H$59, IF('Lighting Inventory'!AB104="General",8,5), FALSE))), "")</f>
        <v/>
      </c>
      <c r="BB104" s="270" t="str">
        <f>IF(G104="", "", IF(E104="Exterior", 0, IF('Lighting Inventory'!G104="Air Conditioned", VLOOKUP(H104, 'Lookup Tables'!$R$6:$T$13, 2, FALSE), VLOOKUP('Lighting Inventory'!G104, 'Lookup Tables'!$R$6:$T$13, 2, FALSE))))</f>
        <v/>
      </c>
      <c r="BC104" s="522" t="str">
        <f>IF(G104="", "", IF(E104="Exterior", 0, IF('Lighting Inventory'!G104="Air Conditioned", VLOOKUP(H104, 'Lookup Tables'!$R$6:$T$13, 3, FALSE), VLOOKUP('Lighting Inventory'!G104, 'Lookup Tables'!$R$6:$T$13, 3, FALSE))))</f>
        <v/>
      </c>
      <c r="BD104" s="270" t="str">
        <f>IF(G104="", "", IF(E104="Exterior", 0, IF('Lighting Inventory'!G104="Air Conditioned", VLOOKUP(H104, 'Lookup Tables'!$R$6:$U$13, 4, FALSE), VLOOKUP('Lighting Inventory'!G104, 'Lookup Tables'!$R$6:$U$13, 4, FALSE))))</f>
        <v/>
      </c>
      <c r="BE104" s="270" t="str">
        <f>IFERROR(IF(B104="", "",  IF(B104="New Construction", VLOOKUP(F104, 'Lookup Tables'!$A$6:$K$59, 11, FALSE),IF(OR(AN104="", AN104="Light Switch"), 0, IF(OR(M104="",M104="None",V104= "LED Exit Signs"),0,_xlfn.XLOOKUP(M104,'Lookup Tables'!$R$91:$R$101,'Lookup Tables'!$V$91:$V$101))))), "")</f>
        <v/>
      </c>
      <c r="BF104" s="270" t="str">
        <f>IF(AND(OR(AN104="Light Switch",AN104=""),B104="New Construction"), VLOOKUP(F104, 'Lookup Tables'!$A$6:$K$59, 11, FALSE),IF(AN104="","",IF(B104="","",IF(OR(AN104="None",AN104="",V104="LED Exit Signs",AN104="Exterior Controls Not Eligible"),0,_xlfn.XLOOKUP(AN104,'Lookup Tables'!$R$91:$R$101,'Lookup Tables'!$V$91:$V$101)))))</f>
        <v/>
      </c>
      <c r="BG104" s="88" t="str">
        <f t="shared" si="353"/>
        <v/>
      </c>
      <c r="BH104" s="88" t="str">
        <f t="shared" si="354"/>
        <v/>
      </c>
      <c r="BI104" s="558" t="str">
        <f t="shared" si="398"/>
        <v/>
      </c>
      <c r="BJ104" s="82" t="str">
        <f t="shared" si="355"/>
        <v/>
      </c>
      <c r="BK104" s="82" t="str">
        <f t="shared" si="356"/>
        <v/>
      </c>
      <c r="BL104" s="559" t="str">
        <f t="shared" si="357"/>
        <v/>
      </c>
      <c r="BM104" s="521" t="str">
        <f t="shared" si="302"/>
        <v/>
      </c>
      <c r="BN104" s="521" t="str">
        <f t="shared" si="303"/>
        <v/>
      </c>
      <c r="BO104" s="522" t="str">
        <f t="shared" si="304"/>
        <v/>
      </c>
      <c r="BP104" s="83" t="str">
        <f t="shared" si="358"/>
        <v/>
      </c>
      <c r="BQ104" s="84" t="str">
        <f t="shared" si="359"/>
        <v/>
      </c>
      <c r="BR104" s="184" t="str">
        <f>IFERROR(IF(B104="", "", IF(OR(VLOOKUP(J104, 'Fixture Identities'!$A$6:$L$1023, 3, FALSE)="T12 Linear Fluorescent",VLOOKUP(J104, 'Fixture Identities'!$A$6:$L$1023, 3, FALSE)="T12 U-Tube Fluorescent"), "Y", "N")), "N")</f>
        <v/>
      </c>
      <c r="BS104" s="184" t="str">
        <f t="array" ref="BS104">IFERROR(IF(OR(B104="", V104="", W104=""), "", IF(V104="Custom", "N", IF(OR(W104="Freezer Case Lighting", W104="Refrigerated Case Lighting with Doors"), BT104, IF(B104="Retrofit", INDEX('Lookup Tables'!$AH$6:$AT$102,MATCH(1,('Lookup Tables'!$AH$6:$AH$102=V104)*('Lookup Tables'!$AI$6:$AI$102=W104),FALSE),IF(VLOOKUP(J104, 'Fixture Identities'!$A$6:$B$1023, 2, FALSE)="Incandescent",12, 13)), INDEX('Lookup Tables'!$AH$114:$AS$154,MATCH(1,('Lookup Tables'!$AH$114:$AH$154=V104)*('Lookup Tables'!$AI$114:$AI$154=W104),FALSE),12))))), "N")</f>
        <v/>
      </c>
      <c r="BT104" s="184" t="str">
        <f>IF(J104="", "", IF(AND(OR(W104="Freezer case Lighting", W104="Refrigerated Case Lighting with Doors"),'General Information'!$X$18="LCI"), "N", IF(OR(VLOOKUP(J104, 'Fixture Identities'!$A$6:$B$1023, 2, FALSE)="T12 EPACT/EISA Baseline", VLOOKUP(J104, 'Fixture Identities'!$A$6:$B$1023, 2, FALSE)="Linear Fluorescent", VLOOKUP(J104, 'Fixture Identities'!$A$6:$B$1023, 2, FALSE)="U-Tube Fluorescent"), "Y", "N")))</f>
        <v/>
      </c>
      <c r="BU104" s="184" t="str">
        <f>IFERROR(IF(B104="", "", IF(VLOOKUP(J104, 'Fixture Identities'!$A$6:$B$1023, 2, FALSE)="Exit Sign", "Y", "N")), "N")</f>
        <v/>
      </c>
      <c r="BV104" s="184" t="str">
        <f>IF(V104="Exit Signs", IF(VLOOKUP(J104, 'Fixture Identities'!$A$6:$B$1023, 2, FALSE)="Exit Sign", "N", "Y"), "")</f>
        <v/>
      </c>
      <c r="BW104" s="184" t="str">
        <f t="array" ref="BW104">IFERROR(IF(B104="", "", IF(B104="New Construction", "N", INDEX('Lookup Tables'!$AH$6:$AU$102, MATCH(1, ('Lookup Tables'!$AH$6:$AH$102='Lighting Inventory'!V104)*('Lookup Tables'!$AI$6:$AI$102='Lighting Inventory'!W104), 0), 14))), "N")</f>
        <v/>
      </c>
      <c r="BX104" s="598" t="str">
        <f t="shared" si="360"/>
        <v/>
      </c>
      <c r="BY104" s="598" t="str">
        <f t="shared" si="361"/>
        <v/>
      </c>
      <c r="BZ104" s="598" t="str">
        <f t="shared" si="362"/>
        <v/>
      </c>
      <c r="CA104" s="598" t="str">
        <f t="shared" si="363"/>
        <v/>
      </c>
      <c r="CB104" s="269" t="str">
        <f t="shared" si="364"/>
        <v/>
      </c>
      <c r="CC104" s="517" t="str">
        <f t="shared" si="365"/>
        <v/>
      </c>
      <c r="CD104" s="565" t="str">
        <f t="shared" si="305"/>
        <v/>
      </c>
      <c r="CE104" s="368">
        <v>0</v>
      </c>
      <c r="CF104" s="368" t="str" cm="1">
        <f t="array" ref="CF104">IFERROR(IF(V104="Custom", "$0.1 per kWh", IF(B104="New Construction", CONCATENATE("$",INDEX('Lookup Tables'!$AH$114:$AN$154,MATCH(1,('Lookup Tables'!$AH$114:$AH$154='Lighting Inventory'!V104)*('Lookup Tables'!$AI$114:$AI$154='Lighting Inventory'!W104),FALSE),6)," ",INDEX('Lookup Tables'!$AH$114:$AN$154,MATCH(1,('Lookup Tables'!$AH$114:$AH$154='Lighting Inventory'!V104)*('Lookup Tables'!$AI$114:$AI$154='Lighting Inventory'!W104),FALSE),7)), IF(AND(BU104="N", V104="Exit Signs"), "$0.025 per kWh", CONCATENATE("$",INDEX('Lookup Tables'!$AH$6:$AN$102,MATCH(1,('Lookup Tables'!$AH$6:$AH$102='Lighting Inventory'!V104)*('Lookup Tables'!$AI$6:$AI$102='Lighting Inventory'!W104),FALSE),6)," ",INDEX('Lookup Tables'!$AH$6:$AN$102,MATCH(1,('Lookup Tables'!$AH$6:$AH$102='Lighting Inventory'!V104)*('Lookup Tables'!$AI$6:$AI$102='Lighting Inventory'!W104),FALSE),7))))), "")</f>
        <v/>
      </c>
      <c r="CG104" s="366"/>
      <c r="CH104" s="248" t="str">
        <f t="shared" si="306"/>
        <v/>
      </c>
      <c r="CI104" s="248" t="str">
        <f t="shared" si="307"/>
        <v>Select_IE</v>
      </c>
      <c r="CJ104" s="248" t="str">
        <f t="shared" si="308"/>
        <v/>
      </c>
      <c r="CK104" s="248" t="str">
        <f t="shared" si="309"/>
        <v/>
      </c>
      <c r="CL104" s="248" t="str">
        <f t="shared" si="310"/>
        <v/>
      </c>
      <c r="CM104" s="248" t="str">
        <f>IFERROR(IF(B104="", "", IF(B104="New Construction", VLOOKUP(V104, 'Lookup Tables'!$AF$114:$AG$120, 2, FALSE), VLOOKUP(V104, 'Lookup Tables'!$AD$6:$AE$25, 2, FALSE))), "")</f>
        <v/>
      </c>
      <c r="CN104" s="248" t="str">
        <f t="shared" si="311"/>
        <v/>
      </c>
      <c r="CO104" s="248" t="str">
        <f t="shared" si="312"/>
        <v/>
      </c>
      <c r="CP104" s="592" t="str">
        <f t="shared" si="313"/>
        <v/>
      </c>
      <c r="CQ104" s="248" t="str">
        <f t="shared" si="366"/>
        <v/>
      </c>
      <c r="CR104" s="100"/>
      <c r="CS104" s="250" t="str">
        <f t="shared" si="314"/>
        <v/>
      </c>
      <c r="CT104" s="250" t="str">
        <f t="shared" si="367"/>
        <v/>
      </c>
      <c r="CU104" s="250" t="str">
        <f t="shared" si="368"/>
        <v/>
      </c>
      <c r="CV104" s="250" t="str">
        <f t="shared" si="369"/>
        <v/>
      </c>
      <c r="CW104" s="250" t="str">
        <f t="shared" si="370"/>
        <v/>
      </c>
      <c r="CX104" s="250" t="str">
        <f t="shared" si="315"/>
        <v/>
      </c>
      <c r="CY104" s="250" t="str">
        <f t="shared" si="316"/>
        <v/>
      </c>
      <c r="CZ104" s="250" t="str">
        <f t="shared" si="317"/>
        <v/>
      </c>
      <c r="DA104" s="250" t="str">
        <f t="shared" si="318"/>
        <v/>
      </c>
      <c r="DB104" s="250" t="str">
        <f t="shared" si="319"/>
        <v/>
      </c>
      <c r="DC104" s="250" t="str">
        <f t="shared" si="320"/>
        <v/>
      </c>
      <c r="DD104" s="250" t="str">
        <f t="shared" si="321"/>
        <v/>
      </c>
      <c r="DE104" s="250" t="str">
        <f t="shared" si="322"/>
        <v/>
      </c>
      <c r="DF104" s="250" t="str">
        <f t="shared" si="323"/>
        <v/>
      </c>
      <c r="DG104" s="250" t="str">
        <f t="shared" si="324"/>
        <v/>
      </c>
      <c r="DH104" s="250" t="str">
        <f t="shared" si="325"/>
        <v/>
      </c>
      <c r="DI104" s="250" t="str">
        <f t="shared" si="326"/>
        <v/>
      </c>
      <c r="DJ104" s="250" t="str">
        <f t="shared" si="327"/>
        <v/>
      </c>
      <c r="DK104" s="250" t="str">
        <f t="shared" si="328"/>
        <v/>
      </c>
      <c r="DL104" s="250" t="str">
        <f t="shared" si="329"/>
        <v/>
      </c>
      <c r="DM104" s="250" t="str">
        <f>IF(CD104="ERROR", "ERROR", IF(AND(OR(Y104=$DM$6, Y104='Lookup Tables'!$AD$21, Y104='Lookup Tables'!$AD$22), E104="Interior"), BJ104, ""))</f>
        <v/>
      </c>
      <c r="DN104" s="250" t="str">
        <f>IF(CD104="ERROR", "ERROR", IF(AND(OR(Y104=$DM$6, Y104='Lookup Tables'!$AD$21, Y104='Lookup Tables'!$AD$22), E104="Exterior"), BJ104, ""))</f>
        <v/>
      </c>
      <c r="DO104" s="100"/>
      <c r="DP104" s="250" t="str">
        <f t="shared" si="330"/>
        <v/>
      </c>
      <c r="DQ104" s="250" t="str">
        <f t="shared" si="371"/>
        <v/>
      </c>
      <c r="DR104" s="250" t="str">
        <f t="shared" si="372"/>
        <v/>
      </c>
      <c r="DS104" s="250" t="str">
        <f t="shared" si="373"/>
        <v/>
      </c>
      <c r="DT104" s="250" t="str">
        <f t="shared" si="374"/>
        <v/>
      </c>
      <c r="DU104" s="250" t="str">
        <f t="shared" si="331"/>
        <v/>
      </c>
      <c r="DV104" s="250" t="str">
        <f t="shared" si="332"/>
        <v/>
      </c>
      <c r="DW104" s="250" t="str">
        <f t="shared" si="333"/>
        <v/>
      </c>
      <c r="DX104" s="250" t="str">
        <f t="shared" si="334"/>
        <v/>
      </c>
      <c r="DY104" s="250" t="str">
        <f t="shared" si="335"/>
        <v/>
      </c>
      <c r="DZ104" s="250" t="str">
        <f t="shared" si="336"/>
        <v/>
      </c>
      <c r="EA104" s="250" t="str">
        <f t="shared" si="337"/>
        <v/>
      </c>
      <c r="EB104" s="250" t="str">
        <f t="shared" si="375"/>
        <v/>
      </c>
      <c r="EC104" s="250" t="str">
        <f t="shared" si="338"/>
        <v/>
      </c>
      <c r="ED104" s="250" t="str">
        <f t="shared" si="339"/>
        <v/>
      </c>
      <c r="EE104" s="250" t="str">
        <f t="shared" si="340"/>
        <v/>
      </c>
      <c r="EF104" s="250" t="str">
        <f t="shared" si="341"/>
        <v/>
      </c>
      <c r="EG104" s="250" t="str">
        <f t="shared" si="342"/>
        <v/>
      </c>
      <c r="EH104" s="250" t="str">
        <f>IF(CD104="ERROR", "ERROR", IF(AND(OR($EH$6=Y104, Y104='Lookup Tables'!$AD$21, Y104='Lookup Tables'!$AD$22),E104="Interior"), SUM(BP104:BP104), ""))</f>
        <v/>
      </c>
      <c r="EI104" s="250" t="str">
        <f>IF(CD104="ERROR", "ERROR", IF(AND(OR($EH$6=Y104, Y104='Lookup Tables'!$AD$21, Y104='Lookup Tables'!$AD$22),E104="Exterior"), SUM(BP104:BP104), ""))</f>
        <v/>
      </c>
      <c r="EJ104" s="109"/>
      <c r="EK104" s="485" t="str">
        <f t="shared" si="343"/>
        <v/>
      </c>
      <c r="EL104" s="252" t="str">
        <f t="shared" si="376"/>
        <v/>
      </c>
      <c r="EM104" s="252" t="str">
        <f t="shared" si="377"/>
        <v/>
      </c>
      <c r="EN104" s="252" t="str">
        <f t="shared" si="378"/>
        <v/>
      </c>
      <c r="EO104" s="252" t="str">
        <f t="shared" si="379"/>
        <v/>
      </c>
      <c r="EP104" s="252" t="str">
        <f t="shared" si="380"/>
        <v/>
      </c>
      <c r="EQ104" s="252" t="str">
        <f t="shared" si="381"/>
        <v/>
      </c>
      <c r="ER104" s="252" t="str">
        <f t="shared" si="382"/>
        <v/>
      </c>
      <c r="ES104" s="252" t="str">
        <f t="shared" si="383"/>
        <v/>
      </c>
      <c r="ET104" s="252" t="str">
        <f t="shared" si="384"/>
        <v/>
      </c>
      <c r="EU104" s="252" t="str">
        <f t="shared" si="385"/>
        <v/>
      </c>
      <c r="EV104" s="252" t="str">
        <f t="shared" si="386"/>
        <v/>
      </c>
      <c r="EW104" s="252" t="str">
        <f t="shared" si="387"/>
        <v/>
      </c>
      <c r="EX104" s="252" t="str">
        <f t="shared" si="388"/>
        <v/>
      </c>
      <c r="EY104" s="252" t="str">
        <f t="shared" si="389"/>
        <v/>
      </c>
      <c r="EZ104" s="252" t="str">
        <f t="shared" si="390"/>
        <v/>
      </c>
      <c r="FA104" s="252" t="str">
        <f t="shared" si="391"/>
        <v/>
      </c>
      <c r="FB104" s="252" t="str">
        <f t="shared" si="392"/>
        <v/>
      </c>
      <c r="FC104" s="252" t="str">
        <f>IF(CD104="ERROR", "ERROR", IF(OR(V104="No Change", V104="Not DLC or Energy Star"), "", IF(AND(OR($FC$6=Y104,Y104='Lookup Tables'!$AD$21, Y104='Lookup Tables'!$AD$22),E104="Interior"), S104, "")))</f>
        <v/>
      </c>
      <c r="FD104" s="252" t="str">
        <f t="shared" si="393"/>
        <v/>
      </c>
      <c r="FE104" s="101"/>
      <c r="FF104" s="579" t="str" cm="1">
        <f t="array" ref="FF104">IFERROR(IF(OR(BQ104&lt;=0,AQ104&lt;20,AND(V104="Exit Signs",AN104&gt;0)),"",IF(AND(AQ104&gt;=20,AN104='Lookup Tables'!$R$101),'Lookup Tables'!$U$101*BQ104,AP104*LOOKUP(2,1/((AN104='Lookup Tables'!$R$91:$R$111)*(AQ104&gt;='Lookup Tables'!$S$91:$S$111)*(AQ104&lt;='Lookup Tables'!$T$91:$T$111)),'Lookup Tables'!$U$91:$U$111))),"")</f>
        <v/>
      </c>
      <c r="FG104" s="579"/>
      <c r="FH104" s="579"/>
      <c r="FI104" s="253" t="str">
        <f>IFERROR(ROUND(IF(CD104="ERROR", "ERROR", IF(AND($FI$7=X104,E104="Interior"),VLOOKUP(W104, 'Lookup Tables'!$AI$6:$AM$102, 5, FALSE)*BP104, "")), 2), "")</f>
        <v/>
      </c>
      <c r="FJ104" s="253" t="str">
        <f>IFERROR(ROUND(IF(CD104="ERROR", "ERROR", IF(AND($FI$7=X104,E104="Exterior"),VLOOKUP(W104, 'Lookup Tables'!$AI$6:$AM$102, 5, FALSE)*BP104, "")), 2), "")</f>
        <v/>
      </c>
      <c r="FK104" s="253" t="str">
        <f>IFERROR(ROUND(IF(CD104="ERROR", "ERROR", IF(AND($FK$7=X104,E104="Interior"),VLOOKUP(W104, 'Lookup Tables'!$AI$6:$AM$102, 5, FALSE)*BP104, "")), 2), "")</f>
        <v/>
      </c>
      <c r="FL104" s="253" t="str">
        <f>IFERROR(ROUND(IF(CD104="ERROR", "ERROR", IF(AND($FK$7=X104,E104="Exterior"),VLOOKUP(W104, 'Lookup Tables'!$AI$6:$AM$102, 5, FALSE)*BP104, "")), 2), "")</f>
        <v/>
      </c>
      <c r="FM104" s="253" t="str">
        <f>IFERROR(ROUND(IF(CD104="ERROR", "ERROR", IF(AND($FM$6=Y104,E104="Interior"), IF(GB104=0, VLOOKUP(W104, 'Lookup Tables'!$AI$6:$AM$102, 5, FALSE)*BP104, IF(VLOOKUP(W104, 'Lookup Tables'!$AI$6:$AM$102, 5, FALSE)*BP104&gt;GB104*'Lighting Inventory'!S104, GB104*'Lighting Inventory'!S104,VLOOKUP(W104, 'Lookup Tables'!$AI$6:$AM$102, 5, FALSE)*BP104)), "")), 2), "")</f>
        <v/>
      </c>
      <c r="FN104" s="253" t="str">
        <f>IFERROR(ROUND(IF(CD104="ERROR", "ERROR", IF(AND($FM$6=Y104,E104="Exterior"), IF(GB104=0, VLOOKUP(W104, 'Lookup Tables'!$AI$6:$AM$102, 5, FALSE)*BP104, IF(VLOOKUP(W104, 'Lookup Tables'!$AI$6:$AM$102, 5, FALSE)*BP104&gt;GB104*'Lighting Inventory'!S104, GB104*'Lighting Inventory'!S104,VLOOKUP(W104, 'Lookup Tables'!$AI$6:$AM$102, 5, FALSE)*BP104)), "")), 2), "")</f>
        <v/>
      </c>
      <c r="FO104" s="253" t="str">
        <f>IFERROR(ROUND(IF(CD104="ERROR", "ERROR", IF(AND($FO$6=Y104,E104="Interior"),VLOOKUP(W104, 'Lookup Tables'!$AI$6:$AM$102, 5, FALSE)*'Lighting Inventory'!AI104, "")), 2), "")</f>
        <v/>
      </c>
      <c r="FP104" s="253" t="str">
        <f>IFERROR(ROUND(IF(CD104="ERROR", "ERROR", IF(AND($FO$6=Y104,E104="Exterior"),VLOOKUP(W104, 'Lookup Tables'!$AI$6:$AM$102, 5, FALSE)*'Lighting Inventory'!AI104, "")), 2), "")</f>
        <v/>
      </c>
      <c r="FQ104" s="253" t="str">
        <f>IFERROR(ROUND(IF(CD104="ERROR", "ERROR", IF(AND($FQ$6=Y104,E104="Interior", BU104="Y"), VLOOKUP('Lighting Inventory'!W104, 'Lookup Tables'!$AI$6:$AM$102, 5, FALSE)*'Lighting Inventory'!S104, IF(AND($FQ$7=Y104,E104="Interior", BU104="N"), 0.025*CD104, ""))), 2), "")</f>
        <v/>
      </c>
      <c r="FR104" s="253" t="str">
        <f>IFERROR(ROUND(IF(CD104="ERROR", "ERROR", IF(AND($FQ$6=Y104,E104="Exterior"), VLOOKUP('Lighting Inventory'!W104, 'Lookup Tables'!$AI$6:$AM$102, 5, FALSE)*'Lighting Inventory'!S104, "")), 2), "")</f>
        <v/>
      </c>
      <c r="FS104" s="253" t="str">
        <f>IFERROR(ROUND(IF(CD104="ERROR", "ERROR", IF(AND($FS$6=Y104,E104="Exterior"), IF(GB104=0, VLOOKUP(W104, 'Lookup Tables'!$AI$6:$AM$102, 5, FALSE)*BP104, IF(VLOOKUP(W104, 'Lookup Tables'!$AI$6:$AM$102, 5, FALSE)*BP104&gt;GB104*'Lighting Inventory'!S104, GB104*'Lighting Inventory'!S104,VLOOKUP(W104, 'Lookup Tables'!$AI$6:$AM$102, 5, FALSE)*BP104)), "")), 2), "")</f>
        <v/>
      </c>
      <c r="FT104" s="253" t="str">
        <f>IFERROR(ROUND(IF(CD104="ERROR", "ERROR", IF(AND($FT$6=Y104,E104="Interior"), IF(GB104=0, VLOOKUP(W104, 'Lookup Tables'!$AI$6:$AM$102, 5, FALSE)*BP104, IF(VLOOKUP(W104, 'Lookup Tables'!$AI$6:$AM$102, 5, FALSE)*BP104&gt;GB104*'Lighting Inventory'!S104, GB104*'Lighting Inventory'!S104,VLOOKUP(W104, 'Lookup Tables'!$AI$6:$AM$102, 5, FALSE)*BP104)), "")), 2), "")</f>
        <v/>
      </c>
      <c r="FU104" s="253" t="str">
        <f>IFERROR(ROUND(IF(CD104="ERROR", "ERROR", IF(AND(Y104=$FU$6, E104="Interior"), IF(BS104="N", 'Lookup Tables'!$AM$101*BP104, VLOOKUP(W104, 'Lookup Tables'!$AI$6:$AM$102, 5, FALSE)*S104*AD104), "")), 2), "")</f>
        <v/>
      </c>
      <c r="FV104" s="253" t="str">
        <f>IFERROR(ROUND(IF(CD104="ERROR", "ERROR", IF(AND(Y104=$FU$6, E104="Exterior"), IF(BS104="N", 'Lookup Tables'!$AM$101*BP104, VLOOKUP(W104, 'Lookup Tables'!$AI$6:$AM$102, 5, FALSE)*S104*AD104), "")), 2), "")</f>
        <v/>
      </c>
      <c r="FW104" s="253" t="str">
        <f>IFERROR(ROUND(IF(CD104="ERROR", "ERROR", IF($FW$6=Y104, IF(BS104="N", 'Lookup Tables'!$AM$101*BP104, MIN((VLOOKUP(W104, 'Lookup Tables'!$AI$6:$AM$102, 5, FALSE)*BP104),GB104*AJ104)), "")), 2), "")</f>
        <v/>
      </c>
      <c r="FX104" s="253" t="str">
        <f>IFERROR(ROUND(IF(CD104="ERROR", "ERROR", IF(AND($FX$6=Y104, E104="Interior"), IF(VLOOKUP(W104, 'Lookup Tables'!$AI$6:$AM$102, 5, FALSE)*BP104&gt;'Lookup Tables'!$AQ$97*'Lighting Inventory'!S104,'Lighting Inventory'!S104*'Lookup Tables'!$AQ$97,VLOOKUP(W104, 'Lookup Tables'!$AI$6:$AM$102, 5, FALSE)*BP104), "")), 2), "")</f>
        <v/>
      </c>
      <c r="FY104" s="253" t="str">
        <f>IFERROR(ROUND(IF(CD104="ERROR", "ERROR", IF(AND($FX$6=Y104, E104="Exterior"), IF(VLOOKUP(W104, 'Lookup Tables'!$AI$6:$AM$102, 5, FALSE)*BP104&gt;'Lookup Tables'!$AQ$97*'Lighting Inventory'!S104,'Lighting Inventory'!S104*'Lookup Tables'!$AQ$97,VLOOKUP(W104, 'Lookup Tables'!$AI$6:$AM$102, 5, FALSE)*BP104), "")), 2), "")</f>
        <v/>
      </c>
      <c r="FZ104" s="253" t="str">
        <f>IFERROR(ROUND(IF(CD104="ERROR", "ERROR", IF(AND($FZ$6=Y104, E104="Interior"), IF(AND(OR(W104="Refrigerated Case Lighting with Doors", W104="Freezer Case Lighting"),Y104="Custom - Process Improvement"),CD104*'Lookup Tables'!$AM$101, IF(B104="Retrofit", IF(VLOOKUP(IF(V104="Custom", V104, W104), 'Lookup Tables'!$AI$6:$AM$102, 5, FALSE)*BP104&gt;GE104, GE104, VLOOKUP(IF(V104="Custom", V104, W104), 'Lookup Tables'!$AI$6:$AM$102, 5, FALSE)*BP104), IF(VLOOKUP(IF(V104="Custom", V104, W104), 'Lookup Tables'!$AI$114:$AM$154, 5, FALSE)*BP104&gt;GE104, GE104, VLOOKUP(IF(V104="Custom", V104, W104), 'Lookup Tables'!$AI$114:$AM$154, 5, FALSE)*BP104))), "")), 2),"")</f>
        <v/>
      </c>
      <c r="GA104" s="253" t="str">
        <f>IFERROR(ROUND(IF(CD104="ERROR", "ERROR", IF(AND($FZ$6=Y104, E104="Exterior"), IF(B104="Retrofit", IF(VLOOKUP(IF(V104="Custom", V104, W104), 'Lookup Tables'!$AI$6:$AM$102, 5, FALSE)*BP104&gt;GE104, GE104, VLOOKUP(IF(V104="Custom", V104, W104), 'Lookup Tables'!$AI$6:$AM$102, 5, FALSE)*BP104), IF(VLOOKUP(IF(V104="Custom", V104, W104), 'Lookup Tables'!$AI$114:$AM$154, 5, FALSE)*BP104&gt;GE104, GE104, VLOOKUP(IF(V104="Custom", V104, W104), 'Lookup Tables'!$AI$114:$AM$154, 5, FALSE)*BP104)), "")), 2),"")</f>
        <v/>
      </c>
      <c r="GB104" s="254" t="str">
        <f t="array" ref="GB104">IF(B104="","",IF(OR(V104="Custom",V104="No Change"),0,IF(B104="Retrofit", INDEX('Lookup Tables'!$AH$6:$AQ$102,MATCH(1,('Lookup Tables'!$AH$6:$AH$102='Lighting Inventory'!V104)*('Lookup Tables'!$AI$6:$AI$102='Lighting Inventory'!W104),FALSE),10),INDEX('Lookup Tables'!$AH$114:$AQ$154,MATCH(1,('Lookup Tables'!$AH$114:$AH$154='Lighting Inventory'!V104)*('Lookup Tables'!$AI$114:$AI$154='Lighting Inventory'!W104),FALSE),10))))</f>
        <v/>
      </c>
      <c r="GC104" s="255" t="str">
        <f t="shared" si="344"/>
        <v/>
      </c>
      <c r="GD104" s="250" t="str">
        <f t="shared" si="345"/>
        <v/>
      </c>
      <c r="GE104" s="253" t="str">
        <f>IFERROR(IF(AND(AF104="", 'General Information'!$F$18="No"),"", IF(AF104="", ((GD104/$CD$266)*$CF$266)*0.5, AF104*S104*0.5)), "")</f>
        <v/>
      </c>
      <c r="GF104" s="255" t="str">
        <f>IF(AND('General Information'!$F$19="", 'General Information'!$F$18="Yes",AF104="",BW104="Y"), "Y", "N")</f>
        <v>N</v>
      </c>
      <c r="GG104" s="255" t="s">
        <v>2946</v>
      </c>
      <c r="GH104" s="255" t="str">
        <f>IFERROR(IF(B104="", "", VLOOKUP(J104, 'Fixture Identities'!$A$6:$N$908, 14, FALSE)), "")</f>
        <v/>
      </c>
      <c r="GI104" s="389" t="str">
        <f>IF(OR(B104="", V104="", W104=""), "", IF(AND(OR(M104='Lookup Tables'!$R$18, M104='Lookup Tables'!$R$19, M104='Lookup Tables'!$R$20, M104='Lookup Tables'!$R$21, M104='Lookup Tables'!$R$22), OR(AN104='Lookup Tables'!$R$17, AN104='Lookup Tables'!$R$17, AN104="")), "Y", "N"))</f>
        <v/>
      </c>
      <c r="GJ104" s="255" t="str">
        <f t="shared" si="346"/>
        <v/>
      </c>
      <c r="GK104" s="255" t="str">
        <f t="shared" si="347"/>
        <v/>
      </c>
      <c r="GL104" s="255" t="str">
        <f t="shared" si="348"/>
        <v/>
      </c>
      <c r="GM104" s="255" t="str">
        <f>IF(AN104="", "", IF(AND(IF(ISNA(VLOOKUP(AN104,'Lookup Tables'!$R$18:$R$22,1,FALSE)), "N", "Y")="Y", E104="Exterior"), "Y", "N"))</f>
        <v/>
      </c>
      <c r="GN104" s="395"/>
      <c r="GO104" s="428">
        <f t="shared" si="394"/>
        <v>0</v>
      </c>
      <c r="GP104" s="428">
        <f t="shared" si="397"/>
        <v>0</v>
      </c>
      <c r="GQ104" s="428">
        <f t="shared" si="395"/>
        <v>0</v>
      </c>
      <c r="GR104" s="428">
        <f t="shared" si="396"/>
        <v>0</v>
      </c>
    </row>
    <row r="105" spans="1:200" s="103" customFormat="1" ht="13.5" customHeight="1" x14ac:dyDescent="0.2">
      <c r="A105" s="272">
        <v>95</v>
      </c>
      <c r="B105" s="110"/>
      <c r="C105" s="110"/>
      <c r="D105" s="110"/>
      <c r="E105" s="110"/>
      <c r="F105" s="110"/>
      <c r="G105" s="110"/>
      <c r="H105" s="110"/>
      <c r="I105" s="29"/>
      <c r="J105" s="29"/>
      <c r="K105" s="272" t="str">
        <f>IFERROR(IF(OR(VLOOKUP(J105, 'Fixture Identities'!$A$6:$L$1023, 3, FALSE)="T12 Linear Fluorescent", VLOOKUP(J105, 'Fixture Identities'!$A$6:$L$1023, 3, FALSE)="T12 U-Tube Fluorescent"), VLOOKUP(VLOOKUP(J105, 'Fixture Identities'!$A$6:$L$1023, 11, FALSE), 'Fixture Identities'!$A$6:$L$1023, 10, FALSE), VLOOKUP(J105, 'Fixture Identities'!$A$6:$L$1023, 10, FALSE)), "")</f>
        <v/>
      </c>
      <c r="L105" s="270" t="str">
        <f t="shared" si="399"/>
        <v/>
      </c>
      <c r="M105" s="110"/>
      <c r="N105" s="110"/>
      <c r="O105" s="110"/>
      <c r="P105" s="272" t="str">
        <f>IFERROR(IF(OR(B105="Retrofit",B105=""),"",IF('Lighting Inventory'!E105="Exterior",VLOOKUP('Lighting Inventory'!N105,'Lookup Tables'!$B$83:$F$103,5,FALSE),IF(N105="Other - Please Estimate EFLH and CFs","Contact Prog. Rep.","ft^2"))), "")</f>
        <v/>
      </c>
      <c r="Q105" s="270" t="str">
        <f>IFERROR(IF(AND(B105="New Construction",E105="Interior",$F$5="Space-by-Space"),VLOOKUP('Lighting Inventory'!N105,'Lookup Tables'!$N$6:$O$97,2,FALSE),IF(AND(B105="New Construction",E105="Exterior"),VLOOKUP(N105,'Lookup Tables'!$B$83:$F$103,2,FALSE),IF(AND(B105="New Construction",'Lighting Inventory'!E105="Interior", $F$5="Building Area"),VLOOKUP(F105,'Lookup Tables'!$A$6:$J$59,10,FALSE),""))), "")</f>
        <v/>
      </c>
      <c r="R105" s="270" t="str">
        <f>IFERROR(IF(P105="Contact Prog. Rep.", "ERROR", IF(OR(B105="",B105="Retrofit"),"",IF(N105="Automated teller machines", ('Lookup Tables'!$A$82:$E$100+('Lighting Inventory'!O105-1)*'Lookup Tables'!$A$82:$E$100)/1000, (Q105*O105)/1000))), "")</f>
        <v/>
      </c>
      <c r="S105" s="595"/>
      <c r="T105" s="105" t="str">
        <f t="shared" si="349"/>
        <v/>
      </c>
      <c r="U105" s="105" t="str">
        <f>IF(S105="","",COUNT($S$11:S105))</f>
        <v/>
      </c>
      <c r="V105" s="111"/>
      <c r="W105" s="112"/>
      <c r="X105" s="105" t="str">
        <f t="shared" si="350"/>
        <v/>
      </c>
      <c r="Y105" s="105" t="str">
        <f t="array" ref="Y105">IF(AND(OR(W105="Freezer Case Lighting", W105="Refrigerated Case Lighting with Doors"), 'General Information'!$X$18="LCI"),'Lookup Tables'!$Y$34, IF(V105="Custom", VLOOKUP(W105, 'Fixture Identities'!$A$974:$M$1023, 13, FALSE), IF(V105="No Change",'Lookup Tables'!$Y$29,IF(OR(V105="",W105=""),"",IF(AND(S105=0,S105&lt;I105,B105="Retrofit"),'Lookup Tables'!$Y$25, IF(B105="Retrofit", INDEX('Lookup Tables'!$AH$6:$AP$102, MATCH(1, ('Lookup Tables'!$AH$6:$AH$102=V105)*('Lookup Tables'!$AI$6:$AI$102=W105), 0), IF('Lighting Inventory'!E105="Interior", 4, 5)), INDEX('Lookup Tables'!$AH$114:$AP$154, MATCH(1, ('Lookup Tables'!$AH$114:$AH$154=V105)*('Lookup Tables'!$AI$114:$AI$154=W105), 0), IF('Lighting Inventory'!E105="Interior", 4, 5))))))))</f>
        <v/>
      </c>
      <c r="Z105" s="105" t="str">
        <f>IFERROR(INDEX('Lookup Tables'!$AH$158:$AH$172,MATCH('Lighting Inventory'!Y105,'Lookup Tables'!$AI$158:$AI$172,0)),"")</f>
        <v/>
      </c>
      <c r="AA105" s="105" t="str">
        <f>IF(AP105&gt;0,INDEX('Lookup Tables'!$AK$158:$AK$172,MATCH('Lighting Inventory'!Y105,'Lookup Tables'!$AI$158:$AI$172,0)),'Lighting Inventory'!Y105)</f>
        <v/>
      </c>
      <c r="AB105" s="105" t="str">
        <f t="array" ref="AB105">IF(V105="Custom", "Custom", IF(V105="", "", IF(V105="Not DLC or Energy Star", "General", IF(B105="New Construction", INDEX('Lookup Tables'!$AH$114:$AP$154,MATCH(1,('Lookup Tables'!$AH$114:$AH$154='Lighting Inventory'!V105)*('Lookup Tables'!$AI$114:$AI$154='Lighting Inventory'!W105),FALSE),8), INDEX('Lookup Tables'!$AH$6:$AP$102,MATCH(1,('Lookup Tables'!$AH$6:$AH$102='Lighting Inventory'!V105)*('Lookup Tables'!$AI$6:$AI$102='Lighting Inventory'!W105),FALSE),8)))))</f>
        <v/>
      </c>
      <c r="AC105" s="272" t="str">
        <f>IF(W105="","",IF(V105="Custom",CONCATENATE("$",'Lookup Tables'!$AM$101," ",'Lookup Tables'!$AN$101),CONCATENATE("$",INDEX('Lookup Tables'!$AM$6:$AM$102,MATCH('Lighting Inventory'!W105,'Lookup Tables'!$AI$6:$AI$102,0))," ",INDEX('Lookup Tables'!$AN$6:$AN$102,MATCH('Lighting Inventory'!W105,'Lookup Tables'!$AI$6:$AI$102,0)))))</f>
        <v/>
      </c>
      <c r="AD105" s="72"/>
      <c r="AE105" s="29"/>
      <c r="AF105" s="379"/>
      <c r="AG105" s="370" t="str">
        <f t="shared" si="298"/>
        <v/>
      </c>
      <c r="AH105" s="370" t="str">
        <f t="shared" si="351"/>
        <v/>
      </c>
      <c r="AI105" s="29"/>
      <c r="AJ105" s="29"/>
      <c r="AK105" s="110"/>
      <c r="AL105" s="375" t="str">
        <f>IF(OR(B105="", V105="", W105=""), "", IF(V105="No Change", K105, IF(V105="Remove Fixture", 0, IF(V105="Custom",VLOOKUP(W105,'Fixture Identities'!$A$6:$K$1023,10,FALSE),IF(AE105="", "← ENTER POST WATTS", 'Lighting Inventory'!AE105)))))</f>
        <v/>
      </c>
      <c r="AM105" s="376" t="str">
        <f t="shared" si="299"/>
        <v/>
      </c>
      <c r="AN105" s="29"/>
      <c r="AO105" s="671"/>
      <c r="AP105" s="29"/>
      <c r="AQ105" s="29"/>
      <c r="AR105" s="29"/>
      <c r="AS105" s="272" t="str">
        <f t="shared" si="352"/>
        <v/>
      </c>
      <c r="AT105" s="270" t="str">
        <f t="shared" si="300"/>
        <v/>
      </c>
      <c r="AU105" s="88" t="str">
        <f t="shared" si="400"/>
        <v/>
      </c>
      <c r="AV105" s="29"/>
      <c r="AW105" s="73"/>
      <c r="AX105" s="271" t="str">
        <f>IF(AND(AV105="Applicant",OR(AW105="", AW105="Use Default Facility Hours")),"← Choose Schedule",IF(F105="","",IF(W105="LED Exit Signs",8760,IF(OR(AV105="Prescribed",AV105=""),VLOOKUP(F105,'Lookup Tables'!$A$6:$G$59,IF(AB105="General", 6, 3),FALSE),VLOOKUP(AW105,'Lookup Tables'!$S$36:$U$43,2,FALSE)))))</f>
        <v/>
      </c>
      <c r="AY105" s="88" t="str">
        <f t="shared" si="301"/>
        <v/>
      </c>
      <c r="AZ105" s="270" t="str">
        <f>IFERROR(IF(F105="", "", IF(W105="LED Exit Signs", 1, IF(AV105="Applicant",VLOOKUP(AW105, 'Lookup Tables'!$S$36:$U$43,3, FALSE), VLOOKUP('Lighting Inventory'!F105, 'Lookup Tables'!$A$6:$H$59, IF('Lighting Inventory'!AB105="General",7,4), FALSE)))), "")</f>
        <v/>
      </c>
      <c r="BA105" s="522" t="str">
        <f>IFERROR(IF(F105="", "", IF(W105="LED Exit Signs", 1, VLOOKUP('Lighting Inventory'!F105, 'Lookup Tables'!$A$6:$H$59, IF('Lighting Inventory'!AB105="General",8,5), FALSE))), "")</f>
        <v/>
      </c>
      <c r="BB105" s="270" t="str">
        <f>IF(G105="", "", IF(E105="Exterior", 0, IF('Lighting Inventory'!G105="Air Conditioned", VLOOKUP(H105, 'Lookup Tables'!$R$6:$T$13, 2, FALSE), VLOOKUP('Lighting Inventory'!G105, 'Lookup Tables'!$R$6:$T$13, 2, FALSE))))</f>
        <v/>
      </c>
      <c r="BC105" s="522" t="str">
        <f>IF(G105="", "", IF(E105="Exterior", 0, IF('Lighting Inventory'!G105="Air Conditioned", VLOOKUP(H105, 'Lookup Tables'!$R$6:$T$13, 3, FALSE), VLOOKUP('Lighting Inventory'!G105, 'Lookup Tables'!$R$6:$T$13, 3, FALSE))))</f>
        <v/>
      </c>
      <c r="BD105" s="270" t="str">
        <f>IF(G105="", "", IF(E105="Exterior", 0, IF('Lighting Inventory'!G105="Air Conditioned", VLOOKUP(H105, 'Lookup Tables'!$R$6:$U$13, 4, FALSE), VLOOKUP('Lighting Inventory'!G105, 'Lookup Tables'!$R$6:$U$13, 4, FALSE))))</f>
        <v/>
      </c>
      <c r="BE105" s="270" t="str">
        <f>IFERROR(IF(B105="", "",  IF(B105="New Construction", VLOOKUP(F105, 'Lookup Tables'!$A$6:$K$59, 11, FALSE),IF(OR(AN105="", AN105="Light Switch"), 0, IF(OR(M105="",M105="None",V105= "LED Exit Signs"),0,_xlfn.XLOOKUP(M105,'Lookup Tables'!$R$91:$R$101,'Lookup Tables'!$V$91:$V$101))))), "")</f>
        <v/>
      </c>
      <c r="BF105" s="270" t="str">
        <f>IF(AND(OR(AN105="Light Switch",AN105=""),B105="New Construction"), VLOOKUP(F105, 'Lookup Tables'!$A$6:$K$59, 11, FALSE),IF(AN105="","",IF(B105="","",IF(OR(AN105="None",AN105="",V105="LED Exit Signs",AN105="Exterior Controls Not Eligible"),0,_xlfn.XLOOKUP(AN105,'Lookup Tables'!$R$91:$R$101,'Lookup Tables'!$V$91:$V$101)))))</f>
        <v/>
      </c>
      <c r="BG105" s="88" t="str">
        <f t="shared" si="353"/>
        <v/>
      </c>
      <c r="BH105" s="88" t="str">
        <f t="shared" si="354"/>
        <v/>
      </c>
      <c r="BI105" s="558" t="str">
        <f t="shared" si="398"/>
        <v/>
      </c>
      <c r="BJ105" s="82" t="str">
        <f t="shared" si="355"/>
        <v/>
      </c>
      <c r="BK105" s="82" t="str">
        <f t="shared" si="356"/>
        <v/>
      </c>
      <c r="BL105" s="559" t="str">
        <f t="shared" si="357"/>
        <v/>
      </c>
      <c r="BM105" s="521" t="str">
        <f t="shared" si="302"/>
        <v/>
      </c>
      <c r="BN105" s="521" t="str">
        <f t="shared" si="303"/>
        <v/>
      </c>
      <c r="BO105" s="522" t="str">
        <f t="shared" si="304"/>
        <v/>
      </c>
      <c r="BP105" s="83" t="str">
        <f t="shared" si="358"/>
        <v/>
      </c>
      <c r="BQ105" s="84" t="str">
        <f t="shared" si="359"/>
        <v/>
      </c>
      <c r="BR105" s="184" t="str">
        <f>IFERROR(IF(B105="", "", IF(OR(VLOOKUP(J105, 'Fixture Identities'!$A$6:$L$1023, 3, FALSE)="T12 Linear Fluorescent",VLOOKUP(J105, 'Fixture Identities'!$A$6:$L$1023, 3, FALSE)="T12 U-Tube Fluorescent"), "Y", "N")), "N")</f>
        <v/>
      </c>
      <c r="BS105" s="184" t="str">
        <f t="array" ref="BS105">IFERROR(IF(OR(B105="", V105="", W105=""), "", IF(V105="Custom", "N", IF(OR(W105="Freezer Case Lighting", W105="Refrigerated Case Lighting with Doors"), BT105, IF(B105="Retrofit", INDEX('Lookup Tables'!$AH$6:$AT$102,MATCH(1,('Lookup Tables'!$AH$6:$AH$102=V105)*('Lookup Tables'!$AI$6:$AI$102=W105),FALSE),IF(VLOOKUP(J105, 'Fixture Identities'!$A$6:$B$1023, 2, FALSE)="Incandescent",12, 13)), INDEX('Lookup Tables'!$AH$114:$AS$154,MATCH(1,('Lookup Tables'!$AH$114:$AH$154=V105)*('Lookup Tables'!$AI$114:$AI$154=W105),FALSE),12))))), "N")</f>
        <v/>
      </c>
      <c r="BT105" s="184" t="str">
        <f>IF(J105="", "", IF(AND(OR(W105="Freezer case Lighting", W105="Refrigerated Case Lighting with Doors"),'General Information'!$X$18="LCI"), "N", IF(OR(VLOOKUP(J105, 'Fixture Identities'!$A$6:$B$1023, 2, FALSE)="T12 EPACT/EISA Baseline", VLOOKUP(J105, 'Fixture Identities'!$A$6:$B$1023, 2, FALSE)="Linear Fluorescent", VLOOKUP(J105, 'Fixture Identities'!$A$6:$B$1023, 2, FALSE)="U-Tube Fluorescent"), "Y", "N")))</f>
        <v/>
      </c>
      <c r="BU105" s="184" t="str">
        <f>IFERROR(IF(B105="", "", IF(VLOOKUP(J105, 'Fixture Identities'!$A$6:$B$1023, 2, FALSE)="Exit Sign", "Y", "N")), "N")</f>
        <v/>
      </c>
      <c r="BV105" s="184" t="str">
        <f>IF(V105="Exit Signs", IF(VLOOKUP(J105, 'Fixture Identities'!$A$6:$B$1023, 2, FALSE)="Exit Sign", "N", "Y"), "")</f>
        <v/>
      </c>
      <c r="BW105" s="184" t="str">
        <f t="array" ref="BW105">IFERROR(IF(B105="", "", IF(B105="New Construction", "N", INDEX('Lookup Tables'!$AH$6:$AU$102, MATCH(1, ('Lookup Tables'!$AH$6:$AH$102='Lighting Inventory'!V105)*('Lookup Tables'!$AI$6:$AI$102='Lighting Inventory'!W105), 0), 14))), "N")</f>
        <v/>
      </c>
      <c r="BX105" s="598" t="str">
        <f t="shared" si="360"/>
        <v/>
      </c>
      <c r="BY105" s="598" t="str">
        <f t="shared" si="361"/>
        <v/>
      </c>
      <c r="BZ105" s="598" t="str">
        <f t="shared" si="362"/>
        <v/>
      </c>
      <c r="CA105" s="598" t="str">
        <f t="shared" si="363"/>
        <v/>
      </c>
      <c r="CB105" s="269" t="str">
        <f t="shared" si="364"/>
        <v/>
      </c>
      <c r="CC105" s="517" t="str">
        <f t="shared" si="365"/>
        <v/>
      </c>
      <c r="CD105" s="565" t="str">
        <f t="shared" si="305"/>
        <v/>
      </c>
      <c r="CE105" s="368">
        <v>0</v>
      </c>
      <c r="CF105" s="368" t="str" cm="1">
        <f t="array" ref="CF105">IFERROR(IF(V105="Custom", "$0.1 per kWh", IF(B105="New Construction", CONCATENATE("$",INDEX('Lookup Tables'!$AH$114:$AN$154,MATCH(1,('Lookup Tables'!$AH$114:$AH$154='Lighting Inventory'!V105)*('Lookup Tables'!$AI$114:$AI$154='Lighting Inventory'!W105),FALSE),6)," ",INDEX('Lookup Tables'!$AH$114:$AN$154,MATCH(1,('Lookup Tables'!$AH$114:$AH$154='Lighting Inventory'!V105)*('Lookup Tables'!$AI$114:$AI$154='Lighting Inventory'!W105),FALSE),7)), IF(AND(BU105="N", V105="Exit Signs"), "$0.025 per kWh", CONCATENATE("$",INDEX('Lookup Tables'!$AH$6:$AN$102,MATCH(1,('Lookup Tables'!$AH$6:$AH$102='Lighting Inventory'!V105)*('Lookup Tables'!$AI$6:$AI$102='Lighting Inventory'!W105),FALSE),6)," ",INDEX('Lookup Tables'!$AH$6:$AN$102,MATCH(1,('Lookup Tables'!$AH$6:$AH$102='Lighting Inventory'!V105)*('Lookup Tables'!$AI$6:$AI$102='Lighting Inventory'!W105),FALSE),7))))), "")</f>
        <v/>
      </c>
      <c r="CG105" s="366"/>
      <c r="CH105" s="248" t="str">
        <f t="shared" si="306"/>
        <v/>
      </c>
      <c r="CI105" s="248" t="str">
        <f t="shared" si="307"/>
        <v>Select_IE</v>
      </c>
      <c r="CJ105" s="248" t="str">
        <f t="shared" si="308"/>
        <v/>
      </c>
      <c r="CK105" s="248" t="str">
        <f t="shared" si="309"/>
        <v/>
      </c>
      <c r="CL105" s="248" t="str">
        <f t="shared" si="310"/>
        <v/>
      </c>
      <c r="CM105" s="248" t="str">
        <f>IFERROR(IF(B105="", "", IF(B105="New Construction", VLOOKUP(V105, 'Lookup Tables'!$AF$114:$AG$120, 2, FALSE), VLOOKUP(V105, 'Lookup Tables'!$AD$6:$AE$25, 2, FALSE))), "")</f>
        <v/>
      </c>
      <c r="CN105" s="248" t="str">
        <f t="shared" si="311"/>
        <v/>
      </c>
      <c r="CO105" s="248" t="str">
        <f t="shared" si="312"/>
        <v/>
      </c>
      <c r="CP105" s="592" t="str">
        <f t="shared" si="313"/>
        <v/>
      </c>
      <c r="CQ105" s="248" t="str">
        <f t="shared" si="366"/>
        <v/>
      </c>
      <c r="CR105" s="100"/>
      <c r="CS105" s="250" t="str">
        <f t="shared" si="314"/>
        <v/>
      </c>
      <c r="CT105" s="250" t="str">
        <f t="shared" si="367"/>
        <v/>
      </c>
      <c r="CU105" s="250" t="str">
        <f t="shared" si="368"/>
        <v/>
      </c>
      <c r="CV105" s="250" t="str">
        <f t="shared" si="369"/>
        <v/>
      </c>
      <c r="CW105" s="250" t="str">
        <f t="shared" si="370"/>
        <v/>
      </c>
      <c r="CX105" s="250" t="str">
        <f t="shared" si="315"/>
        <v/>
      </c>
      <c r="CY105" s="250" t="str">
        <f t="shared" si="316"/>
        <v/>
      </c>
      <c r="CZ105" s="250" t="str">
        <f t="shared" si="317"/>
        <v/>
      </c>
      <c r="DA105" s="250" t="str">
        <f t="shared" si="318"/>
        <v/>
      </c>
      <c r="DB105" s="250" t="str">
        <f t="shared" si="319"/>
        <v/>
      </c>
      <c r="DC105" s="250" t="str">
        <f t="shared" si="320"/>
        <v/>
      </c>
      <c r="DD105" s="250" t="str">
        <f t="shared" si="321"/>
        <v/>
      </c>
      <c r="DE105" s="250" t="str">
        <f t="shared" si="322"/>
        <v/>
      </c>
      <c r="DF105" s="250" t="str">
        <f t="shared" si="323"/>
        <v/>
      </c>
      <c r="DG105" s="250" t="str">
        <f t="shared" si="324"/>
        <v/>
      </c>
      <c r="DH105" s="250" t="str">
        <f t="shared" si="325"/>
        <v/>
      </c>
      <c r="DI105" s="250" t="str">
        <f t="shared" si="326"/>
        <v/>
      </c>
      <c r="DJ105" s="250" t="str">
        <f t="shared" si="327"/>
        <v/>
      </c>
      <c r="DK105" s="250" t="str">
        <f t="shared" si="328"/>
        <v/>
      </c>
      <c r="DL105" s="250" t="str">
        <f t="shared" si="329"/>
        <v/>
      </c>
      <c r="DM105" s="250" t="str">
        <f>IF(CD105="ERROR", "ERROR", IF(AND(OR(Y105=$DM$6, Y105='Lookup Tables'!$AD$21, Y105='Lookup Tables'!$AD$22), E105="Interior"), BJ105, ""))</f>
        <v/>
      </c>
      <c r="DN105" s="250" t="str">
        <f>IF(CD105="ERROR", "ERROR", IF(AND(OR(Y105=$DM$6, Y105='Lookup Tables'!$AD$21, Y105='Lookup Tables'!$AD$22), E105="Exterior"), BJ105, ""))</f>
        <v/>
      </c>
      <c r="DO105" s="100"/>
      <c r="DP105" s="250" t="str">
        <f t="shared" si="330"/>
        <v/>
      </c>
      <c r="DQ105" s="250" t="str">
        <f t="shared" si="371"/>
        <v/>
      </c>
      <c r="DR105" s="250" t="str">
        <f t="shared" si="372"/>
        <v/>
      </c>
      <c r="DS105" s="250" t="str">
        <f t="shared" si="373"/>
        <v/>
      </c>
      <c r="DT105" s="250" t="str">
        <f t="shared" si="374"/>
        <v/>
      </c>
      <c r="DU105" s="250" t="str">
        <f t="shared" si="331"/>
        <v/>
      </c>
      <c r="DV105" s="250" t="str">
        <f t="shared" si="332"/>
        <v/>
      </c>
      <c r="DW105" s="250" t="str">
        <f t="shared" si="333"/>
        <v/>
      </c>
      <c r="DX105" s="250" t="str">
        <f t="shared" si="334"/>
        <v/>
      </c>
      <c r="DY105" s="250" t="str">
        <f t="shared" si="335"/>
        <v/>
      </c>
      <c r="DZ105" s="250" t="str">
        <f t="shared" si="336"/>
        <v/>
      </c>
      <c r="EA105" s="250" t="str">
        <f t="shared" si="337"/>
        <v/>
      </c>
      <c r="EB105" s="250" t="str">
        <f t="shared" si="375"/>
        <v/>
      </c>
      <c r="EC105" s="250" t="str">
        <f t="shared" si="338"/>
        <v/>
      </c>
      <c r="ED105" s="250" t="str">
        <f t="shared" si="339"/>
        <v/>
      </c>
      <c r="EE105" s="250" t="str">
        <f t="shared" si="340"/>
        <v/>
      </c>
      <c r="EF105" s="250" t="str">
        <f t="shared" si="341"/>
        <v/>
      </c>
      <c r="EG105" s="250" t="str">
        <f t="shared" si="342"/>
        <v/>
      </c>
      <c r="EH105" s="250" t="str">
        <f>IF(CD105="ERROR", "ERROR", IF(AND(OR($EH$6=Y105, Y105='Lookup Tables'!$AD$21, Y105='Lookup Tables'!$AD$22),E105="Interior"), SUM(BP105:BP105), ""))</f>
        <v/>
      </c>
      <c r="EI105" s="250" t="str">
        <f>IF(CD105="ERROR", "ERROR", IF(AND(OR($EH$6=Y105, Y105='Lookup Tables'!$AD$21, Y105='Lookup Tables'!$AD$22),E105="Exterior"), SUM(BP105:BP105), ""))</f>
        <v/>
      </c>
      <c r="EJ105" s="109"/>
      <c r="EK105" s="485" t="str">
        <f t="shared" si="343"/>
        <v/>
      </c>
      <c r="EL105" s="252" t="str">
        <f t="shared" si="376"/>
        <v/>
      </c>
      <c r="EM105" s="252" t="str">
        <f t="shared" si="377"/>
        <v/>
      </c>
      <c r="EN105" s="252" t="str">
        <f t="shared" si="378"/>
        <v/>
      </c>
      <c r="EO105" s="252" t="str">
        <f t="shared" si="379"/>
        <v/>
      </c>
      <c r="EP105" s="252" t="str">
        <f t="shared" si="380"/>
        <v/>
      </c>
      <c r="EQ105" s="252" t="str">
        <f t="shared" si="381"/>
        <v/>
      </c>
      <c r="ER105" s="252" t="str">
        <f t="shared" si="382"/>
        <v/>
      </c>
      <c r="ES105" s="252" t="str">
        <f t="shared" si="383"/>
        <v/>
      </c>
      <c r="ET105" s="252" t="str">
        <f t="shared" si="384"/>
        <v/>
      </c>
      <c r="EU105" s="252" t="str">
        <f t="shared" si="385"/>
        <v/>
      </c>
      <c r="EV105" s="252" t="str">
        <f t="shared" si="386"/>
        <v/>
      </c>
      <c r="EW105" s="252" t="str">
        <f t="shared" si="387"/>
        <v/>
      </c>
      <c r="EX105" s="252" t="str">
        <f t="shared" si="388"/>
        <v/>
      </c>
      <c r="EY105" s="252" t="str">
        <f t="shared" si="389"/>
        <v/>
      </c>
      <c r="EZ105" s="252" t="str">
        <f t="shared" si="390"/>
        <v/>
      </c>
      <c r="FA105" s="252" t="str">
        <f t="shared" si="391"/>
        <v/>
      </c>
      <c r="FB105" s="252" t="str">
        <f t="shared" si="392"/>
        <v/>
      </c>
      <c r="FC105" s="252" t="str">
        <f>IF(CD105="ERROR", "ERROR", IF(OR(V105="No Change", V105="Not DLC or Energy Star"), "", IF(AND(OR($FC$6=Y105,Y105='Lookup Tables'!$AD$21, Y105='Lookup Tables'!$AD$22),E105="Interior"), S105, "")))</f>
        <v/>
      </c>
      <c r="FD105" s="252" t="str">
        <f t="shared" si="393"/>
        <v/>
      </c>
      <c r="FE105" s="101"/>
      <c r="FF105" s="579" t="str" cm="1">
        <f t="array" ref="FF105">IFERROR(IF(OR(BQ105&lt;=0,AQ105&lt;20,AND(V105="Exit Signs",AN105&gt;0)),"",IF(AND(AQ105&gt;=20,AN105='Lookup Tables'!$R$101),'Lookup Tables'!$U$101*BQ105,AP105*LOOKUP(2,1/((AN105='Lookup Tables'!$R$91:$R$111)*(AQ105&gt;='Lookup Tables'!$S$91:$S$111)*(AQ105&lt;='Lookup Tables'!$T$91:$T$111)),'Lookup Tables'!$U$91:$U$111))),"")</f>
        <v/>
      </c>
      <c r="FG105" s="579"/>
      <c r="FH105" s="579"/>
      <c r="FI105" s="253" t="str">
        <f>IFERROR(ROUND(IF(CD105="ERROR", "ERROR", IF(AND($FI$7=X105,E105="Interior"),VLOOKUP(W105, 'Lookup Tables'!$AI$6:$AM$102, 5, FALSE)*BP105, "")), 2), "")</f>
        <v/>
      </c>
      <c r="FJ105" s="253" t="str">
        <f>IFERROR(ROUND(IF(CD105="ERROR", "ERROR", IF(AND($FI$7=X105,E105="Exterior"),VLOOKUP(W105, 'Lookup Tables'!$AI$6:$AM$102, 5, FALSE)*BP105, "")), 2), "")</f>
        <v/>
      </c>
      <c r="FK105" s="253" t="str">
        <f>IFERROR(ROUND(IF(CD105="ERROR", "ERROR", IF(AND($FK$7=X105,E105="Interior"),VLOOKUP(W105, 'Lookup Tables'!$AI$6:$AM$102, 5, FALSE)*BP105, "")), 2), "")</f>
        <v/>
      </c>
      <c r="FL105" s="253" t="str">
        <f>IFERROR(ROUND(IF(CD105="ERROR", "ERROR", IF(AND($FK$7=X105,E105="Exterior"),VLOOKUP(W105, 'Lookup Tables'!$AI$6:$AM$102, 5, FALSE)*BP105, "")), 2), "")</f>
        <v/>
      </c>
      <c r="FM105" s="253" t="str">
        <f>IFERROR(ROUND(IF(CD105="ERROR", "ERROR", IF(AND($FM$6=Y105,E105="Interior"), IF(GB105=0, VLOOKUP(W105, 'Lookup Tables'!$AI$6:$AM$102, 5, FALSE)*BP105, IF(VLOOKUP(W105, 'Lookup Tables'!$AI$6:$AM$102, 5, FALSE)*BP105&gt;GB105*'Lighting Inventory'!S105, GB105*'Lighting Inventory'!S105,VLOOKUP(W105, 'Lookup Tables'!$AI$6:$AM$102, 5, FALSE)*BP105)), "")), 2), "")</f>
        <v/>
      </c>
      <c r="FN105" s="253" t="str">
        <f>IFERROR(ROUND(IF(CD105="ERROR", "ERROR", IF(AND($FM$6=Y105,E105="Exterior"), IF(GB105=0, VLOOKUP(W105, 'Lookup Tables'!$AI$6:$AM$102, 5, FALSE)*BP105, IF(VLOOKUP(W105, 'Lookup Tables'!$AI$6:$AM$102, 5, FALSE)*BP105&gt;GB105*'Lighting Inventory'!S105, GB105*'Lighting Inventory'!S105,VLOOKUP(W105, 'Lookup Tables'!$AI$6:$AM$102, 5, FALSE)*BP105)), "")), 2), "")</f>
        <v/>
      </c>
      <c r="FO105" s="253" t="str">
        <f>IFERROR(ROUND(IF(CD105="ERROR", "ERROR", IF(AND($FO$6=Y105,E105="Interior"),VLOOKUP(W105, 'Lookup Tables'!$AI$6:$AM$102, 5, FALSE)*'Lighting Inventory'!AI105, "")), 2), "")</f>
        <v/>
      </c>
      <c r="FP105" s="253" t="str">
        <f>IFERROR(ROUND(IF(CD105="ERROR", "ERROR", IF(AND($FO$6=Y105,E105="Exterior"),VLOOKUP(W105, 'Lookup Tables'!$AI$6:$AM$102, 5, FALSE)*'Lighting Inventory'!AI105, "")), 2), "")</f>
        <v/>
      </c>
      <c r="FQ105" s="253" t="str">
        <f>IFERROR(ROUND(IF(CD105="ERROR", "ERROR", IF(AND($FQ$6=Y105,E105="Interior", BU105="Y"), VLOOKUP('Lighting Inventory'!W105, 'Lookup Tables'!$AI$6:$AM$102, 5, FALSE)*'Lighting Inventory'!S105, IF(AND($FQ$7=Y105,E105="Interior", BU105="N"), 0.025*CD105, ""))), 2), "")</f>
        <v/>
      </c>
      <c r="FR105" s="253" t="str">
        <f>IFERROR(ROUND(IF(CD105="ERROR", "ERROR", IF(AND($FQ$6=Y105,E105="Exterior"), VLOOKUP('Lighting Inventory'!W105, 'Lookup Tables'!$AI$6:$AM$102, 5, FALSE)*'Lighting Inventory'!S105, "")), 2), "")</f>
        <v/>
      </c>
      <c r="FS105" s="253" t="str">
        <f>IFERROR(ROUND(IF(CD105="ERROR", "ERROR", IF(AND($FS$6=Y105,E105="Exterior"), IF(GB105=0, VLOOKUP(W105, 'Lookup Tables'!$AI$6:$AM$102, 5, FALSE)*BP105, IF(VLOOKUP(W105, 'Lookup Tables'!$AI$6:$AM$102, 5, FALSE)*BP105&gt;GB105*'Lighting Inventory'!S105, GB105*'Lighting Inventory'!S105,VLOOKUP(W105, 'Lookup Tables'!$AI$6:$AM$102, 5, FALSE)*BP105)), "")), 2), "")</f>
        <v/>
      </c>
      <c r="FT105" s="253" t="str">
        <f>IFERROR(ROUND(IF(CD105="ERROR", "ERROR", IF(AND($FT$6=Y105,E105="Interior"), IF(GB105=0, VLOOKUP(W105, 'Lookup Tables'!$AI$6:$AM$102, 5, FALSE)*BP105, IF(VLOOKUP(W105, 'Lookup Tables'!$AI$6:$AM$102, 5, FALSE)*BP105&gt;GB105*'Lighting Inventory'!S105, GB105*'Lighting Inventory'!S105,VLOOKUP(W105, 'Lookup Tables'!$AI$6:$AM$102, 5, FALSE)*BP105)), "")), 2), "")</f>
        <v/>
      </c>
      <c r="FU105" s="253" t="str">
        <f>IFERROR(ROUND(IF(CD105="ERROR", "ERROR", IF(AND(Y105=$FU$6, E105="Interior"), IF(BS105="N", 'Lookup Tables'!$AM$101*BP105, VLOOKUP(W105, 'Lookup Tables'!$AI$6:$AM$102, 5, FALSE)*S105*AD105), "")), 2), "")</f>
        <v/>
      </c>
      <c r="FV105" s="253" t="str">
        <f>IFERROR(ROUND(IF(CD105="ERROR", "ERROR", IF(AND(Y105=$FU$6, E105="Exterior"), IF(BS105="N", 'Lookup Tables'!$AM$101*BP105, VLOOKUP(W105, 'Lookup Tables'!$AI$6:$AM$102, 5, FALSE)*S105*AD105), "")), 2), "")</f>
        <v/>
      </c>
      <c r="FW105" s="253" t="str">
        <f>IFERROR(ROUND(IF(CD105="ERROR", "ERROR", IF($FW$6=Y105, IF(BS105="N", 'Lookup Tables'!$AM$101*BP105, MIN((VLOOKUP(W105, 'Lookup Tables'!$AI$6:$AM$102, 5, FALSE)*BP105),GB105*AJ105)), "")), 2), "")</f>
        <v/>
      </c>
      <c r="FX105" s="253" t="str">
        <f>IFERROR(ROUND(IF(CD105="ERROR", "ERROR", IF(AND($FX$6=Y105, E105="Interior"), IF(VLOOKUP(W105, 'Lookup Tables'!$AI$6:$AM$102, 5, FALSE)*BP105&gt;'Lookup Tables'!$AQ$97*'Lighting Inventory'!S105,'Lighting Inventory'!S105*'Lookup Tables'!$AQ$97,VLOOKUP(W105, 'Lookup Tables'!$AI$6:$AM$102, 5, FALSE)*BP105), "")), 2), "")</f>
        <v/>
      </c>
      <c r="FY105" s="253" t="str">
        <f>IFERROR(ROUND(IF(CD105="ERROR", "ERROR", IF(AND($FX$6=Y105, E105="Exterior"), IF(VLOOKUP(W105, 'Lookup Tables'!$AI$6:$AM$102, 5, FALSE)*BP105&gt;'Lookup Tables'!$AQ$97*'Lighting Inventory'!S105,'Lighting Inventory'!S105*'Lookup Tables'!$AQ$97,VLOOKUP(W105, 'Lookup Tables'!$AI$6:$AM$102, 5, FALSE)*BP105), "")), 2), "")</f>
        <v/>
      </c>
      <c r="FZ105" s="253" t="str">
        <f>IFERROR(ROUND(IF(CD105="ERROR", "ERROR", IF(AND($FZ$6=Y105, E105="Interior"), IF(AND(OR(W105="Refrigerated Case Lighting with Doors", W105="Freezer Case Lighting"),Y105="Custom - Process Improvement"),CD105*'Lookup Tables'!$AM$101, IF(B105="Retrofit", IF(VLOOKUP(IF(V105="Custom", V105, W105), 'Lookup Tables'!$AI$6:$AM$102, 5, FALSE)*BP105&gt;GE105, GE105, VLOOKUP(IF(V105="Custom", V105, W105), 'Lookup Tables'!$AI$6:$AM$102, 5, FALSE)*BP105), IF(VLOOKUP(IF(V105="Custom", V105, W105), 'Lookup Tables'!$AI$114:$AM$154, 5, FALSE)*BP105&gt;GE105, GE105, VLOOKUP(IF(V105="Custom", V105, W105), 'Lookup Tables'!$AI$114:$AM$154, 5, FALSE)*BP105))), "")), 2),"")</f>
        <v/>
      </c>
      <c r="GA105" s="253" t="str">
        <f>IFERROR(ROUND(IF(CD105="ERROR", "ERROR", IF(AND($FZ$6=Y105, E105="Exterior"), IF(B105="Retrofit", IF(VLOOKUP(IF(V105="Custom", V105, W105), 'Lookup Tables'!$AI$6:$AM$102, 5, FALSE)*BP105&gt;GE105, GE105, VLOOKUP(IF(V105="Custom", V105, W105), 'Lookup Tables'!$AI$6:$AM$102, 5, FALSE)*BP105), IF(VLOOKUP(IF(V105="Custom", V105, W105), 'Lookup Tables'!$AI$114:$AM$154, 5, FALSE)*BP105&gt;GE105, GE105, VLOOKUP(IF(V105="Custom", V105, W105), 'Lookup Tables'!$AI$114:$AM$154, 5, FALSE)*BP105)), "")), 2),"")</f>
        <v/>
      </c>
      <c r="GB105" s="254" t="str">
        <f t="array" ref="GB105">IF(B105="","",IF(OR(V105="Custom",V105="No Change"),0,IF(B105="Retrofit", INDEX('Lookup Tables'!$AH$6:$AQ$102,MATCH(1,('Lookup Tables'!$AH$6:$AH$102='Lighting Inventory'!V105)*('Lookup Tables'!$AI$6:$AI$102='Lighting Inventory'!W105),FALSE),10),INDEX('Lookup Tables'!$AH$114:$AQ$154,MATCH(1,('Lookup Tables'!$AH$114:$AH$154='Lighting Inventory'!V105)*('Lookup Tables'!$AI$114:$AI$154='Lighting Inventory'!W105),FALSE),10))))</f>
        <v/>
      </c>
      <c r="GC105" s="255" t="str">
        <f t="shared" si="344"/>
        <v/>
      </c>
      <c r="GD105" s="250" t="str">
        <f t="shared" si="345"/>
        <v/>
      </c>
      <c r="GE105" s="253" t="str">
        <f>IFERROR(IF(AND(AF105="", 'General Information'!$F$18="No"),"", IF(AF105="", ((GD105/$CD$266)*$CF$266)*0.5, AF105*S105*0.5)), "")</f>
        <v/>
      </c>
      <c r="GF105" s="255" t="str">
        <f>IF(AND('General Information'!$F$19="", 'General Information'!$F$18="Yes",AF105="",BW105="Y"), "Y", "N")</f>
        <v>N</v>
      </c>
      <c r="GG105" s="255" t="s">
        <v>2946</v>
      </c>
      <c r="GH105" s="255" t="str">
        <f>IFERROR(IF(B105="", "", VLOOKUP(J105, 'Fixture Identities'!$A$6:$N$908, 14, FALSE)), "")</f>
        <v/>
      </c>
      <c r="GI105" s="389" t="str">
        <f>IF(OR(B105="", V105="", W105=""), "", IF(AND(OR(M105='Lookup Tables'!$R$18, M105='Lookup Tables'!$R$19, M105='Lookup Tables'!$R$20, M105='Lookup Tables'!$R$21, M105='Lookup Tables'!$R$22), OR(AN105='Lookup Tables'!$R$17, AN105='Lookup Tables'!$R$17, AN105="")), "Y", "N"))</f>
        <v/>
      </c>
      <c r="GJ105" s="255" t="str">
        <f t="shared" si="346"/>
        <v/>
      </c>
      <c r="GK105" s="255" t="str">
        <f t="shared" si="347"/>
        <v/>
      </c>
      <c r="GL105" s="255" t="str">
        <f t="shared" si="348"/>
        <v/>
      </c>
      <c r="GM105" s="255" t="str">
        <f>IF(AN105="", "", IF(AND(IF(ISNA(VLOOKUP(AN105,'Lookup Tables'!$R$18:$R$22,1,FALSE)), "N", "Y")="Y", E105="Exterior"), "Y", "N"))</f>
        <v/>
      </c>
      <c r="GN105" s="395"/>
      <c r="GO105" s="428">
        <f t="shared" si="394"/>
        <v>0</v>
      </c>
      <c r="GP105" s="428">
        <f t="shared" si="397"/>
        <v>0</v>
      </c>
      <c r="GQ105" s="428">
        <f t="shared" si="395"/>
        <v>0</v>
      </c>
      <c r="GR105" s="428">
        <f t="shared" si="396"/>
        <v>0</v>
      </c>
    </row>
    <row r="106" spans="1:200" s="103" customFormat="1" ht="13.5" customHeight="1" x14ac:dyDescent="0.2">
      <c r="A106" s="272">
        <v>96</v>
      </c>
      <c r="B106" s="110"/>
      <c r="C106" s="110"/>
      <c r="D106" s="110"/>
      <c r="E106" s="110"/>
      <c r="F106" s="110"/>
      <c r="G106" s="110"/>
      <c r="H106" s="110"/>
      <c r="I106" s="29"/>
      <c r="J106" s="29"/>
      <c r="K106" s="272" t="str">
        <f>IFERROR(IF(OR(VLOOKUP(J106, 'Fixture Identities'!$A$6:$L$1023, 3, FALSE)="T12 Linear Fluorescent", VLOOKUP(J106, 'Fixture Identities'!$A$6:$L$1023, 3, FALSE)="T12 U-Tube Fluorescent"), VLOOKUP(VLOOKUP(J106, 'Fixture Identities'!$A$6:$L$1023, 11, FALSE), 'Fixture Identities'!$A$6:$L$1023, 10, FALSE), VLOOKUP(J106, 'Fixture Identities'!$A$6:$L$1023, 10, FALSE)), "")</f>
        <v/>
      </c>
      <c r="L106" s="270" t="str">
        <f t="shared" si="399"/>
        <v/>
      </c>
      <c r="M106" s="110"/>
      <c r="N106" s="110"/>
      <c r="O106" s="110"/>
      <c r="P106" s="272" t="str">
        <f>IFERROR(IF(OR(B106="Retrofit",B106=""),"",IF('Lighting Inventory'!E106="Exterior",VLOOKUP('Lighting Inventory'!N106,'Lookup Tables'!$B$83:$F$103,5,FALSE),IF(N106="Other - Please Estimate EFLH and CFs","Contact Prog. Rep.","ft^2"))), "")</f>
        <v/>
      </c>
      <c r="Q106" s="270" t="str">
        <f>IFERROR(IF(AND(B106="New Construction",E106="Interior",$F$5="Space-by-Space"),VLOOKUP('Lighting Inventory'!N106,'Lookup Tables'!$N$6:$O$97,2,FALSE),IF(AND(B106="New Construction",E106="Exterior"),VLOOKUP(N106,'Lookup Tables'!$B$83:$F$103,2,FALSE),IF(AND(B106="New Construction",'Lighting Inventory'!E106="Interior", $F$5="Building Area"),VLOOKUP(F106,'Lookup Tables'!$A$6:$J$59,10,FALSE),""))), "")</f>
        <v/>
      </c>
      <c r="R106" s="270" t="str">
        <f>IFERROR(IF(P106="Contact Prog. Rep.", "ERROR", IF(OR(B106="",B106="Retrofit"),"",IF(N106="Automated teller machines", ('Lookup Tables'!$A$82:$E$100+('Lighting Inventory'!O106-1)*'Lookup Tables'!$A$82:$E$100)/1000, (Q106*O106)/1000))), "")</f>
        <v/>
      </c>
      <c r="S106" s="595"/>
      <c r="T106" s="105" t="str">
        <f t="shared" si="349"/>
        <v/>
      </c>
      <c r="U106" s="105" t="str">
        <f>IF(S106="","",COUNT($S$11:S106))</f>
        <v/>
      </c>
      <c r="V106" s="111"/>
      <c r="W106" s="112"/>
      <c r="X106" s="105" t="str">
        <f t="shared" si="350"/>
        <v/>
      </c>
      <c r="Y106" s="105" t="str">
        <f t="array" ref="Y106">IF(AND(OR(W106="Freezer Case Lighting", W106="Refrigerated Case Lighting with Doors"), 'General Information'!$X$18="LCI"),'Lookup Tables'!$Y$34, IF(V106="Custom", VLOOKUP(W106, 'Fixture Identities'!$A$974:$M$1023, 13, FALSE), IF(V106="No Change",'Lookup Tables'!$Y$29,IF(OR(V106="",W106=""),"",IF(AND(S106=0,S106&lt;I106,B106="Retrofit"),'Lookup Tables'!$Y$25, IF(B106="Retrofit", INDEX('Lookup Tables'!$AH$6:$AP$102, MATCH(1, ('Lookup Tables'!$AH$6:$AH$102=V106)*('Lookup Tables'!$AI$6:$AI$102=W106), 0), IF('Lighting Inventory'!E106="Interior", 4, 5)), INDEX('Lookup Tables'!$AH$114:$AP$154, MATCH(1, ('Lookup Tables'!$AH$114:$AH$154=V106)*('Lookup Tables'!$AI$114:$AI$154=W106), 0), IF('Lighting Inventory'!E106="Interior", 4, 5))))))))</f>
        <v/>
      </c>
      <c r="Z106" s="105" t="str">
        <f>IFERROR(INDEX('Lookup Tables'!$AH$158:$AH$172,MATCH('Lighting Inventory'!Y106,'Lookup Tables'!$AI$158:$AI$172,0)),"")</f>
        <v/>
      </c>
      <c r="AA106" s="105" t="str">
        <f>IF(AP106&gt;0,INDEX('Lookup Tables'!$AK$158:$AK$172,MATCH('Lighting Inventory'!Y106,'Lookup Tables'!$AI$158:$AI$172,0)),'Lighting Inventory'!Y106)</f>
        <v/>
      </c>
      <c r="AB106" s="105" t="str">
        <f t="array" ref="AB106">IF(V106="Custom", "Custom", IF(V106="", "", IF(V106="Not DLC or Energy Star", "General", IF(B106="New Construction", INDEX('Lookup Tables'!$AH$114:$AP$154,MATCH(1,('Lookup Tables'!$AH$114:$AH$154='Lighting Inventory'!V106)*('Lookup Tables'!$AI$114:$AI$154='Lighting Inventory'!W106),FALSE),8), INDEX('Lookup Tables'!$AH$6:$AP$102,MATCH(1,('Lookup Tables'!$AH$6:$AH$102='Lighting Inventory'!V106)*('Lookup Tables'!$AI$6:$AI$102='Lighting Inventory'!W106),FALSE),8)))))</f>
        <v/>
      </c>
      <c r="AC106" s="272" t="str">
        <f>IF(W106="","",IF(V106="Custom",CONCATENATE("$",'Lookup Tables'!$AM$101," ",'Lookup Tables'!$AN$101),CONCATENATE("$",INDEX('Lookup Tables'!$AM$6:$AM$102,MATCH('Lighting Inventory'!W106,'Lookup Tables'!$AI$6:$AI$102,0))," ",INDEX('Lookup Tables'!$AN$6:$AN$102,MATCH('Lighting Inventory'!W106,'Lookup Tables'!$AI$6:$AI$102,0)))))</f>
        <v/>
      </c>
      <c r="AD106" s="72"/>
      <c r="AE106" s="29"/>
      <c r="AF106" s="379"/>
      <c r="AG106" s="370" t="str">
        <f t="shared" si="298"/>
        <v/>
      </c>
      <c r="AH106" s="370" t="str">
        <f t="shared" si="351"/>
        <v/>
      </c>
      <c r="AI106" s="29"/>
      <c r="AJ106" s="29"/>
      <c r="AK106" s="110"/>
      <c r="AL106" s="375" t="str">
        <f>IF(OR(B106="", V106="", W106=""), "", IF(V106="No Change", K106, IF(V106="Remove Fixture", 0, IF(V106="Custom",VLOOKUP(W106,'Fixture Identities'!$A$6:$K$1023,10,FALSE),IF(AE106="", "← ENTER POST WATTS", 'Lighting Inventory'!AE106)))))</f>
        <v/>
      </c>
      <c r="AM106" s="376" t="str">
        <f t="shared" si="299"/>
        <v/>
      </c>
      <c r="AN106" s="29"/>
      <c r="AO106" s="671"/>
      <c r="AP106" s="29"/>
      <c r="AQ106" s="29"/>
      <c r="AR106" s="29"/>
      <c r="AS106" s="272" t="str">
        <f t="shared" si="352"/>
        <v/>
      </c>
      <c r="AT106" s="270" t="str">
        <f t="shared" si="300"/>
        <v/>
      </c>
      <c r="AU106" s="88" t="str">
        <f t="shared" si="400"/>
        <v/>
      </c>
      <c r="AV106" s="29"/>
      <c r="AW106" s="73"/>
      <c r="AX106" s="271" t="str">
        <f>IF(AND(AV106="Applicant",OR(AW106="", AW106="Use Default Facility Hours")),"← Choose Schedule",IF(F106="","",IF(W106="LED Exit Signs",8760,IF(OR(AV106="Prescribed",AV106=""),VLOOKUP(F106,'Lookup Tables'!$A$6:$G$59,IF(AB106="General", 6, 3),FALSE),VLOOKUP(AW106,'Lookup Tables'!$S$36:$U$43,2,FALSE)))))</f>
        <v/>
      </c>
      <c r="AY106" s="88" t="str">
        <f t="shared" si="301"/>
        <v/>
      </c>
      <c r="AZ106" s="270" t="str">
        <f>IFERROR(IF(F106="", "", IF(W106="LED Exit Signs", 1, IF(AV106="Applicant",VLOOKUP(AW106, 'Lookup Tables'!$S$36:$U$43,3, FALSE), VLOOKUP('Lighting Inventory'!F106, 'Lookup Tables'!$A$6:$H$59, IF('Lighting Inventory'!AB106="General",7,4), FALSE)))), "")</f>
        <v/>
      </c>
      <c r="BA106" s="522" t="str">
        <f>IFERROR(IF(F106="", "", IF(W106="LED Exit Signs", 1, VLOOKUP('Lighting Inventory'!F106, 'Lookup Tables'!$A$6:$H$59, IF('Lighting Inventory'!AB106="General",8,5), FALSE))), "")</f>
        <v/>
      </c>
      <c r="BB106" s="270" t="str">
        <f>IF(G106="", "", IF(E106="Exterior", 0, IF('Lighting Inventory'!G106="Air Conditioned", VLOOKUP(H106, 'Lookup Tables'!$R$6:$T$13, 2, FALSE), VLOOKUP('Lighting Inventory'!G106, 'Lookup Tables'!$R$6:$T$13, 2, FALSE))))</f>
        <v/>
      </c>
      <c r="BC106" s="522" t="str">
        <f>IF(G106="", "", IF(E106="Exterior", 0, IF('Lighting Inventory'!G106="Air Conditioned", VLOOKUP(H106, 'Lookup Tables'!$R$6:$T$13, 3, FALSE), VLOOKUP('Lighting Inventory'!G106, 'Lookup Tables'!$R$6:$T$13, 3, FALSE))))</f>
        <v/>
      </c>
      <c r="BD106" s="270" t="str">
        <f>IF(G106="", "", IF(E106="Exterior", 0, IF('Lighting Inventory'!G106="Air Conditioned", VLOOKUP(H106, 'Lookup Tables'!$R$6:$U$13, 4, FALSE), VLOOKUP('Lighting Inventory'!G106, 'Lookup Tables'!$R$6:$U$13, 4, FALSE))))</f>
        <v/>
      </c>
      <c r="BE106" s="270" t="str">
        <f>IFERROR(IF(B106="", "",  IF(B106="New Construction", VLOOKUP(F106, 'Lookup Tables'!$A$6:$K$59, 11, FALSE),IF(OR(AN106="", AN106="Light Switch"), 0, IF(OR(M106="",M106="None",V106= "LED Exit Signs"),0,_xlfn.XLOOKUP(M106,'Lookup Tables'!$R$91:$R$101,'Lookup Tables'!$V$91:$V$101))))), "")</f>
        <v/>
      </c>
      <c r="BF106" s="270" t="str">
        <f>IF(AND(OR(AN106="Light Switch",AN106=""),B106="New Construction"), VLOOKUP(F106, 'Lookup Tables'!$A$6:$K$59, 11, FALSE),IF(AN106="","",IF(B106="","",IF(OR(AN106="None",AN106="",V106="LED Exit Signs",AN106="Exterior Controls Not Eligible"),0,_xlfn.XLOOKUP(AN106,'Lookup Tables'!$R$91:$R$101,'Lookup Tables'!$V$91:$V$101)))))</f>
        <v/>
      </c>
      <c r="BG106" s="88" t="str">
        <f t="shared" si="353"/>
        <v/>
      </c>
      <c r="BH106" s="88" t="str">
        <f t="shared" si="354"/>
        <v/>
      </c>
      <c r="BI106" s="558" t="str">
        <f t="shared" si="398"/>
        <v/>
      </c>
      <c r="BJ106" s="82" t="str">
        <f t="shared" si="355"/>
        <v/>
      </c>
      <c r="BK106" s="82" t="str">
        <f t="shared" si="356"/>
        <v/>
      </c>
      <c r="BL106" s="559" t="str">
        <f t="shared" si="357"/>
        <v/>
      </c>
      <c r="BM106" s="521" t="str">
        <f t="shared" si="302"/>
        <v/>
      </c>
      <c r="BN106" s="521" t="str">
        <f t="shared" si="303"/>
        <v/>
      </c>
      <c r="BO106" s="522" t="str">
        <f t="shared" si="304"/>
        <v/>
      </c>
      <c r="BP106" s="83" t="str">
        <f t="shared" si="358"/>
        <v/>
      </c>
      <c r="BQ106" s="84" t="str">
        <f t="shared" si="359"/>
        <v/>
      </c>
      <c r="BR106" s="184" t="str">
        <f>IFERROR(IF(B106="", "", IF(OR(VLOOKUP(J106, 'Fixture Identities'!$A$6:$L$1023, 3, FALSE)="T12 Linear Fluorescent",VLOOKUP(J106, 'Fixture Identities'!$A$6:$L$1023, 3, FALSE)="T12 U-Tube Fluorescent"), "Y", "N")), "N")</f>
        <v/>
      </c>
      <c r="BS106" s="184" t="str">
        <f t="array" ref="BS106">IFERROR(IF(OR(B106="", V106="", W106=""), "", IF(V106="Custom", "N", IF(OR(W106="Freezer Case Lighting", W106="Refrigerated Case Lighting with Doors"), BT106, IF(B106="Retrofit", INDEX('Lookup Tables'!$AH$6:$AT$102,MATCH(1,('Lookup Tables'!$AH$6:$AH$102=V106)*('Lookup Tables'!$AI$6:$AI$102=W106),FALSE),IF(VLOOKUP(J106, 'Fixture Identities'!$A$6:$B$1023, 2, FALSE)="Incandescent",12, 13)), INDEX('Lookup Tables'!$AH$114:$AS$154,MATCH(1,('Lookup Tables'!$AH$114:$AH$154=V106)*('Lookup Tables'!$AI$114:$AI$154=W106),FALSE),12))))), "N")</f>
        <v/>
      </c>
      <c r="BT106" s="184" t="str">
        <f>IF(J106="", "", IF(AND(OR(W106="Freezer case Lighting", W106="Refrigerated Case Lighting with Doors"),'General Information'!$X$18="LCI"), "N", IF(OR(VLOOKUP(J106, 'Fixture Identities'!$A$6:$B$1023, 2, FALSE)="T12 EPACT/EISA Baseline", VLOOKUP(J106, 'Fixture Identities'!$A$6:$B$1023, 2, FALSE)="Linear Fluorescent", VLOOKUP(J106, 'Fixture Identities'!$A$6:$B$1023, 2, FALSE)="U-Tube Fluorescent"), "Y", "N")))</f>
        <v/>
      </c>
      <c r="BU106" s="184" t="str">
        <f>IFERROR(IF(B106="", "", IF(VLOOKUP(J106, 'Fixture Identities'!$A$6:$B$1023, 2, FALSE)="Exit Sign", "Y", "N")), "N")</f>
        <v/>
      </c>
      <c r="BV106" s="184" t="str">
        <f>IF(V106="Exit Signs", IF(VLOOKUP(J106, 'Fixture Identities'!$A$6:$B$1023, 2, FALSE)="Exit Sign", "N", "Y"), "")</f>
        <v/>
      </c>
      <c r="BW106" s="184" t="str">
        <f t="array" ref="BW106">IFERROR(IF(B106="", "", IF(B106="New Construction", "N", INDEX('Lookup Tables'!$AH$6:$AU$102, MATCH(1, ('Lookup Tables'!$AH$6:$AH$102='Lighting Inventory'!V106)*('Lookup Tables'!$AI$6:$AI$102='Lighting Inventory'!W106), 0), 14))), "N")</f>
        <v/>
      </c>
      <c r="BX106" s="598" t="str">
        <f t="shared" si="360"/>
        <v/>
      </c>
      <c r="BY106" s="598" t="str">
        <f t="shared" si="361"/>
        <v/>
      </c>
      <c r="BZ106" s="598" t="str">
        <f t="shared" si="362"/>
        <v/>
      </c>
      <c r="CA106" s="598" t="str">
        <f t="shared" si="363"/>
        <v/>
      </c>
      <c r="CB106" s="269" t="str">
        <f t="shared" si="364"/>
        <v/>
      </c>
      <c r="CC106" s="517" t="str">
        <f t="shared" si="365"/>
        <v/>
      </c>
      <c r="CD106" s="565" t="str">
        <f t="shared" si="305"/>
        <v/>
      </c>
      <c r="CE106" s="368">
        <v>0</v>
      </c>
      <c r="CF106" s="368" t="str" cm="1">
        <f t="array" ref="CF106">IFERROR(IF(V106="Custom", "$0.1 per kWh", IF(B106="New Construction", CONCATENATE("$",INDEX('Lookup Tables'!$AH$114:$AN$154,MATCH(1,('Lookup Tables'!$AH$114:$AH$154='Lighting Inventory'!V106)*('Lookup Tables'!$AI$114:$AI$154='Lighting Inventory'!W106),FALSE),6)," ",INDEX('Lookup Tables'!$AH$114:$AN$154,MATCH(1,('Lookup Tables'!$AH$114:$AH$154='Lighting Inventory'!V106)*('Lookup Tables'!$AI$114:$AI$154='Lighting Inventory'!W106),FALSE),7)), IF(AND(BU106="N", V106="Exit Signs"), "$0.025 per kWh", CONCATENATE("$",INDEX('Lookup Tables'!$AH$6:$AN$102,MATCH(1,('Lookup Tables'!$AH$6:$AH$102='Lighting Inventory'!V106)*('Lookup Tables'!$AI$6:$AI$102='Lighting Inventory'!W106),FALSE),6)," ",INDEX('Lookup Tables'!$AH$6:$AN$102,MATCH(1,('Lookup Tables'!$AH$6:$AH$102='Lighting Inventory'!V106)*('Lookup Tables'!$AI$6:$AI$102='Lighting Inventory'!W106),FALSE),7))))), "")</f>
        <v/>
      </c>
      <c r="CG106" s="366"/>
      <c r="CH106" s="248" t="str">
        <f t="shared" si="306"/>
        <v/>
      </c>
      <c r="CI106" s="248" t="str">
        <f t="shared" si="307"/>
        <v>Select_IE</v>
      </c>
      <c r="CJ106" s="248" t="str">
        <f t="shared" si="308"/>
        <v/>
      </c>
      <c r="CK106" s="248" t="str">
        <f t="shared" si="309"/>
        <v/>
      </c>
      <c r="CL106" s="248" t="str">
        <f t="shared" si="310"/>
        <v/>
      </c>
      <c r="CM106" s="248" t="str">
        <f>IFERROR(IF(B106="", "", IF(B106="New Construction", VLOOKUP(V106, 'Lookup Tables'!$AF$114:$AG$120, 2, FALSE), VLOOKUP(V106, 'Lookup Tables'!$AD$6:$AE$25, 2, FALSE))), "")</f>
        <v/>
      </c>
      <c r="CN106" s="248" t="str">
        <f t="shared" si="311"/>
        <v/>
      </c>
      <c r="CO106" s="248" t="str">
        <f t="shared" si="312"/>
        <v/>
      </c>
      <c r="CP106" s="592" t="str">
        <f t="shared" si="313"/>
        <v/>
      </c>
      <c r="CQ106" s="248" t="str">
        <f t="shared" si="366"/>
        <v/>
      </c>
      <c r="CR106" s="249"/>
      <c r="CS106" s="250" t="str">
        <f t="shared" si="314"/>
        <v/>
      </c>
      <c r="CT106" s="250" t="str">
        <f t="shared" si="367"/>
        <v/>
      </c>
      <c r="CU106" s="250" t="str">
        <f t="shared" si="368"/>
        <v/>
      </c>
      <c r="CV106" s="250" t="str">
        <f t="shared" si="369"/>
        <v/>
      </c>
      <c r="CW106" s="250" t="str">
        <f t="shared" si="370"/>
        <v/>
      </c>
      <c r="CX106" s="250" t="str">
        <f t="shared" si="315"/>
        <v/>
      </c>
      <c r="CY106" s="250" t="str">
        <f t="shared" si="316"/>
        <v/>
      </c>
      <c r="CZ106" s="250" t="str">
        <f t="shared" si="317"/>
        <v/>
      </c>
      <c r="DA106" s="250" t="str">
        <f t="shared" si="318"/>
        <v/>
      </c>
      <c r="DB106" s="250" t="str">
        <f t="shared" si="319"/>
        <v/>
      </c>
      <c r="DC106" s="250" t="str">
        <f t="shared" si="320"/>
        <v/>
      </c>
      <c r="DD106" s="250" t="str">
        <f t="shared" si="321"/>
        <v/>
      </c>
      <c r="DE106" s="250" t="str">
        <f t="shared" si="322"/>
        <v/>
      </c>
      <c r="DF106" s="250" t="str">
        <f t="shared" si="323"/>
        <v/>
      </c>
      <c r="DG106" s="250" t="str">
        <f t="shared" si="324"/>
        <v/>
      </c>
      <c r="DH106" s="250" t="str">
        <f t="shared" si="325"/>
        <v/>
      </c>
      <c r="DI106" s="250" t="str">
        <f t="shared" si="326"/>
        <v/>
      </c>
      <c r="DJ106" s="250" t="str">
        <f t="shared" si="327"/>
        <v/>
      </c>
      <c r="DK106" s="250" t="str">
        <f t="shared" si="328"/>
        <v/>
      </c>
      <c r="DL106" s="250" t="str">
        <f t="shared" si="329"/>
        <v/>
      </c>
      <c r="DM106" s="250" t="str">
        <f>IF(CD106="ERROR", "ERROR", IF(AND(OR(Y106=$DM$6, Y106='Lookup Tables'!$AD$21, Y106='Lookup Tables'!$AD$22), E106="Interior"), BJ106, ""))</f>
        <v/>
      </c>
      <c r="DN106" s="250" t="str">
        <f>IF(CD106="ERROR", "ERROR", IF(AND(OR(Y106=$DM$6, Y106='Lookup Tables'!$AD$21, Y106='Lookup Tables'!$AD$22), E106="Exterior"), BJ106, ""))</f>
        <v/>
      </c>
      <c r="DO106" s="249"/>
      <c r="DP106" s="250" t="str">
        <f t="shared" si="330"/>
        <v/>
      </c>
      <c r="DQ106" s="250" t="str">
        <f t="shared" si="371"/>
        <v/>
      </c>
      <c r="DR106" s="250" t="str">
        <f t="shared" si="372"/>
        <v/>
      </c>
      <c r="DS106" s="250" t="str">
        <f t="shared" si="373"/>
        <v/>
      </c>
      <c r="DT106" s="250" t="str">
        <f t="shared" si="374"/>
        <v/>
      </c>
      <c r="DU106" s="250" t="str">
        <f t="shared" si="331"/>
        <v/>
      </c>
      <c r="DV106" s="250" t="str">
        <f t="shared" si="332"/>
        <v/>
      </c>
      <c r="DW106" s="250" t="str">
        <f t="shared" si="333"/>
        <v/>
      </c>
      <c r="DX106" s="250" t="str">
        <f t="shared" si="334"/>
        <v/>
      </c>
      <c r="DY106" s="250" t="str">
        <f t="shared" si="335"/>
        <v/>
      </c>
      <c r="DZ106" s="250" t="str">
        <f t="shared" si="336"/>
        <v/>
      </c>
      <c r="EA106" s="250" t="str">
        <f t="shared" si="337"/>
        <v/>
      </c>
      <c r="EB106" s="250" t="str">
        <f t="shared" si="375"/>
        <v/>
      </c>
      <c r="EC106" s="250" t="str">
        <f t="shared" si="338"/>
        <v/>
      </c>
      <c r="ED106" s="250" t="str">
        <f t="shared" si="339"/>
        <v/>
      </c>
      <c r="EE106" s="250" t="str">
        <f t="shared" si="340"/>
        <v/>
      </c>
      <c r="EF106" s="250" t="str">
        <f t="shared" si="341"/>
        <v/>
      </c>
      <c r="EG106" s="250" t="str">
        <f t="shared" si="342"/>
        <v/>
      </c>
      <c r="EH106" s="250" t="str">
        <f>IF(CD106="ERROR", "ERROR", IF(AND(OR($EH$6=Y106, Y106='Lookup Tables'!$AD$21, Y106='Lookup Tables'!$AD$22),E106="Interior"), SUM(BP106:BP106), ""))</f>
        <v/>
      </c>
      <c r="EI106" s="250" t="str">
        <f>IF(CD106="ERROR", "ERROR", IF(AND(OR($EH$6=Y106, Y106='Lookup Tables'!$AD$21, Y106='Lookup Tables'!$AD$22),E106="Exterior"), SUM(BP106:BP106), ""))</f>
        <v/>
      </c>
      <c r="EJ106" s="109"/>
      <c r="EK106" s="485" t="str">
        <f t="shared" si="343"/>
        <v/>
      </c>
      <c r="EL106" s="252" t="str">
        <f t="shared" si="376"/>
        <v/>
      </c>
      <c r="EM106" s="252" t="str">
        <f t="shared" si="377"/>
        <v/>
      </c>
      <c r="EN106" s="252" t="str">
        <f t="shared" si="378"/>
        <v/>
      </c>
      <c r="EO106" s="252" t="str">
        <f t="shared" si="379"/>
        <v/>
      </c>
      <c r="EP106" s="252" t="str">
        <f t="shared" si="380"/>
        <v/>
      </c>
      <c r="EQ106" s="252" t="str">
        <f t="shared" si="381"/>
        <v/>
      </c>
      <c r="ER106" s="252" t="str">
        <f t="shared" si="382"/>
        <v/>
      </c>
      <c r="ES106" s="252" t="str">
        <f t="shared" si="383"/>
        <v/>
      </c>
      <c r="ET106" s="252" t="str">
        <f t="shared" si="384"/>
        <v/>
      </c>
      <c r="EU106" s="252" t="str">
        <f t="shared" si="385"/>
        <v/>
      </c>
      <c r="EV106" s="252" t="str">
        <f t="shared" si="386"/>
        <v/>
      </c>
      <c r="EW106" s="252" t="str">
        <f t="shared" si="387"/>
        <v/>
      </c>
      <c r="EX106" s="252" t="str">
        <f t="shared" si="388"/>
        <v/>
      </c>
      <c r="EY106" s="252" t="str">
        <f t="shared" si="389"/>
        <v/>
      </c>
      <c r="EZ106" s="252" t="str">
        <f t="shared" si="390"/>
        <v/>
      </c>
      <c r="FA106" s="252" t="str">
        <f t="shared" si="391"/>
        <v/>
      </c>
      <c r="FB106" s="252" t="str">
        <f t="shared" si="392"/>
        <v/>
      </c>
      <c r="FC106" s="252" t="str">
        <f>IF(CD106="ERROR", "ERROR", IF(OR(V106="No Change", V106="Not DLC or Energy Star"), "", IF(AND(OR($FC$6=Y106,Y106='Lookup Tables'!$AD$21, Y106='Lookup Tables'!$AD$22),E106="Interior"), S106, "")))</f>
        <v/>
      </c>
      <c r="FD106" s="252" t="str">
        <f t="shared" si="393"/>
        <v/>
      </c>
      <c r="FE106" s="1"/>
      <c r="FF106" s="579" t="str" cm="1">
        <f t="array" ref="FF106">IFERROR(IF(OR(BQ106&lt;=0,AQ106&lt;20,AND(V106="Exit Signs",AN106&gt;0)),"",IF(AND(AQ106&gt;=20,AN106='Lookup Tables'!$R$101),'Lookup Tables'!$U$101*BQ106,AP106*LOOKUP(2,1/((AN106='Lookup Tables'!$R$91:$R$111)*(AQ106&gt;='Lookup Tables'!$S$91:$S$111)*(AQ106&lt;='Lookup Tables'!$T$91:$T$111)),'Lookup Tables'!$U$91:$U$111))),"")</f>
        <v/>
      </c>
      <c r="FG106" s="579"/>
      <c r="FH106" s="579"/>
      <c r="FI106" s="253" t="str">
        <f>IFERROR(ROUND(IF(CD106="ERROR", "ERROR", IF(AND($FI$7=X106,E106="Interior"),VLOOKUP(W106, 'Lookup Tables'!$AI$6:$AM$102, 5, FALSE)*BP106, "")), 2), "")</f>
        <v/>
      </c>
      <c r="FJ106" s="253" t="str">
        <f>IFERROR(ROUND(IF(CD106="ERROR", "ERROR", IF(AND($FI$7=X106,E106="Exterior"),VLOOKUP(W106, 'Lookup Tables'!$AI$6:$AM$102, 5, FALSE)*BP106, "")), 2), "")</f>
        <v/>
      </c>
      <c r="FK106" s="253" t="str">
        <f>IFERROR(ROUND(IF(CD106="ERROR", "ERROR", IF(AND($FK$7=X106,E106="Interior"),VLOOKUP(W106, 'Lookup Tables'!$AI$6:$AM$102, 5, FALSE)*BP106, "")), 2), "")</f>
        <v/>
      </c>
      <c r="FL106" s="253" t="str">
        <f>IFERROR(ROUND(IF(CD106="ERROR", "ERROR", IF(AND($FK$7=X106,E106="Exterior"),VLOOKUP(W106, 'Lookup Tables'!$AI$6:$AM$102, 5, FALSE)*BP106, "")), 2), "")</f>
        <v/>
      </c>
      <c r="FM106" s="253" t="str">
        <f>IFERROR(ROUND(IF(CD106="ERROR", "ERROR", IF(AND($FM$6=Y106,E106="Interior"), IF(GB106=0, VLOOKUP(W106, 'Lookup Tables'!$AI$6:$AM$102, 5, FALSE)*BP106, IF(VLOOKUP(W106, 'Lookup Tables'!$AI$6:$AM$102, 5, FALSE)*BP106&gt;GB106*'Lighting Inventory'!S106, GB106*'Lighting Inventory'!S106,VLOOKUP(W106, 'Lookup Tables'!$AI$6:$AM$102, 5, FALSE)*BP106)), "")), 2), "")</f>
        <v/>
      </c>
      <c r="FN106" s="253" t="str">
        <f>IFERROR(ROUND(IF(CD106="ERROR", "ERROR", IF(AND($FM$6=Y106,E106="Exterior"), IF(GB106=0, VLOOKUP(W106, 'Lookup Tables'!$AI$6:$AM$102, 5, FALSE)*BP106, IF(VLOOKUP(W106, 'Lookup Tables'!$AI$6:$AM$102, 5, FALSE)*BP106&gt;GB106*'Lighting Inventory'!S106, GB106*'Lighting Inventory'!S106,VLOOKUP(W106, 'Lookup Tables'!$AI$6:$AM$102, 5, FALSE)*BP106)), "")), 2), "")</f>
        <v/>
      </c>
      <c r="FO106" s="253" t="str">
        <f>IFERROR(ROUND(IF(CD106="ERROR", "ERROR", IF(AND($FO$6=Y106,E106="Interior"),VLOOKUP(W106, 'Lookup Tables'!$AI$6:$AM$102, 5, FALSE)*'Lighting Inventory'!AI106, "")), 2), "")</f>
        <v/>
      </c>
      <c r="FP106" s="253" t="str">
        <f>IFERROR(ROUND(IF(CD106="ERROR", "ERROR", IF(AND($FO$6=Y106,E106="Exterior"),VLOOKUP(W106, 'Lookup Tables'!$AI$6:$AM$102, 5, FALSE)*'Lighting Inventory'!AI106, "")), 2), "")</f>
        <v/>
      </c>
      <c r="FQ106" s="253" t="str">
        <f>IFERROR(ROUND(IF(CD106="ERROR", "ERROR", IF(AND($FQ$6=Y106,E106="Interior", BU106="Y"), VLOOKUP('Lighting Inventory'!W106, 'Lookup Tables'!$AI$6:$AM$102, 5, FALSE)*'Lighting Inventory'!S106, IF(AND($FQ$7=Y106,E106="Interior", BU106="N"), 0.025*CD106, ""))), 2), "")</f>
        <v/>
      </c>
      <c r="FR106" s="253" t="str">
        <f>IFERROR(ROUND(IF(CD106="ERROR", "ERROR", IF(AND($FQ$6=Y106,E106="Exterior"), VLOOKUP('Lighting Inventory'!W106, 'Lookup Tables'!$AI$6:$AM$102, 5, FALSE)*'Lighting Inventory'!S106, "")), 2), "")</f>
        <v/>
      </c>
      <c r="FS106" s="253" t="str">
        <f>IFERROR(ROUND(IF(CD106="ERROR", "ERROR", IF(AND($FS$6=Y106,E106="Exterior"), IF(GB106=0, VLOOKUP(W106, 'Lookup Tables'!$AI$6:$AM$102, 5, FALSE)*BP106, IF(VLOOKUP(W106, 'Lookup Tables'!$AI$6:$AM$102, 5, FALSE)*BP106&gt;GB106*'Lighting Inventory'!S106, GB106*'Lighting Inventory'!S106,VLOOKUP(W106, 'Lookup Tables'!$AI$6:$AM$102, 5, FALSE)*BP106)), "")), 2), "")</f>
        <v/>
      </c>
      <c r="FT106" s="253" t="str">
        <f>IFERROR(ROUND(IF(CD106="ERROR", "ERROR", IF(AND($FT$6=Y106,E106="Interior"), IF(GB106=0, VLOOKUP(W106, 'Lookup Tables'!$AI$6:$AM$102, 5, FALSE)*BP106, IF(VLOOKUP(W106, 'Lookup Tables'!$AI$6:$AM$102, 5, FALSE)*BP106&gt;GB106*'Lighting Inventory'!S106, GB106*'Lighting Inventory'!S106,VLOOKUP(W106, 'Lookup Tables'!$AI$6:$AM$102, 5, FALSE)*BP106)), "")), 2), "")</f>
        <v/>
      </c>
      <c r="FU106" s="253" t="str">
        <f>IFERROR(ROUND(IF(CD106="ERROR", "ERROR", IF(AND(Y106=$FU$6, E106="Interior"), IF(BS106="N", 'Lookup Tables'!$AM$101*BP106, VLOOKUP(W106, 'Lookup Tables'!$AI$6:$AM$102, 5, FALSE)*S106*AD106), "")), 2), "")</f>
        <v/>
      </c>
      <c r="FV106" s="253" t="str">
        <f>IFERROR(ROUND(IF(CD106="ERROR", "ERROR", IF(AND(Y106=$FU$6, E106="Exterior"), IF(BS106="N", 'Lookup Tables'!$AM$101*BP106, VLOOKUP(W106, 'Lookup Tables'!$AI$6:$AM$102, 5, FALSE)*S106*AD106), "")), 2), "")</f>
        <v/>
      </c>
      <c r="FW106" s="253" t="str">
        <f>IFERROR(ROUND(IF(CD106="ERROR", "ERROR", IF($FW$6=Y106, IF(BS106="N", 'Lookup Tables'!$AM$101*BP106, MIN((VLOOKUP(W106, 'Lookup Tables'!$AI$6:$AM$102, 5, FALSE)*BP106),GB106*AJ106)), "")), 2), "")</f>
        <v/>
      </c>
      <c r="FX106" s="253" t="str">
        <f>IFERROR(ROUND(IF(CD106="ERROR", "ERROR", IF(AND($FX$6=Y106, E106="Interior"), IF(VLOOKUP(W106, 'Lookup Tables'!$AI$6:$AM$102, 5, FALSE)*BP106&gt;'Lookup Tables'!$AQ$97*'Lighting Inventory'!S106,'Lighting Inventory'!S106*'Lookup Tables'!$AQ$97,VLOOKUP(W106, 'Lookup Tables'!$AI$6:$AM$102, 5, FALSE)*BP106), "")), 2), "")</f>
        <v/>
      </c>
      <c r="FY106" s="253" t="str">
        <f>IFERROR(ROUND(IF(CD106="ERROR", "ERROR", IF(AND($FX$6=Y106, E106="Exterior"), IF(VLOOKUP(W106, 'Lookup Tables'!$AI$6:$AM$102, 5, FALSE)*BP106&gt;'Lookup Tables'!$AQ$97*'Lighting Inventory'!S106,'Lighting Inventory'!S106*'Lookup Tables'!$AQ$97,VLOOKUP(W106, 'Lookup Tables'!$AI$6:$AM$102, 5, FALSE)*BP106), "")), 2), "")</f>
        <v/>
      </c>
      <c r="FZ106" s="253" t="str">
        <f>IFERROR(ROUND(IF(CD106="ERROR", "ERROR", IF(AND($FZ$6=Y106, E106="Interior"), IF(AND(OR(W106="Refrigerated Case Lighting with Doors", W106="Freezer Case Lighting"),Y106="Custom - Process Improvement"),CD106*'Lookup Tables'!$AM$101, IF(B106="Retrofit", IF(VLOOKUP(IF(V106="Custom", V106, W106), 'Lookup Tables'!$AI$6:$AM$102, 5, FALSE)*BP106&gt;GE106, GE106, VLOOKUP(IF(V106="Custom", V106, W106), 'Lookup Tables'!$AI$6:$AM$102, 5, FALSE)*BP106), IF(VLOOKUP(IF(V106="Custom", V106, W106), 'Lookup Tables'!$AI$114:$AM$154, 5, FALSE)*BP106&gt;GE106, GE106, VLOOKUP(IF(V106="Custom", V106, W106), 'Lookup Tables'!$AI$114:$AM$154, 5, FALSE)*BP106))), "")), 2),"")</f>
        <v/>
      </c>
      <c r="GA106" s="253" t="str">
        <f>IFERROR(ROUND(IF(CD106="ERROR", "ERROR", IF(AND($FZ$6=Y106, E106="Exterior"), IF(B106="Retrofit", IF(VLOOKUP(IF(V106="Custom", V106, W106), 'Lookup Tables'!$AI$6:$AM$102, 5, FALSE)*BP106&gt;GE106, GE106, VLOOKUP(IF(V106="Custom", V106, W106), 'Lookup Tables'!$AI$6:$AM$102, 5, FALSE)*BP106), IF(VLOOKUP(IF(V106="Custom", V106, W106), 'Lookup Tables'!$AI$114:$AM$154, 5, FALSE)*BP106&gt;GE106, GE106, VLOOKUP(IF(V106="Custom", V106, W106), 'Lookup Tables'!$AI$114:$AM$154, 5, FALSE)*BP106)), "")), 2),"")</f>
        <v/>
      </c>
      <c r="GB106" s="254" t="str">
        <f t="array" ref="GB106">IF(B106="","",IF(OR(V106="Custom",V106="No Change"),0,IF(B106="Retrofit", INDEX('Lookup Tables'!$AH$6:$AQ$102,MATCH(1,('Lookup Tables'!$AH$6:$AH$102='Lighting Inventory'!V106)*('Lookup Tables'!$AI$6:$AI$102='Lighting Inventory'!W106),FALSE),10),INDEX('Lookup Tables'!$AH$114:$AQ$154,MATCH(1,('Lookup Tables'!$AH$114:$AH$154='Lighting Inventory'!V106)*('Lookup Tables'!$AI$114:$AI$154='Lighting Inventory'!W106),FALSE),10))))</f>
        <v/>
      </c>
      <c r="GC106" s="255" t="str">
        <f t="shared" si="344"/>
        <v/>
      </c>
      <c r="GD106" s="250" t="str">
        <f t="shared" si="345"/>
        <v/>
      </c>
      <c r="GE106" s="253" t="str">
        <f>IFERROR(IF(AND(AF106="", 'General Information'!$F$18="No"),"", IF(AF106="", ((GD106/$CD$266)*$CF$266)*0.5, AF106*S106*0.5)), "")</f>
        <v/>
      </c>
      <c r="GF106" s="255" t="str">
        <f>IF(AND('General Information'!$F$19="", 'General Information'!$F$18="Yes",AF106="",BW106="Y"), "Y", "N")</f>
        <v>N</v>
      </c>
      <c r="GG106" s="255" t="s">
        <v>2946</v>
      </c>
      <c r="GH106" s="255" t="str">
        <f>IFERROR(IF(B106="", "", VLOOKUP(J106, 'Fixture Identities'!$A$6:$N$908, 14, FALSE)), "")</f>
        <v/>
      </c>
      <c r="GI106" s="389" t="str">
        <f>IF(OR(B106="", V106="", W106=""), "", IF(AND(OR(M106='Lookup Tables'!$R$18, M106='Lookup Tables'!$R$19, M106='Lookup Tables'!$R$20, M106='Lookup Tables'!$R$21, M106='Lookup Tables'!$R$22), OR(AN106='Lookup Tables'!$R$17, AN106='Lookup Tables'!$R$17, AN106="")), "Y", "N"))</f>
        <v/>
      </c>
      <c r="GJ106" s="255" t="str">
        <f t="shared" si="346"/>
        <v/>
      </c>
      <c r="GK106" s="255" t="str">
        <f t="shared" si="347"/>
        <v/>
      </c>
      <c r="GL106" s="255" t="str">
        <f t="shared" si="348"/>
        <v/>
      </c>
      <c r="GM106" s="255" t="str">
        <f>IF(AN106="", "", IF(AND(IF(ISNA(VLOOKUP(AN106,'Lookup Tables'!$R$18:$R$22,1,FALSE)), "N", "Y")="Y", E106="Exterior"), "Y", "N"))</f>
        <v/>
      </c>
      <c r="GN106" s="395"/>
      <c r="GO106" s="428">
        <f t="shared" si="394"/>
        <v>0</v>
      </c>
      <c r="GP106" s="428">
        <f t="shared" si="397"/>
        <v>0</v>
      </c>
      <c r="GQ106" s="428">
        <f t="shared" si="395"/>
        <v>0</v>
      </c>
      <c r="GR106" s="428">
        <f t="shared" si="396"/>
        <v>0</v>
      </c>
    </row>
    <row r="107" spans="1:200" s="103" customFormat="1" ht="13.5" customHeight="1" x14ac:dyDescent="0.2">
      <c r="A107" s="272">
        <v>97</v>
      </c>
      <c r="B107" s="110"/>
      <c r="C107" s="110"/>
      <c r="D107" s="110"/>
      <c r="E107" s="110"/>
      <c r="F107" s="110"/>
      <c r="G107" s="110"/>
      <c r="H107" s="110"/>
      <c r="I107" s="29"/>
      <c r="J107" s="29"/>
      <c r="K107" s="272" t="str">
        <f>IFERROR(IF(OR(VLOOKUP(J107, 'Fixture Identities'!$A$6:$L$1023, 3, FALSE)="T12 Linear Fluorescent", VLOOKUP(J107, 'Fixture Identities'!$A$6:$L$1023, 3, FALSE)="T12 U-Tube Fluorescent"), VLOOKUP(VLOOKUP(J107, 'Fixture Identities'!$A$6:$L$1023, 11, FALSE), 'Fixture Identities'!$A$6:$L$1023, 10, FALSE), VLOOKUP(J107, 'Fixture Identities'!$A$6:$L$1023, 10, FALSE)), "")</f>
        <v/>
      </c>
      <c r="L107" s="270" t="str">
        <f t="shared" si="399"/>
        <v/>
      </c>
      <c r="M107" s="110"/>
      <c r="N107" s="110"/>
      <c r="O107" s="110"/>
      <c r="P107" s="272" t="str">
        <f>IFERROR(IF(OR(B107="Retrofit",B107=""),"",IF('Lighting Inventory'!E107="Exterior",VLOOKUP('Lighting Inventory'!N107,'Lookup Tables'!$B$83:$F$103,5,FALSE),IF(N107="Other - Please Estimate EFLH and CFs","Contact Prog. Rep.","ft^2"))), "")</f>
        <v/>
      </c>
      <c r="Q107" s="270" t="str">
        <f>IFERROR(IF(AND(B107="New Construction",E107="Interior",$F$5="Space-by-Space"),VLOOKUP('Lighting Inventory'!N107,'Lookup Tables'!$N$6:$O$97,2,FALSE),IF(AND(B107="New Construction",E107="Exterior"),VLOOKUP(N107,'Lookup Tables'!$B$83:$F$103,2,FALSE),IF(AND(B107="New Construction",'Lighting Inventory'!E107="Interior", $F$5="Building Area"),VLOOKUP(F107,'Lookup Tables'!$A$6:$J$59,10,FALSE),""))), "")</f>
        <v/>
      </c>
      <c r="R107" s="270" t="str">
        <f>IFERROR(IF(P107="Contact Prog. Rep.", "ERROR", IF(OR(B107="",B107="Retrofit"),"",IF(N107="Automated teller machines", ('Lookup Tables'!$A$82:$E$100+('Lighting Inventory'!O107-1)*'Lookup Tables'!$A$82:$E$100)/1000, (Q107*O107)/1000))), "")</f>
        <v/>
      </c>
      <c r="S107" s="595"/>
      <c r="T107" s="105" t="str">
        <f t="shared" si="349"/>
        <v/>
      </c>
      <c r="U107" s="105" t="str">
        <f>IF(S107="","",COUNT($S$11:S107))</f>
        <v/>
      </c>
      <c r="V107" s="111"/>
      <c r="W107" s="112"/>
      <c r="X107" s="105" t="str">
        <f t="shared" si="350"/>
        <v/>
      </c>
      <c r="Y107" s="105" t="str">
        <f t="array" ref="Y107">IF(AND(OR(W107="Freezer Case Lighting", W107="Refrigerated Case Lighting with Doors"), 'General Information'!$X$18="LCI"),'Lookup Tables'!$Y$34, IF(V107="Custom", VLOOKUP(W107, 'Fixture Identities'!$A$974:$M$1023, 13, FALSE), IF(V107="No Change",'Lookup Tables'!$Y$29,IF(OR(V107="",W107=""),"",IF(AND(S107=0,S107&lt;I107,B107="Retrofit"),'Lookup Tables'!$Y$25, IF(B107="Retrofit", INDEX('Lookup Tables'!$AH$6:$AP$102, MATCH(1, ('Lookup Tables'!$AH$6:$AH$102=V107)*('Lookup Tables'!$AI$6:$AI$102=W107), 0), IF('Lighting Inventory'!E107="Interior", 4, 5)), INDEX('Lookup Tables'!$AH$114:$AP$154, MATCH(1, ('Lookup Tables'!$AH$114:$AH$154=V107)*('Lookup Tables'!$AI$114:$AI$154=W107), 0), IF('Lighting Inventory'!E107="Interior", 4, 5))))))))</f>
        <v/>
      </c>
      <c r="Z107" s="105" t="str">
        <f>IFERROR(INDEX('Lookup Tables'!$AH$158:$AH$172,MATCH('Lighting Inventory'!Y107,'Lookup Tables'!$AI$158:$AI$172,0)),"")</f>
        <v/>
      </c>
      <c r="AA107" s="105" t="str">
        <f>IF(AP107&gt;0,INDEX('Lookup Tables'!$AK$158:$AK$172,MATCH('Lighting Inventory'!Y107,'Lookup Tables'!$AI$158:$AI$172,0)),'Lighting Inventory'!Y107)</f>
        <v/>
      </c>
      <c r="AB107" s="105" t="str">
        <f t="array" ref="AB107">IF(V107="Custom", "Custom", IF(V107="", "", IF(V107="Not DLC or Energy Star", "General", IF(B107="New Construction", INDEX('Lookup Tables'!$AH$114:$AP$154,MATCH(1,('Lookup Tables'!$AH$114:$AH$154='Lighting Inventory'!V107)*('Lookup Tables'!$AI$114:$AI$154='Lighting Inventory'!W107),FALSE),8), INDEX('Lookup Tables'!$AH$6:$AP$102,MATCH(1,('Lookup Tables'!$AH$6:$AH$102='Lighting Inventory'!V107)*('Lookup Tables'!$AI$6:$AI$102='Lighting Inventory'!W107),FALSE),8)))))</f>
        <v/>
      </c>
      <c r="AC107" s="272" t="str">
        <f>IF(W107="","",IF(V107="Custom",CONCATENATE("$",'Lookup Tables'!$AM$101," ",'Lookup Tables'!$AN$101),CONCATENATE("$",INDEX('Lookup Tables'!$AM$6:$AM$102,MATCH('Lighting Inventory'!W107,'Lookup Tables'!$AI$6:$AI$102,0))," ",INDEX('Lookup Tables'!$AN$6:$AN$102,MATCH('Lighting Inventory'!W107,'Lookup Tables'!$AI$6:$AI$102,0)))))</f>
        <v/>
      </c>
      <c r="AD107" s="72"/>
      <c r="AE107" s="29"/>
      <c r="AF107" s="379"/>
      <c r="AG107" s="370" t="str">
        <f t="shared" si="298"/>
        <v/>
      </c>
      <c r="AH107" s="370" t="str">
        <f t="shared" si="351"/>
        <v/>
      </c>
      <c r="AI107" s="29"/>
      <c r="AJ107" s="29"/>
      <c r="AK107" s="110"/>
      <c r="AL107" s="375" t="str">
        <f>IF(OR(B107="", V107="", W107=""), "", IF(V107="No Change", K107, IF(V107="Remove Fixture", 0, IF(V107="Custom",VLOOKUP(W107,'Fixture Identities'!$A$6:$K$1023,10,FALSE),IF(AE107="", "← ENTER POST WATTS", 'Lighting Inventory'!AE107)))))</f>
        <v/>
      </c>
      <c r="AM107" s="376" t="str">
        <f t="shared" si="299"/>
        <v/>
      </c>
      <c r="AN107" s="29"/>
      <c r="AO107" s="671"/>
      <c r="AP107" s="29"/>
      <c r="AQ107" s="29"/>
      <c r="AR107" s="29"/>
      <c r="AS107" s="272" t="str">
        <f t="shared" si="352"/>
        <v/>
      </c>
      <c r="AT107" s="270" t="str">
        <f t="shared" si="300"/>
        <v/>
      </c>
      <c r="AU107" s="88" t="str">
        <f t="shared" si="400"/>
        <v/>
      </c>
      <c r="AV107" s="29"/>
      <c r="AW107" s="73"/>
      <c r="AX107" s="271" t="str">
        <f>IF(AND(AV107="Applicant",OR(AW107="", AW107="Use Default Facility Hours")),"← Choose Schedule",IF(F107="","",IF(W107="LED Exit Signs",8760,IF(OR(AV107="Prescribed",AV107=""),VLOOKUP(F107,'Lookup Tables'!$A$6:$G$59,IF(AB107="General", 6, 3),FALSE),VLOOKUP(AW107,'Lookup Tables'!$S$36:$U$43,2,FALSE)))))</f>
        <v/>
      </c>
      <c r="AY107" s="88" t="str">
        <f t="shared" si="301"/>
        <v/>
      </c>
      <c r="AZ107" s="270" t="str">
        <f>IFERROR(IF(F107="", "", IF(W107="LED Exit Signs", 1, IF(AV107="Applicant",VLOOKUP(AW107, 'Lookup Tables'!$S$36:$U$43,3, FALSE), VLOOKUP('Lighting Inventory'!F107, 'Lookup Tables'!$A$6:$H$59, IF('Lighting Inventory'!AB107="General",7,4), FALSE)))), "")</f>
        <v/>
      </c>
      <c r="BA107" s="522" t="str">
        <f>IFERROR(IF(F107="", "", IF(W107="LED Exit Signs", 1, VLOOKUP('Lighting Inventory'!F107, 'Lookup Tables'!$A$6:$H$59, IF('Lighting Inventory'!AB107="General",8,5), FALSE))), "")</f>
        <v/>
      </c>
      <c r="BB107" s="270" t="str">
        <f>IF(G107="", "", IF(E107="Exterior", 0, IF('Lighting Inventory'!G107="Air Conditioned", VLOOKUP(H107, 'Lookup Tables'!$R$6:$T$13, 2, FALSE), VLOOKUP('Lighting Inventory'!G107, 'Lookup Tables'!$R$6:$T$13, 2, FALSE))))</f>
        <v/>
      </c>
      <c r="BC107" s="522" t="str">
        <f>IF(G107="", "", IF(E107="Exterior", 0, IF('Lighting Inventory'!G107="Air Conditioned", VLOOKUP(H107, 'Lookup Tables'!$R$6:$T$13, 3, FALSE), VLOOKUP('Lighting Inventory'!G107, 'Lookup Tables'!$R$6:$T$13, 3, FALSE))))</f>
        <v/>
      </c>
      <c r="BD107" s="270" t="str">
        <f>IF(G107="", "", IF(E107="Exterior", 0, IF('Lighting Inventory'!G107="Air Conditioned", VLOOKUP(H107, 'Lookup Tables'!$R$6:$U$13, 4, FALSE), VLOOKUP('Lighting Inventory'!G107, 'Lookup Tables'!$R$6:$U$13, 4, FALSE))))</f>
        <v/>
      </c>
      <c r="BE107" s="270" t="str">
        <f>IFERROR(IF(B107="", "",  IF(B107="New Construction", VLOOKUP(F107, 'Lookup Tables'!$A$6:$K$59, 11, FALSE),IF(OR(AN107="", AN107="Light Switch"), 0, IF(OR(M107="",M107="None",V107= "LED Exit Signs"),0,_xlfn.XLOOKUP(M107,'Lookup Tables'!$R$91:$R$101,'Lookup Tables'!$V$91:$V$101))))), "")</f>
        <v/>
      </c>
      <c r="BF107" s="270" t="str">
        <f>IF(AND(OR(AN107="Light Switch",AN107=""),B107="New Construction"), VLOOKUP(F107, 'Lookup Tables'!$A$6:$K$59, 11, FALSE),IF(AN107="","",IF(B107="","",IF(OR(AN107="None",AN107="",V107="LED Exit Signs",AN107="Exterior Controls Not Eligible"),0,_xlfn.XLOOKUP(AN107,'Lookup Tables'!$R$91:$R$101,'Lookup Tables'!$V$91:$V$101)))))</f>
        <v/>
      </c>
      <c r="BG107" s="88" t="str">
        <f t="shared" si="353"/>
        <v/>
      </c>
      <c r="BH107" s="88" t="str">
        <f t="shared" si="354"/>
        <v/>
      </c>
      <c r="BI107" s="558" t="str">
        <f t="shared" si="398"/>
        <v/>
      </c>
      <c r="BJ107" s="82" t="str">
        <f t="shared" si="355"/>
        <v/>
      </c>
      <c r="BK107" s="82" t="str">
        <f t="shared" si="356"/>
        <v/>
      </c>
      <c r="BL107" s="559" t="str">
        <f t="shared" si="357"/>
        <v/>
      </c>
      <c r="BM107" s="521" t="str">
        <f t="shared" si="302"/>
        <v/>
      </c>
      <c r="BN107" s="521" t="str">
        <f t="shared" si="303"/>
        <v/>
      </c>
      <c r="BO107" s="522" t="str">
        <f t="shared" si="304"/>
        <v/>
      </c>
      <c r="BP107" s="83" t="str">
        <f t="shared" si="358"/>
        <v/>
      </c>
      <c r="BQ107" s="84" t="str">
        <f t="shared" si="359"/>
        <v/>
      </c>
      <c r="BR107" s="184" t="str">
        <f>IFERROR(IF(B107="", "", IF(OR(VLOOKUP(J107, 'Fixture Identities'!$A$6:$L$1023, 3, FALSE)="T12 Linear Fluorescent",VLOOKUP(J107, 'Fixture Identities'!$A$6:$L$1023, 3, FALSE)="T12 U-Tube Fluorescent"), "Y", "N")), "N")</f>
        <v/>
      </c>
      <c r="BS107" s="184" t="str">
        <f t="array" ref="BS107">IFERROR(IF(OR(B107="", V107="", W107=""), "", IF(V107="Custom", "N", IF(OR(W107="Freezer Case Lighting", W107="Refrigerated Case Lighting with Doors"), BT107, IF(B107="Retrofit", INDEX('Lookup Tables'!$AH$6:$AT$102,MATCH(1,('Lookup Tables'!$AH$6:$AH$102=V107)*('Lookup Tables'!$AI$6:$AI$102=W107),FALSE),IF(VLOOKUP(J107, 'Fixture Identities'!$A$6:$B$1023, 2, FALSE)="Incandescent",12, 13)), INDEX('Lookup Tables'!$AH$114:$AS$154,MATCH(1,('Lookup Tables'!$AH$114:$AH$154=V107)*('Lookup Tables'!$AI$114:$AI$154=W107),FALSE),12))))), "N")</f>
        <v/>
      </c>
      <c r="BT107" s="184" t="str">
        <f>IF(J107="", "", IF(AND(OR(W107="Freezer case Lighting", W107="Refrigerated Case Lighting with Doors"),'General Information'!$X$18="LCI"), "N", IF(OR(VLOOKUP(J107, 'Fixture Identities'!$A$6:$B$1023, 2, FALSE)="T12 EPACT/EISA Baseline", VLOOKUP(J107, 'Fixture Identities'!$A$6:$B$1023, 2, FALSE)="Linear Fluorescent", VLOOKUP(J107, 'Fixture Identities'!$A$6:$B$1023, 2, FALSE)="U-Tube Fluorescent"), "Y", "N")))</f>
        <v/>
      </c>
      <c r="BU107" s="184" t="str">
        <f>IFERROR(IF(B107="", "", IF(VLOOKUP(J107, 'Fixture Identities'!$A$6:$B$1023, 2, FALSE)="Exit Sign", "Y", "N")), "N")</f>
        <v/>
      </c>
      <c r="BV107" s="184" t="str">
        <f>IF(V107="Exit Signs", IF(VLOOKUP(J107, 'Fixture Identities'!$A$6:$B$1023, 2, FALSE)="Exit Sign", "N", "Y"), "")</f>
        <v/>
      </c>
      <c r="BW107" s="184" t="str">
        <f t="array" ref="BW107">IFERROR(IF(B107="", "", IF(B107="New Construction", "N", INDEX('Lookup Tables'!$AH$6:$AU$102, MATCH(1, ('Lookup Tables'!$AH$6:$AH$102='Lighting Inventory'!V107)*('Lookup Tables'!$AI$6:$AI$102='Lighting Inventory'!W107), 0), 14))), "N")</f>
        <v/>
      </c>
      <c r="BX107" s="598" t="str">
        <f t="shared" si="360"/>
        <v/>
      </c>
      <c r="BY107" s="598" t="str">
        <f t="shared" si="361"/>
        <v/>
      </c>
      <c r="BZ107" s="598" t="str">
        <f t="shared" si="362"/>
        <v/>
      </c>
      <c r="CA107" s="598" t="str">
        <f t="shared" si="363"/>
        <v/>
      </c>
      <c r="CB107" s="269" t="str">
        <f t="shared" si="364"/>
        <v/>
      </c>
      <c r="CC107" s="517" t="str">
        <f t="shared" si="365"/>
        <v/>
      </c>
      <c r="CD107" s="565" t="str">
        <f t="shared" si="305"/>
        <v/>
      </c>
      <c r="CE107" s="368">
        <v>0</v>
      </c>
      <c r="CF107" s="368" t="str" cm="1">
        <f t="array" ref="CF107">IFERROR(IF(V107="Custom", "$0.1 per kWh", IF(B107="New Construction", CONCATENATE("$",INDEX('Lookup Tables'!$AH$114:$AN$154,MATCH(1,('Lookup Tables'!$AH$114:$AH$154='Lighting Inventory'!V107)*('Lookup Tables'!$AI$114:$AI$154='Lighting Inventory'!W107),FALSE),6)," ",INDEX('Lookup Tables'!$AH$114:$AN$154,MATCH(1,('Lookup Tables'!$AH$114:$AH$154='Lighting Inventory'!V107)*('Lookup Tables'!$AI$114:$AI$154='Lighting Inventory'!W107),FALSE),7)), IF(AND(BU107="N", V107="Exit Signs"), "$0.025 per kWh", CONCATENATE("$",INDEX('Lookup Tables'!$AH$6:$AN$102,MATCH(1,('Lookup Tables'!$AH$6:$AH$102='Lighting Inventory'!V107)*('Lookup Tables'!$AI$6:$AI$102='Lighting Inventory'!W107),FALSE),6)," ",INDEX('Lookup Tables'!$AH$6:$AN$102,MATCH(1,('Lookup Tables'!$AH$6:$AH$102='Lighting Inventory'!V107)*('Lookup Tables'!$AI$6:$AI$102='Lighting Inventory'!W107),FALSE),7))))), "")</f>
        <v/>
      </c>
      <c r="CG107" s="366"/>
      <c r="CH107" s="248" t="str">
        <f t="shared" si="306"/>
        <v/>
      </c>
      <c r="CI107" s="248" t="str">
        <f t="shared" si="307"/>
        <v>Select_IE</v>
      </c>
      <c r="CJ107" s="248" t="str">
        <f t="shared" si="308"/>
        <v/>
      </c>
      <c r="CK107" s="248" t="str">
        <f t="shared" si="309"/>
        <v/>
      </c>
      <c r="CL107" s="248" t="str">
        <f t="shared" si="310"/>
        <v/>
      </c>
      <c r="CM107" s="248" t="str">
        <f>IFERROR(IF(B107="", "", IF(B107="New Construction", VLOOKUP(V107, 'Lookup Tables'!$AF$114:$AG$120, 2, FALSE), VLOOKUP(V107, 'Lookup Tables'!$AD$6:$AE$25, 2, FALSE))), "")</f>
        <v/>
      </c>
      <c r="CN107" s="248" t="str">
        <f t="shared" si="311"/>
        <v/>
      </c>
      <c r="CO107" s="248" t="str">
        <f t="shared" si="312"/>
        <v/>
      </c>
      <c r="CP107" s="592" t="str">
        <f t="shared" si="313"/>
        <v/>
      </c>
      <c r="CQ107" s="248" t="str">
        <f t="shared" si="366"/>
        <v/>
      </c>
      <c r="CR107" s="100"/>
      <c r="CS107" s="250" t="str">
        <f t="shared" si="314"/>
        <v/>
      </c>
      <c r="CT107" s="250" t="str">
        <f t="shared" si="367"/>
        <v/>
      </c>
      <c r="CU107" s="250" t="str">
        <f t="shared" si="368"/>
        <v/>
      </c>
      <c r="CV107" s="250" t="str">
        <f t="shared" si="369"/>
        <v/>
      </c>
      <c r="CW107" s="250" t="str">
        <f t="shared" si="370"/>
        <v/>
      </c>
      <c r="CX107" s="250" t="str">
        <f t="shared" si="315"/>
        <v/>
      </c>
      <c r="CY107" s="250" t="str">
        <f t="shared" si="316"/>
        <v/>
      </c>
      <c r="CZ107" s="250" t="str">
        <f t="shared" si="317"/>
        <v/>
      </c>
      <c r="DA107" s="250" t="str">
        <f t="shared" si="318"/>
        <v/>
      </c>
      <c r="DB107" s="250" t="str">
        <f t="shared" si="319"/>
        <v/>
      </c>
      <c r="DC107" s="250" t="str">
        <f t="shared" si="320"/>
        <v/>
      </c>
      <c r="DD107" s="250" t="str">
        <f t="shared" si="321"/>
        <v/>
      </c>
      <c r="DE107" s="250" t="str">
        <f t="shared" si="322"/>
        <v/>
      </c>
      <c r="DF107" s="250" t="str">
        <f t="shared" si="323"/>
        <v/>
      </c>
      <c r="DG107" s="250" t="str">
        <f t="shared" si="324"/>
        <v/>
      </c>
      <c r="DH107" s="250" t="str">
        <f t="shared" si="325"/>
        <v/>
      </c>
      <c r="DI107" s="250" t="str">
        <f t="shared" si="326"/>
        <v/>
      </c>
      <c r="DJ107" s="250" t="str">
        <f t="shared" si="327"/>
        <v/>
      </c>
      <c r="DK107" s="250" t="str">
        <f t="shared" si="328"/>
        <v/>
      </c>
      <c r="DL107" s="250" t="str">
        <f t="shared" si="329"/>
        <v/>
      </c>
      <c r="DM107" s="250" t="str">
        <f>IF(CD107="ERROR", "ERROR", IF(AND(OR(Y107=$DM$6, Y107='Lookup Tables'!$AD$21, Y107='Lookup Tables'!$AD$22), E107="Interior"), BJ107, ""))</f>
        <v/>
      </c>
      <c r="DN107" s="250" t="str">
        <f>IF(CD107="ERROR", "ERROR", IF(AND(OR(Y107=$DM$6, Y107='Lookup Tables'!$AD$21, Y107='Lookup Tables'!$AD$22), E107="Exterior"), BJ107, ""))</f>
        <v/>
      </c>
      <c r="DO107" s="100"/>
      <c r="DP107" s="250" t="str">
        <f t="shared" si="330"/>
        <v/>
      </c>
      <c r="DQ107" s="250" t="str">
        <f t="shared" si="371"/>
        <v/>
      </c>
      <c r="DR107" s="250" t="str">
        <f t="shared" si="372"/>
        <v/>
      </c>
      <c r="DS107" s="250" t="str">
        <f t="shared" si="373"/>
        <v/>
      </c>
      <c r="DT107" s="250" t="str">
        <f t="shared" si="374"/>
        <v/>
      </c>
      <c r="DU107" s="250" t="str">
        <f t="shared" si="331"/>
        <v/>
      </c>
      <c r="DV107" s="250" t="str">
        <f t="shared" si="332"/>
        <v/>
      </c>
      <c r="DW107" s="250" t="str">
        <f t="shared" si="333"/>
        <v/>
      </c>
      <c r="DX107" s="250" t="str">
        <f t="shared" si="334"/>
        <v/>
      </c>
      <c r="DY107" s="250" t="str">
        <f t="shared" si="335"/>
        <v/>
      </c>
      <c r="DZ107" s="250" t="str">
        <f t="shared" si="336"/>
        <v/>
      </c>
      <c r="EA107" s="250" t="str">
        <f t="shared" si="337"/>
        <v/>
      </c>
      <c r="EB107" s="250" t="str">
        <f t="shared" si="375"/>
        <v/>
      </c>
      <c r="EC107" s="250" t="str">
        <f t="shared" si="338"/>
        <v/>
      </c>
      <c r="ED107" s="250" t="str">
        <f t="shared" si="339"/>
        <v/>
      </c>
      <c r="EE107" s="250" t="str">
        <f t="shared" si="340"/>
        <v/>
      </c>
      <c r="EF107" s="250" t="str">
        <f t="shared" si="341"/>
        <v/>
      </c>
      <c r="EG107" s="250" t="str">
        <f t="shared" si="342"/>
        <v/>
      </c>
      <c r="EH107" s="250" t="str">
        <f>IF(CD107="ERROR", "ERROR", IF(AND(OR($EH$6=Y107, Y107='Lookup Tables'!$AD$21, Y107='Lookup Tables'!$AD$22),E107="Interior"), SUM(BP107:BP107), ""))</f>
        <v/>
      </c>
      <c r="EI107" s="250" t="str">
        <f>IF(CD107="ERROR", "ERROR", IF(AND(OR($EH$6=Y107, Y107='Lookup Tables'!$AD$21, Y107='Lookup Tables'!$AD$22),E107="Exterior"), SUM(BP107:BP107), ""))</f>
        <v/>
      </c>
      <c r="EJ107" s="109"/>
      <c r="EK107" s="485" t="str">
        <f t="shared" si="343"/>
        <v/>
      </c>
      <c r="EL107" s="252" t="str">
        <f t="shared" si="376"/>
        <v/>
      </c>
      <c r="EM107" s="252" t="str">
        <f t="shared" si="377"/>
        <v/>
      </c>
      <c r="EN107" s="252" t="str">
        <f t="shared" si="378"/>
        <v/>
      </c>
      <c r="EO107" s="252" t="str">
        <f t="shared" si="379"/>
        <v/>
      </c>
      <c r="EP107" s="252" t="str">
        <f t="shared" si="380"/>
        <v/>
      </c>
      <c r="EQ107" s="252" t="str">
        <f t="shared" si="381"/>
        <v/>
      </c>
      <c r="ER107" s="252" t="str">
        <f t="shared" si="382"/>
        <v/>
      </c>
      <c r="ES107" s="252" t="str">
        <f t="shared" si="383"/>
        <v/>
      </c>
      <c r="ET107" s="252" t="str">
        <f t="shared" si="384"/>
        <v/>
      </c>
      <c r="EU107" s="252" t="str">
        <f t="shared" si="385"/>
        <v/>
      </c>
      <c r="EV107" s="252" t="str">
        <f t="shared" si="386"/>
        <v/>
      </c>
      <c r="EW107" s="252" t="str">
        <f t="shared" si="387"/>
        <v/>
      </c>
      <c r="EX107" s="252" t="str">
        <f t="shared" si="388"/>
        <v/>
      </c>
      <c r="EY107" s="252" t="str">
        <f t="shared" si="389"/>
        <v/>
      </c>
      <c r="EZ107" s="252" t="str">
        <f t="shared" si="390"/>
        <v/>
      </c>
      <c r="FA107" s="252" t="str">
        <f t="shared" si="391"/>
        <v/>
      </c>
      <c r="FB107" s="252" t="str">
        <f t="shared" si="392"/>
        <v/>
      </c>
      <c r="FC107" s="252" t="str">
        <f>IF(CD107="ERROR", "ERROR", IF(OR(V107="No Change", V107="Not DLC or Energy Star"), "", IF(AND(OR($FC$6=Y107,Y107='Lookup Tables'!$AD$21, Y107='Lookup Tables'!$AD$22),E107="Interior"), S107, "")))</f>
        <v/>
      </c>
      <c r="FD107" s="252" t="str">
        <f t="shared" si="393"/>
        <v/>
      </c>
      <c r="FE107" s="101"/>
      <c r="FF107" s="579" t="str" cm="1">
        <f t="array" ref="FF107">IFERROR(IF(OR(BQ107&lt;=0,AQ107&lt;20,AND(V107="Exit Signs",AN107&gt;0)),"",IF(AND(AQ107&gt;=20,AN107='Lookup Tables'!$R$101),'Lookup Tables'!$U$101*BQ107,AP107*LOOKUP(2,1/((AN107='Lookup Tables'!$R$91:$R$111)*(AQ107&gt;='Lookup Tables'!$S$91:$S$111)*(AQ107&lt;='Lookup Tables'!$T$91:$T$111)),'Lookup Tables'!$U$91:$U$111))),"")</f>
        <v/>
      </c>
      <c r="FG107" s="579"/>
      <c r="FH107" s="579"/>
      <c r="FI107" s="253" t="str">
        <f>IFERROR(ROUND(IF(CD107="ERROR", "ERROR", IF(AND($FI$7=X107,E107="Interior"),VLOOKUP(W107, 'Lookup Tables'!$AI$6:$AM$102, 5, FALSE)*BP107, "")), 2), "")</f>
        <v/>
      </c>
      <c r="FJ107" s="253" t="str">
        <f>IFERROR(ROUND(IF(CD107="ERROR", "ERROR", IF(AND($FI$7=X107,E107="Exterior"),VLOOKUP(W107, 'Lookup Tables'!$AI$6:$AM$102, 5, FALSE)*BP107, "")), 2), "")</f>
        <v/>
      </c>
      <c r="FK107" s="253" t="str">
        <f>IFERROR(ROUND(IF(CD107="ERROR", "ERROR", IF(AND($FK$7=X107,E107="Interior"),VLOOKUP(W107, 'Lookup Tables'!$AI$6:$AM$102, 5, FALSE)*BP107, "")), 2), "")</f>
        <v/>
      </c>
      <c r="FL107" s="253" t="str">
        <f>IFERROR(ROUND(IF(CD107="ERROR", "ERROR", IF(AND($FK$7=X107,E107="Exterior"),VLOOKUP(W107, 'Lookup Tables'!$AI$6:$AM$102, 5, FALSE)*BP107, "")), 2), "")</f>
        <v/>
      </c>
      <c r="FM107" s="253" t="str">
        <f>IFERROR(ROUND(IF(CD107="ERROR", "ERROR", IF(AND($FM$6=Y107,E107="Interior"), IF(GB107=0, VLOOKUP(W107, 'Lookup Tables'!$AI$6:$AM$102, 5, FALSE)*BP107, IF(VLOOKUP(W107, 'Lookup Tables'!$AI$6:$AM$102, 5, FALSE)*BP107&gt;GB107*'Lighting Inventory'!S107, GB107*'Lighting Inventory'!S107,VLOOKUP(W107, 'Lookup Tables'!$AI$6:$AM$102, 5, FALSE)*BP107)), "")), 2), "")</f>
        <v/>
      </c>
      <c r="FN107" s="253" t="str">
        <f>IFERROR(ROUND(IF(CD107="ERROR", "ERROR", IF(AND($FM$6=Y107,E107="Exterior"), IF(GB107=0, VLOOKUP(W107, 'Lookup Tables'!$AI$6:$AM$102, 5, FALSE)*BP107, IF(VLOOKUP(W107, 'Lookup Tables'!$AI$6:$AM$102, 5, FALSE)*BP107&gt;GB107*'Lighting Inventory'!S107, GB107*'Lighting Inventory'!S107,VLOOKUP(W107, 'Lookup Tables'!$AI$6:$AM$102, 5, FALSE)*BP107)), "")), 2), "")</f>
        <v/>
      </c>
      <c r="FO107" s="253" t="str">
        <f>IFERROR(ROUND(IF(CD107="ERROR", "ERROR", IF(AND($FO$6=Y107,E107="Interior"),VLOOKUP(W107, 'Lookup Tables'!$AI$6:$AM$102, 5, FALSE)*'Lighting Inventory'!AI107, "")), 2), "")</f>
        <v/>
      </c>
      <c r="FP107" s="253" t="str">
        <f>IFERROR(ROUND(IF(CD107="ERROR", "ERROR", IF(AND($FO$6=Y107,E107="Exterior"),VLOOKUP(W107, 'Lookup Tables'!$AI$6:$AM$102, 5, FALSE)*'Lighting Inventory'!AI107, "")), 2), "")</f>
        <v/>
      </c>
      <c r="FQ107" s="253" t="str">
        <f>IFERROR(ROUND(IF(CD107="ERROR", "ERROR", IF(AND($FQ$6=Y107,E107="Interior", BU107="Y"), VLOOKUP('Lighting Inventory'!W107, 'Lookup Tables'!$AI$6:$AM$102, 5, FALSE)*'Lighting Inventory'!S107, IF(AND($FQ$7=Y107,E107="Interior", BU107="N"), 0.025*CD107, ""))), 2), "")</f>
        <v/>
      </c>
      <c r="FR107" s="253" t="str">
        <f>IFERROR(ROUND(IF(CD107="ERROR", "ERROR", IF(AND($FQ$6=Y107,E107="Exterior"), VLOOKUP('Lighting Inventory'!W107, 'Lookup Tables'!$AI$6:$AM$102, 5, FALSE)*'Lighting Inventory'!S107, "")), 2), "")</f>
        <v/>
      </c>
      <c r="FS107" s="253" t="str">
        <f>IFERROR(ROUND(IF(CD107="ERROR", "ERROR", IF(AND($FS$6=Y107,E107="Exterior"), IF(GB107=0, VLOOKUP(W107, 'Lookup Tables'!$AI$6:$AM$102, 5, FALSE)*BP107, IF(VLOOKUP(W107, 'Lookup Tables'!$AI$6:$AM$102, 5, FALSE)*BP107&gt;GB107*'Lighting Inventory'!S107, GB107*'Lighting Inventory'!S107,VLOOKUP(W107, 'Lookup Tables'!$AI$6:$AM$102, 5, FALSE)*BP107)), "")), 2), "")</f>
        <v/>
      </c>
      <c r="FT107" s="253" t="str">
        <f>IFERROR(ROUND(IF(CD107="ERROR", "ERROR", IF(AND($FT$6=Y107,E107="Interior"), IF(GB107=0, VLOOKUP(W107, 'Lookup Tables'!$AI$6:$AM$102, 5, FALSE)*BP107, IF(VLOOKUP(W107, 'Lookup Tables'!$AI$6:$AM$102, 5, FALSE)*BP107&gt;GB107*'Lighting Inventory'!S107, GB107*'Lighting Inventory'!S107,VLOOKUP(W107, 'Lookup Tables'!$AI$6:$AM$102, 5, FALSE)*BP107)), "")), 2), "")</f>
        <v/>
      </c>
      <c r="FU107" s="253" t="str">
        <f>IFERROR(ROUND(IF(CD107="ERROR", "ERROR", IF(AND(Y107=$FU$6, E107="Interior"), IF(BS107="N", 'Lookup Tables'!$AM$101*BP107, VLOOKUP(W107, 'Lookup Tables'!$AI$6:$AM$102, 5, FALSE)*S107*AD107), "")), 2), "")</f>
        <v/>
      </c>
      <c r="FV107" s="253" t="str">
        <f>IFERROR(ROUND(IF(CD107="ERROR", "ERROR", IF(AND(Y107=$FU$6, E107="Exterior"), IF(BS107="N", 'Lookup Tables'!$AM$101*BP107, VLOOKUP(W107, 'Lookup Tables'!$AI$6:$AM$102, 5, FALSE)*S107*AD107), "")), 2), "")</f>
        <v/>
      </c>
      <c r="FW107" s="253" t="str">
        <f>IFERROR(ROUND(IF(CD107="ERROR", "ERROR", IF($FW$6=Y107, IF(BS107="N", 'Lookup Tables'!$AM$101*BP107, MIN((VLOOKUP(W107, 'Lookup Tables'!$AI$6:$AM$102, 5, FALSE)*BP107),GB107*AJ107)), "")), 2), "")</f>
        <v/>
      </c>
      <c r="FX107" s="253" t="str">
        <f>IFERROR(ROUND(IF(CD107="ERROR", "ERROR", IF(AND($FX$6=Y107, E107="Interior"), IF(VLOOKUP(W107, 'Lookup Tables'!$AI$6:$AM$102, 5, FALSE)*BP107&gt;'Lookup Tables'!$AQ$97*'Lighting Inventory'!S107,'Lighting Inventory'!S107*'Lookup Tables'!$AQ$97,VLOOKUP(W107, 'Lookup Tables'!$AI$6:$AM$102, 5, FALSE)*BP107), "")), 2), "")</f>
        <v/>
      </c>
      <c r="FY107" s="253" t="str">
        <f>IFERROR(ROUND(IF(CD107="ERROR", "ERROR", IF(AND($FX$6=Y107, E107="Exterior"), IF(VLOOKUP(W107, 'Lookup Tables'!$AI$6:$AM$102, 5, FALSE)*BP107&gt;'Lookup Tables'!$AQ$97*'Lighting Inventory'!S107,'Lighting Inventory'!S107*'Lookup Tables'!$AQ$97,VLOOKUP(W107, 'Lookup Tables'!$AI$6:$AM$102, 5, FALSE)*BP107), "")), 2), "")</f>
        <v/>
      </c>
      <c r="FZ107" s="253" t="str">
        <f>IFERROR(ROUND(IF(CD107="ERROR", "ERROR", IF(AND($FZ$6=Y107, E107="Interior"), IF(AND(OR(W107="Refrigerated Case Lighting with Doors", W107="Freezer Case Lighting"),Y107="Custom - Process Improvement"),CD107*'Lookup Tables'!$AM$101, IF(B107="Retrofit", IF(VLOOKUP(IF(V107="Custom", V107, W107), 'Lookup Tables'!$AI$6:$AM$102, 5, FALSE)*BP107&gt;GE107, GE107, VLOOKUP(IF(V107="Custom", V107, W107), 'Lookup Tables'!$AI$6:$AM$102, 5, FALSE)*BP107), IF(VLOOKUP(IF(V107="Custom", V107, W107), 'Lookup Tables'!$AI$114:$AM$154, 5, FALSE)*BP107&gt;GE107, GE107, VLOOKUP(IF(V107="Custom", V107, W107), 'Lookup Tables'!$AI$114:$AM$154, 5, FALSE)*BP107))), "")), 2),"")</f>
        <v/>
      </c>
      <c r="GA107" s="253" t="str">
        <f>IFERROR(ROUND(IF(CD107="ERROR", "ERROR", IF(AND($FZ$6=Y107, E107="Exterior"), IF(B107="Retrofit", IF(VLOOKUP(IF(V107="Custom", V107, W107), 'Lookup Tables'!$AI$6:$AM$102, 5, FALSE)*BP107&gt;GE107, GE107, VLOOKUP(IF(V107="Custom", V107, W107), 'Lookup Tables'!$AI$6:$AM$102, 5, FALSE)*BP107), IF(VLOOKUP(IF(V107="Custom", V107, W107), 'Lookup Tables'!$AI$114:$AM$154, 5, FALSE)*BP107&gt;GE107, GE107, VLOOKUP(IF(V107="Custom", V107, W107), 'Lookup Tables'!$AI$114:$AM$154, 5, FALSE)*BP107)), "")), 2),"")</f>
        <v/>
      </c>
      <c r="GB107" s="254" t="str">
        <f t="array" ref="GB107">IF(B107="","",IF(OR(V107="Custom",V107="No Change"),0,IF(B107="Retrofit", INDEX('Lookup Tables'!$AH$6:$AQ$102,MATCH(1,('Lookup Tables'!$AH$6:$AH$102='Lighting Inventory'!V107)*('Lookup Tables'!$AI$6:$AI$102='Lighting Inventory'!W107),FALSE),10),INDEX('Lookup Tables'!$AH$114:$AQ$154,MATCH(1,('Lookup Tables'!$AH$114:$AH$154='Lighting Inventory'!V107)*('Lookup Tables'!$AI$114:$AI$154='Lighting Inventory'!W107),FALSE),10))))</f>
        <v/>
      </c>
      <c r="GC107" s="255" t="str">
        <f t="shared" si="344"/>
        <v/>
      </c>
      <c r="GD107" s="250" t="str">
        <f t="shared" si="345"/>
        <v/>
      </c>
      <c r="GE107" s="253" t="str">
        <f>IFERROR(IF(AND(AF107="", 'General Information'!$F$18="No"),"", IF(AF107="", ((GD107/$CD$266)*$CF$266)*0.5, AF107*S107*0.5)), "")</f>
        <v/>
      </c>
      <c r="GF107" s="255" t="str">
        <f>IF(AND('General Information'!$F$19="", 'General Information'!$F$18="Yes",AF107="",BW107="Y"), "Y", "N")</f>
        <v>N</v>
      </c>
      <c r="GG107" s="255" t="s">
        <v>2946</v>
      </c>
      <c r="GH107" s="255" t="str">
        <f>IFERROR(IF(B107="", "", VLOOKUP(J107, 'Fixture Identities'!$A$6:$N$908, 14, FALSE)), "")</f>
        <v/>
      </c>
      <c r="GI107" s="389" t="str">
        <f>IF(OR(B107="", V107="", W107=""), "", IF(AND(OR(M107='Lookup Tables'!$R$18, M107='Lookup Tables'!$R$19, M107='Lookup Tables'!$R$20, M107='Lookup Tables'!$R$21, M107='Lookup Tables'!$R$22), OR(AN107='Lookup Tables'!$R$17, AN107='Lookup Tables'!$R$17, AN107="")), "Y", "N"))</f>
        <v/>
      </c>
      <c r="GJ107" s="255" t="str">
        <f t="shared" si="346"/>
        <v/>
      </c>
      <c r="GK107" s="255" t="str">
        <f t="shared" si="347"/>
        <v/>
      </c>
      <c r="GL107" s="255" t="str">
        <f t="shared" si="348"/>
        <v/>
      </c>
      <c r="GM107" s="255" t="str">
        <f>IF(AN107="", "", IF(AND(IF(ISNA(VLOOKUP(AN107,'Lookup Tables'!$R$18:$R$22,1,FALSE)), "N", "Y")="Y", E107="Exterior"), "Y", "N"))</f>
        <v/>
      </c>
      <c r="GN107" s="395"/>
      <c r="GO107" s="428">
        <f t="shared" si="394"/>
        <v>0</v>
      </c>
      <c r="GP107" s="428">
        <f t="shared" si="397"/>
        <v>0</v>
      </c>
      <c r="GQ107" s="428">
        <f t="shared" si="395"/>
        <v>0</v>
      </c>
      <c r="GR107" s="428">
        <f t="shared" si="396"/>
        <v>0</v>
      </c>
    </row>
    <row r="108" spans="1:200" s="103" customFormat="1" ht="13.5" customHeight="1" x14ac:dyDescent="0.2">
      <c r="A108" s="272">
        <v>98</v>
      </c>
      <c r="B108" s="110"/>
      <c r="C108" s="110"/>
      <c r="D108" s="110"/>
      <c r="E108" s="110"/>
      <c r="F108" s="110"/>
      <c r="G108" s="110"/>
      <c r="H108" s="110"/>
      <c r="I108" s="29"/>
      <c r="J108" s="29"/>
      <c r="K108" s="272" t="str">
        <f>IFERROR(IF(OR(VLOOKUP(J108, 'Fixture Identities'!$A$6:$L$1023, 3, FALSE)="T12 Linear Fluorescent", VLOOKUP(J108, 'Fixture Identities'!$A$6:$L$1023, 3, FALSE)="T12 U-Tube Fluorescent"), VLOOKUP(VLOOKUP(J108, 'Fixture Identities'!$A$6:$L$1023, 11, FALSE), 'Fixture Identities'!$A$6:$L$1023, 10, FALSE), VLOOKUP(J108, 'Fixture Identities'!$A$6:$L$1023, 10, FALSE)), "")</f>
        <v/>
      </c>
      <c r="L108" s="270" t="str">
        <f t="shared" si="399"/>
        <v/>
      </c>
      <c r="M108" s="110"/>
      <c r="N108" s="110"/>
      <c r="O108" s="110"/>
      <c r="P108" s="272" t="str">
        <f>IFERROR(IF(OR(B108="Retrofit",B108=""),"",IF('Lighting Inventory'!E108="Exterior",VLOOKUP('Lighting Inventory'!N108,'Lookup Tables'!$B$83:$F$103,5,FALSE),IF(N108="Other - Please Estimate EFLH and CFs","Contact Prog. Rep.","ft^2"))), "")</f>
        <v/>
      </c>
      <c r="Q108" s="270" t="str">
        <f>IFERROR(IF(AND(B108="New Construction",E108="Interior",$F$5="Space-by-Space"),VLOOKUP('Lighting Inventory'!N108,'Lookup Tables'!$N$6:$O$97,2,FALSE),IF(AND(B108="New Construction",E108="Exterior"),VLOOKUP(N108,'Lookup Tables'!$B$83:$F$103,2,FALSE),IF(AND(B108="New Construction",'Lighting Inventory'!E108="Interior", $F$5="Building Area"),VLOOKUP(F108,'Lookup Tables'!$A$6:$J$59,10,FALSE),""))), "")</f>
        <v/>
      </c>
      <c r="R108" s="270" t="str">
        <f>IFERROR(IF(P108="Contact Prog. Rep.", "ERROR", IF(OR(B108="",B108="Retrofit"),"",IF(N108="Automated teller machines", ('Lookup Tables'!$A$82:$E$100+('Lighting Inventory'!O108-1)*'Lookup Tables'!$A$82:$E$100)/1000, (Q108*O108)/1000))), "")</f>
        <v/>
      </c>
      <c r="S108" s="595"/>
      <c r="T108" s="105" t="str">
        <f t="shared" si="349"/>
        <v/>
      </c>
      <c r="U108" s="105" t="str">
        <f>IF(S108="","",COUNT($S$11:S108))</f>
        <v/>
      </c>
      <c r="V108" s="111"/>
      <c r="W108" s="112"/>
      <c r="X108" s="105" t="str">
        <f t="shared" si="350"/>
        <v/>
      </c>
      <c r="Y108" s="105" t="str">
        <f t="array" ref="Y108">IF(AND(OR(W108="Freezer Case Lighting", W108="Refrigerated Case Lighting with Doors"), 'General Information'!$X$18="LCI"),'Lookup Tables'!$Y$34, IF(V108="Custom", VLOOKUP(W108, 'Fixture Identities'!$A$974:$M$1023, 13, FALSE), IF(V108="No Change",'Lookup Tables'!$Y$29,IF(OR(V108="",W108=""),"",IF(AND(S108=0,S108&lt;I108,B108="Retrofit"),'Lookup Tables'!$Y$25, IF(B108="Retrofit", INDEX('Lookup Tables'!$AH$6:$AP$102, MATCH(1, ('Lookup Tables'!$AH$6:$AH$102=V108)*('Lookup Tables'!$AI$6:$AI$102=W108), 0), IF('Lighting Inventory'!E108="Interior", 4, 5)), INDEX('Lookup Tables'!$AH$114:$AP$154, MATCH(1, ('Lookup Tables'!$AH$114:$AH$154=V108)*('Lookup Tables'!$AI$114:$AI$154=W108), 0), IF('Lighting Inventory'!E108="Interior", 4, 5))))))))</f>
        <v/>
      </c>
      <c r="Z108" s="105" t="str">
        <f>IFERROR(INDEX('Lookup Tables'!$AH$158:$AH$172,MATCH('Lighting Inventory'!Y108,'Lookup Tables'!$AI$158:$AI$172,0)),"")</f>
        <v/>
      </c>
      <c r="AA108" s="105" t="str">
        <f>IF(AP108&gt;0,INDEX('Lookup Tables'!$AK$158:$AK$172,MATCH('Lighting Inventory'!Y108,'Lookup Tables'!$AI$158:$AI$172,0)),'Lighting Inventory'!Y108)</f>
        <v/>
      </c>
      <c r="AB108" s="105" t="str">
        <f t="array" ref="AB108">IF(V108="Custom", "Custom", IF(V108="", "", IF(V108="Not DLC or Energy Star", "General", IF(B108="New Construction", INDEX('Lookup Tables'!$AH$114:$AP$154,MATCH(1,('Lookup Tables'!$AH$114:$AH$154='Lighting Inventory'!V108)*('Lookup Tables'!$AI$114:$AI$154='Lighting Inventory'!W108),FALSE),8), INDEX('Lookup Tables'!$AH$6:$AP$102,MATCH(1,('Lookup Tables'!$AH$6:$AH$102='Lighting Inventory'!V108)*('Lookup Tables'!$AI$6:$AI$102='Lighting Inventory'!W108),FALSE),8)))))</f>
        <v/>
      </c>
      <c r="AC108" s="272" t="str">
        <f>IF(W108="","",IF(V108="Custom",CONCATENATE("$",'Lookup Tables'!$AM$101," ",'Lookup Tables'!$AN$101),CONCATENATE("$",INDEX('Lookup Tables'!$AM$6:$AM$102,MATCH('Lighting Inventory'!W108,'Lookup Tables'!$AI$6:$AI$102,0))," ",INDEX('Lookup Tables'!$AN$6:$AN$102,MATCH('Lighting Inventory'!W108,'Lookup Tables'!$AI$6:$AI$102,0)))))</f>
        <v/>
      </c>
      <c r="AD108" s="72"/>
      <c r="AE108" s="29"/>
      <c r="AF108" s="379"/>
      <c r="AG108" s="370" t="str">
        <f t="shared" si="298"/>
        <v/>
      </c>
      <c r="AH108" s="370" t="str">
        <f t="shared" si="351"/>
        <v/>
      </c>
      <c r="AI108" s="29"/>
      <c r="AJ108" s="29"/>
      <c r="AK108" s="110"/>
      <c r="AL108" s="375" t="str">
        <f>IF(OR(B108="", V108="", W108=""), "", IF(V108="No Change", K108, IF(V108="Remove Fixture", 0, IF(V108="Custom",VLOOKUP(W108,'Fixture Identities'!$A$6:$K$1023,10,FALSE),IF(AE108="", "← ENTER POST WATTS", 'Lighting Inventory'!AE108)))))</f>
        <v/>
      </c>
      <c r="AM108" s="376" t="str">
        <f t="shared" si="299"/>
        <v/>
      </c>
      <c r="AN108" s="29"/>
      <c r="AO108" s="671"/>
      <c r="AP108" s="29"/>
      <c r="AQ108" s="29"/>
      <c r="AR108" s="29"/>
      <c r="AS108" s="272" t="str">
        <f t="shared" si="352"/>
        <v/>
      </c>
      <c r="AT108" s="270" t="str">
        <f t="shared" si="300"/>
        <v/>
      </c>
      <c r="AU108" s="88" t="str">
        <f t="shared" si="400"/>
        <v/>
      </c>
      <c r="AV108" s="29"/>
      <c r="AW108" s="73"/>
      <c r="AX108" s="271" t="str">
        <f>IF(AND(AV108="Applicant",OR(AW108="", AW108="Use Default Facility Hours")),"← Choose Schedule",IF(F108="","",IF(W108="LED Exit Signs",8760,IF(OR(AV108="Prescribed",AV108=""),VLOOKUP(F108,'Lookup Tables'!$A$6:$G$59,IF(AB108="General", 6, 3),FALSE),VLOOKUP(AW108,'Lookup Tables'!$S$36:$U$43,2,FALSE)))))</f>
        <v/>
      </c>
      <c r="AY108" s="88" t="str">
        <f t="shared" si="301"/>
        <v/>
      </c>
      <c r="AZ108" s="270" t="str">
        <f>IFERROR(IF(F108="", "", IF(W108="LED Exit Signs", 1, IF(AV108="Applicant",VLOOKUP(AW108, 'Lookup Tables'!$S$36:$U$43,3, FALSE), VLOOKUP('Lighting Inventory'!F108, 'Lookup Tables'!$A$6:$H$59, IF('Lighting Inventory'!AB108="General",7,4), FALSE)))), "")</f>
        <v/>
      </c>
      <c r="BA108" s="522" t="str">
        <f>IFERROR(IF(F108="", "", IF(W108="LED Exit Signs", 1, VLOOKUP('Lighting Inventory'!F108, 'Lookup Tables'!$A$6:$H$59, IF('Lighting Inventory'!AB108="General",8,5), FALSE))), "")</f>
        <v/>
      </c>
      <c r="BB108" s="270" t="str">
        <f>IF(G108="", "", IF(E108="Exterior", 0, IF('Lighting Inventory'!G108="Air Conditioned", VLOOKUP(H108, 'Lookup Tables'!$R$6:$T$13, 2, FALSE), VLOOKUP('Lighting Inventory'!G108, 'Lookup Tables'!$R$6:$T$13, 2, FALSE))))</f>
        <v/>
      </c>
      <c r="BC108" s="522" t="str">
        <f>IF(G108="", "", IF(E108="Exterior", 0, IF('Lighting Inventory'!G108="Air Conditioned", VLOOKUP(H108, 'Lookup Tables'!$R$6:$T$13, 3, FALSE), VLOOKUP('Lighting Inventory'!G108, 'Lookup Tables'!$R$6:$T$13, 3, FALSE))))</f>
        <v/>
      </c>
      <c r="BD108" s="270" t="str">
        <f>IF(G108="", "", IF(E108="Exterior", 0, IF('Lighting Inventory'!G108="Air Conditioned", VLOOKUP(H108, 'Lookup Tables'!$R$6:$U$13, 4, FALSE), VLOOKUP('Lighting Inventory'!G108, 'Lookup Tables'!$R$6:$U$13, 4, FALSE))))</f>
        <v/>
      </c>
      <c r="BE108" s="270" t="str">
        <f>IFERROR(IF(B108="", "",  IF(B108="New Construction", VLOOKUP(F108, 'Lookup Tables'!$A$6:$K$59, 11, FALSE),IF(OR(AN108="", AN108="Light Switch"), 0, IF(OR(M108="",M108="None",V108= "LED Exit Signs"),0,_xlfn.XLOOKUP(M108,'Lookup Tables'!$R$91:$R$101,'Lookup Tables'!$V$91:$V$101))))), "")</f>
        <v/>
      </c>
      <c r="BF108" s="270" t="str">
        <f>IF(AND(OR(AN108="Light Switch",AN108=""),B108="New Construction"), VLOOKUP(F108, 'Lookup Tables'!$A$6:$K$59, 11, FALSE),IF(AN108="","",IF(B108="","",IF(OR(AN108="None",AN108="",V108="LED Exit Signs",AN108="Exterior Controls Not Eligible"),0,_xlfn.XLOOKUP(AN108,'Lookup Tables'!$R$91:$R$101,'Lookup Tables'!$V$91:$V$101)))))</f>
        <v/>
      </c>
      <c r="BG108" s="88" t="str">
        <f t="shared" si="353"/>
        <v/>
      </c>
      <c r="BH108" s="88" t="str">
        <f t="shared" si="354"/>
        <v/>
      </c>
      <c r="BI108" s="558" t="str">
        <f t="shared" si="398"/>
        <v/>
      </c>
      <c r="BJ108" s="82" t="str">
        <f t="shared" si="355"/>
        <v/>
      </c>
      <c r="BK108" s="82" t="str">
        <f t="shared" si="356"/>
        <v/>
      </c>
      <c r="BL108" s="559" t="str">
        <f t="shared" si="357"/>
        <v/>
      </c>
      <c r="BM108" s="521" t="str">
        <f t="shared" si="302"/>
        <v/>
      </c>
      <c r="BN108" s="521" t="str">
        <f t="shared" si="303"/>
        <v/>
      </c>
      <c r="BO108" s="522" t="str">
        <f t="shared" si="304"/>
        <v/>
      </c>
      <c r="BP108" s="83" t="str">
        <f t="shared" si="358"/>
        <v/>
      </c>
      <c r="BQ108" s="84" t="str">
        <f t="shared" si="359"/>
        <v/>
      </c>
      <c r="BR108" s="184" t="str">
        <f>IFERROR(IF(B108="", "", IF(OR(VLOOKUP(J108, 'Fixture Identities'!$A$6:$L$1023, 3, FALSE)="T12 Linear Fluorescent",VLOOKUP(J108, 'Fixture Identities'!$A$6:$L$1023, 3, FALSE)="T12 U-Tube Fluorescent"), "Y", "N")), "N")</f>
        <v/>
      </c>
      <c r="BS108" s="184" t="str">
        <f t="array" ref="BS108">IFERROR(IF(OR(B108="", V108="", W108=""), "", IF(V108="Custom", "N", IF(OR(W108="Freezer Case Lighting", W108="Refrigerated Case Lighting with Doors"), BT108, IF(B108="Retrofit", INDEX('Lookup Tables'!$AH$6:$AT$102,MATCH(1,('Lookup Tables'!$AH$6:$AH$102=V108)*('Lookup Tables'!$AI$6:$AI$102=W108),FALSE),IF(VLOOKUP(J108, 'Fixture Identities'!$A$6:$B$1023, 2, FALSE)="Incandescent",12, 13)), INDEX('Lookup Tables'!$AH$114:$AS$154,MATCH(1,('Lookup Tables'!$AH$114:$AH$154=V108)*('Lookup Tables'!$AI$114:$AI$154=W108),FALSE),12))))), "N")</f>
        <v/>
      </c>
      <c r="BT108" s="184" t="str">
        <f>IF(J108="", "", IF(AND(OR(W108="Freezer case Lighting", W108="Refrigerated Case Lighting with Doors"),'General Information'!$X$18="LCI"), "N", IF(OR(VLOOKUP(J108, 'Fixture Identities'!$A$6:$B$1023, 2, FALSE)="T12 EPACT/EISA Baseline", VLOOKUP(J108, 'Fixture Identities'!$A$6:$B$1023, 2, FALSE)="Linear Fluorescent", VLOOKUP(J108, 'Fixture Identities'!$A$6:$B$1023, 2, FALSE)="U-Tube Fluorescent"), "Y", "N")))</f>
        <v/>
      </c>
      <c r="BU108" s="184" t="str">
        <f>IFERROR(IF(B108="", "", IF(VLOOKUP(J108, 'Fixture Identities'!$A$6:$B$1023, 2, FALSE)="Exit Sign", "Y", "N")), "N")</f>
        <v/>
      </c>
      <c r="BV108" s="184" t="str">
        <f>IF(V108="Exit Signs", IF(VLOOKUP(J108, 'Fixture Identities'!$A$6:$B$1023, 2, FALSE)="Exit Sign", "N", "Y"), "")</f>
        <v/>
      </c>
      <c r="BW108" s="184" t="str">
        <f t="array" ref="BW108">IFERROR(IF(B108="", "", IF(B108="New Construction", "N", INDEX('Lookup Tables'!$AH$6:$AU$102, MATCH(1, ('Lookup Tables'!$AH$6:$AH$102='Lighting Inventory'!V108)*('Lookup Tables'!$AI$6:$AI$102='Lighting Inventory'!W108), 0), 14))), "N")</f>
        <v/>
      </c>
      <c r="BX108" s="598" t="str">
        <f t="shared" si="360"/>
        <v/>
      </c>
      <c r="BY108" s="598" t="str">
        <f t="shared" si="361"/>
        <v/>
      </c>
      <c r="BZ108" s="598" t="str">
        <f t="shared" si="362"/>
        <v/>
      </c>
      <c r="CA108" s="598" t="str">
        <f t="shared" si="363"/>
        <v/>
      </c>
      <c r="CB108" s="269" t="str">
        <f t="shared" si="364"/>
        <v/>
      </c>
      <c r="CC108" s="517" t="str">
        <f t="shared" si="365"/>
        <v/>
      </c>
      <c r="CD108" s="565" t="str">
        <f t="shared" si="305"/>
        <v/>
      </c>
      <c r="CE108" s="368">
        <v>0</v>
      </c>
      <c r="CF108" s="368" t="str" cm="1">
        <f t="array" ref="CF108">IFERROR(IF(V108="Custom", "$0.1 per kWh", IF(B108="New Construction", CONCATENATE("$",INDEX('Lookup Tables'!$AH$114:$AN$154,MATCH(1,('Lookup Tables'!$AH$114:$AH$154='Lighting Inventory'!V108)*('Lookup Tables'!$AI$114:$AI$154='Lighting Inventory'!W108),FALSE),6)," ",INDEX('Lookup Tables'!$AH$114:$AN$154,MATCH(1,('Lookup Tables'!$AH$114:$AH$154='Lighting Inventory'!V108)*('Lookup Tables'!$AI$114:$AI$154='Lighting Inventory'!W108),FALSE),7)), IF(AND(BU108="N", V108="Exit Signs"), "$0.025 per kWh", CONCATENATE("$",INDEX('Lookup Tables'!$AH$6:$AN$102,MATCH(1,('Lookup Tables'!$AH$6:$AH$102='Lighting Inventory'!V108)*('Lookup Tables'!$AI$6:$AI$102='Lighting Inventory'!W108),FALSE),6)," ",INDEX('Lookup Tables'!$AH$6:$AN$102,MATCH(1,('Lookup Tables'!$AH$6:$AH$102='Lighting Inventory'!V108)*('Lookup Tables'!$AI$6:$AI$102='Lighting Inventory'!W108),FALSE),7))))), "")</f>
        <v/>
      </c>
      <c r="CG108" s="366"/>
      <c r="CH108" s="248" t="str">
        <f t="shared" si="306"/>
        <v/>
      </c>
      <c r="CI108" s="248" t="str">
        <f t="shared" si="307"/>
        <v>Select_IE</v>
      </c>
      <c r="CJ108" s="248" t="str">
        <f t="shared" si="308"/>
        <v/>
      </c>
      <c r="CK108" s="248" t="str">
        <f t="shared" si="309"/>
        <v/>
      </c>
      <c r="CL108" s="248" t="str">
        <f t="shared" si="310"/>
        <v/>
      </c>
      <c r="CM108" s="248" t="str">
        <f>IFERROR(IF(B108="", "", IF(B108="New Construction", VLOOKUP(V108, 'Lookup Tables'!$AF$114:$AG$120, 2, FALSE), VLOOKUP(V108, 'Lookup Tables'!$AD$6:$AE$25, 2, FALSE))), "")</f>
        <v/>
      </c>
      <c r="CN108" s="248" t="str">
        <f t="shared" si="311"/>
        <v/>
      </c>
      <c r="CO108" s="248" t="str">
        <f t="shared" si="312"/>
        <v/>
      </c>
      <c r="CP108" s="592" t="str">
        <f t="shared" si="313"/>
        <v/>
      </c>
      <c r="CQ108" s="248" t="str">
        <f t="shared" si="366"/>
        <v/>
      </c>
      <c r="CR108" s="100"/>
      <c r="CS108" s="250" t="str">
        <f t="shared" si="314"/>
        <v/>
      </c>
      <c r="CT108" s="250" t="str">
        <f t="shared" si="367"/>
        <v/>
      </c>
      <c r="CU108" s="250" t="str">
        <f t="shared" si="368"/>
        <v/>
      </c>
      <c r="CV108" s="250" t="str">
        <f t="shared" si="369"/>
        <v/>
      </c>
      <c r="CW108" s="250" t="str">
        <f t="shared" si="370"/>
        <v/>
      </c>
      <c r="CX108" s="250" t="str">
        <f t="shared" si="315"/>
        <v/>
      </c>
      <c r="CY108" s="250" t="str">
        <f t="shared" si="316"/>
        <v/>
      </c>
      <c r="CZ108" s="250" t="str">
        <f t="shared" si="317"/>
        <v/>
      </c>
      <c r="DA108" s="250" t="str">
        <f t="shared" si="318"/>
        <v/>
      </c>
      <c r="DB108" s="250" t="str">
        <f t="shared" si="319"/>
        <v/>
      </c>
      <c r="DC108" s="250" t="str">
        <f t="shared" si="320"/>
        <v/>
      </c>
      <c r="DD108" s="250" t="str">
        <f t="shared" si="321"/>
        <v/>
      </c>
      <c r="DE108" s="250" t="str">
        <f t="shared" si="322"/>
        <v/>
      </c>
      <c r="DF108" s="250" t="str">
        <f t="shared" si="323"/>
        <v/>
      </c>
      <c r="DG108" s="250" t="str">
        <f t="shared" si="324"/>
        <v/>
      </c>
      <c r="DH108" s="250" t="str">
        <f t="shared" si="325"/>
        <v/>
      </c>
      <c r="DI108" s="250" t="str">
        <f t="shared" si="326"/>
        <v/>
      </c>
      <c r="DJ108" s="250" t="str">
        <f t="shared" si="327"/>
        <v/>
      </c>
      <c r="DK108" s="250" t="str">
        <f t="shared" si="328"/>
        <v/>
      </c>
      <c r="DL108" s="250" t="str">
        <f t="shared" si="329"/>
        <v/>
      </c>
      <c r="DM108" s="250" t="str">
        <f>IF(CD108="ERROR", "ERROR", IF(AND(OR(Y108=$DM$6, Y108='Lookup Tables'!$AD$21, Y108='Lookup Tables'!$AD$22), E108="Interior"), BJ108, ""))</f>
        <v/>
      </c>
      <c r="DN108" s="250" t="str">
        <f>IF(CD108="ERROR", "ERROR", IF(AND(OR(Y108=$DM$6, Y108='Lookup Tables'!$AD$21, Y108='Lookup Tables'!$AD$22), E108="Exterior"), BJ108, ""))</f>
        <v/>
      </c>
      <c r="DO108" s="100"/>
      <c r="DP108" s="250" t="str">
        <f t="shared" si="330"/>
        <v/>
      </c>
      <c r="DQ108" s="250" t="str">
        <f t="shared" si="371"/>
        <v/>
      </c>
      <c r="DR108" s="250" t="str">
        <f t="shared" si="372"/>
        <v/>
      </c>
      <c r="DS108" s="250" t="str">
        <f t="shared" si="373"/>
        <v/>
      </c>
      <c r="DT108" s="250" t="str">
        <f t="shared" si="374"/>
        <v/>
      </c>
      <c r="DU108" s="250" t="str">
        <f t="shared" si="331"/>
        <v/>
      </c>
      <c r="DV108" s="250" t="str">
        <f t="shared" si="332"/>
        <v/>
      </c>
      <c r="DW108" s="250" t="str">
        <f t="shared" si="333"/>
        <v/>
      </c>
      <c r="DX108" s="250" t="str">
        <f t="shared" si="334"/>
        <v/>
      </c>
      <c r="DY108" s="250" t="str">
        <f t="shared" si="335"/>
        <v/>
      </c>
      <c r="DZ108" s="250" t="str">
        <f t="shared" si="336"/>
        <v/>
      </c>
      <c r="EA108" s="250" t="str">
        <f t="shared" si="337"/>
        <v/>
      </c>
      <c r="EB108" s="250" t="str">
        <f t="shared" si="375"/>
        <v/>
      </c>
      <c r="EC108" s="250" t="str">
        <f t="shared" si="338"/>
        <v/>
      </c>
      <c r="ED108" s="250" t="str">
        <f t="shared" si="339"/>
        <v/>
      </c>
      <c r="EE108" s="250" t="str">
        <f t="shared" si="340"/>
        <v/>
      </c>
      <c r="EF108" s="250" t="str">
        <f t="shared" si="341"/>
        <v/>
      </c>
      <c r="EG108" s="250" t="str">
        <f t="shared" si="342"/>
        <v/>
      </c>
      <c r="EH108" s="250" t="str">
        <f>IF(CD108="ERROR", "ERROR", IF(AND(OR($EH$6=Y108, Y108='Lookup Tables'!$AD$21, Y108='Lookup Tables'!$AD$22),E108="Interior"), SUM(BP108:BP108), ""))</f>
        <v/>
      </c>
      <c r="EI108" s="250" t="str">
        <f>IF(CD108="ERROR", "ERROR", IF(AND(OR($EH$6=Y108, Y108='Lookup Tables'!$AD$21, Y108='Lookup Tables'!$AD$22),E108="Exterior"), SUM(BP108:BP108), ""))</f>
        <v/>
      </c>
      <c r="EJ108" s="109"/>
      <c r="EK108" s="485" t="str">
        <f t="shared" si="343"/>
        <v/>
      </c>
      <c r="EL108" s="252" t="str">
        <f t="shared" si="376"/>
        <v/>
      </c>
      <c r="EM108" s="252" t="str">
        <f t="shared" si="377"/>
        <v/>
      </c>
      <c r="EN108" s="252" t="str">
        <f t="shared" si="378"/>
        <v/>
      </c>
      <c r="EO108" s="252" t="str">
        <f t="shared" si="379"/>
        <v/>
      </c>
      <c r="EP108" s="252" t="str">
        <f t="shared" si="380"/>
        <v/>
      </c>
      <c r="EQ108" s="252" t="str">
        <f t="shared" si="381"/>
        <v/>
      </c>
      <c r="ER108" s="252" t="str">
        <f t="shared" si="382"/>
        <v/>
      </c>
      <c r="ES108" s="252" t="str">
        <f t="shared" si="383"/>
        <v/>
      </c>
      <c r="ET108" s="252" t="str">
        <f t="shared" si="384"/>
        <v/>
      </c>
      <c r="EU108" s="252" t="str">
        <f t="shared" si="385"/>
        <v/>
      </c>
      <c r="EV108" s="252" t="str">
        <f t="shared" si="386"/>
        <v/>
      </c>
      <c r="EW108" s="252" t="str">
        <f t="shared" si="387"/>
        <v/>
      </c>
      <c r="EX108" s="252" t="str">
        <f t="shared" si="388"/>
        <v/>
      </c>
      <c r="EY108" s="252" t="str">
        <f t="shared" si="389"/>
        <v/>
      </c>
      <c r="EZ108" s="252" t="str">
        <f t="shared" si="390"/>
        <v/>
      </c>
      <c r="FA108" s="252" t="str">
        <f t="shared" si="391"/>
        <v/>
      </c>
      <c r="FB108" s="252" t="str">
        <f t="shared" si="392"/>
        <v/>
      </c>
      <c r="FC108" s="252" t="str">
        <f>IF(CD108="ERROR", "ERROR", IF(OR(V108="No Change", V108="Not DLC or Energy Star"), "", IF(AND(OR($FC$6=Y108,Y108='Lookup Tables'!$AD$21, Y108='Lookup Tables'!$AD$22),E108="Interior"), S108, "")))</f>
        <v/>
      </c>
      <c r="FD108" s="252" t="str">
        <f t="shared" si="393"/>
        <v/>
      </c>
      <c r="FE108" s="101"/>
      <c r="FF108" s="579" t="str" cm="1">
        <f t="array" ref="FF108">IFERROR(IF(OR(BQ108&lt;=0,AQ108&lt;20,AND(V108="Exit Signs",AN108&gt;0)),"",IF(AND(AQ108&gt;=20,AN108='Lookup Tables'!$R$101),'Lookup Tables'!$U$101*BQ108,AP108*LOOKUP(2,1/((AN108='Lookup Tables'!$R$91:$R$111)*(AQ108&gt;='Lookup Tables'!$S$91:$S$111)*(AQ108&lt;='Lookup Tables'!$T$91:$T$111)),'Lookup Tables'!$U$91:$U$111))),"")</f>
        <v/>
      </c>
      <c r="FG108" s="579"/>
      <c r="FH108" s="579"/>
      <c r="FI108" s="253" t="str">
        <f>IFERROR(ROUND(IF(CD108="ERROR", "ERROR", IF(AND($FI$7=X108,E108="Interior"),VLOOKUP(W108, 'Lookup Tables'!$AI$6:$AM$102, 5, FALSE)*BP108, "")), 2), "")</f>
        <v/>
      </c>
      <c r="FJ108" s="253" t="str">
        <f>IFERROR(ROUND(IF(CD108="ERROR", "ERROR", IF(AND($FI$7=X108,E108="Exterior"),VLOOKUP(W108, 'Lookup Tables'!$AI$6:$AM$102, 5, FALSE)*BP108, "")), 2), "")</f>
        <v/>
      </c>
      <c r="FK108" s="253" t="str">
        <f>IFERROR(ROUND(IF(CD108="ERROR", "ERROR", IF(AND($FK$7=X108,E108="Interior"),VLOOKUP(W108, 'Lookup Tables'!$AI$6:$AM$102, 5, FALSE)*BP108, "")), 2), "")</f>
        <v/>
      </c>
      <c r="FL108" s="253" t="str">
        <f>IFERROR(ROUND(IF(CD108="ERROR", "ERROR", IF(AND($FK$7=X108,E108="Exterior"),VLOOKUP(W108, 'Lookup Tables'!$AI$6:$AM$102, 5, FALSE)*BP108, "")), 2), "")</f>
        <v/>
      </c>
      <c r="FM108" s="253" t="str">
        <f>IFERROR(ROUND(IF(CD108="ERROR", "ERROR", IF(AND($FM$6=Y108,E108="Interior"), IF(GB108=0, VLOOKUP(W108, 'Lookup Tables'!$AI$6:$AM$102, 5, FALSE)*BP108, IF(VLOOKUP(W108, 'Lookup Tables'!$AI$6:$AM$102, 5, FALSE)*BP108&gt;GB108*'Lighting Inventory'!S108, GB108*'Lighting Inventory'!S108,VLOOKUP(W108, 'Lookup Tables'!$AI$6:$AM$102, 5, FALSE)*BP108)), "")), 2), "")</f>
        <v/>
      </c>
      <c r="FN108" s="253" t="str">
        <f>IFERROR(ROUND(IF(CD108="ERROR", "ERROR", IF(AND($FM$6=Y108,E108="Exterior"), IF(GB108=0, VLOOKUP(W108, 'Lookup Tables'!$AI$6:$AM$102, 5, FALSE)*BP108, IF(VLOOKUP(W108, 'Lookup Tables'!$AI$6:$AM$102, 5, FALSE)*BP108&gt;GB108*'Lighting Inventory'!S108, GB108*'Lighting Inventory'!S108,VLOOKUP(W108, 'Lookup Tables'!$AI$6:$AM$102, 5, FALSE)*BP108)), "")), 2), "")</f>
        <v/>
      </c>
      <c r="FO108" s="253" t="str">
        <f>IFERROR(ROUND(IF(CD108="ERROR", "ERROR", IF(AND($FO$6=Y108,E108="Interior"),VLOOKUP(W108, 'Lookup Tables'!$AI$6:$AM$102, 5, FALSE)*'Lighting Inventory'!AI108, "")), 2), "")</f>
        <v/>
      </c>
      <c r="FP108" s="253" t="str">
        <f>IFERROR(ROUND(IF(CD108="ERROR", "ERROR", IF(AND($FO$6=Y108,E108="Exterior"),VLOOKUP(W108, 'Lookup Tables'!$AI$6:$AM$102, 5, FALSE)*'Lighting Inventory'!AI108, "")), 2), "")</f>
        <v/>
      </c>
      <c r="FQ108" s="253" t="str">
        <f>IFERROR(ROUND(IF(CD108="ERROR", "ERROR", IF(AND($FQ$6=Y108,E108="Interior", BU108="Y"), VLOOKUP('Lighting Inventory'!W108, 'Lookup Tables'!$AI$6:$AM$102, 5, FALSE)*'Lighting Inventory'!S108, IF(AND($FQ$7=Y108,E108="Interior", BU108="N"), 0.025*CD108, ""))), 2), "")</f>
        <v/>
      </c>
      <c r="FR108" s="253" t="str">
        <f>IFERROR(ROUND(IF(CD108="ERROR", "ERROR", IF(AND($FQ$6=Y108,E108="Exterior"), VLOOKUP('Lighting Inventory'!W108, 'Lookup Tables'!$AI$6:$AM$102, 5, FALSE)*'Lighting Inventory'!S108, "")), 2), "")</f>
        <v/>
      </c>
      <c r="FS108" s="253" t="str">
        <f>IFERROR(ROUND(IF(CD108="ERROR", "ERROR", IF(AND($FS$6=Y108,E108="Exterior"), IF(GB108=0, VLOOKUP(W108, 'Lookup Tables'!$AI$6:$AM$102, 5, FALSE)*BP108, IF(VLOOKUP(W108, 'Lookup Tables'!$AI$6:$AM$102, 5, FALSE)*BP108&gt;GB108*'Lighting Inventory'!S108, GB108*'Lighting Inventory'!S108,VLOOKUP(W108, 'Lookup Tables'!$AI$6:$AM$102, 5, FALSE)*BP108)), "")), 2), "")</f>
        <v/>
      </c>
      <c r="FT108" s="253" t="str">
        <f>IFERROR(ROUND(IF(CD108="ERROR", "ERROR", IF(AND($FT$6=Y108,E108="Interior"), IF(GB108=0, VLOOKUP(W108, 'Lookup Tables'!$AI$6:$AM$102, 5, FALSE)*BP108, IF(VLOOKUP(W108, 'Lookup Tables'!$AI$6:$AM$102, 5, FALSE)*BP108&gt;GB108*'Lighting Inventory'!S108, GB108*'Lighting Inventory'!S108,VLOOKUP(W108, 'Lookup Tables'!$AI$6:$AM$102, 5, FALSE)*BP108)), "")), 2), "")</f>
        <v/>
      </c>
      <c r="FU108" s="253" t="str">
        <f>IFERROR(ROUND(IF(CD108="ERROR", "ERROR", IF(AND(Y108=$FU$6, E108="Interior"), IF(BS108="N", 'Lookup Tables'!$AM$101*BP108, VLOOKUP(W108, 'Lookup Tables'!$AI$6:$AM$102, 5, FALSE)*S108*AD108), "")), 2), "")</f>
        <v/>
      </c>
      <c r="FV108" s="253" t="str">
        <f>IFERROR(ROUND(IF(CD108="ERROR", "ERROR", IF(AND(Y108=$FU$6, E108="Exterior"), IF(BS108="N", 'Lookup Tables'!$AM$101*BP108, VLOOKUP(W108, 'Lookup Tables'!$AI$6:$AM$102, 5, FALSE)*S108*AD108), "")), 2), "")</f>
        <v/>
      </c>
      <c r="FW108" s="253" t="str">
        <f>IFERROR(ROUND(IF(CD108="ERROR", "ERROR", IF($FW$6=Y108, IF(BS108="N", 'Lookup Tables'!$AM$101*BP108, MIN((VLOOKUP(W108, 'Lookup Tables'!$AI$6:$AM$102, 5, FALSE)*BP108),GB108*AJ108)), "")), 2), "")</f>
        <v/>
      </c>
      <c r="FX108" s="253" t="str">
        <f>IFERROR(ROUND(IF(CD108="ERROR", "ERROR", IF(AND($FX$6=Y108, E108="Interior"), IF(VLOOKUP(W108, 'Lookup Tables'!$AI$6:$AM$102, 5, FALSE)*BP108&gt;'Lookup Tables'!$AQ$97*'Lighting Inventory'!S108,'Lighting Inventory'!S108*'Lookup Tables'!$AQ$97,VLOOKUP(W108, 'Lookup Tables'!$AI$6:$AM$102, 5, FALSE)*BP108), "")), 2), "")</f>
        <v/>
      </c>
      <c r="FY108" s="253" t="str">
        <f>IFERROR(ROUND(IF(CD108="ERROR", "ERROR", IF(AND($FX$6=Y108, E108="Exterior"), IF(VLOOKUP(W108, 'Lookup Tables'!$AI$6:$AM$102, 5, FALSE)*BP108&gt;'Lookup Tables'!$AQ$97*'Lighting Inventory'!S108,'Lighting Inventory'!S108*'Lookup Tables'!$AQ$97,VLOOKUP(W108, 'Lookup Tables'!$AI$6:$AM$102, 5, FALSE)*BP108), "")), 2), "")</f>
        <v/>
      </c>
      <c r="FZ108" s="253" t="str">
        <f>IFERROR(ROUND(IF(CD108="ERROR", "ERROR", IF(AND($FZ$6=Y108, E108="Interior"), IF(AND(OR(W108="Refrigerated Case Lighting with Doors", W108="Freezer Case Lighting"),Y108="Custom - Process Improvement"),CD108*'Lookup Tables'!$AM$101, IF(B108="Retrofit", IF(VLOOKUP(IF(V108="Custom", V108, W108), 'Lookup Tables'!$AI$6:$AM$102, 5, FALSE)*BP108&gt;GE108, GE108, VLOOKUP(IF(V108="Custom", V108, W108), 'Lookup Tables'!$AI$6:$AM$102, 5, FALSE)*BP108), IF(VLOOKUP(IF(V108="Custom", V108, W108), 'Lookup Tables'!$AI$114:$AM$154, 5, FALSE)*BP108&gt;GE108, GE108, VLOOKUP(IF(V108="Custom", V108, W108), 'Lookup Tables'!$AI$114:$AM$154, 5, FALSE)*BP108))), "")), 2),"")</f>
        <v/>
      </c>
      <c r="GA108" s="253" t="str">
        <f>IFERROR(ROUND(IF(CD108="ERROR", "ERROR", IF(AND($FZ$6=Y108, E108="Exterior"), IF(B108="Retrofit", IF(VLOOKUP(IF(V108="Custom", V108, W108), 'Lookup Tables'!$AI$6:$AM$102, 5, FALSE)*BP108&gt;GE108, GE108, VLOOKUP(IF(V108="Custom", V108, W108), 'Lookup Tables'!$AI$6:$AM$102, 5, FALSE)*BP108), IF(VLOOKUP(IF(V108="Custom", V108, W108), 'Lookup Tables'!$AI$114:$AM$154, 5, FALSE)*BP108&gt;GE108, GE108, VLOOKUP(IF(V108="Custom", V108, W108), 'Lookup Tables'!$AI$114:$AM$154, 5, FALSE)*BP108)), "")), 2),"")</f>
        <v/>
      </c>
      <c r="GB108" s="254" t="str">
        <f t="array" ref="GB108">IF(B108="","",IF(OR(V108="Custom",V108="No Change"),0,IF(B108="Retrofit", INDEX('Lookup Tables'!$AH$6:$AQ$102,MATCH(1,('Lookup Tables'!$AH$6:$AH$102='Lighting Inventory'!V108)*('Lookup Tables'!$AI$6:$AI$102='Lighting Inventory'!W108),FALSE),10),INDEX('Lookup Tables'!$AH$114:$AQ$154,MATCH(1,('Lookup Tables'!$AH$114:$AH$154='Lighting Inventory'!V108)*('Lookup Tables'!$AI$114:$AI$154='Lighting Inventory'!W108),FALSE),10))))</f>
        <v/>
      </c>
      <c r="GC108" s="255" t="str">
        <f t="shared" si="344"/>
        <v/>
      </c>
      <c r="GD108" s="250" t="str">
        <f t="shared" si="345"/>
        <v/>
      </c>
      <c r="GE108" s="253" t="str">
        <f>IFERROR(IF(AND(AF108="", 'General Information'!$F$18="No"),"", IF(AF108="", ((GD108/$CD$266)*$CF$266)*0.5, AF108*S108*0.5)), "")</f>
        <v/>
      </c>
      <c r="GF108" s="255" t="str">
        <f>IF(AND('General Information'!$F$19="", 'General Information'!$F$18="Yes",AF108="",BW108="Y"), "Y", "N")</f>
        <v>N</v>
      </c>
      <c r="GG108" s="255" t="s">
        <v>2946</v>
      </c>
      <c r="GH108" s="255" t="str">
        <f>IFERROR(IF(B108="", "", VLOOKUP(J108, 'Fixture Identities'!$A$6:$N$908, 14, FALSE)), "")</f>
        <v/>
      </c>
      <c r="GI108" s="389" t="str">
        <f>IF(OR(B108="", V108="", W108=""), "", IF(AND(OR(M108='Lookup Tables'!$R$18, M108='Lookup Tables'!$R$19, M108='Lookup Tables'!$R$20, M108='Lookup Tables'!$R$21, M108='Lookup Tables'!$R$22), OR(AN108='Lookup Tables'!$R$17, AN108='Lookup Tables'!$R$17, AN108="")), "Y", "N"))</f>
        <v/>
      </c>
      <c r="GJ108" s="255" t="str">
        <f t="shared" si="346"/>
        <v/>
      </c>
      <c r="GK108" s="255" t="str">
        <f t="shared" si="347"/>
        <v/>
      </c>
      <c r="GL108" s="255" t="str">
        <f t="shared" si="348"/>
        <v/>
      </c>
      <c r="GM108" s="255" t="str">
        <f>IF(AN108="", "", IF(AND(IF(ISNA(VLOOKUP(AN108,'Lookup Tables'!$R$18:$R$22,1,FALSE)), "N", "Y")="Y", E108="Exterior"), "Y", "N"))</f>
        <v/>
      </c>
      <c r="GN108" s="395"/>
      <c r="GO108" s="428">
        <f t="shared" si="394"/>
        <v>0</v>
      </c>
      <c r="GP108" s="428">
        <f t="shared" si="397"/>
        <v>0</v>
      </c>
      <c r="GQ108" s="428">
        <f t="shared" si="395"/>
        <v>0</v>
      </c>
      <c r="GR108" s="428">
        <f t="shared" si="396"/>
        <v>0</v>
      </c>
    </row>
    <row r="109" spans="1:200" s="103" customFormat="1" ht="13.5" customHeight="1" x14ac:dyDescent="0.2">
      <c r="A109" s="272">
        <v>99</v>
      </c>
      <c r="B109" s="110"/>
      <c r="C109" s="110"/>
      <c r="D109" s="110"/>
      <c r="E109" s="110"/>
      <c r="F109" s="110"/>
      <c r="G109" s="110"/>
      <c r="H109" s="110"/>
      <c r="I109" s="29"/>
      <c r="J109" s="29"/>
      <c r="K109" s="272" t="str">
        <f>IFERROR(IF(OR(VLOOKUP(J109, 'Fixture Identities'!$A$6:$L$1023, 3, FALSE)="T12 Linear Fluorescent", VLOOKUP(J109, 'Fixture Identities'!$A$6:$L$1023, 3, FALSE)="T12 U-Tube Fluorescent"), VLOOKUP(VLOOKUP(J109, 'Fixture Identities'!$A$6:$L$1023, 11, FALSE), 'Fixture Identities'!$A$6:$L$1023, 10, FALSE), VLOOKUP(J109, 'Fixture Identities'!$A$6:$L$1023, 10, FALSE)), "")</f>
        <v/>
      </c>
      <c r="L109" s="270" t="str">
        <f t="shared" si="399"/>
        <v/>
      </c>
      <c r="M109" s="110"/>
      <c r="N109" s="110"/>
      <c r="O109" s="110"/>
      <c r="P109" s="272" t="str">
        <f>IFERROR(IF(OR(B109="Retrofit",B109=""),"",IF('Lighting Inventory'!E109="Exterior",VLOOKUP('Lighting Inventory'!N109,'Lookup Tables'!$B$83:$F$103,5,FALSE),IF(N109="Other - Please Estimate EFLH and CFs","Contact Prog. Rep.","ft^2"))), "")</f>
        <v/>
      </c>
      <c r="Q109" s="270" t="str">
        <f>IFERROR(IF(AND(B109="New Construction",E109="Interior",$F$5="Space-by-Space"),VLOOKUP('Lighting Inventory'!N109,'Lookup Tables'!$N$6:$O$97,2,FALSE),IF(AND(B109="New Construction",E109="Exterior"),VLOOKUP(N109,'Lookup Tables'!$B$83:$F$103,2,FALSE),IF(AND(B109="New Construction",'Lighting Inventory'!E109="Interior", $F$5="Building Area"),VLOOKUP(F109,'Lookup Tables'!$A$6:$J$59,10,FALSE),""))), "")</f>
        <v/>
      </c>
      <c r="R109" s="270" t="str">
        <f>IFERROR(IF(P109="Contact Prog. Rep.", "ERROR", IF(OR(B109="",B109="Retrofit"),"",IF(N109="Automated teller machines", ('Lookup Tables'!$A$82:$E$100+('Lighting Inventory'!O109-1)*'Lookup Tables'!$A$82:$E$100)/1000, (Q109*O109)/1000))), "")</f>
        <v/>
      </c>
      <c r="S109" s="595"/>
      <c r="T109" s="105" t="str">
        <f t="shared" si="349"/>
        <v/>
      </c>
      <c r="U109" s="105" t="str">
        <f>IF(S109="","",COUNT($S$11:S109))</f>
        <v/>
      </c>
      <c r="V109" s="111"/>
      <c r="W109" s="112"/>
      <c r="X109" s="105" t="str">
        <f t="shared" si="350"/>
        <v/>
      </c>
      <c r="Y109" s="105" t="str">
        <f t="array" ref="Y109">IF(AND(OR(W109="Freezer Case Lighting", W109="Refrigerated Case Lighting with Doors"), 'General Information'!$X$18="LCI"),'Lookup Tables'!$Y$34, IF(V109="Custom", VLOOKUP(W109, 'Fixture Identities'!$A$974:$M$1023, 13, FALSE), IF(V109="No Change",'Lookup Tables'!$Y$29,IF(OR(V109="",W109=""),"",IF(AND(S109=0,S109&lt;I109,B109="Retrofit"),'Lookup Tables'!$Y$25, IF(B109="Retrofit", INDEX('Lookup Tables'!$AH$6:$AP$102, MATCH(1, ('Lookup Tables'!$AH$6:$AH$102=V109)*('Lookup Tables'!$AI$6:$AI$102=W109), 0), IF('Lighting Inventory'!E109="Interior", 4, 5)), INDEX('Lookup Tables'!$AH$114:$AP$154, MATCH(1, ('Lookup Tables'!$AH$114:$AH$154=V109)*('Lookup Tables'!$AI$114:$AI$154=W109), 0), IF('Lighting Inventory'!E109="Interior", 4, 5))))))))</f>
        <v/>
      </c>
      <c r="Z109" s="105" t="str">
        <f>IFERROR(INDEX('Lookup Tables'!$AH$158:$AH$172,MATCH('Lighting Inventory'!Y109,'Lookup Tables'!$AI$158:$AI$172,0)),"")</f>
        <v/>
      </c>
      <c r="AA109" s="105" t="str">
        <f>IF(AP109&gt;0,INDEX('Lookup Tables'!$AK$158:$AK$172,MATCH('Lighting Inventory'!Y109,'Lookup Tables'!$AI$158:$AI$172,0)),'Lighting Inventory'!Y109)</f>
        <v/>
      </c>
      <c r="AB109" s="105" t="str">
        <f t="array" ref="AB109">IF(V109="Custom", "Custom", IF(V109="", "", IF(V109="Not DLC or Energy Star", "General", IF(B109="New Construction", INDEX('Lookup Tables'!$AH$114:$AP$154,MATCH(1,('Lookup Tables'!$AH$114:$AH$154='Lighting Inventory'!V109)*('Lookup Tables'!$AI$114:$AI$154='Lighting Inventory'!W109),FALSE),8), INDEX('Lookup Tables'!$AH$6:$AP$102,MATCH(1,('Lookup Tables'!$AH$6:$AH$102='Lighting Inventory'!V109)*('Lookup Tables'!$AI$6:$AI$102='Lighting Inventory'!W109),FALSE),8)))))</f>
        <v/>
      </c>
      <c r="AC109" s="272" t="str">
        <f>IF(W109="","",IF(V109="Custom",CONCATENATE("$",'Lookup Tables'!$AM$101," ",'Lookup Tables'!$AN$101),CONCATENATE("$",INDEX('Lookup Tables'!$AM$6:$AM$102,MATCH('Lighting Inventory'!W109,'Lookup Tables'!$AI$6:$AI$102,0))," ",INDEX('Lookup Tables'!$AN$6:$AN$102,MATCH('Lighting Inventory'!W109,'Lookup Tables'!$AI$6:$AI$102,0)))))</f>
        <v/>
      </c>
      <c r="AD109" s="72"/>
      <c r="AE109" s="29"/>
      <c r="AF109" s="379"/>
      <c r="AG109" s="370" t="str">
        <f t="shared" si="298"/>
        <v/>
      </c>
      <c r="AH109" s="370" t="str">
        <f t="shared" si="351"/>
        <v/>
      </c>
      <c r="AI109" s="29"/>
      <c r="AJ109" s="29"/>
      <c r="AK109" s="110"/>
      <c r="AL109" s="375" t="str">
        <f>IF(OR(B109="", V109="", W109=""), "", IF(V109="No Change", K109, IF(V109="Remove Fixture", 0, IF(V109="Custom",VLOOKUP(W109,'Fixture Identities'!$A$6:$K$1023,10,FALSE),IF(AE109="", "← ENTER POST WATTS", 'Lighting Inventory'!AE109)))))</f>
        <v/>
      </c>
      <c r="AM109" s="376" t="str">
        <f t="shared" si="299"/>
        <v/>
      </c>
      <c r="AN109" s="29"/>
      <c r="AO109" s="671"/>
      <c r="AP109" s="29"/>
      <c r="AQ109" s="29"/>
      <c r="AR109" s="29"/>
      <c r="AS109" s="272" t="str">
        <f t="shared" si="352"/>
        <v/>
      </c>
      <c r="AT109" s="270" t="str">
        <f t="shared" si="300"/>
        <v/>
      </c>
      <c r="AU109" s="88" t="str">
        <f t="shared" si="400"/>
        <v/>
      </c>
      <c r="AV109" s="29"/>
      <c r="AW109" s="73"/>
      <c r="AX109" s="271" t="str">
        <f>IF(AND(AV109="Applicant",OR(AW109="", AW109="Use Default Facility Hours")),"← Choose Schedule",IF(F109="","",IF(W109="LED Exit Signs",8760,IF(OR(AV109="Prescribed",AV109=""),VLOOKUP(F109,'Lookup Tables'!$A$6:$G$59,IF(AB109="General", 6, 3),FALSE),VLOOKUP(AW109,'Lookup Tables'!$S$36:$U$43,2,FALSE)))))</f>
        <v/>
      </c>
      <c r="AY109" s="88" t="str">
        <f t="shared" si="301"/>
        <v/>
      </c>
      <c r="AZ109" s="270" t="str">
        <f>IFERROR(IF(F109="", "", IF(W109="LED Exit Signs", 1, IF(AV109="Applicant",VLOOKUP(AW109, 'Lookup Tables'!$S$36:$U$43,3, FALSE), VLOOKUP('Lighting Inventory'!F109, 'Lookup Tables'!$A$6:$H$59, IF('Lighting Inventory'!AB109="General",7,4), FALSE)))), "")</f>
        <v/>
      </c>
      <c r="BA109" s="522" t="str">
        <f>IFERROR(IF(F109="", "", IF(W109="LED Exit Signs", 1, VLOOKUP('Lighting Inventory'!F109, 'Lookup Tables'!$A$6:$H$59, IF('Lighting Inventory'!AB109="General",8,5), FALSE))), "")</f>
        <v/>
      </c>
      <c r="BB109" s="270" t="str">
        <f>IF(G109="", "", IF(E109="Exterior", 0, IF('Lighting Inventory'!G109="Air Conditioned", VLOOKUP(H109, 'Lookup Tables'!$R$6:$T$13, 2, FALSE), VLOOKUP('Lighting Inventory'!G109, 'Lookup Tables'!$R$6:$T$13, 2, FALSE))))</f>
        <v/>
      </c>
      <c r="BC109" s="522" t="str">
        <f>IF(G109="", "", IF(E109="Exterior", 0, IF('Lighting Inventory'!G109="Air Conditioned", VLOOKUP(H109, 'Lookup Tables'!$R$6:$T$13, 3, FALSE), VLOOKUP('Lighting Inventory'!G109, 'Lookup Tables'!$R$6:$T$13, 3, FALSE))))</f>
        <v/>
      </c>
      <c r="BD109" s="270" t="str">
        <f>IF(G109="", "", IF(E109="Exterior", 0, IF('Lighting Inventory'!G109="Air Conditioned", VLOOKUP(H109, 'Lookup Tables'!$R$6:$U$13, 4, FALSE), VLOOKUP('Lighting Inventory'!G109, 'Lookup Tables'!$R$6:$U$13, 4, FALSE))))</f>
        <v/>
      </c>
      <c r="BE109" s="270" t="str">
        <f>IFERROR(IF(B109="", "",  IF(B109="New Construction", VLOOKUP(F109, 'Lookup Tables'!$A$6:$K$59, 11, FALSE),IF(OR(AN109="", AN109="Light Switch"), 0, IF(OR(M109="",M109="None",V109= "LED Exit Signs"),0,_xlfn.XLOOKUP(M109,'Lookup Tables'!$R$91:$R$101,'Lookup Tables'!$V$91:$V$101))))), "")</f>
        <v/>
      </c>
      <c r="BF109" s="270" t="str">
        <f>IF(AND(OR(AN109="Light Switch",AN109=""),B109="New Construction"), VLOOKUP(F109, 'Lookup Tables'!$A$6:$K$59, 11, FALSE),IF(AN109="","",IF(B109="","",IF(OR(AN109="None",AN109="",V109="LED Exit Signs",AN109="Exterior Controls Not Eligible"),0,_xlfn.XLOOKUP(AN109,'Lookup Tables'!$R$91:$R$101,'Lookup Tables'!$V$91:$V$101)))))</f>
        <v/>
      </c>
      <c r="BG109" s="88" t="str">
        <f t="shared" si="353"/>
        <v/>
      </c>
      <c r="BH109" s="88" t="str">
        <f t="shared" si="354"/>
        <v/>
      </c>
      <c r="BI109" s="558" t="str">
        <f t="shared" si="398"/>
        <v/>
      </c>
      <c r="BJ109" s="82" t="str">
        <f t="shared" si="355"/>
        <v/>
      </c>
      <c r="BK109" s="82" t="str">
        <f t="shared" si="356"/>
        <v/>
      </c>
      <c r="BL109" s="559" t="str">
        <f t="shared" si="357"/>
        <v/>
      </c>
      <c r="BM109" s="521" t="str">
        <f t="shared" si="302"/>
        <v/>
      </c>
      <c r="BN109" s="521" t="str">
        <f t="shared" si="303"/>
        <v/>
      </c>
      <c r="BO109" s="522" t="str">
        <f t="shared" si="304"/>
        <v/>
      </c>
      <c r="BP109" s="83" t="str">
        <f t="shared" si="358"/>
        <v/>
      </c>
      <c r="BQ109" s="84" t="str">
        <f t="shared" si="359"/>
        <v/>
      </c>
      <c r="BR109" s="184" t="str">
        <f>IFERROR(IF(B109="", "", IF(OR(VLOOKUP(J109, 'Fixture Identities'!$A$6:$L$1023, 3, FALSE)="T12 Linear Fluorescent",VLOOKUP(J109, 'Fixture Identities'!$A$6:$L$1023, 3, FALSE)="T12 U-Tube Fluorescent"), "Y", "N")), "N")</f>
        <v/>
      </c>
      <c r="BS109" s="184" t="str">
        <f t="array" ref="BS109">IFERROR(IF(OR(B109="", V109="", W109=""), "", IF(V109="Custom", "N", IF(OR(W109="Freezer Case Lighting", W109="Refrigerated Case Lighting with Doors"), BT109, IF(B109="Retrofit", INDEX('Lookup Tables'!$AH$6:$AT$102,MATCH(1,('Lookup Tables'!$AH$6:$AH$102=V109)*('Lookup Tables'!$AI$6:$AI$102=W109),FALSE),IF(VLOOKUP(J109, 'Fixture Identities'!$A$6:$B$1023, 2, FALSE)="Incandescent",12, 13)), INDEX('Lookup Tables'!$AH$114:$AS$154,MATCH(1,('Lookup Tables'!$AH$114:$AH$154=V109)*('Lookup Tables'!$AI$114:$AI$154=W109),FALSE),12))))), "N")</f>
        <v/>
      </c>
      <c r="BT109" s="184" t="str">
        <f>IF(J109="", "", IF(AND(OR(W109="Freezer case Lighting", W109="Refrigerated Case Lighting with Doors"),'General Information'!$X$18="LCI"), "N", IF(OR(VLOOKUP(J109, 'Fixture Identities'!$A$6:$B$1023, 2, FALSE)="T12 EPACT/EISA Baseline", VLOOKUP(J109, 'Fixture Identities'!$A$6:$B$1023, 2, FALSE)="Linear Fluorescent", VLOOKUP(J109, 'Fixture Identities'!$A$6:$B$1023, 2, FALSE)="U-Tube Fluorescent"), "Y", "N")))</f>
        <v/>
      </c>
      <c r="BU109" s="184" t="str">
        <f>IFERROR(IF(B109="", "", IF(VLOOKUP(J109, 'Fixture Identities'!$A$6:$B$1023, 2, FALSE)="Exit Sign", "Y", "N")), "N")</f>
        <v/>
      </c>
      <c r="BV109" s="184" t="str">
        <f>IF(V109="Exit Signs", IF(VLOOKUP(J109, 'Fixture Identities'!$A$6:$B$1023, 2, FALSE)="Exit Sign", "N", "Y"), "")</f>
        <v/>
      </c>
      <c r="BW109" s="184" t="str">
        <f t="array" ref="BW109">IFERROR(IF(B109="", "", IF(B109="New Construction", "N", INDEX('Lookup Tables'!$AH$6:$AU$102, MATCH(1, ('Lookup Tables'!$AH$6:$AH$102='Lighting Inventory'!V109)*('Lookup Tables'!$AI$6:$AI$102='Lighting Inventory'!W109), 0), 14))), "N")</f>
        <v/>
      </c>
      <c r="BX109" s="598" t="str">
        <f t="shared" si="360"/>
        <v/>
      </c>
      <c r="BY109" s="598" t="str">
        <f t="shared" si="361"/>
        <v/>
      </c>
      <c r="BZ109" s="598" t="str">
        <f t="shared" si="362"/>
        <v/>
      </c>
      <c r="CA109" s="598" t="str">
        <f t="shared" si="363"/>
        <v/>
      </c>
      <c r="CB109" s="269" t="str">
        <f t="shared" si="364"/>
        <v/>
      </c>
      <c r="CC109" s="517" t="str">
        <f t="shared" si="365"/>
        <v/>
      </c>
      <c r="CD109" s="565" t="str">
        <f t="shared" si="305"/>
        <v/>
      </c>
      <c r="CE109" s="368">
        <v>0</v>
      </c>
      <c r="CF109" s="368" t="str" cm="1">
        <f t="array" ref="CF109">IFERROR(IF(V109="Custom", "$0.1 per kWh", IF(B109="New Construction", CONCATENATE("$",INDEX('Lookup Tables'!$AH$114:$AN$154,MATCH(1,('Lookup Tables'!$AH$114:$AH$154='Lighting Inventory'!V109)*('Lookup Tables'!$AI$114:$AI$154='Lighting Inventory'!W109),FALSE),6)," ",INDEX('Lookup Tables'!$AH$114:$AN$154,MATCH(1,('Lookup Tables'!$AH$114:$AH$154='Lighting Inventory'!V109)*('Lookup Tables'!$AI$114:$AI$154='Lighting Inventory'!W109),FALSE),7)), IF(AND(BU109="N", V109="Exit Signs"), "$0.025 per kWh", CONCATENATE("$",INDEX('Lookup Tables'!$AH$6:$AN$102,MATCH(1,('Lookup Tables'!$AH$6:$AH$102='Lighting Inventory'!V109)*('Lookup Tables'!$AI$6:$AI$102='Lighting Inventory'!W109),FALSE),6)," ",INDEX('Lookup Tables'!$AH$6:$AN$102,MATCH(1,('Lookup Tables'!$AH$6:$AH$102='Lighting Inventory'!V109)*('Lookup Tables'!$AI$6:$AI$102='Lighting Inventory'!W109),FALSE),7))))), "")</f>
        <v/>
      </c>
      <c r="CG109" s="366"/>
      <c r="CH109" s="248" t="str">
        <f t="shared" si="306"/>
        <v/>
      </c>
      <c r="CI109" s="248" t="str">
        <f t="shared" si="307"/>
        <v>Select_IE</v>
      </c>
      <c r="CJ109" s="248" t="str">
        <f t="shared" si="308"/>
        <v/>
      </c>
      <c r="CK109" s="248" t="str">
        <f t="shared" si="309"/>
        <v/>
      </c>
      <c r="CL109" s="248" t="str">
        <f t="shared" si="310"/>
        <v/>
      </c>
      <c r="CM109" s="248" t="str">
        <f>IFERROR(IF(B109="", "", IF(B109="New Construction", VLOOKUP(V109, 'Lookup Tables'!$AF$114:$AG$120, 2, FALSE), VLOOKUP(V109, 'Lookup Tables'!$AD$6:$AE$25, 2, FALSE))), "")</f>
        <v/>
      </c>
      <c r="CN109" s="248" t="str">
        <f t="shared" si="311"/>
        <v/>
      </c>
      <c r="CO109" s="248" t="str">
        <f t="shared" si="312"/>
        <v/>
      </c>
      <c r="CP109" s="592" t="str">
        <f t="shared" si="313"/>
        <v/>
      </c>
      <c r="CQ109" s="248" t="str">
        <f t="shared" si="366"/>
        <v/>
      </c>
      <c r="CR109" s="100"/>
      <c r="CS109" s="250" t="str">
        <f t="shared" si="314"/>
        <v/>
      </c>
      <c r="CT109" s="250" t="str">
        <f t="shared" si="367"/>
        <v/>
      </c>
      <c r="CU109" s="250" t="str">
        <f t="shared" si="368"/>
        <v/>
      </c>
      <c r="CV109" s="250" t="str">
        <f t="shared" si="369"/>
        <v/>
      </c>
      <c r="CW109" s="250" t="str">
        <f t="shared" si="370"/>
        <v/>
      </c>
      <c r="CX109" s="250" t="str">
        <f t="shared" si="315"/>
        <v/>
      </c>
      <c r="CY109" s="250" t="str">
        <f t="shared" si="316"/>
        <v/>
      </c>
      <c r="CZ109" s="250" t="str">
        <f t="shared" si="317"/>
        <v/>
      </c>
      <c r="DA109" s="250" t="str">
        <f t="shared" si="318"/>
        <v/>
      </c>
      <c r="DB109" s="250" t="str">
        <f t="shared" si="319"/>
        <v/>
      </c>
      <c r="DC109" s="250" t="str">
        <f t="shared" si="320"/>
        <v/>
      </c>
      <c r="DD109" s="250" t="str">
        <f t="shared" si="321"/>
        <v/>
      </c>
      <c r="DE109" s="250" t="str">
        <f t="shared" si="322"/>
        <v/>
      </c>
      <c r="DF109" s="250" t="str">
        <f t="shared" si="323"/>
        <v/>
      </c>
      <c r="DG109" s="250" t="str">
        <f t="shared" si="324"/>
        <v/>
      </c>
      <c r="DH109" s="250" t="str">
        <f t="shared" si="325"/>
        <v/>
      </c>
      <c r="DI109" s="250" t="str">
        <f t="shared" si="326"/>
        <v/>
      </c>
      <c r="DJ109" s="250" t="str">
        <f t="shared" si="327"/>
        <v/>
      </c>
      <c r="DK109" s="250" t="str">
        <f t="shared" si="328"/>
        <v/>
      </c>
      <c r="DL109" s="250" t="str">
        <f t="shared" si="329"/>
        <v/>
      </c>
      <c r="DM109" s="250" t="str">
        <f>IF(CD109="ERROR", "ERROR", IF(AND(OR(Y109=$DM$6, Y109='Lookup Tables'!$AD$21, Y109='Lookup Tables'!$AD$22), E109="Interior"), BJ109, ""))</f>
        <v/>
      </c>
      <c r="DN109" s="250" t="str">
        <f>IF(CD109="ERROR", "ERROR", IF(AND(OR(Y109=$DM$6, Y109='Lookup Tables'!$AD$21, Y109='Lookup Tables'!$AD$22), E109="Exterior"), BJ109, ""))</f>
        <v/>
      </c>
      <c r="DO109" s="100"/>
      <c r="DP109" s="250" t="str">
        <f t="shared" si="330"/>
        <v/>
      </c>
      <c r="DQ109" s="250" t="str">
        <f t="shared" si="371"/>
        <v/>
      </c>
      <c r="DR109" s="250" t="str">
        <f t="shared" si="372"/>
        <v/>
      </c>
      <c r="DS109" s="250" t="str">
        <f t="shared" si="373"/>
        <v/>
      </c>
      <c r="DT109" s="250" t="str">
        <f t="shared" si="374"/>
        <v/>
      </c>
      <c r="DU109" s="250" t="str">
        <f t="shared" si="331"/>
        <v/>
      </c>
      <c r="DV109" s="250" t="str">
        <f t="shared" si="332"/>
        <v/>
      </c>
      <c r="DW109" s="250" t="str">
        <f t="shared" si="333"/>
        <v/>
      </c>
      <c r="DX109" s="250" t="str">
        <f t="shared" si="334"/>
        <v/>
      </c>
      <c r="DY109" s="250" t="str">
        <f t="shared" si="335"/>
        <v/>
      </c>
      <c r="DZ109" s="250" t="str">
        <f t="shared" si="336"/>
        <v/>
      </c>
      <c r="EA109" s="250" t="str">
        <f t="shared" si="337"/>
        <v/>
      </c>
      <c r="EB109" s="250" t="str">
        <f t="shared" si="375"/>
        <v/>
      </c>
      <c r="EC109" s="250" t="str">
        <f t="shared" si="338"/>
        <v/>
      </c>
      <c r="ED109" s="250" t="str">
        <f t="shared" si="339"/>
        <v/>
      </c>
      <c r="EE109" s="250" t="str">
        <f t="shared" si="340"/>
        <v/>
      </c>
      <c r="EF109" s="250" t="str">
        <f t="shared" si="341"/>
        <v/>
      </c>
      <c r="EG109" s="250" t="str">
        <f t="shared" si="342"/>
        <v/>
      </c>
      <c r="EH109" s="250" t="str">
        <f>IF(CD109="ERROR", "ERROR", IF(AND(OR($EH$6=Y109, Y109='Lookup Tables'!$AD$21, Y109='Lookup Tables'!$AD$22),E109="Interior"), SUM(BP109:BP109), ""))</f>
        <v/>
      </c>
      <c r="EI109" s="250" t="str">
        <f>IF(CD109="ERROR", "ERROR", IF(AND(OR($EH$6=Y109, Y109='Lookup Tables'!$AD$21, Y109='Lookup Tables'!$AD$22),E109="Exterior"), SUM(BP109:BP109), ""))</f>
        <v/>
      </c>
      <c r="EJ109" s="109"/>
      <c r="EK109" s="485" t="str">
        <f t="shared" si="343"/>
        <v/>
      </c>
      <c r="EL109" s="252" t="str">
        <f t="shared" si="376"/>
        <v/>
      </c>
      <c r="EM109" s="252" t="str">
        <f t="shared" si="377"/>
        <v/>
      </c>
      <c r="EN109" s="252" t="str">
        <f t="shared" si="378"/>
        <v/>
      </c>
      <c r="EO109" s="252" t="str">
        <f t="shared" si="379"/>
        <v/>
      </c>
      <c r="EP109" s="252" t="str">
        <f t="shared" si="380"/>
        <v/>
      </c>
      <c r="EQ109" s="252" t="str">
        <f t="shared" si="381"/>
        <v/>
      </c>
      <c r="ER109" s="252" t="str">
        <f t="shared" si="382"/>
        <v/>
      </c>
      <c r="ES109" s="252" t="str">
        <f t="shared" si="383"/>
        <v/>
      </c>
      <c r="ET109" s="252" t="str">
        <f t="shared" si="384"/>
        <v/>
      </c>
      <c r="EU109" s="252" t="str">
        <f t="shared" si="385"/>
        <v/>
      </c>
      <c r="EV109" s="252" t="str">
        <f t="shared" si="386"/>
        <v/>
      </c>
      <c r="EW109" s="252" t="str">
        <f t="shared" si="387"/>
        <v/>
      </c>
      <c r="EX109" s="252" t="str">
        <f t="shared" si="388"/>
        <v/>
      </c>
      <c r="EY109" s="252" t="str">
        <f t="shared" si="389"/>
        <v/>
      </c>
      <c r="EZ109" s="252" t="str">
        <f t="shared" si="390"/>
        <v/>
      </c>
      <c r="FA109" s="252" t="str">
        <f t="shared" si="391"/>
        <v/>
      </c>
      <c r="FB109" s="252" t="str">
        <f t="shared" si="392"/>
        <v/>
      </c>
      <c r="FC109" s="252" t="str">
        <f>IF(CD109="ERROR", "ERROR", IF(OR(V109="No Change", V109="Not DLC or Energy Star"), "", IF(AND(OR($FC$6=Y109,Y109='Lookup Tables'!$AD$21, Y109='Lookup Tables'!$AD$22),E109="Interior"), S109, "")))</f>
        <v/>
      </c>
      <c r="FD109" s="252" t="str">
        <f t="shared" si="393"/>
        <v/>
      </c>
      <c r="FE109" s="101"/>
      <c r="FF109" s="579" t="str" cm="1">
        <f t="array" ref="FF109">IFERROR(IF(OR(BQ109&lt;=0,AQ109&lt;20,AND(V109="Exit Signs",AN109&gt;0)),"",IF(AND(AQ109&gt;=20,AN109='Lookup Tables'!$R$101),'Lookup Tables'!$U$101*BQ109,AP109*LOOKUP(2,1/((AN109='Lookup Tables'!$R$91:$R$111)*(AQ109&gt;='Lookup Tables'!$S$91:$S$111)*(AQ109&lt;='Lookup Tables'!$T$91:$T$111)),'Lookup Tables'!$U$91:$U$111))),"")</f>
        <v/>
      </c>
      <c r="FG109" s="579"/>
      <c r="FH109" s="579"/>
      <c r="FI109" s="253" t="str">
        <f>IFERROR(ROUND(IF(CD109="ERROR", "ERROR", IF(AND($FI$7=X109,E109="Interior"),VLOOKUP(W109, 'Lookup Tables'!$AI$6:$AM$102, 5, FALSE)*BP109, "")), 2), "")</f>
        <v/>
      </c>
      <c r="FJ109" s="253" t="str">
        <f>IFERROR(ROUND(IF(CD109="ERROR", "ERROR", IF(AND($FI$7=X109,E109="Exterior"),VLOOKUP(W109, 'Lookup Tables'!$AI$6:$AM$102, 5, FALSE)*BP109, "")), 2), "")</f>
        <v/>
      </c>
      <c r="FK109" s="253" t="str">
        <f>IFERROR(ROUND(IF(CD109="ERROR", "ERROR", IF(AND($FK$7=X109,E109="Interior"),VLOOKUP(W109, 'Lookup Tables'!$AI$6:$AM$102, 5, FALSE)*BP109, "")), 2), "")</f>
        <v/>
      </c>
      <c r="FL109" s="253" t="str">
        <f>IFERROR(ROUND(IF(CD109="ERROR", "ERROR", IF(AND($FK$7=X109,E109="Exterior"),VLOOKUP(W109, 'Lookup Tables'!$AI$6:$AM$102, 5, FALSE)*BP109, "")), 2), "")</f>
        <v/>
      </c>
      <c r="FM109" s="253" t="str">
        <f>IFERROR(ROUND(IF(CD109="ERROR", "ERROR", IF(AND($FM$6=Y109,E109="Interior"), IF(GB109=0, VLOOKUP(W109, 'Lookup Tables'!$AI$6:$AM$102, 5, FALSE)*BP109, IF(VLOOKUP(W109, 'Lookup Tables'!$AI$6:$AM$102, 5, FALSE)*BP109&gt;GB109*'Lighting Inventory'!S109, GB109*'Lighting Inventory'!S109,VLOOKUP(W109, 'Lookup Tables'!$AI$6:$AM$102, 5, FALSE)*BP109)), "")), 2), "")</f>
        <v/>
      </c>
      <c r="FN109" s="253" t="str">
        <f>IFERROR(ROUND(IF(CD109="ERROR", "ERROR", IF(AND($FM$6=Y109,E109="Exterior"), IF(GB109=0, VLOOKUP(W109, 'Lookup Tables'!$AI$6:$AM$102, 5, FALSE)*BP109, IF(VLOOKUP(W109, 'Lookup Tables'!$AI$6:$AM$102, 5, FALSE)*BP109&gt;GB109*'Lighting Inventory'!S109, GB109*'Lighting Inventory'!S109,VLOOKUP(W109, 'Lookup Tables'!$AI$6:$AM$102, 5, FALSE)*BP109)), "")), 2), "")</f>
        <v/>
      </c>
      <c r="FO109" s="253" t="str">
        <f>IFERROR(ROUND(IF(CD109="ERROR", "ERROR", IF(AND($FO$6=Y109,E109="Interior"),VLOOKUP(W109, 'Lookup Tables'!$AI$6:$AM$102, 5, FALSE)*'Lighting Inventory'!AI109, "")), 2), "")</f>
        <v/>
      </c>
      <c r="FP109" s="253" t="str">
        <f>IFERROR(ROUND(IF(CD109="ERROR", "ERROR", IF(AND($FO$6=Y109,E109="Exterior"),VLOOKUP(W109, 'Lookup Tables'!$AI$6:$AM$102, 5, FALSE)*'Lighting Inventory'!AI109, "")), 2), "")</f>
        <v/>
      </c>
      <c r="FQ109" s="253" t="str">
        <f>IFERROR(ROUND(IF(CD109="ERROR", "ERROR", IF(AND($FQ$6=Y109,E109="Interior", BU109="Y"), VLOOKUP('Lighting Inventory'!W109, 'Lookup Tables'!$AI$6:$AM$102, 5, FALSE)*'Lighting Inventory'!S109, IF(AND($FQ$7=Y109,E109="Interior", BU109="N"), 0.025*CD109, ""))), 2), "")</f>
        <v/>
      </c>
      <c r="FR109" s="253" t="str">
        <f>IFERROR(ROUND(IF(CD109="ERROR", "ERROR", IF(AND($FQ$6=Y109,E109="Exterior"), VLOOKUP('Lighting Inventory'!W109, 'Lookup Tables'!$AI$6:$AM$102, 5, FALSE)*'Lighting Inventory'!S109, "")), 2), "")</f>
        <v/>
      </c>
      <c r="FS109" s="253" t="str">
        <f>IFERROR(ROUND(IF(CD109="ERROR", "ERROR", IF(AND($FS$6=Y109,E109="Exterior"), IF(GB109=0, VLOOKUP(W109, 'Lookup Tables'!$AI$6:$AM$102, 5, FALSE)*BP109, IF(VLOOKUP(W109, 'Lookup Tables'!$AI$6:$AM$102, 5, FALSE)*BP109&gt;GB109*'Lighting Inventory'!S109, GB109*'Lighting Inventory'!S109,VLOOKUP(W109, 'Lookup Tables'!$AI$6:$AM$102, 5, FALSE)*BP109)), "")), 2), "")</f>
        <v/>
      </c>
      <c r="FT109" s="253" t="str">
        <f>IFERROR(ROUND(IF(CD109="ERROR", "ERROR", IF(AND($FT$6=Y109,E109="Interior"), IF(GB109=0, VLOOKUP(W109, 'Lookup Tables'!$AI$6:$AM$102, 5, FALSE)*BP109, IF(VLOOKUP(W109, 'Lookup Tables'!$AI$6:$AM$102, 5, FALSE)*BP109&gt;GB109*'Lighting Inventory'!S109, GB109*'Lighting Inventory'!S109,VLOOKUP(W109, 'Lookup Tables'!$AI$6:$AM$102, 5, FALSE)*BP109)), "")), 2), "")</f>
        <v/>
      </c>
      <c r="FU109" s="253" t="str">
        <f>IFERROR(ROUND(IF(CD109="ERROR", "ERROR", IF(AND(Y109=$FU$6, E109="Interior"), IF(BS109="N", 'Lookup Tables'!$AM$101*BP109, VLOOKUP(W109, 'Lookup Tables'!$AI$6:$AM$102, 5, FALSE)*S109*AD109), "")), 2), "")</f>
        <v/>
      </c>
      <c r="FV109" s="253" t="str">
        <f>IFERROR(ROUND(IF(CD109="ERROR", "ERROR", IF(AND(Y109=$FU$6, E109="Exterior"), IF(BS109="N", 'Lookup Tables'!$AM$101*BP109, VLOOKUP(W109, 'Lookup Tables'!$AI$6:$AM$102, 5, FALSE)*S109*AD109), "")), 2), "")</f>
        <v/>
      </c>
      <c r="FW109" s="253" t="str">
        <f>IFERROR(ROUND(IF(CD109="ERROR", "ERROR", IF($FW$6=Y109, IF(BS109="N", 'Lookup Tables'!$AM$101*BP109, MIN((VLOOKUP(W109, 'Lookup Tables'!$AI$6:$AM$102, 5, FALSE)*BP109),GB109*AJ109)), "")), 2), "")</f>
        <v/>
      </c>
      <c r="FX109" s="253" t="str">
        <f>IFERROR(ROUND(IF(CD109="ERROR", "ERROR", IF(AND($FX$6=Y109, E109="Interior"), IF(VLOOKUP(W109, 'Lookup Tables'!$AI$6:$AM$102, 5, FALSE)*BP109&gt;'Lookup Tables'!$AQ$97*'Lighting Inventory'!S109,'Lighting Inventory'!S109*'Lookup Tables'!$AQ$97,VLOOKUP(W109, 'Lookup Tables'!$AI$6:$AM$102, 5, FALSE)*BP109), "")), 2), "")</f>
        <v/>
      </c>
      <c r="FY109" s="253" t="str">
        <f>IFERROR(ROUND(IF(CD109="ERROR", "ERROR", IF(AND($FX$6=Y109, E109="Exterior"), IF(VLOOKUP(W109, 'Lookup Tables'!$AI$6:$AM$102, 5, FALSE)*BP109&gt;'Lookup Tables'!$AQ$97*'Lighting Inventory'!S109,'Lighting Inventory'!S109*'Lookup Tables'!$AQ$97,VLOOKUP(W109, 'Lookup Tables'!$AI$6:$AM$102, 5, FALSE)*BP109), "")), 2), "")</f>
        <v/>
      </c>
      <c r="FZ109" s="253" t="str">
        <f>IFERROR(ROUND(IF(CD109="ERROR", "ERROR", IF(AND($FZ$6=Y109, E109="Interior"), IF(AND(OR(W109="Refrigerated Case Lighting with Doors", W109="Freezer Case Lighting"),Y109="Custom - Process Improvement"),CD109*'Lookup Tables'!$AM$101, IF(B109="Retrofit", IF(VLOOKUP(IF(V109="Custom", V109, W109), 'Lookup Tables'!$AI$6:$AM$102, 5, FALSE)*BP109&gt;GE109, GE109, VLOOKUP(IF(V109="Custom", V109, W109), 'Lookup Tables'!$AI$6:$AM$102, 5, FALSE)*BP109), IF(VLOOKUP(IF(V109="Custom", V109, W109), 'Lookup Tables'!$AI$114:$AM$154, 5, FALSE)*BP109&gt;GE109, GE109, VLOOKUP(IF(V109="Custom", V109, W109), 'Lookup Tables'!$AI$114:$AM$154, 5, FALSE)*BP109))), "")), 2),"")</f>
        <v/>
      </c>
      <c r="GA109" s="253" t="str">
        <f>IFERROR(ROUND(IF(CD109="ERROR", "ERROR", IF(AND($FZ$6=Y109, E109="Exterior"), IF(B109="Retrofit", IF(VLOOKUP(IF(V109="Custom", V109, W109), 'Lookup Tables'!$AI$6:$AM$102, 5, FALSE)*BP109&gt;GE109, GE109, VLOOKUP(IF(V109="Custom", V109, W109), 'Lookup Tables'!$AI$6:$AM$102, 5, FALSE)*BP109), IF(VLOOKUP(IF(V109="Custom", V109, W109), 'Lookup Tables'!$AI$114:$AM$154, 5, FALSE)*BP109&gt;GE109, GE109, VLOOKUP(IF(V109="Custom", V109, W109), 'Lookup Tables'!$AI$114:$AM$154, 5, FALSE)*BP109)), "")), 2),"")</f>
        <v/>
      </c>
      <c r="GB109" s="254" t="str">
        <f t="array" ref="GB109">IF(B109="","",IF(OR(V109="Custom",V109="No Change"),0,IF(B109="Retrofit", INDEX('Lookup Tables'!$AH$6:$AQ$102,MATCH(1,('Lookup Tables'!$AH$6:$AH$102='Lighting Inventory'!V109)*('Lookup Tables'!$AI$6:$AI$102='Lighting Inventory'!W109),FALSE),10),INDEX('Lookup Tables'!$AH$114:$AQ$154,MATCH(1,('Lookup Tables'!$AH$114:$AH$154='Lighting Inventory'!V109)*('Lookup Tables'!$AI$114:$AI$154='Lighting Inventory'!W109),FALSE),10))))</f>
        <v/>
      </c>
      <c r="GC109" s="255" t="str">
        <f t="shared" si="344"/>
        <v/>
      </c>
      <c r="GD109" s="250" t="str">
        <f t="shared" si="345"/>
        <v/>
      </c>
      <c r="GE109" s="253" t="str">
        <f>IFERROR(IF(AND(AF109="", 'General Information'!$F$18="No"),"", IF(AF109="", ((GD109/$CD$266)*$CF$266)*0.5, AF109*S109*0.5)), "")</f>
        <v/>
      </c>
      <c r="GF109" s="255" t="str">
        <f>IF(AND('General Information'!$F$19="", 'General Information'!$F$18="Yes",AF109="",BW109="Y"), "Y", "N")</f>
        <v>N</v>
      </c>
      <c r="GG109" s="255" t="s">
        <v>2946</v>
      </c>
      <c r="GH109" s="255" t="str">
        <f>IFERROR(IF(B109="", "", VLOOKUP(J109, 'Fixture Identities'!$A$6:$N$908, 14, FALSE)), "")</f>
        <v/>
      </c>
      <c r="GI109" s="389" t="str">
        <f>IF(OR(B109="", V109="", W109=""), "", IF(AND(OR(M109='Lookup Tables'!$R$18, M109='Lookup Tables'!$R$19, M109='Lookup Tables'!$R$20, M109='Lookup Tables'!$R$21, M109='Lookup Tables'!$R$22), OR(AN109='Lookup Tables'!$R$17, AN109='Lookup Tables'!$R$17, AN109="")), "Y", "N"))</f>
        <v/>
      </c>
      <c r="GJ109" s="255" t="str">
        <f t="shared" si="346"/>
        <v/>
      </c>
      <c r="GK109" s="255" t="str">
        <f t="shared" si="347"/>
        <v/>
      </c>
      <c r="GL109" s="255" t="str">
        <f t="shared" si="348"/>
        <v/>
      </c>
      <c r="GM109" s="255" t="str">
        <f>IF(AN109="", "", IF(AND(IF(ISNA(VLOOKUP(AN109,'Lookup Tables'!$R$18:$R$22,1,FALSE)), "N", "Y")="Y", E109="Exterior"), "Y", "N"))</f>
        <v/>
      </c>
      <c r="GN109" s="395"/>
      <c r="GO109" s="428">
        <f t="shared" si="394"/>
        <v>0</v>
      </c>
      <c r="GP109" s="428">
        <f t="shared" si="397"/>
        <v>0</v>
      </c>
      <c r="GQ109" s="428">
        <f t="shared" si="395"/>
        <v>0</v>
      </c>
      <c r="GR109" s="428">
        <f t="shared" si="396"/>
        <v>0</v>
      </c>
    </row>
    <row r="110" spans="1:200" s="103" customFormat="1" ht="13.5" customHeight="1" x14ac:dyDescent="0.2">
      <c r="A110" s="272">
        <v>100</v>
      </c>
      <c r="B110" s="110"/>
      <c r="C110" s="110"/>
      <c r="D110" s="110"/>
      <c r="E110" s="110"/>
      <c r="F110" s="110"/>
      <c r="G110" s="110"/>
      <c r="H110" s="110"/>
      <c r="I110" s="29"/>
      <c r="J110" s="29"/>
      <c r="K110" s="272" t="str">
        <f>IFERROR(IF(OR(VLOOKUP(J110, 'Fixture Identities'!$A$6:$L$1023, 3, FALSE)="T12 Linear Fluorescent", VLOOKUP(J110, 'Fixture Identities'!$A$6:$L$1023, 3, FALSE)="T12 U-Tube Fluorescent"), VLOOKUP(VLOOKUP(J110, 'Fixture Identities'!$A$6:$L$1023, 11, FALSE), 'Fixture Identities'!$A$6:$L$1023, 10, FALSE), VLOOKUP(J110, 'Fixture Identities'!$A$6:$L$1023, 10, FALSE)), "")</f>
        <v/>
      </c>
      <c r="L110" s="270" t="str">
        <f t="shared" si="399"/>
        <v/>
      </c>
      <c r="M110" s="110"/>
      <c r="N110" s="110"/>
      <c r="O110" s="110"/>
      <c r="P110" s="272" t="str">
        <f>IFERROR(IF(OR(B110="Retrofit",B110=""),"",IF('Lighting Inventory'!E110="Exterior",VLOOKUP('Lighting Inventory'!N110,'Lookup Tables'!$B$83:$F$103,5,FALSE),IF(N110="Other - Please Estimate EFLH and CFs","Contact Prog. Rep.","ft^2"))), "")</f>
        <v/>
      </c>
      <c r="Q110" s="270" t="str">
        <f>IFERROR(IF(AND(B110="New Construction",E110="Interior",$F$5="Space-by-Space"),VLOOKUP('Lighting Inventory'!N110,'Lookup Tables'!$N$6:$O$97,2,FALSE),IF(AND(B110="New Construction",E110="Exterior"),VLOOKUP(N110,'Lookup Tables'!$B$83:$F$103,2,FALSE),IF(AND(B110="New Construction",'Lighting Inventory'!E110="Interior", $F$5="Building Area"),VLOOKUP(F110,'Lookup Tables'!$A$6:$J$59,10,FALSE),""))), "")</f>
        <v/>
      </c>
      <c r="R110" s="270" t="str">
        <f>IFERROR(IF(P110="Contact Prog. Rep.", "ERROR", IF(OR(B110="",B110="Retrofit"),"",IF(N110="Automated teller machines", ('Lookup Tables'!$A$82:$E$100+('Lighting Inventory'!O110-1)*'Lookup Tables'!$A$82:$E$100)/1000, (Q110*O110)/1000))), "")</f>
        <v/>
      </c>
      <c r="S110" s="595"/>
      <c r="T110" s="105" t="str">
        <f t="shared" si="349"/>
        <v/>
      </c>
      <c r="U110" s="105" t="str">
        <f>IF(S110="","",COUNT($S$11:S110))</f>
        <v/>
      </c>
      <c r="V110" s="111"/>
      <c r="W110" s="112"/>
      <c r="X110" s="105" t="str">
        <f t="shared" si="350"/>
        <v/>
      </c>
      <c r="Y110" s="105" t="str">
        <f t="array" ref="Y110">IF(AND(OR(W110="Freezer Case Lighting", W110="Refrigerated Case Lighting with Doors"), 'General Information'!$X$18="LCI"),'Lookup Tables'!$Y$34, IF(V110="Custom", VLOOKUP(W110, 'Fixture Identities'!$A$974:$M$1023, 13, FALSE), IF(V110="No Change",'Lookup Tables'!$Y$29,IF(OR(V110="",W110=""),"",IF(AND(S110=0,S110&lt;I110,B110="Retrofit"),'Lookup Tables'!$Y$25, IF(B110="Retrofit", INDEX('Lookup Tables'!$AH$6:$AP$102, MATCH(1, ('Lookup Tables'!$AH$6:$AH$102=V110)*('Lookup Tables'!$AI$6:$AI$102=W110), 0), IF('Lighting Inventory'!E110="Interior", 4, 5)), INDEX('Lookup Tables'!$AH$114:$AP$154, MATCH(1, ('Lookup Tables'!$AH$114:$AH$154=V110)*('Lookup Tables'!$AI$114:$AI$154=W110), 0), IF('Lighting Inventory'!E110="Interior", 4, 5))))))))</f>
        <v/>
      </c>
      <c r="Z110" s="105" t="str">
        <f>IFERROR(INDEX('Lookup Tables'!$AH$158:$AH$172,MATCH('Lighting Inventory'!Y110,'Lookup Tables'!$AI$158:$AI$172,0)),"")</f>
        <v/>
      </c>
      <c r="AA110" s="105" t="str">
        <f>IF(AP110&gt;0,INDEX('Lookup Tables'!$AK$158:$AK$172,MATCH('Lighting Inventory'!Y110,'Lookup Tables'!$AI$158:$AI$172,0)),'Lighting Inventory'!Y110)</f>
        <v/>
      </c>
      <c r="AB110" s="105" t="str">
        <f t="array" ref="AB110">IF(V110="Custom", "Custom", IF(V110="", "", IF(V110="Not DLC or Energy Star", "General", IF(B110="New Construction", INDEX('Lookup Tables'!$AH$114:$AP$154,MATCH(1,('Lookup Tables'!$AH$114:$AH$154='Lighting Inventory'!V110)*('Lookup Tables'!$AI$114:$AI$154='Lighting Inventory'!W110),FALSE),8), INDEX('Lookup Tables'!$AH$6:$AP$102,MATCH(1,('Lookup Tables'!$AH$6:$AH$102='Lighting Inventory'!V110)*('Lookup Tables'!$AI$6:$AI$102='Lighting Inventory'!W110),FALSE),8)))))</f>
        <v/>
      </c>
      <c r="AC110" s="272" t="str">
        <f>IF(W110="","",IF(V110="Custom",CONCATENATE("$",'Lookup Tables'!$AM$101," ",'Lookup Tables'!$AN$101),CONCATENATE("$",INDEX('Lookup Tables'!$AM$6:$AM$102,MATCH('Lighting Inventory'!W110,'Lookup Tables'!$AI$6:$AI$102,0))," ",INDEX('Lookup Tables'!$AN$6:$AN$102,MATCH('Lighting Inventory'!W110,'Lookup Tables'!$AI$6:$AI$102,0)))))</f>
        <v/>
      </c>
      <c r="AD110" s="72"/>
      <c r="AE110" s="29"/>
      <c r="AF110" s="379"/>
      <c r="AG110" s="370" t="str">
        <f t="shared" si="298"/>
        <v/>
      </c>
      <c r="AH110" s="370" t="str">
        <f t="shared" si="351"/>
        <v/>
      </c>
      <c r="AI110" s="29"/>
      <c r="AJ110" s="29"/>
      <c r="AK110" s="110"/>
      <c r="AL110" s="375" t="str">
        <f>IF(OR(B110="", V110="", W110=""), "", IF(V110="No Change", K110, IF(V110="Remove Fixture", 0, IF(V110="Custom",VLOOKUP(W110,'Fixture Identities'!$A$6:$K$1023,10,FALSE),IF(AE110="", "← ENTER POST WATTS", 'Lighting Inventory'!AE110)))))</f>
        <v/>
      </c>
      <c r="AM110" s="376" t="str">
        <f t="shared" si="299"/>
        <v/>
      </c>
      <c r="AN110" s="29"/>
      <c r="AO110" s="671"/>
      <c r="AP110" s="29"/>
      <c r="AQ110" s="29"/>
      <c r="AR110" s="29"/>
      <c r="AS110" s="272" t="str">
        <f t="shared" si="352"/>
        <v/>
      </c>
      <c r="AT110" s="270" t="str">
        <f t="shared" si="300"/>
        <v/>
      </c>
      <c r="AU110" s="88" t="str">
        <f t="shared" si="400"/>
        <v/>
      </c>
      <c r="AV110" s="29"/>
      <c r="AW110" s="73"/>
      <c r="AX110" s="271" t="str">
        <f>IF(AND(AV110="Applicant",OR(AW110="", AW110="Use Default Facility Hours")),"← Choose Schedule",IF(F110="","",IF(W110="LED Exit Signs",8760,IF(OR(AV110="Prescribed",AV110=""),VLOOKUP(F110,'Lookup Tables'!$A$6:$G$59,IF(AB110="General", 6, 3),FALSE),VLOOKUP(AW110,'Lookup Tables'!$S$36:$U$43,2,FALSE)))))</f>
        <v/>
      </c>
      <c r="AY110" s="88" t="str">
        <f t="shared" si="301"/>
        <v/>
      </c>
      <c r="AZ110" s="270" t="str">
        <f>IFERROR(IF(F110="", "", IF(W110="LED Exit Signs", 1, IF(AV110="Applicant",VLOOKUP(AW110, 'Lookup Tables'!$S$36:$U$43,3, FALSE), VLOOKUP('Lighting Inventory'!F110, 'Lookup Tables'!$A$6:$H$59, IF('Lighting Inventory'!AB110="General",7,4), FALSE)))), "")</f>
        <v/>
      </c>
      <c r="BA110" s="522" t="str">
        <f>IFERROR(IF(F110="", "", IF(W110="LED Exit Signs", 1, VLOOKUP('Lighting Inventory'!F110, 'Lookup Tables'!$A$6:$H$59, IF('Lighting Inventory'!AB110="General",8,5), FALSE))), "")</f>
        <v/>
      </c>
      <c r="BB110" s="270" t="str">
        <f>IF(G110="", "", IF(E110="Exterior", 0, IF('Lighting Inventory'!G110="Air Conditioned", VLOOKUP(H110, 'Lookup Tables'!$R$6:$T$13, 2, FALSE), VLOOKUP('Lighting Inventory'!G110, 'Lookup Tables'!$R$6:$T$13, 2, FALSE))))</f>
        <v/>
      </c>
      <c r="BC110" s="522" t="str">
        <f>IF(G110="", "", IF(E110="Exterior", 0, IF('Lighting Inventory'!G110="Air Conditioned", VLOOKUP(H110, 'Lookup Tables'!$R$6:$T$13, 3, FALSE), VLOOKUP('Lighting Inventory'!G110, 'Lookup Tables'!$R$6:$T$13, 3, FALSE))))</f>
        <v/>
      </c>
      <c r="BD110" s="270" t="str">
        <f>IF(G110="", "", IF(E110="Exterior", 0, IF('Lighting Inventory'!G110="Air Conditioned", VLOOKUP(H110, 'Lookup Tables'!$R$6:$U$13, 4, FALSE), VLOOKUP('Lighting Inventory'!G110, 'Lookup Tables'!$R$6:$U$13, 4, FALSE))))</f>
        <v/>
      </c>
      <c r="BE110" s="270" t="str">
        <f>IFERROR(IF(B110="", "",  IF(B110="New Construction", VLOOKUP(F110, 'Lookup Tables'!$A$6:$K$59, 11, FALSE),IF(OR(AN110="", AN110="Light Switch"), 0, IF(OR(M110="",M110="None",V110= "LED Exit Signs"),0,_xlfn.XLOOKUP(M110,'Lookup Tables'!$R$91:$R$101,'Lookup Tables'!$V$91:$V$101))))), "")</f>
        <v/>
      </c>
      <c r="BF110" s="270" t="str">
        <f>IF(AND(OR(AN110="Light Switch",AN110=""),B110="New Construction"), VLOOKUP(F110, 'Lookup Tables'!$A$6:$K$59, 11, FALSE),IF(AN110="","",IF(B110="","",IF(OR(AN110="None",AN110="",V110="LED Exit Signs",AN110="Exterior Controls Not Eligible"),0,_xlfn.XLOOKUP(AN110,'Lookup Tables'!$R$91:$R$101,'Lookup Tables'!$V$91:$V$101)))))</f>
        <v/>
      </c>
      <c r="BG110" s="88" t="str">
        <f t="shared" si="353"/>
        <v/>
      </c>
      <c r="BH110" s="88" t="str">
        <f t="shared" si="354"/>
        <v/>
      </c>
      <c r="BI110" s="558" t="str">
        <f t="shared" si="398"/>
        <v/>
      </c>
      <c r="BJ110" s="82" t="str">
        <f t="shared" si="355"/>
        <v/>
      </c>
      <c r="BK110" s="82" t="str">
        <f t="shared" si="356"/>
        <v/>
      </c>
      <c r="BL110" s="559" t="str">
        <f t="shared" si="357"/>
        <v/>
      </c>
      <c r="BM110" s="521" t="str">
        <f t="shared" si="302"/>
        <v/>
      </c>
      <c r="BN110" s="521" t="str">
        <f t="shared" si="303"/>
        <v/>
      </c>
      <c r="BO110" s="522" t="str">
        <f t="shared" si="304"/>
        <v/>
      </c>
      <c r="BP110" s="83" t="str">
        <f t="shared" si="358"/>
        <v/>
      </c>
      <c r="BQ110" s="84" t="str">
        <f t="shared" si="359"/>
        <v/>
      </c>
      <c r="BR110" s="184" t="str">
        <f>IFERROR(IF(B110="", "", IF(OR(VLOOKUP(J110, 'Fixture Identities'!$A$6:$L$1023, 3, FALSE)="T12 Linear Fluorescent",VLOOKUP(J110, 'Fixture Identities'!$A$6:$L$1023, 3, FALSE)="T12 U-Tube Fluorescent"), "Y", "N")), "N")</f>
        <v/>
      </c>
      <c r="BS110" s="184" t="str">
        <f t="array" ref="BS110">IFERROR(IF(OR(B110="", V110="", W110=""), "", IF(V110="Custom", "N", IF(OR(W110="Freezer Case Lighting", W110="Refrigerated Case Lighting with Doors"), BT110, IF(B110="Retrofit", INDEX('Lookup Tables'!$AH$6:$AT$102,MATCH(1,('Lookup Tables'!$AH$6:$AH$102=V110)*('Lookup Tables'!$AI$6:$AI$102=W110),FALSE),IF(VLOOKUP(J110, 'Fixture Identities'!$A$6:$B$1023, 2, FALSE)="Incandescent",12, 13)), INDEX('Lookup Tables'!$AH$114:$AS$154,MATCH(1,('Lookup Tables'!$AH$114:$AH$154=V110)*('Lookup Tables'!$AI$114:$AI$154=W110),FALSE),12))))), "N")</f>
        <v/>
      </c>
      <c r="BT110" s="184" t="str">
        <f>IF(J110="", "", IF(AND(OR(W110="Freezer case Lighting", W110="Refrigerated Case Lighting with Doors"),'General Information'!$X$18="LCI"), "N", IF(OR(VLOOKUP(J110, 'Fixture Identities'!$A$6:$B$1023, 2, FALSE)="T12 EPACT/EISA Baseline", VLOOKUP(J110, 'Fixture Identities'!$A$6:$B$1023, 2, FALSE)="Linear Fluorescent", VLOOKUP(J110, 'Fixture Identities'!$A$6:$B$1023, 2, FALSE)="U-Tube Fluorescent"), "Y", "N")))</f>
        <v/>
      </c>
      <c r="BU110" s="184" t="str">
        <f>IFERROR(IF(B110="", "", IF(VLOOKUP(J110, 'Fixture Identities'!$A$6:$B$1023, 2, FALSE)="Exit Sign", "Y", "N")), "N")</f>
        <v/>
      </c>
      <c r="BV110" s="184" t="str">
        <f>IF(V110="Exit Signs", IF(VLOOKUP(J110, 'Fixture Identities'!$A$6:$B$1023, 2, FALSE)="Exit Sign", "N", "Y"), "")</f>
        <v/>
      </c>
      <c r="BW110" s="184" t="str">
        <f t="array" ref="BW110">IFERROR(IF(B110="", "", IF(B110="New Construction", "N", INDEX('Lookup Tables'!$AH$6:$AU$102, MATCH(1, ('Lookup Tables'!$AH$6:$AH$102='Lighting Inventory'!V110)*('Lookup Tables'!$AI$6:$AI$102='Lighting Inventory'!W110), 0), 14))), "N")</f>
        <v/>
      </c>
      <c r="BX110" s="598" t="str">
        <f t="shared" si="360"/>
        <v/>
      </c>
      <c r="BY110" s="598" t="str">
        <f t="shared" si="361"/>
        <v/>
      </c>
      <c r="BZ110" s="598" t="str">
        <f t="shared" si="362"/>
        <v/>
      </c>
      <c r="CA110" s="598" t="str">
        <f t="shared" si="363"/>
        <v/>
      </c>
      <c r="CB110" s="269" t="str">
        <f t="shared" si="364"/>
        <v/>
      </c>
      <c r="CC110" s="517" t="str">
        <f t="shared" si="365"/>
        <v/>
      </c>
      <c r="CD110" s="565" t="str">
        <f t="shared" si="305"/>
        <v/>
      </c>
      <c r="CE110" s="368">
        <v>0</v>
      </c>
      <c r="CF110" s="368" t="str" cm="1">
        <f t="array" ref="CF110">IFERROR(IF(V110="Custom", "$0.1 per kWh", IF(B110="New Construction", CONCATENATE("$",INDEX('Lookup Tables'!$AH$114:$AN$154,MATCH(1,('Lookup Tables'!$AH$114:$AH$154='Lighting Inventory'!V110)*('Lookup Tables'!$AI$114:$AI$154='Lighting Inventory'!W110),FALSE),6)," ",INDEX('Lookup Tables'!$AH$114:$AN$154,MATCH(1,('Lookup Tables'!$AH$114:$AH$154='Lighting Inventory'!V110)*('Lookup Tables'!$AI$114:$AI$154='Lighting Inventory'!W110),FALSE),7)), IF(AND(BU110="N", V110="Exit Signs"), "$0.025 per kWh", CONCATENATE("$",INDEX('Lookup Tables'!$AH$6:$AN$102,MATCH(1,('Lookup Tables'!$AH$6:$AH$102='Lighting Inventory'!V110)*('Lookup Tables'!$AI$6:$AI$102='Lighting Inventory'!W110),FALSE),6)," ",INDEX('Lookup Tables'!$AH$6:$AN$102,MATCH(1,('Lookup Tables'!$AH$6:$AH$102='Lighting Inventory'!V110)*('Lookup Tables'!$AI$6:$AI$102='Lighting Inventory'!W110),FALSE),7))))), "")</f>
        <v/>
      </c>
      <c r="CG110" s="366"/>
      <c r="CH110" s="248" t="str">
        <f t="shared" si="306"/>
        <v/>
      </c>
      <c r="CI110" s="248" t="str">
        <f t="shared" si="307"/>
        <v>Select_IE</v>
      </c>
      <c r="CJ110" s="248" t="str">
        <f t="shared" si="308"/>
        <v/>
      </c>
      <c r="CK110" s="248" t="str">
        <f t="shared" si="309"/>
        <v/>
      </c>
      <c r="CL110" s="248" t="str">
        <f t="shared" si="310"/>
        <v/>
      </c>
      <c r="CM110" s="248" t="str">
        <f>IFERROR(IF(B110="", "", IF(B110="New Construction", VLOOKUP(V110, 'Lookup Tables'!$AF$114:$AG$120, 2, FALSE), VLOOKUP(V110, 'Lookup Tables'!$AD$6:$AE$25, 2, FALSE))), "")</f>
        <v/>
      </c>
      <c r="CN110" s="248" t="str">
        <f t="shared" si="311"/>
        <v/>
      </c>
      <c r="CO110" s="248" t="str">
        <f t="shared" si="312"/>
        <v/>
      </c>
      <c r="CP110" s="592" t="str">
        <f t="shared" si="313"/>
        <v/>
      </c>
      <c r="CQ110" s="248" t="str">
        <f t="shared" si="366"/>
        <v/>
      </c>
      <c r="CR110" s="249"/>
      <c r="CS110" s="250" t="str">
        <f t="shared" si="314"/>
        <v/>
      </c>
      <c r="CT110" s="250" t="str">
        <f t="shared" si="367"/>
        <v/>
      </c>
      <c r="CU110" s="250" t="str">
        <f t="shared" si="368"/>
        <v/>
      </c>
      <c r="CV110" s="250" t="str">
        <f t="shared" si="369"/>
        <v/>
      </c>
      <c r="CW110" s="250" t="str">
        <f t="shared" si="370"/>
        <v/>
      </c>
      <c r="CX110" s="250" t="str">
        <f t="shared" si="315"/>
        <v/>
      </c>
      <c r="CY110" s="250" t="str">
        <f t="shared" si="316"/>
        <v/>
      </c>
      <c r="CZ110" s="250" t="str">
        <f t="shared" si="317"/>
        <v/>
      </c>
      <c r="DA110" s="250" t="str">
        <f t="shared" si="318"/>
        <v/>
      </c>
      <c r="DB110" s="250" t="str">
        <f t="shared" si="319"/>
        <v/>
      </c>
      <c r="DC110" s="250" t="str">
        <f t="shared" si="320"/>
        <v/>
      </c>
      <c r="DD110" s="250" t="str">
        <f t="shared" si="321"/>
        <v/>
      </c>
      <c r="DE110" s="250" t="str">
        <f t="shared" si="322"/>
        <v/>
      </c>
      <c r="DF110" s="250" t="str">
        <f t="shared" si="323"/>
        <v/>
      </c>
      <c r="DG110" s="250" t="str">
        <f t="shared" si="324"/>
        <v/>
      </c>
      <c r="DH110" s="250" t="str">
        <f t="shared" si="325"/>
        <v/>
      </c>
      <c r="DI110" s="250" t="str">
        <f t="shared" si="326"/>
        <v/>
      </c>
      <c r="DJ110" s="250" t="str">
        <f t="shared" si="327"/>
        <v/>
      </c>
      <c r="DK110" s="250" t="str">
        <f t="shared" si="328"/>
        <v/>
      </c>
      <c r="DL110" s="250" t="str">
        <f t="shared" si="329"/>
        <v/>
      </c>
      <c r="DM110" s="250" t="str">
        <f>IF(CD110="ERROR", "ERROR", IF(AND(OR(Y110=$DM$6, Y110='Lookup Tables'!$AD$21, Y110='Lookup Tables'!$AD$22), E110="Interior"), BJ110, ""))</f>
        <v/>
      </c>
      <c r="DN110" s="250" t="str">
        <f>IF(CD110="ERROR", "ERROR", IF(AND(OR(Y110=$DM$6, Y110='Lookup Tables'!$AD$21, Y110='Lookup Tables'!$AD$22), E110="Exterior"), BJ110, ""))</f>
        <v/>
      </c>
      <c r="DO110" s="249"/>
      <c r="DP110" s="250" t="str">
        <f t="shared" si="330"/>
        <v/>
      </c>
      <c r="DQ110" s="250" t="str">
        <f t="shared" si="371"/>
        <v/>
      </c>
      <c r="DR110" s="250" t="str">
        <f t="shared" si="372"/>
        <v/>
      </c>
      <c r="DS110" s="250" t="str">
        <f t="shared" si="373"/>
        <v/>
      </c>
      <c r="DT110" s="250" t="str">
        <f t="shared" si="374"/>
        <v/>
      </c>
      <c r="DU110" s="250" t="str">
        <f t="shared" si="331"/>
        <v/>
      </c>
      <c r="DV110" s="250" t="str">
        <f t="shared" si="332"/>
        <v/>
      </c>
      <c r="DW110" s="250" t="str">
        <f t="shared" si="333"/>
        <v/>
      </c>
      <c r="DX110" s="250" t="str">
        <f t="shared" si="334"/>
        <v/>
      </c>
      <c r="DY110" s="250" t="str">
        <f t="shared" si="335"/>
        <v/>
      </c>
      <c r="DZ110" s="250" t="str">
        <f t="shared" si="336"/>
        <v/>
      </c>
      <c r="EA110" s="250" t="str">
        <f t="shared" si="337"/>
        <v/>
      </c>
      <c r="EB110" s="250" t="str">
        <f t="shared" si="375"/>
        <v/>
      </c>
      <c r="EC110" s="250" t="str">
        <f t="shared" si="338"/>
        <v/>
      </c>
      <c r="ED110" s="250" t="str">
        <f t="shared" si="339"/>
        <v/>
      </c>
      <c r="EE110" s="250" t="str">
        <f t="shared" si="340"/>
        <v/>
      </c>
      <c r="EF110" s="250" t="str">
        <f t="shared" si="341"/>
        <v/>
      </c>
      <c r="EG110" s="250" t="str">
        <f t="shared" si="342"/>
        <v/>
      </c>
      <c r="EH110" s="250" t="str">
        <f>IF(CD110="ERROR", "ERROR", IF(AND(OR($EH$6=Y110, Y110='Lookup Tables'!$AD$21, Y110='Lookup Tables'!$AD$22),E110="Interior"), SUM(BP110:BP110), ""))</f>
        <v/>
      </c>
      <c r="EI110" s="250" t="str">
        <f>IF(CD110="ERROR", "ERROR", IF(AND(OR($EH$6=Y110, Y110='Lookup Tables'!$AD$21, Y110='Lookup Tables'!$AD$22),E110="Exterior"), SUM(BP110:BP110), ""))</f>
        <v/>
      </c>
      <c r="EJ110" s="109"/>
      <c r="EK110" s="485" t="str">
        <f t="shared" si="343"/>
        <v/>
      </c>
      <c r="EL110" s="252" t="str">
        <f t="shared" si="376"/>
        <v/>
      </c>
      <c r="EM110" s="252" t="str">
        <f t="shared" si="377"/>
        <v/>
      </c>
      <c r="EN110" s="252" t="str">
        <f t="shared" si="378"/>
        <v/>
      </c>
      <c r="EO110" s="252" t="str">
        <f t="shared" si="379"/>
        <v/>
      </c>
      <c r="EP110" s="252" t="str">
        <f t="shared" si="380"/>
        <v/>
      </c>
      <c r="EQ110" s="252" t="str">
        <f t="shared" si="381"/>
        <v/>
      </c>
      <c r="ER110" s="252" t="str">
        <f t="shared" si="382"/>
        <v/>
      </c>
      <c r="ES110" s="252" t="str">
        <f t="shared" si="383"/>
        <v/>
      </c>
      <c r="ET110" s="252" t="str">
        <f t="shared" si="384"/>
        <v/>
      </c>
      <c r="EU110" s="252" t="str">
        <f t="shared" si="385"/>
        <v/>
      </c>
      <c r="EV110" s="252" t="str">
        <f t="shared" si="386"/>
        <v/>
      </c>
      <c r="EW110" s="252" t="str">
        <f t="shared" si="387"/>
        <v/>
      </c>
      <c r="EX110" s="252" t="str">
        <f t="shared" si="388"/>
        <v/>
      </c>
      <c r="EY110" s="252" t="str">
        <f t="shared" si="389"/>
        <v/>
      </c>
      <c r="EZ110" s="252" t="str">
        <f t="shared" si="390"/>
        <v/>
      </c>
      <c r="FA110" s="252" t="str">
        <f t="shared" si="391"/>
        <v/>
      </c>
      <c r="FB110" s="252" t="str">
        <f t="shared" si="392"/>
        <v/>
      </c>
      <c r="FC110" s="252" t="str">
        <f>IF(CD110="ERROR", "ERROR", IF(OR(V110="No Change", V110="Not DLC or Energy Star"), "", IF(AND(OR($FC$6=Y110,Y110='Lookup Tables'!$AD$21, Y110='Lookup Tables'!$AD$22),E110="Interior"), S110, "")))</f>
        <v/>
      </c>
      <c r="FD110" s="252" t="str">
        <f t="shared" si="393"/>
        <v/>
      </c>
      <c r="FE110" s="1"/>
      <c r="FF110" s="579" t="str" cm="1">
        <f t="array" ref="FF110">IFERROR(IF(OR(BQ110&lt;=0,AQ110&lt;20,AND(V110="Exit Signs",AN110&gt;0)),"",IF(AND(AQ110&gt;=20,AN110='Lookup Tables'!$R$101),'Lookup Tables'!$U$101*BQ110,AP110*LOOKUP(2,1/((AN110='Lookup Tables'!$R$91:$R$111)*(AQ110&gt;='Lookup Tables'!$S$91:$S$111)*(AQ110&lt;='Lookup Tables'!$T$91:$T$111)),'Lookup Tables'!$U$91:$U$111))),"")</f>
        <v/>
      </c>
      <c r="FG110" s="579"/>
      <c r="FH110" s="579"/>
      <c r="FI110" s="253" t="str">
        <f>IFERROR(ROUND(IF(CD110="ERROR", "ERROR", IF(AND($FI$7=X110,E110="Interior"),VLOOKUP(W110, 'Lookup Tables'!$AI$6:$AM$102, 5, FALSE)*BP110, "")), 2), "")</f>
        <v/>
      </c>
      <c r="FJ110" s="253" t="str">
        <f>IFERROR(ROUND(IF(CD110="ERROR", "ERROR", IF(AND($FI$7=X110,E110="Exterior"),VLOOKUP(W110, 'Lookup Tables'!$AI$6:$AM$102, 5, FALSE)*BP110, "")), 2), "")</f>
        <v/>
      </c>
      <c r="FK110" s="253" t="str">
        <f>IFERROR(ROUND(IF(CD110="ERROR", "ERROR", IF(AND($FK$7=X110,E110="Interior"),VLOOKUP(W110, 'Lookup Tables'!$AI$6:$AM$102, 5, FALSE)*BP110, "")), 2), "")</f>
        <v/>
      </c>
      <c r="FL110" s="253" t="str">
        <f>IFERROR(ROUND(IF(CD110="ERROR", "ERROR", IF(AND($FK$7=X110,E110="Exterior"),VLOOKUP(W110, 'Lookup Tables'!$AI$6:$AM$102, 5, FALSE)*BP110, "")), 2), "")</f>
        <v/>
      </c>
      <c r="FM110" s="253" t="str">
        <f>IFERROR(ROUND(IF(CD110="ERROR", "ERROR", IF(AND($FM$6=Y110,E110="Interior"), IF(GB110=0, VLOOKUP(W110, 'Lookup Tables'!$AI$6:$AM$102, 5, FALSE)*BP110, IF(VLOOKUP(W110, 'Lookup Tables'!$AI$6:$AM$102, 5, FALSE)*BP110&gt;GB110*'Lighting Inventory'!S110, GB110*'Lighting Inventory'!S110,VLOOKUP(W110, 'Lookup Tables'!$AI$6:$AM$102, 5, FALSE)*BP110)), "")), 2), "")</f>
        <v/>
      </c>
      <c r="FN110" s="253" t="str">
        <f>IFERROR(ROUND(IF(CD110="ERROR", "ERROR", IF(AND($FM$6=Y110,E110="Exterior"), IF(GB110=0, VLOOKUP(W110, 'Lookup Tables'!$AI$6:$AM$102, 5, FALSE)*BP110, IF(VLOOKUP(W110, 'Lookup Tables'!$AI$6:$AM$102, 5, FALSE)*BP110&gt;GB110*'Lighting Inventory'!S110, GB110*'Lighting Inventory'!S110,VLOOKUP(W110, 'Lookup Tables'!$AI$6:$AM$102, 5, FALSE)*BP110)), "")), 2), "")</f>
        <v/>
      </c>
      <c r="FO110" s="253" t="str">
        <f>IFERROR(ROUND(IF(CD110="ERROR", "ERROR", IF(AND($FO$6=Y110,E110="Interior"),VLOOKUP(W110, 'Lookup Tables'!$AI$6:$AM$102, 5, FALSE)*'Lighting Inventory'!AI110, "")), 2), "")</f>
        <v/>
      </c>
      <c r="FP110" s="253" t="str">
        <f>IFERROR(ROUND(IF(CD110="ERROR", "ERROR", IF(AND($FO$6=Y110,E110="Exterior"),VLOOKUP(W110, 'Lookup Tables'!$AI$6:$AM$102, 5, FALSE)*'Lighting Inventory'!AI110, "")), 2), "")</f>
        <v/>
      </c>
      <c r="FQ110" s="253" t="str">
        <f>IFERROR(ROUND(IF(CD110="ERROR", "ERROR", IF(AND($FQ$6=Y110,E110="Interior", BU110="Y"), VLOOKUP('Lighting Inventory'!W110, 'Lookup Tables'!$AI$6:$AM$102, 5, FALSE)*'Lighting Inventory'!S110, IF(AND($FQ$7=Y110,E110="Interior", BU110="N"), 0.025*CD110, ""))), 2), "")</f>
        <v/>
      </c>
      <c r="FR110" s="253" t="str">
        <f>IFERROR(ROUND(IF(CD110="ERROR", "ERROR", IF(AND($FQ$6=Y110,E110="Exterior"), VLOOKUP('Lighting Inventory'!W110, 'Lookup Tables'!$AI$6:$AM$102, 5, FALSE)*'Lighting Inventory'!S110, "")), 2), "")</f>
        <v/>
      </c>
      <c r="FS110" s="253" t="str">
        <f>IFERROR(ROUND(IF(CD110="ERROR", "ERROR", IF(AND($FS$6=Y110,E110="Exterior"), IF(GB110=0, VLOOKUP(W110, 'Lookup Tables'!$AI$6:$AM$102, 5, FALSE)*BP110, IF(VLOOKUP(W110, 'Lookup Tables'!$AI$6:$AM$102, 5, FALSE)*BP110&gt;GB110*'Lighting Inventory'!S110, GB110*'Lighting Inventory'!S110,VLOOKUP(W110, 'Lookup Tables'!$AI$6:$AM$102, 5, FALSE)*BP110)), "")), 2), "")</f>
        <v/>
      </c>
      <c r="FT110" s="253" t="str">
        <f>IFERROR(ROUND(IF(CD110="ERROR", "ERROR", IF(AND($FT$6=Y110,E110="Interior"), IF(GB110=0, VLOOKUP(W110, 'Lookup Tables'!$AI$6:$AM$102, 5, FALSE)*BP110, IF(VLOOKUP(W110, 'Lookup Tables'!$AI$6:$AM$102, 5, FALSE)*BP110&gt;GB110*'Lighting Inventory'!S110, GB110*'Lighting Inventory'!S110,VLOOKUP(W110, 'Lookup Tables'!$AI$6:$AM$102, 5, FALSE)*BP110)), "")), 2), "")</f>
        <v/>
      </c>
      <c r="FU110" s="253" t="str">
        <f>IFERROR(ROUND(IF(CD110="ERROR", "ERROR", IF(AND(Y110=$FU$6, E110="Interior"), IF(BS110="N", 'Lookup Tables'!$AM$101*BP110, VLOOKUP(W110, 'Lookup Tables'!$AI$6:$AM$102, 5, FALSE)*S110*AD110), "")), 2), "")</f>
        <v/>
      </c>
      <c r="FV110" s="253" t="str">
        <f>IFERROR(ROUND(IF(CD110="ERROR", "ERROR", IF(AND(Y110=$FU$6, E110="Exterior"), IF(BS110="N", 'Lookup Tables'!$AM$101*BP110, VLOOKUP(W110, 'Lookup Tables'!$AI$6:$AM$102, 5, FALSE)*S110*AD110), "")), 2), "")</f>
        <v/>
      </c>
      <c r="FW110" s="253" t="str">
        <f>IFERROR(ROUND(IF(CD110="ERROR", "ERROR", IF($FW$6=Y110, IF(BS110="N", 'Lookup Tables'!$AM$101*BP110, MIN((VLOOKUP(W110, 'Lookup Tables'!$AI$6:$AM$102, 5, FALSE)*BP110),GB110*AJ110)), "")), 2), "")</f>
        <v/>
      </c>
      <c r="FX110" s="253" t="str">
        <f>IFERROR(ROUND(IF(CD110="ERROR", "ERROR", IF(AND($FX$6=Y110, E110="Interior"), IF(VLOOKUP(W110, 'Lookup Tables'!$AI$6:$AM$102, 5, FALSE)*BP110&gt;'Lookup Tables'!$AQ$97*'Lighting Inventory'!S110,'Lighting Inventory'!S110*'Lookup Tables'!$AQ$97,VLOOKUP(W110, 'Lookup Tables'!$AI$6:$AM$102, 5, FALSE)*BP110), "")), 2), "")</f>
        <v/>
      </c>
      <c r="FY110" s="253" t="str">
        <f>IFERROR(ROUND(IF(CD110="ERROR", "ERROR", IF(AND($FX$6=Y110, E110="Exterior"), IF(VLOOKUP(W110, 'Lookup Tables'!$AI$6:$AM$102, 5, FALSE)*BP110&gt;'Lookup Tables'!$AQ$97*'Lighting Inventory'!S110,'Lighting Inventory'!S110*'Lookup Tables'!$AQ$97,VLOOKUP(W110, 'Lookup Tables'!$AI$6:$AM$102, 5, FALSE)*BP110), "")), 2), "")</f>
        <v/>
      </c>
      <c r="FZ110" s="253" t="str">
        <f>IFERROR(ROUND(IF(CD110="ERROR", "ERROR", IF(AND($FZ$6=Y110, E110="Interior"), IF(AND(OR(W110="Refrigerated Case Lighting with Doors", W110="Freezer Case Lighting"),Y110="Custom - Process Improvement"),CD110*'Lookup Tables'!$AM$101, IF(B110="Retrofit", IF(VLOOKUP(IF(V110="Custom", V110, W110), 'Lookup Tables'!$AI$6:$AM$102, 5, FALSE)*BP110&gt;GE110, GE110, VLOOKUP(IF(V110="Custom", V110, W110), 'Lookup Tables'!$AI$6:$AM$102, 5, FALSE)*BP110), IF(VLOOKUP(IF(V110="Custom", V110, W110), 'Lookup Tables'!$AI$114:$AM$154, 5, FALSE)*BP110&gt;GE110, GE110, VLOOKUP(IF(V110="Custom", V110, W110), 'Lookup Tables'!$AI$114:$AM$154, 5, FALSE)*BP110))), "")), 2),"")</f>
        <v/>
      </c>
      <c r="GA110" s="253" t="str">
        <f>IFERROR(ROUND(IF(CD110="ERROR", "ERROR", IF(AND($FZ$6=Y110, E110="Exterior"), IF(B110="Retrofit", IF(VLOOKUP(IF(V110="Custom", V110, W110), 'Lookup Tables'!$AI$6:$AM$102, 5, FALSE)*BP110&gt;GE110, GE110, VLOOKUP(IF(V110="Custom", V110, W110), 'Lookup Tables'!$AI$6:$AM$102, 5, FALSE)*BP110), IF(VLOOKUP(IF(V110="Custom", V110, W110), 'Lookup Tables'!$AI$114:$AM$154, 5, FALSE)*BP110&gt;GE110, GE110, VLOOKUP(IF(V110="Custom", V110, W110), 'Lookup Tables'!$AI$114:$AM$154, 5, FALSE)*BP110)), "")), 2),"")</f>
        <v/>
      </c>
      <c r="GB110" s="254" t="str">
        <f t="array" ref="GB110">IF(B110="","",IF(OR(V110="Custom",V110="No Change"),0,IF(B110="Retrofit", INDEX('Lookup Tables'!$AH$6:$AQ$102,MATCH(1,('Lookup Tables'!$AH$6:$AH$102='Lighting Inventory'!V110)*('Lookup Tables'!$AI$6:$AI$102='Lighting Inventory'!W110),FALSE),10),INDEX('Lookup Tables'!$AH$114:$AQ$154,MATCH(1,('Lookup Tables'!$AH$114:$AH$154='Lighting Inventory'!V110)*('Lookup Tables'!$AI$114:$AI$154='Lighting Inventory'!W110),FALSE),10))))</f>
        <v/>
      </c>
      <c r="GC110" s="255" t="str">
        <f t="shared" si="344"/>
        <v/>
      </c>
      <c r="GD110" s="250" t="str">
        <f t="shared" si="345"/>
        <v/>
      </c>
      <c r="GE110" s="253" t="str">
        <f>IFERROR(IF(AND(AF110="", 'General Information'!$F$18="No"),"", IF(AF110="", ((GD110/$CD$266)*$CF$266)*0.5, AF110*S110*0.5)), "")</f>
        <v/>
      </c>
      <c r="GF110" s="255" t="str">
        <f>IF(AND('General Information'!$F$19="", 'General Information'!$F$18="Yes",AF110="",BW110="Y"), "Y", "N")</f>
        <v>N</v>
      </c>
      <c r="GG110" s="255" t="s">
        <v>2946</v>
      </c>
      <c r="GH110" s="255" t="str">
        <f>IFERROR(IF(B110="", "", VLOOKUP(J110, 'Fixture Identities'!$A$6:$N$908, 14, FALSE)), "")</f>
        <v/>
      </c>
      <c r="GI110" s="389" t="str">
        <f>IF(OR(B110="", V110="", W110=""), "", IF(AND(OR(M110='Lookup Tables'!$R$18, M110='Lookup Tables'!$R$19, M110='Lookup Tables'!$R$20, M110='Lookup Tables'!$R$21, M110='Lookup Tables'!$R$22), OR(AN110='Lookup Tables'!$R$17, AN110='Lookup Tables'!$R$17, AN110="")), "Y", "N"))</f>
        <v/>
      </c>
      <c r="GJ110" s="255" t="str">
        <f t="shared" si="346"/>
        <v/>
      </c>
      <c r="GK110" s="255" t="str">
        <f t="shared" si="347"/>
        <v/>
      </c>
      <c r="GL110" s="255" t="str">
        <f t="shared" si="348"/>
        <v/>
      </c>
      <c r="GM110" s="255" t="str">
        <f>IF(AN110="", "", IF(AND(IF(ISNA(VLOOKUP(AN110,'Lookup Tables'!$R$18:$R$22,1,FALSE)), "N", "Y")="Y", E110="Exterior"), "Y", "N"))</f>
        <v/>
      </c>
      <c r="GN110" s="395"/>
      <c r="GO110" s="428">
        <f t="shared" si="394"/>
        <v>0</v>
      </c>
      <c r="GP110" s="428">
        <f t="shared" si="397"/>
        <v>0</v>
      </c>
      <c r="GQ110" s="428">
        <f t="shared" si="395"/>
        <v>0</v>
      </c>
      <c r="GR110" s="428">
        <f t="shared" si="396"/>
        <v>0</v>
      </c>
    </row>
    <row r="111" spans="1:200" s="103" customFormat="1" ht="13.5" customHeight="1" x14ac:dyDescent="0.2">
      <c r="A111" s="272">
        <v>101</v>
      </c>
      <c r="B111" s="110"/>
      <c r="C111" s="110"/>
      <c r="D111" s="110"/>
      <c r="E111" s="110"/>
      <c r="F111" s="110"/>
      <c r="G111" s="110"/>
      <c r="H111" s="110"/>
      <c r="I111" s="29"/>
      <c r="J111" s="29"/>
      <c r="K111" s="272" t="str">
        <f>IFERROR(IF(OR(VLOOKUP(J111, 'Fixture Identities'!$A$6:$L$1023, 3, FALSE)="T12 Linear Fluorescent", VLOOKUP(J111, 'Fixture Identities'!$A$6:$L$1023, 3, FALSE)="T12 U-Tube Fluorescent"), VLOOKUP(VLOOKUP(J111, 'Fixture Identities'!$A$6:$L$1023, 11, FALSE), 'Fixture Identities'!$A$6:$L$1023, 10, FALSE), VLOOKUP(J111, 'Fixture Identities'!$A$6:$L$1023, 10, FALSE)), "")</f>
        <v/>
      </c>
      <c r="L111" s="270" t="str">
        <f t="shared" si="399"/>
        <v/>
      </c>
      <c r="M111" s="110"/>
      <c r="N111" s="110"/>
      <c r="O111" s="110"/>
      <c r="P111" s="272" t="str">
        <f>IFERROR(IF(OR(B111="Retrofit",B111=""),"",IF('Lighting Inventory'!E111="Exterior",VLOOKUP('Lighting Inventory'!N111,'Lookup Tables'!$B$83:$F$103,5,FALSE),IF(N111="Other - Please Estimate EFLH and CFs","Contact Prog. Rep.","ft^2"))), "")</f>
        <v/>
      </c>
      <c r="Q111" s="270" t="str">
        <f>IFERROR(IF(AND(B111="New Construction",E111="Interior",$F$5="Space-by-Space"),VLOOKUP('Lighting Inventory'!N111,'Lookup Tables'!$N$6:$O$97,2,FALSE),IF(AND(B111="New Construction",E111="Exterior"),VLOOKUP(N111,'Lookup Tables'!$B$83:$F$103,2,FALSE),IF(AND(B111="New Construction",'Lighting Inventory'!E111="Interior", $F$5="Building Area"),VLOOKUP(F111,'Lookup Tables'!$A$6:$J$59,10,FALSE),""))), "")</f>
        <v/>
      </c>
      <c r="R111" s="270" t="str">
        <f>IFERROR(IF(P111="Contact Prog. Rep.", "ERROR", IF(OR(B111="",B111="Retrofit"),"",IF(N111="Automated teller machines", ('Lookup Tables'!$A$82:$E$100+('Lighting Inventory'!O111-1)*'Lookup Tables'!$A$82:$E$100)/1000, (Q111*O111)/1000))), "")</f>
        <v/>
      </c>
      <c r="S111" s="595"/>
      <c r="T111" s="105" t="str">
        <f t="shared" si="349"/>
        <v/>
      </c>
      <c r="U111" s="105" t="str">
        <f>IF(S111="","",COUNT($S$11:S111))</f>
        <v/>
      </c>
      <c r="V111" s="111"/>
      <c r="W111" s="112"/>
      <c r="X111" s="105" t="str">
        <f t="shared" si="350"/>
        <v/>
      </c>
      <c r="Y111" s="105" t="str">
        <f t="array" ref="Y111">IF(AND(OR(W111="Freezer Case Lighting", W111="Refrigerated Case Lighting with Doors"), 'General Information'!$X$18="LCI"),'Lookup Tables'!$Y$34, IF(V111="Custom", VLOOKUP(W111, 'Fixture Identities'!$A$974:$M$1023, 13, FALSE), IF(V111="No Change",'Lookup Tables'!$Y$29,IF(OR(V111="",W111=""),"",IF(AND(S111=0,S111&lt;I111,B111="Retrofit"),'Lookup Tables'!$Y$25, IF(B111="Retrofit", INDEX('Lookup Tables'!$AH$6:$AP$102, MATCH(1, ('Lookup Tables'!$AH$6:$AH$102=V111)*('Lookup Tables'!$AI$6:$AI$102=W111), 0), IF('Lighting Inventory'!E111="Interior", 4, 5)), INDEX('Lookup Tables'!$AH$114:$AP$154, MATCH(1, ('Lookup Tables'!$AH$114:$AH$154=V111)*('Lookup Tables'!$AI$114:$AI$154=W111), 0), IF('Lighting Inventory'!E111="Interior", 4, 5))))))))</f>
        <v/>
      </c>
      <c r="Z111" s="105" t="str">
        <f>IFERROR(INDEX('Lookup Tables'!$AH$158:$AH$172,MATCH('Lighting Inventory'!Y111,'Lookup Tables'!$AI$158:$AI$172,0)),"")</f>
        <v/>
      </c>
      <c r="AA111" s="105" t="str">
        <f>IF(AP111&gt;0,INDEX('Lookup Tables'!$AK$158:$AK$172,MATCH('Lighting Inventory'!Y111,'Lookup Tables'!$AI$158:$AI$172,0)),'Lighting Inventory'!Y111)</f>
        <v/>
      </c>
      <c r="AB111" s="105" t="str">
        <f t="array" ref="AB111">IF(V111="Custom", "Custom", IF(V111="", "", IF(V111="Not DLC or Energy Star", "General", IF(B111="New Construction", INDEX('Lookup Tables'!$AH$114:$AP$154,MATCH(1,('Lookup Tables'!$AH$114:$AH$154='Lighting Inventory'!V111)*('Lookup Tables'!$AI$114:$AI$154='Lighting Inventory'!W111),FALSE),8), INDEX('Lookup Tables'!$AH$6:$AP$102,MATCH(1,('Lookup Tables'!$AH$6:$AH$102='Lighting Inventory'!V111)*('Lookup Tables'!$AI$6:$AI$102='Lighting Inventory'!W111),FALSE),8)))))</f>
        <v/>
      </c>
      <c r="AC111" s="272" t="str">
        <f>IF(W111="","",IF(V111="Custom",CONCATENATE("$",'Lookup Tables'!$AM$101," ",'Lookup Tables'!$AN$101),CONCATENATE("$",INDEX('Lookup Tables'!$AM$6:$AM$102,MATCH('Lighting Inventory'!W111,'Lookup Tables'!$AI$6:$AI$102,0))," ",INDEX('Lookup Tables'!$AN$6:$AN$102,MATCH('Lighting Inventory'!W111,'Lookup Tables'!$AI$6:$AI$102,0)))))</f>
        <v/>
      </c>
      <c r="AD111" s="72"/>
      <c r="AE111" s="29"/>
      <c r="AF111" s="379"/>
      <c r="AG111" s="370" t="str">
        <f t="shared" si="298"/>
        <v/>
      </c>
      <c r="AH111" s="370" t="str">
        <f t="shared" si="351"/>
        <v/>
      </c>
      <c r="AI111" s="29"/>
      <c r="AJ111" s="29"/>
      <c r="AK111" s="110"/>
      <c r="AL111" s="375" t="str">
        <f>IF(OR(B111="", V111="", W111=""), "", IF(V111="No Change", K111, IF(V111="Remove Fixture", 0, IF(V111="Custom",VLOOKUP(W111,'Fixture Identities'!$A$6:$K$1023,10,FALSE),IF(AE111="", "← ENTER POST WATTS", 'Lighting Inventory'!AE111)))))</f>
        <v/>
      </c>
      <c r="AM111" s="376" t="str">
        <f t="shared" si="299"/>
        <v/>
      </c>
      <c r="AN111" s="29"/>
      <c r="AO111" s="671"/>
      <c r="AP111" s="29"/>
      <c r="AQ111" s="29"/>
      <c r="AR111" s="29"/>
      <c r="AS111" s="272" t="str">
        <f t="shared" si="352"/>
        <v/>
      </c>
      <c r="AT111" s="270" t="str">
        <f t="shared" si="300"/>
        <v/>
      </c>
      <c r="AU111" s="88" t="str">
        <f t="shared" si="400"/>
        <v/>
      </c>
      <c r="AV111" s="29"/>
      <c r="AW111" s="73"/>
      <c r="AX111" s="271" t="str">
        <f>IF(AND(AV111="Applicant",OR(AW111="", AW111="Use Default Facility Hours")),"← Choose Schedule",IF(F111="","",IF(W111="LED Exit Signs",8760,IF(OR(AV111="Prescribed",AV111=""),VLOOKUP(F111,'Lookup Tables'!$A$6:$G$59,IF(AB111="General", 6, 3),FALSE),VLOOKUP(AW111,'Lookup Tables'!$S$36:$U$43,2,FALSE)))))</f>
        <v/>
      </c>
      <c r="AY111" s="88" t="str">
        <f t="shared" si="301"/>
        <v/>
      </c>
      <c r="AZ111" s="270" t="str">
        <f>IFERROR(IF(F111="", "", IF(W111="LED Exit Signs", 1, IF(AV111="Applicant",VLOOKUP(AW111, 'Lookup Tables'!$S$36:$U$43,3, FALSE), VLOOKUP('Lighting Inventory'!F111, 'Lookup Tables'!$A$6:$H$59, IF('Lighting Inventory'!AB111="General",7,4), FALSE)))), "")</f>
        <v/>
      </c>
      <c r="BA111" s="522" t="str">
        <f>IFERROR(IF(F111="", "", IF(W111="LED Exit Signs", 1, VLOOKUP('Lighting Inventory'!F111, 'Lookup Tables'!$A$6:$H$59, IF('Lighting Inventory'!AB111="General",8,5), FALSE))), "")</f>
        <v/>
      </c>
      <c r="BB111" s="270" t="str">
        <f>IF(G111="", "", IF(E111="Exterior", 0, IF('Lighting Inventory'!G111="Air Conditioned", VLOOKUP(H111, 'Lookup Tables'!$R$6:$T$13, 2, FALSE), VLOOKUP('Lighting Inventory'!G111, 'Lookup Tables'!$R$6:$T$13, 2, FALSE))))</f>
        <v/>
      </c>
      <c r="BC111" s="522" t="str">
        <f>IF(G111="", "", IF(E111="Exterior", 0, IF('Lighting Inventory'!G111="Air Conditioned", VLOOKUP(H111, 'Lookup Tables'!$R$6:$T$13, 3, FALSE), VLOOKUP('Lighting Inventory'!G111, 'Lookup Tables'!$R$6:$T$13, 3, FALSE))))</f>
        <v/>
      </c>
      <c r="BD111" s="270" t="str">
        <f>IF(G111="", "", IF(E111="Exterior", 0, IF('Lighting Inventory'!G111="Air Conditioned", VLOOKUP(H111, 'Lookup Tables'!$R$6:$U$13, 4, FALSE), VLOOKUP('Lighting Inventory'!G111, 'Lookup Tables'!$R$6:$U$13, 4, FALSE))))</f>
        <v/>
      </c>
      <c r="BE111" s="270" t="str">
        <f>IFERROR(IF(B111="", "",  IF(B111="New Construction", VLOOKUP(F111, 'Lookup Tables'!$A$6:$K$59, 11, FALSE),IF(OR(AN111="", AN111="Light Switch"), 0, IF(OR(M111="",M111="None",V111= "LED Exit Signs"),0,_xlfn.XLOOKUP(M111,'Lookup Tables'!$R$91:$R$101,'Lookup Tables'!$V$91:$V$101))))), "")</f>
        <v/>
      </c>
      <c r="BF111" s="270" t="str">
        <f>IF(AND(OR(AN111="Light Switch",AN111=""),B111="New Construction"), VLOOKUP(F111, 'Lookup Tables'!$A$6:$K$59, 11, FALSE),IF(AN111="","",IF(B111="","",IF(OR(AN111="None",AN111="",V111="LED Exit Signs",AN111="Exterior Controls Not Eligible"),0,_xlfn.XLOOKUP(AN111,'Lookup Tables'!$R$91:$R$101,'Lookup Tables'!$V$91:$V$101)))))</f>
        <v/>
      </c>
      <c r="BG111" s="88" t="str">
        <f t="shared" si="353"/>
        <v/>
      </c>
      <c r="BH111" s="88" t="str">
        <f t="shared" si="354"/>
        <v/>
      </c>
      <c r="BI111" s="558" t="str">
        <f t="shared" si="398"/>
        <v/>
      </c>
      <c r="BJ111" s="82" t="str">
        <f t="shared" si="355"/>
        <v/>
      </c>
      <c r="BK111" s="82" t="str">
        <f t="shared" si="356"/>
        <v/>
      </c>
      <c r="BL111" s="559" t="str">
        <f t="shared" si="357"/>
        <v/>
      </c>
      <c r="BM111" s="521" t="str">
        <f t="shared" si="302"/>
        <v/>
      </c>
      <c r="BN111" s="521" t="str">
        <f t="shared" si="303"/>
        <v/>
      </c>
      <c r="BO111" s="522" t="str">
        <f t="shared" si="304"/>
        <v/>
      </c>
      <c r="BP111" s="83" t="str">
        <f t="shared" si="358"/>
        <v/>
      </c>
      <c r="BQ111" s="84" t="str">
        <f t="shared" si="359"/>
        <v/>
      </c>
      <c r="BR111" s="184" t="str">
        <f>IFERROR(IF(B111="", "", IF(OR(VLOOKUP(J111, 'Fixture Identities'!$A$6:$L$1023, 3, FALSE)="T12 Linear Fluorescent",VLOOKUP(J111, 'Fixture Identities'!$A$6:$L$1023, 3, FALSE)="T12 U-Tube Fluorescent"), "Y", "N")), "N")</f>
        <v/>
      </c>
      <c r="BS111" s="184" t="str">
        <f t="array" ref="BS111">IFERROR(IF(OR(B111="", V111="", W111=""), "", IF(V111="Custom", "N", IF(OR(W111="Freezer Case Lighting", W111="Refrigerated Case Lighting with Doors"), BT111, IF(B111="Retrofit", INDEX('Lookup Tables'!$AH$6:$AT$102,MATCH(1,('Lookup Tables'!$AH$6:$AH$102=V111)*('Lookup Tables'!$AI$6:$AI$102=W111),FALSE),IF(VLOOKUP(J111, 'Fixture Identities'!$A$6:$B$1023, 2, FALSE)="Incandescent",12, 13)), INDEX('Lookup Tables'!$AH$114:$AS$154,MATCH(1,('Lookup Tables'!$AH$114:$AH$154=V111)*('Lookup Tables'!$AI$114:$AI$154=W111),FALSE),12))))), "N")</f>
        <v/>
      </c>
      <c r="BT111" s="184" t="str">
        <f>IF(J111="", "", IF(AND(OR(W111="Freezer case Lighting", W111="Refrigerated Case Lighting with Doors"),'General Information'!$X$18="LCI"), "N", IF(OR(VLOOKUP(J111, 'Fixture Identities'!$A$6:$B$1023, 2, FALSE)="T12 EPACT/EISA Baseline", VLOOKUP(J111, 'Fixture Identities'!$A$6:$B$1023, 2, FALSE)="Linear Fluorescent", VLOOKUP(J111, 'Fixture Identities'!$A$6:$B$1023, 2, FALSE)="U-Tube Fluorescent"), "Y", "N")))</f>
        <v/>
      </c>
      <c r="BU111" s="184" t="str">
        <f>IFERROR(IF(B111="", "", IF(VLOOKUP(J111, 'Fixture Identities'!$A$6:$B$1023, 2, FALSE)="Exit Sign", "Y", "N")), "N")</f>
        <v/>
      </c>
      <c r="BV111" s="184" t="str">
        <f>IF(V111="Exit Signs", IF(VLOOKUP(J111, 'Fixture Identities'!$A$6:$B$1023, 2, FALSE)="Exit Sign", "N", "Y"), "")</f>
        <v/>
      </c>
      <c r="BW111" s="184" t="str">
        <f t="array" ref="BW111">IFERROR(IF(B111="", "", IF(B111="New Construction", "N", INDEX('Lookup Tables'!$AH$6:$AU$102, MATCH(1, ('Lookup Tables'!$AH$6:$AH$102='Lighting Inventory'!V111)*('Lookup Tables'!$AI$6:$AI$102='Lighting Inventory'!W111), 0), 14))), "N")</f>
        <v/>
      </c>
      <c r="BX111" s="598" t="str">
        <f t="shared" si="360"/>
        <v/>
      </c>
      <c r="BY111" s="598" t="str">
        <f t="shared" si="361"/>
        <v/>
      </c>
      <c r="BZ111" s="598" t="str">
        <f t="shared" si="362"/>
        <v/>
      </c>
      <c r="CA111" s="598" t="str">
        <f t="shared" si="363"/>
        <v/>
      </c>
      <c r="CB111" s="269" t="str">
        <f t="shared" si="364"/>
        <v/>
      </c>
      <c r="CC111" s="517" t="str">
        <f t="shared" si="365"/>
        <v/>
      </c>
      <c r="CD111" s="565" t="str">
        <f t="shared" si="305"/>
        <v/>
      </c>
      <c r="CE111" s="368">
        <v>0</v>
      </c>
      <c r="CF111" s="368" t="str" cm="1">
        <f t="array" ref="CF111">IFERROR(IF(V111="Custom", "$0.1 per kWh", IF(B111="New Construction", CONCATENATE("$",INDEX('Lookup Tables'!$AH$114:$AN$154,MATCH(1,('Lookup Tables'!$AH$114:$AH$154='Lighting Inventory'!V111)*('Lookup Tables'!$AI$114:$AI$154='Lighting Inventory'!W111),FALSE),6)," ",INDEX('Lookup Tables'!$AH$114:$AN$154,MATCH(1,('Lookup Tables'!$AH$114:$AH$154='Lighting Inventory'!V111)*('Lookup Tables'!$AI$114:$AI$154='Lighting Inventory'!W111),FALSE),7)), IF(AND(BU111="N", V111="Exit Signs"), "$0.025 per kWh", CONCATENATE("$",INDEX('Lookup Tables'!$AH$6:$AN$102,MATCH(1,('Lookup Tables'!$AH$6:$AH$102='Lighting Inventory'!V111)*('Lookup Tables'!$AI$6:$AI$102='Lighting Inventory'!W111),FALSE),6)," ",INDEX('Lookup Tables'!$AH$6:$AN$102,MATCH(1,('Lookup Tables'!$AH$6:$AH$102='Lighting Inventory'!V111)*('Lookup Tables'!$AI$6:$AI$102='Lighting Inventory'!W111),FALSE),7))))), "")</f>
        <v/>
      </c>
      <c r="CG111" s="366"/>
      <c r="CH111" s="248" t="str">
        <f t="shared" si="306"/>
        <v/>
      </c>
      <c r="CI111" s="248" t="str">
        <f t="shared" si="307"/>
        <v>Select_IE</v>
      </c>
      <c r="CJ111" s="248" t="str">
        <f t="shared" si="308"/>
        <v/>
      </c>
      <c r="CK111" s="248" t="str">
        <f t="shared" si="309"/>
        <v/>
      </c>
      <c r="CL111" s="248" t="str">
        <f t="shared" si="310"/>
        <v/>
      </c>
      <c r="CM111" s="248" t="str">
        <f>IFERROR(IF(B111="", "", IF(B111="New Construction", VLOOKUP(V111, 'Lookup Tables'!$AF$114:$AG$120, 2, FALSE), VLOOKUP(V111, 'Lookup Tables'!$AD$6:$AE$25, 2, FALSE))), "")</f>
        <v/>
      </c>
      <c r="CN111" s="248" t="str">
        <f t="shared" si="311"/>
        <v/>
      </c>
      <c r="CO111" s="248" t="str">
        <f t="shared" si="312"/>
        <v/>
      </c>
      <c r="CP111" s="592" t="str">
        <f t="shared" si="313"/>
        <v/>
      </c>
      <c r="CQ111" s="248" t="str">
        <f t="shared" si="366"/>
        <v/>
      </c>
      <c r="CR111" s="100"/>
      <c r="CS111" s="250" t="str">
        <f t="shared" si="314"/>
        <v/>
      </c>
      <c r="CT111" s="250" t="str">
        <f t="shared" si="367"/>
        <v/>
      </c>
      <c r="CU111" s="250" t="str">
        <f t="shared" si="368"/>
        <v/>
      </c>
      <c r="CV111" s="250" t="str">
        <f t="shared" si="369"/>
        <v/>
      </c>
      <c r="CW111" s="250" t="str">
        <f t="shared" si="370"/>
        <v/>
      </c>
      <c r="CX111" s="250" t="str">
        <f t="shared" si="315"/>
        <v/>
      </c>
      <c r="CY111" s="250" t="str">
        <f t="shared" si="316"/>
        <v/>
      </c>
      <c r="CZ111" s="250" t="str">
        <f t="shared" si="317"/>
        <v/>
      </c>
      <c r="DA111" s="250" t="str">
        <f t="shared" si="318"/>
        <v/>
      </c>
      <c r="DB111" s="250" t="str">
        <f t="shared" si="319"/>
        <v/>
      </c>
      <c r="DC111" s="250" t="str">
        <f t="shared" si="320"/>
        <v/>
      </c>
      <c r="DD111" s="250" t="str">
        <f t="shared" si="321"/>
        <v/>
      </c>
      <c r="DE111" s="250" t="str">
        <f t="shared" si="322"/>
        <v/>
      </c>
      <c r="DF111" s="250" t="str">
        <f t="shared" si="323"/>
        <v/>
      </c>
      <c r="DG111" s="250" t="str">
        <f t="shared" si="324"/>
        <v/>
      </c>
      <c r="DH111" s="250" t="str">
        <f t="shared" si="325"/>
        <v/>
      </c>
      <c r="DI111" s="250" t="str">
        <f t="shared" si="326"/>
        <v/>
      </c>
      <c r="DJ111" s="250" t="str">
        <f t="shared" si="327"/>
        <v/>
      </c>
      <c r="DK111" s="250" t="str">
        <f t="shared" si="328"/>
        <v/>
      </c>
      <c r="DL111" s="250" t="str">
        <f t="shared" si="329"/>
        <v/>
      </c>
      <c r="DM111" s="250" t="str">
        <f>IF(CD111="ERROR", "ERROR", IF(AND(OR(Y111=$DM$6, Y111='Lookup Tables'!$AD$21, Y111='Lookup Tables'!$AD$22), E111="Interior"), BJ111, ""))</f>
        <v/>
      </c>
      <c r="DN111" s="250" t="str">
        <f>IF(CD111="ERROR", "ERROR", IF(AND(OR(Y111=$DM$6, Y111='Lookup Tables'!$AD$21, Y111='Lookup Tables'!$AD$22), E111="Exterior"), BJ111, ""))</f>
        <v/>
      </c>
      <c r="DO111" s="100"/>
      <c r="DP111" s="250" t="str">
        <f t="shared" si="330"/>
        <v/>
      </c>
      <c r="DQ111" s="250" t="str">
        <f t="shared" si="371"/>
        <v/>
      </c>
      <c r="DR111" s="250" t="str">
        <f t="shared" si="372"/>
        <v/>
      </c>
      <c r="DS111" s="250" t="str">
        <f t="shared" si="373"/>
        <v/>
      </c>
      <c r="DT111" s="250" t="str">
        <f t="shared" si="374"/>
        <v/>
      </c>
      <c r="DU111" s="250" t="str">
        <f t="shared" si="331"/>
        <v/>
      </c>
      <c r="DV111" s="250" t="str">
        <f t="shared" si="332"/>
        <v/>
      </c>
      <c r="DW111" s="250" t="str">
        <f t="shared" si="333"/>
        <v/>
      </c>
      <c r="DX111" s="250" t="str">
        <f t="shared" si="334"/>
        <v/>
      </c>
      <c r="DY111" s="250" t="str">
        <f t="shared" si="335"/>
        <v/>
      </c>
      <c r="DZ111" s="250" t="str">
        <f t="shared" si="336"/>
        <v/>
      </c>
      <c r="EA111" s="250" t="str">
        <f t="shared" si="337"/>
        <v/>
      </c>
      <c r="EB111" s="250" t="str">
        <f t="shared" si="375"/>
        <v/>
      </c>
      <c r="EC111" s="250" t="str">
        <f t="shared" si="338"/>
        <v/>
      </c>
      <c r="ED111" s="250" t="str">
        <f t="shared" si="339"/>
        <v/>
      </c>
      <c r="EE111" s="250" t="str">
        <f t="shared" si="340"/>
        <v/>
      </c>
      <c r="EF111" s="250" t="str">
        <f t="shared" si="341"/>
        <v/>
      </c>
      <c r="EG111" s="250" t="str">
        <f t="shared" si="342"/>
        <v/>
      </c>
      <c r="EH111" s="250" t="str">
        <f>IF(CD111="ERROR", "ERROR", IF(AND(OR($EH$6=Y111, Y111='Lookup Tables'!$AD$21, Y111='Lookup Tables'!$AD$22),E111="Interior"), SUM(BP111:BP111), ""))</f>
        <v/>
      </c>
      <c r="EI111" s="250" t="str">
        <f>IF(CD111="ERROR", "ERROR", IF(AND(OR($EH$6=Y111, Y111='Lookup Tables'!$AD$21, Y111='Lookup Tables'!$AD$22),E111="Exterior"), SUM(BP111:BP111), ""))</f>
        <v/>
      </c>
      <c r="EJ111" s="109"/>
      <c r="EK111" s="485" t="str">
        <f t="shared" si="343"/>
        <v/>
      </c>
      <c r="EL111" s="252" t="str">
        <f t="shared" si="376"/>
        <v/>
      </c>
      <c r="EM111" s="252" t="str">
        <f t="shared" si="377"/>
        <v/>
      </c>
      <c r="EN111" s="252" t="str">
        <f t="shared" si="378"/>
        <v/>
      </c>
      <c r="EO111" s="252" t="str">
        <f t="shared" si="379"/>
        <v/>
      </c>
      <c r="EP111" s="252" t="str">
        <f t="shared" si="380"/>
        <v/>
      </c>
      <c r="EQ111" s="252" t="str">
        <f t="shared" si="381"/>
        <v/>
      </c>
      <c r="ER111" s="252" t="str">
        <f t="shared" si="382"/>
        <v/>
      </c>
      <c r="ES111" s="252" t="str">
        <f t="shared" si="383"/>
        <v/>
      </c>
      <c r="ET111" s="252" t="str">
        <f t="shared" si="384"/>
        <v/>
      </c>
      <c r="EU111" s="252" t="str">
        <f t="shared" si="385"/>
        <v/>
      </c>
      <c r="EV111" s="252" t="str">
        <f t="shared" si="386"/>
        <v/>
      </c>
      <c r="EW111" s="252" t="str">
        <f t="shared" si="387"/>
        <v/>
      </c>
      <c r="EX111" s="252" t="str">
        <f t="shared" si="388"/>
        <v/>
      </c>
      <c r="EY111" s="252" t="str">
        <f t="shared" si="389"/>
        <v/>
      </c>
      <c r="EZ111" s="252" t="str">
        <f t="shared" si="390"/>
        <v/>
      </c>
      <c r="FA111" s="252" t="str">
        <f t="shared" si="391"/>
        <v/>
      </c>
      <c r="FB111" s="252" t="str">
        <f t="shared" si="392"/>
        <v/>
      </c>
      <c r="FC111" s="252" t="str">
        <f>IF(CD111="ERROR", "ERROR", IF(OR(V111="No Change", V111="Not DLC or Energy Star"), "", IF(AND(OR($FC$6=Y111,Y111='Lookup Tables'!$AD$21, Y111='Lookup Tables'!$AD$22),E111="Interior"), S111, "")))</f>
        <v/>
      </c>
      <c r="FD111" s="252" t="str">
        <f t="shared" si="393"/>
        <v/>
      </c>
      <c r="FE111" s="101"/>
      <c r="FF111" s="579" t="str" cm="1">
        <f t="array" ref="FF111">IFERROR(IF(OR(BQ111&lt;=0,AQ111&lt;20,AND(V111="Exit Signs",AN111&gt;0)),"",IF(AND(AQ111&gt;=20,AN111='Lookup Tables'!$R$101),'Lookup Tables'!$U$101*BQ111,AP111*LOOKUP(2,1/((AN111='Lookup Tables'!$R$91:$R$111)*(AQ111&gt;='Lookup Tables'!$S$91:$S$111)*(AQ111&lt;='Lookup Tables'!$T$91:$T$111)),'Lookup Tables'!$U$91:$U$111))),"")</f>
        <v/>
      </c>
      <c r="FG111" s="579"/>
      <c r="FH111" s="579"/>
      <c r="FI111" s="253" t="str">
        <f>IFERROR(ROUND(IF(CD111="ERROR", "ERROR", IF(AND($FI$7=X111,E111="Interior"),VLOOKUP(W111, 'Lookup Tables'!$AI$6:$AM$102, 5, FALSE)*BP111, "")), 2), "")</f>
        <v/>
      </c>
      <c r="FJ111" s="253" t="str">
        <f>IFERROR(ROUND(IF(CD111="ERROR", "ERROR", IF(AND($FI$7=X111,E111="Exterior"),VLOOKUP(W111, 'Lookup Tables'!$AI$6:$AM$102, 5, FALSE)*BP111, "")), 2), "")</f>
        <v/>
      </c>
      <c r="FK111" s="253" t="str">
        <f>IFERROR(ROUND(IF(CD111="ERROR", "ERROR", IF(AND($FK$7=X111,E111="Interior"),VLOOKUP(W111, 'Lookup Tables'!$AI$6:$AM$102, 5, FALSE)*BP111, "")), 2), "")</f>
        <v/>
      </c>
      <c r="FL111" s="253" t="str">
        <f>IFERROR(ROUND(IF(CD111="ERROR", "ERROR", IF(AND($FK$7=X111,E111="Exterior"),VLOOKUP(W111, 'Lookup Tables'!$AI$6:$AM$102, 5, FALSE)*BP111, "")), 2), "")</f>
        <v/>
      </c>
      <c r="FM111" s="253" t="str">
        <f>IFERROR(ROUND(IF(CD111="ERROR", "ERROR", IF(AND($FM$6=Y111,E111="Interior"), IF(GB111=0, VLOOKUP(W111, 'Lookup Tables'!$AI$6:$AM$102, 5, FALSE)*BP111, IF(VLOOKUP(W111, 'Lookup Tables'!$AI$6:$AM$102, 5, FALSE)*BP111&gt;GB111*'Lighting Inventory'!S111, GB111*'Lighting Inventory'!S111,VLOOKUP(W111, 'Lookup Tables'!$AI$6:$AM$102, 5, FALSE)*BP111)), "")), 2), "")</f>
        <v/>
      </c>
      <c r="FN111" s="253" t="str">
        <f>IFERROR(ROUND(IF(CD111="ERROR", "ERROR", IF(AND($FM$6=Y111,E111="Exterior"), IF(GB111=0, VLOOKUP(W111, 'Lookup Tables'!$AI$6:$AM$102, 5, FALSE)*BP111, IF(VLOOKUP(W111, 'Lookup Tables'!$AI$6:$AM$102, 5, FALSE)*BP111&gt;GB111*'Lighting Inventory'!S111, GB111*'Lighting Inventory'!S111,VLOOKUP(W111, 'Lookup Tables'!$AI$6:$AM$102, 5, FALSE)*BP111)), "")), 2), "")</f>
        <v/>
      </c>
      <c r="FO111" s="253" t="str">
        <f>IFERROR(ROUND(IF(CD111="ERROR", "ERROR", IF(AND($FO$6=Y111,E111="Interior"),VLOOKUP(W111, 'Lookup Tables'!$AI$6:$AM$102, 5, FALSE)*'Lighting Inventory'!AI111, "")), 2), "")</f>
        <v/>
      </c>
      <c r="FP111" s="253" t="str">
        <f>IFERROR(ROUND(IF(CD111="ERROR", "ERROR", IF(AND($FO$6=Y111,E111="Exterior"),VLOOKUP(W111, 'Lookup Tables'!$AI$6:$AM$102, 5, FALSE)*'Lighting Inventory'!AI111, "")), 2), "")</f>
        <v/>
      </c>
      <c r="FQ111" s="253" t="str">
        <f>IFERROR(ROUND(IF(CD111="ERROR", "ERROR", IF(AND($FQ$6=Y111,E111="Interior", BU111="Y"), VLOOKUP('Lighting Inventory'!W111, 'Lookup Tables'!$AI$6:$AM$102, 5, FALSE)*'Lighting Inventory'!S111, IF(AND($FQ$7=Y111,E111="Interior", BU111="N"), 0.025*CD111, ""))), 2), "")</f>
        <v/>
      </c>
      <c r="FR111" s="253" t="str">
        <f>IFERROR(ROUND(IF(CD111="ERROR", "ERROR", IF(AND($FQ$6=Y111,E111="Exterior"), VLOOKUP('Lighting Inventory'!W111, 'Lookup Tables'!$AI$6:$AM$102, 5, FALSE)*'Lighting Inventory'!S111, "")), 2), "")</f>
        <v/>
      </c>
      <c r="FS111" s="253" t="str">
        <f>IFERROR(ROUND(IF(CD111="ERROR", "ERROR", IF(AND($FS$6=Y111,E111="Exterior"), IF(GB111=0, VLOOKUP(W111, 'Lookup Tables'!$AI$6:$AM$102, 5, FALSE)*BP111, IF(VLOOKUP(W111, 'Lookup Tables'!$AI$6:$AM$102, 5, FALSE)*BP111&gt;GB111*'Lighting Inventory'!S111, GB111*'Lighting Inventory'!S111,VLOOKUP(W111, 'Lookup Tables'!$AI$6:$AM$102, 5, FALSE)*BP111)), "")), 2), "")</f>
        <v/>
      </c>
      <c r="FT111" s="253" t="str">
        <f>IFERROR(ROUND(IF(CD111="ERROR", "ERROR", IF(AND($FT$6=Y111,E111="Interior"), IF(GB111=0, VLOOKUP(W111, 'Lookup Tables'!$AI$6:$AM$102, 5, FALSE)*BP111, IF(VLOOKUP(W111, 'Lookup Tables'!$AI$6:$AM$102, 5, FALSE)*BP111&gt;GB111*'Lighting Inventory'!S111, GB111*'Lighting Inventory'!S111,VLOOKUP(W111, 'Lookup Tables'!$AI$6:$AM$102, 5, FALSE)*BP111)), "")), 2), "")</f>
        <v/>
      </c>
      <c r="FU111" s="253" t="str">
        <f>IFERROR(ROUND(IF(CD111="ERROR", "ERROR", IF(AND(Y111=$FU$6, E111="Interior"), IF(BS111="N", 'Lookup Tables'!$AM$101*BP111, VLOOKUP(W111, 'Lookup Tables'!$AI$6:$AM$102, 5, FALSE)*S111*AD111), "")), 2), "")</f>
        <v/>
      </c>
      <c r="FV111" s="253" t="str">
        <f>IFERROR(ROUND(IF(CD111="ERROR", "ERROR", IF(AND(Y111=$FU$6, E111="Exterior"), IF(BS111="N", 'Lookup Tables'!$AM$101*BP111, VLOOKUP(W111, 'Lookup Tables'!$AI$6:$AM$102, 5, FALSE)*S111*AD111), "")), 2), "")</f>
        <v/>
      </c>
      <c r="FW111" s="253" t="str">
        <f>IFERROR(ROUND(IF(CD111="ERROR", "ERROR", IF($FW$6=Y111, IF(BS111="N", 'Lookup Tables'!$AM$101*BP111, MIN((VLOOKUP(W111, 'Lookup Tables'!$AI$6:$AM$102, 5, FALSE)*BP111),GB111*AJ111)), "")), 2), "")</f>
        <v/>
      </c>
      <c r="FX111" s="253" t="str">
        <f>IFERROR(ROUND(IF(CD111="ERROR", "ERROR", IF(AND($FX$6=Y111, E111="Interior"), IF(VLOOKUP(W111, 'Lookup Tables'!$AI$6:$AM$102, 5, FALSE)*BP111&gt;'Lookup Tables'!$AQ$97*'Lighting Inventory'!S111,'Lighting Inventory'!S111*'Lookup Tables'!$AQ$97,VLOOKUP(W111, 'Lookup Tables'!$AI$6:$AM$102, 5, FALSE)*BP111), "")), 2), "")</f>
        <v/>
      </c>
      <c r="FY111" s="253" t="str">
        <f>IFERROR(ROUND(IF(CD111="ERROR", "ERROR", IF(AND($FX$6=Y111, E111="Exterior"), IF(VLOOKUP(W111, 'Lookup Tables'!$AI$6:$AM$102, 5, FALSE)*BP111&gt;'Lookup Tables'!$AQ$97*'Lighting Inventory'!S111,'Lighting Inventory'!S111*'Lookup Tables'!$AQ$97,VLOOKUP(W111, 'Lookup Tables'!$AI$6:$AM$102, 5, FALSE)*BP111), "")), 2), "")</f>
        <v/>
      </c>
      <c r="FZ111" s="253" t="str">
        <f>IFERROR(ROUND(IF(CD111="ERROR", "ERROR", IF(AND($FZ$6=Y111, E111="Interior"), IF(AND(OR(W111="Refrigerated Case Lighting with Doors", W111="Freezer Case Lighting"),Y111="Custom - Process Improvement"),CD111*'Lookup Tables'!$AM$101, IF(B111="Retrofit", IF(VLOOKUP(IF(V111="Custom", V111, W111), 'Lookup Tables'!$AI$6:$AM$102, 5, FALSE)*BP111&gt;GE111, GE111, VLOOKUP(IF(V111="Custom", V111, W111), 'Lookup Tables'!$AI$6:$AM$102, 5, FALSE)*BP111), IF(VLOOKUP(IF(V111="Custom", V111, W111), 'Lookup Tables'!$AI$114:$AM$154, 5, FALSE)*BP111&gt;GE111, GE111, VLOOKUP(IF(V111="Custom", V111, W111), 'Lookup Tables'!$AI$114:$AM$154, 5, FALSE)*BP111))), "")), 2),"")</f>
        <v/>
      </c>
      <c r="GA111" s="253" t="str">
        <f>IFERROR(ROUND(IF(CD111="ERROR", "ERROR", IF(AND($FZ$6=Y111, E111="Exterior"), IF(B111="Retrofit", IF(VLOOKUP(IF(V111="Custom", V111, W111), 'Lookup Tables'!$AI$6:$AM$102, 5, FALSE)*BP111&gt;GE111, GE111, VLOOKUP(IF(V111="Custom", V111, W111), 'Lookup Tables'!$AI$6:$AM$102, 5, FALSE)*BP111), IF(VLOOKUP(IF(V111="Custom", V111, W111), 'Lookup Tables'!$AI$114:$AM$154, 5, FALSE)*BP111&gt;GE111, GE111, VLOOKUP(IF(V111="Custom", V111, W111), 'Lookup Tables'!$AI$114:$AM$154, 5, FALSE)*BP111)), "")), 2),"")</f>
        <v/>
      </c>
      <c r="GB111" s="254" t="str">
        <f t="array" ref="GB111">IF(B111="","",IF(OR(V111="Custom",V111="No Change"),0,IF(B111="Retrofit", INDEX('Lookup Tables'!$AH$6:$AQ$102,MATCH(1,('Lookup Tables'!$AH$6:$AH$102='Lighting Inventory'!V111)*('Lookup Tables'!$AI$6:$AI$102='Lighting Inventory'!W111),FALSE),10),INDEX('Lookup Tables'!$AH$114:$AQ$154,MATCH(1,('Lookup Tables'!$AH$114:$AH$154='Lighting Inventory'!V111)*('Lookup Tables'!$AI$114:$AI$154='Lighting Inventory'!W111),FALSE),10))))</f>
        <v/>
      </c>
      <c r="GC111" s="255" t="str">
        <f t="shared" si="344"/>
        <v/>
      </c>
      <c r="GD111" s="250" t="str">
        <f t="shared" si="345"/>
        <v/>
      </c>
      <c r="GE111" s="253" t="str">
        <f>IFERROR(IF(AND(AF111="", 'General Information'!$F$18="No"),"", IF(AF111="", ((GD111/$CD$266)*$CF$266)*0.5, AF111*S111*0.5)), "")</f>
        <v/>
      </c>
      <c r="GF111" s="255" t="str">
        <f>IF(AND('General Information'!$F$19="", 'General Information'!$F$18="Yes",AF111="",BW111="Y"), "Y", "N")</f>
        <v>N</v>
      </c>
      <c r="GG111" s="255" t="s">
        <v>2946</v>
      </c>
      <c r="GH111" s="255" t="str">
        <f>IFERROR(IF(B111="", "", VLOOKUP(J111, 'Fixture Identities'!$A$6:$N$908, 14, FALSE)), "")</f>
        <v/>
      </c>
      <c r="GI111" s="389" t="str">
        <f>IF(OR(B111="", V111="", W111=""), "", IF(AND(OR(M111='Lookup Tables'!$R$18, M111='Lookup Tables'!$R$19, M111='Lookup Tables'!$R$20, M111='Lookup Tables'!$R$21, M111='Lookup Tables'!$R$22), OR(AN111='Lookup Tables'!$R$17, AN111='Lookup Tables'!$R$17, AN111="")), "Y", "N"))</f>
        <v/>
      </c>
      <c r="GJ111" s="255" t="str">
        <f t="shared" si="346"/>
        <v/>
      </c>
      <c r="GK111" s="255" t="str">
        <f t="shared" si="347"/>
        <v/>
      </c>
      <c r="GL111" s="255" t="str">
        <f t="shared" si="348"/>
        <v/>
      </c>
      <c r="GM111" s="255" t="str">
        <f>IF(AN111="", "", IF(AND(IF(ISNA(VLOOKUP(AN111,'Lookup Tables'!$R$18:$R$22,1,FALSE)), "N", "Y")="Y", E111="Exterior"), "Y", "N"))</f>
        <v/>
      </c>
      <c r="GN111" s="395"/>
      <c r="GO111" s="428">
        <f t="shared" si="394"/>
        <v>0</v>
      </c>
      <c r="GP111" s="428">
        <f t="shared" si="397"/>
        <v>0</v>
      </c>
      <c r="GQ111" s="428">
        <f t="shared" si="395"/>
        <v>0</v>
      </c>
      <c r="GR111" s="428">
        <f t="shared" si="396"/>
        <v>0</v>
      </c>
    </row>
    <row r="112" spans="1:200" s="103" customFormat="1" ht="13.5" customHeight="1" x14ac:dyDescent="0.2">
      <c r="A112" s="272">
        <v>102</v>
      </c>
      <c r="B112" s="110"/>
      <c r="C112" s="110"/>
      <c r="D112" s="110"/>
      <c r="E112" s="110"/>
      <c r="F112" s="110"/>
      <c r="G112" s="110"/>
      <c r="H112" s="110"/>
      <c r="I112" s="29"/>
      <c r="J112" s="29"/>
      <c r="K112" s="272" t="str">
        <f>IFERROR(IF(OR(VLOOKUP(J112, 'Fixture Identities'!$A$6:$L$1023, 3, FALSE)="T12 Linear Fluorescent", VLOOKUP(J112, 'Fixture Identities'!$A$6:$L$1023, 3, FALSE)="T12 U-Tube Fluorescent"), VLOOKUP(VLOOKUP(J112, 'Fixture Identities'!$A$6:$L$1023, 11, FALSE), 'Fixture Identities'!$A$6:$L$1023, 10, FALSE), VLOOKUP(J112, 'Fixture Identities'!$A$6:$L$1023, 10, FALSE)), "")</f>
        <v/>
      </c>
      <c r="L112" s="270" t="str">
        <f t="shared" si="399"/>
        <v/>
      </c>
      <c r="M112" s="110"/>
      <c r="N112" s="110"/>
      <c r="O112" s="110"/>
      <c r="P112" s="272" t="str">
        <f>IFERROR(IF(OR(B112="Retrofit",B112=""),"",IF('Lighting Inventory'!E112="Exterior",VLOOKUP('Lighting Inventory'!N112,'Lookup Tables'!$B$83:$F$103,5,FALSE),IF(N112="Other - Please Estimate EFLH and CFs","Contact Prog. Rep.","ft^2"))), "")</f>
        <v/>
      </c>
      <c r="Q112" s="270" t="str">
        <f>IFERROR(IF(AND(B112="New Construction",E112="Interior",$F$5="Space-by-Space"),VLOOKUP('Lighting Inventory'!N112,'Lookup Tables'!$N$6:$O$97,2,FALSE),IF(AND(B112="New Construction",E112="Exterior"),VLOOKUP(N112,'Lookup Tables'!$B$83:$F$103,2,FALSE),IF(AND(B112="New Construction",'Lighting Inventory'!E112="Interior", $F$5="Building Area"),VLOOKUP(F112,'Lookup Tables'!$A$6:$J$59,10,FALSE),""))), "")</f>
        <v/>
      </c>
      <c r="R112" s="270" t="str">
        <f>IFERROR(IF(P112="Contact Prog. Rep.", "ERROR", IF(OR(B112="",B112="Retrofit"),"",IF(N112="Automated teller machines", ('Lookup Tables'!$A$82:$E$100+('Lighting Inventory'!O112-1)*'Lookup Tables'!$A$82:$E$100)/1000, (Q112*O112)/1000))), "")</f>
        <v/>
      </c>
      <c r="S112" s="595"/>
      <c r="T112" s="105" t="str">
        <f t="shared" si="349"/>
        <v/>
      </c>
      <c r="U112" s="105" t="str">
        <f>IF(S112="","",COUNT($S$11:S112))</f>
        <v/>
      </c>
      <c r="V112" s="111"/>
      <c r="W112" s="112"/>
      <c r="X112" s="105" t="str">
        <f t="shared" si="350"/>
        <v/>
      </c>
      <c r="Y112" s="105" t="str">
        <f t="array" ref="Y112">IF(AND(OR(W112="Freezer Case Lighting", W112="Refrigerated Case Lighting with Doors"), 'General Information'!$X$18="LCI"),'Lookup Tables'!$Y$34, IF(V112="Custom", VLOOKUP(W112, 'Fixture Identities'!$A$974:$M$1023, 13, FALSE), IF(V112="No Change",'Lookup Tables'!$Y$29,IF(OR(V112="",W112=""),"",IF(AND(S112=0,S112&lt;I112,B112="Retrofit"),'Lookup Tables'!$Y$25, IF(B112="Retrofit", INDEX('Lookup Tables'!$AH$6:$AP$102, MATCH(1, ('Lookup Tables'!$AH$6:$AH$102=V112)*('Lookup Tables'!$AI$6:$AI$102=W112), 0), IF('Lighting Inventory'!E112="Interior", 4, 5)), INDEX('Lookup Tables'!$AH$114:$AP$154, MATCH(1, ('Lookup Tables'!$AH$114:$AH$154=V112)*('Lookup Tables'!$AI$114:$AI$154=W112), 0), IF('Lighting Inventory'!E112="Interior", 4, 5))))))))</f>
        <v/>
      </c>
      <c r="Z112" s="105" t="str">
        <f>IFERROR(INDEX('Lookup Tables'!$AH$158:$AH$172,MATCH('Lighting Inventory'!Y112,'Lookup Tables'!$AI$158:$AI$172,0)),"")</f>
        <v/>
      </c>
      <c r="AA112" s="105" t="str">
        <f>IF(AP112&gt;0,INDEX('Lookup Tables'!$AK$158:$AK$172,MATCH('Lighting Inventory'!Y112,'Lookup Tables'!$AI$158:$AI$172,0)),'Lighting Inventory'!Y112)</f>
        <v/>
      </c>
      <c r="AB112" s="105" t="str">
        <f t="array" ref="AB112">IF(V112="Custom", "Custom", IF(V112="", "", IF(V112="Not DLC or Energy Star", "General", IF(B112="New Construction", INDEX('Lookup Tables'!$AH$114:$AP$154,MATCH(1,('Lookup Tables'!$AH$114:$AH$154='Lighting Inventory'!V112)*('Lookup Tables'!$AI$114:$AI$154='Lighting Inventory'!W112),FALSE),8), INDEX('Lookup Tables'!$AH$6:$AP$102,MATCH(1,('Lookup Tables'!$AH$6:$AH$102='Lighting Inventory'!V112)*('Lookup Tables'!$AI$6:$AI$102='Lighting Inventory'!W112),FALSE),8)))))</f>
        <v/>
      </c>
      <c r="AC112" s="272" t="str">
        <f>IF(W112="","",IF(V112="Custom",CONCATENATE("$",'Lookup Tables'!$AM$101," ",'Lookup Tables'!$AN$101),CONCATENATE("$",INDEX('Lookup Tables'!$AM$6:$AM$102,MATCH('Lighting Inventory'!W112,'Lookup Tables'!$AI$6:$AI$102,0))," ",INDEX('Lookup Tables'!$AN$6:$AN$102,MATCH('Lighting Inventory'!W112,'Lookup Tables'!$AI$6:$AI$102,0)))))</f>
        <v/>
      </c>
      <c r="AD112" s="72"/>
      <c r="AE112" s="29"/>
      <c r="AF112" s="379"/>
      <c r="AG112" s="370" t="str">
        <f t="shared" si="298"/>
        <v/>
      </c>
      <c r="AH112" s="370" t="str">
        <f t="shared" si="351"/>
        <v/>
      </c>
      <c r="AI112" s="29"/>
      <c r="AJ112" s="29"/>
      <c r="AK112" s="110"/>
      <c r="AL112" s="375" t="str">
        <f>IF(OR(B112="", V112="", W112=""), "", IF(V112="No Change", K112, IF(V112="Remove Fixture", 0, IF(V112="Custom",VLOOKUP(W112,'Fixture Identities'!$A$6:$K$1023,10,FALSE),IF(AE112="", "← ENTER POST WATTS", 'Lighting Inventory'!AE112)))))</f>
        <v/>
      </c>
      <c r="AM112" s="376" t="str">
        <f t="shared" si="299"/>
        <v/>
      </c>
      <c r="AN112" s="29"/>
      <c r="AO112" s="671"/>
      <c r="AP112" s="29"/>
      <c r="AQ112" s="29"/>
      <c r="AR112" s="29"/>
      <c r="AS112" s="272" t="str">
        <f t="shared" si="352"/>
        <v/>
      </c>
      <c r="AT112" s="270" t="str">
        <f t="shared" si="300"/>
        <v/>
      </c>
      <c r="AU112" s="88" t="str">
        <f t="shared" si="400"/>
        <v/>
      </c>
      <c r="AV112" s="29"/>
      <c r="AW112" s="73"/>
      <c r="AX112" s="271" t="str">
        <f>IF(AND(AV112="Applicant",OR(AW112="", AW112="Use Default Facility Hours")),"← Choose Schedule",IF(F112="","",IF(W112="LED Exit Signs",8760,IF(OR(AV112="Prescribed",AV112=""),VLOOKUP(F112,'Lookup Tables'!$A$6:$G$59,IF(AB112="General", 6, 3),FALSE),VLOOKUP(AW112,'Lookup Tables'!$S$36:$U$43,2,FALSE)))))</f>
        <v/>
      </c>
      <c r="AY112" s="88" t="str">
        <f t="shared" si="301"/>
        <v/>
      </c>
      <c r="AZ112" s="270" t="str">
        <f>IFERROR(IF(F112="", "", IF(W112="LED Exit Signs", 1, IF(AV112="Applicant",VLOOKUP(AW112, 'Lookup Tables'!$S$36:$U$43,3, FALSE), VLOOKUP('Lighting Inventory'!F112, 'Lookup Tables'!$A$6:$H$59, IF('Lighting Inventory'!AB112="General",7,4), FALSE)))), "")</f>
        <v/>
      </c>
      <c r="BA112" s="522" t="str">
        <f>IFERROR(IF(F112="", "", IF(W112="LED Exit Signs", 1, VLOOKUP('Lighting Inventory'!F112, 'Lookup Tables'!$A$6:$H$59, IF('Lighting Inventory'!AB112="General",8,5), FALSE))), "")</f>
        <v/>
      </c>
      <c r="BB112" s="270" t="str">
        <f>IF(G112="", "", IF(E112="Exterior", 0, IF('Lighting Inventory'!G112="Air Conditioned", VLOOKUP(H112, 'Lookup Tables'!$R$6:$T$13, 2, FALSE), VLOOKUP('Lighting Inventory'!G112, 'Lookup Tables'!$R$6:$T$13, 2, FALSE))))</f>
        <v/>
      </c>
      <c r="BC112" s="522" t="str">
        <f>IF(G112="", "", IF(E112="Exterior", 0, IF('Lighting Inventory'!G112="Air Conditioned", VLOOKUP(H112, 'Lookup Tables'!$R$6:$T$13, 3, FALSE), VLOOKUP('Lighting Inventory'!G112, 'Lookup Tables'!$R$6:$T$13, 3, FALSE))))</f>
        <v/>
      </c>
      <c r="BD112" s="270" t="str">
        <f>IF(G112="", "", IF(E112="Exterior", 0, IF('Lighting Inventory'!G112="Air Conditioned", VLOOKUP(H112, 'Lookup Tables'!$R$6:$U$13, 4, FALSE), VLOOKUP('Lighting Inventory'!G112, 'Lookup Tables'!$R$6:$U$13, 4, FALSE))))</f>
        <v/>
      </c>
      <c r="BE112" s="270" t="str">
        <f>IFERROR(IF(B112="", "",  IF(B112="New Construction", VLOOKUP(F112, 'Lookup Tables'!$A$6:$K$59, 11, FALSE),IF(OR(AN112="", AN112="Light Switch"), 0, IF(OR(M112="",M112="None",V112= "LED Exit Signs"),0,_xlfn.XLOOKUP(M112,'Lookup Tables'!$R$91:$R$101,'Lookup Tables'!$V$91:$V$101))))), "")</f>
        <v/>
      </c>
      <c r="BF112" s="270" t="str">
        <f>IF(AND(OR(AN112="Light Switch",AN112=""),B112="New Construction"), VLOOKUP(F112, 'Lookup Tables'!$A$6:$K$59, 11, FALSE),IF(AN112="","",IF(B112="","",IF(OR(AN112="None",AN112="",V112="LED Exit Signs",AN112="Exterior Controls Not Eligible"),0,_xlfn.XLOOKUP(AN112,'Lookup Tables'!$R$91:$R$101,'Lookup Tables'!$V$91:$V$101)))))</f>
        <v/>
      </c>
      <c r="BG112" s="88" t="str">
        <f t="shared" si="353"/>
        <v/>
      </c>
      <c r="BH112" s="88" t="str">
        <f t="shared" si="354"/>
        <v/>
      </c>
      <c r="BI112" s="558" t="str">
        <f t="shared" si="398"/>
        <v/>
      </c>
      <c r="BJ112" s="82" t="str">
        <f t="shared" si="355"/>
        <v/>
      </c>
      <c r="BK112" s="82" t="str">
        <f t="shared" si="356"/>
        <v/>
      </c>
      <c r="BL112" s="559" t="str">
        <f t="shared" si="357"/>
        <v/>
      </c>
      <c r="BM112" s="521" t="str">
        <f t="shared" si="302"/>
        <v/>
      </c>
      <c r="BN112" s="521" t="str">
        <f t="shared" si="303"/>
        <v/>
      </c>
      <c r="BO112" s="522" t="str">
        <f t="shared" si="304"/>
        <v/>
      </c>
      <c r="BP112" s="83" t="str">
        <f t="shared" si="358"/>
        <v/>
      </c>
      <c r="BQ112" s="84" t="str">
        <f t="shared" si="359"/>
        <v/>
      </c>
      <c r="BR112" s="184" t="str">
        <f>IFERROR(IF(B112="", "", IF(OR(VLOOKUP(J112, 'Fixture Identities'!$A$6:$L$1023, 3, FALSE)="T12 Linear Fluorescent",VLOOKUP(J112, 'Fixture Identities'!$A$6:$L$1023, 3, FALSE)="T12 U-Tube Fluorescent"), "Y", "N")), "N")</f>
        <v/>
      </c>
      <c r="BS112" s="184" t="str">
        <f t="array" ref="BS112">IFERROR(IF(OR(B112="", V112="", W112=""), "", IF(V112="Custom", "N", IF(OR(W112="Freezer Case Lighting", W112="Refrigerated Case Lighting with Doors"), BT112, IF(B112="Retrofit", INDEX('Lookup Tables'!$AH$6:$AT$102,MATCH(1,('Lookup Tables'!$AH$6:$AH$102=V112)*('Lookup Tables'!$AI$6:$AI$102=W112),FALSE),IF(VLOOKUP(J112, 'Fixture Identities'!$A$6:$B$1023, 2, FALSE)="Incandescent",12, 13)), INDEX('Lookup Tables'!$AH$114:$AS$154,MATCH(1,('Lookup Tables'!$AH$114:$AH$154=V112)*('Lookup Tables'!$AI$114:$AI$154=W112),FALSE),12))))), "N")</f>
        <v/>
      </c>
      <c r="BT112" s="184" t="str">
        <f>IF(J112="", "", IF(AND(OR(W112="Freezer case Lighting", W112="Refrigerated Case Lighting with Doors"),'General Information'!$X$18="LCI"), "N", IF(OR(VLOOKUP(J112, 'Fixture Identities'!$A$6:$B$1023, 2, FALSE)="T12 EPACT/EISA Baseline", VLOOKUP(J112, 'Fixture Identities'!$A$6:$B$1023, 2, FALSE)="Linear Fluorescent", VLOOKUP(J112, 'Fixture Identities'!$A$6:$B$1023, 2, FALSE)="U-Tube Fluorescent"), "Y", "N")))</f>
        <v/>
      </c>
      <c r="BU112" s="184" t="str">
        <f>IFERROR(IF(B112="", "", IF(VLOOKUP(J112, 'Fixture Identities'!$A$6:$B$1023, 2, FALSE)="Exit Sign", "Y", "N")), "N")</f>
        <v/>
      </c>
      <c r="BV112" s="184" t="str">
        <f>IF(V112="Exit Signs", IF(VLOOKUP(J112, 'Fixture Identities'!$A$6:$B$1023, 2, FALSE)="Exit Sign", "N", "Y"), "")</f>
        <v/>
      </c>
      <c r="BW112" s="184" t="str">
        <f t="array" ref="BW112">IFERROR(IF(B112="", "", IF(B112="New Construction", "N", INDEX('Lookup Tables'!$AH$6:$AU$102, MATCH(1, ('Lookup Tables'!$AH$6:$AH$102='Lighting Inventory'!V112)*('Lookup Tables'!$AI$6:$AI$102='Lighting Inventory'!W112), 0), 14))), "N")</f>
        <v/>
      </c>
      <c r="BX112" s="598" t="str">
        <f t="shared" si="360"/>
        <v/>
      </c>
      <c r="BY112" s="598" t="str">
        <f t="shared" si="361"/>
        <v/>
      </c>
      <c r="BZ112" s="598" t="str">
        <f t="shared" si="362"/>
        <v/>
      </c>
      <c r="CA112" s="598" t="str">
        <f t="shared" si="363"/>
        <v/>
      </c>
      <c r="CB112" s="269" t="str">
        <f t="shared" si="364"/>
        <v/>
      </c>
      <c r="CC112" s="517" t="str">
        <f t="shared" si="365"/>
        <v/>
      </c>
      <c r="CD112" s="565" t="str">
        <f t="shared" si="305"/>
        <v/>
      </c>
      <c r="CE112" s="368">
        <v>0</v>
      </c>
      <c r="CF112" s="368" t="str" cm="1">
        <f t="array" ref="CF112">IFERROR(IF(V112="Custom", "$0.1 per kWh", IF(B112="New Construction", CONCATENATE("$",INDEX('Lookup Tables'!$AH$114:$AN$154,MATCH(1,('Lookup Tables'!$AH$114:$AH$154='Lighting Inventory'!V112)*('Lookup Tables'!$AI$114:$AI$154='Lighting Inventory'!W112),FALSE),6)," ",INDEX('Lookup Tables'!$AH$114:$AN$154,MATCH(1,('Lookup Tables'!$AH$114:$AH$154='Lighting Inventory'!V112)*('Lookup Tables'!$AI$114:$AI$154='Lighting Inventory'!W112),FALSE),7)), IF(AND(BU112="N", V112="Exit Signs"), "$0.025 per kWh", CONCATENATE("$",INDEX('Lookup Tables'!$AH$6:$AN$102,MATCH(1,('Lookup Tables'!$AH$6:$AH$102='Lighting Inventory'!V112)*('Lookup Tables'!$AI$6:$AI$102='Lighting Inventory'!W112),FALSE),6)," ",INDEX('Lookup Tables'!$AH$6:$AN$102,MATCH(1,('Lookup Tables'!$AH$6:$AH$102='Lighting Inventory'!V112)*('Lookup Tables'!$AI$6:$AI$102='Lighting Inventory'!W112),FALSE),7))))), "")</f>
        <v/>
      </c>
      <c r="CG112" s="366"/>
      <c r="CH112" s="248" t="str">
        <f t="shared" si="306"/>
        <v/>
      </c>
      <c r="CI112" s="248" t="str">
        <f t="shared" si="307"/>
        <v>Select_IE</v>
      </c>
      <c r="CJ112" s="248" t="str">
        <f t="shared" si="308"/>
        <v/>
      </c>
      <c r="CK112" s="248" t="str">
        <f t="shared" si="309"/>
        <v/>
      </c>
      <c r="CL112" s="248" t="str">
        <f t="shared" si="310"/>
        <v/>
      </c>
      <c r="CM112" s="248" t="str">
        <f>IFERROR(IF(B112="", "", IF(B112="New Construction", VLOOKUP(V112, 'Lookup Tables'!$AF$114:$AG$120, 2, FALSE), VLOOKUP(V112, 'Lookup Tables'!$AD$6:$AE$25, 2, FALSE))), "")</f>
        <v/>
      </c>
      <c r="CN112" s="248" t="str">
        <f t="shared" si="311"/>
        <v/>
      </c>
      <c r="CO112" s="248" t="str">
        <f t="shared" si="312"/>
        <v/>
      </c>
      <c r="CP112" s="592" t="str">
        <f t="shared" si="313"/>
        <v/>
      </c>
      <c r="CQ112" s="248" t="str">
        <f t="shared" si="366"/>
        <v/>
      </c>
      <c r="CR112" s="100"/>
      <c r="CS112" s="250" t="str">
        <f t="shared" si="314"/>
        <v/>
      </c>
      <c r="CT112" s="250" t="str">
        <f t="shared" si="367"/>
        <v/>
      </c>
      <c r="CU112" s="250" t="str">
        <f t="shared" si="368"/>
        <v/>
      </c>
      <c r="CV112" s="250" t="str">
        <f t="shared" si="369"/>
        <v/>
      </c>
      <c r="CW112" s="250" t="str">
        <f t="shared" si="370"/>
        <v/>
      </c>
      <c r="CX112" s="250" t="str">
        <f t="shared" si="315"/>
        <v/>
      </c>
      <c r="CY112" s="250" t="str">
        <f t="shared" si="316"/>
        <v/>
      </c>
      <c r="CZ112" s="250" t="str">
        <f t="shared" si="317"/>
        <v/>
      </c>
      <c r="DA112" s="250" t="str">
        <f t="shared" si="318"/>
        <v/>
      </c>
      <c r="DB112" s="250" t="str">
        <f t="shared" si="319"/>
        <v/>
      </c>
      <c r="DC112" s="250" t="str">
        <f t="shared" si="320"/>
        <v/>
      </c>
      <c r="DD112" s="250" t="str">
        <f t="shared" si="321"/>
        <v/>
      </c>
      <c r="DE112" s="250" t="str">
        <f t="shared" si="322"/>
        <v/>
      </c>
      <c r="DF112" s="250" t="str">
        <f t="shared" si="323"/>
        <v/>
      </c>
      <c r="DG112" s="250" t="str">
        <f t="shared" si="324"/>
        <v/>
      </c>
      <c r="DH112" s="250" t="str">
        <f t="shared" si="325"/>
        <v/>
      </c>
      <c r="DI112" s="250" t="str">
        <f t="shared" si="326"/>
        <v/>
      </c>
      <c r="DJ112" s="250" t="str">
        <f t="shared" si="327"/>
        <v/>
      </c>
      <c r="DK112" s="250" t="str">
        <f t="shared" si="328"/>
        <v/>
      </c>
      <c r="DL112" s="250" t="str">
        <f t="shared" si="329"/>
        <v/>
      </c>
      <c r="DM112" s="250" t="str">
        <f>IF(CD112="ERROR", "ERROR", IF(AND(OR(Y112=$DM$6, Y112='Lookup Tables'!$AD$21, Y112='Lookup Tables'!$AD$22), E112="Interior"), BJ112, ""))</f>
        <v/>
      </c>
      <c r="DN112" s="250" t="str">
        <f>IF(CD112="ERROR", "ERROR", IF(AND(OR(Y112=$DM$6, Y112='Lookup Tables'!$AD$21, Y112='Lookup Tables'!$AD$22), E112="Exterior"), BJ112, ""))</f>
        <v/>
      </c>
      <c r="DO112" s="100"/>
      <c r="DP112" s="250" t="str">
        <f t="shared" si="330"/>
        <v/>
      </c>
      <c r="DQ112" s="250" t="str">
        <f t="shared" si="371"/>
        <v/>
      </c>
      <c r="DR112" s="250" t="str">
        <f t="shared" si="372"/>
        <v/>
      </c>
      <c r="DS112" s="250" t="str">
        <f t="shared" si="373"/>
        <v/>
      </c>
      <c r="DT112" s="250" t="str">
        <f t="shared" si="374"/>
        <v/>
      </c>
      <c r="DU112" s="250" t="str">
        <f t="shared" si="331"/>
        <v/>
      </c>
      <c r="DV112" s="250" t="str">
        <f t="shared" si="332"/>
        <v/>
      </c>
      <c r="DW112" s="250" t="str">
        <f t="shared" si="333"/>
        <v/>
      </c>
      <c r="DX112" s="250" t="str">
        <f t="shared" si="334"/>
        <v/>
      </c>
      <c r="DY112" s="250" t="str">
        <f t="shared" si="335"/>
        <v/>
      </c>
      <c r="DZ112" s="250" t="str">
        <f t="shared" si="336"/>
        <v/>
      </c>
      <c r="EA112" s="250" t="str">
        <f t="shared" si="337"/>
        <v/>
      </c>
      <c r="EB112" s="250" t="str">
        <f t="shared" si="375"/>
        <v/>
      </c>
      <c r="EC112" s="250" t="str">
        <f t="shared" si="338"/>
        <v/>
      </c>
      <c r="ED112" s="250" t="str">
        <f t="shared" si="339"/>
        <v/>
      </c>
      <c r="EE112" s="250" t="str">
        <f t="shared" si="340"/>
        <v/>
      </c>
      <c r="EF112" s="250" t="str">
        <f t="shared" si="341"/>
        <v/>
      </c>
      <c r="EG112" s="250" t="str">
        <f t="shared" si="342"/>
        <v/>
      </c>
      <c r="EH112" s="250" t="str">
        <f>IF(CD112="ERROR", "ERROR", IF(AND(OR($EH$6=Y112, Y112='Lookup Tables'!$AD$21, Y112='Lookup Tables'!$AD$22),E112="Interior"), SUM(BP112:BP112), ""))</f>
        <v/>
      </c>
      <c r="EI112" s="250" t="str">
        <f>IF(CD112="ERROR", "ERROR", IF(AND(OR($EH$6=Y112, Y112='Lookup Tables'!$AD$21, Y112='Lookup Tables'!$AD$22),E112="Exterior"), SUM(BP112:BP112), ""))</f>
        <v/>
      </c>
      <c r="EJ112" s="109"/>
      <c r="EK112" s="485" t="str">
        <f t="shared" si="343"/>
        <v/>
      </c>
      <c r="EL112" s="252" t="str">
        <f t="shared" si="376"/>
        <v/>
      </c>
      <c r="EM112" s="252" t="str">
        <f t="shared" si="377"/>
        <v/>
      </c>
      <c r="EN112" s="252" t="str">
        <f t="shared" si="378"/>
        <v/>
      </c>
      <c r="EO112" s="252" t="str">
        <f t="shared" si="379"/>
        <v/>
      </c>
      <c r="EP112" s="252" t="str">
        <f t="shared" si="380"/>
        <v/>
      </c>
      <c r="EQ112" s="252" t="str">
        <f t="shared" si="381"/>
        <v/>
      </c>
      <c r="ER112" s="252" t="str">
        <f t="shared" si="382"/>
        <v/>
      </c>
      <c r="ES112" s="252" t="str">
        <f t="shared" si="383"/>
        <v/>
      </c>
      <c r="ET112" s="252" t="str">
        <f t="shared" si="384"/>
        <v/>
      </c>
      <c r="EU112" s="252" t="str">
        <f t="shared" si="385"/>
        <v/>
      </c>
      <c r="EV112" s="252" t="str">
        <f t="shared" si="386"/>
        <v/>
      </c>
      <c r="EW112" s="252" t="str">
        <f t="shared" si="387"/>
        <v/>
      </c>
      <c r="EX112" s="252" t="str">
        <f t="shared" si="388"/>
        <v/>
      </c>
      <c r="EY112" s="252" t="str">
        <f t="shared" si="389"/>
        <v/>
      </c>
      <c r="EZ112" s="252" t="str">
        <f t="shared" si="390"/>
        <v/>
      </c>
      <c r="FA112" s="252" t="str">
        <f t="shared" si="391"/>
        <v/>
      </c>
      <c r="FB112" s="252" t="str">
        <f t="shared" si="392"/>
        <v/>
      </c>
      <c r="FC112" s="252" t="str">
        <f>IF(CD112="ERROR", "ERROR", IF(OR(V112="No Change", V112="Not DLC or Energy Star"), "", IF(AND(OR($FC$6=Y112,Y112='Lookup Tables'!$AD$21, Y112='Lookup Tables'!$AD$22),E112="Interior"), S112, "")))</f>
        <v/>
      </c>
      <c r="FD112" s="252" t="str">
        <f t="shared" si="393"/>
        <v/>
      </c>
      <c r="FE112" s="101"/>
      <c r="FF112" s="579" t="str" cm="1">
        <f t="array" ref="FF112">IFERROR(IF(OR(BQ112&lt;=0,AQ112&lt;20,AND(V112="Exit Signs",AN112&gt;0)),"",IF(AND(AQ112&gt;=20,AN112='Lookup Tables'!$R$101),'Lookup Tables'!$U$101*BQ112,AP112*LOOKUP(2,1/((AN112='Lookup Tables'!$R$91:$R$111)*(AQ112&gt;='Lookup Tables'!$S$91:$S$111)*(AQ112&lt;='Lookup Tables'!$T$91:$T$111)),'Lookup Tables'!$U$91:$U$111))),"")</f>
        <v/>
      </c>
      <c r="FG112" s="579"/>
      <c r="FH112" s="579"/>
      <c r="FI112" s="253" t="str">
        <f>IFERROR(ROUND(IF(CD112="ERROR", "ERROR", IF(AND($FI$7=X112,E112="Interior"),VLOOKUP(W112, 'Lookup Tables'!$AI$6:$AM$102, 5, FALSE)*BP112, "")), 2), "")</f>
        <v/>
      </c>
      <c r="FJ112" s="253" t="str">
        <f>IFERROR(ROUND(IF(CD112="ERROR", "ERROR", IF(AND($FI$7=X112,E112="Exterior"),VLOOKUP(W112, 'Lookup Tables'!$AI$6:$AM$102, 5, FALSE)*BP112, "")), 2), "")</f>
        <v/>
      </c>
      <c r="FK112" s="253" t="str">
        <f>IFERROR(ROUND(IF(CD112="ERROR", "ERROR", IF(AND($FK$7=X112,E112="Interior"),VLOOKUP(W112, 'Lookup Tables'!$AI$6:$AM$102, 5, FALSE)*BP112, "")), 2), "")</f>
        <v/>
      </c>
      <c r="FL112" s="253" t="str">
        <f>IFERROR(ROUND(IF(CD112="ERROR", "ERROR", IF(AND($FK$7=X112,E112="Exterior"),VLOOKUP(W112, 'Lookup Tables'!$AI$6:$AM$102, 5, FALSE)*BP112, "")), 2), "")</f>
        <v/>
      </c>
      <c r="FM112" s="253" t="str">
        <f>IFERROR(ROUND(IF(CD112="ERROR", "ERROR", IF(AND($FM$6=Y112,E112="Interior"), IF(GB112=0, VLOOKUP(W112, 'Lookup Tables'!$AI$6:$AM$102, 5, FALSE)*BP112, IF(VLOOKUP(W112, 'Lookup Tables'!$AI$6:$AM$102, 5, FALSE)*BP112&gt;GB112*'Lighting Inventory'!S112, GB112*'Lighting Inventory'!S112,VLOOKUP(W112, 'Lookup Tables'!$AI$6:$AM$102, 5, FALSE)*BP112)), "")), 2), "")</f>
        <v/>
      </c>
      <c r="FN112" s="253" t="str">
        <f>IFERROR(ROUND(IF(CD112="ERROR", "ERROR", IF(AND($FM$6=Y112,E112="Exterior"), IF(GB112=0, VLOOKUP(W112, 'Lookup Tables'!$AI$6:$AM$102, 5, FALSE)*BP112, IF(VLOOKUP(W112, 'Lookup Tables'!$AI$6:$AM$102, 5, FALSE)*BP112&gt;GB112*'Lighting Inventory'!S112, GB112*'Lighting Inventory'!S112,VLOOKUP(W112, 'Lookup Tables'!$AI$6:$AM$102, 5, FALSE)*BP112)), "")), 2), "")</f>
        <v/>
      </c>
      <c r="FO112" s="253" t="str">
        <f>IFERROR(ROUND(IF(CD112="ERROR", "ERROR", IF(AND($FO$6=Y112,E112="Interior"),VLOOKUP(W112, 'Lookup Tables'!$AI$6:$AM$102, 5, FALSE)*'Lighting Inventory'!AI112, "")), 2), "")</f>
        <v/>
      </c>
      <c r="FP112" s="253" t="str">
        <f>IFERROR(ROUND(IF(CD112="ERROR", "ERROR", IF(AND($FO$6=Y112,E112="Exterior"),VLOOKUP(W112, 'Lookup Tables'!$AI$6:$AM$102, 5, FALSE)*'Lighting Inventory'!AI112, "")), 2), "")</f>
        <v/>
      </c>
      <c r="FQ112" s="253" t="str">
        <f>IFERROR(ROUND(IF(CD112="ERROR", "ERROR", IF(AND($FQ$6=Y112,E112="Interior", BU112="Y"), VLOOKUP('Lighting Inventory'!W112, 'Lookup Tables'!$AI$6:$AM$102, 5, FALSE)*'Lighting Inventory'!S112, IF(AND($FQ$7=Y112,E112="Interior", BU112="N"), 0.025*CD112, ""))), 2), "")</f>
        <v/>
      </c>
      <c r="FR112" s="253" t="str">
        <f>IFERROR(ROUND(IF(CD112="ERROR", "ERROR", IF(AND($FQ$6=Y112,E112="Exterior"), VLOOKUP('Lighting Inventory'!W112, 'Lookup Tables'!$AI$6:$AM$102, 5, FALSE)*'Lighting Inventory'!S112, "")), 2), "")</f>
        <v/>
      </c>
      <c r="FS112" s="253" t="str">
        <f>IFERROR(ROUND(IF(CD112="ERROR", "ERROR", IF(AND($FS$6=Y112,E112="Exterior"), IF(GB112=0, VLOOKUP(W112, 'Lookup Tables'!$AI$6:$AM$102, 5, FALSE)*BP112, IF(VLOOKUP(W112, 'Lookup Tables'!$AI$6:$AM$102, 5, FALSE)*BP112&gt;GB112*'Lighting Inventory'!S112, GB112*'Lighting Inventory'!S112,VLOOKUP(W112, 'Lookup Tables'!$AI$6:$AM$102, 5, FALSE)*BP112)), "")), 2), "")</f>
        <v/>
      </c>
      <c r="FT112" s="253" t="str">
        <f>IFERROR(ROUND(IF(CD112="ERROR", "ERROR", IF(AND($FT$6=Y112,E112="Interior"), IF(GB112=0, VLOOKUP(W112, 'Lookup Tables'!$AI$6:$AM$102, 5, FALSE)*BP112, IF(VLOOKUP(W112, 'Lookup Tables'!$AI$6:$AM$102, 5, FALSE)*BP112&gt;GB112*'Lighting Inventory'!S112, GB112*'Lighting Inventory'!S112,VLOOKUP(W112, 'Lookup Tables'!$AI$6:$AM$102, 5, FALSE)*BP112)), "")), 2), "")</f>
        <v/>
      </c>
      <c r="FU112" s="253" t="str">
        <f>IFERROR(ROUND(IF(CD112="ERROR", "ERROR", IF(AND(Y112=$FU$6, E112="Interior"), IF(BS112="N", 'Lookup Tables'!$AM$101*BP112, VLOOKUP(W112, 'Lookup Tables'!$AI$6:$AM$102, 5, FALSE)*S112*AD112), "")), 2), "")</f>
        <v/>
      </c>
      <c r="FV112" s="253" t="str">
        <f>IFERROR(ROUND(IF(CD112="ERROR", "ERROR", IF(AND(Y112=$FU$6, E112="Exterior"), IF(BS112="N", 'Lookup Tables'!$AM$101*BP112, VLOOKUP(W112, 'Lookup Tables'!$AI$6:$AM$102, 5, FALSE)*S112*AD112), "")), 2), "")</f>
        <v/>
      </c>
      <c r="FW112" s="253" t="str">
        <f>IFERROR(ROUND(IF(CD112="ERROR", "ERROR", IF($FW$6=Y112, IF(BS112="N", 'Lookup Tables'!$AM$101*BP112, MIN((VLOOKUP(W112, 'Lookup Tables'!$AI$6:$AM$102, 5, FALSE)*BP112),GB112*AJ112)), "")), 2), "")</f>
        <v/>
      </c>
      <c r="FX112" s="253" t="str">
        <f>IFERROR(ROUND(IF(CD112="ERROR", "ERROR", IF(AND($FX$6=Y112, E112="Interior"), IF(VLOOKUP(W112, 'Lookup Tables'!$AI$6:$AM$102, 5, FALSE)*BP112&gt;'Lookup Tables'!$AQ$97*'Lighting Inventory'!S112,'Lighting Inventory'!S112*'Lookup Tables'!$AQ$97,VLOOKUP(W112, 'Lookup Tables'!$AI$6:$AM$102, 5, FALSE)*BP112), "")), 2), "")</f>
        <v/>
      </c>
      <c r="FY112" s="253" t="str">
        <f>IFERROR(ROUND(IF(CD112="ERROR", "ERROR", IF(AND($FX$6=Y112, E112="Exterior"), IF(VLOOKUP(W112, 'Lookup Tables'!$AI$6:$AM$102, 5, FALSE)*BP112&gt;'Lookup Tables'!$AQ$97*'Lighting Inventory'!S112,'Lighting Inventory'!S112*'Lookup Tables'!$AQ$97,VLOOKUP(W112, 'Lookup Tables'!$AI$6:$AM$102, 5, FALSE)*BP112), "")), 2), "")</f>
        <v/>
      </c>
      <c r="FZ112" s="253" t="str">
        <f>IFERROR(ROUND(IF(CD112="ERROR", "ERROR", IF(AND($FZ$6=Y112, E112="Interior"), IF(AND(OR(W112="Refrigerated Case Lighting with Doors", W112="Freezer Case Lighting"),Y112="Custom - Process Improvement"),CD112*'Lookup Tables'!$AM$101, IF(B112="Retrofit", IF(VLOOKUP(IF(V112="Custom", V112, W112), 'Lookup Tables'!$AI$6:$AM$102, 5, FALSE)*BP112&gt;GE112, GE112, VLOOKUP(IF(V112="Custom", V112, W112), 'Lookup Tables'!$AI$6:$AM$102, 5, FALSE)*BP112), IF(VLOOKUP(IF(V112="Custom", V112, W112), 'Lookup Tables'!$AI$114:$AM$154, 5, FALSE)*BP112&gt;GE112, GE112, VLOOKUP(IF(V112="Custom", V112, W112), 'Lookup Tables'!$AI$114:$AM$154, 5, FALSE)*BP112))), "")), 2),"")</f>
        <v/>
      </c>
      <c r="GA112" s="253" t="str">
        <f>IFERROR(ROUND(IF(CD112="ERROR", "ERROR", IF(AND($FZ$6=Y112, E112="Exterior"), IF(B112="Retrofit", IF(VLOOKUP(IF(V112="Custom", V112, W112), 'Lookup Tables'!$AI$6:$AM$102, 5, FALSE)*BP112&gt;GE112, GE112, VLOOKUP(IF(V112="Custom", V112, W112), 'Lookup Tables'!$AI$6:$AM$102, 5, FALSE)*BP112), IF(VLOOKUP(IF(V112="Custom", V112, W112), 'Lookup Tables'!$AI$114:$AM$154, 5, FALSE)*BP112&gt;GE112, GE112, VLOOKUP(IF(V112="Custom", V112, W112), 'Lookup Tables'!$AI$114:$AM$154, 5, FALSE)*BP112)), "")), 2),"")</f>
        <v/>
      </c>
      <c r="GB112" s="254" t="str">
        <f t="array" ref="GB112">IF(B112="","",IF(OR(V112="Custom",V112="No Change"),0,IF(B112="Retrofit", INDEX('Lookup Tables'!$AH$6:$AQ$102,MATCH(1,('Lookup Tables'!$AH$6:$AH$102='Lighting Inventory'!V112)*('Lookup Tables'!$AI$6:$AI$102='Lighting Inventory'!W112),FALSE),10),INDEX('Lookup Tables'!$AH$114:$AQ$154,MATCH(1,('Lookup Tables'!$AH$114:$AH$154='Lighting Inventory'!V112)*('Lookup Tables'!$AI$114:$AI$154='Lighting Inventory'!W112),FALSE),10))))</f>
        <v/>
      </c>
      <c r="GC112" s="255" t="str">
        <f t="shared" si="344"/>
        <v/>
      </c>
      <c r="GD112" s="250" t="str">
        <f t="shared" si="345"/>
        <v/>
      </c>
      <c r="GE112" s="253" t="str">
        <f>IFERROR(IF(AND(AF112="", 'General Information'!$F$18="No"),"", IF(AF112="", ((GD112/$CD$266)*$CF$266)*0.5, AF112*S112*0.5)), "")</f>
        <v/>
      </c>
      <c r="GF112" s="255" t="str">
        <f>IF(AND('General Information'!$F$19="", 'General Information'!$F$18="Yes",AF112="",BW112="Y"), "Y", "N")</f>
        <v>N</v>
      </c>
      <c r="GG112" s="255" t="s">
        <v>2946</v>
      </c>
      <c r="GH112" s="255" t="str">
        <f>IFERROR(IF(B112="", "", VLOOKUP(J112, 'Fixture Identities'!$A$6:$N$908, 14, FALSE)), "")</f>
        <v/>
      </c>
      <c r="GI112" s="389" t="str">
        <f>IF(OR(B112="", V112="", W112=""), "", IF(AND(OR(M112='Lookup Tables'!$R$18, M112='Lookup Tables'!$R$19, M112='Lookup Tables'!$R$20, M112='Lookup Tables'!$R$21, M112='Lookup Tables'!$R$22), OR(AN112='Lookup Tables'!$R$17, AN112='Lookup Tables'!$R$17, AN112="")), "Y", "N"))</f>
        <v/>
      </c>
      <c r="GJ112" s="255" t="str">
        <f t="shared" si="346"/>
        <v/>
      </c>
      <c r="GK112" s="255" t="str">
        <f t="shared" si="347"/>
        <v/>
      </c>
      <c r="GL112" s="255" t="str">
        <f t="shared" si="348"/>
        <v/>
      </c>
      <c r="GM112" s="255" t="str">
        <f>IF(AN112="", "", IF(AND(IF(ISNA(VLOOKUP(AN112,'Lookup Tables'!$R$18:$R$22,1,FALSE)), "N", "Y")="Y", E112="Exterior"), "Y", "N"))</f>
        <v/>
      </c>
      <c r="GN112" s="395"/>
      <c r="GO112" s="428">
        <f t="shared" si="394"/>
        <v>0</v>
      </c>
      <c r="GP112" s="428">
        <f t="shared" si="397"/>
        <v>0</v>
      </c>
      <c r="GQ112" s="428">
        <f t="shared" si="395"/>
        <v>0</v>
      </c>
      <c r="GR112" s="428">
        <f t="shared" si="396"/>
        <v>0</v>
      </c>
    </row>
    <row r="113" spans="1:200" s="103" customFormat="1" ht="13.5" customHeight="1" x14ac:dyDescent="0.2">
      <c r="A113" s="272">
        <v>103</v>
      </c>
      <c r="B113" s="110"/>
      <c r="C113" s="110"/>
      <c r="D113" s="110"/>
      <c r="E113" s="110"/>
      <c r="F113" s="110"/>
      <c r="G113" s="110"/>
      <c r="H113" s="110"/>
      <c r="I113" s="29"/>
      <c r="J113" s="29"/>
      <c r="K113" s="272" t="str">
        <f>IFERROR(IF(OR(VLOOKUP(J113, 'Fixture Identities'!$A$6:$L$1023, 3, FALSE)="T12 Linear Fluorescent", VLOOKUP(J113, 'Fixture Identities'!$A$6:$L$1023, 3, FALSE)="T12 U-Tube Fluorescent"), VLOOKUP(VLOOKUP(J113, 'Fixture Identities'!$A$6:$L$1023, 11, FALSE), 'Fixture Identities'!$A$6:$L$1023, 10, FALSE), VLOOKUP(J113, 'Fixture Identities'!$A$6:$L$1023, 10, FALSE)), "")</f>
        <v/>
      </c>
      <c r="L113" s="270" t="str">
        <f t="shared" si="399"/>
        <v/>
      </c>
      <c r="M113" s="110"/>
      <c r="N113" s="110"/>
      <c r="O113" s="110"/>
      <c r="P113" s="272" t="str">
        <f>IFERROR(IF(OR(B113="Retrofit",B113=""),"",IF('Lighting Inventory'!E113="Exterior",VLOOKUP('Lighting Inventory'!N113,'Lookup Tables'!$B$83:$F$103,5,FALSE),IF(N113="Other - Please Estimate EFLH and CFs","Contact Prog. Rep.","ft^2"))), "")</f>
        <v/>
      </c>
      <c r="Q113" s="270" t="str">
        <f>IFERROR(IF(AND(B113="New Construction",E113="Interior",$F$5="Space-by-Space"),VLOOKUP('Lighting Inventory'!N113,'Lookup Tables'!$N$6:$O$97,2,FALSE),IF(AND(B113="New Construction",E113="Exterior"),VLOOKUP(N113,'Lookup Tables'!$B$83:$F$103,2,FALSE),IF(AND(B113="New Construction",'Lighting Inventory'!E113="Interior", $F$5="Building Area"),VLOOKUP(F113,'Lookup Tables'!$A$6:$J$59,10,FALSE),""))), "")</f>
        <v/>
      </c>
      <c r="R113" s="270" t="str">
        <f>IFERROR(IF(P113="Contact Prog. Rep.", "ERROR", IF(OR(B113="",B113="Retrofit"),"",IF(N113="Automated teller machines", ('Lookup Tables'!$A$82:$E$100+('Lighting Inventory'!O113-1)*'Lookup Tables'!$A$82:$E$100)/1000, (Q113*O113)/1000))), "")</f>
        <v/>
      </c>
      <c r="S113" s="595"/>
      <c r="T113" s="105" t="str">
        <f t="shared" si="349"/>
        <v/>
      </c>
      <c r="U113" s="105" t="str">
        <f>IF(S113="","",COUNT($S$11:S113))</f>
        <v/>
      </c>
      <c r="V113" s="111"/>
      <c r="W113" s="112"/>
      <c r="X113" s="105" t="str">
        <f t="shared" si="350"/>
        <v/>
      </c>
      <c r="Y113" s="105" t="str">
        <f t="array" ref="Y113">IF(AND(OR(W113="Freezer Case Lighting", W113="Refrigerated Case Lighting with Doors"), 'General Information'!$X$18="LCI"),'Lookup Tables'!$Y$34, IF(V113="Custom", VLOOKUP(W113, 'Fixture Identities'!$A$974:$M$1023, 13, FALSE), IF(V113="No Change",'Lookup Tables'!$Y$29,IF(OR(V113="",W113=""),"",IF(AND(S113=0,S113&lt;I113,B113="Retrofit"),'Lookup Tables'!$Y$25, IF(B113="Retrofit", INDEX('Lookup Tables'!$AH$6:$AP$102, MATCH(1, ('Lookup Tables'!$AH$6:$AH$102=V113)*('Lookup Tables'!$AI$6:$AI$102=W113), 0), IF('Lighting Inventory'!E113="Interior", 4, 5)), INDEX('Lookup Tables'!$AH$114:$AP$154, MATCH(1, ('Lookup Tables'!$AH$114:$AH$154=V113)*('Lookup Tables'!$AI$114:$AI$154=W113), 0), IF('Lighting Inventory'!E113="Interior", 4, 5))))))))</f>
        <v/>
      </c>
      <c r="Z113" s="105" t="str">
        <f>IFERROR(INDEX('Lookup Tables'!$AH$158:$AH$172,MATCH('Lighting Inventory'!Y113,'Lookup Tables'!$AI$158:$AI$172,0)),"")</f>
        <v/>
      </c>
      <c r="AA113" s="105" t="str">
        <f>IF(AP113&gt;0,INDEX('Lookup Tables'!$AK$158:$AK$172,MATCH('Lighting Inventory'!Y113,'Lookup Tables'!$AI$158:$AI$172,0)),'Lighting Inventory'!Y113)</f>
        <v/>
      </c>
      <c r="AB113" s="105" t="str">
        <f t="array" ref="AB113">IF(V113="Custom", "Custom", IF(V113="", "", IF(V113="Not DLC or Energy Star", "General", IF(B113="New Construction", INDEX('Lookup Tables'!$AH$114:$AP$154,MATCH(1,('Lookup Tables'!$AH$114:$AH$154='Lighting Inventory'!V113)*('Lookup Tables'!$AI$114:$AI$154='Lighting Inventory'!W113),FALSE),8), INDEX('Lookup Tables'!$AH$6:$AP$102,MATCH(1,('Lookup Tables'!$AH$6:$AH$102='Lighting Inventory'!V113)*('Lookup Tables'!$AI$6:$AI$102='Lighting Inventory'!W113),FALSE),8)))))</f>
        <v/>
      </c>
      <c r="AC113" s="272" t="str">
        <f>IF(W113="","",IF(V113="Custom",CONCATENATE("$",'Lookup Tables'!$AM$101," ",'Lookup Tables'!$AN$101),CONCATENATE("$",INDEX('Lookup Tables'!$AM$6:$AM$102,MATCH('Lighting Inventory'!W113,'Lookup Tables'!$AI$6:$AI$102,0))," ",INDEX('Lookup Tables'!$AN$6:$AN$102,MATCH('Lighting Inventory'!W113,'Lookup Tables'!$AI$6:$AI$102,0)))))</f>
        <v/>
      </c>
      <c r="AD113" s="72"/>
      <c r="AE113" s="29"/>
      <c r="AF113" s="379"/>
      <c r="AG113" s="370" t="str">
        <f t="shared" si="298"/>
        <v/>
      </c>
      <c r="AH113" s="370" t="str">
        <f t="shared" si="351"/>
        <v/>
      </c>
      <c r="AI113" s="29"/>
      <c r="AJ113" s="29"/>
      <c r="AK113" s="110"/>
      <c r="AL113" s="375" t="str">
        <f>IF(OR(B113="", V113="", W113=""), "", IF(V113="No Change", K113, IF(V113="Remove Fixture", 0, IF(V113="Custom",VLOOKUP(W113,'Fixture Identities'!$A$6:$K$1023,10,FALSE),IF(AE113="", "← ENTER POST WATTS", 'Lighting Inventory'!AE113)))))</f>
        <v/>
      </c>
      <c r="AM113" s="376" t="str">
        <f t="shared" si="299"/>
        <v/>
      </c>
      <c r="AN113" s="29"/>
      <c r="AO113" s="671"/>
      <c r="AP113" s="29"/>
      <c r="AQ113" s="29"/>
      <c r="AR113" s="29"/>
      <c r="AS113" s="272" t="str">
        <f t="shared" si="352"/>
        <v/>
      </c>
      <c r="AT113" s="270" t="str">
        <f t="shared" si="300"/>
        <v/>
      </c>
      <c r="AU113" s="88" t="str">
        <f t="shared" si="400"/>
        <v/>
      </c>
      <c r="AV113" s="29"/>
      <c r="AW113" s="73"/>
      <c r="AX113" s="271" t="str">
        <f>IF(AND(AV113="Applicant",OR(AW113="", AW113="Use Default Facility Hours")),"← Choose Schedule",IF(F113="","",IF(W113="LED Exit Signs",8760,IF(OR(AV113="Prescribed",AV113=""),VLOOKUP(F113,'Lookup Tables'!$A$6:$G$59,IF(AB113="General", 6, 3),FALSE),VLOOKUP(AW113,'Lookup Tables'!$S$36:$U$43,2,FALSE)))))</f>
        <v/>
      </c>
      <c r="AY113" s="88" t="str">
        <f t="shared" si="301"/>
        <v/>
      </c>
      <c r="AZ113" s="270" t="str">
        <f>IFERROR(IF(F113="", "", IF(W113="LED Exit Signs", 1, IF(AV113="Applicant",VLOOKUP(AW113, 'Lookup Tables'!$S$36:$U$43,3, FALSE), VLOOKUP('Lighting Inventory'!F113, 'Lookup Tables'!$A$6:$H$59, IF('Lighting Inventory'!AB113="General",7,4), FALSE)))), "")</f>
        <v/>
      </c>
      <c r="BA113" s="522" t="str">
        <f>IFERROR(IF(F113="", "", IF(W113="LED Exit Signs", 1, VLOOKUP('Lighting Inventory'!F113, 'Lookup Tables'!$A$6:$H$59, IF('Lighting Inventory'!AB113="General",8,5), FALSE))), "")</f>
        <v/>
      </c>
      <c r="BB113" s="270" t="str">
        <f>IF(G113="", "", IF(E113="Exterior", 0, IF('Lighting Inventory'!G113="Air Conditioned", VLOOKUP(H113, 'Lookup Tables'!$R$6:$T$13, 2, FALSE), VLOOKUP('Lighting Inventory'!G113, 'Lookup Tables'!$R$6:$T$13, 2, FALSE))))</f>
        <v/>
      </c>
      <c r="BC113" s="522" t="str">
        <f>IF(G113="", "", IF(E113="Exterior", 0, IF('Lighting Inventory'!G113="Air Conditioned", VLOOKUP(H113, 'Lookup Tables'!$R$6:$T$13, 3, FALSE), VLOOKUP('Lighting Inventory'!G113, 'Lookup Tables'!$R$6:$T$13, 3, FALSE))))</f>
        <v/>
      </c>
      <c r="BD113" s="270" t="str">
        <f>IF(G113="", "", IF(E113="Exterior", 0, IF('Lighting Inventory'!G113="Air Conditioned", VLOOKUP(H113, 'Lookup Tables'!$R$6:$U$13, 4, FALSE), VLOOKUP('Lighting Inventory'!G113, 'Lookup Tables'!$R$6:$U$13, 4, FALSE))))</f>
        <v/>
      </c>
      <c r="BE113" s="270" t="str">
        <f>IFERROR(IF(B113="", "",  IF(B113="New Construction", VLOOKUP(F113, 'Lookup Tables'!$A$6:$K$59, 11, FALSE),IF(OR(AN113="", AN113="Light Switch"), 0, IF(OR(M113="",M113="None",V113= "LED Exit Signs"),0,_xlfn.XLOOKUP(M113,'Lookup Tables'!$R$91:$R$101,'Lookup Tables'!$V$91:$V$101))))), "")</f>
        <v/>
      </c>
      <c r="BF113" s="270" t="str">
        <f>IF(AND(OR(AN113="Light Switch",AN113=""),B113="New Construction"), VLOOKUP(F113, 'Lookup Tables'!$A$6:$K$59, 11, FALSE),IF(AN113="","",IF(B113="","",IF(OR(AN113="None",AN113="",V113="LED Exit Signs",AN113="Exterior Controls Not Eligible"),0,_xlfn.XLOOKUP(AN113,'Lookup Tables'!$R$91:$R$101,'Lookup Tables'!$V$91:$V$101)))))</f>
        <v/>
      </c>
      <c r="BG113" s="88" t="str">
        <f t="shared" si="353"/>
        <v/>
      </c>
      <c r="BH113" s="88" t="str">
        <f t="shared" si="354"/>
        <v/>
      </c>
      <c r="BI113" s="558" t="str">
        <f t="shared" si="398"/>
        <v/>
      </c>
      <c r="BJ113" s="82" t="str">
        <f t="shared" si="355"/>
        <v/>
      </c>
      <c r="BK113" s="82" t="str">
        <f t="shared" si="356"/>
        <v/>
      </c>
      <c r="BL113" s="559" t="str">
        <f t="shared" si="357"/>
        <v/>
      </c>
      <c r="BM113" s="521" t="str">
        <f t="shared" si="302"/>
        <v/>
      </c>
      <c r="BN113" s="521" t="str">
        <f t="shared" si="303"/>
        <v/>
      </c>
      <c r="BO113" s="522" t="str">
        <f t="shared" si="304"/>
        <v/>
      </c>
      <c r="BP113" s="83" t="str">
        <f t="shared" si="358"/>
        <v/>
      </c>
      <c r="BQ113" s="84" t="str">
        <f t="shared" si="359"/>
        <v/>
      </c>
      <c r="BR113" s="184" t="str">
        <f>IFERROR(IF(B113="", "", IF(OR(VLOOKUP(J113, 'Fixture Identities'!$A$6:$L$1023, 3, FALSE)="T12 Linear Fluorescent",VLOOKUP(J113, 'Fixture Identities'!$A$6:$L$1023, 3, FALSE)="T12 U-Tube Fluorescent"), "Y", "N")), "N")</f>
        <v/>
      </c>
      <c r="BS113" s="184" t="str">
        <f t="array" ref="BS113">IFERROR(IF(OR(B113="", V113="", W113=""), "", IF(V113="Custom", "N", IF(OR(W113="Freezer Case Lighting", W113="Refrigerated Case Lighting with Doors"), BT113, IF(B113="Retrofit", INDEX('Lookup Tables'!$AH$6:$AT$102,MATCH(1,('Lookup Tables'!$AH$6:$AH$102=V113)*('Lookup Tables'!$AI$6:$AI$102=W113),FALSE),IF(VLOOKUP(J113, 'Fixture Identities'!$A$6:$B$1023, 2, FALSE)="Incandescent",12, 13)), INDEX('Lookup Tables'!$AH$114:$AS$154,MATCH(1,('Lookup Tables'!$AH$114:$AH$154=V113)*('Lookup Tables'!$AI$114:$AI$154=W113),FALSE),12))))), "N")</f>
        <v/>
      </c>
      <c r="BT113" s="184" t="str">
        <f>IF(J113="", "", IF(AND(OR(W113="Freezer case Lighting", W113="Refrigerated Case Lighting with Doors"),'General Information'!$X$18="LCI"), "N", IF(OR(VLOOKUP(J113, 'Fixture Identities'!$A$6:$B$1023, 2, FALSE)="T12 EPACT/EISA Baseline", VLOOKUP(J113, 'Fixture Identities'!$A$6:$B$1023, 2, FALSE)="Linear Fluorescent", VLOOKUP(J113, 'Fixture Identities'!$A$6:$B$1023, 2, FALSE)="U-Tube Fluorescent"), "Y", "N")))</f>
        <v/>
      </c>
      <c r="BU113" s="184" t="str">
        <f>IFERROR(IF(B113="", "", IF(VLOOKUP(J113, 'Fixture Identities'!$A$6:$B$1023, 2, FALSE)="Exit Sign", "Y", "N")), "N")</f>
        <v/>
      </c>
      <c r="BV113" s="184" t="str">
        <f>IF(V113="Exit Signs", IF(VLOOKUP(J113, 'Fixture Identities'!$A$6:$B$1023, 2, FALSE)="Exit Sign", "N", "Y"), "")</f>
        <v/>
      </c>
      <c r="BW113" s="184" t="str">
        <f t="array" ref="BW113">IFERROR(IF(B113="", "", IF(B113="New Construction", "N", INDEX('Lookup Tables'!$AH$6:$AU$102, MATCH(1, ('Lookup Tables'!$AH$6:$AH$102='Lighting Inventory'!V113)*('Lookup Tables'!$AI$6:$AI$102='Lighting Inventory'!W113), 0), 14))), "N")</f>
        <v/>
      </c>
      <c r="BX113" s="598" t="str">
        <f t="shared" si="360"/>
        <v/>
      </c>
      <c r="BY113" s="598" t="str">
        <f t="shared" si="361"/>
        <v/>
      </c>
      <c r="BZ113" s="598" t="str">
        <f t="shared" si="362"/>
        <v/>
      </c>
      <c r="CA113" s="598" t="str">
        <f t="shared" si="363"/>
        <v/>
      </c>
      <c r="CB113" s="269" t="str">
        <f t="shared" si="364"/>
        <v/>
      </c>
      <c r="CC113" s="517" t="str">
        <f t="shared" si="365"/>
        <v/>
      </c>
      <c r="CD113" s="565" t="str">
        <f t="shared" si="305"/>
        <v/>
      </c>
      <c r="CE113" s="368">
        <v>0</v>
      </c>
      <c r="CF113" s="368" t="str" cm="1">
        <f t="array" ref="CF113">IFERROR(IF(V113="Custom", "$0.1 per kWh", IF(B113="New Construction", CONCATENATE("$",INDEX('Lookup Tables'!$AH$114:$AN$154,MATCH(1,('Lookup Tables'!$AH$114:$AH$154='Lighting Inventory'!V113)*('Lookup Tables'!$AI$114:$AI$154='Lighting Inventory'!W113),FALSE),6)," ",INDEX('Lookup Tables'!$AH$114:$AN$154,MATCH(1,('Lookup Tables'!$AH$114:$AH$154='Lighting Inventory'!V113)*('Lookup Tables'!$AI$114:$AI$154='Lighting Inventory'!W113),FALSE),7)), IF(AND(BU113="N", V113="Exit Signs"), "$0.025 per kWh", CONCATENATE("$",INDEX('Lookup Tables'!$AH$6:$AN$102,MATCH(1,('Lookup Tables'!$AH$6:$AH$102='Lighting Inventory'!V113)*('Lookup Tables'!$AI$6:$AI$102='Lighting Inventory'!W113),FALSE),6)," ",INDEX('Lookup Tables'!$AH$6:$AN$102,MATCH(1,('Lookup Tables'!$AH$6:$AH$102='Lighting Inventory'!V113)*('Lookup Tables'!$AI$6:$AI$102='Lighting Inventory'!W113),FALSE),7))))), "")</f>
        <v/>
      </c>
      <c r="CG113" s="366"/>
      <c r="CH113" s="248" t="str">
        <f t="shared" si="306"/>
        <v/>
      </c>
      <c r="CI113" s="248" t="str">
        <f t="shared" si="307"/>
        <v>Select_IE</v>
      </c>
      <c r="CJ113" s="248" t="str">
        <f t="shared" si="308"/>
        <v/>
      </c>
      <c r="CK113" s="248" t="str">
        <f t="shared" si="309"/>
        <v/>
      </c>
      <c r="CL113" s="248" t="str">
        <f t="shared" si="310"/>
        <v/>
      </c>
      <c r="CM113" s="248" t="str">
        <f>IFERROR(IF(B113="", "", IF(B113="New Construction", VLOOKUP(V113, 'Lookup Tables'!$AF$114:$AG$120, 2, FALSE), VLOOKUP(V113, 'Lookup Tables'!$AD$6:$AE$25, 2, FALSE))), "")</f>
        <v/>
      </c>
      <c r="CN113" s="248" t="str">
        <f t="shared" si="311"/>
        <v/>
      </c>
      <c r="CO113" s="248" t="str">
        <f t="shared" si="312"/>
        <v/>
      </c>
      <c r="CP113" s="592" t="str">
        <f t="shared" si="313"/>
        <v/>
      </c>
      <c r="CQ113" s="248" t="str">
        <f t="shared" si="366"/>
        <v/>
      </c>
      <c r="CR113" s="100"/>
      <c r="CS113" s="250" t="str">
        <f t="shared" si="314"/>
        <v/>
      </c>
      <c r="CT113" s="250" t="str">
        <f t="shared" si="367"/>
        <v/>
      </c>
      <c r="CU113" s="250" t="str">
        <f t="shared" si="368"/>
        <v/>
      </c>
      <c r="CV113" s="250" t="str">
        <f t="shared" si="369"/>
        <v/>
      </c>
      <c r="CW113" s="250" t="str">
        <f t="shared" si="370"/>
        <v/>
      </c>
      <c r="CX113" s="250" t="str">
        <f t="shared" si="315"/>
        <v/>
      </c>
      <c r="CY113" s="250" t="str">
        <f t="shared" si="316"/>
        <v/>
      </c>
      <c r="CZ113" s="250" t="str">
        <f t="shared" si="317"/>
        <v/>
      </c>
      <c r="DA113" s="250" t="str">
        <f t="shared" si="318"/>
        <v/>
      </c>
      <c r="DB113" s="250" t="str">
        <f t="shared" si="319"/>
        <v/>
      </c>
      <c r="DC113" s="250" t="str">
        <f t="shared" si="320"/>
        <v/>
      </c>
      <c r="DD113" s="250" t="str">
        <f t="shared" si="321"/>
        <v/>
      </c>
      <c r="DE113" s="250" t="str">
        <f t="shared" si="322"/>
        <v/>
      </c>
      <c r="DF113" s="250" t="str">
        <f t="shared" si="323"/>
        <v/>
      </c>
      <c r="DG113" s="250" t="str">
        <f t="shared" si="324"/>
        <v/>
      </c>
      <c r="DH113" s="250" t="str">
        <f t="shared" si="325"/>
        <v/>
      </c>
      <c r="DI113" s="250" t="str">
        <f t="shared" si="326"/>
        <v/>
      </c>
      <c r="DJ113" s="250" t="str">
        <f t="shared" si="327"/>
        <v/>
      </c>
      <c r="DK113" s="250" t="str">
        <f t="shared" si="328"/>
        <v/>
      </c>
      <c r="DL113" s="250" t="str">
        <f t="shared" si="329"/>
        <v/>
      </c>
      <c r="DM113" s="250" t="str">
        <f>IF(CD113="ERROR", "ERROR", IF(AND(OR(Y113=$DM$6, Y113='Lookup Tables'!$AD$21, Y113='Lookup Tables'!$AD$22), E113="Interior"), BJ113, ""))</f>
        <v/>
      </c>
      <c r="DN113" s="250" t="str">
        <f>IF(CD113="ERROR", "ERROR", IF(AND(OR(Y113=$DM$6, Y113='Lookup Tables'!$AD$21, Y113='Lookup Tables'!$AD$22), E113="Exterior"), BJ113, ""))</f>
        <v/>
      </c>
      <c r="DO113" s="100"/>
      <c r="DP113" s="250" t="str">
        <f t="shared" si="330"/>
        <v/>
      </c>
      <c r="DQ113" s="250" t="str">
        <f t="shared" si="371"/>
        <v/>
      </c>
      <c r="DR113" s="250" t="str">
        <f t="shared" si="372"/>
        <v/>
      </c>
      <c r="DS113" s="250" t="str">
        <f t="shared" si="373"/>
        <v/>
      </c>
      <c r="DT113" s="250" t="str">
        <f t="shared" si="374"/>
        <v/>
      </c>
      <c r="DU113" s="250" t="str">
        <f t="shared" si="331"/>
        <v/>
      </c>
      <c r="DV113" s="250" t="str">
        <f t="shared" si="332"/>
        <v/>
      </c>
      <c r="DW113" s="250" t="str">
        <f t="shared" si="333"/>
        <v/>
      </c>
      <c r="DX113" s="250" t="str">
        <f t="shared" si="334"/>
        <v/>
      </c>
      <c r="DY113" s="250" t="str">
        <f t="shared" si="335"/>
        <v/>
      </c>
      <c r="DZ113" s="250" t="str">
        <f t="shared" si="336"/>
        <v/>
      </c>
      <c r="EA113" s="250" t="str">
        <f t="shared" si="337"/>
        <v/>
      </c>
      <c r="EB113" s="250" t="str">
        <f t="shared" si="375"/>
        <v/>
      </c>
      <c r="EC113" s="250" t="str">
        <f t="shared" si="338"/>
        <v/>
      </c>
      <c r="ED113" s="250" t="str">
        <f t="shared" si="339"/>
        <v/>
      </c>
      <c r="EE113" s="250" t="str">
        <f t="shared" si="340"/>
        <v/>
      </c>
      <c r="EF113" s="250" t="str">
        <f t="shared" si="341"/>
        <v/>
      </c>
      <c r="EG113" s="250" t="str">
        <f t="shared" si="342"/>
        <v/>
      </c>
      <c r="EH113" s="250" t="str">
        <f>IF(CD113="ERROR", "ERROR", IF(AND(OR($EH$6=Y113, Y113='Lookup Tables'!$AD$21, Y113='Lookup Tables'!$AD$22),E113="Interior"), SUM(BP113:BP113), ""))</f>
        <v/>
      </c>
      <c r="EI113" s="250" t="str">
        <f>IF(CD113="ERROR", "ERROR", IF(AND(OR($EH$6=Y113, Y113='Lookup Tables'!$AD$21, Y113='Lookup Tables'!$AD$22),E113="Exterior"), SUM(BP113:BP113), ""))</f>
        <v/>
      </c>
      <c r="EJ113" s="109"/>
      <c r="EK113" s="485" t="str">
        <f t="shared" si="343"/>
        <v/>
      </c>
      <c r="EL113" s="252" t="str">
        <f t="shared" si="376"/>
        <v/>
      </c>
      <c r="EM113" s="252" t="str">
        <f t="shared" si="377"/>
        <v/>
      </c>
      <c r="EN113" s="252" t="str">
        <f t="shared" si="378"/>
        <v/>
      </c>
      <c r="EO113" s="252" t="str">
        <f t="shared" si="379"/>
        <v/>
      </c>
      <c r="EP113" s="252" t="str">
        <f t="shared" si="380"/>
        <v/>
      </c>
      <c r="EQ113" s="252" t="str">
        <f t="shared" si="381"/>
        <v/>
      </c>
      <c r="ER113" s="252" t="str">
        <f t="shared" si="382"/>
        <v/>
      </c>
      <c r="ES113" s="252" t="str">
        <f t="shared" si="383"/>
        <v/>
      </c>
      <c r="ET113" s="252" t="str">
        <f t="shared" si="384"/>
        <v/>
      </c>
      <c r="EU113" s="252" t="str">
        <f t="shared" si="385"/>
        <v/>
      </c>
      <c r="EV113" s="252" t="str">
        <f t="shared" si="386"/>
        <v/>
      </c>
      <c r="EW113" s="252" t="str">
        <f t="shared" si="387"/>
        <v/>
      </c>
      <c r="EX113" s="252" t="str">
        <f t="shared" si="388"/>
        <v/>
      </c>
      <c r="EY113" s="252" t="str">
        <f t="shared" si="389"/>
        <v/>
      </c>
      <c r="EZ113" s="252" t="str">
        <f t="shared" si="390"/>
        <v/>
      </c>
      <c r="FA113" s="252" t="str">
        <f t="shared" si="391"/>
        <v/>
      </c>
      <c r="FB113" s="252" t="str">
        <f t="shared" si="392"/>
        <v/>
      </c>
      <c r="FC113" s="252" t="str">
        <f>IF(CD113="ERROR", "ERROR", IF(OR(V113="No Change", V113="Not DLC or Energy Star"), "", IF(AND(OR($FC$6=Y113,Y113='Lookup Tables'!$AD$21, Y113='Lookup Tables'!$AD$22),E113="Interior"), S113, "")))</f>
        <v/>
      </c>
      <c r="FD113" s="252" t="str">
        <f t="shared" si="393"/>
        <v/>
      </c>
      <c r="FE113" s="101"/>
      <c r="FF113" s="579" t="str" cm="1">
        <f t="array" ref="FF113">IFERROR(IF(OR(BQ113&lt;=0,AQ113&lt;20,AND(V113="Exit Signs",AN113&gt;0)),"",IF(AND(AQ113&gt;=20,AN113='Lookup Tables'!$R$101),'Lookup Tables'!$U$101*BQ113,AP113*LOOKUP(2,1/((AN113='Lookup Tables'!$R$91:$R$111)*(AQ113&gt;='Lookup Tables'!$S$91:$S$111)*(AQ113&lt;='Lookup Tables'!$T$91:$T$111)),'Lookup Tables'!$U$91:$U$111))),"")</f>
        <v/>
      </c>
      <c r="FG113" s="579"/>
      <c r="FH113" s="579"/>
      <c r="FI113" s="253" t="str">
        <f>IFERROR(ROUND(IF(CD113="ERROR", "ERROR", IF(AND($FI$7=X113,E113="Interior"),VLOOKUP(W113, 'Lookup Tables'!$AI$6:$AM$102, 5, FALSE)*BP113, "")), 2), "")</f>
        <v/>
      </c>
      <c r="FJ113" s="253" t="str">
        <f>IFERROR(ROUND(IF(CD113="ERROR", "ERROR", IF(AND($FI$7=X113,E113="Exterior"),VLOOKUP(W113, 'Lookup Tables'!$AI$6:$AM$102, 5, FALSE)*BP113, "")), 2), "")</f>
        <v/>
      </c>
      <c r="FK113" s="253" t="str">
        <f>IFERROR(ROUND(IF(CD113="ERROR", "ERROR", IF(AND($FK$7=X113,E113="Interior"),VLOOKUP(W113, 'Lookup Tables'!$AI$6:$AM$102, 5, FALSE)*BP113, "")), 2), "")</f>
        <v/>
      </c>
      <c r="FL113" s="253" t="str">
        <f>IFERROR(ROUND(IF(CD113="ERROR", "ERROR", IF(AND($FK$7=X113,E113="Exterior"),VLOOKUP(W113, 'Lookup Tables'!$AI$6:$AM$102, 5, FALSE)*BP113, "")), 2), "")</f>
        <v/>
      </c>
      <c r="FM113" s="253" t="str">
        <f>IFERROR(ROUND(IF(CD113="ERROR", "ERROR", IF(AND($FM$6=Y113,E113="Interior"), IF(GB113=0, VLOOKUP(W113, 'Lookup Tables'!$AI$6:$AM$102, 5, FALSE)*BP113, IF(VLOOKUP(W113, 'Lookup Tables'!$AI$6:$AM$102, 5, FALSE)*BP113&gt;GB113*'Lighting Inventory'!S113, GB113*'Lighting Inventory'!S113,VLOOKUP(W113, 'Lookup Tables'!$AI$6:$AM$102, 5, FALSE)*BP113)), "")), 2), "")</f>
        <v/>
      </c>
      <c r="FN113" s="253" t="str">
        <f>IFERROR(ROUND(IF(CD113="ERROR", "ERROR", IF(AND($FM$6=Y113,E113="Exterior"), IF(GB113=0, VLOOKUP(W113, 'Lookup Tables'!$AI$6:$AM$102, 5, FALSE)*BP113, IF(VLOOKUP(W113, 'Lookup Tables'!$AI$6:$AM$102, 5, FALSE)*BP113&gt;GB113*'Lighting Inventory'!S113, GB113*'Lighting Inventory'!S113,VLOOKUP(W113, 'Lookup Tables'!$AI$6:$AM$102, 5, FALSE)*BP113)), "")), 2), "")</f>
        <v/>
      </c>
      <c r="FO113" s="253" t="str">
        <f>IFERROR(ROUND(IF(CD113="ERROR", "ERROR", IF(AND($FO$6=Y113,E113="Interior"),VLOOKUP(W113, 'Lookup Tables'!$AI$6:$AM$102, 5, FALSE)*'Lighting Inventory'!AI113, "")), 2), "")</f>
        <v/>
      </c>
      <c r="FP113" s="253" t="str">
        <f>IFERROR(ROUND(IF(CD113="ERROR", "ERROR", IF(AND($FO$6=Y113,E113="Exterior"),VLOOKUP(W113, 'Lookup Tables'!$AI$6:$AM$102, 5, FALSE)*'Lighting Inventory'!AI113, "")), 2), "")</f>
        <v/>
      </c>
      <c r="FQ113" s="253" t="str">
        <f>IFERROR(ROUND(IF(CD113="ERROR", "ERROR", IF(AND($FQ$6=Y113,E113="Interior", BU113="Y"), VLOOKUP('Lighting Inventory'!W113, 'Lookup Tables'!$AI$6:$AM$102, 5, FALSE)*'Lighting Inventory'!S113, IF(AND($FQ$7=Y113,E113="Interior", BU113="N"), 0.025*CD113, ""))), 2), "")</f>
        <v/>
      </c>
      <c r="FR113" s="253" t="str">
        <f>IFERROR(ROUND(IF(CD113="ERROR", "ERROR", IF(AND($FQ$6=Y113,E113="Exterior"), VLOOKUP('Lighting Inventory'!W113, 'Lookup Tables'!$AI$6:$AM$102, 5, FALSE)*'Lighting Inventory'!S113, "")), 2), "")</f>
        <v/>
      </c>
      <c r="FS113" s="253" t="str">
        <f>IFERROR(ROUND(IF(CD113="ERROR", "ERROR", IF(AND($FS$6=Y113,E113="Exterior"), IF(GB113=0, VLOOKUP(W113, 'Lookup Tables'!$AI$6:$AM$102, 5, FALSE)*BP113, IF(VLOOKUP(W113, 'Lookup Tables'!$AI$6:$AM$102, 5, FALSE)*BP113&gt;GB113*'Lighting Inventory'!S113, GB113*'Lighting Inventory'!S113,VLOOKUP(W113, 'Lookup Tables'!$AI$6:$AM$102, 5, FALSE)*BP113)), "")), 2), "")</f>
        <v/>
      </c>
      <c r="FT113" s="253" t="str">
        <f>IFERROR(ROUND(IF(CD113="ERROR", "ERROR", IF(AND($FT$6=Y113,E113="Interior"), IF(GB113=0, VLOOKUP(W113, 'Lookup Tables'!$AI$6:$AM$102, 5, FALSE)*BP113, IF(VLOOKUP(W113, 'Lookup Tables'!$AI$6:$AM$102, 5, FALSE)*BP113&gt;GB113*'Lighting Inventory'!S113, GB113*'Lighting Inventory'!S113,VLOOKUP(W113, 'Lookup Tables'!$AI$6:$AM$102, 5, FALSE)*BP113)), "")), 2), "")</f>
        <v/>
      </c>
      <c r="FU113" s="253" t="str">
        <f>IFERROR(ROUND(IF(CD113="ERROR", "ERROR", IF(AND(Y113=$FU$6, E113="Interior"), IF(BS113="N", 'Lookup Tables'!$AM$101*BP113, VLOOKUP(W113, 'Lookup Tables'!$AI$6:$AM$102, 5, FALSE)*S113*AD113), "")), 2), "")</f>
        <v/>
      </c>
      <c r="FV113" s="253" t="str">
        <f>IFERROR(ROUND(IF(CD113="ERROR", "ERROR", IF(AND(Y113=$FU$6, E113="Exterior"), IF(BS113="N", 'Lookup Tables'!$AM$101*BP113, VLOOKUP(W113, 'Lookup Tables'!$AI$6:$AM$102, 5, FALSE)*S113*AD113), "")), 2), "")</f>
        <v/>
      </c>
      <c r="FW113" s="253" t="str">
        <f>IFERROR(ROUND(IF(CD113="ERROR", "ERROR", IF($FW$6=Y113, IF(BS113="N", 'Lookup Tables'!$AM$101*BP113, MIN((VLOOKUP(W113, 'Lookup Tables'!$AI$6:$AM$102, 5, FALSE)*BP113),GB113*AJ113)), "")), 2), "")</f>
        <v/>
      </c>
      <c r="FX113" s="253" t="str">
        <f>IFERROR(ROUND(IF(CD113="ERROR", "ERROR", IF(AND($FX$6=Y113, E113="Interior"), IF(VLOOKUP(W113, 'Lookup Tables'!$AI$6:$AM$102, 5, FALSE)*BP113&gt;'Lookup Tables'!$AQ$97*'Lighting Inventory'!S113,'Lighting Inventory'!S113*'Lookup Tables'!$AQ$97,VLOOKUP(W113, 'Lookup Tables'!$AI$6:$AM$102, 5, FALSE)*BP113), "")), 2), "")</f>
        <v/>
      </c>
      <c r="FY113" s="253" t="str">
        <f>IFERROR(ROUND(IF(CD113="ERROR", "ERROR", IF(AND($FX$6=Y113, E113="Exterior"), IF(VLOOKUP(W113, 'Lookup Tables'!$AI$6:$AM$102, 5, FALSE)*BP113&gt;'Lookup Tables'!$AQ$97*'Lighting Inventory'!S113,'Lighting Inventory'!S113*'Lookup Tables'!$AQ$97,VLOOKUP(W113, 'Lookup Tables'!$AI$6:$AM$102, 5, FALSE)*BP113), "")), 2), "")</f>
        <v/>
      </c>
      <c r="FZ113" s="253" t="str">
        <f>IFERROR(ROUND(IF(CD113="ERROR", "ERROR", IF(AND($FZ$6=Y113, E113="Interior"), IF(AND(OR(W113="Refrigerated Case Lighting with Doors", W113="Freezer Case Lighting"),Y113="Custom - Process Improvement"),CD113*'Lookup Tables'!$AM$101, IF(B113="Retrofit", IF(VLOOKUP(IF(V113="Custom", V113, W113), 'Lookup Tables'!$AI$6:$AM$102, 5, FALSE)*BP113&gt;GE113, GE113, VLOOKUP(IF(V113="Custom", V113, W113), 'Lookup Tables'!$AI$6:$AM$102, 5, FALSE)*BP113), IF(VLOOKUP(IF(V113="Custom", V113, W113), 'Lookup Tables'!$AI$114:$AM$154, 5, FALSE)*BP113&gt;GE113, GE113, VLOOKUP(IF(V113="Custom", V113, W113), 'Lookup Tables'!$AI$114:$AM$154, 5, FALSE)*BP113))), "")), 2),"")</f>
        <v/>
      </c>
      <c r="GA113" s="253" t="str">
        <f>IFERROR(ROUND(IF(CD113="ERROR", "ERROR", IF(AND($FZ$6=Y113, E113="Exterior"), IF(B113="Retrofit", IF(VLOOKUP(IF(V113="Custom", V113, W113), 'Lookup Tables'!$AI$6:$AM$102, 5, FALSE)*BP113&gt;GE113, GE113, VLOOKUP(IF(V113="Custom", V113, W113), 'Lookup Tables'!$AI$6:$AM$102, 5, FALSE)*BP113), IF(VLOOKUP(IF(V113="Custom", V113, W113), 'Lookup Tables'!$AI$114:$AM$154, 5, FALSE)*BP113&gt;GE113, GE113, VLOOKUP(IF(V113="Custom", V113, W113), 'Lookup Tables'!$AI$114:$AM$154, 5, FALSE)*BP113)), "")), 2),"")</f>
        <v/>
      </c>
      <c r="GB113" s="254" t="str">
        <f t="array" ref="GB113">IF(B113="","",IF(OR(V113="Custom",V113="No Change"),0,IF(B113="Retrofit", INDEX('Lookup Tables'!$AH$6:$AQ$102,MATCH(1,('Lookup Tables'!$AH$6:$AH$102='Lighting Inventory'!V113)*('Lookup Tables'!$AI$6:$AI$102='Lighting Inventory'!W113),FALSE),10),INDEX('Lookup Tables'!$AH$114:$AQ$154,MATCH(1,('Lookup Tables'!$AH$114:$AH$154='Lighting Inventory'!V113)*('Lookup Tables'!$AI$114:$AI$154='Lighting Inventory'!W113),FALSE),10))))</f>
        <v/>
      </c>
      <c r="GC113" s="255" t="str">
        <f t="shared" si="344"/>
        <v/>
      </c>
      <c r="GD113" s="250" t="str">
        <f t="shared" si="345"/>
        <v/>
      </c>
      <c r="GE113" s="253" t="str">
        <f>IFERROR(IF(AND(AF113="", 'General Information'!$F$18="No"),"", IF(AF113="", ((GD113/$CD$266)*$CF$266)*0.5, AF113*S113*0.5)), "")</f>
        <v/>
      </c>
      <c r="GF113" s="255" t="str">
        <f>IF(AND('General Information'!$F$19="", 'General Information'!$F$18="Yes",AF113="",BW113="Y"), "Y", "N")</f>
        <v>N</v>
      </c>
      <c r="GG113" s="255" t="s">
        <v>2946</v>
      </c>
      <c r="GH113" s="255" t="str">
        <f>IFERROR(IF(B113="", "", VLOOKUP(J113, 'Fixture Identities'!$A$6:$N$908, 14, FALSE)), "")</f>
        <v/>
      </c>
      <c r="GI113" s="389" t="str">
        <f>IF(OR(B113="", V113="", W113=""), "", IF(AND(OR(M113='Lookup Tables'!$R$18, M113='Lookup Tables'!$R$19, M113='Lookup Tables'!$R$20, M113='Lookup Tables'!$R$21, M113='Lookup Tables'!$R$22), OR(AN113='Lookup Tables'!$R$17, AN113='Lookup Tables'!$R$17, AN113="")), "Y", "N"))</f>
        <v/>
      </c>
      <c r="GJ113" s="255" t="str">
        <f t="shared" si="346"/>
        <v/>
      </c>
      <c r="GK113" s="255" t="str">
        <f t="shared" si="347"/>
        <v/>
      </c>
      <c r="GL113" s="255" t="str">
        <f t="shared" si="348"/>
        <v/>
      </c>
      <c r="GM113" s="255" t="str">
        <f>IF(AN113="", "", IF(AND(IF(ISNA(VLOOKUP(AN113,'Lookup Tables'!$R$18:$R$22,1,FALSE)), "N", "Y")="Y", E113="Exterior"), "Y", "N"))</f>
        <v/>
      </c>
      <c r="GN113" s="395"/>
      <c r="GO113" s="428">
        <f t="shared" si="394"/>
        <v>0</v>
      </c>
      <c r="GP113" s="428">
        <f t="shared" si="397"/>
        <v>0</v>
      </c>
      <c r="GQ113" s="428">
        <f t="shared" si="395"/>
        <v>0</v>
      </c>
      <c r="GR113" s="428">
        <f t="shared" si="396"/>
        <v>0</v>
      </c>
    </row>
    <row r="114" spans="1:200" s="103" customFormat="1" ht="13.5" customHeight="1" x14ac:dyDescent="0.2">
      <c r="A114" s="272">
        <v>104</v>
      </c>
      <c r="B114" s="110"/>
      <c r="C114" s="110"/>
      <c r="D114" s="110"/>
      <c r="E114" s="110"/>
      <c r="F114" s="110"/>
      <c r="G114" s="110"/>
      <c r="H114" s="110"/>
      <c r="I114" s="29"/>
      <c r="J114" s="29"/>
      <c r="K114" s="272" t="str">
        <f>IFERROR(IF(OR(VLOOKUP(J114, 'Fixture Identities'!$A$6:$L$1023, 3, FALSE)="T12 Linear Fluorescent", VLOOKUP(J114, 'Fixture Identities'!$A$6:$L$1023, 3, FALSE)="T12 U-Tube Fluorescent"), VLOOKUP(VLOOKUP(J114, 'Fixture Identities'!$A$6:$L$1023, 11, FALSE), 'Fixture Identities'!$A$6:$L$1023, 10, FALSE), VLOOKUP(J114, 'Fixture Identities'!$A$6:$L$1023, 10, FALSE)), "")</f>
        <v/>
      </c>
      <c r="L114" s="270" t="str">
        <f t="shared" si="399"/>
        <v/>
      </c>
      <c r="M114" s="110"/>
      <c r="N114" s="110"/>
      <c r="O114" s="110"/>
      <c r="P114" s="272" t="str">
        <f>IFERROR(IF(OR(B114="Retrofit",B114=""),"",IF('Lighting Inventory'!E114="Exterior",VLOOKUP('Lighting Inventory'!N114,'Lookup Tables'!$B$83:$F$103,5,FALSE),IF(N114="Other - Please Estimate EFLH and CFs","Contact Prog. Rep.","ft^2"))), "")</f>
        <v/>
      </c>
      <c r="Q114" s="270" t="str">
        <f>IFERROR(IF(AND(B114="New Construction",E114="Interior",$F$5="Space-by-Space"),VLOOKUP('Lighting Inventory'!N114,'Lookup Tables'!$N$6:$O$97,2,FALSE),IF(AND(B114="New Construction",E114="Exterior"),VLOOKUP(N114,'Lookup Tables'!$B$83:$F$103,2,FALSE),IF(AND(B114="New Construction",'Lighting Inventory'!E114="Interior", $F$5="Building Area"),VLOOKUP(F114,'Lookup Tables'!$A$6:$J$59,10,FALSE),""))), "")</f>
        <v/>
      </c>
      <c r="R114" s="270" t="str">
        <f>IFERROR(IF(P114="Contact Prog. Rep.", "ERROR", IF(OR(B114="",B114="Retrofit"),"",IF(N114="Automated teller machines", ('Lookup Tables'!$A$82:$E$100+('Lighting Inventory'!O114-1)*'Lookup Tables'!$A$82:$E$100)/1000, (Q114*O114)/1000))), "")</f>
        <v/>
      </c>
      <c r="S114" s="595"/>
      <c r="T114" s="105" t="str">
        <f t="shared" si="349"/>
        <v/>
      </c>
      <c r="U114" s="105" t="str">
        <f>IF(S114="","",COUNT($S$11:S114))</f>
        <v/>
      </c>
      <c r="V114" s="111"/>
      <c r="W114" s="112"/>
      <c r="X114" s="105" t="str">
        <f t="shared" si="350"/>
        <v/>
      </c>
      <c r="Y114" s="105" t="str">
        <f t="array" ref="Y114">IF(AND(OR(W114="Freezer Case Lighting", W114="Refrigerated Case Lighting with Doors"), 'General Information'!$X$18="LCI"),'Lookup Tables'!$Y$34, IF(V114="Custom", VLOOKUP(W114, 'Fixture Identities'!$A$974:$M$1023, 13, FALSE), IF(V114="No Change",'Lookup Tables'!$Y$29,IF(OR(V114="",W114=""),"",IF(AND(S114=0,S114&lt;I114,B114="Retrofit"),'Lookup Tables'!$Y$25, IF(B114="Retrofit", INDEX('Lookup Tables'!$AH$6:$AP$102, MATCH(1, ('Lookup Tables'!$AH$6:$AH$102=V114)*('Lookup Tables'!$AI$6:$AI$102=W114), 0), IF('Lighting Inventory'!E114="Interior", 4, 5)), INDEX('Lookup Tables'!$AH$114:$AP$154, MATCH(1, ('Lookup Tables'!$AH$114:$AH$154=V114)*('Lookup Tables'!$AI$114:$AI$154=W114), 0), IF('Lighting Inventory'!E114="Interior", 4, 5))))))))</f>
        <v/>
      </c>
      <c r="Z114" s="105" t="str">
        <f>IFERROR(INDEX('Lookup Tables'!$AH$158:$AH$172,MATCH('Lighting Inventory'!Y114,'Lookup Tables'!$AI$158:$AI$172,0)),"")</f>
        <v/>
      </c>
      <c r="AA114" s="105" t="str">
        <f>IF(AP114&gt;0,INDEX('Lookup Tables'!$AK$158:$AK$172,MATCH('Lighting Inventory'!Y114,'Lookup Tables'!$AI$158:$AI$172,0)),'Lighting Inventory'!Y114)</f>
        <v/>
      </c>
      <c r="AB114" s="105" t="str">
        <f t="array" ref="AB114">IF(V114="Custom", "Custom", IF(V114="", "", IF(V114="Not DLC or Energy Star", "General", IF(B114="New Construction", INDEX('Lookup Tables'!$AH$114:$AP$154,MATCH(1,('Lookup Tables'!$AH$114:$AH$154='Lighting Inventory'!V114)*('Lookup Tables'!$AI$114:$AI$154='Lighting Inventory'!W114),FALSE),8), INDEX('Lookup Tables'!$AH$6:$AP$102,MATCH(1,('Lookup Tables'!$AH$6:$AH$102='Lighting Inventory'!V114)*('Lookup Tables'!$AI$6:$AI$102='Lighting Inventory'!W114),FALSE),8)))))</f>
        <v/>
      </c>
      <c r="AC114" s="272" t="str">
        <f>IF(W114="","",IF(V114="Custom",CONCATENATE("$",'Lookup Tables'!$AM$101," ",'Lookup Tables'!$AN$101),CONCATENATE("$",INDEX('Lookup Tables'!$AM$6:$AM$102,MATCH('Lighting Inventory'!W114,'Lookup Tables'!$AI$6:$AI$102,0))," ",INDEX('Lookup Tables'!$AN$6:$AN$102,MATCH('Lighting Inventory'!W114,'Lookup Tables'!$AI$6:$AI$102,0)))))</f>
        <v/>
      </c>
      <c r="AD114" s="72"/>
      <c r="AE114" s="29"/>
      <c r="AF114" s="379"/>
      <c r="AG114" s="370" t="str">
        <f t="shared" si="298"/>
        <v/>
      </c>
      <c r="AH114" s="370" t="str">
        <f t="shared" si="351"/>
        <v/>
      </c>
      <c r="AI114" s="29"/>
      <c r="AJ114" s="29"/>
      <c r="AK114" s="110"/>
      <c r="AL114" s="375" t="str">
        <f>IF(OR(B114="", V114="", W114=""), "", IF(V114="No Change", K114, IF(V114="Remove Fixture", 0, IF(V114="Custom",VLOOKUP(W114,'Fixture Identities'!$A$6:$K$1023,10,FALSE),IF(AE114="", "← ENTER POST WATTS", 'Lighting Inventory'!AE114)))))</f>
        <v/>
      </c>
      <c r="AM114" s="376" t="str">
        <f t="shared" si="299"/>
        <v/>
      </c>
      <c r="AN114" s="29"/>
      <c r="AO114" s="671"/>
      <c r="AP114" s="29"/>
      <c r="AQ114" s="29"/>
      <c r="AR114" s="29"/>
      <c r="AS114" s="272" t="str">
        <f t="shared" si="352"/>
        <v/>
      </c>
      <c r="AT114" s="270" t="str">
        <f t="shared" si="300"/>
        <v/>
      </c>
      <c r="AU114" s="88" t="str">
        <f t="shared" si="400"/>
        <v/>
      </c>
      <c r="AV114" s="29"/>
      <c r="AW114" s="73"/>
      <c r="AX114" s="271" t="str">
        <f>IF(AND(AV114="Applicant",OR(AW114="", AW114="Use Default Facility Hours")),"← Choose Schedule",IF(F114="","",IF(W114="LED Exit Signs",8760,IF(OR(AV114="Prescribed",AV114=""),VLOOKUP(F114,'Lookup Tables'!$A$6:$G$59,IF(AB114="General", 6, 3),FALSE),VLOOKUP(AW114,'Lookup Tables'!$S$36:$U$43,2,FALSE)))))</f>
        <v/>
      </c>
      <c r="AY114" s="88" t="str">
        <f t="shared" si="301"/>
        <v/>
      </c>
      <c r="AZ114" s="270" t="str">
        <f>IFERROR(IF(F114="", "", IF(W114="LED Exit Signs", 1, IF(AV114="Applicant",VLOOKUP(AW114, 'Lookup Tables'!$S$36:$U$43,3, FALSE), VLOOKUP('Lighting Inventory'!F114, 'Lookup Tables'!$A$6:$H$59, IF('Lighting Inventory'!AB114="General",7,4), FALSE)))), "")</f>
        <v/>
      </c>
      <c r="BA114" s="522" t="str">
        <f>IFERROR(IF(F114="", "", IF(W114="LED Exit Signs", 1, VLOOKUP('Lighting Inventory'!F114, 'Lookup Tables'!$A$6:$H$59, IF('Lighting Inventory'!AB114="General",8,5), FALSE))), "")</f>
        <v/>
      </c>
      <c r="BB114" s="270" t="str">
        <f>IF(G114="", "", IF(E114="Exterior", 0, IF('Lighting Inventory'!G114="Air Conditioned", VLOOKUP(H114, 'Lookup Tables'!$R$6:$T$13, 2, FALSE), VLOOKUP('Lighting Inventory'!G114, 'Lookup Tables'!$R$6:$T$13, 2, FALSE))))</f>
        <v/>
      </c>
      <c r="BC114" s="522" t="str">
        <f>IF(G114="", "", IF(E114="Exterior", 0, IF('Lighting Inventory'!G114="Air Conditioned", VLOOKUP(H114, 'Lookup Tables'!$R$6:$T$13, 3, FALSE), VLOOKUP('Lighting Inventory'!G114, 'Lookup Tables'!$R$6:$T$13, 3, FALSE))))</f>
        <v/>
      </c>
      <c r="BD114" s="270" t="str">
        <f>IF(G114="", "", IF(E114="Exterior", 0, IF('Lighting Inventory'!G114="Air Conditioned", VLOOKUP(H114, 'Lookup Tables'!$R$6:$U$13, 4, FALSE), VLOOKUP('Lighting Inventory'!G114, 'Lookup Tables'!$R$6:$U$13, 4, FALSE))))</f>
        <v/>
      </c>
      <c r="BE114" s="270" t="str">
        <f>IFERROR(IF(B114="", "",  IF(B114="New Construction", VLOOKUP(F114, 'Lookup Tables'!$A$6:$K$59, 11, FALSE),IF(OR(AN114="", AN114="Light Switch"), 0, IF(OR(M114="",M114="None",V114= "LED Exit Signs"),0,_xlfn.XLOOKUP(M114,'Lookup Tables'!$R$91:$R$101,'Lookup Tables'!$V$91:$V$101))))), "")</f>
        <v/>
      </c>
      <c r="BF114" s="270" t="str">
        <f>IF(AND(OR(AN114="Light Switch",AN114=""),B114="New Construction"), VLOOKUP(F114, 'Lookup Tables'!$A$6:$K$59, 11, FALSE),IF(AN114="","",IF(B114="","",IF(OR(AN114="None",AN114="",V114="LED Exit Signs",AN114="Exterior Controls Not Eligible"),0,_xlfn.XLOOKUP(AN114,'Lookup Tables'!$R$91:$R$101,'Lookup Tables'!$V$91:$V$101)))))</f>
        <v/>
      </c>
      <c r="BG114" s="88" t="str">
        <f t="shared" si="353"/>
        <v/>
      </c>
      <c r="BH114" s="88" t="str">
        <f t="shared" si="354"/>
        <v/>
      </c>
      <c r="BI114" s="558" t="str">
        <f t="shared" si="398"/>
        <v/>
      </c>
      <c r="BJ114" s="82" t="str">
        <f t="shared" si="355"/>
        <v/>
      </c>
      <c r="BK114" s="82" t="str">
        <f t="shared" si="356"/>
        <v/>
      </c>
      <c r="BL114" s="559" t="str">
        <f t="shared" si="357"/>
        <v/>
      </c>
      <c r="BM114" s="521" t="str">
        <f t="shared" si="302"/>
        <v/>
      </c>
      <c r="BN114" s="521" t="str">
        <f t="shared" si="303"/>
        <v/>
      </c>
      <c r="BO114" s="522" t="str">
        <f t="shared" si="304"/>
        <v/>
      </c>
      <c r="BP114" s="83" t="str">
        <f t="shared" si="358"/>
        <v/>
      </c>
      <c r="BQ114" s="84" t="str">
        <f t="shared" si="359"/>
        <v/>
      </c>
      <c r="BR114" s="184" t="str">
        <f>IFERROR(IF(B114="", "", IF(OR(VLOOKUP(J114, 'Fixture Identities'!$A$6:$L$1023, 3, FALSE)="T12 Linear Fluorescent",VLOOKUP(J114, 'Fixture Identities'!$A$6:$L$1023, 3, FALSE)="T12 U-Tube Fluorescent"), "Y", "N")), "N")</f>
        <v/>
      </c>
      <c r="BS114" s="184" t="str">
        <f t="array" ref="BS114">IFERROR(IF(OR(B114="", V114="", W114=""), "", IF(V114="Custom", "N", IF(OR(W114="Freezer Case Lighting", W114="Refrigerated Case Lighting with Doors"), BT114, IF(B114="Retrofit", INDEX('Lookup Tables'!$AH$6:$AT$102,MATCH(1,('Lookup Tables'!$AH$6:$AH$102=V114)*('Lookup Tables'!$AI$6:$AI$102=W114),FALSE),IF(VLOOKUP(J114, 'Fixture Identities'!$A$6:$B$1023, 2, FALSE)="Incandescent",12, 13)), INDEX('Lookup Tables'!$AH$114:$AS$154,MATCH(1,('Lookup Tables'!$AH$114:$AH$154=V114)*('Lookup Tables'!$AI$114:$AI$154=W114),FALSE),12))))), "N")</f>
        <v/>
      </c>
      <c r="BT114" s="184" t="str">
        <f>IF(J114="", "", IF(AND(OR(W114="Freezer case Lighting", W114="Refrigerated Case Lighting with Doors"),'General Information'!$X$18="LCI"), "N", IF(OR(VLOOKUP(J114, 'Fixture Identities'!$A$6:$B$1023, 2, FALSE)="T12 EPACT/EISA Baseline", VLOOKUP(J114, 'Fixture Identities'!$A$6:$B$1023, 2, FALSE)="Linear Fluorescent", VLOOKUP(J114, 'Fixture Identities'!$A$6:$B$1023, 2, FALSE)="U-Tube Fluorescent"), "Y", "N")))</f>
        <v/>
      </c>
      <c r="BU114" s="184" t="str">
        <f>IFERROR(IF(B114="", "", IF(VLOOKUP(J114, 'Fixture Identities'!$A$6:$B$1023, 2, FALSE)="Exit Sign", "Y", "N")), "N")</f>
        <v/>
      </c>
      <c r="BV114" s="184" t="str">
        <f>IF(V114="Exit Signs", IF(VLOOKUP(J114, 'Fixture Identities'!$A$6:$B$1023, 2, FALSE)="Exit Sign", "N", "Y"), "")</f>
        <v/>
      </c>
      <c r="BW114" s="184" t="str">
        <f t="array" ref="BW114">IFERROR(IF(B114="", "", IF(B114="New Construction", "N", INDEX('Lookup Tables'!$AH$6:$AU$102, MATCH(1, ('Lookup Tables'!$AH$6:$AH$102='Lighting Inventory'!V114)*('Lookup Tables'!$AI$6:$AI$102='Lighting Inventory'!W114), 0), 14))), "N")</f>
        <v/>
      </c>
      <c r="BX114" s="598" t="str">
        <f t="shared" si="360"/>
        <v/>
      </c>
      <c r="BY114" s="598" t="str">
        <f t="shared" si="361"/>
        <v/>
      </c>
      <c r="BZ114" s="598" t="str">
        <f t="shared" si="362"/>
        <v/>
      </c>
      <c r="CA114" s="598" t="str">
        <f t="shared" si="363"/>
        <v/>
      </c>
      <c r="CB114" s="269" t="str">
        <f t="shared" si="364"/>
        <v/>
      </c>
      <c r="CC114" s="517" t="str">
        <f t="shared" si="365"/>
        <v/>
      </c>
      <c r="CD114" s="565" t="str">
        <f t="shared" si="305"/>
        <v/>
      </c>
      <c r="CE114" s="368">
        <v>0</v>
      </c>
      <c r="CF114" s="368" t="str" cm="1">
        <f t="array" ref="CF114">IFERROR(IF(V114="Custom", "$0.1 per kWh", IF(B114="New Construction", CONCATENATE("$",INDEX('Lookup Tables'!$AH$114:$AN$154,MATCH(1,('Lookup Tables'!$AH$114:$AH$154='Lighting Inventory'!V114)*('Lookup Tables'!$AI$114:$AI$154='Lighting Inventory'!W114),FALSE),6)," ",INDEX('Lookup Tables'!$AH$114:$AN$154,MATCH(1,('Lookup Tables'!$AH$114:$AH$154='Lighting Inventory'!V114)*('Lookup Tables'!$AI$114:$AI$154='Lighting Inventory'!W114),FALSE),7)), IF(AND(BU114="N", V114="Exit Signs"), "$0.025 per kWh", CONCATENATE("$",INDEX('Lookup Tables'!$AH$6:$AN$102,MATCH(1,('Lookup Tables'!$AH$6:$AH$102='Lighting Inventory'!V114)*('Lookup Tables'!$AI$6:$AI$102='Lighting Inventory'!W114),FALSE),6)," ",INDEX('Lookup Tables'!$AH$6:$AN$102,MATCH(1,('Lookup Tables'!$AH$6:$AH$102='Lighting Inventory'!V114)*('Lookup Tables'!$AI$6:$AI$102='Lighting Inventory'!W114),FALSE),7))))), "")</f>
        <v/>
      </c>
      <c r="CG114" s="366"/>
      <c r="CH114" s="248" t="str">
        <f t="shared" si="306"/>
        <v/>
      </c>
      <c r="CI114" s="248" t="str">
        <f t="shared" si="307"/>
        <v>Select_IE</v>
      </c>
      <c r="CJ114" s="248" t="str">
        <f t="shared" si="308"/>
        <v/>
      </c>
      <c r="CK114" s="248" t="str">
        <f t="shared" si="309"/>
        <v/>
      </c>
      <c r="CL114" s="248" t="str">
        <f t="shared" si="310"/>
        <v/>
      </c>
      <c r="CM114" s="248" t="str">
        <f>IFERROR(IF(B114="", "", IF(B114="New Construction", VLOOKUP(V114, 'Lookup Tables'!$AF$114:$AG$120, 2, FALSE), VLOOKUP(V114, 'Lookup Tables'!$AD$6:$AE$25, 2, FALSE))), "")</f>
        <v/>
      </c>
      <c r="CN114" s="248" t="str">
        <f t="shared" si="311"/>
        <v/>
      </c>
      <c r="CO114" s="248" t="str">
        <f t="shared" si="312"/>
        <v/>
      </c>
      <c r="CP114" s="592" t="str">
        <f t="shared" si="313"/>
        <v/>
      </c>
      <c r="CQ114" s="248" t="str">
        <f t="shared" si="366"/>
        <v/>
      </c>
      <c r="CR114" s="249"/>
      <c r="CS114" s="250" t="str">
        <f t="shared" si="314"/>
        <v/>
      </c>
      <c r="CT114" s="250" t="str">
        <f t="shared" si="367"/>
        <v/>
      </c>
      <c r="CU114" s="250" t="str">
        <f t="shared" si="368"/>
        <v/>
      </c>
      <c r="CV114" s="250" t="str">
        <f t="shared" si="369"/>
        <v/>
      </c>
      <c r="CW114" s="250" t="str">
        <f t="shared" si="370"/>
        <v/>
      </c>
      <c r="CX114" s="250" t="str">
        <f t="shared" si="315"/>
        <v/>
      </c>
      <c r="CY114" s="250" t="str">
        <f t="shared" si="316"/>
        <v/>
      </c>
      <c r="CZ114" s="250" t="str">
        <f t="shared" si="317"/>
        <v/>
      </c>
      <c r="DA114" s="250" t="str">
        <f t="shared" si="318"/>
        <v/>
      </c>
      <c r="DB114" s="250" t="str">
        <f t="shared" si="319"/>
        <v/>
      </c>
      <c r="DC114" s="250" t="str">
        <f t="shared" si="320"/>
        <v/>
      </c>
      <c r="DD114" s="250" t="str">
        <f t="shared" si="321"/>
        <v/>
      </c>
      <c r="DE114" s="250" t="str">
        <f t="shared" si="322"/>
        <v/>
      </c>
      <c r="DF114" s="250" t="str">
        <f t="shared" si="323"/>
        <v/>
      </c>
      <c r="DG114" s="250" t="str">
        <f t="shared" si="324"/>
        <v/>
      </c>
      <c r="DH114" s="250" t="str">
        <f t="shared" si="325"/>
        <v/>
      </c>
      <c r="DI114" s="250" t="str">
        <f t="shared" si="326"/>
        <v/>
      </c>
      <c r="DJ114" s="250" t="str">
        <f t="shared" si="327"/>
        <v/>
      </c>
      <c r="DK114" s="250" t="str">
        <f t="shared" si="328"/>
        <v/>
      </c>
      <c r="DL114" s="250" t="str">
        <f t="shared" si="329"/>
        <v/>
      </c>
      <c r="DM114" s="250" t="str">
        <f>IF(CD114="ERROR", "ERROR", IF(AND(OR(Y114=$DM$6, Y114='Lookup Tables'!$AD$21, Y114='Lookup Tables'!$AD$22), E114="Interior"), BJ114, ""))</f>
        <v/>
      </c>
      <c r="DN114" s="250" t="str">
        <f>IF(CD114="ERROR", "ERROR", IF(AND(OR(Y114=$DM$6, Y114='Lookup Tables'!$AD$21, Y114='Lookup Tables'!$AD$22), E114="Exterior"), BJ114, ""))</f>
        <v/>
      </c>
      <c r="DO114" s="249"/>
      <c r="DP114" s="250" t="str">
        <f t="shared" si="330"/>
        <v/>
      </c>
      <c r="DQ114" s="250" t="str">
        <f t="shared" si="371"/>
        <v/>
      </c>
      <c r="DR114" s="250" t="str">
        <f t="shared" si="372"/>
        <v/>
      </c>
      <c r="DS114" s="250" t="str">
        <f t="shared" si="373"/>
        <v/>
      </c>
      <c r="DT114" s="250" t="str">
        <f t="shared" si="374"/>
        <v/>
      </c>
      <c r="DU114" s="250" t="str">
        <f t="shared" si="331"/>
        <v/>
      </c>
      <c r="DV114" s="250" t="str">
        <f t="shared" si="332"/>
        <v/>
      </c>
      <c r="DW114" s="250" t="str">
        <f t="shared" si="333"/>
        <v/>
      </c>
      <c r="DX114" s="250" t="str">
        <f t="shared" si="334"/>
        <v/>
      </c>
      <c r="DY114" s="250" t="str">
        <f t="shared" si="335"/>
        <v/>
      </c>
      <c r="DZ114" s="250" t="str">
        <f t="shared" si="336"/>
        <v/>
      </c>
      <c r="EA114" s="250" t="str">
        <f t="shared" si="337"/>
        <v/>
      </c>
      <c r="EB114" s="250" t="str">
        <f t="shared" si="375"/>
        <v/>
      </c>
      <c r="EC114" s="250" t="str">
        <f t="shared" si="338"/>
        <v/>
      </c>
      <c r="ED114" s="250" t="str">
        <f t="shared" si="339"/>
        <v/>
      </c>
      <c r="EE114" s="250" t="str">
        <f t="shared" si="340"/>
        <v/>
      </c>
      <c r="EF114" s="250" t="str">
        <f t="shared" si="341"/>
        <v/>
      </c>
      <c r="EG114" s="250" t="str">
        <f t="shared" si="342"/>
        <v/>
      </c>
      <c r="EH114" s="250" t="str">
        <f>IF(CD114="ERROR", "ERROR", IF(AND(OR($EH$6=Y114, Y114='Lookup Tables'!$AD$21, Y114='Lookup Tables'!$AD$22),E114="Interior"), SUM(BP114:BP114), ""))</f>
        <v/>
      </c>
      <c r="EI114" s="250" t="str">
        <f>IF(CD114="ERROR", "ERROR", IF(AND(OR($EH$6=Y114, Y114='Lookup Tables'!$AD$21, Y114='Lookup Tables'!$AD$22),E114="Exterior"), SUM(BP114:BP114), ""))</f>
        <v/>
      </c>
      <c r="EJ114" s="109"/>
      <c r="EK114" s="485" t="str">
        <f t="shared" si="343"/>
        <v/>
      </c>
      <c r="EL114" s="252" t="str">
        <f t="shared" si="376"/>
        <v/>
      </c>
      <c r="EM114" s="252" t="str">
        <f t="shared" si="377"/>
        <v/>
      </c>
      <c r="EN114" s="252" t="str">
        <f t="shared" si="378"/>
        <v/>
      </c>
      <c r="EO114" s="252" t="str">
        <f t="shared" si="379"/>
        <v/>
      </c>
      <c r="EP114" s="252" t="str">
        <f t="shared" si="380"/>
        <v/>
      </c>
      <c r="EQ114" s="252" t="str">
        <f t="shared" si="381"/>
        <v/>
      </c>
      <c r="ER114" s="252" t="str">
        <f t="shared" si="382"/>
        <v/>
      </c>
      <c r="ES114" s="252" t="str">
        <f t="shared" si="383"/>
        <v/>
      </c>
      <c r="ET114" s="252" t="str">
        <f t="shared" si="384"/>
        <v/>
      </c>
      <c r="EU114" s="252" t="str">
        <f t="shared" si="385"/>
        <v/>
      </c>
      <c r="EV114" s="252" t="str">
        <f t="shared" si="386"/>
        <v/>
      </c>
      <c r="EW114" s="252" t="str">
        <f t="shared" si="387"/>
        <v/>
      </c>
      <c r="EX114" s="252" t="str">
        <f t="shared" si="388"/>
        <v/>
      </c>
      <c r="EY114" s="252" t="str">
        <f t="shared" si="389"/>
        <v/>
      </c>
      <c r="EZ114" s="252" t="str">
        <f t="shared" si="390"/>
        <v/>
      </c>
      <c r="FA114" s="252" t="str">
        <f t="shared" si="391"/>
        <v/>
      </c>
      <c r="FB114" s="252" t="str">
        <f t="shared" si="392"/>
        <v/>
      </c>
      <c r="FC114" s="252" t="str">
        <f>IF(CD114="ERROR", "ERROR", IF(OR(V114="No Change", V114="Not DLC or Energy Star"), "", IF(AND(OR($FC$6=Y114,Y114='Lookup Tables'!$AD$21, Y114='Lookup Tables'!$AD$22),E114="Interior"), S114, "")))</f>
        <v/>
      </c>
      <c r="FD114" s="252" t="str">
        <f t="shared" si="393"/>
        <v/>
      </c>
      <c r="FE114" s="1"/>
      <c r="FF114" s="579" t="str" cm="1">
        <f t="array" ref="FF114">IFERROR(IF(OR(BQ114&lt;=0,AQ114&lt;20,AND(V114="Exit Signs",AN114&gt;0)),"",IF(AND(AQ114&gt;=20,AN114='Lookup Tables'!$R$101),'Lookup Tables'!$U$101*BQ114,AP114*LOOKUP(2,1/((AN114='Lookup Tables'!$R$91:$R$111)*(AQ114&gt;='Lookup Tables'!$S$91:$S$111)*(AQ114&lt;='Lookup Tables'!$T$91:$T$111)),'Lookup Tables'!$U$91:$U$111))),"")</f>
        <v/>
      </c>
      <c r="FG114" s="579"/>
      <c r="FH114" s="579"/>
      <c r="FI114" s="253" t="str">
        <f>IFERROR(ROUND(IF(CD114="ERROR", "ERROR", IF(AND($FI$7=X114,E114="Interior"),VLOOKUP(W114, 'Lookup Tables'!$AI$6:$AM$102, 5, FALSE)*BP114, "")), 2), "")</f>
        <v/>
      </c>
      <c r="FJ114" s="253" t="str">
        <f>IFERROR(ROUND(IF(CD114="ERROR", "ERROR", IF(AND($FI$7=X114,E114="Exterior"),VLOOKUP(W114, 'Lookup Tables'!$AI$6:$AM$102, 5, FALSE)*BP114, "")), 2), "")</f>
        <v/>
      </c>
      <c r="FK114" s="253" t="str">
        <f>IFERROR(ROUND(IF(CD114="ERROR", "ERROR", IF(AND($FK$7=X114,E114="Interior"),VLOOKUP(W114, 'Lookup Tables'!$AI$6:$AM$102, 5, FALSE)*BP114, "")), 2), "")</f>
        <v/>
      </c>
      <c r="FL114" s="253" t="str">
        <f>IFERROR(ROUND(IF(CD114="ERROR", "ERROR", IF(AND($FK$7=X114,E114="Exterior"),VLOOKUP(W114, 'Lookup Tables'!$AI$6:$AM$102, 5, FALSE)*BP114, "")), 2), "")</f>
        <v/>
      </c>
      <c r="FM114" s="253" t="str">
        <f>IFERROR(ROUND(IF(CD114="ERROR", "ERROR", IF(AND($FM$6=Y114,E114="Interior"), IF(GB114=0, VLOOKUP(W114, 'Lookup Tables'!$AI$6:$AM$102, 5, FALSE)*BP114, IF(VLOOKUP(W114, 'Lookup Tables'!$AI$6:$AM$102, 5, FALSE)*BP114&gt;GB114*'Lighting Inventory'!S114, GB114*'Lighting Inventory'!S114,VLOOKUP(W114, 'Lookup Tables'!$AI$6:$AM$102, 5, FALSE)*BP114)), "")), 2), "")</f>
        <v/>
      </c>
      <c r="FN114" s="253" t="str">
        <f>IFERROR(ROUND(IF(CD114="ERROR", "ERROR", IF(AND($FM$6=Y114,E114="Exterior"), IF(GB114=0, VLOOKUP(W114, 'Lookup Tables'!$AI$6:$AM$102, 5, FALSE)*BP114, IF(VLOOKUP(W114, 'Lookup Tables'!$AI$6:$AM$102, 5, FALSE)*BP114&gt;GB114*'Lighting Inventory'!S114, GB114*'Lighting Inventory'!S114,VLOOKUP(W114, 'Lookup Tables'!$AI$6:$AM$102, 5, FALSE)*BP114)), "")), 2), "")</f>
        <v/>
      </c>
      <c r="FO114" s="253" t="str">
        <f>IFERROR(ROUND(IF(CD114="ERROR", "ERROR", IF(AND($FO$6=Y114,E114="Interior"),VLOOKUP(W114, 'Lookup Tables'!$AI$6:$AM$102, 5, FALSE)*'Lighting Inventory'!AI114, "")), 2), "")</f>
        <v/>
      </c>
      <c r="FP114" s="253" t="str">
        <f>IFERROR(ROUND(IF(CD114="ERROR", "ERROR", IF(AND($FO$6=Y114,E114="Exterior"),VLOOKUP(W114, 'Lookup Tables'!$AI$6:$AM$102, 5, FALSE)*'Lighting Inventory'!AI114, "")), 2), "")</f>
        <v/>
      </c>
      <c r="FQ114" s="253" t="str">
        <f>IFERROR(ROUND(IF(CD114="ERROR", "ERROR", IF(AND($FQ$6=Y114,E114="Interior", BU114="Y"), VLOOKUP('Lighting Inventory'!W114, 'Lookup Tables'!$AI$6:$AM$102, 5, FALSE)*'Lighting Inventory'!S114, IF(AND($FQ$7=Y114,E114="Interior", BU114="N"), 0.025*CD114, ""))), 2), "")</f>
        <v/>
      </c>
      <c r="FR114" s="253" t="str">
        <f>IFERROR(ROUND(IF(CD114="ERROR", "ERROR", IF(AND($FQ$6=Y114,E114="Exterior"), VLOOKUP('Lighting Inventory'!W114, 'Lookup Tables'!$AI$6:$AM$102, 5, FALSE)*'Lighting Inventory'!S114, "")), 2), "")</f>
        <v/>
      </c>
      <c r="FS114" s="253" t="str">
        <f>IFERROR(ROUND(IF(CD114="ERROR", "ERROR", IF(AND($FS$6=Y114,E114="Exterior"), IF(GB114=0, VLOOKUP(W114, 'Lookup Tables'!$AI$6:$AM$102, 5, FALSE)*BP114, IF(VLOOKUP(W114, 'Lookup Tables'!$AI$6:$AM$102, 5, FALSE)*BP114&gt;GB114*'Lighting Inventory'!S114, GB114*'Lighting Inventory'!S114,VLOOKUP(W114, 'Lookup Tables'!$AI$6:$AM$102, 5, FALSE)*BP114)), "")), 2), "")</f>
        <v/>
      </c>
      <c r="FT114" s="253" t="str">
        <f>IFERROR(ROUND(IF(CD114="ERROR", "ERROR", IF(AND($FT$6=Y114,E114="Interior"), IF(GB114=0, VLOOKUP(W114, 'Lookup Tables'!$AI$6:$AM$102, 5, FALSE)*BP114, IF(VLOOKUP(W114, 'Lookup Tables'!$AI$6:$AM$102, 5, FALSE)*BP114&gt;GB114*'Lighting Inventory'!S114, GB114*'Lighting Inventory'!S114,VLOOKUP(W114, 'Lookup Tables'!$AI$6:$AM$102, 5, FALSE)*BP114)), "")), 2), "")</f>
        <v/>
      </c>
      <c r="FU114" s="253" t="str">
        <f>IFERROR(ROUND(IF(CD114="ERROR", "ERROR", IF(AND(Y114=$FU$6, E114="Interior"), IF(BS114="N", 'Lookup Tables'!$AM$101*BP114, VLOOKUP(W114, 'Lookup Tables'!$AI$6:$AM$102, 5, FALSE)*S114*AD114), "")), 2), "")</f>
        <v/>
      </c>
      <c r="FV114" s="253" t="str">
        <f>IFERROR(ROUND(IF(CD114="ERROR", "ERROR", IF(AND(Y114=$FU$6, E114="Exterior"), IF(BS114="N", 'Lookup Tables'!$AM$101*BP114, VLOOKUP(W114, 'Lookup Tables'!$AI$6:$AM$102, 5, FALSE)*S114*AD114), "")), 2), "")</f>
        <v/>
      </c>
      <c r="FW114" s="253" t="str">
        <f>IFERROR(ROUND(IF(CD114="ERROR", "ERROR", IF($FW$6=Y114, IF(BS114="N", 'Lookup Tables'!$AM$101*BP114, MIN((VLOOKUP(W114, 'Lookup Tables'!$AI$6:$AM$102, 5, FALSE)*BP114),GB114*AJ114)), "")), 2), "")</f>
        <v/>
      </c>
      <c r="FX114" s="253" t="str">
        <f>IFERROR(ROUND(IF(CD114="ERROR", "ERROR", IF(AND($FX$6=Y114, E114="Interior"), IF(VLOOKUP(W114, 'Lookup Tables'!$AI$6:$AM$102, 5, FALSE)*BP114&gt;'Lookup Tables'!$AQ$97*'Lighting Inventory'!S114,'Lighting Inventory'!S114*'Lookup Tables'!$AQ$97,VLOOKUP(W114, 'Lookup Tables'!$AI$6:$AM$102, 5, FALSE)*BP114), "")), 2), "")</f>
        <v/>
      </c>
      <c r="FY114" s="253" t="str">
        <f>IFERROR(ROUND(IF(CD114="ERROR", "ERROR", IF(AND($FX$6=Y114, E114="Exterior"), IF(VLOOKUP(W114, 'Lookup Tables'!$AI$6:$AM$102, 5, FALSE)*BP114&gt;'Lookup Tables'!$AQ$97*'Lighting Inventory'!S114,'Lighting Inventory'!S114*'Lookup Tables'!$AQ$97,VLOOKUP(W114, 'Lookup Tables'!$AI$6:$AM$102, 5, FALSE)*BP114), "")), 2), "")</f>
        <v/>
      </c>
      <c r="FZ114" s="253" t="str">
        <f>IFERROR(ROUND(IF(CD114="ERROR", "ERROR", IF(AND($FZ$6=Y114, E114="Interior"), IF(AND(OR(W114="Refrigerated Case Lighting with Doors", W114="Freezer Case Lighting"),Y114="Custom - Process Improvement"),CD114*'Lookup Tables'!$AM$101, IF(B114="Retrofit", IF(VLOOKUP(IF(V114="Custom", V114, W114), 'Lookup Tables'!$AI$6:$AM$102, 5, FALSE)*BP114&gt;GE114, GE114, VLOOKUP(IF(V114="Custom", V114, W114), 'Lookup Tables'!$AI$6:$AM$102, 5, FALSE)*BP114), IF(VLOOKUP(IF(V114="Custom", V114, W114), 'Lookup Tables'!$AI$114:$AM$154, 5, FALSE)*BP114&gt;GE114, GE114, VLOOKUP(IF(V114="Custom", V114, W114), 'Lookup Tables'!$AI$114:$AM$154, 5, FALSE)*BP114))), "")), 2),"")</f>
        <v/>
      </c>
      <c r="GA114" s="253" t="str">
        <f>IFERROR(ROUND(IF(CD114="ERROR", "ERROR", IF(AND($FZ$6=Y114, E114="Exterior"), IF(B114="Retrofit", IF(VLOOKUP(IF(V114="Custom", V114, W114), 'Lookup Tables'!$AI$6:$AM$102, 5, FALSE)*BP114&gt;GE114, GE114, VLOOKUP(IF(V114="Custom", V114, W114), 'Lookup Tables'!$AI$6:$AM$102, 5, FALSE)*BP114), IF(VLOOKUP(IF(V114="Custom", V114, W114), 'Lookup Tables'!$AI$114:$AM$154, 5, FALSE)*BP114&gt;GE114, GE114, VLOOKUP(IF(V114="Custom", V114, W114), 'Lookup Tables'!$AI$114:$AM$154, 5, FALSE)*BP114)), "")), 2),"")</f>
        <v/>
      </c>
      <c r="GB114" s="254" t="str">
        <f t="array" ref="GB114">IF(B114="","",IF(OR(V114="Custom",V114="No Change"),0,IF(B114="Retrofit", INDEX('Lookup Tables'!$AH$6:$AQ$102,MATCH(1,('Lookup Tables'!$AH$6:$AH$102='Lighting Inventory'!V114)*('Lookup Tables'!$AI$6:$AI$102='Lighting Inventory'!W114),FALSE),10),INDEX('Lookup Tables'!$AH$114:$AQ$154,MATCH(1,('Lookup Tables'!$AH$114:$AH$154='Lighting Inventory'!V114)*('Lookup Tables'!$AI$114:$AI$154='Lighting Inventory'!W114),FALSE),10))))</f>
        <v/>
      </c>
      <c r="GC114" s="255" t="str">
        <f t="shared" si="344"/>
        <v/>
      </c>
      <c r="GD114" s="250" t="str">
        <f t="shared" si="345"/>
        <v/>
      </c>
      <c r="GE114" s="253" t="str">
        <f>IFERROR(IF(AND(AF114="", 'General Information'!$F$18="No"),"", IF(AF114="", ((GD114/$CD$266)*$CF$266)*0.5, AF114*S114*0.5)), "")</f>
        <v/>
      </c>
      <c r="GF114" s="255" t="str">
        <f>IF(AND('General Information'!$F$19="", 'General Information'!$F$18="Yes",AF114="",BW114="Y"), "Y", "N")</f>
        <v>N</v>
      </c>
      <c r="GG114" s="255" t="s">
        <v>2946</v>
      </c>
      <c r="GH114" s="255" t="str">
        <f>IFERROR(IF(B114="", "", VLOOKUP(J114, 'Fixture Identities'!$A$6:$N$908, 14, FALSE)), "")</f>
        <v/>
      </c>
      <c r="GI114" s="389" t="str">
        <f>IF(OR(B114="", V114="", W114=""), "", IF(AND(OR(M114='Lookup Tables'!$R$18, M114='Lookup Tables'!$R$19, M114='Lookup Tables'!$R$20, M114='Lookup Tables'!$R$21, M114='Lookup Tables'!$R$22), OR(AN114='Lookup Tables'!$R$17, AN114='Lookup Tables'!$R$17, AN114="")), "Y", "N"))</f>
        <v/>
      </c>
      <c r="GJ114" s="255" t="str">
        <f t="shared" si="346"/>
        <v/>
      </c>
      <c r="GK114" s="255" t="str">
        <f t="shared" si="347"/>
        <v/>
      </c>
      <c r="GL114" s="255" t="str">
        <f t="shared" si="348"/>
        <v/>
      </c>
      <c r="GM114" s="255" t="str">
        <f>IF(AN114="", "", IF(AND(IF(ISNA(VLOOKUP(AN114,'Lookup Tables'!$R$18:$R$22,1,FALSE)), "N", "Y")="Y", E114="Exterior"), "Y", "N"))</f>
        <v/>
      </c>
      <c r="GN114" s="395"/>
      <c r="GO114" s="428">
        <f t="shared" si="394"/>
        <v>0</v>
      </c>
      <c r="GP114" s="428">
        <f t="shared" si="397"/>
        <v>0</v>
      </c>
      <c r="GQ114" s="428">
        <f t="shared" si="395"/>
        <v>0</v>
      </c>
      <c r="GR114" s="428">
        <f t="shared" si="396"/>
        <v>0</v>
      </c>
    </row>
    <row r="115" spans="1:200" s="103" customFormat="1" ht="13.5" customHeight="1" x14ac:dyDescent="0.2">
      <c r="A115" s="272">
        <v>105</v>
      </c>
      <c r="B115" s="110"/>
      <c r="C115" s="110"/>
      <c r="D115" s="110"/>
      <c r="E115" s="110"/>
      <c r="F115" s="110"/>
      <c r="G115" s="110"/>
      <c r="H115" s="110"/>
      <c r="I115" s="29"/>
      <c r="J115" s="29"/>
      <c r="K115" s="272" t="str">
        <f>IFERROR(IF(OR(VLOOKUP(J115, 'Fixture Identities'!$A$6:$L$1023, 3, FALSE)="T12 Linear Fluorescent", VLOOKUP(J115, 'Fixture Identities'!$A$6:$L$1023, 3, FALSE)="T12 U-Tube Fluorescent"), VLOOKUP(VLOOKUP(J115, 'Fixture Identities'!$A$6:$L$1023, 11, FALSE), 'Fixture Identities'!$A$6:$L$1023, 10, FALSE), VLOOKUP(J115, 'Fixture Identities'!$A$6:$L$1023, 10, FALSE)), "")</f>
        <v/>
      </c>
      <c r="L115" s="270" t="str">
        <f t="shared" si="399"/>
        <v/>
      </c>
      <c r="M115" s="110"/>
      <c r="N115" s="110"/>
      <c r="O115" s="110"/>
      <c r="P115" s="272" t="str">
        <f>IFERROR(IF(OR(B115="Retrofit",B115=""),"",IF('Lighting Inventory'!E115="Exterior",VLOOKUP('Lighting Inventory'!N115,'Lookup Tables'!$B$83:$F$103,5,FALSE),IF(N115="Other - Please Estimate EFLH and CFs","Contact Prog. Rep.","ft^2"))), "")</f>
        <v/>
      </c>
      <c r="Q115" s="270" t="str">
        <f>IFERROR(IF(AND(B115="New Construction",E115="Interior",$F$5="Space-by-Space"),VLOOKUP('Lighting Inventory'!N115,'Lookup Tables'!$N$6:$O$97,2,FALSE),IF(AND(B115="New Construction",E115="Exterior"),VLOOKUP(N115,'Lookup Tables'!$B$83:$F$103,2,FALSE),IF(AND(B115="New Construction",'Lighting Inventory'!E115="Interior", $F$5="Building Area"),VLOOKUP(F115,'Lookup Tables'!$A$6:$J$59,10,FALSE),""))), "")</f>
        <v/>
      </c>
      <c r="R115" s="270" t="str">
        <f>IFERROR(IF(P115="Contact Prog. Rep.", "ERROR", IF(OR(B115="",B115="Retrofit"),"",IF(N115="Automated teller machines", ('Lookup Tables'!$A$82:$E$100+('Lighting Inventory'!O115-1)*'Lookup Tables'!$A$82:$E$100)/1000, (Q115*O115)/1000))), "")</f>
        <v/>
      </c>
      <c r="S115" s="595"/>
      <c r="T115" s="105" t="str">
        <f t="shared" si="349"/>
        <v/>
      </c>
      <c r="U115" s="105" t="str">
        <f>IF(S115="","",COUNT($S$11:S115))</f>
        <v/>
      </c>
      <c r="V115" s="111"/>
      <c r="W115" s="112"/>
      <c r="X115" s="105" t="str">
        <f t="shared" si="350"/>
        <v/>
      </c>
      <c r="Y115" s="105" t="str">
        <f t="array" ref="Y115">IF(AND(OR(W115="Freezer Case Lighting", W115="Refrigerated Case Lighting with Doors"), 'General Information'!$X$18="LCI"),'Lookup Tables'!$Y$34, IF(V115="Custom", VLOOKUP(W115, 'Fixture Identities'!$A$974:$M$1023, 13, FALSE), IF(V115="No Change",'Lookup Tables'!$Y$29,IF(OR(V115="",W115=""),"",IF(AND(S115=0,S115&lt;I115,B115="Retrofit"),'Lookup Tables'!$Y$25, IF(B115="Retrofit", INDEX('Lookup Tables'!$AH$6:$AP$102, MATCH(1, ('Lookup Tables'!$AH$6:$AH$102=V115)*('Lookup Tables'!$AI$6:$AI$102=W115), 0), IF('Lighting Inventory'!E115="Interior", 4, 5)), INDEX('Lookup Tables'!$AH$114:$AP$154, MATCH(1, ('Lookup Tables'!$AH$114:$AH$154=V115)*('Lookup Tables'!$AI$114:$AI$154=W115), 0), IF('Lighting Inventory'!E115="Interior", 4, 5))))))))</f>
        <v/>
      </c>
      <c r="Z115" s="105" t="str">
        <f>IFERROR(INDEX('Lookup Tables'!$AH$158:$AH$172,MATCH('Lighting Inventory'!Y115,'Lookup Tables'!$AI$158:$AI$172,0)),"")</f>
        <v/>
      </c>
      <c r="AA115" s="105" t="str">
        <f>IF(AP115&gt;0,INDEX('Lookup Tables'!$AK$158:$AK$172,MATCH('Lighting Inventory'!Y115,'Lookup Tables'!$AI$158:$AI$172,0)),'Lighting Inventory'!Y115)</f>
        <v/>
      </c>
      <c r="AB115" s="105" t="str">
        <f t="array" ref="AB115">IF(V115="Custom", "Custom", IF(V115="", "", IF(V115="Not DLC or Energy Star", "General", IF(B115="New Construction", INDEX('Lookup Tables'!$AH$114:$AP$154,MATCH(1,('Lookup Tables'!$AH$114:$AH$154='Lighting Inventory'!V115)*('Lookup Tables'!$AI$114:$AI$154='Lighting Inventory'!W115),FALSE),8), INDEX('Lookup Tables'!$AH$6:$AP$102,MATCH(1,('Lookup Tables'!$AH$6:$AH$102='Lighting Inventory'!V115)*('Lookup Tables'!$AI$6:$AI$102='Lighting Inventory'!W115),FALSE),8)))))</f>
        <v/>
      </c>
      <c r="AC115" s="272" t="str">
        <f>IF(W115="","",IF(V115="Custom",CONCATENATE("$",'Lookup Tables'!$AM$101," ",'Lookup Tables'!$AN$101),CONCATENATE("$",INDEX('Lookup Tables'!$AM$6:$AM$102,MATCH('Lighting Inventory'!W115,'Lookup Tables'!$AI$6:$AI$102,0))," ",INDEX('Lookup Tables'!$AN$6:$AN$102,MATCH('Lighting Inventory'!W115,'Lookup Tables'!$AI$6:$AI$102,0)))))</f>
        <v/>
      </c>
      <c r="AD115" s="72"/>
      <c r="AE115" s="29"/>
      <c r="AF115" s="379"/>
      <c r="AG115" s="370" t="str">
        <f t="shared" si="298"/>
        <v/>
      </c>
      <c r="AH115" s="370" t="str">
        <f t="shared" si="351"/>
        <v/>
      </c>
      <c r="AI115" s="29"/>
      <c r="AJ115" s="29"/>
      <c r="AK115" s="110"/>
      <c r="AL115" s="375" t="str">
        <f>IF(OR(B115="", V115="", W115=""), "", IF(V115="No Change", K115, IF(V115="Remove Fixture", 0, IF(V115="Custom",VLOOKUP(W115,'Fixture Identities'!$A$6:$K$1023,10,FALSE),IF(AE115="", "← ENTER POST WATTS", 'Lighting Inventory'!AE115)))))</f>
        <v/>
      </c>
      <c r="AM115" s="376" t="str">
        <f t="shared" si="299"/>
        <v/>
      </c>
      <c r="AN115" s="29"/>
      <c r="AO115" s="671"/>
      <c r="AP115" s="29"/>
      <c r="AQ115" s="29"/>
      <c r="AR115" s="29"/>
      <c r="AS115" s="272" t="str">
        <f t="shared" si="352"/>
        <v/>
      </c>
      <c r="AT115" s="270" t="str">
        <f t="shared" si="300"/>
        <v/>
      </c>
      <c r="AU115" s="88" t="str">
        <f t="shared" si="400"/>
        <v/>
      </c>
      <c r="AV115" s="29"/>
      <c r="AW115" s="73"/>
      <c r="AX115" s="271" t="str">
        <f>IF(AND(AV115="Applicant",OR(AW115="", AW115="Use Default Facility Hours")),"← Choose Schedule",IF(F115="","",IF(W115="LED Exit Signs",8760,IF(OR(AV115="Prescribed",AV115=""),VLOOKUP(F115,'Lookup Tables'!$A$6:$G$59,IF(AB115="General", 6, 3),FALSE),VLOOKUP(AW115,'Lookup Tables'!$S$36:$U$43,2,FALSE)))))</f>
        <v/>
      </c>
      <c r="AY115" s="88" t="str">
        <f t="shared" si="301"/>
        <v/>
      </c>
      <c r="AZ115" s="270" t="str">
        <f>IFERROR(IF(F115="", "", IF(W115="LED Exit Signs", 1, IF(AV115="Applicant",VLOOKUP(AW115, 'Lookup Tables'!$S$36:$U$43,3, FALSE), VLOOKUP('Lighting Inventory'!F115, 'Lookup Tables'!$A$6:$H$59, IF('Lighting Inventory'!AB115="General",7,4), FALSE)))), "")</f>
        <v/>
      </c>
      <c r="BA115" s="522" t="str">
        <f>IFERROR(IF(F115="", "", IF(W115="LED Exit Signs", 1, VLOOKUP('Lighting Inventory'!F115, 'Lookup Tables'!$A$6:$H$59, IF('Lighting Inventory'!AB115="General",8,5), FALSE))), "")</f>
        <v/>
      </c>
      <c r="BB115" s="270" t="str">
        <f>IF(G115="", "", IF(E115="Exterior", 0, IF('Lighting Inventory'!G115="Air Conditioned", VLOOKUP(H115, 'Lookup Tables'!$R$6:$T$13, 2, FALSE), VLOOKUP('Lighting Inventory'!G115, 'Lookup Tables'!$R$6:$T$13, 2, FALSE))))</f>
        <v/>
      </c>
      <c r="BC115" s="522" t="str">
        <f>IF(G115="", "", IF(E115="Exterior", 0, IF('Lighting Inventory'!G115="Air Conditioned", VLOOKUP(H115, 'Lookup Tables'!$R$6:$T$13, 3, FALSE), VLOOKUP('Lighting Inventory'!G115, 'Lookup Tables'!$R$6:$T$13, 3, FALSE))))</f>
        <v/>
      </c>
      <c r="BD115" s="270" t="str">
        <f>IF(G115="", "", IF(E115="Exterior", 0, IF('Lighting Inventory'!G115="Air Conditioned", VLOOKUP(H115, 'Lookup Tables'!$R$6:$U$13, 4, FALSE), VLOOKUP('Lighting Inventory'!G115, 'Lookup Tables'!$R$6:$U$13, 4, FALSE))))</f>
        <v/>
      </c>
      <c r="BE115" s="270" t="str">
        <f>IFERROR(IF(B115="", "",  IF(B115="New Construction", VLOOKUP(F115, 'Lookup Tables'!$A$6:$K$59, 11, FALSE),IF(OR(AN115="", AN115="Light Switch"), 0, IF(OR(M115="",M115="None",V115= "LED Exit Signs"),0,_xlfn.XLOOKUP(M115,'Lookup Tables'!$R$91:$R$101,'Lookup Tables'!$V$91:$V$101))))), "")</f>
        <v/>
      </c>
      <c r="BF115" s="270" t="str">
        <f>IF(AND(OR(AN115="Light Switch",AN115=""),B115="New Construction"), VLOOKUP(F115, 'Lookup Tables'!$A$6:$K$59, 11, FALSE),IF(AN115="","",IF(B115="","",IF(OR(AN115="None",AN115="",V115="LED Exit Signs",AN115="Exterior Controls Not Eligible"),0,_xlfn.XLOOKUP(AN115,'Lookup Tables'!$R$91:$R$101,'Lookup Tables'!$V$91:$V$101)))))</f>
        <v/>
      </c>
      <c r="BG115" s="88" t="str">
        <f t="shared" si="353"/>
        <v/>
      </c>
      <c r="BH115" s="88" t="str">
        <f t="shared" si="354"/>
        <v/>
      </c>
      <c r="BI115" s="558" t="str">
        <f t="shared" si="398"/>
        <v/>
      </c>
      <c r="BJ115" s="82" t="str">
        <f t="shared" si="355"/>
        <v/>
      </c>
      <c r="BK115" s="82" t="str">
        <f t="shared" si="356"/>
        <v/>
      </c>
      <c r="BL115" s="559" t="str">
        <f t="shared" si="357"/>
        <v/>
      </c>
      <c r="BM115" s="521" t="str">
        <f t="shared" si="302"/>
        <v/>
      </c>
      <c r="BN115" s="521" t="str">
        <f t="shared" si="303"/>
        <v/>
      </c>
      <c r="BO115" s="522" t="str">
        <f t="shared" si="304"/>
        <v/>
      </c>
      <c r="BP115" s="83" t="str">
        <f t="shared" si="358"/>
        <v/>
      </c>
      <c r="BQ115" s="84" t="str">
        <f t="shared" si="359"/>
        <v/>
      </c>
      <c r="BR115" s="184" t="str">
        <f>IFERROR(IF(B115="", "", IF(OR(VLOOKUP(J115, 'Fixture Identities'!$A$6:$L$1023, 3, FALSE)="T12 Linear Fluorescent",VLOOKUP(J115, 'Fixture Identities'!$A$6:$L$1023, 3, FALSE)="T12 U-Tube Fluorescent"), "Y", "N")), "N")</f>
        <v/>
      </c>
      <c r="BS115" s="184" t="str">
        <f t="array" ref="BS115">IFERROR(IF(OR(B115="", V115="", W115=""), "", IF(V115="Custom", "N", IF(OR(W115="Freezer Case Lighting", W115="Refrigerated Case Lighting with Doors"), BT115, IF(B115="Retrofit", INDEX('Lookup Tables'!$AH$6:$AT$102,MATCH(1,('Lookup Tables'!$AH$6:$AH$102=V115)*('Lookup Tables'!$AI$6:$AI$102=W115),FALSE),IF(VLOOKUP(J115, 'Fixture Identities'!$A$6:$B$1023, 2, FALSE)="Incandescent",12, 13)), INDEX('Lookup Tables'!$AH$114:$AS$154,MATCH(1,('Lookup Tables'!$AH$114:$AH$154=V115)*('Lookup Tables'!$AI$114:$AI$154=W115),FALSE),12))))), "N")</f>
        <v/>
      </c>
      <c r="BT115" s="184" t="str">
        <f>IF(J115="", "", IF(AND(OR(W115="Freezer case Lighting", W115="Refrigerated Case Lighting with Doors"),'General Information'!$X$18="LCI"), "N", IF(OR(VLOOKUP(J115, 'Fixture Identities'!$A$6:$B$1023, 2, FALSE)="T12 EPACT/EISA Baseline", VLOOKUP(J115, 'Fixture Identities'!$A$6:$B$1023, 2, FALSE)="Linear Fluorescent", VLOOKUP(J115, 'Fixture Identities'!$A$6:$B$1023, 2, FALSE)="U-Tube Fluorescent"), "Y", "N")))</f>
        <v/>
      </c>
      <c r="BU115" s="184" t="str">
        <f>IFERROR(IF(B115="", "", IF(VLOOKUP(J115, 'Fixture Identities'!$A$6:$B$1023, 2, FALSE)="Exit Sign", "Y", "N")), "N")</f>
        <v/>
      </c>
      <c r="BV115" s="184" t="str">
        <f>IF(V115="Exit Signs", IF(VLOOKUP(J115, 'Fixture Identities'!$A$6:$B$1023, 2, FALSE)="Exit Sign", "N", "Y"), "")</f>
        <v/>
      </c>
      <c r="BW115" s="184" t="str">
        <f t="array" ref="BW115">IFERROR(IF(B115="", "", IF(B115="New Construction", "N", INDEX('Lookup Tables'!$AH$6:$AU$102, MATCH(1, ('Lookup Tables'!$AH$6:$AH$102='Lighting Inventory'!V115)*('Lookup Tables'!$AI$6:$AI$102='Lighting Inventory'!W115), 0), 14))), "N")</f>
        <v/>
      </c>
      <c r="BX115" s="598" t="str">
        <f t="shared" si="360"/>
        <v/>
      </c>
      <c r="BY115" s="598" t="str">
        <f t="shared" si="361"/>
        <v/>
      </c>
      <c r="BZ115" s="598" t="str">
        <f t="shared" si="362"/>
        <v/>
      </c>
      <c r="CA115" s="598" t="str">
        <f t="shared" si="363"/>
        <v/>
      </c>
      <c r="CB115" s="269" t="str">
        <f t="shared" si="364"/>
        <v/>
      </c>
      <c r="CC115" s="517" t="str">
        <f t="shared" si="365"/>
        <v/>
      </c>
      <c r="CD115" s="565" t="str">
        <f t="shared" si="305"/>
        <v/>
      </c>
      <c r="CE115" s="368">
        <v>0</v>
      </c>
      <c r="CF115" s="368" t="str" cm="1">
        <f t="array" ref="CF115">IFERROR(IF(V115="Custom", "$0.1 per kWh", IF(B115="New Construction", CONCATENATE("$",INDEX('Lookup Tables'!$AH$114:$AN$154,MATCH(1,('Lookup Tables'!$AH$114:$AH$154='Lighting Inventory'!V115)*('Lookup Tables'!$AI$114:$AI$154='Lighting Inventory'!W115),FALSE),6)," ",INDEX('Lookup Tables'!$AH$114:$AN$154,MATCH(1,('Lookup Tables'!$AH$114:$AH$154='Lighting Inventory'!V115)*('Lookup Tables'!$AI$114:$AI$154='Lighting Inventory'!W115),FALSE),7)), IF(AND(BU115="N", V115="Exit Signs"), "$0.025 per kWh", CONCATENATE("$",INDEX('Lookup Tables'!$AH$6:$AN$102,MATCH(1,('Lookup Tables'!$AH$6:$AH$102='Lighting Inventory'!V115)*('Lookup Tables'!$AI$6:$AI$102='Lighting Inventory'!W115),FALSE),6)," ",INDEX('Lookup Tables'!$AH$6:$AN$102,MATCH(1,('Lookup Tables'!$AH$6:$AH$102='Lighting Inventory'!V115)*('Lookup Tables'!$AI$6:$AI$102='Lighting Inventory'!W115),FALSE),7))))), "")</f>
        <v/>
      </c>
      <c r="CG115" s="366"/>
      <c r="CH115" s="248" t="str">
        <f t="shared" si="306"/>
        <v/>
      </c>
      <c r="CI115" s="248" t="str">
        <f t="shared" si="307"/>
        <v>Select_IE</v>
      </c>
      <c r="CJ115" s="248" t="str">
        <f t="shared" si="308"/>
        <v/>
      </c>
      <c r="CK115" s="248" t="str">
        <f t="shared" si="309"/>
        <v/>
      </c>
      <c r="CL115" s="248" t="str">
        <f t="shared" si="310"/>
        <v/>
      </c>
      <c r="CM115" s="248" t="str">
        <f>IFERROR(IF(B115="", "", IF(B115="New Construction", VLOOKUP(V115, 'Lookup Tables'!$AF$114:$AG$120, 2, FALSE), VLOOKUP(V115, 'Lookup Tables'!$AD$6:$AE$25, 2, FALSE))), "")</f>
        <v/>
      </c>
      <c r="CN115" s="248" t="str">
        <f t="shared" si="311"/>
        <v/>
      </c>
      <c r="CO115" s="248" t="str">
        <f t="shared" si="312"/>
        <v/>
      </c>
      <c r="CP115" s="592" t="str">
        <f t="shared" si="313"/>
        <v/>
      </c>
      <c r="CQ115" s="248" t="str">
        <f t="shared" si="366"/>
        <v/>
      </c>
      <c r="CR115" s="100"/>
      <c r="CS115" s="250" t="str">
        <f t="shared" si="314"/>
        <v/>
      </c>
      <c r="CT115" s="250" t="str">
        <f t="shared" si="367"/>
        <v/>
      </c>
      <c r="CU115" s="250" t="str">
        <f t="shared" si="368"/>
        <v/>
      </c>
      <c r="CV115" s="250" t="str">
        <f t="shared" si="369"/>
        <v/>
      </c>
      <c r="CW115" s="250" t="str">
        <f t="shared" si="370"/>
        <v/>
      </c>
      <c r="CX115" s="250" t="str">
        <f t="shared" si="315"/>
        <v/>
      </c>
      <c r="CY115" s="250" t="str">
        <f t="shared" si="316"/>
        <v/>
      </c>
      <c r="CZ115" s="250" t="str">
        <f t="shared" si="317"/>
        <v/>
      </c>
      <c r="DA115" s="250" t="str">
        <f t="shared" si="318"/>
        <v/>
      </c>
      <c r="DB115" s="250" t="str">
        <f t="shared" si="319"/>
        <v/>
      </c>
      <c r="DC115" s="250" t="str">
        <f t="shared" si="320"/>
        <v/>
      </c>
      <c r="DD115" s="250" t="str">
        <f t="shared" si="321"/>
        <v/>
      </c>
      <c r="DE115" s="250" t="str">
        <f t="shared" si="322"/>
        <v/>
      </c>
      <c r="DF115" s="250" t="str">
        <f t="shared" si="323"/>
        <v/>
      </c>
      <c r="DG115" s="250" t="str">
        <f t="shared" si="324"/>
        <v/>
      </c>
      <c r="DH115" s="250" t="str">
        <f t="shared" si="325"/>
        <v/>
      </c>
      <c r="DI115" s="250" t="str">
        <f t="shared" si="326"/>
        <v/>
      </c>
      <c r="DJ115" s="250" t="str">
        <f t="shared" si="327"/>
        <v/>
      </c>
      <c r="DK115" s="250" t="str">
        <f t="shared" si="328"/>
        <v/>
      </c>
      <c r="DL115" s="250" t="str">
        <f t="shared" si="329"/>
        <v/>
      </c>
      <c r="DM115" s="250" t="str">
        <f>IF(CD115="ERROR", "ERROR", IF(AND(OR(Y115=$DM$6, Y115='Lookup Tables'!$AD$21, Y115='Lookup Tables'!$AD$22), E115="Interior"), BJ115, ""))</f>
        <v/>
      </c>
      <c r="DN115" s="250" t="str">
        <f>IF(CD115="ERROR", "ERROR", IF(AND(OR(Y115=$DM$6, Y115='Lookup Tables'!$AD$21, Y115='Lookup Tables'!$AD$22), E115="Exterior"), BJ115, ""))</f>
        <v/>
      </c>
      <c r="DO115" s="100"/>
      <c r="DP115" s="250" t="str">
        <f t="shared" si="330"/>
        <v/>
      </c>
      <c r="DQ115" s="250" t="str">
        <f t="shared" si="371"/>
        <v/>
      </c>
      <c r="DR115" s="250" t="str">
        <f t="shared" si="372"/>
        <v/>
      </c>
      <c r="DS115" s="250" t="str">
        <f t="shared" si="373"/>
        <v/>
      </c>
      <c r="DT115" s="250" t="str">
        <f t="shared" si="374"/>
        <v/>
      </c>
      <c r="DU115" s="250" t="str">
        <f t="shared" si="331"/>
        <v/>
      </c>
      <c r="DV115" s="250" t="str">
        <f t="shared" si="332"/>
        <v/>
      </c>
      <c r="DW115" s="250" t="str">
        <f t="shared" si="333"/>
        <v/>
      </c>
      <c r="DX115" s="250" t="str">
        <f t="shared" si="334"/>
        <v/>
      </c>
      <c r="DY115" s="250" t="str">
        <f t="shared" si="335"/>
        <v/>
      </c>
      <c r="DZ115" s="250" t="str">
        <f t="shared" si="336"/>
        <v/>
      </c>
      <c r="EA115" s="250" t="str">
        <f t="shared" si="337"/>
        <v/>
      </c>
      <c r="EB115" s="250" t="str">
        <f t="shared" si="375"/>
        <v/>
      </c>
      <c r="EC115" s="250" t="str">
        <f t="shared" si="338"/>
        <v/>
      </c>
      <c r="ED115" s="250" t="str">
        <f t="shared" si="339"/>
        <v/>
      </c>
      <c r="EE115" s="250" t="str">
        <f t="shared" si="340"/>
        <v/>
      </c>
      <c r="EF115" s="250" t="str">
        <f t="shared" si="341"/>
        <v/>
      </c>
      <c r="EG115" s="250" t="str">
        <f t="shared" si="342"/>
        <v/>
      </c>
      <c r="EH115" s="250" t="str">
        <f>IF(CD115="ERROR", "ERROR", IF(AND(OR($EH$6=Y115, Y115='Lookup Tables'!$AD$21, Y115='Lookup Tables'!$AD$22),E115="Interior"), SUM(BP115:BP115), ""))</f>
        <v/>
      </c>
      <c r="EI115" s="250" t="str">
        <f>IF(CD115="ERROR", "ERROR", IF(AND(OR($EH$6=Y115, Y115='Lookup Tables'!$AD$21, Y115='Lookup Tables'!$AD$22),E115="Exterior"), SUM(BP115:BP115), ""))</f>
        <v/>
      </c>
      <c r="EJ115" s="109"/>
      <c r="EK115" s="485" t="str">
        <f t="shared" si="343"/>
        <v/>
      </c>
      <c r="EL115" s="252" t="str">
        <f t="shared" si="376"/>
        <v/>
      </c>
      <c r="EM115" s="252" t="str">
        <f t="shared" si="377"/>
        <v/>
      </c>
      <c r="EN115" s="252" t="str">
        <f t="shared" si="378"/>
        <v/>
      </c>
      <c r="EO115" s="252" t="str">
        <f t="shared" si="379"/>
        <v/>
      </c>
      <c r="EP115" s="252" t="str">
        <f t="shared" si="380"/>
        <v/>
      </c>
      <c r="EQ115" s="252" t="str">
        <f t="shared" si="381"/>
        <v/>
      </c>
      <c r="ER115" s="252" t="str">
        <f t="shared" si="382"/>
        <v/>
      </c>
      <c r="ES115" s="252" t="str">
        <f t="shared" si="383"/>
        <v/>
      </c>
      <c r="ET115" s="252" t="str">
        <f t="shared" si="384"/>
        <v/>
      </c>
      <c r="EU115" s="252" t="str">
        <f t="shared" si="385"/>
        <v/>
      </c>
      <c r="EV115" s="252" t="str">
        <f t="shared" si="386"/>
        <v/>
      </c>
      <c r="EW115" s="252" t="str">
        <f t="shared" si="387"/>
        <v/>
      </c>
      <c r="EX115" s="252" t="str">
        <f t="shared" si="388"/>
        <v/>
      </c>
      <c r="EY115" s="252" t="str">
        <f t="shared" si="389"/>
        <v/>
      </c>
      <c r="EZ115" s="252" t="str">
        <f t="shared" si="390"/>
        <v/>
      </c>
      <c r="FA115" s="252" t="str">
        <f t="shared" si="391"/>
        <v/>
      </c>
      <c r="FB115" s="252" t="str">
        <f t="shared" si="392"/>
        <v/>
      </c>
      <c r="FC115" s="252" t="str">
        <f>IF(CD115="ERROR", "ERROR", IF(OR(V115="No Change", V115="Not DLC or Energy Star"), "", IF(AND(OR($FC$6=Y115,Y115='Lookup Tables'!$AD$21, Y115='Lookup Tables'!$AD$22),E115="Interior"), S115, "")))</f>
        <v/>
      </c>
      <c r="FD115" s="252" t="str">
        <f t="shared" si="393"/>
        <v/>
      </c>
      <c r="FE115" s="101"/>
      <c r="FF115" s="579" t="str" cm="1">
        <f t="array" ref="FF115">IFERROR(IF(OR(BQ115&lt;=0,AQ115&lt;20,AND(V115="Exit Signs",AN115&gt;0)),"",IF(AND(AQ115&gt;=20,AN115='Lookup Tables'!$R$101),'Lookup Tables'!$U$101*BQ115,AP115*LOOKUP(2,1/((AN115='Lookup Tables'!$R$91:$R$111)*(AQ115&gt;='Lookup Tables'!$S$91:$S$111)*(AQ115&lt;='Lookup Tables'!$T$91:$T$111)),'Lookup Tables'!$U$91:$U$111))),"")</f>
        <v/>
      </c>
      <c r="FG115" s="579"/>
      <c r="FH115" s="579"/>
      <c r="FI115" s="253" t="str">
        <f>IFERROR(ROUND(IF(CD115="ERROR", "ERROR", IF(AND($FI$7=X115,E115="Interior"),VLOOKUP(W115, 'Lookup Tables'!$AI$6:$AM$102, 5, FALSE)*BP115, "")), 2), "")</f>
        <v/>
      </c>
      <c r="FJ115" s="253" t="str">
        <f>IFERROR(ROUND(IF(CD115="ERROR", "ERROR", IF(AND($FI$7=X115,E115="Exterior"),VLOOKUP(W115, 'Lookup Tables'!$AI$6:$AM$102, 5, FALSE)*BP115, "")), 2), "")</f>
        <v/>
      </c>
      <c r="FK115" s="253" t="str">
        <f>IFERROR(ROUND(IF(CD115="ERROR", "ERROR", IF(AND($FK$7=X115,E115="Interior"),VLOOKUP(W115, 'Lookup Tables'!$AI$6:$AM$102, 5, FALSE)*BP115, "")), 2), "")</f>
        <v/>
      </c>
      <c r="FL115" s="253" t="str">
        <f>IFERROR(ROUND(IF(CD115="ERROR", "ERROR", IF(AND($FK$7=X115,E115="Exterior"),VLOOKUP(W115, 'Lookup Tables'!$AI$6:$AM$102, 5, FALSE)*BP115, "")), 2), "")</f>
        <v/>
      </c>
      <c r="FM115" s="253" t="str">
        <f>IFERROR(ROUND(IF(CD115="ERROR", "ERROR", IF(AND($FM$6=Y115,E115="Interior"), IF(GB115=0, VLOOKUP(W115, 'Lookup Tables'!$AI$6:$AM$102, 5, FALSE)*BP115, IF(VLOOKUP(W115, 'Lookup Tables'!$AI$6:$AM$102, 5, FALSE)*BP115&gt;GB115*'Lighting Inventory'!S115, GB115*'Lighting Inventory'!S115,VLOOKUP(W115, 'Lookup Tables'!$AI$6:$AM$102, 5, FALSE)*BP115)), "")), 2), "")</f>
        <v/>
      </c>
      <c r="FN115" s="253" t="str">
        <f>IFERROR(ROUND(IF(CD115="ERROR", "ERROR", IF(AND($FM$6=Y115,E115="Exterior"), IF(GB115=0, VLOOKUP(W115, 'Lookup Tables'!$AI$6:$AM$102, 5, FALSE)*BP115, IF(VLOOKUP(W115, 'Lookup Tables'!$AI$6:$AM$102, 5, FALSE)*BP115&gt;GB115*'Lighting Inventory'!S115, GB115*'Lighting Inventory'!S115,VLOOKUP(W115, 'Lookup Tables'!$AI$6:$AM$102, 5, FALSE)*BP115)), "")), 2), "")</f>
        <v/>
      </c>
      <c r="FO115" s="253" t="str">
        <f>IFERROR(ROUND(IF(CD115="ERROR", "ERROR", IF(AND($FO$6=Y115,E115="Interior"),VLOOKUP(W115, 'Lookup Tables'!$AI$6:$AM$102, 5, FALSE)*'Lighting Inventory'!AI115, "")), 2), "")</f>
        <v/>
      </c>
      <c r="FP115" s="253" t="str">
        <f>IFERROR(ROUND(IF(CD115="ERROR", "ERROR", IF(AND($FO$6=Y115,E115="Exterior"),VLOOKUP(W115, 'Lookup Tables'!$AI$6:$AM$102, 5, FALSE)*'Lighting Inventory'!AI115, "")), 2), "")</f>
        <v/>
      </c>
      <c r="FQ115" s="253" t="str">
        <f>IFERROR(ROUND(IF(CD115="ERROR", "ERROR", IF(AND($FQ$6=Y115,E115="Interior", BU115="Y"), VLOOKUP('Lighting Inventory'!W115, 'Lookup Tables'!$AI$6:$AM$102, 5, FALSE)*'Lighting Inventory'!S115, IF(AND($FQ$7=Y115,E115="Interior", BU115="N"), 0.025*CD115, ""))), 2), "")</f>
        <v/>
      </c>
      <c r="FR115" s="253" t="str">
        <f>IFERROR(ROUND(IF(CD115="ERROR", "ERROR", IF(AND($FQ$6=Y115,E115="Exterior"), VLOOKUP('Lighting Inventory'!W115, 'Lookup Tables'!$AI$6:$AM$102, 5, FALSE)*'Lighting Inventory'!S115, "")), 2), "")</f>
        <v/>
      </c>
      <c r="FS115" s="253" t="str">
        <f>IFERROR(ROUND(IF(CD115="ERROR", "ERROR", IF(AND($FS$6=Y115,E115="Exterior"), IF(GB115=0, VLOOKUP(W115, 'Lookup Tables'!$AI$6:$AM$102, 5, FALSE)*BP115, IF(VLOOKUP(W115, 'Lookup Tables'!$AI$6:$AM$102, 5, FALSE)*BP115&gt;GB115*'Lighting Inventory'!S115, GB115*'Lighting Inventory'!S115,VLOOKUP(W115, 'Lookup Tables'!$AI$6:$AM$102, 5, FALSE)*BP115)), "")), 2), "")</f>
        <v/>
      </c>
      <c r="FT115" s="253" t="str">
        <f>IFERROR(ROUND(IF(CD115="ERROR", "ERROR", IF(AND($FT$6=Y115,E115="Interior"), IF(GB115=0, VLOOKUP(W115, 'Lookup Tables'!$AI$6:$AM$102, 5, FALSE)*BP115, IF(VLOOKUP(W115, 'Lookup Tables'!$AI$6:$AM$102, 5, FALSE)*BP115&gt;GB115*'Lighting Inventory'!S115, GB115*'Lighting Inventory'!S115,VLOOKUP(W115, 'Lookup Tables'!$AI$6:$AM$102, 5, FALSE)*BP115)), "")), 2), "")</f>
        <v/>
      </c>
      <c r="FU115" s="253" t="str">
        <f>IFERROR(ROUND(IF(CD115="ERROR", "ERROR", IF(AND(Y115=$FU$6, E115="Interior"), IF(BS115="N", 'Lookup Tables'!$AM$101*BP115, VLOOKUP(W115, 'Lookup Tables'!$AI$6:$AM$102, 5, FALSE)*S115*AD115), "")), 2), "")</f>
        <v/>
      </c>
      <c r="FV115" s="253" t="str">
        <f>IFERROR(ROUND(IF(CD115="ERROR", "ERROR", IF(AND(Y115=$FU$6, E115="Exterior"), IF(BS115="N", 'Lookup Tables'!$AM$101*BP115, VLOOKUP(W115, 'Lookup Tables'!$AI$6:$AM$102, 5, FALSE)*S115*AD115), "")), 2), "")</f>
        <v/>
      </c>
      <c r="FW115" s="253" t="str">
        <f>IFERROR(ROUND(IF(CD115="ERROR", "ERROR", IF($FW$6=Y115, IF(BS115="N", 'Lookup Tables'!$AM$101*BP115, MIN((VLOOKUP(W115, 'Lookup Tables'!$AI$6:$AM$102, 5, FALSE)*BP115),GB115*AJ115)), "")), 2), "")</f>
        <v/>
      </c>
      <c r="FX115" s="253" t="str">
        <f>IFERROR(ROUND(IF(CD115="ERROR", "ERROR", IF(AND($FX$6=Y115, E115="Interior"), IF(VLOOKUP(W115, 'Lookup Tables'!$AI$6:$AM$102, 5, FALSE)*BP115&gt;'Lookup Tables'!$AQ$97*'Lighting Inventory'!S115,'Lighting Inventory'!S115*'Lookup Tables'!$AQ$97,VLOOKUP(W115, 'Lookup Tables'!$AI$6:$AM$102, 5, FALSE)*BP115), "")), 2), "")</f>
        <v/>
      </c>
      <c r="FY115" s="253" t="str">
        <f>IFERROR(ROUND(IF(CD115="ERROR", "ERROR", IF(AND($FX$6=Y115, E115="Exterior"), IF(VLOOKUP(W115, 'Lookup Tables'!$AI$6:$AM$102, 5, FALSE)*BP115&gt;'Lookup Tables'!$AQ$97*'Lighting Inventory'!S115,'Lighting Inventory'!S115*'Lookup Tables'!$AQ$97,VLOOKUP(W115, 'Lookup Tables'!$AI$6:$AM$102, 5, FALSE)*BP115), "")), 2), "")</f>
        <v/>
      </c>
      <c r="FZ115" s="253" t="str">
        <f>IFERROR(ROUND(IF(CD115="ERROR", "ERROR", IF(AND($FZ$6=Y115, E115="Interior"), IF(AND(OR(W115="Refrigerated Case Lighting with Doors", W115="Freezer Case Lighting"),Y115="Custom - Process Improvement"),CD115*'Lookup Tables'!$AM$101, IF(B115="Retrofit", IF(VLOOKUP(IF(V115="Custom", V115, W115), 'Lookup Tables'!$AI$6:$AM$102, 5, FALSE)*BP115&gt;GE115, GE115, VLOOKUP(IF(V115="Custom", V115, W115), 'Lookup Tables'!$AI$6:$AM$102, 5, FALSE)*BP115), IF(VLOOKUP(IF(V115="Custom", V115, W115), 'Lookup Tables'!$AI$114:$AM$154, 5, FALSE)*BP115&gt;GE115, GE115, VLOOKUP(IF(V115="Custom", V115, W115), 'Lookup Tables'!$AI$114:$AM$154, 5, FALSE)*BP115))), "")), 2),"")</f>
        <v/>
      </c>
      <c r="GA115" s="253" t="str">
        <f>IFERROR(ROUND(IF(CD115="ERROR", "ERROR", IF(AND($FZ$6=Y115, E115="Exterior"), IF(B115="Retrofit", IF(VLOOKUP(IF(V115="Custom", V115, W115), 'Lookup Tables'!$AI$6:$AM$102, 5, FALSE)*BP115&gt;GE115, GE115, VLOOKUP(IF(V115="Custom", V115, W115), 'Lookup Tables'!$AI$6:$AM$102, 5, FALSE)*BP115), IF(VLOOKUP(IF(V115="Custom", V115, W115), 'Lookup Tables'!$AI$114:$AM$154, 5, FALSE)*BP115&gt;GE115, GE115, VLOOKUP(IF(V115="Custom", V115, W115), 'Lookup Tables'!$AI$114:$AM$154, 5, FALSE)*BP115)), "")), 2),"")</f>
        <v/>
      </c>
      <c r="GB115" s="254" t="str">
        <f t="array" ref="GB115">IF(B115="","",IF(OR(V115="Custom",V115="No Change"),0,IF(B115="Retrofit", INDEX('Lookup Tables'!$AH$6:$AQ$102,MATCH(1,('Lookup Tables'!$AH$6:$AH$102='Lighting Inventory'!V115)*('Lookup Tables'!$AI$6:$AI$102='Lighting Inventory'!W115),FALSE),10),INDEX('Lookup Tables'!$AH$114:$AQ$154,MATCH(1,('Lookup Tables'!$AH$114:$AH$154='Lighting Inventory'!V115)*('Lookup Tables'!$AI$114:$AI$154='Lighting Inventory'!W115),FALSE),10))))</f>
        <v/>
      </c>
      <c r="GC115" s="255" t="str">
        <f t="shared" si="344"/>
        <v/>
      </c>
      <c r="GD115" s="250" t="str">
        <f t="shared" si="345"/>
        <v/>
      </c>
      <c r="GE115" s="253" t="str">
        <f>IFERROR(IF(AND(AF115="", 'General Information'!$F$18="No"),"", IF(AF115="", ((GD115/$CD$266)*$CF$266)*0.5, AF115*S115*0.5)), "")</f>
        <v/>
      </c>
      <c r="GF115" s="255" t="str">
        <f>IF(AND('General Information'!$F$19="", 'General Information'!$F$18="Yes",AF115="",BW115="Y"), "Y", "N")</f>
        <v>N</v>
      </c>
      <c r="GG115" s="255" t="s">
        <v>2946</v>
      </c>
      <c r="GH115" s="255" t="str">
        <f>IFERROR(IF(B115="", "", VLOOKUP(J115, 'Fixture Identities'!$A$6:$N$908, 14, FALSE)), "")</f>
        <v/>
      </c>
      <c r="GI115" s="389" t="str">
        <f>IF(OR(B115="", V115="", W115=""), "", IF(AND(OR(M115='Lookup Tables'!$R$18, M115='Lookup Tables'!$R$19, M115='Lookup Tables'!$R$20, M115='Lookup Tables'!$R$21, M115='Lookup Tables'!$R$22), OR(AN115='Lookup Tables'!$R$17, AN115='Lookup Tables'!$R$17, AN115="")), "Y", "N"))</f>
        <v/>
      </c>
      <c r="GJ115" s="255" t="str">
        <f t="shared" si="346"/>
        <v/>
      </c>
      <c r="GK115" s="255" t="str">
        <f t="shared" si="347"/>
        <v/>
      </c>
      <c r="GL115" s="255" t="str">
        <f t="shared" si="348"/>
        <v/>
      </c>
      <c r="GM115" s="255" t="str">
        <f>IF(AN115="", "", IF(AND(IF(ISNA(VLOOKUP(AN115,'Lookup Tables'!$R$18:$R$22,1,FALSE)), "N", "Y")="Y", E115="Exterior"), "Y", "N"))</f>
        <v/>
      </c>
      <c r="GN115" s="395"/>
      <c r="GO115" s="428">
        <f t="shared" si="394"/>
        <v>0</v>
      </c>
      <c r="GP115" s="428">
        <f t="shared" si="397"/>
        <v>0</v>
      </c>
      <c r="GQ115" s="428">
        <f t="shared" si="395"/>
        <v>0</v>
      </c>
      <c r="GR115" s="428">
        <f t="shared" si="396"/>
        <v>0</v>
      </c>
    </row>
    <row r="116" spans="1:200" s="103" customFormat="1" ht="13.5" customHeight="1" x14ac:dyDescent="0.2">
      <c r="A116" s="272">
        <v>106</v>
      </c>
      <c r="B116" s="110"/>
      <c r="C116" s="110"/>
      <c r="D116" s="110"/>
      <c r="E116" s="110"/>
      <c r="F116" s="110"/>
      <c r="G116" s="110"/>
      <c r="H116" s="110"/>
      <c r="I116" s="29"/>
      <c r="J116" s="29"/>
      <c r="K116" s="272" t="str">
        <f>IFERROR(IF(OR(VLOOKUP(J116, 'Fixture Identities'!$A$6:$L$1023, 3, FALSE)="T12 Linear Fluorescent", VLOOKUP(J116, 'Fixture Identities'!$A$6:$L$1023, 3, FALSE)="T12 U-Tube Fluorescent"), VLOOKUP(VLOOKUP(J116, 'Fixture Identities'!$A$6:$L$1023, 11, FALSE), 'Fixture Identities'!$A$6:$L$1023, 10, FALSE), VLOOKUP(J116, 'Fixture Identities'!$A$6:$L$1023, 10, FALSE)), "")</f>
        <v/>
      </c>
      <c r="L116" s="270" t="str">
        <f t="shared" si="399"/>
        <v/>
      </c>
      <c r="M116" s="110"/>
      <c r="N116" s="110"/>
      <c r="O116" s="110"/>
      <c r="P116" s="272" t="str">
        <f>IFERROR(IF(OR(B116="Retrofit",B116=""),"",IF('Lighting Inventory'!E116="Exterior",VLOOKUP('Lighting Inventory'!N116,'Lookup Tables'!$B$83:$F$103,5,FALSE),IF(N116="Other - Please Estimate EFLH and CFs","Contact Prog. Rep.","ft^2"))), "")</f>
        <v/>
      </c>
      <c r="Q116" s="270" t="str">
        <f>IFERROR(IF(AND(B116="New Construction",E116="Interior",$F$5="Space-by-Space"),VLOOKUP('Lighting Inventory'!N116,'Lookup Tables'!$N$6:$O$97,2,FALSE),IF(AND(B116="New Construction",E116="Exterior"),VLOOKUP(N116,'Lookup Tables'!$B$83:$F$103,2,FALSE),IF(AND(B116="New Construction",'Lighting Inventory'!E116="Interior", $F$5="Building Area"),VLOOKUP(F116,'Lookup Tables'!$A$6:$J$59,10,FALSE),""))), "")</f>
        <v/>
      </c>
      <c r="R116" s="270" t="str">
        <f>IFERROR(IF(P116="Contact Prog. Rep.", "ERROR", IF(OR(B116="",B116="Retrofit"),"",IF(N116="Automated teller machines", ('Lookup Tables'!$A$82:$E$100+('Lighting Inventory'!O116-1)*'Lookup Tables'!$A$82:$E$100)/1000, (Q116*O116)/1000))), "")</f>
        <v/>
      </c>
      <c r="S116" s="595"/>
      <c r="T116" s="105" t="str">
        <f t="shared" si="349"/>
        <v/>
      </c>
      <c r="U116" s="105" t="str">
        <f>IF(S116="","",COUNT($S$11:S116))</f>
        <v/>
      </c>
      <c r="V116" s="111"/>
      <c r="W116" s="112"/>
      <c r="X116" s="105" t="str">
        <f t="shared" si="350"/>
        <v/>
      </c>
      <c r="Y116" s="105" t="str">
        <f t="array" ref="Y116">IF(AND(OR(W116="Freezer Case Lighting", W116="Refrigerated Case Lighting with Doors"), 'General Information'!$X$18="LCI"),'Lookup Tables'!$Y$34, IF(V116="Custom", VLOOKUP(W116, 'Fixture Identities'!$A$974:$M$1023, 13, FALSE), IF(V116="No Change",'Lookup Tables'!$Y$29,IF(OR(V116="",W116=""),"",IF(AND(S116=0,S116&lt;I116,B116="Retrofit"),'Lookup Tables'!$Y$25, IF(B116="Retrofit", INDEX('Lookup Tables'!$AH$6:$AP$102, MATCH(1, ('Lookup Tables'!$AH$6:$AH$102=V116)*('Lookup Tables'!$AI$6:$AI$102=W116), 0), IF('Lighting Inventory'!E116="Interior", 4, 5)), INDEX('Lookup Tables'!$AH$114:$AP$154, MATCH(1, ('Lookup Tables'!$AH$114:$AH$154=V116)*('Lookup Tables'!$AI$114:$AI$154=W116), 0), IF('Lighting Inventory'!E116="Interior", 4, 5))))))))</f>
        <v/>
      </c>
      <c r="Z116" s="105" t="str">
        <f>IFERROR(INDEX('Lookup Tables'!$AH$158:$AH$172,MATCH('Lighting Inventory'!Y116,'Lookup Tables'!$AI$158:$AI$172,0)),"")</f>
        <v/>
      </c>
      <c r="AA116" s="105" t="str">
        <f>IF(AP116&gt;0,INDEX('Lookup Tables'!$AK$158:$AK$172,MATCH('Lighting Inventory'!Y116,'Lookup Tables'!$AI$158:$AI$172,0)),'Lighting Inventory'!Y116)</f>
        <v/>
      </c>
      <c r="AB116" s="105" t="str">
        <f t="array" ref="AB116">IF(V116="Custom", "Custom", IF(V116="", "", IF(V116="Not DLC or Energy Star", "General", IF(B116="New Construction", INDEX('Lookup Tables'!$AH$114:$AP$154,MATCH(1,('Lookup Tables'!$AH$114:$AH$154='Lighting Inventory'!V116)*('Lookup Tables'!$AI$114:$AI$154='Lighting Inventory'!W116),FALSE),8), INDEX('Lookup Tables'!$AH$6:$AP$102,MATCH(1,('Lookup Tables'!$AH$6:$AH$102='Lighting Inventory'!V116)*('Lookup Tables'!$AI$6:$AI$102='Lighting Inventory'!W116),FALSE),8)))))</f>
        <v/>
      </c>
      <c r="AC116" s="272" t="str">
        <f>IF(W116="","",IF(V116="Custom",CONCATENATE("$",'Lookup Tables'!$AM$101," ",'Lookup Tables'!$AN$101),CONCATENATE("$",INDEX('Lookup Tables'!$AM$6:$AM$102,MATCH('Lighting Inventory'!W116,'Lookup Tables'!$AI$6:$AI$102,0))," ",INDEX('Lookup Tables'!$AN$6:$AN$102,MATCH('Lighting Inventory'!W116,'Lookup Tables'!$AI$6:$AI$102,0)))))</f>
        <v/>
      </c>
      <c r="AD116" s="72"/>
      <c r="AE116" s="29"/>
      <c r="AF116" s="379"/>
      <c r="AG116" s="370" t="str">
        <f t="shared" si="298"/>
        <v/>
      </c>
      <c r="AH116" s="370" t="str">
        <f t="shared" si="351"/>
        <v/>
      </c>
      <c r="AI116" s="29"/>
      <c r="AJ116" s="29"/>
      <c r="AK116" s="110"/>
      <c r="AL116" s="375" t="str">
        <f>IF(OR(B116="", V116="", W116=""), "", IF(V116="No Change", K116, IF(V116="Remove Fixture", 0, IF(V116="Custom",VLOOKUP(W116,'Fixture Identities'!$A$6:$K$1023,10,FALSE),IF(AE116="", "← ENTER POST WATTS", 'Lighting Inventory'!AE116)))))</f>
        <v/>
      </c>
      <c r="AM116" s="376" t="str">
        <f t="shared" si="299"/>
        <v/>
      </c>
      <c r="AN116" s="29"/>
      <c r="AO116" s="671"/>
      <c r="AP116" s="29"/>
      <c r="AQ116" s="29"/>
      <c r="AR116" s="29"/>
      <c r="AS116" s="272" t="str">
        <f t="shared" si="352"/>
        <v/>
      </c>
      <c r="AT116" s="270" t="str">
        <f t="shared" si="300"/>
        <v/>
      </c>
      <c r="AU116" s="88" t="str">
        <f t="shared" si="400"/>
        <v/>
      </c>
      <c r="AV116" s="29"/>
      <c r="AW116" s="73"/>
      <c r="AX116" s="271" t="str">
        <f>IF(AND(AV116="Applicant",OR(AW116="", AW116="Use Default Facility Hours")),"← Choose Schedule",IF(F116="","",IF(W116="LED Exit Signs",8760,IF(OR(AV116="Prescribed",AV116=""),VLOOKUP(F116,'Lookup Tables'!$A$6:$G$59,IF(AB116="General", 6, 3),FALSE),VLOOKUP(AW116,'Lookup Tables'!$S$36:$U$43,2,FALSE)))))</f>
        <v/>
      </c>
      <c r="AY116" s="88" t="str">
        <f t="shared" si="301"/>
        <v/>
      </c>
      <c r="AZ116" s="270" t="str">
        <f>IFERROR(IF(F116="", "", IF(W116="LED Exit Signs", 1, IF(AV116="Applicant",VLOOKUP(AW116, 'Lookup Tables'!$S$36:$U$43,3, FALSE), VLOOKUP('Lighting Inventory'!F116, 'Lookup Tables'!$A$6:$H$59, IF('Lighting Inventory'!AB116="General",7,4), FALSE)))), "")</f>
        <v/>
      </c>
      <c r="BA116" s="522" t="str">
        <f>IFERROR(IF(F116="", "", IF(W116="LED Exit Signs", 1, VLOOKUP('Lighting Inventory'!F116, 'Lookup Tables'!$A$6:$H$59, IF('Lighting Inventory'!AB116="General",8,5), FALSE))), "")</f>
        <v/>
      </c>
      <c r="BB116" s="270" t="str">
        <f>IF(G116="", "", IF(E116="Exterior", 0, IF('Lighting Inventory'!G116="Air Conditioned", VLOOKUP(H116, 'Lookup Tables'!$R$6:$T$13, 2, FALSE), VLOOKUP('Lighting Inventory'!G116, 'Lookup Tables'!$R$6:$T$13, 2, FALSE))))</f>
        <v/>
      </c>
      <c r="BC116" s="522" t="str">
        <f>IF(G116="", "", IF(E116="Exterior", 0, IF('Lighting Inventory'!G116="Air Conditioned", VLOOKUP(H116, 'Lookup Tables'!$R$6:$T$13, 3, FALSE), VLOOKUP('Lighting Inventory'!G116, 'Lookup Tables'!$R$6:$T$13, 3, FALSE))))</f>
        <v/>
      </c>
      <c r="BD116" s="270" t="str">
        <f>IF(G116="", "", IF(E116="Exterior", 0, IF('Lighting Inventory'!G116="Air Conditioned", VLOOKUP(H116, 'Lookup Tables'!$R$6:$U$13, 4, FALSE), VLOOKUP('Lighting Inventory'!G116, 'Lookup Tables'!$R$6:$U$13, 4, FALSE))))</f>
        <v/>
      </c>
      <c r="BE116" s="270" t="str">
        <f>IFERROR(IF(B116="", "",  IF(B116="New Construction", VLOOKUP(F116, 'Lookup Tables'!$A$6:$K$59, 11, FALSE),IF(OR(AN116="", AN116="Light Switch"), 0, IF(OR(M116="",M116="None",V116= "LED Exit Signs"),0,_xlfn.XLOOKUP(M116,'Lookup Tables'!$R$91:$R$101,'Lookup Tables'!$V$91:$V$101))))), "")</f>
        <v/>
      </c>
      <c r="BF116" s="270" t="str">
        <f>IF(AND(OR(AN116="Light Switch",AN116=""),B116="New Construction"), VLOOKUP(F116, 'Lookup Tables'!$A$6:$K$59, 11, FALSE),IF(AN116="","",IF(B116="","",IF(OR(AN116="None",AN116="",V116="LED Exit Signs",AN116="Exterior Controls Not Eligible"),0,_xlfn.XLOOKUP(AN116,'Lookup Tables'!$R$91:$R$101,'Lookup Tables'!$V$91:$V$101)))))</f>
        <v/>
      </c>
      <c r="BG116" s="88" t="str">
        <f t="shared" si="353"/>
        <v/>
      </c>
      <c r="BH116" s="88" t="str">
        <f t="shared" si="354"/>
        <v/>
      </c>
      <c r="BI116" s="558" t="str">
        <f t="shared" si="398"/>
        <v/>
      </c>
      <c r="BJ116" s="82" t="str">
        <f t="shared" si="355"/>
        <v/>
      </c>
      <c r="BK116" s="82" t="str">
        <f t="shared" si="356"/>
        <v/>
      </c>
      <c r="BL116" s="559" t="str">
        <f t="shared" si="357"/>
        <v/>
      </c>
      <c r="BM116" s="521" t="str">
        <f t="shared" si="302"/>
        <v/>
      </c>
      <c r="BN116" s="521" t="str">
        <f t="shared" si="303"/>
        <v/>
      </c>
      <c r="BO116" s="522" t="str">
        <f t="shared" si="304"/>
        <v/>
      </c>
      <c r="BP116" s="83" t="str">
        <f t="shared" si="358"/>
        <v/>
      </c>
      <c r="BQ116" s="84" t="str">
        <f t="shared" si="359"/>
        <v/>
      </c>
      <c r="BR116" s="184" t="str">
        <f>IFERROR(IF(B116="", "", IF(OR(VLOOKUP(J116, 'Fixture Identities'!$A$6:$L$1023, 3, FALSE)="T12 Linear Fluorescent",VLOOKUP(J116, 'Fixture Identities'!$A$6:$L$1023, 3, FALSE)="T12 U-Tube Fluorescent"), "Y", "N")), "N")</f>
        <v/>
      </c>
      <c r="BS116" s="184" t="str">
        <f t="array" ref="BS116">IFERROR(IF(OR(B116="", V116="", W116=""), "", IF(V116="Custom", "N", IF(OR(W116="Freezer Case Lighting", W116="Refrigerated Case Lighting with Doors"), BT116, IF(B116="Retrofit", INDEX('Lookup Tables'!$AH$6:$AT$102,MATCH(1,('Lookup Tables'!$AH$6:$AH$102=V116)*('Lookup Tables'!$AI$6:$AI$102=W116),FALSE),IF(VLOOKUP(J116, 'Fixture Identities'!$A$6:$B$1023, 2, FALSE)="Incandescent",12, 13)), INDEX('Lookup Tables'!$AH$114:$AS$154,MATCH(1,('Lookup Tables'!$AH$114:$AH$154=V116)*('Lookup Tables'!$AI$114:$AI$154=W116),FALSE),12))))), "N")</f>
        <v/>
      </c>
      <c r="BT116" s="184" t="str">
        <f>IF(J116="", "", IF(AND(OR(W116="Freezer case Lighting", W116="Refrigerated Case Lighting with Doors"),'General Information'!$X$18="LCI"), "N", IF(OR(VLOOKUP(J116, 'Fixture Identities'!$A$6:$B$1023, 2, FALSE)="T12 EPACT/EISA Baseline", VLOOKUP(J116, 'Fixture Identities'!$A$6:$B$1023, 2, FALSE)="Linear Fluorescent", VLOOKUP(J116, 'Fixture Identities'!$A$6:$B$1023, 2, FALSE)="U-Tube Fluorescent"), "Y", "N")))</f>
        <v/>
      </c>
      <c r="BU116" s="184" t="str">
        <f>IFERROR(IF(B116="", "", IF(VLOOKUP(J116, 'Fixture Identities'!$A$6:$B$1023, 2, FALSE)="Exit Sign", "Y", "N")), "N")</f>
        <v/>
      </c>
      <c r="BV116" s="184" t="str">
        <f>IF(V116="Exit Signs", IF(VLOOKUP(J116, 'Fixture Identities'!$A$6:$B$1023, 2, FALSE)="Exit Sign", "N", "Y"), "")</f>
        <v/>
      </c>
      <c r="BW116" s="184" t="str">
        <f t="array" ref="BW116">IFERROR(IF(B116="", "", IF(B116="New Construction", "N", INDEX('Lookup Tables'!$AH$6:$AU$102, MATCH(1, ('Lookup Tables'!$AH$6:$AH$102='Lighting Inventory'!V116)*('Lookup Tables'!$AI$6:$AI$102='Lighting Inventory'!W116), 0), 14))), "N")</f>
        <v/>
      </c>
      <c r="BX116" s="598" t="str">
        <f t="shared" si="360"/>
        <v/>
      </c>
      <c r="BY116" s="598" t="str">
        <f t="shared" si="361"/>
        <v/>
      </c>
      <c r="BZ116" s="598" t="str">
        <f t="shared" si="362"/>
        <v/>
      </c>
      <c r="CA116" s="598" t="str">
        <f t="shared" si="363"/>
        <v/>
      </c>
      <c r="CB116" s="269" t="str">
        <f t="shared" si="364"/>
        <v/>
      </c>
      <c r="CC116" s="517" t="str">
        <f t="shared" si="365"/>
        <v/>
      </c>
      <c r="CD116" s="565" t="str">
        <f t="shared" si="305"/>
        <v/>
      </c>
      <c r="CE116" s="368">
        <v>0</v>
      </c>
      <c r="CF116" s="368" t="str" cm="1">
        <f t="array" ref="CF116">IFERROR(IF(V116="Custom", "$0.1 per kWh", IF(B116="New Construction", CONCATENATE("$",INDEX('Lookup Tables'!$AH$114:$AN$154,MATCH(1,('Lookup Tables'!$AH$114:$AH$154='Lighting Inventory'!V116)*('Lookup Tables'!$AI$114:$AI$154='Lighting Inventory'!W116),FALSE),6)," ",INDEX('Lookup Tables'!$AH$114:$AN$154,MATCH(1,('Lookup Tables'!$AH$114:$AH$154='Lighting Inventory'!V116)*('Lookup Tables'!$AI$114:$AI$154='Lighting Inventory'!W116),FALSE),7)), IF(AND(BU116="N", V116="Exit Signs"), "$0.025 per kWh", CONCATENATE("$",INDEX('Lookup Tables'!$AH$6:$AN$102,MATCH(1,('Lookup Tables'!$AH$6:$AH$102='Lighting Inventory'!V116)*('Lookup Tables'!$AI$6:$AI$102='Lighting Inventory'!W116),FALSE),6)," ",INDEX('Lookup Tables'!$AH$6:$AN$102,MATCH(1,('Lookup Tables'!$AH$6:$AH$102='Lighting Inventory'!V116)*('Lookup Tables'!$AI$6:$AI$102='Lighting Inventory'!W116),FALSE),7))))), "")</f>
        <v/>
      </c>
      <c r="CG116" s="366"/>
      <c r="CH116" s="248" t="str">
        <f t="shared" si="306"/>
        <v/>
      </c>
      <c r="CI116" s="248" t="str">
        <f t="shared" si="307"/>
        <v>Select_IE</v>
      </c>
      <c r="CJ116" s="248" t="str">
        <f t="shared" si="308"/>
        <v/>
      </c>
      <c r="CK116" s="248" t="str">
        <f t="shared" si="309"/>
        <v/>
      </c>
      <c r="CL116" s="248" t="str">
        <f t="shared" si="310"/>
        <v/>
      </c>
      <c r="CM116" s="248" t="str">
        <f>IFERROR(IF(B116="", "", IF(B116="New Construction", VLOOKUP(V116, 'Lookup Tables'!$AF$114:$AG$120, 2, FALSE), VLOOKUP(V116, 'Lookup Tables'!$AD$6:$AE$25, 2, FALSE))), "")</f>
        <v/>
      </c>
      <c r="CN116" s="248" t="str">
        <f t="shared" si="311"/>
        <v/>
      </c>
      <c r="CO116" s="248" t="str">
        <f t="shared" si="312"/>
        <v/>
      </c>
      <c r="CP116" s="592" t="str">
        <f t="shared" si="313"/>
        <v/>
      </c>
      <c r="CQ116" s="248" t="str">
        <f t="shared" si="366"/>
        <v/>
      </c>
      <c r="CR116" s="100"/>
      <c r="CS116" s="250" t="str">
        <f t="shared" si="314"/>
        <v/>
      </c>
      <c r="CT116" s="250" t="str">
        <f t="shared" si="367"/>
        <v/>
      </c>
      <c r="CU116" s="250" t="str">
        <f t="shared" si="368"/>
        <v/>
      </c>
      <c r="CV116" s="250" t="str">
        <f t="shared" si="369"/>
        <v/>
      </c>
      <c r="CW116" s="250" t="str">
        <f t="shared" si="370"/>
        <v/>
      </c>
      <c r="CX116" s="250" t="str">
        <f t="shared" si="315"/>
        <v/>
      </c>
      <c r="CY116" s="250" t="str">
        <f t="shared" si="316"/>
        <v/>
      </c>
      <c r="CZ116" s="250" t="str">
        <f t="shared" si="317"/>
        <v/>
      </c>
      <c r="DA116" s="250" t="str">
        <f t="shared" si="318"/>
        <v/>
      </c>
      <c r="DB116" s="250" t="str">
        <f t="shared" si="319"/>
        <v/>
      </c>
      <c r="DC116" s="250" t="str">
        <f t="shared" si="320"/>
        <v/>
      </c>
      <c r="DD116" s="250" t="str">
        <f t="shared" si="321"/>
        <v/>
      </c>
      <c r="DE116" s="250" t="str">
        <f t="shared" si="322"/>
        <v/>
      </c>
      <c r="DF116" s="250" t="str">
        <f t="shared" si="323"/>
        <v/>
      </c>
      <c r="DG116" s="250" t="str">
        <f t="shared" si="324"/>
        <v/>
      </c>
      <c r="DH116" s="250" t="str">
        <f t="shared" si="325"/>
        <v/>
      </c>
      <c r="DI116" s="250" t="str">
        <f t="shared" si="326"/>
        <v/>
      </c>
      <c r="DJ116" s="250" t="str">
        <f t="shared" si="327"/>
        <v/>
      </c>
      <c r="DK116" s="250" t="str">
        <f t="shared" si="328"/>
        <v/>
      </c>
      <c r="DL116" s="250" t="str">
        <f t="shared" si="329"/>
        <v/>
      </c>
      <c r="DM116" s="250" t="str">
        <f>IF(CD116="ERROR", "ERROR", IF(AND(OR(Y116=$DM$6, Y116='Lookup Tables'!$AD$21, Y116='Lookup Tables'!$AD$22), E116="Interior"), BJ116, ""))</f>
        <v/>
      </c>
      <c r="DN116" s="250" t="str">
        <f>IF(CD116="ERROR", "ERROR", IF(AND(OR(Y116=$DM$6, Y116='Lookup Tables'!$AD$21, Y116='Lookup Tables'!$AD$22), E116="Exterior"), BJ116, ""))</f>
        <v/>
      </c>
      <c r="DO116" s="100"/>
      <c r="DP116" s="250" t="str">
        <f t="shared" si="330"/>
        <v/>
      </c>
      <c r="DQ116" s="250" t="str">
        <f t="shared" si="371"/>
        <v/>
      </c>
      <c r="DR116" s="250" t="str">
        <f t="shared" si="372"/>
        <v/>
      </c>
      <c r="DS116" s="250" t="str">
        <f t="shared" si="373"/>
        <v/>
      </c>
      <c r="DT116" s="250" t="str">
        <f t="shared" si="374"/>
        <v/>
      </c>
      <c r="DU116" s="250" t="str">
        <f t="shared" si="331"/>
        <v/>
      </c>
      <c r="DV116" s="250" t="str">
        <f t="shared" si="332"/>
        <v/>
      </c>
      <c r="DW116" s="250" t="str">
        <f t="shared" si="333"/>
        <v/>
      </c>
      <c r="DX116" s="250" t="str">
        <f t="shared" si="334"/>
        <v/>
      </c>
      <c r="DY116" s="250" t="str">
        <f t="shared" si="335"/>
        <v/>
      </c>
      <c r="DZ116" s="250" t="str">
        <f t="shared" si="336"/>
        <v/>
      </c>
      <c r="EA116" s="250" t="str">
        <f t="shared" si="337"/>
        <v/>
      </c>
      <c r="EB116" s="250" t="str">
        <f t="shared" si="375"/>
        <v/>
      </c>
      <c r="EC116" s="250" t="str">
        <f t="shared" si="338"/>
        <v/>
      </c>
      <c r="ED116" s="250" t="str">
        <f t="shared" si="339"/>
        <v/>
      </c>
      <c r="EE116" s="250" t="str">
        <f t="shared" si="340"/>
        <v/>
      </c>
      <c r="EF116" s="250" t="str">
        <f t="shared" si="341"/>
        <v/>
      </c>
      <c r="EG116" s="250" t="str">
        <f t="shared" si="342"/>
        <v/>
      </c>
      <c r="EH116" s="250" t="str">
        <f>IF(CD116="ERROR", "ERROR", IF(AND(OR($EH$6=Y116, Y116='Lookup Tables'!$AD$21, Y116='Lookup Tables'!$AD$22),E116="Interior"), SUM(BP116:BP116), ""))</f>
        <v/>
      </c>
      <c r="EI116" s="250" t="str">
        <f>IF(CD116="ERROR", "ERROR", IF(AND(OR($EH$6=Y116, Y116='Lookup Tables'!$AD$21, Y116='Lookup Tables'!$AD$22),E116="Exterior"), SUM(BP116:BP116), ""))</f>
        <v/>
      </c>
      <c r="EJ116" s="109"/>
      <c r="EK116" s="485" t="str">
        <f t="shared" si="343"/>
        <v/>
      </c>
      <c r="EL116" s="252" t="str">
        <f t="shared" si="376"/>
        <v/>
      </c>
      <c r="EM116" s="252" t="str">
        <f t="shared" si="377"/>
        <v/>
      </c>
      <c r="EN116" s="252" t="str">
        <f t="shared" si="378"/>
        <v/>
      </c>
      <c r="EO116" s="252" t="str">
        <f t="shared" si="379"/>
        <v/>
      </c>
      <c r="EP116" s="252" t="str">
        <f t="shared" si="380"/>
        <v/>
      </c>
      <c r="EQ116" s="252" t="str">
        <f t="shared" si="381"/>
        <v/>
      </c>
      <c r="ER116" s="252" t="str">
        <f t="shared" si="382"/>
        <v/>
      </c>
      <c r="ES116" s="252" t="str">
        <f t="shared" si="383"/>
        <v/>
      </c>
      <c r="ET116" s="252" t="str">
        <f t="shared" si="384"/>
        <v/>
      </c>
      <c r="EU116" s="252" t="str">
        <f t="shared" si="385"/>
        <v/>
      </c>
      <c r="EV116" s="252" t="str">
        <f t="shared" si="386"/>
        <v/>
      </c>
      <c r="EW116" s="252" t="str">
        <f t="shared" si="387"/>
        <v/>
      </c>
      <c r="EX116" s="252" t="str">
        <f t="shared" si="388"/>
        <v/>
      </c>
      <c r="EY116" s="252" t="str">
        <f t="shared" si="389"/>
        <v/>
      </c>
      <c r="EZ116" s="252" t="str">
        <f t="shared" si="390"/>
        <v/>
      </c>
      <c r="FA116" s="252" t="str">
        <f t="shared" si="391"/>
        <v/>
      </c>
      <c r="FB116" s="252" t="str">
        <f t="shared" si="392"/>
        <v/>
      </c>
      <c r="FC116" s="252" t="str">
        <f>IF(CD116="ERROR", "ERROR", IF(OR(V116="No Change", V116="Not DLC or Energy Star"), "", IF(AND(OR($FC$6=Y116,Y116='Lookup Tables'!$AD$21, Y116='Lookup Tables'!$AD$22),E116="Interior"), S116, "")))</f>
        <v/>
      </c>
      <c r="FD116" s="252" t="str">
        <f t="shared" si="393"/>
        <v/>
      </c>
      <c r="FE116" s="101"/>
      <c r="FF116" s="579" t="str" cm="1">
        <f t="array" ref="FF116">IFERROR(IF(OR(BQ116&lt;=0,AQ116&lt;20,AND(V116="Exit Signs",AN116&gt;0)),"",IF(AND(AQ116&gt;=20,AN116='Lookup Tables'!$R$101),'Lookup Tables'!$U$101*BQ116,AP116*LOOKUP(2,1/((AN116='Lookup Tables'!$R$91:$R$111)*(AQ116&gt;='Lookup Tables'!$S$91:$S$111)*(AQ116&lt;='Lookup Tables'!$T$91:$T$111)),'Lookup Tables'!$U$91:$U$111))),"")</f>
        <v/>
      </c>
      <c r="FG116" s="579"/>
      <c r="FH116" s="579"/>
      <c r="FI116" s="253" t="str">
        <f>IFERROR(ROUND(IF(CD116="ERROR", "ERROR", IF(AND($FI$7=X116,E116="Interior"),VLOOKUP(W116, 'Lookup Tables'!$AI$6:$AM$102, 5, FALSE)*BP116, "")), 2), "")</f>
        <v/>
      </c>
      <c r="FJ116" s="253" t="str">
        <f>IFERROR(ROUND(IF(CD116="ERROR", "ERROR", IF(AND($FI$7=X116,E116="Exterior"),VLOOKUP(W116, 'Lookup Tables'!$AI$6:$AM$102, 5, FALSE)*BP116, "")), 2), "")</f>
        <v/>
      </c>
      <c r="FK116" s="253" t="str">
        <f>IFERROR(ROUND(IF(CD116="ERROR", "ERROR", IF(AND($FK$7=X116,E116="Interior"),VLOOKUP(W116, 'Lookup Tables'!$AI$6:$AM$102, 5, FALSE)*BP116, "")), 2), "")</f>
        <v/>
      </c>
      <c r="FL116" s="253" t="str">
        <f>IFERROR(ROUND(IF(CD116="ERROR", "ERROR", IF(AND($FK$7=X116,E116="Exterior"),VLOOKUP(W116, 'Lookup Tables'!$AI$6:$AM$102, 5, FALSE)*BP116, "")), 2), "")</f>
        <v/>
      </c>
      <c r="FM116" s="253" t="str">
        <f>IFERROR(ROUND(IF(CD116="ERROR", "ERROR", IF(AND($FM$6=Y116,E116="Interior"), IF(GB116=0, VLOOKUP(W116, 'Lookup Tables'!$AI$6:$AM$102, 5, FALSE)*BP116, IF(VLOOKUP(W116, 'Lookup Tables'!$AI$6:$AM$102, 5, FALSE)*BP116&gt;GB116*'Lighting Inventory'!S116, GB116*'Lighting Inventory'!S116,VLOOKUP(W116, 'Lookup Tables'!$AI$6:$AM$102, 5, FALSE)*BP116)), "")), 2), "")</f>
        <v/>
      </c>
      <c r="FN116" s="253" t="str">
        <f>IFERROR(ROUND(IF(CD116="ERROR", "ERROR", IF(AND($FM$6=Y116,E116="Exterior"), IF(GB116=0, VLOOKUP(W116, 'Lookup Tables'!$AI$6:$AM$102, 5, FALSE)*BP116, IF(VLOOKUP(W116, 'Lookup Tables'!$AI$6:$AM$102, 5, FALSE)*BP116&gt;GB116*'Lighting Inventory'!S116, GB116*'Lighting Inventory'!S116,VLOOKUP(W116, 'Lookup Tables'!$AI$6:$AM$102, 5, FALSE)*BP116)), "")), 2), "")</f>
        <v/>
      </c>
      <c r="FO116" s="253" t="str">
        <f>IFERROR(ROUND(IF(CD116="ERROR", "ERROR", IF(AND($FO$6=Y116,E116="Interior"),VLOOKUP(W116, 'Lookup Tables'!$AI$6:$AM$102, 5, FALSE)*'Lighting Inventory'!AI116, "")), 2), "")</f>
        <v/>
      </c>
      <c r="FP116" s="253" t="str">
        <f>IFERROR(ROUND(IF(CD116="ERROR", "ERROR", IF(AND($FO$6=Y116,E116="Exterior"),VLOOKUP(W116, 'Lookup Tables'!$AI$6:$AM$102, 5, FALSE)*'Lighting Inventory'!AI116, "")), 2), "")</f>
        <v/>
      </c>
      <c r="FQ116" s="253" t="str">
        <f>IFERROR(ROUND(IF(CD116="ERROR", "ERROR", IF(AND($FQ$6=Y116,E116="Interior", BU116="Y"), VLOOKUP('Lighting Inventory'!W116, 'Lookup Tables'!$AI$6:$AM$102, 5, FALSE)*'Lighting Inventory'!S116, IF(AND($FQ$7=Y116,E116="Interior", BU116="N"), 0.025*CD116, ""))), 2), "")</f>
        <v/>
      </c>
      <c r="FR116" s="253" t="str">
        <f>IFERROR(ROUND(IF(CD116="ERROR", "ERROR", IF(AND($FQ$6=Y116,E116="Exterior"), VLOOKUP('Lighting Inventory'!W116, 'Lookup Tables'!$AI$6:$AM$102, 5, FALSE)*'Lighting Inventory'!S116, "")), 2), "")</f>
        <v/>
      </c>
      <c r="FS116" s="253" t="str">
        <f>IFERROR(ROUND(IF(CD116="ERROR", "ERROR", IF(AND($FS$6=Y116,E116="Exterior"), IF(GB116=0, VLOOKUP(W116, 'Lookup Tables'!$AI$6:$AM$102, 5, FALSE)*BP116, IF(VLOOKUP(W116, 'Lookup Tables'!$AI$6:$AM$102, 5, FALSE)*BP116&gt;GB116*'Lighting Inventory'!S116, GB116*'Lighting Inventory'!S116,VLOOKUP(W116, 'Lookup Tables'!$AI$6:$AM$102, 5, FALSE)*BP116)), "")), 2), "")</f>
        <v/>
      </c>
      <c r="FT116" s="253" t="str">
        <f>IFERROR(ROUND(IF(CD116="ERROR", "ERROR", IF(AND($FT$6=Y116,E116="Interior"), IF(GB116=0, VLOOKUP(W116, 'Lookup Tables'!$AI$6:$AM$102, 5, FALSE)*BP116, IF(VLOOKUP(W116, 'Lookup Tables'!$AI$6:$AM$102, 5, FALSE)*BP116&gt;GB116*'Lighting Inventory'!S116, GB116*'Lighting Inventory'!S116,VLOOKUP(W116, 'Lookup Tables'!$AI$6:$AM$102, 5, FALSE)*BP116)), "")), 2), "")</f>
        <v/>
      </c>
      <c r="FU116" s="253" t="str">
        <f>IFERROR(ROUND(IF(CD116="ERROR", "ERROR", IF(AND(Y116=$FU$6, E116="Interior"), IF(BS116="N", 'Lookup Tables'!$AM$101*BP116, VLOOKUP(W116, 'Lookup Tables'!$AI$6:$AM$102, 5, FALSE)*S116*AD116), "")), 2), "")</f>
        <v/>
      </c>
      <c r="FV116" s="253" t="str">
        <f>IFERROR(ROUND(IF(CD116="ERROR", "ERROR", IF(AND(Y116=$FU$6, E116="Exterior"), IF(BS116="N", 'Lookup Tables'!$AM$101*BP116, VLOOKUP(W116, 'Lookup Tables'!$AI$6:$AM$102, 5, FALSE)*S116*AD116), "")), 2), "")</f>
        <v/>
      </c>
      <c r="FW116" s="253" t="str">
        <f>IFERROR(ROUND(IF(CD116="ERROR", "ERROR", IF($FW$6=Y116, IF(BS116="N", 'Lookup Tables'!$AM$101*BP116, MIN((VLOOKUP(W116, 'Lookup Tables'!$AI$6:$AM$102, 5, FALSE)*BP116),GB116*AJ116)), "")), 2), "")</f>
        <v/>
      </c>
      <c r="FX116" s="253" t="str">
        <f>IFERROR(ROUND(IF(CD116="ERROR", "ERROR", IF(AND($FX$6=Y116, E116="Interior"), IF(VLOOKUP(W116, 'Lookup Tables'!$AI$6:$AM$102, 5, FALSE)*BP116&gt;'Lookup Tables'!$AQ$97*'Lighting Inventory'!S116,'Lighting Inventory'!S116*'Lookup Tables'!$AQ$97,VLOOKUP(W116, 'Lookup Tables'!$AI$6:$AM$102, 5, FALSE)*BP116), "")), 2), "")</f>
        <v/>
      </c>
      <c r="FY116" s="253" t="str">
        <f>IFERROR(ROUND(IF(CD116="ERROR", "ERROR", IF(AND($FX$6=Y116, E116="Exterior"), IF(VLOOKUP(W116, 'Lookup Tables'!$AI$6:$AM$102, 5, FALSE)*BP116&gt;'Lookup Tables'!$AQ$97*'Lighting Inventory'!S116,'Lighting Inventory'!S116*'Lookup Tables'!$AQ$97,VLOOKUP(W116, 'Lookup Tables'!$AI$6:$AM$102, 5, FALSE)*BP116), "")), 2), "")</f>
        <v/>
      </c>
      <c r="FZ116" s="253" t="str">
        <f>IFERROR(ROUND(IF(CD116="ERROR", "ERROR", IF(AND($FZ$6=Y116, E116="Interior"), IF(AND(OR(W116="Refrigerated Case Lighting with Doors", W116="Freezer Case Lighting"),Y116="Custom - Process Improvement"),CD116*'Lookup Tables'!$AM$101, IF(B116="Retrofit", IF(VLOOKUP(IF(V116="Custom", V116, W116), 'Lookup Tables'!$AI$6:$AM$102, 5, FALSE)*BP116&gt;GE116, GE116, VLOOKUP(IF(V116="Custom", V116, W116), 'Lookup Tables'!$AI$6:$AM$102, 5, FALSE)*BP116), IF(VLOOKUP(IF(V116="Custom", V116, W116), 'Lookup Tables'!$AI$114:$AM$154, 5, FALSE)*BP116&gt;GE116, GE116, VLOOKUP(IF(V116="Custom", V116, W116), 'Lookup Tables'!$AI$114:$AM$154, 5, FALSE)*BP116))), "")), 2),"")</f>
        <v/>
      </c>
      <c r="GA116" s="253" t="str">
        <f>IFERROR(ROUND(IF(CD116="ERROR", "ERROR", IF(AND($FZ$6=Y116, E116="Exterior"), IF(B116="Retrofit", IF(VLOOKUP(IF(V116="Custom", V116, W116), 'Lookup Tables'!$AI$6:$AM$102, 5, FALSE)*BP116&gt;GE116, GE116, VLOOKUP(IF(V116="Custom", V116, W116), 'Lookup Tables'!$AI$6:$AM$102, 5, FALSE)*BP116), IF(VLOOKUP(IF(V116="Custom", V116, W116), 'Lookup Tables'!$AI$114:$AM$154, 5, FALSE)*BP116&gt;GE116, GE116, VLOOKUP(IF(V116="Custom", V116, W116), 'Lookup Tables'!$AI$114:$AM$154, 5, FALSE)*BP116)), "")), 2),"")</f>
        <v/>
      </c>
      <c r="GB116" s="254" t="str">
        <f t="array" ref="GB116">IF(B116="","",IF(OR(V116="Custom",V116="No Change"),0,IF(B116="Retrofit", INDEX('Lookup Tables'!$AH$6:$AQ$102,MATCH(1,('Lookup Tables'!$AH$6:$AH$102='Lighting Inventory'!V116)*('Lookup Tables'!$AI$6:$AI$102='Lighting Inventory'!W116),FALSE),10),INDEX('Lookup Tables'!$AH$114:$AQ$154,MATCH(1,('Lookup Tables'!$AH$114:$AH$154='Lighting Inventory'!V116)*('Lookup Tables'!$AI$114:$AI$154='Lighting Inventory'!W116),FALSE),10))))</f>
        <v/>
      </c>
      <c r="GC116" s="255" t="str">
        <f t="shared" si="344"/>
        <v/>
      </c>
      <c r="GD116" s="250" t="str">
        <f t="shared" si="345"/>
        <v/>
      </c>
      <c r="GE116" s="253" t="str">
        <f>IFERROR(IF(AND(AF116="", 'General Information'!$F$18="No"),"", IF(AF116="", ((GD116/$CD$266)*$CF$266)*0.5, AF116*S116*0.5)), "")</f>
        <v/>
      </c>
      <c r="GF116" s="255" t="str">
        <f>IF(AND('General Information'!$F$19="", 'General Information'!$F$18="Yes",AF116="",BW116="Y"), "Y", "N")</f>
        <v>N</v>
      </c>
      <c r="GG116" s="255" t="s">
        <v>2946</v>
      </c>
      <c r="GH116" s="255" t="str">
        <f>IFERROR(IF(B116="", "", VLOOKUP(J116, 'Fixture Identities'!$A$6:$N$908, 14, FALSE)), "")</f>
        <v/>
      </c>
      <c r="GI116" s="389" t="str">
        <f>IF(OR(B116="", V116="", W116=""), "", IF(AND(OR(M116='Lookup Tables'!$R$18, M116='Lookup Tables'!$R$19, M116='Lookup Tables'!$R$20, M116='Lookup Tables'!$R$21, M116='Lookup Tables'!$R$22), OR(AN116='Lookup Tables'!$R$17, AN116='Lookup Tables'!$R$17, AN116="")), "Y", "N"))</f>
        <v/>
      </c>
      <c r="GJ116" s="255" t="str">
        <f t="shared" si="346"/>
        <v/>
      </c>
      <c r="GK116" s="255" t="str">
        <f t="shared" si="347"/>
        <v/>
      </c>
      <c r="GL116" s="255" t="str">
        <f t="shared" si="348"/>
        <v/>
      </c>
      <c r="GM116" s="255" t="str">
        <f>IF(AN116="", "", IF(AND(IF(ISNA(VLOOKUP(AN116,'Lookup Tables'!$R$18:$R$22,1,FALSE)), "N", "Y")="Y", E116="Exterior"), "Y", "N"))</f>
        <v/>
      </c>
      <c r="GN116" s="395"/>
      <c r="GO116" s="428">
        <f t="shared" si="394"/>
        <v>0</v>
      </c>
      <c r="GP116" s="428">
        <f t="shared" si="397"/>
        <v>0</v>
      </c>
      <c r="GQ116" s="428">
        <f t="shared" si="395"/>
        <v>0</v>
      </c>
      <c r="GR116" s="428">
        <f t="shared" si="396"/>
        <v>0</v>
      </c>
    </row>
    <row r="117" spans="1:200" s="103" customFormat="1" ht="13.5" customHeight="1" x14ac:dyDescent="0.2">
      <c r="A117" s="272">
        <v>107</v>
      </c>
      <c r="B117" s="110"/>
      <c r="C117" s="110"/>
      <c r="D117" s="110"/>
      <c r="E117" s="110"/>
      <c r="F117" s="110"/>
      <c r="G117" s="110"/>
      <c r="H117" s="110"/>
      <c r="I117" s="29"/>
      <c r="J117" s="29"/>
      <c r="K117" s="272" t="str">
        <f>IFERROR(IF(OR(VLOOKUP(J117, 'Fixture Identities'!$A$6:$L$1023, 3, FALSE)="T12 Linear Fluorescent", VLOOKUP(J117, 'Fixture Identities'!$A$6:$L$1023, 3, FALSE)="T12 U-Tube Fluorescent"), VLOOKUP(VLOOKUP(J117, 'Fixture Identities'!$A$6:$L$1023, 11, FALSE), 'Fixture Identities'!$A$6:$L$1023, 10, FALSE), VLOOKUP(J117, 'Fixture Identities'!$A$6:$L$1023, 10, FALSE)), "")</f>
        <v/>
      </c>
      <c r="L117" s="270" t="str">
        <f t="shared" si="399"/>
        <v/>
      </c>
      <c r="M117" s="110"/>
      <c r="N117" s="110"/>
      <c r="O117" s="110"/>
      <c r="P117" s="272" t="str">
        <f>IFERROR(IF(OR(B117="Retrofit",B117=""),"",IF('Lighting Inventory'!E117="Exterior",VLOOKUP('Lighting Inventory'!N117,'Lookup Tables'!$B$83:$F$103,5,FALSE),IF(N117="Other - Please Estimate EFLH and CFs","Contact Prog. Rep.","ft^2"))), "")</f>
        <v/>
      </c>
      <c r="Q117" s="270" t="str">
        <f>IFERROR(IF(AND(B117="New Construction",E117="Interior",$F$5="Space-by-Space"),VLOOKUP('Lighting Inventory'!N117,'Lookup Tables'!$N$6:$O$97,2,FALSE),IF(AND(B117="New Construction",E117="Exterior"),VLOOKUP(N117,'Lookup Tables'!$B$83:$F$103,2,FALSE),IF(AND(B117="New Construction",'Lighting Inventory'!E117="Interior", $F$5="Building Area"),VLOOKUP(F117,'Lookup Tables'!$A$6:$J$59,10,FALSE),""))), "")</f>
        <v/>
      </c>
      <c r="R117" s="270" t="str">
        <f>IFERROR(IF(P117="Contact Prog. Rep.", "ERROR", IF(OR(B117="",B117="Retrofit"),"",IF(N117="Automated teller machines", ('Lookup Tables'!$A$82:$E$100+('Lighting Inventory'!O117-1)*'Lookup Tables'!$A$82:$E$100)/1000, (Q117*O117)/1000))), "")</f>
        <v/>
      </c>
      <c r="S117" s="595"/>
      <c r="T117" s="105" t="str">
        <f t="shared" si="349"/>
        <v/>
      </c>
      <c r="U117" s="105" t="str">
        <f>IF(S117="","",COUNT($S$11:S117))</f>
        <v/>
      </c>
      <c r="V117" s="111"/>
      <c r="W117" s="112"/>
      <c r="X117" s="105" t="str">
        <f t="shared" si="350"/>
        <v/>
      </c>
      <c r="Y117" s="105" t="str">
        <f t="array" ref="Y117">IF(AND(OR(W117="Freezer Case Lighting", W117="Refrigerated Case Lighting with Doors"), 'General Information'!$X$18="LCI"),'Lookup Tables'!$Y$34, IF(V117="Custom", VLOOKUP(W117, 'Fixture Identities'!$A$974:$M$1023, 13, FALSE), IF(V117="No Change",'Lookup Tables'!$Y$29,IF(OR(V117="",W117=""),"",IF(AND(S117=0,S117&lt;I117,B117="Retrofit"),'Lookup Tables'!$Y$25, IF(B117="Retrofit", INDEX('Lookup Tables'!$AH$6:$AP$102, MATCH(1, ('Lookup Tables'!$AH$6:$AH$102=V117)*('Lookup Tables'!$AI$6:$AI$102=W117), 0), IF('Lighting Inventory'!E117="Interior", 4, 5)), INDEX('Lookup Tables'!$AH$114:$AP$154, MATCH(1, ('Lookup Tables'!$AH$114:$AH$154=V117)*('Lookup Tables'!$AI$114:$AI$154=W117), 0), IF('Lighting Inventory'!E117="Interior", 4, 5))))))))</f>
        <v/>
      </c>
      <c r="Z117" s="105" t="str">
        <f>IFERROR(INDEX('Lookup Tables'!$AH$158:$AH$172,MATCH('Lighting Inventory'!Y117,'Lookup Tables'!$AI$158:$AI$172,0)),"")</f>
        <v/>
      </c>
      <c r="AA117" s="105" t="str">
        <f>IF(AP117&gt;0,INDEX('Lookup Tables'!$AK$158:$AK$172,MATCH('Lighting Inventory'!Y117,'Lookup Tables'!$AI$158:$AI$172,0)),'Lighting Inventory'!Y117)</f>
        <v/>
      </c>
      <c r="AB117" s="105" t="str">
        <f t="array" ref="AB117">IF(V117="Custom", "Custom", IF(V117="", "", IF(V117="Not DLC or Energy Star", "General", IF(B117="New Construction", INDEX('Lookup Tables'!$AH$114:$AP$154,MATCH(1,('Lookup Tables'!$AH$114:$AH$154='Lighting Inventory'!V117)*('Lookup Tables'!$AI$114:$AI$154='Lighting Inventory'!W117),FALSE),8), INDEX('Lookup Tables'!$AH$6:$AP$102,MATCH(1,('Lookup Tables'!$AH$6:$AH$102='Lighting Inventory'!V117)*('Lookup Tables'!$AI$6:$AI$102='Lighting Inventory'!W117),FALSE),8)))))</f>
        <v/>
      </c>
      <c r="AC117" s="272" t="str">
        <f>IF(W117="","",IF(V117="Custom",CONCATENATE("$",'Lookup Tables'!$AM$101," ",'Lookup Tables'!$AN$101),CONCATENATE("$",INDEX('Lookup Tables'!$AM$6:$AM$102,MATCH('Lighting Inventory'!W117,'Lookup Tables'!$AI$6:$AI$102,0))," ",INDEX('Lookup Tables'!$AN$6:$AN$102,MATCH('Lighting Inventory'!W117,'Lookup Tables'!$AI$6:$AI$102,0)))))</f>
        <v/>
      </c>
      <c r="AD117" s="72"/>
      <c r="AE117" s="29"/>
      <c r="AF117" s="379"/>
      <c r="AG117" s="370" t="str">
        <f t="shared" si="298"/>
        <v/>
      </c>
      <c r="AH117" s="370" t="str">
        <f t="shared" si="351"/>
        <v/>
      </c>
      <c r="AI117" s="29"/>
      <c r="AJ117" s="29"/>
      <c r="AK117" s="110"/>
      <c r="AL117" s="375" t="str">
        <f>IF(OR(B117="", V117="", W117=""), "", IF(V117="No Change", K117, IF(V117="Remove Fixture", 0, IF(V117="Custom",VLOOKUP(W117,'Fixture Identities'!$A$6:$K$1023,10,FALSE),IF(AE117="", "← ENTER POST WATTS", 'Lighting Inventory'!AE117)))))</f>
        <v/>
      </c>
      <c r="AM117" s="376" t="str">
        <f t="shared" si="299"/>
        <v/>
      </c>
      <c r="AN117" s="29"/>
      <c r="AO117" s="671"/>
      <c r="AP117" s="29"/>
      <c r="AQ117" s="29"/>
      <c r="AR117" s="29"/>
      <c r="AS117" s="272" t="str">
        <f t="shared" si="352"/>
        <v/>
      </c>
      <c r="AT117" s="270" t="str">
        <f t="shared" si="300"/>
        <v/>
      </c>
      <c r="AU117" s="88" t="str">
        <f t="shared" si="400"/>
        <v/>
      </c>
      <c r="AV117" s="29"/>
      <c r="AW117" s="73"/>
      <c r="AX117" s="271" t="str">
        <f>IF(AND(AV117="Applicant",OR(AW117="", AW117="Use Default Facility Hours")),"← Choose Schedule",IF(F117="","",IF(W117="LED Exit Signs",8760,IF(OR(AV117="Prescribed",AV117=""),VLOOKUP(F117,'Lookup Tables'!$A$6:$G$59,IF(AB117="General", 6, 3),FALSE),VLOOKUP(AW117,'Lookup Tables'!$S$36:$U$43,2,FALSE)))))</f>
        <v/>
      </c>
      <c r="AY117" s="88" t="str">
        <f t="shared" si="301"/>
        <v/>
      </c>
      <c r="AZ117" s="270" t="str">
        <f>IFERROR(IF(F117="", "", IF(W117="LED Exit Signs", 1, IF(AV117="Applicant",VLOOKUP(AW117, 'Lookup Tables'!$S$36:$U$43,3, FALSE), VLOOKUP('Lighting Inventory'!F117, 'Lookup Tables'!$A$6:$H$59, IF('Lighting Inventory'!AB117="General",7,4), FALSE)))), "")</f>
        <v/>
      </c>
      <c r="BA117" s="522" t="str">
        <f>IFERROR(IF(F117="", "", IF(W117="LED Exit Signs", 1, VLOOKUP('Lighting Inventory'!F117, 'Lookup Tables'!$A$6:$H$59, IF('Lighting Inventory'!AB117="General",8,5), FALSE))), "")</f>
        <v/>
      </c>
      <c r="BB117" s="270" t="str">
        <f>IF(G117="", "", IF(E117="Exterior", 0, IF('Lighting Inventory'!G117="Air Conditioned", VLOOKUP(H117, 'Lookup Tables'!$R$6:$T$13, 2, FALSE), VLOOKUP('Lighting Inventory'!G117, 'Lookup Tables'!$R$6:$T$13, 2, FALSE))))</f>
        <v/>
      </c>
      <c r="BC117" s="522" t="str">
        <f>IF(G117="", "", IF(E117="Exterior", 0, IF('Lighting Inventory'!G117="Air Conditioned", VLOOKUP(H117, 'Lookup Tables'!$R$6:$T$13, 3, FALSE), VLOOKUP('Lighting Inventory'!G117, 'Lookup Tables'!$R$6:$T$13, 3, FALSE))))</f>
        <v/>
      </c>
      <c r="BD117" s="270" t="str">
        <f>IF(G117="", "", IF(E117="Exterior", 0, IF('Lighting Inventory'!G117="Air Conditioned", VLOOKUP(H117, 'Lookup Tables'!$R$6:$U$13, 4, FALSE), VLOOKUP('Lighting Inventory'!G117, 'Lookup Tables'!$R$6:$U$13, 4, FALSE))))</f>
        <v/>
      </c>
      <c r="BE117" s="270" t="str">
        <f>IFERROR(IF(B117="", "",  IF(B117="New Construction", VLOOKUP(F117, 'Lookup Tables'!$A$6:$K$59, 11, FALSE),IF(OR(AN117="", AN117="Light Switch"), 0, IF(OR(M117="",M117="None",V117= "LED Exit Signs"),0,_xlfn.XLOOKUP(M117,'Lookup Tables'!$R$91:$R$101,'Lookup Tables'!$V$91:$V$101))))), "")</f>
        <v/>
      </c>
      <c r="BF117" s="270" t="str">
        <f>IF(AND(OR(AN117="Light Switch",AN117=""),B117="New Construction"), VLOOKUP(F117, 'Lookup Tables'!$A$6:$K$59, 11, FALSE),IF(AN117="","",IF(B117="","",IF(OR(AN117="None",AN117="",V117="LED Exit Signs",AN117="Exterior Controls Not Eligible"),0,_xlfn.XLOOKUP(AN117,'Lookup Tables'!$R$91:$R$101,'Lookup Tables'!$V$91:$V$101)))))</f>
        <v/>
      </c>
      <c r="BG117" s="88" t="str">
        <f t="shared" si="353"/>
        <v/>
      </c>
      <c r="BH117" s="88" t="str">
        <f t="shared" si="354"/>
        <v/>
      </c>
      <c r="BI117" s="558" t="str">
        <f t="shared" si="398"/>
        <v/>
      </c>
      <c r="BJ117" s="82" t="str">
        <f t="shared" si="355"/>
        <v/>
      </c>
      <c r="BK117" s="82" t="str">
        <f t="shared" si="356"/>
        <v/>
      </c>
      <c r="BL117" s="559" t="str">
        <f t="shared" si="357"/>
        <v/>
      </c>
      <c r="BM117" s="521" t="str">
        <f t="shared" si="302"/>
        <v/>
      </c>
      <c r="BN117" s="521" t="str">
        <f t="shared" si="303"/>
        <v/>
      </c>
      <c r="BO117" s="522" t="str">
        <f t="shared" si="304"/>
        <v/>
      </c>
      <c r="BP117" s="83" t="str">
        <f t="shared" si="358"/>
        <v/>
      </c>
      <c r="BQ117" s="84" t="str">
        <f t="shared" si="359"/>
        <v/>
      </c>
      <c r="BR117" s="184" t="str">
        <f>IFERROR(IF(B117="", "", IF(OR(VLOOKUP(J117, 'Fixture Identities'!$A$6:$L$1023, 3, FALSE)="T12 Linear Fluorescent",VLOOKUP(J117, 'Fixture Identities'!$A$6:$L$1023, 3, FALSE)="T12 U-Tube Fluorescent"), "Y", "N")), "N")</f>
        <v/>
      </c>
      <c r="BS117" s="184" t="str">
        <f t="array" ref="BS117">IFERROR(IF(OR(B117="", V117="", W117=""), "", IF(V117="Custom", "N", IF(OR(W117="Freezer Case Lighting", W117="Refrigerated Case Lighting with Doors"), BT117, IF(B117="Retrofit", INDEX('Lookup Tables'!$AH$6:$AT$102,MATCH(1,('Lookup Tables'!$AH$6:$AH$102=V117)*('Lookup Tables'!$AI$6:$AI$102=W117),FALSE),IF(VLOOKUP(J117, 'Fixture Identities'!$A$6:$B$1023, 2, FALSE)="Incandescent",12, 13)), INDEX('Lookup Tables'!$AH$114:$AS$154,MATCH(1,('Lookup Tables'!$AH$114:$AH$154=V117)*('Lookup Tables'!$AI$114:$AI$154=W117),FALSE),12))))), "N")</f>
        <v/>
      </c>
      <c r="BT117" s="184" t="str">
        <f>IF(J117="", "", IF(AND(OR(W117="Freezer case Lighting", W117="Refrigerated Case Lighting with Doors"),'General Information'!$X$18="LCI"), "N", IF(OR(VLOOKUP(J117, 'Fixture Identities'!$A$6:$B$1023, 2, FALSE)="T12 EPACT/EISA Baseline", VLOOKUP(J117, 'Fixture Identities'!$A$6:$B$1023, 2, FALSE)="Linear Fluorescent", VLOOKUP(J117, 'Fixture Identities'!$A$6:$B$1023, 2, FALSE)="U-Tube Fluorescent"), "Y", "N")))</f>
        <v/>
      </c>
      <c r="BU117" s="184" t="str">
        <f>IFERROR(IF(B117="", "", IF(VLOOKUP(J117, 'Fixture Identities'!$A$6:$B$1023, 2, FALSE)="Exit Sign", "Y", "N")), "N")</f>
        <v/>
      </c>
      <c r="BV117" s="184" t="str">
        <f>IF(V117="Exit Signs", IF(VLOOKUP(J117, 'Fixture Identities'!$A$6:$B$1023, 2, FALSE)="Exit Sign", "N", "Y"), "")</f>
        <v/>
      </c>
      <c r="BW117" s="184" t="str">
        <f t="array" ref="BW117">IFERROR(IF(B117="", "", IF(B117="New Construction", "N", INDEX('Lookup Tables'!$AH$6:$AU$102, MATCH(1, ('Lookup Tables'!$AH$6:$AH$102='Lighting Inventory'!V117)*('Lookup Tables'!$AI$6:$AI$102='Lighting Inventory'!W117), 0), 14))), "N")</f>
        <v/>
      </c>
      <c r="BX117" s="598" t="str">
        <f t="shared" si="360"/>
        <v/>
      </c>
      <c r="BY117" s="598" t="str">
        <f t="shared" si="361"/>
        <v/>
      </c>
      <c r="BZ117" s="598" t="str">
        <f t="shared" si="362"/>
        <v/>
      </c>
      <c r="CA117" s="598" t="str">
        <f t="shared" si="363"/>
        <v/>
      </c>
      <c r="CB117" s="269" t="str">
        <f t="shared" si="364"/>
        <v/>
      </c>
      <c r="CC117" s="517" t="str">
        <f t="shared" si="365"/>
        <v/>
      </c>
      <c r="CD117" s="565" t="str">
        <f t="shared" si="305"/>
        <v/>
      </c>
      <c r="CE117" s="368">
        <v>0</v>
      </c>
      <c r="CF117" s="368" t="str" cm="1">
        <f t="array" ref="CF117">IFERROR(IF(V117="Custom", "$0.1 per kWh", IF(B117="New Construction", CONCATENATE("$",INDEX('Lookup Tables'!$AH$114:$AN$154,MATCH(1,('Lookup Tables'!$AH$114:$AH$154='Lighting Inventory'!V117)*('Lookup Tables'!$AI$114:$AI$154='Lighting Inventory'!W117),FALSE),6)," ",INDEX('Lookup Tables'!$AH$114:$AN$154,MATCH(1,('Lookup Tables'!$AH$114:$AH$154='Lighting Inventory'!V117)*('Lookup Tables'!$AI$114:$AI$154='Lighting Inventory'!W117),FALSE),7)), IF(AND(BU117="N", V117="Exit Signs"), "$0.025 per kWh", CONCATENATE("$",INDEX('Lookup Tables'!$AH$6:$AN$102,MATCH(1,('Lookup Tables'!$AH$6:$AH$102='Lighting Inventory'!V117)*('Lookup Tables'!$AI$6:$AI$102='Lighting Inventory'!W117),FALSE),6)," ",INDEX('Lookup Tables'!$AH$6:$AN$102,MATCH(1,('Lookup Tables'!$AH$6:$AH$102='Lighting Inventory'!V117)*('Lookup Tables'!$AI$6:$AI$102='Lighting Inventory'!W117),FALSE),7))))), "")</f>
        <v/>
      </c>
      <c r="CG117" s="366"/>
      <c r="CH117" s="248" t="str">
        <f t="shared" si="306"/>
        <v/>
      </c>
      <c r="CI117" s="248" t="str">
        <f t="shared" si="307"/>
        <v>Select_IE</v>
      </c>
      <c r="CJ117" s="248" t="str">
        <f t="shared" si="308"/>
        <v/>
      </c>
      <c r="CK117" s="248" t="str">
        <f t="shared" si="309"/>
        <v/>
      </c>
      <c r="CL117" s="248" t="str">
        <f t="shared" si="310"/>
        <v/>
      </c>
      <c r="CM117" s="248" t="str">
        <f>IFERROR(IF(B117="", "", IF(B117="New Construction", VLOOKUP(V117, 'Lookup Tables'!$AF$114:$AG$120, 2, FALSE), VLOOKUP(V117, 'Lookup Tables'!$AD$6:$AE$25, 2, FALSE))), "")</f>
        <v/>
      </c>
      <c r="CN117" s="248" t="str">
        <f t="shared" si="311"/>
        <v/>
      </c>
      <c r="CO117" s="248" t="str">
        <f t="shared" si="312"/>
        <v/>
      </c>
      <c r="CP117" s="592" t="str">
        <f t="shared" si="313"/>
        <v/>
      </c>
      <c r="CQ117" s="248" t="str">
        <f t="shared" si="366"/>
        <v/>
      </c>
      <c r="CR117" s="100"/>
      <c r="CS117" s="250" t="str">
        <f t="shared" si="314"/>
        <v/>
      </c>
      <c r="CT117" s="250" t="str">
        <f t="shared" si="367"/>
        <v/>
      </c>
      <c r="CU117" s="250" t="str">
        <f t="shared" si="368"/>
        <v/>
      </c>
      <c r="CV117" s="250" t="str">
        <f t="shared" si="369"/>
        <v/>
      </c>
      <c r="CW117" s="250" t="str">
        <f t="shared" si="370"/>
        <v/>
      </c>
      <c r="CX117" s="250" t="str">
        <f t="shared" si="315"/>
        <v/>
      </c>
      <c r="CY117" s="250" t="str">
        <f t="shared" si="316"/>
        <v/>
      </c>
      <c r="CZ117" s="250" t="str">
        <f t="shared" si="317"/>
        <v/>
      </c>
      <c r="DA117" s="250" t="str">
        <f t="shared" si="318"/>
        <v/>
      </c>
      <c r="DB117" s="250" t="str">
        <f t="shared" si="319"/>
        <v/>
      </c>
      <c r="DC117" s="250" t="str">
        <f t="shared" si="320"/>
        <v/>
      </c>
      <c r="DD117" s="250" t="str">
        <f t="shared" si="321"/>
        <v/>
      </c>
      <c r="DE117" s="250" t="str">
        <f t="shared" si="322"/>
        <v/>
      </c>
      <c r="DF117" s="250" t="str">
        <f t="shared" si="323"/>
        <v/>
      </c>
      <c r="DG117" s="250" t="str">
        <f t="shared" si="324"/>
        <v/>
      </c>
      <c r="DH117" s="250" t="str">
        <f t="shared" si="325"/>
        <v/>
      </c>
      <c r="DI117" s="250" t="str">
        <f t="shared" si="326"/>
        <v/>
      </c>
      <c r="DJ117" s="250" t="str">
        <f t="shared" si="327"/>
        <v/>
      </c>
      <c r="DK117" s="250" t="str">
        <f t="shared" si="328"/>
        <v/>
      </c>
      <c r="DL117" s="250" t="str">
        <f t="shared" si="329"/>
        <v/>
      </c>
      <c r="DM117" s="250" t="str">
        <f>IF(CD117="ERROR", "ERROR", IF(AND(OR(Y117=$DM$6, Y117='Lookup Tables'!$AD$21, Y117='Lookup Tables'!$AD$22), E117="Interior"), BJ117, ""))</f>
        <v/>
      </c>
      <c r="DN117" s="250" t="str">
        <f>IF(CD117="ERROR", "ERROR", IF(AND(OR(Y117=$DM$6, Y117='Lookup Tables'!$AD$21, Y117='Lookup Tables'!$AD$22), E117="Exterior"), BJ117, ""))</f>
        <v/>
      </c>
      <c r="DO117" s="100"/>
      <c r="DP117" s="250" t="str">
        <f t="shared" si="330"/>
        <v/>
      </c>
      <c r="DQ117" s="250" t="str">
        <f t="shared" si="371"/>
        <v/>
      </c>
      <c r="DR117" s="250" t="str">
        <f t="shared" si="372"/>
        <v/>
      </c>
      <c r="DS117" s="250" t="str">
        <f t="shared" si="373"/>
        <v/>
      </c>
      <c r="DT117" s="250" t="str">
        <f t="shared" si="374"/>
        <v/>
      </c>
      <c r="DU117" s="250" t="str">
        <f t="shared" si="331"/>
        <v/>
      </c>
      <c r="DV117" s="250" t="str">
        <f t="shared" si="332"/>
        <v/>
      </c>
      <c r="DW117" s="250" t="str">
        <f t="shared" si="333"/>
        <v/>
      </c>
      <c r="DX117" s="250" t="str">
        <f t="shared" si="334"/>
        <v/>
      </c>
      <c r="DY117" s="250" t="str">
        <f t="shared" si="335"/>
        <v/>
      </c>
      <c r="DZ117" s="250" t="str">
        <f t="shared" si="336"/>
        <v/>
      </c>
      <c r="EA117" s="250" t="str">
        <f t="shared" si="337"/>
        <v/>
      </c>
      <c r="EB117" s="250" t="str">
        <f t="shared" si="375"/>
        <v/>
      </c>
      <c r="EC117" s="250" t="str">
        <f t="shared" si="338"/>
        <v/>
      </c>
      <c r="ED117" s="250" t="str">
        <f t="shared" si="339"/>
        <v/>
      </c>
      <c r="EE117" s="250" t="str">
        <f t="shared" si="340"/>
        <v/>
      </c>
      <c r="EF117" s="250" t="str">
        <f t="shared" si="341"/>
        <v/>
      </c>
      <c r="EG117" s="250" t="str">
        <f t="shared" si="342"/>
        <v/>
      </c>
      <c r="EH117" s="250" t="str">
        <f>IF(CD117="ERROR", "ERROR", IF(AND(OR($EH$6=Y117, Y117='Lookup Tables'!$AD$21, Y117='Lookup Tables'!$AD$22),E117="Interior"), SUM(BP117:BP117), ""))</f>
        <v/>
      </c>
      <c r="EI117" s="250" t="str">
        <f>IF(CD117="ERROR", "ERROR", IF(AND(OR($EH$6=Y117, Y117='Lookup Tables'!$AD$21, Y117='Lookup Tables'!$AD$22),E117="Exterior"), SUM(BP117:BP117), ""))</f>
        <v/>
      </c>
      <c r="EJ117" s="109"/>
      <c r="EK117" s="485" t="str">
        <f t="shared" si="343"/>
        <v/>
      </c>
      <c r="EL117" s="252" t="str">
        <f t="shared" si="376"/>
        <v/>
      </c>
      <c r="EM117" s="252" t="str">
        <f t="shared" si="377"/>
        <v/>
      </c>
      <c r="EN117" s="252" t="str">
        <f t="shared" si="378"/>
        <v/>
      </c>
      <c r="EO117" s="252" t="str">
        <f t="shared" si="379"/>
        <v/>
      </c>
      <c r="EP117" s="252" t="str">
        <f t="shared" si="380"/>
        <v/>
      </c>
      <c r="EQ117" s="252" t="str">
        <f t="shared" si="381"/>
        <v/>
      </c>
      <c r="ER117" s="252" t="str">
        <f t="shared" si="382"/>
        <v/>
      </c>
      <c r="ES117" s="252" t="str">
        <f t="shared" si="383"/>
        <v/>
      </c>
      <c r="ET117" s="252" t="str">
        <f t="shared" si="384"/>
        <v/>
      </c>
      <c r="EU117" s="252" t="str">
        <f t="shared" si="385"/>
        <v/>
      </c>
      <c r="EV117" s="252" t="str">
        <f t="shared" si="386"/>
        <v/>
      </c>
      <c r="EW117" s="252" t="str">
        <f t="shared" si="387"/>
        <v/>
      </c>
      <c r="EX117" s="252" t="str">
        <f t="shared" si="388"/>
        <v/>
      </c>
      <c r="EY117" s="252" t="str">
        <f t="shared" si="389"/>
        <v/>
      </c>
      <c r="EZ117" s="252" t="str">
        <f t="shared" si="390"/>
        <v/>
      </c>
      <c r="FA117" s="252" t="str">
        <f t="shared" si="391"/>
        <v/>
      </c>
      <c r="FB117" s="252" t="str">
        <f t="shared" si="392"/>
        <v/>
      </c>
      <c r="FC117" s="252" t="str">
        <f>IF(CD117="ERROR", "ERROR", IF(OR(V117="No Change", V117="Not DLC or Energy Star"), "", IF(AND(OR($FC$6=Y117,Y117='Lookup Tables'!$AD$21, Y117='Lookup Tables'!$AD$22),E117="Interior"), S117, "")))</f>
        <v/>
      </c>
      <c r="FD117" s="252" t="str">
        <f t="shared" si="393"/>
        <v/>
      </c>
      <c r="FE117" s="101"/>
      <c r="FF117" s="579" t="str" cm="1">
        <f t="array" ref="FF117">IFERROR(IF(OR(BQ117&lt;=0,AQ117&lt;20,AND(V117="Exit Signs",AN117&gt;0)),"",IF(AND(AQ117&gt;=20,AN117='Lookup Tables'!$R$101),'Lookup Tables'!$U$101*BQ117,AP117*LOOKUP(2,1/((AN117='Lookup Tables'!$R$91:$R$111)*(AQ117&gt;='Lookup Tables'!$S$91:$S$111)*(AQ117&lt;='Lookup Tables'!$T$91:$T$111)),'Lookup Tables'!$U$91:$U$111))),"")</f>
        <v/>
      </c>
      <c r="FG117" s="579"/>
      <c r="FH117" s="579"/>
      <c r="FI117" s="253" t="str">
        <f>IFERROR(ROUND(IF(CD117="ERROR", "ERROR", IF(AND($FI$7=X117,E117="Interior"),VLOOKUP(W117, 'Lookup Tables'!$AI$6:$AM$102, 5, FALSE)*BP117, "")), 2), "")</f>
        <v/>
      </c>
      <c r="FJ117" s="253" t="str">
        <f>IFERROR(ROUND(IF(CD117="ERROR", "ERROR", IF(AND($FI$7=X117,E117="Exterior"),VLOOKUP(W117, 'Lookup Tables'!$AI$6:$AM$102, 5, FALSE)*BP117, "")), 2), "")</f>
        <v/>
      </c>
      <c r="FK117" s="253" t="str">
        <f>IFERROR(ROUND(IF(CD117="ERROR", "ERROR", IF(AND($FK$7=X117,E117="Interior"),VLOOKUP(W117, 'Lookup Tables'!$AI$6:$AM$102, 5, FALSE)*BP117, "")), 2), "")</f>
        <v/>
      </c>
      <c r="FL117" s="253" t="str">
        <f>IFERROR(ROUND(IF(CD117="ERROR", "ERROR", IF(AND($FK$7=X117,E117="Exterior"),VLOOKUP(W117, 'Lookup Tables'!$AI$6:$AM$102, 5, FALSE)*BP117, "")), 2), "")</f>
        <v/>
      </c>
      <c r="FM117" s="253" t="str">
        <f>IFERROR(ROUND(IF(CD117="ERROR", "ERROR", IF(AND($FM$6=Y117,E117="Interior"), IF(GB117=0, VLOOKUP(W117, 'Lookup Tables'!$AI$6:$AM$102, 5, FALSE)*BP117, IF(VLOOKUP(W117, 'Lookup Tables'!$AI$6:$AM$102, 5, FALSE)*BP117&gt;GB117*'Lighting Inventory'!S117, GB117*'Lighting Inventory'!S117,VLOOKUP(W117, 'Lookup Tables'!$AI$6:$AM$102, 5, FALSE)*BP117)), "")), 2), "")</f>
        <v/>
      </c>
      <c r="FN117" s="253" t="str">
        <f>IFERROR(ROUND(IF(CD117="ERROR", "ERROR", IF(AND($FM$6=Y117,E117="Exterior"), IF(GB117=0, VLOOKUP(W117, 'Lookup Tables'!$AI$6:$AM$102, 5, FALSE)*BP117, IF(VLOOKUP(W117, 'Lookup Tables'!$AI$6:$AM$102, 5, FALSE)*BP117&gt;GB117*'Lighting Inventory'!S117, GB117*'Lighting Inventory'!S117,VLOOKUP(W117, 'Lookup Tables'!$AI$6:$AM$102, 5, FALSE)*BP117)), "")), 2), "")</f>
        <v/>
      </c>
      <c r="FO117" s="253" t="str">
        <f>IFERROR(ROUND(IF(CD117="ERROR", "ERROR", IF(AND($FO$6=Y117,E117="Interior"),VLOOKUP(W117, 'Lookup Tables'!$AI$6:$AM$102, 5, FALSE)*'Lighting Inventory'!AI117, "")), 2), "")</f>
        <v/>
      </c>
      <c r="FP117" s="253" t="str">
        <f>IFERROR(ROUND(IF(CD117="ERROR", "ERROR", IF(AND($FO$6=Y117,E117="Exterior"),VLOOKUP(W117, 'Lookup Tables'!$AI$6:$AM$102, 5, FALSE)*'Lighting Inventory'!AI117, "")), 2), "")</f>
        <v/>
      </c>
      <c r="FQ117" s="253" t="str">
        <f>IFERROR(ROUND(IF(CD117="ERROR", "ERROR", IF(AND($FQ$6=Y117,E117="Interior", BU117="Y"), VLOOKUP('Lighting Inventory'!W117, 'Lookup Tables'!$AI$6:$AM$102, 5, FALSE)*'Lighting Inventory'!S117, IF(AND($FQ$7=Y117,E117="Interior", BU117="N"), 0.025*CD117, ""))), 2), "")</f>
        <v/>
      </c>
      <c r="FR117" s="253" t="str">
        <f>IFERROR(ROUND(IF(CD117="ERROR", "ERROR", IF(AND($FQ$6=Y117,E117="Exterior"), VLOOKUP('Lighting Inventory'!W117, 'Lookup Tables'!$AI$6:$AM$102, 5, FALSE)*'Lighting Inventory'!S117, "")), 2), "")</f>
        <v/>
      </c>
      <c r="FS117" s="253" t="str">
        <f>IFERROR(ROUND(IF(CD117="ERROR", "ERROR", IF(AND($FS$6=Y117,E117="Exterior"), IF(GB117=0, VLOOKUP(W117, 'Lookup Tables'!$AI$6:$AM$102, 5, FALSE)*BP117, IF(VLOOKUP(W117, 'Lookup Tables'!$AI$6:$AM$102, 5, FALSE)*BP117&gt;GB117*'Lighting Inventory'!S117, GB117*'Lighting Inventory'!S117,VLOOKUP(W117, 'Lookup Tables'!$AI$6:$AM$102, 5, FALSE)*BP117)), "")), 2), "")</f>
        <v/>
      </c>
      <c r="FT117" s="253" t="str">
        <f>IFERROR(ROUND(IF(CD117="ERROR", "ERROR", IF(AND($FT$6=Y117,E117="Interior"), IF(GB117=0, VLOOKUP(W117, 'Lookup Tables'!$AI$6:$AM$102, 5, FALSE)*BP117, IF(VLOOKUP(W117, 'Lookup Tables'!$AI$6:$AM$102, 5, FALSE)*BP117&gt;GB117*'Lighting Inventory'!S117, GB117*'Lighting Inventory'!S117,VLOOKUP(W117, 'Lookup Tables'!$AI$6:$AM$102, 5, FALSE)*BP117)), "")), 2), "")</f>
        <v/>
      </c>
      <c r="FU117" s="253" t="str">
        <f>IFERROR(ROUND(IF(CD117="ERROR", "ERROR", IF(AND(Y117=$FU$6, E117="Interior"), IF(BS117="N", 'Lookup Tables'!$AM$101*BP117, VLOOKUP(W117, 'Lookup Tables'!$AI$6:$AM$102, 5, FALSE)*S117*AD117), "")), 2), "")</f>
        <v/>
      </c>
      <c r="FV117" s="253" t="str">
        <f>IFERROR(ROUND(IF(CD117="ERROR", "ERROR", IF(AND(Y117=$FU$6, E117="Exterior"), IF(BS117="N", 'Lookup Tables'!$AM$101*BP117, VLOOKUP(W117, 'Lookup Tables'!$AI$6:$AM$102, 5, FALSE)*S117*AD117), "")), 2), "")</f>
        <v/>
      </c>
      <c r="FW117" s="253" t="str">
        <f>IFERROR(ROUND(IF(CD117="ERROR", "ERROR", IF($FW$6=Y117, IF(BS117="N", 'Lookup Tables'!$AM$101*BP117, MIN((VLOOKUP(W117, 'Lookup Tables'!$AI$6:$AM$102, 5, FALSE)*BP117),GB117*AJ117)), "")), 2), "")</f>
        <v/>
      </c>
      <c r="FX117" s="253" t="str">
        <f>IFERROR(ROUND(IF(CD117="ERROR", "ERROR", IF(AND($FX$6=Y117, E117="Interior"), IF(VLOOKUP(W117, 'Lookup Tables'!$AI$6:$AM$102, 5, FALSE)*BP117&gt;'Lookup Tables'!$AQ$97*'Lighting Inventory'!S117,'Lighting Inventory'!S117*'Lookup Tables'!$AQ$97,VLOOKUP(W117, 'Lookup Tables'!$AI$6:$AM$102, 5, FALSE)*BP117), "")), 2), "")</f>
        <v/>
      </c>
      <c r="FY117" s="253" t="str">
        <f>IFERROR(ROUND(IF(CD117="ERROR", "ERROR", IF(AND($FX$6=Y117, E117="Exterior"), IF(VLOOKUP(W117, 'Lookup Tables'!$AI$6:$AM$102, 5, FALSE)*BP117&gt;'Lookup Tables'!$AQ$97*'Lighting Inventory'!S117,'Lighting Inventory'!S117*'Lookup Tables'!$AQ$97,VLOOKUP(W117, 'Lookup Tables'!$AI$6:$AM$102, 5, FALSE)*BP117), "")), 2), "")</f>
        <v/>
      </c>
      <c r="FZ117" s="253" t="str">
        <f>IFERROR(ROUND(IF(CD117="ERROR", "ERROR", IF(AND($FZ$6=Y117, E117="Interior"), IF(AND(OR(W117="Refrigerated Case Lighting with Doors", W117="Freezer Case Lighting"),Y117="Custom - Process Improvement"),CD117*'Lookup Tables'!$AM$101, IF(B117="Retrofit", IF(VLOOKUP(IF(V117="Custom", V117, W117), 'Lookup Tables'!$AI$6:$AM$102, 5, FALSE)*BP117&gt;GE117, GE117, VLOOKUP(IF(V117="Custom", V117, W117), 'Lookup Tables'!$AI$6:$AM$102, 5, FALSE)*BP117), IF(VLOOKUP(IF(V117="Custom", V117, W117), 'Lookup Tables'!$AI$114:$AM$154, 5, FALSE)*BP117&gt;GE117, GE117, VLOOKUP(IF(V117="Custom", V117, W117), 'Lookup Tables'!$AI$114:$AM$154, 5, FALSE)*BP117))), "")), 2),"")</f>
        <v/>
      </c>
      <c r="GA117" s="253" t="str">
        <f>IFERROR(ROUND(IF(CD117="ERROR", "ERROR", IF(AND($FZ$6=Y117, E117="Exterior"), IF(B117="Retrofit", IF(VLOOKUP(IF(V117="Custom", V117, W117), 'Lookup Tables'!$AI$6:$AM$102, 5, FALSE)*BP117&gt;GE117, GE117, VLOOKUP(IF(V117="Custom", V117, W117), 'Lookup Tables'!$AI$6:$AM$102, 5, FALSE)*BP117), IF(VLOOKUP(IF(V117="Custom", V117, W117), 'Lookup Tables'!$AI$114:$AM$154, 5, FALSE)*BP117&gt;GE117, GE117, VLOOKUP(IF(V117="Custom", V117, W117), 'Lookup Tables'!$AI$114:$AM$154, 5, FALSE)*BP117)), "")), 2),"")</f>
        <v/>
      </c>
      <c r="GB117" s="254" t="str">
        <f t="array" ref="GB117">IF(B117="","",IF(OR(V117="Custom",V117="No Change"),0,IF(B117="Retrofit", INDEX('Lookup Tables'!$AH$6:$AQ$102,MATCH(1,('Lookup Tables'!$AH$6:$AH$102='Lighting Inventory'!V117)*('Lookup Tables'!$AI$6:$AI$102='Lighting Inventory'!W117),FALSE),10),INDEX('Lookup Tables'!$AH$114:$AQ$154,MATCH(1,('Lookup Tables'!$AH$114:$AH$154='Lighting Inventory'!V117)*('Lookup Tables'!$AI$114:$AI$154='Lighting Inventory'!W117),FALSE),10))))</f>
        <v/>
      </c>
      <c r="GC117" s="255" t="str">
        <f t="shared" si="344"/>
        <v/>
      </c>
      <c r="GD117" s="250" t="str">
        <f t="shared" si="345"/>
        <v/>
      </c>
      <c r="GE117" s="253" t="str">
        <f>IFERROR(IF(AND(AF117="", 'General Information'!$F$18="No"),"", IF(AF117="", ((GD117/$CD$266)*$CF$266)*0.5, AF117*S117*0.5)), "")</f>
        <v/>
      </c>
      <c r="GF117" s="255" t="str">
        <f>IF(AND('General Information'!$F$19="", 'General Information'!$F$18="Yes",AF117="",BW117="Y"), "Y", "N")</f>
        <v>N</v>
      </c>
      <c r="GG117" s="255" t="s">
        <v>2946</v>
      </c>
      <c r="GH117" s="255" t="str">
        <f>IFERROR(IF(B117="", "", VLOOKUP(J117, 'Fixture Identities'!$A$6:$N$908, 14, FALSE)), "")</f>
        <v/>
      </c>
      <c r="GI117" s="389" t="str">
        <f>IF(OR(B117="", V117="", W117=""), "", IF(AND(OR(M117='Lookup Tables'!$R$18, M117='Lookup Tables'!$R$19, M117='Lookup Tables'!$R$20, M117='Lookup Tables'!$R$21, M117='Lookup Tables'!$R$22), OR(AN117='Lookup Tables'!$R$17, AN117='Lookup Tables'!$R$17, AN117="")), "Y", "N"))</f>
        <v/>
      </c>
      <c r="GJ117" s="255" t="str">
        <f t="shared" si="346"/>
        <v/>
      </c>
      <c r="GK117" s="255" t="str">
        <f t="shared" si="347"/>
        <v/>
      </c>
      <c r="GL117" s="255" t="str">
        <f t="shared" si="348"/>
        <v/>
      </c>
      <c r="GM117" s="255" t="str">
        <f>IF(AN117="", "", IF(AND(IF(ISNA(VLOOKUP(AN117,'Lookup Tables'!$R$18:$R$22,1,FALSE)), "N", "Y")="Y", E117="Exterior"), "Y", "N"))</f>
        <v/>
      </c>
      <c r="GN117" s="395"/>
      <c r="GO117" s="428">
        <f t="shared" si="394"/>
        <v>0</v>
      </c>
      <c r="GP117" s="428">
        <f t="shared" si="397"/>
        <v>0</v>
      </c>
      <c r="GQ117" s="428">
        <f t="shared" si="395"/>
        <v>0</v>
      </c>
      <c r="GR117" s="428">
        <f t="shared" si="396"/>
        <v>0</v>
      </c>
    </row>
    <row r="118" spans="1:200" s="103" customFormat="1" ht="13.5" customHeight="1" x14ac:dyDescent="0.2">
      <c r="A118" s="272">
        <v>108</v>
      </c>
      <c r="B118" s="110"/>
      <c r="C118" s="110"/>
      <c r="D118" s="110"/>
      <c r="E118" s="110"/>
      <c r="F118" s="110"/>
      <c r="G118" s="110"/>
      <c r="H118" s="110"/>
      <c r="I118" s="29"/>
      <c r="J118" s="29"/>
      <c r="K118" s="272" t="str">
        <f>IFERROR(IF(OR(VLOOKUP(J118, 'Fixture Identities'!$A$6:$L$1023, 3, FALSE)="T12 Linear Fluorescent", VLOOKUP(J118, 'Fixture Identities'!$A$6:$L$1023, 3, FALSE)="T12 U-Tube Fluorescent"), VLOOKUP(VLOOKUP(J118, 'Fixture Identities'!$A$6:$L$1023, 11, FALSE), 'Fixture Identities'!$A$6:$L$1023, 10, FALSE), VLOOKUP(J118, 'Fixture Identities'!$A$6:$L$1023, 10, FALSE)), "")</f>
        <v/>
      </c>
      <c r="L118" s="270" t="str">
        <f t="shared" si="399"/>
        <v/>
      </c>
      <c r="M118" s="110"/>
      <c r="N118" s="110"/>
      <c r="O118" s="110"/>
      <c r="P118" s="272" t="str">
        <f>IFERROR(IF(OR(B118="Retrofit",B118=""),"",IF('Lighting Inventory'!E118="Exterior",VLOOKUP('Lighting Inventory'!N118,'Lookup Tables'!$B$83:$F$103,5,FALSE),IF(N118="Other - Please Estimate EFLH and CFs","Contact Prog. Rep.","ft^2"))), "")</f>
        <v/>
      </c>
      <c r="Q118" s="270" t="str">
        <f>IFERROR(IF(AND(B118="New Construction",E118="Interior",$F$5="Space-by-Space"),VLOOKUP('Lighting Inventory'!N118,'Lookup Tables'!$N$6:$O$97,2,FALSE),IF(AND(B118="New Construction",E118="Exterior"),VLOOKUP(N118,'Lookup Tables'!$B$83:$F$103,2,FALSE),IF(AND(B118="New Construction",'Lighting Inventory'!E118="Interior", $F$5="Building Area"),VLOOKUP(F118,'Lookup Tables'!$A$6:$J$59,10,FALSE),""))), "")</f>
        <v/>
      </c>
      <c r="R118" s="270" t="str">
        <f>IFERROR(IF(P118="Contact Prog. Rep.", "ERROR", IF(OR(B118="",B118="Retrofit"),"",IF(N118="Automated teller machines", ('Lookup Tables'!$A$82:$E$100+('Lighting Inventory'!O118-1)*'Lookup Tables'!$A$82:$E$100)/1000, (Q118*O118)/1000))), "")</f>
        <v/>
      </c>
      <c r="S118" s="595"/>
      <c r="T118" s="105" t="str">
        <f t="shared" si="349"/>
        <v/>
      </c>
      <c r="U118" s="105" t="str">
        <f>IF(S118="","",COUNT($S$11:S118))</f>
        <v/>
      </c>
      <c r="V118" s="111"/>
      <c r="W118" s="112"/>
      <c r="X118" s="105" t="str">
        <f t="shared" si="350"/>
        <v/>
      </c>
      <c r="Y118" s="105" t="str">
        <f t="array" ref="Y118">IF(AND(OR(W118="Freezer Case Lighting", W118="Refrigerated Case Lighting with Doors"), 'General Information'!$X$18="LCI"),'Lookup Tables'!$Y$34, IF(V118="Custom", VLOOKUP(W118, 'Fixture Identities'!$A$974:$M$1023, 13, FALSE), IF(V118="No Change",'Lookup Tables'!$Y$29,IF(OR(V118="",W118=""),"",IF(AND(S118=0,S118&lt;I118,B118="Retrofit"),'Lookup Tables'!$Y$25, IF(B118="Retrofit", INDEX('Lookup Tables'!$AH$6:$AP$102, MATCH(1, ('Lookup Tables'!$AH$6:$AH$102=V118)*('Lookup Tables'!$AI$6:$AI$102=W118), 0), IF('Lighting Inventory'!E118="Interior", 4, 5)), INDEX('Lookup Tables'!$AH$114:$AP$154, MATCH(1, ('Lookup Tables'!$AH$114:$AH$154=V118)*('Lookup Tables'!$AI$114:$AI$154=W118), 0), IF('Lighting Inventory'!E118="Interior", 4, 5))))))))</f>
        <v/>
      </c>
      <c r="Z118" s="105" t="str">
        <f>IFERROR(INDEX('Lookup Tables'!$AH$158:$AH$172,MATCH('Lighting Inventory'!Y118,'Lookup Tables'!$AI$158:$AI$172,0)),"")</f>
        <v/>
      </c>
      <c r="AA118" s="105" t="str">
        <f>IF(AP118&gt;0,INDEX('Lookup Tables'!$AK$158:$AK$172,MATCH('Lighting Inventory'!Y118,'Lookup Tables'!$AI$158:$AI$172,0)),'Lighting Inventory'!Y118)</f>
        <v/>
      </c>
      <c r="AB118" s="105" t="str">
        <f t="array" ref="AB118">IF(V118="Custom", "Custom", IF(V118="", "", IF(V118="Not DLC or Energy Star", "General", IF(B118="New Construction", INDEX('Lookup Tables'!$AH$114:$AP$154,MATCH(1,('Lookup Tables'!$AH$114:$AH$154='Lighting Inventory'!V118)*('Lookup Tables'!$AI$114:$AI$154='Lighting Inventory'!W118),FALSE),8), INDEX('Lookup Tables'!$AH$6:$AP$102,MATCH(1,('Lookup Tables'!$AH$6:$AH$102='Lighting Inventory'!V118)*('Lookup Tables'!$AI$6:$AI$102='Lighting Inventory'!W118),FALSE),8)))))</f>
        <v/>
      </c>
      <c r="AC118" s="272" t="str">
        <f>IF(W118="","",IF(V118="Custom",CONCATENATE("$",'Lookup Tables'!$AM$101," ",'Lookup Tables'!$AN$101),CONCATENATE("$",INDEX('Lookup Tables'!$AM$6:$AM$102,MATCH('Lighting Inventory'!W118,'Lookup Tables'!$AI$6:$AI$102,0))," ",INDEX('Lookup Tables'!$AN$6:$AN$102,MATCH('Lighting Inventory'!W118,'Lookup Tables'!$AI$6:$AI$102,0)))))</f>
        <v/>
      </c>
      <c r="AD118" s="72"/>
      <c r="AE118" s="29"/>
      <c r="AF118" s="379"/>
      <c r="AG118" s="370" t="str">
        <f t="shared" si="298"/>
        <v/>
      </c>
      <c r="AH118" s="370" t="str">
        <f t="shared" si="351"/>
        <v/>
      </c>
      <c r="AI118" s="29"/>
      <c r="AJ118" s="29"/>
      <c r="AK118" s="110"/>
      <c r="AL118" s="375" t="str">
        <f>IF(OR(B118="", V118="", W118=""), "", IF(V118="No Change", K118, IF(V118="Remove Fixture", 0, IF(V118="Custom",VLOOKUP(W118,'Fixture Identities'!$A$6:$K$1023,10,FALSE),IF(AE118="", "← ENTER POST WATTS", 'Lighting Inventory'!AE118)))))</f>
        <v/>
      </c>
      <c r="AM118" s="376" t="str">
        <f t="shared" si="299"/>
        <v/>
      </c>
      <c r="AN118" s="29"/>
      <c r="AO118" s="671"/>
      <c r="AP118" s="29"/>
      <c r="AQ118" s="29"/>
      <c r="AR118" s="29"/>
      <c r="AS118" s="272" t="str">
        <f t="shared" si="352"/>
        <v/>
      </c>
      <c r="AT118" s="270" t="str">
        <f t="shared" si="300"/>
        <v/>
      </c>
      <c r="AU118" s="88" t="str">
        <f t="shared" si="400"/>
        <v/>
      </c>
      <c r="AV118" s="29"/>
      <c r="AW118" s="73"/>
      <c r="AX118" s="271" t="str">
        <f>IF(AND(AV118="Applicant",OR(AW118="", AW118="Use Default Facility Hours")),"← Choose Schedule",IF(F118="","",IF(W118="LED Exit Signs",8760,IF(OR(AV118="Prescribed",AV118=""),VLOOKUP(F118,'Lookup Tables'!$A$6:$G$59,IF(AB118="General", 6, 3),FALSE),VLOOKUP(AW118,'Lookup Tables'!$S$36:$U$43,2,FALSE)))))</f>
        <v/>
      </c>
      <c r="AY118" s="88" t="str">
        <f t="shared" si="301"/>
        <v/>
      </c>
      <c r="AZ118" s="270" t="str">
        <f>IFERROR(IF(F118="", "", IF(W118="LED Exit Signs", 1, IF(AV118="Applicant",VLOOKUP(AW118, 'Lookup Tables'!$S$36:$U$43,3, FALSE), VLOOKUP('Lighting Inventory'!F118, 'Lookup Tables'!$A$6:$H$59, IF('Lighting Inventory'!AB118="General",7,4), FALSE)))), "")</f>
        <v/>
      </c>
      <c r="BA118" s="522" t="str">
        <f>IFERROR(IF(F118="", "", IF(W118="LED Exit Signs", 1, VLOOKUP('Lighting Inventory'!F118, 'Lookup Tables'!$A$6:$H$59, IF('Lighting Inventory'!AB118="General",8,5), FALSE))), "")</f>
        <v/>
      </c>
      <c r="BB118" s="270" t="str">
        <f>IF(G118="", "", IF(E118="Exterior", 0, IF('Lighting Inventory'!G118="Air Conditioned", VLOOKUP(H118, 'Lookup Tables'!$R$6:$T$13, 2, FALSE), VLOOKUP('Lighting Inventory'!G118, 'Lookup Tables'!$R$6:$T$13, 2, FALSE))))</f>
        <v/>
      </c>
      <c r="BC118" s="522" t="str">
        <f>IF(G118="", "", IF(E118="Exterior", 0, IF('Lighting Inventory'!G118="Air Conditioned", VLOOKUP(H118, 'Lookup Tables'!$R$6:$T$13, 3, FALSE), VLOOKUP('Lighting Inventory'!G118, 'Lookup Tables'!$R$6:$T$13, 3, FALSE))))</f>
        <v/>
      </c>
      <c r="BD118" s="270" t="str">
        <f>IF(G118="", "", IF(E118="Exterior", 0, IF('Lighting Inventory'!G118="Air Conditioned", VLOOKUP(H118, 'Lookup Tables'!$R$6:$U$13, 4, FALSE), VLOOKUP('Lighting Inventory'!G118, 'Lookup Tables'!$R$6:$U$13, 4, FALSE))))</f>
        <v/>
      </c>
      <c r="BE118" s="270" t="str">
        <f>IFERROR(IF(B118="", "",  IF(B118="New Construction", VLOOKUP(F118, 'Lookup Tables'!$A$6:$K$59, 11, FALSE),IF(OR(AN118="", AN118="Light Switch"), 0, IF(OR(M118="",M118="None",V118= "LED Exit Signs"),0,_xlfn.XLOOKUP(M118,'Lookup Tables'!$R$91:$R$101,'Lookup Tables'!$V$91:$V$101))))), "")</f>
        <v/>
      </c>
      <c r="BF118" s="270" t="str">
        <f>IF(AND(OR(AN118="Light Switch",AN118=""),B118="New Construction"), VLOOKUP(F118, 'Lookup Tables'!$A$6:$K$59, 11, FALSE),IF(AN118="","",IF(B118="","",IF(OR(AN118="None",AN118="",V118="LED Exit Signs",AN118="Exterior Controls Not Eligible"),0,_xlfn.XLOOKUP(AN118,'Lookup Tables'!$R$91:$R$101,'Lookup Tables'!$V$91:$V$101)))))</f>
        <v/>
      </c>
      <c r="BG118" s="88" t="str">
        <f t="shared" si="353"/>
        <v/>
      </c>
      <c r="BH118" s="88" t="str">
        <f t="shared" si="354"/>
        <v/>
      </c>
      <c r="BI118" s="558" t="str">
        <f t="shared" si="398"/>
        <v/>
      </c>
      <c r="BJ118" s="82" t="str">
        <f t="shared" si="355"/>
        <v/>
      </c>
      <c r="BK118" s="82" t="str">
        <f t="shared" si="356"/>
        <v/>
      </c>
      <c r="BL118" s="559" t="str">
        <f t="shared" si="357"/>
        <v/>
      </c>
      <c r="BM118" s="521" t="str">
        <f t="shared" si="302"/>
        <v/>
      </c>
      <c r="BN118" s="521" t="str">
        <f t="shared" si="303"/>
        <v/>
      </c>
      <c r="BO118" s="522" t="str">
        <f t="shared" si="304"/>
        <v/>
      </c>
      <c r="BP118" s="83" t="str">
        <f t="shared" si="358"/>
        <v/>
      </c>
      <c r="BQ118" s="84" t="str">
        <f t="shared" si="359"/>
        <v/>
      </c>
      <c r="BR118" s="184" t="str">
        <f>IFERROR(IF(B118="", "", IF(OR(VLOOKUP(J118, 'Fixture Identities'!$A$6:$L$1023, 3, FALSE)="T12 Linear Fluorescent",VLOOKUP(J118, 'Fixture Identities'!$A$6:$L$1023, 3, FALSE)="T12 U-Tube Fluorescent"), "Y", "N")), "N")</f>
        <v/>
      </c>
      <c r="BS118" s="184" t="str">
        <f t="array" ref="BS118">IFERROR(IF(OR(B118="", V118="", W118=""), "", IF(V118="Custom", "N", IF(OR(W118="Freezer Case Lighting", W118="Refrigerated Case Lighting with Doors"), BT118, IF(B118="Retrofit", INDEX('Lookup Tables'!$AH$6:$AT$102,MATCH(1,('Lookup Tables'!$AH$6:$AH$102=V118)*('Lookup Tables'!$AI$6:$AI$102=W118),FALSE),IF(VLOOKUP(J118, 'Fixture Identities'!$A$6:$B$1023, 2, FALSE)="Incandescent",12, 13)), INDEX('Lookup Tables'!$AH$114:$AS$154,MATCH(1,('Lookup Tables'!$AH$114:$AH$154=V118)*('Lookup Tables'!$AI$114:$AI$154=W118),FALSE),12))))), "N")</f>
        <v/>
      </c>
      <c r="BT118" s="184" t="str">
        <f>IF(J118="", "", IF(AND(OR(W118="Freezer case Lighting", W118="Refrigerated Case Lighting with Doors"),'General Information'!$X$18="LCI"), "N", IF(OR(VLOOKUP(J118, 'Fixture Identities'!$A$6:$B$1023, 2, FALSE)="T12 EPACT/EISA Baseline", VLOOKUP(J118, 'Fixture Identities'!$A$6:$B$1023, 2, FALSE)="Linear Fluorescent", VLOOKUP(J118, 'Fixture Identities'!$A$6:$B$1023, 2, FALSE)="U-Tube Fluorescent"), "Y", "N")))</f>
        <v/>
      </c>
      <c r="BU118" s="184" t="str">
        <f>IFERROR(IF(B118="", "", IF(VLOOKUP(J118, 'Fixture Identities'!$A$6:$B$1023, 2, FALSE)="Exit Sign", "Y", "N")), "N")</f>
        <v/>
      </c>
      <c r="BV118" s="184" t="str">
        <f>IF(V118="Exit Signs", IF(VLOOKUP(J118, 'Fixture Identities'!$A$6:$B$1023, 2, FALSE)="Exit Sign", "N", "Y"), "")</f>
        <v/>
      </c>
      <c r="BW118" s="184" t="str">
        <f t="array" ref="BW118">IFERROR(IF(B118="", "", IF(B118="New Construction", "N", INDEX('Lookup Tables'!$AH$6:$AU$102, MATCH(1, ('Lookup Tables'!$AH$6:$AH$102='Lighting Inventory'!V118)*('Lookup Tables'!$AI$6:$AI$102='Lighting Inventory'!W118), 0), 14))), "N")</f>
        <v/>
      </c>
      <c r="BX118" s="598" t="str">
        <f t="shared" si="360"/>
        <v/>
      </c>
      <c r="BY118" s="598" t="str">
        <f t="shared" si="361"/>
        <v/>
      </c>
      <c r="BZ118" s="598" t="str">
        <f t="shared" si="362"/>
        <v/>
      </c>
      <c r="CA118" s="598" t="str">
        <f t="shared" si="363"/>
        <v/>
      </c>
      <c r="CB118" s="269" t="str">
        <f t="shared" si="364"/>
        <v/>
      </c>
      <c r="CC118" s="517" t="str">
        <f t="shared" si="365"/>
        <v/>
      </c>
      <c r="CD118" s="565" t="str">
        <f t="shared" si="305"/>
        <v/>
      </c>
      <c r="CE118" s="368">
        <v>0</v>
      </c>
      <c r="CF118" s="368" t="str" cm="1">
        <f t="array" ref="CF118">IFERROR(IF(V118="Custom", "$0.1 per kWh", IF(B118="New Construction", CONCATENATE("$",INDEX('Lookup Tables'!$AH$114:$AN$154,MATCH(1,('Lookup Tables'!$AH$114:$AH$154='Lighting Inventory'!V118)*('Lookup Tables'!$AI$114:$AI$154='Lighting Inventory'!W118),FALSE),6)," ",INDEX('Lookup Tables'!$AH$114:$AN$154,MATCH(1,('Lookup Tables'!$AH$114:$AH$154='Lighting Inventory'!V118)*('Lookup Tables'!$AI$114:$AI$154='Lighting Inventory'!W118),FALSE),7)), IF(AND(BU118="N", V118="Exit Signs"), "$0.025 per kWh", CONCATENATE("$",INDEX('Lookup Tables'!$AH$6:$AN$102,MATCH(1,('Lookup Tables'!$AH$6:$AH$102='Lighting Inventory'!V118)*('Lookup Tables'!$AI$6:$AI$102='Lighting Inventory'!W118),FALSE),6)," ",INDEX('Lookup Tables'!$AH$6:$AN$102,MATCH(1,('Lookup Tables'!$AH$6:$AH$102='Lighting Inventory'!V118)*('Lookup Tables'!$AI$6:$AI$102='Lighting Inventory'!W118),FALSE),7))))), "")</f>
        <v/>
      </c>
      <c r="CG118" s="366"/>
      <c r="CH118" s="248" t="str">
        <f t="shared" si="306"/>
        <v/>
      </c>
      <c r="CI118" s="248" t="str">
        <f t="shared" si="307"/>
        <v>Select_IE</v>
      </c>
      <c r="CJ118" s="248" t="str">
        <f t="shared" si="308"/>
        <v/>
      </c>
      <c r="CK118" s="248" t="str">
        <f t="shared" si="309"/>
        <v/>
      </c>
      <c r="CL118" s="248" t="str">
        <f t="shared" si="310"/>
        <v/>
      </c>
      <c r="CM118" s="248" t="str">
        <f>IFERROR(IF(B118="", "", IF(B118="New Construction", VLOOKUP(V118, 'Lookup Tables'!$AF$114:$AG$120, 2, FALSE), VLOOKUP(V118, 'Lookup Tables'!$AD$6:$AE$25, 2, FALSE))), "")</f>
        <v/>
      </c>
      <c r="CN118" s="248" t="str">
        <f t="shared" si="311"/>
        <v/>
      </c>
      <c r="CO118" s="248" t="str">
        <f t="shared" si="312"/>
        <v/>
      </c>
      <c r="CP118" s="592" t="str">
        <f t="shared" si="313"/>
        <v/>
      </c>
      <c r="CQ118" s="248" t="str">
        <f t="shared" si="366"/>
        <v/>
      </c>
      <c r="CR118" s="249"/>
      <c r="CS118" s="250" t="str">
        <f t="shared" si="314"/>
        <v/>
      </c>
      <c r="CT118" s="250" t="str">
        <f t="shared" si="367"/>
        <v/>
      </c>
      <c r="CU118" s="250" t="str">
        <f t="shared" si="368"/>
        <v/>
      </c>
      <c r="CV118" s="250" t="str">
        <f t="shared" si="369"/>
        <v/>
      </c>
      <c r="CW118" s="250" t="str">
        <f t="shared" si="370"/>
        <v/>
      </c>
      <c r="CX118" s="250" t="str">
        <f t="shared" si="315"/>
        <v/>
      </c>
      <c r="CY118" s="250" t="str">
        <f t="shared" si="316"/>
        <v/>
      </c>
      <c r="CZ118" s="250" t="str">
        <f t="shared" si="317"/>
        <v/>
      </c>
      <c r="DA118" s="250" t="str">
        <f t="shared" si="318"/>
        <v/>
      </c>
      <c r="DB118" s="250" t="str">
        <f t="shared" si="319"/>
        <v/>
      </c>
      <c r="DC118" s="250" t="str">
        <f t="shared" si="320"/>
        <v/>
      </c>
      <c r="DD118" s="250" t="str">
        <f t="shared" si="321"/>
        <v/>
      </c>
      <c r="DE118" s="250" t="str">
        <f t="shared" si="322"/>
        <v/>
      </c>
      <c r="DF118" s="250" t="str">
        <f t="shared" si="323"/>
        <v/>
      </c>
      <c r="DG118" s="250" t="str">
        <f t="shared" si="324"/>
        <v/>
      </c>
      <c r="DH118" s="250" t="str">
        <f t="shared" si="325"/>
        <v/>
      </c>
      <c r="DI118" s="250" t="str">
        <f t="shared" si="326"/>
        <v/>
      </c>
      <c r="DJ118" s="250" t="str">
        <f t="shared" si="327"/>
        <v/>
      </c>
      <c r="DK118" s="250" t="str">
        <f t="shared" si="328"/>
        <v/>
      </c>
      <c r="DL118" s="250" t="str">
        <f t="shared" si="329"/>
        <v/>
      </c>
      <c r="DM118" s="250" t="str">
        <f>IF(CD118="ERROR", "ERROR", IF(AND(OR(Y118=$DM$6, Y118='Lookup Tables'!$AD$21, Y118='Lookup Tables'!$AD$22), E118="Interior"), BJ118, ""))</f>
        <v/>
      </c>
      <c r="DN118" s="250" t="str">
        <f>IF(CD118="ERROR", "ERROR", IF(AND(OR(Y118=$DM$6, Y118='Lookup Tables'!$AD$21, Y118='Lookup Tables'!$AD$22), E118="Exterior"), BJ118, ""))</f>
        <v/>
      </c>
      <c r="DO118" s="249"/>
      <c r="DP118" s="250" t="str">
        <f t="shared" si="330"/>
        <v/>
      </c>
      <c r="DQ118" s="250" t="str">
        <f t="shared" si="371"/>
        <v/>
      </c>
      <c r="DR118" s="250" t="str">
        <f t="shared" si="372"/>
        <v/>
      </c>
      <c r="DS118" s="250" t="str">
        <f t="shared" si="373"/>
        <v/>
      </c>
      <c r="DT118" s="250" t="str">
        <f t="shared" si="374"/>
        <v/>
      </c>
      <c r="DU118" s="250" t="str">
        <f t="shared" si="331"/>
        <v/>
      </c>
      <c r="DV118" s="250" t="str">
        <f t="shared" si="332"/>
        <v/>
      </c>
      <c r="DW118" s="250" t="str">
        <f t="shared" si="333"/>
        <v/>
      </c>
      <c r="DX118" s="250" t="str">
        <f t="shared" si="334"/>
        <v/>
      </c>
      <c r="DY118" s="250" t="str">
        <f t="shared" si="335"/>
        <v/>
      </c>
      <c r="DZ118" s="250" t="str">
        <f t="shared" si="336"/>
        <v/>
      </c>
      <c r="EA118" s="250" t="str">
        <f t="shared" si="337"/>
        <v/>
      </c>
      <c r="EB118" s="250" t="str">
        <f t="shared" si="375"/>
        <v/>
      </c>
      <c r="EC118" s="250" t="str">
        <f t="shared" si="338"/>
        <v/>
      </c>
      <c r="ED118" s="250" t="str">
        <f t="shared" si="339"/>
        <v/>
      </c>
      <c r="EE118" s="250" t="str">
        <f t="shared" si="340"/>
        <v/>
      </c>
      <c r="EF118" s="250" t="str">
        <f t="shared" si="341"/>
        <v/>
      </c>
      <c r="EG118" s="250" t="str">
        <f t="shared" si="342"/>
        <v/>
      </c>
      <c r="EH118" s="250" t="str">
        <f>IF(CD118="ERROR", "ERROR", IF(AND(OR($EH$6=Y118, Y118='Lookup Tables'!$AD$21, Y118='Lookup Tables'!$AD$22),E118="Interior"), SUM(BP118:BP118), ""))</f>
        <v/>
      </c>
      <c r="EI118" s="250" t="str">
        <f>IF(CD118="ERROR", "ERROR", IF(AND(OR($EH$6=Y118, Y118='Lookup Tables'!$AD$21, Y118='Lookup Tables'!$AD$22),E118="Exterior"), SUM(BP118:BP118), ""))</f>
        <v/>
      </c>
      <c r="EJ118" s="109"/>
      <c r="EK118" s="485" t="str">
        <f t="shared" si="343"/>
        <v/>
      </c>
      <c r="EL118" s="252" t="str">
        <f t="shared" si="376"/>
        <v/>
      </c>
      <c r="EM118" s="252" t="str">
        <f t="shared" si="377"/>
        <v/>
      </c>
      <c r="EN118" s="252" t="str">
        <f t="shared" si="378"/>
        <v/>
      </c>
      <c r="EO118" s="252" t="str">
        <f t="shared" si="379"/>
        <v/>
      </c>
      <c r="EP118" s="252" t="str">
        <f t="shared" si="380"/>
        <v/>
      </c>
      <c r="EQ118" s="252" t="str">
        <f t="shared" si="381"/>
        <v/>
      </c>
      <c r="ER118" s="252" t="str">
        <f t="shared" si="382"/>
        <v/>
      </c>
      <c r="ES118" s="252" t="str">
        <f t="shared" si="383"/>
        <v/>
      </c>
      <c r="ET118" s="252" t="str">
        <f t="shared" si="384"/>
        <v/>
      </c>
      <c r="EU118" s="252" t="str">
        <f t="shared" si="385"/>
        <v/>
      </c>
      <c r="EV118" s="252" t="str">
        <f t="shared" si="386"/>
        <v/>
      </c>
      <c r="EW118" s="252" t="str">
        <f t="shared" si="387"/>
        <v/>
      </c>
      <c r="EX118" s="252" t="str">
        <f t="shared" si="388"/>
        <v/>
      </c>
      <c r="EY118" s="252" t="str">
        <f t="shared" si="389"/>
        <v/>
      </c>
      <c r="EZ118" s="252" t="str">
        <f t="shared" si="390"/>
        <v/>
      </c>
      <c r="FA118" s="252" t="str">
        <f t="shared" si="391"/>
        <v/>
      </c>
      <c r="FB118" s="252" t="str">
        <f t="shared" si="392"/>
        <v/>
      </c>
      <c r="FC118" s="252" t="str">
        <f>IF(CD118="ERROR", "ERROR", IF(OR(V118="No Change", V118="Not DLC or Energy Star"), "", IF(AND(OR($FC$6=Y118,Y118='Lookup Tables'!$AD$21, Y118='Lookup Tables'!$AD$22),E118="Interior"), S118, "")))</f>
        <v/>
      </c>
      <c r="FD118" s="252" t="str">
        <f t="shared" si="393"/>
        <v/>
      </c>
      <c r="FE118" s="1"/>
      <c r="FF118" s="579" t="str" cm="1">
        <f t="array" ref="FF118">IFERROR(IF(OR(BQ118&lt;=0,AQ118&lt;20,AND(V118="Exit Signs",AN118&gt;0)),"",IF(AND(AQ118&gt;=20,AN118='Lookup Tables'!$R$101),'Lookup Tables'!$U$101*BQ118,AP118*LOOKUP(2,1/((AN118='Lookup Tables'!$R$91:$R$111)*(AQ118&gt;='Lookup Tables'!$S$91:$S$111)*(AQ118&lt;='Lookup Tables'!$T$91:$T$111)),'Lookup Tables'!$U$91:$U$111))),"")</f>
        <v/>
      </c>
      <c r="FG118" s="579"/>
      <c r="FH118" s="579"/>
      <c r="FI118" s="253" t="str">
        <f>IFERROR(ROUND(IF(CD118="ERROR", "ERROR", IF(AND($FI$7=X118,E118="Interior"),VLOOKUP(W118, 'Lookup Tables'!$AI$6:$AM$102, 5, FALSE)*BP118, "")), 2), "")</f>
        <v/>
      </c>
      <c r="FJ118" s="253" t="str">
        <f>IFERROR(ROUND(IF(CD118="ERROR", "ERROR", IF(AND($FI$7=X118,E118="Exterior"),VLOOKUP(W118, 'Lookup Tables'!$AI$6:$AM$102, 5, FALSE)*BP118, "")), 2), "")</f>
        <v/>
      </c>
      <c r="FK118" s="253" t="str">
        <f>IFERROR(ROUND(IF(CD118="ERROR", "ERROR", IF(AND($FK$7=X118,E118="Interior"),VLOOKUP(W118, 'Lookup Tables'!$AI$6:$AM$102, 5, FALSE)*BP118, "")), 2), "")</f>
        <v/>
      </c>
      <c r="FL118" s="253" t="str">
        <f>IFERROR(ROUND(IF(CD118="ERROR", "ERROR", IF(AND($FK$7=X118,E118="Exterior"),VLOOKUP(W118, 'Lookup Tables'!$AI$6:$AM$102, 5, FALSE)*BP118, "")), 2), "")</f>
        <v/>
      </c>
      <c r="FM118" s="253" t="str">
        <f>IFERROR(ROUND(IF(CD118="ERROR", "ERROR", IF(AND($FM$6=Y118,E118="Interior"), IF(GB118=0, VLOOKUP(W118, 'Lookup Tables'!$AI$6:$AM$102, 5, FALSE)*BP118, IF(VLOOKUP(W118, 'Lookup Tables'!$AI$6:$AM$102, 5, FALSE)*BP118&gt;GB118*'Lighting Inventory'!S118, GB118*'Lighting Inventory'!S118,VLOOKUP(W118, 'Lookup Tables'!$AI$6:$AM$102, 5, FALSE)*BP118)), "")), 2), "")</f>
        <v/>
      </c>
      <c r="FN118" s="253" t="str">
        <f>IFERROR(ROUND(IF(CD118="ERROR", "ERROR", IF(AND($FM$6=Y118,E118="Exterior"), IF(GB118=0, VLOOKUP(W118, 'Lookup Tables'!$AI$6:$AM$102, 5, FALSE)*BP118, IF(VLOOKUP(W118, 'Lookup Tables'!$AI$6:$AM$102, 5, FALSE)*BP118&gt;GB118*'Lighting Inventory'!S118, GB118*'Lighting Inventory'!S118,VLOOKUP(W118, 'Lookup Tables'!$AI$6:$AM$102, 5, FALSE)*BP118)), "")), 2), "")</f>
        <v/>
      </c>
      <c r="FO118" s="253" t="str">
        <f>IFERROR(ROUND(IF(CD118="ERROR", "ERROR", IF(AND($FO$6=Y118,E118="Interior"),VLOOKUP(W118, 'Lookup Tables'!$AI$6:$AM$102, 5, FALSE)*'Lighting Inventory'!AI118, "")), 2), "")</f>
        <v/>
      </c>
      <c r="FP118" s="253" t="str">
        <f>IFERROR(ROUND(IF(CD118="ERROR", "ERROR", IF(AND($FO$6=Y118,E118="Exterior"),VLOOKUP(W118, 'Lookup Tables'!$AI$6:$AM$102, 5, FALSE)*'Lighting Inventory'!AI118, "")), 2), "")</f>
        <v/>
      </c>
      <c r="FQ118" s="253" t="str">
        <f>IFERROR(ROUND(IF(CD118="ERROR", "ERROR", IF(AND($FQ$6=Y118,E118="Interior", BU118="Y"), VLOOKUP('Lighting Inventory'!W118, 'Lookup Tables'!$AI$6:$AM$102, 5, FALSE)*'Lighting Inventory'!S118, IF(AND($FQ$7=Y118,E118="Interior", BU118="N"), 0.025*CD118, ""))), 2), "")</f>
        <v/>
      </c>
      <c r="FR118" s="253" t="str">
        <f>IFERROR(ROUND(IF(CD118="ERROR", "ERROR", IF(AND($FQ$6=Y118,E118="Exterior"), VLOOKUP('Lighting Inventory'!W118, 'Lookup Tables'!$AI$6:$AM$102, 5, FALSE)*'Lighting Inventory'!S118, "")), 2), "")</f>
        <v/>
      </c>
      <c r="FS118" s="253" t="str">
        <f>IFERROR(ROUND(IF(CD118="ERROR", "ERROR", IF(AND($FS$6=Y118,E118="Exterior"), IF(GB118=0, VLOOKUP(W118, 'Lookup Tables'!$AI$6:$AM$102, 5, FALSE)*BP118, IF(VLOOKUP(W118, 'Lookup Tables'!$AI$6:$AM$102, 5, FALSE)*BP118&gt;GB118*'Lighting Inventory'!S118, GB118*'Lighting Inventory'!S118,VLOOKUP(W118, 'Lookup Tables'!$AI$6:$AM$102, 5, FALSE)*BP118)), "")), 2), "")</f>
        <v/>
      </c>
      <c r="FT118" s="253" t="str">
        <f>IFERROR(ROUND(IF(CD118="ERROR", "ERROR", IF(AND($FT$6=Y118,E118="Interior"), IF(GB118=0, VLOOKUP(W118, 'Lookup Tables'!$AI$6:$AM$102, 5, FALSE)*BP118, IF(VLOOKUP(W118, 'Lookup Tables'!$AI$6:$AM$102, 5, FALSE)*BP118&gt;GB118*'Lighting Inventory'!S118, GB118*'Lighting Inventory'!S118,VLOOKUP(W118, 'Lookup Tables'!$AI$6:$AM$102, 5, FALSE)*BP118)), "")), 2), "")</f>
        <v/>
      </c>
      <c r="FU118" s="253" t="str">
        <f>IFERROR(ROUND(IF(CD118="ERROR", "ERROR", IF(AND(Y118=$FU$6, E118="Interior"), IF(BS118="N", 'Lookup Tables'!$AM$101*BP118, VLOOKUP(W118, 'Lookup Tables'!$AI$6:$AM$102, 5, FALSE)*S118*AD118), "")), 2), "")</f>
        <v/>
      </c>
      <c r="FV118" s="253" t="str">
        <f>IFERROR(ROUND(IF(CD118="ERROR", "ERROR", IF(AND(Y118=$FU$6, E118="Exterior"), IF(BS118="N", 'Lookup Tables'!$AM$101*BP118, VLOOKUP(W118, 'Lookup Tables'!$AI$6:$AM$102, 5, FALSE)*S118*AD118), "")), 2), "")</f>
        <v/>
      </c>
      <c r="FW118" s="253" t="str">
        <f>IFERROR(ROUND(IF(CD118="ERROR", "ERROR", IF($FW$6=Y118, IF(BS118="N", 'Lookup Tables'!$AM$101*BP118, MIN((VLOOKUP(W118, 'Lookup Tables'!$AI$6:$AM$102, 5, FALSE)*BP118),GB118*AJ118)), "")), 2), "")</f>
        <v/>
      </c>
      <c r="FX118" s="253" t="str">
        <f>IFERROR(ROUND(IF(CD118="ERROR", "ERROR", IF(AND($FX$6=Y118, E118="Interior"), IF(VLOOKUP(W118, 'Lookup Tables'!$AI$6:$AM$102, 5, FALSE)*BP118&gt;'Lookup Tables'!$AQ$97*'Lighting Inventory'!S118,'Lighting Inventory'!S118*'Lookup Tables'!$AQ$97,VLOOKUP(W118, 'Lookup Tables'!$AI$6:$AM$102, 5, FALSE)*BP118), "")), 2), "")</f>
        <v/>
      </c>
      <c r="FY118" s="253" t="str">
        <f>IFERROR(ROUND(IF(CD118="ERROR", "ERROR", IF(AND($FX$6=Y118, E118="Exterior"), IF(VLOOKUP(W118, 'Lookup Tables'!$AI$6:$AM$102, 5, FALSE)*BP118&gt;'Lookup Tables'!$AQ$97*'Lighting Inventory'!S118,'Lighting Inventory'!S118*'Lookup Tables'!$AQ$97,VLOOKUP(W118, 'Lookup Tables'!$AI$6:$AM$102, 5, FALSE)*BP118), "")), 2), "")</f>
        <v/>
      </c>
      <c r="FZ118" s="253" t="str">
        <f>IFERROR(ROUND(IF(CD118="ERROR", "ERROR", IF(AND($FZ$6=Y118, E118="Interior"), IF(AND(OR(W118="Refrigerated Case Lighting with Doors", W118="Freezer Case Lighting"),Y118="Custom - Process Improvement"),CD118*'Lookup Tables'!$AM$101, IF(B118="Retrofit", IF(VLOOKUP(IF(V118="Custom", V118, W118), 'Lookup Tables'!$AI$6:$AM$102, 5, FALSE)*BP118&gt;GE118, GE118, VLOOKUP(IF(V118="Custom", V118, W118), 'Lookup Tables'!$AI$6:$AM$102, 5, FALSE)*BP118), IF(VLOOKUP(IF(V118="Custom", V118, W118), 'Lookup Tables'!$AI$114:$AM$154, 5, FALSE)*BP118&gt;GE118, GE118, VLOOKUP(IF(V118="Custom", V118, W118), 'Lookup Tables'!$AI$114:$AM$154, 5, FALSE)*BP118))), "")), 2),"")</f>
        <v/>
      </c>
      <c r="GA118" s="253" t="str">
        <f>IFERROR(ROUND(IF(CD118="ERROR", "ERROR", IF(AND($FZ$6=Y118, E118="Exterior"), IF(B118="Retrofit", IF(VLOOKUP(IF(V118="Custom", V118, W118), 'Lookup Tables'!$AI$6:$AM$102, 5, FALSE)*BP118&gt;GE118, GE118, VLOOKUP(IF(V118="Custom", V118, W118), 'Lookup Tables'!$AI$6:$AM$102, 5, FALSE)*BP118), IF(VLOOKUP(IF(V118="Custom", V118, W118), 'Lookup Tables'!$AI$114:$AM$154, 5, FALSE)*BP118&gt;GE118, GE118, VLOOKUP(IF(V118="Custom", V118, W118), 'Lookup Tables'!$AI$114:$AM$154, 5, FALSE)*BP118)), "")), 2),"")</f>
        <v/>
      </c>
      <c r="GB118" s="254" t="str">
        <f t="array" ref="GB118">IF(B118="","",IF(OR(V118="Custom",V118="No Change"),0,IF(B118="Retrofit", INDEX('Lookup Tables'!$AH$6:$AQ$102,MATCH(1,('Lookup Tables'!$AH$6:$AH$102='Lighting Inventory'!V118)*('Lookup Tables'!$AI$6:$AI$102='Lighting Inventory'!W118),FALSE),10),INDEX('Lookup Tables'!$AH$114:$AQ$154,MATCH(1,('Lookup Tables'!$AH$114:$AH$154='Lighting Inventory'!V118)*('Lookup Tables'!$AI$114:$AI$154='Lighting Inventory'!W118),FALSE),10))))</f>
        <v/>
      </c>
      <c r="GC118" s="255" t="str">
        <f t="shared" si="344"/>
        <v/>
      </c>
      <c r="GD118" s="250" t="str">
        <f t="shared" si="345"/>
        <v/>
      </c>
      <c r="GE118" s="253" t="str">
        <f>IFERROR(IF(AND(AF118="", 'General Information'!$F$18="No"),"", IF(AF118="", ((GD118/$CD$266)*$CF$266)*0.5, AF118*S118*0.5)), "")</f>
        <v/>
      </c>
      <c r="GF118" s="255" t="str">
        <f>IF(AND('General Information'!$F$19="", 'General Information'!$F$18="Yes",AF118="",BW118="Y"), "Y", "N")</f>
        <v>N</v>
      </c>
      <c r="GG118" s="255" t="s">
        <v>2946</v>
      </c>
      <c r="GH118" s="255" t="str">
        <f>IFERROR(IF(B118="", "", VLOOKUP(J118, 'Fixture Identities'!$A$6:$N$908, 14, FALSE)), "")</f>
        <v/>
      </c>
      <c r="GI118" s="389" t="str">
        <f>IF(OR(B118="", V118="", W118=""), "", IF(AND(OR(M118='Lookup Tables'!$R$18, M118='Lookup Tables'!$R$19, M118='Lookup Tables'!$R$20, M118='Lookup Tables'!$R$21, M118='Lookup Tables'!$R$22), OR(AN118='Lookup Tables'!$R$17, AN118='Lookup Tables'!$R$17, AN118="")), "Y", "N"))</f>
        <v/>
      </c>
      <c r="GJ118" s="255" t="str">
        <f t="shared" si="346"/>
        <v/>
      </c>
      <c r="GK118" s="255" t="str">
        <f t="shared" si="347"/>
        <v/>
      </c>
      <c r="GL118" s="255" t="str">
        <f t="shared" si="348"/>
        <v/>
      </c>
      <c r="GM118" s="255" t="str">
        <f>IF(AN118="", "", IF(AND(IF(ISNA(VLOOKUP(AN118,'Lookup Tables'!$R$18:$R$22,1,FALSE)), "N", "Y")="Y", E118="Exterior"), "Y", "N"))</f>
        <v/>
      </c>
      <c r="GN118" s="395"/>
      <c r="GO118" s="428">
        <f t="shared" si="394"/>
        <v>0</v>
      </c>
      <c r="GP118" s="428">
        <f t="shared" si="397"/>
        <v>0</v>
      </c>
      <c r="GQ118" s="428">
        <f t="shared" si="395"/>
        <v>0</v>
      </c>
      <c r="GR118" s="428">
        <f t="shared" si="396"/>
        <v>0</v>
      </c>
    </row>
    <row r="119" spans="1:200" s="103" customFormat="1" ht="13.5" customHeight="1" x14ac:dyDescent="0.2">
      <c r="A119" s="272">
        <v>109</v>
      </c>
      <c r="B119" s="110"/>
      <c r="C119" s="110"/>
      <c r="D119" s="110"/>
      <c r="E119" s="110"/>
      <c r="F119" s="110"/>
      <c r="G119" s="110"/>
      <c r="H119" s="110"/>
      <c r="I119" s="29"/>
      <c r="J119" s="29"/>
      <c r="K119" s="272" t="str">
        <f>IFERROR(IF(OR(VLOOKUP(J119, 'Fixture Identities'!$A$6:$L$1023, 3, FALSE)="T12 Linear Fluorescent", VLOOKUP(J119, 'Fixture Identities'!$A$6:$L$1023, 3, FALSE)="T12 U-Tube Fluorescent"), VLOOKUP(VLOOKUP(J119, 'Fixture Identities'!$A$6:$L$1023, 11, FALSE), 'Fixture Identities'!$A$6:$L$1023, 10, FALSE), VLOOKUP(J119, 'Fixture Identities'!$A$6:$L$1023, 10, FALSE)), "")</f>
        <v/>
      </c>
      <c r="L119" s="270" t="str">
        <f t="shared" si="399"/>
        <v/>
      </c>
      <c r="M119" s="110"/>
      <c r="N119" s="110"/>
      <c r="O119" s="110"/>
      <c r="P119" s="272" t="str">
        <f>IFERROR(IF(OR(B119="Retrofit",B119=""),"",IF('Lighting Inventory'!E119="Exterior",VLOOKUP('Lighting Inventory'!N119,'Lookup Tables'!$B$83:$F$103,5,FALSE),IF(N119="Other - Please Estimate EFLH and CFs","Contact Prog. Rep.","ft^2"))), "")</f>
        <v/>
      </c>
      <c r="Q119" s="270" t="str">
        <f>IFERROR(IF(AND(B119="New Construction",E119="Interior",$F$5="Space-by-Space"),VLOOKUP('Lighting Inventory'!N119,'Lookup Tables'!$N$6:$O$97,2,FALSE),IF(AND(B119="New Construction",E119="Exterior"),VLOOKUP(N119,'Lookup Tables'!$B$83:$F$103,2,FALSE),IF(AND(B119="New Construction",'Lighting Inventory'!E119="Interior", $F$5="Building Area"),VLOOKUP(F119,'Lookup Tables'!$A$6:$J$59,10,FALSE),""))), "")</f>
        <v/>
      </c>
      <c r="R119" s="270" t="str">
        <f>IFERROR(IF(P119="Contact Prog. Rep.", "ERROR", IF(OR(B119="",B119="Retrofit"),"",IF(N119="Automated teller machines", ('Lookup Tables'!$A$82:$E$100+('Lighting Inventory'!O119-1)*'Lookup Tables'!$A$82:$E$100)/1000, (Q119*O119)/1000))), "")</f>
        <v/>
      </c>
      <c r="S119" s="595"/>
      <c r="T119" s="105" t="str">
        <f t="shared" si="349"/>
        <v/>
      </c>
      <c r="U119" s="105" t="str">
        <f>IF(S119="","",COUNT($S$11:S119))</f>
        <v/>
      </c>
      <c r="V119" s="111"/>
      <c r="W119" s="112"/>
      <c r="X119" s="105" t="str">
        <f t="shared" si="350"/>
        <v/>
      </c>
      <c r="Y119" s="105" t="str">
        <f t="array" ref="Y119">IF(AND(OR(W119="Freezer Case Lighting", W119="Refrigerated Case Lighting with Doors"), 'General Information'!$X$18="LCI"),'Lookup Tables'!$Y$34, IF(V119="Custom", VLOOKUP(W119, 'Fixture Identities'!$A$974:$M$1023, 13, FALSE), IF(V119="No Change",'Lookup Tables'!$Y$29,IF(OR(V119="",W119=""),"",IF(AND(S119=0,S119&lt;I119,B119="Retrofit"),'Lookup Tables'!$Y$25, IF(B119="Retrofit", INDEX('Lookup Tables'!$AH$6:$AP$102, MATCH(1, ('Lookup Tables'!$AH$6:$AH$102=V119)*('Lookup Tables'!$AI$6:$AI$102=W119), 0), IF('Lighting Inventory'!E119="Interior", 4, 5)), INDEX('Lookup Tables'!$AH$114:$AP$154, MATCH(1, ('Lookup Tables'!$AH$114:$AH$154=V119)*('Lookup Tables'!$AI$114:$AI$154=W119), 0), IF('Lighting Inventory'!E119="Interior", 4, 5))))))))</f>
        <v/>
      </c>
      <c r="Z119" s="105" t="str">
        <f>IFERROR(INDEX('Lookup Tables'!$AH$158:$AH$172,MATCH('Lighting Inventory'!Y119,'Lookup Tables'!$AI$158:$AI$172,0)),"")</f>
        <v/>
      </c>
      <c r="AA119" s="105" t="str">
        <f>IF(AP119&gt;0,INDEX('Lookup Tables'!$AK$158:$AK$172,MATCH('Lighting Inventory'!Y119,'Lookup Tables'!$AI$158:$AI$172,0)),'Lighting Inventory'!Y119)</f>
        <v/>
      </c>
      <c r="AB119" s="105" t="str">
        <f t="array" ref="AB119">IF(V119="Custom", "Custom", IF(V119="", "", IF(V119="Not DLC or Energy Star", "General", IF(B119="New Construction", INDEX('Lookup Tables'!$AH$114:$AP$154,MATCH(1,('Lookup Tables'!$AH$114:$AH$154='Lighting Inventory'!V119)*('Lookup Tables'!$AI$114:$AI$154='Lighting Inventory'!W119),FALSE),8), INDEX('Lookup Tables'!$AH$6:$AP$102,MATCH(1,('Lookup Tables'!$AH$6:$AH$102='Lighting Inventory'!V119)*('Lookup Tables'!$AI$6:$AI$102='Lighting Inventory'!W119),FALSE),8)))))</f>
        <v/>
      </c>
      <c r="AC119" s="272" t="str">
        <f>IF(W119="","",IF(V119="Custom",CONCATENATE("$",'Lookup Tables'!$AM$101," ",'Lookup Tables'!$AN$101),CONCATENATE("$",INDEX('Lookup Tables'!$AM$6:$AM$102,MATCH('Lighting Inventory'!W119,'Lookup Tables'!$AI$6:$AI$102,0))," ",INDEX('Lookup Tables'!$AN$6:$AN$102,MATCH('Lighting Inventory'!W119,'Lookup Tables'!$AI$6:$AI$102,0)))))</f>
        <v/>
      </c>
      <c r="AD119" s="72"/>
      <c r="AE119" s="29"/>
      <c r="AF119" s="379"/>
      <c r="AG119" s="370" t="str">
        <f t="shared" si="298"/>
        <v/>
      </c>
      <c r="AH119" s="370" t="str">
        <f t="shared" si="351"/>
        <v/>
      </c>
      <c r="AI119" s="29"/>
      <c r="AJ119" s="29"/>
      <c r="AK119" s="110"/>
      <c r="AL119" s="375" t="str">
        <f>IF(OR(B119="", V119="", W119=""), "", IF(V119="No Change", K119, IF(V119="Remove Fixture", 0, IF(V119="Custom",VLOOKUP(W119,'Fixture Identities'!$A$6:$K$1023,10,FALSE),IF(AE119="", "← ENTER POST WATTS", 'Lighting Inventory'!AE119)))))</f>
        <v/>
      </c>
      <c r="AM119" s="376" t="str">
        <f t="shared" si="299"/>
        <v/>
      </c>
      <c r="AN119" s="29"/>
      <c r="AO119" s="671"/>
      <c r="AP119" s="29"/>
      <c r="AQ119" s="29"/>
      <c r="AR119" s="29"/>
      <c r="AS119" s="272" t="str">
        <f t="shared" si="352"/>
        <v/>
      </c>
      <c r="AT119" s="270" t="str">
        <f t="shared" si="300"/>
        <v/>
      </c>
      <c r="AU119" s="88" t="str">
        <f t="shared" si="400"/>
        <v/>
      </c>
      <c r="AV119" s="29"/>
      <c r="AW119" s="73"/>
      <c r="AX119" s="271" t="str">
        <f>IF(AND(AV119="Applicant",OR(AW119="", AW119="Use Default Facility Hours")),"← Choose Schedule",IF(F119="","",IF(W119="LED Exit Signs",8760,IF(OR(AV119="Prescribed",AV119=""),VLOOKUP(F119,'Lookup Tables'!$A$6:$G$59,IF(AB119="General", 6, 3),FALSE),VLOOKUP(AW119,'Lookup Tables'!$S$36:$U$43,2,FALSE)))))</f>
        <v/>
      </c>
      <c r="AY119" s="88" t="str">
        <f t="shared" si="301"/>
        <v/>
      </c>
      <c r="AZ119" s="270" t="str">
        <f>IFERROR(IF(F119="", "", IF(W119="LED Exit Signs", 1, IF(AV119="Applicant",VLOOKUP(AW119, 'Lookup Tables'!$S$36:$U$43,3, FALSE), VLOOKUP('Lighting Inventory'!F119, 'Lookup Tables'!$A$6:$H$59, IF('Lighting Inventory'!AB119="General",7,4), FALSE)))), "")</f>
        <v/>
      </c>
      <c r="BA119" s="522" t="str">
        <f>IFERROR(IF(F119="", "", IF(W119="LED Exit Signs", 1, VLOOKUP('Lighting Inventory'!F119, 'Lookup Tables'!$A$6:$H$59, IF('Lighting Inventory'!AB119="General",8,5), FALSE))), "")</f>
        <v/>
      </c>
      <c r="BB119" s="270" t="str">
        <f>IF(G119="", "", IF(E119="Exterior", 0, IF('Lighting Inventory'!G119="Air Conditioned", VLOOKUP(H119, 'Lookup Tables'!$R$6:$T$13, 2, FALSE), VLOOKUP('Lighting Inventory'!G119, 'Lookup Tables'!$R$6:$T$13, 2, FALSE))))</f>
        <v/>
      </c>
      <c r="BC119" s="522" t="str">
        <f>IF(G119="", "", IF(E119="Exterior", 0, IF('Lighting Inventory'!G119="Air Conditioned", VLOOKUP(H119, 'Lookup Tables'!$R$6:$T$13, 3, FALSE), VLOOKUP('Lighting Inventory'!G119, 'Lookup Tables'!$R$6:$T$13, 3, FALSE))))</f>
        <v/>
      </c>
      <c r="BD119" s="270" t="str">
        <f>IF(G119="", "", IF(E119="Exterior", 0, IF('Lighting Inventory'!G119="Air Conditioned", VLOOKUP(H119, 'Lookup Tables'!$R$6:$U$13, 4, FALSE), VLOOKUP('Lighting Inventory'!G119, 'Lookup Tables'!$R$6:$U$13, 4, FALSE))))</f>
        <v/>
      </c>
      <c r="BE119" s="270" t="str">
        <f>IFERROR(IF(B119="", "",  IF(B119="New Construction", VLOOKUP(F119, 'Lookup Tables'!$A$6:$K$59, 11, FALSE),IF(OR(AN119="", AN119="Light Switch"), 0, IF(OR(M119="",M119="None",V119= "LED Exit Signs"),0,_xlfn.XLOOKUP(M119,'Lookup Tables'!$R$91:$R$101,'Lookup Tables'!$V$91:$V$101))))), "")</f>
        <v/>
      </c>
      <c r="BF119" s="270" t="str">
        <f>IF(AND(OR(AN119="Light Switch",AN119=""),B119="New Construction"), VLOOKUP(F119, 'Lookup Tables'!$A$6:$K$59, 11, FALSE),IF(AN119="","",IF(B119="","",IF(OR(AN119="None",AN119="",V119="LED Exit Signs",AN119="Exterior Controls Not Eligible"),0,_xlfn.XLOOKUP(AN119,'Lookup Tables'!$R$91:$R$101,'Lookup Tables'!$V$91:$V$101)))))</f>
        <v/>
      </c>
      <c r="BG119" s="88" t="str">
        <f t="shared" si="353"/>
        <v/>
      </c>
      <c r="BH119" s="88" t="str">
        <f t="shared" si="354"/>
        <v/>
      </c>
      <c r="BI119" s="558" t="str">
        <f t="shared" si="398"/>
        <v/>
      </c>
      <c r="BJ119" s="82" t="str">
        <f t="shared" si="355"/>
        <v/>
      </c>
      <c r="BK119" s="82" t="str">
        <f t="shared" si="356"/>
        <v/>
      </c>
      <c r="BL119" s="559" t="str">
        <f t="shared" si="357"/>
        <v/>
      </c>
      <c r="BM119" s="521" t="str">
        <f t="shared" si="302"/>
        <v/>
      </c>
      <c r="BN119" s="521" t="str">
        <f t="shared" si="303"/>
        <v/>
      </c>
      <c r="BO119" s="522" t="str">
        <f t="shared" si="304"/>
        <v/>
      </c>
      <c r="BP119" s="83" t="str">
        <f t="shared" si="358"/>
        <v/>
      </c>
      <c r="BQ119" s="84" t="str">
        <f t="shared" si="359"/>
        <v/>
      </c>
      <c r="BR119" s="184" t="str">
        <f>IFERROR(IF(B119="", "", IF(OR(VLOOKUP(J119, 'Fixture Identities'!$A$6:$L$1023, 3, FALSE)="T12 Linear Fluorescent",VLOOKUP(J119, 'Fixture Identities'!$A$6:$L$1023, 3, FALSE)="T12 U-Tube Fluorescent"), "Y", "N")), "N")</f>
        <v/>
      </c>
      <c r="BS119" s="184" t="str">
        <f t="array" ref="BS119">IFERROR(IF(OR(B119="", V119="", W119=""), "", IF(V119="Custom", "N", IF(OR(W119="Freezer Case Lighting", W119="Refrigerated Case Lighting with Doors"), BT119, IF(B119="Retrofit", INDEX('Lookup Tables'!$AH$6:$AT$102,MATCH(1,('Lookup Tables'!$AH$6:$AH$102=V119)*('Lookup Tables'!$AI$6:$AI$102=W119),FALSE),IF(VLOOKUP(J119, 'Fixture Identities'!$A$6:$B$1023, 2, FALSE)="Incandescent",12, 13)), INDEX('Lookup Tables'!$AH$114:$AS$154,MATCH(1,('Lookup Tables'!$AH$114:$AH$154=V119)*('Lookup Tables'!$AI$114:$AI$154=W119),FALSE),12))))), "N")</f>
        <v/>
      </c>
      <c r="BT119" s="184" t="str">
        <f>IF(J119="", "", IF(AND(OR(W119="Freezer case Lighting", W119="Refrigerated Case Lighting with Doors"),'General Information'!$X$18="LCI"), "N", IF(OR(VLOOKUP(J119, 'Fixture Identities'!$A$6:$B$1023, 2, FALSE)="T12 EPACT/EISA Baseline", VLOOKUP(J119, 'Fixture Identities'!$A$6:$B$1023, 2, FALSE)="Linear Fluorescent", VLOOKUP(J119, 'Fixture Identities'!$A$6:$B$1023, 2, FALSE)="U-Tube Fluorescent"), "Y", "N")))</f>
        <v/>
      </c>
      <c r="BU119" s="184" t="str">
        <f>IFERROR(IF(B119="", "", IF(VLOOKUP(J119, 'Fixture Identities'!$A$6:$B$1023, 2, FALSE)="Exit Sign", "Y", "N")), "N")</f>
        <v/>
      </c>
      <c r="BV119" s="184" t="str">
        <f>IF(V119="Exit Signs", IF(VLOOKUP(J119, 'Fixture Identities'!$A$6:$B$1023, 2, FALSE)="Exit Sign", "N", "Y"), "")</f>
        <v/>
      </c>
      <c r="BW119" s="184" t="str">
        <f t="array" ref="BW119">IFERROR(IF(B119="", "", IF(B119="New Construction", "N", INDEX('Lookup Tables'!$AH$6:$AU$102, MATCH(1, ('Lookup Tables'!$AH$6:$AH$102='Lighting Inventory'!V119)*('Lookup Tables'!$AI$6:$AI$102='Lighting Inventory'!W119), 0), 14))), "N")</f>
        <v/>
      </c>
      <c r="BX119" s="598" t="str">
        <f t="shared" si="360"/>
        <v/>
      </c>
      <c r="BY119" s="598" t="str">
        <f t="shared" si="361"/>
        <v/>
      </c>
      <c r="BZ119" s="598" t="str">
        <f t="shared" si="362"/>
        <v/>
      </c>
      <c r="CA119" s="598" t="str">
        <f t="shared" si="363"/>
        <v/>
      </c>
      <c r="CB119" s="269" t="str">
        <f t="shared" si="364"/>
        <v/>
      </c>
      <c r="CC119" s="517" t="str">
        <f t="shared" si="365"/>
        <v/>
      </c>
      <c r="CD119" s="565" t="str">
        <f t="shared" si="305"/>
        <v/>
      </c>
      <c r="CE119" s="368">
        <v>0</v>
      </c>
      <c r="CF119" s="368" t="str" cm="1">
        <f t="array" ref="CF119">IFERROR(IF(V119="Custom", "$0.1 per kWh", IF(B119="New Construction", CONCATENATE("$",INDEX('Lookup Tables'!$AH$114:$AN$154,MATCH(1,('Lookup Tables'!$AH$114:$AH$154='Lighting Inventory'!V119)*('Lookup Tables'!$AI$114:$AI$154='Lighting Inventory'!W119),FALSE),6)," ",INDEX('Lookup Tables'!$AH$114:$AN$154,MATCH(1,('Lookup Tables'!$AH$114:$AH$154='Lighting Inventory'!V119)*('Lookup Tables'!$AI$114:$AI$154='Lighting Inventory'!W119),FALSE),7)), IF(AND(BU119="N", V119="Exit Signs"), "$0.025 per kWh", CONCATENATE("$",INDEX('Lookup Tables'!$AH$6:$AN$102,MATCH(1,('Lookup Tables'!$AH$6:$AH$102='Lighting Inventory'!V119)*('Lookup Tables'!$AI$6:$AI$102='Lighting Inventory'!W119),FALSE),6)," ",INDEX('Lookup Tables'!$AH$6:$AN$102,MATCH(1,('Lookup Tables'!$AH$6:$AH$102='Lighting Inventory'!V119)*('Lookup Tables'!$AI$6:$AI$102='Lighting Inventory'!W119),FALSE),7))))), "")</f>
        <v/>
      </c>
      <c r="CG119" s="366"/>
      <c r="CH119" s="248" t="str">
        <f t="shared" si="306"/>
        <v/>
      </c>
      <c r="CI119" s="248" t="str">
        <f t="shared" si="307"/>
        <v>Select_IE</v>
      </c>
      <c r="CJ119" s="248" t="str">
        <f t="shared" si="308"/>
        <v/>
      </c>
      <c r="CK119" s="248" t="str">
        <f t="shared" si="309"/>
        <v/>
      </c>
      <c r="CL119" s="248" t="str">
        <f t="shared" si="310"/>
        <v/>
      </c>
      <c r="CM119" s="248" t="str">
        <f>IFERROR(IF(B119="", "", IF(B119="New Construction", VLOOKUP(V119, 'Lookup Tables'!$AF$114:$AG$120, 2, FALSE), VLOOKUP(V119, 'Lookup Tables'!$AD$6:$AE$25, 2, FALSE))), "")</f>
        <v/>
      </c>
      <c r="CN119" s="248" t="str">
        <f t="shared" si="311"/>
        <v/>
      </c>
      <c r="CO119" s="248" t="str">
        <f t="shared" si="312"/>
        <v/>
      </c>
      <c r="CP119" s="592" t="str">
        <f t="shared" si="313"/>
        <v/>
      </c>
      <c r="CQ119" s="248" t="str">
        <f t="shared" si="366"/>
        <v/>
      </c>
      <c r="CR119" s="100"/>
      <c r="CS119" s="250" t="str">
        <f t="shared" si="314"/>
        <v/>
      </c>
      <c r="CT119" s="250" t="str">
        <f t="shared" si="367"/>
        <v/>
      </c>
      <c r="CU119" s="250" t="str">
        <f t="shared" si="368"/>
        <v/>
      </c>
      <c r="CV119" s="250" t="str">
        <f t="shared" si="369"/>
        <v/>
      </c>
      <c r="CW119" s="250" t="str">
        <f t="shared" si="370"/>
        <v/>
      </c>
      <c r="CX119" s="250" t="str">
        <f t="shared" si="315"/>
        <v/>
      </c>
      <c r="CY119" s="250" t="str">
        <f t="shared" si="316"/>
        <v/>
      </c>
      <c r="CZ119" s="250" t="str">
        <f t="shared" si="317"/>
        <v/>
      </c>
      <c r="DA119" s="250" t="str">
        <f t="shared" si="318"/>
        <v/>
      </c>
      <c r="DB119" s="250" t="str">
        <f t="shared" si="319"/>
        <v/>
      </c>
      <c r="DC119" s="250" t="str">
        <f t="shared" si="320"/>
        <v/>
      </c>
      <c r="DD119" s="250" t="str">
        <f t="shared" si="321"/>
        <v/>
      </c>
      <c r="DE119" s="250" t="str">
        <f t="shared" si="322"/>
        <v/>
      </c>
      <c r="DF119" s="250" t="str">
        <f t="shared" si="323"/>
        <v/>
      </c>
      <c r="DG119" s="250" t="str">
        <f t="shared" si="324"/>
        <v/>
      </c>
      <c r="DH119" s="250" t="str">
        <f t="shared" si="325"/>
        <v/>
      </c>
      <c r="DI119" s="250" t="str">
        <f t="shared" si="326"/>
        <v/>
      </c>
      <c r="DJ119" s="250" t="str">
        <f t="shared" si="327"/>
        <v/>
      </c>
      <c r="DK119" s="250" t="str">
        <f t="shared" si="328"/>
        <v/>
      </c>
      <c r="DL119" s="250" t="str">
        <f t="shared" si="329"/>
        <v/>
      </c>
      <c r="DM119" s="250" t="str">
        <f>IF(CD119="ERROR", "ERROR", IF(AND(OR(Y119=$DM$6, Y119='Lookup Tables'!$AD$21, Y119='Lookup Tables'!$AD$22), E119="Interior"), BJ119, ""))</f>
        <v/>
      </c>
      <c r="DN119" s="250" t="str">
        <f>IF(CD119="ERROR", "ERROR", IF(AND(OR(Y119=$DM$6, Y119='Lookup Tables'!$AD$21, Y119='Lookup Tables'!$AD$22), E119="Exterior"), BJ119, ""))</f>
        <v/>
      </c>
      <c r="DO119" s="100"/>
      <c r="DP119" s="250" t="str">
        <f t="shared" si="330"/>
        <v/>
      </c>
      <c r="DQ119" s="250" t="str">
        <f t="shared" si="371"/>
        <v/>
      </c>
      <c r="DR119" s="250" t="str">
        <f t="shared" si="372"/>
        <v/>
      </c>
      <c r="DS119" s="250" t="str">
        <f t="shared" si="373"/>
        <v/>
      </c>
      <c r="DT119" s="250" t="str">
        <f t="shared" si="374"/>
        <v/>
      </c>
      <c r="DU119" s="250" t="str">
        <f t="shared" si="331"/>
        <v/>
      </c>
      <c r="DV119" s="250" t="str">
        <f t="shared" si="332"/>
        <v/>
      </c>
      <c r="DW119" s="250" t="str">
        <f t="shared" si="333"/>
        <v/>
      </c>
      <c r="DX119" s="250" t="str">
        <f t="shared" si="334"/>
        <v/>
      </c>
      <c r="DY119" s="250" t="str">
        <f t="shared" si="335"/>
        <v/>
      </c>
      <c r="DZ119" s="250" t="str">
        <f t="shared" si="336"/>
        <v/>
      </c>
      <c r="EA119" s="250" t="str">
        <f t="shared" si="337"/>
        <v/>
      </c>
      <c r="EB119" s="250" t="str">
        <f t="shared" si="375"/>
        <v/>
      </c>
      <c r="EC119" s="250" t="str">
        <f t="shared" si="338"/>
        <v/>
      </c>
      <c r="ED119" s="250" t="str">
        <f t="shared" si="339"/>
        <v/>
      </c>
      <c r="EE119" s="250" t="str">
        <f t="shared" si="340"/>
        <v/>
      </c>
      <c r="EF119" s="250" t="str">
        <f t="shared" si="341"/>
        <v/>
      </c>
      <c r="EG119" s="250" t="str">
        <f t="shared" si="342"/>
        <v/>
      </c>
      <c r="EH119" s="250" t="str">
        <f>IF(CD119="ERROR", "ERROR", IF(AND(OR($EH$6=Y119, Y119='Lookup Tables'!$AD$21, Y119='Lookup Tables'!$AD$22),E119="Interior"), SUM(BP119:BP119), ""))</f>
        <v/>
      </c>
      <c r="EI119" s="250" t="str">
        <f>IF(CD119="ERROR", "ERROR", IF(AND(OR($EH$6=Y119, Y119='Lookup Tables'!$AD$21, Y119='Lookup Tables'!$AD$22),E119="Exterior"), SUM(BP119:BP119), ""))</f>
        <v/>
      </c>
      <c r="EJ119" s="109"/>
      <c r="EK119" s="485" t="str">
        <f t="shared" si="343"/>
        <v/>
      </c>
      <c r="EL119" s="252" t="str">
        <f t="shared" si="376"/>
        <v/>
      </c>
      <c r="EM119" s="252" t="str">
        <f t="shared" si="377"/>
        <v/>
      </c>
      <c r="EN119" s="252" t="str">
        <f t="shared" si="378"/>
        <v/>
      </c>
      <c r="EO119" s="252" t="str">
        <f t="shared" si="379"/>
        <v/>
      </c>
      <c r="EP119" s="252" t="str">
        <f t="shared" si="380"/>
        <v/>
      </c>
      <c r="EQ119" s="252" t="str">
        <f t="shared" si="381"/>
        <v/>
      </c>
      <c r="ER119" s="252" t="str">
        <f t="shared" si="382"/>
        <v/>
      </c>
      <c r="ES119" s="252" t="str">
        <f t="shared" si="383"/>
        <v/>
      </c>
      <c r="ET119" s="252" t="str">
        <f t="shared" si="384"/>
        <v/>
      </c>
      <c r="EU119" s="252" t="str">
        <f t="shared" si="385"/>
        <v/>
      </c>
      <c r="EV119" s="252" t="str">
        <f t="shared" si="386"/>
        <v/>
      </c>
      <c r="EW119" s="252" t="str">
        <f t="shared" si="387"/>
        <v/>
      </c>
      <c r="EX119" s="252" t="str">
        <f t="shared" si="388"/>
        <v/>
      </c>
      <c r="EY119" s="252" t="str">
        <f t="shared" si="389"/>
        <v/>
      </c>
      <c r="EZ119" s="252" t="str">
        <f t="shared" si="390"/>
        <v/>
      </c>
      <c r="FA119" s="252" t="str">
        <f t="shared" si="391"/>
        <v/>
      </c>
      <c r="FB119" s="252" t="str">
        <f t="shared" si="392"/>
        <v/>
      </c>
      <c r="FC119" s="252" t="str">
        <f>IF(CD119="ERROR", "ERROR", IF(OR(V119="No Change", V119="Not DLC or Energy Star"), "", IF(AND(OR($FC$6=Y119,Y119='Lookup Tables'!$AD$21, Y119='Lookup Tables'!$AD$22),E119="Interior"), S119, "")))</f>
        <v/>
      </c>
      <c r="FD119" s="252" t="str">
        <f t="shared" si="393"/>
        <v/>
      </c>
      <c r="FE119" s="101"/>
      <c r="FF119" s="579" t="str" cm="1">
        <f t="array" ref="FF119">IFERROR(IF(OR(BQ119&lt;=0,AQ119&lt;20,AND(V119="Exit Signs",AN119&gt;0)),"",IF(AND(AQ119&gt;=20,AN119='Lookup Tables'!$R$101),'Lookup Tables'!$U$101*BQ119,AP119*LOOKUP(2,1/((AN119='Lookup Tables'!$R$91:$R$111)*(AQ119&gt;='Lookup Tables'!$S$91:$S$111)*(AQ119&lt;='Lookup Tables'!$T$91:$T$111)),'Lookup Tables'!$U$91:$U$111))),"")</f>
        <v/>
      </c>
      <c r="FG119" s="579"/>
      <c r="FH119" s="579"/>
      <c r="FI119" s="253" t="str">
        <f>IFERROR(ROUND(IF(CD119="ERROR", "ERROR", IF(AND($FI$7=X119,E119="Interior"),VLOOKUP(W119, 'Lookup Tables'!$AI$6:$AM$102, 5, FALSE)*BP119, "")), 2), "")</f>
        <v/>
      </c>
      <c r="FJ119" s="253" t="str">
        <f>IFERROR(ROUND(IF(CD119="ERROR", "ERROR", IF(AND($FI$7=X119,E119="Exterior"),VLOOKUP(W119, 'Lookup Tables'!$AI$6:$AM$102, 5, FALSE)*BP119, "")), 2), "")</f>
        <v/>
      </c>
      <c r="FK119" s="253" t="str">
        <f>IFERROR(ROUND(IF(CD119="ERROR", "ERROR", IF(AND($FK$7=X119,E119="Interior"),VLOOKUP(W119, 'Lookup Tables'!$AI$6:$AM$102, 5, FALSE)*BP119, "")), 2), "")</f>
        <v/>
      </c>
      <c r="FL119" s="253" t="str">
        <f>IFERROR(ROUND(IF(CD119="ERROR", "ERROR", IF(AND($FK$7=X119,E119="Exterior"),VLOOKUP(W119, 'Lookup Tables'!$AI$6:$AM$102, 5, FALSE)*BP119, "")), 2), "")</f>
        <v/>
      </c>
      <c r="FM119" s="253" t="str">
        <f>IFERROR(ROUND(IF(CD119="ERROR", "ERROR", IF(AND($FM$6=Y119,E119="Interior"), IF(GB119=0, VLOOKUP(W119, 'Lookup Tables'!$AI$6:$AM$102, 5, FALSE)*BP119, IF(VLOOKUP(W119, 'Lookup Tables'!$AI$6:$AM$102, 5, FALSE)*BP119&gt;GB119*'Lighting Inventory'!S119, GB119*'Lighting Inventory'!S119,VLOOKUP(W119, 'Lookup Tables'!$AI$6:$AM$102, 5, FALSE)*BP119)), "")), 2), "")</f>
        <v/>
      </c>
      <c r="FN119" s="253" t="str">
        <f>IFERROR(ROUND(IF(CD119="ERROR", "ERROR", IF(AND($FM$6=Y119,E119="Exterior"), IF(GB119=0, VLOOKUP(W119, 'Lookup Tables'!$AI$6:$AM$102, 5, FALSE)*BP119, IF(VLOOKUP(W119, 'Lookup Tables'!$AI$6:$AM$102, 5, FALSE)*BP119&gt;GB119*'Lighting Inventory'!S119, GB119*'Lighting Inventory'!S119,VLOOKUP(W119, 'Lookup Tables'!$AI$6:$AM$102, 5, FALSE)*BP119)), "")), 2), "")</f>
        <v/>
      </c>
      <c r="FO119" s="253" t="str">
        <f>IFERROR(ROUND(IF(CD119="ERROR", "ERROR", IF(AND($FO$6=Y119,E119="Interior"),VLOOKUP(W119, 'Lookup Tables'!$AI$6:$AM$102, 5, FALSE)*'Lighting Inventory'!AI119, "")), 2), "")</f>
        <v/>
      </c>
      <c r="FP119" s="253" t="str">
        <f>IFERROR(ROUND(IF(CD119="ERROR", "ERROR", IF(AND($FO$6=Y119,E119="Exterior"),VLOOKUP(W119, 'Lookup Tables'!$AI$6:$AM$102, 5, FALSE)*'Lighting Inventory'!AI119, "")), 2), "")</f>
        <v/>
      </c>
      <c r="FQ119" s="253" t="str">
        <f>IFERROR(ROUND(IF(CD119="ERROR", "ERROR", IF(AND($FQ$6=Y119,E119="Interior", BU119="Y"), VLOOKUP('Lighting Inventory'!W119, 'Lookup Tables'!$AI$6:$AM$102, 5, FALSE)*'Lighting Inventory'!S119, IF(AND($FQ$7=Y119,E119="Interior", BU119="N"), 0.025*CD119, ""))), 2), "")</f>
        <v/>
      </c>
      <c r="FR119" s="253" t="str">
        <f>IFERROR(ROUND(IF(CD119="ERROR", "ERROR", IF(AND($FQ$6=Y119,E119="Exterior"), VLOOKUP('Lighting Inventory'!W119, 'Lookup Tables'!$AI$6:$AM$102, 5, FALSE)*'Lighting Inventory'!S119, "")), 2), "")</f>
        <v/>
      </c>
      <c r="FS119" s="253" t="str">
        <f>IFERROR(ROUND(IF(CD119="ERROR", "ERROR", IF(AND($FS$6=Y119,E119="Exterior"), IF(GB119=0, VLOOKUP(W119, 'Lookup Tables'!$AI$6:$AM$102, 5, FALSE)*BP119, IF(VLOOKUP(W119, 'Lookup Tables'!$AI$6:$AM$102, 5, FALSE)*BP119&gt;GB119*'Lighting Inventory'!S119, GB119*'Lighting Inventory'!S119,VLOOKUP(W119, 'Lookup Tables'!$AI$6:$AM$102, 5, FALSE)*BP119)), "")), 2), "")</f>
        <v/>
      </c>
      <c r="FT119" s="253" t="str">
        <f>IFERROR(ROUND(IF(CD119="ERROR", "ERROR", IF(AND($FT$6=Y119,E119="Interior"), IF(GB119=0, VLOOKUP(W119, 'Lookup Tables'!$AI$6:$AM$102, 5, FALSE)*BP119, IF(VLOOKUP(W119, 'Lookup Tables'!$AI$6:$AM$102, 5, FALSE)*BP119&gt;GB119*'Lighting Inventory'!S119, GB119*'Lighting Inventory'!S119,VLOOKUP(W119, 'Lookup Tables'!$AI$6:$AM$102, 5, FALSE)*BP119)), "")), 2), "")</f>
        <v/>
      </c>
      <c r="FU119" s="253" t="str">
        <f>IFERROR(ROUND(IF(CD119="ERROR", "ERROR", IF(AND(Y119=$FU$6, E119="Interior"), IF(BS119="N", 'Lookup Tables'!$AM$101*BP119, VLOOKUP(W119, 'Lookup Tables'!$AI$6:$AM$102, 5, FALSE)*S119*AD119), "")), 2), "")</f>
        <v/>
      </c>
      <c r="FV119" s="253" t="str">
        <f>IFERROR(ROUND(IF(CD119="ERROR", "ERROR", IF(AND(Y119=$FU$6, E119="Exterior"), IF(BS119="N", 'Lookup Tables'!$AM$101*BP119, VLOOKUP(W119, 'Lookup Tables'!$AI$6:$AM$102, 5, FALSE)*S119*AD119), "")), 2), "")</f>
        <v/>
      </c>
      <c r="FW119" s="253" t="str">
        <f>IFERROR(ROUND(IF(CD119="ERROR", "ERROR", IF($FW$6=Y119, IF(BS119="N", 'Lookup Tables'!$AM$101*BP119, MIN((VLOOKUP(W119, 'Lookup Tables'!$AI$6:$AM$102, 5, FALSE)*BP119),GB119*AJ119)), "")), 2), "")</f>
        <v/>
      </c>
      <c r="FX119" s="253" t="str">
        <f>IFERROR(ROUND(IF(CD119="ERROR", "ERROR", IF(AND($FX$6=Y119, E119="Interior"), IF(VLOOKUP(W119, 'Lookup Tables'!$AI$6:$AM$102, 5, FALSE)*BP119&gt;'Lookup Tables'!$AQ$97*'Lighting Inventory'!S119,'Lighting Inventory'!S119*'Lookup Tables'!$AQ$97,VLOOKUP(W119, 'Lookup Tables'!$AI$6:$AM$102, 5, FALSE)*BP119), "")), 2), "")</f>
        <v/>
      </c>
      <c r="FY119" s="253" t="str">
        <f>IFERROR(ROUND(IF(CD119="ERROR", "ERROR", IF(AND($FX$6=Y119, E119="Exterior"), IF(VLOOKUP(W119, 'Lookup Tables'!$AI$6:$AM$102, 5, FALSE)*BP119&gt;'Lookup Tables'!$AQ$97*'Lighting Inventory'!S119,'Lighting Inventory'!S119*'Lookup Tables'!$AQ$97,VLOOKUP(W119, 'Lookup Tables'!$AI$6:$AM$102, 5, FALSE)*BP119), "")), 2), "")</f>
        <v/>
      </c>
      <c r="FZ119" s="253" t="str">
        <f>IFERROR(ROUND(IF(CD119="ERROR", "ERROR", IF(AND($FZ$6=Y119, E119="Interior"), IF(AND(OR(W119="Refrigerated Case Lighting with Doors", W119="Freezer Case Lighting"),Y119="Custom - Process Improvement"),CD119*'Lookup Tables'!$AM$101, IF(B119="Retrofit", IF(VLOOKUP(IF(V119="Custom", V119, W119), 'Lookup Tables'!$AI$6:$AM$102, 5, FALSE)*BP119&gt;GE119, GE119, VLOOKUP(IF(V119="Custom", V119, W119), 'Lookup Tables'!$AI$6:$AM$102, 5, FALSE)*BP119), IF(VLOOKUP(IF(V119="Custom", V119, W119), 'Lookup Tables'!$AI$114:$AM$154, 5, FALSE)*BP119&gt;GE119, GE119, VLOOKUP(IF(V119="Custom", V119, W119), 'Lookup Tables'!$AI$114:$AM$154, 5, FALSE)*BP119))), "")), 2),"")</f>
        <v/>
      </c>
      <c r="GA119" s="253" t="str">
        <f>IFERROR(ROUND(IF(CD119="ERROR", "ERROR", IF(AND($FZ$6=Y119, E119="Exterior"), IF(B119="Retrofit", IF(VLOOKUP(IF(V119="Custom", V119, W119), 'Lookup Tables'!$AI$6:$AM$102, 5, FALSE)*BP119&gt;GE119, GE119, VLOOKUP(IF(V119="Custom", V119, W119), 'Lookup Tables'!$AI$6:$AM$102, 5, FALSE)*BP119), IF(VLOOKUP(IF(V119="Custom", V119, W119), 'Lookup Tables'!$AI$114:$AM$154, 5, FALSE)*BP119&gt;GE119, GE119, VLOOKUP(IF(V119="Custom", V119, W119), 'Lookup Tables'!$AI$114:$AM$154, 5, FALSE)*BP119)), "")), 2),"")</f>
        <v/>
      </c>
      <c r="GB119" s="254" t="str">
        <f t="array" ref="GB119">IF(B119="","",IF(OR(V119="Custom",V119="No Change"),0,IF(B119="Retrofit", INDEX('Lookup Tables'!$AH$6:$AQ$102,MATCH(1,('Lookup Tables'!$AH$6:$AH$102='Lighting Inventory'!V119)*('Lookup Tables'!$AI$6:$AI$102='Lighting Inventory'!W119),FALSE),10),INDEX('Lookup Tables'!$AH$114:$AQ$154,MATCH(1,('Lookup Tables'!$AH$114:$AH$154='Lighting Inventory'!V119)*('Lookup Tables'!$AI$114:$AI$154='Lighting Inventory'!W119),FALSE),10))))</f>
        <v/>
      </c>
      <c r="GC119" s="255" t="str">
        <f t="shared" si="344"/>
        <v/>
      </c>
      <c r="GD119" s="250" t="str">
        <f t="shared" si="345"/>
        <v/>
      </c>
      <c r="GE119" s="253" t="str">
        <f>IFERROR(IF(AND(AF119="", 'General Information'!$F$18="No"),"", IF(AF119="", ((GD119/$CD$266)*$CF$266)*0.5, AF119*S119*0.5)), "")</f>
        <v/>
      </c>
      <c r="GF119" s="255" t="str">
        <f>IF(AND('General Information'!$F$19="", 'General Information'!$F$18="Yes",AF119="",BW119="Y"), "Y", "N")</f>
        <v>N</v>
      </c>
      <c r="GG119" s="255" t="s">
        <v>2946</v>
      </c>
      <c r="GH119" s="255" t="str">
        <f>IFERROR(IF(B119="", "", VLOOKUP(J119, 'Fixture Identities'!$A$6:$N$908, 14, FALSE)), "")</f>
        <v/>
      </c>
      <c r="GI119" s="389" t="str">
        <f>IF(OR(B119="", V119="", W119=""), "", IF(AND(OR(M119='Lookup Tables'!$R$18, M119='Lookup Tables'!$R$19, M119='Lookup Tables'!$R$20, M119='Lookup Tables'!$R$21, M119='Lookup Tables'!$R$22), OR(AN119='Lookup Tables'!$R$17, AN119='Lookup Tables'!$R$17, AN119="")), "Y", "N"))</f>
        <v/>
      </c>
      <c r="GJ119" s="255" t="str">
        <f t="shared" si="346"/>
        <v/>
      </c>
      <c r="GK119" s="255" t="str">
        <f t="shared" si="347"/>
        <v/>
      </c>
      <c r="GL119" s="255" t="str">
        <f t="shared" si="348"/>
        <v/>
      </c>
      <c r="GM119" s="255" t="str">
        <f>IF(AN119="", "", IF(AND(IF(ISNA(VLOOKUP(AN119,'Lookup Tables'!$R$18:$R$22,1,FALSE)), "N", "Y")="Y", E119="Exterior"), "Y", "N"))</f>
        <v/>
      </c>
      <c r="GN119" s="395"/>
      <c r="GO119" s="428">
        <f t="shared" si="394"/>
        <v>0</v>
      </c>
      <c r="GP119" s="428">
        <f t="shared" si="397"/>
        <v>0</v>
      </c>
      <c r="GQ119" s="428">
        <f t="shared" si="395"/>
        <v>0</v>
      </c>
      <c r="GR119" s="428">
        <f t="shared" si="396"/>
        <v>0</v>
      </c>
    </row>
    <row r="120" spans="1:200" s="103" customFormat="1" ht="13.5" customHeight="1" x14ac:dyDescent="0.2">
      <c r="A120" s="272">
        <v>110</v>
      </c>
      <c r="B120" s="110"/>
      <c r="C120" s="110"/>
      <c r="D120" s="110"/>
      <c r="E120" s="110"/>
      <c r="F120" s="110"/>
      <c r="G120" s="110"/>
      <c r="H120" s="110"/>
      <c r="I120" s="29"/>
      <c r="J120" s="29"/>
      <c r="K120" s="272" t="str">
        <f>IFERROR(IF(OR(VLOOKUP(J120, 'Fixture Identities'!$A$6:$L$1023, 3, FALSE)="T12 Linear Fluorescent", VLOOKUP(J120, 'Fixture Identities'!$A$6:$L$1023, 3, FALSE)="T12 U-Tube Fluorescent"), VLOOKUP(VLOOKUP(J120, 'Fixture Identities'!$A$6:$L$1023, 11, FALSE), 'Fixture Identities'!$A$6:$L$1023, 10, FALSE), VLOOKUP(J120, 'Fixture Identities'!$A$6:$L$1023, 10, FALSE)), "")</f>
        <v/>
      </c>
      <c r="L120" s="270" t="str">
        <f t="shared" si="399"/>
        <v/>
      </c>
      <c r="M120" s="110"/>
      <c r="N120" s="110"/>
      <c r="O120" s="110"/>
      <c r="P120" s="272" t="str">
        <f>IFERROR(IF(OR(B120="Retrofit",B120=""),"",IF('Lighting Inventory'!E120="Exterior",VLOOKUP('Lighting Inventory'!N120,'Lookup Tables'!$B$83:$F$103,5,FALSE),IF(N120="Other - Please Estimate EFLH and CFs","Contact Prog. Rep.","ft^2"))), "")</f>
        <v/>
      </c>
      <c r="Q120" s="270" t="str">
        <f>IFERROR(IF(AND(B120="New Construction",E120="Interior",$F$5="Space-by-Space"),VLOOKUP('Lighting Inventory'!N120,'Lookup Tables'!$N$6:$O$97,2,FALSE),IF(AND(B120="New Construction",E120="Exterior"),VLOOKUP(N120,'Lookup Tables'!$B$83:$F$103,2,FALSE),IF(AND(B120="New Construction",'Lighting Inventory'!E120="Interior", $F$5="Building Area"),VLOOKUP(F120,'Lookup Tables'!$A$6:$J$59,10,FALSE),""))), "")</f>
        <v/>
      </c>
      <c r="R120" s="270" t="str">
        <f>IFERROR(IF(P120="Contact Prog. Rep.", "ERROR", IF(OR(B120="",B120="Retrofit"),"",IF(N120="Automated teller machines", ('Lookup Tables'!$A$82:$E$100+('Lighting Inventory'!O120-1)*'Lookup Tables'!$A$82:$E$100)/1000, (Q120*O120)/1000))), "")</f>
        <v/>
      </c>
      <c r="S120" s="595"/>
      <c r="T120" s="105" t="str">
        <f t="shared" si="349"/>
        <v/>
      </c>
      <c r="U120" s="105" t="str">
        <f>IF(S120="","",COUNT($S$11:S120))</f>
        <v/>
      </c>
      <c r="V120" s="111"/>
      <c r="W120" s="112"/>
      <c r="X120" s="105" t="str">
        <f t="shared" si="350"/>
        <v/>
      </c>
      <c r="Y120" s="105" t="str">
        <f t="array" ref="Y120">IF(AND(OR(W120="Freezer Case Lighting", W120="Refrigerated Case Lighting with Doors"), 'General Information'!$X$18="LCI"),'Lookup Tables'!$Y$34, IF(V120="Custom", VLOOKUP(W120, 'Fixture Identities'!$A$974:$M$1023, 13, FALSE), IF(V120="No Change",'Lookup Tables'!$Y$29,IF(OR(V120="",W120=""),"",IF(AND(S120=0,S120&lt;I120,B120="Retrofit"),'Lookup Tables'!$Y$25, IF(B120="Retrofit", INDEX('Lookup Tables'!$AH$6:$AP$102, MATCH(1, ('Lookup Tables'!$AH$6:$AH$102=V120)*('Lookup Tables'!$AI$6:$AI$102=W120), 0), IF('Lighting Inventory'!E120="Interior", 4, 5)), INDEX('Lookup Tables'!$AH$114:$AP$154, MATCH(1, ('Lookup Tables'!$AH$114:$AH$154=V120)*('Lookup Tables'!$AI$114:$AI$154=W120), 0), IF('Lighting Inventory'!E120="Interior", 4, 5))))))))</f>
        <v/>
      </c>
      <c r="Z120" s="105" t="str">
        <f>IFERROR(INDEX('Lookup Tables'!$AH$158:$AH$172,MATCH('Lighting Inventory'!Y120,'Lookup Tables'!$AI$158:$AI$172,0)),"")</f>
        <v/>
      </c>
      <c r="AA120" s="105" t="str">
        <f>IF(AP120&gt;0,INDEX('Lookup Tables'!$AK$158:$AK$172,MATCH('Lighting Inventory'!Y120,'Lookup Tables'!$AI$158:$AI$172,0)),'Lighting Inventory'!Y120)</f>
        <v/>
      </c>
      <c r="AB120" s="105" t="str">
        <f t="array" ref="AB120">IF(V120="Custom", "Custom", IF(V120="", "", IF(V120="Not DLC or Energy Star", "General", IF(B120="New Construction", INDEX('Lookup Tables'!$AH$114:$AP$154,MATCH(1,('Lookup Tables'!$AH$114:$AH$154='Lighting Inventory'!V120)*('Lookup Tables'!$AI$114:$AI$154='Lighting Inventory'!W120),FALSE),8), INDEX('Lookup Tables'!$AH$6:$AP$102,MATCH(1,('Lookup Tables'!$AH$6:$AH$102='Lighting Inventory'!V120)*('Lookup Tables'!$AI$6:$AI$102='Lighting Inventory'!W120),FALSE),8)))))</f>
        <v/>
      </c>
      <c r="AC120" s="272" t="str">
        <f>IF(W120="","",IF(V120="Custom",CONCATENATE("$",'Lookup Tables'!$AM$101," ",'Lookup Tables'!$AN$101),CONCATENATE("$",INDEX('Lookup Tables'!$AM$6:$AM$102,MATCH('Lighting Inventory'!W120,'Lookup Tables'!$AI$6:$AI$102,0))," ",INDEX('Lookup Tables'!$AN$6:$AN$102,MATCH('Lighting Inventory'!W120,'Lookup Tables'!$AI$6:$AI$102,0)))))</f>
        <v/>
      </c>
      <c r="AD120" s="72"/>
      <c r="AE120" s="29"/>
      <c r="AF120" s="379"/>
      <c r="AG120" s="370" t="str">
        <f t="shared" si="298"/>
        <v/>
      </c>
      <c r="AH120" s="370" t="str">
        <f t="shared" si="351"/>
        <v/>
      </c>
      <c r="AI120" s="29"/>
      <c r="AJ120" s="29"/>
      <c r="AK120" s="110"/>
      <c r="AL120" s="375" t="str">
        <f>IF(OR(B120="", V120="", W120=""), "", IF(V120="No Change", K120, IF(V120="Remove Fixture", 0, IF(V120="Custom",VLOOKUP(W120,'Fixture Identities'!$A$6:$K$1023,10,FALSE),IF(AE120="", "← ENTER POST WATTS", 'Lighting Inventory'!AE120)))))</f>
        <v/>
      </c>
      <c r="AM120" s="376" t="str">
        <f t="shared" si="299"/>
        <v/>
      </c>
      <c r="AN120" s="29"/>
      <c r="AO120" s="671"/>
      <c r="AP120" s="29"/>
      <c r="AQ120" s="29"/>
      <c r="AR120" s="29"/>
      <c r="AS120" s="272" t="str">
        <f t="shared" si="352"/>
        <v/>
      </c>
      <c r="AT120" s="270" t="str">
        <f t="shared" si="300"/>
        <v/>
      </c>
      <c r="AU120" s="88" t="str">
        <f t="shared" si="400"/>
        <v/>
      </c>
      <c r="AV120" s="29"/>
      <c r="AW120" s="73"/>
      <c r="AX120" s="271" t="str">
        <f>IF(AND(AV120="Applicant",OR(AW120="", AW120="Use Default Facility Hours")),"← Choose Schedule",IF(F120="","",IF(W120="LED Exit Signs",8760,IF(OR(AV120="Prescribed",AV120=""),VLOOKUP(F120,'Lookup Tables'!$A$6:$G$59,IF(AB120="General", 6, 3),FALSE),VLOOKUP(AW120,'Lookup Tables'!$S$36:$U$43,2,FALSE)))))</f>
        <v/>
      </c>
      <c r="AY120" s="88" t="str">
        <f t="shared" si="301"/>
        <v/>
      </c>
      <c r="AZ120" s="270" t="str">
        <f>IFERROR(IF(F120="", "", IF(W120="LED Exit Signs", 1, IF(AV120="Applicant",VLOOKUP(AW120, 'Lookup Tables'!$S$36:$U$43,3, FALSE), VLOOKUP('Lighting Inventory'!F120, 'Lookup Tables'!$A$6:$H$59, IF('Lighting Inventory'!AB120="General",7,4), FALSE)))), "")</f>
        <v/>
      </c>
      <c r="BA120" s="522" t="str">
        <f>IFERROR(IF(F120="", "", IF(W120="LED Exit Signs", 1, VLOOKUP('Lighting Inventory'!F120, 'Lookup Tables'!$A$6:$H$59, IF('Lighting Inventory'!AB120="General",8,5), FALSE))), "")</f>
        <v/>
      </c>
      <c r="BB120" s="270" t="str">
        <f>IF(G120="", "", IF(E120="Exterior", 0, IF('Lighting Inventory'!G120="Air Conditioned", VLOOKUP(H120, 'Lookup Tables'!$R$6:$T$13, 2, FALSE), VLOOKUP('Lighting Inventory'!G120, 'Lookup Tables'!$R$6:$T$13, 2, FALSE))))</f>
        <v/>
      </c>
      <c r="BC120" s="522" t="str">
        <f>IF(G120="", "", IF(E120="Exterior", 0, IF('Lighting Inventory'!G120="Air Conditioned", VLOOKUP(H120, 'Lookup Tables'!$R$6:$T$13, 3, FALSE), VLOOKUP('Lighting Inventory'!G120, 'Lookup Tables'!$R$6:$T$13, 3, FALSE))))</f>
        <v/>
      </c>
      <c r="BD120" s="270" t="str">
        <f>IF(G120="", "", IF(E120="Exterior", 0, IF('Lighting Inventory'!G120="Air Conditioned", VLOOKUP(H120, 'Lookup Tables'!$R$6:$U$13, 4, FALSE), VLOOKUP('Lighting Inventory'!G120, 'Lookup Tables'!$R$6:$U$13, 4, FALSE))))</f>
        <v/>
      </c>
      <c r="BE120" s="270" t="str">
        <f>IFERROR(IF(B120="", "",  IF(B120="New Construction", VLOOKUP(F120, 'Lookup Tables'!$A$6:$K$59, 11, FALSE),IF(OR(AN120="", AN120="Light Switch"), 0, IF(OR(M120="",M120="None",V120= "LED Exit Signs"),0,_xlfn.XLOOKUP(M120,'Lookup Tables'!$R$91:$R$101,'Lookup Tables'!$V$91:$V$101))))), "")</f>
        <v/>
      </c>
      <c r="BF120" s="270" t="str">
        <f>IF(AND(OR(AN120="Light Switch",AN120=""),B120="New Construction"), VLOOKUP(F120, 'Lookup Tables'!$A$6:$K$59, 11, FALSE),IF(AN120="","",IF(B120="","",IF(OR(AN120="None",AN120="",V120="LED Exit Signs",AN120="Exterior Controls Not Eligible"),0,_xlfn.XLOOKUP(AN120,'Lookup Tables'!$R$91:$R$101,'Lookup Tables'!$V$91:$V$101)))))</f>
        <v/>
      </c>
      <c r="BG120" s="88" t="str">
        <f t="shared" si="353"/>
        <v/>
      </c>
      <c r="BH120" s="88" t="str">
        <f t="shared" si="354"/>
        <v/>
      </c>
      <c r="BI120" s="558" t="str">
        <f t="shared" si="398"/>
        <v/>
      </c>
      <c r="BJ120" s="82" t="str">
        <f t="shared" si="355"/>
        <v/>
      </c>
      <c r="BK120" s="82" t="str">
        <f t="shared" si="356"/>
        <v/>
      </c>
      <c r="BL120" s="559" t="str">
        <f t="shared" si="357"/>
        <v/>
      </c>
      <c r="BM120" s="521" t="str">
        <f t="shared" si="302"/>
        <v/>
      </c>
      <c r="BN120" s="521" t="str">
        <f t="shared" si="303"/>
        <v/>
      </c>
      <c r="BO120" s="522" t="str">
        <f t="shared" si="304"/>
        <v/>
      </c>
      <c r="BP120" s="83" t="str">
        <f t="shared" si="358"/>
        <v/>
      </c>
      <c r="BQ120" s="84" t="str">
        <f t="shared" si="359"/>
        <v/>
      </c>
      <c r="BR120" s="184" t="str">
        <f>IFERROR(IF(B120="", "", IF(OR(VLOOKUP(J120, 'Fixture Identities'!$A$6:$L$1023, 3, FALSE)="T12 Linear Fluorescent",VLOOKUP(J120, 'Fixture Identities'!$A$6:$L$1023, 3, FALSE)="T12 U-Tube Fluorescent"), "Y", "N")), "N")</f>
        <v/>
      </c>
      <c r="BS120" s="184" t="str">
        <f t="array" ref="BS120">IFERROR(IF(OR(B120="", V120="", W120=""), "", IF(V120="Custom", "N", IF(OR(W120="Freezer Case Lighting", W120="Refrigerated Case Lighting with Doors"), BT120, IF(B120="Retrofit", INDEX('Lookup Tables'!$AH$6:$AT$102,MATCH(1,('Lookup Tables'!$AH$6:$AH$102=V120)*('Lookup Tables'!$AI$6:$AI$102=W120),FALSE),IF(VLOOKUP(J120, 'Fixture Identities'!$A$6:$B$1023, 2, FALSE)="Incandescent",12, 13)), INDEX('Lookup Tables'!$AH$114:$AS$154,MATCH(1,('Lookup Tables'!$AH$114:$AH$154=V120)*('Lookup Tables'!$AI$114:$AI$154=W120),FALSE),12))))), "N")</f>
        <v/>
      </c>
      <c r="BT120" s="184" t="str">
        <f>IF(J120="", "", IF(AND(OR(W120="Freezer case Lighting", W120="Refrigerated Case Lighting with Doors"),'General Information'!$X$18="LCI"), "N", IF(OR(VLOOKUP(J120, 'Fixture Identities'!$A$6:$B$1023, 2, FALSE)="T12 EPACT/EISA Baseline", VLOOKUP(J120, 'Fixture Identities'!$A$6:$B$1023, 2, FALSE)="Linear Fluorescent", VLOOKUP(J120, 'Fixture Identities'!$A$6:$B$1023, 2, FALSE)="U-Tube Fluorescent"), "Y", "N")))</f>
        <v/>
      </c>
      <c r="BU120" s="184" t="str">
        <f>IFERROR(IF(B120="", "", IF(VLOOKUP(J120, 'Fixture Identities'!$A$6:$B$1023, 2, FALSE)="Exit Sign", "Y", "N")), "N")</f>
        <v/>
      </c>
      <c r="BV120" s="184" t="str">
        <f>IF(V120="Exit Signs", IF(VLOOKUP(J120, 'Fixture Identities'!$A$6:$B$1023, 2, FALSE)="Exit Sign", "N", "Y"), "")</f>
        <v/>
      </c>
      <c r="BW120" s="184" t="str">
        <f t="array" ref="BW120">IFERROR(IF(B120="", "", IF(B120="New Construction", "N", INDEX('Lookup Tables'!$AH$6:$AU$102, MATCH(1, ('Lookup Tables'!$AH$6:$AH$102='Lighting Inventory'!V120)*('Lookup Tables'!$AI$6:$AI$102='Lighting Inventory'!W120), 0), 14))), "N")</f>
        <v/>
      </c>
      <c r="BX120" s="598" t="str">
        <f t="shared" si="360"/>
        <v/>
      </c>
      <c r="BY120" s="598" t="str">
        <f t="shared" si="361"/>
        <v/>
      </c>
      <c r="BZ120" s="598" t="str">
        <f t="shared" si="362"/>
        <v/>
      </c>
      <c r="CA120" s="598" t="str">
        <f t="shared" si="363"/>
        <v/>
      </c>
      <c r="CB120" s="269" t="str">
        <f t="shared" si="364"/>
        <v/>
      </c>
      <c r="CC120" s="517" t="str">
        <f t="shared" si="365"/>
        <v/>
      </c>
      <c r="CD120" s="565" t="str">
        <f t="shared" si="305"/>
        <v/>
      </c>
      <c r="CE120" s="368">
        <v>0</v>
      </c>
      <c r="CF120" s="368" t="str" cm="1">
        <f t="array" ref="CF120">IFERROR(IF(V120="Custom", "$0.1 per kWh", IF(B120="New Construction", CONCATENATE("$",INDEX('Lookup Tables'!$AH$114:$AN$154,MATCH(1,('Lookup Tables'!$AH$114:$AH$154='Lighting Inventory'!V120)*('Lookup Tables'!$AI$114:$AI$154='Lighting Inventory'!W120),FALSE),6)," ",INDEX('Lookup Tables'!$AH$114:$AN$154,MATCH(1,('Lookup Tables'!$AH$114:$AH$154='Lighting Inventory'!V120)*('Lookup Tables'!$AI$114:$AI$154='Lighting Inventory'!W120),FALSE),7)), IF(AND(BU120="N", V120="Exit Signs"), "$0.025 per kWh", CONCATENATE("$",INDEX('Lookup Tables'!$AH$6:$AN$102,MATCH(1,('Lookup Tables'!$AH$6:$AH$102='Lighting Inventory'!V120)*('Lookup Tables'!$AI$6:$AI$102='Lighting Inventory'!W120),FALSE),6)," ",INDEX('Lookup Tables'!$AH$6:$AN$102,MATCH(1,('Lookup Tables'!$AH$6:$AH$102='Lighting Inventory'!V120)*('Lookup Tables'!$AI$6:$AI$102='Lighting Inventory'!W120),FALSE),7))))), "")</f>
        <v/>
      </c>
      <c r="CG120" s="366"/>
      <c r="CH120" s="248" t="str">
        <f t="shared" si="306"/>
        <v/>
      </c>
      <c r="CI120" s="248" t="str">
        <f t="shared" si="307"/>
        <v>Select_IE</v>
      </c>
      <c r="CJ120" s="248" t="str">
        <f t="shared" si="308"/>
        <v/>
      </c>
      <c r="CK120" s="248" t="str">
        <f t="shared" si="309"/>
        <v/>
      </c>
      <c r="CL120" s="248" t="str">
        <f t="shared" si="310"/>
        <v/>
      </c>
      <c r="CM120" s="248" t="str">
        <f>IFERROR(IF(B120="", "", IF(B120="New Construction", VLOOKUP(V120, 'Lookup Tables'!$AF$114:$AG$120, 2, FALSE), VLOOKUP(V120, 'Lookup Tables'!$AD$6:$AE$25, 2, FALSE))), "")</f>
        <v/>
      </c>
      <c r="CN120" s="248" t="str">
        <f t="shared" si="311"/>
        <v/>
      </c>
      <c r="CO120" s="248" t="str">
        <f t="shared" si="312"/>
        <v/>
      </c>
      <c r="CP120" s="592" t="str">
        <f t="shared" si="313"/>
        <v/>
      </c>
      <c r="CQ120" s="248" t="str">
        <f t="shared" si="366"/>
        <v/>
      </c>
      <c r="CR120" s="100"/>
      <c r="CS120" s="250" t="str">
        <f t="shared" si="314"/>
        <v/>
      </c>
      <c r="CT120" s="250" t="str">
        <f t="shared" si="367"/>
        <v/>
      </c>
      <c r="CU120" s="250" t="str">
        <f t="shared" si="368"/>
        <v/>
      </c>
      <c r="CV120" s="250" t="str">
        <f t="shared" si="369"/>
        <v/>
      </c>
      <c r="CW120" s="250" t="str">
        <f t="shared" si="370"/>
        <v/>
      </c>
      <c r="CX120" s="250" t="str">
        <f t="shared" si="315"/>
        <v/>
      </c>
      <c r="CY120" s="250" t="str">
        <f t="shared" si="316"/>
        <v/>
      </c>
      <c r="CZ120" s="250" t="str">
        <f t="shared" si="317"/>
        <v/>
      </c>
      <c r="DA120" s="250" t="str">
        <f t="shared" si="318"/>
        <v/>
      </c>
      <c r="DB120" s="250" t="str">
        <f t="shared" si="319"/>
        <v/>
      </c>
      <c r="DC120" s="250" t="str">
        <f t="shared" si="320"/>
        <v/>
      </c>
      <c r="DD120" s="250" t="str">
        <f t="shared" si="321"/>
        <v/>
      </c>
      <c r="DE120" s="250" t="str">
        <f t="shared" si="322"/>
        <v/>
      </c>
      <c r="DF120" s="250" t="str">
        <f t="shared" si="323"/>
        <v/>
      </c>
      <c r="DG120" s="250" t="str">
        <f t="shared" si="324"/>
        <v/>
      </c>
      <c r="DH120" s="250" t="str">
        <f t="shared" si="325"/>
        <v/>
      </c>
      <c r="DI120" s="250" t="str">
        <f t="shared" si="326"/>
        <v/>
      </c>
      <c r="DJ120" s="250" t="str">
        <f t="shared" si="327"/>
        <v/>
      </c>
      <c r="DK120" s="250" t="str">
        <f t="shared" si="328"/>
        <v/>
      </c>
      <c r="DL120" s="250" t="str">
        <f t="shared" si="329"/>
        <v/>
      </c>
      <c r="DM120" s="250" t="str">
        <f>IF(CD120="ERROR", "ERROR", IF(AND(OR(Y120=$DM$6, Y120='Lookup Tables'!$AD$21, Y120='Lookup Tables'!$AD$22), E120="Interior"), BJ120, ""))</f>
        <v/>
      </c>
      <c r="DN120" s="250" t="str">
        <f>IF(CD120="ERROR", "ERROR", IF(AND(OR(Y120=$DM$6, Y120='Lookup Tables'!$AD$21, Y120='Lookup Tables'!$AD$22), E120="Exterior"), BJ120, ""))</f>
        <v/>
      </c>
      <c r="DO120" s="100"/>
      <c r="DP120" s="250" t="str">
        <f t="shared" si="330"/>
        <v/>
      </c>
      <c r="DQ120" s="250" t="str">
        <f t="shared" si="371"/>
        <v/>
      </c>
      <c r="DR120" s="250" t="str">
        <f t="shared" si="372"/>
        <v/>
      </c>
      <c r="DS120" s="250" t="str">
        <f t="shared" si="373"/>
        <v/>
      </c>
      <c r="DT120" s="250" t="str">
        <f t="shared" si="374"/>
        <v/>
      </c>
      <c r="DU120" s="250" t="str">
        <f t="shared" si="331"/>
        <v/>
      </c>
      <c r="DV120" s="250" t="str">
        <f t="shared" si="332"/>
        <v/>
      </c>
      <c r="DW120" s="250" t="str">
        <f t="shared" si="333"/>
        <v/>
      </c>
      <c r="DX120" s="250" t="str">
        <f t="shared" si="334"/>
        <v/>
      </c>
      <c r="DY120" s="250" t="str">
        <f t="shared" si="335"/>
        <v/>
      </c>
      <c r="DZ120" s="250" t="str">
        <f t="shared" si="336"/>
        <v/>
      </c>
      <c r="EA120" s="250" t="str">
        <f t="shared" si="337"/>
        <v/>
      </c>
      <c r="EB120" s="250" t="str">
        <f t="shared" si="375"/>
        <v/>
      </c>
      <c r="EC120" s="250" t="str">
        <f t="shared" si="338"/>
        <v/>
      </c>
      <c r="ED120" s="250" t="str">
        <f t="shared" si="339"/>
        <v/>
      </c>
      <c r="EE120" s="250" t="str">
        <f t="shared" si="340"/>
        <v/>
      </c>
      <c r="EF120" s="250" t="str">
        <f t="shared" si="341"/>
        <v/>
      </c>
      <c r="EG120" s="250" t="str">
        <f t="shared" si="342"/>
        <v/>
      </c>
      <c r="EH120" s="250" t="str">
        <f>IF(CD120="ERROR", "ERROR", IF(AND(OR($EH$6=Y120, Y120='Lookup Tables'!$AD$21, Y120='Lookup Tables'!$AD$22),E120="Interior"), SUM(BP120:BP120), ""))</f>
        <v/>
      </c>
      <c r="EI120" s="250" t="str">
        <f>IF(CD120="ERROR", "ERROR", IF(AND(OR($EH$6=Y120, Y120='Lookup Tables'!$AD$21, Y120='Lookup Tables'!$AD$22),E120="Exterior"), SUM(BP120:BP120), ""))</f>
        <v/>
      </c>
      <c r="EJ120" s="109"/>
      <c r="EK120" s="485" t="str">
        <f t="shared" si="343"/>
        <v/>
      </c>
      <c r="EL120" s="252" t="str">
        <f t="shared" si="376"/>
        <v/>
      </c>
      <c r="EM120" s="252" t="str">
        <f t="shared" si="377"/>
        <v/>
      </c>
      <c r="EN120" s="252" t="str">
        <f t="shared" si="378"/>
        <v/>
      </c>
      <c r="EO120" s="252" t="str">
        <f t="shared" si="379"/>
        <v/>
      </c>
      <c r="EP120" s="252" t="str">
        <f t="shared" si="380"/>
        <v/>
      </c>
      <c r="EQ120" s="252" t="str">
        <f t="shared" si="381"/>
        <v/>
      </c>
      <c r="ER120" s="252" t="str">
        <f t="shared" si="382"/>
        <v/>
      </c>
      <c r="ES120" s="252" t="str">
        <f t="shared" si="383"/>
        <v/>
      </c>
      <c r="ET120" s="252" t="str">
        <f t="shared" si="384"/>
        <v/>
      </c>
      <c r="EU120" s="252" t="str">
        <f t="shared" si="385"/>
        <v/>
      </c>
      <c r="EV120" s="252" t="str">
        <f t="shared" si="386"/>
        <v/>
      </c>
      <c r="EW120" s="252" t="str">
        <f t="shared" si="387"/>
        <v/>
      </c>
      <c r="EX120" s="252" t="str">
        <f t="shared" si="388"/>
        <v/>
      </c>
      <c r="EY120" s="252" t="str">
        <f t="shared" si="389"/>
        <v/>
      </c>
      <c r="EZ120" s="252" t="str">
        <f t="shared" si="390"/>
        <v/>
      </c>
      <c r="FA120" s="252" t="str">
        <f t="shared" si="391"/>
        <v/>
      </c>
      <c r="FB120" s="252" t="str">
        <f t="shared" si="392"/>
        <v/>
      </c>
      <c r="FC120" s="252" t="str">
        <f>IF(CD120="ERROR", "ERROR", IF(OR(V120="No Change", V120="Not DLC or Energy Star"), "", IF(AND(OR($FC$6=Y120,Y120='Lookup Tables'!$AD$21, Y120='Lookup Tables'!$AD$22),E120="Interior"), S120, "")))</f>
        <v/>
      </c>
      <c r="FD120" s="252" t="str">
        <f t="shared" si="393"/>
        <v/>
      </c>
      <c r="FE120" s="101"/>
      <c r="FF120" s="579" t="str" cm="1">
        <f t="array" ref="FF120">IFERROR(IF(OR(BQ120&lt;=0,AQ120&lt;20,AND(V120="Exit Signs",AN120&gt;0)),"",IF(AND(AQ120&gt;=20,AN120='Lookup Tables'!$R$101),'Lookup Tables'!$U$101*BQ120,AP120*LOOKUP(2,1/((AN120='Lookup Tables'!$R$91:$R$111)*(AQ120&gt;='Lookup Tables'!$S$91:$S$111)*(AQ120&lt;='Lookup Tables'!$T$91:$T$111)),'Lookup Tables'!$U$91:$U$111))),"")</f>
        <v/>
      </c>
      <c r="FG120" s="579"/>
      <c r="FH120" s="579"/>
      <c r="FI120" s="253" t="str">
        <f>IFERROR(ROUND(IF(CD120="ERROR", "ERROR", IF(AND($FI$7=X120,E120="Interior"),VLOOKUP(W120, 'Lookup Tables'!$AI$6:$AM$102, 5, FALSE)*BP120, "")), 2), "")</f>
        <v/>
      </c>
      <c r="FJ120" s="253" t="str">
        <f>IFERROR(ROUND(IF(CD120="ERROR", "ERROR", IF(AND($FI$7=X120,E120="Exterior"),VLOOKUP(W120, 'Lookup Tables'!$AI$6:$AM$102, 5, FALSE)*BP120, "")), 2), "")</f>
        <v/>
      </c>
      <c r="FK120" s="253" t="str">
        <f>IFERROR(ROUND(IF(CD120="ERROR", "ERROR", IF(AND($FK$7=X120,E120="Interior"),VLOOKUP(W120, 'Lookup Tables'!$AI$6:$AM$102, 5, FALSE)*BP120, "")), 2), "")</f>
        <v/>
      </c>
      <c r="FL120" s="253" t="str">
        <f>IFERROR(ROUND(IF(CD120="ERROR", "ERROR", IF(AND($FK$7=X120,E120="Exterior"),VLOOKUP(W120, 'Lookup Tables'!$AI$6:$AM$102, 5, FALSE)*BP120, "")), 2), "")</f>
        <v/>
      </c>
      <c r="FM120" s="253" t="str">
        <f>IFERROR(ROUND(IF(CD120="ERROR", "ERROR", IF(AND($FM$6=Y120,E120="Interior"), IF(GB120=0, VLOOKUP(W120, 'Lookup Tables'!$AI$6:$AM$102, 5, FALSE)*BP120, IF(VLOOKUP(W120, 'Lookup Tables'!$AI$6:$AM$102, 5, FALSE)*BP120&gt;GB120*'Lighting Inventory'!S120, GB120*'Lighting Inventory'!S120,VLOOKUP(W120, 'Lookup Tables'!$AI$6:$AM$102, 5, FALSE)*BP120)), "")), 2), "")</f>
        <v/>
      </c>
      <c r="FN120" s="253" t="str">
        <f>IFERROR(ROUND(IF(CD120="ERROR", "ERROR", IF(AND($FM$6=Y120,E120="Exterior"), IF(GB120=0, VLOOKUP(W120, 'Lookup Tables'!$AI$6:$AM$102, 5, FALSE)*BP120, IF(VLOOKUP(W120, 'Lookup Tables'!$AI$6:$AM$102, 5, FALSE)*BP120&gt;GB120*'Lighting Inventory'!S120, GB120*'Lighting Inventory'!S120,VLOOKUP(W120, 'Lookup Tables'!$AI$6:$AM$102, 5, FALSE)*BP120)), "")), 2), "")</f>
        <v/>
      </c>
      <c r="FO120" s="253" t="str">
        <f>IFERROR(ROUND(IF(CD120="ERROR", "ERROR", IF(AND($FO$6=Y120,E120="Interior"),VLOOKUP(W120, 'Lookup Tables'!$AI$6:$AM$102, 5, FALSE)*'Lighting Inventory'!AI120, "")), 2), "")</f>
        <v/>
      </c>
      <c r="FP120" s="253" t="str">
        <f>IFERROR(ROUND(IF(CD120="ERROR", "ERROR", IF(AND($FO$6=Y120,E120="Exterior"),VLOOKUP(W120, 'Lookup Tables'!$AI$6:$AM$102, 5, FALSE)*'Lighting Inventory'!AI120, "")), 2), "")</f>
        <v/>
      </c>
      <c r="FQ120" s="253" t="str">
        <f>IFERROR(ROUND(IF(CD120="ERROR", "ERROR", IF(AND($FQ$6=Y120,E120="Interior", BU120="Y"), VLOOKUP('Lighting Inventory'!W120, 'Lookup Tables'!$AI$6:$AM$102, 5, FALSE)*'Lighting Inventory'!S120, IF(AND($FQ$7=Y120,E120="Interior", BU120="N"), 0.025*CD120, ""))), 2), "")</f>
        <v/>
      </c>
      <c r="FR120" s="253" t="str">
        <f>IFERROR(ROUND(IF(CD120="ERROR", "ERROR", IF(AND($FQ$6=Y120,E120="Exterior"), VLOOKUP('Lighting Inventory'!W120, 'Lookup Tables'!$AI$6:$AM$102, 5, FALSE)*'Lighting Inventory'!S120, "")), 2), "")</f>
        <v/>
      </c>
      <c r="FS120" s="253" t="str">
        <f>IFERROR(ROUND(IF(CD120="ERROR", "ERROR", IF(AND($FS$6=Y120,E120="Exterior"), IF(GB120=0, VLOOKUP(W120, 'Lookup Tables'!$AI$6:$AM$102, 5, FALSE)*BP120, IF(VLOOKUP(W120, 'Lookup Tables'!$AI$6:$AM$102, 5, FALSE)*BP120&gt;GB120*'Lighting Inventory'!S120, GB120*'Lighting Inventory'!S120,VLOOKUP(W120, 'Lookup Tables'!$AI$6:$AM$102, 5, FALSE)*BP120)), "")), 2), "")</f>
        <v/>
      </c>
      <c r="FT120" s="253" t="str">
        <f>IFERROR(ROUND(IF(CD120="ERROR", "ERROR", IF(AND($FT$6=Y120,E120="Interior"), IF(GB120=0, VLOOKUP(W120, 'Lookup Tables'!$AI$6:$AM$102, 5, FALSE)*BP120, IF(VLOOKUP(W120, 'Lookup Tables'!$AI$6:$AM$102, 5, FALSE)*BP120&gt;GB120*'Lighting Inventory'!S120, GB120*'Lighting Inventory'!S120,VLOOKUP(W120, 'Lookup Tables'!$AI$6:$AM$102, 5, FALSE)*BP120)), "")), 2), "")</f>
        <v/>
      </c>
      <c r="FU120" s="253" t="str">
        <f>IFERROR(ROUND(IF(CD120="ERROR", "ERROR", IF(AND(Y120=$FU$6, E120="Interior"), IF(BS120="N", 'Lookup Tables'!$AM$101*BP120, VLOOKUP(W120, 'Lookup Tables'!$AI$6:$AM$102, 5, FALSE)*S120*AD120), "")), 2), "")</f>
        <v/>
      </c>
      <c r="FV120" s="253" t="str">
        <f>IFERROR(ROUND(IF(CD120="ERROR", "ERROR", IF(AND(Y120=$FU$6, E120="Exterior"), IF(BS120="N", 'Lookup Tables'!$AM$101*BP120, VLOOKUP(W120, 'Lookup Tables'!$AI$6:$AM$102, 5, FALSE)*S120*AD120), "")), 2), "")</f>
        <v/>
      </c>
      <c r="FW120" s="253" t="str">
        <f>IFERROR(ROUND(IF(CD120="ERROR", "ERROR", IF($FW$6=Y120, IF(BS120="N", 'Lookup Tables'!$AM$101*BP120, MIN((VLOOKUP(W120, 'Lookup Tables'!$AI$6:$AM$102, 5, FALSE)*BP120),GB120*AJ120)), "")), 2), "")</f>
        <v/>
      </c>
      <c r="FX120" s="253" t="str">
        <f>IFERROR(ROUND(IF(CD120="ERROR", "ERROR", IF(AND($FX$6=Y120, E120="Interior"), IF(VLOOKUP(W120, 'Lookup Tables'!$AI$6:$AM$102, 5, FALSE)*BP120&gt;'Lookup Tables'!$AQ$97*'Lighting Inventory'!S120,'Lighting Inventory'!S120*'Lookup Tables'!$AQ$97,VLOOKUP(W120, 'Lookup Tables'!$AI$6:$AM$102, 5, FALSE)*BP120), "")), 2), "")</f>
        <v/>
      </c>
      <c r="FY120" s="253" t="str">
        <f>IFERROR(ROUND(IF(CD120="ERROR", "ERROR", IF(AND($FX$6=Y120, E120="Exterior"), IF(VLOOKUP(W120, 'Lookup Tables'!$AI$6:$AM$102, 5, FALSE)*BP120&gt;'Lookup Tables'!$AQ$97*'Lighting Inventory'!S120,'Lighting Inventory'!S120*'Lookup Tables'!$AQ$97,VLOOKUP(W120, 'Lookup Tables'!$AI$6:$AM$102, 5, FALSE)*BP120), "")), 2), "")</f>
        <v/>
      </c>
      <c r="FZ120" s="253" t="str">
        <f>IFERROR(ROUND(IF(CD120="ERROR", "ERROR", IF(AND($FZ$6=Y120, E120="Interior"), IF(AND(OR(W120="Refrigerated Case Lighting with Doors", W120="Freezer Case Lighting"),Y120="Custom - Process Improvement"),CD120*'Lookup Tables'!$AM$101, IF(B120="Retrofit", IF(VLOOKUP(IF(V120="Custom", V120, W120), 'Lookup Tables'!$AI$6:$AM$102, 5, FALSE)*BP120&gt;GE120, GE120, VLOOKUP(IF(V120="Custom", V120, W120), 'Lookup Tables'!$AI$6:$AM$102, 5, FALSE)*BP120), IF(VLOOKUP(IF(V120="Custom", V120, W120), 'Lookup Tables'!$AI$114:$AM$154, 5, FALSE)*BP120&gt;GE120, GE120, VLOOKUP(IF(V120="Custom", V120, W120), 'Lookup Tables'!$AI$114:$AM$154, 5, FALSE)*BP120))), "")), 2),"")</f>
        <v/>
      </c>
      <c r="GA120" s="253" t="str">
        <f>IFERROR(ROUND(IF(CD120="ERROR", "ERROR", IF(AND($FZ$6=Y120, E120="Exterior"), IF(B120="Retrofit", IF(VLOOKUP(IF(V120="Custom", V120, W120), 'Lookup Tables'!$AI$6:$AM$102, 5, FALSE)*BP120&gt;GE120, GE120, VLOOKUP(IF(V120="Custom", V120, W120), 'Lookup Tables'!$AI$6:$AM$102, 5, FALSE)*BP120), IF(VLOOKUP(IF(V120="Custom", V120, W120), 'Lookup Tables'!$AI$114:$AM$154, 5, FALSE)*BP120&gt;GE120, GE120, VLOOKUP(IF(V120="Custom", V120, W120), 'Lookup Tables'!$AI$114:$AM$154, 5, FALSE)*BP120)), "")), 2),"")</f>
        <v/>
      </c>
      <c r="GB120" s="254" t="str">
        <f t="array" ref="GB120">IF(B120="","",IF(OR(V120="Custom",V120="No Change"),0,IF(B120="Retrofit", INDEX('Lookup Tables'!$AH$6:$AQ$102,MATCH(1,('Lookup Tables'!$AH$6:$AH$102='Lighting Inventory'!V120)*('Lookup Tables'!$AI$6:$AI$102='Lighting Inventory'!W120),FALSE),10),INDEX('Lookup Tables'!$AH$114:$AQ$154,MATCH(1,('Lookup Tables'!$AH$114:$AH$154='Lighting Inventory'!V120)*('Lookup Tables'!$AI$114:$AI$154='Lighting Inventory'!W120),FALSE),10))))</f>
        <v/>
      </c>
      <c r="GC120" s="255" t="str">
        <f t="shared" si="344"/>
        <v/>
      </c>
      <c r="GD120" s="250" t="str">
        <f t="shared" si="345"/>
        <v/>
      </c>
      <c r="GE120" s="253" t="str">
        <f>IFERROR(IF(AND(AF120="", 'General Information'!$F$18="No"),"", IF(AF120="", ((GD120/$CD$266)*$CF$266)*0.5, AF120*S120*0.5)), "")</f>
        <v/>
      </c>
      <c r="GF120" s="255" t="str">
        <f>IF(AND('General Information'!$F$19="", 'General Information'!$F$18="Yes",AF120="",BW120="Y"), "Y", "N")</f>
        <v>N</v>
      </c>
      <c r="GG120" s="255" t="s">
        <v>2946</v>
      </c>
      <c r="GH120" s="255" t="str">
        <f>IFERROR(IF(B120="", "", VLOOKUP(J120, 'Fixture Identities'!$A$6:$N$908, 14, FALSE)), "")</f>
        <v/>
      </c>
      <c r="GI120" s="389" t="str">
        <f>IF(OR(B120="", V120="", W120=""), "", IF(AND(OR(M120='Lookup Tables'!$R$18, M120='Lookup Tables'!$R$19, M120='Lookup Tables'!$R$20, M120='Lookup Tables'!$R$21, M120='Lookup Tables'!$R$22), OR(AN120='Lookup Tables'!$R$17, AN120='Lookup Tables'!$R$17, AN120="")), "Y", "N"))</f>
        <v/>
      </c>
      <c r="GJ120" s="255" t="str">
        <f t="shared" si="346"/>
        <v/>
      </c>
      <c r="GK120" s="255" t="str">
        <f t="shared" si="347"/>
        <v/>
      </c>
      <c r="GL120" s="255" t="str">
        <f t="shared" si="348"/>
        <v/>
      </c>
      <c r="GM120" s="255" t="str">
        <f>IF(AN120="", "", IF(AND(IF(ISNA(VLOOKUP(AN120,'Lookup Tables'!$R$18:$R$22,1,FALSE)), "N", "Y")="Y", E120="Exterior"), "Y", "N"))</f>
        <v/>
      </c>
      <c r="GN120" s="395"/>
      <c r="GO120" s="428">
        <f t="shared" si="394"/>
        <v>0</v>
      </c>
      <c r="GP120" s="428">
        <f t="shared" si="397"/>
        <v>0</v>
      </c>
      <c r="GQ120" s="428">
        <f t="shared" si="395"/>
        <v>0</v>
      </c>
      <c r="GR120" s="428">
        <f t="shared" si="396"/>
        <v>0</v>
      </c>
    </row>
    <row r="121" spans="1:200" s="103" customFormat="1" ht="13.5" customHeight="1" x14ac:dyDescent="0.2">
      <c r="A121" s="272">
        <v>111</v>
      </c>
      <c r="B121" s="110"/>
      <c r="C121" s="110"/>
      <c r="D121" s="110"/>
      <c r="E121" s="110"/>
      <c r="F121" s="110"/>
      <c r="G121" s="110"/>
      <c r="H121" s="110"/>
      <c r="I121" s="29"/>
      <c r="J121" s="29"/>
      <c r="K121" s="272" t="str">
        <f>IFERROR(IF(OR(VLOOKUP(J121, 'Fixture Identities'!$A$6:$L$1023, 3, FALSE)="T12 Linear Fluorescent", VLOOKUP(J121, 'Fixture Identities'!$A$6:$L$1023, 3, FALSE)="T12 U-Tube Fluorescent"), VLOOKUP(VLOOKUP(J121, 'Fixture Identities'!$A$6:$L$1023, 11, FALSE), 'Fixture Identities'!$A$6:$L$1023, 10, FALSE), VLOOKUP(J121, 'Fixture Identities'!$A$6:$L$1023, 10, FALSE)), "")</f>
        <v/>
      </c>
      <c r="L121" s="270" t="str">
        <f t="shared" si="399"/>
        <v/>
      </c>
      <c r="M121" s="110"/>
      <c r="N121" s="110"/>
      <c r="O121" s="110"/>
      <c r="P121" s="272" t="str">
        <f>IFERROR(IF(OR(B121="Retrofit",B121=""),"",IF('Lighting Inventory'!E121="Exterior",VLOOKUP('Lighting Inventory'!N121,'Lookup Tables'!$B$83:$F$103,5,FALSE),IF(N121="Other - Please Estimate EFLH and CFs","Contact Prog. Rep.","ft^2"))), "")</f>
        <v/>
      </c>
      <c r="Q121" s="270" t="str">
        <f>IFERROR(IF(AND(B121="New Construction",E121="Interior",$F$5="Space-by-Space"),VLOOKUP('Lighting Inventory'!N121,'Lookup Tables'!$N$6:$O$97,2,FALSE),IF(AND(B121="New Construction",E121="Exterior"),VLOOKUP(N121,'Lookup Tables'!$B$83:$F$103,2,FALSE),IF(AND(B121="New Construction",'Lighting Inventory'!E121="Interior", $F$5="Building Area"),VLOOKUP(F121,'Lookup Tables'!$A$6:$J$59,10,FALSE),""))), "")</f>
        <v/>
      </c>
      <c r="R121" s="270" t="str">
        <f>IFERROR(IF(P121="Contact Prog. Rep.", "ERROR", IF(OR(B121="",B121="Retrofit"),"",IF(N121="Automated teller machines", ('Lookup Tables'!$A$82:$E$100+('Lighting Inventory'!O121-1)*'Lookup Tables'!$A$82:$E$100)/1000, (Q121*O121)/1000))), "")</f>
        <v/>
      </c>
      <c r="S121" s="595"/>
      <c r="T121" s="105" t="str">
        <f t="shared" si="349"/>
        <v/>
      </c>
      <c r="U121" s="105" t="str">
        <f>IF(S121="","",COUNT($S$11:S121))</f>
        <v/>
      </c>
      <c r="V121" s="111"/>
      <c r="W121" s="112"/>
      <c r="X121" s="105" t="str">
        <f t="shared" si="350"/>
        <v/>
      </c>
      <c r="Y121" s="105" t="str">
        <f t="array" ref="Y121">IF(AND(OR(W121="Freezer Case Lighting", W121="Refrigerated Case Lighting with Doors"), 'General Information'!$X$18="LCI"),'Lookup Tables'!$Y$34, IF(V121="Custom", VLOOKUP(W121, 'Fixture Identities'!$A$974:$M$1023, 13, FALSE), IF(V121="No Change",'Lookup Tables'!$Y$29,IF(OR(V121="",W121=""),"",IF(AND(S121=0,S121&lt;I121,B121="Retrofit"),'Lookup Tables'!$Y$25, IF(B121="Retrofit", INDEX('Lookup Tables'!$AH$6:$AP$102, MATCH(1, ('Lookup Tables'!$AH$6:$AH$102=V121)*('Lookup Tables'!$AI$6:$AI$102=W121), 0), IF('Lighting Inventory'!E121="Interior", 4, 5)), INDEX('Lookup Tables'!$AH$114:$AP$154, MATCH(1, ('Lookup Tables'!$AH$114:$AH$154=V121)*('Lookup Tables'!$AI$114:$AI$154=W121), 0), IF('Lighting Inventory'!E121="Interior", 4, 5))))))))</f>
        <v/>
      </c>
      <c r="Z121" s="105" t="str">
        <f>IFERROR(INDEX('Lookup Tables'!$AH$158:$AH$172,MATCH('Lighting Inventory'!Y121,'Lookup Tables'!$AI$158:$AI$172,0)),"")</f>
        <v/>
      </c>
      <c r="AA121" s="105" t="str">
        <f>IF(AP121&gt;0,INDEX('Lookup Tables'!$AK$158:$AK$172,MATCH('Lighting Inventory'!Y121,'Lookup Tables'!$AI$158:$AI$172,0)),'Lighting Inventory'!Y121)</f>
        <v/>
      </c>
      <c r="AB121" s="105" t="str">
        <f t="array" ref="AB121">IF(V121="Custom", "Custom", IF(V121="", "", IF(V121="Not DLC or Energy Star", "General", IF(B121="New Construction", INDEX('Lookup Tables'!$AH$114:$AP$154,MATCH(1,('Lookup Tables'!$AH$114:$AH$154='Lighting Inventory'!V121)*('Lookup Tables'!$AI$114:$AI$154='Lighting Inventory'!W121),FALSE),8), INDEX('Lookup Tables'!$AH$6:$AP$102,MATCH(1,('Lookup Tables'!$AH$6:$AH$102='Lighting Inventory'!V121)*('Lookup Tables'!$AI$6:$AI$102='Lighting Inventory'!W121),FALSE),8)))))</f>
        <v/>
      </c>
      <c r="AC121" s="272" t="str">
        <f>IF(W121="","",IF(V121="Custom",CONCATENATE("$",'Lookup Tables'!$AM$101," ",'Lookup Tables'!$AN$101),CONCATENATE("$",INDEX('Lookup Tables'!$AM$6:$AM$102,MATCH('Lighting Inventory'!W121,'Lookup Tables'!$AI$6:$AI$102,0))," ",INDEX('Lookup Tables'!$AN$6:$AN$102,MATCH('Lighting Inventory'!W121,'Lookup Tables'!$AI$6:$AI$102,0)))))</f>
        <v/>
      </c>
      <c r="AD121" s="72"/>
      <c r="AE121" s="29"/>
      <c r="AF121" s="379"/>
      <c r="AG121" s="370" t="str">
        <f t="shared" si="298"/>
        <v/>
      </c>
      <c r="AH121" s="370" t="str">
        <f t="shared" si="351"/>
        <v/>
      </c>
      <c r="AI121" s="29"/>
      <c r="AJ121" s="29"/>
      <c r="AK121" s="110"/>
      <c r="AL121" s="375" t="str">
        <f>IF(OR(B121="", V121="", W121=""), "", IF(V121="No Change", K121, IF(V121="Remove Fixture", 0, IF(V121="Custom",VLOOKUP(W121,'Fixture Identities'!$A$6:$K$1023,10,FALSE),IF(AE121="", "← ENTER POST WATTS", 'Lighting Inventory'!AE121)))))</f>
        <v/>
      </c>
      <c r="AM121" s="376" t="str">
        <f t="shared" si="299"/>
        <v/>
      </c>
      <c r="AN121" s="29"/>
      <c r="AO121" s="671"/>
      <c r="AP121" s="29"/>
      <c r="AQ121" s="29"/>
      <c r="AR121" s="29"/>
      <c r="AS121" s="272" t="str">
        <f t="shared" si="352"/>
        <v/>
      </c>
      <c r="AT121" s="270" t="str">
        <f t="shared" si="300"/>
        <v/>
      </c>
      <c r="AU121" s="88" t="str">
        <f t="shared" si="400"/>
        <v/>
      </c>
      <c r="AV121" s="29"/>
      <c r="AW121" s="73"/>
      <c r="AX121" s="271" t="str">
        <f>IF(AND(AV121="Applicant",OR(AW121="", AW121="Use Default Facility Hours")),"← Choose Schedule",IF(F121="","",IF(W121="LED Exit Signs",8760,IF(OR(AV121="Prescribed",AV121=""),VLOOKUP(F121,'Lookup Tables'!$A$6:$G$59,IF(AB121="General", 6, 3),FALSE),VLOOKUP(AW121,'Lookup Tables'!$S$36:$U$43,2,FALSE)))))</f>
        <v/>
      </c>
      <c r="AY121" s="88" t="str">
        <f t="shared" si="301"/>
        <v/>
      </c>
      <c r="AZ121" s="270" t="str">
        <f>IFERROR(IF(F121="", "", IF(W121="LED Exit Signs", 1, IF(AV121="Applicant",VLOOKUP(AW121, 'Lookup Tables'!$S$36:$U$43,3, FALSE), VLOOKUP('Lighting Inventory'!F121, 'Lookup Tables'!$A$6:$H$59, IF('Lighting Inventory'!AB121="General",7,4), FALSE)))), "")</f>
        <v/>
      </c>
      <c r="BA121" s="522" t="str">
        <f>IFERROR(IF(F121="", "", IF(W121="LED Exit Signs", 1, VLOOKUP('Lighting Inventory'!F121, 'Lookup Tables'!$A$6:$H$59, IF('Lighting Inventory'!AB121="General",8,5), FALSE))), "")</f>
        <v/>
      </c>
      <c r="BB121" s="270" t="str">
        <f>IF(G121="", "", IF(E121="Exterior", 0, IF('Lighting Inventory'!G121="Air Conditioned", VLOOKUP(H121, 'Lookup Tables'!$R$6:$T$13, 2, FALSE), VLOOKUP('Lighting Inventory'!G121, 'Lookup Tables'!$R$6:$T$13, 2, FALSE))))</f>
        <v/>
      </c>
      <c r="BC121" s="522" t="str">
        <f>IF(G121="", "", IF(E121="Exterior", 0, IF('Lighting Inventory'!G121="Air Conditioned", VLOOKUP(H121, 'Lookup Tables'!$R$6:$T$13, 3, FALSE), VLOOKUP('Lighting Inventory'!G121, 'Lookup Tables'!$R$6:$T$13, 3, FALSE))))</f>
        <v/>
      </c>
      <c r="BD121" s="270" t="str">
        <f>IF(G121="", "", IF(E121="Exterior", 0, IF('Lighting Inventory'!G121="Air Conditioned", VLOOKUP(H121, 'Lookup Tables'!$R$6:$U$13, 4, FALSE), VLOOKUP('Lighting Inventory'!G121, 'Lookup Tables'!$R$6:$U$13, 4, FALSE))))</f>
        <v/>
      </c>
      <c r="BE121" s="270" t="str">
        <f>IFERROR(IF(B121="", "",  IF(B121="New Construction", VLOOKUP(F121, 'Lookup Tables'!$A$6:$K$59, 11, FALSE),IF(OR(AN121="", AN121="Light Switch"), 0, IF(OR(M121="",M121="None",V121= "LED Exit Signs"),0,_xlfn.XLOOKUP(M121,'Lookup Tables'!$R$91:$R$101,'Lookup Tables'!$V$91:$V$101))))), "")</f>
        <v/>
      </c>
      <c r="BF121" s="270" t="str">
        <f>IF(AND(OR(AN121="Light Switch",AN121=""),B121="New Construction"), VLOOKUP(F121, 'Lookup Tables'!$A$6:$K$59, 11, FALSE),IF(AN121="","",IF(B121="","",IF(OR(AN121="None",AN121="",V121="LED Exit Signs",AN121="Exterior Controls Not Eligible"),0,_xlfn.XLOOKUP(AN121,'Lookup Tables'!$R$91:$R$101,'Lookup Tables'!$V$91:$V$101)))))</f>
        <v/>
      </c>
      <c r="BG121" s="88" t="str">
        <f t="shared" si="353"/>
        <v/>
      </c>
      <c r="BH121" s="88" t="str">
        <f t="shared" si="354"/>
        <v/>
      </c>
      <c r="BI121" s="558" t="str">
        <f t="shared" si="398"/>
        <v/>
      </c>
      <c r="BJ121" s="82" t="str">
        <f t="shared" si="355"/>
        <v/>
      </c>
      <c r="BK121" s="82" t="str">
        <f t="shared" si="356"/>
        <v/>
      </c>
      <c r="BL121" s="559" t="str">
        <f t="shared" si="357"/>
        <v/>
      </c>
      <c r="BM121" s="521" t="str">
        <f t="shared" si="302"/>
        <v/>
      </c>
      <c r="BN121" s="521" t="str">
        <f t="shared" si="303"/>
        <v/>
      </c>
      <c r="BO121" s="522" t="str">
        <f t="shared" si="304"/>
        <v/>
      </c>
      <c r="BP121" s="83" t="str">
        <f t="shared" si="358"/>
        <v/>
      </c>
      <c r="BQ121" s="84" t="str">
        <f t="shared" si="359"/>
        <v/>
      </c>
      <c r="BR121" s="184" t="str">
        <f>IFERROR(IF(B121="", "", IF(OR(VLOOKUP(J121, 'Fixture Identities'!$A$6:$L$1023, 3, FALSE)="T12 Linear Fluorescent",VLOOKUP(J121, 'Fixture Identities'!$A$6:$L$1023, 3, FALSE)="T12 U-Tube Fluorescent"), "Y", "N")), "N")</f>
        <v/>
      </c>
      <c r="BS121" s="184" t="str">
        <f t="array" ref="BS121">IFERROR(IF(OR(B121="", V121="", W121=""), "", IF(V121="Custom", "N", IF(OR(W121="Freezer Case Lighting", W121="Refrigerated Case Lighting with Doors"), BT121, IF(B121="Retrofit", INDEX('Lookup Tables'!$AH$6:$AT$102,MATCH(1,('Lookup Tables'!$AH$6:$AH$102=V121)*('Lookup Tables'!$AI$6:$AI$102=W121),FALSE),IF(VLOOKUP(J121, 'Fixture Identities'!$A$6:$B$1023, 2, FALSE)="Incandescent",12, 13)), INDEX('Lookup Tables'!$AH$114:$AS$154,MATCH(1,('Lookup Tables'!$AH$114:$AH$154=V121)*('Lookup Tables'!$AI$114:$AI$154=W121),FALSE),12))))), "N")</f>
        <v/>
      </c>
      <c r="BT121" s="184" t="str">
        <f>IF(J121="", "", IF(AND(OR(W121="Freezer case Lighting", W121="Refrigerated Case Lighting with Doors"),'General Information'!$X$18="LCI"), "N", IF(OR(VLOOKUP(J121, 'Fixture Identities'!$A$6:$B$1023, 2, FALSE)="T12 EPACT/EISA Baseline", VLOOKUP(J121, 'Fixture Identities'!$A$6:$B$1023, 2, FALSE)="Linear Fluorescent", VLOOKUP(J121, 'Fixture Identities'!$A$6:$B$1023, 2, FALSE)="U-Tube Fluorescent"), "Y", "N")))</f>
        <v/>
      </c>
      <c r="BU121" s="184" t="str">
        <f>IFERROR(IF(B121="", "", IF(VLOOKUP(J121, 'Fixture Identities'!$A$6:$B$1023, 2, FALSE)="Exit Sign", "Y", "N")), "N")</f>
        <v/>
      </c>
      <c r="BV121" s="184" t="str">
        <f>IF(V121="Exit Signs", IF(VLOOKUP(J121, 'Fixture Identities'!$A$6:$B$1023, 2, FALSE)="Exit Sign", "N", "Y"), "")</f>
        <v/>
      </c>
      <c r="BW121" s="184" t="str">
        <f t="array" ref="BW121">IFERROR(IF(B121="", "", IF(B121="New Construction", "N", INDEX('Lookup Tables'!$AH$6:$AU$102, MATCH(1, ('Lookup Tables'!$AH$6:$AH$102='Lighting Inventory'!V121)*('Lookup Tables'!$AI$6:$AI$102='Lighting Inventory'!W121), 0), 14))), "N")</f>
        <v/>
      </c>
      <c r="BX121" s="598" t="str">
        <f t="shared" si="360"/>
        <v/>
      </c>
      <c r="BY121" s="598" t="str">
        <f t="shared" si="361"/>
        <v/>
      </c>
      <c r="BZ121" s="598" t="str">
        <f t="shared" si="362"/>
        <v/>
      </c>
      <c r="CA121" s="598" t="str">
        <f t="shared" si="363"/>
        <v/>
      </c>
      <c r="CB121" s="269" t="str">
        <f t="shared" si="364"/>
        <v/>
      </c>
      <c r="CC121" s="517" t="str">
        <f t="shared" si="365"/>
        <v/>
      </c>
      <c r="CD121" s="565" t="str">
        <f t="shared" si="305"/>
        <v/>
      </c>
      <c r="CE121" s="368">
        <v>0</v>
      </c>
      <c r="CF121" s="368" t="str" cm="1">
        <f t="array" ref="CF121">IFERROR(IF(V121="Custom", "$0.1 per kWh", IF(B121="New Construction", CONCATENATE("$",INDEX('Lookup Tables'!$AH$114:$AN$154,MATCH(1,('Lookup Tables'!$AH$114:$AH$154='Lighting Inventory'!V121)*('Lookup Tables'!$AI$114:$AI$154='Lighting Inventory'!W121),FALSE),6)," ",INDEX('Lookup Tables'!$AH$114:$AN$154,MATCH(1,('Lookup Tables'!$AH$114:$AH$154='Lighting Inventory'!V121)*('Lookup Tables'!$AI$114:$AI$154='Lighting Inventory'!W121),FALSE),7)), IF(AND(BU121="N", V121="Exit Signs"), "$0.025 per kWh", CONCATENATE("$",INDEX('Lookup Tables'!$AH$6:$AN$102,MATCH(1,('Lookup Tables'!$AH$6:$AH$102='Lighting Inventory'!V121)*('Lookup Tables'!$AI$6:$AI$102='Lighting Inventory'!W121),FALSE),6)," ",INDEX('Lookup Tables'!$AH$6:$AN$102,MATCH(1,('Lookup Tables'!$AH$6:$AH$102='Lighting Inventory'!V121)*('Lookup Tables'!$AI$6:$AI$102='Lighting Inventory'!W121),FALSE),7))))), "")</f>
        <v/>
      </c>
      <c r="CG121" s="366"/>
      <c r="CH121" s="248" t="str">
        <f t="shared" si="306"/>
        <v/>
      </c>
      <c r="CI121" s="248" t="str">
        <f t="shared" si="307"/>
        <v>Select_IE</v>
      </c>
      <c r="CJ121" s="248" t="str">
        <f t="shared" si="308"/>
        <v/>
      </c>
      <c r="CK121" s="248" t="str">
        <f t="shared" si="309"/>
        <v/>
      </c>
      <c r="CL121" s="248" t="str">
        <f t="shared" si="310"/>
        <v/>
      </c>
      <c r="CM121" s="248" t="str">
        <f>IFERROR(IF(B121="", "", IF(B121="New Construction", VLOOKUP(V121, 'Lookup Tables'!$AF$114:$AG$120, 2, FALSE), VLOOKUP(V121, 'Lookup Tables'!$AD$6:$AE$25, 2, FALSE))), "")</f>
        <v/>
      </c>
      <c r="CN121" s="248" t="str">
        <f t="shared" si="311"/>
        <v/>
      </c>
      <c r="CO121" s="248" t="str">
        <f t="shared" si="312"/>
        <v/>
      </c>
      <c r="CP121" s="592" t="str">
        <f t="shared" si="313"/>
        <v/>
      </c>
      <c r="CQ121" s="248" t="str">
        <f t="shared" si="366"/>
        <v/>
      </c>
      <c r="CR121" s="100"/>
      <c r="CS121" s="250" t="str">
        <f t="shared" si="314"/>
        <v/>
      </c>
      <c r="CT121" s="250" t="str">
        <f t="shared" si="367"/>
        <v/>
      </c>
      <c r="CU121" s="250" t="str">
        <f t="shared" si="368"/>
        <v/>
      </c>
      <c r="CV121" s="250" t="str">
        <f t="shared" si="369"/>
        <v/>
      </c>
      <c r="CW121" s="250" t="str">
        <f t="shared" si="370"/>
        <v/>
      </c>
      <c r="CX121" s="250" t="str">
        <f t="shared" si="315"/>
        <v/>
      </c>
      <c r="CY121" s="250" t="str">
        <f t="shared" si="316"/>
        <v/>
      </c>
      <c r="CZ121" s="250" t="str">
        <f t="shared" si="317"/>
        <v/>
      </c>
      <c r="DA121" s="250" t="str">
        <f t="shared" si="318"/>
        <v/>
      </c>
      <c r="DB121" s="250" t="str">
        <f t="shared" si="319"/>
        <v/>
      </c>
      <c r="DC121" s="250" t="str">
        <f t="shared" si="320"/>
        <v/>
      </c>
      <c r="DD121" s="250" t="str">
        <f t="shared" si="321"/>
        <v/>
      </c>
      <c r="DE121" s="250" t="str">
        <f t="shared" si="322"/>
        <v/>
      </c>
      <c r="DF121" s="250" t="str">
        <f t="shared" si="323"/>
        <v/>
      </c>
      <c r="DG121" s="250" t="str">
        <f t="shared" si="324"/>
        <v/>
      </c>
      <c r="DH121" s="250" t="str">
        <f t="shared" si="325"/>
        <v/>
      </c>
      <c r="DI121" s="250" t="str">
        <f t="shared" si="326"/>
        <v/>
      </c>
      <c r="DJ121" s="250" t="str">
        <f t="shared" si="327"/>
        <v/>
      </c>
      <c r="DK121" s="250" t="str">
        <f t="shared" si="328"/>
        <v/>
      </c>
      <c r="DL121" s="250" t="str">
        <f t="shared" si="329"/>
        <v/>
      </c>
      <c r="DM121" s="250" t="str">
        <f>IF(CD121="ERROR", "ERROR", IF(AND(OR(Y121=$DM$6, Y121='Lookup Tables'!$AD$21, Y121='Lookup Tables'!$AD$22), E121="Interior"), BJ121, ""))</f>
        <v/>
      </c>
      <c r="DN121" s="250" t="str">
        <f>IF(CD121="ERROR", "ERROR", IF(AND(OR(Y121=$DM$6, Y121='Lookup Tables'!$AD$21, Y121='Lookup Tables'!$AD$22), E121="Exterior"), BJ121, ""))</f>
        <v/>
      </c>
      <c r="DO121" s="100"/>
      <c r="DP121" s="250" t="str">
        <f t="shared" si="330"/>
        <v/>
      </c>
      <c r="DQ121" s="250" t="str">
        <f t="shared" si="371"/>
        <v/>
      </c>
      <c r="DR121" s="250" t="str">
        <f t="shared" si="372"/>
        <v/>
      </c>
      <c r="DS121" s="250" t="str">
        <f t="shared" si="373"/>
        <v/>
      </c>
      <c r="DT121" s="250" t="str">
        <f t="shared" si="374"/>
        <v/>
      </c>
      <c r="DU121" s="250" t="str">
        <f t="shared" si="331"/>
        <v/>
      </c>
      <c r="DV121" s="250" t="str">
        <f t="shared" si="332"/>
        <v/>
      </c>
      <c r="DW121" s="250" t="str">
        <f t="shared" si="333"/>
        <v/>
      </c>
      <c r="DX121" s="250" t="str">
        <f t="shared" si="334"/>
        <v/>
      </c>
      <c r="DY121" s="250" t="str">
        <f t="shared" si="335"/>
        <v/>
      </c>
      <c r="DZ121" s="250" t="str">
        <f t="shared" si="336"/>
        <v/>
      </c>
      <c r="EA121" s="250" t="str">
        <f t="shared" si="337"/>
        <v/>
      </c>
      <c r="EB121" s="250" t="str">
        <f t="shared" si="375"/>
        <v/>
      </c>
      <c r="EC121" s="250" t="str">
        <f t="shared" si="338"/>
        <v/>
      </c>
      <c r="ED121" s="250" t="str">
        <f t="shared" si="339"/>
        <v/>
      </c>
      <c r="EE121" s="250" t="str">
        <f t="shared" si="340"/>
        <v/>
      </c>
      <c r="EF121" s="250" t="str">
        <f t="shared" si="341"/>
        <v/>
      </c>
      <c r="EG121" s="250" t="str">
        <f t="shared" si="342"/>
        <v/>
      </c>
      <c r="EH121" s="250" t="str">
        <f>IF(CD121="ERROR", "ERROR", IF(AND(OR($EH$6=Y121, Y121='Lookup Tables'!$AD$21, Y121='Lookup Tables'!$AD$22),E121="Interior"), SUM(BP121:BP121), ""))</f>
        <v/>
      </c>
      <c r="EI121" s="250" t="str">
        <f>IF(CD121="ERROR", "ERROR", IF(AND(OR($EH$6=Y121, Y121='Lookup Tables'!$AD$21, Y121='Lookup Tables'!$AD$22),E121="Exterior"), SUM(BP121:BP121), ""))</f>
        <v/>
      </c>
      <c r="EJ121" s="109"/>
      <c r="EK121" s="485" t="str">
        <f t="shared" si="343"/>
        <v/>
      </c>
      <c r="EL121" s="252" t="str">
        <f t="shared" si="376"/>
        <v/>
      </c>
      <c r="EM121" s="252" t="str">
        <f t="shared" si="377"/>
        <v/>
      </c>
      <c r="EN121" s="252" t="str">
        <f t="shared" si="378"/>
        <v/>
      </c>
      <c r="EO121" s="252" t="str">
        <f t="shared" si="379"/>
        <v/>
      </c>
      <c r="EP121" s="252" t="str">
        <f t="shared" si="380"/>
        <v/>
      </c>
      <c r="EQ121" s="252" t="str">
        <f t="shared" si="381"/>
        <v/>
      </c>
      <c r="ER121" s="252" t="str">
        <f t="shared" si="382"/>
        <v/>
      </c>
      <c r="ES121" s="252" t="str">
        <f t="shared" si="383"/>
        <v/>
      </c>
      <c r="ET121" s="252" t="str">
        <f t="shared" si="384"/>
        <v/>
      </c>
      <c r="EU121" s="252" t="str">
        <f t="shared" si="385"/>
        <v/>
      </c>
      <c r="EV121" s="252" t="str">
        <f t="shared" si="386"/>
        <v/>
      </c>
      <c r="EW121" s="252" t="str">
        <f t="shared" si="387"/>
        <v/>
      </c>
      <c r="EX121" s="252" t="str">
        <f t="shared" si="388"/>
        <v/>
      </c>
      <c r="EY121" s="252" t="str">
        <f t="shared" si="389"/>
        <v/>
      </c>
      <c r="EZ121" s="252" t="str">
        <f t="shared" si="390"/>
        <v/>
      </c>
      <c r="FA121" s="252" t="str">
        <f t="shared" si="391"/>
        <v/>
      </c>
      <c r="FB121" s="252" t="str">
        <f t="shared" si="392"/>
        <v/>
      </c>
      <c r="FC121" s="252" t="str">
        <f>IF(CD121="ERROR", "ERROR", IF(OR(V121="No Change", V121="Not DLC or Energy Star"), "", IF(AND(OR($FC$6=Y121,Y121='Lookup Tables'!$AD$21, Y121='Lookup Tables'!$AD$22),E121="Interior"), S121, "")))</f>
        <v/>
      </c>
      <c r="FD121" s="252" t="str">
        <f t="shared" si="393"/>
        <v/>
      </c>
      <c r="FE121" s="101"/>
      <c r="FF121" s="579" t="str" cm="1">
        <f t="array" ref="FF121">IFERROR(IF(OR(BQ121&lt;=0,AQ121&lt;20,AND(V121="Exit Signs",AN121&gt;0)),"",IF(AND(AQ121&gt;=20,AN121='Lookup Tables'!$R$101),'Lookup Tables'!$U$101*BQ121,AP121*LOOKUP(2,1/((AN121='Lookup Tables'!$R$91:$R$111)*(AQ121&gt;='Lookup Tables'!$S$91:$S$111)*(AQ121&lt;='Lookup Tables'!$T$91:$T$111)),'Lookup Tables'!$U$91:$U$111))),"")</f>
        <v/>
      </c>
      <c r="FG121" s="579"/>
      <c r="FH121" s="579"/>
      <c r="FI121" s="253" t="str">
        <f>IFERROR(ROUND(IF(CD121="ERROR", "ERROR", IF(AND($FI$7=X121,E121="Interior"),VLOOKUP(W121, 'Lookup Tables'!$AI$6:$AM$102, 5, FALSE)*BP121, "")), 2), "")</f>
        <v/>
      </c>
      <c r="FJ121" s="253" t="str">
        <f>IFERROR(ROUND(IF(CD121="ERROR", "ERROR", IF(AND($FI$7=X121,E121="Exterior"),VLOOKUP(W121, 'Lookup Tables'!$AI$6:$AM$102, 5, FALSE)*BP121, "")), 2), "")</f>
        <v/>
      </c>
      <c r="FK121" s="253" t="str">
        <f>IFERROR(ROUND(IF(CD121="ERROR", "ERROR", IF(AND($FK$7=X121,E121="Interior"),VLOOKUP(W121, 'Lookup Tables'!$AI$6:$AM$102, 5, FALSE)*BP121, "")), 2), "")</f>
        <v/>
      </c>
      <c r="FL121" s="253" t="str">
        <f>IFERROR(ROUND(IF(CD121="ERROR", "ERROR", IF(AND($FK$7=X121,E121="Exterior"),VLOOKUP(W121, 'Lookup Tables'!$AI$6:$AM$102, 5, FALSE)*BP121, "")), 2), "")</f>
        <v/>
      </c>
      <c r="FM121" s="253" t="str">
        <f>IFERROR(ROUND(IF(CD121="ERROR", "ERROR", IF(AND($FM$6=Y121,E121="Interior"), IF(GB121=0, VLOOKUP(W121, 'Lookup Tables'!$AI$6:$AM$102, 5, FALSE)*BP121, IF(VLOOKUP(W121, 'Lookup Tables'!$AI$6:$AM$102, 5, FALSE)*BP121&gt;GB121*'Lighting Inventory'!S121, GB121*'Lighting Inventory'!S121,VLOOKUP(W121, 'Lookup Tables'!$AI$6:$AM$102, 5, FALSE)*BP121)), "")), 2), "")</f>
        <v/>
      </c>
      <c r="FN121" s="253" t="str">
        <f>IFERROR(ROUND(IF(CD121="ERROR", "ERROR", IF(AND($FM$6=Y121,E121="Exterior"), IF(GB121=0, VLOOKUP(W121, 'Lookup Tables'!$AI$6:$AM$102, 5, FALSE)*BP121, IF(VLOOKUP(W121, 'Lookup Tables'!$AI$6:$AM$102, 5, FALSE)*BP121&gt;GB121*'Lighting Inventory'!S121, GB121*'Lighting Inventory'!S121,VLOOKUP(W121, 'Lookup Tables'!$AI$6:$AM$102, 5, FALSE)*BP121)), "")), 2), "")</f>
        <v/>
      </c>
      <c r="FO121" s="253" t="str">
        <f>IFERROR(ROUND(IF(CD121="ERROR", "ERROR", IF(AND($FO$6=Y121,E121="Interior"),VLOOKUP(W121, 'Lookup Tables'!$AI$6:$AM$102, 5, FALSE)*'Lighting Inventory'!AI121, "")), 2), "")</f>
        <v/>
      </c>
      <c r="FP121" s="253" t="str">
        <f>IFERROR(ROUND(IF(CD121="ERROR", "ERROR", IF(AND($FO$6=Y121,E121="Exterior"),VLOOKUP(W121, 'Lookup Tables'!$AI$6:$AM$102, 5, FALSE)*'Lighting Inventory'!AI121, "")), 2), "")</f>
        <v/>
      </c>
      <c r="FQ121" s="253" t="str">
        <f>IFERROR(ROUND(IF(CD121="ERROR", "ERROR", IF(AND($FQ$6=Y121,E121="Interior", BU121="Y"), VLOOKUP('Lighting Inventory'!W121, 'Lookup Tables'!$AI$6:$AM$102, 5, FALSE)*'Lighting Inventory'!S121, IF(AND($FQ$7=Y121,E121="Interior", BU121="N"), 0.025*CD121, ""))), 2), "")</f>
        <v/>
      </c>
      <c r="FR121" s="253" t="str">
        <f>IFERROR(ROUND(IF(CD121="ERROR", "ERROR", IF(AND($FQ$6=Y121,E121="Exterior"), VLOOKUP('Lighting Inventory'!W121, 'Lookup Tables'!$AI$6:$AM$102, 5, FALSE)*'Lighting Inventory'!S121, "")), 2), "")</f>
        <v/>
      </c>
      <c r="FS121" s="253" t="str">
        <f>IFERROR(ROUND(IF(CD121="ERROR", "ERROR", IF(AND($FS$6=Y121,E121="Exterior"), IF(GB121=0, VLOOKUP(W121, 'Lookup Tables'!$AI$6:$AM$102, 5, FALSE)*BP121, IF(VLOOKUP(W121, 'Lookup Tables'!$AI$6:$AM$102, 5, FALSE)*BP121&gt;GB121*'Lighting Inventory'!S121, GB121*'Lighting Inventory'!S121,VLOOKUP(W121, 'Lookup Tables'!$AI$6:$AM$102, 5, FALSE)*BP121)), "")), 2), "")</f>
        <v/>
      </c>
      <c r="FT121" s="253" t="str">
        <f>IFERROR(ROUND(IF(CD121="ERROR", "ERROR", IF(AND($FT$6=Y121,E121="Interior"), IF(GB121=0, VLOOKUP(W121, 'Lookup Tables'!$AI$6:$AM$102, 5, FALSE)*BP121, IF(VLOOKUP(W121, 'Lookup Tables'!$AI$6:$AM$102, 5, FALSE)*BP121&gt;GB121*'Lighting Inventory'!S121, GB121*'Lighting Inventory'!S121,VLOOKUP(W121, 'Lookup Tables'!$AI$6:$AM$102, 5, FALSE)*BP121)), "")), 2), "")</f>
        <v/>
      </c>
      <c r="FU121" s="253" t="str">
        <f>IFERROR(ROUND(IF(CD121="ERROR", "ERROR", IF(AND(Y121=$FU$6, E121="Interior"), IF(BS121="N", 'Lookup Tables'!$AM$101*BP121, VLOOKUP(W121, 'Lookup Tables'!$AI$6:$AM$102, 5, FALSE)*S121*AD121), "")), 2), "")</f>
        <v/>
      </c>
      <c r="FV121" s="253" t="str">
        <f>IFERROR(ROUND(IF(CD121="ERROR", "ERROR", IF(AND(Y121=$FU$6, E121="Exterior"), IF(BS121="N", 'Lookup Tables'!$AM$101*BP121, VLOOKUP(W121, 'Lookup Tables'!$AI$6:$AM$102, 5, FALSE)*S121*AD121), "")), 2), "")</f>
        <v/>
      </c>
      <c r="FW121" s="253" t="str">
        <f>IFERROR(ROUND(IF(CD121="ERROR", "ERROR", IF($FW$6=Y121, IF(BS121="N", 'Lookup Tables'!$AM$101*BP121, MIN((VLOOKUP(W121, 'Lookup Tables'!$AI$6:$AM$102, 5, FALSE)*BP121),GB121*AJ121)), "")), 2), "")</f>
        <v/>
      </c>
      <c r="FX121" s="253" t="str">
        <f>IFERROR(ROUND(IF(CD121="ERROR", "ERROR", IF(AND($FX$6=Y121, E121="Interior"), IF(VLOOKUP(W121, 'Lookup Tables'!$AI$6:$AM$102, 5, FALSE)*BP121&gt;'Lookup Tables'!$AQ$97*'Lighting Inventory'!S121,'Lighting Inventory'!S121*'Lookup Tables'!$AQ$97,VLOOKUP(W121, 'Lookup Tables'!$AI$6:$AM$102, 5, FALSE)*BP121), "")), 2), "")</f>
        <v/>
      </c>
      <c r="FY121" s="253" t="str">
        <f>IFERROR(ROUND(IF(CD121="ERROR", "ERROR", IF(AND($FX$6=Y121, E121="Exterior"), IF(VLOOKUP(W121, 'Lookup Tables'!$AI$6:$AM$102, 5, FALSE)*BP121&gt;'Lookup Tables'!$AQ$97*'Lighting Inventory'!S121,'Lighting Inventory'!S121*'Lookup Tables'!$AQ$97,VLOOKUP(W121, 'Lookup Tables'!$AI$6:$AM$102, 5, FALSE)*BP121), "")), 2), "")</f>
        <v/>
      </c>
      <c r="FZ121" s="253" t="str">
        <f>IFERROR(ROUND(IF(CD121="ERROR", "ERROR", IF(AND($FZ$6=Y121, E121="Interior"), IF(AND(OR(W121="Refrigerated Case Lighting with Doors", W121="Freezer Case Lighting"),Y121="Custom - Process Improvement"),CD121*'Lookup Tables'!$AM$101, IF(B121="Retrofit", IF(VLOOKUP(IF(V121="Custom", V121, W121), 'Lookup Tables'!$AI$6:$AM$102, 5, FALSE)*BP121&gt;GE121, GE121, VLOOKUP(IF(V121="Custom", V121, W121), 'Lookup Tables'!$AI$6:$AM$102, 5, FALSE)*BP121), IF(VLOOKUP(IF(V121="Custom", V121, W121), 'Lookup Tables'!$AI$114:$AM$154, 5, FALSE)*BP121&gt;GE121, GE121, VLOOKUP(IF(V121="Custom", V121, W121), 'Lookup Tables'!$AI$114:$AM$154, 5, FALSE)*BP121))), "")), 2),"")</f>
        <v/>
      </c>
      <c r="GA121" s="253" t="str">
        <f>IFERROR(ROUND(IF(CD121="ERROR", "ERROR", IF(AND($FZ$6=Y121, E121="Exterior"), IF(B121="Retrofit", IF(VLOOKUP(IF(V121="Custom", V121, W121), 'Lookup Tables'!$AI$6:$AM$102, 5, FALSE)*BP121&gt;GE121, GE121, VLOOKUP(IF(V121="Custom", V121, W121), 'Lookup Tables'!$AI$6:$AM$102, 5, FALSE)*BP121), IF(VLOOKUP(IF(V121="Custom", V121, W121), 'Lookup Tables'!$AI$114:$AM$154, 5, FALSE)*BP121&gt;GE121, GE121, VLOOKUP(IF(V121="Custom", V121, W121), 'Lookup Tables'!$AI$114:$AM$154, 5, FALSE)*BP121)), "")), 2),"")</f>
        <v/>
      </c>
      <c r="GB121" s="254" t="str">
        <f t="array" ref="GB121">IF(B121="","",IF(OR(V121="Custom",V121="No Change"),0,IF(B121="Retrofit", INDEX('Lookup Tables'!$AH$6:$AQ$102,MATCH(1,('Lookup Tables'!$AH$6:$AH$102='Lighting Inventory'!V121)*('Lookup Tables'!$AI$6:$AI$102='Lighting Inventory'!W121),FALSE),10),INDEX('Lookup Tables'!$AH$114:$AQ$154,MATCH(1,('Lookup Tables'!$AH$114:$AH$154='Lighting Inventory'!V121)*('Lookup Tables'!$AI$114:$AI$154='Lighting Inventory'!W121),FALSE),10))))</f>
        <v/>
      </c>
      <c r="GC121" s="255" t="str">
        <f t="shared" si="344"/>
        <v/>
      </c>
      <c r="GD121" s="250" t="str">
        <f t="shared" si="345"/>
        <v/>
      </c>
      <c r="GE121" s="253" t="str">
        <f>IFERROR(IF(AND(AF121="", 'General Information'!$F$18="No"),"", IF(AF121="", ((GD121/$CD$266)*$CF$266)*0.5, AF121*S121*0.5)), "")</f>
        <v/>
      </c>
      <c r="GF121" s="255" t="str">
        <f>IF(AND('General Information'!$F$19="", 'General Information'!$F$18="Yes",AF121="",BW121="Y"), "Y", "N")</f>
        <v>N</v>
      </c>
      <c r="GG121" s="255" t="s">
        <v>2946</v>
      </c>
      <c r="GH121" s="255" t="str">
        <f>IFERROR(IF(B121="", "", VLOOKUP(J121, 'Fixture Identities'!$A$6:$N$908, 14, FALSE)), "")</f>
        <v/>
      </c>
      <c r="GI121" s="389" t="str">
        <f>IF(OR(B121="", V121="", W121=""), "", IF(AND(OR(M121='Lookup Tables'!$R$18, M121='Lookup Tables'!$R$19, M121='Lookup Tables'!$R$20, M121='Lookup Tables'!$R$21, M121='Lookup Tables'!$R$22), OR(AN121='Lookup Tables'!$R$17, AN121='Lookup Tables'!$R$17, AN121="")), "Y", "N"))</f>
        <v/>
      </c>
      <c r="GJ121" s="255" t="str">
        <f t="shared" si="346"/>
        <v/>
      </c>
      <c r="GK121" s="255" t="str">
        <f t="shared" si="347"/>
        <v/>
      </c>
      <c r="GL121" s="255" t="str">
        <f t="shared" si="348"/>
        <v/>
      </c>
      <c r="GM121" s="255" t="str">
        <f>IF(AN121="", "", IF(AND(IF(ISNA(VLOOKUP(AN121,'Lookup Tables'!$R$18:$R$22,1,FALSE)), "N", "Y")="Y", E121="Exterior"), "Y", "N"))</f>
        <v/>
      </c>
      <c r="GN121" s="395"/>
      <c r="GO121" s="428">
        <f t="shared" si="394"/>
        <v>0</v>
      </c>
      <c r="GP121" s="428">
        <f t="shared" si="397"/>
        <v>0</v>
      </c>
      <c r="GQ121" s="428">
        <f t="shared" si="395"/>
        <v>0</v>
      </c>
      <c r="GR121" s="428">
        <f t="shared" si="396"/>
        <v>0</v>
      </c>
    </row>
    <row r="122" spans="1:200" s="103" customFormat="1" ht="13.5" customHeight="1" x14ac:dyDescent="0.2">
      <c r="A122" s="272">
        <v>112</v>
      </c>
      <c r="B122" s="110"/>
      <c r="C122" s="110"/>
      <c r="D122" s="110"/>
      <c r="E122" s="110"/>
      <c r="F122" s="110"/>
      <c r="G122" s="110"/>
      <c r="H122" s="110"/>
      <c r="I122" s="29"/>
      <c r="J122" s="29"/>
      <c r="K122" s="272" t="str">
        <f>IFERROR(IF(OR(VLOOKUP(J122, 'Fixture Identities'!$A$6:$L$1023, 3, FALSE)="T12 Linear Fluorescent", VLOOKUP(J122, 'Fixture Identities'!$A$6:$L$1023, 3, FALSE)="T12 U-Tube Fluorescent"), VLOOKUP(VLOOKUP(J122, 'Fixture Identities'!$A$6:$L$1023, 11, FALSE), 'Fixture Identities'!$A$6:$L$1023, 10, FALSE), VLOOKUP(J122, 'Fixture Identities'!$A$6:$L$1023, 10, FALSE)), "")</f>
        <v/>
      </c>
      <c r="L122" s="270" t="str">
        <f t="shared" si="399"/>
        <v/>
      </c>
      <c r="M122" s="110"/>
      <c r="N122" s="110"/>
      <c r="O122" s="110"/>
      <c r="P122" s="272" t="str">
        <f>IFERROR(IF(OR(B122="Retrofit",B122=""),"",IF('Lighting Inventory'!E122="Exterior",VLOOKUP('Lighting Inventory'!N122,'Lookup Tables'!$B$83:$F$103,5,FALSE),IF(N122="Other - Please Estimate EFLH and CFs","Contact Prog. Rep.","ft^2"))), "")</f>
        <v/>
      </c>
      <c r="Q122" s="270" t="str">
        <f>IFERROR(IF(AND(B122="New Construction",E122="Interior",$F$5="Space-by-Space"),VLOOKUP('Lighting Inventory'!N122,'Lookup Tables'!$N$6:$O$97,2,FALSE),IF(AND(B122="New Construction",E122="Exterior"),VLOOKUP(N122,'Lookup Tables'!$B$83:$F$103,2,FALSE),IF(AND(B122="New Construction",'Lighting Inventory'!E122="Interior", $F$5="Building Area"),VLOOKUP(F122,'Lookup Tables'!$A$6:$J$59,10,FALSE),""))), "")</f>
        <v/>
      </c>
      <c r="R122" s="270" t="str">
        <f>IFERROR(IF(P122="Contact Prog. Rep.", "ERROR", IF(OR(B122="",B122="Retrofit"),"",IF(N122="Automated teller machines", ('Lookup Tables'!$A$82:$E$100+('Lighting Inventory'!O122-1)*'Lookup Tables'!$A$82:$E$100)/1000, (Q122*O122)/1000))), "")</f>
        <v/>
      </c>
      <c r="S122" s="595"/>
      <c r="T122" s="105" t="str">
        <f t="shared" si="349"/>
        <v/>
      </c>
      <c r="U122" s="105" t="str">
        <f>IF(S122="","",COUNT($S$11:S122))</f>
        <v/>
      </c>
      <c r="V122" s="111"/>
      <c r="W122" s="112"/>
      <c r="X122" s="105" t="str">
        <f t="shared" si="350"/>
        <v/>
      </c>
      <c r="Y122" s="105" t="str">
        <f t="array" ref="Y122">IF(AND(OR(W122="Freezer Case Lighting", W122="Refrigerated Case Lighting with Doors"), 'General Information'!$X$18="LCI"),'Lookup Tables'!$Y$34, IF(V122="Custom", VLOOKUP(W122, 'Fixture Identities'!$A$974:$M$1023, 13, FALSE), IF(V122="No Change",'Lookup Tables'!$Y$29,IF(OR(V122="",W122=""),"",IF(AND(S122=0,S122&lt;I122,B122="Retrofit"),'Lookup Tables'!$Y$25, IF(B122="Retrofit", INDEX('Lookup Tables'!$AH$6:$AP$102, MATCH(1, ('Lookup Tables'!$AH$6:$AH$102=V122)*('Lookup Tables'!$AI$6:$AI$102=W122), 0), IF('Lighting Inventory'!E122="Interior", 4, 5)), INDEX('Lookup Tables'!$AH$114:$AP$154, MATCH(1, ('Lookup Tables'!$AH$114:$AH$154=V122)*('Lookup Tables'!$AI$114:$AI$154=W122), 0), IF('Lighting Inventory'!E122="Interior", 4, 5))))))))</f>
        <v/>
      </c>
      <c r="Z122" s="105" t="str">
        <f>IFERROR(INDEX('Lookup Tables'!$AH$158:$AH$172,MATCH('Lighting Inventory'!Y122,'Lookup Tables'!$AI$158:$AI$172,0)),"")</f>
        <v/>
      </c>
      <c r="AA122" s="105" t="str">
        <f>IF(AP122&gt;0,INDEX('Lookup Tables'!$AK$158:$AK$172,MATCH('Lighting Inventory'!Y122,'Lookup Tables'!$AI$158:$AI$172,0)),'Lighting Inventory'!Y122)</f>
        <v/>
      </c>
      <c r="AB122" s="105" t="str">
        <f t="array" ref="AB122">IF(V122="Custom", "Custom", IF(V122="", "", IF(V122="Not DLC or Energy Star", "General", IF(B122="New Construction", INDEX('Lookup Tables'!$AH$114:$AP$154,MATCH(1,('Lookup Tables'!$AH$114:$AH$154='Lighting Inventory'!V122)*('Lookup Tables'!$AI$114:$AI$154='Lighting Inventory'!W122),FALSE),8), INDEX('Lookup Tables'!$AH$6:$AP$102,MATCH(1,('Lookup Tables'!$AH$6:$AH$102='Lighting Inventory'!V122)*('Lookup Tables'!$AI$6:$AI$102='Lighting Inventory'!W122),FALSE),8)))))</f>
        <v/>
      </c>
      <c r="AC122" s="272" t="str">
        <f>IF(W122="","",IF(V122="Custom",CONCATENATE("$",'Lookup Tables'!$AM$101," ",'Lookup Tables'!$AN$101),CONCATENATE("$",INDEX('Lookup Tables'!$AM$6:$AM$102,MATCH('Lighting Inventory'!W122,'Lookup Tables'!$AI$6:$AI$102,0))," ",INDEX('Lookup Tables'!$AN$6:$AN$102,MATCH('Lighting Inventory'!W122,'Lookup Tables'!$AI$6:$AI$102,0)))))</f>
        <v/>
      </c>
      <c r="AD122" s="72"/>
      <c r="AE122" s="29"/>
      <c r="AF122" s="379"/>
      <c r="AG122" s="370" t="str">
        <f t="shared" si="298"/>
        <v/>
      </c>
      <c r="AH122" s="370" t="str">
        <f t="shared" si="351"/>
        <v/>
      </c>
      <c r="AI122" s="29"/>
      <c r="AJ122" s="29"/>
      <c r="AK122" s="110"/>
      <c r="AL122" s="375" t="str">
        <f>IF(OR(B122="", V122="", W122=""), "", IF(V122="No Change", K122, IF(V122="Remove Fixture", 0, IF(V122="Custom",VLOOKUP(W122,'Fixture Identities'!$A$6:$K$1023,10,FALSE),IF(AE122="", "← ENTER POST WATTS", 'Lighting Inventory'!AE122)))))</f>
        <v/>
      </c>
      <c r="AM122" s="376" t="str">
        <f t="shared" si="299"/>
        <v/>
      </c>
      <c r="AN122" s="29"/>
      <c r="AO122" s="671"/>
      <c r="AP122" s="29"/>
      <c r="AQ122" s="29"/>
      <c r="AR122" s="29"/>
      <c r="AS122" s="272" t="str">
        <f t="shared" si="352"/>
        <v/>
      </c>
      <c r="AT122" s="270" t="str">
        <f t="shared" si="300"/>
        <v/>
      </c>
      <c r="AU122" s="88" t="str">
        <f t="shared" si="400"/>
        <v/>
      </c>
      <c r="AV122" s="29"/>
      <c r="AW122" s="73"/>
      <c r="AX122" s="271" t="str">
        <f>IF(AND(AV122="Applicant",OR(AW122="", AW122="Use Default Facility Hours")),"← Choose Schedule",IF(F122="","",IF(W122="LED Exit Signs",8760,IF(OR(AV122="Prescribed",AV122=""),VLOOKUP(F122,'Lookup Tables'!$A$6:$G$59,IF(AB122="General", 6, 3),FALSE),VLOOKUP(AW122,'Lookup Tables'!$S$36:$U$43,2,FALSE)))))</f>
        <v/>
      </c>
      <c r="AY122" s="88" t="str">
        <f t="shared" si="301"/>
        <v/>
      </c>
      <c r="AZ122" s="270" t="str">
        <f>IFERROR(IF(F122="", "", IF(W122="LED Exit Signs", 1, IF(AV122="Applicant",VLOOKUP(AW122, 'Lookup Tables'!$S$36:$U$43,3, FALSE), VLOOKUP('Lighting Inventory'!F122, 'Lookup Tables'!$A$6:$H$59, IF('Lighting Inventory'!AB122="General",7,4), FALSE)))), "")</f>
        <v/>
      </c>
      <c r="BA122" s="522" t="str">
        <f>IFERROR(IF(F122="", "", IF(W122="LED Exit Signs", 1, VLOOKUP('Lighting Inventory'!F122, 'Lookup Tables'!$A$6:$H$59, IF('Lighting Inventory'!AB122="General",8,5), FALSE))), "")</f>
        <v/>
      </c>
      <c r="BB122" s="270" t="str">
        <f>IF(G122="", "", IF(E122="Exterior", 0, IF('Lighting Inventory'!G122="Air Conditioned", VLOOKUP(H122, 'Lookup Tables'!$R$6:$T$13, 2, FALSE), VLOOKUP('Lighting Inventory'!G122, 'Lookup Tables'!$R$6:$T$13, 2, FALSE))))</f>
        <v/>
      </c>
      <c r="BC122" s="522" t="str">
        <f>IF(G122="", "", IF(E122="Exterior", 0, IF('Lighting Inventory'!G122="Air Conditioned", VLOOKUP(H122, 'Lookup Tables'!$R$6:$T$13, 3, FALSE), VLOOKUP('Lighting Inventory'!G122, 'Lookup Tables'!$R$6:$T$13, 3, FALSE))))</f>
        <v/>
      </c>
      <c r="BD122" s="270" t="str">
        <f>IF(G122="", "", IF(E122="Exterior", 0, IF('Lighting Inventory'!G122="Air Conditioned", VLOOKUP(H122, 'Lookup Tables'!$R$6:$U$13, 4, FALSE), VLOOKUP('Lighting Inventory'!G122, 'Lookup Tables'!$R$6:$U$13, 4, FALSE))))</f>
        <v/>
      </c>
      <c r="BE122" s="270" t="str">
        <f>IFERROR(IF(B122="", "",  IF(B122="New Construction", VLOOKUP(F122, 'Lookup Tables'!$A$6:$K$59, 11, FALSE),IF(OR(AN122="", AN122="Light Switch"), 0, IF(OR(M122="",M122="None",V122= "LED Exit Signs"),0,_xlfn.XLOOKUP(M122,'Lookup Tables'!$R$91:$R$101,'Lookup Tables'!$V$91:$V$101))))), "")</f>
        <v/>
      </c>
      <c r="BF122" s="270" t="str">
        <f>IF(AND(OR(AN122="Light Switch",AN122=""),B122="New Construction"), VLOOKUP(F122, 'Lookup Tables'!$A$6:$K$59, 11, FALSE),IF(AN122="","",IF(B122="","",IF(OR(AN122="None",AN122="",V122="LED Exit Signs",AN122="Exterior Controls Not Eligible"),0,_xlfn.XLOOKUP(AN122,'Lookup Tables'!$R$91:$R$101,'Lookup Tables'!$V$91:$V$101)))))</f>
        <v/>
      </c>
      <c r="BG122" s="88" t="str">
        <f t="shared" si="353"/>
        <v/>
      </c>
      <c r="BH122" s="88" t="str">
        <f t="shared" si="354"/>
        <v/>
      </c>
      <c r="BI122" s="558" t="str">
        <f t="shared" si="398"/>
        <v/>
      </c>
      <c r="BJ122" s="82" t="str">
        <f t="shared" si="355"/>
        <v/>
      </c>
      <c r="BK122" s="82" t="str">
        <f t="shared" si="356"/>
        <v/>
      </c>
      <c r="BL122" s="559" t="str">
        <f t="shared" si="357"/>
        <v/>
      </c>
      <c r="BM122" s="521" t="str">
        <f t="shared" si="302"/>
        <v/>
      </c>
      <c r="BN122" s="521" t="str">
        <f t="shared" si="303"/>
        <v/>
      </c>
      <c r="BO122" s="522" t="str">
        <f t="shared" si="304"/>
        <v/>
      </c>
      <c r="BP122" s="83" t="str">
        <f t="shared" si="358"/>
        <v/>
      </c>
      <c r="BQ122" s="84" t="str">
        <f t="shared" si="359"/>
        <v/>
      </c>
      <c r="BR122" s="184" t="str">
        <f>IFERROR(IF(B122="", "", IF(OR(VLOOKUP(J122, 'Fixture Identities'!$A$6:$L$1023, 3, FALSE)="T12 Linear Fluorescent",VLOOKUP(J122, 'Fixture Identities'!$A$6:$L$1023, 3, FALSE)="T12 U-Tube Fluorescent"), "Y", "N")), "N")</f>
        <v/>
      </c>
      <c r="BS122" s="184" t="str">
        <f t="array" ref="BS122">IFERROR(IF(OR(B122="", V122="", W122=""), "", IF(V122="Custom", "N", IF(OR(W122="Freezer Case Lighting", W122="Refrigerated Case Lighting with Doors"), BT122, IF(B122="Retrofit", INDEX('Lookup Tables'!$AH$6:$AT$102,MATCH(1,('Lookup Tables'!$AH$6:$AH$102=V122)*('Lookup Tables'!$AI$6:$AI$102=W122),FALSE),IF(VLOOKUP(J122, 'Fixture Identities'!$A$6:$B$1023, 2, FALSE)="Incandescent",12, 13)), INDEX('Lookup Tables'!$AH$114:$AS$154,MATCH(1,('Lookup Tables'!$AH$114:$AH$154=V122)*('Lookup Tables'!$AI$114:$AI$154=W122),FALSE),12))))), "N")</f>
        <v/>
      </c>
      <c r="BT122" s="184" t="str">
        <f>IF(J122="", "", IF(AND(OR(W122="Freezer case Lighting", W122="Refrigerated Case Lighting with Doors"),'General Information'!$X$18="LCI"), "N", IF(OR(VLOOKUP(J122, 'Fixture Identities'!$A$6:$B$1023, 2, FALSE)="T12 EPACT/EISA Baseline", VLOOKUP(J122, 'Fixture Identities'!$A$6:$B$1023, 2, FALSE)="Linear Fluorescent", VLOOKUP(J122, 'Fixture Identities'!$A$6:$B$1023, 2, FALSE)="U-Tube Fluorescent"), "Y", "N")))</f>
        <v/>
      </c>
      <c r="BU122" s="184" t="str">
        <f>IFERROR(IF(B122="", "", IF(VLOOKUP(J122, 'Fixture Identities'!$A$6:$B$1023, 2, FALSE)="Exit Sign", "Y", "N")), "N")</f>
        <v/>
      </c>
      <c r="BV122" s="184" t="str">
        <f>IF(V122="Exit Signs", IF(VLOOKUP(J122, 'Fixture Identities'!$A$6:$B$1023, 2, FALSE)="Exit Sign", "N", "Y"), "")</f>
        <v/>
      </c>
      <c r="BW122" s="184" t="str">
        <f t="array" ref="BW122">IFERROR(IF(B122="", "", IF(B122="New Construction", "N", INDEX('Lookup Tables'!$AH$6:$AU$102, MATCH(1, ('Lookup Tables'!$AH$6:$AH$102='Lighting Inventory'!V122)*('Lookup Tables'!$AI$6:$AI$102='Lighting Inventory'!W122), 0), 14))), "N")</f>
        <v/>
      </c>
      <c r="BX122" s="598" t="str">
        <f t="shared" si="360"/>
        <v/>
      </c>
      <c r="BY122" s="598" t="str">
        <f t="shared" si="361"/>
        <v/>
      </c>
      <c r="BZ122" s="598" t="str">
        <f t="shared" si="362"/>
        <v/>
      </c>
      <c r="CA122" s="598" t="str">
        <f t="shared" si="363"/>
        <v/>
      </c>
      <c r="CB122" s="269" t="str">
        <f t="shared" si="364"/>
        <v/>
      </c>
      <c r="CC122" s="517" t="str">
        <f t="shared" si="365"/>
        <v/>
      </c>
      <c r="CD122" s="565" t="str">
        <f t="shared" si="305"/>
        <v/>
      </c>
      <c r="CE122" s="368">
        <v>0</v>
      </c>
      <c r="CF122" s="368" t="str" cm="1">
        <f t="array" ref="CF122">IFERROR(IF(V122="Custom", "$0.1 per kWh", IF(B122="New Construction", CONCATENATE("$",INDEX('Lookup Tables'!$AH$114:$AN$154,MATCH(1,('Lookup Tables'!$AH$114:$AH$154='Lighting Inventory'!V122)*('Lookup Tables'!$AI$114:$AI$154='Lighting Inventory'!W122),FALSE),6)," ",INDEX('Lookup Tables'!$AH$114:$AN$154,MATCH(1,('Lookup Tables'!$AH$114:$AH$154='Lighting Inventory'!V122)*('Lookup Tables'!$AI$114:$AI$154='Lighting Inventory'!W122),FALSE),7)), IF(AND(BU122="N", V122="Exit Signs"), "$0.025 per kWh", CONCATENATE("$",INDEX('Lookup Tables'!$AH$6:$AN$102,MATCH(1,('Lookup Tables'!$AH$6:$AH$102='Lighting Inventory'!V122)*('Lookup Tables'!$AI$6:$AI$102='Lighting Inventory'!W122),FALSE),6)," ",INDEX('Lookup Tables'!$AH$6:$AN$102,MATCH(1,('Lookup Tables'!$AH$6:$AH$102='Lighting Inventory'!V122)*('Lookup Tables'!$AI$6:$AI$102='Lighting Inventory'!W122),FALSE),7))))), "")</f>
        <v/>
      </c>
      <c r="CG122" s="366"/>
      <c r="CH122" s="248" t="str">
        <f t="shared" si="306"/>
        <v/>
      </c>
      <c r="CI122" s="248" t="str">
        <f t="shared" si="307"/>
        <v>Select_IE</v>
      </c>
      <c r="CJ122" s="248" t="str">
        <f t="shared" si="308"/>
        <v/>
      </c>
      <c r="CK122" s="248" t="str">
        <f t="shared" si="309"/>
        <v/>
      </c>
      <c r="CL122" s="248" t="str">
        <f t="shared" si="310"/>
        <v/>
      </c>
      <c r="CM122" s="248" t="str">
        <f>IFERROR(IF(B122="", "", IF(B122="New Construction", VLOOKUP(V122, 'Lookup Tables'!$AF$114:$AG$120, 2, FALSE), VLOOKUP(V122, 'Lookup Tables'!$AD$6:$AE$25, 2, FALSE))), "")</f>
        <v/>
      </c>
      <c r="CN122" s="248" t="str">
        <f t="shared" si="311"/>
        <v/>
      </c>
      <c r="CO122" s="248" t="str">
        <f t="shared" si="312"/>
        <v/>
      </c>
      <c r="CP122" s="592" t="str">
        <f t="shared" si="313"/>
        <v/>
      </c>
      <c r="CQ122" s="248" t="str">
        <f t="shared" si="366"/>
        <v/>
      </c>
      <c r="CR122" s="249"/>
      <c r="CS122" s="250" t="str">
        <f t="shared" si="314"/>
        <v/>
      </c>
      <c r="CT122" s="250" t="str">
        <f t="shared" si="367"/>
        <v/>
      </c>
      <c r="CU122" s="250" t="str">
        <f t="shared" si="368"/>
        <v/>
      </c>
      <c r="CV122" s="250" t="str">
        <f t="shared" si="369"/>
        <v/>
      </c>
      <c r="CW122" s="250" t="str">
        <f t="shared" si="370"/>
        <v/>
      </c>
      <c r="CX122" s="250" t="str">
        <f t="shared" si="315"/>
        <v/>
      </c>
      <c r="CY122" s="250" t="str">
        <f t="shared" si="316"/>
        <v/>
      </c>
      <c r="CZ122" s="250" t="str">
        <f t="shared" si="317"/>
        <v/>
      </c>
      <c r="DA122" s="250" t="str">
        <f t="shared" si="318"/>
        <v/>
      </c>
      <c r="DB122" s="250" t="str">
        <f t="shared" si="319"/>
        <v/>
      </c>
      <c r="DC122" s="250" t="str">
        <f t="shared" si="320"/>
        <v/>
      </c>
      <c r="DD122" s="250" t="str">
        <f t="shared" si="321"/>
        <v/>
      </c>
      <c r="DE122" s="250" t="str">
        <f t="shared" si="322"/>
        <v/>
      </c>
      <c r="DF122" s="250" t="str">
        <f t="shared" si="323"/>
        <v/>
      </c>
      <c r="DG122" s="250" t="str">
        <f t="shared" si="324"/>
        <v/>
      </c>
      <c r="DH122" s="250" t="str">
        <f t="shared" si="325"/>
        <v/>
      </c>
      <c r="DI122" s="250" t="str">
        <f t="shared" si="326"/>
        <v/>
      </c>
      <c r="DJ122" s="250" t="str">
        <f t="shared" si="327"/>
        <v/>
      </c>
      <c r="DK122" s="250" t="str">
        <f t="shared" si="328"/>
        <v/>
      </c>
      <c r="DL122" s="250" t="str">
        <f t="shared" si="329"/>
        <v/>
      </c>
      <c r="DM122" s="250" t="str">
        <f>IF(CD122="ERROR", "ERROR", IF(AND(OR(Y122=$DM$6, Y122='Lookup Tables'!$AD$21, Y122='Lookup Tables'!$AD$22), E122="Interior"), BJ122, ""))</f>
        <v/>
      </c>
      <c r="DN122" s="250" t="str">
        <f>IF(CD122="ERROR", "ERROR", IF(AND(OR(Y122=$DM$6, Y122='Lookup Tables'!$AD$21, Y122='Lookup Tables'!$AD$22), E122="Exterior"), BJ122, ""))</f>
        <v/>
      </c>
      <c r="DO122" s="249"/>
      <c r="DP122" s="250" t="str">
        <f t="shared" si="330"/>
        <v/>
      </c>
      <c r="DQ122" s="250" t="str">
        <f t="shared" si="371"/>
        <v/>
      </c>
      <c r="DR122" s="250" t="str">
        <f t="shared" si="372"/>
        <v/>
      </c>
      <c r="DS122" s="250" t="str">
        <f t="shared" si="373"/>
        <v/>
      </c>
      <c r="DT122" s="250" t="str">
        <f t="shared" si="374"/>
        <v/>
      </c>
      <c r="DU122" s="250" t="str">
        <f t="shared" si="331"/>
        <v/>
      </c>
      <c r="DV122" s="250" t="str">
        <f t="shared" si="332"/>
        <v/>
      </c>
      <c r="DW122" s="250" t="str">
        <f t="shared" si="333"/>
        <v/>
      </c>
      <c r="DX122" s="250" t="str">
        <f t="shared" si="334"/>
        <v/>
      </c>
      <c r="DY122" s="250" t="str">
        <f t="shared" si="335"/>
        <v/>
      </c>
      <c r="DZ122" s="250" t="str">
        <f t="shared" si="336"/>
        <v/>
      </c>
      <c r="EA122" s="250" t="str">
        <f t="shared" si="337"/>
        <v/>
      </c>
      <c r="EB122" s="250" t="str">
        <f t="shared" si="375"/>
        <v/>
      </c>
      <c r="EC122" s="250" t="str">
        <f t="shared" si="338"/>
        <v/>
      </c>
      <c r="ED122" s="250" t="str">
        <f t="shared" si="339"/>
        <v/>
      </c>
      <c r="EE122" s="250" t="str">
        <f t="shared" si="340"/>
        <v/>
      </c>
      <c r="EF122" s="250" t="str">
        <f t="shared" si="341"/>
        <v/>
      </c>
      <c r="EG122" s="250" t="str">
        <f t="shared" si="342"/>
        <v/>
      </c>
      <c r="EH122" s="250" t="str">
        <f>IF(CD122="ERROR", "ERROR", IF(AND(OR($EH$6=Y122, Y122='Lookup Tables'!$AD$21, Y122='Lookup Tables'!$AD$22),E122="Interior"), SUM(BP122:BP122), ""))</f>
        <v/>
      </c>
      <c r="EI122" s="250" t="str">
        <f>IF(CD122="ERROR", "ERROR", IF(AND(OR($EH$6=Y122, Y122='Lookup Tables'!$AD$21, Y122='Lookup Tables'!$AD$22),E122="Exterior"), SUM(BP122:BP122), ""))</f>
        <v/>
      </c>
      <c r="EJ122" s="109"/>
      <c r="EK122" s="485" t="str">
        <f t="shared" si="343"/>
        <v/>
      </c>
      <c r="EL122" s="252" t="str">
        <f t="shared" si="376"/>
        <v/>
      </c>
      <c r="EM122" s="252" t="str">
        <f t="shared" si="377"/>
        <v/>
      </c>
      <c r="EN122" s="252" t="str">
        <f t="shared" si="378"/>
        <v/>
      </c>
      <c r="EO122" s="252" t="str">
        <f t="shared" si="379"/>
        <v/>
      </c>
      <c r="EP122" s="252" t="str">
        <f t="shared" si="380"/>
        <v/>
      </c>
      <c r="EQ122" s="252" t="str">
        <f t="shared" si="381"/>
        <v/>
      </c>
      <c r="ER122" s="252" t="str">
        <f t="shared" si="382"/>
        <v/>
      </c>
      <c r="ES122" s="252" t="str">
        <f t="shared" si="383"/>
        <v/>
      </c>
      <c r="ET122" s="252" t="str">
        <f t="shared" si="384"/>
        <v/>
      </c>
      <c r="EU122" s="252" t="str">
        <f t="shared" si="385"/>
        <v/>
      </c>
      <c r="EV122" s="252" t="str">
        <f t="shared" si="386"/>
        <v/>
      </c>
      <c r="EW122" s="252" t="str">
        <f t="shared" si="387"/>
        <v/>
      </c>
      <c r="EX122" s="252" t="str">
        <f t="shared" si="388"/>
        <v/>
      </c>
      <c r="EY122" s="252" t="str">
        <f t="shared" si="389"/>
        <v/>
      </c>
      <c r="EZ122" s="252" t="str">
        <f t="shared" si="390"/>
        <v/>
      </c>
      <c r="FA122" s="252" t="str">
        <f t="shared" si="391"/>
        <v/>
      </c>
      <c r="FB122" s="252" t="str">
        <f t="shared" si="392"/>
        <v/>
      </c>
      <c r="FC122" s="252" t="str">
        <f>IF(CD122="ERROR", "ERROR", IF(OR(V122="No Change", V122="Not DLC or Energy Star"), "", IF(AND(OR($FC$6=Y122,Y122='Lookup Tables'!$AD$21, Y122='Lookup Tables'!$AD$22),E122="Interior"), S122, "")))</f>
        <v/>
      </c>
      <c r="FD122" s="252" t="str">
        <f t="shared" si="393"/>
        <v/>
      </c>
      <c r="FE122" s="1"/>
      <c r="FF122" s="579" t="str" cm="1">
        <f t="array" ref="FF122">IFERROR(IF(OR(BQ122&lt;=0,AQ122&lt;20,AND(V122="Exit Signs",AN122&gt;0)),"",IF(AND(AQ122&gt;=20,AN122='Lookup Tables'!$R$101),'Lookup Tables'!$U$101*BQ122,AP122*LOOKUP(2,1/((AN122='Lookup Tables'!$R$91:$R$111)*(AQ122&gt;='Lookup Tables'!$S$91:$S$111)*(AQ122&lt;='Lookup Tables'!$T$91:$T$111)),'Lookup Tables'!$U$91:$U$111))),"")</f>
        <v/>
      </c>
      <c r="FG122" s="579"/>
      <c r="FH122" s="579"/>
      <c r="FI122" s="253" t="str">
        <f>IFERROR(ROUND(IF(CD122="ERROR", "ERROR", IF(AND($FI$7=X122,E122="Interior"),VLOOKUP(W122, 'Lookup Tables'!$AI$6:$AM$102, 5, FALSE)*BP122, "")), 2), "")</f>
        <v/>
      </c>
      <c r="FJ122" s="253" t="str">
        <f>IFERROR(ROUND(IF(CD122="ERROR", "ERROR", IF(AND($FI$7=X122,E122="Exterior"),VLOOKUP(W122, 'Lookup Tables'!$AI$6:$AM$102, 5, FALSE)*BP122, "")), 2), "")</f>
        <v/>
      </c>
      <c r="FK122" s="253" t="str">
        <f>IFERROR(ROUND(IF(CD122="ERROR", "ERROR", IF(AND($FK$7=X122,E122="Interior"),VLOOKUP(W122, 'Lookup Tables'!$AI$6:$AM$102, 5, FALSE)*BP122, "")), 2), "")</f>
        <v/>
      </c>
      <c r="FL122" s="253" t="str">
        <f>IFERROR(ROUND(IF(CD122="ERROR", "ERROR", IF(AND($FK$7=X122,E122="Exterior"),VLOOKUP(W122, 'Lookup Tables'!$AI$6:$AM$102, 5, FALSE)*BP122, "")), 2), "")</f>
        <v/>
      </c>
      <c r="FM122" s="253" t="str">
        <f>IFERROR(ROUND(IF(CD122="ERROR", "ERROR", IF(AND($FM$6=Y122,E122="Interior"), IF(GB122=0, VLOOKUP(W122, 'Lookup Tables'!$AI$6:$AM$102, 5, FALSE)*BP122, IF(VLOOKUP(W122, 'Lookup Tables'!$AI$6:$AM$102, 5, FALSE)*BP122&gt;GB122*'Lighting Inventory'!S122, GB122*'Lighting Inventory'!S122,VLOOKUP(W122, 'Lookup Tables'!$AI$6:$AM$102, 5, FALSE)*BP122)), "")), 2), "")</f>
        <v/>
      </c>
      <c r="FN122" s="253" t="str">
        <f>IFERROR(ROUND(IF(CD122="ERROR", "ERROR", IF(AND($FM$6=Y122,E122="Exterior"), IF(GB122=0, VLOOKUP(W122, 'Lookup Tables'!$AI$6:$AM$102, 5, FALSE)*BP122, IF(VLOOKUP(W122, 'Lookup Tables'!$AI$6:$AM$102, 5, FALSE)*BP122&gt;GB122*'Lighting Inventory'!S122, GB122*'Lighting Inventory'!S122,VLOOKUP(W122, 'Lookup Tables'!$AI$6:$AM$102, 5, FALSE)*BP122)), "")), 2), "")</f>
        <v/>
      </c>
      <c r="FO122" s="253" t="str">
        <f>IFERROR(ROUND(IF(CD122="ERROR", "ERROR", IF(AND($FO$6=Y122,E122="Interior"),VLOOKUP(W122, 'Lookup Tables'!$AI$6:$AM$102, 5, FALSE)*'Lighting Inventory'!AI122, "")), 2), "")</f>
        <v/>
      </c>
      <c r="FP122" s="253" t="str">
        <f>IFERROR(ROUND(IF(CD122="ERROR", "ERROR", IF(AND($FO$6=Y122,E122="Exterior"),VLOOKUP(W122, 'Lookup Tables'!$AI$6:$AM$102, 5, FALSE)*'Lighting Inventory'!AI122, "")), 2), "")</f>
        <v/>
      </c>
      <c r="FQ122" s="253" t="str">
        <f>IFERROR(ROUND(IF(CD122="ERROR", "ERROR", IF(AND($FQ$6=Y122,E122="Interior", BU122="Y"), VLOOKUP('Lighting Inventory'!W122, 'Lookup Tables'!$AI$6:$AM$102, 5, FALSE)*'Lighting Inventory'!S122, IF(AND($FQ$7=Y122,E122="Interior", BU122="N"), 0.025*CD122, ""))), 2), "")</f>
        <v/>
      </c>
      <c r="FR122" s="253" t="str">
        <f>IFERROR(ROUND(IF(CD122="ERROR", "ERROR", IF(AND($FQ$6=Y122,E122="Exterior"), VLOOKUP('Lighting Inventory'!W122, 'Lookup Tables'!$AI$6:$AM$102, 5, FALSE)*'Lighting Inventory'!S122, "")), 2), "")</f>
        <v/>
      </c>
      <c r="FS122" s="253" t="str">
        <f>IFERROR(ROUND(IF(CD122="ERROR", "ERROR", IF(AND($FS$6=Y122,E122="Exterior"), IF(GB122=0, VLOOKUP(W122, 'Lookup Tables'!$AI$6:$AM$102, 5, FALSE)*BP122, IF(VLOOKUP(W122, 'Lookup Tables'!$AI$6:$AM$102, 5, FALSE)*BP122&gt;GB122*'Lighting Inventory'!S122, GB122*'Lighting Inventory'!S122,VLOOKUP(W122, 'Lookup Tables'!$AI$6:$AM$102, 5, FALSE)*BP122)), "")), 2), "")</f>
        <v/>
      </c>
      <c r="FT122" s="253" t="str">
        <f>IFERROR(ROUND(IF(CD122="ERROR", "ERROR", IF(AND($FT$6=Y122,E122="Interior"), IF(GB122=0, VLOOKUP(W122, 'Lookup Tables'!$AI$6:$AM$102, 5, FALSE)*BP122, IF(VLOOKUP(W122, 'Lookup Tables'!$AI$6:$AM$102, 5, FALSE)*BP122&gt;GB122*'Lighting Inventory'!S122, GB122*'Lighting Inventory'!S122,VLOOKUP(W122, 'Lookup Tables'!$AI$6:$AM$102, 5, FALSE)*BP122)), "")), 2), "")</f>
        <v/>
      </c>
      <c r="FU122" s="253" t="str">
        <f>IFERROR(ROUND(IF(CD122="ERROR", "ERROR", IF(AND(Y122=$FU$6, E122="Interior"), IF(BS122="N", 'Lookup Tables'!$AM$101*BP122, VLOOKUP(W122, 'Lookup Tables'!$AI$6:$AM$102, 5, FALSE)*S122*AD122), "")), 2), "")</f>
        <v/>
      </c>
      <c r="FV122" s="253" t="str">
        <f>IFERROR(ROUND(IF(CD122="ERROR", "ERROR", IF(AND(Y122=$FU$6, E122="Exterior"), IF(BS122="N", 'Lookup Tables'!$AM$101*BP122, VLOOKUP(W122, 'Lookup Tables'!$AI$6:$AM$102, 5, FALSE)*S122*AD122), "")), 2), "")</f>
        <v/>
      </c>
      <c r="FW122" s="253" t="str">
        <f>IFERROR(ROUND(IF(CD122="ERROR", "ERROR", IF($FW$6=Y122, IF(BS122="N", 'Lookup Tables'!$AM$101*BP122, MIN((VLOOKUP(W122, 'Lookup Tables'!$AI$6:$AM$102, 5, FALSE)*BP122),GB122*AJ122)), "")), 2), "")</f>
        <v/>
      </c>
      <c r="FX122" s="253" t="str">
        <f>IFERROR(ROUND(IF(CD122="ERROR", "ERROR", IF(AND($FX$6=Y122, E122="Interior"), IF(VLOOKUP(W122, 'Lookup Tables'!$AI$6:$AM$102, 5, FALSE)*BP122&gt;'Lookup Tables'!$AQ$97*'Lighting Inventory'!S122,'Lighting Inventory'!S122*'Lookup Tables'!$AQ$97,VLOOKUP(W122, 'Lookup Tables'!$AI$6:$AM$102, 5, FALSE)*BP122), "")), 2), "")</f>
        <v/>
      </c>
      <c r="FY122" s="253" t="str">
        <f>IFERROR(ROUND(IF(CD122="ERROR", "ERROR", IF(AND($FX$6=Y122, E122="Exterior"), IF(VLOOKUP(W122, 'Lookup Tables'!$AI$6:$AM$102, 5, FALSE)*BP122&gt;'Lookup Tables'!$AQ$97*'Lighting Inventory'!S122,'Lighting Inventory'!S122*'Lookup Tables'!$AQ$97,VLOOKUP(W122, 'Lookup Tables'!$AI$6:$AM$102, 5, FALSE)*BP122), "")), 2), "")</f>
        <v/>
      </c>
      <c r="FZ122" s="253" t="str">
        <f>IFERROR(ROUND(IF(CD122="ERROR", "ERROR", IF(AND($FZ$6=Y122, E122="Interior"), IF(AND(OR(W122="Refrigerated Case Lighting with Doors", W122="Freezer Case Lighting"),Y122="Custom - Process Improvement"),CD122*'Lookup Tables'!$AM$101, IF(B122="Retrofit", IF(VLOOKUP(IF(V122="Custom", V122, W122), 'Lookup Tables'!$AI$6:$AM$102, 5, FALSE)*BP122&gt;GE122, GE122, VLOOKUP(IF(V122="Custom", V122, W122), 'Lookup Tables'!$AI$6:$AM$102, 5, FALSE)*BP122), IF(VLOOKUP(IF(V122="Custom", V122, W122), 'Lookup Tables'!$AI$114:$AM$154, 5, FALSE)*BP122&gt;GE122, GE122, VLOOKUP(IF(V122="Custom", V122, W122), 'Lookup Tables'!$AI$114:$AM$154, 5, FALSE)*BP122))), "")), 2),"")</f>
        <v/>
      </c>
      <c r="GA122" s="253" t="str">
        <f>IFERROR(ROUND(IF(CD122="ERROR", "ERROR", IF(AND($FZ$6=Y122, E122="Exterior"), IF(B122="Retrofit", IF(VLOOKUP(IF(V122="Custom", V122, W122), 'Lookup Tables'!$AI$6:$AM$102, 5, FALSE)*BP122&gt;GE122, GE122, VLOOKUP(IF(V122="Custom", V122, W122), 'Lookup Tables'!$AI$6:$AM$102, 5, FALSE)*BP122), IF(VLOOKUP(IF(V122="Custom", V122, W122), 'Lookup Tables'!$AI$114:$AM$154, 5, FALSE)*BP122&gt;GE122, GE122, VLOOKUP(IF(V122="Custom", V122, W122), 'Lookup Tables'!$AI$114:$AM$154, 5, FALSE)*BP122)), "")), 2),"")</f>
        <v/>
      </c>
      <c r="GB122" s="254" t="str">
        <f t="array" ref="GB122">IF(B122="","",IF(OR(V122="Custom",V122="No Change"),0,IF(B122="Retrofit", INDEX('Lookup Tables'!$AH$6:$AQ$102,MATCH(1,('Lookup Tables'!$AH$6:$AH$102='Lighting Inventory'!V122)*('Lookup Tables'!$AI$6:$AI$102='Lighting Inventory'!W122),FALSE),10),INDEX('Lookup Tables'!$AH$114:$AQ$154,MATCH(1,('Lookup Tables'!$AH$114:$AH$154='Lighting Inventory'!V122)*('Lookup Tables'!$AI$114:$AI$154='Lighting Inventory'!W122),FALSE),10))))</f>
        <v/>
      </c>
      <c r="GC122" s="255" t="str">
        <f t="shared" si="344"/>
        <v/>
      </c>
      <c r="GD122" s="250" t="str">
        <f t="shared" si="345"/>
        <v/>
      </c>
      <c r="GE122" s="253" t="str">
        <f>IFERROR(IF(AND(AF122="", 'General Information'!$F$18="No"),"", IF(AF122="", ((GD122/$CD$266)*$CF$266)*0.5, AF122*S122*0.5)), "")</f>
        <v/>
      </c>
      <c r="GF122" s="255" t="str">
        <f>IF(AND('General Information'!$F$19="", 'General Information'!$F$18="Yes",AF122="",BW122="Y"), "Y", "N")</f>
        <v>N</v>
      </c>
      <c r="GG122" s="255" t="s">
        <v>2946</v>
      </c>
      <c r="GH122" s="255" t="str">
        <f>IFERROR(IF(B122="", "", VLOOKUP(J122, 'Fixture Identities'!$A$6:$N$908, 14, FALSE)), "")</f>
        <v/>
      </c>
      <c r="GI122" s="389" t="str">
        <f>IF(OR(B122="", V122="", W122=""), "", IF(AND(OR(M122='Lookup Tables'!$R$18, M122='Lookup Tables'!$R$19, M122='Lookup Tables'!$R$20, M122='Lookup Tables'!$R$21, M122='Lookup Tables'!$R$22), OR(AN122='Lookup Tables'!$R$17, AN122='Lookup Tables'!$R$17, AN122="")), "Y", "N"))</f>
        <v/>
      </c>
      <c r="GJ122" s="255" t="str">
        <f t="shared" si="346"/>
        <v/>
      </c>
      <c r="GK122" s="255" t="str">
        <f t="shared" si="347"/>
        <v/>
      </c>
      <c r="GL122" s="255" t="str">
        <f t="shared" si="348"/>
        <v/>
      </c>
      <c r="GM122" s="255" t="str">
        <f>IF(AN122="", "", IF(AND(IF(ISNA(VLOOKUP(AN122,'Lookup Tables'!$R$18:$R$22,1,FALSE)), "N", "Y")="Y", E122="Exterior"), "Y", "N"))</f>
        <v/>
      </c>
      <c r="GN122" s="395"/>
      <c r="GO122" s="428">
        <f t="shared" si="394"/>
        <v>0</v>
      </c>
      <c r="GP122" s="428">
        <f t="shared" si="397"/>
        <v>0</v>
      </c>
      <c r="GQ122" s="428">
        <f t="shared" si="395"/>
        <v>0</v>
      </c>
      <c r="GR122" s="428">
        <f t="shared" si="396"/>
        <v>0</v>
      </c>
    </row>
    <row r="123" spans="1:200" s="103" customFormat="1" ht="13.5" customHeight="1" x14ac:dyDescent="0.2">
      <c r="A123" s="272">
        <v>113</v>
      </c>
      <c r="B123" s="110"/>
      <c r="C123" s="110"/>
      <c r="D123" s="110"/>
      <c r="E123" s="110"/>
      <c r="F123" s="110"/>
      <c r="G123" s="110"/>
      <c r="H123" s="110"/>
      <c r="I123" s="29"/>
      <c r="J123" s="29"/>
      <c r="K123" s="272" t="str">
        <f>IFERROR(IF(OR(VLOOKUP(J123, 'Fixture Identities'!$A$6:$L$1023, 3, FALSE)="T12 Linear Fluorescent", VLOOKUP(J123, 'Fixture Identities'!$A$6:$L$1023, 3, FALSE)="T12 U-Tube Fluorescent"), VLOOKUP(VLOOKUP(J123, 'Fixture Identities'!$A$6:$L$1023, 11, FALSE), 'Fixture Identities'!$A$6:$L$1023, 10, FALSE), VLOOKUP(J123, 'Fixture Identities'!$A$6:$L$1023, 10, FALSE)), "")</f>
        <v/>
      </c>
      <c r="L123" s="270" t="str">
        <f t="shared" si="399"/>
        <v/>
      </c>
      <c r="M123" s="110"/>
      <c r="N123" s="110"/>
      <c r="O123" s="110"/>
      <c r="P123" s="272" t="str">
        <f>IFERROR(IF(OR(B123="Retrofit",B123=""),"",IF('Lighting Inventory'!E123="Exterior",VLOOKUP('Lighting Inventory'!N123,'Lookup Tables'!$B$83:$F$103,5,FALSE),IF(N123="Other - Please Estimate EFLH and CFs","Contact Prog. Rep.","ft^2"))), "")</f>
        <v/>
      </c>
      <c r="Q123" s="270" t="str">
        <f>IFERROR(IF(AND(B123="New Construction",E123="Interior",$F$5="Space-by-Space"),VLOOKUP('Lighting Inventory'!N123,'Lookup Tables'!$N$6:$O$97,2,FALSE),IF(AND(B123="New Construction",E123="Exterior"),VLOOKUP(N123,'Lookup Tables'!$B$83:$F$103,2,FALSE),IF(AND(B123="New Construction",'Lighting Inventory'!E123="Interior", $F$5="Building Area"),VLOOKUP(F123,'Lookup Tables'!$A$6:$J$59,10,FALSE),""))), "")</f>
        <v/>
      </c>
      <c r="R123" s="270" t="str">
        <f>IFERROR(IF(P123="Contact Prog. Rep.", "ERROR", IF(OR(B123="",B123="Retrofit"),"",IF(N123="Automated teller machines", ('Lookup Tables'!$A$82:$E$100+('Lighting Inventory'!O123-1)*'Lookup Tables'!$A$82:$E$100)/1000, (Q123*O123)/1000))), "")</f>
        <v/>
      </c>
      <c r="S123" s="595"/>
      <c r="T123" s="105" t="str">
        <f t="shared" si="349"/>
        <v/>
      </c>
      <c r="U123" s="105" t="str">
        <f>IF(S123="","",COUNT($S$11:S123))</f>
        <v/>
      </c>
      <c r="V123" s="111"/>
      <c r="W123" s="112"/>
      <c r="X123" s="105" t="str">
        <f t="shared" si="350"/>
        <v/>
      </c>
      <c r="Y123" s="105" t="str">
        <f t="array" ref="Y123">IF(AND(OR(W123="Freezer Case Lighting", W123="Refrigerated Case Lighting with Doors"), 'General Information'!$X$18="LCI"),'Lookup Tables'!$Y$34, IF(V123="Custom", VLOOKUP(W123, 'Fixture Identities'!$A$974:$M$1023, 13, FALSE), IF(V123="No Change",'Lookup Tables'!$Y$29,IF(OR(V123="",W123=""),"",IF(AND(S123=0,S123&lt;I123,B123="Retrofit"),'Lookup Tables'!$Y$25, IF(B123="Retrofit", INDEX('Lookup Tables'!$AH$6:$AP$102, MATCH(1, ('Lookup Tables'!$AH$6:$AH$102=V123)*('Lookup Tables'!$AI$6:$AI$102=W123), 0), IF('Lighting Inventory'!E123="Interior", 4, 5)), INDEX('Lookup Tables'!$AH$114:$AP$154, MATCH(1, ('Lookup Tables'!$AH$114:$AH$154=V123)*('Lookup Tables'!$AI$114:$AI$154=W123), 0), IF('Lighting Inventory'!E123="Interior", 4, 5))))))))</f>
        <v/>
      </c>
      <c r="Z123" s="105" t="str">
        <f>IFERROR(INDEX('Lookup Tables'!$AH$158:$AH$172,MATCH('Lighting Inventory'!Y123,'Lookup Tables'!$AI$158:$AI$172,0)),"")</f>
        <v/>
      </c>
      <c r="AA123" s="105" t="str">
        <f>IF(AP123&gt;0,INDEX('Lookup Tables'!$AK$158:$AK$172,MATCH('Lighting Inventory'!Y123,'Lookup Tables'!$AI$158:$AI$172,0)),'Lighting Inventory'!Y123)</f>
        <v/>
      </c>
      <c r="AB123" s="105" t="str">
        <f t="array" ref="AB123">IF(V123="Custom", "Custom", IF(V123="", "", IF(V123="Not DLC or Energy Star", "General", IF(B123="New Construction", INDEX('Lookup Tables'!$AH$114:$AP$154,MATCH(1,('Lookup Tables'!$AH$114:$AH$154='Lighting Inventory'!V123)*('Lookup Tables'!$AI$114:$AI$154='Lighting Inventory'!W123),FALSE),8), INDEX('Lookup Tables'!$AH$6:$AP$102,MATCH(1,('Lookup Tables'!$AH$6:$AH$102='Lighting Inventory'!V123)*('Lookup Tables'!$AI$6:$AI$102='Lighting Inventory'!W123),FALSE),8)))))</f>
        <v/>
      </c>
      <c r="AC123" s="272" t="str">
        <f>IF(W123="","",IF(V123="Custom",CONCATENATE("$",'Lookup Tables'!$AM$101," ",'Lookup Tables'!$AN$101),CONCATENATE("$",INDEX('Lookup Tables'!$AM$6:$AM$102,MATCH('Lighting Inventory'!W123,'Lookup Tables'!$AI$6:$AI$102,0))," ",INDEX('Lookup Tables'!$AN$6:$AN$102,MATCH('Lighting Inventory'!W123,'Lookup Tables'!$AI$6:$AI$102,0)))))</f>
        <v/>
      </c>
      <c r="AD123" s="72"/>
      <c r="AE123" s="29"/>
      <c r="AF123" s="379"/>
      <c r="AG123" s="370" t="str">
        <f t="shared" si="298"/>
        <v/>
      </c>
      <c r="AH123" s="370" t="str">
        <f t="shared" si="351"/>
        <v/>
      </c>
      <c r="AI123" s="29"/>
      <c r="AJ123" s="29"/>
      <c r="AK123" s="110"/>
      <c r="AL123" s="375" t="str">
        <f>IF(OR(B123="", V123="", W123=""), "", IF(V123="No Change", K123, IF(V123="Remove Fixture", 0, IF(V123="Custom",VLOOKUP(W123,'Fixture Identities'!$A$6:$K$1023,10,FALSE),IF(AE123="", "← ENTER POST WATTS", 'Lighting Inventory'!AE123)))))</f>
        <v/>
      </c>
      <c r="AM123" s="376" t="str">
        <f t="shared" si="299"/>
        <v/>
      </c>
      <c r="AN123" s="29"/>
      <c r="AO123" s="671"/>
      <c r="AP123" s="29"/>
      <c r="AQ123" s="29"/>
      <c r="AR123" s="29"/>
      <c r="AS123" s="272" t="str">
        <f t="shared" si="352"/>
        <v/>
      </c>
      <c r="AT123" s="270" t="str">
        <f t="shared" si="300"/>
        <v/>
      </c>
      <c r="AU123" s="88" t="str">
        <f t="shared" si="400"/>
        <v/>
      </c>
      <c r="AV123" s="29"/>
      <c r="AW123" s="73"/>
      <c r="AX123" s="271" t="str">
        <f>IF(AND(AV123="Applicant",OR(AW123="", AW123="Use Default Facility Hours")),"← Choose Schedule",IF(F123="","",IF(W123="LED Exit Signs",8760,IF(OR(AV123="Prescribed",AV123=""),VLOOKUP(F123,'Lookup Tables'!$A$6:$G$59,IF(AB123="General", 6, 3),FALSE),VLOOKUP(AW123,'Lookup Tables'!$S$36:$U$43,2,FALSE)))))</f>
        <v/>
      </c>
      <c r="AY123" s="88" t="str">
        <f t="shared" si="301"/>
        <v/>
      </c>
      <c r="AZ123" s="270" t="str">
        <f>IFERROR(IF(F123="", "", IF(W123="LED Exit Signs", 1, IF(AV123="Applicant",VLOOKUP(AW123, 'Lookup Tables'!$S$36:$U$43,3, FALSE), VLOOKUP('Lighting Inventory'!F123, 'Lookup Tables'!$A$6:$H$59, IF('Lighting Inventory'!AB123="General",7,4), FALSE)))), "")</f>
        <v/>
      </c>
      <c r="BA123" s="522" t="str">
        <f>IFERROR(IF(F123="", "", IF(W123="LED Exit Signs", 1, VLOOKUP('Lighting Inventory'!F123, 'Lookup Tables'!$A$6:$H$59, IF('Lighting Inventory'!AB123="General",8,5), FALSE))), "")</f>
        <v/>
      </c>
      <c r="BB123" s="270" t="str">
        <f>IF(G123="", "", IF(E123="Exterior", 0, IF('Lighting Inventory'!G123="Air Conditioned", VLOOKUP(H123, 'Lookup Tables'!$R$6:$T$13, 2, FALSE), VLOOKUP('Lighting Inventory'!G123, 'Lookup Tables'!$R$6:$T$13, 2, FALSE))))</f>
        <v/>
      </c>
      <c r="BC123" s="522" t="str">
        <f>IF(G123="", "", IF(E123="Exterior", 0, IF('Lighting Inventory'!G123="Air Conditioned", VLOOKUP(H123, 'Lookup Tables'!$R$6:$T$13, 3, FALSE), VLOOKUP('Lighting Inventory'!G123, 'Lookup Tables'!$R$6:$T$13, 3, FALSE))))</f>
        <v/>
      </c>
      <c r="BD123" s="270" t="str">
        <f>IF(G123="", "", IF(E123="Exterior", 0, IF('Lighting Inventory'!G123="Air Conditioned", VLOOKUP(H123, 'Lookup Tables'!$R$6:$U$13, 4, FALSE), VLOOKUP('Lighting Inventory'!G123, 'Lookup Tables'!$R$6:$U$13, 4, FALSE))))</f>
        <v/>
      </c>
      <c r="BE123" s="270" t="str">
        <f>IFERROR(IF(B123="", "",  IF(B123="New Construction", VLOOKUP(F123, 'Lookup Tables'!$A$6:$K$59, 11, FALSE),IF(OR(AN123="", AN123="Light Switch"), 0, IF(OR(M123="",M123="None",V123= "LED Exit Signs"),0,_xlfn.XLOOKUP(M123,'Lookup Tables'!$R$91:$R$101,'Lookup Tables'!$V$91:$V$101))))), "")</f>
        <v/>
      </c>
      <c r="BF123" s="270" t="str">
        <f>IF(AND(OR(AN123="Light Switch",AN123=""),B123="New Construction"), VLOOKUP(F123, 'Lookup Tables'!$A$6:$K$59, 11, FALSE),IF(AN123="","",IF(B123="","",IF(OR(AN123="None",AN123="",V123="LED Exit Signs",AN123="Exterior Controls Not Eligible"),0,_xlfn.XLOOKUP(AN123,'Lookup Tables'!$R$91:$R$101,'Lookup Tables'!$V$91:$V$101)))))</f>
        <v/>
      </c>
      <c r="BG123" s="88" t="str">
        <f t="shared" si="353"/>
        <v/>
      </c>
      <c r="BH123" s="88" t="str">
        <f t="shared" si="354"/>
        <v/>
      </c>
      <c r="BI123" s="558" t="str">
        <f t="shared" si="398"/>
        <v/>
      </c>
      <c r="BJ123" s="82" t="str">
        <f t="shared" si="355"/>
        <v/>
      </c>
      <c r="BK123" s="82" t="str">
        <f t="shared" si="356"/>
        <v/>
      </c>
      <c r="BL123" s="559" t="str">
        <f t="shared" si="357"/>
        <v/>
      </c>
      <c r="BM123" s="521" t="str">
        <f t="shared" si="302"/>
        <v/>
      </c>
      <c r="BN123" s="521" t="str">
        <f t="shared" si="303"/>
        <v/>
      </c>
      <c r="BO123" s="522" t="str">
        <f t="shared" si="304"/>
        <v/>
      </c>
      <c r="BP123" s="83" t="str">
        <f t="shared" si="358"/>
        <v/>
      </c>
      <c r="BQ123" s="84" t="str">
        <f t="shared" si="359"/>
        <v/>
      </c>
      <c r="BR123" s="184" t="str">
        <f>IFERROR(IF(B123="", "", IF(OR(VLOOKUP(J123, 'Fixture Identities'!$A$6:$L$1023, 3, FALSE)="T12 Linear Fluorescent",VLOOKUP(J123, 'Fixture Identities'!$A$6:$L$1023, 3, FALSE)="T12 U-Tube Fluorescent"), "Y", "N")), "N")</f>
        <v/>
      </c>
      <c r="BS123" s="184" t="str">
        <f t="array" ref="BS123">IFERROR(IF(OR(B123="", V123="", W123=""), "", IF(V123="Custom", "N", IF(OR(W123="Freezer Case Lighting", W123="Refrigerated Case Lighting with Doors"), BT123, IF(B123="Retrofit", INDEX('Lookup Tables'!$AH$6:$AT$102,MATCH(1,('Lookup Tables'!$AH$6:$AH$102=V123)*('Lookup Tables'!$AI$6:$AI$102=W123),FALSE),IF(VLOOKUP(J123, 'Fixture Identities'!$A$6:$B$1023, 2, FALSE)="Incandescent",12, 13)), INDEX('Lookup Tables'!$AH$114:$AS$154,MATCH(1,('Lookup Tables'!$AH$114:$AH$154=V123)*('Lookup Tables'!$AI$114:$AI$154=W123),FALSE),12))))), "N")</f>
        <v/>
      </c>
      <c r="BT123" s="184" t="str">
        <f>IF(J123="", "", IF(AND(OR(W123="Freezer case Lighting", W123="Refrigerated Case Lighting with Doors"),'General Information'!$X$18="LCI"), "N", IF(OR(VLOOKUP(J123, 'Fixture Identities'!$A$6:$B$1023, 2, FALSE)="T12 EPACT/EISA Baseline", VLOOKUP(J123, 'Fixture Identities'!$A$6:$B$1023, 2, FALSE)="Linear Fluorescent", VLOOKUP(J123, 'Fixture Identities'!$A$6:$B$1023, 2, FALSE)="U-Tube Fluorescent"), "Y", "N")))</f>
        <v/>
      </c>
      <c r="BU123" s="184" t="str">
        <f>IFERROR(IF(B123="", "", IF(VLOOKUP(J123, 'Fixture Identities'!$A$6:$B$1023, 2, FALSE)="Exit Sign", "Y", "N")), "N")</f>
        <v/>
      </c>
      <c r="BV123" s="184" t="str">
        <f>IF(V123="Exit Signs", IF(VLOOKUP(J123, 'Fixture Identities'!$A$6:$B$1023, 2, FALSE)="Exit Sign", "N", "Y"), "")</f>
        <v/>
      </c>
      <c r="BW123" s="184" t="str">
        <f t="array" ref="BW123">IFERROR(IF(B123="", "", IF(B123="New Construction", "N", INDEX('Lookup Tables'!$AH$6:$AU$102, MATCH(1, ('Lookup Tables'!$AH$6:$AH$102='Lighting Inventory'!V123)*('Lookup Tables'!$AI$6:$AI$102='Lighting Inventory'!W123), 0), 14))), "N")</f>
        <v/>
      </c>
      <c r="BX123" s="598" t="str">
        <f t="shared" si="360"/>
        <v/>
      </c>
      <c r="BY123" s="598" t="str">
        <f t="shared" si="361"/>
        <v/>
      </c>
      <c r="BZ123" s="598" t="str">
        <f t="shared" si="362"/>
        <v/>
      </c>
      <c r="CA123" s="598" t="str">
        <f t="shared" si="363"/>
        <v/>
      </c>
      <c r="CB123" s="269" t="str">
        <f t="shared" si="364"/>
        <v/>
      </c>
      <c r="CC123" s="517" t="str">
        <f t="shared" si="365"/>
        <v/>
      </c>
      <c r="CD123" s="565" t="str">
        <f t="shared" si="305"/>
        <v/>
      </c>
      <c r="CE123" s="368">
        <v>0</v>
      </c>
      <c r="CF123" s="368" t="str" cm="1">
        <f t="array" ref="CF123">IFERROR(IF(V123="Custom", "$0.1 per kWh", IF(B123="New Construction", CONCATENATE("$",INDEX('Lookup Tables'!$AH$114:$AN$154,MATCH(1,('Lookup Tables'!$AH$114:$AH$154='Lighting Inventory'!V123)*('Lookup Tables'!$AI$114:$AI$154='Lighting Inventory'!W123),FALSE),6)," ",INDEX('Lookup Tables'!$AH$114:$AN$154,MATCH(1,('Lookup Tables'!$AH$114:$AH$154='Lighting Inventory'!V123)*('Lookup Tables'!$AI$114:$AI$154='Lighting Inventory'!W123),FALSE),7)), IF(AND(BU123="N", V123="Exit Signs"), "$0.025 per kWh", CONCATENATE("$",INDEX('Lookup Tables'!$AH$6:$AN$102,MATCH(1,('Lookup Tables'!$AH$6:$AH$102='Lighting Inventory'!V123)*('Lookup Tables'!$AI$6:$AI$102='Lighting Inventory'!W123),FALSE),6)," ",INDEX('Lookup Tables'!$AH$6:$AN$102,MATCH(1,('Lookup Tables'!$AH$6:$AH$102='Lighting Inventory'!V123)*('Lookup Tables'!$AI$6:$AI$102='Lighting Inventory'!W123),FALSE),7))))), "")</f>
        <v/>
      </c>
      <c r="CG123" s="366"/>
      <c r="CH123" s="248" t="str">
        <f t="shared" si="306"/>
        <v/>
      </c>
      <c r="CI123" s="248" t="str">
        <f t="shared" si="307"/>
        <v>Select_IE</v>
      </c>
      <c r="CJ123" s="248" t="str">
        <f t="shared" si="308"/>
        <v/>
      </c>
      <c r="CK123" s="248" t="str">
        <f t="shared" si="309"/>
        <v/>
      </c>
      <c r="CL123" s="248" t="str">
        <f t="shared" si="310"/>
        <v/>
      </c>
      <c r="CM123" s="248" t="str">
        <f>IFERROR(IF(B123="", "", IF(B123="New Construction", VLOOKUP(V123, 'Lookup Tables'!$AF$114:$AG$120, 2, FALSE), VLOOKUP(V123, 'Lookup Tables'!$AD$6:$AE$25, 2, FALSE))), "")</f>
        <v/>
      </c>
      <c r="CN123" s="248" t="str">
        <f t="shared" si="311"/>
        <v/>
      </c>
      <c r="CO123" s="248" t="str">
        <f t="shared" si="312"/>
        <v/>
      </c>
      <c r="CP123" s="592" t="str">
        <f t="shared" si="313"/>
        <v/>
      </c>
      <c r="CQ123" s="248" t="str">
        <f t="shared" si="366"/>
        <v/>
      </c>
      <c r="CR123" s="100"/>
      <c r="CS123" s="250" t="str">
        <f t="shared" si="314"/>
        <v/>
      </c>
      <c r="CT123" s="250" t="str">
        <f t="shared" si="367"/>
        <v/>
      </c>
      <c r="CU123" s="250" t="str">
        <f t="shared" si="368"/>
        <v/>
      </c>
      <c r="CV123" s="250" t="str">
        <f t="shared" si="369"/>
        <v/>
      </c>
      <c r="CW123" s="250" t="str">
        <f t="shared" si="370"/>
        <v/>
      </c>
      <c r="CX123" s="250" t="str">
        <f t="shared" si="315"/>
        <v/>
      </c>
      <c r="CY123" s="250" t="str">
        <f t="shared" si="316"/>
        <v/>
      </c>
      <c r="CZ123" s="250" t="str">
        <f t="shared" si="317"/>
        <v/>
      </c>
      <c r="DA123" s="250" t="str">
        <f t="shared" si="318"/>
        <v/>
      </c>
      <c r="DB123" s="250" t="str">
        <f t="shared" si="319"/>
        <v/>
      </c>
      <c r="DC123" s="250" t="str">
        <f t="shared" si="320"/>
        <v/>
      </c>
      <c r="DD123" s="250" t="str">
        <f t="shared" si="321"/>
        <v/>
      </c>
      <c r="DE123" s="250" t="str">
        <f t="shared" si="322"/>
        <v/>
      </c>
      <c r="DF123" s="250" t="str">
        <f t="shared" si="323"/>
        <v/>
      </c>
      <c r="DG123" s="250" t="str">
        <f t="shared" si="324"/>
        <v/>
      </c>
      <c r="DH123" s="250" t="str">
        <f t="shared" si="325"/>
        <v/>
      </c>
      <c r="DI123" s="250" t="str">
        <f t="shared" si="326"/>
        <v/>
      </c>
      <c r="DJ123" s="250" t="str">
        <f t="shared" si="327"/>
        <v/>
      </c>
      <c r="DK123" s="250" t="str">
        <f t="shared" si="328"/>
        <v/>
      </c>
      <c r="DL123" s="250" t="str">
        <f t="shared" si="329"/>
        <v/>
      </c>
      <c r="DM123" s="250" t="str">
        <f>IF(CD123="ERROR", "ERROR", IF(AND(OR(Y123=$DM$6, Y123='Lookup Tables'!$AD$21, Y123='Lookup Tables'!$AD$22), E123="Interior"), BJ123, ""))</f>
        <v/>
      </c>
      <c r="DN123" s="250" t="str">
        <f>IF(CD123="ERROR", "ERROR", IF(AND(OR(Y123=$DM$6, Y123='Lookup Tables'!$AD$21, Y123='Lookup Tables'!$AD$22), E123="Exterior"), BJ123, ""))</f>
        <v/>
      </c>
      <c r="DO123" s="100"/>
      <c r="DP123" s="250" t="str">
        <f t="shared" si="330"/>
        <v/>
      </c>
      <c r="DQ123" s="250" t="str">
        <f t="shared" si="371"/>
        <v/>
      </c>
      <c r="DR123" s="250" t="str">
        <f t="shared" si="372"/>
        <v/>
      </c>
      <c r="DS123" s="250" t="str">
        <f t="shared" si="373"/>
        <v/>
      </c>
      <c r="DT123" s="250" t="str">
        <f t="shared" si="374"/>
        <v/>
      </c>
      <c r="DU123" s="250" t="str">
        <f t="shared" si="331"/>
        <v/>
      </c>
      <c r="DV123" s="250" t="str">
        <f t="shared" si="332"/>
        <v/>
      </c>
      <c r="DW123" s="250" t="str">
        <f t="shared" si="333"/>
        <v/>
      </c>
      <c r="DX123" s="250" t="str">
        <f t="shared" si="334"/>
        <v/>
      </c>
      <c r="DY123" s="250" t="str">
        <f t="shared" si="335"/>
        <v/>
      </c>
      <c r="DZ123" s="250" t="str">
        <f t="shared" si="336"/>
        <v/>
      </c>
      <c r="EA123" s="250" t="str">
        <f t="shared" si="337"/>
        <v/>
      </c>
      <c r="EB123" s="250" t="str">
        <f t="shared" si="375"/>
        <v/>
      </c>
      <c r="EC123" s="250" t="str">
        <f t="shared" si="338"/>
        <v/>
      </c>
      <c r="ED123" s="250" t="str">
        <f t="shared" si="339"/>
        <v/>
      </c>
      <c r="EE123" s="250" t="str">
        <f t="shared" si="340"/>
        <v/>
      </c>
      <c r="EF123" s="250" t="str">
        <f t="shared" si="341"/>
        <v/>
      </c>
      <c r="EG123" s="250" t="str">
        <f t="shared" si="342"/>
        <v/>
      </c>
      <c r="EH123" s="250" t="str">
        <f>IF(CD123="ERROR", "ERROR", IF(AND(OR($EH$6=Y123, Y123='Lookup Tables'!$AD$21, Y123='Lookup Tables'!$AD$22),E123="Interior"), SUM(BP123:BP123), ""))</f>
        <v/>
      </c>
      <c r="EI123" s="250" t="str">
        <f>IF(CD123="ERROR", "ERROR", IF(AND(OR($EH$6=Y123, Y123='Lookup Tables'!$AD$21, Y123='Lookup Tables'!$AD$22),E123="Exterior"), SUM(BP123:BP123), ""))</f>
        <v/>
      </c>
      <c r="EJ123" s="109"/>
      <c r="EK123" s="485" t="str">
        <f t="shared" si="343"/>
        <v/>
      </c>
      <c r="EL123" s="252" t="str">
        <f t="shared" si="376"/>
        <v/>
      </c>
      <c r="EM123" s="252" t="str">
        <f t="shared" si="377"/>
        <v/>
      </c>
      <c r="EN123" s="252" t="str">
        <f t="shared" si="378"/>
        <v/>
      </c>
      <c r="EO123" s="252" t="str">
        <f t="shared" si="379"/>
        <v/>
      </c>
      <c r="EP123" s="252" t="str">
        <f t="shared" si="380"/>
        <v/>
      </c>
      <c r="EQ123" s="252" t="str">
        <f t="shared" si="381"/>
        <v/>
      </c>
      <c r="ER123" s="252" t="str">
        <f t="shared" si="382"/>
        <v/>
      </c>
      <c r="ES123" s="252" t="str">
        <f t="shared" si="383"/>
        <v/>
      </c>
      <c r="ET123" s="252" t="str">
        <f t="shared" si="384"/>
        <v/>
      </c>
      <c r="EU123" s="252" t="str">
        <f t="shared" si="385"/>
        <v/>
      </c>
      <c r="EV123" s="252" t="str">
        <f t="shared" si="386"/>
        <v/>
      </c>
      <c r="EW123" s="252" t="str">
        <f t="shared" si="387"/>
        <v/>
      </c>
      <c r="EX123" s="252" t="str">
        <f t="shared" si="388"/>
        <v/>
      </c>
      <c r="EY123" s="252" t="str">
        <f t="shared" si="389"/>
        <v/>
      </c>
      <c r="EZ123" s="252" t="str">
        <f t="shared" si="390"/>
        <v/>
      </c>
      <c r="FA123" s="252" t="str">
        <f t="shared" si="391"/>
        <v/>
      </c>
      <c r="FB123" s="252" t="str">
        <f t="shared" si="392"/>
        <v/>
      </c>
      <c r="FC123" s="252" t="str">
        <f>IF(CD123="ERROR", "ERROR", IF(OR(V123="No Change", V123="Not DLC or Energy Star"), "", IF(AND(OR($FC$6=Y123,Y123='Lookup Tables'!$AD$21, Y123='Lookup Tables'!$AD$22),E123="Interior"), S123, "")))</f>
        <v/>
      </c>
      <c r="FD123" s="252" t="str">
        <f t="shared" si="393"/>
        <v/>
      </c>
      <c r="FE123" s="101"/>
      <c r="FF123" s="579" t="str" cm="1">
        <f t="array" ref="FF123">IFERROR(IF(OR(BQ123&lt;=0,AQ123&lt;20,AND(V123="Exit Signs",AN123&gt;0)),"",IF(AND(AQ123&gt;=20,AN123='Lookup Tables'!$R$101),'Lookup Tables'!$U$101*BQ123,AP123*LOOKUP(2,1/((AN123='Lookup Tables'!$R$91:$R$111)*(AQ123&gt;='Lookup Tables'!$S$91:$S$111)*(AQ123&lt;='Lookup Tables'!$T$91:$T$111)),'Lookup Tables'!$U$91:$U$111))),"")</f>
        <v/>
      </c>
      <c r="FG123" s="579"/>
      <c r="FH123" s="579"/>
      <c r="FI123" s="253" t="str">
        <f>IFERROR(ROUND(IF(CD123="ERROR", "ERROR", IF(AND($FI$7=X123,E123="Interior"),VLOOKUP(W123, 'Lookup Tables'!$AI$6:$AM$102, 5, FALSE)*BP123, "")), 2), "")</f>
        <v/>
      </c>
      <c r="FJ123" s="253" t="str">
        <f>IFERROR(ROUND(IF(CD123="ERROR", "ERROR", IF(AND($FI$7=X123,E123="Exterior"),VLOOKUP(W123, 'Lookup Tables'!$AI$6:$AM$102, 5, FALSE)*BP123, "")), 2), "")</f>
        <v/>
      </c>
      <c r="FK123" s="253" t="str">
        <f>IFERROR(ROUND(IF(CD123="ERROR", "ERROR", IF(AND($FK$7=X123,E123="Interior"),VLOOKUP(W123, 'Lookup Tables'!$AI$6:$AM$102, 5, FALSE)*BP123, "")), 2), "")</f>
        <v/>
      </c>
      <c r="FL123" s="253" t="str">
        <f>IFERROR(ROUND(IF(CD123="ERROR", "ERROR", IF(AND($FK$7=X123,E123="Exterior"),VLOOKUP(W123, 'Lookup Tables'!$AI$6:$AM$102, 5, FALSE)*BP123, "")), 2), "")</f>
        <v/>
      </c>
      <c r="FM123" s="253" t="str">
        <f>IFERROR(ROUND(IF(CD123="ERROR", "ERROR", IF(AND($FM$6=Y123,E123="Interior"), IF(GB123=0, VLOOKUP(W123, 'Lookup Tables'!$AI$6:$AM$102, 5, FALSE)*BP123, IF(VLOOKUP(W123, 'Lookup Tables'!$AI$6:$AM$102, 5, FALSE)*BP123&gt;GB123*'Lighting Inventory'!S123, GB123*'Lighting Inventory'!S123,VLOOKUP(W123, 'Lookup Tables'!$AI$6:$AM$102, 5, FALSE)*BP123)), "")), 2), "")</f>
        <v/>
      </c>
      <c r="FN123" s="253" t="str">
        <f>IFERROR(ROUND(IF(CD123="ERROR", "ERROR", IF(AND($FM$6=Y123,E123="Exterior"), IF(GB123=0, VLOOKUP(W123, 'Lookup Tables'!$AI$6:$AM$102, 5, FALSE)*BP123, IF(VLOOKUP(W123, 'Lookup Tables'!$AI$6:$AM$102, 5, FALSE)*BP123&gt;GB123*'Lighting Inventory'!S123, GB123*'Lighting Inventory'!S123,VLOOKUP(W123, 'Lookup Tables'!$AI$6:$AM$102, 5, FALSE)*BP123)), "")), 2), "")</f>
        <v/>
      </c>
      <c r="FO123" s="253" t="str">
        <f>IFERROR(ROUND(IF(CD123="ERROR", "ERROR", IF(AND($FO$6=Y123,E123="Interior"),VLOOKUP(W123, 'Lookup Tables'!$AI$6:$AM$102, 5, FALSE)*'Lighting Inventory'!AI123, "")), 2), "")</f>
        <v/>
      </c>
      <c r="FP123" s="253" t="str">
        <f>IFERROR(ROUND(IF(CD123="ERROR", "ERROR", IF(AND($FO$6=Y123,E123="Exterior"),VLOOKUP(W123, 'Lookup Tables'!$AI$6:$AM$102, 5, FALSE)*'Lighting Inventory'!AI123, "")), 2), "")</f>
        <v/>
      </c>
      <c r="FQ123" s="253" t="str">
        <f>IFERROR(ROUND(IF(CD123="ERROR", "ERROR", IF(AND($FQ$6=Y123,E123="Interior", BU123="Y"), VLOOKUP('Lighting Inventory'!W123, 'Lookup Tables'!$AI$6:$AM$102, 5, FALSE)*'Lighting Inventory'!S123, IF(AND($FQ$7=Y123,E123="Interior", BU123="N"), 0.025*CD123, ""))), 2), "")</f>
        <v/>
      </c>
      <c r="FR123" s="253" t="str">
        <f>IFERROR(ROUND(IF(CD123="ERROR", "ERROR", IF(AND($FQ$6=Y123,E123="Exterior"), VLOOKUP('Lighting Inventory'!W123, 'Lookup Tables'!$AI$6:$AM$102, 5, FALSE)*'Lighting Inventory'!S123, "")), 2), "")</f>
        <v/>
      </c>
      <c r="FS123" s="253" t="str">
        <f>IFERROR(ROUND(IF(CD123="ERROR", "ERROR", IF(AND($FS$6=Y123,E123="Exterior"), IF(GB123=0, VLOOKUP(W123, 'Lookup Tables'!$AI$6:$AM$102, 5, FALSE)*BP123, IF(VLOOKUP(W123, 'Lookup Tables'!$AI$6:$AM$102, 5, FALSE)*BP123&gt;GB123*'Lighting Inventory'!S123, GB123*'Lighting Inventory'!S123,VLOOKUP(W123, 'Lookup Tables'!$AI$6:$AM$102, 5, FALSE)*BP123)), "")), 2), "")</f>
        <v/>
      </c>
      <c r="FT123" s="253" t="str">
        <f>IFERROR(ROUND(IF(CD123="ERROR", "ERROR", IF(AND($FT$6=Y123,E123="Interior"), IF(GB123=0, VLOOKUP(W123, 'Lookup Tables'!$AI$6:$AM$102, 5, FALSE)*BP123, IF(VLOOKUP(W123, 'Lookup Tables'!$AI$6:$AM$102, 5, FALSE)*BP123&gt;GB123*'Lighting Inventory'!S123, GB123*'Lighting Inventory'!S123,VLOOKUP(W123, 'Lookup Tables'!$AI$6:$AM$102, 5, FALSE)*BP123)), "")), 2), "")</f>
        <v/>
      </c>
      <c r="FU123" s="253" t="str">
        <f>IFERROR(ROUND(IF(CD123="ERROR", "ERROR", IF(AND(Y123=$FU$6, E123="Interior"), IF(BS123="N", 'Lookup Tables'!$AM$101*BP123, VLOOKUP(W123, 'Lookup Tables'!$AI$6:$AM$102, 5, FALSE)*S123*AD123), "")), 2), "")</f>
        <v/>
      </c>
      <c r="FV123" s="253" t="str">
        <f>IFERROR(ROUND(IF(CD123="ERROR", "ERROR", IF(AND(Y123=$FU$6, E123="Exterior"), IF(BS123="N", 'Lookup Tables'!$AM$101*BP123, VLOOKUP(W123, 'Lookup Tables'!$AI$6:$AM$102, 5, FALSE)*S123*AD123), "")), 2), "")</f>
        <v/>
      </c>
      <c r="FW123" s="253" t="str">
        <f>IFERROR(ROUND(IF(CD123="ERROR", "ERROR", IF($FW$6=Y123, IF(BS123="N", 'Lookup Tables'!$AM$101*BP123, MIN((VLOOKUP(W123, 'Lookup Tables'!$AI$6:$AM$102, 5, FALSE)*BP123),GB123*AJ123)), "")), 2), "")</f>
        <v/>
      </c>
      <c r="FX123" s="253" t="str">
        <f>IFERROR(ROUND(IF(CD123="ERROR", "ERROR", IF(AND($FX$6=Y123, E123="Interior"), IF(VLOOKUP(W123, 'Lookup Tables'!$AI$6:$AM$102, 5, FALSE)*BP123&gt;'Lookup Tables'!$AQ$97*'Lighting Inventory'!S123,'Lighting Inventory'!S123*'Lookup Tables'!$AQ$97,VLOOKUP(W123, 'Lookup Tables'!$AI$6:$AM$102, 5, FALSE)*BP123), "")), 2), "")</f>
        <v/>
      </c>
      <c r="FY123" s="253" t="str">
        <f>IFERROR(ROUND(IF(CD123="ERROR", "ERROR", IF(AND($FX$6=Y123, E123="Exterior"), IF(VLOOKUP(W123, 'Lookup Tables'!$AI$6:$AM$102, 5, FALSE)*BP123&gt;'Lookup Tables'!$AQ$97*'Lighting Inventory'!S123,'Lighting Inventory'!S123*'Lookup Tables'!$AQ$97,VLOOKUP(W123, 'Lookup Tables'!$AI$6:$AM$102, 5, FALSE)*BP123), "")), 2), "")</f>
        <v/>
      </c>
      <c r="FZ123" s="253" t="str">
        <f>IFERROR(ROUND(IF(CD123="ERROR", "ERROR", IF(AND($FZ$6=Y123, E123="Interior"), IF(AND(OR(W123="Refrigerated Case Lighting with Doors", W123="Freezer Case Lighting"),Y123="Custom - Process Improvement"),CD123*'Lookup Tables'!$AM$101, IF(B123="Retrofit", IF(VLOOKUP(IF(V123="Custom", V123, W123), 'Lookup Tables'!$AI$6:$AM$102, 5, FALSE)*BP123&gt;GE123, GE123, VLOOKUP(IF(V123="Custom", V123, W123), 'Lookup Tables'!$AI$6:$AM$102, 5, FALSE)*BP123), IF(VLOOKUP(IF(V123="Custom", V123, W123), 'Lookup Tables'!$AI$114:$AM$154, 5, FALSE)*BP123&gt;GE123, GE123, VLOOKUP(IF(V123="Custom", V123, W123), 'Lookup Tables'!$AI$114:$AM$154, 5, FALSE)*BP123))), "")), 2),"")</f>
        <v/>
      </c>
      <c r="GA123" s="253" t="str">
        <f>IFERROR(ROUND(IF(CD123="ERROR", "ERROR", IF(AND($FZ$6=Y123, E123="Exterior"), IF(B123="Retrofit", IF(VLOOKUP(IF(V123="Custom", V123, W123), 'Lookup Tables'!$AI$6:$AM$102, 5, FALSE)*BP123&gt;GE123, GE123, VLOOKUP(IF(V123="Custom", V123, W123), 'Lookup Tables'!$AI$6:$AM$102, 5, FALSE)*BP123), IF(VLOOKUP(IF(V123="Custom", V123, W123), 'Lookup Tables'!$AI$114:$AM$154, 5, FALSE)*BP123&gt;GE123, GE123, VLOOKUP(IF(V123="Custom", V123, W123), 'Lookup Tables'!$AI$114:$AM$154, 5, FALSE)*BP123)), "")), 2),"")</f>
        <v/>
      </c>
      <c r="GB123" s="254" t="str">
        <f t="array" ref="GB123">IF(B123="","",IF(OR(V123="Custom",V123="No Change"),0,IF(B123="Retrofit", INDEX('Lookup Tables'!$AH$6:$AQ$102,MATCH(1,('Lookup Tables'!$AH$6:$AH$102='Lighting Inventory'!V123)*('Lookup Tables'!$AI$6:$AI$102='Lighting Inventory'!W123),FALSE),10),INDEX('Lookup Tables'!$AH$114:$AQ$154,MATCH(1,('Lookup Tables'!$AH$114:$AH$154='Lighting Inventory'!V123)*('Lookup Tables'!$AI$114:$AI$154='Lighting Inventory'!W123),FALSE),10))))</f>
        <v/>
      </c>
      <c r="GC123" s="255" t="str">
        <f t="shared" si="344"/>
        <v/>
      </c>
      <c r="GD123" s="250" t="str">
        <f t="shared" si="345"/>
        <v/>
      </c>
      <c r="GE123" s="253" t="str">
        <f>IFERROR(IF(AND(AF123="", 'General Information'!$F$18="No"),"", IF(AF123="", ((GD123/$CD$266)*$CF$266)*0.5, AF123*S123*0.5)), "")</f>
        <v/>
      </c>
      <c r="GF123" s="255" t="str">
        <f>IF(AND('General Information'!$F$19="", 'General Information'!$F$18="Yes",AF123="",BW123="Y"), "Y", "N")</f>
        <v>N</v>
      </c>
      <c r="GG123" s="255" t="s">
        <v>2946</v>
      </c>
      <c r="GH123" s="255" t="str">
        <f>IFERROR(IF(B123="", "", VLOOKUP(J123, 'Fixture Identities'!$A$6:$N$908, 14, FALSE)), "")</f>
        <v/>
      </c>
      <c r="GI123" s="389" t="str">
        <f>IF(OR(B123="", V123="", W123=""), "", IF(AND(OR(M123='Lookup Tables'!$R$18, M123='Lookup Tables'!$R$19, M123='Lookup Tables'!$R$20, M123='Lookup Tables'!$R$21, M123='Lookup Tables'!$R$22), OR(AN123='Lookup Tables'!$R$17, AN123='Lookup Tables'!$R$17, AN123="")), "Y", "N"))</f>
        <v/>
      </c>
      <c r="GJ123" s="255" t="str">
        <f t="shared" si="346"/>
        <v/>
      </c>
      <c r="GK123" s="255" t="str">
        <f t="shared" si="347"/>
        <v/>
      </c>
      <c r="GL123" s="255" t="str">
        <f t="shared" si="348"/>
        <v/>
      </c>
      <c r="GM123" s="255" t="str">
        <f>IF(AN123="", "", IF(AND(IF(ISNA(VLOOKUP(AN123,'Lookup Tables'!$R$18:$R$22,1,FALSE)), "N", "Y")="Y", E123="Exterior"), "Y", "N"))</f>
        <v/>
      </c>
      <c r="GN123" s="395"/>
      <c r="GO123" s="428">
        <f t="shared" si="394"/>
        <v>0</v>
      </c>
      <c r="GP123" s="428">
        <f t="shared" si="397"/>
        <v>0</v>
      </c>
      <c r="GQ123" s="428">
        <f t="shared" si="395"/>
        <v>0</v>
      </c>
      <c r="GR123" s="428">
        <f t="shared" si="396"/>
        <v>0</v>
      </c>
    </row>
    <row r="124" spans="1:200" s="103" customFormat="1" ht="13.5" customHeight="1" x14ac:dyDescent="0.2">
      <c r="A124" s="272">
        <v>114</v>
      </c>
      <c r="B124" s="110"/>
      <c r="C124" s="110"/>
      <c r="D124" s="110"/>
      <c r="E124" s="110"/>
      <c r="F124" s="110"/>
      <c r="G124" s="110"/>
      <c r="H124" s="110"/>
      <c r="I124" s="29"/>
      <c r="J124" s="29"/>
      <c r="K124" s="272" t="str">
        <f>IFERROR(IF(OR(VLOOKUP(J124, 'Fixture Identities'!$A$6:$L$1023, 3, FALSE)="T12 Linear Fluorescent", VLOOKUP(J124, 'Fixture Identities'!$A$6:$L$1023, 3, FALSE)="T12 U-Tube Fluorescent"), VLOOKUP(VLOOKUP(J124, 'Fixture Identities'!$A$6:$L$1023, 11, FALSE), 'Fixture Identities'!$A$6:$L$1023, 10, FALSE), VLOOKUP(J124, 'Fixture Identities'!$A$6:$L$1023, 10, FALSE)), "")</f>
        <v/>
      </c>
      <c r="L124" s="270" t="str">
        <f t="shared" si="399"/>
        <v/>
      </c>
      <c r="M124" s="110"/>
      <c r="N124" s="110"/>
      <c r="O124" s="110"/>
      <c r="P124" s="272" t="str">
        <f>IFERROR(IF(OR(B124="Retrofit",B124=""),"",IF('Lighting Inventory'!E124="Exterior",VLOOKUP('Lighting Inventory'!N124,'Lookup Tables'!$B$83:$F$103,5,FALSE),IF(N124="Other - Please Estimate EFLH and CFs","Contact Prog. Rep.","ft^2"))), "")</f>
        <v/>
      </c>
      <c r="Q124" s="270" t="str">
        <f>IFERROR(IF(AND(B124="New Construction",E124="Interior",$F$5="Space-by-Space"),VLOOKUP('Lighting Inventory'!N124,'Lookup Tables'!$N$6:$O$97,2,FALSE),IF(AND(B124="New Construction",E124="Exterior"),VLOOKUP(N124,'Lookup Tables'!$B$83:$F$103,2,FALSE),IF(AND(B124="New Construction",'Lighting Inventory'!E124="Interior", $F$5="Building Area"),VLOOKUP(F124,'Lookup Tables'!$A$6:$J$59,10,FALSE),""))), "")</f>
        <v/>
      </c>
      <c r="R124" s="270" t="str">
        <f>IFERROR(IF(P124="Contact Prog. Rep.", "ERROR", IF(OR(B124="",B124="Retrofit"),"",IF(N124="Automated teller machines", ('Lookup Tables'!$A$82:$E$100+('Lighting Inventory'!O124-1)*'Lookup Tables'!$A$82:$E$100)/1000, (Q124*O124)/1000))), "")</f>
        <v/>
      </c>
      <c r="S124" s="595"/>
      <c r="T124" s="105" t="str">
        <f t="shared" si="349"/>
        <v/>
      </c>
      <c r="U124" s="105" t="str">
        <f>IF(S124="","",COUNT($S$11:S124))</f>
        <v/>
      </c>
      <c r="V124" s="111"/>
      <c r="W124" s="112"/>
      <c r="X124" s="105" t="str">
        <f t="shared" si="350"/>
        <v/>
      </c>
      <c r="Y124" s="105" t="str">
        <f t="array" ref="Y124">IF(AND(OR(W124="Freezer Case Lighting", W124="Refrigerated Case Lighting with Doors"), 'General Information'!$X$18="LCI"),'Lookup Tables'!$Y$34, IF(V124="Custom", VLOOKUP(W124, 'Fixture Identities'!$A$974:$M$1023, 13, FALSE), IF(V124="No Change",'Lookup Tables'!$Y$29,IF(OR(V124="",W124=""),"",IF(AND(S124=0,S124&lt;I124,B124="Retrofit"),'Lookup Tables'!$Y$25, IF(B124="Retrofit", INDEX('Lookup Tables'!$AH$6:$AP$102, MATCH(1, ('Lookup Tables'!$AH$6:$AH$102=V124)*('Lookup Tables'!$AI$6:$AI$102=W124), 0), IF('Lighting Inventory'!E124="Interior", 4, 5)), INDEX('Lookup Tables'!$AH$114:$AP$154, MATCH(1, ('Lookup Tables'!$AH$114:$AH$154=V124)*('Lookup Tables'!$AI$114:$AI$154=W124), 0), IF('Lighting Inventory'!E124="Interior", 4, 5))))))))</f>
        <v/>
      </c>
      <c r="Z124" s="105" t="str">
        <f>IFERROR(INDEX('Lookup Tables'!$AH$158:$AH$172,MATCH('Lighting Inventory'!Y124,'Lookup Tables'!$AI$158:$AI$172,0)),"")</f>
        <v/>
      </c>
      <c r="AA124" s="105" t="str">
        <f>IF(AP124&gt;0,INDEX('Lookup Tables'!$AK$158:$AK$172,MATCH('Lighting Inventory'!Y124,'Lookup Tables'!$AI$158:$AI$172,0)),'Lighting Inventory'!Y124)</f>
        <v/>
      </c>
      <c r="AB124" s="105" t="str">
        <f t="array" ref="AB124">IF(V124="Custom", "Custom", IF(V124="", "", IF(V124="Not DLC or Energy Star", "General", IF(B124="New Construction", INDEX('Lookup Tables'!$AH$114:$AP$154,MATCH(1,('Lookup Tables'!$AH$114:$AH$154='Lighting Inventory'!V124)*('Lookup Tables'!$AI$114:$AI$154='Lighting Inventory'!W124),FALSE),8), INDEX('Lookup Tables'!$AH$6:$AP$102,MATCH(1,('Lookup Tables'!$AH$6:$AH$102='Lighting Inventory'!V124)*('Lookup Tables'!$AI$6:$AI$102='Lighting Inventory'!W124),FALSE),8)))))</f>
        <v/>
      </c>
      <c r="AC124" s="272" t="str">
        <f>IF(W124="","",IF(V124="Custom",CONCATENATE("$",'Lookup Tables'!$AM$101," ",'Lookup Tables'!$AN$101),CONCATENATE("$",INDEX('Lookup Tables'!$AM$6:$AM$102,MATCH('Lighting Inventory'!W124,'Lookup Tables'!$AI$6:$AI$102,0))," ",INDEX('Lookup Tables'!$AN$6:$AN$102,MATCH('Lighting Inventory'!W124,'Lookup Tables'!$AI$6:$AI$102,0)))))</f>
        <v/>
      </c>
      <c r="AD124" s="72"/>
      <c r="AE124" s="29"/>
      <c r="AF124" s="379"/>
      <c r="AG124" s="370" t="str">
        <f t="shared" si="298"/>
        <v/>
      </c>
      <c r="AH124" s="370" t="str">
        <f t="shared" si="351"/>
        <v/>
      </c>
      <c r="AI124" s="29"/>
      <c r="AJ124" s="29"/>
      <c r="AK124" s="110"/>
      <c r="AL124" s="375" t="str">
        <f>IF(OR(B124="", V124="", W124=""), "", IF(V124="No Change", K124, IF(V124="Remove Fixture", 0, IF(V124="Custom",VLOOKUP(W124,'Fixture Identities'!$A$6:$K$1023,10,FALSE),IF(AE124="", "← ENTER POST WATTS", 'Lighting Inventory'!AE124)))))</f>
        <v/>
      </c>
      <c r="AM124" s="376" t="str">
        <f t="shared" si="299"/>
        <v/>
      </c>
      <c r="AN124" s="29"/>
      <c r="AO124" s="671"/>
      <c r="AP124" s="29"/>
      <c r="AQ124" s="29"/>
      <c r="AR124" s="29"/>
      <c r="AS124" s="272" t="str">
        <f t="shared" si="352"/>
        <v/>
      </c>
      <c r="AT124" s="270" t="str">
        <f t="shared" si="300"/>
        <v/>
      </c>
      <c r="AU124" s="88" t="str">
        <f t="shared" si="400"/>
        <v/>
      </c>
      <c r="AV124" s="29"/>
      <c r="AW124" s="73"/>
      <c r="AX124" s="271" t="str">
        <f>IF(AND(AV124="Applicant",OR(AW124="", AW124="Use Default Facility Hours")),"← Choose Schedule",IF(F124="","",IF(W124="LED Exit Signs",8760,IF(OR(AV124="Prescribed",AV124=""),VLOOKUP(F124,'Lookup Tables'!$A$6:$G$59,IF(AB124="General", 6, 3),FALSE),VLOOKUP(AW124,'Lookup Tables'!$S$36:$U$43,2,FALSE)))))</f>
        <v/>
      </c>
      <c r="AY124" s="88" t="str">
        <f t="shared" si="301"/>
        <v/>
      </c>
      <c r="AZ124" s="270" t="str">
        <f>IFERROR(IF(F124="", "", IF(W124="LED Exit Signs", 1, IF(AV124="Applicant",VLOOKUP(AW124, 'Lookup Tables'!$S$36:$U$43,3, FALSE), VLOOKUP('Lighting Inventory'!F124, 'Lookup Tables'!$A$6:$H$59, IF('Lighting Inventory'!AB124="General",7,4), FALSE)))), "")</f>
        <v/>
      </c>
      <c r="BA124" s="522" t="str">
        <f>IFERROR(IF(F124="", "", IF(W124="LED Exit Signs", 1, VLOOKUP('Lighting Inventory'!F124, 'Lookup Tables'!$A$6:$H$59, IF('Lighting Inventory'!AB124="General",8,5), FALSE))), "")</f>
        <v/>
      </c>
      <c r="BB124" s="270" t="str">
        <f>IF(G124="", "", IF(E124="Exterior", 0, IF('Lighting Inventory'!G124="Air Conditioned", VLOOKUP(H124, 'Lookup Tables'!$R$6:$T$13, 2, FALSE), VLOOKUP('Lighting Inventory'!G124, 'Lookup Tables'!$R$6:$T$13, 2, FALSE))))</f>
        <v/>
      </c>
      <c r="BC124" s="522" t="str">
        <f>IF(G124="", "", IF(E124="Exterior", 0, IF('Lighting Inventory'!G124="Air Conditioned", VLOOKUP(H124, 'Lookup Tables'!$R$6:$T$13, 3, FALSE), VLOOKUP('Lighting Inventory'!G124, 'Lookup Tables'!$R$6:$T$13, 3, FALSE))))</f>
        <v/>
      </c>
      <c r="BD124" s="270" t="str">
        <f>IF(G124="", "", IF(E124="Exterior", 0, IF('Lighting Inventory'!G124="Air Conditioned", VLOOKUP(H124, 'Lookup Tables'!$R$6:$U$13, 4, FALSE), VLOOKUP('Lighting Inventory'!G124, 'Lookup Tables'!$R$6:$U$13, 4, FALSE))))</f>
        <v/>
      </c>
      <c r="BE124" s="270" t="str">
        <f>IFERROR(IF(B124="", "",  IF(B124="New Construction", VLOOKUP(F124, 'Lookup Tables'!$A$6:$K$59, 11, FALSE),IF(OR(AN124="", AN124="Light Switch"), 0, IF(OR(M124="",M124="None",V124= "LED Exit Signs"),0,_xlfn.XLOOKUP(M124,'Lookup Tables'!$R$91:$R$101,'Lookup Tables'!$V$91:$V$101))))), "")</f>
        <v/>
      </c>
      <c r="BF124" s="270" t="str">
        <f>IF(AND(OR(AN124="Light Switch",AN124=""),B124="New Construction"), VLOOKUP(F124, 'Lookup Tables'!$A$6:$K$59, 11, FALSE),IF(AN124="","",IF(B124="","",IF(OR(AN124="None",AN124="",V124="LED Exit Signs",AN124="Exterior Controls Not Eligible"),0,_xlfn.XLOOKUP(AN124,'Lookup Tables'!$R$91:$R$101,'Lookup Tables'!$V$91:$V$101)))))</f>
        <v/>
      </c>
      <c r="BG124" s="88" t="str">
        <f t="shared" si="353"/>
        <v/>
      </c>
      <c r="BH124" s="88" t="str">
        <f t="shared" si="354"/>
        <v/>
      </c>
      <c r="BI124" s="558" t="str">
        <f t="shared" si="398"/>
        <v/>
      </c>
      <c r="BJ124" s="82" t="str">
        <f t="shared" si="355"/>
        <v/>
      </c>
      <c r="BK124" s="82" t="str">
        <f t="shared" si="356"/>
        <v/>
      </c>
      <c r="BL124" s="559" t="str">
        <f t="shared" si="357"/>
        <v/>
      </c>
      <c r="BM124" s="521" t="str">
        <f t="shared" si="302"/>
        <v/>
      </c>
      <c r="BN124" s="521" t="str">
        <f t="shared" si="303"/>
        <v/>
      </c>
      <c r="BO124" s="522" t="str">
        <f t="shared" si="304"/>
        <v/>
      </c>
      <c r="BP124" s="83" t="str">
        <f t="shared" si="358"/>
        <v/>
      </c>
      <c r="BQ124" s="84" t="str">
        <f t="shared" si="359"/>
        <v/>
      </c>
      <c r="BR124" s="184" t="str">
        <f>IFERROR(IF(B124="", "", IF(OR(VLOOKUP(J124, 'Fixture Identities'!$A$6:$L$1023, 3, FALSE)="T12 Linear Fluorescent",VLOOKUP(J124, 'Fixture Identities'!$A$6:$L$1023, 3, FALSE)="T12 U-Tube Fluorescent"), "Y", "N")), "N")</f>
        <v/>
      </c>
      <c r="BS124" s="184" t="str">
        <f t="array" ref="BS124">IFERROR(IF(OR(B124="", V124="", W124=""), "", IF(V124="Custom", "N", IF(OR(W124="Freezer Case Lighting", W124="Refrigerated Case Lighting with Doors"), BT124, IF(B124="Retrofit", INDEX('Lookup Tables'!$AH$6:$AT$102,MATCH(1,('Lookup Tables'!$AH$6:$AH$102=V124)*('Lookup Tables'!$AI$6:$AI$102=W124),FALSE),IF(VLOOKUP(J124, 'Fixture Identities'!$A$6:$B$1023, 2, FALSE)="Incandescent",12, 13)), INDEX('Lookup Tables'!$AH$114:$AS$154,MATCH(1,('Lookup Tables'!$AH$114:$AH$154=V124)*('Lookup Tables'!$AI$114:$AI$154=W124),FALSE),12))))), "N")</f>
        <v/>
      </c>
      <c r="BT124" s="184" t="str">
        <f>IF(J124="", "", IF(AND(OR(W124="Freezer case Lighting", W124="Refrigerated Case Lighting with Doors"),'General Information'!$X$18="LCI"), "N", IF(OR(VLOOKUP(J124, 'Fixture Identities'!$A$6:$B$1023, 2, FALSE)="T12 EPACT/EISA Baseline", VLOOKUP(J124, 'Fixture Identities'!$A$6:$B$1023, 2, FALSE)="Linear Fluorescent", VLOOKUP(J124, 'Fixture Identities'!$A$6:$B$1023, 2, FALSE)="U-Tube Fluorescent"), "Y", "N")))</f>
        <v/>
      </c>
      <c r="BU124" s="184" t="str">
        <f>IFERROR(IF(B124="", "", IF(VLOOKUP(J124, 'Fixture Identities'!$A$6:$B$1023, 2, FALSE)="Exit Sign", "Y", "N")), "N")</f>
        <v/>
      </c>
      <c r="BV124" s="184" t="str">
        <f>IF(V124="Exit Signs", IF(VLOOKUP(J124, 'Fixture Identities'!$A$6:$B$1023, 2, FALSE)="Exit Sign", "N", "Y"), "")</f>
        <v/>
      </c>
      <c r="BW124" s="184" t="str">
        <f t="array" ref="BW124">IFERROR(IF(B124="", "", IF(B124="New Construction", "N", INDEX('Lookup Tables'!$AH$6:$AU$102, MATCH(1, ('Lookup Tables'!$AH$6:$AH$102='Lighting Inventory'!V124)*('Lookup Tables'!$AI$6:$AI$102='Lighting Inventory'!W124), 0), 14))), "N")</f>
        <v/>
      </c>
      <c r="BX124" s="598" t="str">
        <f t="shared" si="360"/>
        <v/>
      </c>
      <c r="BY124" s="598" t="str">
        <f t="shared" si="361"/>
        <v/>
      </c>
      <c r="BZ124" s="598" t="str">
        <f t="shared" si="362"/>
        <v/>
      </c>
      <c r="CA124" s="598" t="str">
        <f t="shared" si="363"/>
        <v/>
      </c>
      <c r="CB124" s="269" t="str">
        <f t="shared" si="364"/>
        <v/>
      </c>
      <c r="CC124" s="517" t="str">
        <f t="shared" si="365"/>
        <v/>
      </c>
      <c r="CD124" s="565" t="str">
        <f t="shared" si="305"/>
        <v/>
      </c>
      <c r="CE124" s="368">
        <v>0</v>
      </c>
      <c r="CF124" s="368" t="str" cm="1">
        <f t="array" ref="CF124">IFERROR(IF(V124="Custom", "$0.1 per kWh", IF(B124="New Construction", CONCATENATE("$",INDEX('Lookup Tables'!$AH$114:$AN$154,MATCH(1,('Lookup Tables'!$AH$114:$AH$154='Lighting Inventory'!V124)*('Lookup Tables'!$AI$114:$AI$154='Lighting Inventory'!W124),FALSE),6)," ",INDEX('Lookup Tables'!$AH$114:$AN$154,MATCH(1,('Lookup Tables'!$AH$114:$AH$154='Lighting Inventory'!V124)*('Lookup Tables'!$AI$114:$AI$154='Lighting Inventory'!W124),FALSE),7)), IF(AND(BU124="N", V124="Exit Signs"), "$0.025 per kWh", CONCATENATE("$",INDEX('Lookup Tables'!$AH$6:$AN$102,MATCH(1,('Lookup Tables'!$AH$6:$AH$102='Lighting Inventory'!V124)*('Lookup Tables'!$AI$6:$AI$102='Lighting Inventory'!W124),FALSE),6)," ",INDEX('Lookup Tables'!$AH$6:$AN$102,MATCH(1,('Lookup Tables'!$AH$6:$AH$102='Lighting Inventory'!V124)*('Lookup Tables'!$AI$6:$AI$102='Lighting Inventory'!W124),FALSE),7))))), "")</f>
        <v/>
      </c>
      <c r="CG124" s="366"/>
      <c r="CH124" s="248" t="str">
        <f t="shared" si="306"/>
        <v/>
      </c>
      <c r="CI124" s="248" t="str">
        <f t="shared" si="307"/>
        <v>Select_IE</v>
      </c>
      <c r="CJ124" s="248" t="str">
        <f t="shared" si="308"/>
        <v/>
      </c>
      <c r="CK124" s="248" t="str">
        <f t="shared" si="309"/>
        <v/>
      </c>
      <c r="CL124" s="248" t="str">
        <f t="shared" si="310"/>
        <v/>
      </c>
      <c r="CM124" s="248" t="str">
        <f>IFERROR(IF(B124="", "", IF(B124="New Construction", VLOOKUP(V124, 'Lookup Tables'!$AF$114:$AG$120, 2, FALSE), VLOOKUP(V124, 'Lookup Tables'!$AD$6:$AE$25, 2, FALSE))), "")</f>
        <v/>
      </c>
      <c r="CN124" s="248" t="str">
        <f t="shared" si="311"/>
        <v/>
      </c>
      <c r="CO124" s="248" t="str">
        <f t="shared" si="312"/>
        <v/>
      </c>
      <c r="CP124" s="592" t="str">
        <f t="shared" si="313"/>
        <v/>
      </c>
      <c r="CQ124" s="248" t="str">
        <f t="shared" si="366"/>
        <v/>
      </c>
      <c r="CR124" s="100"/>
      <c r="CS124" s="250" t="str">
        <f t="shared" si="314"/>
        <v/>
      </c>
      <c r="CT124" s="250" t="str">
        <f t="shared" si="367"/>
        <v/>
      </c>
      <c r="CU124" s="250" t="str">
        <f t="shared" si="368"/>
        <v/>
      </c>
      <c r="CV124" s="250" t="str">
        <f t="shared" si="369"/>
        <v/>
      </c>
      <c r="CW124" s="250" t="str">
        <f t="shared" si="370"/>
        <v/>
      </c>
      <c r="CX124" s="250" t="str">
        <f t="shared" si="315"/>
        <v/>
      </c>
      <c r="CY124" s="250" t="str">
        <f t="shared" si="316"/>
        <v/>
      </c>
      <c r="CZ124" s="250" t="str">
        <f t="shared" si="317"/>
        <v/>
      </c>
      <c r="DA124" s="250" t="str">
        <f t="shared" si="318"/>
        <v/>
      </c>
      <c r="DB124" s="250" t="str">
        <f t="shared" si="319"/>
        <v/>
      </c>
      <c r="DC124" s="250" t="str">
        <f t="shared" si="320"/>
        <v/>
      </c>
      <c r="DD124" s="250" t="str">
        <f t="shared" si="321"/>
        <v/>
      </c>
      <c r="DE124" s="250" t="str">
        <f t="shared" si="322"/>
        <v/>
      </c>
      <c r="DF124" s="250" t="str">
        <f t="shared" si="323"/>
        <v/>
      </c>
      <c r="DG124" s="250" t="str">
        <f t="shared" si="324"/>
        <v/>
      </c>
      <c r="DH124" s="250" t="str">
        <f t="shared" si="325"/>
        <v/>
      </c>
      <c r="DI124" s="250" t="str">
        <f t="shared" si="326"/>
        <v/>
      </c>
      <c r="DJ124" s="250" t="str">
        <f t="shared" si="327"/>
        <v/>
      </c>
      <c r="DK124" s="250" t="str">
        <f t="shared" si="328"/>
        <v/>
      </c>
      <c r="DL124" s="250" t="str">
        <f t="shared" si="329"/>
        <v/>
      </c>
      <c r="DM124" s="250" t="str">
        <f>IF(CD124="ERROR", "ERROR", IF(AND(OR(Y124=$DM$6, Y124='Lookup Tables'!$AD$21, Y124='Lookup Tables'!$AD$22), E124="Interior"), BJ124, ""))</f>
        <v/>
      </c>
      <c r="DN124" s="250" t="str">
        <f>IF(CD124="ERROR", "ERROR", IF(AND(OR(Y124=$DM$6, Y124='Lookup Tables'!$AD$21, Y124='Lookup Tables'!$AD$22), E124="Exterior"), BJ124, ""))</f>
        <v/>
      </c>
      <c r="DO124" s="100"/>
      <c r="DP124" s="250" t="str">
        <f t="shared" si="330"/>
        <v/>
      </c>
      <c r="DQ124" s="250" t="str">
        <f t="shared" si="371"/>
        <v/>
      </c>
      <c r="DR124" s="250" t="str">
        <f t="shared" si="372"/>
        <v/>
      </c>
      <c r="DS124" s="250" t="str">
        <f t="shared" si="373"/>
        <v/>
      </c>
      <c r="DT124" s="250" t="str">
        <f t="shared" si="374"/>
        <v/>
      </c>
      <c r="DU124" s="250" t="str">
        <f t="shared" si="331"/>
        <v/>
      </c>
      <c r="DV124" s="250" t="str">
        <f t="shared" si="332"/>
        <v/>
      </c>
      <c r="DW124" s="250" t="str">
        <f t="shared" si="333"/>
        <v/>
      </c>
      <c r="DX124" s="250" t="str">
        <f t="shared" si="334"/>
        <v/>
      </c>
      <c r="DY124" s="250" t="str">
        <f t="shared" si="335"/>
        <v/>
      </c>
      <c r="DZ124" s="250" t="str">
        <f t="shared" si="336"/>
        <v/>
      </c>
      <c r="EA124" s="250" t="str">
        <f t="shared" si="337"/>
        <v/>
      </c>
      <c r="EB124" s="250" t="str">
        <f t="shared" si="375"/>
        <v/>
      </c>
      <c r="EC124" s="250" t="str">
        <f t="shared" si="338"/>
        <v/>
      </c>
      <c r="ED124" s="250" t="str">
        <f t="shared" si="339"/>
        <v/>
      </c>
      <c r="EE124" s="250" t="str">
        <f t="shared" si="340"/>
        <v/>
      </c>
      <c r="EF124" s="250" t="str">
        <f t="shared" si="341"/>
        <v/>
      </c>
      <c r="EG124" s="250" t="str">
        <f t="shared" si="342"/>
        <v/>
      </c>
      <c r="EH124" s="250" t="str">
        <f>IF(CD124="ERROR", "ERROR", IF(AND(OR($EH$6=Y124, Y124='Lookup Tables'!$AD$21, Y124='Lookup Tables'!$AD$22),E124="Interior"), SUM(BP124:BP124), ""))</f>
        <v/>
      </c>
      <c r="EI124" s="250" t="str">
        <f>IF(CD124="ERROR", "ERROR", IF(AND(OR($EH$6=Y124, Y124='Lookup Tables'!$AD$21, Y124='Lookup Tables'!$AD$22),E124="Exterior"), SUM(BP124:BP124), ""))</f>
        <v/>
      </c>
      <c r="EJ124" s="109"/>
      <c r="EK124" s="485" t="str">
        <f t="shared" si="343"/>
        <v/>
      </c>
      <c r="EL124" s="252" t="str">
        <f t="shared" si="376"/>
        <v/>
      </c>
      <c r="EM124" s="252" t="str">
        <f t="shared" si="377"/>
        <v/>
      </c>
      <c r="EN124" s="252" t="str">
        <f t="shared" si="378"/>
        <v/>
      </c>
      <c r="EO124" s="252" t="str">
        <f t="shared" si="379"/>
        <v/>
      </c>
      <c r="EP124" s="252" t="str">
        <f t="shared" si="380"/>
        <v/>
      </c>
      <c r="EQ124" s="252" t="str">
        <f t="shared" si="381"/>
        <v/>
      </c>
      <c r="ER124" s="252" t="str">
        <f t="shared" si="382"/>
        <v/>
      </c>
      <c r="ES124" s="252" t="str">
        <f t="shared" si="383"/>
        <v/>
      </c>
      <c r="ET124" s="252" t="str">
        <f t="shared" si="384"/>
        <v/>
      </c>
      <c r="EU124" s="252" t="str">
        <f t="shared" si="385"/>
        <v/>
      </c>
      <c r="EV124" s="252" t="str">
        <f t="shared" si="386"/>
        <v/>
      </c>
      <c r="EW124" s="252" t="str">
        <f t="shared" si="387"/>
        <v/>
      </c>
      <c r="EX124" s="252" t="str">
        <f t="shared" si="388"/>
        <v/>
      </c>
      <c r="EY124" s="252" t="str">
        <f t="shared" si="389"/>
        <v/>
      </c>
      <c r="EZ124" s="252" t="str">
        <f t="shared" si="390"/>
        <v/>
      </c>
      <c r="FA124" s="252" t="str">
        <f t="shared" si="391"/>
        <v/>
      </c>
      <c r="FB124" s="252" t="str">
        <f t="shared" si="392"/>
        <v/>
      </c>
      <c r="FC124" s="252" t="str">
        <f>IF(CD124="ERROR", "ERROR", IF(OR(V124="No Change", V124="Not DLC or Energy Star"), "", IF(AND(OR($FC$6=Y124,Y124='Lookup Tables'!$AD$21, Y124='Lookup Tables'!$AD$22),E124="Interior"), S124, "")))</f>
        <v/>
      </c>
      <c r="FD124" s="252" t="str">
        <f t="shared" si="393"/>
        <v/>
      </c>
      <c r="FE124" s="101"/>
      <c r="FF124" s="579" t="str" cm="1">
        <f t="array" ref="FF124">IFERROR(IF(OR(BQ124&lt;=0,AQ124&lt;20,AND(V124="Exit Signs",AN124&gt;0)),"",IF(AND(AQ124&gt;=20,AN124='Lookup Tables'!$R$101),'Lookup Tables'!$U$101*BQ124,AP124*LOOKUP(2,1/((AN124='Lookup Tables'!$R$91:$R$111)*(AQ124&gt;='Lookup Tables'!$S$91:$S$111)*(AQ124&lt;='Lookup Tables'!$T$91:$T$111)),'Lookup Tables'!$U$91:$U$111))),"")</f>
        <v/>
      </c>
      <c r="FG124" s="579"/>
      <c r="FH124" s="579"/>
      <c r="FI124" s="253" t="str">
        <f>IFERROR(ROUND(IF(CD124="ERROR", "ERROR", IF(AND($FI$7=X124,E124="Interior"),VLOOKUP(W124, 'Lookup Tables'!$AI$6:$AM$102, 5, FALSE)*BP124, "")), 2), "")</f>
        <v/>
      </c>
      <c r="FJ124" s="253" t="str">
        <f>IFERROR(ROUND(IF(CD124="ERROR", "ERROR", IF(AND($FI$7=X124,E124="Exterior"),VLOOKUP(W124, 'Lookup Tables'!$AI$6:$AM$102, 5, FALSE)*BP124, "")), 2), "")</f>
        <v/>
      </c>
      <c r="FK124" s="253" t="str">
        <f>IFERROR(ROUND(IF(CD124="ERROR", "ERROR", IF(AND($FK$7=X124,E124="Interior"),VLOOKUP(W124, 'Lookup Tables'!$AI$6:$AM$102, 5, FALSE)*BP124, "")), 2), "")</f>
        <v/>
      </c>
      <c r="FL124" s="253" t="str">
        <f>IFERROR(ROUND(IF(CD124="ERROR", "ERROR", IF(AND($FK$7=X124,E124="Exterior"),VLOOKUP(W124, 'Lookup Tables'!$AI$6:$AM$102, 5, FALSE)*BP124, "")), 2), "")</f>
        <v/>
      </c>
      <c r="FM124" s="253" t="str">
        <f>IFERROR(ROUND(IF(CD124="ERROR", "ERROR", IF(AND($FM$6=Y124,E124="Interior"), IF(GB124=0, VLOOKUP(W124, 'Lookup Tables'!$AI$6:$AM$102, 5, FALSE)*BP124, IF(VLOOKUP(W124, 'Lookup Tables'!$AI$6:$AM$102, 5, FALSE)*BP124&gt;GB124*'Lighting Inventory'!S124, GB124*'Lighting Inventory'!S124,VLOOKUP(W124, 'Lookup Tables'!$AI$6:$AM$102, 5, FALSE)*BP124)), "")), 2), "")</f>
        <v/>
      </c>
      <c r="FN124" s="253" t="str">
        <f>IFERROR(ROUND(IF(CD124="ERROR", "ERROR", IF(AND($FM$6=Y124,E124="Exterior"), IF(GB124=0, VLOOKUP(W124, 'Lookup Tables'!$AI$6:$AM$102, 5, FALSE)*BP124, IF(VLOOKUP(W124, 'Lookup Tables'!$AI$6:$AM$102, 5, FALSE)*BP124&gt;GB124*'Lighting Inventory'!S124, GB124*'Lighting Inventory'!S124,VLOOKUP(W124, 'Lookup Tables'!$AI$6:$AM$102, 5, FALSE)*BP124)), "")), 2), "")</f>
        <v/>
      </c>
      <c r="FO124" s="253" t="str">
        <f>IFERROR(ROUND(IF(CD124="ERROR", "ERROR", IF(AND($FO$6=Y124,E124="Interior"),VLOOKUP(W124, 'Lookup Tables'!$AI$6:$AM$102, 5, FALSE)*'Lighting Inventory'!AI124, "")), 2), "")</f>
        <v/>
      </c>
      <c r="FP124" s="253" t="str">
        <f>IFERROR(ROUND(IF(CD124="ERROR", "ERROR", IF(AND($FO$6=Y124,E124="Exterior"),VLOOKUP(W124, 'Lookup Tables'!$AI$6:$AM$102, 5, FALSE)*'Lighting Inventory'!AI124, "")), 2), "")</f>
        <v/>
      </c>
      <c r="FQ124" s="253" t="str">
        <f>IFERROR(ROUND(IF(CD124="ERROR", "ERROR", IF(AND($FQ$6=Y124,E124="Interior", BU124="Y"), VLOOKUP('Lighting Inventory'!W124, 'Lookup Tables'!$AI$6:$AM$102, 5, FALSE)*'Lighting Inventory'!S124, IF(AND($FQ$7=Y124,E124="Interior", BU124="N"), 0.025*CD124, ""))), 2), "")</f>
        <v/>
      </c>
      <c r="FR124" s="253" t="str">
        <f>IFERROR(ROUND(IF(CD124="ERROR", "ERROR", IF(AND($FQ$6=Y124,E124="Exterior"), VLOOKUP('Lighting Inventory'!W124, 'Lookup Tables'!$AI$6:$AM$102, 5, FALSE)*'Lighting Inventory'!S124, "")), 2), "")</f>
        <v/>
      </c>
      <c r="FS124" s="253" t="str">
        <f>IFERROR(ROUND(IF(CD124="ERROR", "ERROR", IF(AND($FS$6=Y124,E124="Exterior"), IF(GB124=0, VLOOKUP(W124, 'Lookup Tables'!$AI$6:$AM$102, 5, FALSE)*BP124, IF(VLOOKUP(W124, 'Lookup Tables'!$AI$6:$AM$102, 5, FALSE)*BP124&gt;GB124*'Lighting Inventory'!S124, GB124*'Lighting Inventory'!S124,VLOOKUP(W124, 'Lookup Tables'!$AI$6:$AM$102, 5, FALSE)*BP124)), "")), 2), "")</f>
        <v/>
      </c>
      <c r="FT124" s="253" t="str">
        <f>IFERROR(ROUND(IF(CD124="ERROR", "ERROR", IF(AND($FT$6=Y124,E124="Interior"), IF(GB124=0, VLOOKUP(W124, 'Lookup Tables'!$AI$6:$AM$102, 5, FALSE)*BP124, IF(VLOOKUP(W124, 'Lookup Tables'!$AI$6:$AM$102, 5, FALSE)*BP124&gt;GB124*'Lighting Inventory'!S124, GB124*'Lighting Inventory'!S124,VLOOKUP(W124, 'Lookup Tables'!$AI$6:$AM$102, 5, FALSE)*BP124)), "")), 2), "")</f>
        <v/>
      </c>
      <c r="FU124" s="253" t="str">
        <f>IFERROR(ROUND(IF(CD124="ERROR", "ERROR", IF(AND(Y124=$FU$6, E124="Interior"), IF(BS124="N", 'Lookup Tables'!$AM$101*BP124, VLOOKUP(W124, 'Lookup Tables'!$AI$6:$AM$102, 5, FALSE)*S124*AD124), "")), 2), "")</f>
        <v/>
      </c>
      <c r="FV124" s="253" t="str">
        <f>IFERROR(ROUND(IF(CD124="ERROR", "ERROR", IF(AND(Y124=$FU$6, E124="Exterior"), IF(BS124="N", 'Lookup Tables'!$AM$101*BP124, VLOOKUP(W124, 'Lookup Tables'!$AI$6:$AM$102, 5, FALSE)*S124*AD124), "")), 2), "")</f>
        <v/>
      </c>
      <c r="FW124" s="253" t="str">
        <f>IFERROR(ROUND(IF(CD124="ERROR", "ERROR", IF($FW$6=Y124, IF(BS124="N", 'Lookup Tables'!$AM$101*BP124, MIN((VLOOKUP(W124, 'Lookup Tables'!$AI$6:$AM$102, 5, FALSE)*BP124),GB124*AJ124)), "")), 2), "")</f>
        <v/>
      </c>
      <c r="FX124" s="253" t="str">
        <f>IFERROR(ROUND(IF(CD124="ERROR", "ERROR", IF(AND($FX$6=Y124, E124="Interior"), IF(VLOOKUP(W124, 'Lookup Tables'!$AI$6:$AM$102, 5, FALSE)*BP124&gt;'Lookup Tables'!$AQ$97*'Lighting Inventory'!S124,'Lighting Inventory'!S124*'Lookup Tables'!$AQ$97,VLOOKUP(W124, 'Lookup Tables'!$AI$6:$AM$102, 5, FALSE)*BP124), "")), 2), "")</f>
        <v/>
      </c>
      <c r="FY124" s="253" t="str">
        <f>IFERROR(ROUND(IF(CD124="ERROR", "ERROR", IF(AND($FX$6=Y124, E124="Exterior"), IF(VLOOKUP(W124, 'Lookup Tables'!$AI$6:$AM$102, 5, FALSE)*BP124&gt;'Lookup Tables'!$AQ$97*'Lighting Inventory'!S124,'Lighting Inventory'!S124*'Lookup Tables'!$AQ$97,VLOOKUP(W124, 'Lookup Tables'!$AI$6:$AM$102, 5, FALSE)*BP124), "")), 2), "")</f>
        <v/>
      </c>
      <c r="FZ124" s="253" t="str">
        <f>IFERROR(ROUND(IF(CD124="ERROR", "ERROR", IF(AND($FZ$6=Y124, E124="Interior"), IF(AND(OR(W124="Refrigerated Case Lighting with Doors", W124="Freezer Case Lighting"),Y124="Custom - Process Improvement"),CD124*'Lookup Tables'!$AM$101, IF(B124="Retrofit", IF(VLOOKUP(IF(V124="Custom", V124, W124), 'Lookup Tables'!$AI$6:$AM$102, 5, FALSE)*BP124&gt;GE124, GE124, VLOOKUP(IF(V124="Custom", V124, W124), 'Lookup Tables'!$AI$6:$AM$102, 5, FALSE)*BP124), IF(VLOOKUP(IF(V124="Custom", V124, W124), 'Lookup Tables'!$AI$114:$AM$154, 5, FALSE)*BP124&gt;GE124, GE124, VLOOKUP(IF(V124="Custom", V124, W124), 'Lookup Tables'!$AI$114:$AM$154, 5, FALSE)*BP124))), "")), 2),"")</f>
        <v/>
      </c>
      <c r="GA124" s="253" t="str">
        <f>IFERROR(ROUND(IF(CD124="ERROR", "ERROR", IF(AND($FZ$6=Y124, E124="Exterior"), IF(B124="Retrofit", IF(VLOOKUP(IF(V124="Custom", V124, W124), 'Lookup Tables'!$AI$6:$AM$102, 5, FALSE)*BP124&gt;GE124, GE124, VLOOKUP(IF(V124="Custom", V124, W124), 'Lookup Tables'!$AI$6:$AM$102, 5, FALSE)*BP124), IF(VLOOKUP(IF(V124="Custom", V124, W124), 'Lookup Tables'!$AI$114:$AM$154, 5, FALSE)*BP124&gt;GE124, GE124, VLOOKUP(IF(V124="Custom", V124, W124), 'Lookup Tables'!$AI$114:$AM$154, 5, FALSE)*BP124)), "")), 2),"")</f>
        <v/>
      </c>
      <c r="GB124" s="254" t="str">
        <f t="array" ref="GB124">IF(B124="","",IF(OR(V124="Custom",V124="No Change"),0,IF(B124="Retrofit", INDEX('Lookup Tables'!$AH$6:$AQ$102,MATCH(1,('Lookup Tables'!$AH$6:$AH$102='Lighting Inventory'!V124)*('Lookup Tables'!$AI$6:$AI$102='Lighting Inventory'!W124),FALSE),10),INDEX('Lookup Tables'!$AH$114:$AQ$154,MATCH(1,('Lookup Tables'!$AH$114:$AH$154='Lighting Inventory'!V124)*('Lookup Tables'!$AI$114:$AI$154='Lighting Inventory'!W124),FALSE),10))))</f>
        <v/>
      </c>
      <c r="GC124" s="255" t="str">
        <f t="shared" si="344"/>
        <v/>
      </c>
      <c r="GD124" s="250" t="str">
        <f t="shared" si="345"/>
        <v/>
      </c>
      <c r="GE124" s="253" t="str">
        <f>IFERROR(IF(AND(AF124="", 'General Information'!$F$18="No"),"", IF(AF124="", ((GD124/$CD$266)*$CF$266)*0.5, AF124*S124*0.5)), "")</f>
        <v/>
      </c>
      <c r="GF124" s="255" t="str">
        <f>IF(AND('General Information'!$F$19="", 'General Information'!$F$18="Yes",AF124="",BW124="Y"), "Y", "N")</f>
        <v>N</v>
      </c>
      <c r="GG124" s="255" t="s">
        <v>2946</v>
      </c>
      <c r="GH124" s="255" t="str">
        <f>IFERROR(IF(B124="", "", VLOOKUP(J124, 'Fixture Identities'!$A$6:$N$908, 14, FALSE)), "")</f>
        <v/>
      </c>
      <c r="GI124" s="389" t="str">
        <f>IF(OR(B124="", V124="", W124=""), "", IF(AND(OR(M124='Lookup Tables'!$R$18, M124='Lookup Tables'!$R$19, M124='Lookup Tables'!$R$20, M124='Lookup Tables'!$R$21, M124='Lookup Tables'!$R$22), OR(AN124='Lookup Tables'!$R$17, AN124='Lookup Tables'!$R$17, AN124="")), "Y", "N"))</f>
        <v/>
      </c>
      <c r="GJ124" s="255" t="str">
        <f t="shared" si="346"/>
        <v/>
      </c>
      <c r="GK124" s="255" t="str">
        <f t="shared" si="347"/>
        <v/>
      </c>
      <c r="GL124" s="255" t="str">
        <f t="shared" si="348"/>
        <v/>
      </c>
      <c r="GM124" s="255" t="str">
        <f>IF(AN124="", "", IF(AND(IF(ISNA(VLOOKUP(AN124,'Lookup Tables'!$R$18:$R$22,1,FALSE)), "N", "Y")="Y", E124="Exterior"), "Y", "N"))</f>
        <v/>
      </c>
      <c r="GN124" s="395"/>
      <c r="GO124" s="428">
        <f t="shared" si="394"/>
        <v>0</v>
      </c>
      <c r="GP124" s="428">
        <f t="shared" si="397"/>
        <v>0</v>
      </c>
      <c r="GQ124" s="428">
        <f t="shared" si="395"/>
        <v>0</v>
      </c>
      <c r="GR124" s="428">
        <f t="shared" si="396"/>
        <v>0</v>
      </c>
    </row>
    <row r="125" spans="1:200" s="103" customFormat="1" ht="13.5" customHeight="1" x14ac:dyDescent="0.2">
      <c r="A125" s="272">
        <v>115</v>
      </c>
      <c r="B125" s="110"/>
      <c r="C125" s="110"/>
      <c r="D125" s="110"/>
      <c r="E125" s="110"/>
      <c r="F125" s="110"/>
      <c r="G125" s="110"/>
      <c r="H125" s="110"/>
      <c r="I125" s="29"/>
      <c r="J125" s="29"/>
      <c r="K125" s="272" t="str">
        <f>IFERROR(IF(OR(VLOOKUP(J125, 'Fixture Identities'!$A$6:$L$1023, 3, FALSE)="T12 Linear Fluorescent", VLOOKUP(J125, 'Fixture Identities'!$A$6:$L$1023, 3, FALSE)="T12 U-Tube Fluorescent"), VLOOKUP(VLOOKUP(J125, 'Fixture Identities'!$A$6:$L$1023, 11, FALSE), 'Fixture Identities'!$A$6:$L$1023, 10, FALSE), VLOOKUP(J125, 'Fixture Identities'!$A$6:$L$1023, 10, FALSE)), "")</f>
        <v/>
      </c>
      <c r="L125" s="270" t="str">
        <f t="shared" si="399"/>
        <v/>
      </c>
      <c r="M125" s="110"/>
      <c r="N125" s="110"/>
      <c r="O125" s="110"/>
      <c r="P125" s="272" t="str">
        <f>IFERROR(IF(OR(B125="Retrofit",B125=""),"",IF('Lighting Inventory'!E125="Exterior",VLOOKUP('Lighting Inventory'!N125,'Lookup Tables'!$B$83:$F$103,5,FALSE),IF(N125="Other - Please Estimate EFLH and CFs","Contact Prog. Rep.","ft^2"))), "")</f>
        <v/>
      </c>
      <c r="Q125" s="270" t="str">
        <f>IFERROR(IF(AND(B125="New Construction",E125="Interior",$F$5="Space-by-Space"),VLOOKUP('Lighting Inventory'!N125,'Lookup Tables'!$N$6:$O$97,2,FALSE),IF(AND(B125="New Construction",E125="Exterior"),VLOOKUP(N125,'Lookup Tables'!$B$83:$F$103,2,FALSE),IF(AND(B125="New Construction",'Lighting Inventory'!E125="Interior", $F$5="Building Area"),VLOOKUP(F125,'Lookup Tables'!$A$6:$J$59,10,FALSE),""))), "")</f>
        <v/>
      </c>
      <c r="R125" s="270" t="str">
        <f>IFERROR(IF(P125="Contact Prog. Rep.", "ERROR", IF(OR(B125="",B125="Retrofit"),"",IF(N125="Automated teller machines", ('Lookup Tables'!$A$82:$E$100+('Lighting Inventory'!O125-1)*'Lookup Tables'!$A$82:$E$100)/1000, (Q125*O125)/1000))), "")</f>
        <v/>
      </c>
      <c r="S125" s="595"/>
      <c r="T125" s="105" t="str">
        <f t="shared" si="349"/>
        <v/>
      </c>
      <c r="U125" s="105" t="str">
        <f>IF(S125="","",COUNT($S$11:S125))</f>
        <v/>
      </c>
      <c r="V125" s="111"/>
      <c r="W125" s="112"/>
      <c r="X125" s="105" t="str">
        <f t="shared" si="350"/>
        <v/>
      </c>
      <c r="Y125" s="105" t="str">
        <f t="array" ref="Y125">IF(AND(OR(W125="Freezer Case Lighting", W125="Refrigerated Case Lighting with Doors"), 'General Information'!$X$18="LCI"),'Lookup Tables'!$Y$34, IF(V125="Custom", VLOOKUP(W125, 'Fixture Identities'!$A$974:$M$1023, 13, FALSE), IF(V125="No Change",'Lookup Tables'!$Y$29,IF(OR(V125="",W125=""),"",IF(AND(S125=0,S125&lt;I125,B125="Retrofit"),'Lookup Tables'!$Y$25, IF(B125="Retrofit", INDEX('Lookup Tables'!$AH$6:$AP$102, MATCH(1, ('Lookup Tables'!$AH$6:$AH$102=V125)*('Lookup Tables'!$AI$6:$AI$102=W125), 0), IF('Lighting Inventory'!E125="Interior", 4, 5)), INDEX('Lookup Tables'!$AH$114:$AP$154, MATCH(1, ('Lookup Tables'!$AH$114:$AH$154=V125)*('Lookup Tables'!$AI$114:$AI$154=W125), 0), IF('Lighting Inventory'!E125="Interior", 4, 5))))))))</f>
        <v/>
      </c>
      <c r="Z125" s="105" t="str">
        <f>IFERROR(INDEX('Lookup Tables'!$AH$158:$AH$172,MATCH('Lighting Inventory'!Y125,'Lookup Tables'!$AI$158:$AI$172,0)),"")</f>
        <v/>
      </c>
      <c r="AA125" s="105" t="str">
        <f>IF(AP125&gt;0,INDEX('Lookup Tables'!$AK$158:$AK$172,MATCH('Lighting Inventory'!Y125,'Lookup Tables'!$AI$158:$AI$172,0)),'Lighting Inventory'!Y125)</f>
        <v/>
      </c>
      <c r="AB125" s="105" t="str">
        <f t="array" ref="AB125">IF(V125="Custom", "Custom", IF(V125="", "", IF(V125="Not DLC or Energy Star", "General", IF(B125="New Construction", INDEX('Lookup Tables'!$AH$114:$AP$154,MATCH(1,('Lookup Tables'!$AH$114:$AH$154='Lighting Inventory'!V125)*('Lookup Tables'!$AI$114:$AI$154='Lighting Inventory'!W125),FALSE),8), INDEX('Lookup Tables'!$AH$6:$AP$102,MATCH(1,('Lookup Tables'!$AH$6:$AH$102='Lighting Inventory'!V125)*('Lookup Tables'!$AI$6:$AI$102='Lighting Inventory'!W125),FALSE),8)))))</f>
        <v/>
      </c>
      <c r="AC125" s="272" t="str">
        <f>IF(W125="","",IF(V125="Custom",CONCATENATE("$",'Lookup Tables'!$AM$101," ",'Lookup Tables'!$AN$101),CONCATENATE("$",INDEX('Lookup Tables'!$AM$6:$AM$102,MATCH('Lighting Inventory'!W125,'Lookup Tables'!$AI$6:$AI$102,0))," ",INDEX('Lookup Tables'!$AN$6:$AN$102,MATCH('Lighting Inventory'!W125,'Lookup Tables'!$AI$6:$AI$102,0)))))</f>
        <v/>
      </c>
      <c r="AD125" s="72"/>
      <c r="AE125" s="29"/>
      <c r="AF125" s="379"/>
      <c r="AG125" s="370" t="str">
        <f t="shared" si="298"/>
        <v/>
      </c>
      <c r="AH125" s="370" t="str">
        <f t="shared" si="351"/>
        <v/>
      </c>
      <c r="AI125" s="29"/>
      <c r="AJ125" s="29"/>
      <c r="AK125" s="110"/>
      <c r="AL125" s="375" t="str">
        <f>IF(OR(B125="", V125="", W125=""), "", IF(V125="No Change", K125, IF(V125="Remove Fixture", 0, IF(V125="Custom",VLOOKUP(W125,'Fixture Identities'!$A$6:$K$1023,10,FALSE),IF(AE125="", "← ENTER POST WATTS", 'Lighting Inventory'!AE125)))))</f>
        <v/>
      </c>
      <c r="AM125" s="376" t="str">
        <f t="shared" si="299"/>
        <v/>
      </c>
      <c r="AN125" s="29"/>
      <c r="AO125" s="671"/>
      <c r="AP125" s="29"/>
      <c r="AQ125" s="29"/>
      <c r="AR125" s="29"/>
      <c r="AS125" s="272" t="str">
        <f t="shared" si="352"/>
        <v/>
      </c>
      <c r="AT125" s="270" t="str">
        <f t="shared" si="300"/>
        <v/>
      </c>
      <c r="AU125" s="88" t="str">
        <f t="shared" si="400"/>
        <v/>
      </c>
      <c r="AV125" s="29"/>
      <c r="AW125" s="73"/>
      <c r="AX125" s="271" t="str">
        <f>IF(AND(AV125="Applicant",OR(AW125="", AW125="Use Default Facility Hours")),"← Choose Schedule",IF(F125="","",IF(W125="LED Exit Signs",8760,IF(OR(AV125="Prescribed",AV125=""),VLOOKUP(F125,'Lookup Tables'!$A$6:$G$59,IF(AB125="General", 6, 3),FALSE),VLOOKUP(AW125,'Lookup Tables'!$S$36:$U$43,2,FALSE)))))</f>
        <v/>
      </c>
      <c r="AY125" s="88" t="str">
        <f t="shared" si="301"/>
        <v/>
      </c>
      <c r="AZ125" s="270" t="str">
        <f>IFERROR(IF(F125="", "", IF(W125="LED Exit Signs", 1, IF(AV125="Applicant",VLOOKUP(AW125, 'Lookup Tables'!$S$36:$U$43,3, FALSE), VLOOKUP('Lighting Inventory'!F125, 'Lookup Tables'!$A$6:$H$59, IF('Lighting Inventory'!AB125="General",7,4), FALSE)))), "")</f>
        <v/>
      </c>
      <c r="BA125" s="522" t="str">
        <f>IFERROR(IF(F125="", "", IF(W125="LED Exit Signs", 1, VLOOKUP('Lighting Inventory'!F125, 'Lookup Tables'!$A$6:$H$59, IF('Lighting Inventory'!AB125="General",8,5), FALSE))), "")</f>
        <v/>
      </c>
      <c r="BB125" s="270" t="str">
        <f>IF(G125="", "", IF(E125="Exterior", 0, IF('Lighting Inventory'!G125="Air Conditioned", VLOOKUP(H125, 'Lookup Tables'!$R$6:$T$13, 2, FALSE), VLOOKUP('Lighting Inventory'!G125, 'Lookup Tables'!$R$6:$T$13, 2, FALSE))))</f>
        <v/>
      </c>
      <c r="BC125" s="522" t="str">
        <f>IF(G125="", "", IF(E125="Exterior", 0, IF('Lighting Inventory'!G125="Air Conditioned", VLOOKUP(H125, 'Lookup Tables'!$R$6:$T$13, 3, FALSE), VLOOKUP('Lighting Inventory'!G125, 'Lookup Tables'!$R$6:$T$13, 3, FALSE))))</f>
        <v/>
      </c>
      <c r="BD125" s="270" t="str">
        <f>IF(G125="", "", IF(E125="Exterior", 0, IF('Lighting Inventory'!G125="Air Conditioned", VLOOKUP(H125, 'Lookup Tables'!$R$6:$U$13, 4, FALSE), VLOOKUP('Lighting Inventory'!G125, 'Lookup Tables'!$R$6:$U$13, 4, FALSE))))</f>
        <v/>
      </c>
      <c r="BE125" s="270" t="str">
        <f>IFERROR(IF(B125="", "",  IF(B125="New Construction", VLOOKUP(F125, 'Lookup Tables'!$A$6:$K$59, 11, FALSE),IF(OR(AN125="", AN125="Light Switch"), 0, IF(OR(M125="",M125="None",V125= "LED Exit Signs"),0,_xlfn.XLOOKUP(M125,'Lookup Tables'!$R$91:$R$101,'Lookup Tables'!$V$91:$V$101))))), "")</f>
        <v/>
      </c>
      <c r="BF125" s="270" t="str">
        <f>IF(AND(OR(AN125="Light Switch",AN125=""),B125="New Construction"), VLOOKUP(F125, 'Lookup Tables'!$A$6:$K$59, 11, FALSE),IF(AN125="","",IF(B125="","",IF(OR(AN125="None",AN125="",V125="LED Exit Signs",AN125="Exterior Controls Not Eligible"),0,_xlfn.XLOOKUP(AN125,'Lookup Tables'!$R$91:$R$101,'Lookup Tables'!$V$91:$V$101)))))</f>
        <v/>
      </c>
      <c r="BG125" s="88" t="str">
        <f t="shared" si="353"/>
        <v/>
      </c>
      <c r="BH125" s="88" t="str">
        <f t="shared" si="354"/>
        <v/>
      </c>
      <c r="BI125" s="558" t="str">
        <f t="shared" si="398"/>
        <v/>
      </c>
      <c r="BJ125" s="82" t="str">
        <f t="shared" si="355"/>
        <v/>
      </c>
      <c r="BK125" s="82" t="str">
        <f t="shared" si="356"/>
        <v/>
      </c>
      <c r="BL125" s="559" t="str">
        <f t="shared" si="357"/>
        <v/>
      </c>
      <c r="BM125" s="521" t="str">
        <f t="shared" si="302"/>
        <v/>
      </c>
      <c r="BN125" s="521" t="str">
        <f t="shared" si="303"/>
        <v/>
      </c>
      <c r="BO125" s="522" t="str">
        <f t="shared" si="304"/>
        <v/>
      </c>
      <c r="BP125" s="83" t="str">
        <f t="shared" si="358"/>
        <v/>
      </c>
      <c r="BQ125" s="84" t="str">
        <f t="shared" si="359"/>
        <v/>
      </c>
      <c r="BR125" s="184" t="str">
        <f>IFERROR(IF(B125="", "", IF(OR(VLOOKUP(J125, 'Fixture Identities'!$A$6:$L$1023, 3, FALSE)="T12 Linear Fluorescent",VLOOKUP(J125, 'Fixture Identities'!$A$6:$L$1023, 3, FALSE)="T12 U-Tube Fluorescent"), "Y", "N")), "N")</f>
        <v/>
      </c>
      <c r="BS125" s="184" t="str">
        <f t="array" ref="BS125">IFERROR(IF(OR(B125="", V125="", W125=""), "", IF(V125="Custom", "N", IF(OR(W125="Freezer Case Lighting", W125="Refrigerated Case Lighting with Doors"), BT125, IF(B125="Retrofit", INDEX('Lookup Tables'!$AH$6:$AT$102,MATCH(1,('Lookup Tables'!$AH$6:$AH$102=V125)*('Lookup Tables'!$AI$6:$AI$102=W125),FALSE),IF(VLOOKUP(J125, 'Fixture Identities'!$A$6:$B$1023, 2, FALSE)="Incandescent",12, 13)), INDEX('Lookup Tables'!$AH$114:$AS$154,MATCH(1,('Lookup Tables'!$AH$114:$AH$154=V125)*('Lookup Tables'!$AI$114:$AI$154=W125),FALSE),12))))), "N")</f>
        <v/>
      </c>
      <c r="BT125" s="184" t="str">
        <f>IF(J125="", "", IF(AND(OR(W125="Freezer case Lighting", W125="Refrigerated Case Lighting with Doors"),'General Information'!$X$18="LCI"), "N", IF(OR(VLOOKUP(J125, 'Fixture Identities'!$A$6:$B$1023, 2, FALSE)="T12 EPACT/EISA Baseline", VLOOKUP(J125, 'Fixture Identities'!$A$6:$B$1023, 2, FALSE)="Linear Fluorescent", VLOOKUP(J125, 'Fixture Identities'!$A$6:$B$1023, 2, FALSE)="U-Tube Fluorescent"), "Y", "N")))</f>
        <v/>
      </c>
      <c r="BU125" s="184" t="str">
        <f>IFERROR(IF(B125="", "", IF(VLOOKUP(J125, 'Fixture Identities'!$A$6:$B$1023, 2, FALSE)="Exit Sign", "Y", "N")), "N")</f>
        <v/>
      </c>
      <c r="BV125" s="184" t="str">
        <f>IF(V125="Exit Signs", IF(VLOOKUP(J125, 'Fixture Identities'!$A$6:$B$1023, 2, FALSE)="Exit Sign", "N", "Y"), "")</f>
        <v/>
      </c>
      <c r="BW125" s="184" t="str">
        <f t="array" ref="BW125">IFERROR(IF(B125="", "", IF(B125="New Construction", "N", INDEX('Lookup Tables'!$AH$6:$AU$102, MATCH(1, ('Lookup Tables'!$AH$6:$AH$102='Lighting Inventory'!V125)*('Lookup Tables'!$AI$6:$AI$102='Lighting Inventory'!W125), 0), 14))), "N")</f>
        <v/>
      </c>
      <c r="BX125" s="598" t="str">
        <f t="shared" si="360"/>
        <v/>
      </c>
      <c r="BY125" s="598" t="str">
        <f t="shared" si="361"/>
        <v/>
      </c>
      <c r="BZ125" s="598" t="str">
        <f t="shared" si="362"/>
        <v/>
      </c>
      <c r="CA125" s="598" t="str">
        <f t="shared" si="363"/>
        <v/>
      </c>
      <c r="CB125" s="269" t="str">
        <f t="shared" si="364"/>
        <v/>
      </c>
      <c r="CC125" s="517" t="str">
        <f t="shared" si="365"/>
        <v/>
      </c>
      <c r="CD125" s="565" t="str">
        <f t="shared" si="305"/>
        <v/>
      </c>
      <c r="CE125" s="368">
        <v>0</v>
      </c>
      <c r="CF125" s="368" t="str" cm="1">
        <f t="array" ref="CF125">IFERROR(IF(V125="Custom", "$0.1 per kWh", IF(B125="New Construction", CONCATENATE("$",INDEX('Lookup Tables'!$AH$114:$AN$154,MATCH(1,('Lookup Tables'!$AH$114:$AH$154='Lighting Inventory'!V125)*('Lookup Tables'!$AI$114:$AI$154='Lighting Inventory'!W125),FALSE),6)," ",INDEX('Lookup Tables'!$AH$114:$AN$154,MATCH(1,('Lookup Tables'!$AH$114:$AH$154='Lighting Inventory'!V125)*('Lookup Tables'!$AI$114:$AI$154='Lighting Inventory'!W125),FALSE),7)), IF(AND(BU125="N", V125="Exit Signs"), "$0.025 per kWh", CONCATENATE("$",INDEX('Lookup Tables'!$AH$6:$AN$102,MATCH(1,('Lookup Tables'!$AH$6:$AH$102='Lighting Inventory'!V125)*('Lookup Tables'!$AI$6:$AI$102='Lighting Inventory'!W125),FALSE),6)," ",INDEX('Lookup Tables'!$AH$6:$AN$102,MATCH(1,('Lookup Tables'!$AH$6:$AH$102='Lighting Inventory'!V125)*('Lookup Tables'!$AI$6:$AI$102='Lighting Inventory'!W125),FALSE),7))))), "")</f>
        <v/>
      </c>
      <c r="CG125" s="366"/>
      <c r="CH125" s="248" t="str">
        <f t="shared" si="306"/>
        <v/>
      </c>
      <c r="CI125" s="248" t="str">
        <f t="shared" si="307"/>
        <v>Select_IE</v>
      </c>
      <c r="CJ125" s="248" t="str">
        <f t="shared" si="308"/>
        <v/>
      </c>
      <c r="CK125" s="248" t="str">
        <f t="shared" si="309"/>
        <v/>
      </c>
      <c r="CL125" s="248" t="str">
        <f t="shared" si="310"/>
        <v/>
      </c>
      <c r="CM125" s="248" t="str">
        <f>IFERROR(IF(B125="", "", IF(B125="New Construction", VLOOKUP(V125, 'Lookup Tables'!$AF$114:$AG$120, 2, FALSE), VLOOKUP(V125, 'Lookup Tables'!$AD$6:$AE$25, 2, FALSE))), "")</f>
        <v/>
      </c>
      <c r="CN125" s="248" t="str">
        <f t="shared" si="311"/>
        <v/>
      </c>
      <c r="CO125" s="248" t="str">
        <f t="shared" si="312"/>
        <v/>
      </c>
      <c r="CP125" s="592" t="str">
        <f t="shared" si="313"/>
        <v/>
      </c>
      <c r="CQ125" s="248" t="str">
        <f t="shared" si="366"/>
        <v/>
      </c>
      <c r="CR125" s="100"/>
      <c r="CS125" s="250" t="str">
        <f t="shared" si="314"/>
        <v/>
      </c>
      <c r="CT125" s="250" t="str">
        <f t="shared" si="367"/>
        <v/>
      </c>
      <c r="CU125" s="250" t="str">
        <f t="shared" si="368"/>
        <v/>
      </c>
      <c r="CV125" s="250" t="str">
        <f t="shared" si="369"/>
        <v/>
      </c>
      <c r="CW125" s="250" t="str">
        <f t="shared" si="370"/>
        <v/>
      </c>
      <c r="CX125" s="250" t="str">
        <f t="shared" si="315"/>
        <v/>
      </c>
      <c r="CY125" s="250" t="str">
        <f t="shared" si="316"/>
        <v/>
      </c>
      <c r="CZ125" s="250" t="str">
        <f t="shared" si="317"/>
        <v/>
      </c>
      <c r="DA125" s="250" t="str">
        <f t="shared" si="318"/>
        <v/>
      </c>
      <c r="DB125" s="250" t="str">
        <f t="shared" si="319"/>
        <v/>
      </c>
      <c r="DC125" s="250" t="str">
        <f t="shared" si="320"/>
        <v/>
      </c>
      <c r="DD125" s="250" t="str">
        <f t="shared" si="321"/>
        <v/>
      </c>
      <c r="DE125" s="250" t="str">
        <f t="shared" si="322"/>
        <v/>
      </c>
      <c r="DF125" s="250" t="str">
        <f t="shared" si="323"/>
        <v/>
      </c>
      <c r="DG125" s="250" t="str">
        <f t="shared" si="324"/>
        <v/>
      </c>
      <c r="DH125" s="250" t="str">
        <f t="shared" si="325"/>
        <v/>
      </c>
      <c r="DI125" s="250" t="str">
        <f t="shared" si="326"/>
        <v/>
      </c>
      <c r="DJ125" s="250" t="str">
        <f t="shared" si="327"/>
        <v/>
      </c>
      <c r="DK125" s="250" t="str">
        <f t="shared" si="328"/>
        <v/>
      </c>
      <c r="DL125" s="250" t="str">
        <f t="shared" si="329"/>
        <v/>
      </c>
      <c r="DM125" s="250" t="str">
        <f>IF(CD125="ERROR", "ERROR", IF(AND(OR(Y125=$DM$6, Y125='Lookup Tables'!$AD$21, Y125='Lookup Tables'!$AD$22), E125="Interior"), BJ125, ""))</f>
        <v/>
      </c>
      <c r="DN125" s="250" t="str">
        <f>IF(CD125="ERROR", "ERROR", IF(AND(OR(Y125=$DM$6, Y125='Lookup Tables'!$AD$21, Y125='Lookup Tables'!$AD$22), E125="Exterior"), BJ125, ""))</f>
        <v/>
      </c>
      <c r="DO125" s="100"/>
      <c r="DP125" s="250" t="str">
        <f t="shared" si="330"/>
        <v/>
      </c>
      <c r="DQ125" s="250" t="str">
        <f t="shared" si="371"/>
        <v/>
      </c>
      <c r="DR125" s="250" t="str">
        <f t="shared" si="372"/>
        <v/>
      </c>
      <c r="DS125" s="250" t="str">
        <f t="shared" si="373"/>
        <v/>
      </c>
      <c r="DT125" s="250" t="str">
        <f t="shared" si="374"/>
        <v/>
      </c>
      <c r="DU125" s="250" t="str">
        <f t="shared" si="331"/>
        <v/>
      </c>
      <c r="DV125" s="250" t="str">
        <f t="shared" si="332"/>
        <v/>
      </c>
      <c r="DW125" s="250" t="str">
        <f t="shared" si="333"/>
        <v/>
      </c>
      <c r="DX125" s="250" t="str">
        <f t="shared" si="334"/>
        <v/>
      </c>
      <c r="DY125" s="250" t="str">
        <f t="shared" si="335"/>
        <v/>
      </c>
      <c r="DZ125" s="250" t="str">
        <f t="shared" si="336"/>
        <v/>
      </c>
      <c r="EA125" s="250" t="str">
        <f t="shared" si="337"/>
        <v/>
      </c>
      <c r="EB125" s="250" t="str">
        <f t="shared" si="375"/>
        <v/>
      </c>
      <c r="EC125" s="250" t="str">
        <f t="shared" si="338"/>
        <v/>
      </c>
      <c r="ED125" s="250" t="str">
        <f t="shared" si="339"/>
        <v/>
      </c>
      <c r="EE125" s="250" t="str">
        <f t="shared" si="340"/>
        <v/>
      </c>
      <c r="EF125" s="250" t="str">
        <f t="shared" si="341"/>
        <v/>
      </c>
      <c r="EG125" s="250" t="str">
        <f t="shared" si="342"/>
        <v/>
      </c>
      <c r="EH125" s="250" t="str">
        <f>IF(CD125="ERROR", "ERROR", IF(AND(OR($EH$6=Y125, Y125='Lookup Tables'!$AD$21, Y125='Lookup Tables'!$AD$22),E125="Interior"), SUM(BP125:BP125), ""))</f>
        <v/>
      </c>
      <c r="EI125" s="250" t="str">
        <f>IF(CD125="ERROR", "ERROR", IF(AND(OR($EH$6=Y125, Y125='Lookup Tables'!$AD$21, Y125='Lookup Tables'!$AD$22),E125="Exterior"), SUM(BP125:BP125), ""))</f>
        <v/>
      </c>
      <c r="EJ125" s="109"/>
      <c r="EK125" s="485" t="str">
        <f t="shared" si="343"/>
        <v/>
      </c>
      <c r="EL125" s="252" t="str">
        <f t="shared" si="376"/>
        <v/>
      </c>
      <c r="EM125" s="252" t="str">
        <f t="shared" si="377"/>
        <v/>
      </c>
      <c r="EN125" s="252" t="str">
        <f t="shared" si="378"/>
        <v/>
      </c>
      <c r="EO125" s="252" t="str">
        <f t="shared" si="379"/>
        <v/>
      </c>
      <c r="EP125" s="252" t="str">
        <f t="shared" si="380"/>
        <v/>
      </c>
      <c r="EQ125" s="252" t="str">
        <f t="shared" si="381"/>
        <v/>
      </c>
      <c r="ER125" s="252" t="str">
        <f t="shared" si="382"/>
        <v/>
      </c>
      <c r="ES125" s="252" t="str">
        <f t="shared" si="383"/>
        <v/>
      </c>
      <c r="ET125" s="252" t="str">
        <f t="shared" si="384"/>
        <v/>
      </c>
      <c r="EU125" s="252" t="str">
        <f t="shared" si="385"/>
        <v/>
      </c>
      <c r="EV125" s="252" t="str">
        <f t="shared" si="386"/>
        <v/>
      </c>
      <c r="EW125" s="252" t="str">
        <f t="shared" si="387"/>
        <v/>
      </c>
      <c r="EX125" s="252" t="str">
        <f t="shared" si="388"/>
        <v/>
      </c>
      <c r="EY125" s="252" t="str">
        <f t="shared" si="389"/>
        <v/>
      </c>
      <c r="EZ125" s="252" t="str">
        <f t="shared" si="390"/>
        <v/>
      </c>
      <c r="FA125" s="252" t="str">
        <f t="shared" si="391"/>
        <v/>
      </c>
      <c r="FB125" s="252" t="str">
        <f t="shared" si="392"/>
        <v/>
      </c>
      <c r="FC125" s="252" t="str">
        <f>IF(CD125="ERROR", "ERROR", IF(OR(V125="No Change", V125="Not DLC or Energy Star"), "", IF(AND(OR($FC$6=Y125,Y125='Lookup Tables'!$AD$21, Y125='Lookup Tables'!$AD$22),E125="Interior"), S125, "")))</f>
        <v/>
      </c>
      <c r="FD125" s="252" t="str">
        <f t="shared" si="393"/>
        <v/>
      </c>
      <c r="FE125" s="101"/>
      <c r="FF125" s="579" t="str" cm="1">
        <f t="array" ref="FF125">IFERROR(IF(OR(BQ125&lt;=0,AQ125&lt;20,AND(V125="Exit Signs",AN125&gt;0)),"",IF(AND(AQ125&gt;=20,AN125='Lookup Tables'!$R$101),'Lookup Tables'!$U$101*BQ125,AP125*LOOKUP(2,1/((AN125='Lookup Tables'!$R$91:$R$111)*(AQ125&gt;='Lookup Tables'!$S$91:$S$111)*(AQ125&lt;='Lookup Tables'!$T$91:$T$111)),'Lookup Tables'!$U$91:$U$111))),"")</f>
        <v/>
      </c>
      <c r="FG125" s="579"/>
      <c r="FH125" s="579"/>
      <c r="FI125" s="253" t="str">
        <f>IFERROR(ROUND(IF(CD125="ERROR", "ERROR", IF(AND($FI$7=X125,E125="Interior"),VLOOKUP(W125, 'Lookup Tables'!$AI$6:$AM$102, 5, FALSE)*BP125, "")), 2), "")</f>
        <v/>
      </c>
      <c r="FJ125" s="253" t="str">
        <f>IFERROR(ROUND(IF(CD125="ERROR", "ERROR", IF(AND($FI$7=X125,E125="Exterior"),VLOOKUP(W125, 'Lookup Tables'!$AI$6:$AM$102, 5, FALSE)*BP125, "")), 2), "")</f>
        <v/>
      </c>
      <c r="FK125" s="253" t="str">
        <f>IFERROR(ROUND(IF(CD125="ERROR", "ERROR", IF(AND($FK$7=X125,E125="Interior"),VLOOKUP(W125, 'Lookup Tables'!$AI$6:$AM$102, 5, FALSE)*BP125, "")), 2), "")</f>
        <v/>
      </c>
      <c r="FL125" s="253" t="str">
        <f>IFERROR(ROUND(IF(CD125="ERROR", "ERROR", IF(AND($FK$7=X125,E125="Exterior"),VLOOKUP(W125, 'Lookup Tables'!$AI$6:$AM$102, 5, FALSE)*BP125, "")), 2), "")</f>
        <v/>
      </c>
      <c r="FM125" s="253" t="str">
        <f>IFERROR(ROUND(IF(CD125="ERROR", "ERROR", IF(AND($FM$6=Y125,E125="Interior"), IF(GB125=0, VLOOKUP(W125, 'Lookup Tables'!$AI$6:$AM$102, 5, FALSE)*BP125, IF(VLOOKUP(W125, 'Lookup Tables'!$AI$6:$AM$102, 5, FALSE)*BP125&gt;GB125*'Lighting Inventory'!S125, GB125*'Lighting Inventory'!S125,VLOOKUP(W125, 'Lookup Tables'!$AI$6:$AM$102, 5, FALSE)*BP125)), "")), 2), "")</f>
        <v/>
      </c>
      <c r="FN125" s="253" t="str">
        <f>IFERROR(ROUND(IF(CD125="ERROR", "ERROR", IF(AND($FM$6=Y125,E125="Exterior"), IF(GB125=0, VLOOKUP(W125, 'Lookup Tables'!$AI$6:$AM$102, 5, FALSE)*BP125, IF(VLOOKUP(W125, 'Lookup Tables'!$AI$6:$AM$102, 5, FALSE)*BP125&gt;GB125*'Lighting Inventory'!S125, GB125*'Lighting Inventory'!S125,VLOOKUP(W125, 'Lookup Tables'!$AI$6:$AM$102, 5, FALSE)*BP125)), "")), 2), "")</f>
        <v/>
      </c>
      <c r="FO125" s="253" t="str">
        <f>IFERROR(ROUND(IF(CD125="ERROR", "ERROR", IF(AND($FO$6=Y125,E125="Interior"),VLOOKUP(W125, 'Lookup Tables'!$AI$6:$AM$102, 5, FALSE)*'Lighting Inventory'!AI125, "")), 2), "")</f>
        <v/>
      </c>
      <c r="FP125" s="253" t="str">
        <f>IFERROR(ROUND(IF(CD125="ERROR", "ERROR", IF(AND($FO$6=Y125,E125="Exterior"),VLOOKUP(W125, 'Lookup Tables'!$AI$6:$AM$102, 5, FALSE)*'Lighting Inventory'!AI125, "")), 2), "")</f>
        <v/>
      </c>
      <c r="FQ125" s="253" t="str">
        <f>IFERROR(ROUND(IF(CD125="ERROR", "ERROR", IF(AND($FQ$6=Y125,E125="Interior", BU125="Y"), VLOOKUP('Lighting Inventory'!W125, 'Lookup Tables'!$AI$6:$AM$102, 5, FALSE)*'Lighting Inventory'!S125, IF(AND($FQ$7=Y125,E125="Interior", BU125="N"), 0.025*CD125, ""))), 2), "")</f>
        <v/>
      </c>
      <c r="FR125" s="253" t="str">
        <f>IFERROR(ROUND(IF(CD125="ERROR", "ERROR", IF(AND($FQ$6=Y125,E125="Exterior"), VLOOKUP('Lighting Inventory'!W125, 'Lookup Tables'!$AI$6:$AM$102, 5, FALSE)*'Lighting Inventory'!S125, "")), 2), "")</f>
        <v/>
      </c>
      <c r="FS125" s="253" t="str">
        <f>IFERROR(ROUND(IF(CD125="ERROR", "ERROR", IF(AND($FS$6=Y125,E125="Exterior"), IF(GB125=0, VLOOKUP(W125, 'Lookup Tables'!$AI$6:$AM$102, 5, FALSE)*BP125, IF(VLOOKUP(W125, 'Lookup Tables'!$AI$6:$AM$102, 5, FALSE)*BP125&gt;GB125*'Lighting Inventory'!S125, GB125*'Lighting Inventory'!S125,VLOOKUP(W125, 'Lookup Tables'!$AI$6:$AM$102, 5, FALSE)*BP125)), "")), 2), "")</f>
        <v/>
      </c>
      <c r="FT125" s="253" t="str">
        <f>IFERROR(ROUND(IF(CD125="ERROR", "ERROR", IF(AND($FT$6=Y125,E125="Interior"), IF(GB125=0, VLOOKUP(W125, 'Lookup Tables'!$AI$6:$AM$102, 5, FALSE)*BP125, IF(VLOOKUP(W125, 'Lookup Tables'!$AI$6:$AM$102, 5, FALSE)*BP125&gt;GB125*'Lighting Inventory'!S125, GB125*'Lighting Inventory'!S125,VLOOKUP(W125, 'Lookup Tables'!$AI$6:$AM$102, 5, FALSE)*BP125)), "")), 2), "")</f>
        <v/>
      </c>
      <c r="FU125" s="253" t="str">
        <f>IFERROR(ROUND(IF(CD125="ERROR", "ERROR", IF(AND(Y125=$FU$6, E125="Interior"), IF(BS125="N", 'Lookup Tables'!$AM$101*BP125, VLOOKUP(W125, 'Lookup Tables'!$AI$6:$AM$102, 5, FALSE)*S125*AD125), "")), 2), "")</f>
        <v/>
      </c>
      <c r="FV125" s="253" t="str">
        <f>IFERROR(ROUND(IF(CD125="ERROR", "ERROR", IF(AND(Y125=$FU$6, E125="Exterior"), IF(BS125="N", 'Lookup Tables'!$AM$101*BP125, VLOOKUP(W125, 'Lookup Tables'!$AI$6:$AM$102, 5, FALSE)*S125*AD125), "")), 2), "")</f>
        <v/>
      </c>
      <c r="FW125" s="253" t="str">
        <f>IFERROR(ROUND(IF(CD125="ERROR", "ERROR", IF($FW$6=Y125, IF(BS125="N", 'Lookup Tables'!$AM$101*BP125, MIN((VLOOKUP(W125, 'Lookup Tables'!$AI$6:$AM$102, 5, FALSE)*BP125),GB125*AJ125)), "")), 2), "")</f>
        <v/>
      </c>
      <c r="FX125" s="253" t="str">
        <f>IFERROR(ROUND(IF(CD125="ERROR", "ERROR", IF(AND($FX$6=Y125, E125="Interior"), IF(VLOOKUP(W125, 'Lookup Tables'!$AI$6:$AM$102, 5, FALSE)*BP125&gt;'Lookup Tables'!$AQ$97*'Lighting Inventory'!S125,'Lighting Inventory'!S125*'Lookup Tables'!$AQ$97,VLOOKUP(W125, 'Lookup Tables'!$AI$6:$AM$102, 5, FALSE)*BP125), "")), 2), "")</f>
        <v/>
      </c>
      <c r="FY125" s="253" t="str">
        <f>IFERROR(ROUND(IF(CD125="ERROR", "ERROR", IF(AND($FX$6=Y125, E125="Exterior"), IF(VLOOKUP(W125, 'Lookup Tables'!$AI$6:$AM$102, 5, FALSE)*BP125&gt;'Lookup Tables'!$AQ$97*'Lighting Inventory'!S125,'Lighting Inventory'!S125*'Lookup Tables'!$AQ$97,VLOOKUP(W125, 'Lookup Tables'!$AI$6:$AM$102, 5, FALSE)*BP125), "")), 2), "")</f>
        <v/>
      </c>
      <c r="FZ125" s="253" t="str">
        <f>IFERROR(ROUND(IF(CD125="ERROR", "ERROR", IF(AND($FZ$6=Y125, E125="Interior"), IF(AND(OR(W125="Refrigerated Case Lighting with Doors", W125="Freezer Case Lighting"),Y125="Custom - Process Improvement"),CD125*'Lookup Tables'!$AM$101, IF(B125="Retrofit", IF(VLOOKUP(IF(V125="Custom", V125, W125), 'Lookup Tables'!$AI$6:$AM$102, 5, FALSE)*BP125&gt;GE125, GE125, VLOOKUP(IF(V125="Custom", V125, W125), 'Lookup Tables'!$AI$6:$AM$102, 5, FALSE)*BP125), IF(VLOOKUP(IF(V125="Custom", V125, W125), 'Lookup Tables'!$AI$114:$AM$154, 5, FALSE)*BP125&gt;GE125, GE125, VLOOKUP(IF(V125="Custom", V125, W125), 'Lookup Tables'!$AI$114:$AM$154, 5, FALSE)*BP125))), "")), 2),"")</f>
        <v/>
      </c>
      <c r="GA125" s="253" t="str">
        <f>IFERROR(ROUND(IF(CD125="ERROR", "ERROR", IF(AND($FZ$6=Y125, E125="Exterior"), IF(B125="Retrofit", IF(VLOOKUP(IF(V125="Custom", V125, W125), 'Lookup Tables'!$AI$6:$AM$102, 5, FALSE)*BP125&gt;GE125, GE125, VLOOKUP(IF(V125="Custom", V125, W125), 'Lookup Tables'!$AI$6:$AM$102, 5, FALSE)*BP125), IF(VLOOKUP(IF(V125="Custom", V125, W125), 'Lookup Tables'!$AI$114:$AM$154, 5, FALSE)*BP125&gt;GE125, GE125, VLOOKUP(IF(V125="Custom", V125, W125), 'Lookup Tables'!$AI$114:$AM$154, 5, FALSE)*BP125)), "")), 2),"")</f>
        <v/>
      </c>
      <c r="GB125" s="254" t="str">
        <f t="array" ref="GB125">IF(B125="","",IF(OR(V125="Custom",V125="No Change"),0,IF(B125="Retrofit", INDEX('Lookup Tables'!$AH$6:$AQ$102,MATCH(1,('Lookup Tables'!$AH$6:$AH$102='Lighting Inventory'!V125)*('Lookup Tables'!$AI$6:$AI$102='Lighting Inventory'!W125),FALSE),10),INDEX('Lookup Tables'!$AH$114:$AQ$154,MATCH(1,('Lookup Tables'!$AH$114:$AH$154='Lighting Inventory'!V125)*('Lookup Tables'!$AI$114:$AI$154='Lighting Inventory'!W125),FALSE),10))))</f>
        <v/>
      </c>
      <c r="GC125" s="255" t="str">
        <f t="shared" si="344"/>
        <v/>
      </c>
      <c r="GD125" s="250" t="str">
        <f t="shared" si="345"/>
        <v/>
      </c>
      <c r="GE125" s="253" t="str">
        <f>IFERROR(IF(AND(AF125="", 'General Information'!$F$18="No"),"", IF(AF125="", ((GD125/$CD$266)*$CF$266)*0.5, AF125*S125*0.5)), "")</f>
        <v/>
      </c>
      <c r="GF125" s="255" t="str">
        <f>IF(AND('General Information'!$F$19="", 'General Information'!$F$18="Yes",AF125="",BW125="Y"), "Y", "N")</f>
        <v>N</v>
      </c>
      <c r="GG125" s="255" t="s">
        <v>2946</v>
      </c>
      <c r="GH125" s="255" t="str">
        <f>IFERROR(IF(B125="", "", VLOOKUP(J125, 'Fixture Identities'!$A$6:$N$908, 14, FALSE)), "")</f>
        <v/>
      </c>
      <c r="GI125" s="389" t="str">
        <f>IF(OR(B125="", V125="", W125=""), "", IF(AND(OR(M125='Lookup Tables'!$R$18, M125='Lookup Tables'!$R$19, M125='Lookup Tables'!$R$20, M125='Lookup Tables'!$R$21, M125='Lookup Tables'!$R$22), OR(AN125='Lookup Tables'!$R$17, AN125='Lookup Tables'!$R$17, AN125="")), "Y", "N"))</f>
        <v/>
      </c>
      <c r="GJ125" s="255" t="str">
        <f t="shared" si="346"/>
        <v/>
      </c>
      <c r="GK125" s="255" t="str">
        <f t="shared" si="347"/>
        <v/>
      </c>
      <c r="GL125" s="255" t="str">
        <f t="shared" si="348"/>
        <v/>
      </c>
      <c r="GM125" s="255" t="str">
        <f>IF(AN125="", "", IF(AND(IF(ISNA(VLOOKUP(AN125,'Lookup Tables'!$R$18:$R$22,1,FALSE)), "N", "Y")="Y", E125="Exterior"), "Y", "N"))</f>
        <v/>
      </c>
      <c r="GN125" s="395"/>
      <c r="GO125" s="428">
        <f t="shared" si="394"/>
        <v>0</v>
      </c>
      <c r="GP125" s="428">
        <f t="shared" si="397"/>
        <v>0</v>
      </c>
      <c r="GQ125" s="428">
        <f t="shared" si="395"/>
        <v>0</v>
      </c>
      <c r="GR125" s="428">
        <f t="shared" si="396"/>
        <v>0</v>
      </c>
    </row>
    <row r="126" spans="1:200" s="103" customFormat="1" ht="13.5" customHeight="1" x14ac:dyDescent="0.2">
      <c r="A126" s="272">
        <v>116</v>
      </c>
      <c r="B126" s="110"/>
      <c r="C126" s="110"/>
      <c r="D126" s="110"/>
      <c r="E126" s="110"/>
      <c r="F126" s="110"/>
      <c r="G126" s="110"/>
      <c r="H126" s="110"/>
      <c r="I126" s="29"/>
      <c r="J126" s="29"/>
      <c r="K126" s="272" t="str">
        <f>IFERROR(IF(OR(VLOOKUP(J126, 'Fixture Identities'!$A$6:$L$1023, 3, FALSE)="T12 Linear Fluorescent", VLOOKUP(J126, 'Fixture Identities'!$A$6:$L$1023, 3, FALSE)="T12 U-Tube Fluorescent"), VLOOKUP(VLOOKUP(J126, 'Fixture Identities'!$A$6:$L$1023, 11, FALSE), 'Fixture Identities'!$A$6:$L$1023, 10, FALSE), VLOOKUP(J126, 'Fixture Identities'!$A$6:$L$1023, 10, FALSE)), "")</f>
        <v/>
      </c>
      <c r="L126" s="270" t="str">
        <f t="shared" si="399"/>
        <v/>
      </c>
      <c r="M126" s="110"/>
      <c r="N126" s="110"/>
      <c r="O126" s="110"/>
      <c r="P126" s="272" t="str">
        <f>IFERROR(IF(OR(B126="Retrofit",B126=""),"",IF('Lighting Inventory'!E126="Exterior",VLOOKUP('Lighting Inventory'!N126,'Lookup Tables'!$B$83:$F$103,5,FALSE),IF(N126="Other - Please Estimate EFLH and CFs","Contact Prog. Rep.","ft^2"))), "")</f>
        <v/>
      </c>
      <c r="Q126" s="270" t="str">
        <f>IFERROR(IF(AND(B126="New Construction",E126="Interior",$F$5="Space-by-Space"),VLOOKUP('Lighting Inventory'!N126,'Lookup Tables'!$N$6:$O$97,2,FALSE),IF(AND(B126="New Construction",E126="Exterior"),VLOOKUP(N126,'Lookup Tables'!$B$83:$F$103,2,FALSE),IF(AND(B126="New Construction",'Lighting Inventory'!E126="Interior", $F$5="Building Area"),VLOOKUP(F126,'Lookup Tables'!$A$6:$J$59,10,FALSE),""))), "")</f>
        <v/>
      </c>
      <c r="R126" s="270" t="str">
        <f>IFERROR(IF(P126="Contact Prog. Rep.", "ERROR", IF(OR(B126="",B126="Retrofit"),"",IF(N126="Automated teller machines", ('Lookup Tables'!$A$82:$E$100+('Lighting Inventory'!O126-1)*'Lookup Tables'!$A$82:$E$100)/1000, (Q126*O126)/1000))), "")</f>
        <v/>
      </c>
      <c r="S126" s="595"/>
      <c r="T126" s="105" t="str">
        <f t="shared" si="349"/>
        <v/>
      </c>
      <c r="U126" s="105" t="str">
        <f>IF(S126="","",COUNT($S$11:S126))</f>
        <v/>
      </c>
      <c r="V126" s="111"/>
      <c r="W126" s="112"/>
      <c r="X126" s="105" t="str">
        <f t="shared" si="350"/>
        <v/>
      </c>
      <c r="Y126" s="105" t="str">
        <f t="array" ref="Y126">IF(AND(OR(W126="Freezer Case Lighting", W126="Refrigerated Case Lighting with Doors"), 'General Information'!$X$18="LCI"),'Lookup Tables'!$Y$34, IF(V126="Custom", VLOOKUP(W126, 'Fixture Identities'!$A$974:$M$1023, 13, FALSE), IF(V126="No Change",'Lookup Tables'!$Y$29,IF(OR(V126="",W126=""),"",IF(AND(S126=0,S126&lt;I126,B126="Retrofit"),'Lookup Tables'!$Y$25, IF(B126="Retrofit", INDEX('Lookup Tables'!$AH$6:$AP$102, MATCH(1, ('Lookup Tables'!$AH$6:$AH$102=V126)*('Lookup Tables'!$AI$6:$AI$102=W126), 0), IF('Lighting Inventory'!E126="Interior", 4, 5)), INDEX('Lookup Tables'!$AH$114:$AP$154, MATCH(1, ('Lookup Tables'!$AH$114:$AH$154=V126)*('Lookup Tables'!$AI$114:$AI$154=W126), 0), IF('Lighting Inventory'!E126="Interior", 4, 5))))))))</f>
        <v/>
      </c>
      <c r="Z126" s="105" t="str">
        <f>IFERROR(INDEX('Lookup Tables'!$AH$158:$AH$172,MATCH('Lighting Inventory'!Y126,'Lookup Tables'!$AI$158:$AI$172,0)),"")</f>
        <v/>
      </c>
      <c r="AA126" s="105" t="str">
        <f>IF(AP126&gt;0,INDEX('Lookup Tables'!$AK$158:$AK$172,MATCH('Lighting Inventory'!Y126,'Lookup Tables'!$AI$158:$AI$172,0)),'Lighting Inventory'!Y126)</f>
        <v/>
      </c>
      <c r="AB126" s="105" t="str">
        <f t="array" ref="AB126">IF(V126="Custom", "Custom", IF(V126="", "", IF(V126="Not DLC or Energy Star", "General", IF(B126="New Construction", INDEX('Lookup Tables'!$AH$114:$AP$154,MATCH(1,('Lookup Tables'!$AH$114:$AH$154='Lighting Inventory'!V126)*('Lookup Tables'!$AI$114:$AI$154='Lighting Inventory'!W126),FALSE),8), INDEX('Lookup Tables'!$AH$6:$AP$102,MATCH(1,('Lookup Tables'!$AH$6:$AH$102='Lighting Inventory'!V126)*('Lookup Tables'!$AI$6:$AI$102='Lighting Inventory'!W126),FALSE),8)))))</f>
        <v/>
      </c>
      <c r="AC126" s="272" t="str">
        <f>IF(W126="","",IF(V126="Custom",CONCATENATE("$",'Lookup Tables'!$AM$101," ",'Lookup Tables'!$AN$101),CONCATENATE("$",INDEX('Lookup Tables'!$AM$6:$AM$102,MATCH('Lighting Inventory'!W126,'Lookup Tables'!$AI$6:$AI$102,0))," ",INDEX('Lookup Tables'!$AN$6:$AN$102,MATCH('Lighting Inventory'!W126,'Lookup Tables'!$AI$6:$AI$102,0)))))</f>
        <v/>
      </c>
      <c r="AD126" s="72"/>
      <c r="AE126" s="29"/>
      <c r="AF126" s="379"/>
      <c r="AG126" s="370" t="str">
        <f t="shared" si="298"/>
        <v/>
      </c>
      <c r="AH126" s="370" t="str">
        <f t="shared" si="351"/>
        <v/>
      </c>
      <c r="AI126" s="29"/>
      <c r="AJ126" s="29"/>
      <c r="AK126" s="110"/>
      <c r="AL126" s="375" t="str">
        <f>IF(OR(B126="", V126="", W126=""), "", IF(V126="No Change", K126, IF(V126="Remove Fixture", 0, IF(V126="Custom",VLOOKUP(W126,'Fixture Identities'!$A$6:$K$1023,10,FALSE),IF(AE126="", "← ENTER POST WATTS", 'Lighting Inventory'!AE126)))))</f>
        <v/>
      </c>
      <c r="AM126" s="376" t="str">
        <f t="shared" si="299"/>
        <v/>
      </c>
      <c r="AN126" s="29"/>
      <c r="AO126" s="671"/>
      <c r="AP126" s="29"/>
      <c r="AQ126" s="29"/>
      <c r="AR126" s="29"/>
      <c r="AS126" s="272" t="str">
        <f t="shared" si="352"/>
        <v/>
      </c>
      <c r="AT126" s="270" t="str">
        <f t="shared" si="300"/>
        <v/>
      </c>
      <c r="AU126" s="88" t="str">
        <f t="shared" si="400"/>
        <v/>
      </c>
      <c r="AV126" s="29"/>
      <c r="AW126" s="73"/>
      <c r="AX126" s="271" t="str">
        <f>IF(AND(AV126="Applicant",OR(AW126="", AW126="Use Default Facility Hours")),"← Choose Schedule",IF(F126="","",IF(W126="LED Exit Signs",8760,IF(OR(AV126="Prescribed",AV126=""),VLOOKUP(F126,'Lookup Tables'!$A$6:$G$59,IF(AB126="General", 6, 3),FALSE),VLOOKUP(AW126,'Lookup Tables'!$S$36:$U$43,2,FALSE)))))</f>
        <v/>
      </c>
      <c r="AY126" s="88" t="str">
        <f t="shared" si="301"/>
        <v/>
      </c>
      <c r="AZ126" s="270" t="str">
        <f>IFERROR(IF(F126="", "", IF(W126="LED Exit Signs", 1, IF(AV126="Applicant",VLOOKUP(AW126, 'Lookup Tables'!$S$36:$U$43,3, FALSE), VLOOKUP('Lighting Inventory'!F126, 'Lookup Tables'!$A$6:$H$59, IF('Lighting Inventory'!AB126="General",7,4), FALSE)))), "")</f>
        <v/>
      </c>
      <c r="BA126" s="522" t="str">
        <f>IFERROR(IF(F126="", "", IF(W126="LED Exit Signs", 1, VLOOKUP('Lighting Inventory'!F126, 'Lookup Tables'!$A$6:$H$59, IF('Lighting Inventory'!AB126="General",8,5), FALSE))), "")</f>
        <v/>
      </c>
      <c r="BB126" s="270" t="str">
        <f>IF(G126="", "", IF(E126="Exterior", 0, IF('Lighting Inventory'!G126="Air Conditioned", VLOOKUP(H126, 'Lookup Tables'!$R$6:$T$13, 2, FALSE), VLOOKUP('Lighting Inventory'!G126, 'Lookup Tables'!$R$6:$T$13, 2, FALSE))))</f>
        <v/>
      </c>
      <c r="BC126" s="522" t="str">
        <f>IF(G126="", "", IF(E126="Exterior", 0, IF('Lighting Inventory'!G126="Air Conditioned", VLOOKUP(H126, 'Lookup Tables'!$R$6:$T$13, 3, FALSE), VLOOKUP('Lighting Inventory'!G126, 'Lookup Tables'!$R$6:$T$13, 3, FALSE))))</f>
        <v/>
      </c>
      <c r="BD126" s="270" t="str">
        <f>IF(G126="", "", IF(E126="Exterior", 0, IF('Lighting Inventory'!G126="Air Conditioned", VLOOKUP(H126, 'Lookup Tables'!$R$6:$U$13, 4, FALSE), VLOOKUP('Lighting Inventory'!G126, 'Lookup Tables'!$R$6:$U$13, 4, FALSE))))</f>
        <v/>
      </c>
      <c r="BE126" s="270" t="str">
        <f>IFERROR(IF(B126="", "",  IF(B126="New Construction", VLOOKUP(F126, 'Lookup Tables'!$A$6:$K$59, 11, FALSE),IF(OR(AN126="", AN126="Light Switch"), 0, IF(OR(M126="",M126="None",V126= "LED Exit Signs"),0,_xlfn.XLOOKUP(M126,'Lookup Tables'!$R$91:$R$101,'Lookup Tables'!$V$91:$V$101))))), "")</f>
        <v/>
      </c>
      <c r="BF126" s="270" t="str">
        <f>IF(AND(OR(AN126="Light Switch",AN126=""),B126="New Construction"), VLOOKUP(F126, 'Lookup Tables'!$A$6:$K$59, 11, FALSE),IF(AN126="","",IF(B126="","",IF(OR(AN126="None",AN126="",V126="LED Exit Signs",AN126="Exterior Controls Not Eligible"),0,_xlfn.XLOOKUP(AN126,'Lookup Tables'!$R$91:$R$101,'Lookup Tables'!$V$91:$V$101)))))</f>
        <v/>
      </c>
      <c r="BG126" s="88" t="str">
        <f t="shared" si="353"/>
        <v/>
      </c>
      <c r="BH126" s="88" t="str">
        <f t="shared" si="354"/>
        <v/>
      </c>
      <c r="BI126" s="558" t="str">
        <f t="shared" si="398"/>
        <v/>
      </c>
      <c r="BJ126" s="82" t="str">
        <f t="shared" si="355"/>
        <v/>
      </c>
      <c r="BK126" s="82" t="str">
        <f t="shared" si="356"/>
        <v/>
      </c>
      <c r="BL126" s="559" t="str">
        <f t="shared" si="357"/>
        <v/>
      </c>
      <c r="BM126" s="521" t="str">
        <f t="shared" si="302"/>
        <v/>
      </c>
      <c r="BN126" s="521" t="str">
        <f t="shared" si="303"/>
        <v/>
      </c>
      <c r="BO126" s="522" t="str">
        <f t="shared" si="304"/>
        <v/>
      </c>
      <c r="BP126" s="83" t="str">
        <f t="shared" si="358"/>
        <v/>
      </c>
      <c r="BQ126" s="84" t="str">
        <f t="shared" si="359"/>
        <v/>
      </c>
      <c r="BR126" s="184" t="str">
        <f>IFERROR(IF(B126="", "", IF(OR(VLOOKUP(J126, 'Fixture Identities'!$A$6:$L$1023, 3, FALSE)="T12 Linear Fluorescent",VLOOKUP(J126, 'Fixture Identities'!$A$6:$L$1023, 3, FALSE)="T12 U-Tube Fluorescent"), "Y", "N")), "N")</f>
        <v/>
      </c>
      <c r="BS126" s="184" t="str">
        <f t="array" ref="BS126">IFERROR(IF(OR(B126="", V126="", W126=""), "", IF(V126="Custom", "N", IF(OR(W126="Freezer Case Lighting", W126="Refrigerated Case Lighting with Doors"), BT126, IF(B126="Retrofit", INDEX('Lookup Tables'!$AH$6:$AT$102,MATCH(1,('Lookup Tables'!$AH$6:$AH$102=V126)*('Lookup Tables'!$AI$6:$AI$102=W126),FALSE),IF(VLOOKUP(J126, 'Fixture Identities'!$A$6:$B$1023, 2, FALSE)="Incandescent",12, 13)), INDEX('Lookup Tables'!$AH$114:$AS$154,MATCH(1,('Lookup Tables'!$AH$114:$AH$154=V126)*('Lookup Tables'!$AI$114:$AI$154=W126),FALSE),12))))), "N")</f>
        <v/>
      </c>
      <c r="BT126" s="184" t="str">
        <f>IF(J126="", "", IF(AND(OR(W126="Freezer case Lighting", W126="Refrigerated Case Lighting with Doors"),'General Information'!$X$18="LCI"), "N", IF(OR(VLOOKUP(J126, 'Fixture Identities'!$A$6:$B$1023, 2, FALSE)="T12 EPACT/EISA Baseline", VLOOKUP(J126, 'Fixture Identities'!$A$6:$B$1023, 2, FALSE)="Linear Fluorescent", VLOOKUP(J126, 'Fixture Identities'!$A$6:$B$1023, 2, FALSE)="U-Tube Fluorescent"), "Y", "N")))</f>
        <v/>
      </c>
      <c r="BU126" s="184" t="str">
        <f>IFERROR(IF(B126="", "", IF(VLOOKUP(J126, 'Fixture Identities'!$A$6:$B$1023, 2, FALSE)="Exit Sign", "Y", "N")), "N")</f>
        <v/>
      </c>
      <c r="BV126" s="184" t="str">
        <f>IF(V126="Exit Signs", IF(VLOOKUP(J126, 'Fixture Identities'!$A$6:$B$1023, 2, FALSE)="Exit Sign", "N", "Y"), "")</f>
        <v/>
      </c>
      <c r="BW126" s="184" t="str">
        <f t="array" ref="BW126">IFERROR(IF(B126="", "", IF(B126="New Construction", "N", INDEX('Lookup Tables'!$AH$6:$AU$102, MATCH(1, ('Lookup Tables'!$AH$6:$AH$102='Lighting Inventory'!V126)*('Lookup Tables'!$AI$6:$AI$102='Lighting Inventory'!W126), 0), 14))), "N")</f>
        <v/>
      </c>
      <c r="BX126" s="598" t="str">
        <f t="shared" si="360"/>
        <v/>
      </c>
      <c r="BY126" s="598" t="str">
        <f t="shared" si="361"/>
        <v/>
      </c>
      <c r="BZ126" s="598" t="str">
        <f t="shared" si="362"/>
        <v/>
      </c>
      <c r="CA126" s="598" t="str">
        <f t="shared" si="363"/>
        <v/>
      </c>
      <c r="CB126" s="269" t="str">
        <f t="shared" si="364"/>
        <v/>
      </c>
      <c r="CC126" s="517" t="str">
        <f t="shared" si="365"/>
        <v/>
      </c>
      <c r="CD126" s="565" t="str">
        <f t="shared" si="305"/>
        <v/>
      </c>
      <c r="CE126" s="368">
        <v>0</v>
      </c>
      <c r="CF126" s="368" t="str" cm="1">
        <f t="array" ref="CF126">IFERROR(IF(V126="Custom", "$0.1 per kWh", IF(B126="New Construction", CONCATENATE("$",INDEX('Lookup Tables'!$AH$114:$AN$154,MATCH(1,('Lookup Tables'!$AH$114:$AH$154='Lighting Inventory'!V126)*('Lookup Tables'!$AI$114:$AI$154='Lighting Inventory'!W126),FALSE),6)," ",INDEX('Lookup Tables'!$AH$114:$AN$154,MATCH(1,('Lookup Tables'!$AH$114:$AH$154='Lighting Inventory'!V126)*('Lookup Tables'!$AI$114:$AI$154='Lighting Inventory'!W126),FALSE),7)), IF(AND(BU126="N", V126="Exit Signs"), "$0.025 per kWh", CONCATENATE("$",INDEX('Lookup Tables'!$AH$6:$AN$102,MATCH(1,('Lookup Tables'!$AH$6:$AH$102='Lighting Inventory'!V126)*('Lookup Tables'!$AI$6:$AI$102='Lighting Inventory'!W126),FALSE),6)," ",INDEX('Lookup Tables'!$AH$6:$AN$102,MATCH(1,('Lookup Tables'!$AH$6:$AH$102='Lighting Inventory'!V126)*('Lookup Tables'!$AI$6:$AI$102='Lighting Inventory'!W126),FALSE),7))))), "")</f>
        <v/>
      </c>
      <c r="CG126" s="366"/>
      <c r="CH126" s="248" t="str">
        <f t="shared" si="306"/>
        <v/>
      </c>
      <c r="CI126" s="248" t="str">
        <f t="shared" si="307"/>
        <v>Select_IE</v>
      </c>
      <c r="CJ126" s="248" t="str">
        <f t="shared" si="308"/>
        <v/>
      </c>
      <c r="CK126" s="248" t="str">
        <f t="shared" si="309"/>
        <v/>
      </c>
      <c r="CL126" s="248" t="str">
        <f t="shared" si="310"/>
        <v/>
      </c>
      <c r="CM126" s="248" t="str">
        <f>IFERROR(IF(B126="", "", IF(B126="New Construction", VLOOKUP(V126, 'Lookup Tables'!$AF$114:$AG$120, 2, FALSE), VLOOKUP(V126, 'Lookup Tables'!$AD$6:$AE$25, 2, FALSE))), "")</f>
        <v/>
      </c>
      <c r="CN126" s="248" t="str">
        <f t="shared" si="311"/>
        <v/>
      </c>
      <c r="CO126" s="248" t="str">
        <f t="shared" si="312"/>
        <v/>
      </c>
      <c r="CP126" s="592" t="str">
        <f t="shared" si="313"/>
        <v/>
      </c>
      <c r="CQ126" s="248" t="str">
        <f t="shared" si="366"/>
        <v/>
      </c>
      <c r="CR126" s="249"/>
      <c r="CS126" s="250" t="str">
        <f t="shared" si="314"/>
        <v/>
      </c>
      <c r="CT126" s="250" t="str">
        <f t="shared" si="367"/>
        <v/>
      </c>
      <c r="CU126" s="250" t="str">
        <f t="shared" si="368"/>
        <v/>
      </c>
      <c r="CV126" s="250" t="str">
        <f t="shared" si="369"/>
        <v/>
      </c>
      <c r="CW126" s="250" t="str">
        <f t="shared" si="370"/>
        <v/>
      </c>
      <c r="CX126" s="250" t="str">
        <f t="shared" si="315"/>
        <v/>
      </c>
      <c r="CY126" s="250" t="str">
        <f t="shared" si="316"/>
        <v/>
      </c>
      <c r="CZ126" s="250" t="str">
        <f t="shared" si="317"/>
        <v/>
      </c>
      <c r="DA126" s="250" t="str">
        <f t="shared" si="318"/>
        <v/>
      </c>
      <c r="DB126" s="250" t="str">
        <f t="shared" si="319"/>
        <v/>
      </c>
      <c r="DC126" s="250" t="str">
        <f t="shared" si="320"/>
        <v/>
      </c>
      <c r="DD126" s="250" t="str">
        <f t="shared" si="321"/>
        <v/>
      </c>
      <c r="DE126" s="250" t="str">
        <f t="shared" si="322"/>
        <v/>
      </c>
      <c r="DF126" s="250" t="str">
        <f t="shared" si="323"/>
        <v/>
      </c>
      <c r="DG126" s="250" t="str">
        <f t="shared" si="324"/>
        <v/>
      </c>
      <c r="DH126" s="250" t="str">
        <f t="shared" si="325"/>
        <v/>
      </c>
      <c r="DI126" s="250" t="str">
        <f t="shared" si="326"/>
        <v/>
      </c>
      <c r="DJ126" s="250" t="str">
        <f t="shared" si="327"/>
        <v/>
      </c>
      <c r="DK126" s="250" t="str">
        <f t="shared" si="328"/>
        <v/>
      </c>
      <c r="DL126" s="250" t="str">
        <f t="shared" si="329"/>
        <v/>
      </c>
      <c r="DM126" s="250" t="str">
        <f>IF(CD126="ERROR", "ERROR", IF(AND(OR(Y126=$DM$6, Y126='Lookup Tables'!$AD$21, Y126='Lookup Tables'!$AD$22), E126="Interior"), BJ126, ""))</f>
        <v/>
      </c>
      <c r="DN126" s="250" t="str">
        <f>IF(CD126="ERROR", "ERROR", IF(AND(OR(Y126=$DM$6, Y126='Lookup Tables'!$AD$21, Y126='Lookup Tables'!$AD$22), E126="Exterior"), BJ126, ""))</f>
        <v/>
      </c>
      <c r="DO126" s="249"/>
      <c r="DP126" s="250" t="str">
        <f t="shared" si="330"/>
        <v/>
      </c>
      <c r="DQ126" s="250" t="str">
        <f t="shared" si="371"/>
        <v/>
      </c>
      <c r="DR126" s="250" t="str">
        <f t="shared" si="372"/>
        <v/>
      </c>
      <c r="DS126" s="250" t="str">
        <f t="shared" si="373"/>
        <v/>
      </c>
      <c r="DT126" s="250" t="str">
        <f t="shared" si="374"/>
        <v/>
      </c>
      <c r="DU126" s="250" t="str">
        <f t="shared" si="331"/>
        <v/>
      </c>
      <c r="DV126" s="250" t="str">
        <f t="shared" si="332"/>
        <v/>
      </c>
      <c r="DW126" s="250" t="str">
        <f t="shared" si="333"/>
        <v/>
      </c>
      <c r="DX126" s="250" t="str">
        <f t="shared" si="334"/>
        <v/>
      </c>
      <c r="DY126" s="250" t="str">
        <f t="shared" si="335"/>
        <v/>
      </c>
      <c r="DZ126" s="250" t="str">
        <f t="shared" si="336"/>
        <v/>
      </c>
      <c r="EA126" s="250" t="str">
        <f t="shared" si="337"/>
        <v/>
      </c>
      <c r="EB126" s="250" t="str">
        <f t="shared" si="375"/>
        <v/>
      </c>
      <c r="EC126" s="250" t="str">
        <f t="shared" si="338"/>
        <v/>
      </c>
      <c r="ED126" s="250" t="str">
        <f t="shared" si="339"/>
        <v/>
      </c>
      <c r="EE126" s="250" t="str">
        <f t="shared" si="340"/>
        <v/>
      </c>
      <c r="EF126" s="250" t="str">
        <f t="shared" si="341"/>
        <v/>
      </c>
      <c r="EG126" s="250" t="str">
        <f t="shared" si="342"/>
        <v/>
      </c>
      <c r="EH126" s="250" t="str">
        <f>IF(CD126="ERROR", "ERROR", IF(AND(OR($EH$6=Y126, Y126='Lookup Tables'!$AD$21, Y126='Lookup Tables'!$AD$22),E126="Interior"), SUM(BP126:BP126), ""))</f>
        <v/>
      </c>
      <c r="EI126" s="250" t="str">
        <f>IF(CD126="ERROR", "ERROR", IF(AND(OR($EH$6=Y126, Y126='Lookup Tables'!$AD$21, Y126='Lookup Tables'!$AD$22),E126="Exterior"), SUM(BP126:BP126), ""))</f>
        <v/>
      </c>
      <c r="EJ126" s="109"/>
      <c r="EK126" s="485" t="str">
        <f t="shared" si="343"/>
        <v/>
      </c>
      <c r="EL126" s="252" t="str">
        <f t="shared" si="376"/>
        <v/>
      </c>
      <c r="EM126" s="252" t="str">
        <f t="shared" si="377"/>
        <v/>
      </c>
      <c r="EN126" s="252" t="str">
        <f t="shared" si="378"/>
        <v/>
      </c>
      <c r="EO126" s="252" t="str">
        <f t="shared" si="379"/>
        <v/>
      </c>
      <c r="EP126" s="252" t="str">
        <f t="shared" si="380"/>
        <v/>
      </c>
      <c r="EQ126" s="252" t="str">
        <f t="shared" si="381"/>
        <v/>
      </c>
      <c r="ER126" s="252" t="str">
        <f t="shared" si="382"/>
        <v/>
      </c>
      <c r="ES126" s="252" t="str">
        <f t="shared" si="383"/>
        <v/>
      </c>
      <c r="ET126" s="252" t="str">
        <f t="shared" si="384"/>
        <v/>
      </c>
      <c r="EU126" s="252" t="str">
        <f t="shared" si="385"/>
        <v/>
      </c>
      <c r="EV126" s="252" t="str">
        <f t="shared" si="386"/>
        <v/>
      </c>
      <c r="EW126" s="252" t="str">
        <f t="shared" si="387"/>
        <v/>
      </c>
      <c r="EX126" s="252" t="str">
        <f t="shared" si="388"/>
        <v/>
      </c>
      <c r="EY126" s="252" t="str">
        <f t="shared" si="389"/>
        <v/>
      </c>
      <c r="EZ126" s="252" t="str">
        <f t="shared" si="390"/>
        <v/>
      </c>
      <c r="FA126" s="252" t="str">
        <f t="shared" si="391"/>
        <v/>
      </c>
      <c r="FB126" s="252" t="str">
        <f t="shared" si="392"/>
        <v/>
      </c>
      <c r="FC126" s="252" t="str">
        <f>IF(CD126="ERROR", "ERROR", IF(OR(V126="No Change", V126="Not DLC or Energy Star"), "", IF(AND(OR($FC$6=Y126,Y126='Lookup Tables'!$AD$21, Y126='Lookup Tables'!$AD$22),E126="Interior"), S126, "")))</f>
        <v/>
      </c>
      <c r="FD126" s="252" t="str">
        <f t="shared" si="393"/>
        <v/>
      </c>
      <c r="FE126" s="1"/>
      <c r="FF126" s="579" t="str" cm="1">
        <f t="array" ref="FF126">IFERROR(IF(OR(BQ126&lt;=0,AQ126&lt;20,AND(V126="Exit Signs",AN126&gt;0)),"",IF(AND(AQ126&gt;=20,AN126='Lookup Tables'!$R$101),'Lookup Tables'!$U$101*BQ126,AP126*LOOKUP(2,1/((AN126='Lookup Tables'!$R$91:$R$111)*(AQ126&gt;='Lookup Tables'!$S$91:$S$111)*(AQ126&lt;='Lookup Tables'!$T$91:$T$111)),'Lookup Tables'!$U$91:$U$111))),"")</f>
        <v/>
      </c>
      <c r="FG126" s="579"/>
      <c r="FH126" s="579"/>
      <c r="FI126" s="253" t="str">
        <f>IFERROR(ROUND(IF(CD126="ERROR", "ERROR", IF(AND($FI$7=X126,E126="Interior"),VLOOKUP(W126, 'Lookup Tables'!$AI$6:$AM$102, 5, FALSE)*BP126, "")), 2), "")</f>
        <v/>
      </c>
      <c r="FJ126" s="253" t="str">
        <f>IFERROR(ROUND(IF(CD126="ERROR", "ERROR", IF(AND($FI$7=X126,E126="Exterior"),VLOOKUP(W126, 'Lookup Tables'!$AI$6:$AM$102, 5, FALSE)*BP126, "")), 2), "")</f>
        <v/>
      </c>
      <c r="FK126" s="253" t="str">
        <f>IFERROR(ROUND(IF(CD126="ERROR", "ERROR", IF(AND($FK$7=X126,E126="Interior"),VLOOKUP(W126, 'Lookup Tables'!$AI$6:$AM$102, 5, FALSE)*BP126, "")), 2), "")</f>
        <v/>
      </c>
      <c r="FL126" s="253" t="str">
        <f>IFERROR(ROUND(IF(CD126="ERROR", "ERROR", IF(AND($FK$7=X126,E126="Exterior"),VLOOKUP(W126, 'Lookup Tables'!$AI$6:$AM$102, 5, FALSE)*BP126, "")), 2), "")</f>
        <v/>
      </c>
      <c r="FM126" s="253" t="str">
        <f>IFERROR(ROUND(IF(CD126="ERROR", "ERROR", IF(AND($FM$6=Y126,E126="Interior"), IF(GB126=0, VLOOKUP(W126, 'Lookup Tables'!$AI$6:$AM$102, 5, FALSE)*BP126, IF(VLOOKUP(W126, 'Lookup Tables'!$AI$6:$AM$102, 5, FALSE)*BP126&gt;GB126*'Lighting Inventory'!S126, GB126*'Lighting Inventory'!S126,VLOOKUP(W126, 'Lookup Tables'!$AI$6:$AM$102, 5, FALSE)*BP126)), "")), 2), "")</f>
        <v/>
      </c>
      <c r="FN126" s="253" t="str">
        <f>IFERROR(ROUND(IF(CD126="ERROR", "ERROR", IF(AND($FM$6=Y126,E126="Exterior"), IF(GB126=0, VLOOKUP(W126, 'Lookup Tables'!$AI$6:$AM$102, 5, FALSE)*BP126, IF(VLOOKUP(W126, 'Lookup Tables'!$AI$6:$AM$102, 5, FALSE)*BP126&gt;GB126*'Lighting Inventory'!S126, GB126*'Lighting Inventory'!S126,VLOOKUP(W126, 'Lookup Tables'!$AI$6:$AM$102, 5, FALSE)*BP126)), "")), 2), "")</f>
        <v/>
      </c>
      <c r="FO126" s="253" t="str">
        <f>IFERROR(ROUND(IF(CD126="ERROR", "ERROR", IF(AND($FO$6=Y126,E126="Interior"),VLOOKUP(W126, 'Lookup Tables'!$AI$6:$AM$102, 5, FALSE)*'Lighting Inventory'!AI126, "")), 2), "")</f>
        <v/>
      </c>
      <c r="FP126" s="253" t="str">
        <f>IFERROR(ROUND(IF(CD126="ERROR", "ERROR", IF(AND($FO$6=Y126,E126="Exterior"),VLOOKUP(W126, 'Lookup Tables'!$AI$6:$AM$102, 5, FALSE)*'Lighting Inventory'!AI126, "")), 2), "")</f>
        <v/>
      </c>
      <c r="FQ126" s="253" t="str">
        <f>IFERROR(ROUND(IF(CD126="ERROR", "ERROR", IF(AND($FQ$6=Y126,E126="Interior", BU126="Y"), VLOOKUP('Lighting Inventory'!W126, 'Lookup Tables'!$AI$6:$AM$102, 5, FALSE)*'Lighting Inventory'!S126, IF(AND($FQ$7=Y126,E126="Interior", BU126="N"), 0.025*CD126, ""))), 2), "")</f>
        <v/>
      </c>
      <c r="FR126" s="253" t="str">
        <f>IFERROR(ROUND(IF(CD126="ERROR", "ERROR", IF(AND($FQ$6=Y126,E126="Exterior"), VLOOKUP('Lighting Inventory'!W126, 'Lookup Tables'!$AI$6:$AM$102, 5, FALSE)*'Lighting Inventory'!S126, "")), 2), "")</f>
        <v/>
      </c>
      <c r="FS126" s="253" t="str">
        <f>IFERROR(ROUND(IF(CD126="ERROR", "ERROR", IF(AND($FS$6=Y126,E126="Exterior"), IF(GB126=0, VLOOKUP(W126, 'Lookup Tables'!$AI$6:$AM$102, 5, FALSE)*BP126, IF(VLOOKUP(W126, 'Lookup Tables'!$AI$6:$AM$102, 5, FALSE)*BP126&gt;GB126*'Lighting Inventory'!S126, GB126*'Lighting Inventory'!S126,VLOOKUP(W126, 'Lookup Tables'!$AI$6:$AM$102, 5, FALSE)*BP126)), "")), 2), "")</f>
        <v/>
      </c>
      <c r="FT126" s="253" t="str">
        <f>IFERROR(ROUND(IF(CD126="ERROR", "ERROR", IF(AND($FT$6=Y126,E126="Interior"), IF(GB126=0, VLOOKUP(W126, 'Lookup Tables'!$AI$6:$AM$102, 5, FALSE)*BP126, IF(VLOOKUP(W126, 'Lookup Tables'!$AI$6:$AM$102, 5, FALSE)*BP126&gt;GB126*'Lighting Inventory'!S126, GB126*'Lighting Inventory'!S126,VLOOKUP(W126, 'Lookup Tables'!$AI$6:$AM$102, 5, FALSE)*BP126)), "")), 2), "")</f>
        <v/>
      </c>
      <c r="FU126" s="253" t="str">
        <f>IFERROR(ROUND(IF(CD126="ERROR", "ERROR", IF(AND(Y126=$FU$6, E126="Interior"), IF(BS126="N", 'Lookup Tables'!$AM$101*BP126, VLOOKUP(W126, 'Lookup Tables'!$AI$6:$AM$102, 5, FALSE)*S126*AD126), "")), 2), "")</f>
        <v/>
      </c>
      <c r="FV126" s="253" t="str">
        <f>IFERROR(ROUND(IF(CD126="ERROR", "ERROR", IF(AND(Y126=$FU$6, E126="Exterior"), IF(BS126="N", 'Lookup Tables'!$AM$101*BP126, VLOOKUP(W126, 'Lookup Tables'!$AI$6:$AM$102, 5, FALSE)*S126*AD126), "")), 2), "")</f>
        <v/>
      </c>
      <c r="FW126" s="253" t="str">
        <f>IFERROR(ROUND(IF(CD126="ERROR", "ERROR", IF($FW$6=Y126, IF(BS126="N", 'Lookup Tables'!$AM$101*BP126, MIN((VLOOKUP(W126, 'Lookup Tables'!$AI$6:$AM$102, 5, FALSE)*BP126),GB126*AJ126)), "")), 2), "")</f>
        <v/>
      </c>
      <c r="FX126" s="253" t="str">
        <f>IFERROR(ROUND(IF(CD126="ERROR", "ERROR", IF(AND($FX$6=Y126, E126="Interior"), IF(VLOOKUP(W126, 'Lookup Tables'!$AI$6:$AM$102, 5, FALSE)*BP126&gt;'Lookup Tables'!$AQ$97*'Lighting Inventory'!S126,'Lighting Inventory'!S126*'Lookup Tables'!$AQ$97,VLOOKUP(W126, 'Lookup Tables'!$AI$6:$AM$102, 5, FALSE)*BP126), "")), 2), "")</f>
        <v/>
      </c>
      <c r="FY126" s="253" t="str">
        <f>IFERROR(ROUND(IF(CD126="ERROR", "ERROR", IF(AND($FX$6=Y126, E126="Exterior"), IF(VLOOKUP(W126, 'Lookup Tables'!$AI$6:$AM$102, 5, FALSE)*BP126&gt;'Lookup Tables'!$AQ$97*'Lighting Inventory'!S126,'Lighting Inventory'!S126*'Lookup Tables'!$AQ$97,VLOOKUP(W126, 'Lookup Tables'!$AI$6:$AM$102, 5, FALSE)*BP126), "")), 2), "")</f>
        <v/>
      </c>
      <c r="FZ126" s="253" t="str">
        <f>IFERROR(ROUND(IF(CD126="ERROR", "ERROR", IF(AND($FZ$6=Y126, E126="Interior"), IF(AND(OR(W126="Refrigerated Case Lighting with Doors", W126="Freezer Case Lighting"),Y126="Custom - Process Improvement"),CD126*'Lookup Tables'!$AM$101, IF(B126="Retrofit", IF(VLOOKUP(IF(V126="Custom", V126, W126), 'Lookup Tables'!$AI$6:$AM$102, 5, FALSE)*BP126&gt;GE126, GE126, VLOOKUP(IF(V126="Custom", V126, W126), 'Lookup Tables'!$AI$6:$AM$102, 5, FALSE)*BP126), IF(VLOOKUP(IF(V126="Custom", V126, W126), 'Lookup Tables'!$AI$114:$AM$154, 5, FALSE)*BP126&gt;GE126, GE126, VLOOKUP(IF(V126="Custom", V126, W126), 'Lookup Tables'!$AI$114:$AM$154, 5, FALSE)*BP126))), "")), 2),"")</f>
        <v/>
      </c>
      <c r="GA126" s="253" t="str">
        <f>IFERROR(ROUND(IF(CD126="ERROR", "ERROR", IF(AND($FZ$6=Y126, E126="Exterior"), IF(B126="Retrofit", IF(VLOOKUP(IF(V126="Custom", V126, W126), 'Lookup Tables'!$AI$6:$AM$102, 5, FALSE)*BP126&gt;GE126, GE126, VLOOKUP(IF(V126="Custom", V126, W126), 'Lookup Tables'!$AI$6:$AM$102, 5, FALSE)*BP126), IF(VLOOKUP(IF(V126="Custom", V126, W126), 'Lookup Tables'!$AI$114:$AM$154, 5, FALSE)*BP126&gt;GE126, GE126, VLOOKUP(IF(V126="Custom", V126, W126), 'Lookup Tables'!$AI$114:$AM$154, 5, FALSE)*BP126)), "")), 2),"")</f>
        <v/>
      </c>
      <c r="GB126" s="254" t="str">
        <f t="array" ref="GB126">IF(B126="","",IF(OR(V126="Custom",V126="No Change"),0,IF(B126="Retrofit", INDEX('Lookup Tables'!$AH$6:$AQ$102,MATCH(1,('Lookup Tables'!$AH$6:$AH$102='Lighting Inventory'!V126)*('Lookup Tables'!$AI$6:$AI$102='Lighting Inventory'!W126),FALSE),10),INDEX('Lookup Tables'!$AH$114:$AQ$154,MATCH(1,('Lookup Tables'!$AH$114:$AH$154='Lighting Inventory'!V126)*('Lookup Tables'!$AI$114:$AI$154='Lighting Inventory'!W126),FALSE),10))))</f>
        <v/>
      </c>
      <c r="GC126" s="255" t="str">
        <f t="shared" si="344"/>
        <v/>
      </c>
      <c r="GD126" s="250" t="str">
        <f t="shared" si="345"/>
        <v/>
      </c>
      <c r="GE126" s="253" t="str">
        <f>IFERROR(IF(AND(AF126="", 'General Information'!$F$18="No"),"", IF(AF126="", ((GD126/$CD$266)*$CF$266)*0.5, AF126*S126*0.5)), "")</f>
        <v/>
      </c>
      <c r="GF126" s="255" t="str">
        <f>IF(AND('General Information'!$F$19="", 'General Information'!$F$18="Yes",AF126="",BW126="Y"), "Y", "N")</f>
        <v>N</v>
      </c>
      <c r="GG126" s="255" t="s">
        <v>2946</v>
      </c>
      <c r="GH126" s="255" t="str">
        <f>IFERROR(IF(B126="", "", VLOOKUP(J126, 'Fixture Identities'!$A$6:$N$908, 14, FALSE)), "")</f>
        <v/>
      </c>
      <c r="GI126" s="389" t="str">
        <f>IF(OR(B126="", V126="", W126=""), "", IF(AND(OR(M126='Lookup Tables'!$R$18, M126='Lookup Tables'!$R$19, M126='Lookup Tables'!$R$20, M126='Lookup Tables'!$R$21, M126='Lookup Tables'!$R$22), OR(AN126='Lookup Tables'!$R$17, AN126='Lookup Tables'!$R$17, AN126="")), "Y", "N"))</f>
        <v/>
      </c>
      <c r="GJ126" s="255" t="str">
        <f t="shared" si="346"/>
        <v/>
      </c>
      <c r="GK126" s="255" t="str">
        <f t="shared" si="347"/>
        <v/>
      </c>
      <c r="GL126" s="255" t="str">
        <f t="shared" si="348"/>
        <v/>
      </c>
      <c r="GM126" s="255" t="str">
        <f>IF(AN126="", "", IF(AND(IF(ISNA(VLOOKUP(AN126,'Lookup Tables'!$R$18:$R$22,1,FALSE)), "N", "Y")="Y", E126="Exterior"), "Y", "N"))</f>
        <v/>
      </c>
      <c r="GN126" s="395"/>
      <c r="GO126" s="428">
        <f t="shared" si="394"/>
        <v>0</v>
      </c>
      <c r="GP126" s="428">
        <f t="shared" si="397"/>
        <v>0</v>
      </c>
      <c r="GQ126" s="428">
        <f t="shared" si="395"/>
        <v>0</v>
      </c>
      <c r="GR126" s="428">
        <f t="shared" si="396"/>
        <v>0</v>
      </c>
    </row>
    <row r="127" spans="1:200" s="103" customFormat="1" ht="13.5" customHeight="1" x14ac:dyDescent="0.2">
      <c r="A127" s="272">
        <v>117</v>
      </c>
      <c r="B127" s="110"/>
      <c r="C127" s="110"/>
      <c r="D127" s="110"/>
      <c r="E127" s="110"/>
      <c r="F127" s="110"/>
      <c r="G127" s="110"/>
      <c r="H127" s="110"/>
      <c r="I127" s="29"/>
      <c r="J127" s="29"/>
      <c r="K127" s="272" t="str">
        <f>IFERROR(IF(OR(VLOOKUP(J127, 'Fixture Identities'!$A$6:$L$1023, 3, FALSE)="T12 Linear Fluorescent", VLOOKUP(J127, 'Fixture Identities'!$A$6:$L$1023, 3, FALSE)="T12 U-Tube Fluorescent"), VLOOKUP(VLOOKUP(J127, 'Fixture Identities'!$A$6:$L$1023, 11, FALSE), 'Fixture Identities'!$A$6:$L$1023, 10, FALSE), VLOOKUP(J127, 'Fixture Identities'!$A$6:$L$1023, 10, FALSE)), "")</f>
        <v/>
      </c>
      <c r="L127" s="270" t="str">
        <f t="shared" si="399"/>
        <v/>
      </c>
      <c r="M127" s="110"/>
      <c r="N127" s="110"/>
      <c r="O127" s="110"/>
      <c r="P127" s="272" t="str">
        <f>IFERROR(IF(OR(B127="Retrofit",B127=""),"",IF('Lighting Inventory'!E127="Exterior",VLOOKUP('Lighting Inventory'!N127,'Lookup Tables'!$B$83:$F$103,5,FALSE),IF(N127="Other - Please Estimate EFLH and CFs","Contact Prog. Rep.","ft^2"))), "")</f>
        <v/>
      </c>
      <c r="Q127" s="270" t="str">
        <f>IFERROR(IF(AND(B127="New Construction",E127="Interior",$F$5="Space-by-Space"),VLOOKUP('Lighting Inventory'!N127,'Lookup Tables'!$N$6:$O$97,2,FALSE),IF(AND(B127="New Construction",E127="Exterior"),VLOOKUP(N127,'Lookup Tables'!$B$83:$F$103,2,FALSE),IF(AND(B127="New Construction",'Lighting Inventory'!E127="Interior", $F$5="Building Area"),VLOOKUP(F127,'Lookup Tables'!$A$6:$J$59,10,FALSE),""))), "")</f>
        <v/>
      </c>
      <c r="R127" s="270" t="str">
        <f>IFERROR(IF(P127="Contact Prog. Rep.", "ERROR", IF(OR(B127="",B127="Retrofit"),"",IF(N127="Automated teller machines", ('Lookup Tables'!$A$82:$E$100+('Lighting Inventory'!O127-1)*'Lookup Tables'!$A$82:$E$100)/1000, (Q127*O127)/1000))), "")</f>
        <v/>
      </c>
      <c r="S127" s="595"/>
      <c r="T127" s="105" t="str">
        <f t="shared" si="349"/>
        <v/>
      </c>
      <c r="U127" s="105" t="str">
        <f>IF(S127="","",COUNT($S$11:S127))</f>
        <v/>
      </c>
      <c r="V127" s="111"/>
      <c r="W127" s="112"/>
      <c r="X127" s="105" t="str">
        <f t="shared" si="350"/>
        <v/>
      </c>
      <c r="Y127" s="105" t="str">
        <f t="array" ref="Y127">IF(AND(OR(W127="Freezer Case Lighting", W127="Refrigerated Case Lighting with Doors"), 'General Information'!$X$18="LCI"),'Lookup Tables'!$Y$34, IF(V127="Custom", VLOOKUP(W127, 'Fixture Identities'!$A$974:$M$1023, 13, FALSE), IF(V127="No Change",'Lookup Tables'!$Y$29,IF(OR(V127="",W127=""),"",IF(AND(S127=0,S127&lt;I127,B127="Retrofit"),'Lookup Tables'!$Y$25, IF(B127="Retrofit", INDEX('Lookup Tables'!$AH$6:$AP$102, MATCH(1, ('Lookup Tables'!$AH$6:$AH$102=V127)*('Lookup Tables'!$AI$6:$AI$102=W127), 0), IF('Lighting Inventory'!E127="Interior", 4, 5)), INDEX('Lookup Tables'!$AH$114:$AP$154, MATCH(1, ('Lookup Tables'!$AH$114:$AH$154=V127)*('Lookup Tables'!$AI$114:$AI$154=W127), 0), IF('Lighting Inventory'!E127="Interior", 4, 5))))))))</f>
        <v/>
      </c>
      <c r="Z127" s="105" t="str">
        <f>IFERROR(INDEX('Lookup Tables'!$AH$158:$AH$172,MATCH('Lighting Inventory'!Y127,'Lookup Tables'!$AI$158:$AI$172,0)),"")</f>
        <v/>
      </c>
      <c r="AA127" s="105" t="str">
        <f>IF(AP127&gt;0,INDEX('Lookup Tables'!$AK$158:$AK$172,MATCH('Lighting Inventory'!Y127,'Lookup Tables'!$AI$158:$AI$172,0)),'Lighting Inventory'!Y127)</f>
        <v/>
      </c>
      <c r="AB127" s="105" t="str">
        <f t="array" ref="AB127">IF(V127="Custom", "Custom", IF(V127="", "", IF(V127="Not DLC or Energy Star", "General", IF(B127="New Construction", INDEX('Lookup Tables'!$AH$114:$AP$154,MATCH(1,('Lookup Tables'!$AH$114:$AH$154='Lighting Inventory'!V127)*('Lookup Tables'!$AI$114:$AI$154='Lighting Inventory'!W127),FALSE),8), INDEX('Lookup Tables'!$AH$6:$AP$102,MATCH(1,('Lookup Tables'!$AH$6:$AH$102='Lighting Inventory'!V127)*('Lookup Tables'!$AI$6:$AI$102='Lighting Inventory'!W127),FALSE),8)))))</f>
        <v/>
      </c>
      <c r="AC127" s="272" t="str">
        <f>IF(W127="","",IF(V127="Custom",CONCATENATE("$",'Lookup Tables'!$AM$101," ",'Lookup Tables'!$AN$101),CONCATENATE("$",INDEX('Lookup Tables'!$AM$6:$AM$102,MATCH('Lighting Inventory'!W127,'Lookup Tables'!$AI$6:$AI$102,0))," ",INDEX('Lookup Tables'!$AN$6:$AN$102,MATCH('Lighting Inventory'!W127,'Lookup Tables'!$AI$6:$AI$102,0)))))</f>
        <v/>
      </c>
      <c r="AD127" s="72"/>
      <c r="AE127" s="29"/>
      <c r="AF127" s="379"/>
      <c r="AG127" s="370" t="str">
        <f t="shared" si="298"/>
        <v/>
      </c>
      <c r="AH127" s="370" t="str">
        <f t="shared" si="351"/>
        <v/>
      </c>
      <c r="AI127" s="29"/>
      <c r="AJ127" s="29"/>
      <c r="AK127" s="110"/>
      <c r="AL127" s="375" t="str">
        <f>IF(OR(B127="", V127="", W127=""), "", IF(V127="No Change", K127, IF(V127="Remove Fixture", 0, IF(V127="Custom",VLOOKUP(W127,'Fixture Identities'!$A$6:$K$1023,10,FALSE),IF(AE127="", "← ENTER POST WATTS", 'Lighting Inventory'!AE127)))))</f>
        <v/>
      </c>
      <c r="AM127" s="376" t="str">
        <f t="shared" si="299"/>
        <v/>
      </c>
      <c r="AN127" s="29"/>
      <c r="AO127" s="671"/>
      <c r="AP127" s="29"/>
      <c r="AQ127" s="29"/>
      <c r="AR127" s="29"/>
      <c r="AS127" s="272" t="str">
        <f t="shared" si="352"/>
        <v/>
      </c>
      <c r="AT127" s="270" t="str">
        <f t="shared" si="300"/>
        <v/>
      </c>
      <c r="AU127" s="88" t="str">
        <f t="shared" si="400"/>
        <v/>
      </c>
      <c r="AV127" s="29"/>
      <c r="AW127" s="73"/>
      <c r="AX127" s="271" t="str">
        <f>IF(AND(AV127="Applicant",OR(AW127="", AW127="Use Default Facility Hours")),"← Choose Schedule",IF(F127="","",IF(W127="LED Exit Signs",8760,IF(OR(AV127="Prescribed",AV127=""),VLOOKUP(F127,'Lookup Tables'!$A$6:$G$59,IF(AB127="General", 6, 3),FALSE),VLOOKUP(AW127,'Lookup Tables'!$S$36:$U$43,2,FALSE)))))</f>
        <v/>
      </c>
      <c r="AY127" s="88" t="str">
        <f t="shared" si="301"/>
        <v/>
      </c>
      <c r="AZ127" s="270" t="str">
        <f>IFERROR(IF(F127="", "", IF(W127="LED Exit Signs", 1, IF(AV127="Applicant",VLOOKUP(AW127, 'Lookup Tables'!$S$36:$U$43,3, FALSE), VLOOKUP('Lighting Inventory'!F127, 'Lookup Tables'!$A$6:$H$59, IF('Lighting Inventory'!AB127="General",7,4), FALSE)))), "")</f>
        <v/>
      </c>
      <c r="BA127" s="522" t="str">
        <f>IFERROR(IF(F127="", "", IF(W127="LED Exit Signs", 1, VLOOKUP('Lighting Inventory'!F127, 'Lookup Tables'!$A$6:$H$59, IF('Lighting Inventory'!AB127="General",8,5), FALSE))), "")</f>
        <v/>
      </c>
      <c r="BB127" s="270" t="str">
        <f>IF(G127="", "", IF(E127="Exterior", 0, IF('Lighting Inventory'!G127="Air Conditioned", VLOOKUP(H127, 'Lookup Tables'!$R$6:$T$13, 2, FALSE), VLOOKUP('Lighting Inventory'!G127, 'Lookup Tables'!$R$6:$T$13, 2, FALSE))))</f>
        <v/>
      </c>
      <c r="BC127" s="522" t="str">
        <f>IF(G127="", "", IF(E127="Exterior", 0, IF('Lighting Inventory'!G127="Air Conditioned", VLOOKUP(H127, 'Lookup Tables'!$R$6:$T$13, 3, FALSE), VLOOKUP('Lighting Inventory'!G127, 'Lookup Tables'!$R$6:$T$13, 3, FALSE))))</f>
        <v/>
      </c>
      <c r="BD127" s="270" t="str">
        <f>IF(G127="", "", IF(E127="Exterior", 0, IF('Lighting Inventory'!G127="Air Conditioned", VLOOKUP(H127, 'Lookup Tables'!$R$6:$U$13, 4, FALSE), VLOOKUP('Lighting Inventory'!G127, 'Lookup Tables'!$R$6:$U$13, 4, FALSE))))</f>
        <v/>
      </c>
      <c r="BE127" s="270" t="str">
        <f>IFERROR(IF(B127="", "",  IF(B127="New Construction", VLOOKUP(F127, 'Lookup Tables'!$A$6:$K$59, 11, FALSE),IF(OR(AN127="", AN127="Light Switch"), 0, IF(OR(M127="",M127="None",V127= "LED Exit Signs"),0,_xlfn.XLOOKUP(M127,'Lookup Tables'!$R$91:$R$101,'Lookup Tables'!$V$91:$V$101))))), "")</f>
        <v/>
      </c>
      <c r="BF127" s="270" t="str">
        <f>IF(AND(OR(AN127="Light Switch",AN127=""),B127="New Construction"), VLOOKUP(F127, 'Lookup Tables'!$A$6:$K$59, 11, FALSE),IF(AN127="","",IF(B127="","",IF(OR(AN127="None",AN127="",V127="LED Exit Signs",AN127="Exterior Controls Not Eligible"),0,_xlfn.XLOOKUP(AN127,'Lookup Tables'!$R$91:$R$101,'Lookup Tables'!$V$91:$V$101)))))</f>
        <v/>
      </c>
      <c r="BG127" s="88" t="str">
        <f t="shared" si="353"/>
        <v/>
      </c>
      <c r="BH127" s="88" t="str">
        <f t="shared" si="354"/>
        <v/>
      </c>
      <c r="BI127" s="558" t="str">
        <f t="shared" si="398"/>
        <v/>
      </c>
      <c r="BJ127" s="82" t="str">
        <f t="shared" si="355"/>
        <v/>
      </c>
      <c r="BK127" s="82" t="str">
        <f t="shared" si="356"/>
        <v/>
      </c>
      <c r="BL127" s="559" t="str">
        <f t="shared" si="357"/>
        <v/>
      </c>
      <c r="BM127" s="521" t="str">
        <f t="shared" si="302"/>
        <v/>
      </c>
      <c r="BN127" s="521" t="str">
        <f t="shared" si="303"/>
        <v/>
      </c>
      <c r="BO127" s="522" t="str">
        <f t="shared" si="304"/>
        <v/>
      </c>
      <c r="BP127" s="83" t="str">
        <f t="shared" si="358"/>
        <v/>
      </c>
      <c r="BQ127" s="84" t="str">
        <f t="shared" si="359"/>
        <v/>
      </c>
      <c r="BR127" s="184" t="str">
        <f>IFERROR(IF(B127="", "", IF(OR(VLOOKUP(J127, 'Fixture Identities'!$A$6:$L$1023, 3, FALSE)="T12 Linear Fluorescent",VLOOKUP(J127, 'Fixture Identities'!$A$6:$L$1023, 3, FALSE)="T12 U-Tube Fluorescent"), "Y", "N")), "N")</f>
        <v/>
      </c>
      <c r="BS127" s="184" t="str">
        <f t="array" ref="BS127">IFERROR(IF(OR(B127="", V127="", W127=""), "", IF(V127="Custom", "N", IF(OR(W127="Freezer Case Lighting", W127="Refrigerated Case Lighting with Doors"), BT127, IF(B127="Retrofit", INDEX('Lookup Tables'!$AH$6:$AT$102,MATCH(1,('Lookup Tables'!$AH$6:$AH$102=V127)*('Lookup Tables'!$AI$6:$AI$102=W127),FALSE),IF(VLOOKUP(J127, 'Fixture Identities'!$A$6:$B$1023, 2, FALSE)="Incandescent",12, 13)), INDEX('Lookup Tables'!$AH$114:$AS$154,MATCH(1,('Lookup Tables'!$AH$114:$AH$154=V127)*('Lookup Tables'!$AI$114:$AI$154=W127),FALSE),12))))), "N")</f>
        <v/>
      </c>
      <c r="BT127" s="184" t="str">
        <f>IF(J127="", "", IF(AND(OR(W127="Freezer case Lighting", W127="Refrigerated Case Lighting with Doors"),'General Information'!$X$18="LCI"), "N", IF(OR(VLOOKUP(J127, 'Fixture Identities'!$A$6:$B$1023, 2, FALSE)="T12 EPACT/EISA Baseline", VLOOKUP(J127, 'Fixture Identities'!$A$6:$B$1023, 2, FALSE)="Linear Fluorescent", VLOOKUP(J127, 'Fixture Identities'!$A$6:$B$1023, 2, FALSE)="U-Tube Fluorescent"), "Y", "N")))</f>
        <v/>
      </c>
      <c r="BU127" s="184" t="str">
        <f>IFERROR(IF(B127="", "", IF(VLOOKUP(J127, 'Fixture Identities'!$A$6:$B$1023, 2, FALSE)="Exit Sign", "Y", "N")), "N")</f>
        <v/>
      </c>
      <c r="BV127" s="184" t="str">
        <f>IF(V127="Exit Signs", IF(VLOOKUP(J127, 'Fixture Identities'!$A$6:$B$1023, 2, FALSE)="Exit Sign", "N", "Y"), "")</f>
        <v/>
      </c>
      <c r="BW127" s="184" t="str">
        <f t="array" ref="BW127">IFERROR(IF(B127="", "", IF(B127="New Construction", "N", INDEX('Lookup Tables'!$AH$6:$AU$102, MATCH(1, ('Lookup Tables'!$AH$6:$AH$102='Lighting Inventory'!V127)*('Lookup Tables'!$AI$6:$AI$102='Lighting Inventory'!W127), 0), 14))), "N")</f>
        <v/>
      </c>
      <c r="BX127" s="598" t="str">
        <f t="shared" si="360"/>
        <v/>
      </c>
      <c r="BY127" s="598" t="str">
        <f t="shared" si="361"/>
        <v/>
      </c>
      <c r="BZ127" s="598" t="str">
        <f t="shared" si="362"/>
        <v/>
      </c>
      <c r="CA127" s="598" t="str">
        <f t="shared" si="363"/>
        <v/>
      </c>
      <c r="CB127" s="269" t="str">
        <f t="shared" si="364"/>
        <v/>
      </c>
      <c r="CC127" s="517" t="str">
        <f t="shared" si="365"/>
        <v/>
      </c>
      <c r="CD127" s="565" t="str">
        <f t="shared" si="305"/>
        <v/>
      </c>
      <c r="CE127" s="368">
        <v>0</v>
      </c>
      <c r="CF127" s="368" t="str" cm="1">
        <f t="array" ref="CF127">IFERROR(IF(V127="Custom", "$0.1 per kWh", IF(B127="New Construction", CONCATENATE("$",INDEX('Lookup Tables'!$AH$114:$AN$154,MATCH(1,('Lookup Tables'!$AH$114:$AH$154='Lighting Inventory'!V127)*('Lookup Tables'!$AI$114:$AI$154='Lighting Inventory'!W127),FALSE),6)," ",INDEX('Lookup Tables'!$AH$114:$AN$154,MATCH(1,('Lookup Tables'!$AH$114:$AH$154='Lighting Inventory'!V127)*('Lookup Tables'!$AI$114:$AI$154='Lighting Inventory'!W127),FALSE),7)), IF(AND(BU127="N", V127="Exit Signs"), "$0.025 per kWh", CONCATENATE("$",INDEX('Lookup Tables'!$AH$6:$AN$102,MATCH(1,('Lookup Tables'!$AH$6:$AH$102='Lighting Inventory'!V127)*('Lookup Tables'!$AI$6:$AI$102='Lighting Inventory'!W127),FALSE),6)," ",INDEX('Lookup Tables'!$AH$6:$AN$102,MATCH(1,('Lookup Tables'!$AH$6:$AH$102='Lighting Inventory'!V127)*('Lookup Tables'!$AI$6:$AI$102='Lighting Inventory'!W127),FALSE),7))))), "")</f>
        <v/>
      </c>
      <c r="CG127" s="366"/>
      <c r="CH127" s="248" t="str">
        <f t="shared" si="306"/>
        <v/>
      </c>
      <c r="CI127" s="248" t="str">
        <f t="shared" si="307"/>
        <v>Select_IE</v>
      </c>
      <c r="CJ127" s="248" t="str">
        <f t="shared" si="308"/>
        <v/>
      </c>
      <c r="CK127" s="248" t="str">
        <f t="shared" si="309"/>
        <v/>
      </c>
      <c r="CL127" s="248" t="str">
        <f t="shared" si="310"/>
        <v/>
      </c>
      <c r="CM127" s="248" t="str">
        <f>IFERROR(IF(B127="", "", IF(B127="New Construction", VLOOKUP(V127, 'Lookup Tables'!$AF$114:$AG$120, 2, FALSE), VLOOKUP(V127, 'Lookup Tables'!$AD$6:$AE$25, 2, FALSE))), "")</f>
        <v/>
      </c>
      <c r="CN127" s="248" t="str">
        <f t="shared" si="311"/>
        <v/>
      </c>
      <c r="CO127" s="248" t="str">
        <f t="shared" si="312"/>
        <v/>
      </c>
      <c r="CP127" s="592" t="str">
        <f t="shared" si="313"/>
        <v/>
      </c>
      <c r="CQ127" s="248" t="str">
        <f t="shared" si="366"/>
        <v/>
      </c>
      <c r="CR127" s="100"/>
      <c r="CS127" s="250" t="str">
        <f t="shared" si="314"/>
        <v/>
      </c>
      <c r="CT127" s="250" t="str">
        <f t="shared" si="367"/>
        <v/>
      </c>
      <c r="CU127" s="250" t="str">
        <f t="shared" si="368"/>
        <v/>
      </c>
      <c r="CV127" s="250" t="str">
        <f t="shared" si="369"/>
        <v/>
      </c>
      <c r="CW127" s="250" t="str">
        <f t="shared" si="370"/>
        <v/>
      </c>
      <c r="CX127" s="250" t="str">
        <f t="shared" si="315"/>
        <v/>
      </c>
      <c r="CY127" s="250" t="str">
        <f t="shared" si="316"/>
        <v/>
      </c>
      <c r="CZ127" s="250" t="str">
        <f t="shared" si="317"/>
        <v/>
      </c>
      <c r="DA127" s="250" t="str">
        <f t="shared" si="318"/>
        <v/>
      </c>
      <c r="DB127" s="250" t="str">
        <f t="shared" si="319"/>
        <v/>
      </c>
      <c r="DC127" s="250" t="str">
        <f t="shared" si="320"/>
        <v/>
      </c>
      <c r="DD127" s="250" t="str">
        <f t="shared" si="321"/>
        <v/>
      </c>
      <c r="DE127" s="250" t="str">
        <f t="shared" si="322"/>
        <v/>
      </c>
      <c r="DF127" s="250" t="str">
        <f t="shared" si="323"/>
        <v/>
      </c>
      <c r="DG127" s="250" t="str">
        <f t="shared" si="324"/>
        <v/>
      </c>
      <c r="DH127" s="250" t="str">
        <f t="shared" si="325"/>
        <v/>
      </c>
      <c r="DI127" s="250" t="str">
        <f t="shared" si="326"/>
        <v/>
      </c>
      <c r="DJ127" s="250" t="str">
        <f t="shared" si="327"/>
        <v/>
      </c>
      <c r="DK127" s="250" t="str">
        <f t="shared" si="328"/>
        <v/>
      </c>
      <c r="DL127" s="250" t="str">
        <f t="shared" si="329"/>
        <v/>
      </c>
      <c r="DM127" s="250" t="str">
        <f>IF(CD127="ERROR", "ERROR", IF(AND(OR(Y127=$DM$6, Y127='Lookup Tables'!$AD$21, Y127='Lookup Tables'!$AD$22), E127="Interior"), BJ127, ""))</f>
        <v/>
      </c>
      <c r="DN127" s="250" t="str">
        <f>IF(CD127="ERROR", "ERROR", IF(AND(OR(Y127=$DM$6, Y127='Lookup Tables'!$AD$21, Y127='Lookup Tables'!$AD$22), E127="Exterior"), BJ127, ""))</f>
        <v/>
      </c>
      <c r="DO127" s="100"/>
      <c r="DP127" s="250" t="str">
        <f t="shared" si="330"/>
        <v/>
      </c>
      <c r="DQ127" s="250" t="str">
        <f t="shared" si="371"/>
        <v/>
      </c>
      <c r="DR127" s="250" t="str">
        <f t="shared" si="372"/>
        <v/>
      </c>
      <c r="DS127" s="250" t="str">
        <f t="shared" si="373"/>
        <v/>
      </c>
      <c r="DT127" s="250" t="str">
        <f t="shared" si="374"/>
        <v/>
      </c>
      <c r="DU127" s="250" t="str">
        <f t="shared" si="331"/>
        <v/>
      </c>
      <c r="DV127" s="250" t="str">
        <f t="shared" si="332"/>
        <v/>
      </c>
      <c r="DW127" s="250" t="str">
        <f t="shared" si="333"/>
        <v/>
      </c>
      <c r="DX127" s="250" t="str">
        <f t="shared" si="334"/>
        <v/>
      </c>
      <c r="DY127" s="250" t="str">
        <f t="shared" si="335"/>
        <v/>
      </c>
      <c r="DZ127" s="250" t="str">
        <f t="shared" si="336"/>
        <v/>
      </c>
      <c r="EA127" s="250" t="str">
        <f t="shared" si="337"/>
        <v/>
      </c>
      <c r="EB127" s="250" t="str">
        <f t="shared" si="375"/>
        <v/>
      </c>
      <c r="EC127" s="250" t="str">
        <f t="shared" si="338"/>
        <v/>
      </c>
      <c r="ED127" s="250" t="str">
        <f t="shared" si="339"/>
        <v/>
      </c>
      <c r="EE127" s="250" t="str">
        <f t="shared" si="340"/>
        <v/>
      </c>
      <c r="EF127" s="250" t="str">
        <f t="shared" si="341"/>
        <v/>
      </c>
      <c r="EG127" s="250" t="str">
        <f t="shared" si="342"/>
        <v/>
      </c>
      <c r="EH127" s="250" t="str">
        <f>IF(CD127="ERROR", "ERROR", IF(AND(OR($EH$6=Y127, Y127='Lookup Tables'!$AD$21, Y127='Lookup Tables'!$AD$22),E127="Interior"), SUM(BP127:BP127), ""))</f>
        <v/>
      </c>
      <c r="EI127" s="250" t="str">
        <f>IF(CD127="ERROR", "ERROR", IF(AND(OR($EH$6=Y127, Y127='Lookup Tables'!$AD$21, Y127='Lookup Tables'!$AD$22),E127="Exterior"), SUM(BP127:BP127), ""))</f>
        <v/>
      </c>
      <c r="EJ127" s="109"/>
      <c r="EK127" s="485" t="str">
        <f t="shared" si="343"/>
        <v/>
      </c>
      <c r="EL127" s="252" t="str">
        <f t="shared" si="376"/>
        <v/>
      </c>
      <c r="EM127" s="252" t="str">
        <f t="shared" si="377"/>
        <v/>
      </c>
      <c r="EN127" s="252" t="str">
        <f t="shared" si="378"/>
        <v/>
      </c>
      <c r="EO127" s="252" t="str">
        <f t="shared" si="379"/>
        <v/>
      </c>
      <c r="EP127" s="252" t="str">
        <f t="shared" si="380"/>
        <v/>
      </c>
      <c r="EQ127" s="252" t="str">
        <f t="shared" si="381"/>
        <v/>
      </c>
      <c r="ER127" s="252" t="str">
        <f t="shared" si="382"/>
        <v/>
      </c>
      <c r="ES127" s="252" t="str">
        <f t="shared" si="383"/>
        <v/>
      </c>
      <c r="ET127" s="252" t="str">
        <f t="shared" si="384"/>
        <v/>
      </c>
      <c r="EU127" s="252" t="str">
        <f t="shared" si="385"/>
        <v/>
      </c>
      <c r="EV127" s="252" t="str">
        <f t="shared" si="386"/>
        <v/>
      </c>
      <c r="EW127" s="252" t="str">
        <f t="shared" si="387"/>
        <v/>
      </c>
      <c r="EX127" s="252" t="str">
        <f t="shared" si="388"/>
        <v/>
      </c>
      <c r="EY127" s="252" t="str">
        <f t="shared" si="389"/>
        <v/>
      </c>
      <c r="EZ127" s="252" t="str">
        <f t="shared" si="390"/>
        <v/>
      </c>
      <c r="FA127" s="252" t="str">
        <f t="shared" si="391"/>
        <v/>
      </c>
      <c r="FB127" s="252" t="str">
        <f t="shared" si="392"/>
        <v/>
      </c>
      <c r="FC127" s="252" t="str">
        <f>IF(CD127="ERROR", "ERROR", IF(OR(V127="No Change", V127="Not DLC or Energy Star"), "", IF(AND(OR($FC$6=Y127,Y127='Lookup Tables'!$AD$21, Y127='Lookup Tables'!$AD$22),E127="Interior"), S127, "")))</f>
        <v/>
      </c>
      <c r="FD127" s="252" t="str">
        <f t="shared" si="393"/>
        <v/>
      </c>
      <c r="FE127" s="101"/>
      <c r="FF127" s="579" t="str" cm="1">
        <f t="array" ref="FF127">IFERROR(IF(OR(BQ127&lt;=0,AQ127&lt;20,AND(V127="Exit Signs",AN127&gt;0)),"",IF(AND(AQ127&gt;=20,AN127='Lookup Tables'!$R$101),'Lookup Tables'!$U$101*BQ127,AP127*LOOKUP(2,1/((AN127='Lookup Tables'!$R$91:$R$111)*(AQ127&gt;='Lookup Tables'!$S$91:$S$111)*(AQ127&lt;='Lookup Tables'!$T$91:$T$111)),'Lookup Tables'!$U$91:$U$111))),"")</f>
        <v/>
      </c>
      <c r="FG127" s="579"/>
      <c r="FH127" s="579"/>
      <c r="FI127" s="253" t="str">
        <f>IFERROR(ROUND(IF(CD127="ERROR", "ERROR", IF(AND($FI$7=X127,E127="Interior"),VLOOKUP(W127, 'Lookup Tables'!$AI$6:$AM$102, 5, FALSE)*BP127, "")), 2), "")</f>
        <v/>
      </c>
      <c r="FJ127" s="253" t="str">
        <f>IFERROR(ROUND(IF(CD127="ERROR", "ERROR", IF(AND($FI$7=X127,E127="Exterior"),VLOOKUP(W127, 'Lookup Tables'!$AI$6:$AM$102, 5, FALSE)*BP127, "")), 2), "")</f>
        <v/>
      </c>
      <c r="FK127" s="253" t="str">
        <f>IFERROR(ROUND(IF(CD127="ERROR", "ERROR", IF(AND($FK$7=X127,E127="Interior"),VLOOKUP(W127, 'Lookup Tables'!$AI$6:$AM$102, 5, FALSE)*BP127, "")), 2), "")</f>
        <v/>
      </c>
      <c r="FL127" s="253" t="str">
        <f>IFERROR(ROUND(IF(CD127="ERROR", "ERROR", IF(AND($FK$7=X127,E127="Exterior"),VLOOKUP(W127, 'Lookup Tables'!$AI$6:$AM$102, 5, FALSE)*BP127, "")), 2), "")</f>
        <v/>
      </c>
      <c r="FM127" s="253" t="str">
        <f>IFERROR(ROUND(IF(CD127="ERROR", "ERROR", IF(AND($FM$6=Y127,E127="Interior"), IF(GB127=0, VLOOKUP(W127, 'Lookup Tables'!$AI$6:$AM$102, 5, FALSE)*BP127, IF(VLOOKUP(W127, 'Lookup Tables'!$AI$6:$AM$102, 5, FALSE)*BP127&gt;GB127*'Lighting Inventory'!S127, GB127*'Lighting Inventory'!S127,VLOOKUP(W127, 'Lookup Tables'!$AI$6:$AM$102, 5, FALSE)*BP127)), "")), 2), "")</f>
        <v/>
      </c>
      <c r="FN127" s="253" t="str">
        <f>IFERROR(ROUND(IF(CD127="ERROR", "ERROR", IF(AND($FM$6=Y127,E127="Exterior"), IF(GB127=0, VLOOKUP(W127, 'Lookup Tables'!$AI$6:$AM$102, 5, FALSE)*BP127, IF(VLOOKUP(W127, 'Lookup Tables'!$AI$6:$AM$102, 5, FALSE)*BP127&gt;GB127*'Lighting Inventory'!S127, GB127*'Lighting Inventory'!S127,VLOOKUP(W127, 'Lookup Tables'!$AI$6:$AM$102, 5, FALSE)*BP127)), "")), 2), "")</f>
        <v/>
      </c>
      <c r="FO127" s="253" t="str">
        <f>IFERROR(ROUND(IF(CD127="ERROR", "ERROR", IF(AND($FO$6=Y127,E127="Interior"),VLOOKUP(W127, 'Lookup Tables'!$AI$6:$AM$102, 5, FALSE)*'Lighting Inventory'!AI127, "")), 2), "")</f>
        <v/>
      </c>
      <c r="FP127" s="253" t="str">
        <f>IFERROR(ROUND(IF(CD127="ERROR", "ERROR", IF(AND($FO$6=Y127,E127="Exterior"),VLOOKUP(W127, 'Lookup Tables'!$AI$6:$AM$102, 5, FALSE)*'Lighting Inventory'!AI127, "")), 2), "")</f>
        <v/>
      </c>
      <c r="FQ127" s="253" t="str">
        <f>IFERROR(ROUND(IF(CD127="ERROR", "ERROR", IF(AND($FQ$6=Y127,E127="Interior", BU127="Y"), VLOOKUP('Lighting Inventory'!W127, 'Lookup Tables'!$AI$6:$AM$102, 5, FALSE)*'Lighting Inventory'!S127, IF(AND($FQ$7=Y127,E127="Interior", BU127="N"), 0.025*CD127, ""))), 2), "")</f>
        <v/>
      </c>
      <c r="FR127" s="253" t="str">
        <f>IFERROR(ROUND(IF(CD127="ERROR", "ERROR", IF(AND($FQ$6=Y127,E127="Exterior"), VLOOKUP('Lighting Inventory'!W127, 'Lookup Tables'!$AI$6:$AM$102, 5, FALSE)*'Lighting Inventory'!S127, "")), 2), "")</f>
        <v/>
      </c>
      <c r="FS127" s="253" t="str">
        <f>IFERROR(ROUND(IF(CD127="ERROR", "ERROR", IF(AND($FS$6=Y127,E127="Exterior"), IF(GB127=0, VLOOKUP(W127, 'Lookup Tables'!$AI$6:$AM$102, 5, FALSE)*BP127, IF(VLOOKUP(W127, 'Lookup Tables'!$AI$6:$AM$102, 5, FALSE)*BP127&gt;GB127*'Lighting Inventory'!S127, GB127*'Lighting Inventory'!S127,VLOOKUP(W127, 'Lookup Tables'!$AI$6:$AM$102, 5, FALSE)*BP127)), "")), 2), "")</f>
        <v/>
      </c>
      <c r="FT127" s="253" t="str">
        <f>IFERROR(ROUND(IF(CD127="ERROR", "ERROR", IF(AND($FT$6=Y127,E127="Interior"), IF(GB127=0, VLOOKUP(W127, 'Lookup Tables'!$AI$6:$AM$102, 5, FALSE)*BP127, IF(VLOOKUP(W127, 'Lookup Tables'!$AI$6:$AM$102, 5, FALSE)*BP127&gt;GB127*'Lighting Inventory'!S127, GB127*'Lighting Inventory'!S127,VLOOKUP(W127, 'Lookup Tables'!$AI$6:$AM$102, 5, FALSE)*BP127)), "")), 2), "")</f>
        <v/>
      </c>
      <c r="FU127" s="253" t="str">
        <f>IFERROR(ROUND(IF(CD127="ERROR", "ERROR", IF(AND(Y127=$FU$6, E127="Interior"), IF(BS127="N", 'Lookup Tables'!$AM$101*BP127, VLOOKUP(W127, 'Lookup Tables'!$AI$6:$AM$102, 5, FALSE)*S127*AD127), "")), 2), "")</f>
        <v/>
      </c>
      <c r="FV127" s="253" t="str">
        <f>IFERROR(ROUND(IF(CD127="ERROR", "ERROR", IF(AND(Y127=$FU$6, E127="Exterior"), IF(BS127="N", 'Lookup Tables'!$AM$101*BP127, VLOOKUP(W127, 'Lookup Tables'!$AI$6:$AM$102, 5, FALSE)*S127*AD127), "")), 2), "")</f>
        <v/>
      </c>
      <c r="FW127" s="253" t="str">
        <f>IFERROR(ROUND(IF(CD127="ERROR", "ERROR", IF($FW$6=Y127, IF(BS127="N", 'Lookup Tables'!$AM$101*BP127, MIN((VLOOKUP(W127, 'Lookup Tables'!$AI$6:$AM$102, 5, FALSE)*BP127),GB127*AJ127)), "")), 2), "")</f>
        <v/>
      </c>
      <c r="FX127" s="253" t="str">
        <f>IFERROR(ROUND(IF(CD127="ERROR", "ERROR", IF(AND($FX$6=Y127, E127="Interior"), IF(VLOOKUP(W127, 'Lookup Tables'!$AI$6:$AM$102, 5, FALSE)*BP127&gt;'Lookup Tables'!$AQ$97*'Lighting Inventory'!S127,'Lighting Inventory'!S127*'Lookup Tables'!$AQ$97,VLOOKUP(W127, 'Lookup Tables'!$AI$6:$AM$102, 5, FALSE)*BP127), "")), 2), "")</f>
        <v/>
      </c>
      <c r="FY127" s="253" t="str">
        <f>IFERROR(ROUND(IF(CD127="ERROR", "ERROR", IF(AND($FX$6=Y127, E127="Exterior"), IF(VLOOKUP(W127, 'Lookup Tables'!$AI$6:$AM$102, 5, FALSE)*BP127&gt;'Lookup Tables'!$AQ$97*'Lighting Inventory'!S127,'Lighting Inventory'!S127*'Lookup Tables'!$AQ$97,VLOOKUP(W127, 'Lookup Tables'!$AI$6:$AM$102, 5, FALSE)*BP127), "")), 2), "")</f>
        <v/>
      </c>
      <c r="FZ127" s="253" t="str">
        <f>IFERROR(ROUND(IF(CD127="ERROR", "ERROR", IF(AND($FZ$6=Y127, E127="Interior"), IF(AND(OR(W127="Refrigerated Case Lighting with Doors", W127="Freezer Case Lighting"),Y127="Custom - Process Improvement"),CD127*'Lookup Tables'!$AM$101, IF(B127="Retrofit", IF(VLOOKUP(IF(V127="Custom", V127, W127), 'Lookup Tables'!$AI$6:$AM$102, 5, FALSE)*BP127&gt;GE127, GE127, VLOOKUP(IF(V127="Custom", V127, W127), 'Lookup Tables'!$AI$6:$AM$102, 5, FALSE)*BP127), IF(VLOOKUP(IF(V127="Custom", V127, W127), 'Lookup Tables'!$AI$114:$AM$154, 5, FALSE)*BP127&gt;GE127, GE127, VLOOKUP(IF(V127="Custom", V127, W127), 'Lookup Tables'!$AI$114:$AM$154, 5, FALSE)*BP127))), "")), 2),"")</f>
        <v/>
      </c>
      <c r="GA127" s="253" t="str">
        <f>IFERROR(ROUND(IF(CD127="ERROR", "ERROR", IF(AND($FZ$6=Y127, E127="Exterior"), IF(B127="Retrofit", IF(VLOOKUP(IF(V127="Custom", V127, W127), 'Lookup Tables'!$AI$6:$AM$102, 5, FALSE)*BP127&gt;GE127, GE127, VLOOKUP(IF(V127="Custom", V127, W127), 'Lookup Tables'!$AI$6:$AM$102, 5, FALSE)*BP127), IF(VLOOKUP(IF(V127="Custom", V127, W127), 'Lookup Tables'!$AI$114:$AM$154, 5, FALSE)*BP127&gt;GE127, GE127, VLOOKUP(IF(V127="Custom", V127, W127), 'Lookup Tables'!$AI$114:$AM$154, 5, FALSE)*BP127)), "")), 2),"")</f>
        <v/>
      </c>
      <c r="GB127" s="254" t="str">
        <f t="array" ref="GB127">IF(B127="","",IF(OR(V127="Custom",V127="No Change"),0,IF(B127="Retrofit", INDEX('Lookup Tables'!$AH$6:$AQ$102,MATCH(1,('Lookup Tables'!$AH$6:$AH$102='Lighting Inventory'!V127)*('Lookup Tables'!$AI$6:$AI$102='Lighting Inventory'!W127),FALSE),10),INDEX('Lookup Tables'!$AH$114:$AQ$154,MATCH(1,('Lookup Tables'!$AH$114:$AH$154='Lighting Inventory'!V127)*('Lookup Tables'!$AI$114:$AI$154='Lighting Inventory'!W127),FALSE),10))))</f>
        <v/>
      </c>
      <c r="GC127" s="255" t="str">
        <f t="shared" si="344"/>
        <v/>
      </c>
      <c r="GD127" s="250" t="str">
        <f t="shared" si="345"/>
        <v/>
      </c>
      <c r="GE127" s="253" t="str">
        <f>IFERROR(IF(AND(AF127="", 'General Information'!$F$18="No"),"", IF(AF127="", ((GD127/$CD$266)*$CF$266)*0.5, AF127*S127*0.5)), "")</f>
        <v/>
      </c>
      <c r="GF127" s="255" t="str">
        <f>IF(AND('General Information'!$F$19="", 'General Information'!$F$18="Yes",AF127="",BW127="Y"), "Y", "N")</f>
        <v>N</v>
      </c>
      <c r="GG127" s="255" t="s">
        <v>2946</v>
      </c>
      <c r="GH127" s="255" t="str">
        <f>IFERROR(IF(B127="", "", VLOOKUP(J127, 'Fixture Identities'!$A$6:$N$908, 14, FALSE)), "")</f>
        <v/>
      </c>
      <c r="GI127" s="389" t="str">
        <f>IF(OR(B127="", V127="", W127=""), "", IF(AND(OR(M127='Lookup Tables'!$R$18, M127='Lookup Tables'!$R$19, M127='Lookup Tables'!$R$20, M127='Lookup Tables'!$R$21, M127='Lookup Tables'!$R$22), OR(AN127='Lookup Tables'!$R$17, AN127='Lookup Tables'!$R$17, AN127="")), "Y", "N"))</f>
        <v/>
      </c>
      <c r="GJ127" s="255" t="str">
        <f t="shared" si="346"/>
        <v/>
      </c>
      <c r="GK127" s="255" t="str">
        <f t="shared" si="347"/>
        <v/>
      </c>
      <c r="GL127" s="255" t="str">
        <f t="shared" si="348"/>
        <v/>
      </c>
      <c r="GM127" s="255" t="str">
        <f>IF(AN127="", "", IF(AND(IF(ISNA(VLOOKUP(AN127,'Lookup Tables'!$R$18:$R$22,1,FALSE)), "N", "Y")="Y", E127="Exterior"), "Y", "N"))</f>
        <v/>
      </c>
      <c r="GN127" s="395"/>
      <c r="GO127" s="428">
        <f t="shared" si="394"/>
        <v>0</v>
      </c>
      <c r="GP127" s="428">
        <f t="shared" si="397"/>
        <v>0</v>
      </c>
      <c r="GQ127" s="428">
        <f t="shared" si="395"/>
        <v>0</v>
      </c>
      <c r="GR127" s="428">
        <f t="shared" si="396"/>
        <v>0</v>
      </c>
    </row>
    <row r="128" spans="1:200" s="103" customFormat="1" ht="13.5" customHeight="1" x14ac:dyDescent="0.2">
      <c r="A128" s="272">
        <v>118</v>
      </c>
      <c r="B128" s="110"/>
      <c r="C128" s="110"/>
      <c r="D128" s="110"/>
      <c r="E128" s="110"/>
      <c r="F128" s="110"/>
      <c r="G128" s="110"/>
      <c r="H128" s="110"/>
      <c r="I128" s="29"/>
      <c r="J128" s="29"/>
      <c r="K128" s="272" t="str">
        <f>IFERROR(IF(OR(VLOOKUP(J128, 'Fixture Identities'!$A$6:$L$1023, 3, FALSE)="T12 Linear Fluorescent", VLOOKUP(J128, 'Fixture Identities'!$A$6:$L$1023, 3, FALSE)="T12 U-Tube Fluorescent"), VLOOKUP(VLOOKUP(J128, 'Fixture Identities'!$A$6:$L$1023, 11, FALSE), 'Fixture Identities'!$A$6:$L$1023, 10, FALSE), VLOOKUP(J128, 'Fixture Identities'!$A$6:$L$1023, 10, FALSE)), "")</f>
        <v/>
      </c>
      <c r="L128" s="270" t="str">
        <f t="shared" si="399"/>
        <v/>
      </c>
      <c r="M128" s="110"/>
      <c r="N128" s="110"/>
      <c r="O128" s="110"/>
      <c r="P128" s="272" t="str">
        <f>IFERROR(IF(OR(B128="Retrofit",B128=""),"",IF('Lighting Inventory'!E128="Exterior",VLOOKUP('Lighting Inventory'!N128,'Lookup Tables'!$B$83:$F$103,5,FALSE),IF(N128="Other - Please Estimate EFLH and CFs","Contact Prog. Rep.","ft^2"))), "")</f>
        <v/>
      </c>
      <c r="Q128" s="270" t="str">
        <f>IFERROR(IF(AND(B128="New Construction",E128="Interior",$F$5="Space-by-Space"),VLOOKUP('Lighting Inventory'!N128,'Lookup Tables'!$N$6:$O$97,2,FALSE),IF(AND(B128="New Construction",E128="Exterior"),VLOOKUP(N128,'Lookup Tables'!$B$83:$F$103,2,FALSE),IF(AND(B128="New Construction",'Lighting Inventory'!E128="Interior", $F$5="Building Area"),VLOOKUP(F128,'Lookup Tables'!$A$6:$J$59,10,FALSE),""))), "")</f>
        <v/>
      </c>
      <c r="R128" s="270" t="str">
        <f>IFERROR(IF(P128="Contact Prog. Rep.", "ERROR", IF(OR(B128="",B128="Retrofit"),"",IF(N128="Automated teller machines", ('Lookup Tables'!$A$82:$E$100+('Lighting Inventory'!O128-1)*'Lookup Tables'!$A$82:$E$100)/1000, (Q128*O128)/1000))), "")</f>
        <v/>
      </c>
      <c r="S128" s="595"/>
      <c r="T128" s="105" t="str">
        <f t="shared" si="349"/>
        <v/>
      </c>
      <c r="U128" s="105" t="str">
        <f>IF(S128="","",COUNT($S$11:S128))</f>
        <v/>
      </c>
      <c r="V128" s="111"/>
      <c r="W128" s="112"/>
      <c r="X128" s="105" t="str">
        <f t="shared" si="350"/>
        <v/>
      </c>
      <c r="Y128" s="105" t="str">
        <f t="array" ref="Y128">IF(AND(OR(W128="Freezer Case Lighting", W128="Refrigerated Case Lighting with Doors"), 'General Information'!$X$18="LCI"),'Lookup Tables'!$Y$34, IF(V128="Custom", VLOOKUP(W128, 'Fixture Identities'!$A$974:$M$1023, 13, FALSE), IF(V128="No Change",'Lookup Tables'!$Y$29,IF(OR(V128="",W128=""),"",IF(AND(S128=0,S128&lt;I128,B128="Retrofit"),'Lookup Tables'!$Y$25, IF(B128="Retrofit", INDEX('Lookup Tables'!$AH$6:$AP$102, MATCH(1, ('Lookup Tables'!$AH$6:$AH$102=V128)*('Lookup Tables'!$AI$6:$AI$102=W128), 0), IF('Lighting Inventory'!E128="Interior", 4, 5)), INDEX('Lookup Tables'!$AH$114:$AP$154, MATCH(1, ('Lookup Tables'!$AH$114:$AH$154=V128)*('Lookup Tables'!$AI$114:$AI$154=W128), 0), IF('Lighting Inventory'!E128="Interior", 4, 5))))))))</f>
        <v/>
      </c>
      <c r="Z128" s="105" t="str">
        <f>IFERROR(INDEX('Lookup Tables'!$AH$158:$AH$172,MATCH('Lighting Inventory'!Y128,'Lookup Tables'!$AI$158:$AI$172,0)),"")</f>
        <v/>
      </c>
      <c r="AA128" s="105" t="str">
        <f>IF(AP128&gt;0,INDEX('Lookup Tables'!$AK$158:$AK$172,MATCH('Lighting Inventory'!Y128,'Lookup Tables'!$AI$158:$AI$172,0)),'Lighting Inventory'!Y128)</f>
        <v/>
      </c>
      <c r="AB128" s="105" t="str">
        <f t="array" ref="AB128">IF(V128="Custom", "Custom", IF(V128="", "", IF(V128="Not DLC or Energy Star", "General", IF(B128="New Construction", INDEX('Lookup Tables'!$AH$114:$AP$154,MATCH(1,('Lookup Tables'!$AH$114:$AH$154='Lighting Inventory'!V128)*('Lookup Tables'!$AI$114:$AI$154='Lighting Inventory'!W128),FALSE),8), INDEX('Lookup Tables'!$AH$6:$AP$102,MATCH(1,('Lookup Tables'!$AH$6:$AH$102='Lighting Inventory'!V128)*('Lookup Tables'!$AI$6:$AI$102='Lighting Inventory'!W128),FALSE),8)))))</f>
        <v/>
      </c>
      <c r="AC128" s="272" t="str">
        <f>IF(W128="","",IF(V128="Custom",CONCATENATE("$",'Lookup Tables'!$AM$101," ",'Lookup Tables'!$AN$101),CONCATENATE("$",INDEX('Lookup Tables'!$AM$6:$AM$102,MATCH('Lighting Inventory'!W128,'Lookup Tables'!$AI$6:$AI$102,0))," ",INDEX('Lookup Tables'!$AN$6:$AN$102,MATCH('Lighting Inventory'!W128,'Lookup Tables'!$AI$6:$AI$102,0)))))</f>
        <v/>
      </c>
      <c r="AD128" s="72"/>
      <c r="AE128" s="29"/>
      <c r="AF128" s="379"/>
      <c r="AG128" s="370" t="str">
        <f t="shared" si="298"/>
        <v/>
      </c>
      <c r="AH128" s="370" t="str">
        <f t="shared" si="351"/>
        <v/>
      </c>
      <c r="AI128" s="29"/>
      <c r="AJ128" s="29"/>
      <c r="AK128" s="110"/>
      <c r="AL128" s="375" t="str">
        <f>IF(OR(B128="", V128="", W128=""), "", IF(V128="No Change", K128, IF(V128="Remove Fixture", 0, IF(V128="Custom",VLOOKUP(W128,'Fixture Identities'!$A$6:$K$1023,10,FALSE),IF(AE128="", "← ENTER POST WATTS", 'Lighting Inventory'!AE128)))))</f>
        <v/>
      </c>
      <c r="AM128" s="376" t="str">
        <f t="shared" si="299"/>
        <v/>
      </c>
      <c r="AN128" s="29"/>
      <c r="AO128" s="671"/>
      <c r="AP128" s="29"/>
      <c r="AQ128" s="29"/>
      <c r="AR128" s="29"/>
      <c r="AS128" s="272" t="str">
        <f t="shared" si="352"/>
        <v/>
      </c>
      <c r="AT128" s="270" t="str">
        <f t="shared" si="300"/>
        <v/>
      </c>
      <c r="AU128" s="88" t="str">
        <f t="shared" si="400"/>
        <v/>
      </c>
      <c r="AV128" s="29"/>
      <c r="AW128" s="73"/>
      <c r="AX128" s="271" t="str">
        <f>IF(AND(AV128="Applicant",OR(AW128="", AW128="Use Default Facility Hours")),"← Choose Schedule",IF(F128="","",IF(W128="LED Exit Signs",8760,IF(OR(AV128="Prescribed",AV128=""),VLOOKUP(F128,'Lookup Tables'!$A$6:$G$59,IF(AB128="General", 6, 3),FALSE),VLOOKUP(AW128,'Lookup Tables'!$S$36:$U$43,2,FALSE)))))</f>
        <v/>
      </c>
      <c r="AY128" s="88" t="str">
        <f t="shared" si="301"/>
        <v/>
      </c>
      <c r="AZ128" s="270" t="str">
        <f>IFERROR(IF(F128="", "", IF(W128="LED Exit Signs", 1, IF(AV128="Applicant",VLOOKUP(AW128, 'Lookup Tables'!$S$36:$U$43,3, FALSE), VLOOKUP('Lighting Inventory'!F128, 'Lookup Tables'!$A$6:$H$59, IF('Lighting Inventory'!AB128="General",7,4), FALSE)))), "")</f>
        <v/>
      </c>
      <c r="BA128" s="522" t="str">
        <f>IFERROR(IF(F128="", "", IF(W128="LED Exit Signs", 1, VLOOKUP('Lighting Inventory'!F128, 'Lookup Tables'!$A$6:$H$59, IF('Lighting Inventory'!AB128="General",8,5), FALSE))), "")</f>
        <v/>
      </c>
      <c r="BB128" s="270" t="str">
        <f>IF(G128="", "", IF(E128="Exterior", 0, IF('Lighting Inventory'!G128="Air Conditioned", VLOOKUP(H128, 'Lookup Tables'!$R$6:$T$13, 2, FALSE), VLOOKUP('Lighting Inventory'!G128, 'Lookup Tables'!$R$6:$T$13, 2, FALSE))))</f>
        <v/>
      </c>
      <c r="BC128" s="522" t="str">
        <f>IF(G128="", "", IF(E128="Exterior", 0, IF('Lighting Inventory'!G128="Air Conditioned", VLOOKUP(H128, 'Lookup Tables'!$R$6:$T$13, 3, FALSE), VLOOKUP('Lighting Inventory'!G128, 'Lookup Tables'!$R$6:$T$13, 3, FALSE))))</f>
        <v/>
      </c>
      <c r="BD128" s="270" t="str">
        <f>IF(G128="", "", IF(E128="Exterior", 0, IF('Lighting Inventory'!G128="Air Conditioned", VLOOKUP(H128, 'Lookup Tables'!$R$6:$U$13, 4, FALSE), VLOOKUP('Lighting Inventory'!G128, 'Lookup Tables'!$R$6:$U$13, 4, FALSE))))</f>
        <v/>
      </c>
      <c r="BE128" s="270" t="str">
        <f>IFERROR(IF(B128="", "",  IF(B128="New Construction", VLOOKUP(F128, 'Lookup Tables'!$A$6:$K$59, 11, FALSE),IF(OR(AN128="", AN128="Light Switch"), 0, IF(OR(M128="",M128="None",V128= "LED Exit Signs"),0,_xlfn.XLOOKUP(M128,'Lookup Tables'!$R$91:$R$101,'Lookup Tables'!$V$91:$V$101))))), "")</f>
        <v/>
      </c>
      <c r="BF128" s="270" t="str">
        <f>IF(AND(OR(AN128="Light Switch",AN128=""),B128="New Construction"), VLOOKUP(F128, 'Lookup Tables'!$A$6:$K$59, 11, FALSE),IF(AN128="","",IF(B128="","",IF(OR(AN128="None",AN128="",V128="LED Exit Signs",AN128="Exterior Controls Not Eligible"),0,_xlfn.XLOOKUP(AN128,'Lookup Tables'!$R$91:$R$101,'Lookup Tables'!$V$91:$V$101)))))</f>
        <v/>
      </c>
      <c r="BG128" s="88" t="str">
        <f t="shared" si="353"/>
        <v/>
      </c>
      <c r="BH128" s="88" t="str">
        <f t="shared" si="354"/>
        <v/>
      </c>
      <c r="BI128" s="558" t="str">
        <f t="shared" si="398"/>
        <v/>
      </c>
      <c r="BJ128" s="82" t="str">
        <f t="shared" si="355"/>
        <v/>
      </c>
      <c r="BK128" s="82" t="str">
        <f t="shared" si="356"/>
        <v/>
      </c>
      <c r="BL128" s="559" t="str">
        <f t="shared" si="357"/>
        <v/>
      </c>
      <c r="BM128" s="521" t="str">
        <f t="shared" si="302"/>
        <v/>
      </c>
      <c r="BN128" s="521" t="str">
        <f t="shared" si="303"/>
        <v/>
      </c>
      <c r="BO128" s="522" t="str">
        <f t="shared" si="304"/>
        <v/>
      </c>
      <c r="BP128" s="83" t="str">
        <f t="shared" si="358"/>
        <v/>
      </c>
      <c r="BQ128" s="84" t="str">
        <f t="shared" si="359"/>
        <v/>
      </c>
      <c r="BR128" s="184" t="str">
        <f>IFERROR(IF(B128="", "", IF(OR(VLOOKUP(J128, 'Fixture Identities'!$A$6:$L$1023, 3, FALSE)="T12 Linear Fluorescent",VLOOKUP(J128, 'Fixture Identities'!$A$6:$L$1023, 3, FALSE)="T12 U-Tube Fluorescent"), "Y", "N")), "N")</f>
        <v/>
      </c>
      <c r="BS128" s="184" t="str">
        <f t="array" ref="BS128">IFERROR(IF(OR(B128="", V128="", W128=""), "", IF(V128="Custom", "N", IF(OR(W128="Freezer Case Lighting", W128="Refrigerated Case Lighting with Doors"), BT128, IF(B128="Retrofit", INDEX('Lookup Tables'!$AH$6:$AT$102,MATCH(1,('Lookup Tables'!$AH$6:$AH$102=V128)*('Lookup Tables'!$AI$6:$AI$102=W128),FALSE),IF(VLOOKUP(J128, 'Fixture Identities'!$A$6:$B$1023, 2, FALSE)="Incandescent",12, 13)), INDEX('Lookup Tables'!$AH$114:$AS$154,MATCH(1,('Lookup Tables'!$AH$114:$AH$154=V128)*('Lookup Tables'!$AI$114:$AI$154=W128),FALSE),12))))), "N")</f>
        <v/>
      </c>
      <c r="BT128" s="184" t="str">
        <f>IF(J128="", "", IF(AND(OR(W128="Freezer case Lighting", W128="Refrigerated Case Lighting with Doors"),'General Information'!$X$18="LCI"), "N", IF(OR(VLOOKUP(J128, 'Fixture Identities'!$A$6:$B$1023, 2, FALSE)="T12 EPACT/EISA Baseline", VLOOKUP(J128, 'Fixture Identities'!$A$6:$B$1023, 2, FALSE)="Linear Fluorescent", VLOOKUP(J128, 'Fixture Identities'!$A$6:$B$1023, 2, FALSE)="U-Tube Fluorescent"), "Y", "N")))</f>
        <v/>
      </c>
      <c r="BU128" s="184" t="str">
        <f>IFERROR(IF(B128="", "", IF(VLOOKUP(J128, 'Fixture Identities'!$A$6:$B$1023, 2, FALSE)="Exit Sign", "Y", "N")), "N")</f>
        <v/>
      </c>
      <c r="BV128" s="184" t="str">
        <f>IF(V128="Exit Signs", IF(VLOOKUP(J128, 'Fixture Identities'!$A$6:$B$1023, 2, FALSE)="Exit Sign", "N", "Y"), "")</f>
        <v/>
      </c>
      <c r="BW128" s="184" t="str">
        <f t="array" ref="BW128">IFERROR(IF(B128="", "", IF(B128="New Construction", "N", INDEX('Lookup Tables'!$AH$6:$AU$102, MATCH(1, ('Lookup Tables'!$AH$6:$AH$102='Lighting Inventory'!V128)*('Lookup Tables'!$AI$6:$AI$102='Lighting Inventory'!W128), 0), 14))), "N")</f>
        <v/>
      </c>
      <c r="BX128" s="598" t="str">
        <f t="shared" si="360"/>
        <v/>
      </c>
      <c r="BY128" s="598" t="str">
        <f t="shared" si="361"/>
        <v/>
      </c>
      <c r="BZ128" s="598" t="str">
        <f t="shared" si="362"/>
        <v/>
      </c>
      <c r="CA128" s="598" t="str">
        <f t="shared" si="363"/>
        <v/>
      </c>
      <c r="CB128" s="269" t="str">
        <f t="shared" si="364"/>
        <v/>
      </c>
      <c r="CC128" s="517" t="str">
        <f t="shared" si="365"/>
        <v/>
      </c>
      <c r="CD128" s="565" t="str">
        <f t="shared" si="305"/>
        <v/>
      </c>
      <c r="CE128" s="368">
        <v>0</v>
      </c>
      <c r="CF128" s="368" t="str" cm="1">
        <f t="array" ref="CF128">IFERROR(IF(V128="Custom", "$0.1 per kWh", IF(B128="New Construction", CONCATENATE("$",INDEX('Lookup Tables'!$AH$114:$AN$154,MATCH(1,('Lookup Tables'!$AH$114:$AH$154='Lighting Inventory'!V128)*('Lookup Tables'!$AI$114:$AI$154='Lighting Inventory'!W128),FALSE),6)," ",INDEX('Lookup Tables'!$AH$114:$AN$154,MATCH(1,('Lookup Tables'!$AH$114:$AH$154='Lighting Inventory'!V128)*('Lookup Tables'!$AI$114:$AI$154='Lighting Inventory'!W128),FALSE),7)), IF(AND(BU128="N", V128="Exit Signs"), "$0.025 per kWh", CONCATENATE("$",INDEX('Lookup Tables'!$AH$6:$AN$102,MATCH(1,('Lookup Tables'!$AH$6:$AH$102='Lighting Inventory'!V128)*('Lookup Tables'!$AI$6:$AI$102='Lighting Inventory'!W128),FALSE),6)," ",INDEX('Lookup Tables'!$AH$6:$AN$102,MATCH(1,('Lookup Tables'!$AH$6:$AH$102='Lighting Inventory'!V128)*('Lookup Tables'!$AI$6:$AI$102='Lighting Inventory'!W128),FALSE),7))))), "")</f>
        <v/>
      </c>
      <c r="CG128" s="366"/>
      <c r="CH128" s="248" t="str">
        <f t="shared" si="306"/>
        <v/>
      </c>
      <c r="CI128" s="248" t="str">
        <f t="shared" si="307"/>
        <v>Select_IE</v>
      </c>
      <c r="CJ128" s="248" t="str">
        <f t="shared" si="308"/>
        <v/>
      </c>
      <c r="CK128" s="248" t="str">
        <f t="shared" si="309"/>
        <v/>
      </c>
      <c r="CL128" s="248" t="str">
        <f t="shared" si="310"/>
        <v/>
      </c>
      <c r="CM128" s="248" t="str">
        <f>IFERROR(IF(B128="", "", IF(B128="New Construction", VLOOKUP(V128, 'Lookup Tables'!$AF$114:$AG$120, 2, FALSE), VLOOKUP(V128, 'Lookup Tables'!$AD$6:$AE$25, 2, FALSE))), "")</f>
        <v/>
      </c>
      <c r="CN128" s="248" t="str">
        <f t="shared" si="311"/>
        <v/>
      </c>
      <c r="CO128" s="248" t="str">
        <f t="shared" si="312"/>
        <v/>
      </c>
      <c r="CP128" s="592" t="str">
        <f t="shared" si="313"/>
        <v/>
      </c>
      <c r="CQ128" s="248" t="str">
        <f t="shared" si="366"/>
        <v/>
      </c>
      <c r="CR128" s="100"/>
      <c r="CS128" s="250" t="str">
        <f t="shared" si="314"/>
        <v/>
      </c>
      <c r="CT128" s="250" t="str">
        <f t="shared" si="367"/>
        <v/>
      </c>
      <c r="CU128" s="250" t="str">
        <f t="shared" si="368"/>
        <v/>
      </c>
      <c r="CV128" s="250" t="str">
        <f t="shared" si="369"/>
        <v/>
      </c>
      <c r="CW128" s="250" t="str">
        <f t="shared" si="370"/>
        <v/>
      </c>
      <c r="CX128" s="250" t="str">
        <f t="shared" si="315"/>
        <v/>
      </c>
      <c r="CY128" s="250" t="str">
        <f t="shared" si="316"/>
        <v/>
      </c>
      <c r="CZ128" s="250" t="str">
        <f t="shared" si="317"/>
        <v/>
      </c>
      <c r="DA128" s="250" t="str">
        <f t="shared" si="318"/>
        <v/>
      </c>
      <c r="DB128" s="250" t="str">
        <f t="shared" si="319"/>
        <v/>
      </c>
      <c r="DC128" s="250" t="str">
        <f t="shared" si="320"/>
        <v/>
      </c>
      <c r="DD128" s="250" t="str">
        <f t="shared" si="321"/>
        <v/>
      </c>
      <c r="DE128" s="250" t="str">
        <f t="shared" si="322"/>
        <v/>
      </c>
      <c r="DF128" s="250" t="str">
        <f t="shared" si="323"/>
        <v/>
      </c>
      <c r="DG128" s="250" t="str">
        <f t="shared" si="324"/>
        <v/>
      </c>
      <c r="DH128" s="250" t="str">
        <f t="shared" si="325"/>
        <v/>
      </c>
      <c r="DI128" s="250" t="str">
        <f t="shared" si="326"/>
        <v/>
      </c>
      <c r="DJ128" s="250" t="str">
        <f t="shared" si="327"/>
        <v/>
      </c>
      <c r="DK128" s="250" t="str">
        <f t="shared" si="328"/>
        <v/>
      </c>
      <c r="DL128" s="250" t="str">
        <f t="shared" si="329"/>
        <v/>
      </c>
      <c r="DM128" s="250" t="str">
        <f>IF(CD128="ERROR", "ERROR", IF(AND(OR(Y128=$DM$6, Y128='Lookup Tables'!$AD$21, Y128='Lookup Tables'!$AD$22), E128="Interior"), BJ128, ""))</f>
        <v/>
      </c>
      <c r="DN128" s="250" t="str">
        <f>IF(CD128="ERROR", "ERROR", IF(AND(OR(Y128=$DM$6, Y128='Lookup Tables'!$AD$21, Y128='Lookup Tables'!$AD$22), E128="Exterior"), BJ128, ""))</f>
        <v/>
      </c>
      <c r="DO128" s="100"/>
      <c r="DP128" s="250" t="str">
        <f t="shared" si="330"/>
        <v/>
      </c>
      <c r="DQ128" s="250" t="str">
        <f t="shared" si="371"/>
        <v/>
      </c>
      <c r="DR128" s="250" t="str">
        <f t="shared" si="372"/>
        <v/>
      </c>
      <c r="DS128" s="250" t="str">
        <f t="shared" si="373"/>
        <v/>
      </c>
      <c r="DT128" s="250" t="str">
        <f t="shared" si="374"/>
        <v/>
      </c>
      <c r="DU128" s="250" t="str">
        <f t="shared" si="331"/>
        <v/>
      </c>
      <c r="DV128" s="250" t="str">
        <f t="shared" si="332"/>
        <v/>
      </c>
      <c r="DW128" s="250" t="str">
        <f t="shared" si="333"/>
        <v/>
      </c>
      <c r="DX128" s="250" t="str">
        <f t="shared" si="334"/>
        <v/>
      </c>
      <c r="DY128" s="250" t="str">
        <f t="shared" si="335"/>
        <v/>
      </c>
      <c r="DZ128" s="250" t="str">
        <f t="shared" si="336"/>
        <v/>
      </c>
      <c r="EA128" s="250" t="str">
        <f t="shared" si="337"/>
        <v/>
      </c>
      <c r="EB128" s="250" t="str">
        <f t="shared" si="375"/>
        <v/>
      </c>
      <c r="EC128" s="250" t="str">
        <f t="shared" si="338"/>
        <v/>
      </c>
      <c r="ED128" s="250" t="str">
        <f t="shared" si="339"/>
        <v/>
      </c>
      <c r="EE128" s="250" t="str">
        <f t="shared" si="340"/>
        <v/>
      </c>
      <c r="EF128" s="250" t="str">
        <f t="shared" si="341"/>
        <v/>
      </c>
      <c r="EG128" s="250" t="str">
        <f t="shared" si="342"/>
        <v/>
      </c>
      <c r="EH128" s="250" t="str">
        <f>IF(CD128="ERROR", "ERROR", IF(AND(OR($EH$6=Y128, Y128='Lookup Tables'!$AD$21, Y128='Lookup Tables'!$AD$22),E128="Interior"), SUM(BP128:BP128), ""))</f>
        <v/>
      </c>
      <c r="EI128" s="250" t="str">
        <f>IF(CD128="ERROR", "ERROR", IF(AND(OR($EH$6=Y128, Y128='Lookup Tables'!$AD$21, Y128='Lookup Tables'!$AD$22),E128="Exterior"), SUM(BP128:BP128), ""))</f>
        <v/>
      </c>
      <c r="EJ128" s="109"/>
      <c r="EK128" s="485" t="str">
        <f t="shared" si="343"/>
        <v/>
      </c>
      <c r="EL128" s="252" t="str">
        <f t="shared" si="376"/>
        <v/>
      </c>
      <c r="EM128" s="252" t="str">
        <f t="shared" si="377"/>
        <v/>
      </c>
      <c r="EN128" s="252" t="str">
        <f t="shared" si="378"/>
        <v/>
      </c>
      <c r="EO128" s="252" t="str">
        <f t="shared" si="379"/>
        <v/>
      </c>
      <c r="EP128" s="252" t="str">
        <f t="shared" si="380"/>
        <v/>
      </c>
      <c r="EQ128" s="252" t="str">
        <f t="shared" si="381"/>
        <v/>
      </c>
      <c r="ER128" s="252" t="str">
        <f t="shared" si="382"/>
        <v/>
      </c>
      <c r="ES128" s="252" t="str">
        <f t="shared" si="383"/>
        <v/>
      </c>
      <c r="ET128" s="252" t="str">
        <f t="shared" si="384"/>
        <v/>
      </c>
      <c r="EU128" s="252" t="str">
        <f t="shared" si="385"/>
        <v/>
      </c>
      <c r="EV128" s="252" t="str">
        <f t="shared" si="386"/>
        <v/>
      </c>
      <c r="EW128" s="252" t="str">
        <f t="shared" si="387"/>
        <v/>
      </c>
      <c r="EX128" s="252" t="str">
        <f t="shared" si="388"/>
        <v/>
      </c>
      <c r="EY128" s="252" t="str">
        <f t="shared" si="389"/>
        <v/>
      </c>
      <c r="EZ128" s="252" t="str">
        <f t="shared" si="390"/>
        <v/>
      </c>
      <c r="FA128" s="252" t="str">
        <f t="shared" si="391"/>
        <v/>
      </c>
      <c r="FB128" s="252" t="str">
        <f t="shared" si="392"/>
        <v/>
      </c>
      <c r="FC128" s="252" t="str">
        <f>IF(CD128="ERROR", "ERROR", IF(OR(V128="No Change", V128="Not DLC or Energy Star"), "", IF(AND(OR($FC$6=Y128,Y128='Lookup Tables'!$AD$21, Y128='Lookup Tables'!$AD$22),E128="Interior"), S128, "")))</f>
        <v/>
      </c>
      <c r="FD128" s="252" t="str">
        <f t="shared" si="393"/>
        <v/>
      </c>
      <c r="FE128" s="101"/>
      <c r="FF128" s="579" t="str" cm="1">
        <f t="array" ref="FF128">IFERROR(IF(OR(BQ128&lt;=0,AQ128&lt;20,AND(V128="Exit Signs",AN128&gt;0)),"",IF(AND(AQ128&gt;=20,AN128='Lookup Tables'!$R$101),'Lookup Tables'!$U$101*BQ128,AP128*LOOKUP(2,1/((AN128='Lookup Tables'!$R$91:$R$111)*(AQ128&gt;='Lookup Tables'!$S$91:$S$111)*(AQ128&lt;='Lookup Tables'!$T$91:$T$111)),'Lookup Tables'!$U$91:$U$111))),"")</f>
        <v/>
      </c>
      <c r="FG128" s="579"/>
      <c r="FH128" s="579"/>
      <c r="FI128" s="253" t="str">
        <f>IFERROR(ROUND(IF(CD128="ERROR", "ERROR", IF(AND($FI$7=X128,E128="Interior"),VLOOKUP(W128, 'Lookup Tables'!$AI$6:$AM$102, 5, FALSE)*BP128, "")), 2), "")</f>
        <v/>
      </c>
      <c r="FJ128" s="253" t="str">
        <f>IFERROR(ROUND(IF(CD128="ERROR", "ERROR", IF(AND($FI$7=X128,E128="Exterior"),VLOOKUP(W128, 'Lookup Tables'!$AI$6:$AM$102, 5, FALSE)*BP128, "")), 2), "")</f>
        <v/>
      </c>
      <c r="FK128" s="253" t="str">
        <f>IFERROR(ROUND(IF(CD128="ERROR", "ERROR", IF(AND($FK$7=X128,E128="Interior"),VLOOKUP(W128, 'Lookup Tables'!$AI$6:$AM$102, 5, FALSE)*BP128, "")), 2), "")</f>
        <v/>
      </c>
      <c r="FL128" s="253" t="str">
        <f>IFERROR(ROUND(IF(CD128="ERROR", "ERROR", IF(AND($FK$7=X128,E128="Exterior"),VLOOKUP(W128, 'Lookup Tables'!$AI$6:$AM$102, 5, FALSE)*BP128, "")), 2), "")</f>
        <v/>
      </c>
      <c r="FM128" s="253" t="str">
        <f>IFERROR(ROUND(IF(CD128="ERROR", "ERROR", IF(AND($FM$6=Y128,E128="Interior"), IF(GB128=0, VLOOKUP(W128, 'Lookup Tables'!$AI$6:$AM$102, 5, FALSE)*BP128, IF(VLOOKUP(W128, 'Lookup Tables'!$AI$6:$AM$102, 5, FALSE)*BP128&gt;GB128*'Lighting Inventory'!S128, GB128*'Lighting Inventory'!S128,VLOOKUP(W128, 'Lookup Tables'!$AI$6:$AM$102, 5, FALSE)*BP128)), "")), 2), "")</f>
        <v/>
      </c>
      <c r="FN128" s="253" t="str">
        <f>IFERROR(ROUND(IF(CD128="ERROR", "ERROR", IF(AND($FM$6=Y128,E128="Exterior"), IF(GB128=0, VLOOKUP(W128, 'Lookup Tables'!$AI$6:$AM$102, 5, FALSE)*BP128, IF(VLOOKUP(W128, 'Lookup Tables'!$AI$6:$AM$102, 5, FALSE)*BP128&gt;GB128*'Lighting Inventory'!S128, GB128*'Lighting Inventory'!S128,VLOOKUP(W128, 'Lookup Tables'!$AI$6:$AM$102, 5, FALSE)*BP128)), "")), 2), "")</f>
        <v/>
      </c>
      <c r="FO128" s="253" t="str">
        <f>IFERROR(ROUND(IF(CD128="ERROR", "ERROR", IF(AND($FO$6=Y128,E128="Interior"),VLOOKUP(W128, 'Lookup Tables'!$AI$6:$AM$102, 5, FALSE)*'Lighting Inventory'!AI128, "")), 2), "")</f>
        <v/>
      </c>
      <c r="FP128" s="253" t="str">
        <f>IFERROR(ROUND(IF(CD128="ERROR", "ERROR", IF(AND($FO$6=Y128,E128="Exterior"),VLOOKUP(W128, 'Lookup Tables'!$AI$6:$AM$102, 5, FALSE)*'Lighting Inventory'!AI128, "")), 2), "")</f>
        <v/>
      </c>
      <c r="FQ128" s="253" t="str">
        <f>IFERROR(ROUND(IF(CD128="ERROR", "ERROR", IF(AND($FQ$6=Y128,E128="Interior", BU128="Y"), VLOOKUP('Lighting Inventory'!W128, 'Lookup Tables'!$AI$6:$AM$102, 5, FALSE)*'Lighting Inventory'!S128, IF(AND($FQ$7=Y128,E128="Interior", BU128="N"), 0.025*CD128, ""))), 2), "")</f>
        <v/>
      </c>
      <c r="FR128" s="253" t="str">
        <f>IFERROR(ROUND(IF(CD128="ERROR", "ERROR", IF(AND($FQ$6=Y128,E128="Exterior"), VLOOKUP('Lighting Inventory'!W128, 'Lookup Tables'!$AI$6:$AM$102, 5, FALSE)*'Lighting Inventory'!S128, "")), 2), "")</f>
        <v/>
      </c>
      <c r="FS128" s="253" t="str">
        <f>IFERROR(ROUND(IF(CD128="ERROR", "ERROR", IF(AND($FS$6=Y128,E128="Exterior"), IF(GB128=0, VLOOKUP(W128, 'Lookup Tables'!$AI$6:$AM$102, 5, FALSE)*BP128, IF(VLOOKUP(W128, 'Lookup Tables'!$AI$6:$AM$102, 5, FALSE)*BP128&gt;GB128*'Lighting Inventory'!S128, GB128*'Lighting Inventory'!S128,VLOOKUP(W128, 'Lookup Tables'!$AI$6:$AM$102, 5, FALSE)*BP128)), "")), 2), "")</f>
        <v/>
      </c>
      <c r="FT128" s="253" t="str">
        <f>IFERROR(ROUND(IF(CD128="ERROR", "ERROR", IF(AND($FT$6=Y128,E128="Interior"), IF(GB128=0, VLOOKUP(W128, 'Lookup Tables'!$AI$6:$AM$102, 5, FALSE)*BP128, IF(VLOOKUP(W128, 'Lookup Tables'!$AI$6:$AM$102, 5, FALSE)*BP128&gt;GB128*'Lighting Inventory'!S128, GB128*'Lighting Inventory'!S128,VLOOKUP(W128, 'Lookup Tables'!$AI$6:$AM$102, 5, FALSE)*BP128)), "")), 2), "")</f>
        <v/>
      </c>
      <c r="FU128" s="253" t="str">
        <f>IFERROR(ROUND(IF(CD128="ERROR", "ERROR", IF(AND(Y128=$FU$6, E128="Interior"), IF(BS128="N", 'Lookup Tables'!$AM$101*BP128, VLOOKUP(W128, 'Lookup Tables'!$AI$6:$AM$102, 5, FALSE)*S128*AD128), "")), 2), "")</f>
        <v/>
      </c>
      <c r="FV128" s="253" t="str">
        <f>IFERROR(ROUND(IF(CD128="ERROR", "ERROR", IF(AND(Y128=$FU$6, E128="Exterior"), IF(BS128="N", 'Lookup Tables'!$AM$101*BP128, VLOOKUP(W128, 'Lookup Tables'!$AI$6:$AM$102, 5, FALSE)*S128*AD128), "")), 2), "")</f>
        <v/>
      </c>
      <c r="FW128" s="253" t="str">
        <f>IFERROR(ROUND(IF(CD128="ERROR", "ERROR", IF($FW$6=Y128, IF(BS128="N", 'Lookup Tables'!$AM$101*BP128, MIN((VLOOKUP(W128, 'Lookup Tables'!$AI$6:$AM$102, 5, FALSE)*BP128),GB128*AJ128)), "")), 2), "")</f>
        <v/>
      </c>
      <c r="FX128" s="253" t="str">
        <f>IFERROR(ROUND(IF(CD128="ERROR", "ERROR", IF(AND($FX$6=Y128, E128="Interior"), IF(VLOOKUP(W128, 'Lookup Tables'!$AI$6:$AM$102, 5, FALSE)*BP128&gt;'Lookup Tables'!$AQ$97*'Lighting Inventory'!S128,'Lighting Inventory'!S128*'Lookup Tables'!$AQ$97,VLOOKUP(W128, 'Lookup Tables'!$AI$6:$AM$102, 5, FALSE)*BP128), "")), 2), "")</f>
        <v/>
      </c>
      <c r="FY128" s="253" t="str">
        <f>IFERROR(ROUND(IF(CD128="ERROR", "ERROR", IF(AND($FX$6=Y128, E128="Exterior"), IF(VLOOKUP(W128, 'Lookup Tables'!$AI$6:$AM$102, 5, FALSE)*BP128&gt;'Lookup Tables'!$AQ$97*'Lighting Inventory'!S128,'Lighting Inventory'!S128*'Lookup Tables'!$AQ$97,VLOOKUP(W128, 'Lookup Tables'!$AI$6:$AM$102, 5, FALSE)*BP128), "")), 2), "")</f>
        <v/>
      </c>
      <c r="FZ128" s="253" t="str">
        <f>IFERROR(ROUND(IF(CD128="ERROR", "ERROR", IF(AND($FZ$6=Y128, E128="Interior"), IF(AND(OR(W128="Refrigerated Case Lighting with Doors", W128="Freezer Case Lighting"),Y128="Custom - Process Improvement"),CD128*'Lookup Tables'!$AM$101, IF(B128="Retrofit", IF(VLOOKUP(IF(V128="Custom", V128, W128), 'Lookup Tables'!$AI$6:$AM$102, 5, FALSE)*BP128&gt;GE128, GE128, VLOOKUP(IF(V128="Custom", V128, W128), 'Lookup Tables'!$AI$6:$AM$102, 5, FALSE)*BP128), IF(VLOOKUP(IF(V128="Custom", V128, W128), 'Lookup Tables'!$AI$114:$AM$154, 5, FALSE)*BP128&gt;GE128, GE128, VLOOKUP(IF(V128="Custom", V128, W128), 'Lookup Tables'!$AI$114:$AM$154, 5, FALSE)*BP128))), "")), 2),"")</f>
        <v/>
      </c>
      <c r="GA128" s="253" t="str">
        <f>IFERROR(ROUND(IF(CD128="ERROR", "ERROR", IF(AND($FZ$6=Y128, E128="Exterior"), IF(B128="Retrofit", IF(VLOOKUP(IF(V128="Custom", V128, W128), 'Lookup Tables'!$AI$6:$AM$102, 5, FALSE)*BP128&gt;GE128, GE128, VLOOKUP(IF(V128="Custom", V128, W128), 'Lookup Tables'!$AI$6:$AM$102, 5, FALSE)*BP128), IF(VLOOKUP(IF(V128="Custom", V128, W128), 'Lookup Tables'!$AI$114:$AM$154, 5, FALSE)*BP128&gt;GE128, GE128, VLOOKUP(IF(V128="Custom", V128, W128), 'Lookup Tables'!$AI$114:$AM$154, 5, FALSE)*BP128)), "")), 2),"")</f>
        <v/>
      </c>
      <c r="GB128" s="254" t="str">
        <f t="array" ref="GB128">IF(B128="","",IF(OR(V128="Custom",V128="No Change"),0,IF(B128="Retrofit", INDEX('Lookup Tables'!$AH$6:$AQ$102,MATCH(1,('Lookup Tables'!$AH$6:$AH$102='Lighting Inventory'!V128)*('Lookup Tables'!$AI$6:$AI$102='Lighting Inventory'!W128),FALSE),10),INDEX('Lookup Tables'!$AH$114:$AQ$154,MATCH(1,('Lookup Tables'!$AH$114:$AH$154='Lighting Inventory'!V128)*('Lookup Tables'!$AI$114:$AI$154='Lighting Inventory'!W128),FALSE),10))))</f>
        <v/>
      </c>
      <c r="GC128" s="255" t="str">
        <f t="shared" si="344"/>
        <v/>
      </c>
      <c r="GD128" s="250" t="str">
        <f t="shared" si="345"/>
        <v/>
      </c>
      <c r="GE128" s="253" t="str">
        <f>IFERROR(IF(AND(AF128="", 'General Information'!$F$18="No"),"", IF(AF128="", ((GD128/$CD$266)*$CF$266)*0.5, AF128*S128*0.5)), "")</f>
        <v/>
      </c>
      <c r="GF128" s="255" t="str">
        <f>IF(AND('General Information'!$F$19="", 'General Information'!$F$18="Yes",AF128="",BW128="Y"), "Y", "N")</f>
        <v>N</v>
      </c>
      <c r="GG128" s="255" t="s">
        <v>2946</v>
      </c>
      <c r="GH128" s="255" t="str">
        <f>IFERROR(IF(B128="", "", VLOOKUP(J128, 'Fixture Identities'!$A$6:$N$908, 14, FALSE)), "")</f>
        <v/>
      </c>
      <c r="GI128" s="389" t="str">
        <f>IF(OR(B128="", V128="", W128=""), "", IF(AND(OR(M128='Lookup Tables'!$R$18, M128='Lookup Tables'!$R$19, M128='Lookup Tables'!$R$20, M128='Lookup Tables'!$R$21, M128='Lookup Tables'!$R$22), OR(AN128='Lookup Tables'!$R$17, AN128='Lookup Tables'!$R$17, AN128="")), "Y", "N"))</f>
        <v/>
      </c>
      <c r="GJ128" s="255" t="str">
        <f t="shared" si="346"/>
        <v/>
      </c>
      <c r="GK128" s="255" t="str">
        <f t="shared" si="347"/>
        <v/>
      </c>
      <c r="GL128" s="255" t="str">
        <f t="shared" si="348"/>
        <v/>
      </c>
      <c r="GM128" s="255" t="str">
        <f>IF(AN128="", "", IF(AND(IF(ISNA(VLOOKUP(AN128,'Lookup Tables'!$R$18:$R$22,1,FALSE)), "N", "Y")="Y", E128="Exterior"), "Y", "N"))</f>
        <v/>
      </c>
      <c r="GN128" s="395"/>
      <c r="GO128" s="428">
        <f t="shared" si="394"/>
        <v>0</v>
      </c>
      <c r="GP128" s="428">
        <f t="shared" si="397"/>
        <v>0</v>
      </c>
      <c r="GQ128" s="428">
        <f t="shared" si="395"/>
        <v>0</v>
      </c>
      <c r="GR128" s="428">
        <f t="shared" si="396"/>
        <v>0</v>
      </c>
    </row>
    <row r="129" spans="1:200" s="103" customFormat="1" ht="13.5" customHeight="1" x14ac:dyDescent="0.2">
      <c r="A129" s="272">
        <v>119</v>
      </c>
      <c r="B129" s="110"/>
      <c r="C129" s="110"/>
      <c r="D129" s="110"/>
      <c r="E129" s="110"/>
      <c r="F129" s="110"/>
      <c r="G129" s="110"/>
      <c r="H129" s="110"/>
      <c r="I129" s="29"/>
      <c r="J129" s="29"/>
      <c r="K129" s="272" t="str">
        <f>IFERROR(IF(OR(VLOOKUP(J129, 'Fixture Identities'!$A$6:$L$1023, 3, FALSE)="T12 Linear Fluorescent", VLOOKUP(J129, 'Fixture Identities'!$A$6:$L$1023, 3, FALSE)="T12 U-Tube Fluorescent"), VLOOKUP(VLOOKUP(J129, 'Fixture Identities'!$A$6:$L$1023, 11, FALSE), 'Fixture Identities'!$A$6:$L$1023, 10, FALSE), VLOOKUP(J129, 'Fixture Identities'!$A$6:$L$1023, 10, FALSE)), "")</f>
        <v/>
      </c>
      <c r="L129" s="270" t="str">
        <f t="shared" si="399"/>
        <v/>
      </c>
      <c r="M129" s="110"/>
      <c r="N129" s="110"/>
      <c r="O129" s="110"/>
      <c r="P129" s="272" t="str">
        <f>IFERROR(IF(OR(B129="Retrofit",B129=""),"",IF('Lighting Inventory'!E129="Exterior",VLOOKUP('Lighting Inventory'!N129,'Lookup Tables'!$B$83:$F$103,5,FALSE),IF(N129="Other - Please Estimate EFLH and CFs","Contact Prog. Rep.","ft^2"))), "")</f>
        <v/>
      </c>
      <c r="Q129" s="270" t="str">
        <f>IFERROR(IF(AND(B129="New Construction",E129="Interior",$F$5="Space-by-Space"),VLOOKUP('Lighting Inventory'!N129,'Lookup Tables'!$N$6:$O$97,2,FALSE),IF(AND(B129="New Construction",E129="Exterior"),VLOOKUP(N129,'Lookup Tables'!$B$83:$F$103,2,FALSE),IF(AND(B129="New Construction",'Lighting Inventory'!E129="Interior", $F$5="Building Area"),VLOOKUP(F129,'Lookup Tables'!$A$6:$J$59,10,FALSE),""))), "")</f>
        <v/>
      </c>
      <c r="R129" s="270" t="str">
        <f>IFERROR(IF(P129="Contact Prog. Rep.", "ERROR", IF(OR(B129="",B129="Retrofit"),"",IF(N129="Automated teller machines", ('Lookup Tables'!$A$82:$E$100+('Lighting Inventory'!O129-1)*'Lookup Tables'!$A$82:$E$100)/1000, (Q129*O129)/1000))), "")</f>
        <v/>
      </c>
      <c r="S129" s="595"/>
      <c r="T129" s="105" t="str">
        <f t="shared" si="349"/>
        <v/>
      </c>
      <c r="U129" s="105" t="str">
        <f>IF(S129="","",COUNT($S$11:S129))</f>
        <v/>
      </c>
      <c r="V129" s="111"/>
      <c r="W129" s="112"/>
      <c r="X129" s="105" t="str">
        <f t="shared" si="350"/>
        <v/>
      </c>
      <c r="Y129" s="105" t="str">
        <f t="array" ref="Y129">IF(AND(OR(W129="Freezer Case Lighting", W129="Refrigerated Case Lighting with Doors"), 'General Information'!$X$18="LCI"),'Lookup Tables'!$Y$34, IF(V129="Custom", VLOOKUP(W129, 'Fixture Identities'!$A$974:$M$1023, 13, FALSE), IF(V129="No Change",'Lookup Tables'!$Y$29,IF(OR(V129="",W129=""),"",IF(AND(S129=0,S129&lt;I129,B129="Retrofit"),'Lookup Tables'!$Y$25, IF(B129="Retrofit", INDEX('Lookup Tables'!$AH$6:$AP$102, MATCH(1, ('Lookup Tables'!$AH$6:$AH$102=V129)*('Lookup Tables'!$AI$6:$AI$102=W129), 0), IF('Lighting Inventory'!E129="Interior", 4, 5)), INDEX('Lookup Tables'!$AH$114:$AP$154, MATCH(1, ('Lookup Tables'!$AH$114:$AH$154=V129)*('Lookup Tables'!$AI$114:$AI$154=W129), 0), IF('Lighting Inventory'!E129="Interior", 4, 5))))))))</f>
        <v/>
      </c>
      <c r="Z129" s="105" t="str">
        <f>IFERROR(INDEX('Lookup Tables'!$AH$158:$AH$172,MATCH('Lighting Inventory'!Y129,'Lookup Tables'!$AI$158:$AI$172,0)),"")</f>
        <v/>
      </c>
      <c r="AA129" s="105" t="str">
        <f>IF(AP129&gt;0,INDEX('Lookup Tables'!$AK$158:$AK$172,MATCH('Lighting Inventory'!Y129,'Lookup Tables'!$AI$158:$AI$172,0)),'Lighting Inventory'!Y129)</f>
        <v/>
      </c>
      <c r="AB129" s="105" t="str">
        <f t="array" ref="AB129">IF(V129="Custom", "Custom", IF(V129="", "", IF(V129="Not DLC or Energy Star", "General", IF(B129="New Construction", INDEX('Lookup Tables'!$AH$114:$AP$154,MATCH(1,('Lookup Tables'!$AH$114:$AH$154='Lighting Inventory'!V129)*('Lookup Tables'!$AI$114:$AI$154='Lighting Inventory'!W129),FALSE),8), INDEX('Lookup Tables'!$AH$6:$AP$102,MATCH(1,('Lookup Tables'!$AH$6:$AH$102='Lighting Inventory'!V129)*('Lookup Tables'!$AI$6:$AI$102='Lighting Inventory'!W129),FALSE),8)))))</f>
        <v/>
      </c>
      <c r="AC129" s="272" t="str">
        <f>IF(W129="","",IF(V129="Custom",CONCATENATE("$",'Lookup Tables'!$AM$101," ",'Lookup Tables'!$AN$101),CONCATENATE("$",INDEX('Lookup Tables'!$AM$6:$AM$102,MATCH('Lighting Inventory'!W129,'Lookup Tables'!$AI$6:$AI$102,0))," ",INDEX('Lookup Tables'!$AN$6:$AN$102,MATCH('Lighting Inventory'!W129,'Lookup Tables'!$AI$6:$AI$102,0)))))</f>
        <v/>
      </c>
      <c r="AD129" s="72"/>
      <c r="AE129" s="29"/>
      <c r="AF129" s="379"/>
      <c r="AG129" s="370" t="str">
        <f t="shared" si="298"/>
        <v/>
      </c>
      <c r="AH129" s="370" t="str">
        <f t="shared" si="351"/>
        <v/>
      </c>
      <c r="AI129" s="29"/>
      <c r="AJ129" s="29"/>
      <c r="AK129" s="110"/>
      <c r="AL129" s="375" t="str">
        <f>IF(OR(B129="", V129="", W129=""), "", IF(V129="No Change", K129, IF(V129="Remove Fixture", 0, IF(V129="Custom",VLOOKUP(W129,'Fixture Identities'!$A$6:$K$1023,10,FALSE),IF(AE129="", "← ENTER POST WATTS", 'Lighting Inventory'!AE129)))))</f>
        <v/>
      </c>
      <c r="AM129" s="376" t="str">
        <f t="shared" si="299"/>
        <v/>
      </c>
      <c r="AN129" s="29"/>
      <c r="AO129" s="671"/>
      <c r="AP129" s="29"/>
      <c r="AQ129" s="29"/>
      <c r="AR129" s="29"/>
      <c r="AS129" s="272" t="str">
        <f t="shared" si="352"/>
        <v/>
      </c>
      <c r="AT129" s="270" t="str">
        <f t="shared" si="300"/>
        <v/>
      </c>
      <c r="AU129" s="88" t="str">
        <f t="shared" si="400"/>
        <v/>
      </c>
      <c r="AV129" s="29"/>
      <c r="AW129" s="73"/>
      <c r="AX129" s="271" t="str">
        <f>IF(AND(AV129="Applicant",OR(AW129="", AW129="Use Default Facility Hours")),"← Choose Schedule",IF(F129="","",IF(W129="LED Exit Signs",8760,IF(OR(AV129="Prescribed",AV129=""),VLOOKUP(F129,'Lookup Tables'!$A$6:$G$59,IF(AB129="General", 6, 3),FALSE),VLOOKUP(AW129,'Lookup Tables'!$S$36:$U$43,2,FALSE)))))</f>
        <v/>
      </c>
      <c r="AY129" s="88" t="str">
        <f t="shared" si="301"/>
        <v/>
      </c>
      <c r="AZ129" s="270" t="str">
        <f>IFERROR(IF(F129="", "", IF(W129="LED Exit Signs", 1, IF(AV129="Applicant",VLOOKUP(AW129, 'Lookup Tables'!$S$36:$U$43,3, FALSE), VLOOKUP('Lighting Inventory'!F129, 'Lookup Tables'!$A$6:$H$59, IF('Lighting Inventory'!AB129="General",7,4), FALSE)))), "")</f>
        <v/>
      </c>
      <c r="BA129" s="522" t="str">
        <f>IFERROR(IF(F129="", "", IF(W129="LED Exit Signs", 1, VLOOKUP('Lighting Inventory'!F129, 'Lookup Tables'!$A$6:$H$59, IF('Lighting Inventory'!AB129="General",8,5), FALSE))), "")</f>
        <v/>
      </c>
      <c r="BB129" s="270" t="str">
        <f>IF(G129="", "", IF(E129="Exterior", 0, IF('Lighting Inventory'!G129="Air Conditioned", VLOOKUP(H129, 'Lookup Tables'!$R$6:$T$13, 2, FALSE), VLOOKUP('Lighting Inventory'!G129, 'Lookup Tables'!$R$6:$T$13, 2, FALSE))))</f>
        <v/>
      </c>
      <c r="BC129" s="522" t="str">
        <f>IF(G129="", "", IF(E129="Exterior", 0, IF('Lighting Inventory'!G129="Air Conditioned", VLOOKUP(H129, 'Lookup Tables'!$R$6:$T$13, 3, FALSE), VLOOKUP('Lighting Inventory'!G129, 'Lookup Tables'!$R$6:$T$13, 3, FALSE))))</f>
        <v/>
      </c>
      <c r="BD129" s="270" t="str">
        <f>IF(G129="", "", IF(E129="Exterior", 0, IF('Lighting Inventory'!G129="Air Conditioned", VLOOKUP(H129, 'Lookup Tables'!$R$6:$U$13, 4, FALSE), VLOOKUP('Lighting Inventory'!G129, 'Lookup Tables'!$R$6:$U$13, 4, FALSE))))</f>
        <v/>
      </c>
      <c r="BE129" s="270" t="str">
        <f>IFERROR(IF(B129="", "",  IF(B129="New Construction", VLOOKUP(F129, 'Lookup Tables'!$A$6:$K$59, 11, FALSE),IF(OR(AN129="", AN129="Light Switch"), 0, IF(OR(M129="",M129="None",V129= "LED Exit Signs"),0,_xlfn.XLOOKUP(M129,'Lookup Tables'!$R$91:$R$101,'Lookup Tables'!$V$91:$V$101))))), "")</f>
        <v/>
      </c>
      <c r="BF129" s="270" t="str">
        <f>IF(AND(OR(AN129="Light Switch",AN129=""),B129="New Construction"), VLOOKUP(F129, 'Lookup Tables'!$A$6:$K$59, 11, FALSE),IF(AN129="","",IF(B129="","",IF(OR(AN129="None",AN129="",V129="LED Exit Signs",AN129="Exterior Controls Not Eligible"),0,_xlfn.XLOOKUP(AN129,'Lookup Tables'!$R$91:$R$101,'Lookup Tables'!$V$91:$V$101)))))</f>
        <v/>
      </c>
      <c r="BG129" s="88" t="str">
        <f t="shared" si="353"/>
        <v/>
      </c>
      <c r="BH129" s="88" t="str">
        <f t="shared" si="354"/>
        <v/>
      </c>
      <c r="BI129" s="558" t="str">
        <f t="shared" si="398"/>
        <v/>
      </c>
      <c r="BJ129" s="82" t="str">
        <f t="shared" si="355"/>
        <v/>
      </c>
      <c r="BK129" s="82" t="str">
        <f t="shared" si="356"/>
        <v/>
      </c>
      <c r="BL129" s="559" t="str">
        <f t="shared" si="357"/>
        <v/>
      </c>
      <c r="BM129" s="521" t="str">
        <f t="shared" si="302"/>
        <v/>
      </c>
      <c r="BN129" s="521" t="str">
        <f t="shared" si="303"/>
        <v/>
      </c>
      <c r="BO129" s="522" t="str">
        <f t="shared" si="304"/>
        <v/>
      </c>
      <c r="BP129" s="83" t="str">
        <f t="shared" si="358"/>
        <v/>
      </c>
      <c r="BQ129" s="84" t="str">
        <f t="shared" si="359"/>
        <v/>
      </c>
      <c r="BR129" s="184" t="str">
        <f>IFERROR(IF(B129="", "", IF(OR(VLOOKUP(J129, 'Fixture Identities'!$A$6:$L$1023, 3, FALSE)="T12 Linear Fluorescent",VLOOKUP(J129, 'Fixture Identities'!$A$6:$L$1023, 3, FALSE)="T12 U-Tube Fluorescent"), "Y", "N")), "N")</f>
        <v/>
      </c>
      <c r="BS129" s="184" t="str">
        <f t="array" ref="BS129">IFERROR(IF(OR(B129="", V129="", W129=""), "", IF(V129="Custom", "N", IF(OR(W129="Freezer Case Lighting", W129="Refrigerated Case Lighting with Doors"), BT129, IF(B129="Retrofit", INDEX('Lookup Tables'!$AH$6:$AT$102,MATCH(1,('Lookup Tables'!$AH$6:$AH$102=V129)*('Lookup Tables'!$AI$6:$AI$102=W129),FALSE),IF(VLOOKUP(J129, 'Fixture Identities'!$A$6:$B$1023, 2, FALSE)="Incandescent",12, 13)), INDEX('Lookup Tables'!$AH$114:$AS$154,MATCH(1,('Lookup Tables'!$AH$114:$AH$154=V129)*('Lookup Tables'!$AI$114:$AI$154=W129),FALSE),12))))), "N")</f>
        <v/>
      </c>
      <c r="BT129" s="184" t="str">
        <f>IF(J129="", "", IF(AND(OR(W129="Freezer case Lighting", W129="Refrigerated Case Lighting with Doors"),'General Information'!$X$18="LCI"), "N", IF(OR(VLOOKUP(J129, 'Fixture Identities'!$A$6:$B$1023, 2, FALSE)="T12 EPACT/EISA Baseline", VLOOKUP(J129, 'Fixture Identities'!$A$6:$B$1023, 2, FALSE)="Linear Fluorescent", VLOOKUP(J129, 'Fixture Identities'!$A$6:$B$1023, 2, FALSE)="U-Tube Fluorescent"), "Y", "N")))</f>
        <v/>
      </c>
      <c r="BU129" s="184" t="str">
        <f>IFERROR(IF(B129="", "", IF(VLOOKUP(J129, 'Fixture Identities'!$A$6:$B$1023, 2, FALSE)="Exit Sign", "Y", "N")), "N")</f>
        <v/>
      </c>
      <c r="BV129" s="184" t="str">
        <f>IF(V129="Exit Signs", IF(VLOOKUP(J129, 'Fixture Identities'!$A$6:$B$1023, 2, FALSE)="Exit Sign", "N", "Y"), "")</f>
        <v/>
      </c>
      <c r="BW129" s="184" t="str">
        <f t="array" ref="BW129">IFERROR(IF(B129="", "", IF(B129="New Construction", "N", INDEX('Lookup Tables'!$AH$6:$AU$102, MATCH(1, ('Lookup Tables'!$AH$6:$AH$102='Lighting Inventory'!V129)*('Lookup Tables'!$AI$6:$AI$102='Lighting Inventory'!W129), 0), 14))), "N")</f>
        <v/>
      </c>
      <c r="BX129" s="598" t="str">
        <f t="shared" si="360"/>
        <v/>
      </c>
      <c r="BY129" s="598" t="str">
        <f t="shared" si="361"/>
        <v/>
      </c>
      <c r="BZ129" s="598" t="str">
        <f t="shared" si="362"/>
        <v/>
      </c>
      <c r="CA129" s="598" t="str">
        <f t="shared" si="363"/>
        <v/>
      </c>
      <c r="CB129" s="269" t="str">
        <f t="shared" si="364"/>
        <v/>
      </c>
      <c r="CC129" s="517" t="str">
        <f t="shared" si="365"/>
        <v/>
      </c>
      <c r="CD129" s="565" t="str">
        <f t="shared" si="305"/>
        <v/>
      </c>
      <c r="CE129" s="368">
        <v>0</v>
      </c>
      <c r="CF129" s="368" t="str" cm="1">
        <f t="array" ref="CF129">IFERROR(IF(V129="Custom", "$0.1 per kWh", IF(B129="New Construction", CONCATENATE("$",INDEX('Lookup Tables'!$AH$114:$AN$154,MATCH(1,('Lookup Tables'!$AH$114:$AH$154='Lighting Inventory'!V129)*('Lookup Tables'!$AI$114:$AI$154='Lighting Inventory'!W129),FALSE),6)," ",INDEX('Lookup Tables'!$AH$114:$AN$154,MATCH(1,('Lookup Tables'!$AH$114:$AH$154='Lighting Inventory'!V129)*('Lookup Tables'!$AI$114:$AI$154='Lighting Inventory'!W129),FALSE),7)), IF(AND(BU129="N", V129="Exit Signs"), "$0.025 per kWh", CONCATENATE("$",INDEX('Lookup Tables'!$AH$6:$AN$102,MATCH(1,('Lookup Tables'!$AH$6:$AH$102='Lighting Inventory'!V129)*('Lookup Tables'!$AI$6:$AI$102='Lighting Inventory'!W129),FALSE),6)," ",INDEX('Lookup Tables'!$AH$6:$AN$102,MATCH(1,('Lookup Tables'!$AH$6:$AH$102='Lighting Inventory'!V129)*('Lookup Tables'!$AI$6:$AI$102='Lighting Inventory'!W129),FALSE),7))))), "")</f>
        <v/>
      </c>
      <c r="CG129" s="366"/>
      <c r="CH129" s="248" t="str">
        <f t="shared" si="306"/>
        <v/>
      </c>
      <c r="CI129" s="248" t="str">
        <f t="shared" si="307"/>
        <v>Select_IE</v>
      </c>
      <c r="CJ129" s="248" t="str">
        <f t="shared" si="308"/>
        <v/>
      </c>
      <c r="CK129" s="248" t="str">
        <f t="shared" si="309"/>
        <v/>
      </c>
      <c r="CL129" s="248" t="str">
        <f t="shared" si="310"/>
        <v/>
      </c>
      <c r="CM129" s="248" t="str">
        <f>IFERROR(IF(B129="", "", IF(B129="New Construction", VLOOKUP(V129, 'Lookup Tables'!$AF$114:$AG$120, 2, FALSE), VLOOKUP(V129, 'Lookup Tables'!$AD$6:$AE$25, 2, FALSE))), "")</f>
        <v/>
      </c>
      <c r="CN129" s="248" t="str">
        <f t="shared" si="311"/>
        <v/>
      </c>
      <c r="CO129" s="248" t="str">
        <f t="shared" si="312"/>
        <v/>
      </c>
      <c r="CP129" s="592" t="str">
        <f t="shared" si="313"/>
        <v/>
      </c>
      <c r="CQ129" s="248" t="str">
        <f t="shared" si="366"/>
        <v/>
      </c>
      <c r="CR129" s="100"/>
      <c r="CS129" s="250" t="str">
        <f t="shared" si="314"/>
        <v/>
      </c>
      <c r="CT129" s="250" t="str">
        <f t="shared" si="367"/>
        <v/>
      </c>
      <c r="CU129" s="250" t="str">
        <f t="shared" si="368"/>
        <v/>
      </c>
      <c r="CV129" s="250" t="str">
        <f t="shared" si="369"/>
        <v/>
      </c>
      <c r="CW129" s="250" t="str">
        <f t="shared" si="370"/>
        <v/>
      </c>
      <c r="CX129" s="250" t="str">
        <f t="shared" si="315"/>
        <v/>
      </c>
      <c r="CY129" s="250" t="str">
        <f t="shared" si="316"/>
        <v/>
      </c>
      <c r="CZ129" s="250" t="str">
        <f t="shared" si="317"/>
        <v/>
      </c>
      <c r="DA129" s="250" t="str">
        <f t="shared" si="318"/>
        <v/>
      </c>
      <c r="DB129" s="250" t="str">
        <f t="shared" si="319"/>
        <v/>
      </c>
      <c r="DC129" s="250" t="str">
        <f t="shared" si="320"/>
        <v/>
      </c>
      <c r="DD129" s="250" t="str">
        <f t="shared" si="321"/>
        <v/>
      </c>
      <c r="DE129" s="250" t="str">
        <f t="shared" si="322"/>
        <v/>
      </c>
      <c r="DF129" s="250" t="str">
        <f t="shared" si="323"/>
        <v/>
      </c>
      <c r="DG129" s="250" t="str">
        <f t="shared" si="324"/>
        <v/>
      </c>
      <c r="DH129" s="250" t="str">
        <f t="shared" si="325"/>
        <v/>
      </c>
      <c r="DI129" s="250" t="str">
        <f t="shared" si="326"/>
        <v/>
      </c>
      <c r="DJ129" s="250" t="str">
        <f t="shared" si="327"/>
        <v/>
      </c>
      <c r="DK129" s="250" t="str">
        <f t="shared" si="328"/>
        <v/>
      </c>
      <c r="DL129" s="250" t="str">
        <f t="shared" si="329"/>
        <v/>
      </c>
      <c r="DM129" s="250" t="str">
        <f>IF(CD129="ERROR", "ERROR", IF(AND(OR(Y129=$DM$6, Y129='Lookup Tables'!$AD$21, Y129='Lookup Tables'!$AD$22), E129="Interior"), BJ129, ""))</f>
        <v/>
      </c>
      <c r="DN129" s="250" t="str">
        <f>IF(CD129="ERROR", "ERROR", IF(AND(OR(Y129=$DM$6, Y129='Lookup Tables'!$AD$21, Y129='Lookup Tables'!$AD$22), E129="Exterior"), BJ129, ""))</f>
        <v/>
      </c>
      <c r="DO129" s="100"/>
      <c r="DP129" s="250" t="str">
        <f t="shared" si="330"/>
        <v/>
      </c>
      <c r="DQ129" s="250" t="str">
        <f t="shared" si="371"/>
        <v/>
      </c>
      <c r="DR129" s="250" t="str">
        <f t="shared" si="372"/>
        <v/>
      </c>
      <c r="DS129" s="250" t="str">
        <f t="shared" si="373"/>
        <v/>
      </c>
      <c r="DT129" s="250" t="str">
        <f t="shared" si="374"/>
        <v/>
      </c>
      <c r="DU129" s="250" t="str">
        <f t="shared" si="331"/>
        <v/>
      </c>
      <c r="DV129" s="250" t="str">
        <f t="shared" si="332"/>
        <v/>
      </c>
      <c r="DW129" s="250" t="str">
        <f t="shared" si="333"/>
        <v/>
      </c>
      <c r="DX129" s="250" t="str">
        <f t="shared" si="334"/>
        <v/>
      </c>
      <c r="DY129" s="250" t="str">
        <f t="shared" si="335"/>
        <v/>
      </c>
      <c r="DZ129" s="250" t="str">
        <f t="shared" si="336"/>
        <v/>
      </c>
      <c r="EA129" s="250" t="str">
        <f t="shared" si="337"/>
        <v/>
      </c>
      <c r="EB129" s="250" t="str">
        <f t="shared" si="375"/>
        <v/>
      </c>
      <c r="EC129" s="250" t="str">
        <f t="shared" si="338"/>
        <v/>
      </c>
      <c r="ED129" s="250" t="str">
        <f t="shared" si="339"/>
        <v/>
      </c>
      <c r="EE129" s="250" t="str">
        <f t="shared" si="340"/>
        <v/>
      </c>
      <c r="EF129" s="250" t="str">
        <f t="shared" si="341"/>
        <v/>
      </c>
      <c r="EG129" s="250" t="str">
        <f t="shared" si="342"/>
        <v/>
      </c>
      <c r="EH129" s="250" t="str">
        <f>IF(CD129="ERROR", "ERROR", IF(AND(OR($EH$6=Y129, Y129='Lookup Tables'!$AD$21, Y129='Lookup Tables'!$AD$22),E129="Interior"), SUM(BP129:BP129), ""))</f>
        <v/>
      </c>
      <c r="EI129" s="250" t="str">
        <f>IF(CD129="ERROR", "ERROR", IF(AND(OR($EH$6=Y129, Y129='Lookup Tables'!$AD$21, Y129='Lookup Tables'!$AD$22),E129="Exterior"), SUM(BP129:BP129), ""))</f>
        <v/>
      </c>
      <c r="EJ129" s="109"/>
      <c r="EK129" s="485" t="str">
        <f t="shared" si="343"/>
        <v/>
      </c>
      <c r="EL129" s="252" t="str">
        <f t="shared" si="376"/>
        <v/>
      </c>
      <c r="EM129" s="252" t="str">
        <f t="shared" si="377"/>
        <v/>
      </c>
      <c r="EN129" s="252" t="str">
        <f t="shared" si="378"/>
        <v/>
      </c>
      <c r="EO129" s="252" t="str">
        <f t="shared" si="379"/>
        <v/>
      </c>
      <c r="EP129" s="252" t="str">
        <f t="shared" si="380"/>
        <v/>
      </c>
      <c r="EQ129" s="252" t="str">
        <f t="shared" si="381"/>
        <v/>
      </c>
      <c r="ER129" s="252" t="str">
        <f t="shared" si="382"/>
        <v/>
      </c>
      <c r="ES129" s="252" t="str">
        <f t="shared" si="383"/>
        <v/>
      </c>
      <c r="ET129" s="252" t="str">
        <f t="shared" si="384"/>
        <v/>
      </c>
      <c r="EU129" s="252" t="str">
        <f t="shared" si="385"/>
        <v/>
      </c>
      <c r="EV129" s="252" t="str">
        <f t="shared" si="386"/>
        <v/>
      </c>
      <c r="EW129" s="252" t="str">
        <f t="shared" si="387"/>
        <v/>
      </c>
      <c r="EX129" s="252" t="str">
        <f t="shared" si="388"/>
        <v/>
      </c>
      <c r="EY129" s="252" t="str">
        <f t="shared" si="389"/>
        <v/>
      </c>
      <c r="EZ129" s="252" t="str">
        <f t="shared" si="390"/>
        <v/>
      </c>
      <c r="FA129" s="252" t="str">
        <f t="shared" si="391"/>
        <v/>
      </c>
      <c r="FB129" s="252" t="str">
        <f t="shared" si="392"/>
        <v/>
      </c>
      <c r="FC129" s="252" t="str">
        <f>IF(CD129="ERROR", "ERROR", IF(OR(V129="No Change", V129="Not DLC or Energy Star"), "", IF(AND(OR($FC$6=Y129,Y129='Lookup Tables'!$AD$21, Y129='Lookup Tables'!$AD$22),E129="Interior"), S129, "")))</f>
        <v/>
      </c>
      <c r="FD129" s="252" t="str">
        <f t="shared" si="393"/>
        <v/>
      </c>
      <c r="FE129" s="101"/>
      <c r="FF129" s="579" t="str" cm="1">
        <f t="array" ref="FF129">IFERROR(IF(OR(BQ129&lt;=0,AQ129&lt;20,AND(V129="Exit Signs",AN129&gt;0)),"",IF(AND(AQ129&gt;=20,AN129='Lookup Tables'!$R$101),'Lookup Tables'!$U$101*BQ129,AP129*LOOKUP(2,1/((AN129='Lookup Tables'!$R$91:$R$111)*(AQ129&gt;='Lookup Tables'!$S$91:$S$111)*(AQ129&lt;='Lookup Tables'!$T$91:$T$111)),'Lookup Tables'!$U$91:$U$111))),"")</f>
        <v/>
      </c>
      <c r="FG129" s="579"/>
      <c r="FH129" s="579"/>
      <c r="FI129" s="253" t="str">
        <f>IFERROR(ROUND(IF(CD129="ERROR", "ERROR", IF(AND($FI$7=X129,E129="Interior"),VLOOKUP(W129, 'Lookup Tables'!$AI$6:$AM$102, 5, FALSE)*BP129, "")), 2), "")</f>
        <v/>
      </c>
      <c r="FJ129" s="253" t="str">
        <f>IFERROR(ROUND(IF(CD129="ERROR", "ERROR", IF(AND($FI$7=X129,E129="Exterior"),VLOOKUP(W129, 'Lookup Tables'!$AI$6:$AM$102, 5, FALSE)*BP129, "")), 2), "")</f>
        <v/>
      </c>
      <c r="FK129" s="253" t="str">
        <f>IFERROR(ROUND(IF(CD129="ERROR", "ERROR", IF(AND($FK$7=X129,E129="Interior"),VLOOKUP(W129, 'Lookup Tables'!$AI$6:$AM$102, 5, FALSE)*BP129, "")), 2), "")</f>
        <v/>
      </c>
      <c r="FL129" s="253" t="str">
        <f>IFERROR(ROUND(IF(CD129="ERROR", "ERROR", IF(AND($FK$7=X129,E129="Exterior"),VLOOKUP(W129, 'Lookup Tables'!$AI$6:$AM$102, 5, FALSE)*BP129, "")), 2), "")</f>
        <v/>
      </c>
      <c r="FM129" s="253" t="str">
        <f>IFERROR(ROUND(IF(CD129="ERROR", "ERROR", IF(AND($FM$6=Y129,E129="Interior"), IF(GB129=0, VLOOKUP(W129, 'Lookup Tables'!$AI$6:$AM$102, 5, FALSE)*BP129, IF(VLOOKUP(W129, 'Lookup Tables'!$AI$6:$AM$102, 5, FALSE)*BP129&gt;GB129*'Lighting Inventory'!S129, GB129*'Lighting Inventory'!S129,VLOOKUP(W129, 'Lookup Tables'!$AI$6:$AM$102, 5, FALSE)*BP129)), "")), 2), "")</f>
        <v/>
      </c>
      <c r="FN129" s="253" t="str">
        <f>IFERROR(ROUND(IF(CD129="ERROR", "ERROR", IF(AND($FM$6=Y129,E129="Exterior"), IF(GB129=0, VLOOKUP(W129, 'Lookup Tables'!$AI$6:$AM$102, 5, FALSE)*BP129, IF(VLOOKUP(W129, 'Lookup Tables'!$AI$6:$AM$102, 5, FALSE)*BP129&gt;GB129*'Lighting Inventory'!S129, GB129*'Lighting Inventory'!S129,VLOOKUP(W129, 'Lookup Tables'!$AI$6:$AM$102, 5, FALSE)*BP129)), "")), 2), "")</f>
        <v/>
      </c>
      <c r="FO129" s="253" t="str">
        <f>IFERROR(ROUND(IF(CD129="ERROR", "ERROR", IF(AND($FO$6=Y129,E129="Interior"),VLOOKUP(W129, 'Lookup Tables'!$AI$6:$AM$102, 5, FALSE)*'Lighting Inventory'!AI129, "")), 2), "")</f>
        <v/>
      </c>
      <c r="FP129" s="253" t="str">
        <f>IFERROR(ROUND(IF(CD129="ERROR", "ERROR", IF(AND($FO$6=Y129,E129="Exterior"),VLOOKUP(W129, 'Lookup Tables'!$AI$6:$AM$102, 5, FALSE)*'Lighting Inventory'!AI129, "")), 2), "")</f>
        <v/>
      </c>
      <c r="FQ129" s="253" t="str">
        <f>IFERROR(ROUND(IF(CD129="ERROR", "ERROR", IF(AND($FQ$6=Y129,E129="Interior", BU129="Y"), VLOOKUP('Lighting Inventory'!W129, 'Lookup Tables'!$AI$6:$AM$102, 5, FALSE)*'Lighting Inventory'!S129, IF(AND($FQ$7=Y129,E129="Interior", BU129="N"), 0.025*CD129, ""))), 2), "")</f>
        <v/>
      </c>
      <c r="FR129" s="253" t="str">
        <f>IFERROR(ROUND(IF(CD129="ERROR", "ERROR", IF(AND($FQ$6=Y129,E129="Exterior"), VLOOKUP('Lighting Inventory'!W129, 'Lookup Tables'!$AI$6:$AM$102, 5, FALSE)*'Lighting Inventory'!S129, "")), 2), "")</f>
        <v/>
      </c>
      <c r="FS129" s="253" t="str">
        <f>IFERROR(ROUND(IF(CD129="ERROR", "ERROR", IF(AND($FS$6=Y129,E129="Exterior"), IF(GB129=0, VLOOKUP(W129, 'Lookup Tables'!$AI$6:$AM$102, 5, FALSE)*BP129, IF(VLOOKUP(W129, 'Lookup Tables'!$AI$6:$AM$102, 5, FALSE)*BP129&gt;GB129*'Lighting Inventory'!S129, GB129*'Lighting Inventory'!S129,VLOOKUP(W129, 'Lookup Tables'!$AI$6:$AM$102, 5, FALSE)*BP129)), "")), 2), "")</f>
        <v/>
      </c>
      <c r="FT129" s="253" t="str">
        <f>IFERROR(ROUND(IF(CD129="ERROR", "ERROR", IF(AND($FT$6=Y129,E129="Interior"), IF(GB129=0, VLOOKUP(W129, 'Lookup Tables'!$AI$6:$AM$102, 5, FALSE)*BP129, IF(VLOOKUP(W129, 'Lookup Tables'!$AI$6:$AM$102, 5, FALSE)*BP129&gt;GB129*'Lighting Inventory'!S129, GB129*'Lighting Inventory'!S129,VLOOKUP(W129, 'Lookup Tables'!$AI$6:$AM$102, 5, FALSE)*BP129)), "")), 2), "")</f>
        <v/>
      </c>
      <c r="FU129" s="253" t="str">
        <f>IFERROR(ROUND(IF(CD129="ERROR", "ERROR", IF(AND(Y129=$FU$6, E129="Interior"), IF(BS129="N", 'Lookup Tables'!$AM$101*BP129, VLOOKUP(W129, 'Lookup Tables'!$AI$6:$AM$102, 5, FALSE)*S129*AD129), "")), 2), "")</f>
        <v/>
      </c>
      <c r="FV129" s="253" t="str">
        <f>IFERROR(ROUND(IF(CD129="ERROR", "ERROR", IF(AND(Y129=$FU$6, E129="Exterior"), IF(BS129="N", 'Lookup Tables'!$AM$101*BP129, VLOOKUP(W129, 'Lookup Tables'!$AI$6:$AM$102, 5, FALSE)*S129*AD129), "")), 2), "")</f>
        <v/>
      </c>
      <c r="FW129" s="253" t="str">
        <f>IFERROR(ROUND(IF(CD129="ERROR", "ERROR", IF($FW$6=Y129, IF(BS129="N", 'Lookup Tables'!$AM$101*BP129, MIN((VLOOKUP(W129, 'Lookup Tables'!$AI$6:$AM$102, 5, FALSE)*BP129),GB129*AJ129)), "")), 2), "")</f>
        <v/>
      </c>
      <c r="FX129" s="253" t="str">
        <f>IFERROR(ROUND(IF(CD129="ERROR", "ERROR", IF(AND($FX$6=Y129, E129="Interior"), IF(VLOOKUP(W129, 'Lookup Tables'!$AI$6:$AM$102, 5, FALSE)*BP129&gt;'Lookup Tables'!$AQ$97*'Lighting Inventory'!S129,'Lighting Inventory'!S129*'Lookup Tables'!$AQ$97,VLOOKUP(W129, 'Lookup Tables'!$AI$6:$AM$102, 5, FALSE)*BP129), "")), 2), "")</f>
        <v/>
      </c>
      <c r="FY129" s="253" t="str">
        <f>IFERROR(ROUND(IF(CD129="ERROR", "ERROR", IF(AND($FX$6=Y129, E129="Exterior"), IF(VLOOKUP(W129, 'Lookup Tables'!$AI$6:$AM$102, 5, FALSE)*BP129&gt;'Lookup Tables'!$AQ$97*'Lighting Inventory'!S129,'Lighting Inventory'!S129*'Lookup Tables'!$AQ$97,VLOOKUP(W129, 'Lookup Tables'!$AI$6:$AM$102, 5, FALSE)*BP129), "")), 2), "")</f>
        <v/>
      </c>
      <c r="FZ129" s="253" t="str">
        <f>IFERROR(ROUND(IF(CD129="ERROR", "ERROR", IF(AND($FZ$6=Y129, E129="Interior"), IF(AND(OR(W129="Refrigerated Case Lighting with Doors", W129="Freezer Case Lighting"),Y129="Custom - Process Improvement"),CD129*'Lookup Tables'!$AM$101, IF(B129="Retrofit", IF(VLOOKUP(IF(V129="Custom", V129, W129), 'Lookup Tables'!$AI$6:$AM$102, 5, FALSE)*BP129&gt;GE129, GE129, VLOOKUP(IF(V129="Custom", V129, W129), 'Lookup Tables'!$AI$6:$AM$102, 5, FALSE)*BP129), IF(VLOOKUP(IF(V129="Custom", V129, W129), 'Lookup Tables'!$AI$114:$AM$154, 5, FALSE)*BP129&gt;GE129, GE129, VLOOKUP(IF(V129="Custom", V129, W129), 'Lookup Tables'!$AI$114:$AM$154, 5, FALSE)*BP129))), "")), 2),"")</f>
        <v/>
      </c>
      <c r="GA129" s="253" t="str">
        <f>IFERROR(ROUND(IF(CD129="ERROR", "ERROR", IF(AND($FZ$6=Y129, E129="Exterior"), IF(B129="Retrofit", IF(VLOOKUP(IF(V129="Custom", V129, W129), 'Lookup Tables'!$AI$6:$AM$102, 5, FALSE)*BP129&gt;GE129, GE129, VLOOKUP(IF(V129="Custom", V129, W129), 'Lookup Tables'!$AI$6:$AM$102, 5, FALSE)*BP129), IF(VLOOKUP(IF(V129="Custom", V129, W129), 'Lookup Tables'!$AI$114:$AM$154, 5, FALSE)*BP129&gt;GE129, GE129, VLOOKUP(IF(V129="Custom", V129, W129), 'Lookup Tables'!$AI$114:$AM$154, 5, FALSE)*BP129)), "")), 2),"")</f>
        <v/>
      </c>
      <c r="GB129" s="254" t="str">
        <f t="array" ref="GB129">IF(B129="","",IF(OR(V129="Custom",V129="No Change"),0,IF(B129="Retrofit", INDEX('Lookup Tables'!$AH$6:$AQ$102,MATCH(1,('Lookup Tables'!$AH$6:$AH$102='Lighting Inventory'!V129)*('Lookup Tables'!$AI$6:$AI$102='Lighting Inventory'!W129),FALSE),10),INDEX('Lookup Tables'!$AH$114:$AQ$154,MATCH(1,('Lookup Tables'!$AH$114:$AH$154='Lighting Inventory'!V129)*('Lookup Tables'!$AI$114:$AI$154='Lighting Inventory'!W129),FALSE),10))))</f>
        <v/>
      </c>
      <c r="GC129" s="255" t="str">
        <f t="shared" si="344"/>
        <v/>
      </c>
      <c r="GD129" s="250" t="str">
        <f t="shared" si="345"/>
        <v/>
      </c>
      <c r="GE129" s="253" t="str">
        <f>IFERROR(IF(AND(AF129="", 'General Information'!$F$18="No"),"", IF(AF129="", ((GD129/$CD$266)*$CF$266)*0.5, AF129*S129*0.5)), "")</f>
        <v/>
      </c>
      <c r="GF129" s="255" t="str">
        <f>IF(AND('General Information'!$F$19="", 'General Information'!$F$18="Yes",AF129="",BW129="Y"), "Y", "N")</f>
        <v>N</v>
      </c>
      <c r="GG129" s="255" t="s">
        <v>2946</v>
      </c>
      <c r="GH129" s="255" t="str">
        <f>IFERROR(IF(B129="", "", VLOOKUP(J129, 'Fixture Identities'!$A$6:$N$908, 14, FALSE)), "")</f>
        <v/>
      </c>
      <c r="GI129" s="389" t="str">
        <f>IF(OR(B129="", V129="", W129=""), "", IF(AND(OR(M129='Lookup Tables'!$R$18, M129='Lookup Tables'!$R$19, M129='Lookup Tables'!$R$20, M129='Lookup Tables'!$R$21, M129='Lookup Tables'!$R$22), OR(AN129='Lookup Tables'!$R$17, AN129='Lookup Tables'!$R$17, AN129="")), "Y", "N"))</f>
        <v/>
      </c>
      <c r="GJ129" s="255" t="str">
        <f t="shared" si="346"/>
        <v/>
      </c>
      <c r="GK129" s="255" t="str">
        <f t="shared" si="347"/>
        <v/>
      </c>
      <c r="GL129" s="255" t="str">
        <f t="shared" si="348"/>
        <v/>
      </c>
      <c r="GM129" s="255" t="str">
        <f>IF(AN129="", "", IF(AND(IF(ISNA(VLOOKUP(AN129,'Lookup Tables'!$R$18:$R$22,1,FALSE)), "N", "Y")="Y", E129="Exterior"), "Y", "N"))</f>
        <v/>
      </c>
      <c r="GN129" s="395"/>
      <c r="GO129" s="428">
        <f t="shared" si="394"/>
        <v>0</v>
      </c>
      <c r="GP129" s="428">
        <f t="shared" si="397"/>
        <v>0</v>
      </c>
      <c r="GQ129" s="428">
        <f t="shared" si="395"/>
        <v>0</v>
      </c>
      <c r="GR129" s="428">
        <f t="shared" si="396"/>
        <v>0</v>
      </c>
    </row>
    <row r="130" spans="1:200" s="103" customFormat="1" ht="13.5" customHeight="1" x14ac:dyDescent="0.2">
      <c r="A130" s="272">
        <v>120</v>
      </c>
      <c r="B130" s="110"/>
      <c r="C130" s="110"/>
      <c r="D130" s="110"/>
      <c r="E130" s="110"/>
      <c r="F130" s="110"/>
      <c r="G130" s="110"/>
      <c r="H130" s="110"/>
      <c r="I130" s="29"/>
      <c r="J130" s="29"/>
      <c r="K130" s="272" t="str">
        <f>IFERROR(IF(OR(VLOOKUP(J130, 'Fixture Identities'!$A$6:$L$1023, 3, FALSE)="T12 Linear Fluorescent", VLOOKUP(J130, 'Fixture Identities'!$A$6:$L$1023, 3, FALSE)="T12 U-Tube Fluorescent"), VLOOKUP(VLOOKUP(J130, 'Fixture Identities'!$A$6:$L$1023, 11, FALSE), 'Fixture Identities'!$A$6:$L$1023, 10, FALSE), VLOOKUP(J130, 'Fixture Identities'!$A$6:$L$1023, 10, FALSE)), "")</f>
        <v/>
      </c>
      <c r="L130" s="270" t="str">
        <f t="shared" si="399"/>
        <v/>
      </c>
      <c r="M130" s="110"/>
      <c r="N130" s="110"/>
      <c r="O130" s="110"/>
      <c r="P130" s="272" t="str">
        <f>IFERROR(IF(OR(B130="Retrofit",B130=""),"",IF('Lighting Inventory'!E130="Exterior",VLOOKUP('Lighting Inventory'!N130,'Lookup Tables'!$B$83:$F$103,5,FALSE),IF(N130="Other - Please Estimate EFLH and CFs","Contact Prog. Rep.","ft^2"))), "")</f>
        <v/>
      </c>
      <c r="Q130" s="270" t="str">
        <f>IFERROR(IF(AND(B130="New Construction",E130="Interior",$F$5="Space-by-Space"),VLOOKUP('Lighting Inventory'!N130,'Lookup Tables'!$N$6:$O$97,2,FALSE),IF(AND(B130="New Construction",E130="Exterior"),VLOOKUP(N130,'Lookup Tables'!$B$83:$F$103,2,FALSE),IF(AND(B130="New Construction",'Lighting Inventory'!E130="Interior", $F$5="Building Area"),VLOOKUP(F130,'Lookup Tables'!$A$6:$J$59,10,FALSE),""))), "")</f>
        <v/>
      </c>
      <c r="R130" s="270" t="str">
        <f>IFERROR(IF(P130="Contact Prog. Rep.", "ERROR", IF(OR(B130="",B130="Retrofit"),"",IF(N130="Automated teller machines", ('Lookup Tables'!$A$82:$E$100+('Lighting Inventory'!O130-1)*'Lookup Tables'!$A$82:$E$100)/1000, (Q130*O130)/1000))), "")</f>
        <v/>
      </c>
      <c r="S130" s="595"/>
      <c r="T130" s="105" t="str">
        <f t="shared" si="349"/>
        <v/>
      </c>
      <c r="U130" s="105" t="str">
        <f>IF(S130="","",COUNT($S$11:S130))</f>
        <v/>
      </c>
      <c r="V130" s="111"/>
      <c r="W130" s="112"/>
      <c r="X130" s="105" t="str">
        <f t="shared" si="350"/>
        <v/>
      </c>
      <c r="Y130" s="105" t="str">
        <f t="array" ref="Y130">IF(AND(OR(W130="Freezer Case Lighting", W130="Refrigerated Case Lighting with Doors"), 'General Information'!$X$18="LCI"),'Lookup Tables'!$Y$34, IF(V130="Custom", VLOOKUP(W130, 'Fixture Identities'!$A$974:$M$1023, 13, FALSE), IF(V130="No Change",'Lookup Tables'!$Y$29,IF(OR(V130="",W130=""),"",IF(AND(S130=0,S130&lt;I130,B130="Retrofit"),'Lookup Tables'!$Y$25, IF(B130="Retrofit", INDEX('Lookup Tables'!$AH$6:$AP$102, MATCH(1, ('Lookup Tables'!$AH$6:$AH$102=V130)*('Lookup Tables'!$AI$6:$AI$102=W130), 0), IF('Lighting Inventory'!E130="Interior", 4, 5)), INDEX('Lookup Tables'!$AH$114:$AP$154, MATCH(1, ('Lookup Tables'!$AH$114:$AH$154=V130)*('Lookup Tables'!$AI$114:$AI$154=W130), 0), IF('Lighting Inventory'!E130="Interior", 4, 5))))))))</f>
        <v/>
      </c>
      <c r="Z130" s="105" t="str">
        <f>IFERROR(INDEX('Lookup Tables'!$AH$158:$AH$172,MATCH('Lighting Inventory'!Y130,'Lookup Tables'!$AI$158:$AI$172,0)),"")</f>
        <v/>
      </c>
      <c r="AA130" s="105" t="str">
        <f>IF(AP130&gt;0,INDEX('Lookup Tables'!$AK$158:$AK$172,MATCH('Lighting Inventory'!Y130,'Lookup Tables'!$AI$158:$AI$172,0)),'Lighting Inventory'!Y130)</f>
        <v/>
      </c>
      <c r="AB130" s="105" t="str">
        <f t="array" ref="AB130">IF(V130="Custom", "Custom", IF(V130="", "", IF(V130="Not DLC or Energy Star", "General", IF(B130="New Construction", INDEX('Lookup Tables'!$AH$114:$AP$154,MATCH(1,('Lookup Tables'!$AH$114:$AH$154='Lighting Inventory'!V130)*('Lookup Tables'!$AI$114:$AI$154='Lighting Inventory'!W130),FALSE),8), INDEX('Lookup Tables'!$AH$6:$AP$102,MATCH(1,('Lookup Tables'!$AH$6:$AH$102='Lighting Inventory'!V130)*('Lookup Tables'!$AI$6:$AI$102='Lighting Inventory'!W130),FALSE),8)))))</f>
        <v/>
      </c>
      <c r="AC130" s="272" t="str">
        <f>IF(W130="","",IF(V130="Custom",CONCATENATE("$",'Lookup Tables'!$AM$101," ",'Lookup Tables'!$AN$101),CONCATENATE("$",INDEX('Lookup Tables'!$AM$6:$AM$102,MATCH('Lighting Inventory'!W130,'Lookup Tables'!$AI$6:$AI$102,0))," ",INDEX('Lookup Tables'!$AN$6:$AN$102,MATCH('Lighting Inventory'!W130,'Lookup Tables'!$AI$6:$AI$102,0)))))</f>
        <v/>
      </c>
      <c r="AD130" s="72"/>
      <c r="AE130" s="29"/>
      <c r="AF130" s="379"/>
      <c r="AG130" s="370" t="str">
        <f t="shared" si="298"/>
        <v/>
      </c>
      <c r="AH130" s="370" t="str">
        <f t="shared" si="351"/>
        <v/>
      </c>
      <c r="AI130" s="29"/>
      <c r="AJ130" s="29"/>
      <c r="AK130" s="110"/>
      <c r="AL130" s="375" t="str">
        <f>IF(OR(B130="", V130="", W130=""), "", IF(V130="No Change", K130, IF(V130="Remove Fixture", 0, IF(V130="Custom",VLOOKUP(W130,'Fixture Identities'!$A$6:$K$1023,10,FALSE),IF(AE130="", "← ENTER POST WATTS", 'Lighting Inventory'!AE130)))))</f>
        <v/>
      </c>
      <c r="AM130" s="376" t="str">
        <f t="shared" si="299"/>
        <v/>
      </c>
      <c r="AN130" s="29"/>
      <c r="AO130" s="671"/>
      <c r="AP130" s="29"/>
      <c r="AQ130" s="29"/>
      <c r="AR130" s="29"/>
      <c r="AS130" s="272" t="str">
        <f t="shared" si="352"/>
        <v/>
      </c>
      <c r="AT130" s="270" t="str">
        <f t="shared" si="300"/>
        <v/>
      </c>
      <c r="AU130" s="88" t="str">
        <f t="shared" si="400"/>
        <v/>
      </c>
      <c r="AV130" s="29"/>
      <c r="AW130" s="73"/>
      <c r="AX130" s="271" t="str">
        <f>IF(AND(AV130="Applicant",OR(AW130="", AW130="Use Default Facility Hours")),"← Choose Schedule",IF(F130="","",IF(W130="LED Exit Signs",8760,IF(OR(AV130="Prescribed",AV130=""),VLOOKUP(F130,'Lookup Tables'!$A$6:$G$59,IF(AB130="General", 6, 3),FALSE),VLOOKUP(AW130,'Lookup Tables'!$S$36:$U$43,2,FALSE)))))</f>
        <v/>
      </c>
      <c r="AY130" s="88" t="str">
        <f t="shared" si="301"/>
        <v/>
      </c>
      <c r="AZ130" s="270" t="str">
        <f>IFERROR(IF(F130="", "", IF(W130="LED Exit Signs", 1, IF(AV130="Applicant",VLOOKUP(AW130, 'Lookup Tables'!$S$36:$U$43,3, FALSE), VLOOKUP('Lighting Inventory'!F130, 'Lookup Tables'!$A$6:$H$59, IF('Lighting Inventory'!AB130="General",7,4), FALSE)))), "")</f>
        <v/>
      </c>
      <c r="BA130" s="522" t="str">
        <f>IFERROR(IF(F130="", "", IF(W130="LED Exit Signs", 1, VLOOKUP('Lighting Inventory'!F130, 'Lookup Tables'!$A$6:$H$59, IF('Lighting Inventory'!AB130="General",8,5), FALSE))), "")</f>
        <v/>
      </c>
      <c r="BB130" s="270" t="str">
        <f>IF(G130="", "", IF(E130="Exterior", 0, IF('Lighting Inventory'!G130="Air Conditioned", VLOOKUP(H130, 'Lookup Tables'!$R$6:$T$13, 2, FALSE), VLOOKUP('Lighting Inventory'!G130, 'Lookup Tables'!$R$6:$T$13, 2, FALSE))))</f>
        <v/>
      </c>
      <c r="BC130" s="522" t="str">
        <f>IF(G130="", "", IF(E130="Exterior", 0, IF('Lighting Inventory'!G130="Air Conditioned", VLOOKUP(H130, 'Lookup Tables'!$R$6:$T$13, 3, FALSE), VLOOKUP('Lighting Inventory'!G130, 'Lookup Tables'!$R$6:$T$13, 3, FALSE))))</f>
        <v/>
      </c>
      <c r="BD130" s="270" t="str">
        <f>IF(G130="", "", IF(E130="Exterior", 0, IF('Lighting Inventory'!G130="Air Conditioned", VLOOKUP(H130, 'Lookup Tables'!$R$6:$U$13, 4, FALSE), VLOOKUP('Lighting Inventory'!G130, 'Lookup Tables'!$R$6:$U$13, 4, FALSE))))</f>
        <v/>
      </c>
      <c r="BE130" s="270" t="str">
        <f>IFERROR(IF(B130="", "",  IF(B130="New Construction", VLOOKUP(F130, 'Lookup Tables'!$A$6:$K$59, 11, FALSE),IF(OR(AN130="", AN130="Light Switch"), 0, IF(OR(M130="",M130="None",V130= "LED Exit Signs"),0,_xlfn.XLOOKUP(M130,'Lookup Tables'!$R$91:$R$101,'Lookup Tables'!$V$91:$V$101))))), "")</f>
        <v/>
      </c>
      <c r="BF130" s="270" t="str">
        <f>IF(AND(OR(AN130="Light Switch",AN130=""),B130="New Construction"), VLOOKUP(F130, 'Lookup Tables'!$A$6:$K$59, 11, FALSE),IF(AN130="","",IF(B130="","",IF(OR(AN130="None",AN130="",V130="LED Exit Signs",AN130="Exterior Controls Not Eligible"),0,_xlfn.XLOOKUP(AN130,'Lookup Tables'!$R$91:$R$101,'Lookup Tables'!$V$91:$V$101)))))</f>
        <v/>
      </c>
      <c r="BG130" s="88" t="str">
        <f t="shared" si="353"/>
        <v/>
      </c>
      <c r="BH130" s="88" t="str">
        <f t="shared" si="354"/>
        <v/>
      </c>
      <c r="BI130" s="558" t="str">
        <f t="shared" si="398"/>
        <v/>
      </c>
      <c r="BJ130" s="82" t="str">
        <f t="shared" si="355"/>
        <v/>
      </c>
      <c r="BK130" s="82" t="str">
        <f t="shared" si="356"/>
        <v/>
      </c>
      <c r="BL130" s="559" t="str">
        <f t="shared" si="357"/>
        <v/>
      </c>
      <c r="BM130" s="521" t="str">
        <f t="shared" si="302"/>
        <v/>
      </c>
      <c r="BN130" s="521" t="str">
        <f t="shared" si="303"/>
        <v/>
      </c>
      <c r="BO130" s="522" t="str">
        <f t="shared" si="304"/>
        <v/>
      </c>
      <c r="BP130" s="83" t="str">
        <f t="shared" si="358"/>
        <v/>
      </c>
      <c r="BQ130" s="84" t="str">
        <f t="shared" si="359"/>
        <v/>
      </c>
      <c r="BR130" s="184" t="str">
        <f>IFERROR(IF(B130="", "", IF(OR(VLOOKUP(J130, 'Fixture Identities'!$A$6:$L$1023, 3, FALSE)="T12 Linear Fluorescent",VLOOKUP(J130, 'Fixture Identities'!$A$6:$L$1023, 3, FALSE)="T12 U-Tube Fluorescent"), "Y", "N")), "N")</f>
        <v/>
      </c>
      <c r="BS130" s="184" t="str">
        <f t="array" ref="BS130">IFERROR(IF(OR(B130="", V130="", W130=""), "", IF(V130="Custom", "N", IF(OR(W130="Freezer Case Lighting", W130="Refrigerated Case Lighting with Doors"), BT130, IF(B130="Retrofit", INDEX('Lookup Tables'!$AH$6:$AT$102,MATCH(1,('Lookup Tables'!$AH$6:$AH$102=V130)*('Lookup Tables'!$AI$6:$AI$102=W130),FALSE),IF(VLOOKUP(J130, 'Fixture Identities'!$A$6:$B$1023, 2, FALSE)="Incandescent",12, 13)), INDEX('Lookup Tables'!$AH$114:$AS$154,MATCH(1,('Lookup Tables'!$AH$114:$AH$154=V130)*('Lookup Tables'!$AI$114:$AI$154=W130),FALSE),12))))), "N")</f>
        <v/>
      </c>
      <c r="BT130" s="184" t="str">
        <f>IF(J130="", "", IF(AND(OR(W130="Freezer case Lighting", W130="Refrigerated Case Lighting with Doors"),'General Information'!$X$18="LCI"), "N", IF(OR(VLOOKUP(J130, 'Fixture Identities'!$A$6:$B$1023, 2, FALSE)="T12 EPACT/EISA Baseline", VLOOKUP(J130, 'Fixture Identities'!$A$6:$B$1023, 2, FALSE)="Linear Fluorescent", VLOOKUP(J130, 'Fixture Identities'!$A$6:$B$1023, 2, FALSE)="U-Tube Fluorescent"), "Y", "N")))</f>
        <v/>
      </c>
      <c r="BU130" s="184" t="str">
        <f>IFERROR(IF(B130="", "", IF(VLOOKUP(J130, 'Fixture Identities'!$A$6:$B$1023, 2, FALSE)="Exit Sign", "Y", "N")), "N")</f>
        <v/>
      </c>
      <c r="BV130" s="184" t="str">
        <f>IF(V130="Exit Signs", IF(VLOOKUP(J130, 'Fixture Identities'!$A$6:$B$1023, 2, FALSE)="Exit Sign", "N", "Y"), "")</f>
        <v/>
      </c>
      <c r="BW130" s="184" t="str">
        <f t="array" ref="BW130">IFERROR(IF(B130="", "", IF(B130="New Construction", "N", INDEX('Lookup Tables'!$AH$6:$AU$102, MATCH(1, ('Lookup Tables'!$AH$6:$AH$102='Lighting Inventory'!V130)*('Lookup Tables'!$AI$6:$AI$102='Lighting Inventory'!W130), 0), 14))), "N")</f>
        <v/>
      </c>
      <c r="BX130" s="598" t="str">
        <f t="shared" si="360"/>
        <v/>
      </c>
      <c r="BY130" s="598" t="str">
        <f t="shared" si="361"/>
        <v/>
      </c>
      <c r="BZ130" s="598" t="str">
        <f t="shared" si="362"/>
        <v/>
      </c>
      <c r="CA130" s="598" t="str">
        <f t="shared" si="363"/>
        <v/>
      </c>
      <c r="CB130" s="269" t="str">
        <f t="shared" si="364"/>
        <v/>
      </c>
      <c r="CC130" s="517" t="str">
        <f t="shared" si="365"/>
        <v/>
      </c>
      <c r="CD130" s="565" t="str">
        <f t="shared" si="305"/>
        <v/>
      </c>
      <c r="CE130" s="368">
        <v>0</v>
      </c>
      <c r="CF130" s="368" t="str" cm="1">
        <f t="array" ref="CF130">IFERROR(IF(V130="Custom", "$0.1 per kWh", IF(B130="New Construction", CONCATENATE("$",INDEX('Lookup Tables'!$AH$114:$AN$154,MATCH(1,('Lookup Tables'!$AH$114:$AH$154='Lighting Inventory'!V130)*('Lookup Tables'!$AI$114:$AI$154='Lighting Inventory'!W130),FALSE),6)," ",INDEX('Lookup Tables'!$AH$114:$AN$154,MATCH(1,('Lookup Tables'!$AH$114:$AH$154='Lighting Inventory'!V130)*('Lookup Tables'!$AI$114:$AI$154='Lighting Inventory'!W130),FALSE),7)), IF(AND(BU130="N", V130="Exit Signs"), "$0.025 per kWh", CONCATENATE("$",INDEX('Lookup Tables'!$AH$6:$AN$102,MATCH(1,('Lookup Tables'!$AH$6:$AH$102='Lighting Inventory'!V130)*('Lookup Tables'!$AI$6:$AI$102='Lighting Inventory'!W130),FALSE),6)," ",INDEX('Lookup Tables'!$AH$6:$AN$102,MATCH(1,('Lookup Tables'!$AH$6:$AH$102='Lighting Inventory'!V130)*('Lookup Tables'!$AI$6:$AI$102='Lighting Inventory'!W130),FALSE),7))))), "")</f>
        <v/>
      </c>
      <c r="CG130" s="366"/>
      <c r="CH130" s="248" t="str">
        <f t="shared" si="306"/>
        <v/>
      </c>
      <c r="CI130" s="248" t="str">
        <f t="shared" si="307"/>
        <v>Select_IE</v>
      </c>
      <c r="CJ130" s="248" t="str">
        <f t="shared" si="308"/>
        <v/>
      </c>
      <c r="CK130" s="248" t="str">
        <f t="shared" si="309"/>
        <v/>
      </c>
      <c r="CL130" s="248" t="str">
        <f t="shared" si="310"/>
        <v/>
      </c>
      <c r="CM130" s="248" t="str">
        <f>IFERROR(IF(B130="", "", IF(B130="New Construction", VLOOKUP(V130, 'Lookup Tables'!$AF$114:$AG$120, 2, FALSE), VLOOKUP(V130, 'Lookup Tables'!$AD$6:$AE$25, 2, FALSE))), "")</f>
        <v/>
      </c>
      <c r="CN130" s="248" t="str">
        <f t="shared" si="311"/>
        <v/>
      </c>
      <c r="CO130" s="248" t="str">
        <f t="shared" si="312"/>
        <v/>
      </c>
      <c r="CP130" s="592" t="str">
        <f t="shared" si="313"/>
        <v/>
      </c>
      <c r="CQ130" s="248" t="str">
        <f t="shared" si="366"/>
        <v/>
      </c>
      <c r="CR130" s="249"/>
      <c r="CS130" s="250" t="str">
        <f t="shared" si="314"/>
        <v/>
      </c>
      <c r="CT130" s="250" t="str">
        <f t="shared" si="367"/>
        <v/>
      </c>
      <c r="CU130" s="250" t="str">
        <f t="shared" si="368"/>
        <v/>
      </c>
      <c r="CV130" s="250" t="str">
        <f t="shared" si="369"/>
        <v/>
      </c>
      <c r="CW130" s="250" t="str">
        <f t="shared" si="370"/>
        <v/>
      </c>
      <c r="CX130" s="250" t="str">
        <f t="shared" si="315"/>
        <v/>
      </c>
      <c r="CY130" s="250" t="str">
        <f t="shared" si="316"/>
        <v/>
      </c>
      <c r="CZ130" s="250" t="str">
        <f t="shared" si="317"/>
        <v/>
      </c>
      <c r="DA130" s="250" t="str">
        <f t="shared" si="318"/>
        <v/>
      </c>
      <c r="DB130" s="250" t="str">
        <f t="shared" si="319"/>
        <v/>
      </c>
      <c r="DC130" s="250" t="str">
        <f t="shared" si="320"/>
        <v/>
      </c>
      <c r="DD130" s="250" t="str">
        <f t="shared" si="321"/>
        <v/>
      </c>
      <c r="DE130" s="250" t="str">
        <f t="shared" si="322"/>
        <v/>
      </c>
      <c r="DF130" s="250" t="str">
        <f t="shared" si="323"/>
        <v/>
      </c>
      <c r="DG130" s="250" t="str">
        <f t="shared" si="324"/>
        <v/>
      </c>
      <c r="DH130" s="250" t="str">
        <f t="shared" si="325"/>
        <v/>
      </c>
      <c r="DI130" s="250" t="str">
        <f t="shared" si="326"/>
        <v/>
      </c>
      <c r="DJ130" s="250" t="str">
        <f t="shared" si="327"/>
        <v/>
      </c>
      <c r="DK130" s="250" t="str">
        <f t="shared" si="328"/>
        <v/>
      </c>
      <c r="DL130" s="250" t="str">
        <f t="shared" si="329"/>
        <v/>
      </c>
      <c r="DM130" s="250" t="str">
        <f>IF(CD130="ERROR", "ERROR", IF(AND(OR(Y130=$DM$6, Y130='Lookup Tables'!$AD$21, Y130='Lookup Tables'!$AD$22), E130="Interior"), BJ130, ""))</f>
        <v/>
      </c>
      <c r="DN130" s="250" t="str">
        <f>IF(CD130="ERROR", "ERROR", IF(AND(OR(Y130=$DM$6, Y130='Lookup Tables'!$AD$21, Y130='Lookup Tables'!$AD$22), E130="Exterior"), BJ130, ""))</f>
        <v/>
      </c>
      <c r="DO130" s="249"/>
      <c r="DP130" s="250" t="str">
        <f t="shared" si="330"/>
        <v/>
      </c>
      <c r="DQ130" s="250" t="str">
        <f t="shared" si="371"/>
        <v/>
      </c>
      <c r="DR130" s="250" t="str">
        <f t="shared" si="372"/>
        <v/>
      </c>
      <c r="DS130" s="250" t="str">
        <f t="shared" si="373"/>
        <v/>
      </c>
      <c r="DT130" s="250" t="str">
        <f t="shared" si="374"/>
        <v/>
      </c>
      <c r="DU130" s="250" t="str">
        <f t="shared" si="331"/>
        <v/>
      </c>
      <c r="DV130" s="250" t="str">
        <f t="shared" si="332"/>
        <v/>
      </c>
      <c r="DW130" s="250" t="str">
        <f t="shared" si="333"/>
        <v/>
      </c>
      <c r="DX130" s="250" t="str">
        <f t="shared" si="334"/>
        <v/>
      </c>
      <c r="DY130" s="250" t="str">
        <f t="shared" si="335"/>
        <v/>
      </c>
      <c r="DZ130" s="250" t="str">
        <f t="shared" si="336"/>
        <v/>
      </c>
      <c r="EA130" s="250" t="str">
        <f t="shared" si="337"/>
        <v/>
      </c>
      <c r="EB130" s="250" t="str">
        <f t="shared" si="375"/>
        <v/>
      </c>
      <c r="EC130" s="250" t="str">
        <f t="shared" si="338"/>
        <v/>
      </c>
      <c r="ED130" s="250" t="str">
        <f t="shared" si="339"/>
        <v/>
      </c>
      <c r="EE130" s="250" t="str">
        <f t="shared" si="340"/>
        <v/>
      </c>
      <c r="EF130" s="250" t="str">
        <f t="shared" si="341"/>
        <v/>
      </c>
      <c r="EG130" s="250" t="str">
        <f t="shared" si="342"/>
        <v/>
      </c>
      <c r="EH130" s="250" t="str">
        <f>IF(CD130="ERROR", "ERROR", IF(AND(OR($EH$6=Y130, Y130='Lookup Tables'!$AD$21, Y130='Lookup Tables'!$AD$22),E130="Interior"), SUM(BP130:BP130), ""))</f>
        <v/>
      </c>
      <c r="EI130" s="250" t="str">
        <f>IF(CD130="ERROR", "ERROR", IF(AND(OR($EH$6=Y130, Y130='Lookup Tables'!$AD$21, Y130='Lookup Tables'!$AD$22),E130="Exterior"), SUM(BP130:BP130), ""))</f>
        <v/>
      </c>
      <c r="EJ130" s="109"/>
      <c r="EK130" s="485" t="str">
        <f t="shared" si="343"/>
        <v/>
      </c>
      <c r="EL130" s="252" t="str">
        <f t="shared" si="376"/>
        <v/>
      </c>
      <c r="EM130" s="252" t="str">
        <f t="shared" si="377"/>
        <v/>
      </c>
      <c r="EN130" s="252" t="str">
        <f t="shared" si="378"/>
        <v/>
      </c>
      <c r="EO130" s="252" t="str">
        <f t="shared" si="379"/>
        <v/>
      </c>
      <c r="EP130" s="252" t="str">
        <f t="shared" si="380"/>
        <v/>
      </c>
      <c r="EQ130" s="252" t="str">
        <f t="shared" si="381"/>
        <v/>
      </c>
      <c r="ER130" s="252" t="str">
        <f t="shared" si="382"/>
        <v/>
      </c>
      <c r="ES130" s="252" t="str">
        <f t="shared" si="383"/>
        <v/>
      </c>
      <c r="ET130" s="252" t="str">
        <f t="shared" si="384"/>
        <v/>
      </c>
      <c r="EU130" s="252" t="str">
        <f t="shared" si="385"/>
        <v/>
      </c>
      <c r="EV130" s="252" t="str">
        <f t="shared" si="386"/>
        <v/>
      </c>
      <c r="EW130" s="252" t="str">
        <f t="shared" si="387"/>
        <v/>
      </c>
      <c r="EX130" s="252" t="str">
        <f t="shared" si="388"/>
        <v/>
      </c>
      <c r="EY130" s="252" t="str">
        <f t="shared" si="389"/>
        <v/>
      </c>
      <c r="EZ130" s="252" t="str">
        <f t="shared" si="390"/>
        <v/>
      </c>
      <c r="FA130" s="252" t="str">
        <f t="shared" si="391"/>
        <v/>
      </c>
      <c r="FB130" s="252" t="str">
        <f t="shared" si="392"/>
        <v/>
      </c>
      <c r="FC130" s="252" t="str">
        <f>IF(CD130="ERROR", "ERROR", IF(OR(V130="No Change", V130="Not DLC or Energy Star"), "", IF(AND(OR($FC$6=Y130,Y130='Lookup Tables'!$AD$21, Y130='Lookup Tables'!$AD$22),E130="Interior"), S130, "")))</f>
        <v/>
      </c>
      <c r="FD130" s="252" t="str">
        <f t="shared" si="393"/>
        <v/>
      </c>
      <c r="FE130" s="1"/>
      <c r="FF130" s="579" t="str" cm="1">
        <f t="array" ref="FF130">IFERROR(IF(OR(BQ130&lt;=0,AQ130&lt;20,AND(V130="Exit Signs",AN130&gt;0)),"",IF(AND(AQ130&gt;=20,AN130='Lookup Tables'!$R$101),'Lookup Tables'!$U$101*BQ130,AP130*LOOKUP(2,1/((AN130='Lookup Tables'!$R$91:$R$111)*(AQ130&gt;='Lookup Tables'!$S$91:$S$111)*(AQ130&lt;='Lookup Tables'!$T$91:$T$111)),'Lookup Tables'!$U$91:$U$111))),"")</f>
        <v/>
      </c>
      <c r="FG130" s="579"/>
      <c r="FH130" s="579"/>
      <c r="FI130" s="253" t="str">
        <f>IFERROR(ROUND(IF(CD130="ERROR", "ERROR", IF(AND($FI$7=X130,E130="Interior"),VLOOKUP(W130, 'Lookup Tables'!$AI$6:$AM$102, 5, FALSE)*BP130, "")), 2), "")</f>
        <v/>
      </c>
      <c r="FJ130" s="253" t="str">
        <f>IFERROR(ROUND(IF(CD130="ERROR", "ERROR", IF(AND($FI$7=X130,E130="Exterior"),VLOOKUP(W130, 'Lookup Tables'!$AI$6:$AM$102, 5, FALSE)*BP130, "")), 2), "")</f>
        <v/>
      </c>
      <c r="FK130" s="253" t="str">
        <f>IFERROR(ROUND(IF(CD130="ERROR", "ERROR", IF(AND($FK$7=X130,E130="Interior"),VLOOKUP(W130, 'Lookup Tables'!$AI$6:$AM$102, 5, FALSE)*BP130, "")), 2), "")</f>
        <v/>
      </c>
      <c r="FL130" s="253" t="str">
        <f>IFERROR(ROUND(IF(CD130="ERROR", "ERROR", IF(AND($FK$7=X130,E130="Exterior"),VLOOKUP(W130, 'Lookup Tables'!$AI$6:$AM$102, 5, FALSE)*BP130, "")), 2), "")</f>
        <v/>
      </c>
      <c r="FM130" s="253" t="str">
        <f>IFERROR(ROUND(IF(CD130="ERROR", "ERROR", IF(AND($FM$6=Y130,E130="Interior"), IF(GB130=0, VLOOKUP(W130, 'Lookup Tables'!$AI$6:$AM$102, 5, FALSE)*BP130, IF(VLOOKUP(W130, 'Lookup Tables'!$AI$6:$AM$102, 5, FALSE)*BP130&gt;GB130*'Lighting Inventory'!S130, GB130*'Lighting Inventory'!S130,VLOOKUP(W130, 'Lookup Tables'!$AI$6:$AM$102, 5, FALSE)*BP130)), "")), 2), "")</f>
        <v/>
      </c>
      <c r="FN130" s="253" t="str">
        <f>IFERROR(ROUND(IF(CD130="ERROR", "ERROR", IF(AND($FM$6=Y130,E130="Exterior"), IF(GB130=0, VLOOKUP(W130, 'Lookup Tables'!$AI$6:$AM$102, 5, FALSE)*BP130, IF(VLOOKUP(W130, 'Lookup Tables'!$AI$6:$AM$102, 5, FALSE)*BP130&gt;GB130*'Lighting Inventory'!S130, GB130*'Lighting Inventory'!S130,VLOOKUP(W130, 'Lookup Tables'!$AI$6:$AM$102, 5, FALSE)*BP130)), "")), 2), "")</f>
        <v/>
      </c>
      <c r="FO130" s="253" t="str">
        <f>IFERROR(ROUND(IF(CD130="ERROR", "ERROR", IF(AND($FO$6=Y130,E130="Interior"),VLOOKUP(W130, 'Lookup Tables'!$AI$6:$AM$102, 5, FALSE)*'Lighting Inventory'!AI130, "")), 2), "")</f>
        <v/>
      </c>
      <c r="FP130" s="253" t="str">
        <f>IFERROR(ROUND(IF(CD130="ERROR", "ERROR", IF(AND($FO$6=Y130,E130="Exterior"),VLOOKUP(W130, 'Lookup Tables'!$AI$6:$AM$102, 5, FALSE)*'Lighting Inventory'!AI130, "")), 2), "")</f>
        <v/>
      </c>
      <c r="FQ130" s="253" t="str">
        <f>IFERROR(ROUND(IF(CD130="ERROR", "ERROR", IF(AND($FQ$6=Y130,E130="Interior", BU130="Y"), VLOOKUP('Lighting Inventory'!W130, 'Lookup Tables'!$AI$6:$AM$102, 5, FALSE)*'Lighting Inventory'!S130, IF(AND($FQ$7=Y130,E130="Interior", BU130="N"), 0.025*CD130, ""))), 2), "")</f>
        <v/>
      </c>
      <c r="FR130" s="253" t="str">
        <f>IFERROR(ROUND(IF(CD130="ERROR", "ERROR", IF(AND($FQ$6=Y130,E130="Exterior"), VLOOKUP('Lighting Inventory'!W130, 'Lookup Tables'!$AI$6:$AM$102, 5, FALSE)*'Lighting Inventory'!S130, "")), 2), "")</f>
        <v/>
      </c>
      <c r="FS130" s="253" t="str">
        <f>IFERROR(ROUND(IF(CD130="ERROR", "ERROR", IF(AND($FS$6=Y130,E130="Exterior"), IF(GB130=0, VLOOKUP(W130, 'Lookup Tables'!$AI$6:$AM$102, 5, FALSE)*BP130, IF(VLOOKUP(W130, 'Lookup Tables'!$AI$6:$AM$102, 5, FALSE)*BP130&gt;GB130*'Lighting Inventory'!S130, GB130*'Lighting Inventory'!S130,VLOOKUP(W130, 'Lookup Tables'!$AI$6:$AM$102, 5, FALSE)*BP130)), "")), 2), "")</f>
        <v/>
      </c>
      <c r="FT130" s="253" t="str">
        <f>IFERROR(ROUND(IF(CD130="ERROR", "ERROR", IF(AND($FT$6=Y130,E130="Interior"), IF(GB130=0, VLOOKUP(W130, 'Lookup Tables'!$AI$6:$AM$102, 5, FALSE)*BP130, IF(VLOOKUP(W130, 'Lookup Tables'!$AI$6:$AM$102, 5, FALSE)*BP130&gt;GB130*'Lighting Inventory'!S130, GB130*'Lighting Inventory'!S130,VLOOKUP(W130, 'Lookup Tables'!$AI$6:$AM$102, 5, FALSE)*BP130)), "")), 2), "")</f>
        <v/>
      </c>
      <c r="FU130" s="253" t="str">
        <f>IFERROR(ROUND(IF(CD130="ERROR", "ERROR", IF(AND(Y130=$FU$6, E130="Interior"), IF(BS130="N", 'Lookup Tables'!$AM$101*BP130, VLOOKUP(W130, 'Lookup Tables'!$AI$6:$AM$102, 5, FALSE)*S130*AD130), "")), 2), "")</f>
        <v/>
      </c>
      <c r="FV130" s="253" t="str">
        <f>IFERROR(ROUND(IF(CD130="ERROR", "ERROR", IF(AND(Y130=$FU$6, E130="Exterior"), IF(BS130="N", 'Lookup Tables'!$AM$101*BP130, VLOOKUP(W130, 'Lookup Tables'!$AI$6:$AM$102, 5, FALSE)*S130*AD130), "")), 2), "")</f>
        <v/>
      </c>
      <c r="FW130" s="253" t="str">
        <f>IFERROR(ROUND(IF(CD130="ERROR", "ERROR", IF($FW$6=Y130, IF(BS130="N", 'Lookup Tables'!$AM$101*BP130, MIN((VLOOKUP(W130, 'Lookup Tables'!$AI$6:$AM$102, 5, FALSE)*BP130),GB130*AJ130)), "")), 2), "")</f>
        <v/>
      </c>
      <c r="FX130" s="253" t="str">
        <f>IFERROR(ROUND(IF(CD130="ERROR", "ERROR", IF(AND($FX$6=Y130, E130="Interior"), IF(VLOOKUP(W130, 'Lookup Tables'!$AI$6:$AM$102, 5, FALSE)*BP130&gt;'Lookup Tables'!$AQ$97*'Lighting Inventory'!S130,'Lighting Inventory'!S130*'Lookup Tables'!$AQ$97,VLOOKUP(W130, 'Lookup Tables'!$AI$6:$AM$102, 5, FALSE)*BP130), "")), 2), "")</f>
        <v/>
      </c>
      <c r="FY130" s="253" t="str">
        <f>IFERROR(ROUND(IF(CD130="ERROR", "ERROR", IF(AND($FX$6=Y130, E130="Exterior"), IF(VLOOKUP(W130, 'Lookup Tables'!$AI$6:$AM$102, 5, FALSE)*BP130&gt;'Lookup Tables'!$AQ$97*'Lighting Inventory'!S130,'Lighting Inventory'!S130*'Lookup Tables'!$AQ$97,VLOOKUP(W130, 'Lookup Tables'!$AI$6:$AM$102, 5, FALSE)*BP130), "")), 2), "")</f>
        <v/>
      </c>
      <c r="FZ130" s="253" t="str">
        <f>IFERROR(ROUND(IF(CD130="ERROR", "ERROR", IF(AND($FZ$6=Y130, E130="Interior"), IF(AND(OR(W130="Refrigerated Case Lighting with Doors", W130="Freezer Case Lighting"),Y130="Custom - Process Improvement"),CD130*'Lookup Tables'!$AM$101, IF(B130="Retrofit", IF(VLOOKUP(IF(V130="Custom", V130, W130), 'Lookup Tables'!$AI$6:$AM$102, 5, FALSE)*BP130&gt;GE130, GE130, VLOOKUP(IF(V130="Custom", V130, W130), 'Lookup Tables'!$AI$6:$AM$102, 5, FALSE)*BP130), IF(VLOOKUP(IF(V130="Custom", V130, W130), 'Lookup Tables'!$AI$114:$AM$154, 5, FALSE)*BP130&gt;GE130, GE130, VLOOKUP(IF(V130="Custom", V130, W130), 'Lookup Tables'!$AI$114:$AM$154, 5, FALSE)*BP130))), "")), 2),"")</f>
        <v/>
      </c>
      <c r="GA130" s="253" t="str">
        <f>IFERROR(ROUND(IF(CD130="ERROR", "ERROR", IF(AND($FZ$6=Y130, E130="Exterior"), IF(B130="Retrofit", IF(VLOOKUP(IF(V130="Custom", V130, W130), 'Lookup Tables'!$AI$6:$AM$102, 5, FALSE)*BP130&gt;GE130, GE130, VLOOKUP(IF(V130="Custom", V130, W130), 'Lookup Tables'!$AI$6:$AM$102, 5, FALSE)*BP130), IF(VLOOKUP(IF(V130="Custom", V130, W130), 'Lookup Tables'!$AI$114:$AM$154, 5, FALSE)*BP130&gt;GE130, GE130, VLOOKUP(IF(V130="Custom", V130, W130), 'Lookup Tables'!$AI$114:$AM$154, 5, FALSE)*BP130)), "")), 2),"")</f>
        <v/>
      </c>
      <c r="GB130" s="254" t="str">
        <f t="array" ref="GB130">IF(B130="","",IF(OR(V130="Custom",V130="No Change"),0,IF(B130="Retrofit", INDEX('Lookup Tables'!$AH$6:$AQ$102,MATCH(1,('Lookup Tables'!$AH$6:$AH$102='Lighting Inventory'!V130)*('Lookup Tables'!$AI$6:$AI$102='Lighting Inventory'!W130),FALSE),10),INDEX('Lookup Tables'!$AH$114:$AQ$154,MATCH(1,('Lookup Tables'!$AH$114:$AH$154='Lighting Inventory'!V130)*('Lookup Tables'!$AI$114:$AI$154='Lighting Inventory'!W130),FALSE),10))))</f>
        <v/>
      </c>
      <c r="GC130" s="255" t="str">
        <f t="shared" si="344"/>
        <v/>
      </c>
      <c r="GD130" s="250" t="str">
        <f t="shared" si="345"/>
        <v/>
      </c>
      <c r="GE130" s="253" t="str">
        <f>IFERROR(IF(AND(AF130="", 'General Information'!$F$18="No"),"", IF(AF130="", ((GD130/$CD$266)*$CF$266)*0.5, AF130*S130*0.5)), "")</f>
        <v/>
      </c>
      <c r="GF130" s="255" t="str">
        <f>IF(AND('General Information'!$F$19="", 'General Information'!$F$18="Yes",AF130="",BW130="Y"), "Y", "N")</f>
        <v>N</v>
      </c>
      <c r="GG130" s="255" t="s">
        <v>2946</v>
      </c>
      <c r="GH130" s="255" t="str">
        <f>IFERROR(IF(B130="", "", VLOOKUP(J130, 'Fixture Identities'!$A$6:$N$908, 14, FALSE)), "")</f>
        <v/>
      </c>
      <c r="GI130" s="389" t="str">
        <f>IF(OR(B130="", V130="", W130=""), "", IF(AND(OR(M130='Lookup Tables'!$R$18, M130='Lookup Tables'!$R$19, M130='Lookup Tables'!$R$20, M130='Lookup Tables'!$R$21, M130='Lookup Tables'!$R$22), OR(AN130='Lookup Tables'!$R$17, AN130='Lookup Tables'!$R$17, AN130="")), "Y", "N"))</f>
        <v/>
      </c>
      <c r="GJ130" s="255" t="str">
        <f t="shared" si="346"/>
        <v/>
      </c>
      <c r="GK130" s="255" t="str">
        <f t="shared" si="347"/>
        <v/>
      </c>
      <c r="GL130" s="255" t="str">
        <f t="shared" si="348"/>
        <v/>
      </c>
      <c r="GM130" s="255" t="str">
        <f>IF(AN130="", "", IF(AND(IF(ISNA(VLOOKUP(AN130,'Lookup Tables'!$R$18:$R$22,1,FALSE)), "N", "Y")="Y", E130="Exterior"), "Y", "N"))</f>
        <v/>
      </c>
      <c r="GN130" s="395"/>
      <c r="GO130" s="428">
        <f t="shared" si="394"/>
        <v>0</v>
      </c>
      <c r="GP130" s="428">
        <f t="shared" si="397"/>
        <v>0</v>
      </c>
      <c r="GQ130" s="428">
        <f t="shared" si="395"/>
        <v>0</v>
      </c>
      <c r="GR130" s="428">
        <f t="shared" si="396"/>
        <v>0</v>
      </c>
    </row>
    <row r="131" spans="1:200" s="103" customFormat="1" ht="13.5" customHeight="1" x14ac:dyDescent="0.2">
      <c r="A131" s="272">
        <v>121</v>
      </c>
      <c r="B131" s="110"/>
      <c r="C131" s="110"/>
      <c r="D131" s="110"/>
      <c r="E131" s="110"/>
      <c r="F131" s="110"/>
      <c r="G131" s="110"/>
      <c r="H131" s="110"/>
      <c r="I131" s="29"/>
      <c r="J131" s="29"/>
      <c r="K131" s="272" t="str">
        <f>IFERROR(IF(OR(VLOOKUP(J131, 'Fixture Identities'!$A$6:$L$1023, 3, FALSE)="T12 Linear Fluorescent", VLOOKUP(J131, 'Fixture Identities'!$A$6:$L$1023, 3, FALSE)="T12 U-Tube Fluorescent"), VLOOKUP(VLOOKUP(J131, 'Fixture Identities'!$A$6:$L$1023, 11, FALSE), 'Fixture Identities'!$A$6:$L$1023, 10, FALSE), VLOOKUP(J131, 'Fixture Identities'!$A$6:$L$1023, 10, FALSE)), "")</f>
        <v/>
      </c>
      <c r="L131" s="270" t="str">
        <f t="shared" si="399"/>
        <v/>
      </c>
      <c r="M131" s="110"/>
      <c r="N131" s="110"/>
      <c r="O131" s="110"/>
      <c r="P131" s="272" t="str">
        <f>IFERROR(IF(OR(B131="Retrofit",B131=""),"",IF('Lighting Inventory'!E131="Exterior",VLOOKUP('Lighting Inventory'!N131,'Lookup Tables'!$B$83:$F$103,5,FALSE),IF(N131="Other - Please Estimate EFLH and CFs","Contact Prog. Rep.","ft^2"))), "")</f>
        <v/>
      </c>
      <c r="Q131" s="270" t="str">
        <f>IFERROR(IF(AND(B131="New Construction",E131="Interior",$F$5="Space-by-Space"),VLOOKUP('Lighting Inventory'!N131,'Lookup Tables'!$N$6:$O$97,2,FALSE),IF(AND(B131="New Construction",E131="Exterior"),VLOOKUP(N131,'Lookup Tables'!$B$83:$F$103,2,FALSE),IF(AND(B131="New Construction",'Lighting Inventory'!E131="Interior", $F$5="Building Area"),VLOOKUP(F131,'Lookup Tables'!$A$6:$J$59,10,FALSE),""))), "")</f>
        <v/>
      </c>
      <c r="R131" s="270" t="str">
        <f>IFERROR(IF(P131="Contact Prog. Rep.", "ERROR", IF(OR(B131="",B131="Retrofit"),"",IF(N131="Automated teller machines", ('Lookup Tables'!$A$82:$E$100+('Lighting Inventory'!O131-1)*'Lookup Tables'!$A$82:$E$100)/1000, (Q131*O131)/1000))), "")</f>
        <v/>
      </c>
      <c r="S131" s="595"/>
      <c r="T131" s="105" t="str">
        <f t="shared" si="349"/>
        <v/>
      </c>
      <c r="U131" s="105" t="str">
        <f>IF(S131="","",COUNT($S$11:S131))</f>
        <v/>
      </c>
      <c r="V131" s="111"/>
      <c r="W131" s="112"/>
      <c r="X131" s="105" t="str">
        <f t="shared" si="350"/>
        <v/>
      </c>
      <c r="Y131" s="105" t="str">
        <f t="array" ref="Y131">IF(AND(OR(W131="Freezer Case Lighting", W131="Refrigerated Case Lighting with Doors"), 'General Information'!$X$18="LCI"),'Lookup Tables'!$Y$34, IF(V131="Custom", VLOOKUP(W131, 'Fixture Identities'!$A$974:$M$1023, 13, FALSE), IF(V131="No Change",'Lookup Tables'!$Y$29,IF(OR(V131="",W131=""),"",IF(AND(S131=0,S131&lt;I131,B131="Retrofit"),'Lookup Tables'!$Y$25, IF(B131="Retrofit", INDEX('Lookup Tables'!$AH$6:$AP$102, MATCH(1, ('Lookup Tables'!$AH$6:$AH$102=V131)*('Lookup Tables'!$AI$6:$AI$102=W131), 0), IF('Lighting Inventory'!E131="Interior", 4, 5)), INDEX('Lookup Tables'!$AH$114:$AP$154, MATCH(1, ('Lookup Tables'!$AH$114:$AH$154=V131)*('Lookup Tables'!$AI$114:$AI$154=W131), 0), IF('Lighting Inventory'!E131="Interior", 4, 5))))))))</f>
        <v/>
      </c>
      <c r="Z131" s="105" t="str">
        <f>IFERROR(INDEX('Lookup Tables'!$AH$158:$AH$172,MATCH('Lighting Inventory'!Y131,'Lookup Tables'!$AI$158:$AI$172,0)),"")</f>
        <v/>
      </c>
      <c r="AA131" s="105" t="str">
        <f>IF(AP131&gt;0,INDEX('Lookup Tables'!$AK$158:$AK$172,MATCH('Lighting Inventory'!Y131,'Lookup Tables'!$AI$158:$AI$172,0)),'Lighting Inventory'!Y131)</f>
        <v/>
      </c>
      <c r="AB131" s="105" t="str">
        <f t="array" ref="AB131">IF(V131="Custom", "Custom", IF(V131="", "", IF(V131="Not DLC or Energy Star", "General", IF(B131="New Construction", INDEX('Lookup Tables'!$AH$114:$AP$154,MATCH(1,('Lookup Tables'!$AH$114:$AH$154='Lighting Inventory'!V131)*('Lookup Tables'!$AI$114:$AI$154='Lighting Inventory'!W131),FALSE),8), INDEX('Lookup Tables'!$AH$6:$AP$102,MATCH(1,('Lookup Tables'!$AH$6:$AH$102='Lighting Inventory'!V131)*('Lookup Tables'!$AI$6:$AI$102='Lighting Inventory'!W131),FALSE),8)))))</f>
        <v/>
      </c>
      <c r="AC131" s="272" t="str">
        <f>IF(W131="","",IF(V131="Custom",CONCATENATE("$",'Lookup Tables'!$AM$101," ",'Lookup Tables'!$AN$101),CONCATENATE("$",INDEX('Lookup Tables'!$AM$6:$AM$102,MATCH('Lighting Inventory'!W131,'Lookup Tables'!$AI$6:$AI$102,0))," ",INDEX('Lookup Tables'!$AN$6:$AN$102,MATCH('Lighting Inventory'!W131,'Lookup Tables'!$AI$6:$AI$102,0)))))</f>
        <v/>
      </c>
      <c r="AD131" s="72"/>
      <c r="AE131" s="29"/>
      <c r="AF131" s="379"/>
      <c r="AG131" s="370" t="str">
        <f t="shared" si="298"/>
        <v/>
      </c>
      <c r="AH131" s="370" t="str">
        <f t="shared" si="351"/>
        <v/>
      </c>
      <c r="AI131" s="29"/>
      <c r="AJ131" s="29"/>
      <c r="AK131" s="110"/>
      <c r="AL131" s="375" t="str">
        <f>IF(OR(B131="", V131="", W131=""), "", IF(V131="No Change", K131, IF(V131="Remove Fixture", 0, IF(V131="Custom",VLOOKUP(W131,'Fixture Identities'!$A$6:$K$1023,10,FALSE),IF(AE131="", "← ENTER POST WATTS", 'Lighting Inventory'!AE131)))))</f>
        <v/>
      </c>
      <c r="AM131" s="376" t="str">
        <f t="shared" si="299"/>
        <v/>
      </c>
      <c r="AN131" s="29"/>
      <c r="AO131" s="671"/>
      <c r="AP131" s="29"/>
      <c r="AQ131" s="29"/>
      <c r="AR131" s="29"/>
      <c r="AS131" s="272" t="str">
        <f t="shared" si="352"/>
        <v/>
      </c>
      <c r="AT131" s="270" t="str">
        <f t="shared" si="300"/>
        <v/>
      </c>
      <c r="AU131" s="88" t="str">
        <f t="shared" si="400"/>
        <v/>
      </c>
      <c r="AV131" s="29"/>
      <c r="AW131" s="73"/>
      <c r="AX131" s="271" t="str">
        <f>IF(AND(AV131="Applicant",OR(AW131="", AW131="Use Default Facility Hours")),"← Choose Schedule",IF(F131="","",IF(W131="LED Exit Signs",8760,IF(OR(AV131="Prescribed",AV131=""),VLOOKUP(F131,'Lookup Tables'!$A$6:$G$59,IF(AB131="General", 6, 3),FALSE),VLOOKUP(AW131,'Lookup Tables'!$S$36:$U$43,2,FALSE)))))</f>
        <v/>
      </c>
      <c r="AY131" s="88" t="str">
        <f t="shared" si="301"/>
        <v/>
      </c>
      <c r="AZ131" s="270" t="str">
        <f>IFERROR(IF(F131="", "", IF(W131="LED Exit Signs", 1, IF(AV131="Applicant",VLOOKUP(AW131, 'Lookup Tables'!$S$36:$U$43,3, FALSE), VLOOKUP('Lighting Inventory'!F131, 'Lookup Tables'!$A$6:$H$59, IF('Lighting Inventory'!AB131="General",7,4), FALSE)))), "")</f>
        <v/>
      </c>
      <c r="BA131" s="522" t="str">
        <f>IFERROR(IF(F131="", "", IF(W131="LED Exit Signs", 1, VLOOKUP('Lighting Inventory'!F131, 'Lookup Tables'!$A$6:$H$59, IF('Lighting Inventory'!AB131="General",8,5), FALSE))), "")</f>
        <v/>
      </c>
      <c r="BB131" s="270" t="str">
        <f>IF(G131="", "", IF(E131="Exterior", 0, IF('Lighting Inventory'!G131="Air Conditioned", VLOOKUP(H131, 'Lookup Tables'!$R$6:$T$13, 2, FALSE), VLOOKUP('Lighting Inventory'!G131, 'Lookup Tables'!$R$6:$T$13, 2, FALSE))))</f>
        <v/>
      </c>
      <c r="BC131" s="522" t="str">
        <f>IF(G131="", "", IF(E131="Exterior", 0, IF('Lighting Inventory'!G131="Air Conditioned", VLOOKUP(H131, 'Lookup Tables'!$R$6:$T$13, 3, FALSE), VLOOKUP('Lighting Inventory'!G131, 'Lookup Tables'!$R$6:$T$13, 3, FALSE))))</f>
        <v/>
      </c>
      <c r="BD131" s="270" t="str">
        <f>IF(G131="", "", IF(E131="Exterior", 0, IF('Lighting Inventory'!G131="Air Conditioned", VLOOKUP(H131, 'Lookup Tables'!$R$6:$U$13, 4, FALSE), VLOOKUP('Lighting Inventory'!G131, 'Lookup Tables'!$R$6:$U$13, 4, FALSE))))</f>
        <v/>
      </c>
      <c r="BE131" s="270" t="str">
        <f>IFERROR(IF(B131="", "",  IF(B131="New Construction", VLOOKUP(F131, 'Lookup Tables'!$A$6:$K$59, 11, FALSE),IF(OR(AN131="", AN131="Light Switch"), 0, IF(OR(M131="",M131="None",V131= "LED Exit Signs"),0,_xlfn.XLOOKUP(M131,'Lookup Tables'!$R$91:$R$101,'Lookup Tables'!$V$91:$V$101))))), "")</f>
        <v/>
      </c>
      <c r="BF131" s="270" t="str">
        <f>IF(AND(OR(AN131="Light Switch",AN131=""),B131="New Construction"), VLOOKUP(F131, 'Lookup Tables'!$A$6:$K$59, 11, FALSE),IF(AN131="","",IF(B131="","",IF(OR(AN131="None",AN131="",V131="LED Exit Signs",AN131="Exterior Controls Not Eligible"),0,_xlfn.XLOOKUP(AN131,'Lookup Tables'!$R$91:$R$101,'Lookup Tables'!$V$91:$V$101)))))</f>
        <v/>
      </c>
      <c r="BG131" s="88" t="str">
        <f t="shared" si="353"/>
        <v/>
      </c>
      <c r="BH131" s="88" t="str">
        <f t="shared" si="354"/>
        <v/>
      </c>
      <c r="BI131" s="558" t="str">
        <f t="shared" si="398"/>
        <v/>
      </c>
      <c r="BJ131" s="82" t="str">
        <f t="shared" si="355"/>
        <v/>
      </c>
      <c r="BK131" s="82" t="str">
        <f t="shared" si="356"/>
        <v/>
      </c>
      <c r="BL131" s="559" t="str">
        <f t="shared" si="357"/>
        <v/>
      </c>
      <c r="BM131" s="521" t="str">
        <f t="shared" si="302"/>
        <v/>
      </c>
      <c r="BN131" s="521" t="str">
        <f t="shared" si="303"/>
        <v/>
      </c>
      <c r="BO131" s="522" t="str">
        <f t="shared" si="304"/>
        <v/>
      </c>
      <c r="BP131" s="83" t="str">
        <f t="shared" si="358"/>
        <v/>
      </c>
      <c r="BQ131" s="84" t="str">
        <f t="shared" si="359"/>
        <v/>
      </c>
      <c r="BR131" s="184" t="str">
        <f>IFERROR(IF(B131="", "", IF(OR(VLOOKUP(J131, 'Fixture Identities'!$A$6:$L$1023, 3, FALSE)="T12 Linear Fluorescent",VLOOKUP(J131, 'Fixture Identities'!$A$6:$L$1023, 3, FALSE)="T12 U-Tube Fluorescent"), "Y", "N")), "N")</f>
        <v/>
      </c>
      <c r="BS131" s="184" t="str">
        <f t="array" ref="BS131">IFERROR(IF(OR(B131="", V131="", W131=""), "", IF(V131="Custom", "N", IF(OR(W131="Freezer Case Lighting", W131="Refrigerated Case Lighting with Doors"), BT131, IF(B131="Retrofit", INDEX('Lookup Tables'!$AH$6:$AT$102,MATCH(1,('Lookup Tables'!$AH$6:$AH$102=V131)*('Lookup Tables'!$AI$6:$AI$102=W131),FALSE),IF(VLOOKUP(J131, 'Fixture Identities'!$A$6:$B$1023, 2, FALSE)="Incandescent",12, 13)), INDEX('Lookup Tables'!$AH$114:$AS$154,MATCH(1,('Lookup Tables'!$AH$114:$AH$154=V131)*('Lookup Tables'!$AI$114:$AI$154=W131),FALSE),12))))), "N")</f>
        <v/>
      </c>
      <c r="BT131" s="184" t="str">
        <f>IF(J131="", "", IF(AND(OR(W131="Freezer case Lighting", W131="Refrigerated Case Lighting with Doors"),'General Information'!$X$18="LCI"), "N", IF(OR(VLOOKUP(J131, 'Fixture Identities'!$A$6:$B$1023, 2, FALSE)="T12 EPACT/EISA Baseline", VLOOKUP(J131, 'Fixture Identities'!$A$6:$B$1023, 2, FALSE)="Linear Fluorescent", VLOOKUP(J131, 'Fixture Identities'!$A$6:$B$1023, 2, FALSE)="U-Tube Fluorescent"), "Y", "N")))</f>
        <v/>
      </c>
      <c r="BU131" s="184" t="str">
        <f>IFERROR(IF(B131="", "", IF(VLOOKUP(J131, 'Fixture Identities'!$A$6:$B$1023, 2, FALSE)="Exit Sign", "Y", "N")), "N")</f>
        <v/>
      </c>
      <c r="BV131" s="184" t="str">
        <f>IF(V131="Exit Signs", IF(VLOOKUP(J131, 'Fixture Identities'!$A$6:$B$1023, 2, FALSE)="Exit Sign", "N", "Y"), "")</f>
        <v/>
      </c>
      <c r="BW131" s="184" t="str">
        <f t="array" ref="BW131">IFERROR(IF(B131="", "", IF(B131="New Construction", "N", INDEX('Lookup Tables'!$AH$6:$AU$102, MATCH(1, ('Lookup Tables'!$AH$6:$AH$102='Lighting Inventory'!V131)*('Lookup Tables'!$AI$6:$AI$102='Lighting Inventory'!W131), 0), 14))), "N")</f>
        <v/>
      </c>
      <c r="BX131" s="598" t="str">
        <f t="shared" si="360"/>
        <v/>
      </c>
      <c r="BY131" s="598" t="str">
        <f t="shared" si="361"/>
        <v/>
      </c>
      <c r="BZ131" s="598" t="str">
        <f t="shared" si="362"/>
        <v/>
      </c>
      <c r="CA131" s="598" t="str">
        <f t="shared" si="363"/>
        <v/>
      </c>
      <c r="CB131" s="269" t="str">
        <f t="shared" si="364"/>
        <v/>
      </c>
      <c r="CC131" s="517" t="str">
        <f t="shared" si="365"/>
        <v/>
      </c>
      <c r="CD131" s="565" t="str">
        <f t="shared" si="305"/>
        <v/>
      </c>
      <c r="CE131" s="368">
        <v>0</v>
      </c>
      <c r="CF131" s="368" t="str" cm="1">
        <f t="array" ref="CF131">IFERROR(IF(V131="Custom", "$0.1 per kWh", IF(B131="New Construction", CONCATENATE("$",INDEX('Lookup Tables'!$AH$114:$AN$154,MATCH(1,('Lookup Tables'!$AH$114:$AH$154='Lighting Inventory'!V131)*('Lookup Tables'!$AI$114:$AI$154='Lighting Inventory'!W131),FALSE),6)," ",INDEX('Lookup Tables'!$AH$114:$AN$154,MATCH(1,('Lookup Tables'!$AH$114:$AH$154='Lighting Inventory'!V131)*('Lookup Tables'!$AI$114:$AI$154='Lighting Inventory'!W131),FALSE),7)), IF(AND(BU131="N", V131="Exit Signs"), "$0.025 per kWh", CONCATENATE("$",INDEX('Lookup Tables'!$AH$6:$AN$102,MATCH(1,('Lookup Tables'!$AH$6:$AH$102='Lighting Inventory'!V131)*('Lookup Tables'!$AI$6:$AI$102='Lighting Inventory'!W131),FALSE),6)," ",INDEX('Lookup Tables'!$AH$6:$AN$102,MATCH(1,('Lookup Tables'!$AH$6:$AH$102='Lighting Inventory'!V131)*('Lookup Tables'!$AI$6:$AI$102='Lighting Inventory'!W131),FALSE),7))))), "")</f>
        <v/>
      </c>
      <c r="CG131" s="366"/>
      <c r="CH131" s="248" t="str">
        <f t="shared" si="306"/>
        <v/>
      </c>
      <c r="CI131" s="248" t="str">
        <f t="shared" si="307"/>
        <v>Select_IE</v>
      </c>
      <c r="CJ131" s="248" t="str">
        <f t="shared" si="308"/>
        <v/>
      </c>
      <c r="CK131" s="248" t="str">
        <f t="shared" si="309"/>
        <v/>
      </c>
      <c r="CL131" s="248" t="str">
        <f t="shared" si="310"/>
        <v/>
      </c>
      <c r="CM131" s="248" t="str">
        <f>IFERROR(IF(B131="", "", IF(B131="New Construction", VLOOKUP(V131, 'Lookup Tables'!$AF$114:$AG$120, 2, FALSE), VLOOKUP(V131, 'Lookup Tables'!$AD$6:$AE$25, 2, FALSE))), "")</f>
        <v/>
      </c>
      <c r="CN131" s="248" t="str">
        <f t="shared" si="311"/>
        <v/>
      </c>
      <c r="CO131" s="248" t="str">
        <f t="shared" si="312"/>
        <v/>
      </c>
      <c r="CP131" s="592" t="str">
        <f t="shared" si="313"/>
        <v/>
      </c>
      <c r="CQ131" s="248" t="str">
        <f t="shared" si="366"/>
        <v/>
      </c>
      <c r="CR131" s="100"/>
      <c r="CS131" s="250" t="str">
        <f t="shared" si="314"/>
        <v/>
      </c>
      <c r="CT131" s="250" t="str">
        <f t="shared" si="367"/>
        <v/>
      </c>
      <c r="CU131" s="250" t="str">
        <f t="shared" si="368"/>
        <v/>
      </c>
      <c r="CV131" s="250" t="str">
        <f t="shared" si="369"/>
        <v/>
      </c>
      <c r="CW131" s="250" t="str">
        <f t="shared" si="370"/>
        <v/>
      </c>
      <c r="CX131" s="250" t="str">
        <f t="shared" si="315"/>
        <v/>
      </c>
      <c r="CY131" s="250" t="str">
        <f t="shared" si="316"/>
        <v/>
      </c>
      <c r="CZ131" s="250" t="str">
        <f t="shared" si="317"/>
        <v/>
      </c>
      <c r="DA131" s="250" t="str">
        <f t="shared" si="318"/>
        <v/>
      </c>
      <c r="DB131" s="250" t="str">
        <f t="shared" si="319"/>
        <v/>
      </c>
      <c r="DC131" s="250" t="str">
        <f t="shared" si="320"/>
        <v/>
      </c>
      <c r="DD131" s="250" t="str">
        <f t="shared" si="321"/>
        <v/>
      </c>
      <c r="DE131" s="250" t="str">
        <f t="shared" si="322"/>
        <v/>
      </c>
      <c r="DF131" s="250" t="str">
        <f t="shared" si="323"/>
        <v/>
      </c>
      <c r="DG131" s="250" t="str">
        <f t="shared" si="324"/>
        <v/>
      </c>
      <c r="DH131" s="250" t="str">
        <f t="shared" si="325"/>
        <v/>
      </c>
      <c r="DI131" s="250" t="str">
        <f t="shared" si="326"/>
        <v/>
      </c>
      <c r="DJ131" s="250" t="str">
        <f t="shared" si="327"/>
        <v/>
      </c>
      <c r="DK131" s="250" t="str">
        <f t="shared" si="328"/>
        <v/>
      </c>
      <c r="DL131" s="250" t="str">
        <f t="shared" si="329"/>
        <v/>
      </c>
      <c r="DM131" s="250" t="str">
        <f>IF(CD131="ERROR", "ERROR", IF(AND(OR(Y131=$DM$6, Y131='Lookup Tables'!$AD$21, Y131='Lookup Tables'!$AD$22), E131="Interior"), BJ131, ""))</f>
        <v/>
      </c>
      <c r="DN131" s="250" t="str">
        <f>IF(CD131="ERROR", "ERROR", IF(AND(OR(Y131=$DM$6, Y131='Lookup Tables'!$AD$21, Y131='Lookup Tables'!$AD$22), E131="Exterior"), BJ131, ""))</f>
        <v/>
      </c>
      <c r="DO131" s="100"/>
      <c r="DP131" s="250" t="str">
        <f t="shared" si="330"/>
        <v/>
      </c>
      <c r="DQ131" s="250" t="str">
        <f t="shared" si="371"/>
        <v/>
      </c>
      <c r="DR131" s="250" t="str">
        <f t="shared" si="372"/>
        <v/>
      </c>
      <c r="DS131" s="250" t="str">
        <f t="shared" si="373"/>
        <v/>
      </c>
      <c r="DT131" s="250" t="str">
        <f t="shared" si="374"/>
        <v/>
      </c>
      <c r="DU131" s="250" t="str">
        <f t="shared" si="331"/>
        <v/>
      </c>
      <c r="DV131" s="250" t="str">
        <f t="shared" si="332"/>
        <v/>
      </c>
      <c r="DW131" s="250" t="str">
        <f t="shared" si="333"/>
        <v/>
      </c>
      <c r="DX131" s="250" t="str">
        <f t="shared" si="334"/>
        <v/>
      </c>
      <c r="DY131" s="250" t="str">
        <f t="shared" si="335"/>
        <v/>
      </c>
      <c r="DZ131" s="250" t="str">
        <f t="shared" si="336"/>
        <v/>
      </c>
      <c r="EA131" s="250" t="str">
        <f t="shared" si="337"/>
        <v/>
      </c>
      <c r="EB131" s="250" t="str">
        <f t="shared" si="375"/>
        <v/>
      </c>
      <c r="EC131" s="250" t="str">
        <f t="shared" si="338"/>
        <v/>
      </c>
      <c r="ED131" s="250" t="str">
        <f t="shared" si="339"/>
        <v/>
      </c>
      <c r="EE131" s="250" t="str">
        <f t="shared" si="340"/>
        <v/>
      </c>
      <c r="EF131" s="250" t="str">
        <f t="shared" si="341"/>
        <v/>
      </c>
      <c r="EG131" s="250" t="str">
        <f t="shared" si="342"/>
        <v/>
      </c>
      <c r="EH131" s="250" t="str">
        <f>IF(CD131="ERROR", "ERROR", IF(AND(OR($EH$6=Y131, Y131='Lookup Tables'!$AD$21, Y131='Lookup Tables'!$AD$22),E131="Interior"), SUM(BP131:BP131), ""))</f>
        <v/>
      </c>
      <c r="EI131" s="250" t="str">
        <f>IF(CD131="ERROR", "ERROR", IF(AND(OR($EH$6=Y131, Y131='Lookup Tables'!$AD$21, Y131='Lookup Tables'!$AD$22),E131="Exterior"), SUM(BP131:BP131), ""))</f>
        <v/>
      </c>
      <c r="EJ131" s="109"/>
      <c r="EK131" s="485" t="str">
        <f t="shared" si="343"/>
        <v/>
      </c>
      <c r="EL131" s="252" t="str">
        <f t="shared" si="376"/>
        <v/>
      </c>
      <c r="EM131" s="252" t="str">
        <f t="shared" si="377"/>
        <v/>
      </c>
      <c r="EN131" s="252" t="str">
        <f t="shared" si="378"/>
        <v/>
      </c>
      <c r="EO131" s="252" t="str">
        <f t="shared" si="379"/>
        <v/>
      </c>
      <c r="EP131" s="252" t="str">
        <f t="shared" si="380"/>
        <v/>
      </c>
      <c r="EQ131" s="252" t="str">
        <f t="shared" si="381"/>
        <v/>
      </c>
      <c r="ER131" s="252" t="str">
        <f t="shared" si="382"/>
        <v/>
      </c>
      <c r="ES131" s="252" t="str">
        <f t="shared" si="383"/>
        <v/>
      </c>
      <c r="ET131" s="252" t="str">
        <f t="shared" si="384"/>
        <v/>
      </c>
      <c r="EU131" s="252" t="str">
        <f t="shared" si="385"/>
        <v/>
      </c>
      <c r="EV131" s="252" t="str">
        <f t="shared" si="386"/>
        <v/>
      </c>
      <c r="EW131" s="252" t="str">
        <f t="shared" si="387"/>
        <v/>
      </c>
      <c r="EX131" s="252" t="str">
        <f t="shared" si="388"/>
        <v/>
      </c>
      <c r="EY131" s="252" t="str">
        <f t="shared" si="389"/>
        <v/>
      </c>
      <c r="EZ131" s="252" t="str">
        <f t="shared" si="390"/>
        <v/>
      </c>
      <c r="FA131" s="252" t="str">
        <f t="shared" si="391"/>
        <v/>
      </c>
      <c r="FB131" s="252" t="str">
        <f t="shared" si="392"/>
        <v/>
      </c>
      <c r="FC131" s="252" t="str">
        <f>IF(CD131="ERROR", "ERROR", IF(OR(V131="No Change", V131="Not DLC or Energy Star"), "", IF(AND(OR($FC$6=Y131,Y131='Lookup Tables'!$AD$21, Y131='Lookup Tables'!$AD$22),E131="Interior"), S131, "")))</f>
        <v/>
      </c>
      <c r="FD131" s="252" t="str">
        <f t="shared" si="393"/>
        <v/>
      </c>
      <c r="FE131" s="101"/>
      <c r="FF131" s="579" t="str" cm="1">
        <f t="array" ref="FF131">IFERROR(IF(OR(BQ131&lt;=0,AQ131&lt;20,AND(V131="Exit Signs",AN131&gt;0)),"",IF(AND(AQ131&gt;=20,AN131='Lookup Tables'!$R$101),'Lookup Tables'!$U$101*BQ131,AP131*LOOKUP(2,1/((AN131='Lookup Tables'!$R$91:$R$111)*(AQ131&gt;='Lookup Tables'!$S$91:$S$111)*(AQ131&lt;='Lookup Tables'!$T$91:$T$111)),'Lookup Tables'!$U$91:$U$111))),"")</f>
        <v/>
      </c>
      <c r="FG131" s="579"/>
      <c r="FH131" s="579"/>
      <c r="FI131" s="253" t="str">
        <f>IFERROR(ROUND(IF(CD131="ERROR", "ERROR", IF(AND($FI$7=X131,E131="Interior"),VLOOKUP(W131, 'Lookup Tables'!$AI$6:$AM$102, 5, FALSE)*BP131, "")), 2), "")</f>
        <v/>
      </c>
      <c r="FJ131" s="253" t="str">
        <f>IFERROR(ROUND(IF(CD131="ERROR", "ERROR", IF(AND($FI$7=X131,E131="Exterior"),VLOOKUP(W131, 'Lookup Tables'!$AI$6:$AM$102, 5, FALSE)*BP131, "")), 2), "")</f>
        <v/>
      </c>
      <c r="FK131" s="253" t="str">
        <f>IFERROR(ROUND(IF(CD131="ERROR", "ERROR", IF(AND($FK$7=X131,E131="Interior"),VLOOKUP(W131, 'Lookup Tables'!$AI$6:$AM$102, 5, FALSE)*BP131, "")), 2), "")</f>
        <v/>
      </c>
      <c r="FL131" s="253" t="str">
        <f>IFERROR(ROUND(IF(CD131="ERROR", "ERROR", IF(AND($FK$7=X131,E131="Exterior"),VLOOKUP(W131, 'Lookup Tables'!$AI$6:$AM$102, 5, FALSE)*BP131, "")), 2), "")</f>
        <v/>
      </c>
      <c r="FM131" s="253" t="str">
        <f>IFERROR(ROUND(IF(CD131="ERROR", "ERROR", IF(AND($FM$6=Y131,E131="Interior"), IF(GB131=0, VLOOKUP(W131, 'Lookup Tables'!$AI$6:$AM$102, 5, FALSE)*BP131, IF(VLOOKUP(W131, 'Lookup Tables'!$AI$6:$AM$102, 5, FALSE)*BP131&gt;GB131*'Lighting Inventory'!S131, GB131*'Lighting Inventory'!S131,VLOOKUP(W131, 'Lookup Tables'!$AI$6:$AM$102, 5, FALSE)*BP131)), "")), 2), "")</f>
        <v/>
      </c>
      <c r="FN131" s="253" t="str">
        <f>IFERROR(ROUND(IF(CD131="ERROR", "ERROR", IF(AND($FM$6=Y131,E131="Exterior"), IF(GB131=0, VLOOKUP(W131, 'Lookup Tables'!$AI$6:$AM$102, 5, FALSE)*BP131, IF(VLOOKUP(W131, 'Lookup Tables'!$AI$6:$AM$102, 5, FALSE)*BP131&gt;GB131*'Lighting Inventory'!S131, GB131*'Lighting Inventory'!S131,VLOOKUP(W131, 'Lookup Tables'!$AI$6:$AM$102, 5, FALSE)*BP131)), "")), 2), "")</f>
        <v/>
      </c>
      <c r="FO131" s="253" t="str">
        <f>IFERROR(ROUND(IF(CD131="ERROR", "ERROR", IF(AND($FO$6=Y131,E131="Interior"),VLOOKUP(W131, 'Lookup Tables'!$AI$6:$AM$102, 5, FALSE)*'Lighting Inventory'!AI131, "")), 2), "")</f>
        <v/>
      </c>
      <c r="FP131" s="253" t="str">
        <f>IFERROR(ROUND(IF(CD131="ERROR", "ERROR", IF(AND($FO$6=Y131,E131="Exterior"),VLOOKUP(W131, 'Lookup Tables'!$AI$6:$AM$102, 5, FALSE)*'Lighting Inventory'!AI131, "")), 2), "")</f>
        <v/>
      </c>
      <c r="FQ131" s="253" t="str">
        <f>IFERROR(ROUND(IF(CD131="ERROR", "ERROR", IF(AND($FQ$6=Y131,E131="Interior", BU131="Y"), VLOOKUP('Lighting Inventory'!W131, 'Lookup Tables'!$AI$6:$AM$102, 5, FALSE)*'Lighting Inventory'!S131, IF(AND($FQ$7=Y131,E131="Interior", BU131="N"), 0.025*CD131, ""))), 2), "")</f>
        <v/>
      </c>
      <c r="FR131" s="253" t="str">
        <f>IFERROR(ROUND(IF(CD131="ERROR", "ERROR", IF(AND($FQ$6=Y131,E131="Exterior"), VLOOKUP('Lighting Inventory'!W131, 'Lookup Tables'!$AI$6:$AM$102, 5, FALSE)*'Lighting Inventory'!S131, "")), 2), "")</f>
        <v/>
      </c>
      <c r="FS131" s="253" t="str">
        <f>IFERROR(ROUND(IF(CD131="ERROR", "ERROR", IF(AND($FS$6=Y131,E131="Exterior"), IF(GB131=0, VLOOKUP(W131, 'Lookup Tables'!$AI$6:$AM$102, 5, FALSE)*BP131, IF(VLOOKUP(W131, 'Lookup Tables'!$AI$6:$AM$102, 5, FALSE)*BP131&gt;GB131*'Lighting Inventory'!S131, GB131*'Lighting Inventory'!S131,VLOOKUP(W131, 'Lookup Tables'!$AI$6:$AM$102, 5, FALSE)*BP131)), "")), 2), "")</f>
        <v/>
      </c>
      <c r="FT131" s="253" t="str">
        <f>IFERROR(ROUND(IF(CD131="ERROR", "ERROR", IF(AND($FT$6=Y131,E131="Interior"), IF(GB131=0, VLOOKUP(W131, 'Lookup Tables'!$AI$6:$AM$102, 5, FALSE)*BP131, IF(VLOOKUP(W131, 'Lookup Tables'!$AI$6:$AM$102, 5, FALSE)*BP131&gt;GB131*'Lighting Inventory'!S131, GB131*'Lighting Inventory'!S131,VLOOKUP(W131, 'Lookup Tables'!$AI$6:$AM$102, 5, FALSE)*BP131)), "")), 2), "")</f>
        <v/>
      </c>
      <c r="FU131" s="253" t="str">
        <f>IFERROR(ROUND(IF(CD131="ERROR", "ERROR", IF(AND(Y131=$FU$6, E131="Interior"), IF(BS131="N", 'Lookup Tables'!$AM$101*BP131, VLOOKUP(W131, 'Lookup Tables'!$AI$6:$AM$102, 5, FALSE)*S131*AD131), "")), 2), "")</f>
        <v/>
      </c>
      <c r="FV131" s="253" t="str">
        <f>IFERROR(ROUND(IF(CD131="ERROR", "ERROR", IF(AND(Y131=$FU$6, E131="Exterior"), IF(BS131="N", 'Lookup Tables'!$AM$101*BP131, VLOOKUP(W131, 'Lookup Tables'!$AI$6:$AM$102, 5, FALSE)*S131*AD131), "")), 2), "")</f>
        <v/>
      </c>
      <c r="FW131" s="253" t="str">
        <f>IFERROR(ROUND(IF(CD131="ERROR", "ERROR", IF($FW$6=Y131, IF(BS131="N", 'Lookup Tables'!$AM$101*BP131, MIN((VLOOKUP(W131, 'Lookup Tables'!$AI$6:$AM$102, 5, FALSE)*BP131),GB131*AJ131)), "")), 2), "")</f>
        <v/>
      </c>
      <c r="FX131" s="253" t="str">
        <f>IFERROR(ROUND(IF(CD131="ERROR", "ERROR", IF(AND($FX$6=Y131, E131="Interior"), IF(VLOOKUP(W131, 'Lookup Tables'!$AI$6:$AM$102, 5, FALSE)*BP131&gt;'Lookup Tables'!$AQ$97*'Lighting Inventory'!S131,'Lighting Inventory'!S131*'Lookup Tables'!$AQ$97,VLOOKUP(W131, 'Lookup Tables'!$AI$6:$AM$102, 5, FALSE)*BP131), "")), 2), "")</f>
        <v/>
      </c>
      <c r="FY131" s="253" t="str">
        <f>IFERROR(ROUND(IF(CD131="ERROR", "ERROR", IF(AND($FX$6=Y131, E131="Exterior"), IF(VLOOKUP(W131, 'Lookup Tables'!$AI$6:$AM$102, 5, FALSE)*BP131&gt;'Lookup Tables'!$AQ$97*'Lighting Inventory'!S131,'Lighting Inventory'!S131*'Lookup Tables'!$AQ$97,VLOOKUP(W131, 'Lookup Tables'!$AI$6:$AM$102, 5, FALSE)*BP131), "")), 2), "")</f>
        <v/>
      </c>
      <c r="FZ131" s="253" t="str">
        <f>IFERROR(ROUND(IF(CD131="ERROR", "ERROR", IF(AND($FZ$6=Y131, E131="Interior"), IF(AND(OR(W131="Refrigerated Case Lighting with Doors", W131="Freezer Case Lighting"),Y131="Custom - Process Improvement"),CD131*'Lookup Tables'!$AM$101, IF(B131="Retrofit", IF(VLOOKUP(IF(V131="Custom", V131, W131), 'Lookup Tables'!$AI$6:$AM$102, 5, FALSE)*BP131&gt;GE131, GE131, VLOOKUP(IF(V131="Custom", V131, W131), 'Lookup Tables'!$AI$6:$AM$102, 5, FALSE)*BP131), IF(VLOOKUP(IF(V131="Custom", V131, W131), 'Lookup Tables'!$AI$114:$AM$154, 5, FALSE)*BP131&gt;GE131, GE131, VLOOKUP(IF(V131="Custom", V131, W131), 'Lookup Tables'!$AI$114:$AM$154, 5, FALSE)*BP131))), "")), 2),"")</f>
        <v/>
      </c>
      <c r="GA131" s="253" t="str">
        <f>IFERROR(ROUND(IF(CD131="ERROR", "ERROR", IF(AND($FZ$6=Y131, E131="Exterior"), IF(B131="Retrofit", IF(VLOOKUP(IF(V131="Custom", V131, W131), 'Lookup Tables'!$AI$6:$AM$102, 5, FALSE)*BP131&gt;GE131, GE131, VLOOKUP(IF(V131="Custom", V131, W131), 'Lookup Tables'!$AI$6:$AM$102, 5, FALSE)*BP131), IF(VLOOKUP(IF(V131="Custom", V131, W131), 'Lookup Tables'!$AI$114:$AM$154, 5, FALSE)*BP131&gt;GE131, GE131, VLOOKUP(IF(V131="Custom", V131, W131), 'Lookup Tables'!$AI$114:$AM$154, 5, FALSE)*BP131)), "")), 2),"")</f>
        <v/>
      </c>
      <c r="GB131" s="254" t="str">
        <f t="array" ref="GB131">IF(B131="","",IF(OR(V131="Custom",V131="No Change"),0,IF(B131="Retrofit", INDEX('Lookup Tables'!$AH$6:$AQ$102,MATCH(1,('Lookup Tables'!$AH$6:$AH$102='Lighting Inventory'!V131)*('Lookup Tables'!$AI$6:$AI$102='Lighting Inventory'!W131),FALSE),10),INDEX('Lookup Tables'!$AH$114:$AQ$154,MATCH(1,('Lookup Tables'!$AH$114:$AH$154='Lighting Inventory'!V131)*('Lookup Tables'!$AI$114:$AI$154='Lighting Inventory'!W131),FALSE),10))))</f>
        <v/>
      </c>
      <c r="GC131" s="255" t="str">
        <f t="shared" si="344"/>
        <v/>
      </c>
      <c r="GD131" s="250" t="str">
        <f t="shared" si="345"/>
        <v/>
      </c>
      <c r="GE131" s="253" t="str">
        <f>IFERROR(IF(AND(AF131="", 'General Information'!$F$18="No"),"", IF(AF131="", ((GD131/$CD$266)*$CF$266)*0.5, AF131*S131*0.5)), "")</f>
        <v/>
      </c>
      <c r="GF131" s="255" t="str">
        <f>IF(AND('General Information'!$F$19="", 'General Information'!$F$18="Yes",AF131="",BW131="Y"), "Y", "N")</f>
        <v>N</v>
      </c>
      <c r="GG131" s="255" t="s">
        <v>2946</v>
      </c>
      <c r="GH131" s="255" t="str">
        <f>IFERROR(IF(B131="", "", VLOOKUP(J131, 'Fixture Identities'!$A$6:$N$908, 14, FALSE)), "")</f>
        <v/>
      </c>
      <c r="GI131" s="389" t="str">
        <f>IF(OR(B131="", V131="", W131=""), "", IF(AND(OR(M131='Lookup Tables'!$R$18, M131='Lookup Tables'!$R$19, M131='Lookup Tables'!$R$20, M131='Lookup Tables'!$R$21, M131='Lookup Tables'!$R$22), OR(AN131='Lookup Tables'!$R$17, AN131='Lookup Tables'!$R$17, AN131="")), "Y", "N"))</f>
        <v/>
      </c>
      <c r="GJ131" s="255" t="str">
        <f t="shared" si="346"/>
        <v/>
      </c>
      <c r="GK131" s="255" t="str">
        <f t="shared" si="347"/>
        <v/>
      </c>
      <c r="GL131" s="255" t="str">
        <f t="shared" si="348"/>
        <v/>
      </c>
      <c r="GM131" s="255" t="str">
        <f>IF(AN131="", "", IF(AND(IF(ISNA(VLOOKUP(AN131,'Lookup Tables'!$R$18:$R$22,1,FALSE)), "N", "Y")="Y", E131="Exterior"), "Y", "N"))</f>
        <v/>
      </c>
      <c r="GN131" s="395"/>
      <c r="GO131" s="428">
        <f t="shared" si="394"/>
        <v>0</v>
      </c>
      <c r="GP131" s="428">
        <f t="shared" si="397"/>
        <v>0</v>
      </c>
      <c r="GQ131" s="428">
        <f t="shared" si="395"/>
        <v>0</v>
      </c>
      <c r="GR131" s="428">
        <f t="shared" si="396"/>
        <v>0</v>
      </c>
    </row>
    <row r="132" spans="1:200" s="103" customFormat="1" ht="13.5" customHeight="1" x14ac:dyDescent="0.2">
      <c r="A132" s="272">
        <v>122</v>
      </c>
      <c r="B132" s="110"/>
      <c r="C132" s="110"/>
      <c r="D132" s="110"/>
      <c r="E132" s="110"/>
      <c r="F132" s="110"/>
      <c r="G132" s="110"/>
      <c r="H132" s="110"/>
      <c r="I132" s="29"/>
      <c r="J132" s="29"/>
      <c r="K132" s="272" t="str">
        <f>IFERROR(IF(OR(VLOOKUP(J132, 'Fixture Identities'!$A$6:$L$1023, 3, FALSE)="T12 Linear Fluorescent", VLOOKUP(J132, 'Fixture Identities'!$A$6:$L$1023, 3, FALSE)="T12 U-Tube Fluorescent"), VLOOKUP(VLOOKUP(J132, 'Fixture Identities'!$A$6:$L$1023, 11, FALSE), 'Fixture Identities'!$A$6:$L$1023, 10, FALSE), VLOOKUP(J132, 'Fixture Identities'!$A$6:$L$1023, 10, FALSE)), "")</f>
        <v/>
      </c>
      <c r="L132" s="270" t="str">
        <f t="shared" si="399"/>
        <v/>
      </c>
      <c r="M132" s="110"/>
      <c r="N132" s="110"/>
      <c r="O132" s="110"/>
      <c r="P132" s="272" t="str">
        <f>IFERROR(IF(OR(B132="Retrofit",B132=""),"",IF('Lighting Inventory'!E132="Exterior",VLOOKUP('Lighting Inventory'!N132,'Lookup Tables'!$B$83:$F$103,5,FALSE),IF(N132="Other - Please Estimate EFLH and CFs","Contact Prog. Rep.","ft^2"))), "")</f>
        <v/>
      </c>
      <c r="Q132" s="270" t="str">
        <f>IFERROR(IF(AND(B132="New Construction",E132="Interior",$F$5="Space-by-Space"),VLOOKUP('Lighting Inventory'!N132,'Lookup Tables'!$N$6:$O$97,2,FALSE),IF(AND(B132="New Construction",E132="Exterior"),VLOOKUP(N132,'Lookup Tables'!$B$83:$F$103,2,FALSE),IF(AND(B132="New Construction",'Lighting Inventory'!E132="Interior", $F$5="Building Area"),VLOOKUP(F132,'Lookup Tables'!$A$6:$J$59,10,FALSE),""))), "")</f>
        <v/>
      </c>
      <c r="R132" s="270" t="str">
        <f>IFERROR(IF(P132="Contact Prog. Rep.", "ERROR", IF(OR(B132="",B132="Retrofit"),"",IF(N132="Automated teller machines", ('Lookup Tables'!$A$82:$E$100+('Lighting Inventory'!O132-1)*'Lookup Tables'!$A$82:$E$100)/1000, (Q132*O132)/1000))), "")</f>
        <v/>
      </c>
      <c r="S132" s="595"/>
      <c r="T132" s="105" t="str">
        <f t="shared" si="349"/>
        <v/>
      </c>
      <c r="U132" s="105" t="str">
        <f>IF(S132="","",COUNT($S$11:S132))</f>
        <v/>
      </c>
      <c r="V132" s="111"/>
      <c r="W132" s="112"/>
      <c r="X132" s="105" t="str">
        <f t="shared" si="350"/>
        <v/>
      </c>
      <c r="Y132" s="105" t="str">
        <f t="array" ref="Y132">IF(AND(OR(W132="Freezer Case Lighting", W132="Refrigerated Case Lighting with Doors"), 'General Information'!$X$18="LCI"),'Lookup Tables'!$Y$34, IF(V132="Custom", VLOOKUP(W132, 'Fixture Identities'!$A$974:$M$1023, 13, FALSE), IF(V132="No Change",'Lookup Tables'!$Y$29,IF(OR(V132="",W132=""),"",IF(AND(S132=0,S132&lt;I132,B132="Retrofit"),'Lookup Tables'!$Y$25, IF(B132="Retrofit", INDEX('Lookup Tables'!$AH$6:$AP$102, MATCH(1, ('Lookup Tables'!$AH$6:$AH$102=V132)*('Lookup Tables'!$AI$6:$AI$102=W132), 0), IF('Lighting Inventory'!E132="Interior", 4, 5)), INDEX('Lookup Tables'!$AH$114:$AP$154, MATCH(1, ('Lookup Tables'!$AH$114:$AH$154=V132)*('Lookup Tables'!$AI$114:$AI$154=W132), 0), IF('Lighting Inventory'!E132="Interior", 4, 5))))))))</f>
        <v/>
      </c>
      <c r="Z132" s="105" t="str">
        <f>IFERROR(INDEX('Lookup Tables'!$AH$158:$AH$172,MATCH('Lighting Inventory'!Y132,'Lookup Tables'!$AI$158:$AI$172,0)),"")</f>
        <v/>
      </c>
      <c r="AA132" s="105" t="str">
        <f>IF(AP132&gt;0,INDEX('Lookup Tables'!$AK$158:$AK$172,MATCH('Lighting Inventory'!Y132,'Lookup Tables'!$AI$158:$AI$172,0)),'Lighting Inventory'!Y132)</f>
        <v/>
      </c>
      <c r="AB132" s="105" t="str">
        <f t="array" ref="AB132">IF(V132="Custom", "Custom", IF(V132="", "", IF(V132="Not DLC or Energy Star", "General", IF(B132="New Construction", INDEX('Lookup Tables'!$AH$114:$AP$154,MATCH(1,('Lookup Tables'!$AH$114:$AH$154='Lighting Inventory'!V132)*('Lookup Tables'!$AI$114:$AI$154='Lighting Inventory'!W132),FALSE),8), INDEX('Lookup Tables'!$AH$6:$AP$102,MATCH(1,('Lookup Tables'!$AH$6:$AH$102='Lighting Inventory'!V132)*('Lookup Tables'!$AI$6:$AI$102='Lighting Inventory'!W132),FALSE),8)))))</f>
        <v/>
      </c>
      <c r="AC132" s="272" t="str">
        <f>IF(W132="","",IF(V132="Custom",CONCATENATE("$",'Lookup Tables'!$AM$101," ",'Lookup Tables'!$AN$101),CONCATENATE("$",INDEX('Lookup Tables'!$AM$6:$AM$102,MATCH('Lighting Inventory'!W132,'Lookup Tables'!$AI$6:$AI$102,0))," ",INDEX('Lookup Tables'!$AN$6:$AN$102,MATCH('Lighting Inventory'!W132,'Lookup Tables'!$AI$6:$AI$102,0)))))</f>
        <v/>
      </c>
      <c r="AD132" s="72"/>
      <c r="AE132" s="29"/>
      <c r="AF132" s="379"/>
      <c r="AG132" s="370" t="str">
        <f t="shared" si="298"/>
        <v/>
      </c>
      <c r="AH132" s="370" t="str">
        <f t="shared" si="351"/>
        <v/>
      </c>
      <c r="AI132" s="29"/>
      <c r="AJ132" s="29"/>
      <c r="AK132" s="110"/>
      <c r="AL132" s="375" t="str">
        <f>IF(OR(B132="", V132="", W132=""), "", IF(V132="No Change", K132, IF(V132="Remove Fixture", 0, IF(V132="Custom",VLOOKUP(W132,'Fixture Identities'!$A$6:$K$1023,10,FALSE),IF(AE132="", "← ENTER POST WATTS", 'Lighting Inventory'!AE132)))))</f>
        <v/>
      </c>
      <c r="AM132" s="376" t="str">
        <f t="shared" si="299"/>
        <v/>
      </c>
      <c r="AN132" s="29"/>
      <c r="AO132" s="671"/>
      <c r="AP132" s="29"/>
      <c r="AQ132" s="29"/>
      <c r="AR132" s="29"/>
      <c r="AS132" s="272" t="str">
        <f t="shared" si="352"/>
        <v/>
      </c>
      <c r="AT132" s="270" t="str">
        <f t="shared" si="300"/>
        <v/>
      </c>
      <c r="AU132" s="88" t="str">
        <f t="shared" si="400"/>
        <v/>
      </c>
      <c r="AV132" s="29"/>
      <c r="AW132" s="73"/>
      <c r="AX132" s="271" t="str">
        <f>IF(AND(AV132="Applicant",OR(AW132="", AW132="Use Default Facility Hours")),"← Choose Schedule",IF(F132="","",IF(W132="LED Exit Signs",8760,IF(OR(AV132="Prescribed",AV132=""),VLOOKUP(F132,'Lookup Tables'!$A$6:$G$59,IF(AB132="General", 6, 3),FALSE),VLOOKUP(AW132,'Lookup Tables'!$S$36:$U$43,2,FALSE)))))</f>
        <v/>
      </c>
      <c r="AY132" s="88" t="str">
        <f t="shared" si="301"/>
        <v/>
      </c>
      <c r="AZ132" s="270" t="str">
        <f>IFERROR(IF(F132="", "", IF(W132="LED Exit Signs", 1, IF(AV132="Applicant",VLOOKUP(AW132, 'Lookup Tables'!$S$36:$U$43,3, FALSE), VLOOKUP('Lighting Inventory'!F132, 'Lookup Tables'!$A$6:$H$59, IF('Lighting Inventory'!AB132="General",7,4), FALSE)))), "")</f>
        <v/>
      </c>
      <c r="BA132" s="522" t="str">
        <f>IFERROR(IF(F132="", "", IF(W132="LED Exit Signs", 1, VLOOKUP('Lighting Inventory'!F132, 'Lookup Tables'!$A$6:$H$59, IF('Lighting Inventory'!AB132="General",8,5), FALSE))), "")</f>
        <v/>
      </c>
      <c r="BB132" s="270" t="str">
        <f>IF(G132="", "", IF(E132="Exterior", 0, IF('Lighting Inventory'!G132="Air Conditioned", VLOOKUP(H132, 'Lookup Tables'!$R$6:$T$13, 2, FALSE), VLOOKUP('Lighting Inventory'!G132, 'Lookup Tables'!$R$6:$T$13, 2, FALSE))))</f>
        <v/>
      </c>
      <c r="BC132" s="522" t="str">
        <f>IF(G132="", "", IF(E132="Exterior", 0, IF('Lighting Inventory'!G132="Air Conditioned", VLOOKUP(H132, 'Lookup Tables'!$R$6:$T$13, 3, FALSE), VLOOKUP('Lighting Inventory'!G132, 'Lookup Tables'!$R$6:$T$13, 3, FALSE))))</f>
        <v/>
      </c>
      <c r="BD132" s="270" t="str">
        <f>IF(G132="", "", IF(E132="Exterior", 0, IF('Lighting Inventory'!G132="Air Conditioned", VLOOKUP(H132, 'Lookup Tables'!$R$6:$U$13, 4, FALSE), VLOOKUP('Lighting Inventory'!G132, 'Lookup Tables'!$R$6:$U$13, 4, FALSE))))</f>
        <v/>
      </c>
      <c r="BE132" s="270" t="str">
        <f>IFERROR(IF(B132="", "",  IF(B132="New Construction", VLOOKUP(F132, 'Lookup Tables'!$A$6:$K$59, 11, FALSE),IF(OR(AN132="", AN132="Light Switch"), 0, IF(OR(M132="",M132="None",V132= "LED Exit Signs"),0,_xlfn.XLOOKUP(M132,'Lookup Tables'!$R$91:$R$101,'Lookup Tables'!$V$91:$V$101))))), "")</f>
        <v/>
      </c>
      <c r="BF132" s="270" t="str">
        <f>IF(AND(OR(AN132="Light Switch",AN132=""),B132="New Construction"), VLOOKUP(F132, 'Lookup Tables'!$A$6:$K$59, 11, FALSE),IF(AN132="","",IF(B132="","",IF(OR(AN132="None",AN132="",V132="LED Exit Signs",AN132="Exterior Controls Not Eligible"),0,_xlfn.XLOOKUP(AN132,'Lookup Tables'!$R$91:$R$101,'Lookup Tables'!$V$91:$V$101)))))</f>
        <v/>
      </c>
      <c r="BG132" s="88" t="str">
        <f t="shared" si="353"/>
        <v/>
      </c>
      <c r="BH132" s="88" t="str">
        <f t="shared" si="354"/>
        <v/>
      </c>
      <c r="BI132" s="558" t="str">
        <f t="shared" si="398"/>
        <v/>
      </c>
      <c r="BJ132" s="82" t="str">
        <f t="shared" si="355"/>
        <v/>
      </c>
      <c r="BK132" s="82" t="str">
        <f t="shared" si="356"/>
        <v/>
      </c>
      <c r="BL132" s="559" t="str">
        <f t="shared" si="357"/>
        <v/>
      </c>
      <c r="BM132" s="521" t="str">
        <f t="shared" si="302"/>
        <v/>
      </c>
      <c r="BN132" s="521" t="str">
        <f t="shared" si="303"/>
        <v/>
      </c>
      <c r="BO132" s="522" t="str">
        <f t="shared" si="304"/>
        <v/>
      </c>
      <c r="BP132" s="83" t="str">
        <f t="shared" si="358"/>
        <v/>
      </c>
      <c r="BQ132" s="84" t="str">
        <f t="shared" si="359"/>
        <v/>
      </c>
      <c r="BR132" s="184" t="str">
        <f>IFERROR(IF(B132="", "", IF(OR(VLOOKUP(J132, 'Fixture Identities'!$A$6:$L$1023, 3, FALSE)="T12 Linear Fluorescent",VLOOKUP(J132, 'Fixture Identities'!$A$6:$L$1023, 3, FALSE)="T12 U-Tube Fluorescent"), "Y", "N")), "N")</f>
        <v/>
      </c>
      <c r="BS132" s="184" t="str">
        <f t="array" ref="BS132">IFERROR(IF(OR(B132="", V132="", W132=""), "", IF(V132="Custom", "N", IF(OR(W132="Freezer Case Lighting", W132="Refrigerated Case Lighting with Doors"), BT132, IF(B132="Retrofit", INDEX('Lookup Tables'!$AH$6:$AT$102,MATCH(1,('Lookup Tables'!$AH$6:$AH$102=V132)*('Lookup Tables'!$AI$6:$AI$102=W132),FALSE),IF(VLOOKUP(J132, 'Fixture Identities'!$A$6:$B$1023, 2, FALSE)="Incandescent",12, 13)), INDEX('Lookup Tables'!$AH$114:$AS$154,MATCH(1,('Lookup Tables'!$AH$114:$AH$154=V132)*('Lookup Tables'!$AI$114:$AI$154=W132),FALSE),12))))), "N")</f>
        <v/>
      </c>
      <c r="BT132" s="184" t="str">
        <f>IF(J132="", "", IF(AND(OR(W132="Freezer case Lighting", W132="Refrigerated Case Lighting with Doors"),'General Information'!$X$18="LCI"), "N", IF(OR(VLOOKUP(J132, 'Fixture Identities'!$A$6:$B$1023, 2, FALSE)="T12 EPACT/EISA Baseline", VLOOKUP(J132, 'Fixture Identities'!$A$6:$B$1023, 2, FALSE)="Linear Fluorescent", VLOOKUP(J132, 'Fixture Identities'!$A$6:$B$1023, 2, FALSE)="U-Tube Fluorescent"), "Y", "N")))</f>
        <v/>
      </c>
      <c r="BU132" s="184" t="str">
        <f>IFERROR(IF(B132="", "", IF(VLOOKUP(J132, 'Fixture Identities'!$A$6:$B$1023, 2, FALSE)="Exit Sign", "Y", "N")), "N")</f>
        <v/>
      </c>
      <c r="BV132" s="184" t="str">
        <f>IF(V132="Exit Signs", IF(VLOOKUP(J132, 'Fixture Identities'!$A$6:$B$1023, 2, FALSE)="Exit Sign", "N", "Y"), "")</f>
        <v/>
      </c>
      <c r="BW132" s="184" t="str">
        <f t="array" ref="BW132">IFERROR(IF(B132="", "", IF(B132="New Construction", "N", INDEX('Lookup Tables'!$AH$6:$AU$102, MATCH(1, ('Lookup Tables'!$AH$6:$AH$102='Lighting Inventory'!V132)*('Lookup Tables'!$AI$6:$AI$102='Lighting Inventory'!W132), 0), 14))), "N")</f>
        <v/>
      </c>
      <c r="BX132" s="598" t="str">
        <f t="shared" si="360"/>
        <v/>
      </c>
      <c r="BY132" s="598" t="str">
        <f t="shared" si="361"/>
        <v/>
      </c>
      <c r="BZ132" s="598" t="str">
        <f t="shared" si="362"/>
        <v/>
      </c>
      <c r="CA132" s="598" t="str">
        <f t="shared" si="363"/>
        <v/>
      </c>
      <c r="CB132" s="269" t="str">
        <f t="shared" si="364"/>
        <v/>
      </c>
      <c r="CC132" s="517" t="str">
        <f t="shared" si="365"/>
        <v/>
      </c>
      <c r="CD132" s="565" t="str">
        <f t="shared" si="305"/>
        <v/>
      </c>
      <c r="CE132" s="368">
        <v>0</v>
      </c>
      <c r="CF132" s="368" t="str" cm="1">
        <f t="array" ref="CF132">IFERROR(IF(V132="Custom", "$0.1 per kWh", IF(B132="New Construction", CONCATENATE("$",INDEX('Lookup Tables'!$AH$114:$AN$154,MATCH(1,('Lookup Tables'!$AH$114:$AH$154='Lighting Inventory'!V132)*('Lookup Tables'!$AI$114:$AI$154='Lighting Inventory'!W132),FALSE),6)," ",INDEX('Lookup Tables'!$AH$114:$AN$154,MATCH(1,('Lookup Tables'!$AH$114:$AH$154='Lighting Inventory'!V132)*('Lookup Tables'!$AI$114:$AI$154='Lighting Inventory'!W132),FALSE),7)), IF(AND(BU132="N", V132="Exit Signs"), "$0.025 per kWh", CONCATENATE("$",INDEX('Lookup Tables'!$AH$6:$AN$102,MATCH(1,('Lookup Tables'!$AH$6:$AH$102='Lighting Inventory'!V132)*('Lookup Tables'!$AI$6:$AI$102='Lighting Inventory'!W132),FALSE),6)," ",INDEX('Lookup Tables'!$AH$6:$AN$102,MATCH(1,('Lookup Tables'!$AH$6:$AH$102='Lighting Inventory'!V132)*('Lookup Tables'!$AI$6:$AI$102='Lighting Inventory'!W132),FALSE),7))))), "")</f>
        <v/>
      </c>
      <c r="CG132" s="366"/>
      <c r="CH132" s="248" t="str">
        <f t="shared" si="306"/>
        <v/>
      </c>
      <c r="CI132" s="248" t="str">
        <f t="shared" si="307"/>
        <v>Select_IE</v>
      </c>
      <c r="CJ132" s="248" t="str">
        <f t="shared" si="308"/>
        <v/>
      </c>
      <c r="CK132" s="248" t="str">
        <f t="shared" si="309"/>
        <v/>
      </c>
      <c r="CL132" s="248" t="str">
        <f t="shared" si="310"/>
        <v/>
      </c>
      <c r="CM132" s="248" t="str">
        <f>IFERROR(IF(B132="", "", IF(B132="New Construction", VLOOKUP(V132, 'Lookup Tables'!$AF$114:$AG$120, 2, FALSE), VLOOKUP(V132, 'Lookup Tables'!$AD$6:$AE$25, 2, FALSE))), "")</f>
        <v/>
      </c>
      <c r="CN132" s="248" t="str">
        <f t="shared" si="311"/>
        <v/>
      </c>
      <c r="CO132" s="248" t="str">
        <f t="shared" si="312"/>
        <v/>
      </c>
      <c r="CP132" s="592" t="str">
        <f t="shared" si="313"/>
        <v/>
      </c>
      <c r="CQ132" s="248" t="str">
        <f t="shared" si="366"/>
        <v/>
      </c>
      <c r="CR132" s="100"/>
      <c r="CS132" s="250" t="str">
        <f t="shared" si="314"/>
        <v/>
      </c>
      <c r="CT132" s="250" t="str">
        <f t="shared" si="367"/>
        <v/>
      </c>
      <c r="CU132" s="250" t="str">
        <f t="shared" si="368"/>
        <v/>
      </c>
      <c r="CV132" s="250" t="str">
        <f t="shared" si="369"/>
        <v/>
      </c>
      <c r="CW132" s="250" t="str">
        <f t="shared" si="370"/>
        <v/>
      </c>
      <c r="CX132" s="250" t="str">
        <f t="shared" si="315"/>
        <v/>
      </c>
      <c r="CY132" s="250" t="str">
        <f t="shared" si="316"/>
        <v/>
      </c>
      <c r="CZ132" s="250" t="str">
        <f t="shared" si="317"/>
        <v/>
      </c>
      <c r="DA132" s="250" t="str">
        <f t="shared" si="318"/>
        <v/>
      </c>
      <c r="DB132" s="250" t="str">
        <f t="shared" si="319"/>
        <v/>
      </c>
      <c r="DC132" s="250" t="str">
        <f t="shared" si="320"/>
        <v/>
      </c>
      <c r="DD132" s="250" t="str">
        <f t="shared" si="321"/>
        <v/>
      </c>
      <c r="DE132" s="250" t="str">
        <f t="shared" si="322"/>
        <v/>
      </c>
      <c r="DF132" s="250" t="str">
        <f t="shared" si="323"/>
        <v/>
      </c>
      <c r="DG132" s="250" t="str">
        <f t="shared" si="324"/>
        <v/>
      </c>
      <c r="DH132" s="250" t="str">
        <f t="shared" si="325"/>
        <v/>
      </c>
      <c r="DI132" s="250" t="str">
        <f t="shared" si="326"/>
        <v/>
      </c>
      <c r="DJ132" s="250" t="str">
        <f t="shared" si="327"/>
        <v/>
      </c>
      <c r="DK132" s="250" t="str">
        <f t="shared" si="328"/>
        <v/>
      </c>
      <c r="DL132" s="250" t="str">
        <f t="shared" si="329"/>
        <v/>
      </c>
      <c r="DM132" s="250" t="str">
        <f>IF(CD132="ERROR", "ERROR", IF(AND(OR(Y132=$DM$6, Y132='Lookup Tables'!$AD$21, Y132='Lookup Tables'!$AD$22), E132="Interior"), BJ132, ""))</f>
        <v/>
      </c>
      <c r="DN132" s="250" t="str">
        <f>IF(CD132="ERROR", "ERROR", IF(AND(OR(Y132=$DM$6, Y132='Lookup Tables'!$AD$21, Y132='Lookup Tables'!$AD$22), E132="Exterior"), BJ132, ""))</f>
        <v/>
      </c>
      <c r="DO132" s="100"/>
      <c r="DP132" s="250" t="str">
        <f t="shared" si="330"/>
        <v/>
      </c>
      <c r="DQ132" s="250" t="str">
        <f t="shared" si="371"/>
        <v/>
      </c>
      <c r="DR132" s="250" t="str">
        <f t="shared" si="372"/>
        <v/>
      </c>
      <c r="DS132" s="250" t="str">
        <f t="shared" si="373"/>
        <v/>
      </c>
      <c r="DT132" s="250" t="str">
        <f t="shared" si="374"/>
        <v/>
      </c>
      <c r="DU132" s="250" t="str">
        <f t="shared" si="331"/>
        <v/>
      </c>
      <c r="DV132" s="250" t="str">
        <f t="shared" si="332"/>
        <v/>
      </c>
      <c r="DW132" s="250" t="str">
        <f t="shared" si="333"/>
        <v/>
      </c>
      <c r="DX132" s="250" t="str">
        <f t="shared" si="334"/>
        <v/>
      </c>
      <c r="DY132" s="250" t="str">
        <f t="shared" si="335"/>
        <v/>
      </c>
      <c r="DZ132" s="250" t="str">
        <f t="shared" si="336"/>
        <v/>
      </c>
      <c r="EA132" s="250" t="str">
        <f t="shared" si="337"/>
        <v/>
      </c>
      <c r="EB132" s="250" t="str">
        <f t="shared" si="375"/>
        <v/>
      </c>
      <c r="EC132" s="250" t="str">
        <f t="shared" si="338"/>
        <v/>
      </c>
      <c r="ED132" s="250" t="str">
        <f t="shared" si="339"/>
        <v/>
      </c>
      <c r="EE132" s="250" t="str">
        <f t="shared" si="340"/>
        <v/>
      </c>
      <c r="EF132" s="250" t="str">
        <f t="shared" si="341"/>
        <v/>
      </c>
      <c r="EG132" s="250" t="str">
        <f t="shared" si="342"/>
        <v/>
      </c>
      <c r="EH132" s="250" t="str">
        <f>IF(CD132="ERROR", "ERROR", IF(AND(OR($EH$6=Y132, Y132='Lookup Tables'!$AD$21, Y132='Lookup Tables'!$AD$22),E132="Interior"), SUM(BP132:BP132), ""))</f>
        <v/>
      </c>
      <c r="EI132" s="250" t="str">
        <f>IF(CD132="ERROR", "ERROR", IF(AND(OR($EH$6=Y132, Y132='Lookup Tables'!$AD$21, Y132='Lookup Tables'!$AD$22),E132="Exterior"), SUM(BP132:BP132), ""))</f>
        <v/>
      </c>
      <c r="EJ132" s="109"/>
      <c r="EK132" s="485" t="str">
        <f t="shared" si="343"/>
        <v/>
      </c>
      <c r="EL132" s="252" t="str">
        <f t="shared" si="376"/>
        <v/>
      </c>
      <c r="EM132" s="252" t="str">
        <f t="shared" si="377"/>
        <v/>
      </c>
      <c r="EN132" s="252" t="str">
        <f t="shared" si="378"/>
        <v/>
      </c>
      <c r="EO132" s="252" t="str">
        <f t="shared" si="379"/>
        <v/>
      </c>
      <c r="EP132" s="252" t="str">
        <f t="shared" si="380"/>
        <v/>
      </c>
      <c r="EQ132" s="252" t="str">
        <f t="shared" si="381"/>
        <v/>
      </c>
      <c r="ER132" s="252" t="str">
        <f t="shared" si="382"/>
        <v/>
      </c>
      <c r="ES132" s="252" t="str">
        <f t="shared" si="383"/>
        <v/>
      </c>
      <c r="ET132" s="252" t="str">
        <f t="shared" si="384"/>
        <v/>
      </c>
      <c r="EU132" s="252" t="str">
        <f t="shared" si="385"/>
        <v/>
      </c>
      <c r="EV132" s="252" t="str">
        <f t="shared" si="386"/>
        <v/>
      </c>
      <c r="EW132" s="252" t="str">
        <f t="shared" si="387"/>
        <v/>
      </c>
      <c r="EX132" s="252" t="str">
        <f t="shared" si="388"/>
        <v/>
      </c>
      <c r="EY132" s="252" t="str">
        <f t="shared" si="389"/>
        <v/>
      </c>
      <c r="EZ132" s="252" t="str">
        <f t="shared" si="390"/>
        <v/>
      </c>
      <c r="FA132" s="252" t="str">
        <f t="shared" si="391"/>
        <v/>
      </c>
      <c r="FB132" s="252" t="str">
        <f t="shared" si="392"/>
        <v/>
      </c>
      <c r="FC132" s="252" t="str">
        <f>IF(CD132="ERROR", "ERROR", IF(OR(V132="No Change", V132="Not DLC or Energy Star"), "", IF(AND(OR($FC$6=Y132,Y132='Lookup Tables'!$AD$21, Y132='Lookup Tables'!$AD$22),E132="Interior"), S132, "")))</f>
        <v/>
      </c>
      <c r="FD132" s="252" t="str">
        <f t="shared" si="393"/>
        <v/>
      </c>
      <c r="FE132" s="101"/>
      <c r="FF132" s="579" t="str" cm="1">
        <f t="array" ref="FF132">IFERROR(IF(OR(BQ132&lt;=0,AQ132&lt;20,AND(V132="Exit Signs",AN132&gt;0)),"",IF(AND(AQ132&gt;=20,AN132='Lookup Tables'!$R$101),'Lookup Tables'!$U$101*BQ132,AP132*LOOKUP(2,1/((AN132='Lookup Tables'!$R$91:$R$111)*(AQ132&gt;='Lookup Tables'!$S$91:$S$111)*(AQ132&lt;='Lookup Tables'!$T$91:$T$111)),'Lookup Tables'!$U$91:$U$111))),"")</f>
        <v/>
      </c>
      <c r="FG132" s="579"/>
      <c r="FH132" s="579"/>
      <c r="FI132" s="253" t="str">
        <f>IFERROR(ROUND(IF(CD132="ERROR", "ERROR", IF(AND($FI$7=X132,E132="Interior"),VLOOKUP(W132, 'Lookup Tables'!$AI$6:$AM$102, 5, FALSE)*BP132, "")), 2), "")</f>
        <v/>
      </c>
      <c r="FJ132" s="253" t="str">
        <f>IFERROR(ROUND(IF(CD132="ERROR", "ERROR", IF(AND($FI$7=X132,E132="Exterior"),VLOOKUP(W132, 'Lookup Tables'!$AI$6:$AM$102, 5, FALSE)*BP132, "")), 2), "")</f>
        <v/>
      </c>
      <c r="FK132" s="253" t="str">
        <f>IFERROR(ROUND(IF(CD132="ERROR", "ERROR", IF(AND($FK$7=X132,E132="Interior"),VLOOKUP(W132, 'Lookup Tables'!$AI$6:$AM$102, 5, FALSE)*BP132, "")), 2), "")</f>
        <v/>
      </c>
      <c r="FL132" s="253" t="str">
        <f>IFERROR(ROUND(IF(CD132="ERROR", "ERROR", IF(AND($FK$7=X132,E132="Exterior"),VLOOKUP(W132, 'Lookup Tables'!$AI$6:$AM$102, 5, FALSE)*BP132, "")), 2), "")</f>
        <v/>
      </c>
      <c r="FM132" s="253" t="str">
        <f>IFERROR(ROUND(IF(CD132="ERROR", "ERROR", IF(AND($FM$6=Y132,E132="Interior"), IF(GB132=0, VLOOKUP(W132, 'Lookup Tables'!$AI$6:$AM$102, 5, FALSE)*BP132, IF(VLOOKUP(W132, 'Lookup Tables'!$AI$6:$AM$102, 5, FALSE)*BP132&gt;GB132*'Lighting Inventory'!S132, GB132*'Lighting Inventory'!S132,VLOOKUP(W132, 'Lookup Tables'!$AI$6:$AM$102, 5, FALSE)*BP132)), "")), 2), "")</f>
        <v/>
      </c>
      <c r="FN132" s="253" t="str">
        <f>IFERROR(ROUND(IF(CD132="ERROR", "ERROR", IF(AND($FM$6=Y132,E132="Exterior"), IF(GB132=0, VLOOKUP(W132, 'Lookup Tables'!$AI$6:$AM$102, 5, FALSE)*BP132, IF(VLOOKUP(W132, 'Lookup Tables'!$AI$6:$AM$102, 5, FALSE)*BP132&gt;GB132*'Lighting Inventory'!S132, GB132*'Lighting Inventory'!S132,VLOOKUP(W132, 'Lookup Tables'!$AI$6:$AM$102, 5, FALSE)*BP132)), "")), 2), "")</f>
        <v/>
      </c>
      <c r="FO132" s="253" t="str">
        <f>IFERROR(ROUND(IF(CD132="ERROR", "ERROR", IF(AND($FO$6=Y132,E132="Interior"),VLOOKUP(W132, 'Lookup Tables'!$AI$6:$AM$102, 5, FALSE)*'Lighting Inventory'!AI132, "")), 2), "")</f>
        <v/>
      </c>
      <c r="FP132" s="253" t="str">
        <f>IFERROR(ROUND(IF(CD132="ERROR", "ERROR", IF(AND($FO$6=Y132,E132="Exterior"),VLOOKUP(W132, 'Lookup Tables'!$AI$6:$AM$102, 5, FALSE)*'Lighting Inventory'!AI132, "")), 2), "")</f>
        <v/>
      </c>
      <c r="FQ132" s="253" t="str">
        <f>IFERROR(ROUND(IF(CD132="ERROR", "ERROR", IF(AND($FQ$6=Y132,E132="Interior", BU132="Y"), VLOOKUP('Lighting Inventory'!W132, 'Lookup Tables'!$AI$6:$AM$102, 5, FALSE)*'Lighting Inventory'!S132, IF(AND($FQ$7=Y132,E132="Interior", BU132="N"), 0.025*CD132, ""))), 2), "")</f>
        <v/>
      </c>
      <c r="FR132" s="253" t="str">
        <f>IFERROR(ROUND(IF(CD132="ERROR", "ERROR", IF(AND($FQ$6=Y132,E132="Exterior"), VLOOKUP('Lighting Inventory'!W132, 'Lookup Tables'!$AI$6:$AM$102, 5, FALSE)*'Lighting Inventory'!S132, "")), 2), "")</f>
        <v/>
      </c>
      <c r="FS132" s="253" t="str">
        <f>IFERROR(ROUND(IF(CD132="ERROR", "ERROR", IF(AND($FS$6=Y132,E132="Exterior"), IF(GB132=0, VLOOKUP(W132, 'Lookup Tables'!$AI$6:$AM$102, 5, FALSE)*BP132, IF(VLOOKUP(W132, 'Lookup Tables'!$AI$6:$AM$102, 5, FALSE)*BP132&gt;GB132*'Lighting Inventory'!S132, GB132*'Lighting Inventory'!S132,VLOOKUP(W132, 'Lookup Tables'!$AI$6:$AM$102, 5, FALSE)*BP132)), "")), 2), "")</f>
        <v/>
      </c>
      <c r="FT132" s="253" t="str">
        <f>IFERROR(ROUND(IF(CD132="ERROR", "ERROR", IF(AND($FT$6=Y132,E132="Interior"), IF(GB132=0, VLOOKUP(W132, 'Lookup Tables'!$AI$6:$AM$102, 5, FALSE)*BP132, IF(VLOOKUP(W132, 'Lookup Tables'!$AI$6:$AM$102, 5, FALSE)*BP132&gt;GB132*'Lighting Inventory'!S132, GB132*'Lighting Inventory'!S132,VLOOKUP(W132, 'Lookup Tables'!$AI$6:$AM$102, 5, FALSE)*BP132)), "")), 2), "")</f>
        <v/>
      </c>
      <c r="FU132" s="253" t="str">
        <f>IFERROR(ROUND(IF(CD132="ERROR", "ERROR", IF(AND(Y132=$FU$6, E132="Interior"), IF(BS132="N", 'Lookup Tables'!$AM$101*BP132, VLOOKUP(W132, 'Lookup Tables'!$AI$6:$AM$102, 5, FALSE)*S132*AD132), "")), 2), "")</f>
        <v/>
      </c>
      <c r="FV132" s="253" t="str">
        <f>IFERROR(ROUND(IF(CD132="ERROR", "ERROR", IF(AND(Y132=$FU$6, E132="Exterior"), IF(BS132="N", 'Lookup Tables'!$AM$101*BP132, VLOOKUP(W132, 'Lookup Tables'!$AI$6:$AM$102, 5, FALSE)*S132*AD132), "")), 2), "")</f>
        <v/>
      </c>
      <c r="FW132" s="253" t="str">
        <f>IFERROR(ROUND(IF(CD132="ERROR", "ERROR", IF($FW$6=Y132, IF(BS132="N", 'Lookup Tables'!$AM$101*BP132, MIN((VLOOKUP(W132, 'Lookup Tables'!$AI$6:$AM$102, 5, FALSE)*BP132),GB132*AJ132)), "")), 2), "")</f>
        <v/>
      </c>
      <c r="FX132" s="253" t="str">
        <f>IFERROR(ROUND(IF(CD132="ERROR", "ERROR", IF(AND($FX$6=Y132, E132="Interior"), IF(VLOOKUP(W132, 'Lookup Tables'!$AI$6:$AM$102, 5, FALSE)*BP132&gt;'Lookup Tables'!$AQ$97*'Lighting Inventory'!S132,'Lighting Inventory'!S132*'Lookup Tables'!$AQ$97,VLOOKUP(W132, 'Lookup Tables'!$AI$6:$AM$102, 5, FALSE)*BP132), "")), 2), "")</f>
        <v/>
      </c>
      <c r="FY132" s="253" t="str">
        <f>IFERROR(ROUND(IF(CD132="ERROR", "ERROR", IF(AND($FX$6=Y132, E132="Exterior"), IF(VLOOKUP(W132, 'Lookup Tables'!$AI$6:$AM$102, 5, FALSE)*BP132&gt;'Lookup Tables'!$AQ$97*'Lighting Inventory'!S132,'Lighting Inventory'!S132*'Lookup Tables'!$AQ$97,VLOOKUP(W132, 'Lookup Tables'!$AI$6:$AM$102, 5, FALSE)*BP132), "")), 2), "")</f>
        <v/>
      </c>
      <c r="FZ132" s="253" t="str">
        <f>IFERROR(ROUND(IF(CD132="ERROR", "ERROR", IF(AND($FZ$6=Y132, E132="Interior"), IF(AND(OR(W132="Refrigerated Case Lighting with Doors", W132="Freezer Case Lighting"),Y132="Custom - Process Improvement"),CD132*'Lookup Tables'!$AM$101, IF(B132="Retrofit", IF(VLOOKUP(IF(V132="Custom", V132, W132), 'Lookup Tables'!$AI$6:$AM$102, 5, FALSE)*BP132&gt;GE132, GE132, VLOOKUP(IF(V132="Custom", V132, W132), 'Lookup Tables'!$AI$6:$AM$102, 5, FALSE)*BP132), IF(VLOOKUP(IF(V132="Custom", V132, W132), 'Lookup Tables'!$AI$114:$AM$154, 5, FALSE)*BP132&gt;GE132, GE132, VLOOKUP(IF(V132="Custom", V132, W132), 'Lookup Tables'!$AI$114:$AM$154, 5, FALSE)*BP132))), "")), 2),"")</f>
        <v/>
      </c>
      <c r="GA132" s="253" t="str">
        <f>IFERROR(ROUND(IF(CD132="ERROR", "ERROR", IF(AND($FZ$6=Y132, E132="Exterior"), IF(B132="Retrofit", IF(VLOOKUP(IF(V132="Custom", V132, W132), 'Lookup Tables'!$AI$6:$AM$102, 5, FALSE)*BP132&gt;GE132, GE132, VLOOKUP(IF(V132="Custom", V132, W132), 'Lookup Tables'!$AI$6:$AM$102, 5, FALSE)*BP132), IF(VLOOKUP(IF(V132="Custom", V132, W132), 'Lookup Tables'!$AI$114:$AM$154, 5, FALSE)*BP132&gt;GE132, GE132, VLOOKUP(IF(V132="Custom", V132, W132), 'Lookup Tables'!$AI$114:$AM$154, 5, FALSE)*BP132)), "")), 2),"")</f>
        <v/>
      </c>
      <c r="GB132" s="254" t="str">
        <f t="array" ref="GB132">IF(B132="","",IF(OR(V132="Custom",V132="No Change"),0,IF(B132="Retrofit", INDEX('Lookup Tables'!$AH$6:$AQ$102,MATCH(1,('Lookup Tables'!$AH$6:$AH$102='Lighting Inventory'!V132)*('Lookup Tables'!$AI$6:$AI$102='Lighting Inventory'!W132),FALSE),10),INDEX('Lookup Tables'!$AH$114:$AQ$154,MATCH(1,('Lookup Tables'!$AH$114:$AH$154='Lighting Inventory'!V132)*('Lookup Tables'!$AI$114:$AI$154='Lighting Inventory'!W132),FALSE),10))))</f>
        <v/>
      </c>
      <c r="GC132" s="255" t="str">
        <f t="shared" si="344"/>
        <v/>
      </c>
      <c r="GD132" s="250" t="str">
        <f t="shared" si="345"/>
        <v/>
      </c>
      <c r="GE132" s="253" t="str">
        <f>IFERROR(IF(AND(AF132="", 'General Information'!$F$18="No"),"", IF(AF132="", ((GD132/$CD$266)*$CF$266)*0.5, AF132*S132*0.5)), "")</f>
        <v/>
      </c>
      <c r="GF132" s="255" t="str">
        <f>IF(AND('General Information'!$F$19="", 'General Information'!$F$18="Yes",AF132="",BW132="Y"), "Y", "N")</f>
        <v>N</v>
      </c>
      <c r="GG132" s="255" t="s">
        <v>2946</v>
      </c>
      <c r="GH132" s="255" t="str">
        <f>IFERROR(IF(B132="", "", VLOOKUP(J132, 'Fixture Identities'!$A$6:$N$908, 14, FALSE)), "")</f>
        <v/>
      </c>
      <c r="GI132" s="389" t="str">
        <f>IF(OR(B132="", V132="", W132=""), "", IF(AND(OR(M132='Lookup Tables'!$R$18, M132='Lookup Tables'!$R$19, M132='Lookup Tables'!$R$20, M132='Lookup Tables'!$R$21, M132='Lookup Tables'!$R$22), OR(AN132='Lookup Tables'!$R$17, AN132='Lookup Tables'!$R$17, AN132="")), "Y", "N"))</f>
        <v/>
      </c>
      <c r="GJ132" s="255" t="str">
        <f t="shared" si="346"/>
        <v/>
      </c>
      <c r="GK132" s="255" t="str">
        <f t="shared" si="347"/>
        <v/>
      </c>
      <c r="GL132" s="255" t="str">
        <f t="shared" si="348"/>
        <v/>
      </c>
      <c r="GM132" s="255" t="str">
        <f>IF(AN132="", "", IF(AND(IF(ISNA(VLOOKUP(AN132,'Lookup Tables'!$R$18:$R$22,1,FALSE)), "N", "Y")="Y", E132="Exterior"), "Y", "N"))</f>
        <v/>
      </c>
      <c r="GN132" s="395"/>
      <c r="GO132" s="428">
        <f t="shared" si="394"/>
        <v>0</v>
      </c>
      <c r="GP132" s="428">
        <f t="shared" si="397"/>
        <v>0</v>
      </c>
      <c r="GQ132" s="428">
        <f t="shared" si="395"/>
        <v>0</v>
      </c>
      <c r="GR132" s="428">
        <f t="shared" si="396"/>
        <v>0</v>
      </c>
    </row>
    <row r="133" spans="1:200" s="103" customFormat="1" ht="13.5" customHeight="1" x14ac:dyDescent="0.2">
      <c r="A133" s="272">
        <v>123</v>
      </c>
      <c r="B133" s="110"/>
      <c r="C133" s="110"/>
      <c r="D133" s="110"/>
      <c r="E133" s="110"/>
      <c r="F133" s="110"/>
      <c r="G133" s="110"/>
      <c r="H133" s="110"/>
      <c r="I133" s="29"/>
      <c r="J133" s="29"/>
      <c r="K133" s="272" t="str">
        <f>IFERROR(IF(OR(VLOOKUP(J133, 'Fixture Identities'!$A$6:$L$1023, 3, FALSE)="T12 Linear Fluorescent", VLOOKUP(J133, 'Fixture Identities'!$A$6:$L$1023, 3, FALSE)="T12 U-Tube Fluorescent"), VLOOKUP(VLOOKUP(J133, 'Fixture Identities'!$A$6:$L$1023, 11, FALSE), 'Fixture Identities'!$A$6:$L$1023, 10, FALSE), VLOOKUP(J133, 'Fixture Identities'!$A$6:$L$1023, 10, FALSE)), "")</f>
        <v/>
      </c>
      <c r="L133" s="270" t="str">
        <f t="shared" si="399"/>
        <v/>
      </c>
      <c r="M133" s="110"/>
      <c r="N133" s="110"/>
      <c r="O133" s="110"/>
      <c r="P133" s="272" t="str">
        <f>IFERROR(IF(OR(B133="Retrofit",B133=""),"",IF('Lighting Inventory'!E133="Exterior",VLOOKUP('Lighting Inventory'!N133,'Lookup Tables'!$B$83:$F$103,5,FALSE),IF(N133="Other - Please Estimate EFLH and CFs","Contact Prog. Rep.","ft^2"))), "")</f>
        <v/>
      </c>
      <c r="Q133" s="270" t="str">
        <f>IFERROR(IF(AND(B133="New Construction",E133="Interior",$F$5="Space-by-Space"),VLOOKUP('Lighting Inventory'!N133,'Lookup Tables'!$N$6:$O$97,2,FALSE),IF(AND(B133="New Construction",E133="Exterior"),VLOOKUP(N133,'Lookup Tables'!$B$83:$F$103,2,FALSE),IF(AND(B133="New Construction",'Lighting Inventory'!E133="Interior", $F$5="Building Area"),VLOOKUP(F133,'Lookup Tables'!$A$6:$J$59,10,FALSE),""))), "")</f>
        <v/>
      </c>
      <c r="R133" s="270" t="str">
        <f>IFERROR(IF(P133="Contact Prog. Rep.", "ERROR", IF(OR(B133="",B133="Retrofit"),"",IF(N133="Automated teller machines", ('Lookup Tables'!$A$82:$E$100+('Lighting Inventory'!O133-1)*'Lookup Tables'!$A$82:$E$100)/1000, (Q133*O133)/1000))), "")</f>
        <v/>
      </c>
      <c r="S133" s="595"/>
      <c r="T133" s="105" t="str">
        <f t="shared" si="349"/>
        <v/>
      </c>
      <c r="U133" s="105" t="str">
        <f>IF(S133="","",COUNT($S$11:S133))</f>
        <v/>
      </c>
      <c r="V133" s="111"/>
      <c r="W133" s="112"/>
      <c r="X133" s="105" t="str">
        <f t="shared" si="350"/>
        <v/>
      </c>
      <c r="Y133" s="105" t="str">
        <f t="array" ref="Y133">IF(AND(OR(W133="Freezer Case Lighting", W133="Refrigerated Case Lighting with Doors"), 'General Information'!$X$18="LCI"),'Lookup Tables'!$Y$34, IF(V133="Custom", VLOOKUP(W133, 'Fixture Identities'!$A$974:$M$1023, 13, FALSE), IF(V133="No Change",'Lookup Tables'!$Y$29,IF(OR(V133="",W133=""),"",IF(AND(S133=0,S133&lt;I133,B133="Retrofit"),'Lookup Tables'!$Y$25, IF(B133="Retrofit", INDEX('Lookup Tables'!$AH$6:$AP$102, MATCH(1, ('Lookup Tables'!$AH$6:$AH$102=V133)*('Lookup Tables'!$AI$6:$AI$102=W133), 0), IF('Lighting Inventory'!E133="Interior", 4, 5)), INDEX('Lookup Tables'!$AH$114:$AP$154, MATCH(1, ('Lookup Tables'!$AH$114:$AH$154=V133)*('Lookup Tables'!$AI$114:$AI$154=W133), 0), IF('Lighting Inventory'!E133="Interior", 4, 5))))))))</f>
        <v/>
      </c>
      <c r="Z133" s="105" t="str">
        <f>IFERROR(INDEX('Lookup Tables'!$AH$158:$AH$172,MATCH('Lighting Inventory'!Y133,'Lookup Tables'!$AI$158:$AI$172,0)),"")</f>
        <v/>
      </c>
      <c r="AA133" s="105" t="str">
        <f>IF(AP133&gt;0,INDEX('Lookup Tables'!$AK$158:$AK$172,MATCH('Lighting Inventory'!Y133,'Lookup Tables'!$AI$158:$AI$172,0)),'Lighting Inventory'!Y133)</f>
        <v/>
      </c>
      <c r="AB133" s="105" t="str">
        <f t="array" ref="AB133">IF(V133="Custom", "Custom", IF(V133="", "", IF(V133="Not DLC or Energy Star", "General", IF(B133="New Construction", INDEX('Lookup Tables'!$AH$114:$AP$154,MATCH(1,('Lookup Tables'!$AH$114:$AH$154='Lighting Inventory'!V133)*('Lookup Tables'!$AI$114:$AI$154='Lighting Inventory'!W133),FALSE),8), INDEX('Lookup Tables'!$AH$6:$AP$102,MATCH(1,('Lookup Tables'!$AH$6:$AH$102='Lighting Inventory'!V133)*('Lookup Tables'!$AI$6:$AI$102='Lighting Inventory'!W133),FALSE),8)))))</f>
        <v/>
      </c>
      <c r="AC133" s="272" t="str">
        <f>IF(W133="","",IF(V133="Custom",CONCATENATE("$",'Lookup Tables'!$AM$101," ",'Lookup Tables'!$AN$101),CONCATENATE("$",INDEX('Lookup Tables'!$AM$6:$AM$102,MATCH('Lighting Inventory'!W133,'Lookup Tables'!$AI$6:$AI$102,0))," ",INDEX('Lookup Tables'!$AN$6:$AN$102,MATCH('Lighting Inventory'!W133,'Lookup Tables'!$AI$6:$AI$102,0)))))</f>
        <v/>
      </c>
      <c r="AD133" s="72"/>
      <c r="AE133" s="29"/>
      <c r="AF133" s="379"/>
      <c r="AG133" s="370" t="str">
        <f t="shared" si="298"/>
        <v/>
      </c>
      <c r="AH133" s="370" t="str">
        <f t="shared" si="351"/>
        <v/>
      </c>
      <c r="AI133" s="29"/>
      <c r="AJ133" s="29"/>
      <c r="AK133" s="110"/>
      <c r="AL133" s="375" t="str">
        <f>IF(OR(B133="", V133="", W133=""), "", IF(V133="No Change", K133, IF(V133="Remove Fixture", 0, IF(V133="Custom",VLOOKUP(W133,'Fixture Identities'!$A$6:$K$1023,10,FALSE),IF(AE133="", "← ENTER POST WATTS", 'Lighting Inventory'!AE133)))))</f>
        <v/>
      </c>
      <c r="AM133" s="376" t="str">
        <f t="shared" si="299"/>
        <v/>
      </c>
      <c r="AN133" s="29"/>
      <c r="AO133" s="671"/>
      <c r="AP133" s="29"/>
      <c r="AQ133" s="29"/>
      <c r="AR133" s="29"/>
      <c r="AS133" s="272" t="str">
        <f t="shared" si="352"/>
        <v/>
      </c>
      <c r="AT133" s="270" t="str">
        <f t="shared" si="300"/>
        <v/>
      </c>
      <c r="AU133" s="88" t="str">
        <f t="shared" si="400"/>
        <v/>
      </c>
      <c r="AV133" s="29"/>
      <c r="AW133" s="73"/>
      <c r="AX133" s="271" t="str">
        <f>IF(AND(AV133="Applicant",OR(AW133="", AW133="Use Default Facility Hours")),"← Choose Schedule",IF(F133="","",IF(W133="LED Exit Signs",8760,IF(OR(AV133="Prescribed",AV133=""),VLOOKUP(F133,'Lookup Tables'!$A$6:$G$59,IF(AB133="General", 6, 3),FALSE),VLOOKUP(AW133,'Lookup Tables'!$S$36:$U$43,2,FALSE)))))</f>
        <v/>
      </c>
      <c r="AY133" s="88" t="str">
        <f t="shared" si="301"/>
        <v/>
      </c>
      <c r="AZ133" s="270" t="str">
        <f>IFERROR(IF(F133="", "", IF(W133="LED Exit Signs", 1, IF(AV133="Applicant",VLOOKUP(AW133, 'Lookup Tables'!$S$36:$U$43,3, FALSE), VLOOKUP('Lighting Inventory'!F133, 'Lookup Tables'!$A$6:$H$59, IF('Lighting Inventory'!AB133="General",7,4), FALSE)))), "")</f>
        <v/>
      </c>
      <c r="BA133" s="522" t="str">
        <f>IFERROR(IF(F133="", "", IF(W133="LED Exit Signs", 1, VLOOKUP('Lighting Inventory'!F133, 'Lookup Tables'!$A$6:$H$59, IF('Lighting Inventory'!AB133="General",8,5), FALSE))), "")</f>
        <v/>
      </c>
      <c r="BB133" s="270" t="str">
        <f>IF(G133="", "", IF(E133="Exterior", 0, IF('Lighting Inventory'!G133="Air Conditioned", VLOOKUP(H133, 'Lookup Tables'!$R$6:$T$13, 2, FALSE), VLOOKUP('Lighting Inventory'!G133, 'Lookup Tables'!$R$6:$T$13, 2, FALSE))))</f>
        <v/>
      </c>
      <c r="BC133" s="522" t="str">
        <f>IF(G133="", "", IF(E133="Exterior", 0, IF('Lighting Inventory'!G133="Air Conditioned", VLOOKUP(H133, 'Lookup Tables'!$R$6:$T$13, 3, FALSE), VLOOKUP('Lighting Inventory'!G133, 'Lookup Tables'!$R$6:$T$13, 3, FALSE))))</f>
        <v/>
      </c>
      <c r="BD133" s="270" t="str">
        <f>IF(G133="", "", IF(E133="Exterior", 0, IF('Lighting Inventory'!G133="Air Conditioned", VLOOKUP(H133, 'Lookup Tables'!$R$6:$U$13, 4, FALSE), VLOOKUP('Lighting Inventory'!G133, 'Lookup Tables'!$R$6:$U$13, 4, FALSE))))</f>
        <v/>
      </c>
      <c r="BE133" s="270" t="str">
        <f>IFERROR(IF(B133="", "",  IF(B133="New Construction", VLOOKUP(F133, 'Lookup Tables'!$A$6:$K$59, 11, FALSE),IF(OR(AN133="", AN133="Light Switch"), 0, IF(OR(M133="",M133="None",V133= "LED Exit Signs"),0,_xlfn.XLOOKUP(M133,'Lookup Tables'!$R$91:$R$101,'Lookup Tables'!$V$91:$V$101))))), "")</f>
        <v/>
      </c>
      <c r="BF133" s="270" t="str">
        <f>IF(AND(OR(AN133="Light Switch",AN133=""),B133="New Construction"), VLOOKUP(F133, 'Lookup Tables'!$A$6:$K$59, 11, FALSE),IF(AN133="","",IF(B133="","",IF(OR(AN133="None",AN133="",V133="LED Exit Signs",AN133="Exterior Controls Not Eligible"),0,_xlfn.XLOOKUP(AN133,'Lookup Tables'!$R$91:$R$101,'Lookup Tables'!$V$91:$V$101)))))</f>
        <v/>
      </c>
      <c r="BG133" s="88" t="str">
        <f t="shared" si="353"/>
        <v/>
      </c>
      <c r="BH133" s="88" t="str">
        <f t="shared" si="354"/>
        <v/>
      </c>
      <c r="BI133" s="558" t="str">
        <f t="shared" si="398"/>
        <v/>
      </c>
      <c r="BJ133" s="82" t="str">
        <f t="shared" si="355"/>
        <v/>
      </c>
      <c r="BK133" s="82" t="str">
        <f t="shared" si="356"/>
        <v/>
      </c>
      <c r="BL133" s="559" t="str">
        <f t="shared" si="357"/>
        <v/>
      </c>
      <c r="BM133" s="521" t="str">
        <f t="shared" si="302"/>
        <v/>
      </c>
      <c r="BN133" s="521" t="str">
        <f t="shared" si="303"/>
        <v/>
      </c>
      <c r="BO133" s="522" t="str">
        <f t="shared" si="304"/>
        <v/>
      </c>
      <c r="BP133" s="83" t="str">
        <f t="shared" si="358"/>
        <v/>
      </c>
      <c r="BQ133" s="84" t="str">
        <f t="shared" si="359"/>
        <v/>
      </c>
      <c r="BR133" s="184" t="str">
        <f>IFERROR(IF(B133="", "", IF(OR(VLOOKUP(J133, 'Fixture Identities'!$A$6:$L$1023, 3, FALSE)="T12 Linear Fluorescent",VLOOKUP(J133, 'Fixture Identities'!$A$6:$L$1023, 3, FALSE)="T12 U-Tube Fluorescent"), "Y", "N")), "N")</f>
        <v/>
      </c>
      <c r="BS133" s="184" t="str">
        <f t="array" ref="BS133">IFERROR(IF(OR(B133="", V133="", W133=""), "", IF(V133="Custom", "N", IF(OR(W133="Freezer Case Lighting", W133="Refrigerated Case Lighting with Doors"), BT133, IF(B133="Retrofit", INDEX('Lookup Tables'!$AH$6:$AT$102,MATCH(1,('Lookup Tables'!$AH$6:$AH$102=V133)*('Lookup Tables'!$AI$6:$AI$102=W133),FALSE),IF(VLOOKUP(J133, 'Fixture Identities'!$A$6:$B$1023, 2, FALSE)="Incandescent",12, 13)), INDEX('Lookup Tables'!$AH$114:$AS$154,MATCH(1,('Lookup Tables'!$AH$114:$AH$154=V133)*('Lookup Tables'!$AI$114:$AI$154=W133),FALSE),12))))), "N")</f>
        <v/>
      </c>
      <c r="BT133" s="184" t="str">
        <f>IF(J133="", "", IF(AND(OR(W133="Freezer case Lighting", W133="Refrigerated Case Lighting with Doors"),'General Information'!$X$18="LCI"), "N", IF(OR(VLOOKUP(J133, 'Fixture Identities'!$A$6:$B$1023, 2, FALSE)="T12 EPACT/EISA Baseline", VLOOKUP(J133, 'Fixture Identities'!$A$6:$B$1023, 2, FALSE)="Linear Fluorescent", VLOOKUP(J133, 'Fixture Identities'!$A$6:$B$1023, 2, FALSE)="U-Tube Fluorescent"), "Y", "N")))</f>
        <v/>
      </c>
      <c r="BU133" s="184" t="str">
        <f>IFERROR(IF(B133="", "", IF(VLOOKUP(J133, 'Fixture Identities'!$A$6:$B$1023, 2, FALSE)="Exit Sign", "Y", "N")), "N")</f>
        <v/>
      </c>
      <c r="BV133" s="184" t="str">
        <f>IF(V133="Exit Signs", IF(VLOOKUP(J133, 'Fixture Identities'!$A$6:$B$1023, 2, FALSE)="Exit Sign", "N", "Y"), "")</f>
        <v/>
      </c>
      <c r="BW133" s="184" t="str">
        <f t="array" ref="BW133">IFERROR(IF(B133="", "", IF(B133="New Construction", "N", INDEX('Lookup Tables'!$AH$6:$AU$102, MATCH(1, ('Lookup Tables'!$AH$6:$AH$102='Lighting Inventory'!V133)*('Lookup Tables'!$AI$6:$AI$102='Lighting Inventory'!W133), 0), 14))), "N")</f>
        <v/>
      </c>
      <c r="BX133" s="598" t="str">
        <f t="shared" si="360"/>
        <v/>
      </c>
      <c r="BY133" s="598" t="str">
        <f t="shared" si="361"/>
        <v/>
      </c>
      <c r="BZ133" s="598" t="str">
        <f t="shared" si="362"/>
        <v/>
      </c>
      <c r="CA133" s="598" t="str">
        <f t="shared" si="363"/>
        <v/>
      </c>
      <c r="CB133" s="269" t="str">
        <f t="shared" si="364"/>
        <v/>
      </c>
      <c r="CC133" s="517" t="str">
        <f t="shared" si="365"/>
        <v/>
      </c>
      <c r="CD133" s="565" t="str">
        <f t="shared" si="305"/>
        <v/>
      </c>
      <c r="CE133" s="368">
        <v>0</v>
      </c>
      <c r="CF133" s="368" t="str" cm="1">
        <f t="array" ref="CF133">IFERROR(IF(V133="Custom", "$0.1 per kWh", IF(B133="New Construction", CONCATENATE("$",INDEX('Lookup Tables'!$AH$114:$AN$154,MATCH(1,('Lookup Tables'!$AH$114:$AH$154='Lighting Inventory'!V133)*('Lookup Tables'!$AI$114:$AI$154='Lighting Inventory'!W133),FALSE),6)," ",INDEX('Lookup Tables'!$AH$114:$AN$154,MATCH(1,('Lookup Tables'!$AH$114:$AH$154='Lighting Inventory'!V133)*('Lookup Tables'!$AI$114:$AI$154='Lighting Inventory'!W133),FALSE),7)), IF(AND(BU133="N", V133="Exit Signs"), "$0.025 per kWh", CONCATENATE("$",INDEX('Lookup Tables'!$AH$6:$AN$102,MATCH(1,('Lookup Tables'!$AH$6:$AH$102='Lighting Inventory'!V133)*('Lookup Tables'!$AI$6:$AI$102='Lighting Inventory'!W133),FALSE),6)," ",INDEX('Lookup Tables'!$AH$6:$AN$102,MATCH(1,('Lookup Tables'!$AH$6:$AH$102='Lighting Inventory'!V133)*('Lookup Tables'!$AI$6:$AI$102='Lighting Inventory'!W133),FALSE),7))))), "")</f>
        <v/>
      </c>
      <c r="CG133" s="366"/>
      <c r="CH133" s="248" t="str">
        <f t="shared" si="306"/>
        <v/>
      </c>
      <c r="CI133" s="248" t="str">
        <f t="shared" si="307"/>
        <v>Select_IE</v>
      </c>
      <c r="CJ133" s="248" t="str">
        <f t="shared" si="308"/>
        <v/>
      </c>
      <c r="CK133" s="248" t="str">
        <f t="shared" si="309"/>
        <v/>
      </c>
      <c r="CL133" s="248" t="str">
        <f t="shared" si="310"/>
        <v/>
      </c>
      <c r="CM133" s="248" t="str">
        <f>IFERROR(IF(B133="", "", IF(B133="New Construction", VLOOKUP(V133, 'Lookup Tables'!$AF$114:$AG$120, 2, FALSE), VLOOKUP(V133, 'Lookup Tables'!$AD$6:$AE$25, 2, FALSE))), "")</f>
        <v/>
      </c>
      <c r="CN133" s="248" t="str">
        <f t="shared" si="311"/>
        <v/>
      </c>
      <c r="CO133" s="248" t="str">
        <f t="shared" si="312"/>
        <v/>
      </c>
      <c r="CP133" s="592" t="str">
        <f t="shared" si="313"/>
        <v/>
      </c>
      <c r="CQ133" s="248" t="str">
        <f t="shared" si="366"/>
        <v/>
      </c>
      <c r="CR133" s="100"/>
      <c r="CS133" s="250" t="str">
        <f t="shared" si="314"/>
        <v/>
      </c>
      <c r="CT133" s="250" t="str">
        <f t="shared" si="367"/>
        <v/>
      </c>
      <c r="CU133" s="250" t="str">
        <f t="shared" si="368"/>
        <v/>
      </c>
      <c r="CV133" s="250" t="str">
        <f t="shared" si="369"/>
        <v/>
      </c>
      <c r="CW133" s="250" t="str">
        <f t="shared" si="370"/>
        <v/>
      </c>
      <c r="CX133" s="250" t="str">
        <f t="shared" si="315"/>
        <v/>
      </c>
      <c r="CY133" s="250" t="str">
        <f t="shared" si="316"/>
        <v/>
      </c>
      <c r="CZ133" s="250" t="str">
        <f t="shared" si="317"/>
        <v/>
      </c>
      <c r="DA133" s="250" t="str">
        <f t="shared" si="318"/>
        <v/>
      </c>
      <c r="DB133" s="250" t="str">
        <f t="shared" si="319"/>
        <v/>
      </c>
      <c r="DC133" s="250" t="str">
        <f t="shared" si="320"/>
        <v/>
      </c>
      <c r="DD133" s="250" t="str">
        <f t="shared" si="321"/>
        <v/>
      </c>
      <c r="DE133" s="250" t="str">
        <f t="shared" si="322"/>
        <v/>
      </c>
      <c r="DF133" s="250" t="str">
        <f t="shared" si="323"/>
        <v/>
      </c>
      <c r="DG133" s="250" t="str">
        <f t="shared" si="324"/>
        <v/>
      </c>
      <c r="DH133" s="250" t="str">
        <f t="shared" si="325"/>
        <v/>
      </c>
      <c r="DI133" s="250" t="str">
        <f t="shared" si="326"/>
        <v/>
      </c>
      <c r="DJ133" s="250" t="str">
        <f t="shared" si="327"/>
        <v/>
      </c>
      <c r="DK133" s="250" t="str">
        <f t="shared" si="328"/>
        <v/>
      </c>
      <c r="DL133" s="250" t="str">
        <f t="shared" si="329"/>
        <v/>
      </c>
      <c r="DM133" s="250" t="str">
        <f>IF(CD133="ERROR", "ERROR", IF(AND(OR(Y133=$DM$6, Y133='Lookup Tables'!$AD$21, Y133='Lookup Tables'!$AD$22), E133="Interior"), BJ133, ""))</f>
        <v/>
      </c>
      <c r="DN133" s="250" t="str">
        <f>IF(CD133="ERROR", "ERROR", IF(AND(OR(Y133=$DM$6, Y133='Lookup Tables'!$AD$21, Y133='Lookup Tables'!$AD$22), E133="Exterior"), BJ133, ""))</f>
        <v/>
      </c>
      <c r="DO133" s="100"/>
      <c r="DP133" s="250" t="str">
        <f t="shared" si="330"/>
        <v/>
      </c>
      <c r="DQ133" s="250" t="str">
        <f t="shared" si="371"/>
        <v/>
      </c>
      <c r="DR133" s="250" t="str">
        <f t="shared" si="372"/>
        <v/>
      </c>
      <c r="DS133" s="250" t="str">
        <f t="shared" si="373"/>
        <v/>
      </c>
      <c r="DT133" s="250" t="str">
        <f t="shared" si="374"/>
        <v/>
      </c>
      <c r="DU133" s="250" t="str">
        <f t="shared" si="331"/>
        <v/>
      </c>
      <c r="DV133" s="250" t="str">
        <f t="shared" si="332"/>
        <v/>
      </c>
      <c r="DW133" s="250" t="str">
        <f t="shared" si="333"/>
        <v/>
      </c>
      <c r="DX133" s="250" t="str">
        <f t="shared" si="334"/>
        <v/>
      </c>
      <c r="DY133" s="250" t="str">
        <f t="shared" si="335"/>
        <v/>
      </c>
      <c r="DZ133" s="250" t="str">
        <f t="shared" si="336"/>
        <v/>
      </c>
      <c r="EA133" s="250" t="str">
        <f t="shared" si="337"/>
        <v/>
      </c>
      <c r="EB133" s="250" t="str">
        <f t="shared" si="375"/>
        <v/>
      </c>
      <c r="EC133" s="250" t="str">
        <f t="shared" si="338"/>
        <v/>
      </c>
      <c r="ED133" s="250" t="str">
        <f t="shared" si="339"/>
        <v/>
      </c>
      <c r="EE133" s="250" t="str">
        <f t="shared" si="340"/>
        <v/>
      </c>
      <c r="EF133" s="250" t="str">
        <f t="shared" si="341"/>
        <v/>
      </c>
      <c r="EG133" s="250" t="str">
        <f t="shared" si="342"/>
        <v/>
      </c>
      <c r="EH133" s="250" t="str">
        <f>IF(CD133="ERROR", "ERROR", IF(AND(OR($EH$6=Y133, Y133='Lookup Tables'!$AD$21, Y133='Lookup Tables'!$AD$22),E133="Interior"), SUM(BP133:BP133), ""))</f>
        <v/>
      </c>
      <c r="EI133" s="250" t="str">
        <f>IF(CD133="ERROR", "ERROR", IF(AND(OR($EH$6=Y133, Y133='Lookup Tables'!$AD$21, Y133='Lookup Tables'!$AD$22),E133="Exterior"), SUM(BP133:BP133), ""))</f>
        <v/>
      </c>
      <c r="EJ133" s="109"/>
      <c r="EK133" s="485" t="str">
        <f t="shared" si="343"/>
        <v/>
      </c>
      <c r="EL133" s="252" t="str">
        <f t="shared" si="376"/>
        <v/>
      </c>
      <c r="EM133" s="252" t="str">
        <f t="shared" si="377"/>
        <v/>
      </c>
      <c r="EN133" s="252" t="str">
        <f t="shared" si="378"/>
        <v/>
      </c>
      <c r="EO133" s="252" t="str">
        <f t="shared" si="379"/>
        <v/>
      </c>
      <c r="EP133" s="252" t="str">
        <f t="shared" si="380"/>
        <v/>
      </c>
      <c r="EQ133" s="252" t="str">
        <f t="shared" si="381"/>
        <v/>
      </c>
      <c r="ER133" s="252" t="str">
        <f t="shared" si="382"/>
        <v/>
      </c>
      <c r="ES133" s="252" t="str">
        <f t="shared" si="383"/>
        <v/>
      </c>
      <c r="ET133" s="252" t="str">
        <f t="shared" si="384"/>
        <v/>
      </c>
      <c r="EU133" s="252" t="str">
        <f t="shared" si="385"/>
        <v/>
      </c>
      <c r="EV133" s="252" t="str">
        <f t="shared" si="386"/>
        <v/>
      </c>
      <c r="EW133" s="252" t="str">
        <f t="shared" si="387"/>
        <v/>
      </c>
      <c r="EX133" s="252" t="str">
        <f t="shared" si="388"/>
        <v/>
      </c>
      <c r="EY133" s="252" t="str">
        <f t="shared" si="389"/>
        <v/>
      </c>
      <c r="EZ133" s="252" t="str">
        <f t="shared" si="390"/>
        <v/>
      </c>
      <c r="FA133" s="252" t="str">
        <f t="shared" si="391"/>
        <v/>
      </c>
      <c r="FB133" s="252" t="str">
        <f t="shared" si="392"/>
        <v/>
      </c>
      <c r="FC133" s="252" t="str">
        <f>IF(CD133="ERROR", "ERROR", IF(OR(V133="No Change", V133="Not DLC or Energy Star"), "", IF(AND(OR($FC$6=Y133,Y133='Lookup Tables'!$AD$21, Y133='Lookup Tables'!$AD$22),E133="Interior"), S133, "")))</f>
        <v/>
      </c>
      <c r="FD133" s="252" t="str">
        <f t="shared" si="393"/>
        <v/>
      </c>
      <c r="FE133" s="101"/>
      <c r="FF133" s="579" t="str" cm="1">
        <f t="array" ref="FF133">IFERROR(IF(OR(BQ133&lt;=0,AQ133&lt;20,AND(V133="Exit Signs",AN133&gt;0)),"",IF(AND(AQ133&gt;=20,AN133='Lookup Tables'!$R$101),'Lookup Tables'!$U$101*BQ133,AP133*LOOKUP(2,1/((AN133='Lookup Tables'!$R$91:$R$111)*(AQ133&gt;='Lookup Tables'!$S$91:$S$111)*(AQ133&lt;='Lookup Tables'!$T$91:$T$111)),'Lookup Tables'!$U$91:$U$111))),"")</f>
        <v/>
      </c>
      <c r="FG133" s="579"/>
      <c r="FH133" s="579"/>
      <c r="FI133" s="253" t="str">
        <f>IFERROR(ROUND(IF(CD133="ERROR", "ERROR", IF(AND($FI$7=X133,E133="Interior"),VLOOKUP(W133, 'Lookup Tables'!$AI$6:$AM$102, 5, FALSE)*BP133, "")), 2), "")</f>
        <v/>
      </c>
      <c r="FJ133" s="253" t="str">
        <f>IFERROR(ROUND(IF(CD133="ERROR", "ERROR", IF(AND($FI$7=X133,E133="Exterior"),VLOOKUP(W133, 'Lookup Tables'!$AI$6:$AM$102, 5, FALSE)*BP133, "")), 2), "")</f>
        <v/>
      </c>
      <c r="FK133" s="253" t="str">
        <f>IFERROR(ROUND(IF(CD133="ERROR", "ERROR", IF(AND($FK$7=X133,E133="Interior"),VLOOKUP(W133, 'Lookup Tables'!$AI$6:$AM$102, 5, FALSE)*BP133, "")), 2), "")</f>
        <v/>
      </c>
      <c r="FL133" s="253" t="str">
        <f>IFERROR(ROUND(IF(CD133="ERROR", "ERROR", IF(AND($FK$7=X133,E133="Exterior"),VLOOKUP(W133, 'Lookup Tables'!$AI$6:$AM$102, 5, FALSE)*BP133, "")), 2), "")</f>
        <v/>
      </c>
      <c r="FM133" s="253" t="str">
        <f>IFERROR(ROUND(IF(CD133="ERROR", "ERROR", IF(AND($FM$6=Y133,E133="Interior"), IF(GB133=0, VLOOKUP(W133, 'Lookup Tables'!$AI$6:$AM$102, 5, FALSE)*BP133, IF(VLOOKUP(W133, 'Lookup Tables'!$AI$6:$AM$102, 5, FALSE)*BP133&gt;GB133*'Lighting Inventory'!S133, GB133*'Lighting Inventory'!S133,VLOOKUP(W133, 'Lookup Tables'!$AI$6:$AM$102, 5, FALSE)*BP133)), "")), 2), "")</f>
        <v/>
      </c>
      <c r="FN133" s="253" t="str">
        <f>IFERROR(ROUND(IF(CD133="ERROR", "ERROR", IF(AND($FM$6=Y133,E133="Exterior"), IF(GB133=0, VLOOKUP(W133, 'Lookup Tables'!$AI$6:$AM$102, 5, FALSE)*BP133, IF(VLOOKUP(W133, 'Lookup Tables'!$AI$6:$AM$102, 5, FALSE)*BP133&gt;GB133*'Lighting Inventory'!S133, GB133*'Lighting Inventory'!S133,VLOOKUP(W133, 'Lookup Tables'!$AI$6:$AM$102, 5, FALSE)*BP133)), "")), 2), "")</f>
        <v/>
      </c>
      <c r="FO133" s="253" t="str">
        <f>IFERROR(ROUND(IF(CD133="ERROR", "ERROR", IF(AND($FO$6=Y133,E133="Interior"),VLOOKUP(W133, 'Lookup Tables'!$AI$6:$AM$102, 5, FALSE)*'Lighting Inventory'!AI133, "")), 2), "")</f>
        <v/>
      </c>
      <c r="FP133" s="253" t="str">
        <f>IFERROR(ROUND(IF(CD133="ERROR", "ERROR", IF(AND($FO$6=Y133,E133="Exterior"),VLOOKUP(W133, 'Lookup Tables'!$AI$6:$AM$102, 5, FALSE)*'Lighting Inventory'!AI133, "")), 2), "")</f>
        <v/>
      </c>
      <c r="FQ133" s="253" t="str">
        <f>IFERROR(ROUND(IF(CD133="ERROR", "ERROR", IF(AND($FQ$6=Y133,E133="Interior", BU133="Y"), VLOOKUP('Lighting Inventory'!W133, 'Lookup Tables'!$AI$6:$AM$102, 5, FALSE)*'Lighting Inventory'!S133, IF(AND($FQ$7=Y133,E133="Interior", BU133="N"), 0.025*CD133, ""))), 2), "")</f>
        <v/>
      </c>
      <c r="FR133" s="253" t="str">
        <f>IFERROR(ROUND(IF(CD133="ERROR", "ERROR", IF(AND($FQ$6=Y133,E133="Exterior"), VLOOKUP('Lighting Inventory'!W133, 'Lookup Tables'!$AI$6:$AM$102, 5, FALSE)*'Lighting Inventory'!S133, "")), 2), "")</f>
        <v/>
      </c>
      <c r="FS133" s="253" t="str">
        <f>IFERROR(ROUND(IF(CD133="ERROR", "ERROR", IF(AND($FS$6=Y133,E133="Exterior"), IF(GB133=0, VLOOKUP(W133, 'Lookup Tables'!$AI$6:$AM$102, 5, FALSE)*BP133, IF(VLOOKUP(W133, 'Lookup Tables'!$AI$6:$AM$102, 5, FALSE)*BP133&gt;GB133*'Lighting Inventory'!S133, GB133*'Lighting Inventory'!S133,VLOOKUP(W133, 'Lookup Tables'!$AI$6:$AM$102, 5, FALSE)*BP133)), "")), 2), "")</f>
        <v/>
      </c>
      <c r="FT133" s="253" t="str">
        <f>IFERROR(ROUND(IF(CD133="ERROR", "ERROR", IF(AND($FT$6=Y133,E133="Interior"), IF(GB133=0, VLOOKUP(W133, 'Lookup Tables'!$AI$6:$AM$102, 5, FALSE)*BP133, IF(VLOOKUP(W133, 'Lookup Tables'!$AI$6:$AM$102, 5, FALSE)*BP133&gt;GB133*'Lighting Inventory'!S133, GB133*'Lighting Inventory'!S133,VLOOKUP(W133, 'Lookup Tables'!$AI$6:$AM$102, 5, FALSE)*BP133)), "")), 2), "")</f>
        <v/>
      </c>
      <c r="FU133" s="253" t="str">
        <f>IFERROR(ROUND(IF(CD133="ERROR", "ERROR", IF(AND(Y133=$FU$6, E133="Interior"), IF(BS133="N", 'Lookup Tables'!$AM$101*BP133, VLOOKUP(W133, 'Lookup Tables'!$AI$6:$AM$102, 5, FALSE)*S133*AD133), "")), 2), "")</f>
        <v/>
      </c>
      <c r="FV133" s="253" t="str">
        <f>IFERROR(ROUND(IF(CD133="ERROR", "ERROR", IF(AND(Y133=$FU$6, E133="Exterior"), IF(BS133="N", 'Lookup Tables'!$AM$101*BP133, VLOOKUP(W133, 'Lookup Tables'!$AI$6:$AM$102, 5, FALSE)*S133*AD133), "")), 2), "")</f>
        <v/>
      </c>
      <c r="FW133" s="253" t="str">
        <f>IFERROR(ROUND(IF(CD133="ERROR", "ERROR", IF($FW$6=Y133, IF(BS133="N", 'Lookup Tables'!$AM$101*BP133, MIN((VLOOKUP(W133, 'Lookup Tables'!$AI$6:$AM$102, 5, FALSE)*BP133),GB133*AJ133)), "")), 2), "")</f>
        <v/>
      </c>
      <c r="FX133" s="253" t="str">
        <f>IFERROR(ROUND(IF(CD133="ERROR", "ERROR", IF(AND($FX$6=Y133, E133="Interior"), IF(VLOOKUP(W133, 'Lookup Tables'!$AI$6:$AM$102, 5, FALSE)*BP133&gt;'Lookup Tables'!$AQ$97*'Lighting Inventory'!S133,'Lighting Inventory'!S133*'Lookup Tables'!$AQ$97,VLOOKUP(W133, 'Lookup Tables'!$AI$6:$AM$102, 5, FALSE)*BP133), "")), 2), "")</f>
        <v/>
      </c>
      <c r="FY133" s="253" t="str">
        <f>IFERROR(ROUND(IF(CD133="ERROR", "ERROR", IF(AND($FX$6=Y133, E133="Exterior"), IF(VLOOKUP(W133, 'Lookup Tables'!$AI$6:$AM$102, 5, FALSE)*BP133&gt;'Lookup Tables'!$AQ$97*'Lighting Inventory'!S133,'Lighting Inventory'!S133*'Lookup Tables'!$AQ$97,VLOOKUP(W133, 'Lookup Tables'!$AI$6:$AM$102, 5, FALSE)*BP133), "")), 2), "")</f>
        <v/>
      </c>
      <c r="FZ133" s="253" t="str">
        <f>IFERROR(ROUND(IF(CD133="ERROR", "ERROR", IF(AND($FZ$6=Y133, E133="Interior"), IF(AND(OR(W133="Refrigerated Case Lighting with Doors", W133="Freezer Case Lighting"),Y133="Custom - Process Improvement"),CD133*'Lookup Tables'!$AM$101, IF(B133="Retrofit", IF(VLOOKUP(IF(V133="Custom", V133, W133), 'Lookup Tables'!$AI$6:$AM$102, 5, FALSE)*BP133&gt;GE133, GE133, VLOOKUP(IF(V133="Custom", V133, W133), 'Lookup Tables'!$AI$6:$AM$102, 5, FALSE)*BP133), IF(VLOOKUP(IF(V133="Custom", V133, W133), 'Lookup Tables'!$AI$114:$AM$154, 5, FALSE)*BP133&gt;GE133, GE133, VLOOKUP(IF(V133="Custom", V133, W133), 'Lookup Tables'!$AI$114:$AM$154, 5, FALSE)*BP133))), "")), 2),"")</f>
        <v/>
      </c>
      <c r="GA133" s="253" t="str">
        <f>IFERROR(ROUND(IF(CD133="ERROR", "ERROR", IF(AND($FZ$6=Y133, E133="Exterior"), IF(B133="Retrofit", IF(VLOOKUP(IF(V133="Custom", V133, W133), 'Lookup Tables'!$AI$6:$AM$102, 5, FALSE)*BP133&gt;GE133, GE133, VLOOKUP(IF(V133="Custom", V133, W133), 'Lookup Tables'!$AI$6:$AM$102, 5, FALSE)*BP133), IF(VLOOKUP(IF(V133="Custom", V133, W133), 'Lookup Tables'!$AI$114:$AM$154, 5, FALSE)*BP133&gt;GE133, GE133, VLOOKUP(IF(V133="Custom", V133, W133), 'Lookup Tables'!$AI$114:$AM$154, 5, FALSE)*BP133)), "")), 2),"")</f>
        <v/>
      </c>
      <c r="GB133" s="254" t="str">
        <f t="array" ref="GB133">IF(B133="","",IF(OR(V133="Custom",V133="No Change"),0,IF(B133="Retrofit", INDEX('Lookup Tables'!$AH$6:$AQ$102,MATCH(1,('Lookup Tables'!$AH$6:$AH$102='Lighting Inventory'!V133)*('Lookup Tables'!$AI$6:$AI$102='Lighting Inventory'!W133),FALSE),10),INDEX('Lookup Tables'!$AH$114:$AQ$154,MATCH(1,('Lookup Tables'!$AH$114:$AH$154='Lighting Inventory'!V133)*('Lookup Tables'!$AI$114:$AI$154='Lighting Inventory'!W133),FALSE),10))))</f>
        <v/>
      </c>
      <c r="GC133" s="255" t="str">
        <f t="shared" si="344"/>
        <v/>
      </c>
      <c r="GD133" s="250" t="str">
        <f t="shared" si="345"/>
        <v/>
      </c>
      <c r="GE133" s="253" t="str">
        <f>IFERROR(IF(AND(AF133="", 'General Information'!$F$18="No"),"", IF(AF133="", ((GD133/$CD$266)*$CF$266)*0.5, AF133*S133*0.5)), "")</f>
        <v/>
      </c>
      <c r="GF133" s="255" t="str">
        <f>IF(AND('General Information'!$F$19="", 'General Information'!$F$18="Yes",AF133="",BW133="Y"), "Y", "N")</f>
        <v>N</v>
      </c>
      <c r="GG133" s="255" t="s">
        <v>2946</v>
      </c>
      <c r="GH133" s="255" t="str">
        <f>IFERROR(IF(B133="", "", VLOOKUP(J133, 'Fixture Identities'!$A$6:$N$908, 14, FALSE)), "")</f>
        <v/>
      </c>
      <c r="GI133" s="389" t="str">
        <f>IF(OR(B133="", V133="", W133=""), "", IF(AND(OR(M133='Lookup Tables'!$R$18, M133='Lookup Tables'!$R$19, M133='Lookup Tables'!$R$20, M133='Lookup Tables'!$R$21, M133='Lookup Tables'!$R$22), OR(AN133='Lookup Tables'!$R$17, AN133='Lookup Tables'!$R$17, AN133="")), "Y", "N"))</f>
        <v/>
      </c>
      <c r="GJ133" s="255" t="str">
        <f t="shared" si="346"/>
        <v/>
      </c>
      <c r="GK133" s="255" t="str">
        <f t="shared" si="347"/>
        <v/>
      </c>
      <c r="GL133" s="255" t="str">
        <f t="shared" si="348"/>
        <v/>
      </c>
      <c r="GM133" s="255" t="str">
        <f>IF(AN133="", "", IF(AND(IF(ISNA(VLOOKUP(AN133,'Lookup Tables'!$R$18:$R$22,1,FALSE)), "N", "Y")="Y", E133="Exterior"), "Y", "N"))</f>
        <v/>
      </c>
      <c r="GN133" s="395"/>
      <c r="GO133" s="428">
        <f t="shared" si="394"/>
        <v>0</v>
      </c>
      <c r="GP133" s="428">
        <f t="shared" si="397"/>
        <v>0</v>
      </c>
      <c r="GQ133" s="428">
        <f t="shared" si="395"/>
        <v>0</v>
      </c>
      <c r="GR133" s="428">
        <f t="shared" si="396"/>
        <v>0</v>
      </c>
    </row>
    <row r="134" spans="1:200" s="103" customFormat="1" ht="13.5" customHeight="1" x14ac:dyDescent="0.2">
      <c r="A134" s="272">
        <v>124</v>
      </c>
      <c r="B134" s="110"/>
      <c r="C134" s="110"/>
      <c r="D134" s="110"/>
      <c r="E134" s="110"/>
      <c r="F134" s="110"/>
      <c r="G134" s="110"/>
      <c r="H134" s="110"/>
      <c r="I134" s="29"/>
      <c r="J134" s="29"/>
      <c r="K134" s="272" t="str">
        <f>IFERROR(IF(OR(VLOOKUP(J134, 'Fixture Identities'!$A$6:$L$1023, 3, FALSE)="T12 Linear Fluorescent", VLOOKUP(J134, 'Fixture Identities'!$A$6:$L$1023, 3, FALSE)="T12 U-Tube Fluorescent"), VLOOKUP(VLOOKUP(J134, 'Fixture Identities'!$A$6:$L$1023, 11, FALSE), 'Fixture Identities'!$A$6:$L$1023, 10, FALSE), VLOOKUP(J134, 'Fixture Identities'!$A$6:$L$1023, 10, FALSE)), "")</f>
        <v/>
      </c>
      <c r="L134" s="270" t="str">
        <f t="shared" si="399"/>
        <v/>
      </c>
      <c r="M134" s="110"/>
      <c r="N134" s="110"/>
      <c r="O134" s="110"/>
      <c r="P134" s="272" t="str">
        <f>IFERROR(IF(OR(B134="Retrofit",B134=""),"",IF('Lighting Inventory'!E134="Exterior",VLOOKUP('Lighting Inventory'!N134,'Lookup Tables'!$B$83:$F$103,5,FALSE),IF(N134="Other - Please Estimate EFLH and CFs","Contact Prog. Rep.","ft^2"))), "")</f>
        <v/>
      </c>
      <c r="Q134" s="270" t="str">
        <f>IFERROR(IF(AND(B134="New Construction",E134="Interior",$F$5="Space-by-Space"),VLOOKUP('Lighting Inventory'!N134,'Lookup Tables'!$N$6:$O$97,2,FALSE),IF(AND(B134="New Construction",E134="Exterior"),VLOOKUP(N134,'Lookup Tables'!$B$83:$F$103,2,FALSE),IF(AND(B134="New Construction",'Lighting Inventory'!E134="Interior", $F$5="Building Area"),VLOOKUP(F134,'Lookup Tables'!$A$6:$J$59,10,FALSE),""))), "")</f>
        <v/>
      </c>
      <c r="R134" s="270" t="str">
        <f>IFERROR(IF(P134="Contact Prog. Rep.", "ERROR", IF(OR(B134="",B134="Retrofit"),"",IF(N134="Automated teller machines", ('Lookup Tables'!$A$82:$E$100+('Lighting Inventory'!O134-1)*'Lookup Tables'!$A$82:$E$100)/1000, (Q134*O134)/1000))), "")</f>
        <v/>
      </c>
      <c r="S134" s="595"/>
      <c r="T134" s="105" t="str">
        <f t="shared" si="349"/>
        <v/>
      </c>
      <c r="U134" s="105" t="str">
        <f>IF(S134="","",COUNT($S$11:S134))</f>
        <v/>
      </c>
      <c r="V134" s="111"/>
      <c r="W134" s="112"/>
      <c r="X134" s="105" t="str">
        <f t="shared" si="350"/>
        <v/>
      </c>
      <c r="Y134" s="105" t="str">
        <f t="array" ref="Y134">IF(AND(OR(W134="Freezer Case Lighting", W134="Refrigerated Case Lighting with Doors"), 'General Information'!$X$18="LCI"),'Lookup Tables'!$Y$34, IF(V134="Custom", VLOOKUP(W134, 'Fixture Identities'!$A$974:$M$1023, 13, FALSE), IF(V134="No Change",'Lookup Tables'!$Y$29,IF(OR(V134="",W134=""),"",IF(AND(S134=0,S134&lt;I134,B134="Retrofit"),'Lookup Tables'!$Y$25, IF(B134="Retrofit", INDEX('Lookup Tables'!$AH$6:$AP$102, MATCH(1, ('Lookup Tables'!$AH$6:$AH$102=V134)*('Lookup Tables'!$AI$6:$AI$102=W134), 0), IF('Lighting Inventory'!E134="Interior", 4, 5)), INDEX('Lookup Tables'!$AH$114:$AP$154, MATCH(1, ('Lookup Tables'!$AH$114:$AH$154=V134)*('Lookup Tables'!$AI$114:$AI$154=W134), 0), IF('Lighting Inventory'!E134="Interior", 4, 5))))))))</f>
        <v/>
      </c>
      <c r="Z134" s="105" t="str">
        <f>IFERROR(INDEX('Lookup Tables'!$AH$158:$AH$172,MATCH('Lighting Inventory'!Y134,'Lookup Tables'!$AI$158:$AI$172,0)),"")</f>
        <v/>
      </c>
      <c r="AA134" s="105" t="str">
        <f>IF(AP134&gt;0,INDEX('Lookup Tables'!$AK$158:$AK$172,MATCH('Lighting Inventory'!Y134,'Lookup Tables'!$AI$158:$AI$172,0)),'Lighting Inventory'!Y134)</f>
        <v/>
      </c>
      <c r="AB134" s="105" t="str">
        <f t="array" ref="AB134">IF(V134="Custom", "Custom", IF(V134="", "", IF(V134="Not DLC or Energy Star", "General", IF(B134="New Construction", INDEX('Lookup Tables'!$AH$114:$AP$154,MATCH(1,('Lookup Tables'!$AH$114:$AH$154='Lighting Inventory'!V134)*('Lookup Tables'!$AI$114:$AI$154='Lighting Inventory'!W134),FALSE),8), INDEX('Lookup Tables'!$AH$6:$AP$102,MATCH(1,('Lookup Tables'!$AH$6:$AH$102='Lighting Inventory'!V134)*('Lookup Tables'!$AI$6:$AI$102='Lighting Inventory'!W134),FALSE),8)))))</f>
        <v/>
      </c>
      <c r="AC134" s="272" t="str">
        <f>IF(W134="","",IF(V134="Custom",CONCATENATE("$",'Lookup Tables'!$AM$101," ",'Lookup Tables'!$AN$101),CONCATENATE("$",INDEX('Lookup Tables'!$AM$6:$AM$102,MATCH('Lighting Inventory'!W134,'Lookup Tables'!$AI$6:$AI$102,0))," ",INDEX('Lookup Tables'!$AN$6:$AN$102,MATCH('Lighting Inventory'!W134,'Lookup Tables'!$AI$6:$AI$102,0)))))</f>
        <v/>
      </c>
      <c r="AD134" s="72"/>
      <c r="AE134" s="29"/>
      <c r="AF134" s="379"/>
      <c r="AG134" s="370" t="str">
        <f t="shared" si="298"/>
        <v/>
      </c>
      <c r="AH134" s="370" t="str">
        <f t="shared" si="351"/>
        <v/>
      </c>
      <c r="AI134" s="29"/>
      <c r="AJ134" s="29"/>
      <c r="AK134" s="110"/>
      <c r="AL134" s="375" t="str">
        <f>IF(OR(B134="", V134="", W134=""), "", IF(V134="No Change", K134, IF(V134="Remove Fixture", 0, IF(V134="Custom",VLOOKUP(W134,'Fixture Identities'!$A$6:$K$1023,10,FALSE),IF(AE134="", "← ENTER POST WATTS", 'Lighting Inventory'!AE134)))))</f>
        <v/>
      </c>
      <c r="AM134" s="376" t="str">
        <f t="shared" si="299"/>
        <v/>
      </c>
      <c r="AN134" s="29"/>
      <c r="AO134" s="671"/>
      <c r="AP134" s="29"/>
      <c r="AQ134" s="29"/>
      <c r="AR134" s="29"/>
      <c r="AS134" s="272" t="str">
        <f t="shared" si="352"/>
        <v/>
      </c>
      <c r="AT134" s="270" t="str">
        <f t="shared" si="300"/>
        <v/>
      </c>
      <c r="AU134" s="88" t="str">
        <f t="shared" si="400"/>
        <v/>
      </c>
      <c r="AV134" s="29"/>
      <c r="AW134" s="73"/>
      <c r="AX134" s="271" t="str">
        <f>IF(AND(AV134="Applicant",OR(AW134="", AW134="Use Default Facility Hours")),"← Choose Schedule",IF(F134="","",IF(W134="LED Exit Signs",8760,IF(OR(AV134="Prescribed",AV134=""),VLOOKUP(F134,'Lookup Tables'!$A$6:$G$59,IF(AB134="General", 6, 3),FALSE),VLOOKUP(AW134,'Lookup Tables'!$S$36:$U$43,2,FALSE)))))</f>
        <v/>
      </c>
      <c r="AY134" s="88" t="str">
        <f t="shared" si="301"/>
        <v/>
      </c>
      <c r="AZ134" s="270" t="str">
        <f>IFERROR(IF(F134="", "", IF(W134="LED Exit Signs", 1, IF(AV134="Applicant",VLOOKUP(AW134, 'Lookup Tables'!$S$36:$U$43,3, FALSE), VLOOKUP('Lighting Inventory'!F134, 'Lookup Tables'!$A$6:$H$59, IF('Lighting Inventory'!AB134="General",7,4), FALSE)))), "")</f>
        <v/>
      </c>
      <c r="BA134" s="522" t="str">
        <f>IFERROR(IF(F134="", "", IF(W134="LED Exit Signs", 1, VLOOKUP('Lighting Inventory'!F134, 'Lookup Tables'!$A$6:$H$59, IF('Lighting Inventory'!AB134="General",8,5), FALSE))), "")</f>
        <v/>
      </c>
      <c r="BB134" s="270" t="str">
        <f>IF(G134="", "", IF(E134="Exterior", 0, IF('Lighting Inventory'!G134="Air Conditioned", VLOOKUP(H134, 'Lookup Tables'!$R$6:$T$13, 2, FALSE), VLOOKUP('Lighting Inventory'!G134, 'Lookup Tables'!$R$6:$T$13, 2, FALSE))))</f>
        <v/>
      </c>
      <c r="BC134" s="522" t="str">
        <f>IF(G134="", "", IF(E134="Exterior", 0, IF('Lighting Inventory'!G134="Air Conditioned", VLOOKUP(H134, 'Lookup Tables'!$R$6:$T$13, 3, FALSE), VLOOKUP('Lighting Inventory'!G134, 'Lookup Tables'!$R$6:$T$13, 3, FALSE))))</f>
        <v/>
      </c>
      <c r="BD134" s="270" t="str">
        <f>IF(G134="", "", IF(E134="Exterior", 0, IF('Lighting Inventory'!G134="Air Conditioned", VLOOKUP(H134, 'Lookup Tables'!$R$6:$U$13, 4, FALSE), VLOOKUP('Lighting Inventory'!G134, 'Lookup Tables'!$R$6:$U$13, 4, FALSE))))</f>
        <v/>
      </c>
      <c r="BE134" s="270" t="str">
        <f>IFERROR(IF(B134="", "",  IF(B134="New Construction", VLOOKUP(F134, 'Lookup Tables'!$A$6:$K$59, 11, FALSE),IF(OR(AN134="", AN134="Light Switch"), 0, IF(OR(M134="",M134="None",V134= "LED Exit Signs"),0,_xlfn.XLOOKUP(M134,'Lookup Tables'!$R$91:$R$101,'Lookup Tables'!$V$91:$V$101))))), "")</f>
        <v/>
      </c>
      <c r="BF134" s="270" t="str">
        <f>IF(AND(OR(AN134="Light Switch",AN134=""),B134="New Construction"), VLOOKUP(F134, 'Lookup Tables'!$A$6:$K$59, 11, FALSE),IF(AN134="","",IF(B134="","",IF(OR(AN134="None",AN134="",V134="LED Exit Signs",AN134="Exterior Controls Not Eligible"),0,_xlfn.XLOOKUP(AN134,'Lookup Tables'!$R$91:$R$101,'Lookup Tables'!$V$91:$V$101)))))</f>
        <v/>
      </c>
      <c r="BG134" s="88" t="str">
        <f t="shared" si="353"/>
        <v/>
      </c>
      <c r="BH134" s="88" t="str">
        <f t="shared" si="354"/>
        <v/>
      </c>
      <c r="BI134" s="558" t="str">
        <f t="shared" si="398"/>
        <v/>
      </c>
      <c r="BJ134" s="82" t="str">
        <f t="shared" si="355"/>
        <v/>
      </c>
      <c r="BK134" s="82" t="str">
        <f t="shared" si="356"/>
        <v/>
      </c>
      <c r="BL134" s="559" t="str">
        <f t="shared" si="357"/>
        <v/>
      </c>
      <c r="BM134" s="521" t="str">
        <f t="shared" si="302"/>
        <v/>
      </c>
      <c r="BN134" s="521" t="str">
        <f t="shared" si="303"/>
        <v/>
      </c>
      <c r="BO134" s="522" t="str">
        <f t="shared" si="304"/>
        <v/>
      </c>
      <c r="BP134" s="83" t="str">
        <f t="shared" si="358"/>
        <v/>
      </c>
      <c r="BQ134" s="84" t="str">
        <f t="shared" si="359"/>
        <v/>
      </c>
      <c r="BR134" s="184" t="str">
        <f>IFERROR(IF(B134="", "", IF(OR(VLOOKUP(J134, 'Fixture Identities'!$A$6:$L$1023, 3, FALSE)="T12 Linear Fluorescent",VLOOKUP(J134, 'Fixture Identities'!$A$6:$L$1023, 3, FALSE)="T12 U-Tube Fluorescent"), "Y", "N")), "N")</f>
        <v/>
      </c>
      <c r="BS134" s="184" t="str">
        <f t="array" ref="BS134">IFERROR(IF(OR(B134="", V134="", W134=""), "", IF(V134="Custom", "N", IF(OR(W134="Freezer Case Lighting", W134="Refrigerated Case Lighting with Doors"), BT134, IF(B134="Retrofit", INDEX('Lookup Tables'!$AH$6:$AT$102,MATCH(1,('Lookup Tables'!$AH$6:$AH$102=V134)*('Lookup Tables'!$AI$6:$AI$102=W134),FALSE),IF(VLOOKUP(J134, 'Fixture Identities'!$A$6:$B$1023, 2, FALSE)="Incandescent",12, 13)), INDEX('Lookup Tables'!$AH$114:$AS$154,MATCH(1,('Lookup Tables'!$AH$114:$AH$154=V134)*('Lookup Tables'!$AI$114:$AI$154=W134),FALSE),12))))), "N")</f>
        <v/>
      </c>
      <c r="BT134" s="184" t="str">
        <f>IF(J134="", "", IF(AND(OR(W134="Freezer case Lighting", W134="Refrigerated Case Lighting with Doors"),'General Information'!$X$18="LCI"), "N", IF(OR(VLOOKUP(J134, 'Fixture Identities'!$A$6:$B$1023, 2, FALSE)="T12 EPACT/EISA Baseline", VLOOKUP(J134, 'Fixture Identities'!$A$6:$B$1023, 2, FALSE)="Linear Fluorescent", VLOOKUP(J134, 'Fixture Identities'!$A$6:$B$1023, 2, FALSE)="U-Tube Fluorescent"), "Y", "N")))</f>
        <v/>
      </c>
      <c r="BU134" s="184" t="str">
        <f>IFERROR(IF(B134="", "", IF(VLOOKUP(J134, 'Fixture Identities'!$A$6:$B$1023, 2, FALSE)="Exit Sign", "Y", "N")), "N")</f>
        <v/>
      </c>
      <c r="BV134" s="184" t="str">
        <f>IF(V134="Exit Signs", IF(VLOOKUP(J134, 'Fixture Identities'!$A$6:$B$1023, 2, FALSE)="Exit Sign", "N", "Y"), "")</f>
        <v/>
      </c>
      <c r="BW134" s="184" t="str">
        <f t="array" ref="BW134">IFERROR(IF(B134="", "", IF(B134="New Construction", "N", INDEX('Lookup Tables'!$AH$6:$AU$102, MATCH(1, ('Lookup Tables'!$AH$6:$AH$102='Lighting Inventory'!V134)*('Lookup Tables'!$AI$6:$AI$102='Lighting Inventory'!W134), 0), 14))), "N")</f>
        <v/>
      </c>
      <c r="BX134" s="598" t="str">
        <f t="shared" si="360"/>
        <v/>
      </c>
      <c r="BY134" s="598" t="str">
        <f t="shared" si="361"/>
        <v/>
      </c>
      <c r="BZ134" s="598" t="str">
        <f t="shared" si="362"/>
        <v/>
      </c>
      <c r="CA134" s="598" t="str">
        <f t="shared" si="363"/>
        <v/>
      </c>
      <c r="CB134" s="269" t="str">
        <f t="shared" si="364"/>
        <v/>
      </c>
      <c r="CC134" s="517" t="str">
        <f t="shared" si="365"/>
        <v/>
      </c>
      <c r="CD134" s="565" t="str">
        <f t="shared" si="305"/>
        <v/>
      </c>
      <c r="CE134" s="368">
        <v>0</v>
      </c>
      <c r="CF134" s="368" t="str" cm="1">
        <f t="array" ref="CF134">IFERROR(IF(V134="Custom", "$0.1 per kWh", IF(B134="New Construction", CONCATENATE("$",INDEX('Lookup Tables'!$AH$114:$AN$154,MATCH(1,('Lookup Tables'!$AH$114:$AH$154='Lighting Inventory'!V134)*('Lookup Tables'!$AI$114:$AI$154='Lighting Inventory'!W134),FALSE),6)," ",INDEX('Lookup Tables'!$AH$114:$AN$154,MATCH(1,('Lookup Tables'!$AH$114:$AH$154='Lighting Inventory'!V134)*('Lookup Tables'!$AI$114:$AI$154='Lighting Inventory'!W134),FALSE),7)), IF(AND(BU134="N", V134="Exit Signs"), "$0.025 per kWh", CONCATENATE("$",INDEX('Lookup Tables'!$AH$6:$AN$102,MATCH(1,('Lookup Tables'!$AH$6:$AH$102='Lighting Inventory'!V134)*('Lookup Tables'!$AI$6:$AI$102='Lighting Inventory'!W134),FALSE),6)," ",INDEX('Lookup Tables'!$AH$6:$AN$102,MATCH(1,('Lookup Tables'!$AH$6:$AH$102='Lighting Inventory'!V134)*('Lookup Tables'!$AI$6:$AI$102='Lighting Inventory'!W134),FALSE),7))))), "")</f>
        <v/>
      </c>
      <c r="CG134" s="366"/>
      <c r="CH134" s="248" t="str">
        <f t="shared" si="306"/>
        <v/>
      </c>
      <c r="CI134" s="248" t="str">
        <f t="shared" si="307"/>
        <v>Select_IE</v>
      </c>
      <c r="CJ134" s="248" t="str">
        <f t="shared" si="308"/>
        <v/>
      </c>
      <c r="CK134" s="248" t="str">
        <f t="shared" si="309"/>
        <v/>
      </c>
      <c r="CL134" s="248" t="str">
        <f t="shared" si="310"/>
        <v/>
      </c>
      <c r="CM134" s="248" t="str">
        <f>IFERROR(IF(B134="", "", IF(B134="New Construction", VLOOKUP(V134, 'Lookup Tables'!$AF$114:$AG$120, 2, FALSE), VLOOKUP(V134, 'Lookup Tables'!$AD$6:$AE$25, 2, FALSE))), "")</f>
        <v/>
      </c>
      <c r="CN134" s="248" t="str">
        <f t="shared" si="311"/>
        <v/>
      </c>
      <c r="CO134" s="248" t="str">
        <f t="shared" si="312"/>
        <v/>
      </c>
      <c r="CP134" s="592" t="str">
        <f t="shared" si="313"/>
        <v/>
      </c>
      <c r="CQ134" s="248" t="str">
        <f t="shared" si="366"/>
        <v/>
      </c>
      <c r="CR134" s="249"/>
      <c r="CS134" s="250" t="str">
        <f t="shared" si="314"/>
        <v/>
      </c>
      <c r="CT134" s="250" t="str">
        <f t="shared" si="367"/>
        <v/>
      </c>
      <c r="CU134" s="250" t="str">
        <f t="shared" si="368"/>
        <v/>
      </c>
      <c r="CV134" s="250" t="str">
        <f t="shared" si="369"/>
        <v/>
      </c>
      <c r="CW134" s="250" t="str">
        <f t="shared" si="370"/>
        <v/>
      </c>
      <c r="CX134" s="250" t="str">
        <f t="shared" si="315"/>
        <v/>
      </c>
      <c r="CY134" s="250" t="str">
        <f t="shared" si="316"/>
        <v/>
      </c>
      <c r="CZ134" s="250" t="str">
        <f t="shared" si="317"/>
        <v/>
      </c>
      <c r="DA134" s="250" t="str">
        <f t="shared" si="318"/>
        <v/>
      </c>
      <c r="DB134" s="250" t="str">
        <f t="shared" si="319"/>
        <v/>
      </c>
      <c r="DC134" s="250" t="str">
        <f t="shared" si="320"/>
        <v/>
      </c>
      <c r="DD134" s="250" t="str">
        <f t="shared" si="321"/>
        <v/>
      </c>
      <c r="DE134" s="250" t="str">
        <f t="shared" si="322"/>
        <v/>
      </c>
      <c r="DF134" s="250" t="str">
        <f t="shared" si="323"/>
        <v/>
      </c>
      <c r="DG134" s="250" t="str">
        <f t="shared" si="324"/>
        <v/>
      </c>
      <c r="DH134" s="250" t="str">
        <f t="shared" si="325"/>
        <v/>
      </c>
      <c r="DI134" s="250" t="str">
        <f t="shared" si="326"/>
        <v/>
      </c>
      <c r="DJ134" s="250" t="str">
        <f t="shared" si="327"/>
        <v/>
      </c>
      <c r="DK134" s="250" t="str">
        <f t="shared" si="328"/>
        <v/>
      </c>
      <c r="DL134" s="250" t="str">
        <f t="shared" si="329"/>
        <v/>
      </c>
      <c r="DM134" s="250" t="str">
        <f>IF(CD134="ERROR", "ERROR", IF(AND(OR(Y134=$DM$6, Y134='Lookup Tables'!$AD$21, Y134='Lookup Tables'!$AD$22), E134="Interior"), BJ134, ""))</f>
        <v/>
      </c>
      <c r="DN134" s="250" t="str">
        <f>IF(CD134="ERROR", "ERROR", IF(AND(OR(Y134=$DM$6, Y134='Lookup Tables'!$AD$21, Y134='Lookup Tables'!$AD$22), E134="Exterior"), BJ134, ""))</f>
        <v/>
      </c>
      <c r="DO134" s="249"/>
      <c r="DP134" s="250" t="str">
        <f t="shared" si="330"/>
        <v/>
      </c>
      <c r="DQ134" s="250" t="str">
        <f t="shared" si="371"/>
        <v/>
      </c>
      <c r="DR134" s="250" t="str">
        <f t="shared" si="372"/>
        <v/>
      </c>
      <c r="DS134" s="250" t="str">
        <f t="shared" si="373"/>
        <v/>
      </c>
      <c r="DT134" s="250" t="str">
        <f t="shared" si="374"/>
        <v/>
      </c>
      <c r="DU134" s="250" t="str">
        <f t="shared" si="331"/>
        <v/>
      </c>
      <c r="DV134" s="250" t="str">
        <f t="shared" si="332"/>
        <v/>
      </c>
      <c r="DW134" s="250" t="str">
        <f t="shared" si="333"/>
        <v/>
      </c>
      <c r="DX134" s="250" t="str">
        <f t="shared" si="334"/>
        <v/>
      </c>
      <c r="DY134" s="250" t="str">
        <f t="shared" si="335"/>
        <v/>
      </c>
      <c r="DZ134" s="250" t="str">
        <f t="shared" si="336"/>
        <v/>
      </c>
      <c r="EA134" s="250" t="str">
        <f t="shared" si="337"/>
        <v/>
      </c>
      <c r="EB134" s="250" t="str">
        <f t="shared" si="375"/>
        <v/>
      </c>
      <c r="EC134" s="250" t="str">
        <f t="shared" si="338"/>
        <v/>
      </c>
      <c r="ED134" s="250" t="str">
        <f t="shared" si="339"/>
        <v/>
      </c>
      <c r="EE134" s="250" t="str">
        <f t="shared" si="340"/>
        <v/>
      </c>
      <c r="EF134" s="250" t="str">
        <f t="shared" si="341"/>
        <v/>
      </c>
      <c r="EG134" s="250" t="str">
        <f t="shared" si="342"/>
        <v/>
      </c>
      <c r="EH134" s="250" t="str">
        <f>IF(CD134="ERROR", "ERROR", IF(AND(OR($EH$6=Y134, Y134='Lookup Tables'!$AD$21, Y134='Lookup Tables'!$AD$22),E134="Interior"), SUM(BP134:BP134), ""))</f>
        <v/>
      </c>
      <c r="EI134" s="250" t="str">
        <f>IF(CD134="ERROR", "ERROR", IF(AND(OR($EH$6=Y134, Y134='Lookup Tables'!$AD$21, Y134='Lookup Tables'!$AD$22),E134="Exterior"), SUM(BP134:BP134), ""))</f>
        <v/>
      </c>
      <c r="EJ134" s="109"/>
      <c r="EK134" s="485" t="str">
        <f t="shared" si="343"/>
        <v/>
      </c>
      <c r="EL134" s="252" t="str">
        <f t="shared" si="376"/>
        <v/>
      </c>
      <c r="EM134" s="252" t="str">
        <f t="shared" si="377"/>
        <v/>
      </c>
      <c r="EN134" s="252" t="str">
        <f t="shared" si="378"/>
        <v/>
      </c>
      <c r="EO134" s="252" t="str">
        <f t="shared" si="379"/>
        <v/>
      </c>
      <c r="EP134" s="252" t="str">
        <f t="shared" si="380"/>
        <v/>
      </c>
      <c r="EQ134" s="252" t="str">
        <f t="shared" si="381"/>
        <v/>
      </c>
      <c r="ER134" s="252" t="str">
        <f t="shared" si="382"/>
        <v/>
      </c>
      <c r="ES134" s="252" t="str">
        <f t="shared" si="383"/>
        <v/>
      </c>
      <c r="ET134" s="252" t="str">
        <f t="shared" si="384"/>
        <v/>
      </c>
      <c r="EU134" s="252" t="str">
        <f t="shared" si="385"/>
        <v/>
      </c>
      <c r="EV134" s="252" t="str">
        <f t="shared" si="386"/>
        <v/>
      </c>
      <c r="EW134" s="252" t="str">
        <f t="shared" si="387"/>
        <v/>
      </c>
      <c r="EX134" s="252" t="str">
        <f t="shared" si="388"/>
        <v/>
      </c>
      <c r="EY134" s="252" t="str">
        <f t="shared" si="389"/>
        <v/>
      </c>
      <c r="EZ134" s="252" t="str">
        <f t="shared" si="390"/>
        <v/>
      </c>
      <c r="FA134" s="252" t="str">
        <f t="shared" si="391"/>
        <v/>
      </c>
      <c r="FB134" s="252" t="str">
        <f t="shared" si="392"/>
        <v/>
      </c>
      <c r="FC134" s="252" t="str">
        <f>IF(CD134="ERROR", "ERROR", IF(OR(V134="No Change", V134="Not DLC or Energy Star"), "", IF(AND(OR($FC$6=Y134,Y134='Lookup Tables'!$AD$21, Y134='Lookup Tables'!$AD$22),E134="Interior"), S134, "")))</f>
        <v/>
      </c>
      <c r="FD134" s="252" t="str">
        <f t="shared" si="393"/>
        <v/>
      </c>
      <c r="FE134" s="1"/>
      <c r="FF134" s="579" t="str" cm="1">
        <f t="array" ref="FF134">IFERROR(IF(OR(BQ134&lt;=0,AQ134&lt;20,AND(V134="Exit Signs",AN134&gt;0)),"",IF(AND(AQ134&gt;=20,AN134='Lookup Tables'!$R$101),'Lookup Tables'!$U$101*BQ134,AP134*LOOKUP(2,1/((AN134='Lookup Tables'!$R$91:$R$111)*(AQ134&gt;='Lookup Tables'!$S$91:$S$111)*(AQ134&lt;='Lookup Tables'!$T$91:$T$111)),'Lookup Tables'!$U$91:$U$111))),"")</f>
        <v/>
      </c>
      <c r="FG134" s="579"/>
      <c r="FH134" s="579"/>
      <c r="FI134" s="253" t="str">
        <f>IFERROR(ROUND(IF(CD134="ERROR", "ERROR", IF(AND($FI$7=X134,E134="Interior"),VLOOKUP(W134, 'Lookup Tables'!$AI$6:$AM$102, 5, FALSE)*BP134, "")), 2), "")</f>
        <v/>
      </c>
      <c r="FJ134" s="253" t="str">
        <f>IFERROR(ROUND(IF(CD134="ERROR", "ERROR", IF(AND($FI$7=X134,E134="Exterior"),VLOOKUP(W134, 'Lookup Tables'!$AI$6:$AM$102, 5, FALSE)*BP134, "")), 2), "")</f>
        <v/>
      </c>
      <c r="FK134" s="253" t="str">
        <f>IFERROR(ROUND(IF(CD134="ERROR", "ERROR", IF(AND($FK$7=X134,E134="Interior"),VLOOKUP(W134, 'Lookup Tables'!$AI$6:$AM$102, 5, FALSE)*BP134, "")), 2), "")</f>
        <v/>
      </c>
      <c r="FL134" s="253" t="str">
        <f>IFERROR(ROUND(IF(CD134="ERROR", "ERROR", IF(AND($FK$7=X134,E134="Exterior"),VLOOKUP(W134, 'Lookup Tables'!$AI$6:$AM$102, 5, FALSE)*BP134, "")), 2), "")</f>
        <v/>
      </c>
      <c r="FM134" s="253" t="str">
        <f>IFERROR(ROUND(IF(CD134="ERROR", "ERROR", IF(AND($FM$6=Y134,E134="Interior"), IF(GB134=0, VLOOKUP(W134, 'Lookup Tables'!$AI$6:$AM$102, 5, FALSE)*BP134, IF(VLOOKUP(W134, 'Lookup Tables'!$AI$6:$AM$102, 5, FALSE)*BP134&gt;GB134*'Lighting Inventory'!S134, GB134*'Lighting Inventory'!S134,VLOOKUP(W134, 'Lookup Tables'!$AI$6:$AM$102, 5, FALSE)*BP134)), "")), 2), "")</f>
        <v/>
      </c>
      <c r="FN134" s="253" t="str">
        <f>IFERROR(ROUND(IF(CD134="ERROR", "ERROR", IF(AND($FM$6=Y134,E134="Exterior"), IF(GB134=0, VLOOKUP(W134, 'Lookup Tables'!$AI$6:$AM$102, 5, FALSE)*BP134, IF(VLOOKUP(W134, 'Lookup Tables'!$AI$6:$AM$102, 5, FALSE)*BP134&gt;GB134*'Lighting Inventory'!S134, GB134*'Lighting Inventory'!S134,VLOOKUP(W134, 'Lookup Tables'!$AI$6:$AM$102, 5, FALSE)*BP134)), "")), 2), "")</f>
        <v/>
      </c>
      <c r="FO134" s="253" t="str">
        <f>IFERROR(ROUND(IF(CD134="ERROR", "ERROR", IF(AND($FO$6=Y134,E134="Interior"),VLOOKUP(W134, 'Lookup Tables'!$AI$6:$AM$102, 5, FALSE)*'Lighting Inventory'!AI134, "")), 2), "")</f>
        <v/>
      </c>
      <c r="FP134" s="253" t="str">
        <f>IFERROR(ROUND(IF(CD134="ERROR", "ERROR", IF(AND($FO$6=Y134,E134="Exterior"),VLOOKUP(W134, 'Lookup Tables'!$AI$6:$AM$102, 5, FALSE)*'Lighting Inventory'!AI134, "")), 2), "")</f>
        <v/>
      </c>
      <c r="FQ134" s="253" t="str">
        <f>IFERROR(ROUND(IF(CD134="ERROR", "ERROR", IF(AND($FQ$6=Y134,E134="Interior", BU134="Y"), VLOOKUP('Lighting Inventory'!W134, 'Lookup Tables'!$AI$6:$AM$102, 5, FALSE)*'Lighting Inventory'!S134, IF(AND($FQ$7=Y134,E134="Interior", BU134="N"), 0.025*CD134, ""))), 2), "")</f>
        <v/>
      </c>
      <c r="FR134" s="253" t="str">
        <f>IFERROR(ROUND(IF(CD134="ERROR", "ERROR", IF(AND($FQ$6=Y134,E134="Exterior"), VLOOKUP('Lighting Inventory'!W134, 'Lookup Tables'!$AI$6:$AM$102, 5, FALSE)*'Lighting Inventory'!S134, "")), 2), "")</f>
        <v/>
      </c>
      <c r="FS134" s="253" t="str">
        <f>IFERROR(ROUND(IF(CD134="ERROR", "ERROR", IF(AND($FS$6=Y134,E134="Exterior"), IF(GB134=0, VLOOKUP(W134, 'Lookup Tables'!$AI$6:$AM$102, 5, FALSE)*BP134, IF(VLOOKUP(W134, 'Lookup Tables'!$AI$6:$AM$102, 5, FALSE)*BP134&gt;GB134*'Lighting Inventory'!S134, GB134*'Lighting Inventory'!S134,VLOOKUP(W134, 'Lookup Tables'!$AI$6:$AM$102, 5, FALSE)*BP134)), "")), 2), "")</f>
        <v/>
      </c>
      <c r="FT134" s="253" t="str">
        <f>IFERROR(ROUND(IF(CD134="ERROR", "ERROR", IF(AND($FT$6=Y134,E134="Interior"), IF(GB134=0, VLOOKUP(W134, 'Lookup Tables'!$AI$6:$AM$102, 5, FALSE)*BP134, IF(VLOOKUP(W134, 'Lookup Tables'!$AI$6:$AM$102, 5, FALSE)*BP134&gt;GB134*'Lighting Inventory'!S134, GB134*'Lighting Inventory'!S134,VLOOKUP(W134, 'Lookup Tables'!$AI$6:$AM$102, 5, FALSE)*BP134)), "")), 2), "")</f>
        <v/>
      </c>
      <c r="FU134" s="253" t="str">
        <f>IFERROR(ROUND(IF(CD134="ERROR", "ERROR", IF(AND(Y134=$FU$6, E134="Interior"), IF(BS134="N", 'Lookup Tables'!$AM$101*BP134, VLOOKUP(W134, 'Lookup Tables'!$AI$6:$AM$102, 5, FALSE)*S134*AD134), "")), 2), "")</f>
        <v/>
      </c>
      <c r="FV134" s="253" t="str">
        <f>IFERROR(ROUND(IF(CD134="ERROR", "ERROR", IF(AND(Y134=$FU$6, E134="Exterior"), IF(BS134="N", 'Lookup Tables'!$AM$101*BP134, VLOOKUP(W134, 'Lookup Tables'!$AI$6:$AM$102, 5, FALSE)*S134*AD134), "")), 2), "")</f>
        <v/>
      </c>
      <c r="FW134" s="253" t="str">
        <f>IFERROR(ROUND(IF(CD134="ERROR", "ERROR", IF($FW$6=Y134, IF(BS134="N", 'Lookup Tables'!$AM$101*BP134, MIN((VLOOKUP(W134, 'Lookup Tables'!$AI$6:$AM$102, 5, FALSE)*BP134),GB134*AJ134)), "")), 2), "")</f>
        <v/>
      </c>
      <c r="FX134" s="253" t="str">
        <f>IFERROR(ROUND(IF(CD134="ERROR", "ERROR", IF(AND($FX$6=Y134, E134="Interior"), IF(VLOOKUP(W134, 'Lookup Tables'!$AI$6:$AM$102, 5, FALSE)*BP134&gt;'Lookup Tables'!$AQ$97*'Lighting Inventory'!S134,'Lighting Inventory'!S134*'Lookup Tables'!$AQ$97,VLOOKUP(W134, 'Lookup Tables'!$AI$6:$AM$102, 5, FALSE)*BP134), "")), 2), "")</f>
        <v/>
      </c>
      <c r="FY134" s="253" t="str">
        <f>IFERROR(ROUND(IF(CD134="ERROR", "ERROR", IF(AND($FX$6=Y134, E134="Exterior"), IF(VLOOKUP(W134, 'Lookup Tables'!$AI$6:$AM$102, 5, FALSE)*BP134&gt;'Lookup Tables'!$AQ$97*'Lighting Inventory'!S134,'Lighting Inventory'!S134*'Lookup Tables'!$AQ$97,VLOOKUP(W134, 'Lookup Tables'!$AI$6:$AM$102, 5, FALSE)*BP134), "")), 2), "")</f>
        <v/>
      </c>
      <c r="FZ134" s="253" t="str">
        <f>IFERROR(ROUND(IF(CD134="ERROR", "ERROR", IF(AND($FZ$6=Y134, E134="Interior"), IF(AND(OR(W134="Refrigerated Case Lighting with Doors", W134="Freezer Case Lighting"),Y134="Custom - Process Improvement"),CD134*'Lookup Tables'!$AM$101, IF(B134="Retrofit", IF(VLOOKUP(IF(V134="Custom", V134, W134), 'Lookup Tables'!$AI$6:$AM$102, 5, FALSE)*BP134&gt;GE134, GE134, VLOOKUP(IF(V134="Custom", V134, W134), 'Lookup Tables'!$AI$6:$AM$102, 5, FALSE)*BP134), IF(VLOOKUP(IF(V134="Custom", V134, W134), 'Lookup Tables'!$AI$114:$AM$154, 5, FALSE)*BP134&gt;GE134, GE134, VLOOKUP(IF(V134="Custom", V134, W134), 'Lookup Tables'!$AI$114:$AM$154, 5, FALSE)*BP134))), "")), 2),"")</f>
        <v/>
      </c>
      <c r="GA134" s="253" t="str">
        <f>IFERROR(ROUND(IF(CD134="ERROR", "ERROR", IF(AND($FZ$6=Y134, E134="Exterior"), IF(B134="Retrofit", IF(VLOOKUP(IF(V134="Custom", V134, W134), 'Lookup Tables'!$AI$6:$AM$102, 5, FALSE)*BP134&gt;GE134, GE134, VLOOKUP(IF(V134="Custom", V134, W134), 'Lookup Tables'!$AI$6:$AM$102, 5, FALSE)*BP134), IF(VLOOKUP(IF(V134="Custom", V134, W134), 'Lookup Tables'!$AI$114:$AM$154, 5, FALSE)*BP134&gt;GE134, GE134, VLOOKUP(IF(V134="Custom", V134, W134), 'Lookup Tables'!$AI$114:$AM$154, 5, FALSE)*BP134)), "")), 2),"")</f>
        <v/>
      </c>
      <c r="GB134" s="254" t="str">
        <f t="array" ref="GB134">IF(B134="","",IF(OR(V134="Custom",V134="No Change"),0,IF(B134="Retrofit", INDEX('Lookup Tables'!$AH$6:$AQ$102,MATCH(1,('Lookup Tables'!$AH$6:$AH$102='Lighting Inventory'!V134)*('Lookup Tables'!$AI$6:$AI$102='Lighting Inventory'!W134),FALSE),10),INDEX('Lookup Tables'!$AH$114:$AQ$154,MATCH(1,('Lookup Tables'!$AH$114:$AH$154='Lighting Inventory'!V134)*('Lookup Tables'!$AI$114:$AI$154='Lighting Inventory'!W134),FALSE),10))))</f>
        <v/>
      </c>
      <c r="GC134" s="255" t="str">
        <f t="shared" si="344"/>
        <v/>
      </c>
      <c r="GD134" s="250" t="str">
        <f t="shared" si="345"/>
        <v/>
      </c>
      <c r="GE134" s="253" t="str">
        <f>IFERROR(IF(AND(AF134="", 'General Information'!$F$18="No"),"", IF(AF134="", ((GD134/$CD$266)*$CF$266)*0.5, AF134*S134*0.5)), "")</f>
        <v/>
      </c>
      <c r="GF134" s="255" t="str">
        <f>IF(AND('General Information'!$F$19="", 'General Information'!$F$18="Yes",AF134="",BW134="Y"), "Y", "N")</f>
        <v>N</v>
      </c>
      <c r="GG134" s="255" t="s">
        <v>2946</v>
      </c>
      <c r="GH134" s="255" t="str">
        <f>IFERROR(IF(B134="", "", VLOOKUP(J134, 'Fixture Identities'!$A$6:$N$908, 14, FALSE)), "")</f>
        <v/>
      </c>
      <c r="GI134" s="389" t="str">
        <f>IF(OR(B134="", V134="", W134=""), "", IF(AND(OR(M134='Lookup Tables'!$R$18, M134='Lookup Tables'!$R$19, M134='Lookup Tables'!$R$20, M134='Lookup Tables'!$R$21, M134='Lookup Tables'!$R$22), OR(AN134='Lookup Tables'!$R$17, AN134='Lookup Tables'!$R$17, AN134="")), "Y", "N"))</f>
        <v/>
      </c>
      <c r="GJ134" s="255" t="str">
        <f t="shared" si="346"/>
        <v/>
      </c>
      <c r="GK134" s="255" t="str">
        <f t="shared" si="347"/>
        <v/>
      </c>
      <c r="GL134" s="255" t="str">
        <f t="shared" si="348"/>
        <v/>
      </c>
      <c r="GM134" s="255" t="str">
        <f>IF(AN134="", "", IF(AND(IF(ISNA(VLOOKUP(AN134,'Lookup Tables'!$R$18:$R$22,1,FALSE)), "N", "Y")="Y", E134="Exterior"), "Y", "N"))</f>
        <v/>
      </c>
      <c r="GN134" s="395"/>
      <c r="GO134" s="428">
        <f t="shared" si="394"/>
        <v>0</v>
      </c>
      <c r="GP134" s="428">
        <f t="shared" si="397"/>
        <v>0</v>
      </c>
      <c r="GQ134" s="428">
        <f t="shared" si="395"/>
        <v>0</v>
      </c>
      <c r="GR134" s="428">
        <f t="shared" si="396"/>
        <v>0</v>
      </c>
    </row>
    <row r="135" spans="1:200" s="103" customFormat="1" ht="13.5" customHeight="1" x14ac:dyDescent="0.2">
      <c r="A135" s="272">
        <v>125</v>
      </c>
      <c r="B135" s="110"/>
      <c r="C135" s="110"/>
      <c r="D135" s="110"/>
      <c r="E135" s="110"/>
      <c r="F135" s="110"/>
      <c r="G135" s="110"/>
      <c r="H135" s="110"/>
      <c r="I135" s="29"/>
      <c r="J135" s="29"/>
      <c r="K135" s="272" t="str">
        <f>IFERROR(IF(OR(VLOOKUP(J135, 'Fixture Identities'!$A$6:$L$1023, 3, FALSE)="T12 Linear Fluorescent", VLOOKUP(J135, 'Fixture Identities'!$A$6:$L$1023, 3, FALSE)="T12 U-Tube Fluorescent"), VLOOKUP(VLOOKUP(J135, 'Fixture Identities'!$A$6:$L$1023, 11, FALSE), 'Fixture Identities'!$A$6:$L$1023, 10, FALSE), VLOOKUP(J135, 'Fixture Identities'!$A$6:$L$1023, 10, FALSE)), "")</f>
        <v/>
      </c>
      <c r="L135" s="270" t="str">
        <f t="shared" si="399"/>
        <v/>
      </c>
      <c r="M135" s="110"/>
      <c r="N135" s="110"/>
      <c r="O135" s="110"/>
      <c r="P135" s="272" t="str">
        <f>IFERROR(IF(OR(B135="Retrofit",B135=""),"",IF('Lighting Inventory'!E135="Exterior",VLOOKUP('Lighting Inventory'!N135,'Lookup Tables'!$B$83:$F$103,5,FALSE),IF(N135="Other - Please Estimate EFLH and CFs","Contact Prog. Rep.","ft^2"))), "")</f>
        <v/>
      </c>
      <c r="Q135" s="270" t="str">
        <f>IFERROR(IF(AND(B135="New Construction",E135="Interior",$F$5="Space-by-Space"),VLOOKUP('Lighting Inventory'!N135,'Lookup Tables'!$N$6:$O$97,2,FALSE),IF(AND(B135="New Construction",E135="Exterior"),VLOOKUP(N135,'Lookup Tables'!$B$83:$F$103,2,FALSE),IF(AND(B135="New Construction",'Lighting Inventory'!E135="Interior", $F$5="Building Area"),VLOOKUP(F135,'Lookup Tables'!$A$6:$J$59,10,FALSE),""))), "")</f>
        <v/>
      </c>
      <c r="R135" s="270" t="str">
        <f>IFERROR(IF(P135="Contact Prog. Rep.", "ERROR", IF(OR(B135="",B135="Retrofit"),"",IF(N135="Automated teller machines", ('Lookup Tables'!$A$82:$E$100+('Lighting Inventory'!O135-1)*'Lookup Tables'!$A$82:$E$100)/1000, (Q135*O135)/1000))), "")</f>
        <v/>
      </c>
      <c r="S135" s="595"/>
      <c r="T135" s="105" t="str">
        <f t="shared" si="349"/>
        <v/>
      </c>
      <c r="U135" s="105" t="str">
        <f>IF(S135="","",COUNT($S$11:S135))</f>
        <v/>
      </c>
      <c r="V135" s="111"/>
      <c r="W135" s="112"/>
      <c r="X135" s="105" t="str">
        <f t="shared" si="350"/>
        <v/>
      </c>
      <c r="Y135" s="105" t="str">
        <f t="array" ref="Y135">IF(AND(OR(W135="Freezer Case Lighting", W135="Refrigerated Case Lighting with Doors"), 'General Information'!$X$18="LCI"),'Lookup Tables'!$Y$34, IF(V135="Custom", VLOOKUP(W135, 'Fixture Identities'!$A$974:$M$1023, 13, FALSE), IF(V135="No Change",'Lookup Tables'!$Y$29,IF(OR(V135="",W135=""),"",IF(AND(S135=0,S135&lt;I135,B135="Retrofit"),'Lookup Tables'!$Y$25, IF(B135="Retrofit", INDEX('Lookup Tables'!$AH$6:$AP$102, MATCH(1, ('Lookup Tables'!$AH$6:$AH$102=V135)*('Lookup Tables'!$AI$6:$AI$102=W135), 0), IF('Lighting Inventory'!E135="Interior", 4, 5)), INDEX('Lookup Tables'!$AH$114:$AP$154, MATCH(1, ('Lookup Tables'!$AH$114:$AH$154=V135)*('Lookup Tables'!$AI$114:$AI$154=W135), 0), IF('Lighting Inventory'!E135="Interior", 4, 5))))))))</f>
        <v/>
      </c>
      <c r="Z135" s="105" t="str">
        <f>IFERROR(INDEX('Lookup Tables'!$AH$158:$AH$172,MATCH('Lighting Inventory'!Y135,'Lookup Tables'!$AI$158:$AI$172,0)),"")</f>
        <v/>
      </c>
      <c r="AA135" s="105" t="str">
        <f>IF(AP135&gt;0,INDEX('Lookup Tables'!$AK$158:$AK$172,MATCH('Lighting Inventory'!Y135,'Lookup Tables'!$AI$158:$AI$172,0)),'Lighting Inventory'!Y135)</f>
        <v/>
      </c>
      <c r="AB135" s="105" t="str">
        <f t="array" ref="AB135">IF(V135="Custom", "Custom", IF(V135="", "", IF(V135="Not DLC or Energy Star", "General", IF(B135="New Construction", INDEX('Lookup Tables'!$AH$114:$AP$154,MATCH(1,('Lookup Tables'!$AH$114:$AH$154='Lighting Inventory'!V135)*('Lookup Tables'!$AI$114:$AI$154='Lighting Inventory'!W135),FALSE),8), INDEX('Lookup Tables'!$AH$6:$AP$102,MATCH(1,('Lookup Tables'!$AH$6:$AH$102='Lighting Inventory'!V135)*('Lookup Tables'!$AI$6:$AI$102='Lighting Inventory'!W135),FALSE),8)))))</f>
        <v/>
      </c>
      <c r="AC135" s="272" t="str">
        <f>IF(W135="","",IF(V135="Custom",CONCATENATE("$",'Lookup Tables'!$AM$101," ",'Lookup Tables'!$AN$101),CONCATENATE("$",INDEX('Lookup Tables'!$AM$6:$AM$102,MATCH('Lighting Inventory'!W135,'Lookup Tables'!$AI$6:$AI$102,0))," ",INDEX('Lookup Tables'!$AN$6:$AN$102,MATCH('Lighting Inventory'!W135,'Lookup Tables'!$AI$6:$AI$102,0)))))</f>
        <v/>
      </c>
      <c r="AD135" s="72"/>
      <c r="AE135" s="29"/>
      <c r="AF135" s="379"/>
      <c r="AG135" s="370" t="str">
        <f t="shared" si="298"/>
        <v/>
      </c>
      <c r="AH135" s="370" t="str">
        <f t="shared" si="351"/>
        <v/>
      </c>
      <c r="AI135" s="29"/>
      <c r="AJ135" s="29"/>
      <c r="AK135" s="110"/>
      <c r="AL135" s="375" t="str">
        <f>IF(OR(B135="", V135="", W135=""), "", IF(V135="No Change", K135, IF(V135="Remove Fixture", 0, IF(V135="Custom",VLOOKUP(W135,'Fixture Identities'!$A$6:$K$1023,10,FALSE),IF(AE135="", "← ENTER POST WATTS", 'Lighting Inventory'!AE135)))))</f>
        <v/>
      </c>
      <c r="AM135" s="376" t="str">
        <f t="shared" si="299"/>
        <v/>
      </c>
      <c r="AN135" s="29"/>
      <c r="AO135" s="671"/>
      <c r="AP135" s="29"/>
      <c r="AQ135" s="29"/>
      <c r="AR135" s="29"/>
      <c r="AS135" s="272" t="str">
        <f t="shared" si="352"/>
        <v/>
      </c>
      <c r="AT135" s="270" t="str">
        <f t="shared" si="300"/>
        <v/>
      </c>
      <c r="AU135" s="88" t="str">
        <f t="shared" si="400"/>
        <v/>
      </c>
      <c r="AV135" s="29"/>
      <c r="AW135" s="73"/>
      <c r="AX135" s="271" t="str">
        <f>IF(AND(AV135="Applicant",OR(AW135="", AW135="Use Default Facility Hours")),"← Choose Schedule",IF(F135="","",IF(W135="LED Exit Signs",8760,IF(OR(AV135="Prescribed",AV135=""),VLOOKUP(F135,'Lookup Tables'!$A$6:$G$59,IF(AB135="General", 6, 3),FALSE),VLOOKUP(AW135,'Lookup Tables'!$S$36:$U$43,2,FALSE)))))</f>
        <v/>
      </c>
      <c r="AY135" s="88" t="str">
        <f t="shared" si="301"/>
        <v/>
      </c>
      <c r="AZ135" s="270" t="str">
        <f>IFERROR(IF(F135="", "", IF(W135="LED Exit Signs", 1, IF(AV135="Applicant",VLOOKUP(AW135, 'Lookup Tables'!$S$36:$U$43,3, FALSE), VLOOKUP('Lighting Inventory'!F135, 'Lookup Tables'!$A$6:$H$59, IF('Lighting Inventory'!AB135="General",7,4), FALSE)))), "")</f>
        <v/>
      </c>
      <c r="BA135" s="522" t="str">
        <f>IFERROR(IF(F135="", "", IF(W135="LED Exit Signs", 1, VLOOKUP('Lighting Inventory'!F135, 'Lookup Tables'!$A$6:$H$59, IF('Lighting Inventory'!AB135="General",8,5), FALSE))), "")</f>
        <v/>
      </c>
      <c r="BB135" s="270" t="str">
        <f>IF(G135="", "", IF(E135="Exterior", 0, IF('Lighting Inventory'!G135="Air Conditioned", VLOOKUP(H135, 'Lookup Tables'!$R$6:$T$13, 2, FALSE), VLOOKUP('Lighting Inventory'!G135, 'Lookup Tables'!$R$6:$T$13, 2, FALSE))))</f>
        <v/>
      </c>
      <c r="BC135" s="522" t="str">
        <f>IF(G135="", "", IF(E135="Exterior", 0, IF('Lighting Inventory'!G135="Air Conditioned", VLOOKUP(H135, 'Lookup Tables'!$R$6:$T$13, 3, FALSE), VLOOKUP('Lighting Inventory'!G135, 'Lookup Tables'!$R$6:$T$13, 3, FALSE))))</f>
        <v/>
      </c>
      <c r="BD135" s="270" t="str">
        <f>IF(G135="", "", IF(E135="Exterior", 0, IF('Lighting Inventory'!G135="Air Conditioned", VLOOKUP(H135, 'Lookup Tables'!$R$6:$U$13, 4, FALSE), VLOOKUP('Lighting Inventory'!G135, 'Lookup Tables'!$R$6:$U$13, 4, FALSE))))</f>
        <v/>
      </c>
      <c r="BE135" s="270" t="str">
        <f>IFERROR(IF(B135="", "",  IF(B135="New Construction", VLOOKUP(F135, 'Lookup Tables'!$A$6:$K$59, 11, FALSE),IF(OR(AN135="", AN135="Light Switch"), 0, IF(OR(M135="",M135="None",V135= "LED Exit Signs"),0,_xlfn.XLOOKUP(M135,'Lookup Tables'!$R$91:$R$101,'Lookup Tables'!$V$91:$V$101))))), "")</f>
        <v/>
      </c>
      <c r="BF135" s="270" t="str">
        <f>IF(AND(OR(AN135="Light Switch",AN135=""),B135="New Construction"), VLOOKUP(F135, 'Lookup Tables'!$A$6:$K$59, 11, FALSE),IF(AN135="","",IF(B135="","",IF(OR(AN135="None",AN135="",V135="LED Exit Signs",AN135="Exterior Controls Not Eligible"),0,_xlfn.XLOOKUP(AN135,'Lookup Tables'!$R$91:$R$101,'Lookup Tables'!$V$91:$V$101)))))</f>
        <v/>
      </c>
      <c r="BG135" s="88" t="str">
        <f t="shared" si="353"/>
        <v/>
      </c>
      <c r="BH135" s="88" t="str">
        <f t="shared" si="354"/>
        <v/>
      </c>
      <c r="BI135" s="558" t="str">
        <f t="shared" si="398"/>
        <v/>
      </c>
      <c r="BJ135" s="82" t="str">
        <f t="shared" si="355"/>
        <v/>
      </c>
      <c r="BK135" s="82" t="str">
        <f t="shared" si="356"/>
        <v/>
      </c>
      <c r="BL135" s="559" t="str">
        <f t="shared" si="357"/>
        <v/>
      </c>
      <c r="BM135" s="521" t="str">
        <f t="shared" si="302"/>
        <v/>
      </c>
      <c r="BN135" s="521" t="str">
        <f t="shared" si="303"/>
        <v/>
      </c>
      <c r="BO135" s="522" t="str">
        <f t="shared" si="304"/>
        <v/>
      </c>
      <c r="BP135" s="83" t="str">
        <f t="shared" si="358"/>
        <v/>
      </c>
      <c r="BQ135" s="84" t="str">
        <f t="shared" si="359"/>
        <v/>
      </c>
      <c r="BR135" s="184" t="str">
        <f>IFERROR(IF(B135="", "", IF(OR(VLOOKUP(J135, 'Fixture Identities'!$A$6:$L$1023, 3, FALSE)="T12 Linear Fluorescent",VLOOKUP(J135, 'Fixture Identities'!$A$6:$L$1023, 3, FALSE)="T12 U-Tube Fluorescent"), "Y", "N")), "N")</f>
        <v/>
      </c>
      <c r="BS135" s="184" t="str">
        <f t="array" ref="BS135">IFERROR(IF(OR(B135="", V135="", W135=""), "", IF(V135="Custom", "N", IF(OR(W135="Freezer Case Lighting", W135="Refrigerated Case Lighting with Doors"), BT135, IF(B135="Retrofit", INDEX('Lookup Tables'!$AH$6:$AT$102,MATCH(1,('Lookup Tables'!$AH$6:$AH$102=V135)*('Lookup Tables'!$AI$6:$AI$102=W135),FALSE),IF(VLOOKUP(J135, 'Fixture Identities'!$A$6:$B$1023, 2, FALSE)="Incandescent",12, 13)), INDEX('Lookup Tables'!$AH$114:$AS$154,MATCH(1,('Lookup Tables'!$AH$114:$AH$154=V135)*('Lookup Tables'!$AI$114:$AI$154=W135),FALSE),12))))), "N")</f>
        <v/>
      </c>
      <c r="BT135" s="184" t="str">
        <f>IF(J135="", "", IF(AND(OR(W135="Freezer case Lighting", W135="Refrigerated Case Lighting with Doors"),'General Information'!$X$18="LCI"), "N", IF(OR(VLOOKUP(J135, 'Fixture Identities'!$A$6:$B$1023, 2, FALSE)="T12 EPACT/EISA Baseline", VLOOKUP(J135, 'Fixture Identities'!$A$6:$B$1023, 2, FALSE)="Linear Fluorescent", VLOOKUP(J135, 'Fixture Identities'!$A$6:$B$1023, 2, FALSE)="U-Tube Fluorescent"), "Y", "N")))</f>
        <v/>
      </c>
      <c r="BU135" s="184" t="str">
        <f>IFERROR(IF(B135="", "", IF(VLOOKUP(J135, 'Fixture Identities'!$A$6:$B$1023, 2, FALSE)="Exit Sign", "Y", "N")), "N")</f>
        <v/>
      </c>
      <c r="BV135" s="184" t="str">
        <f>IF(V135="Exit Signs", IF(VLOOKUP(J135, 'Fixture Identities'!$A$6:$B$1023, 2, FALSE)="Exit Sign", "N", "Y"), "")</f>
        <v/>
      </c>
      <c r="BW135" s="184" t="str">
        <f t="array" ref="BW135">IFERROR(IF(B135="", "", IF(B135="New Construction", "N", INDEX('Lookup Tables'!$AH$6:$AU$102, MATCH(1, ('Lookup Tables'!$AH$6:$AH$102='Lighting Inventory'!V135)*('Lookup Tables'!$AI$6:$AI$102='Lighting Inventory'!W135), 0), 14))), "N")</f>
        <v/>
      </c>
      <c r="BX135" s="598" t="str">
        <f t="shared" si="360"/>
        <v/>
      </c>
      <c r="BY135" s="598" t="str">
        <f t="shared" si="361"/>
        <v/>
      </c>
      <c r="BZ135" s="598" t="str">
        <f t="shared" si="362"/>
        <v/>
      </c>
      <c r="CA135" s="598" t="str">
        <f t="shared" si="363"/>
        <v/>
      </c>
      <c r="CB135" s="269" t="str">
        <f t="shared" si="364"/>
        <v/>
      </c>
      <c r="CC135" s="517" t="str">
        <f t="shared" si="365"/>
        <v/>
      </c>
      <c r="CD135" s="565" t="str">
        <f t="shared" si="305"/>
        <v/>
      </c>
      <c r="CE135" s="368">
        <v>0</v>
      </c>
      <c r="CF135" s="368" t="str" cm="1">
        <f t="array" ref="CF135">IFERROR(IF(V135="Custom", "$0.1 per kWh", IF(B135="New Construction", CONCATENATE("$",INDEX('Lookup Tables'!$AH$114:$AN$154,MATCH(1,('Lookup Tables'!$AH$114:$AH$154='Lighting Inventory'!V135)*('Lookup Tables'!$AI$114:$AI$154='Lighting Inventory'!W135),FALSE),6)," ",INDEX('Lookup Tables'!$AH$114:$AN$154,MATCH(1,('Lookup Tables'!$AH$114:$AH$154='Lighting Inventory'!V135)*('Lookup Tables'!$AI$114:$AI$154='Lighting Inventory'!W135),FALSE),7)), IF(AND(BU135="N", V135="Exit Signs"), "$0.025 per kWh", CONCATENATE("$",INDEX('Lookup Tables'!$AH$6:$AN$102,MATCH(1,('Lookup Tables'!$AH$6:$AH$102='Lighting Inventory'!V135)*('Lookup Tables'!$AI$6:$AI$102='Lighting Inventory'!W135),FALSE),6)," ",INDEX('Lookup Tables'!$AH$6:$AN$102,MATCH(1,('Lookup Tables'!$AH$6:$AH$102='Lighting Inventory'!V135)*('Lookup Tables'!$AI$6:$AI$102='Lighting Inventory'!W135),FALSE),7))))), "")</f>
        <v/>
      </c>
      <c r="CG135" s="366"/>
      <c r="CH135" s="248" t="str">
        <f t="shared" si="306"/>
        <v/>
      </c>
      <c r="CI135" s="248" t="str">
        <f t="shared" si="307"/>
        <v>Select_IE</v>
      </c>
      <c r="CJ135" s="248" t="str">
        <f t="shared" si="308"/>
        <v/>
      </c>
      <c r="CK135" s="248" t="str">
        <f t="shared" si="309"/>
        <v/>
      </c>
      <c r="CL135" s="248" t="str">
        <f t="shared" si="310"/>
        <v/>
      </c>
      <c r="CM135" s="248" t="str">
        <f>IFERROR(IF(B135="", "", IF(B135="New Construction", VLOOKUP(V135, 'Lookup Tables'!$AF$114:$AG$120, 2, FALSE), VLOOKUP(V135, 'Lookup Tables'!$AD$6:$AE$25, 2, FALSE))), "")</f>
        <v/>
      </c>
      <c r="CN135" s="248" t="str">
        <f t="shared" si="311"/>
        <v/>
      </c>
      <c r="CO135" s="248" t="str">
        <f t="shared" si="312"/>
        <v/>
      </c>
      <c r="CP135" s="592" t="str">
        <f t="shared" si="313"/>
        <v/>
      </c>
      <c r="CQ135" s="248" t="str">
        <f t="shared" si="366"/>
        <v/>
      </c>
      <c r="CR135" s="100"/>
      <c r="CS135" s="250" t="str">
        <f t="shared" si="314"/>
        <v/>
      </c>
      <c r="CT135" s="250" t="str">
        <f t="shared" si="367"/>
        <v/>
      </c>
      <c r="CU135" s="250" t="str">
        <f t="shared" si="368"/>
        <v/>
      </c>
      <c r="CV135" s="250" t="str">
        <f t="shared" si="369"/>
        <v/>
      </c>
      <c r="CW135" s="250" t="str">
        <f t="shared" si="370"/>
        <v/>
      </c>
      <c r="CX135" s="250" t="str">
        <f t="shared" si="315"/>
        <v/>
      </c>
      <c r="CY135" s="250" t="str">
        <f t="shared" si="316"/>
        <v/>
      </c>
      <c r="CZ135" s="250" t="str">
        <f t="shared" si="317"/>
        <v/>
      </c>
      <c r="DA135" s="250" t="str">
        <f t="shared" si="318"/>
        <v/>
      </c>
      <c r="DB135" s="250" t="str">
        <f t="shared" si="319"/>
        <v/>
      </c>
      <c r="DC135" s="250" t="str">
        <f t="shared" si="320"/>
        <v/>
      </c>
      <c r="DD135" s="250" t="str">
        <f t="shared" si="321"/>
        <v/>
      </c>
      <c r="DE135" s="250" t="str">
        <f t="shared" si="322"/>
        <v/>
      </c>
      <c r="DF135" s="250" t="str">
        <f t="shared" si="323"/>
        <v/>
      </c>
      <c r="DG135" s="250" t="str">
        <f t="shared" si="324"/>
        <v/>
      </c>
      <c r="DH135" s="250" t="str">
        <f t="shared" si="325"/>
        <v/>
      </c>
      <c r="DI135" s="250" t="str">
        <f t="shared" si="326"/>
        <v/>
      </c>
      <c r="DJ135" s="250" t="str">
        <f t="shared" si="327"/>
        <v/>
      </c>
      <c r="DK135" s="250" t="str">
        <f t="shared" si="328"/>
        <v/>
      </c>
      <c r="DL135" s="250" t="str">
        <f t="shared" si="329"/>
        <v/>
      </c>
      <c r="DM135" s="250" t="str">
        <f>IF(CD135="ERROR", "ERROR", IF(AND(OR(Y135=$DM$6, Y135='Lookup Tables'!$AD$21, Y135='Lookup Tables'!$AD$22), E135="Interior"), BJ135, ""))</f>
        <v/>
      </c>
      <c r="DN135" s="250" t="str">
        <f>IF(CD135="ERROR", "ERROR", IF(AND(OR(Y135=$DM$6, Y135='Lookup Tables'!$AD$21, Y135='Lookup Tables'!$AD$22), E135="Exterior"), BJ135, ""))</f>
        <v/>
      </c>
      <c r="DO135" s="100"/>
      <c r="DP135" s="250" t="str">
        <f t="shared" si="330"/>
        <v/>
      </c>
      <c r="DQ135" s="250" t="str">
        <f t="shared" si="371"/>
        <v/>
      </c>
      <c r="DR135" s="250" t="str">
        <f t="shared" si="372"/>
        <v/>
      </c>
      <c r="DS135" s="250" t="str">
        <f t="shared" si="373"/>
        <v/>
      </c>
      <c r="DT135" s="250" t="str">
        <f t="shared" si="374"/>
        <v/>
      </c>
      <c r="DU135" s="250" t="str">
        <f t="shared" si="331"/>
        <v/>
      </c>
      <c r="DV135" s="250" t="str">
        <f t="shared" si="332"/>
        <v/>
      </c>
      <c r="DW135" s="250" t="str">
        <f t="shared" si="333"/>
        <v/>
      </c>
      <c r="DX135" s="250" t="str">
        <f t="shared" si="334"/>
        <v/>
      </c>
      <c r="DY135" s="250" t="str">
        <f t="shared" si="335"/>
        <v/>
      </c>
      <c r="DZ135" s="250" t="str">
        <f t="shared" si="336"/>
        <v/>
      </c>
      <c r="EA135" s="250" t="str">
        <f t="shared" si="337"/>
        <v/>
      </c>
      <c r="EB135" s="250" t="str">
        <f t="shared" si="375"/>
        <v/>
      </c>
      <c r="EC135" s="250" t="str">
        <f t="shared" si="338"/>
        <v/>
      </c>
      <c r="ED135" s="250" t="str">
        <f t="shared" si="339"/>
        <v/>
      </c>
      <c r="EE135" s="250" t="str">
        <f t="shared" si="340"/>
        <v/>
      </c>
      <c r="EF135" s="250" t="str">
        <f t="shared" si="341"/>
        <v/>
      </c>
      <c r="EG135" s="250" t="str">
        <f t="shared" si="342"/>
        <v/>
      </c>
      <c r="EH135" s="250" t="str">
        <f>IF(CD135="ERROR", "ERROR", IF(AND(OR($EH$6=Y135, Y135='Lookup Tables'!$AD$21, Y135='Lookup Tables'!$AD$22),E135="Interior"), SUM(BP135:BP135), ""))</f>
        <v/>
      </c>
      <c r="EI135" s="250" t="str">
        <f>IF(CD135="ERROR", "ERROR", IF(AND(OR($EH$6=Y135, Y135='Lookup Tables'!$AD$21, Y135='Lookup Tables'!$AD$22),E135="Exterior"), SUM(BP135:BP135), ""))</f>
        <v/>
      </c>
      <c r="EJ135" s="109"/>
      <c r="EK135" s="485" t="str">
        <f t="shared" si="343"/>
        <v/>
      </c>
      <c r="EL135" s="252" t="str">
        <f t="shared" si="376"/>
        <v/>
      </c>
      <c r="EM135" s="252" t="str">
        <f t="shared" si="377"/>
        <v/>
      </c>
      <c r="EN135" s="252" t="str">
        <f t="shared" si="378"/>
        <v/>
      </c>
      <c r="EO135" s="252" t="str">
        <f t="shared" si="379"/>
        <v/>
      </c>
      <c r="EP135" s="252" t="str">
        <f t="shared" si="380"/>
        <v/>
      </c>
      <c r="EQ135" s="252" t="str">
        <f t="shared" si="381"/>
        <v/>
      </c>
      <c r="ER135" s="252" t="str">
        <f t="shared" si="382"/>
        <v/>
      </c>
      <c r="ES135" s="252" t="str">
        <f t="shared" si="383"/>
        <v/>
      </c>
      <c r="ET135" s="252" t="str">
        <f t="shared" si="384"/>
        <v/>
      </c>
      <c r="EU135" s="252" t="str">
        <f t="shared" si="385"/>
        <v/>
      </c>
      <c r="EV135" s="252" t="str">
        <f t="shared" si="386"/>
        <v/>
      </c>
      <c r="EW135" s="252" t="str">
        <f t="shared" si="387"/>
        <v/>
      </c>
      <c r="EX135" s="252" t="str">
        <f t="shared" si="388"/>
        <v/>
      </c>
      <c r="EY135" s="252" t="str">
        <f t="shared" si="389"/>
        <v/>
      </c>
      <c r="EZ135" s="252" t="str">
        <f t="shared" si="390"/>
        <v/>
      </c>
      <c r="FA135" s="252" t="str">
        <f t="shared" si="391"/>
        <v/>
      </c>
      <c r="FB135" s="252" t="str">
        <f t="shared" si="392"/>
        <v/>
      </c>
      <c r="FC135" s="252" t="str">
        <f>IF(CD135="ERROR", "ERROR", IF(OR(V135="No Change", V135="Not DLC or Energy Star"), "", IF(AND(OR($FC$6=Y135,Y135='Lookup Tables'!$AD$21, Y135='Lookup Tables'!$AD$22),E135="Interior"), S135, "")))</f>
        <v/>
      </c>
      <c r="FD135" s="252" t="str">
        <f t="shared" si="393"/>
        <v/>
      </c>
      <c r="FE135" s="101"/>
      <c r="FF135" s="579" t="str" cm="1">
        <f t="array" ref="FF135">IFERROR(IF(OR(BQ135&lt;=0,AQ135&lt;20,AND(V135="Exit Signs",AN135&gt;0)),"",IF(AND(AQ135&gt;=20,AN135='Lookup Tables'!$R$101),'Lookup Tables'!$U$101*BQ135,AP135*LOOKUP(2,1/((AN135='Lookup Tables'!$R$91:$R$111)*(AQ135&gt;='Lookup Tables'!$S$91:$S$111)*(AQ135&lt;='Lookup Tables'!$T$91:$T$111)),'Lookup Tables'!$U$91:$U$111))),"")</f>
        <v/>
      </c>
      <c r="FG135" s="579"/>
      <c r="FH135" s="579"/>
      <c r="FI135" s="253" t="str">
        <f>IFERROR(ROUND(IF(CD135="ERROR", "ERROR", IF(AND($FI$7=X135,E135="Interior"),VLOOKUP(W135, 'Lookup Tables'!$AI$6:$AM$102, 5, FALSE)*BP135, "")), 2), "")</f>
        <v/>
      </c>
      <c r="FJ135" s="253" t="str">
        <f>IFERROR(ROUND(IF(CD135="ERROR", "ERROR", IF(AND($FI$7=X135,E135="Exterior"),VLOOKUP(W135, 'Lookup Tables'!$AI$6:$AM$102, 5, FALSE)*BP135, "")), 2), "")</f>
        <v/>
      </c>
      <c r="FK135" s="253" t="str">
        <f>IFERROR(ROUND(IF(CD135="ERROR", "ERROR", IF(AND($FK$7=X135,E135="Interior"),VLOOKUP(W135, 'Lookup Tables'!$AI$6:$AM$102, 5, FALSE)*BP135, "")), 2), "")</f>
        <v/>
      </c>
      <c r="FL135" s="253" t="str">
        <f>IFERROR(ROUND(IF(CD135="ERROR", "ERROR", IF(AND($FK$7=X135,E135="Exterior"),VLOOKUP(W135, 'Lookup Tables'!$AI$6:$AM$102, 5, FALSE)*BP135, "")), 2), "")</f>
        <v/>
      </c>
      <c r="FM135" s="253" t="str">
        <f>IFERROR(ROUND(IF(CD135="ERROR", "ERROR", IF(AND($FM$6=Y135,E135="Interior"), IF(GB135=0, VLOOKUP(W135, 'Lookup Tables'!$AI$6:$AM$102, 5, FALSE)*BP135, IF(VLOOKUP(W135, 'Lookup Tables'!$AI$6:$AM$102, 5, FALSE)*BP135&gt;GB135*'Lighting Inventory'!S135, GB135*'Lighting Inventory'!S135,VLOOKUP(W135, 'Lookup Tables'!$AI$6:$AM$102, 5, FALSE)*BP135)), "")), 2), "")</f>
        <v/>
      </c>
      <c r="FN135" s="253" t="str">
        <f>IFERROR(ROUND(IF(CD135="ERROR", "ERROR", IF(AND($FM$6=Y135,E135="Exterior"), IF(GB135=0, VLOOKUP(W135, 'Lookup Tables'!$AI$6:$AM$102, 5, FALSE)*BP135, IF(VLOOKUP(W135, 'Lookup Tables'!$AI$6:$AM$102, 5, FALSE)*BP135&gt;GB135*'Lighting Inventory'!S135, GB135*'Lighting Inventory'!S135,VLOOKUP(W135, 'Lookup Tables'!$AI$6:$AM$102, 5, FALSE)*BP135)), "")), 2), "")</f>
        <v/>
      </c>
      <c r="FO135" s="253" t="str">
        <f>IFERROR(ROUND(IF(CD135="ERROR", "ERROR", IF(AND($FO$6=Y135,E135="Interior"),VLOOKUP(W135, 'Lookup Tables'!$AI$6:$AM$102, 5, FALSE)*'Lighting Inventory'!AI135, "")), 2), "")</f>
        <v/>
      </c>
      <c r="FP135" s="253" t="str">
        <f>IFERROR(ROUND(IF(CD135="ERROR", "ERROR", IF(AND($FO$6=Y135,E135="Exterior"),VLOOKUP(W135, 'Lookup Tables'!$AI$6:$AM$102, 5, FALSE)*'Lighting Inventory'!AI135, "")), 2), "")</f>
        <v/>
      </c>
      <c r="FQ135" s="253" t="str">
        <f>IFERROR(ROUND(IF(CD135="ERROR", "ERROR", IF(AND($FQ$6=Y135,E135="Interior", BU135="Y"), VLOOKUP('Lighting Inventory'!W135, 'Lookup Tables'!$AI$6:$AM$102, 5, FALSE)*'Lighting Inventory'!S135, IF(AND($FQ$7=Y135,E135="Interior", BU135="N"), 0.025*CD135, ""))), 2), "")</f>
        <v/>
      </c>
      <c r="FR135" s="253" t="str">
        <f>IFERROR(ROUND(IF(CD135="ERROR", "ERROR", IF(AND($FQ$6=Y135,E135="Exterior"), VLOOKUP('Lighting Inventory'!W135, 'Lookup Tables'!$AI$6:$AM$102, 5, FALSE)*'Lighting Inventory'!S135, "")), 2), "")</f>
        <v/>
      </c>
      <c r="FS135" s="253" t="str">
        <f>IFERROR(ROUND(IF(CD135="ERROR", "ERROR", IF(AND($FS$6=Y135,E135="Exterior"), IF(GB135=0, VLOOKUP(W135, 'Lookup Tables'!$AI$6:$AM$102, 5, FALSE)*BP135, IF(VLOOKUP(W135, 'Lookup Tables'!$AI$6:$AM$102, 5, FALSE)*BP135&gt;GB135*'Lighting Inventory'!S135, GB135*'Lighting Inventory'!S135,VLOOKUP(W135, 'Lookup Tables'!$AI$6:$AM$102, 5, FALSE)*BP135)), "")), 2), "")</f>
        <v/>
      </c>
      <c r="FT135" s="253" t="str">
        <f>IFERROR(ROUND(IF(CD135="ERROR", "ERROR", IF(AND($FT$6=Y135,E135="Interior"), IF(GB135=0, VLOOKUP(W135, 'Lookup Tables'!$AI$6:$AM$102, 5, FALSE)*BP135, IF(VLOOKUP(W135, 'Lookup Tables'!$AI$6:$AM$102, 5, FALSE)*BP135&gt;GB135*'Lighting Inventory'!S135, GB135*'Lighting Inventory'!S135,VLOOKUP(W135, 'Lookup Tables'!$AI$6:$AM$102, 5, FALSE)*BP135)), "")), 2), "")</f>
        <v/>
      </c>
      <c r="FU135" s="253" t="str">
        <f>IFERROR(ROUND(IF(CD135="ERROR", "ERROR", IF(AND(Y135=$FU$6, E135="Interior"), IF(BS135="N", 'Lookup Tables'!$AM$101*BP135, VLOOKUP(W135, 'Lookup Tables'!$AI$6:$AM$102, 5, FALSE)*S135*AD135), "")), 2), "")</f>
        <v/>
      </c>
      <c r="FV135" s="253" t="str">
        <f>IFERROR(ROUND(IF(CD135="ERROR", "ERROR", IF(AND(Y135=$FU$6, E135="Exterior"), IF(BS135="N", 'Lookup Tables'!$AM$101*BP135, VLOOKUP(W135, 'Lookup Tables'!$AI$6:$AM$102, 5, FALSE)*S135*AD135), "")), 2), "")</f>
        <v/>
      </c>
      <c r="FW135" s="253" t="str">
        <f>IFERROR(ROUND(IF(CD135="ERROR", "ERROR", IF($FW$6=Y135, IF(BS135="N", 'Lookup Tables'!$AM$101*BP135, MIN((VLOOKUP(W135, 'Lookup Tables'!$AI$6:$AM$102, 5, FALSE)*BP135),GB135*AJ135)), "")), 2), "")</f>
        <v/>
      </c>
      <c r="FX135" s="253" t="str">
        <f>IFERROR(ROUND(IF(CD135="ERROR", "ERROR", IF(AND($FX$6=Y135, E135="Interior"), IF(VLOOKUP(W135, 'Lookup Tables'!$AI$6:$AM$102, 5, FALSE)*BP135&gt;'Lookup Tables'!$AQ$97*'Lighting Inventory'!S135,'Lighting Inventory'!S135*'Lookup Tables'!$AQ$97,VLOOKUP(W135, 'Lookup Tables'!$AI$6:$AM$102, 5, FALSE)*BP135), "")), 2), "")</f>
        <v/>
      </c>
      <c r="FY135" s="253" t="str">
        <f>IFERROR(ROUND(IF(CD135="ERROR", "ERROR", IF(AND($FX$6=Y135, E135="Exterior"), IF(VLOOKUP(W135, 'Lookup Tables'!$AI$6:$AM$102, 5, FALSE)*BP135&gt;'Lookup Tables'!$AQ$97*'Lighting Inventory'!S135,'Lighting Inventory'!S135*'Lookup Tables'!$AQ$97,VLOOKUP(W135, 'Lookup Tables'!$AI$6:$AM$102, 5, FALSE)*BP135), "")), 2), "")</f>
        <v/>
      </c>
      <c r="FZ135" s="253" t="str">
        <f>IFERROR(ROUND(IF(CD135="ERROR", "ERROR", IF(AND($FZ$6=Y135, E135="Interior"), IF(AND(OR(W135="Refrigerated Case Lighting with Doors", W135="Freezer Case Lighting"),Y135="Custom - Process Improvement"),CD135*'Lookup Tables'!$AM$101, IF(B135="Retrofit", IF(VLOOKUP(IF(V135="Custom", V135, W135), 'Lookup Tables'!$AI$6:$AM$102, 5, FALSE)*BP135&gt;GE135, GE135, VLOOKUP(IF(V135="Custom", V135, W135), 'Lookup Tables'!$AI$6:$AM$102, 5, FALSE)*BP135), IF(VLOOKUP(IF(V135="Custom", V135, W135), 'Lookup Tables'!$AI$114:$AM$154, 5, FALSE)*BP135&gt;GE135, GE135, VLOOKUP(IF(V135="Custom", V135, W135), 'Lookup Tables'!$AI$114:$AM$154, 5, FALSE)*BP135))), "")), 2),"")</f>
        <v/>
      </c>
      <c r="GA135" s="253" t="str">
        <f>IFERROR(ROUND(IF(CD135="ERROR", "ERROR", IF(AND($FZ$6=Y135, E135="Exterior"), IF(B135="Retrofit", IF(VLOOKUP(IF(V135="Custom", V135, W135), 'Lookup Tables'!$AI$6:$AM$102, 5, FALSE)*BP135&gt;GE135, GE135, VLOOKUP(IF(V135="Custom", V135, W135), 'Lookup Tables'!$AI$6:$AM$102, 5, FALSE)*BP135), IF(VLOOKUP(IF(V135="Custom", V135, W135), 'Lookup Tables'!$AI$114:$AM$154, 5, FALSE)*BP135&gt;GE135, GE135, VLOOKUP(IF(V135="Custom", V135, W135), 'Lookup Tables'!$AI$114:$AM$154, 5, FALSE)*BP135)), "")), 2),"")</f>
        <v/>
      </c>
      <c r="GB135" s="254" t="str">
        <f t="array" ref="GB135">IF(B135="","",IF(OR(V135="Custom",V135="No Change"),0,IF(B135="Retrofit", INDEX('Lookup Tables'!$AH$6:$AQ$102,MATCH(1,('Lookup Tables'!$AH$6:$AH$102='Lighting Inventory'!V135)*('Lookup Tables'!$AI$6:$AI$102='Lighting Inventory'!W135),FALSE),10),INDEX('Lookup Tables'!$AH$114:$AQ$154,MATCH(1,('Lookup Tables'!$AH$114:$AH$154='Lighting Inventory'!V135)*('Lookup Tables'!$AI$114:$AI$154='Lighting Inventory'!W135),FALSE),10))))</f>
        <v/>
      </c>
      <c r="GC135" s="255" t="str">
        <f t="shared" si="344"/>
        <v/>
      </c>
      <c r="GD135" s="250" t="str">
        <f t="shared" si="345"/>
        <v/>
      </c>
      <c r="GE135" s="253" t="str">
        <f>IFERROR(IF(AND(AF135="", 'General Information'!$F$18="No"),"", IF(AF135="", ((GD135/$CD$266)*$CF$266)*0.5, AF135*S135*0.5)), "")</f>
        <v/>
      </c>
      <c r="GF135" s="255" t="str">
        <f>IF(AND('General Information'!$F$19="", 'General Information'!$F$18="Yes",AF135="",BW135="Y"), "Y", "N")</f>
        <v>N</v>
      </c>
      <c r="GG135" s="255" t="s">
        <v>2946</v>
      </c>
      <c r="GH135" s="255" t="str">
        <f>IFERROR(IF(B135="", "", VLOOKUP(J135, 'Fixture Identities'!$A$6:$N$908, 14, FALSE)), "")</f>
        <v/>
      </c>
      <c r="GI135" s="389" t="str">
        <f>IF(OR(B135="", V135="", W135=""), "", IF(AND(OR(M135='Lookup Tables'!$R$18, M135='Lookup Tables'!$R$19, M135='Lookup Tables'!$R$20, M135='Lookup Tables'!$R$21, M135='Lookup Tables'!$R$22), OR(AN135='Lookup Tables'!$R$17, AN135='Lookup Tables'!$R$17, AN135="")), "Y", "N"))</f>
        <v/>
      </c>
      <c r="GJ135" s="255" t="str">
        <f t="shared" si="346"/>
        <v/>
      </c>
      <c r="GK135" s="255" t="str">
        <f t="shared" si="347"/>
        <v/>
      </c>
      <c r="GL135" s="255" t="str">
        <f t="shared" si="348"/>
        <v/>
      </c>
      <c r="GM135" s="255" t="str">
        <f>IF(AN135="", "", IF(AND(IF(ISNA(VLOOKUP(AN135,'Lookup Tables'!$R$18:$R$22,1,FALSE)), "N", "Y")="Y", E135="Exterior"), "Y", "N"))</f>
        <v/>
      </c>
      <c r="GN135" s="395"/>
      <c r="GO135" s="428">
        <f t="shared" si="394"/>
        <v>0</v>
      </c>
      <c r="GP135" s="428">
        <f t="shared" si="397"/>
        <v>0</v>
      </c>
      <c r="GQ135" s="428">
        <f t="shared" si="395"/>
        <v>0</v>
      </c>
      <c r="GR135" s="428">
        <f t="shared" si="396"/>
        <v>0</v>
      </c>
    </row>
    <row r="136" spans="1:200" s="103" customFormat="1" ht="13.5" customHeight="1" x14ac:dyDescent="0.2">
      <c r="A136" s="272">
        <v>126</v>
      </c>
      <c r="B136" s="110"/>
      <c r="C136" s="110"/>
      <c r="D136" s="110"/>
      <c r="E136" s="110"/>
      <c r="F136" s="110"/>
      <c r="G136" s="110"/>
      <c r="H136" s="110"/>
      <c r="I136" s="29"/>
      <c r="J136" s="29"/>
      <c r="K136" s="272" t="str">
        <f>IFERROR(IF(OR(VLOOKUP(J136, 'Fixture Identities'!$A$6:$L$1023, 3, FALSE)="T12 Linear Fluorescent", VLOOKUP(J136, 'Fixture Identities'!$A$6:$L$1023, 3, FALSE)="T12 U-Tube Fluorescent"), VLOOKUP(VLOOKUP(J136, 'Fixture Identities'!$A$6:$L$1023, 11, FALSE), 'Fixture Identities'!$A$6:$L$1023, 10, FALSE), VLOOKUP(J136, 'Fixture Identities'!$A$6:$L$1023, 10, FALSE)), "")</f>
        <v/>
      </c>
      <c r="L136" s="270" t="str">
        <f t="shared" si="399"/>
        <v/>
      </c>
      <c r="M136" s="110"/>
      <c r="N136" s="110"/>
      <c r="O136" s="110"/>
      <c r="P136" s="272" t="str">
        <f>IFERROR(IF(OR(B136="Retrofit",B136=""),"",IF('Lighting Inventory'!E136="Exterior",VLOOKUP('Lighting Inventory'!N136,'Lookup Tables'!$B$83:$F$103,5,FALSE),IF(N136="Other - Please Estimate EFLH and CFs","Contact Prog. Rep.","ft^2"))), "")</f>
        <v/>
      </c>
      <c r="Q136" s="270" t="str">
        <f>IFERROR(IF(AND(B136="New Construction",E136="Interior",$F$5="Space-by-Space"),VLOOKUP('Lighting Inventory'!N136,'Lookup Tables'!$N$6:$O$97,2,FALSE),IF(AND(B136="New Construction",E136="Exterior"),VLOOKUP(N136,'Lookup Tables'!$B$83:$F$103,2,FALSE),IF(AND(B136="New Construction",'Lighting Inventory'!E136="Interior", $F$5="Building Area"),VLOOKUP(F136,'Lookup Tables'!$A$6:$J$59,10,FALSE),""))), "")</f>
        <v/>
      </c>
      <c r="R136" s="270" t="str">
        <f>IFERROR(IF(P136="Contact Prog. Rep.", "ERROR", IF(OR(B136="",B136="Retrofit"),"",IF(N136="Automated teller machines", ('Lookup Tables'!$A$82:$E$100+('Lighting Inventory'!O136-1)*'Lookup Tables'!$A$82:$E$100)/1000, (Q136*O136)/1000))), "")</f>
        <v/>
      </c>
      <c r="S136" s="595"/>
      <c r="T136" s="105" t="str">
        <f t="shared" si="349"/>
        <v/>
      </c>
      <c r="U136" s="105" t="str">
        <f>IF(S136="","",COUNT($S$11:S136))</f>
        <v/>
      </c>
      <c r="V136" s="111"/>
      <c r="W136" s="112"/>
      <c r="X136" s="105" t="str">
        <f t="shared" si="350"/>
        <v/>
      </c>
      <c r="Y136" s="105" t="str">
        <f t="array" ref="Y136">IF(AND(OR(W136="Freezer Case Lighting", W136="Refrigerated Case Lighting with Doors"), 'General Information'!$X$18="LCI"),'Lookup Tables'!$Y$34, IF(V136="Custom", VLOOKUP(W136, 'Fixture Identities'!$A$974:$M$1023, 13, FALSE), IF(V136="No Change",'Lookup Tables'!$Y$29,IF(OR(V136="",W136=""),"",IF(AND(S136=0,S136&lt;I136,B136="Retrofit"),'Lookup Tables'!$Y$25, IF(B136="Retrofit", INDEX('Lookup Tables'!$AH$6:$AP$102, MATCH(1, ('Lookup Tables'!$AH$6:$AH$102=V136)*('Lookup Tables'!$AI$6:$AI$102=W136), 0), IF('Lighting Inventory'!E136="Interior", 4, 5)), INDEX('Lookup Tables'!$AH$114:$AP$154, MATCH(1, ('Lookup Tables'!$AH$114:$AH$154=V136)*('Lookup Tables'!$AI$114:$AI$154=W136), 0), IF('Lighting Inventory'!E136="Interior", 4, 5))))))))</f>
        <v/>
      </c>
      <c r="Z136" s="105" t="str">
        <f>IFERROR(INDEX('Lookup Tables'!$AH$158:$AH$172,MATCH('Lighting Inventory'!Y136,'Lookup Tables'!$AI$158:$AI$172,0)),"")</f>
        <v/>
      </c>
      <c r="AA136" s="105" t="str">
        <f>IF(AP136&gt;0,INDEX('Lookup Tables'!$AK$158:$AK$172,MATCH('Lighting Inventory'!Y136,'Lookup Tables'!$AI$158:$AI$172,0)),'Lighting Inventory'!Y136)</f>
        <v/>
      </c>
      <c r="AB136" s="105" t="str">
        <f t="array" ref="AB136">IF(V136="Custom", "Custom", IF(V136="", "", IF(V136="Not DLC or Energy Star", "General", IF(B136="New Construction", INDEX('Lookup Tables'!$AH$114:$AP$154,MATCH(1,('Lookup Tables'!$AH$114:$AH$154='Lighting Inventory'!V136)*('Lookup Tables'!$AI$114:$AI$154='Lighting Inventory'!W136),FALSE),8), INDEX('Lookup Tables'!$AH$6:$AP$102,MATCH(1,('Lookup Tables'!$AH$6:$AH$102='Lighting Inventory'!V136)*('Lookup Tables'!$AI$6:$AI$102='Lighting Inventory'!W136),FALSE),8)))))</f>
        <v/>
      </c>
      <c r="AC136" s="272" t="str">
        <f>IF(W136="","",IF(V136="Custom",CONCATENATE("$",'Lookup Tables'!$AM$101," ",'Lookup Tables'!$AN$101),CONCATENATE("$",INDEX('Lookup Tables'!$AM$6:$AM$102,MATCH('Lighting Inventory'!W136,'Lookup Tables'!$AI$6:$AI$102,0))," ",INDEX('Lookup Tables'!$AN$6:$AN$102,MATCH('Lighting Inventory'!W136,'Lookup Tables'!$AI$6:$AI$102,0)))))</f>
        <v/>
      </c>
      <c r="AD136" s="72"/>
      <c r="AE136" s="29"/>
      <c r="AF136" s="379"/>
      <c r="AG136" s="370" t="str">
        <f t="shared" si="298"/>
        <v/>
      </c>
      <c r="AH136" s="370" t="str">
        <f t="shared" si="351"/>
        <v/>
      </c>
      <c r="AI136" s="29"/>
      <c r="AJ136" s="29"/>
      <c r="AK136" s="110"/>
      <c r="AL136" s="375" t="str">
        <f>IF(OR(B136="", V136="", W136=""), "", IF(V136="No Change", K136, IF(V136="Remove Fixture", 0, IF(V136="Custom",VLOOKUP(W136,'Fixture Identities'!$A$6:$K$1023,10,FALSE),IF(AE136="", "← ENTER POST WATTS", 'Lighting Inventory'!AE136)))))</f>
        <v/>
      </c>
      <c r="AM136" s="376" t="str">
        <f t="shared" si="299"/>
        <v/>
      </c>
      <c r="AN136" s="29"/>
      <c r="AO136" s="671"/>
      <c r="AP136" s="29"/>
      <c r="AQ136" s="29"/>
      <c r="AR136" s="29"/>
      <c r="AS136" s="272" t="str">
        <f t="shared" si="352"/>
        <v/>
      </c>
      <c r="AT136" s="270" t="str">
        <f t="shared" si="300"/>
        <v/>
      </c>
      <c r="AU136" s="88" t="str">
        <f t="shared" si="400"/>
        <v/>
      </c>
      <c r="AV136" s="29"/>
      <c r="AW136" s="73"/>
      <c r="AX136" s="271" t="str">
        <f>IF(AND(AV136="Applicant",OR(AW136="", AW136="Use Default Facility Hours")),"← Choose Schedule",IF(F136="","",IF(W136="LED Exit Signs",8760,IF(OR(AV136="Prescribed",AV136=""),VLOOKUP(F136,'Lookup Tables'!$A$6:$G$59,IF(AB136="General", 6, 3),FALSE),VLOOKUP(AW136,'Lookup Tables'!$S$36:$U$43,2,FALSE)))))</f>
        <v/>
      </c>
      <c r="AY136" s="88" t="str">
        <f t="shared" si="301"/>
        <v/>
      </c>
      <c r="AZ136" s="270" t="str">
        <f>IFERROR(IF(F136="", "", IF(W136="LED Exit Signs", 1, IF(AV136="Applicant",VLOOKUP(AW136, 'Lookup Tables'!$S$36:$U$43,3, FALSE), VLOOKUP('Lighting Inventory'!F136, 'Lookup Tables'!$A$6:$H$59, IF('Lighting Inventory'!AB136="General",7,4), FALSE)))), "")</f>
        <v/>
      </c>
      <c r="BA136" s="522" t="str">
        <f>IFERROR(IF(F136="", "", IF(W136="LED Exit Signs", 1, VLOOKUP('Lighting Inventory'!F136, 'Lookup Tables'!$A$6:$H$59, IF('Lighting Inventory'!AB136="General",8,5), FALSE))), "")</f>
        <v/>
      </c>
      <c r="BB136" s="270" t="str">
        <f>IF(G136="", "", IF(E136="Exterior", 0, IF('Lighting Inventory'!G136="Air Conditioned", VLOOKUP(H136, 'Lookup Tables'!$R$6:$T$13, 2, FALSE), VLOOKUP('Lighting Inventory'!G136, 'Lookup Tables'!$R$6:$T$13, 2, FALSE))))</f>
        <v/>
      </c>
      <c r="BC136" s="522" t="str">
        <f>IF(G136="", "", IF(E136="Exterior", 0, IF('Lighting Inventory'!G136="Air Conditioned", VLOOKUP(H136, 'Lookup Tables'!$R$6:$T$13, 3, FALSE), VLOOKUP('Lighting Inventory'!G136, 'Lookup Tables'!$R$6:$T$13, 3, FALSE))))</f>
        <v/>
      </c>
      <c r="BD136" s="270" t="str">
        <f>IF(G136="", "", IF(E136="Exterior", 0, IF('Lighting Inventory'!G136="Air Conditioned", VLOOKUP(H136, 'Lookup Tables'!$R$6:$U$13, 4, FALSE), VLOOKUP('Lighting Inventory'!G136, 'Lookup Tables'!$R$6:$U$13, 4, FALSE))))</f>
        <v/>
      </c>
      <c r="BE136" s="270" t="str">
        <f>IFERROR(IF(B136="", "",  IF(B136="New Construction", VLOOKUP(F136, 'Lookup Tables'!$A$6:$K$59, 11, FALSE),IF(OR(AN136="", AN136="Light Switch"), 0, IF(OR(M136="",M136="None",V136= "LED Exit Signs"),0,_xlfn.XLOOKUP(M136,'Lookup Tables'!$R$91:$R$101,'Lookup Tables'!$V$91:$V$101))))), "")</f>
        <v/>
      </c>
      <c r="BF136" s="270" t="str">
        <f>IF(AND(OR(AN136="Light Switch",AN136=""),B136="New Construction"), VLOOKUP(F136, 'Lookup Tables'!$A$6:$K$59, 11, FALSE),IF(AN136="","",IF(B136="","",IF(OR(AN136="None",AN136="",V136="LED Exit Signs",AN136="Exterior Controls Not Eligible"),0,_xlfn.XLOOKUP(AN136,'Lookup Tables'!$R$91:$R$101,'Lookup Tables'!$V$91:$V$101)))))</f>
        <v/>
      </c>
      <c r="BG136" s="88" t="str">
        <f t="shared" si="353"/>
        <v/>
      </c>
      <c r="BH136" s="88" t="str">
        <f t="shared" si="354"/>
        <v/>
      </c>
      <c r="BI136" s="558" t="str">
        <f t="shared" si="398"/>
        <v/>
      </c>
      <c r="BJ136" s="82" t="str">
        <f t="shared" si="355"/>
        <v/>
      </c>
      <c r="BK136" s="82" t="str">
        <f t="shared" si="356"/>
        <v/>
      </c>
      <c r="BL136" s="559" t="str">
        <f t="shared" si="357"/>
        <v/>
      </c>
      <c r="BM136" s="521" t="str">
        <f t="shared" si="302"/>
        <v/>
      </c>
      <c r="BN136" s="521" t="str">
        <f t="shared" si="303"/>
        <v/>
      </c>
      <c r="BO136" s="522" t="str">
        <f t="shared" si="304"/>
        <v/>
      </c>
      <c r="BP136" s="83" t="str">
        <f t="shared" si="358"/>
        <v/>
      </c>
      <c r="BQ136" s="84" t="str">
        <f t="shared" si="359"/>
        <v/>
      </c>
      <c r="BR136" s="184" t="str">
        <f>IFERROR(IF(B136="", "", IF(OR(VLOOKUP(J136, 'Fixture Identities'!$A$6:$L$1023, 3, FALSE)="T12 Linear Fluorescent",VLOOKUP(J136, 'Fixture Identities'!$A$6:$L$1023, 3, FALSE)="T12 U-Tube Fluorescent"), "Y", "N")), "N")</f>
        <v/>
      </c>
      <c r="BS136" s="184" t="str">
        <f t="array" ref="BS136">IFERROR(IF(OR(B136="", V136="", W136=""), "", IF(V136="Custom", "N", IF(OR(W136="Freezer Case Lighting", W136="Refrigerated Case Lighting with Doors"), BT136, IF(B136="Retrofit", INDEX('Lookup Tables'!$AH$6:$AT$102,MATCH(1,('Lookup Tables'!$AH$6:$AH$102=V136)*('Lookup Tables'!$AI$6:$AI$102=W136),FALSE),IF(VLOOKUP(J136, 'Fixture Identities'!$A$6:$B$1023, 2, FALSE)="Incandescent",12, 13)), INDEX('Lookup Tables'!$AH$114:$AS$154,MATCH(1,('Lookup Tables'!$AH$114:$AH$154=V136)*('Lookup Tables'!$AI$114:$AI$154=W136),FALSE),12))))), "N")</f>
        <v/>
      </c>
      <c r="BT136" s="184" t="str">
        <f>IF(J136="", "", IF(AND(OR(W136="Freezer case Lighting", W136="Refrigerated Case Lighting with Doors"),'General Information'!$X$18="LCI"), "N", IF(OR(VLOOKUP(J136, 'Fixture Identities'!$A$6:$B$1023, 2, FALSE)="T12 EPACT/EISA Baseline", VLOOKUP(J136, 'Fixture Identities'!$A$6:$B$1023, 2, FALSE)="Linear Fluorescent", VLOOKUP(J136, 'Fixture Identities'!$A$6:$B$1023, 2, FALSE)="U-Tube Fluorescent"), "Y", "N")))</f>
        <v/>
      </c>
      <c r="BU136" s="184" t="str">
        <f>IFERROR(IF(B136="", "", IF(VLOOKUP(J136, 'Fixture Identities'!$A$6:$B$1023, 2, FALSE)="Exit Sign", "Y", "N")), "N")</f>
        <v/>
      </c>
      <c r="BV136" s="184" t="str">
        <f>IF(V136="Exit Signs", IF(VLOOKUP(J136, 'Fixture Identities'!$A$6:$B$1023, 2, FALSE)="Exit Sign", "N", "Y"), "")</f>
        <v/>
      </c>
      <c r="BW136" s="184" t="str">
        <f t="array" ref="BW136">IFERROR(IF(B136="", "", IF(B136="New Construction", "N", INDEX('Lookup Tables'!$AH$6:$AU$102, MATCH(1, ('Lookup Tables'!$AH$6:$AH$102='Lighting Inventory'!V136)*('Lookup Tables'!$AI$6:$AI$102='Lighting Inventory'!W136), 0), 14))), "N")</f>
        <v/>
      </c>
      <c r="BX136" s="598" t="str">
        <f t="shared" si="360"/>
        <v/>
      </c>
      <c r="BY136" s="598" t="str">
        <f t="shared" si="361"/>
        <v/>
      </c>
      <c r="BZ136" s="598" t="str">
        <f t="shared" si="362"/>
        <v/>
      </c>
      <c r="CA136" s="598" t="str">
        <f t="shared" si="363"/>
        <v/>
      </c>
      <c r="CB136" s="269" t="str">
        <f t="shared" si="364"/>
        <v/>
      </c>
      <c r="CC136" s="517" t="str">
        <f t="shared" si="365"/>
        <v/>
      </c>
      <c r="CD136" s="565" t="str">
        <f t="shared" si="305"/>
        <v/>
      </c>
      <c r="CE136" s="368">
        <v>0</v>
      </c>
      <c r="CF136" s="368" t="str" cm="1">
        <f t="array" ref="CF136">IFERROR(IF(V136="Custom", "$0.1 per kWh", IF(B136="New Construction", CONCATENATE("$",INDEX('Lookup Tables'!$AH$114:$AN$154,MATCH(1,('Lookup Tables'!$AH$114:$AH$154='Lighting Inventory'!V136)*('Lookup Tables'!$AI$114:$AI$154='Lighting Inventory'!W136),FALSE),6)," ",INDEX('Lookup Tables'!$AH$114:$AN$154,MATCH(1,('Lookup Tables'!$AH$114:$AH$154='Lighting Inventory'!V136)*('Lookup Tables'!$AI$114:$AI$154='Lighting Inventory'!W136),FALSE),7)), IF(AND(BU136="N", V136="Exit Signs"), "$0.025 per kWh", CONCATENATE("$",INDEX('Lookup Tables'!$AH$6:$AN$102,MATCH(1,('Lookup Tables'!$AH$6:$AH$102='Lighting Inventory'!V136)*('Lookup Tables'!$AI$6:$AI$102='Lighting Inventory'!W136),FALSE),6)," ",INDEX('Lookup Tables'!$AH$6:$AN$102,MATCH(1,('Lookup Tables'!$AH$6:$AH$102='Lighting Inventory'!V136)*('Lookup Tables'!$AI$6:$AI$102='Lighting Inventory'!W136),FALSE),7))))), "")</f>
        <v/>
      </c>
      <c r="CG136" s="366"/>
      <c r="CH136" s="248" t="str">
        <f t="shared" si="306"/>
        <v/>
      </c>
      <c r="CI136" s="248" t="str">
        <f t="shared" si="307"/>
        <v>Select_IE</v>
      </c>
      <c r="CJ136" s="248" t="str">
        <f t="shared" si="308"/>
        <v/>
      </c>
      <c r="CK136" s="248" t="str">
        <f t="shared" si="309"/>
        <v/>
      </c>
      <c r="CL136" s="248" t="str">
        <f t="shared" si="310"/>
        <v/>
      </c>
      <c r="CM136" s="248" t="str">
        <f>IFERROR(IF(B136="", "", IF(B136="New Construction", VLOOKUP(V136, 'Lookup Tables'!$AF$114:$AG$120, 2, FALSE), VLOOKUP(V136, 'Lookup Tables'!$AD$6:$AE$25, 2, FALSE))), "")</f>
        <v/>
      </c>
      <c r="CN136" s="248" t="str">
        <f t="shared" si="311"/>
        <v/>
      </c>
      <c r="CO136" s="248" t="str">
        <f t="shared" si="312"/>
        <v/>
      </c>
      <c r="CP136" s="592" t="str">
        <f t="shared" si="313"/>
        <v/>
      </c>
      <c r="CQ136" s="248" t="str">
        <f t="shared" si="366"/>
        <v/>
      </c>
      <c r="CR136" s="100"/>
      <c r="CS136" s="250" t="str">
        <f t="shared" si="314"/>
        <v/>
      </c>
      <c r="CT136" s="250" t="str">
        <f t="shared" si="367"/>
        <v/>
      </c>
      <c r="CU136" s="250" t="str">
        <f t="shared" si="368"/>
        <v/>
      </c>
      <c r="CV136" s="250" t="str">
        <f t="shared" si="369"/>
        <v/>
      </c>
      <c r="CW136" s="250" t="str">
        <f t="shared" si="370"/>
        <v/>
      </c>
      <c r="CX136" s="250" t="str">
        <f t="shared" si="315"/>
        <v/>
      </c>
      <c r="CY136" s="250" t="str">
        <f t="shared" si="316"/>
        <v/>
      </c>
      <c r="CZ136" s="250" t="str">
        <f t="shared" si="317"/>
        <v/>
      </c>
      <c r="DA136" s="250" t="str">
        <f t="shared" si="318"/>
        <v/>
      </c>
      <c r="DB136" s="250" t="str">
        <f t="shared" si="319"/>
        <v/>
      </c>
      <c r="DC136" s="250" t="str">
        <f t="shared" si="320"/>
        <v/>
      </c>
      <c r="DD136" s="250" t="str">
        <f t="shared" si="321"/>
        <v/>
      </c>
      <c r="DE136" s="250" t="str">
        <f t="shared" si="322"/>
        <v/>
      </c>
      <c r="DF136" s="250" t="str">
        <f t="shared" si="323"/>
        <v/>
      </c>
      <c r="DG136" s="250" t="str">
        <f t="shared" si="324"/>
        <v/>
      </c>
      <c r="DH136" s="250" t="str">
        <f t="shared" si="325"/>
        <v/>
      </c>
      <c r="DI136" s="250" t="str">
        <f t="shared" si="326"/>
        <v/>
      </c>
      <c r="DJ136" s="250" t="str">
        <f t="shared" si="327"/>
        <v/>
      </c>
      <c r="DK136" s="250" t="str">
        <f t="shared" si="328"/>
        <v/>
      </c>
      <c r="DL136" s="250" t="str">
        <f t="shared" si="329"/>
        <v/>
      </c>
      <c r="DM136" s="250" t="str">
        <f>IF(CD136="ERROR", "ERROR", IF(AND(OR(Y136=$DM$6, Y136='Lookup Tables'!$AD$21, Y136='Lookup Tables'!$AD$22), E136="Interior"), BJ136, ""))</f>
        <v/>
      </c>
      <c r="DN136" s="250" t="str">
        <f>IF(CD136="ERROR", "ERROR", IF(AND(OR(Y136=$DM$6, Y136='Lookup Tables'!$AD$21, Y136='Lookup Tables'!$AD$22), E136="Exterior"), BJ136, ""))</f>
        <v/>
      </c>
      <c r="DO136" s="100"/>
      <c r="DP136" s="250" t="str">
        <f t="shared" si="330"/>
        <v/>
      </c>
      <c r="DQ136" s="250" t="str">
        <f t="shared" si="371"/>
        <v/>
      </c>
      <c r="DR136" s="250" t="str">
        <f t="shared" si="372"/>
        <v/>
      </c>
      <c r="DS136" s="250" t="str">
        <f t="shared" si="373"/>
        <v/>
      </c>
      <c r="DT136" s="250" t="str">
        <f t="shared" si="374"/>
        <v/>
      </c>
      <c r="DU136" s="250" t="str">
        <f t="shared" si="331"/>
        <v/>
      </c>
      <c r="DV136" s="250" t="str">
        <f t="shared" si="332"/>
        <v/>
      </c>
      <c r="DW136" s="250" t="str">
        <f t="shared" si="333"/>
        <v/>
      </c>
      <c r="DX136" s="250" t="str">
        <f t="shared" si="334"/>
        <v/>
      </c>
      <c r="DY136" s="250" t="str">
        <f t="shared" si="335"/>
        <v/>
      </c>
      <c r="DZ136" s="250" t="str">
        <f t="shared" si="336"/>
        <v/>
      </c>
      <c r="EA136" s="250" t="str">
        <f t="shared" si="337"/>
        <v/>
      </c>
      <c r="EB136" s="250" t="str">
        <f t="shared" si="375"/>
        <v/>
      </c>
      <c r="EC136" s="250" t="str">
        <f t="shared" si="338"/>
        <v/>
      </c>
      <c r="ED136" s="250" t="str">
        <f t="shared" si="339"/>
        <v/>
      </c>
      <c r="EE136" s="250" t="str">
        <f t="shared" si="340"/>
        <v/>
      </c>
      <c r="EF136" s="250" t="str">
        <f t="shared" si="341"/>
        <v/>
      </c>
      <c r="EG136" s="250" t="str">
        <f t="shared" si="342"/>
        <v/>
      </c>
      <c r="EH136" s="250" t="str">
        <f>IF(CD136="ERROR", "ERROR", IF(AND(OR($EH$6=Y136, Y136='Lookup Tables'!$AD$21, Y136='Lookup Tables'!$AD$22),E136="Interior"), SUM(BP136:BP136), ""))</f>
        <v/>
      </c>
      <c r="EI136" s="250" t="str">
        <f>IF(CD136="ERROR", "ERROR", IF(AND(OR($EH$6=Y136, Y136='Lookup Tables'!$AD$21, Y136='Lookup Tables'!$AD$22),E136="Exterior"), SUM(BP136:BP136), ""))</f>
        <v/>
      </c>
      <c r="EJ136" s="109"/>
      <c r="EK136" s="485" t="str">
        <f t="shared" si="343"/>
        <v/>
      </c>
      <c r="EL136" s="252" t="str">
        <f t="shared" si="376"/>
        <v/>
      </c>
      <c r="EM136" s="252" t="str">
        <f t="shared" si="377"/>
        <v/>
      </c>
      <c r="EN136" s="252" t="str">
        <f t="shared" si="378"/>
        <v/>
      </c>
      <c r="EO136" s="252" t="str">
        <f t="shared" si="379"/>
        <v/>
      </c>
      <c r="EP136" s="252" t="str">
        <f t="shared" si="380"/>
        <v/>
      </c>
      <c r="EQ136" s="252" t="str">
        <f t="shared" si="381"/>
        <v/>
      </c>
      <c r="ER136" s="252" t="str">
        <f t="shared" si="382"/>
        <v/>
      </c>
      <c r="ES136" s="252" t="str">
        <f t="shared" si="383"/>
        <v/>
      </c>
      <c r="ET136" s="252" t="str">
        <f t="shared" si="384"/>
        <v/>
      </c>
      <c r="EU136" s="252" t="str">
        <f t="shared" si="385"/>
        <v/>
      </c>
      <c r="EV136" s="252" t="str">
        <f t="shared" si="386"/>
        <v/>
      </c>
      <c r="EW136" s="252" t="str">
        <f t="shared" si="387"/>
        <v/>
      </c>
      <c r="EX136" s="252" t="str">
        <f t="shared" si="388"/>
        <v/>
      </c>
      <c r="EY136" s="252" t="str">
        <f t="shared" si="389"/>
        <v/>
      </c>
      <c r="EZ136" s="252" t="str">
        <f t="shared" si="390"/>
        <v/>
      </c>
      <c r="FA136" s="252" t="str">
        <f t="shared" si="391"/>
        <v/>
      </c>
      <c r="FB136" s="252" t="str">
        <f t="shared" si="392"/>
        <v/>
      </c>
      <c r="FC136" s="252" t="str">
        <f>IF(CD136="ERROR", "ERROR", IF(OR(V136="No Change", V136="Not DLC or Energy Star"), "", IF(AND(OR($FC$6=Y136,Y136='Lookup Tables'!$AD$21, Y136='Lookup Tables'!$AD$22),E136="Interior"), S136, "")))</f>
        <v/>
      </c>
      <c r="FD136" s="252" t="str">
        <f t="shared" si="393"/>
        <v/>
      </c>
      <c r="FE136" s="101"/>
      <c r="FF136" s="579" t="str" cm="1">
        <f t="array" ref="FF136">IFERROR(IF(OR(BQ136&lt;=0,AQ136&lt;20,AND(V136="Exit Signs",AN136&gt;0)),"",IF(AND(AQ136&gt;=20,AN136='Lookup Tables'!$R$101),'Lookup Tables'!$U$101*BQ136,AP136*LOOKUP(2,1/((AN136='Lookup Tables'!$R$91:$R$111)*(AQ136&gt;='Lookup Tables'!$S$91:$S$111)*(AQ136&lt;='Lookup Tables'!$T$91:$T$111)),'Lookup Tables'!$U$91:$U$111))),"")</f>
        <v/>
      </c>
      <c r="FG136" s="579"/>
      <c r="FH136" s="579"/>
      <c r="FI136" s="253" t="str">
        <f>IFERROR(ROUND(IF(CD136="ERROR", "ERROR", IF(AND($FI$7=X136,E136="Interior"),VLOOKUP(W136, 'Lookup Tables'!$AI$6:$AM$102, 5, FALSE)*BP136, "")), 2), "")</f>
        <v/>
      </c>
      <c r="FJ136" s="253" t="str">
        <f>IFERROR(ROUND(IF(CD136="ERROR", "ERROR", IF(AND($FI$7=X136,E136="Exterior"),VLOOKUP(W136, 'Lookup Tables'!$AI$6:$AM$102, 5, FALSE)*BP136, "")), 2), "")</f>
        <v/>
      </c>
      <c r="FK136" s="253" t="str">
        <f>IFERROR(ROUND(IF(CD136="ERROR", "ERROR", IF(AND($FK$7=X136,E136="Interior"),VLOOKUP(W136, 'Lookup Tables'!$AI$6:$AM$102, 5, FALSE)*BP136, "")), 2), "")</f>
        <v/>
      </c>
      <c r="FL136" s="253" t="str">
        <f>IFERROR(ROUND(IF(CD136="ERROR", "ERROR", IF(AND($FK$7=X136,E136="Exterior"),VLOOKUP(W136, 'Lookup Tables'!$AI$6:$AM$102, 5, FALSE)*BP136, "")), 2), "")</f>
        <v/>
      </c>
      <c r="FM136" s="253" t="str">
        <f>IFERROR(ROUND(IF(CD136="ERROR", "ERROR", IF(AND($FM$6=Y136,E136="Interior"), IF(GB136=0, VLOOKUP(W136, 'Lookup Tables'!$AI$6:$AM$102, 5, FALSE)*BP136, IF(VLOOKUP(W136, 'Lookup Tables'!$AI$6:$AM$102, 5, FALSE)*BP136&gt;GB136*'Lighting Inventory'!S136, GB136*'Lighting Inventory'!S136,VLOOKUP(W136, 'Lookup Tables'!$AI$6:$AM$102, 5, FALSE)*BP136)), "")), 2), "")</f>
        <v/>
      </c>
      <c r="FN136" s="253" t="str">
        <f>IFERROR(ROUND(IF(CD136="ERROR", "ERROR", IF(AND($FM$6=Y136,E136="Exterior"), IF(GB136=0, VLOOKUP(W136, 'Lookup Tables'!$AI$6:$AM$102, 5, FALSE)*BP136, IF(VLOOKUP(W136, 'Lookup Tables'!$AI$6:$AM$102, 5, FALSE)*BP136&gt;GB136*'Lighting Inventory'!S136, GB136*'Lighting Inventory'!S136,VLOOKUP(W136, 'Lookup Tables'!$AI$6:$AM$102, 5, FALSE)*BP136)), "")), 2), "")</f>
        <v/>
      </c>
      <c r="FO136" s="253" t="str">
        <f>IFERROR(ROUND(IF(CD136="ERROR", "ERROR", IF(AND($FO$6=Y136,E136="Interior"),VLOOKUP(W136, 'Lookup Tables'!$AI$6:$AM$102, 5, FALSE)*'Lighting Inventory'!AI136, "")), 2), "")</f>
        <v/>
      </c>
      <c r="FP136" s="253" t="str">
        <f>IFERROR(ROUND(IF(CD136="ERROR", "ERROR", IF(AND($FO$6=Y136,E136="Exterior"),VLOOKUP(W136, 'Lookup Tables'!$AI$6:$AM$102, 5, FALSE)*'Lighting Inventory'!AI136, "")), 2), "")</f>
        <v/>
      </c>
      <c r="FQ136" s="253" t="str">
        <f>IFERROR(ROUND(IF(CD136="ERROR", "ERROR", IF(AND($FQ$6=Y136,E136="Interior", BU136="Y"), VLOOKUP('Lighting Inventory'!W136, 'Lookup Tables'!$AI$6:$AM$102, 5, FALSE)*'Lighting Inventory'!S136, IF(AND($FQ$7=Y136,E136="Interior", BU136="N"), 0.025*CD136, ""))), 2), "")</f>
        <v/>
      </c>
      <c r="FR136" s="253" t="str">
        <f>IFERROR(ROUND(IF(CD136="ERROR", "ERROR", IF(AND($FQ$6=Y136,E136="Exterior"), VLOOKUP('Lighting Inventory'!W136, 'Lookup Tables'!$AI$6:$AM$102, 5, FALSE)*'Lighting Inventory'!S136, "")), 2), "")</f>
        <v/>
      </c>
      <c r="FS136" s="253" t="str">
        <f>IFERROR(ROUND(IF(CD136="ERROR", "ERROR", IF(AND($FS$6=Y136,E136="Exterior"), IF(GB136=0, VLOOKUP(W136, 'Lookup Tables'!$AI$6:$AM$102, 5, FALSE)*BP136, IF(VLOOKUP(W136, 'Lookup Tables'!$AI$6:$AM$102, 5, FALSE)*BP136&gt;GB136*'Lighting Inventory'!S136, GB136*'Lighting Inventory'!S136,VLOOKUP(W136, 'Lookup Tables'!$AI$6:$AM$102, 5, FALSE)*BP136)), "")), 2), "")</f>
        <v/>
      </c>
      <c r="FT136" s="253" t="str">
        <f>IFERROR(ROUND(IF(CD136="ERROR", "ERROR", IF(AND($FT$6=Y136,E136="Interior"), IF(GB136=0, VLOOKUP(W136, 'Lookup Tables'!$AI$6:$AM$102, 5, FALSE)*BP136, IF(VLOOKUP(W136, 'Lookup Tables'!$AI$6:$AM$102, 5, FALSE)*BP136&gt;GB136*'Lighting Inventory'!S136, GB136*'Lighting Inventory'!S136,VLOOKUP(W136, 'Lookup Tables'!$AI$6:$AM$102, 5, FALSE)*BP136)), "")), 2), "")</f>
        <v/>
      </c>
      <c r="FU136" s="253" t="str">
        <f>IFERROR(ROUND(IF(CD136="ERROR", "ERROR", IF(AND(Y136=$FU$6, E136="Interior"), IF(BS136="N", 'Lookup Tables'!$AM$101*BP136, VLOOKUP(W136, 'Lookup Tables'!$AI$6:$AM$102, 5, FALSE)*S136*AD136), "")), 2), "")</f>
        <v/>
      </c>
      <c r="FV136" s="253" t="str">
        <f>IFERROR(ROUND(IF(CD136="ERROR", "ERROR", IF(AND(Y136=$FU$6, E136="Exterior"), IF(BS136="N", 'Lookup Tables'!$AM$101*BP136, VLOOKUP(W136, 'Lookup Tables'!$AI$6:$AM$102, 5, FALSE)*S136*AD136), "")), 2), "")</f>
        <v/>
      </c>
      <c r="FW136" s="253" t="str">
        <f>IFERROR(ROUND(IF(CD136="ERROR", "ERROR", IF($FW$6=Y136, IF(BS136="N", 'Lookup Tables'!$AM$101*BP136, MIN((VLOOKUP(W136, 'Lookup Tables'!$AI$6:$AM$102, 5, FALSE)*BP136),GB136*AJ136)), "")), 2), "")</f>
        <v/>
      </c>
      <c r="FX136" s="253" t="str">
        <f>IFERROR(ROUND(IF(CD136="ERROR", "ERROR", IF(AND($FX$6=Y136, E136="Interior"), IF(VLOOKUP(W136, 'Lookup Tables'!$AI$6:$AM$102, 5, FALSE)*BP136&gt;'Lookup Tables'!$AQ$97*'Lighting Inventory'!S136,'Lighting Inventory'!S136*'Lookup Tables'!$AQ$97,VLOOKUP(W136, 'Lookup Tables'!$AI$6:$AM$102, 5, FALSE)*BP136), "")), 2), "")</f>
        <v/>
      </c>
      <c r="FY136" s="253" t="str">
        <f>IFERROR(ROUND(IF(CD136="ERROR", "ERROR", IF(AND($FX$6=Y136, E136="Exterior"), IF(VLOOKUP(W136, 'Lookup Tables'!$AI$6:$AM$102, 5, FALSE)*BP136&gt;'Lookup Tables'!$AQ$97*'Lighting Inventory'!S136,'Lighting Inventory'!S136*'Lookup Tables'!$AQ$97,VLOOKUP(W136, 'Lookup Tables'!$AI$6:$AM$102, 5, FALSE)*BP136), "")), 2), "")</f>
        <v/>
      </c>
      <c r="FZ136" s="253" t="str">
        <f>IFERROR(ROUND(IF(CD136="ERROR", "ERROR", IF(AND($FZ$6=Y136, E136="Interior"), IF(AND(OR(W136="Refrigerated Case Lighting with Doors", W136="Freezer Case Lighting"),Y136="Custom - Process Improvement"),CD136*'Lookup Tables'!$AM$101, IF(B136="Retrofit", IF(VLOOKUP(IF(V136="Custom", V136, W136), 'Lookup Tables'!$AI$6:$AM$102, 5, FALSE)*BP136&gt;GE136, GE136, VLOOKUP(IF(V136="Custom", V136, W136), 'Lookup Tables'!$AI$6:$AM$102, 5, FALSE)*BP136), IF(VLOOKUP(IF(V136="Custom", V136, W136), 'Lookup Tables'!$AI$114:$AM$154, 5, FALSE)*BP136&gt;GE136, GE136, VLOOKUP(IF(V136="Custom", V136, W136), 'Lookup Tables'!$AI$114:$AM$154, 5, FALSE)*BP136))), "")), 2),"")</f>
        <v/>
      </c>
      <c r="GA136" s="253" t="str">
        <f>IFERROR(ROUND(IF(CD136="ERROR", "ERROR", IF(AND($FZ$6=Y136, E136="Exterior"), IF(B136="Retrofit", IF(VLOOKUP(IF(V136="Custom", V136, W136), 'Lookup Tables'!$AI$6:$AM$102, 5, FALSE)*BP136&gt;GE136, GE136, VLOOKUP(IF(V136="Custom", V136, W136), 'Lookup Tables'!$AI$6:$AM$102, 5, FALSE)*BP136), IF(VLOOKUP(IF(V136="Custom", V136, W136), 'Lookup Tables'!$AI$114:$AM$154, 5, FALSE)*BP136&gt;GE136, GE136, VLOOKUP(IF(V136="Custom", V136, W136), 'Lookup Tables'!$AI$114:$AM$154, 5, FALSE)*BP136)), "")), 2),"")</f>
        <v/>
      </c>
      <c r="GB136" s="254" t="str">
        <f t="array" ref="GB136">IF(B136="","",IF(OR(V136="Custom",V136="No Change"),0,IF(B136="Retrofit", INDEX('Lookup Tables'!$AH$6:$AQ$102,MATCH(1,('Lookup Tables'!$AH$6:$AH$102='Lighting Inventory'!V136)*('Lookup Tables'!$AI$6:$AI$102='Lighting Inventory'!W136),FALSE),10),INDEX('Lookup Tables'!$AH$114:$AQ$154,MATCH(1,('Lookup Tables'!$AH$114:$AH$154='Lighting Inventory'!V136)*('Lookup Tables'!$AI$114:$AI$154='Lighting Inventory'!W136),FALSE),10))))</f>
        <v/>
      </c>
      <c r="GC136" s="255" t="str">
        <f t="shared" si="344"/>
        <v/>
      </c>
      <c r="GD136" s="250" t="str">
        <f t="shared" si="345"/>
        <v/>
      </c>
      <c r="GE136" s="253" t="str">
        <f>IFERROR(IF(AND(AF136="", 'General Information'!$F$18="No"),"", IF(AF136="", ((GD136/$CD$266)*$CF$266)*0.5, AF136*S136*0.5)), "")</f>
        <v/>
      </c>
      <c r="GF136" s="255" t="str">
        <f>IF(AND('General Information'!$F$19="", 'General Information'!$F$18="Yes",AF136="",BW136="Y"), "Y", "N")</f>
        <v>N</v>
      </c>
      <c r="GG136" s="255" t="s">
        <v>2946</v>
      </c>
      <c r="GH136" s="255" t="str">
        <f>IFERROR(IF(B136="", "", VLOOKUP(J136, 'Fixture Identities'!$A$6:$N$908, 14, FALSE)), "")</f>
        <v/>
      </c>
      <c r="GI136" s="389" t="str">
        <f>IF(OR(B136="", V136="", W136=""), "", IF(AND(OR(M136='Lookup Tables'!$R$18, M136='Lookup Tables'!$R$19, M136='Lookup Tables'!$R$20, M136='Lookup Tables'!$R$21, M136='Lookup Tables'!$R$22), OR(AN136='Lookup Tables'!$R$17, AN136='Lookup Tables'!$R$17, AN136="")), "Y", "N"))</f>
        <v/>
      </c>
      <c r="GJ136" s="255" t="str">
        <f t="shared" si="346"/>
        <v/>
      </c>
      <c r="GK136" s="255" t="str">
        <f t="shared" si="347"/>
        <v/>
      </c>
      <c r="GL136" s="255" t="str">
        <f t="shared" si="348"/>
        <v/>
      </c>
      <c r="GM136" s="255" t="str">
        <f>IF(AN136="", "", IF(AND(IF(ISNA(VLOOKUP(AN136,'Lookup Tables'!$R$18:$R$22,1,FALSE)), "N", "Y")="Y", E136="Exterior"), "Y", "N"))</f>
        <v/>
      </c>
      <c r="GN136" s="395"/>
      <c r="GO136" s="428">
        <f t="shared" si="394"/>
        <v>0</v>
      </c>
      <c r="GP136" s="428">
        <f t="shared" si="397"/>
        <v>0</v>
      </c>
      <c r="GQ136" s="428">
        <f t="shared" si="395"/>
        <v>0</v>
      </c>
      <c r="GR136" s="428">
        <f t="shared" si="396"/>
        <v>0</v>
      </c>
    </row>
    <row r="137" spans="1:200" s="103" customFormat="1" ht="13.5" customHeight="1" x14ac:dyDescent="0.2">
      <c r="A137" s="272">
        <v>127</v>
      </c>
      <c r="B137" s="110"/>
      <c r="C137" s="110"/>
      <c r="D137" s="110"/>
      <c r="E137" s="110"/>
      <c r="F137" s="110"/>
      <c r="G137" s="110"/>
      <c r="H137" s="110"/>
      <c r="I137" s="29"/>
      <c r="J137" s="29"/>
      <c r="K137" s="272" t="str">
        <f>IFERROR(IF(OR(VLOOKUP(J137, 'Fixture Identities'!$A$6:$L$1023, 3, FALSE)="T12 Linear Fluorescent", VLOOKUP(J137, 'Fixture Identities'!$A$6:$L$1023, 3, FALSE)="T12 U-Tube Fluorescent"), VLOOKUP(VLOOKUP(J137, 'Fixture Identities'!$A$6:$L$1023, 11, FALSE), 'Fixture Identities'!$A$6:$L$1023, 10, FALSE), VLOOKUP(J137, 'Fixture Identities'!$A$6:$L$1023, 10, FALSE)), "")</f>
        <v/>
      </c>
      <c r="L137" s="270" t="str">
        <f t="shared" si="399"/>
        <v/>
      </c>
      <c r="M137" s="110"/>
      <c r="N137" s="110"/>
      <c r="O137" s="110"/>
      <c r="P137" s="272" t="str">
        <f>IFERROR(IF(OR(B137="Retrofit",B137=""),"",IF('Lighting Inventory'!E137="Exterior",VLOOKUP('Lighting Inventory'!N137,'Lookup Tables'!$B$83:$F$103,5,FALSE),IF(N137="Other - Please Estimate EFLH and CFs","Contact Prog. Rep.","ft^2"))), "")</f>
        <v/>
      </c>
      <c r="Q137" s="270" t="str">
        <f>IFERROR(IF(AND(B137="New Construction",E137="Interior",$F$5="Space-by-Space"),VLOOKUP('Lighting Inventory'!N137,'Lookup Tables'!$N$6:$O$97,2,FALSE),IF(AND(B137="New Construction",E137="Exterior"),VLOOKUP(N137,'Lookup Tables'!$B$83:$F$103,2,FALSE),IF(AND(B137="New Construction",'Lighting Inventory'!E137="Interior", $F$5="Building Area"),VLOOKUP(F137,'Lookup Tables'!$A$6:$J$59,10,FALSE),""))), "")</f>
        <v/>
      </c>
      <c r="R137" s="270" t="str">
        <f>IFERROR(IF(P137="Contact Prog. Rep.", "ERROR", IF(OR(B137="",B137="Retrofit"),"",IF(N137="Automated teller machines", ('Lookup Tables'!$A$82:$E$100+('Lighting Inventory'!O137-1)*'Lookup Tables'!$A$82:$E$100)/1000, (Q137*O137)/1000))), "")</f>
        <v/>
      </c>
      <c r="S137" s="595"/>
      <c r="T137" s="105" t="str">
        <f t="shared" si="349"/>
        <v/>
      </c>
      <c r="U137" s="105" t="str">
        <f>IF(S137="","",COUNT($S$11:S137))</f>
        <v/>
      </c>
      <c r="V137" s="111"/>
      <c r="W137" s="112"/>
      <c r="X137" s="105" t="str">
        <f t="shared" si="350"/>
        <v/>
      </c>
      <c r="Y137" s="105" t="str">
        <f t="array" ref="Y137">IF(AND(OR(W137="Freezer Case Lighting", W137="Refrigerated Case Lighting with Doors"), 'General Information'!$X$18="LCI"),'Lookup Tables'!$Y$34, IF(V137="Custom", VLOOKUP(W137, 'Fixture Identities'!$A$974:$M$1023, 13, FALSE), IF(V137="No Change",'Lookup Tables'!$Y$29,IF(OR(V137="",W137=""),"",IF(AND(S137=0,S137&lt;I137,B137="Retrofit"),'Lookup Tables'!$Y$25, IF(B137="Retrofit", INDEX('Lookup Tables'!$AH$6:$AP$102, MATCH(1, ('Lookup Tables'!$AH$6:$AH$102=V137)*('Lookup Tables'!$AI$6:$AI$102=W137), 0), IF('Lighting Inventory'!E137="Interior", 4, 5)), INDEX('Lookup Tables'!$AH$114:$AP$154, MATCH(1, ('Lookup Tables'!$AH$114:$AH$154=V137)*('Lookup Tables'!$AI$114:$AI$154=W137), 0), IF('Lighting Inventory'!E137="Interior", 4, 5))))))))</f>
        <v/>
      </c>
      <c r="Z137" s="105" t="str">
        <f>IFERROR(INDEX('Lookup Tables'!$AH$158:$AH$172,MATCH('Lighting Inventory'!Y137,'Lookup Tables'!$AI$158:$AI$172,0)),"")</f>
        <v/>
      </c>
      <c r="AA137" s="105" t="str">
        <f>IF(AP137&gt;0,INDEX('Lookup Tables'!$AK$158:$AK$172,MATCH('Lighting Inventory'!Y137,'Lookup Tables'!$AI$158:$AI$172,0)),'Lighting Inventory'!Y137)</f>
        <v/>
      </c>
      <c r="AB137" s="105" t="str">
        <f t="array" ref="AB137">IF(V137="Custom", "Custom", IF(V137="", "", IF(V137="Not DLC or Energy Star", "General", IF(B137="New Construction", INDEX('Lookup Tables'!$AH$114:$AP$154,MATCH(1,('Lookup Tables'!$AH$114:$AH$154='Lighting Inventory'!V137)*('Lookup Tables'!$AI$114:$AI$154='Lighting Inventory'!W137),FALSE),8), INDEX('Lookup Tables'!$AH$6:$AP$102,MATCH(1,('Lookup Tables'!$AH$6:$AH$102='Lighting Inventory'!V137)*('Lookup Tables'!$AI$6:$AI$102='Lighting Inventory'!W137),FALSE),8)))))</f>
        <v/>
      </c>
      <c r="AC137" s="272" t="str">
        <f>IF(W137="","",IF(V137="Custom",CONCATENATE("$",'Lookup Tables'!$AM$101," ",'Lookup Tables'!$AN$101),CONCATENATE("$",INDEX('Lookup Tables'!$AM$6:$AM$102,MATCH('Lighting Inventory'!W137,'Lookup Tables'!$AI$6:$AI$102,0))," ",INDEX('Lookup Tables'!$AN$6:$AN$102,MATCH('Lighting Inventory'!W137,'Lookup Tables'!$AI$6:$AI$102,0)))))</f>
        <v/>
      </c>
      <c r="AD137" s="72"/>
      <c r="AE137" s="29"/>
      <c r="AF137" s="379"/>
      <c r="AG137" s="370" t="str">
        <f t="shared" si="298"/>
        <v/>
      </c>
      <c r="AH137" s="370" t="str">
        <f t="shared" si="351"/>
        <v/>
      </c>
      <c r="AI137" s="29"/>
      <c r="AJ137" s="29"/>
      <c r="AK137" s="110"/>
      <c r="AL137" s="375" t="str">
        <f>IF(OR(B137="", V137="", W137=""), "", IF(V137="No Change", K137, IF(V137="Remove Fixture", 0, IF(V137="Custom",VLOOKUP(W137,'Fixture Identities'!$A$6:$K$1023,10,FALSE),IF(AE137="", "← ENTER POST WATTS", 'Lighting Inventory'!AE137)))))</f>
        <v/>
      </c>
      <c r="AM137" s="376" t="str">
        <f t="shared" si="299"/>
        <v/>
      </c>
      <c r="AN137" s="29"/>
      <c r="AO137" s="671"/>
      <c r="AP137" s="29"/>
      <c r="AQ137" s="29"/>
      <c r="AR137" s="29"/>
      <c r="AS137" s="272" t="str">
        <f t="shared" si="352"/>
        <v/>
      </c>
      <c r="AT137" s="270" t="str">
        <f t="shared" si="300"/>
        <v/>
      </c>
      <c r="AU137" s="88" t="str">
        <f t="shared" si="400"/>
        <v/>
      </c>
      <c r="AV137" s="29"/>
      <c r="AW137" s="73"/>
      <c r="AX137" s="271" t="str">
        <f>IF(AND(AV137="Applicant",OR(AW137="", AW137="Use Default Facility Hours")),"← Choose Schedule",IF(F137="","",IF(W137="LED Exit Signs",8760,IF(OR(AV137="Prescribed",AV137=""),VLOOKUP(F137,'Lookup Tables'!$A$6:$G$59,IF(AB137="General", 6, 3),FALSE),VLOOKUP(AW137,'Lookup Tables'!$S$36:$U$43,2,FALSE)))))</f>
        <v/>
      </c>
      <c r="AY137" s="88" t="str">
        <f t="shared" si="301"/>
        <v/>
      </c>
      <c r="AZ137" s="270" t="str">
        <f>IFERROR(IF(F137="", "", IF(W137="LED Exit Signs", 1, IF(AV137="Applicant",VLOOKUP(AW137, 'Lookup Tables'!$S$36:$U$43,3, FALSE), VLOOKUP('Lighting Inventory'!F137, 'Lookup Tables'!$A$6:$H$59, IF('Lighting Inventory'!AB137="General",7,4), FALSE)))), "")</f>
        <v/>
      </c>
      <c r="BA137" s="522" t="str">
        <f>IFERROR(IF(F137="", "", IF(W137="LED Exit Signs", 1, VLOOKUP('Lighting Inventory'!F137, 'Lookup Tables'!$A$6:$H$59, IF('Lighting Inventory'!AB137="General",8,5), FALSE))), "")</f>
        <v/>
      </c>
      <c r="BB137" s="270" t="str">
        <f>IF(G137="", "", IF(E137="Exterior", 0, IF('Lighting Inventory'!G137="Air Conditioned", VLOOKUP(H137, 'Lookup Tables'!$R$6:$T$13, 2, FALSE), VLOOKUP('Lighting Inventory'!G137, 'Lookup Tables'!$R$6:$T$13, 2, FALSE))))</f>
        <v/>
      </c>
      <c r="BC137" s="522" t="str">
        <f>IF(G137="", "", IF(E137="Exterior", 0, IF('Lighting Inventory'!G137="Air Conditioned", VLOOKUP(H137, 'Lookup Tables'!$R$6:$T$13, 3, FALSE), VLOOKUP('Lighting Inventory'!G137, 'Lookup Tables'!$R$6:$T$13, 3, FALSE))))</f>
        <v/>
      </c>
      <c r="BD137" s="270" t="str">
        <f>IF(G137="", "", IF(E137="Exterior", 0, IF('Lighting Inventory'!G137="Air Conditioned", VLOOKUP(H137, 'Lookup Tables'!$R$6:$U$13, 4, FALSE), VLOOKUP('Lighting Inventory'!G137, 'Lookup Tables'!$R$6:$U$13, 4, FALSE))))</f>
        <v/>
      </c>
      <c r="BE137" s="270" t="str">
        <f>IFERROR(IF(B137="", "",  IF(B137="New Construction", VLOOKUP(F137, 'Lookup Tables'!$A$6:$K$59, 11, FALSE),IF(OR(AN137="", AN137="Light Switch"), 0, IF(OR(M137="",M137="None",V137= "LED Exit Signs"),0,_xlfn.XLOOKUP(M137,'Lookup Tables'!$R$91:$R$101,'Lookup Tables'!$V$91:$V$101))))), "")</f>
        <v/>
      </c>
      <c r="BF137" s="270" t="str">
        <f>IF(AND(OR(AN137="Light Switch",AN137=""),B137="New Construction"), VLOOKUP(F137, 'Lookup Tables'!$A$6:$K$59, 11, FALSE),IF(AN137="","",IF(B137="","",IF(OR(AN137="None",AN137="",V137="LED Exit Signs",AN137="Exterior Controls Not Eligible"),0,_xlfn.XLOOKUP(AN137,'Lookup Tables'!$R$91:$R$101,'Lookup Tables'!$V$91:$V$101)))))</f>
        <v/>
      </c>
      <c r="BG137" s="88" t="str">
        <f t="shared" si="353"/>
        <v/>
      </c>
      <c r="BH137" s="88" t="str">
        <f t="shared" si="354"/>
        <v/>
      </c>
      <c r="BI137" s="558" t="str">
        <f t="shared" si="398"/>
        <v/>
      </c>
      <c r="BJ137" s="82" t="str">
        <f t="shared" si="355"/>
        <v/>
      </c>
      <c r="BK137" s="82" t="str">
        <f t="shared" si="356"/>
        <v/>
      </c>
      <c r="BL137" s="559" t="str">
        <f t="shared" si="357"/>
        <v/>
      </c>
      <c r="BM137" s="521" t="str">
        <f t="shared" si="302"/>
        <v/>
      </c>
      <c r="BN137" s="521" t="str">
        <f t="shared" si="303"/>
        <v/>
      </c>
      <c r="BO137" s="522" t="str">
        <f t="shared" si="304"/>
        <v/>
      </c>
      <c r="BP137" s="83" t="str">
        <f t="shared" si="358"/>
        <v/>
      </c>
      <c r="BQ137" s="84" t="str">
        <f t="shared" si="359"/>
        <v/>
      </c>
      <c r="BR137" s="184" t="str">
        <f>IFERROR(IF(B137="", "", IF(OR(VLOOKUP(J137, 'Fixture Identities'!$A$6:$L$1023, 3, FALSE)="T12 Linear Fluorescent",VLOOKUP(J137, 'Fixture Identities'!$A$6:$L$1023, 3, FALSE)="T12 U-Tube Fluorescent"), "Y", "N")), "N")</f>
        <v/>
      </c>
      <c r="BS137" s="184" t="str">
        <f t="array" ref="BS137">IFERROR(IF(OR(B137="", V137="", W137=""), "", IF(V137="Custom", "N", IF(OR(W137="Freezer Case Lighting", W137="Refrigerated Case Lighting with Doors"), BT137, IF(B137="Retrofit", INDEX('Lookup Tables'!$AH$6:$AT$102,MATCH(1,('Lookup Tables'!$AH$6:$AH$102=V137)*('Lookup Tables'!$AI$6:$AI$102=W137),FALSE),IF(VLOOKUP(J137, 'Fixture Identities'!$A$6:$B$1023, 2, FALSE)="Incandescent",12, 13)), INDEX('Lookup Tables'!$AH$114:$AS$154,MATCH(1,('Lookup Tables'!$AH$114:$AH$154=V137)*('Lookup Tables'!$AI$114:$AI$154=W137),FALSE),12))))), "N")</f>
        <v/>
      </c>
      <c r="BT137" s="184" t="str">
        <f>IF(J137="", "", IF(AND(OR(W137="Freezer case Lighting", W137="Refrigerated Case Lighting with Doors"),'General Information'!$X$18="LCI"), "N", IF(OR(VLOOKUP(J137, 'Fixture Identities'!$A$6:$B$1023, 2, FALSE)="T12 EPACT/EISA Baseline", VLOOKUP(J137, 'Fixture Identities'!$A$6:$B$1023, 2, FALSE)="Linear Fluorescent", VLOOKUP(J137, 'Fixture Identities'!$A$6:$B$1023, 2, FALSE)="U-Tube Fluorescent"), "Y", "N")))</f>
        <v/>
      </c>
      <c r="BU137" s="184" t="str">
        <f>IFERROR(IF(B137="", "", IF(VLOOKUP(J137, 'Fixture Identities'!$A$6:$B$1023, 2, FALSE)="Exit Sign", "Y", "N")), "N")</f>
        <v/>
      </c>
      <c r="BV137" s="184" t="str">
        <f>IF(V137="Exit Signs", IF(VLOOKUP(J137, 'Fixture Identities'!$A$6:$B$1023, 2, FALSE)="Exit Sign", "N", "Y"), "")</f>
        <v/>
      </c>
      <c r="BW137" s="184" t="str">
        <f t="array" ref="BW137">IFERROR(IF(B137="", "", IF(B137="New Construction", "N", INDEX('Lookup Tables'!$AH$6:$AU$102, MATCH(1, ('Lookup Tables'!$AH$6:$AH$102='Lighting Inventory'!V137)*('Lookup Tables'!$AI$6:$AI$102='Lighting Inventory'!W137), 0), 14))), "N")</f>
        <v/>
      </c>
      <c r="BX137" s="598" t="str">
        <f t="shared" si="360"/>
        <v/>
      </c>
      <c r="BY137" s="598" t="str">
        <f t="shared" si="361"/>
        <v/>
      </c>
      <c r="BZ137" s="598" t="str">
        <f t="shared" si="362"/>
        <v/>
      </c>
      <c r="CA137" s="598" t="str">
        <f t="shared" si="363"/>
        <v/>
      </c>
      <c r="CB137" s="269" t="str">
        <f t="shared" si="364"/>
        <v/>
      </c>
      <c r="CC137" s="517" t="str">
        <f t="shared" si="365"/>
        <v/>
      </c>
      <c r="CD137" s="565" t="str">
        <f t="shared" si="305"/>
        <v/>
      </c>
      <c r="CE137" s="368">
        <v>0</v>
      </c>
      <c r="CF137" s="368" t="str" cm="1">
        <f t="array" ref="CF137">IFERROR(IF(V137="Custom", "$0.1 per kWh", IF(B137="New Construction", CONCATENATE("$",INDEX('Lookup Tables'!$AH$114:$AN$154,MATCH(1,('Lookup Tables'!$AH$114:$AH$154='Lighting Inventory'!V137)*('Lookup Tables'!$AI$114:$AI$154='Lighting Inventory'!W137),FALSE),6)," ",INDEX('Lookup Tables'!$AH$114:$AN$154,MATCH(1,('Lookup Tables'!$AH$114:$AH$154='Lighting Inventory'!V137)*('Lookup Tables'!$AI$114:$AI$154='Lighting Inventory'!W137),FALSE),7)), IF(AND(BU137="N", V137="Exit Signs"), "$0.025 per kWh", CONCATENATE("$",INDEX('Lookup Tables'!$AH$6:$AN$102,MATCH(1,('Lookup Tables'!$AH$6:$AH$102='Lighting Inventory'!V137)*('Lookup Tables'!$AI$6:$AI$102='Lighting Inventory'!W137),FALSE),6)," ",INDEX('Lookup Tables'!$AH$6:$AN$102,MATCH(1,('Lookup Tables'!$AH$6:$AH$102='Lighting Inventory'!V137)*('Lookup Tables'!$AI$6:$AI$102='Lighting Inventory'!W137),FALSE),7))))), "")</f>
        <v/>
      </c>
      <c r="CG137" s="366"/>
      <c r="CH137" s="248" t="str">
        <f t="shared" si="306"/>
        <v/>
      </c>
      <c r="CI137" s="248" t="str">
        <f t="shared" si="307"/>
        <v>Select_IE</v>
      </c>
      <c r="CJ137" s="248" t="str">
        <f t="shared" si="308"/>
        <v/>
      </c>
      <c r="CK137" s="248" t="str">
        <f t="shared" si="309"/>
        <v/>
      </c>
      <c r="CL137" s="248" t="str">
        <f t="shared" si="310"/>
        <v/>
      </c>
      <c r="CM137" s="248" t="str">
        <f>IFERROR(IF(B137="", "", IF(B137="New Construction", VLOOKUP(V137, 'Lookup Tables'!$AF$114:$AG$120, 2, FALSE), VLOOKUP(V137, 'Lookup Tables'!$AD$6:$AE$25, 2, FALSE))), "")</f>
        <v/>
      </c>
      <c r="CN137" s="248" t="str">
        <f t="shared" si="311"/>
        <v/>
      </c>
      <c r="CO137" s="248" t="str">
        <f t="shared" si="312"/>
        <v/>
      </c>
      <c r="CP137" s="592" t="str">
        <f t="shared" si="313"/>
        <v/>
      </c>
      <c r="CQ137" s="248" t="str">
        <f t="shared" si="366"/>
        <v/>
      </c>
      <c r="CR137" s="100"/>
      <c r="CS137" s="250" t="str">
        <f t="shared" si="314"/>
        <v/>
      </c>
      <c r="CT137" s="250" t="str">
        <f t="shared" si="367"/>
        <v/>
      </c>
      <c r="CU137" s="250" t="str">
        <f t="shared" si="368"/>
        <v/>
      </c>
      <c r="CV137" s="250" t="str">
        <f t="shared" si="369"/>
        <v/>
      </c>
      <c r="CW137" s="250" t="str">
        <f t="shared" si="370"/>
        <v/>
      </c>
      <c r="CX137" s="250" t="str">
        <f t="shared" si="315"/>
        <v/>
      </c>
      <c r="CY137" s="250" t="str">
        <f t="shared" si="316"/>
        <v/>
      </c>
      <c r="CZ137" s="250" t="str">
        <f t="shared" si="317"/>
        <v/>
      </c>
      <c r="DA137" s="250" t="str">
        <f t="shared" si="318"/>
        <v/>
      </c>
      <c r="DB137" s="250" t="str">
        <f t="shared" si="319"/>
        <v/>
      </c>
      <c r="DC137" s="250" t="str">
        <f t="shared" si="320"/>
        <v/>
      </c>
      <c r="DD137" s="250" t="str">
        <f t="shared" si="321"/>
        <v/>
      </c>
      <c r="DE137" s="250" t="str">
        <f t="shared" si="322"/>
        <v/>
      </c>
      <c r="DF137" s="250" t="str">
        <f t="shared" si="323"/>
        <v/>
      </c>
      <c r="DG137" s="250" t="str">
        <f t="shared" si="324"/>
        <v/>
      </c>
      <c r="DH137" s="250" t="str">
        <f t="shared" si="325"/>
        <v/>
      </c>
      <c r="DI137" s="250" t="str">
        <f t="shared" si="326"/>
        <v/>
      </c>
      <c r="DJ137" s="250" t="str">
        <f t="shared" si="327"/>
        <v/>
      </c>
      <c r="DK137" s="250" t="str">
        <f t="shared" si="328"/>
        <v/>
      </c>
      <c r="DL137" s="250" t="str">
        <f t="shared" si="329"/>
        <v/>
      </c>
      <c r="DM137" s="250" t="str">
        <f>IF(CD137="ERROR", "ERROR", IF(AND(OR(Y137=$DM$6, Y137='Lookup Tables'!$AD$21, Y137='Lookup Tables'!$AD$22), E137="Interior"), BJ137, ""))</f>
        <v/>
      </c>
      <c r="DN137" s="250" t="str">
        <f>IF(CD137="ERROR", "ERROR", IF(AND(OR(Y137=$DM$6, Y137='Lookup Tables'!$AD$21, Y137='Lookup Tables'!$AD$22), E137="Exterior"), BJ137, ""))</f>
        <v/>
      </c>
      <c r="DO137" s="100"/>
      <c r="DP137" s="250" t="str">
        <f t="shared" si="330"/>
        <v/>
      </c>
      <c r="DQ137" s="250" t="str">
        <f t="shared" si="371"/>
        <v/>
      </c>
      <c r="DR137" s="250" t="str">
        <f t="shared" si="372"/>
        <v/>
      </c>
      <c r="DS137" s="250" t="str">
        <f t="shared" si="373"/>
        <v/>
      </c>
      <c r="DT137" s="250" t="str">
        <f t="shared" si="374"/>
        <v/>
      </c>
      <c r="DU137" s="250" t="str">
        <f t="shared" si="331"/>
        <v/>
      </c>
      <c r="DV137" s="250" t="str">
        <f t="shared" si="332"/>
        <v/>
      </c>
      <c r="DW137" s="250" t="str">
        <f t="shared" si="333"/>
        <v/>
      </c>
      <c r="DX137" s="250" t="str">
        <f t="shared" si="334"/>
        <v/>
      </c>
      <c r="DY137" s="250" t="str">
        <f t="shared" si="335"/>
        <v/>
      </c>
      <c r="DZ137" s="250" t="str">
        <f t="shared" si="336"/>
        <v/>
      </c>
      <c r="EA137" s="250" t="str">
        <f t="shared" si="337"/>
        <v/>
      </c>
      <c r="EB137" s="250" t="str">
        <f t="shared" si="375"/>
        <v/>
      </c>
      <c r="EC137" s="250" t="str">
        <f t="shared" si="338"/>
        <v/>
      </c>
      <c r="ED137" s="250" t="str">
        <f t="shared" si="339"/>
        <v/>
      </c>
      <c r="EE137" s="250" t="str">
        <f t="shared" si="340"/>
        <v/>
      </c>
      <c r="EF137" s="250" t="str">
        <f t="shared" si="341"/>
        <v/>
      </c>
      <c r="EG137" s="250" t="str">
        <f t="shared" si="342"/>
        <v/>
      </c>
      <c r="EH137" s="250" t="str">
        <f>IF(CD137="ERROR", "ERROR", IF(AND(OR($EH$6=Y137, Y137='Lookup Tables'!$AD$21, Y137='Lookup Tables'!$AD$22),E137="Interior"), SUM(BP137:BP137), ""))</f>
        <v/>
      </c>
      <c r="EI137" s="250" t="str">
        <f>IF(CD137="ERROR", "ERROR", IF(AND(OR($EH$6=Y137, Y137='Lookup Tables'!$AD$21, Y137='Lookup Tables'!$AD$22),E137="Exterior"), SUM(BP137:BP137), ""))</f>
        <v/>
      </c>
      <c r="EJ137" s="109"/>
      <c r="EK137" s="485" t="str">
        <f t="shared" si="343"/>
        <v/>
      </c>
      <c r="EL137" s="252" t="str">
        <f t="shared" si="376"/>
        <v/>
      </c>
      <c r="EM137" s="252" t="str">
        <f t="shared" si="377"/>
        <v/>
      </c>
      <c r="EN137" s="252" t="str">
        <f t="shared" si="378"/>
        <v/>
      </c>
      <c r="EO137" s="252" t="str">
        <f t="shared" si="379"/>
        <v/>
      </c>
      <c r="EP137" s="252" t="str">
        <f t="shared" si="380"/>
        <v/>
      </c>
      <c r="EQ137" s="252" t="str">
        <f t="shared" si="381"/>
        <v/>
      </c>
      <c r="ER137" s="252" t="str">
        <f t="shared" si="382"/>
        <v/>
      </c>
      <c r="ES137" s="252" t="str">
        <f t="shared" si="383"/>
        <v/>
      </c>
      <c r="ET137" s="252" t="str">
        <f t="shared" si="384"/>
        <v/>
      </c>
      <c r="EU137" s="252" t="str">
        <f t="shared" si="385"/>
        <v/>
      </c>
      <c r="EV137" s="252" t="str">
        <f t="shared" si="386"/>
        <v/>
      </c>
      <c r="EW137" s="252" t="str">
        <f t="shared" si="387"/>
        <v/>
      </c>
      <c r="EX137" s="252" t="str">
        <f t="shared" si="388"/>
        <v/>
      </c>
      <c r="EY137" s="252" t="str">
        <f t="shared" si="389"/>
        <v/>
      </c>
      <c r="EZ137" s="252" t="str">
        <f t="shared" si="390"/>
        <v/>
      </c>
      <c r="FA137" s="252" t="str">
        <f t="shared" si="391"/>
        <v/>
      </c>
      <c r="FB137" s="252" t="str">
        <f t="shared" si="392"/>
        <v/>
      </c>
      <c r="FC137" s="252" t="str">
        <f>IF(CD137="ERROR", "ERROR", IF(OR(V137="No Change", V137="Not DLC or Energy Star"), "", IF(AND(OR($FC$6=Y137,Y137='Lookup Tables'!$AD$21, Y137='Lookup Tables'!$AD$22),E137="Interior"), S137, "")))</f>
        <v/>
      </c>
      <c r="FD137" s="252" t="str">
        <f t="shared" si="393"/>
        <v/>
      </c>
      <c r="FE137" s="101"/>
      <c r="FF137" s="579" t="str" cm="1">
        <f t="array" ref="FF137">IFERROR(IF(OR(BQ137&lt;=0,AQ137&lt;20,AND(V137="Exit Signs",AN137&gt;0)),"",IF(AND(AQ137&gt;=20,AN137='Lookup Tables'!$R$101),'Lookup Tables'!$U$101*BQ137,AP137*LOOKUP(2,1/((AN137='Lookup Tables'!$R$91:$R$111)*(AQ137&gt;='Lookup Tables'!$S$91:$S$111)*(AQ137&lt;='Lookup Tables'!$T$91:$T$111)),'Lookup Tables'!$U$91:$U$111))),"")</f>
        <v/>
      </c>
      <c r="FG137" s="579"/>
      <c r="FH137" s="579"/>
      <c r="FI137" s="253" t="str">
        <f>IFERROR(ROUND(IF(CD137="ERROR", "ERROR", IF(AND($FI$7=X137,E137="Interior"),VLOOKUP(W137, 'Lookup Tables'!$AI$6:$AM$102, 5, FALSE)*BP137, "")), 2), "")</f>
        <v/>
      </c>
      <c r="FJ137" s="253" t="str">
        <f>IFERROR(ROUND(IF(CD137="ERROR", "ERROR", IF(AND($FI$7=X137,E137="Exterior"),VLOOKUP(W137, 'Lookup Tables'!$AI$6:$AM$102, 5, FALSE)*BP137, "")), 2), "")</f>
        <v/>
      </c>
      <c r="FK137" s="253" t="str">
        <f>IFERROR(ROUND(IF(CD137="ERROR", "ERROR", IF(AND($FK$7=X137,E137="Interior"),VLOOKUP(W137, 'Lookup Tables'!$AI$6:$AM$102, 5, FALSE)*BP137, "")), 2), "")</f>
        <v/>
      </c>
      <c r="FL137" s="253" t="str">
        <f>IFERROR(ROUND(IF(CD137="ERROR", "ERROR", IF(AND($FK$7=X137,E137="Exterior"),VLOOKUP(W137, 'Lookup Tables'!$AI$6:$AM$102, 5, FALSE)*BP137, "")), 2), "")</f>
        <v/>
      </c>
      <c r="FM137" s="253" t="str">
        <f>IFERROR(ROUND(IF(CD137="ERROR", "ERROR", IF(AND($FM$6=Y137,E137="Interior"), IF(GB137=0, VLOOKUP(W137, 'Lookup Tables'!$AI$6:$AM$102, 5, FALSE)*BP137, IF(VLOOKUP(W137, 'Lookup Tables'!$AI$6:$AM$102, 5, FALSE)*BP137&gt;GB137*'Lighting Inventory'!S137, GB137*'Lighting Inventory'!S137,VLOOKUP(W137, 'Lookup Tables'!$AI$6:$AM$102, 5, FALSE)*BP137)), "")), 2), "")</f>
        <v/>
      </c>
      <c r="FN137" s="253" t="str">
        <f>IFERROR(ROUND(IF(CD137="ERROR", "ERROR", IF(AND($FM$6=Y137,E137="Exterior"), IF(GB137=0, VLOOKUP(W137, 'Lookup Tables'!$AI$6:$AM$102, 5, FALSE)*BP137, IF(VLOOKUP(W137, 'Lookup Tables'!$AI$6:$AM$102, 5, FALSE)*BP137&gt;GB137*'Lighting Inventory'!S137, GB137*'Lighting Inventory'!S137,VLOOKUP(W137, 'Lookup Tables'!$AI$6:$AM$102, 5, FALSE)*BP137)), "")), 2), "")</f>
        <v/>
      </c>
      <c r="FO137" s="253" t="str">
        <f>IFERROR(ROUND(IF(CD137="ERROR", "ERROR", IF(AND($FO$6=Y137,E137="Interior"),VLOOKUP(W137, 'Lookup Tables'!$AI$6:$AM$102, 5, FALSE)*'Lighting Inventory'!AI137, "")), 2), "")</f>
        <v/>
      </c>
      <c r="FP137" s="253" t="str">
        <f>IFERROR(ROUND(IF(CD137="ERROR", "ERROR", IF(AND($FO$6=Y137,E137="Exterior"),VLOOKUP(W137, 'Lookup Tables'!$AI$6:$AM$102, 5, FALSE)*'Lighting Inventory'!AI137, "")), 2), "")</f>
        <v/>
      </c>
      <c r="FQ137" s="253" t="str">
        <f>IFERROR(ROUND(IF(CD137="ERROR", "ERROR", IF(AND($FQ$6=Y137,E137="Interior", BU137="Y"), VLOOKUP('Lighting Inventory'!W137, 'Lookup Tables'!$AI$6:$AM$102, 5, FALSE)*'Lighting Inventory'!S137, IF(AND($FQ$7=Y137,E137="Interior", BU137="N"), 0.025*CD137, ""))), 2), "")</f>
        <v/>
      </c>
      <c r="FR137" s="253" t="str">
        <f>IFERROR(ROUND(IF(CD137="ERROR", "ERROR", IF(AND($FQ$6=Y137,E137="Exterior"), VLOOKUP('Lighting Inventory'!W137, 'Lookup Tables'!$AI$6:$AM$102, 5, FALSE)*'Lighting Inventory'!S137, "")), 2), "")</f>
        <v/>
      </c>
      <c r="FS137" s="253" t="str">
        <f>IFERROR(ROUND(IF(CD137="ERROR", "ERROR", IF(AND($FS$6=Y137,E137="Exterior"), IF(GB137=0, VLOOKUP(W137, 'Lookup Tables'!$AI$6:$AM$102, 5, FALSE)*BP137, IF(VLOOKUP(W137, 'Lookup Tables'!$AI$6:$AM$102, 5, FALSE)*BP137&gt;GB137*'Lighting Inventory'!S137, GB137*'Lighting Inventory'!S137,VLOOKUP(W137, 'Lookup Tables'!$AI$6:$AM$102, 5, FALSE)*BP137)), "")), 2), "")</f>
        <v/>
      </c>
      <c r="FT137" s="253" t="str">
        <f>IFERROR(ROUND(IF(CD137="ERROR", "ERROR", IF(AND($FT$6=Y137,E137="Interior"), IF(GB137=0, VLOOKUP(W137, 'Lookup Tables'!$AI$6:$AM$102, 5, FALSE)*BP137, IF(VLOOKUP(W137, 'Lookup Tables'!$AI$6:$AM$102, 5, FALSE)*BP137&gt;GB137*'Lighting Inventory'!S137, GB137*'Lighting Inventory'!S137,VLOOKUP(W137, 'Lookup Tables'!$AI$6:$AM$102, 5, FALSE)*BP137)), "")), 2), "")</f>
        <v/>
      </c>
      <c r="FU137" s="253" t="str">
        <f>IFERROR(ROUND(IF(CD137="ERROR", "ERROR", IF(AND(Y137=$FU$6, E137="Interior"), IF(BS137="N", 'Lookup Tables'!$AM$101*BP137, VLOOKUP(W137, 'Lookup Tables'!$AI$6:$AM$102, 5, FALSE)*S137*AD137), "")), 2), "")</f>
        <v/>
      </c>
      <c r="FV137" s="253" t="str">
        <f>IFERROR(ROUND(IF(CD137="ERROR", "ERROR", IF(AND(Y137=$FU$6, E137="Exterior"), IF(BS137="N", 'Lookup Tables'!$AM$101*BP137, VLOOKUP(W137, 'Lookup Tables'!$AI$6:$AM$102, 5, FALSE)*S137*AD137), "")), 2), "")</f>
        <v/>
      </c>
      <c r="FW137" s="253" t="str">
        <f>IFERROR(ROUND(IF(CD137="ERROR", "ERROR", IF($FW$6=Y137, IF(BS137="N", 'Lookup Tables'!$AM$101*BP137, MIN((VLOOKUP(W137, 'Lookup Tables'!$AI$6:$AM$102, 5, FALSE)*BP137),GB137*AJ137)), "")), 2), "")</f>
        <v/>
      </c>
      <c r="FX137" s="253" t="str">
        <f>IFERROR(ROUND(IF(CD137="ERROR", "ERROR", IF(AND($FX$6=Y137, E137="Interior"), IF(VLOOKUP(W137, 'Lookup Tables'!$AI$6:$AM$102, 5, FALSE)*BP137&gt;'Lookup Tables'!$AQ$97*'Lighting Inventory'!S137,'Lighting Inventory'!S137*'Lookup Tables'!$AQ$97,VLOOKUP(W137, 'Lookup Tables'!$AI$6:$AM$102, 5, FALSE)*BP137), "")), 2), "")</f>
        <v/>
      </c>
      <c r="FY137" s="253" t="str">
        <f>IFERROR(ROUND(IF(CD137="ERROR", "ERROR", IF(AND($FX$6=Y137, E137="Exterior"), IF(VLOOKUP(W137, 'Lookup Tables'!$AI$6:$AM$102, 5, FALSE)*BP137&gt;'Lookup Tables'!$AQ$97*'Lighting Inventory'!S137,'Lighting Inventory'!S137*'Lookup Tables'!$AQ$97,VLOOKUP(W137, 'Lookup Tables'!$AI$6:$AM$102, 5, FALSE)*BP137), "")), 2), "")</f>
        <v/>
      </c>
      <c r="FZ137" s="253" t="str">
        <f>IFERROR(ROUND(IF(CD137="ERROR", "ERROR", IF(AND($FZ$6=Y137, E137="Interior"), IF(AND(OR(W137="Refrigerated Case Lighting with Doors", W137="Freezer Case Lighting"),Y137="Custom - Process Improvement"),CD137*'Lookup Tables'!$AM$101, IF(B137="Retrofit", IF(VLOOKUP(IF(V137="Custom", V137, W137), 'Lookup Tables'!$AI$6:$AM$102, 5, FALSE)*BP137&gt;GE137, GE137, VLOOKUP(IF(V137="Custom", V137, W137), 'Lookup Tables'!$AI$6:$AM$102, 5, FALSE)*BP137), IF(VLOOKUP(IF(V137="Custom", V137, W137), 'Lookup Tables'!$AI$114:$AM$154, 5, FALSE)*BP137&gt;GE137, GE137, VLOOKUP(IF(V137="Custom", V137, W137), 'Lookup Tables'!$AI$114:$AM$154, 5, FALSE)*BP137))), "")), 2),"")</f>
        <v/>
      </c>
      <c r="GA137" s="253" t="str">
        <f>IFERROR(ROUND(IF(CD137="ERROR", "ERROR", IF(AND($FZ$6=Y137, E137="Exterior"), IF(B137="Retrofit", IF(VLOOKUP(IF(V137="Custom", V137, W137), 'Lookup Tables'!$AI$6:$AM$102, 5, FALSE)*BP137&gt;GE137, GE137, VLOOKUP(IF(V137="Custom", V137, W137), 'Lookup Tables'!$AI$6:$AM$102, 5, FALSE)*BP137), IF(VLOOKUP(IF(V137="Custom", V137, W137), 'Lookup Tables'!$AI$114:$AM$154, 5, FALSE)*BP137&gt;GE137, GE137, VLOOKUP(IF(V137="Custom", V137, W137), 'Lookup Tables'!$AI$114:$AM$154, 5, FALSE)*BP137)), "")), 2),"")</f>
        <v/>
      </c>
      <c r="GB137" s="254" t="str">
        <f t="array" ref="GB137">IF(B137="","",IF(OR(V137="Custom",V137="No Change"),0,IF(B137="Retrofit", INDEX('Lookup Tables'!$AH$6:$AQ$102,MATCH(1,('Lookup Tables'!$AH$6:$AH$102='Lighting Inventory'!V137)*('Lookup Tables'!$AI$6:$AI$102='Lighting Inventory'!W137),FALSE),10),INDEX('Lookup Tables'!$AH$114:$AQ$154,MATCH(1,('Lookup Tables'!$AH$114:$AH$154='Lighting Inventory'!V137)*('Lookup Tables'!$AI$114:$AI$154='Lighting Inventory'!W137),FALSE),10))))</f>
        <v/>
      </c>
      <c r="GC137" s="255" t="str">
        <f t="shared" si="344"/>
        <v/>
      </c>
      <c r="GD137" s="250" t="str">
        <f t="shared" si="345"/>
        <v/>
      </c>
      <c r="GE137" s="253" t="str">
        <f>IFERROR(IF(AND(AF137="", 'General Information'!$F$18="No"),"", IF(AF137="", ((GD137/$CD$266)*$CF$266)*0.5, AF137*S137*0.5)), "")</f>
        <v/>
      </c>
      <c r="GF137" s="255" t="str">
        <f>IF(AND('General Information'!$F$19="", 'General Information'!$F$18="Yes",AF137="",BW137="Y"), "Y", "N")</f>
        <v>N</v>
      </c>
      <c r="GG137" s="255" t="s">
        <v>2946</v>
      </c>
      <c r="GH137" s="255" t="str">
        <f>IFERROR(IF(B137="", "", VLOOKUP(J137, 'Fixture Identities'!$A$6:$N$908, 14, FALSE)), "")</f>
        <v/>
      </c>
      <c r="GI137" s="389" t="str">
        <f>IF(OR(B137="", V137="", W137=""), "", IF(AND(OR(M137='Lookup Tables'!$R$18, M137='Lookup Tables'!$R$19, M137='Lookup Tables'!$R$20, M137='Lookup Tables'!$R$21, M137='Lookup Tables'!$R$22), OR(AN137='Lookup Tables'!$R$17, AN137='Lookup Tables'!$R$17, AN137="")), "Y", "N"))</f>
        <v/>
      </c>
      <c r="GJ137" s="255" t="str">
        <f t="shared" si="346"/>
        <v/>
      </c>
      <c r="GK137" s="255" t="str">
        <f t="shared" si="347"/>
        <v/>
      </c>
      <c r="GL137" s="255" t="str">
        <f t="shared" si="348"/>
        <v/>
      </c>
      <c r="GM137" s="255" t="str">
        <f>IF(AN137="", "", IF(AND(IF(ISNA(VLOOKUP(AN137,'Lookup Tables'!$R$18:$R$22,1,FALSE)), "N", "Y")="Y", E137="Exterior"), "Y", "N"))</f>
        <v/>
      </c>
      <c r="GN137" s="395"/>
      <c r="GO137" s="428">
        <f t="shared" si="394"/>
        <v>0</v>
      </c>
      <c r="GP137" s="428">
        <f t="shared" si="397"/>
        <v>0</v>
      </c>
      <c r="GQ137" s="428">
        <f t="shared" si="395"/>
        <v>0</v>
      </c>
      <c r="GR137" s="428">
        <f t="shared" si="396"/>
        <v>0</v>
      </c>
    </row>
    <row r="138" spans="1:200" s="103" customFormat="1" ht="13.5" customHeight="1" x14ac:dyDescent="0.2">
      <c r="A138" s="272">
        <v>128</v>
      </c>
      <c r="B138" s="110"/>
      <c r="C138" s="110"/>
      <c r="D138" s="110"/>
      <c r="E138" s="110"/>
      <c r="F138" s="110"/>
      <c r="G138" s="110"/>
      <c r="H138" s="110"/>
      <c r="I138" s="29"/>
      <c r="J138" s="29"/>
      <c r="K138" s="272" t="str">
        <f>IFERROR(IF(OR(VLOOKUP(J138, 'Fixture Identities'!$A$6:$L$1023, 3, FALSE)="T12 Linear Fluorescent", VLOOKUP(J138, 'Fixture Identities'!$A$6:$L$1023, 3, FALSE)="T12 U-Tube Fluorescent"), VLOOKUP(VLOOKUP(J138, 'Fixture Identities'!$A$6:$L$1023, 11, FALSE), 'Fixture Identities'!$A$6:$L$1023, 10, FALSE), VLOOKUP(J138, 'Fixture Identities'!$A$6:$L$1023, 10, FALSE)), "")</f>
        <v/>
      </c>
      <c r="L138" s="270" t="str">
        <f t="shared" si="399"/>
        <v/>
      </c>
      <c r="M138" s="110"/>
      <c r="N138" s="110"/>
      <c r="O138" s="110"/>
      <c r="P138" s="272" t="str">
        <f>IFERROR(IF(OR(B138="Retrofit",B138=""),"",IF('Lighting Inventory'!E138="Exterior",VLOOKUP('Lighting Inventory'!N138,'Lookup Tables'!$B$83:$F$103,5,FALSE),IF(N138="Other - Please Estimate EFLH and CFs","Contact Prog. Rep.","ft^2"))), "")</f>
        <v/>
      </c>
      <c r="Q138" s="270" t="str">
        <f>IFERROR(IF(AND(B138="New Construction",E138="Interior",$F$5="Space-by-Space"),VLOOKUP('Lighting Inventory'!N138,'Lookup Tables'!$N$6:$O$97,2,FALSE),IF(AND(B138="New Construction",E138="Exterior"),VLOOKUP(N138,'Lookup Tables'!$B$83:$F$103,2,FALSE),IF(AND(B138="New Construction",'Lighting Inventory'!E138="Interior", $F$5="Building Area"),VLOOKUP(F138,'Lookup Tables'!$A$6:$J$59,10,FALSE),""))), "")</f>
        <v/>
      </c>
      <c r="R138" s="270" t="str">
        <f>IFERROR(IF(P138="Contact Prog. Rep.", "ERROR", IF(OR(B138="",B138="Retrofit"),"",IF(N138="Automated teller machines", ('Lookup Tables'!$A$82:$E$100+('Lighting Inventory'!O138-1)*'Lookup Tables'!$A$82:$E$100)/1000, (Q138*O138)/1000))), "")</f>
        <v/>
      </c>
      <c r="S138" s="595"/>
      <c r="T138" s="105" t="str">
        <f t="shared" si="349"/>
        <v/>
      </c>
      <c r="U138" s="105" t="str">
        <f>IF(S138="","",COUNT($S$11:S138))</f>
        <v/>
      </c>
      <c r="V138" s="111"/>
      <c r="W138" s="112"/>
      <c r="X138" s="105" t="str">
        <f t="shared" si="350"/>
        <v/>
      </c>
      <c r="Y138" s="105" t="str">
        <f t="array" ref="Y138">IF(AND(OR(W138="Freezer Case Lighting", W138="Refrigerated Case Lighting with Doors"), 'General Information'!$X$18="LCI"),'Lookup Tables'!$Y$34, IF(V138="Custom", VLOOKUP(W138, 'Fixture Identities'!$A$974:$M$1023, 13, FALSE), IF(V138="No Change",'Lookup Tables'!$Y$29,IF(OR(V138="",W138=""),"",IF(AND(S138=0,S138&lt;I138,B138="Retrofit"),'Lookup Tables'!$Y$25, IF(B138="Retrofit", INDEX('Lookup Tables'!$AH$6:$AP$102, MATCH(1, ('Lookup Tables'!$AH$6:$AH$102=V138)*('Lookup Tables'!$AI$6:$AI$102=W138), 0), IF('Lighting Inventory'!E138="Interior", 4, 5)), INDEX('Lookup Tables'!$AH$114:$AP$154, MATCH(1, ('Lookup Tables'!$AH$114:$AH$154=V138)*('Lookup Tables'!$AI$114:$AI$154=W138), 0), IF('Lighting Inventory'!E138="Interior", 4, 5))))))))</f>
        <v/>
      </c>
      <c r="Z138" s="105" t="str">
        <f>IFERROR(INDEX('Lookup Tables'!$AH$158:$AH$172,MATCH('Lighting Inventory'!Y138,'Lookup Tables'!$AI$158:$AI$172,0)),"")</f>
        <v/>
      </c>
      <c r="AA138" s="105" t="str">
        <f>IF(AP138&gt;0,INDEX('Lookup Tables'!$AK$158:$AK$172,MATCH('Lighting Inventory'!Y138,'Lookup Tables'!$AI$158:$AI$172,0)),'Lighting Inventory'!Y138)</f>
        <v/>
      </c>
      <c r="AB138" s="105" t="str">
        <f t="array" ref="AB138">IF(V138="Custom", "Custom", IF(V138="", "", IF(V138="Not DLC or Energy Star", "General", IF(B138="New Construction", INDEX('Lookup Tables'!$AH$114:$AP$154,MATCH(1,('Lookup Tables'!$AH$114:$AH$154='Lighting Inventory'!V138)*('Lookup Tables'!$AI$114:$AI$154='Lighting Inventory'!W138),FALSE),8), INDEX('Lookup Tables'!$AH$6:$AP$102,MATCH(1,('Lookup Tables'!$AH$6:$AH$102='Lighting Inventory'!V138)*('Lookup Tables'!$AI$6:$AI$102='Lighting Inventory'!W138),FALSE),8)))))</f>
        <v/>
      </c>
      <c r="AC138" s="272" t="str">
        <f>IF(W138="","",IF(V138="Custom",CONCATENATE("$",'Lookup Tables'!$AM$101," ",'Lookup Tables'!$AN$101),CONCATENATE("$",INDEX('Lookup Tables'!$AM$6:$AM$102,MATCH('Lighting Inventory'!W138,'Lookup Tables'!$AI$6:$AI$102,0))," ",INDEX('Lookup Tables'!$AN$6:$AN$102,MATCH('Lighting Inventory'!W138,'Lookup Tables'!$AI$6:$AI$102,0)))))</f>
        <v/>
      </c>
      <c r="AD138" s="72"/>
      <c r="AE138" s="29"/>
      <c r="AF138" s="379"/>
      <c r="AG138" s="370" t="str">
        <f t="shared" si="298"/>
        <v/>
      </c>
      <c r="AH138" s="370" t="str">
        <f t="shared" si="351"/>
        <v/>
      </c>
      <c r="AI138" s="29"/>
      <c r="AJ138" s="29"/>
      <c r="AK138" s="110"/>
      <c r="AL138" s="375" t="str">
        <f>IF(OR(B138="", V138="", W138=""), "", IF(V138="No Change", K138, IF(V138="Remove Fixture", 0, IF(V138="Custom",VLOOKUP(W138,'Fixture Identities'!$A$6:$K$1023,10,FALSE),IF(AE138="", "← ENTER POST WATTS", 'Lighting Inventory'!AE138)))))</f>
        <v/>
      </c>
      <c r="AM138" s="376" t="str">
        <f t="shared" si="299"/>
        <v/>
      </c>
      <c r="AN138" s="29"/>
      <c r="AO138" s="671"/>
      <c r="AP138" s="29"/>
      <c r="AQ138" s="29"/>
      <c r="AR138" s="29"/>
      <c r="AS138" s="272" t="str">
        <f t="shared" si="352"/>
        <v/>
      </c>
      <c r="AT138" s="270" t="str">
        <f t="shared" si="300"/>
        <v/>
      </c>
      <c r="AU138" s="88" t="str">
        <f t="shared" si="400"/>
        <v/>
      </c>
      <c r="AV138" s="29"/>
      <c r="AW138" s="73"/>
      <c r="AX138" s="271" t="str">
        <f>IF(AND(AV138="Applicant",OR(AW138="", AW138="Use Default Facility Hours")),"← Choose Schedule",IF(F138="","",IF(W138="LED Exit Signs",8760,IF(OR(AV138="Prescribed",AV138=""),VLOOKUP(F138,'Lookup Tables'!$A$6:$G$59,IF(AB138="General", 6, 3),FALSE),VLOOKUP(AW138,'Lookup Tables'!$S$36:$U$43,2,FALSE)))))</f>
        <v/>
      </c>
      <c r="AY138" s="88" t="str">
        <f t="shared" si="301"/>
        <v/>
      </c>
      <c r="AZ138" s="270" t="str">
        <f>IFERROR(IF(F138="", "", IF(W138="LED Exit Signs", 1, IF(AV138="Applicant",VLOOKUP(AW138, 'Lookup Tables'!$S$36:$U$43,3, FALSE), VLOOKUP('Lighting Inventory'!F138, 'Lookup Tables'!$A$6:$H$59, IF('Lighting Inventory'!AB138="General",7,4), FALSE)))), "")</f>
        <v/>
      </c>
      <c r="BA138" s="522" t="str">
        <f>IFERROR(IF(F138="", "", IF(W138="LED Exit Signs", 1, VLOOKUP('Lighting Inventory'!F138, 'Lookup Tables'!$A$6:$H$59, IF('Lighting Inventory'!AB138="General",8,5), FALSE))), "")</f>
        <v/>
      </c>
      <c r="BB138" s="270" t="str">
        <f>IF(G138="", "", IF(E138="Exterior", 0, IF('Lighting Inventory'!G138="Air Conditioned", VLOOKUP(H138, 'Lookup Tables'!$R$6:$T$13, 2, FALSE), VLOOKUP('Lighting Inventory'!G138, 'Lookup Tables'!$R$6:$T$13, 2, FALSE))))</f>
        <v/>
      </c>
      <c r="BC138" s="522" t="str">
        <f>IF(G138="", "", IF(E138="Exterior", 0, IF('Lighting Inventory'!G138="Air Conditioned", VLOOKUP(H138, 'Lookup Tables'!$R$6:$T$13, 3, FALSE), VLOOKUP('Lighting Inventory'!G138, 'Lookup Tables'!$R$6:$T$13, 3, FALSE))))</f>
        <v/>
      </c>
      <c r="BD138" s="270" t="str">
        <f>IF(G138="", "", IF(E138="Exterior", 0, IF('Lighting Inventory'!G138="Air Conditioned", VLOOKUP(H138, 'Lookup Tables'!$R$6:$U$13, 4, FALSE), VLOOKUP('Lighting Inventory'!G138, 'Lookup Tables'!$R$6:$U$13, 4, FALSE))))</f>
        <v/>
      </c>
      <c r="BE138" s="270" t="str">
        <f>IFERROR(IF(B138="", "",  IF(B138="New Construction", VLOOKUP(F138, 'Lookup Tables'!$A$6:$K$59, 11, FALSE),IF(OR(AN138="", AN138="Light Switch"), 0, IF(OR(M138="",M138="None",V138= "LED Exit Signs"),0,_xlfn.XLOOKUP(M138,'Lookup Tables'!$R$91:$R$101,'Lookup Tables'!$V$91:$V$101))))), "")</f>
        <v/>
      </c>
      <c r="BF138" s="270" t="str">
        <f>IF(AND(OR(AN138="Light Switch",AN138=""),B138="New Construction"), VLOOKUP(F138, 'Lookup Tables'!$A$6:$K$59, 11, FALSE),IF(AN138="","",IF(B138="","",IF(OR(AN138="None",AN138="",V138="LED Exit Signs",AN138="Exterior Controls Not Eligible"),0,_xlfn.XLOOKUP(AN138,'Lookup Tables'!$R$91:$R$101,'Lookup Tables'!$V$91:$V$101)))))</f>
        <v/>
      </c>
      <c r="BG138" s="88" t="str">
        <f t="shared" si="353"/>
        <v/>
      </c>
      <c r="BH138" s="88" t="str">
        <f t="shared" si="354"/>
        <v/>
      </c>
      <c r="BI138" s="558" t="str">
        <f t="shared" si="398"/>
        <v/>
      </c>
      <c r="BJ138" s="82" t="str">
        <f t="shared" si="355"/>
        <v/>
      </c>
      <c r="BK138" s="82" t="str">
        <f t="shared" si="356"/>
        <v/>
      </c>
      <c r="BL138" s="559" t="str">
        <f t="shared" si="357"/>
        <v/>
      </c>
      <c r="BM138" s="521" t="str">
        <f t="shared" si="302"/>
        <v/>
      </c>
      <c r="BN138" s="521" t="str">
        <f t="shared" si="303"/>
        <v/>
      </c>
      <c r="BO138" s="522" t="str">
        <f t="shared" si="304"/>
        <v/>
      </c>
      <c r="BP138" s="83" t="str">
        <f t="shared" si="358"/>
        <v/>
      </c>
      <c r="BQ138" s="84" t="str">
        <f t="shared" si="359"/>
        <v/>
      </c>
      <c r="BR138" s="184" t="str">
        <f>IFERROR(IF(B138="", "", IF(OR(VLOOKUP(J138, 'Fixture Identities'!$A$6:$L$1023, 3, FALSE)="T12 Linear Fluorescent",VLOOKUP(J138, 'Fixture Identities'!$A$6:$L$1023, 3, FALSE)="T12 U-Tube Fluorescent"), "Y", "N")), "N")</f>
        <v/>
      </c>
      <c r="BS138" s="184" t="str">
        <f t="array" ref="BS138">IFERROR(IF(OR(B138="", V138="", W138=""), "", IF(V138="Custom", "N", IF(OR(W138="Freezer Case Lighting", W138="Refrigerated Case Lighting with Doors"), BT138, IF(B138="Retrofit", INDEX('Lookup Tables'!$AH$6:$AT$102,MATCH(1,('Lookup Tables'!$AH$6:$AH$102=V138)*('Lookup Tables'!$AI$6:$AI$102=W138),FALSE),IF(VLOOKUP(J138, 'Fixture Identities'!$A$6:$B$1023, 2, FALSE)="Incandescent",12, 13)), INDEX('Lookup Tables'!$AH$114:$AS$154,MATCH(1,('Lookup Tables'!$AH$114:$AH$154=V138)*('Lookup Tables'!$AI$114:$AI$154=W138),FALSE),12))))), "N")</f>
        <v/>
      </c>
      <c r="BT138" s="184" t="str">
        <f>IF(J138="", "", IF(AND(OR(W138="Freezer case Lighting", W138="Refrigerated Case Lighting with Doors"),'General Information'!$X$18="LCI"), "N", IF(OR(VLOOKUP(J138, 'Fixture Identities'!$A$6:$B$1023, 2, FALSE)="T12 EPACT/EISA Baseline", VLOOKUP(J138, 'Fixture Identities'!$A$6:$B$1023, 2, FALSE)="Linear Fluorescent", VLOOKUP(J138, 'Fixture Identities'!$A$6:$B$1023, 2, FALSE)="U-Tube Fluorescent"), "Y", "N")))</f>
        <v/>
      </c>
      <c r="BU138" s="184" t="str">
        <f>IFERROR(IF(B138="", "", IF(VLOOKUP(J138, 'Fixture Identities'!$A$6:$B$1023, 2, FALSE)="Exit Sign", "Y", "N")), "N")</f>
        <v/>
      </c>
      <c r="BV138" s="184" t="str">
        <f>IF(V138="Exit Signs", IF(VLOOKUP(J138, 'Fixture Identities'!$A$6:$B$1023, 2, FALSE)="Exit Sign", "N", "Y"), "")</f>
        <v/>
      </c>
      <c r="BW138" s="184" t="str">
        <f t="array" ref="BW138">IFERROR(IF(B138="", "", IF(B138="New Construction", "N", INDEX('Lookup Tables'!$AH$6:$AU$102, MATCH(1, ('Lookup Tables'!$AH$6:$AH$102='Lighting Inventory'!V138)*('Lookup Tables'!$AI$6:$AI$102='Lighting Inventory'!W138), 0), 14))), "N")</f>
        <v/>
      </c>
      <c r="BX138" s="598" t="str">
        <f t="shared" si="360"/>
        <v/>
      </c>
      <c r="BY138" s="598" t="str">
        <f t="shared" si="361"/>
        <v/>
      </c>
      <c r="BZ138" s="598" t="str">
        <f t="shared" si="362"/>
        <v/>
      </c>
      <c r="CA138" s="598" t="str">
        <f t="shared" si="363"/>
        <v/>
      </c>
      <c r="CB138" s="269" t="str">
        <f t="shared" si="364"/>
        <v/>
      </c>
      <c r="CC138" s="517" t="str">
        <f t="shared" si="365"/>
        <v/>
      </c>
      <c r="CD138" s="565" t="str">
        <f t="shared" si="305"/>
        <v/>
      </c>
      <c r="CE138" s="368">
        <v>0</v>
      </c>
      <c r="CF138" s="368" t="str" cm="1">
        <f t="array" ref="CF138">IFERROR(IF(V138="Custom", "$0.1 per kWh", IF(B138="New Construction", CONCATENATE("$",INDEX('Lookup Tables'!$AH$114:$AN$154,MATCH(1,('Lookup Tables'!$AH$114:$AH$154='Lighting Inventory'!V138)*('Lookup Tables'!$AI$114:$AI$154='Lighting Inventory'!W138),FALSE),6)," ",INDEX('Lookup Tables'!$AH$114:$AN$154,MATCH(1,('Lookup Tables'!$AH$114:$AH$154='Lighting Inventory'!V138)*('Lookup Tables'!$AI$114:$AI$154='Lighting Inventory'!W138),FALSE),7)), IF(AND(BU138="N", V138="Exit Signs"), "$0.025 per kWh", CONCATENATE("$",INDEX('Lookup Tables'!$AH$6:$AN$102,MATCH(1,('Lookup Tables'!$AH$6:$AH$102='Lighting Inventory'!V138)*('Lookup Tables'!$AI$6:$AI$102='Lighting Inventory'!W138),FALSE),6)," ",INDEX('Lookup Tables'!$AH$6:$AN$102,MATCH(1,('Lookup Tables'!$AH$6:$AH$102='Lighting Inventory'!V138)*('Lookup Tables'!$AI$6:$AI$102='Lighting Inventory'!W138),FALSE),7))))), "")</f>
        <v/>
      </c>
      <c r="CG138" s="366"/>
      <c r="CH138" s="248" t="str">
        <f t="shared" si="306"/>
        <v/>
      </c>
      <c r="CI138" s="248" t="str">
        <f t="shared" si="307"/>
        <v>Select_IE</v>
      </c>
      <c r="CJ138" s="248" t="str">
        <f t="shared" si="308"/>
        <v/>
      </c>
      <c r="CK138" s="248" t="str">
        <f t="shared" si="309"/>
        <v/>
      </c>
      <c r="CL138" s="248" t="str">
        <f t="shared" si="310"/>
        <v/>
      </c>
      <c r="CM138" s="248" t="str">
        <f>IFERROR(IF(B138="", "", IF(B138="New Construction", VLOOKUP(V138, 'Lookup Tables'!$AF$114:$AG$120, 2, FALSE), VLOOKUP(V138, 'Lookup Tables'!$AD$6:$AE$25, 2, FALSE))), "")</f>
        <v/>
      </c>
      <c r="CN138" s="248" t="str">
        <f t="shared" si="311"/>
        <v/>
      </c>
      <c r="CO138" s="248" t="str">
        <f t="shared" si="312"/>
        <v/>
      </c>
      <c r="CP138" s="592" t="str">
        <f t="shared" si="313"/>
        <v/>
      </c>
      <c r="CQ138" s="248" t="str">
        <f t="shared" si="366"/>
        <v/>
      </c>
      <c r="CR138" s="249"/>
      <c r="CS138" s="250" t="str">
        <f t="shared" si="314"/>
        <v/>
      </c>
      <c r="CT138" s="250" t="str">
        <f t="shared" si="367"/>
        <v/>
      </c>
      <c r="CU138" s="250" t="str">
        <f t="shared" si="368"/>
        <v/>
      </c>
      <c r="CV138" s="250" t="str">
        <f t="shared" si="369"/>
        <v/>
      </c>
      <c r="CW138" s="250" t="str">
        <f t="shared" si="370"/>
        <v/>
      </c>
      <c r="CX138" s="250" t="str">
        <f t="shared" si="315"/>
        <v/>
      </c>
      <c r="CY138" s="250" t="str">
        <f t="shared" si="316"/>
        <v/>
      </c>
      <c r="CZ138" s="250" t="str">
        <f t="shared" si="317"/>
        <v/>
      </c>
      <c r="DA138" s="250" t="str">
        <f t="shared" si="318"/>
        <v/>
      </c>
      <c r="DB138" s="250" t="str">
        <f t="shared" si="319"/>
        <v/>
      </c>
      <c r="DC138" s="250" t="str">
        <f t="shared" si="320"/>
        <v/>
      </c>
      <c r="DD138" s="250" t="str">
        <f t="shared" si="321"/>
        <v/>
      </c>
      <c r="DE138" s="250" t="str">
        <f t="shared" si="322"/>
        <v/>
      </c>
      <c r="DF138" s="250" t="str">
        <f t="shared" si="323"/>
        <v/>
      </c>
      <c r="DG138" s="250" t="str">
        <f t="shared" si="324"/>
        <v/>
      </c>
      <c r="DH138" s="250" t="str">
        <f t="shared" si="325"/>
        <v/>
      </c>
      <c r="DI138" s="250" t="str">
        <f t="shared" si="326"/>
        <v/>
      </c>
      <c r="DJ138" s="250" t="str">
        <f t="shared" si="327"/>
        <v/>
      </c>
      <c r="DK138" s="250" t="str">
        <f t="shared" si="328"/>
        <v/>
      </c>
      <c r="DL138" s="250" t="str">
        <f t="shared" si="329"/>
        <v/>
      </c>
      <c r="DM138" s="250" t="str">
        <f>IF(CD138="ERROR", "ERROR", IF(AND(OR(Y138=$DM$6, Y138='Lookup Tables'!$AD$21, Y138='Lookup Tables'!$AD$22), E138="Interior"), BJ138, ""))</f>
        <v/>
      </c>
      <c r="DN138" s="250" t="str">
        <f>IF(CD138="ERROR", "ERROR", IF(AND(OR(Y138=$DM$6, Y138='Lookup Tables'!$AD$21, Y138='Lookup Tables'!$AD$22), E138="Exterior"), BJ138, ""))</f>
        <v/>
      </c>
      <c r="DO138" s="249"/>
      <c r="DP138" s="250" t="str">
        <f t="shared" si="330"/>
        <v/>
      </c>
      <c r="DQ138" s="250" t="str">
        <f t="shared" si="371"/>
        <v/>
      </c>
      <c r="DR138" s="250" t="str">
        <f t="shared" si="372"/>
        <v/>
      </c>
      <c r="DS138" s="250" t="str">
        <f t="shared" si="373"/>
        <v/>
      </c>
      <c r="DT138" s="250" t="str">
        <f t="shared" si="374"/>
        <v/>
      </c>
      <c r="DU138" s="250" t="str">
        <f t="shared" si="331"/>
        <v/>
      </c>
      <c r="DV138" s="250" t="str">
        <f t="shared" si="332"/>
        <v/>
      </c>
      <c r="DW138" s="250" t="str">
        <f t="shared" si="333"/>
        <v/>
      </c>
      <c r="DX138" s="250" t="str">
        <f t="shared" si="334"/>
        <v/>
      </c>
      <c r="DY138" s="250" t="str">
        <f t="shared" si="335"/>
        <v/>
      </c>
      <c r="DZ138" s="250" t="str">
        <f t="shared" si="336"/>
        <v/>
      </c>
      <c r="EA138" s="250" t="str">
        <f t="shared" si="337"/>
        <v/>
      </c>
      <c r="EB138" s="250" t="str">
        <f t="shared" si="375"/>
        <v/>
      </c>
      <c r="EC138" s="250" t="str">
        <f t="shared" si="338"/>
        <v/>
      </c>
      <c r="ED138" s="250" t="str">
        <f t="shared" si="339"/>
        <v/>
      </c>
      <c r="EE138" s="250" t="str">
        <f t="shared" si="340"/>
        <v/>
      </c>
      <c r="EF138" s="250" t="str">
        <f t="shared" si="341"/>
        <v/>
      </c>
      <c r="EG138" s="250" t="str">
        <f t="shared" si="342"/>
        <v/>
      </c>
      <c r="EH138" s="250" t="str">
        <f>IF(CD138="ERROR", "ERROR", IF(AND(OR($EH$6=Y138, Y138='Lookup Tables'!$AD$21, Y138='Lookup Tables'!$AD$22),E138="Interior"), SUM(BP138:BP138), ""))</f>
        <v/>
      </c>
      <c r="EI138" s="250" t="str">
        <f>IF(CD138="ERROR", "ERROR", IF(AND(OR($EH$6=Y138, Y138='Lookup Tables'!$AD$21, Y138='Lookup Tables'!$AD$22),E138="Exterior"), SUM(BP138:BP138), ""))</f>
        <v/>
      </c>
      <c r="EJ138" s="109"/>
      <c r="EK138" s="485" t="str">
        <f t="shared" si="343"/>
        <v/>
      </c>
      <c r="EL138" s="252" t="str">
        <f t="shared" si="376"/>
        <v/>
      </c>
      <c r="EM138" s="252" t="str">
        <f t="shared" si="377"/>
        <v/>
      </c>
      <c r="EN138" s="252" t="str">
        <f t="shared" si="378"/>
        <v/>
      </c>
      <c r="EO138" s="252" t="str">
        <f t="shared" si="379"/>
        <v/>
      </c>
      <c r="EP138" s="252" t="str">
        <f t="shared" si="380"/>
        <v/>
      </c>
      <c r="EQ138" s="252" t="str">
        <f t="shared" si="381"/>
        <v/>
      </c>
      <c r="ER138" s="252" t="str">
        <f t="shared" si="382"/>
        <v/>
      </c>
      <c r="ES138" s="252" t="str">
        <f t="shared" si="383"/>
        <v/>
      </c>
      <c r="ET138" s="252" t="str">
        <f t="shared" si="384"/>
        <v/>
      </c>
      <c r="EU138" s="252" t="str">
        <f t="shared" si="385"/>
        <v/>
      </c>
      <c r="EV138" s="252" t="str">
        <f t="shared" si="386"/>
        <v/>
      </c>
      <c r="EW138" s="252" t="str">
        <f t="shared" si="387"/>
        <v/>
      </c>
      <c r="EX138" s="252" t="str">
        <f t="shared" si="388"/>
        <v/>
      </c>
      <c r="EY138" s="252" t="str">
        <f t="shared" si="389"/>
        <v/>
      </c>
      <c r="EZ138" s="252" t="str">
        <f t="shared" si="390"/>
        <v/>
      </c>
      <c r="FA138" s="252" t="str">
        <f t="shared" si="391"/>
        <v/>
      </c>
      <c r="FB138" s="252" t="str">
        <f t="shared" si="392"/>
        <v/>
      </c>
      <c r="FC138" s="252" t="str">
        <f>IF(CD138="ERROR", "ERROR", IF(OR(V138="No Change", V138="Not DLC or Energy Star"), "", IF(AND(OR($FC$6=Y138,Y138='Lookup Tables'!$AD$21, Y138='Lookup Tables'!$AD$22),E138="Interior"), S138, "")))</f>
        <v/>
      </c>
      <c r="FD138" s="252" t="str">
        <f t="shared" si="393"/>
        <v/>
      </c>
      <c r="FE138" s="1"/>
      <c r="FF138" s="579" t="str" cm="1">
        <f t="array" ref="FF138">IFERROR(IF(OR(BQ138&lt;=0,AQ138&lt;20,AND(V138="Exit Signs",AN138&gt;0)),"",IF(AND(AQ138&gt;=20,AN138='Lookup Tables'!$R$101),'Lookup Tables'!$U$101*BQ138,AP138*LOOKUP(2,1/((AN138='Lookup Tables'!$R$91:$R$111)*(AQ138&gt;='Lookup Tables'!$S$91:$S$111)*(AQ138&lt;='Lookup Tables'!$T$91:$T$111)),'Lookup Tables'!$U$91:$U$111))),"")</f>
        <v/>
      </c>
      <c r="FG138" s="579"/>
      <c r="FH138" s="579"/>
      <c r="FI138" s="253" t="str">
        <f>IFERROR(ROUND(IF(CD138="ERROR", "ERROR", IF(AND($FI$7=X138,E138="Interior"),VLOOKUP(W138, 'Lookup Tables'!$AI$6:$AM$102, 5, FALSE)*BP138, "")), 2), "")</f>
        <v/>
      </c>
      <c r="FJ138" s="253" t="str">
        <f>IFERROR(ROUND(IF(CD138="ERROR", "ERROR", IF(AND($FI$7=X138,E138="Exterior"),VLOOKUP(W138, 'Lookup Tables'!$AI$6:$AM$102, 5, FALSE)*BP138, "")), 2), "")</f>
        <v/>
      </c>
      <c r="FK138" s="253" t="str">
        <f>IFERROR(ROUND(IF(CD138="ERROR", "ERROR", IF(AND($FK$7=X138,E138="Interior"),VLOOKUP(W138, 'Lookup Tables'!$AI$6:$AM$102, 5, FALSE)*BP138, "")), 2), "")</f>
        <v/>
      </c>
      <c r="FL138" s="253" t="str">
        <f>IFERROR(ROUND(IF(CD138="ERROR", "ERROR", IF(AND($FK$7=X138,E138="Exterior"),VLOOKUP(W138, 'Lookup Tables'!$AI$6:$AM$102, 5, FALSE)*BP138, "")), 2), "")</f>
        <v/>
      </c>
      <c r="FM138" s="253" t="str">
        <f>IFERROR(ROUND(IF(CD138="ERROR", "ERROR", IF(AND($FM$6=Y138,E138="Interior"), IF(GB138=0, VLOOKUP(W138, 'Lookup Tables'!$AI$6:$AM$102, 5, FALSE)*BP138, IF(VLOOKUP(W138, 'Lookup Tables'!$AI$6:$AM$102, 5, FALSE)*BP138&gt;GB138*'Lighting Inventory'!S138, GB138*'Lighting Inventory'!S138,VLOOKUP(W138, 'Lookup Tables'!$AI$6:$AM$102, 5, FALSE)*BP138)), "")), 2), "")</f>
        <v/>
      </c>
      <c r="FN138" s="253" t="str">
        <f>IFERROR(ROUND(IF(CD138="ERROR", "ERROR", IF(AND($FM$6=Y138,E138="Exterior"), IF(GB138=0, VLOOKUP(W138, 'Lookup Tables'!$AI$6:$AM$102, 5, FALSE)*BP138, IF(VLOOKUP(W138, 'Lookup Tables'!$AI$6:$AM$102, 5, FALSE)*BP138&gt;GB138*'Lighting Inventory'!S138, GB138*'Lighting Inventory'!S138,VLOOKUP(W138, 'Lookup Tables'!$AI$6:$AM$102, 5, FALSE)*BP138)), "")), 2), "")</f>
        <v/>
      </c>
      <c r="FO138" s="253" t="str">
        <f>IFERROR(ROUND(IF(CD138="ERROR", "ERROR", IF(AND($FO$6=Y138,E138="Interior"),VLOOKUP(W138, 'Lookup Tables'!$AI$6:$AM$102, 5, FALSE)*'Lighting Inventory'!AI138, "")), 2), "")</f>
        <v/>
      </c>
      <c r="FP138" s="253" t="str">
        <f>IFERROR(ROUND(IF(CD138="ERROR", "ERROR", IF(AND($FO$6=Y138,E138="Exterior"),VLOOKUP(W138, 'Lookup Tables'!$AI$6:$AM$102, 5, FALSE)*'Lighting Inventory'!AI138, "")), 2), "")</f>
        <v/>
      </c>
      <c r="FQ138" s="253" t="str">
        <f>IFERROR(ROUND(IF(CD138="ERROR", "ERROR", IF(AND($FQ$6=Y138,E138="Interior", BU138="Y"), VLOOKUP('Lighting Inventory'!W138, 'Lookup Tables'!$AI$6:$AM$102, 5, FALSE)*'Lighting Inventory'!S138, IF(AND($FQ$7=Y138,E138="Interior", BU138="N"), 0.025*CD138, ""))), 2), "")</f>
        <v/>
      </c>
      <c r="FR138" s="253" t="str">
        <f>IFERROR(ROUND(IF(CD138="ERROR", "ERROR", IF(AND($FQ$6=Y138,E138="Exterior"), VLOOKUP('Lighting Inventory'!W138, 'Lookup Tables'!$AI$6:$AM$102, 5, FALSE)*'Lighting Inventory'!S138, "")), 2), "")</f>
        <v/>
      </c>
      <c r="FS138" s="253" t="str">
        <f>IFERROR(ROUND(IF(CD138="ERROR", "ERROR", IF(AND($FS$6=Y138,E138="Exterior"), IF(GB138=0, VLOOKUP(W138, 'Lookup Tables'!$AI$6:$AM$102, 5, FALSE)*BP138, IF(VLOOKUP(W138, 'Lookup Tables'!$AI$6:$AM$102, 5, FALSE)*BP138&gt;GB138*'Lighting Inventory'!S138, GB138*'Lighting Inventory'!S138,VLOOKUP(W138, 'Lookup Tables'!$AI$6:$AM$102, 5, FALSE)*BP138)), "")), 2), "")</f>
        <v/>
      </c>
      <c r="FT138" s="253" t="str">
        <f>IFERROR(ROUND(IF(CD138="ERROR", "ERROR", IF(AND($FT$6=Y138,E138="Interior"), IF(GB138=0, VLOOKUP(W138, 'Lookup Tables'!$AI$6:$AM$102, 5, FALSE)*BP138, IF(VLOOKUP(W138, 'Lookup Tables'!$AI$6:$AM$102, 5, FALSE)*BP138&gt;GB138*'Lighting Inventory'!S138, GB138*'Lighting Inventory'!S138,VLOOKUP(W138, 'Lookup Tables'!$AI$6:$AM$102, 5, FALSE)*BP138)), "")), 2), "")</f>
        <v/>
      </c>
      <c r="FU138" s="253" t="str">
        <f>IFERROR(ROUND(IF(CD138="ERROR", "ERROR", IF(AND(Y138=$FU$6, E138="Interior"), IF(BS138="N", 'Lookup Tables'!$AM$101*BP138, VLOOKUP(W138, 'Lookup Tables'!$AI$6:$AM$102, 5, FALSE)*S138*AD138), "")), 2), "")</f>
        <v/>
      </c>
      <c r="FV138" s="253" t="str">
        <f>IFERROR(ROUND(IF(CD138="ERROR", "ERROR", IF(AND(Y138=$FU$6, E138="Exterior"), IF(BS138="N", 'Lookup Tables'!$AM$101*BP138, VLOOKUP(W138, 'Lookup Tables'!$AI$6:$AM$102, 5, FALSE)*S138*AD138), "")), 2), "")</f>
        <v/>
      </c>
      <c r="FW138" s="253" t="str">
        <f>IFERROR(ROUND(IF(CD138="ERROR", "ERROR", IF($FW$6=Y138, IF(BS138="N", 'Lookup Tables'!$AM$101*BP138, MIN((VLOOKUP(W138, 'Lookup Tables'!$AI$6:$AM$102, 5, FALSE)*BP138),GB138*AJ138)), "")), 2), "")</f>
        <v/>
      </c>
      <c r="FX138" s="253" t="str">
        <f>IFERROR(ROUND(IF(CD138="ERROR", "ERROR", IF(AND($FX$6=Y138, E138="Interior"), IF(VLOOKUP(W138, 'Lookup Tables'!$AI$6:$AM$102, 5, FALSE)*BP138&gt;'Lookup Tables'!$AQ$97*'Lighting Inventory'!S138,'Lighting Inventory'!S138*'Lookup Tables'!$AQ$97,VLOOKUP(W138, 'Lookup Tables'!$AI$6:$AM$102, 5, FALSE)*BP138), "")), 2), "")</f>
        <v/>
      </c>
      <c r="FY138" s="253" t="str">
        <f>IFERROR(ROUND(IF(CD138="ERROR", "ERROR", IF(AND($FX$6=Y138, E138="Exterior"), IF(VLOOKUP(W138, 'Lookup Tables'!$AI$6:$AM$102, 5, FALSE)*BP138&gt;'Lookup Tables'!$AQ$97*'Lighting Inventory'!S138,'Lighting Inventory'!S138*'Lookup Tables'!$AQ$97,VLOOKUP(W138, 'Lookup Tables'!$AI$6:$AM$102, 5, FALSE)*BP138), "")), 2), "")</f>
        <v/>
      </c>
      <c r="FZ138" s="253" t="str">
        <f>IFERROR(ROUND(IF(CD138="ERROR", "ERROR", IF(AND($FZ$6=Y138, E138="Interior"), IF(AND(OR(W138="Refrigerated Case Lighting with Doors", W138="Freezer Case Lighting"),Y138="Custom - Process Improvement"),CD138*'Lookup Tables'!$AM$101, IF(B138="Retrofit", IF(VLOOKUP(IF(V138="Custom", V138, W138), 'Lookup Tables'!$AI$6:$AM$102, 5, FALSE)*BP138&gt;GE138, GE138, VLOOKUP(IF(V138="Custom", V138, W138), 'Lookup Tables'!$AI$6:$AM$102, 5, FALSE)*BP138), IF(VLOOKUP(IF(V138="Custom", V138, W138), 'Lookup Tables'!$AI$114:$AM$154, 5, FALSE)*BP138&gt;GE138, GE138, VLOOKUP(IF(V138="Custom", V138, W138), 'Lookup Tables'!$AI$114:$AM$154, 5, FALSE)*BP138))), "")), 2),"")</f>
        <v/>
      </c>
      <c r="GA138" s="253" t="str">
        <f>IFERROR(ROUND(IF(CD138="ERROR", "ERROR", IF(AND($FZ$6=Y138, E138="Exterior"), IF(B138="Retrofit", IF(VLOOKUP(IF(V138="Custom", V138, W138), 'Lookup Tables'!$AI$6:$AM$102, 5, FALSE)*BP138&gt;GE138, GE138, VLOOKUP(IF(V138="Custom", V138, W138), 'Lookup Tables'!$AI$6:$AM$102, 5, FALSE)*BP138), IF(VLOOKUP(IF(V138="Custom", V138, W138), 'Lookup Tables'!$AI$114:$AM$154, 5, FALSE)*BP138&gt;GE138, GE138, VLOOKUP(IF(V138="Custom", V138, W138), 'Lookup Tables'!$AI$114:$AM$154, 5, FALSE)*BP138)), "")), 2),"")</f>
        <v/>
      </c>
      <c r="GB138" s="254" t="str">
        <f t="array" ref="GB138">IF(B138="","",IF(OR(V138="Custom",V138="No Change"),0,IF(B138="Retrofit", INDEX('Lookup Tables'!$AH$6:$AQ$102,MATCH(1,('Lookup Tables'!$AH$6:$AH$102='Lighting Inventory'!V138)*('Lookup Tables'!$AI$6:$AI$102='Lighting Inventory'!W138),FALSE),10),INDEX('Lookup Tables'!$AH$114:$AQ$154,MATCH(1,('Lookup Tables'!$AH$114:$AH$154='Lighting Inventory'!V138)*('Lookup Tables'!$AI$114:$AI$154='Lighting Inventory'!W138),FALSE),10))))</f>
        <v/>
      </c>
      <c r="GC138" s="255" t="str">
        <f t="shared" si="344"/>
        <v/>
      </c>
      <c r="GD138" s="250" t="str">
        <f t="shared" si="345"/>
        <v/>
      </c>
      <c r="GE138" s="253" t="str">
        <f>IFERROR(IF(AND(AF138="", 'General Information'!$F$18="No"),"", IF(AF138="", ((GD138/$CD$266)*$CF$266)*0.5, AF138*S138*0.5)), "")</f>
        <v/>
      </c>
      <c r="GF138" s="255" t="str">
        <f>IF(AND('General Information'!$F$19="", 'General Information'!$F$18="Yes",AF138="",BW138="Y"), "Y", "N")</f>
        <v>N</v>
      </c>
      <c r="GG138" s="255" t="s">
        <v>2946</v>
      </c>
      <c r="GH138" s="255" t="str">
        <f>IFERROR(IF(B138="", "", VLOOKUP(J138, 'Fixture Identities'!$A$6:$N$908, 14, FALSE)), "")</f>
        <v/>
      </c>
      <c r="GI138" s="389" t="str">
        <f>IF(OR(B138="", V138="", W138=""), "", IF(AND(OR(M138='Lookup Tables'!$R$18, M138='Lookup Tables'!$R$19, M138='Lookup Tables'!$R$20, M138='Lookup Tables'!$R$21, M138='Lookup Tables'!$R$22), OR(AN138='Lookup Tables'!$R$17, AN138='Lookup Tables'!$R$17, AN138="")), "Y", "N"))</f>
        <v/>
      </c>
      <c r="GJ138" s="255" t="str">
        <f t="shared" si="346"/>
        <v/>
      </c>
      <c r="GK138" s="255" t="str">
        <f t="shared" si="347"/>
        <v/>
      </c>
      <c r="GL138" s="255" t="str">
        <f t="shared" si="348"/>
        <v/>
      </c>
      <c r="GM138" s="255" t="str">
        <f>IF(AN138="", "", IF(AND(IF(ISNA(VLOOKUP(AN138,'Lookup Tables'!$R$18:$R$22,1,FALSE)), "N", "Y")="Y", E138="Exterior"), "Y", "N"))</f>
        <v/>
      </c>
      <c r="GN138" s="395"/>
      <c r="GO138" s="428">
        <f t="shared" si="394"/>
        <v>0</v>
      </c>
      <c r="GP138" s="428">
        <f t="shared" si="397"/>
        <v>0</v>
      </c>
      <c r="GQ138" s="428">
        <f t="shared" si="395"/>
        <v>0</v>
      </c>
      <c r="GR138" s="428">
        <f t="shared" si="396"/>
        <v>0</v>
      </c>
    </row>
    <row r="139" spans="1:200" s="103" customFormat="1" ht="13.5" customHeight="1" x14ac:dyDescent="0.2">
      <c r="A139" s="272">
        <v>129</v>
      </c>
      <c r="B139" s="110"/>
      <c r="C139" s="110"/>
      <c r="D139" s="110"/>
      <c r="E139" s="110"/>
      <c r="F139" s="110"/>
      <c r="G139" s="110"/>
      <c r="H139" s="110"/>
      <c r="I139" s="29"/>
      <c r="J139" s="29"/>
      <c r="K139" s="272" t="str">
        <f>IFERROR(IF(OR(VLOOKUP(J139, 'Fixture Identities'!$A$6:$L$1023, 3, FALSE)="T12 Linear Fluorescent", VLOOKUP(J139, 'Fixture Identities'!$A$6:$L$1023, 3, FALSE)="T12 U-Tube Fluorescent"), VLOOKUP(VLOOKUP(J139, 'Fixture Identities'!$A$6:$L$1023, 11, FALSE), 'Fixture Identities'!$A$6:$L$1023, 10, FALSE), VLOOKUP(J139, 'Fixture Identities'!$A$6:$L$1023, 10, FALSE)), "")</f>
        <v/>
      </c>
      <c r="L139" s="270" t="str">
        <f t="shared" si="399"/>
        <v/>
      </c>
      <c r="M139" s="110"/>
      <c r="N139" s="110"/>
      <c r="O139" s="110"/>
      <c r="P139" s="272" t="str">
        <f>IFERROR(IF(OR(B139="Retrofit",B139=""),"",IF('Lighting Inventory'!E139="Exterior",VLOOKUP('Lighting Inventory'!N139,'Lookup Tables'!$B$83:$F$103,5,FALSE),IF(N139="Other - Please Estimate EFLH and CFs","Contact Prog. Rep.","ft^2"))), "")</f>
        <v/>
      </c>
      <c r="Q139" s="270" t="str">
        <f>IFERROR(IF(AND(B139="New Construction",E139="Interior",$F$5="Space-by-Space"),VLOOKUP('Lighting Inventory'!N139,'Lookup Tables'!$N$6:$O$97,2,FALSE),IF(AND(B139="New Construction",E139="Exterior"),VLOOKUP(N139,'Lookup Tables'!$B$83:$F$103,2,FALSE),IF(AND(B139="New Construction",'Lighting Inventory'!E139="Interior", $F$5="Building Area"),VLOOKUP(F139,'Lookup Tables'!$A$6:$J$59,10,FALSE),""))), "")</f>
        <v/>
      </c>
      <c r="R139" s="270" t="str">
        <f>IFERROR(IF(P139="Contact Prog. Rep.", "ERROR", IF(OR(B139="",B139="Retrofit"),"",IF(N139="Automated teller machines", ('Lookup Tables'!$A$82:$E$100+('Lighting Inventory'!O139-1)*'Lookup Tables'!$A$82:$E$100)/1000, (Q139*O139)/1000))), "")</f>
        <v/>
      </c>
      <c r="S139" s="595"/>
      <c r="T139" s="105" t="str">
        <f t="shared" si="349"/>
        <v/>
      </c>
      <c r="U139" s="105" t="str">
        <f>IF(S139="","",COUNT($S$11:S139))</f>
        <v/>
      </c>
      <c r="V139" s="111"/>
      <c r="W139" s="112"/>
      <c r="X139" s="105" t="str">
        <f t="shared" si="350"/>
        <v/>
      </c>
      <c r="Y139" s="105" t="str">
        <f t="array" ref="Y139">IF(AND(OR(W139="Freezer Case Lighting", W139="Refrigerated Case Lighting with Doors"), 'General Information'!$X$18="LCI"),'Lookup Tables'!$Y$34, IF(V139="Custom", VLOOKUP(W139, 'Fixture Identities'!$A$974:$M$1023, 13, FALSE), IF(V139="No Change",'Lookup Tables'!$Y$29,IF(OR(V139="",W139=""),"",IF(AND(S139=0,S139&lt;I139,B139="Retrofit"),'Lookup Tables'!$Y$25, IF(B139="Retrofit", INDEX('Lookup Tables'!$AH$6:$AP$102, MATCH(1, ('Lookup Tables'!$AH$6:$AH$102=V139)*('Lookup Tables'!$AI$6:$AI$102=W139), 0), IF('Lighting Inventory'!E139="Interior", 4, 5)), INDEX('Lookup Tables'!$AH$114:$AP$154, MATCH(1, ('Lookup Tables'!$AH$114:$AH$154=V139)*('Lookup Tables'!$AI$114:$AI$154=W139), 0), IF('Lighting Inventory'!E139="Interior", 4, 5))))))))</f>
        <v/>
      </c>
      <c r="Z139" s="105" t="str">
        <f>IFERROR(INDEX('Lookup Tables'!$AH$158:$AH$172,MATCH('Lighting Inventory'!Y139,'Lookup Tables'!$AI$158:$AI$172,0)),"")</f>
        <v/>
      </c>
      <c r="AA139" s="105" t="str">
        <f>IF(AP139&gt;0,INDEX('Lookup Tables'!$AK$158:$AK$172,MATCH('Lighting Inventory'!Y139,'Lookup Tables'!$AI$158:$AI$172,0)),'Lighting Inventory'!Y139)</f>
        <v/>
      </c>
      <c r="AB139" s="105" t="str">
        <f t="array" ref="AB139">IF(V139="Custom", "Custom", IF(V139="", "", IF(V139="Not DLC or Energy Star", "General", IF(B139="New Construction", INDEX('Lookup Tables'!$AH$114:$AP$154,MATCH(1,('Lookup Tables'!$AH$114:$AH$154='Lighting Inventory'!V139)*('Lookup Tables'!$AI$114:$AI$154='Lighting Inventory'!W139),FALSE),8), INDEX('Lookup Tables'!$AH$6:$AP$102,MATCH(1,('Lookup Tables'!$AH$6:$AH$102='Lighting Inventory'!V139)*('Lookup Tables'!$AI$6:$AI$102='Lighting Inventory'!W139),FALSE),8)))))</f>
        <v/>
      </c>
      <c r="AC139" s="272" t="str">
        <f>IF(W139="","",IF(V139="Custom",CONCATENATE("$",'Lookup Tables'!$AM$101," ",'Lookup Tables'!$AN$101),CONCATENATE("$",INDEX('Lookup Tables'!$AM$6:$AM$102,MATCH('Lighting Inventory'!W139,'Lookup Tables'!$AI$6:$AI$102,0))," ",INDEX('Lookup Tables'!$AN$6:$AN$102,MATCH('Lighting Inventory'!W139,'Lookup Tables'!$AI$6:$AI$102,0)))))</f>
        <v/>
      </c>
      <c r="AD139" s="72"/>
      <c r="AE139" s="29"/>
      <c r="AF139" s="379"/>
      <c r="AG139" s="370" t="str">
        <f t="shared" ref="AG139:AG202" si="401">IFERROR(IF(AF139="", ((GD139/$CD$266)*$CF$266)/S139, (AF139*S139)/S139), "")</f>
        <v/>
      </c>
      <c r="AH139" s="370" t="str">
        <f t="shared" si="351"/>
        <v/>
      </c>
      <c r="AI139" s="29"/>
      <c r="AJ139" s="29"/>
      <c r="AK139" s="110"/>
      <c r="AL139" s="375" t="str">
        <f>IF(OR(B139="", V139="", W139=""), "", IF(V139="No Change", K139, IF(V139="Remove Fixture", 0, IF(V139="Custom",VLOOKUP(W139,'Fixture Identities'!$A$6:$K$1023,10,FALSE),IF(AE139="", "← ENTER POST WATTS", 'Lighting Inventory'!AE139)))))</f>
        <v/>
      </c>
      <c r="AM139" s="376" t="str">
        <f t="shared" ref="AM139:AM202" si="402">IFERROR(IF(S139="","", IF(V139="No Change",L139, (AL139*S139)/1000)), "← ENTER POST WATTS")</f>
        <v/>
      </c>
      <c r="AN139" s="29"/>
      <c r="AO139" s="671"/>
      <c r="AP139" s="29"/>
      <c r="AQ139" s="29"/>
      <c r="AR139" s="29"/>
      <c r="AS139" s="272" t="str">
        <f t="shared" si="352"/>
        <v/>
      </c>
      <c r="AT139" s="270" t="str">
        <f t="shared" ref="AT139:AT202" si="403">IFERROR(IF(B139="Retrofit", L139-AM139, R139-AM139), "")</f>
        <v/>
      </c>
      <c r="AU139" s="88" t="str">
        <f t="shared" si="400"/>
        <v/>
      </c>
      <c r="AV139" s="29"/>
      <c r="AW139" s="73"/>
      <c r="AX139" s="271" t="str">
        <f>IF(AND(AV139="Applicant",OR(AW139="", AW139="Use Default Facility Hours")),"← Choose Schedule",IF(F139="","",IF(W139="LED Exit Signs",8760,IF(OR(AV139="Prescribed",AV139=""),VLOOKUP(F139,'Lookup Tables'!$A$6:$G$59,IF(AB139="General", 6, 3),FALSE),VLOOKUP(AW139,'Lookup Tables'!$S$36:$U$43,2,FALSE)))))</f>
        <v/>
      </c>
      <c r="AY139" s="88" t="str">
        <f t="shared" ref="AY139:AY202" si="404">IFERROR((AU139/$AU$261)*AX139, "")</f>
        <v/>
      </c>
      <c r="AZ139" s="270" t="str">
        <f>IFERROR(IF(F139="", "", IF(W139="LED Exit Signs", 1, IF(AV139="Applicant",VLOOKUP(AW139, 'Lookup Tables'!$S$36:$U$43,3, FALSE), VLOOKUP('Lighting Inventory'!F139, 'Lookup Tables'!$A$6:$H$59, IF('Lighting Inventory'!AB139="General",7,4), FALSE)))), "")</f>
        <v/>
      </c>
      <c r="BA139" s="522" t="str">
        <f>IFERROR(IF(F139="", "", IF(W139="LED Exit Signs", 1, VLOOKUP('Lighting Inventory'!F139, 'Lookup Tables'!$A$6:$H$59, IF('Lighting Inventory'!AB139="General",8,5), FALSE))), "")</f>
        <v/>
      </c>
      <c r="BB139" s="270" t="str">
        <f>IF(G139="", "", IF(E139="Exterior", 0, IF('Lighting Inventory'!G139="Air Conditioned", VLOOKUP(H139, 'Lookup Tables'!$R$6:$T$13, 2, FALSE), VLOOKUP('Lighting Inventory'!G139, 'Lookup Tables'!$R$6:$T$13, 2, FALSE))))</f>
        <v/>
      </c>
      <c r="BC139" s="522" t="str">
        <f>IF(G139="", "", IF(E139="Exterior", 0, IF('Lighting Inventory'!G139="Air Conditioned", VLOOKUP(H139, 'Lookup Tables'!$R$6:$T$13, 3, FALSE), VLOOKUP('Lighting Inventory'!G139, 'Lookup Tables'!$R$6:$T$13, 3, FALSE))))</f>
        <v/>
      </c>
      <c r="BD139" s="270" t="str">
        <f>IF(G139="", "", IF(E139="Exterior", 0, IF('Lighting Inventory'!G139="Air Conditioned", VLOOKUP(H139, 'Lookup Tables'!$R$6:$U$13, 4, FALSE), VLOOKUP('Lighting Inventory'!G139, 'Lookup Tables'!$R$6:$U$13, 4, FALSE))))</f>
        <v/>
      </c>
      <c r="BE139" s="270" t="str">
        <f>IFERROR(IF(B139="", "",  IF(B139="New Construction", VLOOKUP(F139, 'Lookup Tables'!$A$6:$K$59, 11, FALSE),IF(OR(AN139="", AN139="Light Switch"), 0, IF(OR(M139="",M139="None",V139= "LED Exit Signs"),0,_xlfn.XLOOKUP(M139,'Lookup Tables'!$R$91:$R$101,'Lookup Tables'!$V$91:$V$101))))), "")</f>
        <v/>
      </c>
      <c r="BF139" s="270" t="str">
        <f>IF(AND(OR(AN139="Light Switch",AN139=""),B139="New Construction"), VLOOKUP(F139, 'Lookup Tables'!$A$6:$K$59, 11, FALSE),IF(AN139="","",IF(B139="","",IF(OR(AN139="None",AN139="",V139="LED Exit Signs",AN139="Exterior Controls Not Eligible"),0,_xlfn.XLOOKUP(AN139,'Lookup Tables'!$R$91:$R$101,'Lookup Tables'!$V$91:$V$101)))))</f>
        <v/>
      </c>
      <c r="BG139" s="88" t="str">
        <f t="shared" si="353"/>
        <v/>
      </c>
      <c r="BH139" s="88" t="str">
        <f t="shared" si="354"/>
        <v/>
      </c>
      <c r="BI139" s="558" t="str">
        <f t="shared" si="398"/>
        <v/>
      </c>
      <c r="BJ139" s="82" t="str">
        <f t="shared" si="355"/>
        <v/>
      </c>
      <c r="BK139" s="82" t="str">
        <f t="shared" si="356"/>
        <v/>
      </c>
      <c r="BL139" s="559" t="str">
        <f t="shared" si="357"/>
        <v/>
      </c>
      <c r="BM139" s="521" t="str">
        <f t="shared" ref="BM139:BM202" si="405">IFERROR(IF(AND(B139="New Construction", V139="LED Exit Signs"), "", IF(B139="", "", IF(B139="Retrofit", (L139-AM139)*BA139*(1-BE139)*(1+BC139), (R139-AM139)*BA139*(1-BE139)*(1+BC139)))), "")</f>
        <v/>
      </c>
      <c r="BN139" s="521" t="str">
        <f t="shared" ref="BN139:BN202" si="406">IFERROR(IF(OR(E139="",V139="LED Exit Signs"),"", BA139*(1+BC139)*AM139*(BF139-BE139)),0)</f>
        <v/>
      </c>
      <c r="BO139" s="522" t="str">
        <f t="shared" ref="BO139:BO202" si="407">IF(AND(E139="New Construction", AB139="LED Exit Signs"), "", IF(E139="", "", SUM(BM139:BN139)))</f>
        <v/>
      </c>
      <c r="BP139" s="83" t="str">
        <f t="shared" si="358"/>
        <v/>
      </c>
      <c r="BQ139" s="84" t="str">
        <f t="shared" si="359"/>
        <v/>
      </c>
      <c r="BR139" s="184" t="str">
        <f>IFERROR(IF(B139="", "", IF(OR(VLOOKUP(J139, 'Fixture Identities'!$A$6:$L$1023, 3, FALSE)="T12 Linear Fluorescent",VLOOKUP(J139, 'Fixture Identities'!$A$6:$L$1023, 3, FALSE)="T12 U-Tube Fluorescent"), "Y", "N")), "N")</f>
        <v/>
      </c>
      <c r="BS139" s="184" t="str">
        <f t="array" ref="BS139">IFERROR(IF(OR(B139="", V139="", W139=""), "", IF(V139="Custom", "N", IF(OR(W139="Freezer Case Lighting", W139="Refrigerated Case Lighting with Doors"), BT139, IF(B139="Retrofit", INDEX('Lookup Tables'!$AH$6:$AT$102,MATCH(1,('Lookup Tables'!$AH$6:$AH$102=V139)*('Lookup Tables'!$AI$6:$AI$102=W139),FALSE),IF(VLOOKUP(J139, 'Fixture Identities'!$A$6:$B$1023, 2, FALSE)="Incandescent",12, 13)), INDEX('Lookup Tables'!$AH$114:$AS$154,MATCH(1,('Lookup Tables'!$AH$114:$AH$154=V139)*('Lookup Tables'!$AI$114:$AI$154=W139),FALSE),12))))), "N")</f>
        <v/>
      </c>
      <c r="BT139" s="184" t="str">
        <f>IF(J139="", "", IF(AND(OR(W139="Freezer case Lighting", W139="Refrigerated Case Lighting with Doors"),'General Information'!$X$18="LCI"), "N", IF(OR(VLOOKUP(J139, 'Fixture Identities'!$A$6:$B$1023, 2, FALSE)="T12 EPACT/EISA Baseline", VLOOKUP(J139, 'Fixture Identities'!$A$6:$B$1023, 2, FALSE)="Linear Fluorescent", VLOOKUP(J139, 'Fixture Identities'!$A$6:$B$1023, 2, FALSE)="U-Tube Fluorescent"), "Y", "N")))</f>
        <v/>
      </c>
      <c r="BU139" s="184" t="str">
        <f>IFERROR(IF(B139="", "", IF(VLOOKUP(J139, 'Fixture Identities'!$A$6:$B$1023, 2, FALSE)="Exit Sign", "Y", "N")), "N")</f>
        <v/>
      </c>
      <c r="BV139" s="184" t="str">
        <f>IF(V139="Exit Signs", IF(VLOOKUP(J139, 'Fixture Identities'!$A$6:$B$1023, 2, FALSE)="Exit Sign", "N", "Y"), "")</f>
        <v/>
      </c>
      <c r="BW139" s="184" t="str">
        <f t="array" ref="BW139">IFERROR(IF(B139="", "", IF(B139="New Construction", "N", INDEX('Lookup Tables'!$AH$6:$AU$102, MATCH(1, ('Lookup Tables'!$AH$6:$AH$102='Lighting Inventory'!V139)*('Lookup Tables'!$AI$6:$AI$102='Lighting Inventory'!W139), 0), 14))), "N")</f>
        <v/>
      </c>
      <c r="BX139" s="598" t="str">
        <f t="shared" si="360"/>
        <v/>
      </c>
      <c r="BY139" s="598" t="str">
        <f t="shared" si="361"/>
        <v/>
      </c>
      <c r="BZ139" s="598" t="str">
        <f t="shared" si="362"/>
        <v/>
      </c>
      <c r="CA139" s="598" t="str">
        <f t="shared" si="363"/>
        <v/>
      </c>
      <c r="CB139" s="269" t="str">
        <f t="shared" si="364"/>
        <v/>
      </c>
      <c r="CC139" s="517" t="str">
        <f t="shared" si="365"/>
        <v/>
      </c>
      <c r="CD139" s="565" t="str">
        <f t="shared" ref="CD139:CD202" si="408">IF(AM139="ERROR", "ERROR", IF(AND(B139="New Construction", V139="LED Exit Signs"), "", IF(AND(E139="Exterior", V139="LED Exit Signs"), "", IF(B139="", "", SUM(BP139:BQ139)))))</f>
        <v/>
      </c>
      <c r="CE139" s="368">
        <v>0</v>
      </c>
      <c r="CF139" s="368" t="str" cm="1">
        <f t="array" ref="CF139">IFERROR(IF(V139="Custom", "$0.1 per kWh", IF(B139="New Construction", CONCATENATE("$",INDEX('Lookup Tables'!$AH$114:$AN$154,MATCH(1,('Lookup Tables'!$AH$114:$AH$154='Lighting Inventory'!V139)*('Lookup Tables'!$AI$114:$AI$154='Lighting Inventory'!W139),FALSE),6)," ",INDEX('Lookup Tables'!$AH$114:$AN$154,MATCH(1,('Lookup Tables'!$AH$114:$AH$154='Lighting Inventory'!V139)*('Lookup Tables'!$AI$114:$AI$154='Lighting Inventory'!W139),FALSE),7)), IF(AND(BU139="N", V139="Exit Signs"), "$0.025 per kWh", CONCATENATE("$",INDEX('Lookup Tables'!$AH$6:$AN$102,MATCH(1,('Lookup Tables'!$AH$6:$AH$102='Lighting Inventory'!V139)*('Lookup Tables'!$AI$6:$AI$102='Lighting Inventory'!W139),FALSE),6)," ",INDEX('Lookup Tables'!$AH$6:$AN$102,MATCH(1,('Lookup Tables'!$AH$6:$AH$102='Lighting Inventory'!V139)*('Lookup Tables'!$AI$6:$AI$102='Lighting Inventory'!W139),FALSE),7))))), "")</f>
        <v/>
      </c>
      <c r="CG139" s="366"/>
      <c r="CH139" s="248" t="str">
        <f t="shared" ref="CH139:CH202" si="409">IF(E139="", "", IF(E139="Exterior", "Ext_Lighting_Description", "Int_Lighting_Description"))</f>
        <v/>
      </c>
      <c r="CI139" s="248" t="str">
        <f t="shared" ref="CI139:CI202" si="410">IF(E139="", "Select_IE", IF(E139="Interior", "Building_Type_Interior", "Building_Type_Exterior"))</f>
        <v>Select_IE</v>
      </c>
      <c r="CJ139" s="248" t="str">
        <f t="shared" ref="CJ139:CJ202" si="411">IF(F139="", "", IF(E139="Exterior", "Uncooled", IF(F139="Storage - Unconditioned", "Uncooled", "Cooled")))</f>
        <v/>
      </c>
      <c r="CK139" s="248" t="str">
        <f t="shared" ref="CK139:CK202" si="412">IF(E139="Exterior", "Unheated", IF(G139="", "", IF(OR(G139="Uncooled", G139="Air Conditioned"), "Heated", "Unheated")))</f>
        <v/>
      </c>
      <c r="CL139" s="248" t="str">
        <f t="shared" ref="CL139:CL202" si="413">IF(B139="", "", IF(AND(B139="New Construction", E139="Interior"), "NC_Fixture_Category_Int", IF(AND(B139="New Construction", E139="Exterior"), "NC_Fixture_Category_Ext", IF(AND(B139="Retrofit", E139="Interior"), "Ret_Fixture_Category_Int", IF(AND(B139="Retrofit", E139="Exterior"), "Ret_Fixture_Category_Ext", "Ret_Fixture_Category_Int")))))</f>
        <v/>
      </c>
      <c r="CM139" s="248" t="str">
        <f>IFERROR(IF(B139="", "", IF(B139="New Construction", VLOOKUP(V139, 'Lookup Tables'!$AF$114:$AG$120, 2, FALSE), VLOOKUP(V139, 'Lookup Tables'!$AD$6:$AE$25, 2, FALSE))), "")</f>
        <v/>
      </c>
      <c r="CN139" s="248" t="str">
        <f t="shared" ref="CN139:CN202" si="414">IF(AV139="", "", IF(AV139="Applicant", "EFLH_schedules", "EFLH_prescribed"))</f>
        <v/>
      </c>
      <c r="CO139" s="248" t="str">
        <f t="shared" ref="CO139:CO202" si="415">IF(B139="", "", IF(AND(B139="New Construction", OR($F$5="Not Applicable", $F$5="")), "NC_Calc_Method", IF(B139="Retrofit", "Not_Applicable", IF(AND(E139="Interior", $F$5="Building Area"), "NC_Facility_Type", IF(AND(E139="Interior", $F$5="Space-by-Space"), "NC_Space_Type_Int", IF(E139="Exterior", "NC_Space_Type_Ext", "Not_Applicable"))))))</f>
        <v/>
      </c>
      <c r="CP139" s="592" t="str">
        <f t="shared" ref="CP139:CP202" si="416">IF(E139="","",IF(E139="Exterior","ext_lighting_controls","Lighting_Controls"))</f>
        <v/>
      </c>
      <c r="CQ139" s="248" t="str">
        <f t="shared" si="366"/>
        <v/>
      </c>
      <c r="CR139" s="100"/>
      <c r="CS139" s="250" t="str">
        <f t="shared" ref="CS139:CS202" si="417">IF(CD139="ERROR","ERROR",BK139)</f>
        <v/>
      </c>
      <c r="CT139" s="250" t="str">
        <f t="shared" si="367"/>
        <v/>
      </c>
      <c r="CU139" s="250" t="str">
        <f t="shared" si="368"/>
        <v/>
      </c>
      <c r="CV139" s="250" t="str">
        <f t="shared" si="369"/>
        <v/>
      </c>
      <c r="CW139" s="250" t="str">
        <f t="shared" si="370"/>
        <v/>
      </c>
      <c r="CX139" s="250" t="str">
        <f t="shared" ref="CX139:CX202" si="418">IF(CD139="ERROR", "ERROR", IF(AND(Y139=$CX$6, E139="Interior"), BJ139, ""))</f>
        <v/>
      </c>
      <c r="CY139" s="250" t="str">
        <f t="shared" ref="CY139:CY202" si="419">IF(CD139="ERROR", "ERROR", IF(AND(Y139=$CX$6, E139="Exterior"), BJ139, ""))</f>
        <v/>
      </c>
      <c r="CZ139" s="250" t="str">
        <f t="shared" ref="CZ139:CZ202" si="420">IF(CD139="ERROR", "ERROR", IF(AND(Y139=$CZ$6, E139="Interior"), BJ139, ""))</f>
        <v/>
      </c>
      <c r="DA139" s="250" t="str">
        <f t="shared" ref="DA139:DA202" si="421">IF(CD139="ERROR", "ERROR", IF(AND(Y139=$CZ$6, E139="Exterior"), BJ139, ""))</f>
        <v/>
      </c>
      <c r="DB139" s="250" t="str">
        <f t="shared" ref="DB139:DB202" si="422">IF(CD139="ERROR", "ERROR", IF(AND(Y139=$DB$6, E139="Interior"), BJ139, ""))</f>
        <v/>
      </c>
      <c r="DC139" s="250" t="str">
        <f t="shared" ref="DC139:DC202" si="423">IF(CD139="ERROR", "ERROR", IF(AND(Y139=$DB$6, E139="Exterior"), BJ139, ""))</f>
        <v/>
      </c>
      <c r="DD139" s="250" t="str">
        <f t="shared" ref="DD139:DD202" si="424">IF(CD139="ERROR", "ERROR", IF(AND(Y139=$DD$6, E139="Interior"), BJ139, ""))</f>
        <v/>
      </c>
      <c r="DE139" s="250" t="str">
        <f t="shared" ref="DE139:DE202" si="425">IF(CD139="ERROR", "ERROR", IF(AND(Y139=$DD$6, E139="Exterior"), BJ139, ""))</f>
        <v/>
      </c>
      <c r="DF139" s="250" t="str">
        <f t="shared" ref="DF139:DF202" si="426">IF(CD139="ERROR", "ERROR", IF(AND(Y139=$DF$6, E139="Interior"), BJ139, ""))</f>
        <v/>
      </c>
      <c r="DG139" s="250" t="str">
        <f t="shared" ref="DG139:DG202" si="427">IF(CD139="ERROR", "ERROR", IF(AND(Y139=$DF$6, E139="Exterior"), BJ139, ""))</f>
        <v/>
      </c>
      <c r="DH139" s="250" t="str">
        <f t="shared" ref="DH139:DH202" si="428">IF(CD139="ERROR", "ERROR", IF(AND(Y139=$DH$6, E139="Interior"), BJ139, ""))</f>
        <v/>
      </c>
      <c r="DI139" s="250" t="str">
        <f t="shared" ref="DI139:DI202" si="429">IF(CD139="ERROR", "ERROR", IF(AND(Y139=$DH$6, E139="Exterior"), BJ139, ""))</f>
        <v/>
      </c>
      <c r="DJ139" s="250" t="str">
        <f t="shared" ref="DJ139:DJ202" si="430">IF(CD139="ERROR", "ERROR", IF(Y139=$DJ$6, BJ139, ""))</f>
        <v/>
      </c>
      <c r="DK139" s="250" t="str">
        <f t="shared" ref="DK139:DK202" si="431">IF(CD139="ERROR", "ERROR", IF(AND(Y139=$DK$6, E139="Interior"), BJ139, ""))</f>
        <v/>
      </c>
      <c r="DL139" s="250" t="str">
        <f t="shared" ref="DL139:DL202" si="432">IF(CD139="ERROR", "ERROR", IF(AND(Y139=$DK$6, E139="Exterior"), BJ139, ""))</f>
        <v/>
      </c>
      <c r="DM139" s="250" t="str">
        <f>IF(CD139="ERROR", "ERROR", IF(AND(OR(Y139=$DM$6, Y139='Lookup Tables'!$AD$21, Y139='Lookup Tables'!$AD$22), E139="Interior"), BJ139, ""))</f>
        <v/>
      </c>
      <c r="DN139" s="250" t="str">
        <f>IF(CD139="ERROR", "ERROR", IF(AND(OR(Y139=$DM$6, Y139='Lookup Tables'!$AD$21, Y139='Lookup Tables'!$AD$22), E139="Exterior"), BJ139, ""))</f>
        <v/>
      </c>
      <c r="DO139" s="100"/>
      <c r="DP139" s="250" t="str">
        <f t="shared" ref="DP139:DP202" si="433">IF(CD139="ERROR","ERROR",BQ139)</f>
        <v/>
      </c>
      <c r="DQ139" s="250" t="str">
        <f t="shared" si="371"/>
        <v/>
      </c>
      <c r="DR139" s="250" t="str">
        <f t="shared" si="372"/>
        <v/>
      </c>
      <c r="DS139" s="250" t="str">
        <f t="shared" si="373"/>
        <v/>
      </c>
      <c r="DT139" s="250" t="str">
        <f t="shared" si="374"/>
        <v/>
      </c>
      <c r="DU139" s="250" t="str">
        <f t="shared" ref="DU139:DU202" si="434">IF(CD139="ERROR", "ERROR", IF(AND($DU$6=Y139,E139="Interior"), BP139, ""))</f>
        <v/>
      </c>
      <c r="DV139" s="250" t="str">
        <f t="shared" ref="DV139:DV202" si="435">IF(CD139="ERROR", "ERROR", IF(AND($DU$6=Y139,E139="Exterior"), BP139, ""))</f>
        <v/>
      </c>
      <c r="DW139" s="250" t="str">
        <f t="shared" ref="DW139:DW202" si="436">IF(CD139="ERROR", "ERROR", IF(AND($DW$6=Y139,E139="Interior"), BP139, ""))</f>
        <v/>
      </c>
      <c r="DX139" s="250" t="str">
        <f t="shared" ref="DX139:DX202" si="437">IF(CD139="ERROR", "ERROR", IF(AND($DW$6=Y139,E139="Exterior"), BP139, ""))</f>
        <v/>
      </c>
      <c r="DY139" s="250" t="str">
        <f t="shared" ref="DY139:DY202" si="438">IF(CD139="ERROR", "ERROR", IF(AND($DY$6=Y139,E139="Interior"), BP139, ""))</f>
        <v/>
      </c>
      <c r="DZ139" s="250" t="str">
        <f t="shared" ref="DZ139:DZ202" si="439">IF(CD139="ERROR", "ERROR", IF(AND($DY$6=Y139,E139="Exterior"), BP139, ""))</f>
        <v/>
      </c>
      <c r="EA139" s="250" t="str">
        <f t="shared" ref="EA139:EA202" si="440">IF(CD139="ERROR", "ERROR", IF(AND($EA$6=Y139,E139="Exterior"), BP139, ""))</f>
        <v/>
      </c>
      <c r="EB139" s="250" t="str">
        <f t="shared" si="375"/>
        <v/>
      </c>
      <c r="EC139" s="250" t="str">
        <f t="shared" ref="EC139:EC202" si="441">IF(CD139="ERROR", "ERROR", IF(AND(Y139=$EC$6, E139="Interior"), BP139, ""))</f>
        <v/>
      </c>
      <c r="ED139" s="250" t="str">
        <f t="shared" ref="ED139:ED202" si="442">IF(CD139="ERROR", "ERROR", IF(AND(Y139=$EC$6, E139="Exterior"), BP139, ""))</f>
        <v/>
      </c>
      <c r="EE139" s="250" t="str">
        <f t="shared" ref="EE139:EE202" si="443">IF(CD139="ERROR", "ERROR", IF(Y139=$EE$6, BP139, ""))</f>
        <v/>
      </c>
      <c r="EF139" s="250" t="str">
        <f t="shared" ref="EF139:EF202" si="444">IF(CD139="ERROR", "ERROR", IF(AND($EF$6=Y139,E139="Interior"), BP139, ""))</f>
        <v/>
      </c>
      <c r="EG139" s="250" t="str">
        <f t="shared" ref="EG139:EG202" si="445">IF(CD139="ERROR", "ERROR", IF(AND($EF$6=Y139,E139="Exterior"), BP139, ""))</f>
        <v/>
      </c>
      <c r="EH139" s="250" t="str">
        <f>IF(CD139="ERROR", "ERROR", IF(AND(OR($EH$6=Y139, Y139='Lookup Tables'!$AD$21, Y139='Lookup Tables'!$AD$22),E139="Interior"), SUM(BP139:BP139), ""))</f>
        <v/>
      </c>
      <c r="EI139" s="250" t="str">
        <f>IF(CD139="ERROR", "ERROR", IF(AND(OR($EH$6=Y139, Y139='Lookup Tables'!$AD$21, Y139='Lookup Tables'!$AD$22),E139="Exterior"), SUM(BP139:BP139), ""))</f>
        <v/>
      </c>
      <c r="EJ139" s="109"/>
      <c r="EK139" s="485" t="str">
        <f t="shared" ref="EK139:EK202" si="446">IF(CD139="ERROR","ERROR",IF(E139="Exterior", "0", IF(OR(AN139="",AN139="Light Switch"), "",AP139)))</f>
        <v/>
      </c>
      <c r="EL139" s="252" t="str">
        <f t="shared" si="376"/>
        <v/>
      </c>
      <c r="EM139" s="252" t="str">
        <f t="shared" si="377"/>
        <v/>
      </c>
      <c r="EN139" s="252" t="str">
        <f t="shared" si="378"/>
        <v/>
      </c>
      <c r="EO139" s="252" t="str">
        <f t="shared" si="379"/>
        <v/>
      </c>
      <c r="EP139" s="252" t="str">
        <f t="shared" si="380"/>
        <v/>
      </c>
      <c r="EQ139" s="252" t="str">
        <f t="shared" si="381"/>
        <v/>
      </c>
      <c r="ER139" s="252" t="str">
        <f t="shared" si="382"/>
        <v/>
      </c>
      <c r="ES139" s="252" t="str">
        <f t="shared" si="383"/>
        <v/>
      </c>
      <c r="ET139" s="252" t="str">
        <f t="shared" si="384"/>
        <v/>
      </c>
      <c r="EU139" s="252" t="str">
        <f t="shared" si="385"/>
        <v/>
      </c>
      <c r="EV139" s="252" t="str">
        <f t="shared" si="386"/>
        <v/>
      </c>
      <c r="EW139" s="252" t="str">
        <f t="shared" si="387"/>
        <v/>
      </c>
      <c r="EX139" s="252" t="str">
        <f t="shared" si="388"/>
        <v/>
      </c>
      <c r="EY139" s="252" t="str">
        <f t="shared" si="389"/>
        <v/>
      </c>
      <c r="EZ139" s="252" t="str">
        <f t="shared" si="390"/>
        <v/>
      </c>
      <c r="FA139" s="252" t="str">
        <f t="shared" si="391"/>
        <v/>
      </c>
      <c r="FB139" s="252" t="str">
        <f t="shared" si="392"/>
        <v/>
      </c>
      <c r="FC139" s="252" t="str">
        <f>IF(CD139="ERROR", "ERROR", IF(OR(V139="No Change", V139="Not DLC or Energy Star"), "", IF(AND(OR($FC$6=Y139,Y139='Lookup Tables'!$AD$21, Y139='Lookup Tables'!$AD$22),E139="Interior"), S139, "")))</f>
        <v/>
      </c>
      <c r="FD139" s="252" t="str">
        <f t="shared" si="393"/>
        <v/>
      </c>
      <c r="FE139" s="101"/>
      <c r="FF139" s="579" t="str" cm="1">
        <f t="array" ref="FF139">IFERROR(IF(OR(BQ139&lt;=0,AQ139&lt;20,AND(V139="Exit Signs",AN139&gt;0)),"",IF(AND(AQ139&gt;=20,AN139='Lookup Tables'!$R$101),'Lookup Tables'!$U$101*BQ139,AP139*LOOKUP(2,1/((AN139='Lookup Tables'!$R$91:$R$111)*(AQ139&gt;='Lookup Tables'!$S$91:$S$111)*(AQ139&lt;='Lookup Tables'!$T$91:$T$111)),'Lookup Tables'!$U$91:$U$111))),"")</f>
        <v/>
      </c>
      <c r="FG139" s="579"/>
      <c r="FH139" s="579"/>
      <c r="FI139" s="253" t="str">
        <f>IFERROR(ROUND(IF(CD139="ERROR", "ERROR", IF(AND($FI$7=X139,E139="Interior"),VLOOKUP(W139, 'Lookup Tables'!$AI$6:$AM$102, 5, FALSE)*BP139, "")), 2), "")</f>
        <v/>
      </c>
      <c r="FJ139" s="253" t="str">
        <f>IFERROR(ROUND(IF(CD139="ERROR", "ERROR", IF(AND($FI$7=X139,E139="Exterior"),VLOOKUP(W139, 'Lookup Tables'!$AI$6:$AM$102, 5, FALSE)*BP139, "")), 2), "")</f>
        <v/>
      </c>
      <c r="FK139" s="253" t="str">
        <f>IFERROR(ROUND(IF(CD139="ERROR", "ERROR", IF(AND($FK$7=X139,E139="Interior"),VLOOKUP(W139, 'Lookup Tables'!$AI$6:$AM$102, 5, FALSE)*BP139, "")), 2), "")</f>
        <v/>
      </c>
      <c r="FL139" s="253" t="str">
        <f>IFERROR(ROUND(IF(CD139="ERROR", "ERROR", IF(AND($FK$7=X139,E139="Exterior"),VLOOKUP(W139, 'Lookup Tables'!$AI$6:$AM$102, 5, FALSE)*BP139, "")), 2), "")</f>
        <v/>
      </c>
      <c r="FM139" s="253" t="str">
        <f>IFERROR(ROUND(IF(CD139="ERROR", "ERROR", IF(AND($FM$6=Y139,E139="Interior"), IF(GB139=0, VLOOKUP(W139, 'Lookup Tables'!$AI$6:$AM$102, 5, FALSE)*BP139, IF(VLOOKUP(W139, 'Lookup Tables'!$AI$6:$AM$102, 5, FALSE)*BP139&gt;GB139*'Lighting Inventory'!S139, GB139*'Lighting Inventory'!S139,VLOOKUP(W139, 'Lookup Tables'!$AI$6:$AM$102, 5, FALSE)*BP139)), "")), 2), "")</f>
        <v/>
      </c>
      <c r="FN139" s="253" t="str">
        <f>IFERROR(ROUND(IF(CD139="ERROR", "ERROR", IF(AND($FM$6=Y139,E139="Exterior"), IF(GB139=0, VLOOKUP(W139, 'Lookup Tables'!$AI$6:$AM$102, 5, FALSE)*BP139, IF(VLOOKUP(W139, 'Lookup Tables'!$AI$6:$AM$102, 5, FALSE)*BP139&gt;GB139*'Lighting Inventory'!S139, GB139*'Lighting Inventory'!S139,VLOOKUP(W139, 'Lookup Tables'!$AI$6:$AM$102, 5, FALSE)*BP139)), "")), 2), "")</f>
        <v/>
      </c>
      <c r="FO139" s="253" t="str">
        <f>IFERROR(ROUND(IF(CD139="ERROR", "ERROR", IF(AND($FO$6=Y139,E139="Interior"),VLOOKUP(W139, 'Lookup Tables'!$AI$6:$AM$102, 5, FALSE)*'Lighting Inventory'!AI139, "")), 2), "")</f>
        <v/>
      </c>
      <c r="FP139" s="253" t="str">
        <f>IFERROR(ROUND(IF(CD139="ERROR", "ERROR", IF(AND($FO$6=Y139,E139="Exterior"),VLOOKUP(W139, 'Lookup Tables'!$AI$6:$AM$102, 5, FALSE)*'Lighting Inventory'!AI139, "")), 2), "")</f>
        <v/>
      </c>
      <c r="FQ139" s="253" t="str">
        <f>IFERROR(ROUND(IF(CD139="ERROR", "ERROR", IF(AND($FQ$6=Y139,E139="Interior", BU139="Y"), VLOOKUP('Lighting Inventory'!W139, 'Lookup Tables'!$AI$6:$AM$102, 5, FALSE)*'Lighting Inventory'!S139, IF(AND($FQ$7=Y139,E139="Interior", BU139="N"), 0.025*CD139, ""))), 2), "")</f>
        <v/>
      </c>
      <c r="FR139" s="253" t="str">
        <f>IFERROR(ROUND(IF(CD139="ERROR", "ERROR", IF(AND($FQ$6=Y139,E139="Exterior"), VLOOKUP('Lighting Inventory'!W139, 'Lookup Tables'!$AI$6:$AM$102, 5, FALSE)*'Lighting Inventory'!S139, "")), 2), "")</f>
        <v/>
      </c>
      <c r="FS139" s="253" t="str">
        <f>IFERROR(ROUND(IF(CD139="ERROR", "ERROR", IF(AND($FS$6=Y139,E139="Exterior"), IF(GB139=0, VLOOKUP(W139, 'Lookup Tables'!$AI$6:$AM$102, 5, FALSE)*BP139, IF(VLOOKUP(W139, 'Lookup Tables'!$AI$6:$AM$102, 5, FALSE)*BP139&gt;GB139*'Lighting Inventory'!S139, GB139*'Lighting Inventory'!S139,VLOOKUP(W139, 'Lookup Tables'!$AI$6:$AM$102, 5, FALSE)*BP139)), "")), 2), "")</f>
        <v/>
      </c>
      <c r="FT139" s="253" t="str">
        <f>IFERROR(ROUND(IF(CD139="ERROR", "ERROR", IF(AND($FT$6=Y139,E139="Interior"), IF(GB139=0, VLOOKUP(W139, 'Lookup Tables'!$AI$6:$AM$102, 5, FALSE)*BP139, IF(VLOOKUP(W139, 'Lookup Tables'!$AI$6:$AM$102, 5, FALSE)*BP139&gt;GB139*'Lighting Inventory'!S139, GB139*'Lighting Inventory'!S139,VLOOKUP(W139, 'Lookup Tables'!$AI$6:$AM$102, 5, FALSE)*BP139)), "")), 2), "")</f>
        <v/>
      </c>
      <c r="FU139" s="253" t="str">
        <f>IFERROR(ROUND(IF(CD139="ERROR", "ERROR", IF(AND(Y139=$FU$6, E139="Interior"), IF(BS139="N", 'Lookup Tables'!$AM$101*BP139, VLOOKUP(W139, 'Lookup Tables'!$AI$6:$AM$102, 5, FALSE)*S139*AD139), "")), 2), "")</f>
        <v/>
      </c>
      <c r="FV139" s="253" t="str">
        <f>IFERROR(ROUND(IF(CD139="ERROR", "ERROR", IF(AND(Y139=$FU$6, E139="Exterior"), IF(BS139="N", 'Lookup Tables'!$AM$101*BP139, VLOOKUP(W139, 'Lookup Tables'!$AI$6:$AM$102, 5, FALSE)*S139*AD139), "")), 2), "")</f>
        <v/>
      </c>
      <c r="FW139" s="253" t="str">
        <f>IFERROR(ROUND(IF(CD139="ERROR", "ERROR", IF($FW$6=Y139, IF(BS139="N", 'Lookup Tables'!$AM$101*BP139, MIN((VLOOKUP(W139, 'Lookup Tables'!$AI$6:$AM$102, 5, FALSE)*BP139),GB139*AJ139)), "")), 2), "")</f>
        <v/>
      </c>
      <c r="FX139" s="253" t="str">
        <f>IFERROR(ROUND(IF(CD139="ERROR", "ERROR", IF(AND($FX$6=Y139, E139="Interior"), IF(VLOOKUP(W139, 'Lookup Tables'!$AI$6:$AM$102, 5, FALSE)*BP139&gt;'Lookup Tables'!$AQ$97*'Lighting Inventory'!S139,'Lighting Inventory'!S139*'Lookup Tables'!$AQ$97,VLOOKUP(W139, 'Lookup Tables'!$AI$6:$AM$102, 5, FALSE)*BP139), "")), 2), "")</f>
        <v/>
      </c>
      <c r="FY139" s="253" t="str">
        <f>IFERROR(ROUND(IF(CD139="ERROR", "ERROR", IF(AND($FX$6=Y139, E139="Exterior"), IF(VLOOKUP(W139, 'Lookup Tables'!$AI$6:$AM$102, 5, FALSE)*BP139&gt;'Lookup Tables'!$AQ$97*'Lighting Inventory'!S139,'Lighting Inventory'!S139*'Lookup Tables'!$AQ$97,VLOOKUP(W139, 'Lookup Tables'!$AI$6:$AM$102, 5, FALSE)*BP139), "")), 2), "")</f>
        <v/>
      </c>
      <c r="FZ139" s="253" t="str">
        <f>IFERROR(ROUND(IF(CD139="ERROR", "ERROR", IF(AND($FZ$6=Y139, E139="Interior"), IF(AND(OR(W139="Refrigerated Case Lighting with Doors", W139="Freezer Case Lighting"),Y139="Custom - Process Improvement"),CD139*'Lookup Tables'!$AM$101, IF(B139="Retrofit", IF(VLOOKUP(IF(V139="Custom", V139, W139), 'Lookup Tables'!$AI$6:$AM$102, 5, FALSE)*BP139&gt;GE139, GE139, VLOOKUP(IF(V139="Custom", V139, W139), 'Lookup Tables'!$AI$6:$AM$102, 5, FALSE)*BP139), IF(VLOOKUP(IF(V139="Custom", V139, W139), 'Lookup Tables'!$AI$114:$AM$154, 5, FALSE)*BP139&gt;GE139, GE139, VLOOKUP(IF(V139="Custom", V139, W139), 'Lookup Tables'!$AI$114:$AM$154, 5, FALSE)*BP139))), "")), 2),"")</f>
        <v/>
      </c>
      <c r="GA139" s="253" t="str">
        <f>IFERROR(ROUND(IF(CD139="ERROR", "ERROR", IF(AND($FZ$6=Y139, E139="Exterior"), IF(B139="Retrofit", IF(VLOOKUP(IF(V139="Custom", V139, W139), 'Lookup Tables'!$AI$6:$AM$102, 5, FALSE)*BP139&gt;GE139, GE139, VLOOKUP(IF(V139="Custom", V139, W139), 'Lookup Tables'!$AI$6:$AM$102, 5, FALSE)*BP139), IF(VLOOKUP(IF(V139="Custom", V139, W139), 'Lookup Tables'!$AI$114:$AM$154, 5, FALSE)*BP139&gt;GE139, GE139, VLOOKUP(IF(V139="Custom", V139, W139), 'Lookup Tables'!$AI$114:$AM$154, 5, FALSE)*BP139)), "")), 2),"")</f>
        <v/>
      </c>
      <c r="GB139" s="254" t="str">
        <f t="array" ref="GB139">IF(B139="","",IF(OR(V139="Custom",V139="No Change"),0,IF(B139="Retrofit", INDEX('Lookup Tables'!$AH$6:$AQ$102,MATCH(1,('Lookup Tables'!$AH$6:$AH$102='Lighting Inventory'!V139)*('Lookup Tables'!$AI$6:$AI$102='Lighting Inventory'!W139),FALSE),10),INDEX('Lookup Tables'!$AH$114:$AQ$154,MATCH(1,('Lookup Tables'!$AH$114:$AH$154='Lighting Inventory'!V139)*('Lookup Tables'!$AI$114:$AI$154='Lighting Inventory'!W139),FALSE),10))))</f>
        <v/>
      </c>
      <c r="GC139" s="255" t="str">
        <f t="shared" ref="GC139:GC202" si="447">IFERROR(IF(OR(GB139="", GB139=0, AE139=""),"", IF(SUM(BP139:BP139)*0.025&gt;(GB139*S139), "Yes", "No")), "")</f>
        <v/>
      </c>
      <c r="GD139" s="250" t="str">
        <f t="shared" ref="GD139:GD202" si="448">IF(BW139="Y", BP139, IFERROR(BQ139+IF(BW139="N", BP139, ""), ""))</f>
        <v/>
      </c>
      <c r="GE139" s="253" t="str">
        <f>IFERROR(IF(AND(AF139="", 'General Information'!$F$18="No"),"", IF(AF139="", ((GD139/$CD$266)*$CF$266)*0.5, AF139*S139*0.5)), "")</f>
        <v/>
      </c>
      <c r="GF139" s="255" t="str">
        <f>IF(AND('General Information'!$F$19="", 'General Information'!$F$18="Yes",AF139="",BW139="Y"), "Y", "N")</f>
        <v>N</v>
      </c>
      <c r="GG139" s="255" t="s">
        <v>2946</v>
      </c>
      <c r="GH139" s="255" t="str">
        <f>IFERROR(IF(B139="", "", VLOOKUP(J139, 'Fixture Identities'!$A$6:$N$908, 14, FALSE)), "")</f>
        <v/>
      </c>
      <c r="GI139" s="389" t="str">
        <f>IF(OR(B139="", V139="", W139=""), "", IF(AND(OR(M139='Lookup Tables'!$R$18, M139='Lookup Tables'!$R$19, M139='Lookup Tables'!$R$20, M139='Lookup Tables'!$R$21, M139='Lookup Tables'!$R$22), OR(AN139='Lookup Tables'!$R$17, AN139='Lookup Tables'!$R$17, AN139="")), "Y", "N"))</f>
        <v/>
      </c>
      <c r="GJ139" s="255" t="str">
        <f t="shared" ref="GJ139:GJ202" si="449">IF(OR(B139="", E139="", F139=""),"", IF(E139="Interior", IF(AND(E139="Interior",ISNA(VLOOKUP(F139,Building_Type_Interior,1,FALSE))=FALSE), "N", "Y"), IF(AND(E139="Exterior",ISNA(VLOOKUP(F139,Building_Type_Exterior,1,FALSE))=FALSE), "N", "Y")))</f>
        <v/>
      </c>
      <c r="GK139" s="255" t="str">
        <f t="shared" ref="GK139:GK202" si="450">IF(OR(B139="",E139="",G139=""),"",IF(E139="Interior",IF(ISNA(VLOOKUP(G139,Cooled,1,FALSE)),"Y","N"),IF(ISNA(VLOOKUP(G139,Uncooled,1,FALSE)),"Y","N")))</f>
        <v/>
      </c>
      <c r="GL139" s="255" t="str">
        <f t="shared" ref="GL139:GL202" si="451">IF(OR(B139="",E139="",H139=""),"",IF(E139="Interior",IF(ISNA(VLOOKUP(H139,Heated,1,FALSE)),"Y","N"),IF(ISNA(VLOOKUP(H139,Unheated,1,FALSE)),"Y","N")))</f>
        <v/>
      </c>
      <c r="GM139" s="255" t="str">
        <f>IF(AN139="", "", IF(AND(IF(ISNA(VLOOKUP(AN139,'Lookup Tables'!$R$18:$R$22,1,FALSE)), "N", "Y")="Y", E139="Exterior"), "Y", "N"))</f>
        <v/>
      </c>
      <c r="GN139" s="395"/>
      <c r="GO139" s="428">
        <f t="shared" si="394"/>
        <v>0</v>
      </c>
      <c r="GP139" s="428">
        <f t="shared" si="397"/>
        <v>0</v>
      </c>
      <c r="GQ139" s="428">
        <f t="shared" si="395"/>
        <v>0</v>
      </c>
      <c r="GR139" s="428">
        <f t="shared" si="396"/>
        <v>0</v>
      </c>
    </row>
    <row r="140" spans="1:200" s="103" customFormat="1" ht="13.5" customHeight="1" x14ac:dyDescent="0.2">
      <c r="A140" s="272">
        <v>130</v>
      </c>
      <c r="B140" s="110"/>
      <c r="C140" s="110"/>
      <c r="D140" s="110"/>
      <c r="E140" s="110"/>
      <c r="F140" s="110"/>
      <c r="G140" s="110"/>
      <c r="H140" s="110"/>
      <c r="I140" s="29"/>
      <c r="J140" s="29"/>
      <c r="K140" s="272" t="str">
        <f>IFERROR(IF(OR(VLOOKUP(J140, 'Fixture Identities'!$A$6:$L$1023, 3, FALSE)="T12 Linear Fluorescent", VLOOKUP(J140, 'Fixture Identities'!$A$6:$L$1023, 3, FALSE)="T12 U-Tube Fluorescent"), VLOOKUP(VLOOKUP(J140, 'Fixture Identities'!$A$6:$L$1023, 11, FALSE), 'Fixture Identities'!$A$6:$L$1023, 10, FALSE), VLOOKUP(J140, 'Fixture Identities'!$A$6:$L$1023, 10, FALSE)), "")</f>
        <v/>
      </c>
      <c r="L140" s="270" t="str">
        <f t="shared" si="399"/>
        <v/>
      </c>
      <c r="M140" s="110"/>
      <c r="N140" s="110"/>
      <c r="O140" s="110"/>
      <c r="P140" s="272" t="str">
        <f>IFERROR(IF(OR(B140="Retrofit",B140=""),"",IF('Lighting Inventory'!E140="Exterior",VLOOKUP('Lighting Inventory'!N140,'Lookup Tables'!$B$83:$F$103,5,FALSE),IF(N140="Other - Please Estimate EFLH and CFs","Contact Prog. Rep.","ft^2"))), "")</f>
        <v/>
      </c>
      <c r="Q140" s="270" t="str">
        <f>IFERROR(IF(AND(B140="New Construction",E140="Interior",$F$5="Space-by-Space"),VLOOKUP('Lighting Inventory'!N140,'Lookup Tables'!$N$6:$O$97,2,FALSE),IF(AND(B140="New Construction",E140="Exterior"),VLOOKUP(N140,'Lookup Tables'!$B$83:$F$103,2,FALSE),IF(AND(B140="New Construction",'Lighting Inventory'!E140="Interior", $F$5="Building Area"),VLOOKUP(F140,'Lookup Tables'!$A$6:$J$59,10,FALSE),""))), "")</f>
        <v/>
      </c>
      <c r="R140" s="270" t="str">
        <f>IFERROR(IF(P140="Contact Prog. Rep.", "ERROR", IF(OR(B140="",B140="Retrofit"),"",IF(N140="Automated teller machines", ('Lookup Tables'!$A$82:$E$100+('Lighting Inventory'!O140-1)*'Lookup Tables'!$A$82:$E$100)/1000, (Q140*O140)/1000))), "")</f>
        <v/>
      </c>
      <c r="S140" s="595"/>
      <c r="T140" s="105" t="str">
        <f t="shared" ref="T140:T203" si="452">IF(S140="","",S140)</f>
        <v/>
      </c>
      <c r="U140" s="105" t="str">
        <f>IF(S140="","",COUNT($S$11:S140))</f>
        <v/>
      </c>
      <c r="V140" s="111"/>
      <c r="W140" s="112"/>
      <c r="X140" s="105" t="str">
        <f t="shared" ref="X140:X203" si="453">IF(W140="T8 Fluorescent - Retrofit","T8",IF(W140="T5 Fluorescent - Retrofit","T5",IF(W140="T8 Fluorescent - Delamp","T8",IF(W140="T5 Fluorescent - Delamp", "T5",""))))</f>
        <v/>
      </c>
      <c r="Y140" s="105" t="str">
        <f t="array" ref="Y140">IF(AND(OR(W140="Freezer Case Lighting", W140="Refrigerated Case Lighting with Doors"), 'General Information'!$X$18="LCI"),'Lookup Tables'!$Y$34, IF(V140="Custom", VLOOKUP(W140, 'Fixture Identities'!$A$974:$M$1023, 13, FALSE), IF(V140="No Change",'Lookup Tables'!$Y$29,IF(OR(V140="",W140=""),"",IF(AND(S140=0,S140&lt;I140,B140="Retrofit"),'Lookup Tables'!$Y$25, IF(B140="Retrofit", INDEX('Lookup Tables'!$AH$6:$AP$102, MATCH(1, ('Lookup Tables'!$AH$6:$AH$102=V140)*('Lookup Tables'!$AI$6:$AI$102=W140), 0), IF('Lighting Inventory'!E140="Interior", 4, 5)), INDEX('Lookup Tables'!$AH$114:$AP$154, MATCH(1, ('Lookup Tables'!$AH$114:$AH$154=V140)*('Lookup Tables'!$AI$114:$AI$154=W140), 0), IF('Lighting Inventory'!E140="Interior", 4, 5))))))))</f>
        <v/>
      </c>
      <c r="Z140" s="105" t="str">
        <f>IFERROR(INDEX('Lookup Tables'!$AH$158:$AH$172,MATCH('Lighting Inventory'!Y140,'Lookup Tables'!$AI$158:$AI$172,0)),"")</f>
        <v/>
      </c>
      <c r="AA140" s="105" t="str">
        <f>IF(AP140&gt;0,INDEX('Lookup Tables'!$AK$158:$AK$172,MATCH('Lighting Inventory'!Y140,'Lookup Tables'!$AI$158:$AI$172,0)),'Lighting Inventory'!Y140)</f>
        <v/>
      </c>
      <c r="AB140" s="105" t="str">
        <f t="array" ref="AB140">IF(V140="Custom", "Custom", IF(V140="", "", IF(V140="Not DLC or Energy Star", "General", IF(B140="New Construction", INDEX('Lookup Tables'!$AH$114:$AP$154,MATCH(1,('Lookup Tables'!$AH$114:$AH$154='Lighting Inventory'!V140)*('Lookup Tables'!$AI$114:$AI$154='Lighting Inventory'!W140),FALSE),8), INDEX('Lookup Tables'!$AH$6:$AP$102,MATCH(1,('Lookup Tables'!$AH$6:$AH$102='Lighting Inventory'!V140)*('Lookup Tables'!$AI$6:$AI$102='Lighting Inventory'!W140),FALSE),8)))))</f>
        <v/>
      </c>
      <c r="AC140" s="272" t="str">
        <f>IF(W140="","",IF(V140="Custom",CONCATENATE("$",'Lookup Tables'!$AM$101," ",'Lookup Tables'!$AN$101),CONCATENATE("$",INDEX('Lookup Tables'!$AM$6:$AM$102,MATCH('Lighting Inventory'!W140,'Lookup Tables'!$AI$6:$AI$102,0))," ",INDEX('Lookup Tables'!$AN$6:$AN$102,MATCH('Lighting Inventory'!W140,'Lookup Tables'!$AI$6:$AI$102,0)))))</f>
        <v/>
      </c>
      <c r="AD140" s="72"/>
      <c r="AE140" s="29"/>
      <c r="AF140" s="379"/>
      <c r="AG140" s="370" t="str">
        <f t="shared" si="401"/>
        <v/>
      </c>
      <c r="AH140" s="370" t="str">
        <f t="shared" ref="AH140:AH203" si="454">IF(S140="","",AF140*S140)</f>
        <v/>
      </c>
      <c r="AI140" s="29"/>
      <c r="AJ140" s="29"/>
      <c r="AK140" s="110"/>
      <c r="AL140" s="375" t="str">
        <f>IF(OR(B140="", V140="", W140=""), "", IF(V140="No Change", K140, IF(V140="Remove Fixture", 0, IF(V140="Custom",VLOOKUP(W140,'Fixture Identities'!$A$6:$K$1023,10,FALSE),IF(AE140="", "← ENTER POST WATTS", 'Lighting Inventory'!AE140)))))</f>
        <v/>
      </c>
      <c r="AM140" s="376" t="str">
        <f t="shared" si="402"/>
        <v/>
      </c>
      <c r="AN140" s="29"/>
      <c r="AO140" s="671"/>
      <c r="AP140" s="29"/>
      <c r="AQ140" s="29"/>
      <c r="AR140" s="29"/>
      <c r="AS140" s="272" t="str">
        <f t="shared" ref="AS140:AS203" si="455">IF(AP140="","",AR140*AP140)</f>
        <v/>
      </c>
      <c r="AT140" s="270" t="str">
        <f t="shared" si="403"/>
        <v/>
      </c>
      <c r="AU140" s="88" t="str">
        <f t="shared" si="400"/>
        <v/>
      </c>
      <c r="AV140" s="29"/>
      <c r="AW140" s="73"/>
      <c r="AX140" s="271" t="str">
        <f>IF(AND(AV140="Applicant",OR(AW140="", AW140="Use Default Facility Hours")),"← Choose Schedule",IF(F140="","",IF(W140="LED Exit Signs",8760,IF(OR(AV140="Prescribed",AV140=""),VLOOKUP(F140,'Lookup Tables'!$A$6:$G$59,IF(AB140="General", 6, 3),FALSE),VLOOKUP(AW140,'Lookup Tables'!$S$36:$U$43,2,FALSE)))))</f>
        <v/>
      </c>
      <c r="AY140" s="88" t="str">
        <f t="shared" si="404"/>
        <v/>
      </c>
      <c r="AZ140" s="270" t="str">
        <f>IFERROR(IF(F140="", "", IF(W140="LED Exit Signs", 1, IF(AV140="Applicant",VLOOKUP(AW140, 'Lookup Tables'!$S$36:$U$43,3, FALSE), VLOOKUP('Lighting Inventory'!F140, 'Lookup Tables'!$A$6:$H$59, IF('Lighting Inventory'!AB140="General",7,4), FALSE)))), "")</f>
        <v/>
      </c>
      <c r="BA140" s="522" t="str">
        <f>IFERROR(IF(F140="", "", IF(W140="LED Exit Signs", 1, VLOOKUP('Lighting Inventory'!F140, 'Lookup Tables'!$A$6:$H$59, IF('Lighting Inventory'!AB140="General",8,5), FALSE))), "")</f>
        <v/>
      </c>
      <c r="BB140" s="270" t="str">
        <f>IF(G140="", "", IF(E140="Exterior", 0, IF('Lighting Inventory'!G140="Air Conditioned", VLOOKUP(H140, 'Lookup Tables'!$R$6:$T$13, 2, FALSE), VLOOKUP('Lighting Inventory'!G140, 'Lookup Tables'!$R$6:$T$13, 2, FALSE))))</f>
        <v/>
      </c>
      <c r="BC140" s="522" t="str">
        <f>IF(G140="", "", IF(E140="Exterior", 0, IF('Lighting Inventory'!G140="Air Conditioned", VLOOKUP(H140, 'Lookup Tables'!$R$6:$T$13, 3, FALSE), VLOOKUP('Lighting Inventory'!G140, 'Lookup Tables'!$R$6:$T$13, 3, FALSE))))</f>
        <v/>
      </c>
      <c r="BD140" s="270" t="str">
        <f>IF(G140="", "", IF(E140="Exterior", 0, IF('Lighting Inventory'!G140="Air Conditioned", VLOOKUP(H140, 'Lookup Tables'!$R$6:$U$13, 4, FALSE), VLOOKUP('Lighting Inventory'!G140, 'Lookup Tables'!$R$6:$U$13, 4, FALSE))))</f>
        <v/>
      </c>
      <c r="BE140" s="270" t="str">
        <f>IFERROR(IF(B140="", "",  IF(B140="New Construction", VLOOKUP(F140, 'Lookup Tables'!$A$6:$K$59, 11, FALSE),IF(OR(AN140="", AN140="Light Switch"), 0, IF(OR(M140="",M140="None",V140= "LED Exit Signs"),0,_xlfn.XLOOKUP(M140,'Lookup Tables'!$R$91:$R$101,'Lookup Tables'!$V$91:$V$101))))), "")</f>
        <v/>
      </c>
      <c r="BF140" s="270" t="str">
        <f>IF(AND(OR(AN140="Light Switch",AN140=""),B140="New Construction"), VLOOKUP(F140, 'Lookup Tables'!$A$6:$K$59, 11, FALSE),IF(AN140="","",IF(B140="","",IF(OR(AN140="None",AN140="",V140="LED Exit Signs",AN140="Exterior Controls Not Eligible"),0,_xlfn.XLOOKUP(AN140,'Lookup Tables'!$R$91:$R$101,'Lookup Tables'!$V$91:$V$101)))))</f>
        <v/>
      </c>
      <c r="BG140" s="88" t="str">
        <f t="shared" ref="BG140:BG203" si="456">IFERROR(IF(AND(B140="New Construction", V140="LED Exit Signs"), "", IF(B140="", "", IF(B140="Retrofit", ((L140-AM140)*(1-BE140)*(1+BB140)), (R140-AM140)*((1-BE140)*(1+BB140))))), "")</f>
        <v/>
      </c>
      <c r="BH140" s="88" t="str">
        <f t="shared" ref="BH140:BH203" si="457">IFERROR(IF(OR(E140="",V140="LED Exit Signs"),"", AM140*(BF140-BE140)*(1+BB140)),0)</f>
        <v/>
      </c>
      <c r="BI140" s="558" t="str">
        <f t="shared" si="398"/>
        <v/>
      </c>
      <c r="BJ140" s="82" t="str">
        <f t="shared" ref="BJ140:BJ203" si="458">IFERROR(ROUND(IF(AND(B140="New Construction", V140="LED Exit Signs"), "", IF(B140="", "", IF(B140="Retrofit", ((L140-AM140)*AZ140*(1-BE140)*(1+BB140)), (R140-AM140)*(AZ140*(1-BE140)*(1+BB140))))),6), "")</f>
        <v/>
      </c>
      <c r="BK140" s="82" t="str">
        <f t="shared" ref="BK140:BK203" si="459">IFERROR(ROUND(IF(OR(E140="",V140="LED Exit Signs"),"", AM140*AZ140*(BF140-BE140)*(1+BB140)),6),"")</f>
        <v/>
      </c>
      <c r="BL140" s="559" t="str">
        <f t="shared" ref="BL140:BL203" si="460">IFERROR(ROUND(IF(AND(B140="New Construction", V140="LED Exit Signs"), "", IF(B140="", "", SUM(BJ140:BK140))),6),"")</f>
        <v/>
      </c>
      <c r="BM140" s="521" t="str">
        <f t="shared" si="405"/>
        <v/>
      </c>
      <c r="BN140" s="521" t="str">
        <f t="shared" si="406"/>
        <v/>
      </c>
      <c r="BO140" s="522" t="str">
        <f t="shared" si="407"/>
        <v/>
      </c>
      <c r="BP140" s="83" t="str">
        <f t="shared" ref="BP140:BP203" si="461">IFERROR(ROUND(IF(AND(B140="New Construction", V140="LED Exit Signs"), "",IF(B140="", "", IF(B140="Retrofit", ((L140-AM140)*AX140*(1-BE140)*(1+BD140)), (R140-AM140)*AX140*(1-BE140)*(1+BD140)))),4), "")</f>
        <v/>
      </c>
      <c r="BQ140" s="84" t="str">
        <f t="shared" ref="BQ140:BQ203" si="462">IFERROR(ROUND(IF(B140="", "", IF(E140="",0, AM140*AX140*(BF140-BE140)*(1+BD140))),4),"")</f>
        <v/>
      </c>
      <c r="BR140" s="184" t="str">
        <f>IFERROR(IF(B140="", "", IF(OR(VLOOKUP(J140, 'Fixture Identities'!$A$6:$L$1023, 3, FALSE)="T12 Linear Fluorescent",VLOOKUP(J140, 'Fixture Identities'!$A$6:$L$1023, 3, FALSE)="T12 U-Tube Fluorescent"), "Y", "N")), "N")</f>
        <v/>
      </c>
      <c r="BS140" s="184" t="str">
        <f t="array" ref="BS140">IFERROR(IF(OR(B140="", V140="", W140=""), "", IF(V140="Custom", "N", IF(OR(W140="Freezer Case Lighting", W140="Refrigerated Case Lighting with Doors"), BT140, IF(B140="Retrofit", INDEX('Lookup Tables'!$AH$6:$AT$102,MATCH(1,('Lookup Tables'!$AH$6:$AH$102=V140)*('Lookup Tables'!$AI$6:$AI$102=W140),FALSE),IF(VLOOKUP(J140, 'Fixture Identities'!$A$6:$B$1023, 2, FALSE)="Incandescent",12, 13)), INDEX('Lookup Tables'!$AH$114:$AS$154,MATCH(1,('Lookup Tables'!$AH$114:$AH$154=V140)*('Lookup Tables'!$AI$114:$AI$154=W140),FALSE),12))))), "N")</f>
        <v/>
      </c>
      <c r="BT140" s="184" t="str">
        <f>IF(J140="", "", IF(AND(OR(W140="Freezer case Lighting", W140="Refrigerated Case Lighting with Doors"),'General Information'!$X$18="LCI"), "N", IF(OR(VLOOKUP(J140, 'Fixture Identities'!$A$6:$B$1023, 2, FALSE)="T12 EPACT/EISA Baseline", VLOOKUP(J140, 'Fixture Identities'!$A$6:$B$1023, 2, FALSE)="Linear Fluorescent", VLOOKUP(J140, 'Fixture Identities'!$A$6:$B$1023, 2, FALSE)="U-Tube Fluorescent"), "Y", "N")))</f>
        <v/>
      </c>
      <c r="BU140" s="184" t="str">
        <f>IFERROR(IF(B140="", "", IF(VLOOKUP(J140, 'Fixture Identities'!$A$6:$B$1023, 2, FALSE)="Exit Sign", "Y", "N")), "N")</f>
        <v/>
      </c>
      <c r="BV140" s="184" t="str">
        <f>IF(V140="Exit Signs", IF(VLOOKUP(J140, 'Fixture Identities'!$A$6:$B$1023, 2, FALSE)="Exit Sign", "N", "Y"), "")</f>
        <v/>
      </c>
      <c r="BW140" s="184" t="str">
        <f t="array" ref="BW140">IFERROR(IF(B140="", "", IF(B140="New Construction", "N", INDEX('Lookup Tables'!$AH$6:$AU$102, MATCH(1, ('Lookup Tables'!$AH$6:$AH$102='Lighting Inventory'!V140)*('Lookup Tables'!$AI$6:$AI$102='Lighting Inventory'!W140), 0), 14))), "N")</f>
        <v/>
      </c>
      <c r="BX140" s="598" t="str">
        <f t="shared" ref="BX140:BX203" si="463">IFERROR(IF(B140="", "", SUM(FF140:FH140)), "")</f>
        <v/>
      </c>
      <c r="BY140" s="598" t="str">
        <f t="shared" ref="BY140:BY203" si="464">IF(BX140="", "",IF(IF(BX140&gt;((AF140*S140)+(AP140*AR140)),((AF140*S140)+(AP140*AR140)),BX140)+CA140&gt;(AF140*S140)+(AP140*AR140),(AF140*S140)+(AP140*AR140)-CA140,IF(BX140&gt;((AF140*S140)+(AP140*AR140)),((AF140*S140)+(AP140*AR140)),BX140)))</f>
        <v/>
      </c>
      <c r="BZ140" s="598" t="str">
        <f t="shared" ref="BZ140:BZ203" si="465">IFERROR(IF(B140="", "", SUM(FI140:GA140)), "")</f>
        <v/>
      </c>
      <c r="CA140" s="598" t="str">
        <f t="shared" ref="CA140:CA203" si="466">IF(BZ140="", "",IF(BZ140&gt;((AF140*S140)+(AP140*AR140)),((AF140*S140)+(AP140*AR140)),BZ140))</f>
        <v/>
      </c>
      <c r="CB140" s="269" t="str">
        <f t="shared" ref="CB140:CB203" si="467">IFERROR(ROUND(IF(B140="", "", SUM(FF140:GA140)),2), "")</f>
        <v/>
      </c>
      <c r="CC140" s="517" t="str">
        <f t="shared" ref="CC140:CC203" si="468">IFERROR(ROUND(IF(CB140="", "",IF(CB140&gt;(BY140+CA140),(BY140+CA140),CB140)),2),"")</f>
        <v/>
      </c>
      <c r="CD140" s="565" t="str">
        <f t="shared" si="408"/>
        <v/>
      </c>
      <c r="CE140" s="368">
        <v>0</v>
      </c>
      <c r="CF140" s="368" t="str" cm="1">
        <f t="array" ref="CF140">IFERROR(IF(V140="Custom", "$0.1 per kWh", IF(B140="New Construction", CONCATENATE("$",INDEX('Lookup Tables'!$AH$114:$AN$154,MATCH(1,('Lookup Tables'!$AH$114:$AH$154='Lighting Inventory'!V140)*('Lookup Tables'!$AI$114:$AI$154='Lighting Inventory'!W140),FALSE),6)," ",INDEX('Lookup Tables'!$AH$114:$AN$154,MATCH(1,('Lookup Tables'!$AH$114:$AH$154='Lighting Inventory'!V140)*('Lookup Tables'!$AI$114:$AI$154='Lighting Inventory'!W140),FALSE),7)), IF(AND(BU140="N", V140="Exit Signs"), "$0.025 per kWh", CONCATENATE("$",INDEX('Lookup Tables'!$AH$6:$AN$102,MATCH(1,('Lookup Tables'!$AH$6:$AH$102='Lighting Inventory'!V140)*('Lookup Tables'!$AI$6:$AI$102='Lighting Inventory'!W140),FALSE),6)," ",INDEX('Lookup Tables'!$AH$6:$AN$102,MATCH(1,('Lookup Tables'!$AH$6:$AH$102='Lighting Inventory'!V140)*('Lookup Tables'!$AI$6:$AI$102='Lighting Inventory'!W140),FALSE),7))))), "")</f>
        <v/>
      </c>
      <c r="CG140" s="366"/>
      <c r="CH140" s="248" t="str">
        <f t="shared" si="409"/>
        <v/>
      </c>
      <c r="CI140" s="248" t="str">
        <f t="shared" si="410"/>
        <v>Select_IE</v>
      </c>
      <c r="CJ140" s="248" t="str">
        <f t="shared" si="411"/>
        <v/>
      </c>
      <c r="CK140" s="248" t="str">
        <f t="shared" si="412"/>
        <v/>
      </c>
      <c r="CL140" s="248" t="str">
        <f t="shared" si="413"/>
        <v/>
      </c>
      <c r="CM140" s="248" t="str">
        <f>IFERROR(IF(B140="", "", IF(B140="New Construction", VLOOKUP(V140, 'Lookup Tables'!$AF$114:$AG$120, 2, FALSE), VLOOKUP(V140, 'Lookup Tables'!$AD$6:$AE$25, 2, FALSE))), "")</f>
        <v/>
      </c>
      <c r="CN140" s="248" t="str">
        <f t="shared" si="414"/>
        <v/>
      </c>
      <c r="CO140" s="248" t="str">
        <f t="shared" si="415"/>
        <v/>
      </c>
      <c r="CP140" s="592" t="str">
        <f t="shared" si="416"/>
        <v/>
      </c>
      <c r="CQ140" s="248" t="str">
        <f t="shared" ref="CQ140:CQ203" si="469">IF(E140="","",IF(E140="Exterior","exterior_controls","interior_Controls"))</f>
        <v/>
      </c>
      <c r="CR140" s="100"/>
      <c r="CS140" s="250" t="str">
        <f t="shared" si="417"/>
        <v/>
      </c>
      <c r="CT140" s="250" t="str">
        <f t="shared" ref="CT140:CT203" si="470">IF(CD140="ERROR", "ERROR", IF(AND(X140=$CT$7, E140="Interior"), BJ140, ""))</f>
        <v/>
      </c>
      <c r="CU140" s="250" t="str">
        <f t="shared" ref="CU140:CU203" si="471">IF(CD140="ERROR", "ERROR", IF(AND(X140=$CT$7, E140="Exterior"), BJ140, ""))</f>
        <v/>
      </c>
      <c r="CV140" s="250" t="str">
        <f t="shared" ref="CV140:CV203" si="472">IF(CD140="ERROR", "ERROR", IF(AND(X140=$CV$7, E140="Interior"), BJ140, ""))</f>
        <v/>
      </c>
      <c r="CW140" s="250" t="str">
        <f t="shared" ref="CW140:CW203" si="473">IF(CD140="ERROR", "ERROR", IF(AND(X140=$CV$7, E140="Exterior"), BJ140, ""))</f>
        <v/>
      </c>
      <c r="CX140" s="250" t="str">
        <f t="shared" si="418"/>
        <v/>
      </c>
      <c r="CY140" s="250" t="str">
        <f t="shared" si="419"/>
        <v/>
      </c>
      <c r="CZ140" s="250" t="str">
        <f t="shared" si="420"/>
        <v/>
      </c>
      <c r="DA140" s="250" t="str">
        <f t="shared" si="421"/>
        <v/>
      </c>
      <c r="DB140" s="250" t="str">
        <f t="shared" si="422"/>
        <v/>
      </c>
      <c r="DC140" s="250" t="str">
        <f t="shared" si="423"/>
        <v/>
      </c>
      <c r="DD140" s="250" t="str">
        <f t="shared" si="424"/>
        <v/>
      </c>
      <c r="DE140" s="250" t="str">
        <f t="shared" si="425"/>
        <v/>
      </c>
      <c r="DF140" s="250" t="str">
        <f t="shared" si="426"/>
        <v/>
      </c>
      <c r="DG140" s="250" t="str">
        <f t="shared" si="427"/>
        <v/>
      </c>
      <c r="DH140" s="250" t="str">
        <f t="shared" si="428"/>
        <v/>
      </c>
      <c r="DI140" s="250" t="str">
        <f t="shared" si="429"/>
        <v/>
      </c>
      <c r="DJ140" s="250" t="str">
        <f t="shared" si="430"/>
        <v/>
      </c>
      <c r="DK140" s="250" t="str">
        <f t="shared" si="431"/>
        <v/>
      </c>
      <c r="DL140" s="250" t="str">
        <f t="shared" si="432"/>
        <v/>
      </c>
      <c r="DM140" s="250" t="str">
        <f>IF(CD140="ERROR", "ERROR", IF(AND(OR(Y140=$DM$6, Y140='Lookup Tables'!$AD$21, Y140='Lookup Tables'!$AD$22), E140="Interior"), BJ140, ""))</f>
        <v/>
      </c>
      <c r="DN140" s="250" t="str">
        <f>IF(CD140="ERROR", "ERROR", IF(AND(OR(Y140=$DM$6, Y140='Lookup Tables'!$AD$21, Y140='Lookup Tables'!$AD$22), E140="Exterior"), BJ140, ""))</f>
        <v/>
      </c>
      <c r="DO140" s="100"/>
      <c r="DP140" s="250" t="str">
        <f t="shared" si="433"/>
        <v/>
      </c>
      <c r="DQ140" s="250" t="str">
        <f t="shared" ref="DQ140:DQ203" si="474">IF(CD140="ERROR", "ERROR", IF(AND($DQ$7=X140,E140="Interior"), BP140, ""))</f>
        <v/>
      </c>
      <c r="DR140" s="250" t="str">
        <f t="shared" ref="DR140:DR203" si="475">IF(CD140="ERROR", "ERROR", IF(AND($DQ$7=X140,E140="Exterior"), BP140, ""))</f>
        <v/>
      </c>
      <c r="DS140" s="250" t="str">
        <f t="shared" ref="DS140:DS203" si="476">IF(CD140="ERROR", "ERROR", IF(AND($DS$7=X140,E140="Interior"), BP140, ""))</f>
        <v/>
      </c>
      <c r="DT140" s="250" t="str">
        <f t="shared" ref="DT140:DT203" si="477">IF(CD140="ERROR", "ERROR", IF(AND($DS$7=X140,E140="Exterior"), BP140, ""))</f>
        <v/>
      </c>
      <c r="DU140" s="250" t="str">
        <f t="shared" si="434"/>
        <v/>
      </c>
      <c r="DV140" s="250" t="str">
        <f t="shared" si="435"/>
        <v/>
      </c>
      <c r="DW140" s="250" t="str">
        <f t="shared" si="436"/>
        <v/>
      </c>
      <c r="DX140" s="250" t="str">
        <f t="shared" si="437"/>
        <v/>
      </c>
      <c r="DY140" s="250" t="str">
        <f t="shared" si="438"/>
        <v/>
      </c>
      <c r="DZ140" s="250" t="str">
        <f t="shared" si="439"/>
        <v/>
      </c>
      <c r="EA140" s="250" t="str">
        <f t="shared" si="440"/>
        <v/>
      </c>
      <c r="EB140" s="250" t="str">
        <f t="shared" ref="EB140:EB203" si="478">IF(CD140="ERROR", "ERROR", IF(AND(Y140=$EB$6, E140="Interior"), BP140, ""))</f>
        <v/>
      </c>
      <c r="EC140" s="250" t="str">
        <f t="shared" si="441"/>
        <v/>
      </c>
      <c r="ED140" s="250" t="str">
        <f t="shared" si="442"/>
        <v/>
      </c>
      <c r="EE140" s="250" t="str">
        <f t="shared" si="443"/>
        <v/>
      </c>
      <c r="EF140" s="250" t="str">
        <f t="shared" si="444"/>
        <v/>
      </c>
      <c r="EG140" s="250" t="str">
        <f t="shared" si="445"/>
        <v/>
      </c>
      <c r="EH140" s="250" t="str">
        <f>IF(CD140="ERROR", "ERROR", IF(AND(OR($EH$6=Y140, Y140='Lookup Tables'!$AD$21, Y140='Lookup Tables'!$AD$22),E140="Interior"), SUM(BP140:BP140), ""))</f>
        <v/>
      </c>
      <c r="EI140" s="250" t="str">
        <f>IF(CD140="ERROR", "ERROR", IF(AND(OR($EH$6=Y140, Y140='Lookup Tables'!$AD$21, Y140='Lookup Tables'!$AD$22),E140="Exterior"), SUM(BP140:BP140), ""))</f>
        <v/>
      </c>
      <c r="EJ140" s="109"/>
      <c r="EK140" s="485" t="str">
        <f t="shared" si="446"/>
        <v/>
      </c>
      <c r="EL140" s="252" t="str">
        <f t="shared" ref="EL140:EL203" si="479">IF(CD140="ERROR", "ERROR", IF(AND($EL$7=X140,E140="Interior"), S140, ""))</f>
        <v/>
      </c>
      <c r="EM140" s="252" t="str">
        <f t="shared" ref="EM140:EM203" si="480">IF(CD140="ERROR", "ERROR", IF(AND($EL$7=X140,E140="Exterior"), S140, ""))</f>
        <v/>
      </c>
      <c r="EN140" s="252" t="str">
        <f t="shared" ref="EN140:EN203" si="481">IF(CD140="ERROR", "ERROR", IF(AND($EN$7=X140,E140="Interior"), S140, ""))</f>
        <v/>
      </c>
      <c r="EO140" s="252" t="str">
        <f t="shared" ref="EO140:EO203" si="482">IF(CD140="ERROR", "ERROR", IF(AND($EN$7=X140,E140="Exterior"), S140, ""))</f>
        <v/>
      </c>
      <c r="EP140" s="252" t="str">
        <f t="shared" ref="EP140:EP203" si="483">IF(CD140="ERROR", "ERROR", IF(AND($EP$6=Y140,E140="Interior"), S140, ""))</f>
        <v/>
      </c>
      <c r="EQ140" s="252" t="str">
        <f t="shared" ref="EQ140:EQ203" si="484">IF(CD140="ERROR", "ERROR", IF(AND($EP$6=Y140,E140="Exterior"), S140, ""))</f>
        <v/>
      </c>
      <c r="ER140" s="252" t="str">
        <f t="shared" ref="ER140:ER203" si="485">IF(CD140="ERROR", "ERROR", IF(AND($ER$6=Y140,E140="Interior"), S140, ""))</f>
        <v/>
      </c>
      <c r="ES140" s="252" t="str">
        <f t="shared" ref="ES140:ES203" si="486">IF(CD140="ERROR", "ERROR", IF(AND($ER$6=Y140,E140="Exterior"), S140, ""))</f>
        <v/>
      </c>
      <c r="ET140" s="252" t="str">
        <f t="shared" ref="ET140:ET203" si="487">IF(CD140="ERROR", "ERROR", IF(AND($ET$6=Y140,E140="Interior"), S140, ""))</f>
        <v/>
      </c>
      <c r="EU140" s="252" t="str">
        <f t="shared" ref="EU140:EU203" si="488">IF(CD140="ERROR", "ERROR", IF(AND($ET$6=Y140,E140="Exterior"), S140, ""))</f>
        <v/>
      </c>
      <c r="EV140" s="252" t="str">
        <f t="shared" ref="EV140:EV203" si="489">IF(CD140="ERROR", "ERROR", IF(AND($EV$6=Y140,E140="Exterior"), S140, ""))</f>
        <v/>
      </c>
      <c r="EW140" s="252" t="str">
        <f t="shared" ref="EW140:EW203" si="490">IF(CD140="ERROR", "ERROR", IF(AND($EW$6=Y140,E140="Interior"), S140, ""))</f>
        <v/>
      </c>
      <c r="EX140" s="252" t="str">
        <f t="shared" ref="EX140:EX203" si="491">IF(CD140="ERROR", "ERROR", IF(AND(Y140=$EX$6, E140="Interior"), S140, ""))</f>
        <v/>
      </c>
      <c r="EY140" s="252" t="str">
        <f t="shared" ref="EY140:EY203" si="492">IF(CD140="ERROR", "ERROR", IF(AND(Y140=$EX$6, E140="Exterior"), S140, ""))</f>
        <v/>
      </c>
      <c r="EZ140" s="252" t="str">
        <f t="shared" ref="EZ140:EZ203" si="493">IF(CD140="ERROR", "ERROR", IF($EZ$6=Y140, AJ140, ""))</f>
        <v/>
      </c>
      <c r="FA140" s="252" t="str">
        <f t="shared" ref="FA140:FA203" si="494">IF(CD140="ERROR", "ERROR", IF(AND($FA$6=Y140, E140="Interior"), S140, ""))</f>
        <v/>
      </c>
      <c r="FB140" s="252" t="str">
        <f t="shared" ref="FB140:FB203" si="495">IF(CD140="ERROR", "ERROR", IF(AND($FA$6=Y140,E140="Exterior"), S140, ""))</f>
        <v/>
      </c>
      <c r="FC140" s="252" t="str">
        <f>IF(CD140="ERROR", "ERROR", IF(OR(V140="No Change", V140="Not DLC or Energy Star"), "", IF(AND(OR($FC$6=Y140,Y140='Lookup Tables'!$AD$21, Y140='Lookup Tables'!$AD$22),E140="Interior"), S140, "")))</f>
        <v/>
      </c>
      <c r="FD140" s="252" t="str">
        <f t="shared" ref="FD140:FD203" si="496">IF(CD140="ERROR", "ERROR", IF(V140="No Change", "", IF(AND($FC$6=Y140,E140="Exterior"), S140, "")))</f>
        <v/>
      </c>
      <c r="FE140" s="101"/>
      <c r="FF140" s="579" t="str" cm="1">
        <f t="array" ref="FF140">IFERROR(IF(OR(BQ140&lt;=0,AQ140&lt;20,AND(V140="Exit Signs",AN140&gt;0)),"",IF(AND(AQ140&gt;=20,AN140='Lookup Tables'!$R$101),'Lookup Tables'!$U$101*BQ140,AP140*LOOKUP(2,1/((AN140='Lookup Tables'!$R$91:$R$111)*(AQ140&gt;='Lookup Tables'!$S$91:$S$111)*(AQ140&lt;='Lookup Tables'!$T$91:$T$111)),'Lookup Tables'!$U$91:$U$111))),"")</f>
        <v/>
      </c>
      <c r="FG140" s="579"/>
      <c r="FH140" s="579"/>
      <c r="FI140" s="253" t="str">
        <f>IFERROR(ROUND(IF(CD140="ERROR", "ERROR", IF(AND($FI$7=X140,E140="Interior"),VLOOKUP(W140, 'Lookup Tables'!$AI$6:$AM$102, 5, FALSE)*BP140, "")), 2), "")</f>
        <v/>
      </c>
      <c r="FJ140" s="253" t="str">
        <f>IFERROR(ROUND(IF(CD140="ERROR", "ERROR", IF(AND($FI$7=X140,E140="Exterior"),VLOOKUP(W140, 'Lookup Tables'!$AI$6:$AM$102, 5, FALSE)*BP140, "")), 2), "")</f>
        <v/>
      </c>
      <c r="FK140" s="253" t="str">
        <f>IFERROR(ROUND(IF(CD140="ERROR", "ERROR", IF(AND($FK$7=X140,E140="Interior"),VLOOKUP(W140, 'Lookup Tables'!$AI$6:$AM$102, 5, FALSE)*BP140, "")), 2), "")</f>
        <v/>
      </c>
      <c r="FL140" s="253" t="str">
        <f>IFERROR(ROUND(IF(CD140="ERROR", "ERROR", IF(AND($FK$7=X140,E140="Exterior"),VLOOKUP(W140, 'Lookup Tables'!$AI$6:$AM$102, 5, FALSE)*BP140, "")), 2), "")</f>
        <v/>
      </c>
      <c r="FM140" s="253" t="str">
        <f>IFERROR(ROUND(IF(CD140="ERROR", "ERROR", IF(AND($FM$6=Y140,E140="Interior"), IF(GB140=0, VLOOKUP(W140, 'Lookup Tables'!$AI$6:$AM$102, 5, FALSE)*BP140, IF(VLOOKUP(W140, 'Lookup Tables'!$AI$6:$AM$102, 5, FALSE)*BP140&gt;GB140*'Lighting Inventory'!S140, GB140*'Lighting Inventory'!S140,VLOOKUP(W140, 'Lookup Tables'!$AI$6:$AM$102, 5, FALSE)*BP140)), "")), 2), "")</f>
        <v/>
      </c>
      <c r="FN140" s="253" t="str">
        <f>IFERROR(ROUND(IF(CD140="ERROR", "ERROR", IF(AND($FM$6=Y140,E140="Exterior"), IF(GB140=0, VLOOKUP(W140, 'Lookup Tables'!$AI$6:$AM$102, 5, FALSE)*BP140, IF(VLOOKUP(W140, 'Lookup Tables'!$AI$6:$AM$102, 5, FALSE)*BP140&gt;GB140*'Lighting Inventory'!S140, GB140*'Lighting Inventory'!S140,VLOOKUP(W140, 'Lookup Tables'!$AI$6:$AM$102, 5, FALSE)*BP140)), "")), 2), "")</f>
        <v/>
      </c>
      <c r="FO140" s="253" t="str">
        <f>IFERROR(ROUND(IF(CD140="ERROR", "ERROR", IF(AND($FO$6=Y140,E140="Interior"),VLOOKUP(W140, 'Lookup Tables'!$AI$6:$AM$102, 5, FALSE)*'Lighting Inventory'!AI140, "")), 2), "")</f>
        <v/>
      </c>
      <c r="FP140" s="253" t="str">
        <f>IFERROR(ROUND(IF(CD140="ERROR", "ERROR", IF(AND($FO$6=Y140,E140="Exterior"),VLOOKUP(W140, 'Lookup Tables'!$AI$6:$AM$102, 5, FALSE)*'Lighting Inventory'!AI140, "")), 2), "")</f>
        <v/>
      </c>
      <c r="FQ140" s="253" t="str">
        <f>IFERROR(ROUND(IF(CD140="ERROR", "ERROR", IF(AND($FQ$6=Y140,E140="Interior", BU140="Y"), VLOOKUP('Lighting Inventory'!W140, 'Lookup Tables'!$AI$6:$AM$102, 5, FALSE)*'Lighting Inventory'!S140, IF(AND($FQ$7=Y140,E140="Interior", BU140="N"), 0.025*CD140, ""))), 2), "")</f>
        <v/>
      </c>
      <c r="FR140" s="253" t="str">
        <f>IFERROR(ROUND(IF(CD140="ERROR", "ERROR", IF(AND($FQ$6=Y140,E140="Exterior"), VLOOKUP('Lighting Inventory'!W140, 'Lookup Tables'!$AI$6:$AM$102, 5, FALSE)*'Lighting Inventory'!S140, "")), 2), "")</f>
        <v/>
      </c>
      <c r="FS140" s="253" t="str">
        <f>IFERROR(ROUND(IF(CD140="ERROR", "ERROR", IF(AND($FS$6=Y140,E140="Exterior"), IF(GB140=0, VLOOKUP(W140, 'Lookup Tables'!$AI$6:$AM$102, 5, FALSE)*BP140, IF(VLOOKUP(W140, 'Lookup Tables'!$AI$6:$AM$102, 5, FALSE)*BP140&gt;GB140*'Lighting Inventory'!S140, GB140*'Lighting Inventory'!S140,VLOOKUP(W140, 'Lookup Tables'!$AI$6:$AM$102, 5, FALSE)*BP140)), "")), 2), "")</f>
        <v/>
      </c>
      <c r="FT140" s="253" t="str">
        <f>IFERROR(ROUND(IF(CD140="ERROR", "ERROR", IF(AND($FT$6=Y140,E140="Interior"), IF(GB140=0, VLOOKUP(W140, 'Lookup Tables'!$AI$6:$AM$102, 5, FALSE)*BP140, IF(VLOOKUP(W140, 'Lookup Tables'!$AI$6:$AM$102, 5, FALSE)*BP140&gt;GB140*'Lighting Inventory'!S140, GB140*'Lighting Inventory'!S140,VLOOKUP(W140, 'Lookup Tables'!$AI$6:$AM$102, 5, FALSE)*BP140)), "")), 2), "")</f>
        <v/>
      </c>
      <c r="FU140" s="253" t="str">
        <f>IFERROR(ROUND(IF(CD140="ERROR", "ERROR", IF(AND(Y140=$FU$6, E140="Interior"), IF(BS140="N", 'Lookup Tables'!$AM$101*BP140, VLOOKUP(W140, 'Lookup Tables'!$AI$6:$AM$102, 5, FALSE)*S140*AD140), "")), 2), "")</f>
        <v/>
      </c>
      <c r="FV140" s="253" t="str">
        <f>IFERROR(ROUND(IF(CD140="ERROR", "ERROR", IF(AND(Y140=$FU$6, E140="Exterior"), IF(BS140="N", 'Lookup Tables'!$AM$101*BP140, VLOOKUP(W140, 'Lookup Tables'!$AI$6:$AM$102, 5, FALSE)*S140*AD140), "")), 2), "")</f>
        <v/>
      </c>
      <c r="FW140" s="253" t="str">
        <f>IFERROR(ROUND(IF(CD140="ERROR", "ERROR", IF($FW$6=Y140, IF(BS140="N", 'Lookup Tables'!$AM$101*BP140, MIN((VLOOKUP(W140, 'Lookup Tables'!$AI$6:$AM$102, 5, FALSE)*BP140),GB140*AJ140)), "")), 2), "")</f>
        <v/>
      </c>
      <c r="FX140" s="253" t="str">
        <f>IFERROR(ROUND(IF(CD140="ERROR", "ERROR", IF(AND($FX$6=Y140, E140="Interior"), IF(VLOOKUP(W140, 'Lookup Tables'!$AI$6:$AM$102, 5, FALSE)*BP140&gt;'Lookup Tables'!$AQ$97*'Lighting Inventory'!S140,'Lighting Inventory'!S140*'Lookup Tables'!$AQ$97,VLOOKUP(W140, 'Lookup Tables'!$AI$6:$AM$102, 5, FALSE)*BP140), "")), 2), "")</f>
        <v/>
      </c>
      <c r="FY140" s="253" t="str">
        <f>IFERROR(ROUND(IF(CD140="ERROR", "ERROR", IF(AND($FX$6=Y140, E140="Exterior"), IF(VLOOKUP(W140, 'Lookup Tables'!$AI$6:$AM$102, 5, FALSE)*BP140&gt;'Lookup Tables'!$AQ$97*'Lighting Inventory'!S140,'Lighting Inventory'!S140*'Lookup Tables'!$AQ$97,VLOOKUP(W140, 'Lookup Tables'!$AI$6:$AM$102, 5, FALSE)*BP140), "")), 2), "")</f>
        <v/>
      </c>
      <c r="FZ140" s="253" t="str">
        <f>IFERROR(ROUND(IF(CD140="ERROR", "ERROR", IF(AND($FZ$6=Y140, E140="Interior"), IF(AND(OR(W140="Refrigerated Case Lighting with Doors", W140="Freezer Case Lighting"),Y140="Custom - Process Improvement"),CD140*'Lookup Tables'!$AM$101, IF(B140="Retrofit", IF(VLOOKUP(IF(V140="Custom", V140, W140), 'Lookup Tables'!$AI$6:$AM$102, 5, FALSE)*BP140&gt;GE140, GE140, VLOOKUP(IF(V140="Custom", V140, W140), 'Lookup Tables'!$AI$6:$AM$102, 5, FALSE)*BP140), IF(VLOOKUP(IF(V140="Custom", V140, W140), 'Lookup Tables'!$AI$114:$AM$154, 5, FALSE)*BP140&gt;GE140, GE140, VLOOKUP(IF(V140="Custom", V140, W140), 'Lookup Tables'!$AI$114:$AM$154, 5, FALSE)*BP140))), "")), 2),"")</f>
        <v/>
      </c>
      <c r="GA140" s="253" t="str">
        <f>IFERROR(ROUND(IF(CD140="ERROR", "ERROR", IF(AND($FZ$6=Y140, E140="Exterior"), IF(B140="Retrofit", IF(VLOOKUP(IF(V140="Custom", V140, W140), 'Lookup Tables'!$AI$6:$AM$102, 5, FALSE)*BP140&gt;GE140, GE140, VLOOKUP(IF(V140="Custom", V140, W140), 'Lookup Tables'!$AI$6:$AM$102, 5, FALSE)*BP140), IF(VLOOKUP(IF(V140="Custom", V140, W140), 'Lookup Tables'!$AI$114:$AM$154, 5, FALSE)*BP140&gt;GE140, GE140, VLOOKUP(IF(V140="Custom", V140, W140), 'Lookup Tables'!$AI$114:$AM$154, 5, FALSE)*BP140)), "")), 2),"")</f>
        <v/>
      </c>
      <c r="GB140" s="254" t="str">
        <f t="array" ref="GB140">IF(B140="","",IF(OR(V140="Custom",V140="No Change"),0,IF(B140="Retrofit", INDEX('Lookup Tables'!$AH$6:$AQ$102,MATCH(1,('Lookup Tables'!$AH$6:$AH$102='Lighting Inventory'!V140)*('Lookup Tables'!$AI$6:$AI$102='Lighting Inventory'!W140),FALSE),10),INDEX('Lookup Tables'!$AH$114:$AQ$154,MATCH(1,('Lookup Tables'!$AH$114:$AH$154='Lighting Inventory'!V140)*('Lookup Tables'!$AI$114:$AI$154='Lighting Inventory'!W140),FALSE),10))))</f>
        <v/>
      </c>
      <c r="GC140" s="255" t="str">
        <f t="shared" si="447"/>
        <v/>
      </c>
      <c r="GD140" s="250" t="str">
        <f t="shared" si="448"/>
        <v/>
      </c>
      <c r="GE140" s="253" t="str">
        <f>IFERROR(IF(AND(AF140="", 'General Information'!$F$18="No"),"", IF(AF140="", ((GD140/$CD$266)*$CF$266)*0.5, AF140*S140*0.5)), "")</f>
        <v/>
      </c>
      <c r="GF140" s="255" t="str">
        <f>IF(AND('General Information'!$F$19="", 'General Information'!$F$18="Yes",AF140="",BW140="Y"), "Y", "N")</f>
        <v>N</v>
      </c>
      <c r="GG140" s="255" t="s">
        <v>2946</v>
      </c>
      <c r="GH140" s="255" t="str">
        <f>IFERROR(IF(B140="", "", VLOOKUP(J140, 'Fixture Identities'!$A$6:$N$908, 14, FALSE)), "")</f>
        <v/>
      </c>
      <c r="GI140" s="389" t="str">
        <f>IF(OR(B140="", V140="", W140=""), "", IF(AND(OR(M140='Lookup Tables'!$R$18, M140='Lookup Tables'!$R$19, M140='Lookup Tables'!$R$20, M140='Lookup Tables'!$R$21, M140='Lookup Tables'!$R$22), OR(AN140='Lookup Tables'!$R$17, AN140='Lookup Tables'!$R$17, AN140="")), "Y", "N"))</f>
        <v/>
      </c>
      <c r="GJ140" s="255" t="str">
        <f t="shared" si="449"/>
        <v/>
      </c>
      <c r="GK140" s="255" t="str">
        <f t="shared" si="450"/>
        <v/>
      </c>
      <c r="GL140" s="255" t="str">
        <f t="shared" si="451"/>
        <v/>
      </c>
      <c r="GM140" s="255" t="str">
        <f>IF(AN140="", "", IF(AND(IF(ISNA(VLOOKUP(AN140,'Lookup Tables'!$R$18:$R$22,1,FALSE)), "N", "Y")="Y", E140="Exterior"), "Y", "N"))</f>
        <v/>
      </c>
      <c r="GN140" s="395"/>
      <c r="GO140" s="428">
        <f t="shared" ref="GO140:GO203" si="497">SUM(FF140:GA140)</f>
        <v>0</v>
      </c>
      <c r="GP140" s="428">
        <f t="shared" si="397"/>
        <v>0</v>
      </c>
      <c r="GQ140" s="428">
        <f t="shared" ref="GQ140:GQ203" si="498">IF(FH140="",0,IF(GP140=0,0,FH140))</f>
        <v>0</v>
      </c>
      <c r="GR140" s="428">
        <f t="shared" ref="GR140:GR203" si="499">IF(GP140=0,0,GP140-GQ140)</f>
        <v>0</v>
      </c>
    </row>
    <row r="141" spans="1:200" s="103" customFormat="1" ht="13.5" customHeight="1" x14ac:dyDescent="0.2">
      <c r="A141" s="272">
        <v>131</v>
      </c>
      <c r="B141" s="110"/>
      <c r="C141" s="110"/>
      <c r="D141" s="110"/>
      <c r="E141" s="110"/>
      <c r="F141" s="110"/>
      <c r="G141" s="110"/>
      <c r="H141" s="110"/>
      <c r="I141" s="29"/>
      <c r="J141" s="29"/>
      <c r="K141" s="272" t="str">
        <f>IFERROR(IF(OR(VLOOKUP(J141, 'Fixture Identities'!$A$6:$L$1023, 3, FALSE)="T12 Linear Fluorescent", VLOOKUP(J141, 'Fixture Identities'!$A$6:$L$1023, 3, FALSE)="T12 U-Tube Fluorescent"), VLOOKUP(VLOOKUP(J141, 'Fixture Identities'!$A$6:$L$1023, 11, FALSE), 'Fixture Identities'!$A$6:$L$1023, 10, FALSE), VLOOKUP(J141, 'Fixture Identities'!$A$6:$L$1023, 10, FALSE)), "")</f>
        <v/>
      </c>
      <c r="L141" s="270" t="str">
        <f t="shared" si="399"/>
        <v/>
      </c>
      <c r="M141" s="110"/>
      <c r="N141" s="110"/>
      <c r="O141" s="110"/>
      <c r="P141" s="272" t="str">
        <f>IFERROR(IF(OR(B141="Retrofit",B141=""),"",IF('Lighting Inventory'!E141="Exterior",VLOOKUP('Lighting Inventory'!N141,'Lookup Tables'!$B$83:$F$103,5,FALSE),IF(N141="Other - Please Estimate EFLH and CFs","Contact Prog. Rep.","ft^2"))), "")</f>
        <v/>
      </c>
      <c r="Q141" s="270" t="str">
        <f>IFERROR(IF(AND(B141="New Construction",E141="Interior",$F$5="Space-by-Space"),VLOOKUP('Lighting Inventory'!N141,'Lookup Tables'!$N$6:$O$97,2,FALSE),IF(AND(B141="New Construction",E141="Exterior"),VLOOKUP(N141,'Lookup Tables'!$B$83:$F$103,2,FALSE),IF(AND(B141="New Construction",'Lighting Inventory'!E141="Interior", $F$5="Building Area"),VLOOKUP(F141,'Lookup Tables'!$A$6:$J$59,10,FALSE),""))), "")</f>
        <v/>
      </c>
      <c r="R141" s="270" t="str">
        <f>IFERROR(IF(P141="Contact Prog. Rep.", "ERROR", IF(OR(B141="",B141="Retrofit"),"",IF(N141="Automated teller machines", ('Lookup Tables'!$A$82:$E$100+('Lighting Inventory'!O141-1)*'Lookup Tables'!$A$82:$E$100)/1000, (Q141*O141)/1000))), "")</f>
        <v/>
      </c>
      <c r="S141" s="595"/>
      <c r="T141" s="105" t="str">
        <f t="shared" si="452"/>
        <v/>
      </c>
      <c r="U141" s="105" t="str">
        <f>IF(S141="","",COUNT($S$11:S141))</f>
        <v/>
      </c>
      <c r="V141" s="111"/>
      <c r="W141" s="112"/>
      <c r="X141" s="105" t="str">
        <f t="shared" si="453"/>
        <v/>
      </c>
      <c r="Y141" s="105" t="str">
        <f t="array" ref="Y141">IF(AND(OR(W141="Freezer Case Lighting", W141="Refrigerated Case Lighting with Doors"), 'General Information'!$X$18="LCI"),'Lookup Tables'!$Y$34, IF(V141="Custom", VLOOKUP(W141, 'Fixture Identities'!$A$974:$M$1023, 13, FALSE), IF(V141="No Change",'Lookup Tables'!$Y$29,IF(OR(V141="",W141=""),"",IF(AND(S141=0,S141&lt;I141,B141="Retrofit"),'Lookup Tables'!$Y$25, IF(B141="Retrofit", INDEX('Lookup Tables'!$AH$6:$AP$102, MATCH(1, ('Lookup Tables'!$AH$6:$AH$102=V141)*('Lookup Tables'!$AI$6:$AI$102=W141), 0), IF('Lighting Inventory'!E141="Interior", 4, 5)), INDEX('Lookup Tables'!$AH$114:$AP$154, MATCH(1, ('Lookup Tables'!$AH$114:$AH$154=V141)*('Lookup Tables'!$AI$114:$AI$154=W141), 0), IF('Lighting Inventory'!E141="Interior", 4, 5))))))))</f>
        <v/>
      </c>
      <c r="Z141" s="105" t="str">
        <f>IFERROR(INDEX('Lookup Tables'!$AH$158:$AH$172,MATCH('Lighting Inventory'!Y141,'Lookup Tables'!$AI$158:$AI$172,0)),"")</f>
        <v/>
      </c>
      <c r="AA141" s="105" t="str">
        <f>IF(AP141&gt;0,INDEX('Lookup Tables'!$AK$158:$AK$172,MATCH('Lighting Inventory'!Y141,'Lookup Tables'!$AI$158:$AI$172,0)),'Lighting Inventory'!Y141)</f>
        <v/>
      </c>
      <c r="AB141" s="105" t="str">
        <f t="array" ref="AB141">IF(V141="Custom", "Custom", IF(V141="", "", IF(V141="Not DLC or Energy Star", "General", IF(B141="New Construction", INDEX('Lookup Tables'!$AH$114:$AP$154,MATCH(1,('Lookup Tables'!$AH$114:$AH$154='Lighting Inventory'!V141)*('Lookup Tables'!$AI$114:$AI$154='Lighting Inventory'!W141),FALSE),8), INDEX('Lookup Tables'!$AH$6:$AP$102,MATCH(1,('Lookup Tables'!$AH$6:$AH$102='Lighting Inventory'!V141)*('Lookup Tables'!$AI$6:$AI$102='Lighting Inventory'!W141),FALSE),8)))))</f>
        <v/>
      </c>
      <c r="AC141" s="272" t="str">
        <f>IF(W141="","",IF(V141="Custom",CONCATENATE("$",'Lookup Tables'!$AM$101," ",'Lookup Tables'!$AN$101),CONCATENATE("$",INDEX('Lookup Tables'!$AM$6:$AM$102,MATCH('Lighting Inventory'!W141,'Lookup Tables'!$AI$6:$AI$102,0))," ",INDEX('Lookup Tables'!$AN$6:$AN$102,MATCH('Lighting Inventory'!W141,'Lookup Tables'!$AI$6:$AI$102,0)))))</f>
        <v/>
      </c>
      <c r="AD141" s="72"/>
      <c r="AE141" s="29"/>
      <c r="AF141" s="379"/>
      <c r="AG141" s="370" t="str">
        <f t="shared" si="401"/>
        <v/>
      </c>
      <c r="AH141" s="370" t="str">
        <f t="shared" si="454"/>
        <v/>
      </c>
      <c r="AI141" s="29"/>
      <c r="AJ141" s="29"/>
      <c r="AK141" s="110"/>
      <c r="AL141" s="375" t="str">
        <f>IF(OR(B141="", V141="", W141=""), "", IF(V141="No Change", K141, IF(V141="Remove Fixture", 0, IF(V141="Custom",VLOOKUP(W141,'Fixture Identities'!$A$6:$K$1023,10,FALSE),IF(AE141="", "← ENTER POST WATTS", 'Lighting Inventory'!AE141)))))</f>
        <v/>
      </c>
      <c r="AM141" s="376" t="str">
        <f t="shared" si="402"/>
        <v/>
      </c>
      <c r="AN141" s="29"/>
      <c r="AO141" s="671"/>
      <c r="AP141" s="29"/>
      <c r="AQ141" s="29"/>
      <c r="AR141" s="29"/>
      <c r="AS141" s="272" t="str">
        <f t="shared" si="455"/>
        <v/>
      </c>
      <c r="AT141" s="270" t="str">
        <f t="shared" si="403"/>
        <v/>
      </c>
      <c r="AU141" s="88" t="str">
        <f t="shared" si="400"/>
        <v/>
      </c>
      <c r="AV141" s="29"/>
      <c r="AW141" s="73"/>
      <c r="AX141" s="271" t="str">
        <f>IF(AND(AV141="Applicant",OR(AW141="", AW141="Use Default Facility Hours")),"← Choose Schedule",IF(F141="","",IF(W141="LED Exit Signs",8760,IF(OR(AV141="Prescribed",AV141=""),VLOOKUP(F141,'Lookup Tables'!$A$6:$G$59,IF(AB141="General", 6, 3),FALSE),VLOOKUP(AW141,'Lookup Tables'!$S$36:$U$43,2,FALSE)))))</f>
        <v/>
      </c>
      <c r="AY141" s="88" t="str">
        <f t="shared" si="404"/>
        <v/>
      </c>
      <c r="AZ141" s="270" t="str">
        <f>IFERROR(IF(F141="", "", IF(W141="LED Exit Signs", 1, IF(AV141="Applicant",VLOOKUP(AW141, 'Lookup Tables'!$S$36:$U$43,3, FALSE), VLOOKUP('Lighting Inventory'!F141, 'Lookup Tables'!$A$6:$H$59, IF('Lighting Inventory'!AB141="General",7,4), FALSE)))), "")</f>
        <v/>
      </c>
      <c r="BA141" s="522" t="str">
        <f>IFERROR(IF(F141="", "", IF(W141="LED Exit Signs", 1, VLOOKUP('Lighting Inventory'!F141, 'Lookup Tables'!$A$6:$H$59, IF('Lighting Inventory'!AB141="General",8,5), FALSE))), "")</f>
        <v/>
      </c>
      <c r="BB141" s="270" t="str">
        <f>IF(G141="", "", IF(E141="Exterior", 0, IF('Lighting Inventory'!G141="Air Conditioned", VLOOKUP(H141, 'Lookup Tables'!$R$6:$T$13, 2, FALSE), VLOOKUP('Lighting Inventory'!G141, 'Lookup Tables'!$R$6:$T$13, 2, FALSE))))</f>
        <v/>
      </c>
      <c r="BC141" s="522" t="str">
        <f>IF(G141="", "", IF(E141="Exterior", 0, IF('Lighting Inventory'!G141="Air Conditioned", VLOOKUP(H141, 'Lookup Tables'!$R$6:$T$13, 3, FALSE), VLOOKUP('Lighting Inventory'!G141, 'Lookup Tables'!$R$6:$T$13, 3, FALSE))))</f>
        <v/>
      </c>
      <c r="BD141" s="270" t="str">
        <f>IF(G141="", "", IF(E141="Exterior", 0, IF('Lighting Inventory'!G141="Air Conditioned", VLOOKUP(H141, 'Lookup Tables'!$R$6:$U$13, 4, FALSE), VLOOKUP('Lighting Inventory'!G141, 'Lookup Tables'!$R$6:$U$13, 4, FALSE))))</f>
        <v/>
      </c>
      <c r="BE141" s="270" t="str">
        <f>IFERROR(IF(B141="", "",  IF(B141="New Construction", VLOOKUP(F141, 'Lookup Tables'!$A$6:$K$59, 11, FALSE),IF(OR(AN141="", AN141="Light Switch"), 0, IF(OR(M141="",M141="None",V141= "LED Exit Signs"),0,_xlfn.XLOOKUP(M141,'Lookup Tables'!$R$91:$R$101,'Lookup Tables'!$V$91:$V$101))))), "")</f>
        <v/>
      </c>
      <c r="BF141" s="270" t="str">
        <f>IF(AND(OR(AN141="Light Switch",AN141=""),B141="New Construction"), VLOOKUP(F141, 'Lookup Tables'!$A$6:$K$59, 11, FALSE),IF(AN141="","",IF(B141="","",IF(OR(AN141="None",AN141="",V141="LED Exit Signs",AN141="Exterior Controls Not Eligible"),0,_xlfn.XLOOKUP(AN141,'Lookup Tables'!$R$91:$R$101,'Lookup Tables'!$V$91:$V$101)))))</f>
        <v/>
      </c>
      <c r="BG141" s="88" t="str">
        <f t="shared" si="456"/>
        <v/>
      </c>
      <c r="BH141" s="88" t="str">
        <f t="shared" si="457"/>
        <v/>
      </c>
      <c r="BI141" s="558" t="str">
        <f t="shared" si="398"/>
        <v/>
      </c>
      <c r="BJ141" s="82" t="str">
        <f t="shared" si="458"/>
        <v/>
      </c>
      <c r="BK141" s="82" t="str">
        <f t="shared" si="459"/>
        <v/>
      </c>
      <c r="BL141" s="559" t="str">
        <f t="shared" si="460"/>
        <v/>
      </c>
      <c r="BM141" s="521" t="str">
        <f t="shared" si="405"/>
        <v/>
      </c>
      <c r="BN141" s="521" t="str">
        <f t="shared" si="406"/>
        <v/>
      </c>
      <c r="BO141" s="522" t="str">
        <f t="shared" si="407"/>
        <v/>
      </c>
      <c r="BP141" s="83" t="str">
        <f t="shared" si="461"/>
        <v/>
      </c>
      <c r="BQ141" s="84" t="str">
        <f t="shared" si="462"/>
        <v/>
      </c>
      <c r="BR141" s="184" t="str">
        <f>IFERROR(IF(B141="", "", IF(OR(VLOOKUP(J141, 'Fixture Identities'!$A$6:$L$1023, 3, FALSE)="T12 Linear Fluorescent",VLOOKUP(J141, 'Fixture Identities'!$A$6:$L$1023, 3, FALSE)="T12 U-Tube Fluorescent"), "Y", "N")), "N")</f>
        <v/>
      </c>
      <c r="BS141" s="184" t="str">
        <f t="array" ref="BS141">IFERROR(IF(OR(B141="", V141="", W141=""), "", IF(V141="Custom", "N", IF(OR(W141="Freezer Case Lighting", W141="Refrigerated Case Lighting with Doors"), BT141, IF(B141="Retrofit", INDEX('Lookup Tables'!$AH$6:$AT$102,MATCH(1,('Lookup Tables'!$AH$6:$AH$102=V141)*('Lookup Tables'!$AI$6:$AI$102=W141),FALSE),IF(VLOOKUP(J141, 'Fixture Identities'!$A$6:$B$1023, 2, FALSE)="Incandescent",12, 13)), INDEX('Lookup Tables'!$AH$114:$AS$154,MATCH(1,('Lookup Tables'!$AH$114:$AH$154=V141)*('Lookup Tables'!$AI$114:$AI$154=W141),FALSE),12))))), "N")</f>
        <v/>
      </c>
      <c r="BT141" s="184" t="str">
        <f>IF(J141="", "", IF(AND(OR(W141="Freezer case Lighting", W141="Refrigerated Case Lighting with Doors"),'General Information'!$X$18="LCI"), "N", IF(OR(VLOOKUP(J141, 'Fixture Identities'!$A$6:$B$1023, 2, FALSE)="T12 EPACT/EISA Baseline", VLOOKUP(J141, 'Fixture Identities'!$A$6:$B$1023, 2, FALSE)="Linear Fluorescent", VLOOKUP(J141, 'Fixture Identities'!$A$6:$B$1023, 2, FALSE)="U-Tube Fluorescent"), "Y", "N")))</f>
        <v/>
      </c>
      <c r="BU141" s="184" t="str">
        <f>IFERROR(IF(B141="", "", IF(VLOOKUP(J141, 'Fixture Identities'!$A$6:$B$1023, 2, FALSE)="Exit Sign", "Y", "N")), "N")</f>
        <v/>
      </c>
      <c r="BV141" s="184" t="str">
        <f>IF(V141="Exit Signs", IF(VLOOKUP(J141, 'Fixture Identities'!$A$6:$B$1023, 2, FALSE)="Exit Sign", "N", "Y"), "")</f>
        <v/>
      </c>
      <c r="BW141" s="184" t="str">
        <f t="array" ref="BW141">IFERROR(IF(B141="", "", IF(B141="New Construction", "N", INDEX('Lookup Tables'!$AH$6:$AU$102, MATCH(1, ('Lookup Tables'!$AH$6:$AH$102='Lighting Inventory'!V141)*('Lookup Tables'!$AI$6:$AI$102='Lighting Inventory'!W141), 0), 14))), "N")</f>
        <v/>
      </c>
      <c r="BX141" s="598" t="str">
        <f t="shared" si="463"/>
        <v/>
      </c>
      <c r="BY141" s="598" t="str">
        <f t="shared" si="464"/>
        <v/>
      </c>
      <c r="BZ141" s="598" t="str">
        <f t="shared" si="465"/>
        <v/>
      </c>
      <c r="CA141" s="598" t="str">
        <f t="shared" si="466"/>
        <v/>
      </c>
      <c r="CB141" s="269" t="str">
        <f t="shared" si="467"/>
        <v/>
      </c>
      <c r="CC141" s="517" t="str">
        <f t="shared" si="468"/>
        <v/>
      </c>
      <c r="CD141" s="565" t="str">
        <f t="shared" si="408"/>
        <v/>
      </c>
      <c r="CE141" s="368">
        <v>0</v>
      </c>
      <c r="CF141" s="368" t="str" cm="1">
        <f t="array" ref="CF141">IFERROR(IF(V141="Custom", "$0.1 per kWh", IF(B141="New Construction", CONCATENATE("$",INDEX('Lookup Tables'!$AH$114:$AN$154,MATCH(1,('Lookup Tables'!$AH$114:$AH$154='Lighting Inventory'!V141)*('Lookup Tables'!$AI$114:$AI$154='Lighting Inventory'!W141),FALSE),6)," ",INDEX('Lookup Tables'!$AH$114:$AN$154,MATCH(1,('Lookup Tables'!$AH$114:$AH$154='Lighting Inventory'!V141)*('Lookup Tables'!$AI$114:$AI$154='Lighting Inventory'!W141),FALSE),7)), IF(AND(BU141="N", V141="Exit Signs"), "$0.025 per kWh", CONCATENATE("$",INDEX('Lookup Tables'!$AH$6:$AN$102,MATCH(1,('Lookup Tables'!$AH$6:$AH$102='Lighting Inventory'!V141)*('Lookup Tables'!$AI$6:$AI$102='Lighting Inventory'!W141),FALSE),6)," ",INDEX('Lookup Tables'!$AH$6:$AN$102,MATCH(1,('Lookup Tables'!$AH$6:$AH$102='Lighting Inventory'!V141)*('Lookup Tables'!$AI$6:$AI$102='Lighting Inventory'!W141),FALSE),7))))), "")</f>
        <v/>
      </c>
      <c r="CG141" s="366"/>
      <c r="CH141" s="248" t="str">
        <f t="shared" si="409"/>
        <v/>
      </c>
      <c r="CI141" s="248" t="str">
        <f t="shared" si="410"/>
        <v>Select_IE</v>
      </c>
      <c r="CJ141" s="248" t="str">
        <f t="shared" si="411"/>
        <v/>
      </c>
      <c r="CK141" s="248" t="str">
        <f t="shared" si="412"/>
        <v/>
      </c>
      <c r="CL141" s="248" t="str">
        <f t="shared" si="413"/>
        <v/>
      </c>
      <c r="CM141" s="248" t="str">
        <f>IFERROR(IF(B141="", "", IF(B141="New Construction", VLOOKUP(V141, 'Lookup Tables'!$AF$114:$AG$120, 2, FALSE), VLOOKUP(V141, 'Lookup Tables'!$AD$6:$AE$25, 2, FALSE))), "")</f>
        <v/>
      </c>
      <c r="CN141" s="248" t="str">
        <f t="shared" si="414"/>
        <v/>
      </c>
      <c r="CO141" s="248" t="str">
        <f t="shared" si="415"/>
        <v/>
      </c>
      <c r="CP141" s="592" t="str">
        <f t="shared" si="416"/>
        <v/>
      </c>
      <c r="CQ141" s="248" t="str">
        <f t="shared" si="469"/>
        <v/>
      </c>
      <c r="CR141" s="100"/>
      <c r="CS141" s="250" t="str">
        <f t="shared" si="417"/>
        <v/>
      </c>
      <c r="CT141" s="250" t="str">
        <f t="shared" si="470"/>
        <v/>
      </c>
      <c r="CU141" s="250" t="str">
        <f t="shared" si="471"/>
        <v/>
      </c>
      <c r="CV141" s="250" t="str">
        <f t="shared" si="472"/>
        <v/>
      </c>
      <c r="CW141" s="250" t="str">
        <f t="shared" si="473"/>
        <v/>
      </c>
      <c r="CX141" s="250" t="str">
        <f t="shared" si="418"/>
        <v/>
      </c>
      <c r="CY141" s="250" t="str">
        <f t="shared" si="419"/>
        <v/>
      </c>
      <c r="CZ141" s="250" t="str">
        <f t="shared" si="420"/>
        <v/>
      </c>
      <c r="DA141" s="250" t="str">
        <f t="shared" si="421"/>
        <v/>
      </c>
      <c r="DB141" s="250" t="str">
        <f t="shared" si="422"/>
        <v/>
      </c>
      <c r="DC141" s="250" t="str">
        <f t="shared" si="423"/>
        <v/>
      </c>
      <c r="DD141" s="250" t="str">
        <f t="shared" si="424"/>
        <v/>
      </c>
      <c r="DE141" s="250" t="str">
        <f t="shared" si="425"/>
        <v/>
      </c>
      <c r="DF141" s="250" t="str">
        <f t="shared" si="426"/>
        <v/>
      </c>
      <c r="DG141" s="250" t="str">
        <f t="shared" si="427"/>
        <v/>
      </c>
      <c r="DH141" s="250" t="str">
        <f t="shared" si="428"/>
        <v/>
      </c>
      <c r="DI141" s="250" t="str">
        <f t="shared" si="429"/>
        <v/>
      </c>
      <c r="DJ141" s="250" t="str">
        <f t="shared" si="430"/>
        <v/>
      </c>
      <c r="DK141" s="250" t="str">
        <f t="shared" si="431"/>
        <v/>
      </c>
      <c r="DL141" s="250" t="str">
        <f t="shared" si="432"/>
        <v/>
      </c>
      <c r="DM141" s="250" t="str">
        <f>IF(CD141="ERROR", "ERROR", IF(AND(OR(Y141=$DM$6, Y141='Lookup Tables'!$AD$21, Y141='Lookup Tables'!$AD$22), E141="Interior"), BJ141, ""))</f>
        <v/>
      </c>
      <c r="DN141" s="250" t="str">
        <f>IF(CD141="ERROR", "ERROR", IF(AND(OR(Y141=$DM$6, Y141='Lookup Tables'!$AD$21, Y141='Lookup Tables'!$AD$22), E141="Exterior"), BJ141, ""))</f>
        <v/>
      </c>
      <c r="DO141" s="100"/>
      <c r="DP141" s="250" t="str">
        <f t="shared" si="433"/>
        <v/>
      </c>
      <c r="DQ141" s="250" t="str">
        <f t="shared" si="474"/>
        <v/>
      </c>
      <c r="DR141" s="250" t="str">
        <f t="shared" si="475"/>
        <v/>
      </c>
      <c r="DS141" s="250" t="str">
        <f t="shared" si="476"/>
        <v/>
      </c>
      <c r="DT141" s="250" t="str">
        <f t="shared" si="477"/>
        <v/>
      </c>
      <c r="DU141" s="250" t="str">
        <f t="shared" si="434"/>
        <v/>
      </c>
      <c r="DV141" s="250" t="str">
        <f t="shared" si="435"/>
        <v/>
      </c>
      <c r="DW141" s="250" t="str">
        <f t="shared" si="436"/>
        <v/>
      </c>
      <c r="DX141" s="250" t="str">
        <f t="shared" si="437"/>
        <v/>
      </c>
      <c r="DY141" s="250" t="str">
        <f t="shared" si="438"/>
        <v/>
      </c>
      <c r="DZ141" s="250" t="str">
        <f t="shared" si="439"/>
        <v/>
      </c>
      <c r="EA141" s="250" t="str">
        <f t="shared" si="440"/>
        <v/>
      </c>
      <c r="EB141" s="250" t="str">
        <f t="shared" si="478"/>
        <v/>
      </c>
      <c r="EC141" s="250" t="str">
        <f t="shared" si="441"/>
        <v/>
      </c>
      <c r="ED141" s="250" t="str">
        <f t="shared" si="442"/>
        <v/>
      </c>
      <c r="EE141" s="250" t="str">
        <f t="shared" si="443"/>
        <v/>
      </c>
      <c r="EF141" s="250" t="str">
        <f t="shared" si="444"/>
        <v/>
      </c>
      <c r="EG141" s="250" t="str">
        <f t="shared" si="445"/>
        <v/>
      </c>
      <c r="EH141" s="250" t="str">
        <f>IF(CD141="ERROR", "ERROR", IF(AND(OR($EH$6=Y141, Y141='Lookup Tables'!$AD$21, Y141='Lookup Tables'!$AD$22),E141="Interior"), SUM(BP141:BP141), ""))</f>
        <v/>
      </c>
      <c r="EI141" s="250" t="str">
        <f>IF(CD141="ERROR", "ERROR", IF(AND(OR($EH$6=Y141, Y141='Lookup Tables'!$AD$21, Y141='Lookup Tables'!$AD$22),E141="Exterior"), SUM(BP141:BP141), ""))</f>
        <v/>
      </c>
      <c r="EJ141" s="109"/>
      <c r="EK141" s="485" t="str">
        <f t="shared" si="446"/>
        <v/>
      </c>
      <c r="EL141" s="252" t="str">
        <f t="shared" si="479"/>
        <v/>
      </c>
      <c r="EM141" s="252" t="str">
        <f t="shared" si="480"/>
        <v/>
      </c>
      <c r="EN141" s="252" t="str">
        <f t="shared" si="481"/>
        <v/>
      </c>
      <c r="EO141" s="252" t="str">
        <f t="shared" si="482"/>
        <v/>
      </c>
      <c r="EP141" s="252" t="str">
        <f t="shared" si="483"/>
        <v/>
      </c>
      <c r="EQ141" s="252" t="str">
        <f t="shared" si="484"/>
        <v/>
      </c>
      <c r="ER141" s="252" t="str">
        <f t="shared" si="485"/>
        <v/>
      </c>
      <c r="ES141" s="252" t="str">
        <f t="shared" si="486"/>
        <v/>
      </c>
      <c r="ET141" s="252" t="str">
        <f t="shared" si="487"/>
        <v/>
      </c>
      <c r="EU141" s="252" t="str">
        <f t="shared" si="488"/>
        <v/>
      </c>
      <c r="EV141" s="252" t="str">
        <f t="shared" si="489"/>
        <v/>
      </c>
      <c r="EW141" s="252" t="str">
        <f t="shared" si="490"/>
        <v/>
      </c>
      <c r="EX141" s="252" t="str">
        <f t="shared" si="491"/>
        <v/>
      </c>
      <c r="EY141" s="252" t="str">
        <f t="shared" si="492"/>
        <v/>
      </c>
      <c r="EZ141" s="252" t="str">
        <f t="shared" si="493"/>
        <v/>
      </c>
      <c r="FA141" s="252" t="str">
        <f t="shared" si="494"/>
        <v/>
      </c>
      <c r="FB141" s="252" t="str">
        <f t="shared" si="495"/>
        <v/>
      </c>
      <c r="FC141" s="252" t="str">
        <f>IF(CD141="ERROR", "ERROR", IF(OR(V141="No Change", V141="Not DLC or Energy Star"), "", IF(AND(OR($FC$6=Y141,Y141='Lookup Tables'!$AD$21, Y141='Lookup Tables'!$AD$22),E141="Interior"), S141, "")))</f>
        <v/>
      </c>
      <c r="FD141" s="252" t="str">
        <f t="shared" si="496"/>
        <v/>
      </c>
      <c r="FE141" s="101"/>
      <c r="FF141" s="579" t="str" cm="1">
        <f t="array" ref="FF141">IFERROR(IF(OR(BQ141&lt;=0,AQ141&lt;20,AND(V141="Exit Signs",AN141&gt;0)),"",IF(AND(AQ141&gt;=20,AN141='Lookup Tables'!$R$101),'Lookup Tables'!$U$101*BQ141,AP141*LOOKUP(2,1/((AN141='Lookup Tables'!$R$91:$R$111)*(AQ141&gt;='Lookup Tables'!$S$91:$S$111)*(AQ141&lt;='Lookup Tables'!$T$91:$T$111)),'Lookup Tables'!$U$91:$U$111))),"")</f>
        <v/>
      </c>
      <c r="FG141" s="579"/>
      <c r="FH141" s="579"/>
      <c r="FI141" s="253" t="str">
        <f>IFERROR(ROUND(IF(CD141="ERROR", "ERROR", IF(AND($FI$7=X141,E141="Interior"),VLOOKUP(W141, 'Lookup Tables'!$AI$6:$AM$102, 5, FALSE)*BP141, "")), 2), "")</f>
        <v/>
      </c>
      <c r="FJ141" s="253" t="str">
        <f>IFERROR(ROUND(IF(CD141="ERROR", "ERROR", IF(AND($FI$7=X141,E141="Exterior"),VLOOKUP(W141, 'Lookup Tables'!$AI$6:$AM$102, 5, FALSE)*BP141, "")), 2), "")</f>
        <v/>
      </c>
      <c r="FK141" s="253" t="str">
        <f>IFERROR(ROUND(IF(CD141="ERROR", "ERROR", IF(AND($FK$7=X141,E141="Interior"),VLOOKUP(W141, 'Lookup Tables'!$AI$6:$AM$102, 5, FALSE)*BP141, "")), 2), "")</f>
        <v/>
      </c>
      <c r="FL141" s="253" t="str">
        <f>IFERROR(ROUND(IF(CD141="ERROR", "ERROR", IF(AND($FK$7=X141,E141="Exterior"),VLOOKUP(W141, 'Lookup Tables'!$AI$6:$AM$102, 5, FALSE)*BP141, "")), 2), "")</f>
        <v/>
      </c>
      <c r="FM141" s="253" t="str">
        <f>IFERROR(ROUND(IF(CD141="ERROR", "ERROR", IF(AND($FM$6=Y141,E141="Interior"), IF(GB141=0, VLOOKUP(W141, 'Lookup Tables'!$AI$6:$AM$102, 5, FALSE)*BP141, IF(VLOOKUP(W141, 'Lookup Tables'!$AI$6:$AM$102, 5, FALSE)*BP141&gt;GB141*'Lighting Inventory'!S141, GB141*'Lighting Inventory'!S141,VLOOKUP(W141, 'Lookup Tables'!$AI$6:$AM$102, 5, FALSE)*BP141)), "")), 2), "")</f>
        <v/>
      </c>
      <c r="FN141" s="253" t="str">
        <f>IFERROR(ROUND(IF(CD141="ERROR", "ERROR", IF(AND($FM$6=Y141,E141="Exterior"), IF(GB141=0, VLOOKUP(W141, 'Lookup Tables'!$AI$6:$AM$102, 5, FALSE)*BP141, IF(VLOOKUP(W141, 'Lookup Tables'!$AI$6:$AM$102, 5, FALSE)*BP141&gt;GB141*'Lighting Inventory'!S141, GB141*'Lighting Inventory'!S141,VLOOKUP(W141, 'Lookup Tables'!$AI$6:$AM$102, 5, FALSE)*BP141)), "")), 2), "")</f>
        <v/>
      </c>
      <c r="FO141" s="253" t="str">
        <f>IFERROR(ROUND(IF(CD141="ERROR", "ERROR", IF(AND($FO$6=Y141,E141="Interior"),VLOOKUP(W141, 'Lookup Tables'!$AI$6:$AM$102, 5, FALSE)*'Lighting Inventory'!AI141, "")), 2), "")</f>
        <v/>
      </c>
      <c r="FP141" s="253" t="str">
        <f>IFERROR(ROUND(IF(CD141="ERROR", "ERROR", IF(AND($FO$6=Y141,E141="Exterior"),VLOOKUP(W141, 'Lookup Tables'!$AI$6:$AM$102, 5, FALSE)*'Lighting Inventory'!AI141, "")), 2), "")</f>
        <v/>
      </c>
      <c r="FQ141" s="253" t="str">
        <f>IFERROR(ROUND(IF(CD141="ERROR", "ERROR", IF(AND($FQ$6=Y141,E141="Interior", BU141="Y"), VLOOKUP('Lighting Inventory'!W141, 'Lookup Tables'!$AI$6:$AM$102, 5, FALSE)*'Lighting Inventory'!S141, IF(AND($FQ$7=Y141,E141="Interior", BU141="N"), 0.025*CD141, ""))), 2), "")</f>
        <v/>
      </c>
      <c r="FR141" s="253" t="str">
        <f>IFERROR(ROUND(IF(CD141="ERROR", "ERROR", IF(AND($FQ$6=Y141,E141="Exterior"), VLOOKUP('Lighting Inventory'!W141, 'Lookup Tables'!$AI$6:$AM$102, 5, FALSE)*'Lighting Inventory'!S141, "")), 2), "")</f>
        <v/>
      </c>
      <c r="FS141" s="253" t="str">
        <f>IFERROR(ROUND(IF(CD141="ERROR", "ERROR", IF(AND($FS$6=Y141,E141="Exterior"), IF(GB141=0, VLOOKUP(W141, 'Lookup Tables'!$AI$6:$AM$102, 5, FALSE)*BP141, IF(VLOOKUP(W141, 'Lookup Tables'!$AI$6:$AM$102, 5, FALSE)*BP141&gt;GB141*'Lighting Inventory'!S141, GB141*'Lighting Inventory'!S141,VLOOKUP(W141, 'Lookup Tables'!$AI$6:$AM$102, 5, FALSE)*BP141)), "")), 2), "")</f>
        <v/>
      </c>
      <c r="FT141" s="253" t="str">
        <f>IFERROR(ROUND(IF(CD141="ERROR", "ERROR", IF(AND($FT$6=Y141,E141="Interior"), IF(GB141=0, VLOOKUP(W141, 'Lookup Tables'!$AI$6:$AM$102, 5, FALSE)*BP141, IF(VLOOKUP(W141, 'Lookup Tables'!$AI$6:$AM$102, 5, FALSE)*BP141&gt;GB141*'Lighting Inventory'!S141, GB141*'Lighting Inventory'!S141,VLOOKUP(W141, 'Lookup Tables'!$AI$6:$AM$102, 5, FALSE)*BP141)), "")), 2), "")</f>
        <v/>
      </c>
      <c r="FU141" s="253" t="str">
        <f>IFERROR(ROUND(IF(CD141="ERROR", "ERROR", IF(AND(Y141=$FU$6, E141="Interior"), IF(BS141="N", 'Lookup Tables'!$AM$101*BP141, VLOOKUP(W141, 'Lookup Tables'!$AI$6:$AM$102, 5, FALSE)*S141*AD141), "")), 2), "")</f>
        <v/>
      </c>
      <c r="FV141" s="253" t="str">
        <f>IFERROR(ROUND(IF(CD141="ERROR", "ERROR", IF(AND(Y141=$FU$6, E141="Exterior"), IF(BS141="N", 'Lookup Tables'!$AM$101*BP141, VLOOKUP(W141, 'Lookup Tables'!$AI$6:$AM$102, 5, FALSE)*S141*AD141), "")), 2), "")</f>
        <v/>
      </c>
      <c r="FW141" s="253" t="str">
        <f>IFERROR(ROUND(IF(CD141="ERROR", "ERROR", IF($FW$6=Y141, IF(BS141="N", 'Lookup Tables'!$AM$101*BP141, MIN((VLOOKUP(W141, 'Lookup Tables'!$AI$6:$AM$102, 5, FALSE)*BP141),GB141*AJ141)), "")), 2), "")</f>
        <v/>
      </c>
      <c r="FX141" s="253" t="str">
        <f>IFERROR(ROUND(IF(CD141="ERROR", "ERROR", IF(AND($FX$6=Y141, E141="Interior"), IF(VLOOKUP(W141, 'Lookup Tables'!$AI$6:$AM$102, 5, FALSE)*BP141&gt;'Lookup Tables'!$AQ$97*'Lighting Inventory'!S141,'Lighting Inventory'!S141*'Lookup Tables'!$AQ$97,VLOOKUP(W141, 'Lookup Tables'!$AI$6:$AM$102, 5, FALSE)*BP141), "")), 2), "")</f>
        <v/>
      </c>
      <c r="FY141" s="253" t="str">
        <f>IFERROR(ROUND(IF(CD141="ERROR", "ERROR", IF(AND($FX$6=Y141, E141="Exterior"), IF(VLOOKUP(W141, 'Lookup Tables'!$AI$6:$AM$102, 5, FALSE)*BP141&gt;'Lookup Tables'!$AQ$97*'Lighting Inventory'!S141,'Lighting Inventory'!S141*'Lookup Tables'!$AQ$97,VLOOKUP(W141, 'Lookup Tables'!$AI$6:$AM$102, 5, FALSE)*BP141), "")), 2), "")</f>
        <v/>
      </c>
      <c r="FZ141" s="253" t="str">
        <f>IFERROR(ROUND(IF(CD141="ERROR", "ERROR", IF(AND($FZ$6=Y141, E141="Interior"), IF(AND(OR(W141="Refrigerated Case Lighting with Doors", W141="Freezer Case Lighting"),Y141="Custom - Process Improvement"),CD141*'Lookup Tables'!$AM$101, IF(B141="Retrofit", IF(VLOOKUP(IF(V141="Custom", V141, W141), 'Lookup Tables'!$AI$6:$AM$102, 5, FALSE)*BP141&gt;GE141, GE141, VLOOKUP(IF(V141="Custom", V141, W141), 'Lookup Tables'!$AI$6:$AM$102, 5, FALSE)*BP141), IF(VLOOKUP(IF(V141="Custom", V141, W141), 'Lookup Tables'!$AI$114:$AM$154, 5, FALSE)*BP141&gt;GE141, GE141, VLOOKUP(IF(V141="Custom", V141, W141), 'Lookup Tables'!$AI$114:$AM$154, 5, FALSE)*BP141))), "")), 2),"")</f>
        <v/>
      </c>
      <c r="GA141" s="253" t="str">
        <f>IFERROR(ROUND(IF(CD141="ERROR", "ERROR", IF(AND($FZ$6=Y141, E141="Exterior"), IF(B141="Retrofit", IF(VLOOKUP(IF(V141="Custom", V141, W141), 'Lookup Tables'!$AI$6:$AM$102, 5, FALSE)*BP141&gt;GE141, GE141, VLOOKUP(IF(V141="Custom", V141, W141), 'Lookup Tables'!$AI$6:$AM$102, 5, FALSE)*BP141), IF(VLOOKUP(IF(V141="Custom", V141, W141), 'Lookup Tables'!$AI$114:$AM$154, 5, FALSE)*BP141&gt;GE141, GE141, VLOOKUP(IF(V141="Custom", V141, W141), 'Lookup Tables'!$AI$114:$AM$154, 5, FALSE)*BP141)), "")), 2),"")</f>
        <v/>
      </c>
      <c r="GB141" s="254" t="str">
        <f t="array" ref="GB141">IF(B141="","",IF(OR(V141="Custom",V141="No Change"),0,IF(B141="Retrofit", INDEX('Lookup Tables'!$AH$6:$AQ$102,MATCH(1,('Lookup Tables'!$AH$6:$AH$102='Lighting Inventory'!V141)*('Lookup Tables'!$AI$6:$AI$102='Lighting Inventory'!W141),FALSE),10),INDEX('Lookup Tables'!$AH$114:$AQ$154,MATCH(1,('Lookup Tables'!$AH$114:$AH$154='Lighting Inventory'!V141)*('Lookup Tables'!$AI$114:$AI$154='Lighting Inventory'!W141),FALSE),10))))</f>
        <v/>
      </c>
      <c r="GC141" s="255" t="str">
        <f t="shared" si="447"/>
        <v/>
      </c>
      <c r="GD141" s="250" t="str">
        <f t="shared" si="448"/>
        <v/>
      </c>
      <c r="GE141" s="253" t="str">
        <f>IFERROR(IF(AND(AF141="", 'General Information'!$F$18="No"),"", IF(AF141="", ((GD141/$CD$266)*$CF$266)*0.5, AF141*S141*0.5)), "")</f>
        <v/>
      </c>
      <c r="GF141" s="255" t="str">
        <f>IF(AND('General Information'!$F$19="", 'General Information'!$F$18="Yes",AF141="",BW141="Y"), "Y", "N")</f>
        <v>N</v>
      </c>
      <c r="GG141" s="255" t="s">
        <v>2946</v>
      </c>
      <c r="GH141" s="255" t="str">
        <f>IFERROR(IF(B141="", "", VLOOKUP(J141, 'Fixture Identities'!$A$6:$N$908, 14, FALSE)), "")</f>
        <v/>
      </c>
      <c r="GI141" s="389" t="str">
        <f>IF(OR(B141="", V141="", W141=""), "", IF(AND(OR(M141='Lookup Tables'!$R$18, M141='Lookup Tables'!$R$19, M141='Lookup Tables'!$R$20, M141='Lookup Tables'!$R$21, M141='Lookup Tables'!$R$22), OR(AN141='Lookup Tables'!$R$17, AN141='Lookup Tables'!$R$17, AN141="")), "Y", "N"))</f>
        <v/>
      </c>
      <c r="GJ141" s="255" t="str">
        <f t="shared" si="449"/>
        <v/>
      </c>
      <c r="GK141" s="255" t="str">
        <f t="shared" si="450"/>
        <v/>
      </c>
      <c r="GL141" s="255" t="str">
        <f t="shared" si="451"/>
        <v/>
      </c>
      <c r="GM141" s="255" t="str">
        <f>IF(AN141="", "", IF(AND(IF(ISNA(VLOOKUP(AN141,'Lookup Tables'!$R$18:$R$22,1,FALSE)), "N", "Y")="Y", E141="Exterior"), "Y", "N"))</f>
        <v/>
      </c>
      <c r="GN141" s="395"/>
      <c r="GO141" s="428">
        <f t="shared" si="497"/>
        <v>0</v>
      </c>
      <c r="GP141" s="428">
        <f t="shared" ref="GP141:GP204" si="500">GO141</f>
        <v>0</v>
      </c>
      <c r="GQ141" s="428">
        <f t="shared" si="498"/>
        <v>0</v>
      </c>
      <c r="GR141" s="428">
        <f t="shared" si="499"/>
        <v>0</v>
      </c>
    </row>
    <row r="142" spans="1:200" s="103" customFormat="1" ht="13.5" customHeight="1" x14ac:dyDescent="0.2">
      <c r="A142" s="272">
        <v>132</v>
      </c>
      <c r="B142" s="110"/>
      <c r="C142" s="110"/>
      <c r="D142" s="110"/>
      <c r="E142" s="110"/>
      <c r="F142" s="110"/>
      <c r="G142" s="110"/>
      <c r="H142" s="110"/>
      <c r="I142" s="29"/>
      <c r="J142" s="29"/>
      <c r="K142" s="272" t="str">
        <f>IFERROR(IF(OR(VLOOKUP(J142, 'Fixture Identities'!$A$6:$L$1023, 3, FALSE)="T12 Linear Fluorescent", VLOOKUP(J142, 'Fixture Identities'!$A$6:$L$1023, 3, FALSE)="T12 U-Tube Fluorescent"), VLOOKUP(VLOOKUP(J142, 'Fixture Identities'!$A$6:$L$1023, 11, FALSE), 'Fixture Identities'!$A$6:$L$1023, 10, FALSE), VLOOKUP(J142, 'Fixture Identities'!$A$6:$L$1023, 10, FALSE)), "")</f>
        <v/>
      </c>
      <c r="L142" s="270" t="str">
        <f t="shared" si="399"/>
        <v/>
      </c>
      <c r="M142" s="110"/>
      <c r="N142" s="110"/>
      <c r="O142" s="110"/>
      <c r="P142" s="272" t="str">
        <f>IFERROR(IF(OR(B142="Retrofit",B142=""),"",IF('Lighting Inventory'!E142="Exterior",VLOOKUP('Lighting Inventory'!N142,'Lookup Tables'!$B$83:$F$103,5,FALSE),IF(N142="Other - Please Estimate EFLH and CFs","Contact Prog. Rep.","ft^2"))), "")</f>
        <v/>
      </c>
      <c r="Q142" s="270" t="str">
        <f>IFERROR(IF(AND(B142="New Construction",E142="Interior",$F$5="Space-by-Space"),VLOOKUP('Lighting Inventory'!N142,'Lookup Tables'!$N$6:$O$97,2,FALSE),IF(AND(B142="New Construction",E142="Exterior"),VLOOKUP(N142,'Lookup Tables'!$B$83:$F$103,2,FALSE),IF(AND(B142="New Construction",'Lighting Inventory'!E142="Interior", $F$5="Building Area"),VLOOKUP(F142,'Lookup Tables'!$A$6:$J$59,10,FALSE),""))), "")</f>
        <v/>
      </c>
      <c r="R142" s="270" t="str">
        <f>IFERROR(IF(P142="Contact Prog. Rep.", "ERROR", IF(OR(B142="",B142="Retrofit"),"",IF(N142="Automated teller machines", ('Lookup Tables'!$A$82:$E$100+('Lighting Inventory'!O142-1)*'Lookup Tables'!$A$82:$E$100)/1000, (Q142*O142)/1000))), "")</f>
        <v/>
      </c>
      <c r="S142" s="595"/>
      <c r="T142" s="105" t="str">
        <f t="shared" si="452"/>
        <v/>
      </c>
      <c r="U142" s="105" t="str">
        <f>IF(S142="","",COUNT($S$11:S142))</f>
        <v/>
      </c>
      <c r="V142" s="111"/>
      <c r="W142" s="112"/>
      <c r="X142" s="105" t="str">
        <f t="shared" si="453"/>
        <v/>
      </c>
      <c r="Y142" s="105" t="str">
        <f t="array" ref="Y142">IF(AND(OR(W142="Freezer Case Lighting", W142="Refrigerated Case Lighting with Doors"), 'General Information'!$X$18="LCI"),'Lookup Tables'!$Y$34, IF(V142="Custom", VLOOKUP(W142, 'Fixture Identities'!$A$974:$M$1023, 13, FALSE), IF(V142="No Change",'Lookup Tables'!$Y$29,IF(OR(V142="",W142=""),"",IF(AND(S142=0,S142&lt;I142,B142="Retrofit"),'Lookup Tables'!$Y$25, IF(B142="Retrofit", INDEX('Lookup Tables'!$AH$6:$AP$102, MATCH(1, ('Lookup Tables'!$AH$6:$AH$102=V142)*('Lookup Tables'!$AI$6:$AI$102=W142), 0), IF('Lighting Inventory'!E142="Interior", 4, 5)), INDEX('Lookup Tables'!$AH$114:$AP$154, MATCH(1, ('Lookup Tables'!$AH$114:$AH$154=V142)*('Lookup Tables'!$AI$114:$AI$154=W142), 0), IF('Lighting Inventory'!E142="Interior", 4, 5))))))))</f>
        <v/>
      </c>
      <c r="Z142" s="105" t="str">
        <f>IFERROR(INDEX('Lookup Tables'!$AH$158:$AH$172,MATCH('Lighting Inventory'!Y142,'Lookup Tables'!$AI$158:$AI$172,0)),"")</f>
        <v/>
      </c>
      <c r="AA142" s="105" t="str">
        <f>IF(AP142&gt;0,INDEX('Lookup Tables'!$AK$158:$AK$172,MATCH('Lighting Inventory'!Y142,'Lookup Tables'!$AI$158:$AI$172,0)),'Lighting Inventory'!Y142)</f>
        <v/>
      </c>
      <c r="AB142" s="105" t="str">
        <f t="array" ref="AB142">IF(V142="Custom", "Custom", IF(V142="", "", IF(V142="Not DLC or Energy Star", "General", IF(B142="New Construction", INDEX('Lookup Tables'!$AH$114:$AP$154,MATCH(1,('Lookup Tables'!$AH$114:$AH$154='Lighting Inventory'!V142)*('Lookup Tables'!$AI$114:$AI$154='Lighting Inventory'!W142),FALSE),8), INDEX('Lookup Tables'!$AH$6:$AP$102,MATCH(1,('Lookup Tables'!$AH$6:$AH$102='Lighting Inventory'!V142)*('Lookup Tables'!$AI$6:$AI$102='Lighting Inventory'!W142),FALSE),8)))))</f>
        <v/>
      </c>
      <c r="AC142" s="272" t="str">
        <f>IF(W142="","",IF(V142="Custom",CONCATENATE("$",'Lookup Tables'!$AM$101," ",'Lookup Tables'!$AN$101),CONCATENATE("$",INDEX('Lookup Tables'!$AM$6:$AM$102,MATCH('Lighting Inventory'!W142,'Lookup Tables'!$AI$6:$AI$102,0))," ",INDEX('Lookup Tables'!$AN$6:$AN$102,MATCH('Lighting Inventory'!W142,'Lookup Tables'!$AI$6:$AI$102,0)))))</f>
        <v/>
      </c>
      <c r="AD142" s="72"/>
      <c r="AE142" s="29"/>
      <c r="AF142" s="379"/>
      <c r="AG142" s="370" t="str">
        <f t="shared" si="401"/>
        <v/>
      </c>
      <c r="AH142" s="370" t="str">
        <f t="shared" si="454"/>
        <v/>
      </c>
      <c r="AI142" s="29"/>
      <c r="AJ142" s="29"/>
      <c r="AK142" s="110"/>
      <c r="AL142" s="375" t="str">
        <f>IF(OR(B142="", V142="", W142=""), "", IF(V142="No Change", K142, IF(V142="Remove Fixture", 0, IF(V142="Custom",VLOOKUP(W142,'Fixture Identities'!$A$6:$K$1023,10,FALSE),IF(AE142="", "← ENTER POST WATTS", 'Lighting Inventory'!AE142)))))</f>
        <v/>
      </c>
      <c r="AM142" s="376" t="str">
        <f t="shared" si="402"/>
        <v/>
      </c>
      <c r="AN142" s="29"/>
      <c r="AO142" s="671"/>
      <c r="AP142" s="29"/>
      <c r="AQ142" s="29"/>
      <c r="AR142" s="29"/>
      <c r="AS142" s="272" t="str">
        <f t="shared" si="455"/>
        <v/>
      </c>
      <c r="AT142" s="270" t="str">
        <f t="shared" si="403"/>
        <v/>
      </c>
      <c r="AU142" s="88" t="str">
        <f t="shared" si="400"/>
        <v/>
      </c>
      <c r="AV142" s="29"/>
      <c r="AW142" s="73"/>
      <c r="AX142" s="271" t="str">
        <f>IF(AND(AV142="Applicant",OR(AW142="", AW142="Use Default Facility Hours")),"← Choose Schedule",IF(F142="","",IF(W142="LED Exit Signs",8760,IF(OR(AV142="Prescribed",AV142=""),VLOOKUP(F142,'Lookup Tables'!$A$6:$G$59,IF(AB142="General", 6, 3),FALSE),VLOOKUP(AW142,'Lookup Tables'!$S$36:$U$43,2,FALSE)))))</f>
        <v/>
      </c>
      <c r="AY142" s="88" t="str">
        <f t="shared" si="404"/>
        <v/>
      </c>
      <c r="AZ142" s="270" t="str">
        <f>IFERROR(IF(F142="", "", IF(W142="LED Exit Signs", 1, IF(AV142="Applicant",VLOOKUP(AW142, 'Lookup Tables'!$S$36:$U$43,3, FALSE), VLOOKUP('Lighting Inventory'!F142, 'Lookup Tables'!$A$6:$H$59, IF('Lighting Inventory'!AB142="General",7,4), FALSE)))), "")</f>
        <v/>
      </c>
      <c r="BA142" s="522" t="str">
        <f>IFERROR(IF(F142="", "", IF(W142="LED Exit Signs", 1, VLOOKUP('Lighting Inventory'!F142, 'Lookup Tables'!$A$6:$H$59, IF('Lighting Inventory'!AB142="General",8,5), FALSE))), "")</f>
        <v/>
      </c>
      <c r="BB142" s="270" t="str">
        <f>IF(G142="", "", IF(E142="Exterior", 0, IF('Lighting Inventory'!G142="Air Conditioned", VLOOKUP(H142, 'Lookup Tables'!$R$6:$T$13, 2, FALSE), VLOOKUP('Lighting Inventory'!G142, 'Lookup Tables'!$R$6:$T$13, 2, FALSE))))</f>
        <v/>
      </c>
      <c r="BC142" s="522" t="str">
        <f>IF(G142="", "", IF(E142="Exterior", 0, IF('Lighting Inventory'!G142="Air Conditioned", VLOOKUP(H142, 'Lookup Tables'!$R$6:$T$13, 3, FALSE), VLOOKUP('Lighting Inventory'!G142, 'Lookup Tables'!$R$6:$T$13, 3, FALSE))))</f>
        <v/>
      </c>
      <c r="BD142" s="270" t="str">
        <f>IF(G142="", "", IF(E142="Exterior", 0, IF('Lighting Inventory'!G142="Air Conditioned", VLOOKUP(H142, 'Lookup Tables'!$R$6:$U$13, 4, FALSE), VLOOKUP('Lighting Inventory'!G142, 'Lookup Tables'!$R$6:$U$13, 4, FALSE))))</f>
        <v/>
      </c>
      <c r="BE142" s="270" t="str">
        <f>IFERROR(IF(B142="", "",  IF(B142="New Construction", VLOOKUP(F142, 'Lookup Tables'!$A$6:$K$59, 11, FALSE),IF(OR(AN142="", AN142="Light Switch"), 0, IF(OR(M142="",M142="None",V142= "LED Exit Signs"),0,_xlfn.XLOOKUP(M142,'Lookup Tables'!$R$91:$R$101,'Lookup Tables'!$V$91:$V$101))))), "")</f>
        <v/>
      </c>
      <c r="BF142" s="270" t="str">
        <f>IF(AND(OR(AN142="Light Switch",AN142=""),B142="New Construction"), VLOOKUP(F142, 'Lookup Tables'!$A$6:$K$59, 11, FALSE),IF(AN142="","",IF(B142="","",IF(OR(AN142="None",AN142="",V142="LED Exit Signs",AN142="Exterior Controls Not Eligible"),0,_xlfn.XLOOKUP(AN142,'Lookup Tables'!$R$91:$R$101,'Lookup Tables'!$V$91:$V$101)))))</f>
        <v/>
      </c>
      <c r="BG142" s="88" t="str">
        <f t="shared" si="456"/>
        <v/>
      </c>
      <c r="BH142" s="88" t="str">
        <f t="shared" si="457"/>
        <v/>
      </c>
      <c r="BI142" s="558" t="str">
        <f t="shared" ref="BI142:BI205" si="501">IFERROR(ROUND(IF(AND(B142="New Construction", V142="LED Exit Signs"), "", IF(B142="", "", SUM(BG142:BH142))),6),"")</f>
        <v/>
      </c>
      <c r="BJ142" s="82" t="str">
        <f t="shared" si="458"/>
        <v/>
      </c>
      <c r="BK142" s="82" t="str">
        <f t="shared" si="459"/>
        <v/>
      </c>
      <c r="BL142" s="559" t="str">
        <f t="shared" si="460"/>
        <v/>
      </c>
      <c r="BM142" s="521" t="str">
        <f t="shared" si="405"/>
        <v/>
      </c>
      <c r="BN142" s="521" t="str">
        <f t="shared" si="406"/>
        <v/>
      </c>
      <c r="BO142" s="522" t="str">
        <f t="shared" si="407"/>
        <v/>
      </c>
      <c r="BP142" s="83" t="str">
        <f t="shared" si="461"/>
        <v/>
      </c>
      <c r="BQ142" s="84" t="str">
        <f t="shared" si="462"/>
        <v/>
      </c>
      <c r="BR142" s="184" t="str">
        <f>IFERROR(IF(B142="", "", IF(OR(VLOOKUP(J142, 'Fixture Identities'!$A$6:$L$1023, 3, FALSE)="T12 Linear Fluorescent",VLOOKUP(J142, 'Fixture Identities'!$A$6:$L$1023, 3, FALSE)="T12 U-Tube Fluorescent"), "Y", "N")), "N")</f>
        <v/>
      </c>
      <c r="BS142" s="184" t="str">
        <f t="array" ref="BS142">IFERROR(IF(OR(B142="", V142="", W142=""), "", IF(V142="Custom", "N", IF(OR(W142="Freezer Case Lighting", W142="Refrigerated Case Lighting with Doors"), BT142, IF(B142="Retrofit", INDEX('Lookup Tables'!$AH$6:$AT$102,MATCH(1,('Lookup Tables'!$AH$6:$AH$102=V142)*('Lookup Tables'!$AI$6:$AI$102=W142),FALSE),IF(VLOOKUP(J142, 'Fixture Identities'!$A$6:$B$1023, 2, FALSE)="Incandescent",12, 13)), INDEX('Lookup Tables'!$AH$114:$AS$154,MATCH(1,('Lookup Tables'!$AH$114:$AH$154=V142)*('Lookup Tables'!$AI$114:$AI$154=W142),FALSE),12))))), "N")</f>
        <v/>
      </c>
      <c r="BT142" s="184" t="str">
        <f>IF(J142="", "", IF(AND(OR(W142="Freezer case Lighting", W142="Refrigerated Case Lighting with Doors"),'General Information'!$X$18="LCI"), "N", IF(OR(VLOOKUP(J142, 'Fixture Identities'!$A$6:$B$1023, 2, FALSE)="T12 EPACT/EISA Baseline", VLOOKUP(J142, 'Fixture Identities'!$A$6:$B$1023, 2, FALSE)="Linear Fluorescent", VLOOKUP(J142, 'Fixture Identities'!$A$6:$B$1023, 2, FALSE)="U-Tube Fluorescent"), "Y", "N")))</f>
        <v/>
      </c>
      <c r="BU142" s="184" t="str">
        <f>IFERROR(IF(B142="", "", IF(VLOOKUP(J142, 'Fixture Identities'!$A$6:$B$1023, 2, FALSE)="Exit Sign", "Y", "N")), "N")</f>
        <v/>
      </c>
      <c r="BV142" s="184" t="str">
        <f>IF(V142="Exit Signs", IF(VLOOKUP(J142, 'Fixture Identities'!$A$6:$B$1023, 2, FALSE)="Exit Sign", "N", "Y"), "")</f>
        <v/>
      </c>
      <c r="BW142" s="184" t="str">
        <f t="array" ref="BW142">IFERROR(IF(B142="", "", IF(B142="New Construction", "N", INDEX('Lookup Tables'!$AH$6:$AU$102, MATCH(1, ('Lookup Tables'!$AH$6:$AH$102='Lighting Inventory'!V142)*('Lookup Tables'!$AI$6:$AI$102='Lighting Inventory'!W142), 0), 14))), "N")</f>
        <v/>
      </c>
      <c r="BX142" s="598" t="str">
        <f t="shared" si="463"/>
        <v/>
      </c>
      <c r="BY142" s="598" t="str">
        <f t="shared" si="464"/>
        <v/>
      </c>
      <c r="BZ142" s="598" t="str">
        <f t="shared" si="465"/>
        <v/>
      </c>
      <c r="CA142" s="598" t="str">
        <f t="shared" si="466"/>
        <v/>
      </c>
      <c r="CB142" s="269" t="str">
        <f t="shared" si="467"/>
        <v/>
      </c>
      <c r="CC142" s="517" t="str">
        <f t="shared" si="468"/>
        <v/>
      </c>
      <c r="CD142" s="565" t="str">
        <f t="shared" si="408"/>
        <v/>
      </c>
      <c r="CE142" s="368">
        <v>0</v>
      </c>
      <c r="CF142" s="368" t="str" cm="1">
        <f t="array" ref="CF142">IFERROR(IF(V142="Custom", "$0.1 per kWh", IF(B142="New Construction", CONCATENATE("$",INDEX('Lookup Tables'!$AH$114:$AN$154,MATCH(1,('Lookup Tables'!$AH$114:$AH$154='Lighting Inventory'!V142)*('Lookup Tables'!$AI$114:$AI$154='Lighting Inventory'!W142),FALSE),6)," ",INDEX('Lookup Tables'!$AH$114:$AN$154,MATCH(1,('Lookup Tables'!$AH$114:$AH$154='Lighting Inventory'!V142)*('Lookup Tables'!$AI$114:$AI$154='Lighting Inventory'!W142),FALSE),7)), IF(AND(BU142="N", V142="Exit Signs"), "$0.025 per kWh", CONCATENATE("$",INDEX('Lookup Tables'!$AH$6:$AN$102,MATCH(1,('Lookup Tables'!$AH$6:$AH$102='Lighting Inventory'!V142)*('Lookup Tables'!$AI$6:$AI$102='Lighting Inventory'!W142),FALSE),6)," ",INDEX('Lookup Tables'!$AH$6:$AN$102,MATCH(1,('Lookup Tables'!$AH$6:$AH$102='Lighting Inventory'!V142)*('Lookup Tables'!$AI$6:$AI$102='Lighting Inventory'!W142),FALSE),7))))), "")</f>
        <v/>
      </c>
      <c r="CG142" s="366"/>
      <c r="CH142" s="248" t="str">
        <f t="shared" si="409"/>
        <v/>
      </c>
      <c r="CI142" s="248" t="str">
        <f t="shared" si="410"/>
        <v>Select_IE</v>
      </c>
      <c r="CJ142" s="248" t="str">
        <f t="shared" si="411"/>
        <v/>
      </c>
      <c r="CK142" s="248" t="str">
        <f t="shared" si="412"/>
        <v/>
      </c>
      <c r="CL142" s="248" t="str">
        <f t="shared" si="413"/>
        <v/>
      </c>
      <c r="CM142" s="248" t="str">
        <f>IFERROR(IF(B142="", "", IF(B142="New Construction", VLOOKUP(V142, 'Lookup Tables'!$AF$114:$AG$120, 2, FALSE), VLOOKUP(V142, 'Lookup Tables'!$AD$6:$AE$25, 2, FALSE))), "")</f>
        <v/>
      </c>
      <c r="CN142" s="248" t="str">
        <f t="shared" si="414"/>
        <v/>
      </c>
      <c r="CO142" s="248" t="str">
        <f t="shared" si="415"/>
        <v/>
      </c>
      <c r="CP142" s="592" t="str">
        <f t="shared" si="416"/>
        <v/>
      </c>
      <c r="CQ142" s="248" t="str">
        <f t="shared" si="469"/>
        <v/>
      </c>
      <c r="CR142" s="249"/>
      <c r="CS142" s="250" t="str">
        <f t="shared" si="417"/>
        <v/>
      </c>
      <c r="CT142" s="250" t="str">
        <f t="shared" si="470"/>
        <v/>
      </c>
      <c r="CU142" s="250" t="str">
        <f t="shared" si="471"/>
        <v/>
      </c>
      <c r="CV142" s="250" t="str">
        <f t="shared" si="472"/>
        <v/>
      </c>
      <c r="CW142" s="250" t="str">
        <f t="shared" si="473"/>
        <v/>
      </c>
      <c r="CX142" s="250" t="str">
        <f t="shared" si="418"/>
        <v/>
      </c>
      <c r="CY142" s="250" t="str">
        <f t="shared" si="419"/>
        <v/>
      </c>
      <c r="CZ142" s="250" t="str">
        <f t="shared" si="420"/>
        <v/>
      </c>
      <c r="DA142" s="250" t="str">
        <f t="shared" si="421"/>
        <v/>
      </c>
      <c r="DB142" s="250" t="str">
        <f t="shared" si="422"/>
        <v/>
      </c>
      <c r="DC142" s="250" t="str">
        <f t="shared" si="423"/>
        <v/>
      </c>
      <c r="DD142" s="250" t="str">
        <f t="shared" si="424"/>
        <v/>
      </c>
      <c r="DE142" s="250" t="str">
        <f t="shared" si="425"/>
        <v/>
      </c>
      <c r="DF142" s="250" t="str">
        <f t="shared" si="426"/>
        <v/>
      </c>
      <c r="DG142" s="250" t="str">
        <f t="shared" si="427"/>
        <v/>
      </c>
      <c r="DH142" s="250" t="str">
        <f t="shared" si="428"/>
        <v/>
      </c>
      <c r="DI142" s="250" t="str">
        <f t="shared" si="429"/>
        <v/>
      </c>
      <c r="DJ142" s="250" t="str">
        <f t="shared" si="430"/>
        <v/>
      </c>
      <c r="DK142" s="250" t="str">
        <f t="shared" si="431"/>
        <v/>
      </c>
      <c r="DL142" s="250" t="str">
        <f t="shared" si="432"/>
        <v/>
      </c>
      <c r="DM142" s="250" t="str">
        <f>IF(CD142="ERROR", "ERROR", IF(AND(OR(Y142=$DM$6, Y142='Lookup Tables'!$AD$21, Y142='Lookup Tables'!$AD$22), E142="Interior"), BJ142, ""))</f>
        <v/>
      </c>
      <c r="DN142" s="250" t="str">
        <f>IF(CD142="ERROR", "ERROR", IF(AND(OR(Y142=$DM$6, Y142='Lookup Tables'!$AD$21, Y142='Lookup Tables'!$AD$22), E142="Exterior"), BJ142, ""))</f>
        <v/>
      </c>
      <c r="DO142" s="249"/>
      <c r="DP142" s="250" t="str">
        <f t="shared" si="433"/>
        <v/>
      </c>
      <c r="DQ142" s="250" t="str">
        <f t="shared" si="474"/>
        <v/>
      </c>
      <c r="DR142" s="250" t="str">
        <f t="shared" si="475"/>
        <v/>
      </c>
      <c r="DS142" s="250" t="str">
        <f t="shared" si="476"/>
        <v/>
      </c>
      <c r="DT142" s="250" t="str">
        <f t="shared" si="477"/>
        <v/>
      </c>
      <c r="DU142" s="250" t="str">
        <f t="shared" si="434"/>
        <v/>
      </c>
      <c r="DV142" s="250" t="str">
        <f t="shared" si="435"/>
        <v/>
      </c>
      <c r="DW142" s="250" t="str">
        <f t="shared" si="436"/>
        <v/>
      </c>
      <c r="DX142" s="250" t="str">
        <f t="shared" si="437"/>
        <v/>
      </c>
      <c r="DY142" s="250" t="str">
        <f t="shared" si="438"/>
        <v/>
      </c>
      <c r="DZ142" s="250" t="str">
        <f t="shared" si="439"/>
        <v/>
      </c>
      <c r="EA142" s="250" t="str">
        <f t="shared" si="440"/>
        <v/>
      </c>
      <c r="EB142" s="250" t="str">
        <f t="shared" si="478"/>
        <v/>
      </c>
      <c r="EC142" s="250" t="str">
        <f t="shared" si="441"/>
        <v/>
      </c>
      <c r="ED142" s="250" t="str">
        <f t="shared" si="442"/>
        <v/>
      </c>
      <c r="EE142" s="250" t="str">
        <f t="shared" si="443"/>
        <v/>
      </c>
      <c r="EF142" s="250" t="str">
        <f t="shared" si="444"/>
        <v/>
      </c>
      <c r="EG142" s="250" t="str">
        <f t="shared" si="445"/>
        <v/>
      </c>
      <c r="EH142" s="250" t="str">
        <f>IF(CD142="ERROR", "ERROR", IF(AND(OR($EH$6=Y142, Y142='Lookup Tables'!$AD$21, Y142='Lookup Tables'!$AD$22),E142="Interior"), SUM(BP142:BP142), ""))</f>
        <v/>
      </c>
      <c r="EI142" s="250" t="str">
        <f>IF(CD142="ERROR", "ERROR", IF(AND(OR($EH$6=Y142, Y142='Lookup Tables'!$AD$21, Y142='Lookup Tables'!$AD$22),E142="Exterior"), SUM(BP142:BP142), ""))</f>
        <v/>
      </c>
      <c r="EJ142" s="109"/>
      <c r="EK142" s="485" t="str">
        <f t="shared" si="446"/>
        <v/>
      </c>
      <c r="EL142" s="252" t="str">
        <f t="shared" si="479"/>
        <v/>
      </c>
      <c r="EM142" s="252" t="str">
        <f t="shared" si="480"/>
        <v/>
      </c>
      <c r="EN142" s="252" t="str">
        <f t="shared" si="481"/>
        <v/>
      </c>
      <c r="EO142" s="252" t="str">
        <f t="shared" si="482"/>
        <v/>
      </c>
      <c r="EP142" s="252" t="str">
        <f t="shared" si="483"/>
        <v/>
      </c>
      <c r="EQ142" s="252" t="str">
        <f t="shared" si="484"/>
        <v/>
      </c>
      <c r="ER142" s="252" t="str">
        <f t="shared" si="485"/>
        <v/>
      </c>
      <c r="ES142" s="252" t="str">
        <f t="shared" si="486"/>
        <v/>
      </c>
      <c r="ET142" s="252" t="str">
        <f t="shared" si="487"/>
        <v/>
      </c>
      <c r="EU142" s="252" t="str">
        <f t="shared" si="488"/>
        <v/>
      </c>
      <c r="EV142" s="252" t="str">
        <f t="shared" si="489"/>
        <v/>
      </c>
      <c r="EW142" s="252" t="str">
        <f t="shared" si="490"/>
        <v/>
      </c>
      <c r="EX142" s="252" t="str">
        <f t="shared" si="491"/>
        <v/>
      </c>
      <c r="EY142" s="252" t="str">
        <f t="shared" si="492"/>
        <v/>
      </c>
      <c r="EZ142" s="252" t="str">
        <f t="shared" si="493"/>
        <v/>
      </c>
      <c r="FA142" s="252" t="str">
        <f t="shared" si="494"/>
        <v/>
      </c>
      <c r="FB142" s="252" t="str">
        <f t="shared" si="495"/>
        <v/>
      </c>
      <c r="FC142" s="252" t="str">
        <f>IF(CD142="ERROR", "ERROR", IF(OR(V142="No Change", V142="Not DLC or Energy Star"), "", IF(AND(OR($FC$6=Y142,Y142='Lookup Tables'!$AD$21, Y142='Lookup Tables'!$AD$22),E142="Interior"), S142, "")))</f>
        <v/>
      </c>
      <c r="FD142" s="252" t="str">
        <f t="shared" si="496"/>
        <v/>
      </c>
      <c r="FE142" s="1"/>
      <c r="FF142" s="579" t="str" cm="1">
        <f t="array" ref="FF142">IFERROR(IF(OR(BQ142&lt;=0,AQ142&lt;20,AND(V142="Exit Signs",AN142&gt;0)),"",IF(AND(AQ142&gt;=20,AN142='Lookup Tables'!$R$101),'Lookup Tables'!$U$101*BQ142,AP142*LOOKUP(2,1/((AN142='Lookup Tables'!$R$91:$R$111)*(AQ142&gt;='Lookup Tables'!$S$91:$S$111)*(AQ142&lt;='Lookup Tables'!$T$91:$T$111)),'Lookup Tables'!$U$91:$U$111))),"")</f>
        <v/>
      </c>
      <c r="FG142" s="579"/>
      <c r="FH142" s="579"/>
      <c r="FI142" s="253" t="str">
        <f>IFERROR(ROUND(IF(CD142="ERROR", "ERROR", IF(AND($FI$7=X142,E142="Interior"),VLOOKUP(W142, 'Lookup Tables'!$AI$6:$AM$102, 5, FALSE)*BP142, "")), 2), "")</f>
        <v/>
      </c>
      <c r="FJ142" s="253" t="str">
        <f>IFERROR(ROUND(IF(CD142="ERROR", "ERROR", IF(AND($FI$7=X142,E142="Exterior"),VLOOKUP(W142, 'Lookup Tables'!$AI$6:$AM$102, 5, FALSE)*BP142, "")), 2), "")</f>
        <v/>
      </c>
      <c r="FK142" s="253" t="str">
        <f>IFERROR(ROUND(IF(CD142="ERROR", "ERROR", IF(AND($FK$7=X142,E142="Interior"),VLOOKUP(W142, 'Lookup Tables'!$AI$6:$AM$102, 5, FALSE)*BP142, "")), 2), "")</f>
        <v/>
      </c>
      <c r="FL142" s="253" t="str">
        <f>IFERROR(ROUND(IF(CD142="ERROR", "ERROR", IF(AND($FK$7=X142,E142="Exterior"),VLOOKUP(W142, 'Lookup Tables'!$AI$6:$AM$102, 5, FALSE)*BP142, "")), 2), "")</f>
        <v/>
      </c>
      <c r="FM142" s="253" t="str">
        <f>IFERROR(ROUND(IF(CD142="ERROR", "ERROR", IF(AND($FM$6=Y142,E142="Interior"), IF(GB142=0, VLOOKUP(W142, 'Lookup Tables'!$AI$6:$AM$102, 5, FALSE)*BP142, IF(VLOOKUP(W142, 'Lookup Tables'!$AI$6:$AM$102, 5, FALSE)*BP142&gt;GB142*'Lighting Inventory'!S142, GB142*'Lighting Inventory'!S142,VLOOKUP(W142, 'Lookup Tables'!$AI$6:$AM$102, 5, FALSE)*BP142)), "")), 2), "")</f>
        <v/>
      </c>
      <c r="FN142" s="253" t="str">
        <f>IFERROR(ROUND(IF(CD142="ERROR", "ERROR", IF(AND($FM$6=Y142,E142="Exterior"), IF(GB142=0, VLOOKUP(W142, 'Lookup Tables'!$AI$6:$AM$102, 5, FALSE)*BP142, IF(VLOOKUP(W142, 'Lookup Tables'!$AI$6:$AM$102, 5, FALSE)*BP142&gt;GB142*'Lighting Inventory'!S142, GB142*'Lighting Inventory'!S142,VLOOKUP(W142, 'Lookup Tables'!$AI$6:$AM$102, 5, FALSE)*BP142)), "")), 2), "")</f>
        <v/>
      </c>
      <c r="FO142" s="253" t="str">
        <f>IFERROR(ROUND(IF(CD142="ERROR", "ERROR", IF(AND($FO$6=Y142,E142="Interior"),VLOOKUP(W142, 'Lookup Tables'!$AI$6:$AM$102, 5, FALSE)*'Lighting Inventory'!AI142, "")), 2), "")</f>
        <v/>
      </c>
      <c r="FP142" s="253" t="str">
        <f>IFERROR(ROUND(IF(CD142="ERROR", "ERROR", IF(AND($FO$6=Y142,E142="Exterior"),VLOOKUP(W142, 'Lookup Tables'!$AI$6:$AM$102, 5, FALSE)*'Lighting Inventory'!AI142, "")), 2), "")</f>
        <v/>
      </c>
      <c r="FQ142" s="253" t="str">
        <f>IFERROR(ROUND(IF(CD142="ERROR", "ERROR", IF(AND($FQ$6=Y142,E142="Interior", BU142="Y"), VLOOKUP('Lighting Inventory'!W142, 'Lookup Tables'!$AI$6:$AM$102, 5, FALSE)*'Lighting Inventory'!S142, IF(AND($FQ$7=Y142,E142="Interior", BU142="N"), 0.025*CD142, ""))), 2), "")</f>
        <v/>
      </c>
      <c r="FR142" s="253" t="str">
        <f>IFERROR(ROUND(IF(CD142="ERROR", "ERROR", IF(AND($FQ$6=Y142,E142="Exterior"), VLOOKUP('Lighting Inventory'!W142, 'Lookup Tables'!$AI$6:$AM$102, 5, FALSE)*'Lighting Inventory'!S142, "")), 2), "")</f>
        <v/>
      </c>
      <c r="FS142" s="253" t="str">
        <f>IFERROR(ROUND(IF(CD142="ERROR", "ERROR", IF(AND($FS$6=Y142,E142="Exterior"), IF(GB142=0, VLOOKUP(W142, 'Lookup Tables'!$AI$6:$AM$102, 5, FALSE)*BP142, IF(VLOOKUP(W142, 'Lookup Tables'!$AI$6:$AM$102, 5, FALSE)*BP142&gt;GB142*'Lighting Inventory'!S142, GB142*'Lighting Inventory'!S142,VLOOKUP(W142, 'Lookup Tables'!$AI$6:$AM$102, 5, FALSE)*BP142)), "")), 2), "")</f>
        <v/>
      </c>
      <c r="FT142" s="253" t="str">
        <f>IFERROR(ROUND(IF(CD142="ERROR", "ERROR", IF(AND($FT$6=Y142,E142="Interior"), IF(GB142=0, VLOOKUP(W142, 'Lookup Tables'!$AI$6:$AM$102, 5, FALSE)*BP142, IF(VLOOKUP(W142, 'Lookup Tables'!$AI$6:$AM$102, 5, FALSE)*BP142&gt;GB142*'Lighting Inventory'!S142, GB142*'Lighting Inventory'!S142,VLOOKUP(W142, 'Lookup Tables'!$AI$6:$AM$102, 5, FALSE)*BP142)), "")), 2), "")</f>
        <v/>
      </c>
      <c r="FU142" s="253" t="str">
        <f>IFERROR(ROUND(IF(CD142="ERROR", "ERROR", IF(AND(Y142=$FU$6, E142="Interior"), IF(BS142="N", 'Lookup Tables'!$AM$101*BP142, VLOOKUP(W142, 'Lookup Tables'!$AI$6:$AM$102, 5, FALSE)*S142*AD142), "")), 2), "")</f>
        <v/>
      </c>
      <c r="FV142" s="253" t="str">
        <f>IFERROR(ROUND(IF(CD142="ERROR", "ERROR", IF(AND(Y142=$FU$6, E142="Exterior"), IF(BS142="N", 'Lookup Tables'!$AM$101*BP142, VLOOKUP(W142, 'Lookup Tables'!$AI$6:$AM$102, 5, FALSE)*S142*AD142), "")), 2), "")</f>
        <v/>
      </c>
      <c r="FW142" s="253" t="str">
        <f>IFERROR(ROUND(IF(CD142="ERROR", "ERROR", IF($FW$6=Y142, IF(BS142="N", 'Lookup Tables'!$AM$101*BP142, MIN((VLOOKUP(W142, 'Lookup Tables'!$AI$6:$AM$102, 5, FALSE)*BP142),GB142*AJ142)), "")), 2), "")</f>
        <v/>
      </c>
      <c r="FX142" s="253" t="str">
        <f>IFERROR(ROUND(IF(CD142="ERROR", "ERROR", IF(AND($FX$6=Y142, E142="Interior"), IF(VLOOKUP(W142, 'Lookup Tables'!$AI$6:$AM$102, 5, FALSE)*BP142&gt;'Lookup Tables'!$AQ$97*'Lighting Inventory'!S142,'Lighting Inventory'!S142*'Lookup Tables'!$AQ$97,VLOOKUP(W142, 'Lookup Tables'!$AI$6:$AM$102, 5, FALSE)*BP142), "")), 2), "")</f>
        <v/>
      </c>
      <c r="FY142" s="253" t="str">
        <f>IFERROR(ROUND(IF(CD142="ERROR", "ERROR", IF(AND($FX$6=Y142, E142="Exterior"), IF(VLOOKUP(W142, 'Lookup Tables'!$AI$6:$AM$102, 5, FALSE)*BP142&gt;'Lookup Tables'!$AQ$97*'Lighting Inventory'!S142,'Lighting Inventory'!S142*'Lookup Tables'!$AQ$97,VLOOKUP(W142, 'Lookup Tables'!$AI$6:$AM$102, 5, FALSE)*BP142), "")), 2), "")</f>
        <v/>
      </c>
      <c r="FZ142" s="253" t="str">
        <f>IFERROR(ROUND(IF(CD142="ERROR", "ERROR", IF(AND($FZ$6=Y142, E142="Interior"), IF(AND(OR(W142="Refrigerated Case Lighting with Doors", W142="Freezer Case Lighting"),Y142="Custom - Process Improvement"),CD142*'Lookup Tables'!$AM$101, IF(B142="Retrofit", IF(VLOOKUP(IF(V142="Custom", V142, W142), 'Lookup Tables'!$AI$6:$AM$102, 5, FALSE)*BP142&gt;GE142, GE142, VLOOKUP(IF(V142="Custom", V142, W142), 'Lookup Tables'!$AI$6:$AM$102, 5, FALSE)*BP142), IF(VLOOKUP(IF(V142="Custom", V142, W142), 'Lookup Tables'!$AI$114:$AM$154, 5, FALSE)*BP142&gt;GE142, GE142, VLOOKUP(IF(V142="Custom", V142, W142), 'Lookup Tables'!$AI$114:$AM$154, 5, FALSE)*BP142))), "")), 2),"")</f>
        <v/>
      </c>
      <c r="GA142" s="253" t="str">
        <f>IFERROR(ROUND(IF(CD142="ERROR", "ERROR", IF(AND($FZ$6=Y142, E142="Exterior"), IF(B142="Retrofit", IF(VLOOKUP(IF(V142="Custom", V142, W142), 'Lookup Tables'!$AI$6:$AM$102, 5, FALSE)*BP142&gt;GE142, GE142, VLOOKUP(IF(V142="Custom", V142, W142), 'Lookup Tables'!$AI$6:$AM$102, 5, FALSE)*BP142), IF(VLOOKUP(IF(V142="Custom", V142, W142), 'Lookup Tables'!$AI$114:$AM$154, 5, FALSE)*BP142&gt;GE142, GE142, VLOOKUP(IF(V142="Custom", V142, W142), 'Lookup Tables'!$AI$114:$AM$154, 5, FALSE)*BP142)), "")), 2),"")</f>
        <v/>
      </c>
      <c r="GB142" s="254" t="str">
        <f t="array" ref="GB142">IF(B142="","",IF(OR(V142="Custom",V142="No Change"),0,IF(B142="Retrofit", INDEX('Lookup Tables'!$AH$6:$AQ$102,MATCH(1,('Lookup Tables'!$AH$6:$AH$102='Lighting Inventory'!V142)*('Lookup Tables'!$AI$6:$AI$102='Lighting Inventory'!W142),FALSE),10),INDEX('Lookup Tables'!$AH$114:$AQ$154,MATCH(1,('Lookup Tables'!$AH$114:$AH$154='Lighting Inventory'!V142)*('Lookup Tables'!$AI$114:$AI$154='Lighting Inventory'!W142),FALSE),10))))</f>
        <v/>
      </c>
      <c r="GC142" s="255" t="str">
        <f t="shared" si="447"/>
        <v/>
      </c>
      <c r="GD142" s="250" t="str">
        <f t="shared" si="448"/>
        <v/>
      </c>
      <c r="GE142" s="253" t="str">
        <f>IFERROR(IF(AND(AF142="", 'General Information'!$F$18="No"),"", IF(AF142="", ((GD142/$CD$266)*$CF$266)*0.5, AF142*S142*0.5)), "")</f>
        <v/>
      </c>
      <c r="GF142" s="255" t="str">
        <f>IF(AND('General Information'!$F$19="", 'General Information'!$F$18="Yes",AF142="",BW142="Y"), "Y", "N")</f>
        <v>N</v>
      </c>
      <c r="GG142" s="255" t="s">
        <v>2946</v>
      </c>
      <c r="GH142" s="255" t="str">
        <f>IFERROR(IF(B142="", "", VLOOKUP(J142, 'Fixture Identities'!$A$6:$N$908, 14, FALSE)), "")</f>
        <v/>
      </c>
      <c r="GI142" s="389" t="str">
        <f>IF(OR(B142="", V142="", W142=""), "", IF(AND(OR(M142='Lookup Tables'!$R$18, M142='Lookup Tables'!$R$19, M142='Lookup Tables'!$R$20, M142='Lookup Tables'!$R$21, M142='Lookup Tables'!$R$22), OR(AN142='Lookup Tables'!$R$17, AN142='Lookup Tables'!$R$17, AN142="")), "Y", "N"))</f>
        <v/>
      </c>
      <c r="GJ142" s="255" t="str">
        <f t="shared" si="449"/>
        <v/>
      </c>
      <c r="GK142" s="255" t="str">
        <f t="shared" si="450"/>
        <v/>
      </c>
      <c r="GL142" s="255" t="str">
        <f t="shared" si="451"/>
        <v/>
      </c>
      <c r="GM142" s="255" t="str">
        <f>IF(AN142="", "", IF(AND(IF(ISNA(VLOOKUP(AN142,'Lookup Tables'!$R$18:$R$22,1,FALSE)), "N", "Y")="Y", E142="Exterior"), "Y", "N"))</f>
        <v/>
      </c>
      <c r="GN142" s="395"/>
      <c r="GO142" s="428">
        <f t="shared" si="497"/>
        <v>0</v>
      </c>
      <c r="GP142" s="428">
        <f t="shared" si="500"/>
        <v>0</v>
      </c>
      <c r="GQ142" s="428">
        <f t="shared" si="498"/>
        <v>0</v>
      </c>
      <c r="GR142" s="428">
        <f t="shared" si="499"/>
        <v>0</v>
      </c>
    </row>
    <row r="143" spans="1:200" s="103" customFormat="1" ht="13.5" customHeight="1" x14ac:dyDescent="0.2">
      <c r="A143" s="272">
        <v>133</v>
      </c>
      <c r="B143" s="110"/>
      <c r="C143" s="110"/>
      <c r="D143" s="110"/>
      <c r="E143" s="110"/>
      <c r="F143" s="110"/>
      <c r="G143" s="110"/>
      <c r="H143" s="110"/>
      <c r="I143" s="29"/>
      <c r="J143" s="29"/>
      <c r="K143" s="272" t="str">
        <f>IFERROR(IF(OR(VLOOKUP(J143, 'Fixture Identities'!$A$6:$L$1023, 3, FALSE)="T12 Linear Fluorescent", VLOOKUP(J143, 'Fixture Identities'!$A$6:$L$1023, 3, FALSE)="T12 U-Tube Fluorescent"), VLOOKUP(VLOOKUP(J143, 'Fixture Identities'!$A$6:$L$1023, 11, FALSE), 'Fixture Identities'!$A$6:$L$1023, 10, FALSE), VLOOKUP(J143, 'Fixture Identities'!$A$6:$L$1023, 10, FALSE)), "")</f>
        <v/>
      </c>
      <c r="L143" s="270" t="str">
        <f t="shared" si="399"/>
        <v/>
      </c>
      <c r="M143" s="110"/>
      <c r="N143" s="110"/>
      <c r="O143" s="110"/>
      <c r="P143" s="272" t="str">
        <f>IFERROR(IF(OR(B143="Retrofit",B143=""),"",IF('Lighting Inventory'!E143="Exterior",VLOOKUP('Lighting Inventory'!N143,'Lookup Tables'!$B$83:$F$103,5,FALSE),IF(N143="Other - Please Estimate EFLH and CFs","Contact Prog. Rep.","ft^2"))), "")</f>
        <v/>
      </c>
      <c r="Q143" s="270" t="str">
        <f>IFERROR(IF(AND(B143="New Construction",E143="Interior",$F$5="Space-by-Space"),VLOOKUP('Lighting Inventory'!N143,'Lookup Tables'!$N$6:$O$97,2,FALSE),IF(AND(B143="New Construction",E143="Exterior"),VLOOKUP(N143,'Lookup Tables'!$B$83:$F$103,2,FALSE),IF(AND(B143="New Construction",'Lighting Inventory'!E143="Interior", $F$5="Building Area"),VLOOKUP(F143,'Lookup Tables'!$A$6:$J$59,10,FALSE),""))), "")</f>
        <v/>
      </c>
      <c r="R143" s="270" t="str">
        <f>IFERROR(IF(P143="Contact Prog. Rep.", "ERROR", IF(OR(B143="",B143="Retrofit"),"",IF(N143="Automated teller machines", ('Lookup Tables'!$A$82:$E$100+('Lighting Inventory'!O143-1)*'Lookup Tables'!$A$82:$E$100)/1000, (Q143*O143)/1000))), "")</f>
        <v/>
      </c>
      <c r="S143" s="595"/>
      <c r="T143" s="105" t="str">
        <f t="shared" si="452"/>
        <v/>
      </c>
      <c r="U143" s="105" t="str">
        <f>IF(S143="","",COUNT($S$11:S143))</f>
        <v/>
      </c>
      <c r="V143" s="111"/>
      <c r="W143" s="112"/>
      <c r="X143" s="105" t="str">
        <f t="shared" si="453"/>
        <v/>
      </c>
      <c r="Y143" s="105" t="str">
        <f t="array" ref="Y143">IF(AND(OR(W143="Freezer Case Lighting", W143="Refrigerated Case Lighting with Doors"), 'General Information'!$X$18="LCI"),'Lookup Tables'!$Y$34, IF(V143="Custom", VLOOKUP(W143, 'Fixture Identities'!$A$974:$M$1023, 13, FALSE), IF(V143="No Change",'Lookup Tables'!$Y$29,IF(OR(V143="",W143=""),"",IF(AND(S143=0,S143&lt;I143,B143="Retrofit"),'Lookup Tables'!$Y$25, IF(B143="Retrofit", INDEX('Lookup Tables'!$AH$6:$AP$102, MATCH(1, ('Lookup Tables'!$AH$6:$AH$102=V143)*('Lookup Tables'!$AI$6:$AI$102=W143), 0), IF('Lighting Inventory'!E143="Interior", 4, 5)), INDEX('Lookup Tables'!$AH$114:$AP$154, MATCH(1, ('Lookup Tables'!$AH$114:$AH$154=V143)*('Lookup Tables'!$AI$114:$AI$154=W143), 0), IF('Lighting Inventory'!E143="Interior", 4, 5))))))))</f>
        <v/>
      </c>
      <c r="Z143" s="105" t="str">
        <f>IFERROR(INDEX('Lookup Tables'!$AH$158:$AH$172,MATCH('Lighting Inventory'!Y143,'Lookup Tables'!$AI$158:$AI$172,0)),"")</f>
        <v/>
      </c>
      <c r="AA143" s="105" t="str">
        <f>IF(AP143&gt;0,INDEX('Lookup Tables'!$AK$158:$AK$172,MATCH('Lighting Inventory'!Y143,'Lookup Tables'!$AI$158:$AI$172,0)),'Lighting Inventory'!Y143)</f>
        <v/>
      </c>
      <c r="AB143" s="105" t="str">
        <f t="array" ref="AB143">IF(V143="Custom", "Custom", IF(V143="", "", IF(V143="Not DLC or Energy Star", "General", IF(B143="New Construction", INDEX('Lookup Tables'!$AH$114:$AP$154,MATCH(1,('Lookup Tables'!$AH$114:$AH$154='Lighting Inventory'!V143)*('Lookup Tables'!$AI$114:$AI$154='Lighting Inventory'!W143),FALSE),8), INDEX('Lookup Tables'!$AH$6:$AP$102,MATCH(1,('Lookup Tables'!$AH$6:$AH$102='Lighting Inventory'!V143)*('Lookup Tables'!$AI$6:$AI$102='Lighting Inventory'!W143),FALSE),8)))))</f>
        <v/>
      </c>
      <c r="AC143" s="272" t="str">
        <f>IF(W143="","",IF(V143="Custom",CONCATENATE("$",'Lookup Tables'!$AM$101," ",'Lookup Tables'!$AN$101),CONCATENATE("$",INDEX('Lookup Tables'!$AM$6:$AM$102,MATCH('Lighting Inventory'!W143,'Lookup Tables'!$AI$6:$AI$102,0))," ",INDEX('Lookup Tables'!$AN$6:$AN$102,MATCH('Lighting Inventory'!W143,'Lookup Tables'!$AI$6:$AI$102,0)))))</f>
        <v/>
      </c>
      <c r="AD143" s="72"/>
      <c r="AE143" s="29"/>
      <c r="AF143" s="379"/>
      <c r="AG143" s="370" t="str">
        <f t="shared" si="401"/>
        <v/>
      </c>
      <c r="AH143" s="370" t="str">
        <f t="shared" si="454"/>
        <v/>
      </c>
      <c r="AI143" s="29"/>
      <c r="AJ143" s="29"/>
      <c r="AK143" s="110"/>
      <c r="AL143" s="375" t="str">
        <f>IF(OR(B143="", V143="", W143=""), "", IF(V143="No Change", K143, IF(V143="Remove Fixture", 0, IF(V143="Custom",VLOOKUP(W143,'Fixture Identities'!$A$6:$K$1023,10,FALSE),IF(AE143="", "← ENTER POST WATTS", 'Lighting Inventory'!AE143)))))</f>
        <v/>
      </c>
      <c r="AM143" s="376" t="str">
        <f t="shared" si="402"/>
        <v/>
      </c>
      <c r="AN143" s="29"/>
      <c r="AO143" s="671"/>
      <c r="AP143" s="29"/>
      <c r="AQ143" s="29"/>
      <c r="AR143" s="29"/>
      <c r="AS143" s="272" t="str">
        <f t="shared" si="455"/>
        <v/>
      </c>
      <c r="AT143" s="270" t="str">
        <f t="shared" si="403"/>
        <v/>
      </c>
      <c r="AU143" s="88" t="str">
        <f t="shared" si="400"/>
        <v/>
      </c>
      <c r="AV143" s="29"/>
      <c r="AW143" s="73"/>
      <c r="AX143" s="271" t="str">
        <f>IF(AND(AV143="Applicant",OR(AW143="", AW143="Use Default Facility Hours")),"← Choose Schedule",IF(F143="","",IF(W143="LED Exit Signs",8760,IF(OR(AV143="Prescribed",AV143=""),VLOOKUP(F143,'Lookup Tables'!$A$6:$G$59,IF(AB143="General", 6, 3),FALSE),VLOOKUP(AW143,'Lookup Tables'!$S$36:$U$43,2,FALSE)))))</f>
        <v/>
      </c>
      <c r="AY143" s="88" t="str">
        <f t="shared" si="404"/>
        <v/>
      </c>
      <c r="AZ143" s="270" t="str">
        <f>IFERROR(IF(F143="", "", IF(W143="LED Exit Signs", 1, IF(AV143="Applicant",VLOOKUP(AW143, 'Lookup Tables'!$S$36:$U$43,3, FALSE), VLOOKUP('Lighting Inventory'!F143, 'Lookup Tables'!$A$6:$H$59, IF('Lighting Inventory'!AB143="General",7,4), FALSE)))), "")</f>
        <v/>
      </c>
      <c r="BA143" s="522" t="str">
        <f>IFERROR(IF(F143="", "", IF(W143="LED Exit Signs", 1, VLOOKUP('Lighting Inventory'!F143, 'Lookup Tables'!$A$6:$H$59, IF('Lighting Inventory'!AB143="General",8,5), FALSE))), "")</f>
        <v/>
      </c>
      <c r="BB143" s="270" t="str">
        <f>IF(G143="", "", IF(E143="Exterior", 0, IF('Lighting Inventory'!G143="Air Conditioned", VLOOKUP(H143, 'Lookup Tables'!$R$6:$T$13, 2, FALSE), VLOOKUP('Lighting Inventory'!G143, 'Lookup Tables'!$R$6:$T$13, 2, FALSE))))</f>
        <v/>
      </c>
      <c r="BC143" s="522" t="str">
        <f>IF(G143="", "", IF(E143="Exterior", 0, IF('Lighting Inventory'!G143="Air Conditioned", VLOOKUP(H143, 'Lookup Tables'!$R$6:$T$13, 3, FALSE), VLOOKUP('Lighting Inventory'!G143, 'Lookup Tables'!$R$6:$T$13, 3, FALSE))))</f>
        <v/>
      </c>
      <c r="BD143" s="270" t="str">
        <f>IF(G143="", "", IF(E143="Exterior", 0, IF('Lighting Inventory'!G143="Air Conditioned", VLOOKUP(H143, 'Lookup Tables'!$R$6:$U$13, 4, FALSE), VLOOKUP('Lighting Inventory'!G143, 'Lookup Tables'!$R$6:$U$13, 4, FALSE))))</f>
        <v/>
      </c>
      <c r="BE143" s="270" t="str">
        <f>IFERROR(IF(B143="", "",  IF(B143="New Construction", VLOOKUP(F143, 'Lookup Tables'!$A$6:$K$59, 11, FALSE),IF(OR(AN143="", AN143="Light Switch"), 0, IF(OR(M143="",M143="None",V143= "LED Exit Signs"),0,_xlfn.XLOOKUP(M143,'Lookup Tables'!$R$91:$R$101,'Lookup Tables'!$V$91:$V$101))))), "")</f>
        <v/>
      </c>
      <c r="BF143" s="270" t="str">
        <f>IF(AND(OR(AN143="Light Switch",AN143=""),B143="New Construction"), VLOOKUP(F143, 'Lookup Tables'!$A$6:$K$59, 11, FALSE),IF(AN143="","",IF(B143="","",IF(OR(AN143="None",AN143="",V143="LED Exit Signs",AN143="Exterior Controls Not Eligible"),0,_xlfn.XLOOKUP(AN143,'Lookup Tables'!$R$91:$R$101,'Lookup Tables'!$V$91:$V$101)))))</f>
        <v/>
      </c>
      <c r="BG143" s="88" t="str">
        <f t="shared" si="456"/>
        <v/>
      </c>
      <c r="BH143" s="88" t="str">
        <f t="shared" si="457"/>
        <v/>
      </c>
      <c r="BI143" s="558" t="str">
        <f t="shared" si="501"/>
        <v/>
      </c>
      <c r="BJ143" s="82" t="str">
        <f t="shared" si="458"/>
        <v/>
      </c>
      <c r="BK143" s="82" t="str">
        <f t="shared" si="459"/>
        <v/>
      </c>
      <c r="BL143" s="559" t="str">
        <f t="shared" si="460"/>
        <v/>
      </c>
      <c r="BM143" s="521" t="str">
        <f t="shared" si="405"/>
        <v/>
      </c>
      <c r="BN143" s="521" t="str">
        <f t="shared" si="406"/>
        <v/>
      </c>
      <c r="BO143" s="522" t="str">
        <f t="shared" si="407"/>
        <v/>
      </c>
      <c r="BP143" s="83" t="str">
        <f t="shared" si="461"/>
        <v/>
      </c>
      <c r="BQ143" s="84" t="str">
        <f t="shared" si="462"/>
        <v/>
      </c>
      <c r="BR143" s="184" t="str">
        <f>IFERROR(IF(B143="", "", IF(OR(VLOOKUP(J143, 'Fixture Identities'!$A$6:$L$1023, 3, FALSE)="T12 Linear Fluorescent",VLOOKUP(J143, 'Fixture Identities'!$A$6:$L$1023, 3, FALSE)="T12 U-Tube Fluorescent"), "Y", "N")), "N")</f>
        <v/>
      </c>
      <c r="BS143" s="184" t="str">
        <f t="array" ref="BS143">IFERROR(IF(OR(B143="", V143="", W143=""), "", IF(V143="Custom", "N", IF(OR(W143="Freezer Case Lighting", W143="Refrigerated Case Lighting with Doors"), BT143, IF(B143="Retrofit", INDEX('Lookup Tables'!$AH$6:$AT$102,MATCH(1,('Lookup Tables'!$AH$6:$AH$102=V143)*('Lookup Tables'!$AI$6:$AI$102=W143),FALSE),IF(VLOOKUP(J143, 'Fixture Identities'!$A$6:$B$1023, 2, FALSE)="Incandescent",12, 13)), INDEX('Lookup Tables'!$AH$114:$AS$154,MATCH(1,('Lookup Tables'!$AH$114:$AH$154=V143)*('Lookup Tables'!$AI$114:$AI$154=W143),FALSE),12))))), "N")</f>
        <v/>
      </c>
      <c r="BT143" s="184" t="str">
        <f>IF(J143="", "", IF(AND(OR(W143="Freezer case Lighting", W143="Refrigerated Case Lighting with Doors"),'General Information'!$X$18="LCI"), "N", IF(OR(VLOOKUP(J143, 'Fixture Identities'!$A$6:$B$1023, 2, FALSE)="T12 EPACT/EISA Baseline", VLOOKUP(J143, 'Fixture Identities'!$A$6:$B$1023, 2, FALSE)="Linear Fluorescent", VLOOKUP(J143, 'Fixture Identities'!$A$6:$B$1023, 2, FALSE)="U-Tube Fluorescent"), "Y", "N")))</f>
        <v/>
      </c>
      <c r="BU143" s="184" t="str">
        <f>IFERROR(IF(B143="", "", IF(VLOOKUP(J143, 'Fixture Identities'!$A$6:$B$1023, 2, FALSE)="Exit Sign", "Y", "N")), "N")</f>
        <v/>
      </c>
      <c r="BV143" s="184" t="str">
        <f>IF(V143="Exit Signs", IF(VLOOKUP(J143, 'Fixture Identities'!$A$6:$B$1023, 2, FALSE)="Exit Sign", "N", "Y"), "")</f>
        <v/>
      </c>
      <c r="BW143" s="184" t="str">
        <f t="array" ref="BW143">IFERROR(IF(B143="", "", IF(B143="New Construction", "N", INDEX('Lookup Tables'!$AH$6:$AU$102, MATCH(1, ('Lookup Tables'!$AH$6:$AH$102='Lighting Inventory'!V143)*('Lookup Tables'!$AI$6:$AI$102='Lighting Inventory'!W143), 0), 14))), "N")</f>
        <v/>
      </c>
      <c r="BX143" s="598" t="str">
        <f t="shared" si="463"/>
        <v/>
      </c>
      <c r="BY143" s="598" t="str">
        <f t="shared" si="464"/>
        <v/>
      </c>
      <c r="BZ143" s="598" t="str">
        <f t="shared" si="465"/>
        <v/>
      </c>
      <c r="CA143" s="598" t="str">
        <f t="shared" si="466"/>
        <v/>
      </c>
      <c r="CB143" s="269" t="str">
        <f t="shared" si="467"/>
        <v/>
      </c>
      <c r="CC143" s="517" t="str">
        <f t="shared" si="468"/>
        <v/>
      </c>
      <c r="CD143" s="565" t="str">
        <f t="shared" si="408"/>
        <v/>
      </c>
      <c r="CE143" s="368">
        <v>0</v>
      </c>
      <c r="CF143" s="368" t="str" cm="1">
        <f t="array" ref="CF143">IFERROR(IF(V143="Custom", "$0.1 per kWh", IF(B143="New Construction", CONCATENATE("$",INDEX('Lookup Tables'!$AH$114:$AN$154,MATCH(1,('Lookup Tables'!$AH$114:$AH$154='Lighting Inventory'!V143)*('Lookup Tables'!$AI$114:$AI$154='Lighting Inventory'!W143),FALSE),6)," ",INDEX('Lookup Tables'!$AH$114:$AN$154,MATCH(1,('Lookup Tables'!$AH$114:$AH$154='Lighting Inventory'!V143)*('Lookup Tables'!$AI$114:$AI$154='Lighting Inventory'!W143),FALSE),7)), IF(AND(BU143="N", V143="Exit Signs"), "$0.025 per kWh", CONCATENATE("$",INDEX('Lookup Tables'!$AH$6:$AN$102,MATCH(1,('Lookup Tables'!$AH$6:$AH$102='Lighting Inventory'!V143)*('Lookup Tables'!$AI$6:$AI$102='Lighting Inventory'!W143),FALSE),6)," ",INDEX('Lookup Tables'!$AH$6:$AN$102,MATCH(1,('Lookup Tables'!$AH$6:$AH$102='Lighting Inventory'!V143)*('Lookup Tables'!$AI$6:$AI$102='Lighting Inventory'!W143),FALSE),7))))), "")</f>
        <v/>
      </c>
      <c r="CG143" s="366"/>
      <c r="CH143" s="248" t="str">
        <f t="shared" si="409"/>
        <v/>
      </c>
      <c r="CI143" s="248" t="str">
        <f t="shared" si="410"/>
        <v>Select_IE</v>
      </c>
      <c r="CJ143" s="248" t="str">
        <f t="shared" si="411"/>
        <v/>
      </c>
      <c r="CK143" s="248" t="str">
        <f t="shared" si="412"/>
        <v/>
      </c>
      <c r="CL143" s="248" t="str">
        <f t="shared" si="413"/>
        <v/>
      </c>
      <c r="CM143" s="248" t="str">
        <f>IFERROR(IF(B143="", "", IF(B143="New Construction", VLOOKUP(V143, 'Lookup Tables'!$AF$114:$AG$120, 2, FALSE), VLOOKUP(V143, 'Lookup Tables'!$AD$6:$AE$25, 2, FALSE))), "")</f>
        <v/>
      </c>
      <c r="CN143" s="248" t="str">
        <f t="shared" si="414"/>
        <v/>
      </c>
      <c r="CO143" s="248" t="str">
        <f t="shared" si="415"/>
        <v/>
      </c>
      <c r="CP143" s="592" t="str">
        <f t="shared" si="416"/>
        <v/>
      </c>
      <c r="CQ143" s="248" t="str">
        <f t="shared" si="469"/>
        <v/>
      </c>
      <c r="CR143" s="100"/>
      <c r="CS143" s="250" t="str">
        <f t="shared" si="417"/>
        <v/>
      </c>
      <c r="CT143" s="250" t="str">
        <f t="shared" si="470"/>
        <v/>
      </c>
      <c r="CU143" s="250" t="str">
        <f t="shared" si="471"/>
        <v/>
      </c>
      <c r="CV143" s="250" t="str">
        <f t="shared" si="472"/>
        <v/>
      </c>
      <c r="CW143" s="250" t="str">
        <f t="shared" si="473"/>
        <v/>
      </c>
      <c r="CX143" s="250" t="str">
        <f t="shared" si="418"/>
        <v/>
      </c>
      <c r="CY143" s="250" t="str">
        <f t="shared" si="419"/>
        <v/>
      </c>
      <c r="CZ143" s="250" t="str">
        <f t="shared" si="420"/>
        <v/>
      </c>
      <c r="DA143" s="250" t="str">
        <f t="shared" si="421"/>
        <v/>
      </c>
      <c r="DB143" s="250" t="str">
        <f t="shared" si="422"/>
        <v/>
      </c>
      <c r="DC143" s="250" t="str">
        <f t="shared" si="423"/>
        <v/>
      </c>
      <c r="DD143" s="250" t="str">
        <f t="shared" si="424"/>
        <v/>
      </c>
      <c r="DE143" s="250" t="str">
        <f t="shared" si="425"/>
        <v/>
      </c>
      <c r="DF143" s="250" t="str">
        <f t="shared" si="426"/>
        <v/>
      </c>
      <c r="DG143" s="250" t="str">
        <f t="shared" si="427"/>
        <v/>
      </c>
      <c r="DH143" s="250" t="str">
        <f t="shared" si="428"/>
        <v/>
      </c>
      <c r="DI143" s="250" t="str">
        <f t="shared" si="429"/>
        <v/>
      </c>
      <c r="DJ143" s="250" t="str">
        <f t="shared" si="430"/>
        <v/>
      </c>
      <c r="DK143" s="250" t="str">
        <f t="shared" si="431"/>
        <v/>
      </c>
      <c r="DL143" s="250" t="str">
        <f t="shared" si="432"/>
        <v/>
      </c>
      <c r="DM143" s="250" t="str">
        <f>IF(CD143="ERROR", "ERROR", IF(AND(OR(Y143=$DM$6, Y143='Lookup Tables'!$AD$21, Y143='Lookup Tables'!$AD$22), E143="Interior"), BJ143, ""))</f>
        <v/>
      </c>
      <c r="DN143" s="250" t="str">
        <f>IF(CD143="ERROR", "ERROR", IF(AND(OR(Y143=$DM$6, Y143='Lookup Tables'!$AD$21, Y143='Lookup Tables'!$AD$22), E143="Exterior"), BJ143, ""))</f>
        <v/>
      </c>
      <c r="DO143" s="100"/>
      <c r="DP143" s="250" t="str">
        <f t="shared" si="433"/>
        <v/>
      </c>
      <c r="DQ143" s="250" t="str">
        <f t="shared" si="474"/>
        <v/>
      </c>
      <c r="DR143" s="250" t="str">
        <f t="shared" si="475"/>
        <v/>
      </c>
      <c r="DS143" s="250" t="str">
        <f t="shared" si="476"/>
        <v/>
      </c>
      <c r="DT143" s="250" t="str">
        <f t="shared" si="477"/>
        <v/>
      </c>
      <c r="DU143" s="250" t="str">
        <f t="shared" si="434"/>
        <v/>
      </c>
      <c r="DV143" s="250" t="str">
        <f t="shared" si="435"/>
        <v/>
      </c>
      <c r="DW143" s="250" t="str">
        <f t="shared" si="436"/>
        <v/>
      </c>
      <c r="DX143" s="250" t="str">
        <f t="shared" si="437"/>
        <v/>
      </c>
      <c r="DY143" s="250" t="str">
        <f t="shared" si="438"/>
        <v/>
      </c>
      <c r="DZ143" s="250" t="str">
        <f t="shared" si="439"/>
        <v/>
      </c>
      <c r="EA143" s="250" t="str">
        <f t="shared" si="440"/>
        <v/>
      </c>
      <c r="EB143" s="250" t="str">
        <f t="shared" si="478"/>
        <v/>
      </c>
      <c r="EC143" s="250" t="str">
        <f t="shared" si="441"/>
        <v/>
      </c>
      <c r="ED143" s="250" t="str">
        <f t="shared" si="442"/>
        <v/>
      </c>
      <c r="EE143" s="250" t="str">
        <f t="shared" si="443"/>
        <v/>
      </c>
      <c r="EF143" s="250" t="str">
        <f t="shared" si="444"/>
        <v/>
      </c>
      <c r="EG143" s="250" t="str">
        <f t="shared" si="445"/>
        <v/>
      </c>
      <c r="EH143" s="250" t="str">
        <f>IF(CD143="ERROR", "ERROR", IF(AND(OR($EH$6=Y143, Y143='Lookup Tables'!$AD$21, Y143='Lookup Tables'!$AD$22),E143="Interior"), SUM(BP143:BP143), ""))</f>
        <v/>
      </c>
      <c r="EI143" s="250" t="str">
        <f>IF(CD143="ERROR", "ERROR", IF(AND(OR($EH$6=Y143, Y143='Lookup Tables'!$AD$21, Y143='Lookup Tables'!$AD$22),E143="Exterior"), SUM(BP143:BP143), ""))</f>
        <v/>
      </c>
      <c r="EJ143" s="109"/>
      <c r="EK143" s="485" t="str">
        <f t="shared" si="446"/>
        <v/>
      </c>
      <c r="EL143" s="252" t="str">
        <f t="shared" si="479"/>
        <v/>
      </c>
      <c r="EM143" s="252" t="str">
        <f t="shared" si="480"/>
        <v/>
      </c>
      <c r="EN143" s="252" t="str">
        <f t="shared" si="481"/>
        <v/>
      </c>
      <c r="EO143" s="252" t="str">
        <f t="shared" si="482"/>
        <v/>
      </c>
      <c r="EP143" s="252" t="str">
        <f t="shared" si="483"/>
        <v/>
      </c>
      <c r="EQ143" s="252" t="str">
        <f t="shared" si="484"/>
        <v/>
      </c>
      <c r="ER143" s="252" t="str">
        <f t="shared" si="485"/>
        <v/>
      </c>
      <c r="ES143" s="252" t="str">
        <f t="shared" si="486"/>
        <v/>
      </c>
      <c r="ET143" s="252" t="str">
        <f t="shared" si="487"/>
        <v/>
      </c>
      <c r="EU143" s="252" t="str">
        <f t="shared" si="488"/>
        <v/>
      </c>
      <c r="EV143" s="252" t="str">
        <f t="shared" si="489"/>
        <v/>
      </c>
      <c r="EW143" s="252" t="str">
        <f t="shared" si="490"/>
        <v/>
      </c>
      <c r="EX143" s="252" t="str">
        <f t="shared" si="491"/>
        <v/>
      </c>
      <c r="EY143" s="252" t="str">
        <f t="shared" si="492"/>
        <v/>
      </c>
      <c r="EZ143" s="252" t="str">
        <f t="shared" si="493"/>
        <v/>
      </c>
      <c r="FA143" s="252" t="str">
        <f t="shared" si="494"/>
        <v/>
      </c>
      <c r="FB143" s="252" t="str">
        <f t="shared" si="495"/>
        <v/>
      </c>
      <c r="FC143" s="252" t="str">
        <f>IF(CD143="ERROR", "ERROR", IF(OR(V143="No Change", V143="Not DLC or Energy Star"), "", IF(AND(OR($FC$6=Y143,Y143='Lookup Tables'!$AD$21, Y143='Lookup Tables'!$AD$22),E143="Interior"), S143, "")))</f>
        <v/>
      </c>
      <c r="FD143" s="252" t="str">
        <f t="shared" si="496"/>
        <v/>
      </c>
      <c r="FE143" s="101"/>
      <c r="FF143" s="579" t="str" cm="1">
        <f t="array" ref="FF143">IFERROR(IF(OR(BQ143&lt;=0,AQ143&lt;20,AND(V143="Exit Signs",AN143&gt;0)),"",IF(AND(AQ143&gt;=20,AN143='Lookup Tables'!$R$101),'Lookup Tables'!$U$101*BQ143,AP143*LOOKUP(2,1/((AN143='Lookup Tables'!$R$91:$R$111)*(AQ143&gt;='Lookup Tables'!$S$91:$S$111)*(AQ143&lt;='Lookup Tables'!$T$91:$T$111)),'Lookup Tables'!$U$91:$U$111))),"")</f>
        <v/>
      </c>
      <c r="FG143" s="579"/>
      <c r="FH143" s="579"/>
      <c r="FI143" s="253" t="str">
        <f>IFERROR(ROUND(IF(CD143="ERROR", "ERROR", IF(AND($FI$7=X143,E143="Interior"),VLOOKUP(W143, 'Lookup Tables'!$AI$6:$AM$102, 5, FALSE)*BP143, "")), 2), "")</f>
        <v/>
      </c>
      <c r="FJ143" s="253" t="str">
        <f>IFERROR(ROUND(IF(CD143="ERROR", "ERROR", IF(AND($FI$7=X143,E143="Exterior"),VLOOKUP(W143, 'Lookup Tables'!$AI$6:$AM$102, 5, FALSE)*BP143, "")), 2), "")</f>
        <v/>
      </c>
      <c r="FK143" s="253" t="str">
        <f>IFERROR(ROUND(IF(CD143="ERROR", "ERROR", IF(AND($FK$7=X143,E143="Interior"),VLOOKUP(W143, 'Lookup Tables'!$AI$6:$AM$102, 5, FALSE)*BP143, "")), 2), "")</f>
        <v/>
      </c>
      <c r="FL143" s="253" t="str">
        <f>IFERROR(ROUND(IF(CD143="ERROR", "ERROR", IF(AND($FK$7=X143,E143="Exterior"),VLOOKUP(W143, 'Lookup Tables'!$AI$6:$AM$102, 5, FALSE)*BP143, "")), 2), "")</f>
        <v/>
      </c>
      <c r="FM143" s="253" t="str">
        <f>IFERROR(ROUND(IF(CD143="ERROR", "ERROR", IF(AND($FM$6=Y143,E143="Interior"), IF(GB143=0, VLOOKUP(W143, 'Lookup Tables'!$AI$6:$AM$102, 5, FALSE)*BP143, IF(VLOOKUP(W143, 'Lookup Tables'!$AI$6:$AM$102, 5, FALSE)*BP143&gt;GB143*'Lighting Inventory'!S143, GB143*'Lighting Inventory'!S143,VLOOKUP(W143, 'Lookup Tables'!$AI$6:$AM$102, 5, FALSE)*BP143)), "")), 2), "")</f>
        <v/>
      </c>
      <c r="FN143" s="253" t="str">
        <f>IFERROR(ROUND(IF(CD143="ERROR", "ERROR", IF(AND($FM$6=Y143,E143="Exterior"), IF(GB143=0, VLOOKUP(W143, 'Lookup Tables'!$AI$6:$AM$102, 5, FALSE)*BP143, IF(VLOOKUP(W143, 'Lookup Tables'!$AI$6:$AM$102, 5, FALSE)*BP143&gt;GB143*'Lighting Inventory'!S143, GB143*'Lighting Inventory'!S143,VLOOKUP(W143, 'Lookup Tables'!$AI$6:$AM$102, 5, FALSE)*BP143)), "")), 2), "")</f>
        <v/>
      </c>
      <c r="FO143" s="253" t="str">
        <f>IFERROR(ROUND(IF(CD143="ERROR", "ERROR", IF(AND($FO$6=Y143,E143="Interior"),VLOOKUP(W143, 'Lookup Tables'!$AI$6:$AM$102, 5, FALSE)*'Lighting Inventory'!AI143, "")), 2), "")</f>
        <v/>
      </c>
      <c r="FP143" s="253" t="str">
        <f>IFERROR(ROUND(IF(CD143="ERROR", "ERROR", IF(AND($FO$6=Y143,E143="Exterior"),VLOOKUP(W143, 'Lookup Tables'!$AI$6:$AM$102, 5, FALSE)*'Lighting Inventory'!AI143, "")), 2), "")</f>
        <v/>
      </c>
      <c r="FQ143" s="253" t="str">
        <f>IFERROR(ROUND(IF(CD143="ERROR", "ERROR", IF(AND($FQ$6=Y143,E143="Interior", BU143="Y"), VLOOKUP('Lighting Inventory'!W143, 'Lookup Tables'!$AI$6:$AM$102, 5, FALSE)*'Lighting Inventory'!S143, IF(AND($FQ$7=Y143,E143="Interior", BU143="N"), 0.025*CD143, ""))), 2), "")</f>
        <v/>
      </c>
      <c r="FR143" s="253" t="str">
        <f>IFERROR(ROUND(IF(CD143="ERROR", "ERROR", IF(AND($FQ$6=Y143,E143="Exterior"), VLOOKUP('Lighting Inventory'!W143, 'Lookup Tables'!$AI$6:$AM$102, 5, FALSE)*'Lighting Inventory'!S143, "")), 2), "")</f>
        <v/>
      </c>
      <c r="FS143" s="253" t="str">
        <f>IFERROR(ROUND(IF(CD143="ERROR", "ERROR", IF(AND($FS$6=Y143,E143="Exterior"), IF(GB143=0, VLOOKUP(W143, 'Lookup Tables'!$AI$6:$AM$102, 5, FALSE)*BP143, IF(VLOOKUP(W143, 'Lookup Tables'!$AI$6:$AM$102, 5, FALSE)*BP143&gt;GB143*'Lighting Inventory'!S143, GB143*'Lighting Inventory'!S143,VLOOKUP(W143, 'Lookup Tables'!$AI$6:$AM$102, 5, FALSE)*BP143)), "")), 2), "")</f>
        <v/>
      </c>
      <c r="FT143" s="253" t="str">
        <f>IFERROR(ROUND(IF(CD143="ERROR", "ERROR", IF(AND($FT$6=Y143,E143="Interior"), IF(GB143=0, VLOOKUP(W143, 'Lookup Tables'!$AI$6:$AM$102, 5, FALSE)*BP143, IF(VLOOKUP(W143, 'Lookup Tables'!$AI$6:$AM$102, 5, FALSE)*BP143&gt;GB143*'Lighting Inventory'!S143, GB143*'Lighting Inventory'!S143,VLOOKUP(W143, 'Lookup Tables'!$AI$6:$AM$102, 5, FALSE)*BP143)), "")), 2), "")</f>
        <v/>
      </c>
      <c r="FU143" s="253" t="str">
        <f>IFERROR(ROUND(IF(CD143="ERROR", "ERROR", IF(AND(Y143=$FU$6, E143="Interior"), IF(BS143="N", 'Lookup Tables'!$AM$101*BP143, VLOOKUP(W143, 'Lookup Tables'!$AI$6:$AM$102, 5, FALSE)*S143*AD143), "")), 2), "")</f>
        <v/>
      </c>
      <c r="FV143" s="253" t="str">
        <f>IFERROR(ROUND(IF(CD143="ERROR", "ERROR", IF(AND(Y143=$FU$6, E143="Exterior"), IF(BS143="N", 'Lookup Tables'!$AM$101*BP143, VLOOKUP(W143, 'Lookup Tables'!$AI$6:$AM$102, 5, FALSE)*S143*AD143), "")), 2), "")</f>
        <v/>
      </c>
      <c r="FW143" s="253" t="str">
        <f>IFERROR(ROUND(IF(CD143="ERROR", "ERROR", IF($FW$6=Y143, IF(BS143="N", 'Lookup Tables'!$AM$101*BP143, MIN((VLOOKUP(W143, 'Lookup Tables'!$AI$6:$AM$102, 5, FALSE)*BP143),GB143*AJ143)), "")), 2), "")</f>
        <v/>
      </c>
      <c r="FX143" s="253" t="str">
        <f>IFERROR(ROUND(IF(CD143="ERROR", "ERROR", IF(AND($FX$6=Y143, E143="Interior"), IF(VLOOKUP(W143, 'Lookup Tables'!$AI$6:$AM$102, 5, FALSE)*BP143&gt;'Lookup Tables'!$AQ$97*'Lighting Inventory'!S143,'Lighting Inventory'!S143*'Lookup Tables'!$AQ$97,VLOOKUP(W143, 'Lookup Tables'!$AI$6:$AM$102, 5, FALSE)*BP143), "")), 2), "")</f>
        <v/>
      </c>
      <c r="FY143" s="253" t="str">
        <f>IFERROR(ROUND(IF(CD143="ERROR", "ERROR", IF(AND($FX$6=Y143, E143="Exterior"), IF(VLOOKUP(W143, 'Lookup Tables'!$AI$6:$AM$102, 5, FALSE)*BP143&gt;'Lookup Tables'!$AQ$97*'Lighting Inventory'!S143,'Lighting Inventory'!S143*'Lookup Tables'!$AQ$97,VLOOKUP(W143, 'Lookup Tables'!$AI$6:$AM$102, 5, FALSE)*BP143), "")), 2), "")</f>
        <v/>
      </c>
      <c r="FZ143" s="253" t="str">
        <f>IFERROR(ROUND(IF(CD143="ERROR", "ERROR", IF(AND($FZ$6=Y143, E143="Interior"), IF(AND(OR(W143="Refrigerated Case Lighting with Doors", W143="Freezer Case Lighting"),Y143="Custom - Process Improvement"),CD143*'Lookup Tables'!$AM$101, IF(B143="Retrofit", IF(VLOOKUP(IF(V143="Custom", V143, W143), 'Lookup Tables'!$AI$6:$AM$102, 5, FALSE)*BP143&gt;GE143, GE143, VLOOKUP(IF(V143="Custom", V143, W143), 'Lookup Tables'!$AI$6:$AM$102, 5, FALSE)*BP143), IF(VLOOKUP(IF(V143="Custom", V143, W143), 'Lookup Tables'!$AI$114:$AM$154, 5, FALSE)*BP143&gt;GE143, GE143, VLOOKUP(IF(V143="Custom", V143, W143), 'Lookup Tables'!$AI$114:$AM$154, 5, FALSE)*BP143))), "")), 2),"")</f>
        <v/>
      </c>
      <c r="GA143" s="253" t="str">
        <f>IFERROR(ROUND(IF(CD143="ERROR", "ERROR", IF(AND($FZ$6=Y143, E143="Exterior"), IF(B143="Retrofit", IF(VLOOKUP(IF(V143="Custom", V143, W143), 'Lookup Tables'!$AI$6:$AM$102, 5, FALSE)*BP143&gt;GE143, GE143, VLOOKUP(IF(V143="Custom", V143, W143), 'Lookup Tables'!$AI$6:$AM$102, 5, FALSE)*BP143), IF(VLOOKUP(IF(V143="Custom", V143, W143), 'Lookup Tables'!$AI$114:$AM$154, 5, FALSE)*BP143&gt;GE143, GE143, VLOOKUP(IF(V143="Custom", V143, W143), 'Lookup Tables'!$AI$114:$AM$154, 5, FALSE)*BP143)), "")), 2),"")</f>
        <v/>
      </c>
      <c r="GB143" s="254" t="str">
        <f t="array" ref="GB143">IF(B143="","",IF(OR(V143="Custom",V143="No Change"),0,IF(B143="Retrofit", INDEX('Lookup Tables'!$AH$6:$AQ$102,MATCH(1,('Lookup Tables'!$AH$6:$AH$102='Lighting Inventory'!V143)*('Lookup Tables'!$AI$6:$AI$102='Lighting Inventory'!W143),FALSE),10),INDEX('Lookup Tables'!$AH$114:$AQ$154,MATCH(1,('Lookup Tables'!$AH$114:$AH$154='Lighting Inventory'!V143)*('Lookup Tables'!$AI$114:$AI$154='Lighting Inventory'!W143),FALSE),10))))</f>
        <v/>
      </c>
      <c r="GC143" s="255" t="str">
        <f t="shared" si="447"/>
        <v/>
      </c>
      <c r="GD143" s="250" t="str">
        <f t="shared" si="448"/>
        <v/>
      </c>
      <c r="GE143" s="253" t="str">
        <f>IFERROR(IF(AND(AF143="", 'General Information'!$F$18="No"),"", IF(AF143="", ((GD143/$CD$266)*$CF$266)*0.5, AF143*S143*0.5)), "")</f>
        <v/>
      </c>
      <c r="GF143" s="255" t="str">
        <f>IF(AND('General Information'!$F$19="", 'General Information'!$F$18="Yes",AF143="",BW143="Y"), "Y", "N")</f>
        <v>N</v>
      </c>
      <c r="GG143" s="255" t="s">
        <v>2946</v>
      </c>
      <c r="GH143" s="255" t="str">
        <f>IFERROR(IF(B143="", "", VLOOKUP(J143, 'Fixture Identities'!$A$6:$N$908, 14, FALSE)), "")</f>
        <v/>
      </c>
      <c r="GI143" s="389" t="str">
        <f>IF(OR(B143="", V143="", W143=""), "", IF(AND(OR(M143='Lookup Tables'!$R$18, M143='Lookup Tables'!$R$19, M143='Lookup Tables'!$R$20, M143='Lookup Tables'!$R$21, M143='Lookup Tables'!$R$22), OR(AN143='Lookup Tables'!$R$17, AN143='Lookup Tables'!$R$17, AN143="")), "Y", "N"))</f>
        <v/>
      </c>
      <c r="GJ143" s="255" t="str">
        <f t="shared" si="449"/>
        <v/>
      </c>
      <c r="GK143" s="255" t="str">
        <f t="shared" si="450"/>
        <v/>
      </c>
      <c r="GL143" s="255" t="str">
        <f t="shared" si="451"/>
        <v/>
      </c>
      <c r="GM143" s="255" t="str">
        <f>IF(AN143="", "", IF(AND(IF(ISNA(VLOOKUP(AN143,'Lookup Tables'!$R$18:$R$22,1,FALSE)), "N", "Y")="Y", E143="Exterior"), "Y", "N"))</f>
        <v/>
      </c>
      <c r="GN143" s="395"/>
      <c r="GO143" s="428">
        <f t="shared" si="497"/>
        <v>0</v>
      </c>
      <c r="GP143" s="428">
        <f t="shared" si="500"/>
        <v>0</v>
      </c>
      <c r="GQ143" s="428">
        <f t="shared" si="498"/>
        <v>0</v>
      </c>
      <c r="GR143" s="428">
        <f t="shared" si="499"/>
        <v>0</v>
      </c>
    </row>
    <row r="144" spans="1:200" s="103" customFormat="1" ht="13.5" customHeight="1" x14ac:dyDescent="0.2">
      <c r="A144" s="272">
        <v>134</v>
      </c>
      <c r="B144" s="110"/>
      <c r="C144" s="110"/>
      <c r="D144" s="110"/>
      <c r="E144" s="110"/>
      <c r="F144" s="110"/>
      <c r="G144" s="110"/>
      <c r="H144" s="110"/>
      <c r="I144" s="29"/>
      <c r="J144" s="29"/>
      <c r="K144" s="272" t="str">
        <f>IFERROR(IF(OR(VLOOKUP(J144, 'Fixture Identities'!$A$6:$L$1023, 3, FALSE)="T12 Linear Fluorescent", VLOOKUP(J144, 'Fixture Identities'!$A$6:$L$1023, 3, FALSE)="T12 U-Tube Fluorescent"), VLOOKUP(VLOOKUP(J144, 'Fixture Identities'!$A$6:$L$1023, 11, FALSE), 'Fixture Identities'!$A$6:$L$1023, 10, FALSE), VLOOKUP(J144, 'Fixture Identities'!$A$6:$L$1023, 10, FALSE)), "")</f>
        <v/>
      </c>
      <c r="L144" s="270" t="str">
        <f t="shared" ref="L144:L207" si="502">IFERROR(IF(I144="", "", (K144*I144)/1000), "")</f>
        <v/>
      </c>
      <c r="M144" s="110"/>
      <c r="N144" s="110"/>
      <c r="O144" s="110"/>
      <c r="P144" s="272" t="str">
        <f>IFERROR(IF(OR(B144="Retrofit",B144=""),"",IF('Lighting Inventory'!E144="Exterior",VLOOKUP('Lighting Inventory'!N144,'Lookup Tables'!$B$83:$F$103,5,FALSE),IF(N144="Other - Please Estimate EFLH and CFs","Contact Prog. Rep.","ft^2"))), "")</f>
        <v/>
      </c>
      <c r="Q144" s="270" t="str">
        <f>IFERROR(IF(AND(B144="New Construction",E144="Interior",$F$5="Space-by-Space"),VLOOKUP('Lighting Inventory'!N144,'Lookup Tables'!$N$6:$O$97,2,FALSE),IF(AND(B144="New Construction",E144="Exterior"),VLOOKUP(N144,'Lookup Tables'!$B$83:$F$103,2,FALSE),IF(AND(B144="New Construction",'Lighting Inventory'!E144="Interior", $F$5="Building Area"),VLOOKUP(F144,'Lookup Tables'!$A$6:$J$59,10,FALSE),""))), "")</f>
        <v/>
      </c>
      <c r="R144" s="270" t="str">
        <f>IFERROR(IF(P144="Contact Prog. Rep.", "ERROR", IF(OR(B144="",B144="Retrofit"),"",IF(N144="Automated teller machines", ('Lookup Tables'!$A$82:$E$100+('Lighting Inventory'!O144-1)*'Lookup Tables'!$A$82:$E$100)/1000, (Q144*O144)/1000))), "")</f>
        <v/>
      </c>
      <c r="S144" s="595"/>
      <c r="T144" s="105" t="str">
        <f t="shared" si="452"/>
        <v/>
      </c>
      <c r="U144" s="105" t="str">
        <f>IF(S144="","",COUNT($S$11:S144))</f>
        <v/>
      </c>
      <c r="V144" s="111"/>
      <c r="W144" s="112"/>
      <c r="X144" s="105" t="str">
        <f t="shared" si="453"/>
        <v/>
      </c>
      <c r="Y144" s="105" t="str">
        <f t="array" ref="Y144">IF(AND(OR(W144="Freezer Case Lighting", W144="Refrigerated Case Lighting with Doors"), 'General Information'!$X$18="LCI"),'Lookup Tables'!$Y$34, IF(V144="Custom", VLOOKUP(W144, 'Fixture Identities'!$A$974:$M$1023, 13, FALSE), IF(V144="No Change",'Lookup Tables'!$Y$29,IF(OR(V144="",W144=""),"",IF(AND(S144=0,S144&lt;I144,B144="Retrofit"),'Lookup Tables'!$Y$25, IF(B144="Retrofit", INDEX('Lookup Tables'!$AH$6:$AP$102, MATCH(1, ('Lookup Tables'!$AH$6:$AH$102=V144)*('Lookup Tables'!$AI$6:$AI$102=W144), 0), IF('Lighting Inventory'!E144="Interior", 4, 5)), INDEX('Lookup Tables'!$AH$114:$AP$154, MATCH(1, ('Lookup Tables'!$AH$114:$AH$154=V144)*('Lookup Tables'!$AI$114:$AI$154=W144), 0), IF('Lighting Inventory'!E144="Interior", 4, 5))))))))</f>
        <v/>
      </c>
      <c r="Z144" s="105" t="str">
        <f>IFERROR(INDEX('Lookup Tables'!$AH$158:$AH$172,MATCH('Lighting Inventory'!Y144,'Lookup Tables'!$AI$158:$AI$172,0)),"")</f>
        <v/>
      </c>
      <c r="AA144" s="105" t="str">
        <f>IF(AP144&gt;0,INDEX('Lookup Tables'!$AK$158:$AK$172,MATCH('Lighting Inventory'!Y144,'Lookup Tables'!$AI$158:$AI$172,0)),'Lighting Inventory'!Y144)</f>
        <v/>
      </c>
      <c r="AB144" s="105" t="str">
        <f t="array" ref="AB144">IF(V144="Custom", "Custom", IF(V144="", "", IF(V144="Not DLC or Energy Star", "General", IF(B144="New Construction", INDEX('Lookup Tables'!$AH$114:$AP$154,MATCH(1,('Lookup Tables'!$AH$114:$AH$154='Lighting Inventory'!V144)*('Lookup Tables'!$AI$114:$AI$154='Lighting Inventory'!W144),FALSE),8), INDEX('Lookup Tables'!$AH$6:$AP$102,MATCH(1,('Lookup Tables'!$AH$6:$AH$102='Lighting Inventory'!V144)*('Lookup Tables'!$AI$6:$AI$102='Lighting Inventory'!W144),FALSE),8)))))</f>
        <v/>
      </c>
      <c r="AC144" s="272" t="str">
        <f>IF(W144="","",IF(V144="Custom",CONCATENATE("$",'Lookup Tables'!$AM$101," ",'Lookup Tables'!$AN$101),CONCATENATE("$",INDEX('Lookup Tables'!$AM$6:$AM$102,MATCH('Lighting Inventory'!W144,'Lookup Tables'!$AI$6:$AI$102,0))," ",INDEX('Lookup Tables'!$AN$6:$AN$102,MATCH('Lighting Inventory'!W144,'Lookup Tables'!$AI$6:$AI$102,0)))))</f>
        <v/>
      </c>
      <c r="AD144" s="72"/>
      <c r="AE144" s="29"/>
      <c r="AF144" s="379"/>
      <c r="AG144" s="370" t="str">
        <f t="shared" si="401"/>
        <v/>
      </c>
      <c r="AH144" s="370" t="str">
        <f t="shared" si="454"/>
        <v/>
      </c>
      <c r="AI144" s="29"/>
      <c r="AJ144" s="29"/>
      <c r="AK144" s="110"/>
      <c r="AL144" s="375" t="str">
        <f>IF(OR(B144="", V144="", W144=""), "", IF(V144="No Change", K144, IF(V144="Remove Fixture", 0, IF(V144="Custom",VLOOKUP(W144,'Fixture Identities'!$A$6:$K$1023,10,FALSE),IF(AE144="", "← ENTER POST WATTS", 'Lighting Inventory'!AE144)))))</f>
        <v/>
      </c>
      <c r="AM144" s="376" t="str">
        <f t="shared" si="402"/>
        <v/>
      </c>
      <c r="AN144" s="29"/>
      <c r="AO144" s="671"/>
      <c r="AP144" s="29"/>
      <c r="AQ144" s="29"/>
      <c r="AR144" s="29"/>
      <c r="AS144" s="272" t="str">
        <f t="shared" si="455"/>
        <v/>
      </c>
      <c r="AT144" s="270" t="str">
        <f t="shared" si="403"/>
        <v/>
      </c>
      <c r="AU144" s="88" t="str">
        <f t="shared" ref="AU144:AU207" si="503">IFERROR(ABS(AT144), "")</f>
        <v/>
      </c>
      <c r="AV144" s="29"/>
      <c r="AW144" s="73"/>
      <c r="AX144" s="271" t="str">
        <f>IF(AND(AV144="Applicant",OR(AW144="", AW144="Use Default Facility Hours")),"← Choose Schedule",IF(F144="","",IF(W144="LED Exit Signs",8760,IF(OR(AV144="Prescribed",AV144=""),VLOOKUP(F144,'Lookup Tables'!$A$6:$G$59,IF(AB144="General", 6, 3),FALSE),VLOOKUP(AW144,'Lookup Tables'!$S$36:$U$43,2,FALSE)))))</f>
        <v/>
      </c>
      <c r="AY144" s="88" t="str">
        <f t="shared" si="404"/>
        <v/>
      </c>
      <c r="AZ144" s="270" t="str">
        <f>IFERROR(IF(F144="", "", IF(W144="LED Exit Signs", 1, IF(AV144="Applicant",VLOOKUP(AW144, 'Lookup Tables'!$S$36:$U$43,3, FALSE), VLOOKUP('Lighting Inventory'!F144, 'Lookup Tables'!$A$6:$H$59, IF('Lighting Inventory'!AB144="General",7,4), FALSE)))), "")</f>
        <v/>
      </c>
      <c r="BA144" s="522" t="str">
        <f>IFERROR(IF(F144="", "", IF(W144="LED Exit Signs", 1, VLOOKUP('Lighting Inventory'!F144, 'Lookup Tables'!$A$6:$H$59, IF('Lighting Inventory'!AB144="General",8,5), FALSE))), "")</f>
        <v/>
      </c>
      <c r="BB144" s="270" t="str">
        <f>IF(G144="", "", IF(E144="Exterior", 0, IF('Lighting Inventory'!G144="Air Conditioned", VLOOKUP(H144, 'Lookup Tables'!$R$6:$T$13, 2, FALSE), VLOOKUP('Lighting Inventory'!G144, 'Lookup Tables'!$R$6:$T$13, 2, FALSE))))</f>
        <v/>
      </c>
      <c r="BC144" s="522" t="str">
        <f>IF(G144="", "", IF(E144="Exterior", 0, IF('Lighting Inventory'!G144="Air Conditioned", VLOOKUP(H144, 'Lookup Tables'!$R$6:$T$13, 3, FALSE), VLOOKUP('Lighting Inventory'!G144, 'Lookup Tables'!$R$6:$T$13, 3, FALSE))))</f>
        <v/>
      </c>
      <c r="BD144" s="270" t="str">
        <f>IF(G144="", "", IF(E144="Exterior", 0, IF('Lighting Inventory'!G144="Air Conditioned", VLOOKUP(H144, 'Lookup Tables'!$R$6:$U$13, 4, FALSE), VLOOKUP('Lighting Inventory'!G144, 'Lookup Tables'!$R$6:$U$13, 4, FALSE))))</f>
        <v/>
      </c>
      <c r="BE144" s="270" t="str">
        <f>IFERROR(IF(B144="", "",  IF(B144="New Construction", VLOOKUP(F144, 'Lookup Tables'!$A$6:$K$59, 11, FALSE),IF(OR(AN144="", AN144="Light Switch"), 0, IF(OR(M144="",M144="None",V144= "LED Exit Signs"),0,_xlfn.XLOOKUP(M144,'Lookup Tables'!$R$91:$R$101,'Lookup Tables'!$V$91:$V$101))))), "")</f>
        <v/>
      </c>
      <c r="BF144" s="270" t="str">
        <f>IF(AND(OR(AN144="Light Switch",AN144=""),B144="New Construction"), VLOOKUP(F144, 'Lookup Tables'!$A$6:$K$59, 11, FALSE),IF(AN144="","",IF(B144="","",IF(OR(AN144="None",AN144="",V144="LED Exit Signs",AN144="Exterior Controls Not Eligible"),0,_xlfn.XLOOKUP(AN144,'Lookup Tables'!$R$91:$R$101,'Lookup Tables'!$V$91:$V$101)))))</f>
        <v/>
      </c>
      <c r="BG144" s="88" t="str">
        <f t="shared" si="456"/>
        <v/>
      </c>
      <c r="BH144" s="88" t="str">
        <f t="shared" si="457"/>
        <v/>
      </c>
      <c r="BI144" s="558" t="str">
        <f t="shared" si="501"/>
        <v/>
      </c>
      <c r="BJ144" s="82" t="str">
        <f t="shared" si="458"/>
        <v/>
      </c>
      <c r="BK144" s="82" t="str">
        <f t="shared" si="459"/>
        <v/>
      </c>
      <c r="BL144" s="559" t="str">
        <f t="shared" si="460"/>
        <v/>
      </c>
      <c r="BM144" s="521" t="str">
        <f t="shared" si="405"/>
        <v/>
      </c>
      <c r="BN144" s="521" t="str">
        <f t="shared" si="406"/>
        <v/>
      </c>
      <c r="BO144" s="522" t="str">
        <f t="shared" si="407"/>
        <v/>
      </c>
      <c r="BP144" s="83" t="str">
        <f t="shared" si="461"/>
        <v/>
      </c>
      <c r="BQ144" s="84" t="str">
        <f t="shared" si="462"/>
        <v/>
      </c>
      <c r="BR144" s="184" t="str">
        <f>IFERROR(IF(B144="", "", IF(OR(VLOOKUP(J144, 'Fixture Identities'!$A$6:$L$1023, 3, FALSE)="T12 Linear Fluorescent",VLOOKUP(J144, 'Fixture Identities'!$A$6:$L$1023, 3, FALSE)="T12 U-Tube Fluorescent"), "Y", "N")), "N")</f>
        <v/>
      </c>
      <c r="BS144" s="184" t="str">
        <f t="array" ref="BS144">IFERROR(IF(OR(B144="", V144="", W144=""), "", IF(V144="Custom", "N", IF(OR(W144="Freezer Case Lighting", W144="Refrigerated Case Lighting with Doors"), BT144, IF(B144="Retrofit", INDEX('Lookup Tables'!$AH$6:$AT$102,MATCH(1,('Lookup Tables'!$AH$6:$AH$102=V144)*('Lookup Tables'!$AI$6:$AI$102=W144),FALSE),IF(VLOOKUP(J144, 'Fixture Identities'!$A$6:$B$1023, 2, FALSE)="Incandescent",12, 13)), INDEX('Lookup Tables'!$AH$114:$AS$154,MATCH(1,('Lookup Tables'!$AH$114:$AH$154=V144)*('Lookup Tables'!$AI$114:$AI$154=W144),FALSE),12))))), "N")</f>
        <v/>
      </c>
      <c r="BT144" s="184" t="str">
        <f>IF(J144="", "", IF(AND(OR(W144="Freezer case Lighting", W144="Refrigerated Case Lighting with Doors"),'General Information'!$X$18="LCI"), "N", IF(OR(VLOOKUP(J144, 'Fixture Identities'!$A$6:$B$1023, 2, FALSE)="T12 EPACT/EISA Baseline", VLOOKUP(J144, 'Fixture Identities'!$A$6:$B$1023, 2, FALSE)="Linear Fluorescent", VLOOKUP(J144, 'Fixture Identities'!$A$6:$B$1023, 2, FALSE)="U-Tube Fluorescent"), "Y", "N")))</f>
        <v/>
      </c>
      <c r="BU144" s="184" t="str">
        <f>IFERROR(IF(B144="", "", IF(VLOOKUP(J144, 'Fixture Identities'!$A$6:$B$1023, 2, FALSE)="Exit Sign", "Y", "N")), "N")</f>
        <v/>
      </c>
      <c r="BV144" s="184" t="str">
        <f>IF(V144="Exit Signs", IF(VLOOKUP(J144, 'Fixture Identities'!$A$6:$B$1023, 2, FALSE)="Exit Sign", "N", "Y"), "")</f>
        <v/>
      </c>
      <c r="BW144" s="184" t="str">
        <f t="array" ref="BW144">IFERROR(IF(B144="", "", IF(B144="New Construction", "N", INDEX('Lookup Tables'!$AH$6:$AU$102, MATCH(1, ('Lookup Tables'!$AH$6:$AH$102='Lighting Inventory'!V144)*('Lookup Tables'!$AI$6:$AI$102='Lighting Inventory'!W144), 0), 14))), "N")</f>
        <v/>
      </c>
      <c r="BX144" s="598" t="str">
        <f t="shared" si="463"/>
        <v/>
      </c>
      <c r="BY144" s="598" t="str">
        <f t="shared" si="464"/>
        <v/>
      </c>
      <c r="BZ144" s="598" t="str">
        <f t="shared" si="465"/>
        <v/>
      </c>
      <c r="CA144" s="598" t="str">
        <f t="shared" si="466"/>
        <v/>
      </c>
      <c r="CB144" s="269" t="str">
        <f t="shared" si="467"/>
        <v/>
      </c>
      <c r="CC144" s="517" t="str">
        <f t="shared" si="468"/>
        <v/>
      </c>
      <c r="CD144" s="565" t="str">
        <f t="shared" si="408"/>
        <v/>
      </c>
      <c r="CE144" s="368">
        <v>0</v>
      </c>
      <c r="CF144" s="368" t="str" cm="1">
        <f t="array" ref="CF144">IFERROR(IF(V144="Custom", "$0.1 per kWh", IF(B144="New Construction", CONCATENATE("$",INDEX('Lookup Tables'!$AH$114:$AN$154,MATCH(1,('Lookup Tables'!$AH$114:$AH$154='Lighting Inventory'!V144)*('Lookup Tables'!$AI$114:$AI$154='Lighting Inventory'!W144),FALSE),6)," ",INDEX('Lookup Tables'!$AH$114:$AN$154,MATCH(1,('Lookup Tables'!$AH$114:$AH$154='Lighting Inventory'!V144)*('Lookup Tables'!$AI$114:$AI$154='Lighting Inventory'!W144),FALSE),7)), IF(AND(BU144="N", V144="Exit Signs"), "$0.025 per kWh", CONCATENATE("$",INDEX('Lookup Tables'!$AH$6:$AN$102,MATCH(1,('Lookup Tables'!$AH$6:$AH$102='Lighting Inventory'!V144)*('Lookup Tables'!$AI$6:$AI$102='Lighting Inventory'!W144),FALSE),6)," ",INDEX('Lookup Tables'!$AH$6:$AN$102,MATCH(1,('Lookup Tables'!$AH$6:$AH$102='Lighting Inventory'!V144)*('Lookup Tables'!$AI$6:$AI$102='Lighting Inventory'!W144),FALSE),7))))), "")</f>
        <v/>
      </c>
      <c r="CG144" s="366"/>
      <c r="CH144" s="248" t="str">
        <f t="shared" si="409"/>
        <v/>
      </c>
      <c r="CI144" s="248" t="str">
        <f t="shared" si="410"/>
        <v>Select_IE</v>
      </c>
      <c r="CJ144" s="248" t="str">
        <f t="shared" si="411"/>
        <v/>
      </c>
      <c r="CK144" s="248" t="str">
        <f t="shared" si="412"/>
        <v/>
      </c>
      <c r="CL144" s="248" t="str">
        <f t="shared" si="413"/>
        <v/>
      </c>
      <c r="CM144" s="248" t="str">
        <f>IFERROR(IF(B144="", "", IF(B144="New Construction", VLOOKUP(V144, 'Lookup Tables'!$AF$114:$AG$120, 2, FALSE), VLOOKUP(V144, 'Lookup Tables'!$AD$6:$AE$25, 2, FALSE))), "")</f>
        <v/>
      </c>
      <c r="CN144" s="248" t="str">
        <f t="shared" si="414"/>
        <v/>
      </c>
      <c r="CO144" s="248" t="str">
        <f t="shared" si="415"/>
        <v/>
      </c>
      <c r="CP144" s="592" t="str">
        <f t="shared" si="416"/>
        <v/>
      </c>
      <c r="CQ144" s="248" t="str">
        <f t="shared" si="469"/>
        <v/>
      </c>
      <c r="CR144" s="100"/>
      <c r="CS144" s="250" t="str">
        <f t="shared" si="417"/>
        <v/>
      </c>
      <c r="CT144" s="250" t="str">
        <f t="shared" si="470"/>
        <v/>
      </c>
      <c r="CU144" s="250" t="str">
        <f t="shared" si="471"/>
        <v/>
      </c>
      <c r="CV144" s="250" t="str">
        <f t="shared" si="472"/>
        <v/>
      </c>
      <c r="CW144" s="250" t="str">
        <f t="shared" si="473"/>
        <v/>
      </c>
      <c r="CX144" s="250" t="str">
        <f t="shared" si="418"/>
        <v/>
      </c>
      <c r="CY144" s="250" t="str">
        <f t="shared" si="419"/>
        <v/>
      </c>
      <c r="CZ144" s="250" t="str">
        <f t="shared" si="420"/>
        <v/>
      </c>
      <c r="DA144" s="250" t="str">
        <f t="shared" si="421"/>
        <v/>
      </c>
      <c r="DB144" s="250" t="str">
        <f t="shared" si="422"/>
        <v/>
      </c>
      <c r="DC144" s="250" t="str">
        <f t="shared" si="423"/>
        <v/>
      </c>
      <c r="DD144" s="250" t="str">
        <f t="shared" si="424"/>
        <v/>
      </c>
      <c r="DE144" s="250" t="str">
        <f t="shared" si="425"/>
        <v/>
      </c>
      <c r="DF144" s="250" t="str">
        <f t="shared" si="426"/>
        <v/>
      </c>
      <c r="DG144" s="250" t="str">
        <f t="shared" si="427"/>
        <v/>
      </c>
      <c r="DH144" s="250" t="str">
        <f t="shared" si="428"/>
        <v/>
      </c>
      <c r="DI144" s="250" t="str">
        <f t="shared" si="429"/>
        <v/>
      </c>
      <c r="DJ144" s="250" t="str">
        <f t="shared" si="430"/>
        <v/>
      </c>
      <c r="DK144" s="250" t="str">
        <f t="shared" si="431"/>
        <v/>
      </c>
      <c r="DL144" s="250" t="str">
        <f t="shared" si="432"/>
        <v/>
      </c>
      <c r="DM144" s="250" t="str">
        <f>IF(CD144="ERROR", "ERROR", IF(AND(OR(Y144=$DM$6, Y144='Lookup Tables'!$AD$21, Y144='Lookup Tables'!$AD$22), E144="Interior"), BJ144, ""))</f>
        <v/>
      </c>
      <c r="DN144" s="250" t="str">
        <f>IF(CD144="ERROR", "ERROR", IF(AND(OR(Y144=$DM$6, Y144='Lookup Tables'!$AD$21, Y144='Lookup Tables'!$AD$22), E144="Exterior"), BJ144, ""))</f>
        <v/>
      </c>
      <c r="DO144" s="100"/>
      <c r="DP144" s="250" t="str">
        <f t="shared" si="433"/>
        <v/>
      </c>
      <c r="DQ144" s="250" t="str">
        <f t="shared" si="474"/>
        <v/>
      </c>
      <c r="DR144" s="250" t="str">
        <f t="shared" si="475"/>
        <v/>
      </c>
      <c r="DS144" s="250" t="str">
        <f t="shared" si="476"/>
        <v/>
      </c>
      <c r="DT144" s="250" t="str">
        <f t="shared" si="477"/>
        <v/>
      </c>
      <c r="DU144" s="250" t="str">
        <f t="shared" si="434"/>
        <v/>
      </c>
      <c r="DV144" s="250" t="str">
        <f t="shared" si="435"/>
        <v/>
      </c>
      <c r="DW144" s="250" t="str">
        <f t="shared" si="436"/>
        <v/>
      </c>
      <c r="DX144" s="250" t="str">
        <f t="shared" si="437"/>
        <v/>
      </c>
      <c r="DY144" s="250" t="str">
        <f t="shared" si="438"/>
        <v/>
      </c>
      <c r="DZ144" s="250" t="str">
        <f t="shared" si="439"/>
        <v/>
      </c>
      <c r="EA144" s="250" t="str">
        <f t="shared" si="440"/>
        <v/>
      </c>
      <c r="EB144" s="250" t="str">
        <f t="shared" si="478"/>
        <v/>
      </c>
      <c r="EC144" s="250" t="str">
        <f t="shared" si="441"/>
        <v/>
      </c>
      <c r="ED144" s="250" t="str">
        <f t="shared" si="442"/>
        <v/>
      </c>
      <c r="EE144" s="250" t="str">
        <f t="shared" si="443"/>
        <v/>
      </c>
      <c r="EF144" s="250" t="str">
        <f t="shared" si="444"/>
        <v/>
      </c>
      <c r="EG144" s="250" t="str">
        <f t="shared" si="445"/>
        <v/>
      </c>
      <c r="EH144" s="250" t="str">
        <f>IF(CD144="ERROR", "ERROR", IF(AND(OR($EH$6=Y144, Y144='Lookup Tables'!$AD$21, Y144='Lookup Tables'!$AD$22),E144="Interior"), SUM(BP144:BP144), ""))</f>
        <v/>
      </c>
      <c r="EI144" s="250" t="str">
        <f>IF(CD144="ERROR", "ERROR", IF(AND(OR($EH$6=Y144, Y144='Lookup Tables'!$AD$21, Y144='Lookup Tables'!$AD$22),E144="Exterior"), SUM(BP144:BP144), ""))</f>
        <v/>
      </c>
      <c r="EJ144" s="109"/>
      <c r="EK144" s="485" t="str">
        <f t="shared" si="446"/>
        <v/>
      </c>
      <c r="EL144" s="252" t="str">
        <f t="shared" si="479"/>
        <v/>
      </c>
      <c r="EM144" s="252" t="str">
        <f t="shared" si="480"/>
        <v/>
      </c>
      <c r="EN144" s="252" t="str">
        <f t="shared" si="481"/>
        <v/>
      </c>
      <c r="EO144" s="252" t="str">
        <f t="shared" si="482"/>
        <v/>
      </c>
      <c r="EP144" s="252" t="str">
        <f t="shared" si="483"/>
        <v/>
      </c>
      <c r="EQ144" s="252" t="str">
        <f t="shared" si="484"/>
        <v/>
      </c>
      <c r="ER144" s="252" t="str">
        <f t="shared" si="485"/>
        <v/>
      </c>
      <c r="ES144" s="252" t="str">
        <f t="shared" si="486"/>
        <v/>
      </c>
      <c r="ET144" s="252" t="str">
        <f t="shared" si="487"/>
        <v/>
      </c>
      <c r="EU144" s="252" t="str">
        <f t="shared" si="488"/>
        <v/>
      </c>
      <c r="EV144" s="252" t="str">
        <f t="shared" si="489"/>
        <v/>
      </c>
      <c r="EW144" s="252" t="str">
        <f t="shared" si="490"/>
        <v/>
      </c>
      <c r="EX144" s="252" t="str">
        <f t="shared" si="491"/>
        <v/>
      </c>
      <c r="EY144" s="252" t="str">
        <f t="shared" si="492"/>
        <v/>
      </c>
      <c r="EZ144" s="252" t="str">
        <f t="shared" si="493"/>
        <v/>
      </c>
      <c r="FA144" s="252" t="str">
        <f t="shared" si="494"/>
        <v/>
      </c>
      <c r="FB144" s="252" t="str">
        <f t="shared" si="495"/>
        <v/>
      </c>
      <c r="FC144" s="252" t="str">
        <f>IF(CD144="ERROR", "ERROR", IF(OR(V144="No Change", V144="Not DLC or Energy Star"), "", IF(AND(OR($FC$6=Y144,Y144='Lookup Tables'!$AD$21, Y144='Lookup Tables'!$AD$22),E144="Interior"), S144, "")))</f>
        <v/>
      </c>
      <c r="FD144" s="252" t="str">
        <f t="shared" si="496"/>
        <v/>
      </c>
      <c r="FE144" s="101"/>
      <c r="FF144" s="579" t="str" cm="1">
        <f t="array" ref="FF144">IFERROR(IF(OR(BQ144&lt;=0,AQ144&lt;20,AND(V144="Exit Signs",AN144&gt;0)),"",IF(AND(AQ144&gt;=20,AN144='Lookup Tables'!$R$101),'Lookup Tables'!$U$101*BQ144,AP144*LOOKUP(2,1/((AN144='Lookup Tables'!$R$91:$R$111)*(AQ144&gt;='Lookup Tables'!$S$91:$S$111)*(AQ144&lt;='Lookup Tables'!$T$91:$T$111)),'Lookup Tables'!$U$91:$U$111))),"")</f>
        <v/>
      </c>
      <c r="FG144" s="579"/>
      <c r="FH144" s="579"/>
      <c r="FI144" s="253" t="str">
        <f>IFERROR(ROUND(IF(CD144="ERROR", "ERROR", IF(AND($FI$7=X144,E144="Interior"),VLOOKUP(W144, 'Lookup Tables'!$AI$6:$AM$102, 5, FALSE)*BP144, "")), 2), "")</f>
        <v/>
      </c>
      <c r="FJ144" s="253" t="str">
        <f>IFERROR(ROUND(IF(CD144="ERROR", "ERROR", IF(AND($FI$7=X144,E144="Exterior"),VLOOKUP(W144, 'Lookup Tables'!$AI$6:$AM$102, 5, FALSE)*BP144, "")), 2), "")</f>
        <v/>
      </c>
      <c r="FK144" s="253" t="str">
        <f>IFERROR(ROUND(IF(CD144="ERROR", "ERROR", IF(AND($FK$7=X144,E144="Interior"),VLOOKUP(W144, 'Lookup Tables'!$AI$6:$AM$102, 5, FALSE)*BP144, "")), 2), "")</f>
        <v/>
      </c>
      <c r="FL144" s="253" t="str">
        <f>IFERROR(ROUND(IF(CD144="ERROR", "ERROR", IF(AND($FK$7=X144,E144="Exterior"),VLOOKUP(W144, 'Lookup Tables'!$AI$6:$AM$102, 5, FALSE)*BP144, "")), 2), "")</f>
        <v/>
      </c>
      <c r="FM144" s="253" t="str">
        <f>IFERROR(ROUND(IF(CD144="ERROR", "ERROR", IF(AND($FM$6=Y144,E144="Interior"), IF(GB144=0, VLOOKUP(W144, 'Lookup Tables'!$AI$6:$AM$102, 5, FALSE)*BP144, IF(VLOOKUP(W144, 'Lookup Tables'!$AI$6:$AM$102, 5, FALSE)*BP144&gt;GB144*'Lighting Inventory'!S144, GB144*'Lighting Inventory'!S144,VLOOKUP(W144, 'Lookup Tables'!$AI$6:$AM$102, 5, FALSE)*BP144)), "")), 2), "")</f>
        <v/>
      </c>
      <c r="FN144" s="253" t="str">
        <f>IFERROR(ROUND(IF(CD144="ERROR", "ERROR", IF(AND($FM$6=Y144,E144="Exterior"), IF(GB144=0, VLOOKUP(W144, 'Lookup Tables'!$AI$6:$AM$102, 5, FALSE)*BP144, IF(VLOOKUP(W144, 'Lookup Tables'!$AI$6:$AM$102, 5, FALSE)*BP144&gt;GB144*'Lighting Inventory'!S144, GB144*'Lighting Inventory'!S144,VLOOKUP(W144, 'Lookup Tables'!$AI$6:$AM$102, 5, FALSE)*BP144)), "")), 2), "")</f>
        <v/>
      </c>
      <c r="FO144" s="253" t="str">
        <f>IFERROR(ROUND(IF(CD144="ERROR", "ERROR", IF(AND($FO$6=Y144,E144="Interior"),VLOOKUP(W144, 'Lookup Tables'!$AI$6:$AM$102, 5, FALSE)*'Lighting Inventory'!AI144, "")), 2), "")</f>
        <v/>
      </c>
      <c r="FP144" s="253" t="str">
        <f>IFERROR(ROUND(IF(CD144="ERROR", "ERROR", IF(AND($FO$6=Y144,E144="Exterior"),VLOOKUP(W144, 'Lookup Tables'!$AI$6:$AM$102, 5, FALSE)*'Lighting Inventory'!AI144, "")), 2), "")</f>
        <v/>
      </c>
      <c r="FQ144" s="253" t="str">
        <f>IFERROR(ROUND(IF(CD144="ERROR", "ERROR", IF(AND($FQ$6=Y144,E144="Interior", BU144="Y"), VLOOKUP('Lighting Inventory'!W144, 'Lookup Tables'!$AI$6:$AM$102, 5, FALSE)*'Lighting Inventory'!S144, IF(AND($FQ$7=Y144,E144="Interior", BU144="N"), 0.025*CD144, ""))), 2), "")</f>
        <v/>
      </c>
      <c r="FR144" s="253" t="str">
        <f>IFERROR(ROUND(IF(CD144="ERROR", "ERROR", IF(AND($FQ$6=Y144,E144="Exterior"), VLOOKUP('Lighting Inventory'!W144, 'Lookup Tables'!$AI$6:$AM$102, 5, FALSE)*'Lighting Inventory'!S144, "")), 2), "")</f>
        <v/>
      </c>
      <c r="FS144" s="253" t="str">
        <f>IFERROR(ROUND(IF(CD144="ERROR", "ERROR", IF(AND($FS$6=Y144,E144="Exterior"), IF(GB144=0, VLOOKUP(W144, 'Lookup Tables'!$AI$6:$AM$102, 5, FALSE)*BP144, IF(VLOOKUP(W144, 'Lookup Tables'!$AI$6:$AM$102, 5, FALSE)*BP144&gt;GB144*'Lighting Inventory'!S144, GB144*'Lighting Inventory'!S144,VLOOKUP(W144, 'Lookup Tables'!$AI$6:$AM$102, 5, FALSE)*BP144)), "")), 2), "")</f>
        <v/>
      </c>
      <c r="FT144" s="253" t="str">
        <f>IFERROR(ROUND(IF(CD144="ERROR", "ERROR", IF(AND($FT$6=Y144,E144="Interior"), IF(GB144=0, VLOOKUP(W144, 'Lookup Tables'!$AI$6:$AM$102, 5, FALSE)*BP144, IF(VLOOKUP(W144, 'Lookup Tables'!$AI$6:$AM$102, 5, FALSE)*BP144&gt;GB144*'Lighting Inventory'!S144, GB144*'Lighting Inventory'!S144,VLOOKUP(W144, 'Lookup Tables'!$AI$6:$AM$102, 5, FALSE)*BP144)), "")), 2), "")</f>
        <v/>
      </c>
      <c r="FU144" s="253" t="str">
        <f>IFERROR(ROUND(IF(CD144="ERROR", "ERROR", IF(AND(Y144=$FU$6, E144="Interior"), IF(BS144="N", 'Lookup Tables'!$AM$101*BP144, VLOOKUP(W144, 'Lookup Tables'!$AI$6:$AM$102, 5, FALSE)*S144*AD144), "")), 2), "")</f>
        <v/>
      </c>
      <c r="FV144" s="253" t="str">
        <f>IFERROR(ROUND(IF(CD144="ERROR", "ERROR", IF(AND(Y144=$FU$6, E144="Exterior"), IF(BS144="N", 'Lookup Tables'!$AM$101*BP144, VLOOKUP(W144, 'Lookup Tables'!$AI$6:$AM$102, 5, FALSE)*S144*AD144), "")), 2), "")</f>
        <v/>
      </c>
      <c r="FW144" s="253" t="str">
        <f>IFERROR(ROUND(IF(CD144="ERROR", "ERROR", IF($FW$6=Y144, IF(BS144="N", 'Lookup Tables'!$AM$101*BP144, MIN((VLOOKUP(W144, 'Lookup Tables'!$AI$6:$AM$102, 5, FALSE)*BP144),GB144*AJ144)), "")), 2), "")</f>
        <v/>
      </c>
      <c r="FX144" s="253" t="str">
        <f>IFERROR(ROUND(IF(CD144="ERROR", "ERROR", IF(AND($FX$6=Y144, E144="Interior"), IF(VLOOKUP(W144, 'Lookup Tables'!$AI$6:$AM$102, 5, FALSE)*BP144&gt;'Lookup Tables'!$AQ$97*'Lighting Inventory'!S144,'Lighting Inventory'!S144*'Lookup Tables'!$AQ$97,VLOOKUP(W144, 'Lookup Tables'!$AI$6:$AM$102, 5, FALSE)*BP144), "")), 2), "")</f>
        <v/>
      </c>
      <c r="FY144" s="253" t="str">
        <f>IFERROR(ROUND(IF(CD144="ERROR", "ERROR", IF(AND($FX$6=Y144, E144="Exterior"), IF(VLOOKUP(W144, 'Lookup Tables'!$AI$6:$AM$102, 5, FALSE)*BP144&gt;'Lookup Tables'!$AQ$97*'Lighting Inventory'!S144,'Lighting Inventory'!S144*'Lookup Tables'!$AQ$97,VLOOKUP(W144, 'Lookup Tables'!$AI$6:$AM$102, 5, FALSE)*BP144), "")), 2), "")</f>
        <v/>
      </c>
      <c r="FZ144" s="253" t="str">
        <f>IFERROR(ROUND(IF(CD144="ERROR", "ERROR", IF(AND($FZ$6=Y144, E144="Interior"), IF(AND(OR(W144="Refrigerated Case Lighting with Doors", W144="Freezer Case Lighting"),Y144="Custom - Process Improvement"),CD144*'Lookup Tables'!$AM$101, IF(B144="Retrofit", IF(VLOOKUP(IF(V144="Custom", V144, W144), 'Lookup Tables'!$AI$6:$AM$102, 5, FALSE)*BP144&gt;GE144, GE144, VLOOKUP(IF(V144="Custom", V144, W144), 'Lookup Tables'!$AI$6:$AM$102, 5, FALSE)*BP144), IF(VLOOKUP(IF(V144="Custom", V144, W144), 'Lookup Tables'!$AI$114:$AM$154, 5, FALSE)*BP144&gt;GE144, GE144, VLOOKUP(IF(V144="Custom", V144, W144), 'Lookup Tables'!$AI$114:$AM$154, 5, FALSE)*BP144))), "")), 2),"")</f>
        <v/>
      </c>
      <c r="GA144" s="253" t="str">
        <f>IFERROR(ROUND(IF(CD144="ERROR", "ERROR", IF(AND($FZ$6=Y144, E144="Exterior"), IF(B144="Retrofit", IF(VLOOKUP(IF(V144="Custom", V144, W144), 'Lookup Tables'!$AI$6:$AM$102, 5, FALSE)*BP144&gt;GE144, GE144, VLOOKUP(IF(V144="Custom", V144, W144), 'Lookup Tables'!$AI$6:$AM$102, 5, FALSE)*BP144), IF(VLOOKUP(IF(V144="Custom", V144, W144), 'Lookup Tables'!$AI$114:$AM$154, 5, FALSE)*BP144&gt;GE144, GE144, VLOOKUP(IF(V144="Custom", V144, W144), 'Lookup Tables'!$AI$114:$AM$154, 5, FALSE)*BP144)), "")), 2),"")</f>
        <v/>
      </c>
      <c r="GB144" s="254" t="str">
        <f t="array" ref="GB144">IF(B144="","",IF(OR(V144="Custom",V144="No Change"),0,IF(B144="Retrofit", INDEX('Lookup Tables'!$AH$6:$AQ$102,MATCH(1,('Lookup Tables'!$AH$6:$AH$102='Lighting Inventory'!V144)*('Lookup Tables'!$AI$6:$AI$102='Lighting Inventory'!W144),FALSE),10),INDEX('Lookup Tables'!$AH$114:$AQ$154,MATCH(1,('Lookup Tables'!$AH$114:$AH$154='Lighting Inventory'!V144)*('Lookup Tables'!$AI$114:$AI$154='Lighting Inventory'!W144),FALSE),10))))</f>
        <v/>
      </c>
      <c r="GC144" s="255" t="str">
        <f t="shared" si="447"/>
        <v/>
      </c>
      <c r="GD144" s="250" t="str">
        <f t="shared" si="448"/>
        <v/>
      </c>
      <c r="GE144" s="253" t="str">
        <f>IFERROR(IF(AND(AF144="", 'General Information'!$F$18="No"),"", IF(AF144="", ((GD144/$CD$266)*$CF$266)*0.5, AF144*S144*0.5)), "")</f>
        <v/>
      </c>
      <c r="GF144" s="255" t="str">
        <f>IF(AND('General Information'!$F$19="", 'General Information'!$F$18="Yes",AF144="",BW144="Y"), "Y", "N")</f>
        <v>N</v>
      </c>
      <c r="GG144" s="255" t="s">
        <v>2946</v>
      </c>
      <c r="GH144" s="255" t="str">
        <f>IFERROR(IF(B144="", "", VLOOKUP(J144, 'Fixture Identities'!$A$6:$N$908, 14, FALSE)), "")</f>
        <v/>
      </c>
      <c r="GI144" s="389" t="str">
        <f>IF(OR(B144="", V144="", W144=""), "", IF(AND(OR(M144='Lookup Tables'!$R$18, M144='Lookup Tables'!$R$19, M144='Lookup Tables'!$R$20, M144='Lookup Tables'!$R$21, M144='Lookup Tables'!$R$22), OR(AN144='Lookup Tables'!$R$17, AN144='Lookup Tables'!$R$17, AN144="")), "Y", "N"))</f>
        <v/>
      </c>
      <c r="GJ144" s="255" t="str">
        <f t="shared" si="449"/>
        <v/>
      </c>
      <c r="GK144" s="255" t="str">
        <f t="shared" si="450"/>
        <v/>
      </c>
      <c r="GL144" s="255" t="str">
        <f t="shared" si="451"/>
        <v/>
      </c>
      <c r="GM144" s="255" t="str">
        <f>IF(AN144="", "", IF(AND(IF(ISNA(VLOOKUP(AN144,'Lookup Tables'!$R$18:$R$22,1,FALSE)), "N", "Y")="Y", E144="Exterior"), "Y", "N"))</f>
        <v/>
      </c>
      <c r="GN144" s="395"/>
      <c r="GO144" s="428">
        <f t="shared" si="497"/>
        <v>0</v>
      </c>
      <c r="GP144" s="428">
        <f t="shared" si="500"/>
        <v>0</v>
      </c>
      <c r="GQ144" s="428">
        <f t="shared" si="498"/>
        <v>0</v>
      </c>
      <c r="GR144" s="428">
        <f t="shared" si="499"/>
        <v>0</v>
      </c>
    </row>
    <row r="145" spans="1:200" s="103" customFormat="1" ht="13.5" customHeight="1" x14ac:dyDescent="0.2">
      <c r="A145" s="272">
        <v>135</v>
      </c>
      <c r="B145" s="110"/>
      <c r="C145" s="110"/>
      <c r="D145" s="110"/>
      <c r="E145" s="110"/>
      <c r="F145" s="110"/>
      <c r="G145" s="110"/>
      <c r="H145" s="110"/>
      <c r="I145" s="29"/>
      <c r="J145" s="29"/>
      <c r="K145" s="272" t="str">
        <f>IFERROR(IF(OR(VLOOKUP(J145, 'Fixture Identities'!$A$6:$L$1023, 3, FALSE)="T12 Linear Fluorescent", VLOOKUP(J145, 'Fixture Identities'!$A$6:$L$1023, 3, FALSE)="T12 U-Tube Fluorescent"), VLOOKUP(VLOOKUP(J145, 'Fixture Identities'!$A$6:$L$1023, 11, FALSE), 'Fixture Identities'!$A$6:$L$1023, 10, FALSE), VLOOKUP(J145, 'Fixture Identities'!$A$6:$L$1023, 10, FALSE)), "")</f>
        <v/>
      </c>
      <c r="L145" s="270" t="str">
        <f t="shared" si="502"/>
        <v/>
      </c>
      <c r="M145" s="110"/>
      <c r="N145" s="110"/>
      <c r="O145" s="110"/>
      <c r="P145" s="272" t="str">
        <f>IFERROR(IF(OR(B145="Retrofit",B145=""),"",IF('Lighting Inventory'!E145="Exterior",VLOOKUP('Lighting Inventory'!N145,'Lookup Tables'!$B$83:$F$103,5,FALSE),IF(N145="Other - Please Estimate EFLH and CFs","Contact Prog. Rep.","ft^2"))), "")</f>
        <v/>
      </c>
      <c r="Q145" s="270" t="str">
        <f>IFERROR(IF(AND(B145="New Construction",E145="Interior",$F$5="Space-by-Space"),VLOOKUP('Lighting Inventory'!N145,'Lookup Tables'!$N$6:$O$97,2,FALSE),IF(AND(B145="New Construction",E145="Exterior"),VLOOKUP(N145,'Lookup Tables'!$B$83:$F$103,2,FALSE),IF(AND(B145="New Construction",'Lighting Inventory'!E145="Interior", $F$5="Building Area"),VLOOKUP(F145,'Lookup Tables'!$A$6:$J$59,10,FALSE),""))), "")</f>
        <v/>
      </c>
      <c r="R145" s="270" t="str">
        <f>IFERROR(IF(P145="Contact Prog. Rep.", "ERROR", IF(OR(B145="",B145="Retrofit"),"",IF(N145="Automated teller machines", ('Lookup Tables'!$A$82:$E$100+('Lighting Inventory'!O145-1)*'Lookup Tables'!$A$82:$E$100)/1000, (Q145*O145)/1000))), "")</f>
        <v/>
      </c>
      <c r="S145" s="595"/>
      <c r="T145" s="105" t="str">
        <f t="shared" si="452"/>
        <v/>
      </c>
      <c r="U145" s="105" t="str">
        <f>IF(S145="","",COUNT($S$11:S145))</f>
        <v/>
      </c>
      <c r="V145" s="111"/>
      <c r="W145" s="112"/>
      <c r="X145" s="105" t="str">
        <f t="shared" si="453"/>
        <v/>
      </c>
      <c r="Y145" s="105" t="str">
        <f t="array" ref="Y145">IF(AND(OR(W145="Freezer Case Lighting", W145="Refrigerated Case Lighting with Doors"), 'General Information'!$X$18="LCI"),'Lookup Tables'!$Y$34, IF(V145="Custom", VLOOKUP(W145, 'Fixture Identities'!$A$974:$M$1023, 13, FALSE), IF(V145="No Change",'Lookup Tables'!$Y$29,IF(OR(V145="",W145=""),"",IF(AND(S145=0,S145&lt;I145,B145="Retrofit"),'Lookup Tables'!$Y$25, IF(B145="Retrofit", INDEX('Lookup Tables'!$AH$6:$AP$102, MATCH(1, ('Lookup Tables'!$AH$6:$AH$102=V145)*('Lookup Tables'!$AI$6:$AI$102=W145), 0), IF('Lighting Inventory'!E145="Interior", 4, 5)), INDEX('Lookup Tables'!$AH$114:$AP$154, MATCH(1, ('Lookup Tables'!$AH$114:$AH$154=V145)*('Lookup Tables'!$AI$114:$AI$154=W145), 0), IF('Lighting Inventory'!E145="Interior", 4, 5))))))))</f>
        <v/>
      </c>
      <c r="Z145" s="105" t="str">
        <f>IFERROR(INDEX('Lookup Tables'!$AH$158:$AH$172,MATCH('Lighting Inventory'!Y145,'Lookup Tables'!$AI$158:$AI$172,0)),"")</f>
        <v/>
      </c>
      <c r="AA145" s="105" t="str">
        <f>IF(AP145&gt;0,INDEX('Lookup Tables'!$AK$158:$AK$172,MATCH('Lighting Inventory'!Y145,'Lookup Tables'!$AI$158:$AI$172,0)),'Lighting Inventory'!Y145)</f>
        <v/>
      </c>
      <c r="AB145" s="105" t="str">
        <f t="array" ref="AB145">IF(V145="Custom", "Custom", IF(V145="", "", IF(V145="Not DLC or Energy Star", "General", IF(B145="New Construction", INDEX('Lookup Tables'!$AH$114:$AP$154,MATCH(1,('Lookup Tables'!$AH$114:$AH$154='Lighting Inventory'!V145)*('Lookup Tables'!$AI$114:$AI$154='Lighting Inventory'!W145),FALSE),8), INDEX('Lookup Tables'!$AH$6:$AP$102,MATCH(1,('Lookup Tables'!$AH$6:$AH$102='Lighting Inventory'!V145)*('Lookup Tables'!$AI$6:$AI$102='Lighting Inventory'!W145),FALSE),8)))))</f>
        <v/>
      </c>
      <c r="AC145" s="272" t="str">
        <f>IF(W145="","",IF(V145="Custom",CONCATENATE("$",'Lookup Tables'!$AM$101," ",'Lookup Tables'!$AN$101),CONCATENATE("$",INDEX('Lookup Tables'!$AM$6:$AM$102,MATCH('Lighting Inventory'!W145,'Lookup Tables'!$AI$6:$AI$102,0))," ",INDEX('Lookup Tables'!$AN$6:$AN$102,MATCH('Lighting Inventory'!W145,'Lookup Tables'!$AI$6:$AI$102,0)))))</f>
        <v/>
      </c>
      <c r="AD145" s="72"/>
      <c r="AE145" s="29"/>
      <c r="AF145" s="379"/>
      <c r="AG145" s="370" t="str">
        <f t="shared" si="401"/>
        <v/>
      </c>
      <c r="AH145" s="370" t="str">
        <f t="shared" si="454"/>
        <v/>
      </c>
      <c r="AI145" s="29"/>
      <c r="AJ145" s="29"/>
      <c r="AK145" s="110"/>
      <c r="AL145" s="375" t="str">
        <f>IF(OR(B145="", V145="", W145=""), "", IF(V145="No Change", K145, IF(V145="Remove Fixture", 0, IF(V145="Custom",VLOOKUP(W145,'Fixture Identities'!$A$6:$K$1023,10,FALSE),IF(AE145="", "← ENTER POST WATTS", 'Lighting Inventory'!AE145)))))</f>
        <v/>
      </c>
      <c r="AM145" s="376" t="str">
        <f t="shared" si="402"/>
        <v/>
      </c>
      <c r="AN145" s="29"/>
      <c r="AO145" s="671"/>
      <c r="AP145" s="29"/>
      <c r="AQ145" s="29"/>
      <c r="AR145" s="29"/>
      <c r="AS145" s="272" t="str">
        <f t="shared" si="455"/>
        <v/>
      </c>
      <c r="AT145" s="270" t="str">
        <f t="shared" si="403"/>
        <v/>
      </c>
      <c r="AU145" s="88" t="str">
        <f t="shared" si="503"/>
        <v/>
      </c>
      <c r="AV145" s="29"/>
      <c r="AW145" s="73"/>
      <c r="AX145" s="271" t="str">
        <f>IF(AND(AV145="Applicant",OR(AW145="", AW145="Use Default Facility Hours")),"← Choose Schedule",IF(F145="","",IF(W145="LED Exit Signs",8760,IF(OR(AV145="Prescribed",AV145=""),VLOOKUP(F145,'Lookup Tables'!$A$6:$G$59,IF(AB145="General", 6, 3),FALSE),VLOOKUP(AW145,'Lookup Tables'!$S$36:$U$43,2,FALSE)))))</f>
        <v/>
      </c>
      <c r="AY145" s="88" t="str">
        <f t="shared" si="404"/>
        <v/>
      </c>
      <c r="AZ145" s="270" t="str">
        <f>IFERROR(IF(F145="", "", IF(W145="LED Exit Signs", 1, IF(AV145="Applicant",VLOOKUP(AW145, 'Lookup Tables'!$S$36:$U$43,3, FALSE), VLOOKUP('Lighting Inventory'!F145, 'Lookup Tables'!$A$6:$H$59, IF('Lighting Inventory'!AB145="General",7,4), FALSE)))), "")</f>
        <v/>
      </c>
      <c r="BA145" s="522" t="str">
        <f>IFERROR(IF(F145="", "", IF(W145="LED Exit Signs", 1, VLOOKUP('Lighting Inventory'!F145, 'Lookup Tables'!$A$6:$H$59, IF('Lighting Inventory'!AB145="General",8,5), FALSE))), "")</f>
        <v/>
      </c>
      <c r="BB145" s="270" t="str">
        <f>IF(G145="", "", IF(E145="Exterior", 0, IF('Lighting Inventory'!G145="Air Conditioned", VLOOKUP(H145, 'Lookup Tables'!$R$6:$T$13, 2, FALSE), VLOOKUP('Lighting Inventory'!G145, 'Lookup Tables'!$R$6:$T$13, 2, FALSE))))</f>
        <v/>
      </c>
      <c r="BC145" s="522" t="str">
        <f>IF(G145="", "", IF(E145="Exterior", 0, IF('Lighting Inventory'!G145="Air Conditioned", VLOOKUP(H145, 'Lookup Tables'!$R$6:$T$13, 3, FALSE), VLOOKUP('Lighting Inventory'!G145, 'Lookup Tables'!$R$6:$T$13, 3, FALSE))))</f>
        <v/>
      </c>
      <c r="BD145" s="270" t="str">
        <f>IF(G145="", "", IF(E145="Exterior", 0, IF('Lighting Inventory'!G145="Air Conditioned", VLOOKUP(H145, 'Lookup Tables'!$R$6:$U$13, 4, FALSE), VLOOKUP('Lighting Inventory'!G145, 'Lookup Tables'!$R$6:$U$13, 4, FALSE))))</f>
        <v/>
      </c>
      <c r="BE145" s="270" t="str">
        <f>IFERROR(IF(B145="", "",  IF(B145="New Construction", VLOOKUP(F145, 'Lookup Tables'!$A$6:$K$59, 11, FALSE),IF(OR(AN145="", AN145="Light Switch"), 0, IF(OR(M145="",M145="None",V145= "LED Exit Signs"),0,_xlfn.XLOOKUP(M145,'Lookup Tables'!$R$91:$R$101,'Lookup Tables'!$V$91:$V$101))))), "")</f>
        <v/>
      </c>
      <c r="BF145" s="270" t="str">
        <f>IF(AND(OR(AN145="Light Switch",AN145=""),B145="New Construction"), VLOOKUP(F145, 'Lookup Tables'!$A$6:$K$59, 11, FALSE),IF(AN145="","",IF(B145="","",IF(OR(AN145="None",AN145="",V145="LED Exit Signs",AN145="Exterior Controls Not Eligible"),0,_xlfn.XLOOKUP(AN145,'Lookup Tables'!$R$91:$R$101,'Lookup Tables'!$V$91:$V$101)))))</f>
        <v/>
      </c>
      <c r="BG145" s="88" t="str">
        <f t="shared" si="456"/>
        <v/>
      </c>
      <c r="BH145" s="88" t="str">
        <f t="shared" si="457"/>
        <v/>
      </c>
      <c r="BI145" s="558" t="str">
        <f t="shared" si="501"/>
        <v/>
      </c>
      <c r="BJ145" s="82" t="str">
        <f t="shared" si="458"/>
        <v/>
      </c>
      <c r="BK145" s="82" t="str">
        <f t="shared" si="459"/>
        <v/>
      </c>
      <c r="BL145" s="559" t="str">
        <f t="shared" si="460"/>
        <v/>
      </c>
      <c r="BM145" s="521" t="str">
        <f t="shared" si="405"/>
        <v/>
      </c>
      <c r="BN145" s="521" t="str">
        <f t="shared" si="406"/>
        <v/>
      </c>
      <c r="BO145" s="522" t="str">
        <f t="shared" si="407"/>
        <v/>
      </c>
      <c r="BP145" s="83" t="str">
        <f t="shared" si="461"/>
        <v/>
      </c>
      <c r="BQ145" s="84" t="str">
        <f t="shared" si="462"/>
        <v/>
      </c>
      <c r="BR145" s="184" t="str">
        <f>IFERROR(IF(B145="", "", IF(OR(VLOOKUP(J145, 'Fixture Identities'!$A$6:$L$1023, 3, FALSE)="T12 Linear Fluorescent",VLOOKUP(J145, 'Fixture Identities'!$A$6:$L$1023, 3, FALSE)="T12 U-Tube Fluorescent"), "Y", "N")), "N")</f>
        <v/>
      </c>
      <c r="BS145" s="184" t="str">
        <f t="array" ref="BS145">IFERROR(IF(OR(B145="", V145="", W145=""), "", IF(V145="Custom", "N", IF(OR(W145="Freezer Case Lighting", W145="Refrigerated Case Lighting with Doors"), BT145, IF(B145="Retrofit", INDEX('Lookup Tables'!$AH$6:$AT$102,MATCH(1,('Lookup Tables'!$AH$6:$AH$102=V145)*('Lookup Tables'!$AI$6:$AI$102=W145),FALSE),IF(VLOOKUP(J145, 'Fixture Identities'!$A$6:$B$1023, 2, FALSE)="Incandescent",12, 13)), INDEX('Lookup Tables'!$AH$114:$AS$154,MATCH(1,('Lookup Tables'!$AH$114:$AH$154=V145)*('Lookup Tables'!$AI$114:$AI$154=W145),FALSE),12))))), "N")</f>
        <v/>
      </c>
      <c r="BT145" s="184" t="str">
        <f>IF(J145="", "", IF(AND(OR(W145="Freezer case Lighting", W145="Refrigerated Case Lighting with Doors"),'General Information'!$X$18="LCI"), "N", IF(OR(VLOOKUP(J145, 'Fixture Identities'!$A$6:$B$1023, 2, FALSE)="T12 EPACT/EISA Baseline", VLOOKUP(J145, 'Fixture Identities'!$A$6:$B$1023, 2, FALSE)="Linear Fluorescent", VLOOKUP(J145, 'Fixture Identities'!$A$6:$B$1023, 2, FALSE)="U-Tube Fluorescent"), "Y", "N")))</f>
        <v/>
      </c>
      <c r="BU145" s="184" t="str">
        <f>IFERROR(IF(B145="", "", IF(VLOOKUP(J145, 'Fixture Identities'!$A$6:$B$1023, 2, FALSE)="Exit Sign", "Y", "N")), "N")</f>
        <v/>
      </c>
      <c r="BV145" s="184" t="str">
        <f>IF(V145="Exit Signs", IF(VLOOKUP(J145, 'Fixture Identities'!$A$6:$B$1023, 2, FALSE)="Exit Sign", "N", "Y"), "")</f>
        <v/>
      </c>
      <c r="BW145" s="184" t="str">
        <f t="array" ref="BW145">IFERROR(IF(B145="", "", IF(B145="New Construction", "N", INDEX('Lookup Tables'!$AH$6:$AU$102, MATCH(1, ('Lookup Tables'!$AH$6:$AH$102='Lighting Inventory'!V145)*('Lookup Tables'!$AI$6:$AI$102='Lighting Inventory'!W145), 0), 14))), "N")</f>
        <v/>
      </c>
      <c r="BX145" s="598" t="str">
        <f t="shared" si="463"/>
        <v/>
      </c>
      <c r="BY145" s="598" t="str">
        <f t="shared" si="464"/>
        <v/>
      </c>
      <c r="BZ145" s="598" t="str">
        <f t="shared" si="465"/>
        <v/>
      </c>
      <c r="CA145" s="598" t="str">
        <f t="shared" si="466"/>
        <v/>
      </c>
      <c r="CB145" s="269" t="str">
        <f t="shared" si="467"/>
        <v/>
      </c>
      <c r="CC145" s="517" t="str">
        <f t="shared" si="468"/>
        <v/>
      </c>
      <c r="CD145" s="565" t="str">
        <f t="shared" si="408"/>
        <v/>
      </c>
      <c r="CE145" s="368">
        <v>0</v>
      </c>
      <c r="CF145" s="368" t="str" cm="1">
        <f t="array" ref="CF145">IFERROR(IF(V145="Custom", "$0.1 per kWh", IF(B145="New Construction", CONCATENATE("$",INDEX('Lookup Tables'!$AH$114:$AN$154,MATCH(1,('Lookup Tables'!$AH$114:$AH$154='Lighting Inventory'!V145)*('Lookup Tables'!$AI$114:$AI$154='Lighting Inventory'!W145),FALSE),6)," ",INDEX('Lookup Tables'!$AH$114:$AN$154,MATCH(1,('Lookup Tables'!$AH$114:$AH$154='Lighting Inventory'!V145)*('Lookup Tables'!$AI$114:$AI$154='Lighting Inventory'!W145),FALSE),7)), IF(AND(BU145="N", V145="Exit Signs"), "$0.025 per kWh", CONCATENATE("$",INDEX('Lookup Tables'!$AH$6:$AN$102,MATCH(1,('Lookup Tables'!$AH$6:$AH$102='Lighting Inventory'!V145)*('Lookup Tables'!$AI$6:$AI$102='Lighting Inventory'!W145),FALSE),6)," ",INDEX('Lookup Tables'!$AH$6:$AN$102,MATCH(1,('Lookup Tables'!$AH$6:$AH$102='Lighting Inventory'!V145)*('Lookup Tables'!$AI$6:$AI$102='Lighting Inventory'!W145),FALSE),7))))), "")</f>
        <v/>
      </c>
      <c r="CG145" s="366"/>
      <c r="CH145" s="248" t="str">
        <f t="shared" si="409"/>
        <v/>
      </c>
      <c r="CI145" s="248" t="str">
        <f t="shared" si="410"/>
        <v>Select_IE</v>
      </c>
      <c r="CJ145" s="248" t="str">
        <f t="shared" si="411"/>
        <v/>
      </c>
      <c r="CK145" s="248" t="str">
        <f t="shared" si="412"/>
        <v/>
      </c>
      <c r="CL145" s="248" t="str">
        <f t="shared" si="413"/>
        <v/>
      </c>
      <c r="CM145" s="248" t="str">
        <f>IFERROR(IF(B145="", "", IF(B145="New Construction", VLOOKUP(V145, 'Lookup Tables'!$AF$114:$AG$120, 2, FALSE), VLOOKUP(V145, 'Lookup Tables'!$AD$6:$AE$25, 2, FALSE))), "")</f>
        <v/>
      </c>
      <c r="CN145" s="248" t="str">
        <f t="shared" si="414"/>
        <v/>
      </c>
      <c r="CO145" s="248" t="str">
        <f t="shared" si="415"/>
        <v/>
      </c>
      <c r="CP145" s="592" t="str">
        <f t="shared" si="416"/>
        <v/>
      </c>
      <c r="CQ145" s="248" t="str">
        <f t="shared" si="469"/>
        <v/>
      </c>
      <c r="CR145" s="100"/>
      <c r="CS145" s="250" t="str">
        <f t="shared" si="417"/>
        <v/>
      </c>
      <c r="CT145" s="250" t="str">
        <f t="shared" si="470"/>
        <v/>
      </c>
      <c r="CU145" s="250" t="str">
        <f t="shared" si="471"/>
        <v/>
      </c>
      <c r="CV145" s="250" t="str">
        <f t="shared" si="472"/>
        <v/>
      </c>
      <c r="CW145" s="250" t="str">
        <f t="shared" si="473"/>
        <v/>
      </c>
      <c r="CX145" s="250" t="str">
        <f t="shared" si="418"/>
        <v/>
      </c>
      <c r="CY145" s="250" t="str">
        <f t="shared" si="419"/>
        <v/>
      </c>
      <c r="CZ145" s="250" t="str">
        <f t="shared" si="420"/>
        <v/>
      </c>
      <c r="DA145" s="250" t="str">
        <f t="shared" si="421"/>
        <v/>
      </c>
      <c r="DB145" s="250" t="str">
        <f t="shared" si="422"/>
        <v/>
      </c>
      <c r="DC145" s="250" t="str">
        <f t="shared" si="423"/>
        <v/>
      </c>
      <c r="DD145" s="250" t="str">
        <f t="shared" si="424"/>
        <v/>
      </c>
      <c r="DE145" s="250" t="str">
        <f t="shared" si="425"/>
        <v/>
      </c>
      <c r="DF145" s="250" t="str">
        <f t="shared" si="426"/>
        <v/>
      </c>
      <c r="DG145" s="250" t="str">
        <f t="shared" si="427"/>
        <v/>
      </c>
      <c r="DH145" s="250" t="str">
        <f t="shared" si="428"/>
        <v/>
      </c>
      <c r="DI145" s="250" t="str">
        <f t="shared" si="429"/>
        <v/>
      </c>
      <c r="DJ145" s="250" t="str">
        <f t="shared" si="430"/>
        <v/>
      </c>
      <c r="DK145" s="250" t="str">
        <f t="shared" si="431"/>
        <v/>
      </c>
      <c r="DL145" s="250" t="str">
        <f t="shared" si="432"/>
        <v/>
      </c>
      <c r="DM145" s="250" t="str">
        <f>IF(CD145="ERROR", "ERROR", IF(AND(OR(Y145=$DM$6, Y145='Lookup Tables'!$AD$21, Y145='Lookup Tables'!$AD$22), E145="Interior"), BJ145, ""))</f>
        <v/>
      </c>
      <c r="DN145" s="250" t="str">
        <f>IF(CD145="ERROR", "ERROR", IF(AND(OR(Y145=$DM$6, Y145='Lookup Tables'!$AD$21, Y145='Lookup Tables'!$AD$22), E145="Exterior"), BJ145, ""))</f>
        <v/>
      </c>
      <c r="DO145" s="100"/>
      <c r="DP145" s="250" t="str">
        <f t="shared" si="433"/>
        <v/>
      </c>
      <c r="DQ145" s="250" t="str">
        <f t="shared" si="474"/>
        <v/>
      </c>
      <c r="DR145" s="250" t="str">
        <f t="shared" si="475"/>
        <v/>
      </c>
      <c r="DS145" s="250" t="str">
        <f t="shared" si="476"/>
        <v/>
      </c>
      <c r="DT145" s="250" t="str">
        <f t="shared" si="477"/>
        <v/>
      </c>
      <c r="DU145" s="250" t="str">
        <f t="shared" si="434"/>
        <v/>
      </c>
      <c r="DV145" s="250" t="str">
        <f t="shared" si="435"/>
        <v/>
      </c>
      <c r="DW145" s="250" t="str">
        <f t="shared" si="436"/>
        <v/>
      </c>
      <c r="DX145" s="250" t="str">
        <f t="shared" si="437"/>
        <v/>
      </c>
      <c r="DY145" s="250" t="str">
        <f t="shared" si="438"/>
        <v/>
      </c>
      <c r="DZ145" s="250" t="str">
        <f t="shared" si="439"/>
        <v/>
      </c>
      <c r="EA145" s="250" t="str">
        <f t="shared" si="440"/>
        <v/>
      </c>
      <c r="EB145" s="250" t="str">
        <f t="shared" si="478"/>
        <v/>
      </c>
      <c r="EC145" s="250" t="str">
        <f t="shared" si="441"/>
        <v/>
      </c>
      <c r="ED145" s="250" t="str">
        <f t="shared" si="442"/>
        <v/>
      </c>
      <c r="EE145" s="250" t="str">
        <f t="shared" si="443"/>
        <v/>
      </c>
      <c r="EF145" s="250" t="str">
        <f t="shared" si="444"/>
        <v/>
      </c>
      <c r="EG145" s="250" t="str">
        <f t="shared" si="445"/>
        <v/>
      </c>
      <c r="EH145" s="250" t="str">
        <f>IF(CD145="ERROR", "ERROR", IF(AND(OR($EH$6=Y145, Y145='Lookup Tables'!$AD$21, Y145='Lookup Tables'!$AD$22),E145="Interior"), SUM(BP145:BP145), ""))</f>
        <v/>
      </c>
      <c r="EI145" s="250" t="str">
        <f>IF(CD145="ERROR", "ERROR", IF(AND(OR($EH$6=Y145, Y145='Lookup Tables'!$AD$21, Y145='Lookup Tables'!$AD$22),E145="Exterior"), SUM(BP145:BP145), ""))</f>
        <v/>
      </c>
      <c r="EJ145" s="109"/>
      <c r="EK145" s="485" t="str">
        <f t="shared" si="446"/>
        <v/>
      </c>
      <c r="EL145" s="252" t="str">
        <f t="shared" si="479"/>
        <v/>
      </c>
      <c r="EM145" s="252" t="str">
        <f t="shared" si="480"/>
        <v/>
      </c>
      <c r="EN145" s="252" t="str">
        <f t="shared" si="481"/>
        <v/>
      </c>
      <c r="EO145" s="252" t="str">
        <f t="shared" si="482"/>
        <v/>
      </c>
      <c r="EP145" s="252" t="str">
        <f t="shared" si="483"/>
        <v/>
      </c>
      <c r="EQ145" s="252" t="str">
        <f t="shared" si="484"/>
        <v/>
      </c>
      <c r="ER145" s="252" t="str">
        <f t="shared" si="485"/>
        <v/>
      </c>
      <c r="ES145" s="252" t="str">
        <f t="shared" si="486"/>
        <v/>
      </c>
      <c r="ET145" s="252" t="str">
        <f t="shared" si="487"/>
        <v/>
      </c>
      <c r="EU145" s="252" t="str">
        <f t="shared" si="488"/>
        <v/>
      </c>
      <c r="EV145" s="252" t="str">
        <f t="shared" si="489"/>
        <v/>
      </c>
      <c r="EW145" s="252" t="str">
        <f t="shared" si="490"/>
        <v/>
      </c>
      <c r="EX145" s="252" t="str">
        <f t="shared" si="491"/>
        <v/>
      </c>
      <c r="EY145" s="252" t="str">
        <f t="shared" si="492"/>
        <v/>
      </c>
      <c r="EZ145" s="252" t="str">
        <f t="shared" si="493"/>
        <v/>
      </c>
      <c r="FA145" s="252" t="str">
        <f t="shared" si="494"/>
        <v/>
      </c>
      <c r="FB145" s="252" t="str">
        <f t="shared" si="495"/>
        <v/>
      </c>
      <c r="FC145" s="252" t="str">
        <f>IF(CD145="ERROR", "ERROR", IF(OR(V145="No Change", V145="Not DLC or Energy Star"), "", IF(AND(OR($FC$6=Y145,Y145='Lookup Tables'!$AD$21, Y145='Lookup Tables'!$AD$22),E145="Interior"), S145, "")))</f>
        <v/>
      </c>
      <c r="FD145" s="252" t="str">
        <f t="shared" si="496"/>
        <v/>
      </c>
      <c r="FE145" s="101"/>
      <c r="FF145" s="579" t="str" cm="1">
        <f t="array" ref="FF145">IFERROR(IF(OR(BQ145&lt;=0,AQ145&lt;20,AND(V145="Exit Signs",AN145&gt;0)),"",IF(AND(AQ145&gt;=20,AN145='Lookup Tables'!$R$101),'Lookup Tables'!$U$101*BQ145,AP145*LOOKUP(2,1/((AN145='Lookup Tables'!$R$91:$R$111)*(AQ145&gt;='Lookup Tables'!$S$91:$S$111)*(AQ145&lt;='Lookup Tables'!$T$91:$T$111)),'Lookup Tables'!$U$91:$U$111))),"")</f>
        <v/>
      </c>
      <c r="FG145" s="579"/>
      <c r="FH145" s="579"/>
      <c r="FI145" s="253" t="str">
        <f>IFERROR(ROUND(IF(CD145="ERROR", "ERROR", IF(AND($FI$7=X145,E145="Interior"),VLOOKUP(W145, 'Lookup Tables'!$AI$6:$AM$102, 5, FALSE)*BP145, "")), 2), "")</f>
        <v/>
      </c>
      <c r="FJ145" s="253" t="str">
        <f>IFERROR(ROUND(IF(CD145="ERROR", "ERROR", IF(AND($FI$7=X145,E145="Exterior"),VLOOKUP(W145, 'Lookup Tables'!$AI$6:$AM$102, 5, FALSE)*BP145, "")), 2), "")</f>
        <v/>
      </c>
      <c r="FK145" s="253" t="str">
        <f>IFERROR(ROUND(IF(CD145="ERROR", "ERROR", IF(AND($FK$7=X145,E145="Interior"),VLOOKUP(W145, 'Lookup Tables'!$AI$6:$AM$102, 5, FALSE)*BP145, "")), 2), "")</f>
        <v/>
      </c>
      <c r="FL145" s="253" t="str">
        <f>IFERROR(ROUND(IF(CD145="ERROR", "ERROR", IF(AND($FK$7=X145,E145="Exterior"),VLOOKUP(W145, 'Lookup Tables'!$AI$6:$AM$102, 5, FALSE)*BP145, "")), 2), "")</f>
        <v/>
      </c>
      <c r="FM145" s="253" t="str">
        <f>IFERROR(ROUND(IF(CD145="ERROR", "ERROR", IF(AND($FM$6=Y145,E145="Interior"), IF(GB145=0, VLOOKUP(W145, 'Lookup Tables'!$AI$6:$AM$102, 5, FALSE)*BP145, IF(VLOOKUP(W145, 'Lookup Tables'!$AI$6:$AM$102, 5, FALSE)*BP145&gt;GB145*'Lighting Inventory'!S145, GB145*'Lighting Inventory'!S145,VLOOKUP(W145, 'Lookup Tables'!$AI$6:$AM$102, 5, FALSE)*BP145)), "")), 2), "")</f>
        <v/>
      </c>
      <c r="FN145" s="253" t="str">
        <f>IFERROR(ROUND(IF(CD145="ERROR", "ERROR", IF(AND($FM$6=Y145,E145="Exterior"), IF(GB145=0, VLOOKUP(W145, 'Lookup Tables'!$AI$6:$AM$102, 5, FALSE)*BP145, IF(VLOOKUP(W145, 'Lookup Tables'!$AI$6:$AM$102, 5, FALSE)*BP145&gt;GB145*'Lighting Inventory'!S145, GB145*'Lighting Inventory'!S145,VLOOKUP(W145, 'Lookup Tables'!$AI$6:$AM$102, 5, FALSE)*BP145)), "")), 2), "")</f>
        <v/>
      </c>
      <c r="FO145" s="253" t="str">
        <f>IFERROR(ROUND(IF(CD145="ERROR", "ERROR", IF(AND($FO$6=Y145,E145="Interior"),VLOOKUP(W145, 'Lookup Tables'!$AI$6:$AM$102, 5, FALSE)*'Lighting Inventory'!AI145, "")), 2), "")</f>
        <v/>
      </c>
      <c r="FP145" s="253" t="str">
        <f>IFERROR(ROUND(IF(CD145="ERROR", "ERROR", IF(AND($FO$6=Y145,E145="Exterior"),VLOOKUP(W145, 'Lookup Tables'!$AI$6:$AM$102, 5, FALSE)*'Lighting Inventory'!AI145, "")), 2), "")</f>
        <v/>
      </c>
      <c r="FQ145" s="253" t="str">
        <f>IFERROR(ROUND(IF(CD145="ERROR", "ERROR", IF(AND($FQ$6=Y145,E145="Interior", BU145="Y"), VLOOKUP('Lighting Inventory'!W145, 'Lookup Tables'!$AI$6:$AM$102, 5, FALSE)*'Lighting Inventory'!S145, IF(AND($FQ$7=Y145,E145="Interior", BU145="N"), 0.025*CD145, ""))), 2), "")</f>
        <v/>
      </c>
      <c r="FR145" s="253" t="str">
        <f>IFERROR(ROUND(IF(CD145="ERROR", "ERROR", IF(AND($FQ$6=Y145,E145="Exterior"), VLOOKUP('Lighting Inventory'!W145, 'Lookup Tables'!$AI$6:$AM$102, 5, FALSE)*'Lighting Inventory'!S145, "")), 2), "")</f>
        <v/>
      </c>
      <c r="FS145" s="253" t="str">
        <f>IFERROR(ROUND(IF(CD145="ERROR", "ERROR", IF(AND($FS$6=Y145,E145="Exterior"), IF(GB145=0, VLOOKUP(W145, 'Lookup Tables'!$AI$6:$AM$102, 5, FALSE)*BP145, IF(VLOOKUP(W145, 'Lookup Tables'!$AI$6:$AM$102, 5, FALSE)*BP145&gt;GB145*'Lighting Inventory'!S145, GB145*'Lighting Inventory'!S145,VLOOKUP(W145, 'Lookup Tables'!$AI$6:$AM$102, 5, FALSE)*BP145)), "")), 2), "")</f>
        <v/>
      </c>
      <c r="FT145" s="253" t="str">
        <f>IFERROR(ROUND(IF(CD145="ERROR", "ERROR", IF(AND($FT$6=Y145,E145="Interior"), IF(GB145=0, VLOOKUP(W145, 'Lookup Tables'!$AI$6:$AM$102, 5, FALSE)*BP145, IF(VLOOKUP(W145, 'Lookup Tables'!$AI$6:$AM$102, 5, FALSE)*BP145&gt;GB145*'Lighting Inventory'!S145, GB145*'Lighting Inventory'!S145,VLOOKUP(W145, 'Lookup Tables'!$AI$6:$AM$102, 5, FALSE)*BP145)), "")), 2), "")</f>
        <v/>
      </c>
      <c r="FU145" s="253" t="str">
        <f>IFERROR(ROUND(IF(CD145="ERROR", "ERROR", IF(AND(Y145=$FU$6, E145="Interior"), IF(BS145="N", 'Lookup Tables'!$AM$101*BP145, VLOOKUP(W145, 'Lookup Tables'!$AI$6:$AM$102, 5, FALSE)*S145*AD145), "")), 2), "")</f>
        <v/>
      </c>
      <c r="FV145" s="253" t="str">
        <f>IFERROR(ROUND(IF(CD145="ERROR", "ERROR", IF(AND(Y145=$FU$6, E145="Exterior"), IF(BS145="N", 'Lookup Tables'!$AM$101*BP145, VLOOKUP(W145, 'Lookup Tables'!$AI$6:$AM$102, 5, FALSE)*S145*AD145), "")), 2), "")</f>
        <v/>
      </c>
      <c r="FW145" s="253" t="str">
        <f>IFERROR(ROUND(IF(CD145="ERROR", "ERROR", IF($FW$6=Y145, IF(BS145="N", 'Lookup Tables'!$AM$101*BP145, MIN((VLOOKUP(W145, 'Lookup Tables'!$AI$6:$AM$102, 5, FALSE)*BP145),GB145*AJ145)), "")), 2), "")</f>
        <v/>
      </c>
      <c r="FX145" s="253" t="str">
        <f>IFERROR(ROUND(IF(CD145="ERROR", "ERROR", IF(AND($FX$6=Y145, E145="Interior"), IF(VLOOKUP(W145, 'Lookup Tables'!$AI$6:$AM$102, 5, FALSE)*BP145&gt;'Lookup Tables'!$AQ$97*'Lighting Inventory'!S145,'Lighting Inventory'!S145*'Lookup Tables'!$AQ$97,VLOOKUP(W145, 'Lookup Tables'!$AI$6:$AM$102, 5, FALSE)*BP145), "")), 2), "")</f>
        <v/>
      </c>
      <c r="FY145" s="253" t="str">
        <f>IFERROR(ROUND(IF(CD145="ERROR", "ERROR", IF(AND($FX$6=Y145, E145="Exterior"), IF(VLOOKUP(W145, 'Lookup Tables'!$AI$6:$AM$102, 5, FALSE)*BP145&gt;'Lookup Tables'!$AQ$97*'Lighting Inventory'!S145,'Lighting Inventory'!S145*'Lookup Tables'!$AQ$97,VLOOKUP(W145, 'Lookup Tables'!$AI$6:$AM$102, 5, FALSE)*BP145), "")), 2), "")</f>
        <v/>
      </c>
      <c r="FZ145" s="253" t="str">
        <f>IFERROR(ROUND(IF(CD145="ERROR", "ERROR", IF(AND($FZ$6=Y145, E145="Interior"), IF(AND(OR(W145="Refrigerated Case Lighting with Doors", W145="Freezer Case Lighting"),Y145="Custom - Process Improvement"),CD145*'Lookup Tables'!$AM$101, IF(B145="Retrofit", IF(VLOOKUP(IF(V145="Custom", V145, W145), 'Lookup Tables'!$AI$6:$AM$102, 5, FALSE)*BP145&gt;GE145, GE145, VLOOKUP(IF(V145="Custom", V145, W145), 'Lookup Tables'!$AI$6:$AM$102, 5, FALSE)*BP145), IF(VLOOKUP(IF(V145="Custom", V145, W145), 'Lookup Tables'!$AI$114:$AM$154, 5, FALSE)*BP145&gt;GE145, GE145, VLOOKUP(IF(V145="Custom", V145, W145), 'Lookup Tables'!$AI$114:$AM$154, 5, FALSE)*BP145))), "")), 2),"")</f>
        <v/>
      </c>
      <c r="GA145" s="253" t="str">
        <f>IFERROR(ROUND(IF(CD145="ERROR", "ERROR", IF(AND($FZ$6=Y145, E145="Exterior"), IF(B145="Retrofit", IF(VLOOKUP(IF(V145="Custom", V145, W145), 'Lookup Tables'!$AI$6:$AM$102, 5, FALSE)*BP145&gt;GE145, GE145, VLOOKUP(IF(V145="Custom", V145, W145), 'Lookup Tables'!$AI$6:$AM$102, 5, FALSE)*BP145), IF(VLOOKUP(IF(V145="Custom", V145, W145), 'Lookup Tables'!$AI$114:$AM$154, 5, FALSE)*BP145&gt;GE145, GE145, VLOOKUP(IF(V145="Custom", V145, W145), 'Lookup Tables'!$AI$114:$AM$154, 5, FALSE)*BP145)), "")), 2),"")</f>
        <v/>
      </c>
      <c r="GB145" s="254" t="str">
        <f t="array" ref="GB145">IF(B145="","",IF(OR(V145="Custom",V145="No Change"),0,IF(B145="Retrofit", INDEX('Lookup Tables'!$AH$6:$AQ$102,MATCH(1,('Lookup Tables'!$AH$6:$AH$102='Lighting Inventory'!V145)*('Lookup Tables'!$AI$6:$AI$102='Lighting Inventory'!W145),FALSE),10),INDEX('Lookup Tables'!$AH$114:$AQ$154,MATCH(1,('Lookup Tables'!$AH$114:$AH$154='Lighting Inventory'!V145)*('Lookup Tables'!$AI$114:$AI$154='Lighting Inventory'!W145),FALSE),10))))</f>
        <v/>
      </c>
      <c r="GC145" s="255" t="str">
        <f t="shared" si="447"/>
        <v/>
      </c>
      <c r="GD145" s="250" t="str">
        <f t="shared" si="448"/>
        <v/>
      </c>
      <c r="GE145" s="253" t="str">
        <f>IFERROR(IF(AND(AF145="", 'General Information'!$F$18="No"),"", IF(AF145="", ((GD145/$CD$266)*$CF$266)*0.5, AF145*S145*0.5)), "")</f>
        <v/>
      </c>
      <c r="GF145" s="255" t="str">
        <f>IF(AND('General Information'!$F$19="", 'General Information'!$F$18="Yes",AF145="",BW145="Y"), "Y", "N")</f>
        <v>N</v>
      </c>
      <c r="GG145" s="255" t="s">
        <v>2946</v>
      </c>
      <c r="GH145" s="255" t="str">
        <f>IFERROR(IF(B145="", "", VLOOKUP(J145, 'Fixture Identities'!$A$6:$N$908, 14, FALSE)), "")</f>
        <v/>
      </c>
      <c r="GI145" s="389" t="str">
        <f>IF(OR(B145="", V145="", W145=""), "", IF(AND(OR(M145='Lookup Tables'!$R$18, M145='Lookup Tables'!$R$19, M145='Lookup Tables'!$R$20, M145='Lookup Tables'!$R$21, M145='Lookup Tables'!$R$22), OR(AN145='Lookup Tables'!$R$17, AN145='Lookup Tables'!$R$17, AN145="")), "Y", "N"))</f>
        <v/>
      </c>
      <c r="GJ145" s="255" t="str">
        <f t="shared" si="449"/>
        <v/>
      </c>
      <c r="GK145" s="255" t="str">
        <f t="shared" si="450"/>
        <v/>
      </c>
      <c r="GL145" s="255" t="str">
        <f t="shared" si="451"/>
        <v/>
      </c>
      <c r="GM145" s="255" t="str">
        <f>IF(AN145="", "", IF(AND(IF(ISNA(VLOOKUP(AN145,'Lookup Tables'!$R$18:$R$22,1,FALSE)), "N", "Y")="Y", E145="Exterior"), "Y", "N"))</f>
        <v/>
      </c>
      <c r="GN145" s="395"/>
      <c r="GO145" s="428">
        <f t="shared" si="497"/>
        <v>0</v>
      </c>
      <c r="GP145" s="428">
        <f t="shared" si="500"/>
        <v>0</v>
      </c>
      <c r="GQ145" s="428">
        <f t="shared" si="498"/>
        <v>0</v>
      </c>
      <c r="GR145" s="428">
        <f t="shared" si="499"/>
        <v>0</v>
      </c>
    </row>
    <row r="146" spans="1:200" s="103" customFormat="1" ht="13.5" customHeight="1" x14ac:dyDescent="0.2">
      <c r="A146" s="272">
        <v>136</v>
      </c>
      <c r="B146" s="110"/>
      <c r="C146" s="110"/>
      <c r="D146" s="110"/>
      <c r="E146" s="110"/>
      <c r="F146" s="110"/>
      <c r="G146" s="110"/>
      <c r="H146" s="110"/>
      <c r="I146" s="29"/>
      <c r="J146" s="29"/>
      <c r="K146" s="272" t="str">
        <f>IFERROR(IF(OR(VLOOKUP(J146, 'Fixture Identities'!$A$6:$L$1023, 3, FALSE)="T12 Linear Fluorescent", VLOOKUP(J146, 'Fixture Identities'!$A$6:$L$1023, 3, FALSE)="T12 U-Tube Fluorescent"), VLOOKUP(VLOOKUP(J146, 'Fixture Identities'!$A$6:$L$1023, 11, FALSE), 'Fixture Identities'!$A$6:$L$1023, 10, FALSE), VLOOKUP(J146, 'Fixture Identities'!$A$6:$L$1023, 10, FALSE)), "")</f>
        <v/>
      </c>
      <c r="L146" s="270" t="str">
        <f t="shared" si="502"/>
        <v/>
      </c>
      <c r="M146" s="110"/>
      <c r="N146" s="110"/>
      <c r="O146" s="110"/>
      <c r="P146" s="272" t="str">
        <f>IFERROR(IF(OR(B146="Retrofit",B146=""),"",IF('Lighting Inventory'!E146="Exterior",VLOOKUP('Lighting Inventory'!N146,'Lookup Tables'!$B$83:$F$103,5,FALSE),IF(N146="Other - Please Estimate EFLH and CFs","Contact Prog. Rep.","ft^2"))), "")</f>
        <v/>
      </c>
      <c r="Q146" s="270" t="str">
        <f>IFERROR(IF(AND(B146="New Construction",E146="Interior",$F$5="Space-by-Space"),VLOOKUP('Lighting Inventory'!N146,'Lookup Tables'!$N$6:$O$97,2,FALSE),IF(AND(B146="New Construction",E146="Exterior"),VLOOKUP(N146,'Lookup Tables'!$B$83:$F$103,2,FALSE),IF(AND(B146="New Construction",'Lighting Inventory'!E146="Interior", $F$5="Building Area"),VLOOKUP(F146,'Lookup Tables'!$A$6:$J$59,10,FALSE),""))), "")</f>
        <v/>
      </c>
      <c r="R146" s="270" t="str">
        <f>IFERROR(IF(P146="Contact Prog. Rep.", "ERROR", IF(OR(B146="",B146="Retrofit"),"",IF(N146="Automated teller machines", ('Lookup Tables'!$A$82:$E$100+('Lighting Inventory'!O146-1)*'Lookup Tables'!$A$82:$E$100)/1000, (Q146*O146)/1000))), "")</f>
        <v/>
      </c>
      <c r="S146" s="595"/>
      <c r="T146" s="105" t="str">
        <f t="shared" si="452"/>
        <v/>
      </c>
      <c r="U146" s="105" t="str">
        <f>IF(S146="","",COUNT($S$11:S146))</f>
        <v/>
      </c>
      <c r="V146" s="111"/>
      <c r="W146" s="112"/>
      <c r="X146" s="105" t="str">
        <f t="shared" si="453"/>
        <v/>
      </c>
      <c r="Y146" s="105" t="str">
        <f t="array" ref="Y146">IF(AND(OR(W146="Freezer Case Lighting", W146="Refrigerated Case Lighting with Doors"), 'General Information'!$X$18="LCI"),'Lookup Tables'!$Y$34, IF(V146="Custom", VLOOKUP(W146, 'Fixture Identities'!$A$974:$M$1023, 13, FALSE), IF(V146="No Change",'Lookup Tables'!$Y$29,IF(OR(V146="",W146=""),"",IF(AND(S146=0,S146&lt;I146,B146="Retrofit"),'Lookup Tables'!$Y$25, IF(B146="Retrofit", INDEX('Lookup Tables'!$AH$6:$AP$102, MATCH(1, ('Lookup Tables'!$AH$6:$AH$102=V146)*('Lookup Tables'!$AI$6:$AI$102=W146), 0), IF('Lighting Inventory'!E146="Interior", 4, 5)), INDEX('Lookup Tables'!$AH$114:$AP$154, MATCH(1, ('Lookup Tables'!$AH$114:$AH$154=V146)*('Lookup Tables'!$AI$114:$AI$154=W146), 0), IF('Lighting Inventory'!E146="Interior", 4, 5))))))))</f>
        <v/>
      </c>
      <c r="Z146" s="105" t="str">
        <f>IFERROR(INDEX('Lookup Tables'!$AH$158:$AH$172,MATCH('Lighting Inventory'!Y146,'Lookup Tables'!$AI$158:$AI$172,0)),"")</f>
        <v/>
      </c>
      <c r="AA146" s="105" t="str">
        <f>IF(AP146&gt;0,INDEX('Lookup Tables'!$AK$158:$AK$172,MATCH('Lighting Inventory'!Y146,'Lookup Tables'!$AI$158:$AI$172,0)),'Lighting Inventory'!Y146)</f>
        <v/>
      </c>
      <c r="AB146" s="105" t="str">
        <f t="array" ref="AB146">IF(V146="Custom", "Custom", IF(V146="", "", IF(V146="Not DLC or Energy Star", "General", IF(B146="New Construction", INDEX('Lookup Tables'!$AH$114:$AP$154,MATCH(1,('Lookup Tables'!$AH$114:$AH$154='Lighting Inventory'!V146)*('Lookup Tables'!$AI$114:$AI$154='Lighting Inventory'!W146),FALSE),8), INDEX('Lookup Tables'!$AH$6:$AP$102,MATCH(1,('Lookup Tables'!$AH$6:$AH$102='Lighting Inventory'!V146)*('Lookup Tables'!$AI$6:$AI$102='Lighting Inventory'!W146),FALSE),8)))))</f>
        <v/>
      </c>
      <c r="AC146" s="272" t="str">
        <f>IF(W146="","",IF(V146="Custom",CONCATENATE("$",'Lookup Tables'!$AM$101," ",'Lookup Tables'!$AN$101),CONCATENATE("$",INDEX('Lookup Tables'!$AM$6:$AM$102,MATCH('Lighting Inventory'!W146,'Lookup Tables'!$AI$6:$AI$102,0))," ",INDEX('Lookup Tables'!$AN$6:$AN$102,MATCH('Lighting Inventory'!W146,'Lookup Tables'!$AI$6:$AI$102,0)))))</f>
        <v/>
      </c>
      <c r="AD146" s="72"/>
      <c r="AE146" s="29"/>
      <c r="AF146" s="379"/>
      <c r="AG146" s="370" t="str">
        <f t="shared" si="401"/>
        <v/>
      </c>
      <c r="AH146" s="370" t="str">
        <f t="shared" si="454"/>
        <v/>
      </c>
      <c r="AI146" s="29"/>
      <c r="AJ146" s="29"/>
      <c r="AK146" s="110"/>
      <c r="AL146" s="375" t="str">
        <f>IF(OR(B146="", V146="", W146=""), "", IF(V146="No Change", K146, IF(V146="Remove Fixture", 0, IF(V146="Custom",VLOOKUP(W146,'Fixture Identities'!$A$6:$K$1023,10,FALSE),IF(AE146="", "← ENTER POST WATTS", 'Lighting Inventory'!AE146)))))</f>
        <v/>
      </c>
      <c r="AM146" s="376" t="str">
        <f t="shared" si="402"/>
        <v/>
      </c>
      <c r="AN146" s="29"/>
      <c r="AO146" s="671"/>
      <c r="AP146" s="29"/>
      <c r="AQ146" s="29"/>
      <c r="AR146" s="29"/>
      <c r="AS146" s="272" t="str">
        <f t="shared" si="455"/>
        <v/>
      </c>
      <c r="AT146" s="270" t="str">
        <f t="shared" si="403"/>
        <v/>
      </c>
      <c r="AU146" s="88" t="str">
        <f t="shared" si="503"/>
        <v/>
      </c>
      <c r="AV146" s="29"/>
      <c r="AW146" s="73"/>
      <c r="AX146" s="271" t="str">
        <f>IF(AND(AV146="Applicant",OR(AW146="", AW146="Use Default Facility Hours")),"← Choose Schedule",IF(F146="","",IF(W146="LED Exit Signs",8760,IF(OR(AV146="Prescribed",AV146=""),VLOOKUP(F146,'Lookup Tables'!$A$6:$G$59,IF(AB146="General", 6, 3),FALSE),VLOOKUP(AW146,'Lookup Tables'!$S$36:$U$43,2,FALSE)))))</f>
        <v/>
      </c>
      <c r="AY146" s="88" t="str">
        <f t="shared" si="404"/>
        <v/>
      </c>
      <c r="AZ146" s="270" t="str">
        <f>IFERROR(IF(F146="", "", IF(W146="LED Exit Signs", 1, IF(AV146="Applicant",VLOOKUP(AW146, 'Lookup Tables'!$S$36:$U$43,3, FALSE), VLOOKUP('Lighting Inventory'!F146, 'Lookup Tables'!$A$6:$H$59, IF('Lighting Inventory'!AB146="General",7,4), FALSE)))), "")</f>
        <v/>
      </c>
      <c r="BA146" s="522" t="str">
        <f>IFERROR(IF(F146="", "", IF(W146="LED Exit Signs", 1, VLOOKUP('Lighting Inventory'!F146, 'Lookup Tables'!$A$6:$H$59, IF('Lighting Inventory'!AB146="General",8,5), FALSE))), "")</f>
        <v/>
      </c>
      <c r="BB146" s="270" t="str">
        <f>IF(G146="", "", IF(E146="Exterior", 0, IF('Lighting Inventory'!G146="Air Conditioned", VLOOKUP(H146, 'Lookup Tables'!$R$6:$T$13, 2, FALSE), VLOOKUP('Lighting Inventory'!G146, 'Lookup Tables'!$R$6:$T$13, 2, FALSE))))</f>
        <v/>
      </c>
      <c r="BC146" s="522" t="str">
        <f>IF(G146="", "", IF(E146="Exterior", 0, IF('Lighting Inventory'!G146="Air Conditioned", VLOOKUP(H146, 'Lookup Tables'!$R$6:$T$13, 3, FALSE), VLOOKUP('Lighting Inventory'!G146, 'Lookup Tables'!$R$6:$T$13, 3, FALSE))))</f>
        <v/>
      </c>
      <c r="BD146" s="270" t="str">
        <f>IF(G146="", "", IF(E146="Exterior", 0, IF('Lighting Inventory'!G146="Air Conditioned", VLOOKUP(H146, 'Lookup Tables'!$R$6:$U$13, 4, FALSE), VLOOKUP('Lighting Inventory'!G146, 'Lookup Tables'!$R$6:$U$13, 4, FALSE))))</f>
        <v/>
      </c>
      <c r="BE146" s="270" t="str">
        <f>IFERROR(IF(B146="", "",  IF(B146="New Construction", VLOOKUP(F146, 'Lookup Tables'!$A$6:$K$59, 11, FALSE),IF(OR(AN146="", AN146="Light Switch"), 0, IF(OR(M146="",M146="None",V146= "LED Exit Signs"),0,_xlfn.XLOOKUP(M146,'Lookup Tables'!$R$91:$R$101,'Lookup Tables'!$V$91:$V$101))))), "")</f>
        <v/>
      </c>
      <c r="BF146" s="270" t="str">
        <f>IF(AND(OR(AN146="Light Switch",AN146=""),B146="New Construction"), VLOOKUP(F146, 'Lookup Tables'!$A$6:$K$59, 11, FALSE),IF(AN146="","",IF(B146="","",IF(OR(AN146="None",AN146="",V146="LED Exit Signs",AN146="Exterior Controls Not Eligible"),0,_xlfn.XLOOKUP(AN146,'Lookup Tables'!$R$91:$R$101,'Lookup Tables'!$V$91:$V$101)))))</f>
        <v/>
      </c>
      <c r="BG146" s="88" t="str">
        <f t="shared" si="456"/>
        <v/>
      </c>
      <c r="BH146" s="88" t="str">
        <f t="shared" si="457"/>
        <v/>
      </c>
      <c r="BI146" s="558" t="str">
        <f t="shared" si="501"/>
        <v/>
      </c>
      <c r="BJ146" s="82" t="str">
        <f t="shared" si="458"/>
        <v/>
      </c>
      <c r="BK146" s="82" t="str">
        <f t="shared" si="459"/>
        <v/>
      </c>
      <c r="BL146" s="559" t="str">
        <f t="shared" si="460"/>
        <v/>
      </c>
      <c r="BM146" s="521" t="str">
        <f t="shared" si="405"/>
        <v/>
      </c>
      <c r="BN146" s="521" t="str">
        <f t="shared" si="406"/>
        <v/>
      </c>
      <c r="BO146" s="522" t="str">
        <f t="shared" si="407"/>
        <v/>
      </c>
      <c r="BP146" s="83" t="str">
        <f t="shared" si="461"/>
        <v/>
      </c>
      <c r="BQ146" s="84" t="str">
        <f t="shared" si="462"/>
        <v/>
      </c>
      <c r="BR146" s="184" t="str">
        <f>IFERROR(IF(B146="", "", IF(OR(VLOOKUP(J146, 'Fixture Identities'!$A$6:$L$1023, 3, FALSE)="T12 Linear Fluorescent",VLOOKUP(J146, 'Fixture Identities'!$A$6:$L$1023, 3, FALSE)="T12 U-Tube Fluorescent"), "Y", "N")), "N")</f>
        <v/>
      </c>
      <c r="BS146" s="184" t="str">
        <f t="array" ref="BS146">IFERROR(IF(OR(B146="", V146="", W146=""), "", IF(V146="Custom", "N", IF(OR(W146="Freezer Case Lighting", W146="Refrigerated Case Lighting with Doors"), BT146, IF(B146="Retrofit", INDEX('Lookup Tables'!$AH$6:$AT$102,MATCH(1,('Lookup Tables'!$AH$6:$AH$102=V146)*('Lookup Tables'!$AI$6:$AI$102=W146),FALSE),IF(VLOOKUP(J146, 'Fixture Identities'!$A$6:$B$1023, 2, FALSE)="Incandescent",12, 13)), INDEX('Lookup Tables'!$AH$114:$AS$154,MATCH(1,('Lookup Tables'!$AH$114:$AH$154=V146)*('Lookup Tables'!$AI$114:$AI$154=W146),FALSE),12))))), "N")</f>
        <v/>
      </c>
      <c r="BT146" s="184" t="str">
        <f>IF(J146="", "", IF(AND(OR(W146="Freezer case Lighting", W146="Refrigerated Case Lighting with Doors"),'General Information'!$X$18="LCI"), "N", IF(OR(VLOOKUP(J146, 'Fixture Identities'!$A$6:$B$1023, 2, FALSE)="T12 EPACT/EISA Baseline", VLOOKUP(J146, 'Fixture Identities'!$A$6:$B$1023, 2, FALSE)="Linear Fluorescent", VLOOKUP(J146, 'Fixture Identities'!$A$6:$B$1023, 2, FALSE)="U-Tube Fluorescent"), "Y", "N")))</f>
        <v/>
      </c>
      <c r="BU146" s="184" t="str">
        <f>IFERROR(IF(B146="", "", IF(VLOOKUP(J146, 'Fixture Identities'!$A$6:$B$1023, 2, FALSE)="Exit Sign", "Y", "N")), "N")</f>
        <v/>
      </c>
      <c r="BV146" s="184" t="str">
        <f>IF(V146="Exit Signs", IF(VLOOKUP(J146, 'Fixture Identities'!$A$6:$B$1023, 2, FALSE)="Exit Sign", "N", "Y"), "")</f>
        <v/>
      </c>
      <c r="BW146" s="184" t="str">
        <f t="array" ref="BW146">IFERROR(IF(B146="", "", IF(B146="New Construction", "N", INDEX('Lookup Tables'!$AH$6:$AU$102, MATCH(1, ('Lookup Tables'!$AH$6:$AH$102='Lighting Inventory'!V146)*('Lookup Tables'!$AI$6:$AI$102='Lighting Inventory'!W146), 0), 14))), "N")</f>
        <v/>
      </c>
      <c r="BX146" s="598" t="str">
        <f t="shared" si="463"/>
        <v/>
      </c>
      <c r="BY146" s="598" t="str">
        <f t="shared" si="464"/>
        <v/>
      </c>
      <c r="BZ146" s="598" t="str">
        <f t="shared" si="465"/>
        <v/>
      </c>
      <c r="CA146" s="598" t="str">
        <f t="shared" si="466"/>
        <v/>
      </c>
      <c r="CB146" s="269" t="str">
        <f t="shared" si="467"/>
        <v/>
      </c>
      <c r="CC146" s="517" t="str">
        <f t="shared" si="468"/>
        <v/>
      </c>
      <c r="CD146" s="565" t="str">
        <f t="shared" si="408"/>
        <v/>
      </c>
      <c r="CE146" s="368">
        <v>0</v>
      </c>
      <c r="CF146" s="368" t="str" cm="1">
        <f t="array" ref="CF146">IFERROR(IF(V146="Custom", "$0.1 per kWh", IF(B146="New Construction", CONCATENATE("$",INDEX('Lookup Tables'!$AH$114:$AN$154,MATCH(1,('Lookup Tables'!$AH$114:$AH$154='Lighting Inventory'!V146)*('Lookup Tables'!$AI$114:$AI$154='Lighting Inventory'!W146),FALSE),6)," ",INDEX('Lookup Tables'!$AH$114:$AN$154,MATCH(1,('Lookup Tables'!$AH$114:$AH$154='Lighting Inventory'!V146)*('Lookup Tables'!$AI$114:$AI$154='Lighting Inventory'!W146),FALSE),7)), IF(AND(BU146="N", V146="Exit Signs"), "$0.025 per kWh", CONCATENATE("$",INDEX('Lookup Tables'!$AH$6:$AN$102,MATCH(1,('Lookup Tables'!$AH$6:$AH$102='Lighting Inventory'!V146)*('Lookup Tables'!$AI$6:$AI$102='Lighting Inventory'!W146),FALSE),6)," ",INDEX('Lookup Tables'!$AH$6:$AN$102,MATCH(1,('Lookup Tables'!$AH$6:$AH$102='Lighting Inventory'!V146)*('Lookup Tables'!$AI$6:$AI$102='Lighting Inventory'!W146),FALSE),7))))), "")</f>
        <v/>
      </c>
      <c r="CG146" s="366"/>
      <c r="CH146" s="248" t="str">
        <f t="shared" si="409"/>
        <v/>
      </c>
      <c r="CI146" s="248" t="str">
        <f t="shared" si="410"/>
        <v>Select_IE</v>
      </c>
      <c r="CJ146" s="248" t="str">
        <f t="shared" si="411"/>
        <v/>
      </c>
      <c r="CK146" s="248" t="str">
        <f t="shared" si="412"/>
        <v/>
      </c>
      <c r="CL146" s="248" t="str">
        <f t="shared" si="413"/>
        <v/>
      </c>
      <c r="CM146" s="248" t="str">
        <f>IFERROR(IF(B146="", "", IF(B146="New Construction", VLOOKUP(V146, 'Lookup Tables'!$AF$114:$AG$120, 2, FALSE), VLOOKUP(V146, 'Lookup Tables'!$AD$6:$AE$25, 2, FALSE))), "")</f>
        <v/>
      </c>
      <c r="CN146" s="248" t="str">
        <f t="shared" si="414"/>
        <v/>
      </c>
      <c r="CO146" s="248" t="str">
        <f t="shared" si="415"/>
        <v/>
      </c>
      <c r="CP146" s="592" t="str">
        <f t="shared" si="416"/>
        <v/>
      </c>
      <c r="CQ146" s="248" t="str">
        <f t="shared" si="469"/>
        <v/>
      </c>
      <c r="CR146" s="249"/>
      <c r="CS146" s="250" t="str">
        <f t="shared" si="417"/>
        <v/>
      </c>
      <c r="CT146" s="250" t="str">
        <f t="shared" si="470"/>
        <v/>
      </c>
      <c r="CU146" s="250" t="str">
        <f t="shared" si="471"/>
        <v/>
      </c>
      <c r="CV146" s="250" t="str">
        <f t="shared" si="472"/>
        <v/>
      </c>
      <c r="CW146" s="250" t="str">
        <f t="shared" si="473"/>
        <v/>
      </c>
      <c r="CX146" s="250" t="str">
        <f t="shared" si="418"/>
        <v/>
      </c>
      <c r="CY146" s="250" t="str">
        <f t="shared" si="419"/>
        <v/>
      </c>
      <c r="CZ146" s="250" t="str">
        <f t="shared" si="420"/>
        <v/>
      </c>
      <c r="DA146" s="250" t="str">
        <f t="shared" si="421"/>
        <v/>
      </c>
      <c r="DB146" s="250" t="str">
        <f t="shared" si="422"/>
        <v/>
      </c>
      <c r="DC146" s="250" t="str">
        <f t="shared" si="423"/>
        <v/>
      </c>
      <c r="DD146" s="250" t="str">
        <f t="shared" si="424"/>
        <v/>
      </c>
      <c r="DE146" s="250" t="str">
        <f t="shared" si="425"/>
        <v/>
      </c>
      <c r="DF146" s="250" t="str">
        <f t="shared" si="426"/>
        <v/>
      </c>
      <c r="DG146" s="250" t="str">
        <f t="shared" si="427"/>
        <v/>
      </c>
      <c r="DH146" s="250" t="str">
        <f t="shared" si="428"/>
        <v/>
      </c>
      <c r="DI146" s="250" t="str">
        <f t="shared" si="429"/>
        <v/>
      </c>
      <c r="DJ146" s="250" t="str">
        <f t="shared" si="430"/>
        <v/>
      </c>
      <c r="DK146" s="250" t="str">
        <f t="shared" si="431"/>
        <v/>
      </c>
      <c r="DL146" s="250" t="str">
        <f t="shared" si="432"/>
        <v/>
      </c>
      <c r="DM146" s="250" t="str">
        <f>IF(CD146="ERROR", "ERROR", IF(AND(OR(Y146=$DM$6, Y146='Lookup Tables'!$AD$21, Y146='Lookup Tables'!$AD$22), E146="Interior"), BJ146, ""))</f>
        <v/>
      </c>
      <c r="DN146" s="250" t="str">
        <f>IF(CD146="ERROR", "ERROR", IF(AND(OR(Y146=$DM$6, Y146='Lookup Tables'!$AD$21, Y146='Lookup Tables'!$AD$22), E146="Exterior"), BJ146, ""))</f>
        <v/>
      </c>
      <c r="DO146" s="249"/>
      <c r="DP146" s="250" t="str">
        <f t="shared" si="433"/>
        <v/>
      </c>
      <c r="DQ146" s="250" t="str">
        <f t="shared" si="474"/>
        <v/>
      </c>
      <c r="DR146" s="250" t="str">
        <f t="shared" si="475"/>
        <v/>
      </c>
      <c r="DS146" s="250" t="str">
        <f t="shared" si="476"/>
        <v/>
      </c>
      <c r="DT146" s="250" t="str">
        <f t="shared" si="477"/>
        <v/>
      </c>
      <c r="DU146" s="250" t="str">
        <f t="shared" si="434"/>
        <v/>
      </c>
      <c r="DV146" s="250" t="str">
        <f t="shared" si="435"/>
        <v/>
      </c>
      <c r="DW146" s="250" t="str">
        <f t="shared" si="436"/>
        <v/>
      </c>
      <c r="DX146" s="250" t="str">
        <f t="shared" si="437"/>
        <v/>
      </c>
      <c r="DY146" s="250" t="str">
        <f t="shared" si="438"/>
        <v/>
      </c>
      <c r="DZ146" s="250" t="str">
        <f t="shared" si="439"/>
        <v/>
      </c>
      <c r="EA146" s="250" t="str">
        <f t="shared" si="440"/>
        <v/>
      </c>
      <c r="EB146" s="250" t="str">
        <f t="shared" si="478"/>
        <v/>
      </c>
      <c r="EC146" s="250" t="str">
        <f t="shared" si="441"/>
        <v/>
      </c>
      <c r="ED146" s="250" t="str">
        <f t="shared" si="442"/>
        <v/>
      </c>
      <c r="EE146" s="250" t="str">
        <f t="shared" si="443"/>
        <v/>
      </c>
      <c r="EF146" s="250" t="str">
        <f t="shared" si="444"/>
        <v/>
      </c>
      <c r="EG146" s="250" t="str">
        <f t="shared" si="445"/>
        <v/>
      </c>
      <c r="EH146" s="250" t="str">
        <f>IF(CD146="ERROR", "ERROR", IF(AND(OR($EH$6=Y146, Y146='Lookup Tables'!$AD$21, Y146='Lookup Tables'!$AD$22),E146="Interior"), SUM(BP146:BP146), ""))</f>
        <v/>
      </c>
      <c r="EI146" s="250" t="str">
        <f>IF(CD146="ERROR", "ERROR", IF(AND(OR($EH$6=Y146, Y146='Lookup Tables'!$AD$21, Y146='Lookup Tables'!$AD$22),E146="Exterior"), SUM(BP146:BP146), ""))</f>
        <v/>
      </c>
      <c r="EJ146" s="109"/>
      <c r="EK146" s="485" t="str">
        <f t="shared" si="446"/>
        <v/>
      </c>
      <c r="EL146" s="252" t="str">
        <f t="shared" si="479"/>
        <v/>
      </c>
      <c r="EM146" s="252" t="str">
        <f t="shared" si="480"/>
        <v/>
      </c>
      <c r="EN146" s="252" t="str">
        <f t="shared" si="481"/>
        <v/>
      </c>
      <c r="EO146" s="252" t="str">
        <f t="shared" si="482"/>
        <v/>
      </c>
      <c r="EP146" s="252" t="str">
        <f t="shared" si="483"/>
        <v/>
      </c>
      <c r="EQ146" s="252" t="str">
        <f t="shared" si="484"/>
        <v/>
      </c>
      <c r="ER146" s="252" t="str">
        <f t="shared" si="485"/>
        <v/>
      </c>
      <c r="ES146" s="252" t="str">
        <f t="shared" si="486"/>
        <v/>
      </c>
      <c r="ET146" s="252" t="str">
        <f t="shared" si="487"/>
        <v/>
      </c>
      <c r="EU146" s="252" t="str">
        <f t="shared" si="488"/>
        <v/>
      </c>
      <c r="EV146" s="252" t="str">
        <f t="shared" si="489"/>
        <v/>
      </c>
      <c r="EW146" s="252" t="str">
        <f t="shared" si="490"/>
        <v/>
      </c>
      <c r="EX146" s="252" t="str">
        <f t="shared" si="491"/>
        <v/>
      </c>
      <c r="EY146" s="252" t="str">
        <f t="shared" si="492"/>
        <v/>
      </c>
      <c r="EZ146" s="252" t="str">
        <f t="shared" si="493"/>
        <v/>
      </c>
      <c r="FA146" s="252" t="str">
        <f t="shared" si="494"/>
        <v/>
      </c>
      <c r="FB146" s="252" t="str">
        <f t="shared" si="495"/>
        <v/>
      </c>
      <c r="FC146" s="252" t="str">
        <f>IF(CD146="ERROR", "ERROR", IF(OR(V146="No Change", V146="Not DLC or Energy Star"), "", IF(AND(OR($FC$6=Y146,Y146='Lookup Tables'!$AD$21, Y146='Lookup Tables'!$AD$22),E146="Interior"), S146, "")))</f>
        <v/>
      </c>
      <c r="FD146" s="252" t="str">
        <f t="shared" si="496"/>
        <v/>
      </c>
      <c r="FE146" s="1"/>
      <c r="FF146" s="579" t="str" cm="1">
        <f t="array" ref="FF146">IFERROR(IF(OR(BQ146&lt;=0,AQ146&lt;20,AND(V146="Exit Signs",AN146&gt;0)),"",IF(AND(AQ146&gt;=20,AN146='Lookup Tables'!$R$101),'Lookup Tables'!$U$101*BQ146,AP146*LOOKUP(2,1/((AN146='Lookup Tables'!$R$91:$R$111)*(AQ146&gt;='Lookup Tables'!$S$91:$S$111)*(AQ146&lt;='Lookup Tables'!$T$91:$T$111)),'Lookup Tables'!$U$91:$U$111))),"")</f>
        <v/>
      </c>
      <c r="FG146" s="579"/>
      <c r="FH146" s="579"/>
      <c r="FI146" s="253" t="str">
        <f>IFERROR(ROUND(IF(CD146="ERROR", "ERROR", IF(AND($FI$7=X146,E146="Interior"),VLOOKUP(W146, 'Lookup Tables'!$AI$6:$AM$102, 5, FALSE)*BP146, "")), 2), "")</f>
        <v/>
      </c>
      <c r="FJ146" s="253" t="str">
        <f>IFERROR(ROUND(IF(CD146="ERROR", "ERROR", IF(AND($FI$7=X146,E146="Exterior"),VLOOKUP(W146, 'Lookup Tables'!$AI$6:$AM$102, 5, FALSE)*BP146, "")), 2), "")</f>
        <v/>
      </c>
      <c r="FK146" s="253" t="str">
        <f>IFERROR(ROUND(IF(CD146="ERROR", "ERROR", IF(AND($FK$7=X146,E146="Interior"),VLOOKUP(W146, 'Lookup Tables'!$AI$6:$AM$102, 5, FALSE)*BP146, "")), 2), "")</f>
        <v/>
      </c>
      <c r="FL146" s="253" t="str">
        <f>IFERROR(ROUND(IF(CD146="ERROR", "ERROR", IF(AND($FK$7=X146,E146="Exterior"),VLOOKUP(W146, 'Lookup Tables'!$AI$6:$AM$102, 5, FALSE)*BP146, "")), 2), "")</f>
        <v/>
      </c>
      <c r="FM146" s="253" t="str">
        <f>IFERROR(ROUND(IF(CD146="ERROR", "ERROR", IF(AND($FM$6=Y146,E146="Interior"), IF(GB146=0, VLOOKUP(W146, 'Lookup Tables'!$AI$6:$AM$102, 5, FALSE)*BP146, IF(VLOOKUP(W146, 'Lookup Tables'!$AI$6:$AM$102, 5, FALSE)*BP146&gt;GB146*'Lighting Inventory'!S146, GB146*'Lighting Inventory'!S146,VLOOKUP(W146, 'Lookup Tables'!$AI$6:$AM$102, 5, FALSE)*BP146)), "")), 2), "")</f>
        <v/>
      </c>
      <c r="FN146" s="253" t="str">
        <f>IFERROR(ROUND(IF(CD146="ERROR", "ERROR", IF(AND($FM$6=Y146,E146="Exterior"), IF(GB146=0, VLOOKUP(W146, 'Lookup Tables'!$AI$6:$AM$102, 5, FALSE)*BP146, IF(VLOOKUP(W146, 'Lookup Tables'!$AI$6:$AM$102, 5, FALSE)*BP146&gt;GB146*'Lighting Inventory'!S146, GB146*'Lighting Inventory'!S146,VLOOKUP(W146, 'Lookup Tables'!$AI$6:$AM$102, 5, FALSE)*BP146)), "")), 2), "")</f>
        <v/>
      </c>
      <c r="FO146" s="253" t="str">
        <f>IFERROR(ROUND(IF(CD146="ERROR", "ERROR", IF(AND($FO$6=Y146,E146="Interior"),VLOOKUP(W146, 'Lookup Tables'!$AI$6:$AM$102, 5, FALSE)*'Lighting Inventory'!AI146, "")), 2), "")</f>
        <v/>
      </c>
      <c r="FP146" s="253" t="str">
        <f>IFERROR(ROUND(IF(CD146="ERROR", "ERROR", IF(AND($FO$6=Y146,E146="Exterior"),VLOOKUP(W146, 'Lookup Tables'!$AI$6:$AM$102, 5, FALSE)*'Lighting Inventory'!AI146, "")), 2), "")</f>
        <v/>
      </c>
      <c r="FQ146" s="253" t="str">
        <f>IFERROR(ROUND(IF(CD146="ERROR", "ERROR", IF(AND($FQ$6=Y146,E146="Interior", BU146="Y"), VLOOKUP('Lighting Inventory'!W146, 'Lookup Tables'!$AI$6:$AM$102, 5, FALSE)*'Lighting Inventory'!S146, IF(AND($FQ$7=Y146,E146="Interior", BU146="N"), 0.025*CD146, ""))), 2), "")</f>
        <v/>
      </c>
      <c r="FR146" s="253" t="str">
        <f>IFERROR(ROUND(IF(CD146="ERROR", "ERROR", IF(AND($FQ$6=Y146,E146="Exterior"), VLOOKUP('Lighting Inventory'!W146, 'Lookup Tables'!$AI$6:$AM$102, 5, FALSE)*'Lighting Inventory'!S146, "")), 2), "")</f>
        <v/>
      </c>
      <c r="FS146" s="253" t="str">
        <f>IFERROR(ROUND(IF(CD146="ERROR", "ERROR", IF(AND($FS$6=Y146,E146="Exterior"), IF(GB146=0, VLOOKUP(W146, 'Lookup Tables'!$AI$6:$AM$102, 5, FALSE)*BP146, IF(VLOOKUP(W146, 'Lookup Tables'!$AI$6:$AM$102, 5, FALSE)*BP146&gt;GB146*'Lighting Inventory'!S146, GB146*'Lighting Inventory'!S146,VLOOKUP(W146, 'Lookup Tables'!$AI$6:$AM$102, 5, FALSE)*BP146)), "")), 2), "")</f>
        <v/>
      </c>
      <c r="FT146" s="253" t="str">
        <f>IFERROR(ROUND(IF(CD146="ERROR", "ERROR", IF(AND($FT$6=Y146,E146="Interior"), IF(GB146=0, VLOOKUP(W146, 'Lookup Tables'!$AI$6:$AM$102, 5, FALSE)*BP146, IF(VLOOKUP(W146, 'Lookup Tables'!$AI$6:$AM$102, 5, FALSE)*BP146&gt;GB146*'Lighting Inventory'!S146, GB146*'Lighting Inventory'!S146,VLOOKUP(W146, 'Lookup Tables'!$AI$6:$AM$102, 5, FALSE)*BP146)), "")), 2), "")</f>
        <v/>
      </c>
      <c r="FU146" s="253" t="str">
        <f>IFERROR(ROUND(IF(CD146="ERROR", "ERROR", IF(AND(Y146=$FU$6, E146="Interior"), IF(BS146="N", 'Lookup Tables'!$AM$101*BP146, VLOOKUP(W146, 'Lookup Tables'!$AI$6:$AM$102, 5, FALSE)*S146*AD146), "")), 2), "")</f>
        <v/>
      </c>
      <c r="FV146" s="253" t="str">
        <f>IFERROR(ROUND(IF(CD146="ERROR", "ERROR", IF(AND(Y146=$FU$6, E146="Exterior"), IF(BS146="N", 'Lookup Tables'!$AM$101*BP146, VLOOKUP(W146, 'Lookup Tables'!$AI$6:$AM$102, 5, FALSE)*S146*AD146), "")), 2), "")</f>
        <v/>
      </c>
      <c r="FW146" s="253" t="str">
        <f>IFERROR(ROUND(IF(CD146="ERROR", "ERROR", IF($FW$6=Y146, IF(BS146="N", 'Lookup Tables'!$AM$101*BP146, MIN((VLOOKUP(W146, 'Lookup Tables'!$AI$6:$AM$102, 5, FALSE)*BP146),GB146*AJ146)), "")), 2), "")</f>
        <v/>
      </c>
      <c r="FX146" s="253" t="str">
        <f>IFERROR(ROUND(IF(CD146="ERROR", "ERROR", IF(AND($FX$6=Y146, E146="Interior"), IF(VLOOKUP(W146, 'Lookup Tables'!$AI$6:$AM$102, 5, FALSE)*BP146&gt;'Lookup Tables'!$AQ$97*'Lighting Inventory'!S146,'Lighting Inventory'!S146*'Lookup Tables'!$AQ$97,VLOOKUP(W146, 'Lookup Tables'!$AI$6:$AM$102, 5, FALSE)*BP146), "")), 2), "")</f>
        <v/>
      </c>
      <c r="FY146" s="253" t="str">
        <f>IFERROR(ROUND(IF(CD146="ERROR", "ERROR", IF(AND($FX$6=Y146, E146="Exterior"), IF(VLOOKUP(W146, 'Lookup Tables'!$AI$6:$AM$102, 5, FALSE)*BP146&gt;'Lookup Tables'!$AQ$97*'Lighting Inventory'!S146,'Lighting Inventory'!S146*'Lookup Tables'!$AQ$97,VLOOKUP(W146, 'Lookup Tables'!$AI$6:$AM$102, 5, FALSE)*BP146), "")), 2), "")</f>
        <v/>
      </c>
      <c r="FZ146" s="253" t="str">
        <f>IFERROR(ROUND(IF(CD146="ERROR", "ERROR", IF(AND($FZ$6=Y146, E146="Interior"), IF(AND(OR(W146="Refrigerated Case Lighting with Doors", W146="Freezer Case Lighting"),Y146="Custom - Process Improvement"),CD146*'Lookup Tables'!$AM$101, IF(B146="Retrofit", IF(VLOOKUP(IF(V146="Custom", V146, W146), 'Lookup Tables'!$AI$6:$AM$102, 5, FALSE)*BP146&gt;GE146, GE146, VLOOKUP(IF(V146="Custom", V146, W146), 'Lookup Tables'!$AI$6:$AM$102, 5, FALSE)*BP146), IF(VLOOKUP(IF(V146="Custom", V146, W146), 'Lookup Tables'!$AI$114:$AM$154, 5, FALSE)*BP146&gt;GE146, GE146, VLOOKUP(IF(V146="Custom", V146, W146), 'Lookup Tables'!$AI$114:$AM$154, 5, FALSE)*BP146))), "")), 2),"")</f>
        <v/>
      </c>
      <c r="GA146" s="253" t="str">
        <f>IFERROR(ROUND(IF(CD146="ERROR", "ERROR", IF(AND($FZ$6=Y146, E146="Exterior"), IF(B146="Retrofit", IF(VLOOKUP(IF(V146="Custom", V146, W146), 'Lookup Tables'!$AI$6:$AM$102, 5, FALSE)*BP146&gt;GE146, GE146, VLOOKUP(IF(V146="Custom", V146, W146), 'Lookup Tables'!$AI$6:$AM$102, 5, FALSE)*BP146), IF(VLOOKUP(IF(V146="Custom", V146, W146), 'Lookup Tables'!$AI$114:$AM$154, 5, FALSE)*BP146&gt;GE146, GE146, VLOOKUP(IF(V146="Custom", V146, W146), 'Lookup Tables'!$AI$114:$AM$154, 5, FALSE)*BP146)), "")), 2),"")</f>
        <v/>
      </c>
      <c r="GB146" s="254" t="str">
        <f t="array" ref="GB146">IF(B146="","",IF(OR(V146="Custom",V146="No Change"),0,IF(B146="Retrofit", INDEX('Lookup Tables'!$AH$6:$AQ$102,MATCH(1,('Lookup Tables'!$AH$6:$AH$102='Lighting Inventory'!V146)*('Lookup Tables'!$AI$6:$AI$102='Lighting Inventory'!W146),FALSE),10),INDEX('Lookup Tables'!$AH$114:$AQ$154,MATCH(1,('Lookup Tables'!$AH$114:$AH$154='Lighting Inventory'!V146)*('Lookup Tables'!$AI$114:$AI$154='Lighting Inventory'!W146),FALSE),10))))</f>
        <v/>
      </c>
      <c r="GC146" s="255" t="str">
        <f t="shared" si="447"/>
        <v/>
      </c>
      <c r="GD146" s="250" t="str">
        <f t="shared" si="448"/>
        <v/>
      </c>
      <c r="GE146" s="253" t="str">
        <f>IFERROR(IF(AND(AF146="", 'General Information'!$F$18="No"),"", IF(AF146="", ((GD146/$CD$266)*$CF$266)*0.5, AF146*S146*0.5)), "")</f>
        <v/>
      </c>
      <c r="GF146" s="255" t="str">
        <f>IF(AND('General Information'!$F$19="", 'General Information'!$F$18="Yes",AF146="",BW146="Y"), "Y", "N")</f>
        <v>N</v>
      </c>
      <c r="GG146" s="255" t="s">
        <v>2946</v>
      </c>
      <c r="GH146" s="255" t="str">
        <f>IFERROR(IF(B146="", "", VLOOKUP(J146, 'Fixture Identities'!$A$6:$N$908, 14, FALSE)), "")</f>
        <v/>
      </c>
      <c r="GI146" s="389" t="str">
        <f>IF(OR(B146="", V146="", W146=""), "", IF(AND(OR(M146='Lookup Tables'!$R$18, M146='Lookup Tables'!$R$19, M146='Lookup Tables'!$R$20, M146='Lookup Tables'!$R$21, M146='Lookup Tables'!$R$22), OR(AN146='Lookup Tables'!$R$17, AN146='Lookup Tables'!$R$17, AN146="")), "Y", "N"))</f>
        <v/>
      </c>
      <c r="GJ146" s="255" t="str">
        <f t="shared" si="449"/>
        <v/>
      </c>
      <c r="GK146" s="255" t="str">
        <f t="shared" si="450"/>
        <v/>
      </c>
      <c r="GL146" s="255" t="str">
        <f t="shared" si="451"/>
        <v/>
      </c>
      <c r="GM146" s="255" t="str">
        <f>IF(AN146="", "", IF(AND(IF(ISNA(VLOOKUP(AN146,'Lookup Tables'!$R$18:$R$22,1,FALSE)), "N", "Y")="Y", E146="Exterior"), "Y", "N"))</f>
        <v/>
      </c>
      <c r="GN146" s="395"/>
      <c r="GO146" s="428">
        <f t="shared" si="497"/>
        <v>0</v>
      </c>
      <c r="GP146" s="428">
        <f t="shared" si="500"/>
        <v>0</v>
      </c>
      <c r="GQ146" s="428">
        <f t="shared" si="498"/>
        <v>0</v>
      </c>
      <c r="GR146" s="428">
        <f t="shared" si="499"/>
        <v>0</v>
      </c>
    </row>
    <row r="147" spans="1:200" s="103" customFormat="1" ht="13.5" customHeight="1" x14ac:dyDescent="0.2">
      <c r="A147" s="272">
        <v>137</v>
      </c>
      <c r="B147" s="110"/>
      <c r="C147" s="110"/>
      <c r="D147" s="110"/>
      <c r="E147" s="110"/>
      <c r="F147" s="110"/>
      <c r="G147" s="110"/>
      <c r="H147" s="110"/>
      <c r="I147" s="29"/>
      <c r="J147" s="29"/>
      <c r="K147" s="272" t="str">
        <f>IFERROR(IF(OR(VLOOKUP(J147, 'Fixture Identities'!$A$6:$L$1023, 3, FALSE)="T12 Linear Fluorescent", VLOOKUP(J147, 'Fixture Identities'!$A$6:$L$1023, 3, FALSE)="T12 U-Tube Fluorescent"), VLOOKUP(VLOOKUP(J147, 'Fixture Identities'!$A$6:$L$1023, 11, FALSE), 'Fixture Identities'!$A$6:$L$1023, 10, FALSE), VLOOKUP(J147, 'Fixture Identities'!$A$6:$L$1023, 10, FALSE)), "")</f>
        <v/>
      </c>
      <c r="L147" s="270" t="str">
        <f t="shared" si="502"/>
        <v/>
      </c>
      <c r="M147" s="110"/>
      <c r="N147" s="110"/>
      <c r="O147" s="110"/>
      <c r="P147" s="272" t="str">
        <f>IFERROR(IF(OR(B147="Retrofit",B147=""),"",IF('Lighting Inventory'!E147="Exterior",VLOOKUP('Lighting Inventory'!N147,'Lookup Tables'!$B$83:$F$103,5,FALSE),IF(N147="Other - Please Estimate EFLH and CFs","Contact Prog. Rep.","ft^2"))), "")</f>
        <v/>
      </c>
      <c r="Q147" s="270" t="str">
        <f>IFERROR(IF(AND(B147="New Construction",E147="Interior",$F$5="Space-by-Space"),VLOOKUP('Lighting Inventory'!N147,'Lookup Tables'!$N$6:$O$97,2,FALSE),IF(AND(B147="New Construction",E147="Exterior"),VLOOKUP(N147,'Lookup Tables'!$B$83:$F$103,2,FALSE),IF(AND(B147="New Construction",'Lighting Inventory'!E147="Interior", $F$5="Building Area"),VLOOKUP(F147,'Lookup Tables'!$A$6:$J$59,10,FALSE),""))), "")</f>
        <v/>
      </c>
      <c r="R147" s="270" t="str">
        <f>IFERROR(IF(P147="Contact Prog. Rep.", "ERROR", IF(OR(B147="",B147="Retrofit"),"",IF(N147="Automated teller machines", ('Lookup Tables'!$A$82:$E$100+('Lighting Inventory'!O147-1)*'Lookup Tables'!$A$82:$E$100)/1000, (Q147*O147)/1000))), "")</f>
        <v/>
      </c>
      <c r="S147" s="595"/>
      <c r="T147" s="105" t="str">
        <f t="shared" si="452"/>
        <v/>
      </c>
      <c r="U147" s="105" t="str">
        <f>IF(S147="","",COUNT($S$11:S147))</f>
        <v/>
      </c>
      <c r="V147" s="111"/>
      <c r="W147" s="112"/>
      <c r="X147" s="105" t="str">
        <f t="shared" si="453"/>
        <v/>
      </c>
      <c r="Y147" s="105" t="str">
        <f t="array" ref="Y147">IF(AND(OR(W147="Freezer Case Lighting", W147="Refrigerated Case Lighting with Doors"), 'General Information'!$X$18="LCI"),'Lookup Tables'!$Y$34, IF(V147="Custom", VLOOKUP(W147, 'Fixture Identities'!$A$974:$M$1023, 13, FALSE), IF(V147="No Change",'Lookup Tables'!$Y$29,IF(OR(V147="",W147=""),"",IF(AND(S147=0,S147&lt;I147,B147="Retrofit"),'Lookup Tables'!$Y$25, IF(B147="Retrofit", INDEX('Lookup Tables'!$AH$6:$AP$102, MATCH(1, ('Lookup Tables'!$AH$6:$AH$102=V147)*('Lookup Tables'!$AI$6:$AI$102=W147), 0), IF('Lighting Inventory'!E147="Interior", 4, 5)), INDEX('Lookup Tables'!$AH$114:$AP$154, MATCH(1, ('Lookup Tables'!$AH$114:$AH$154=V147)*('Lookup Tables'!$AI$114:$AI$154=W147), 0), IF('Lighting Inventory'!E147="Interior", 4, 5))))))))</f>
        <v/>
      </c>
      <c r="Z147" s="105" t="str">
        <f>IFERROR(INDEX('Lookup Tables'!$AH$158:$AH$172,MATCH('Lighting Inventory'!Y147,'Lookup Tables'!$AI$158:$AI$172,0)),"")</f>
        <v/>
      </c>
      <c r="AA147" s="105" t="str">
        <f>IF(AP147&gt;0,INDEX('Lookup Tables'!$AK$158:$AK$172,MATCH('Lighting Inventory'!Y147,'Lookup Tables'!$AI$158:$AI$172,0)),'Lighting Inventory'!Y147)</f>
        <v/>
      </c>
      <c r="AB147" s="105" t="str">
        <f t="array" ref="AB147">IF(V147="Custom", "Custom", IF(V147="", "", IF(V147="Not DLC or Energy Star", "General", IF(B147="New Construction", INDEX('Lookup Tables'!$AH$114:$AP$154,MATCH(1,('Lookup Tables'!$AH$114:$AH$154='Lighting Inventory'!V147)*('Lookup Tables'!$AI$114:$AI$154='Lighting Inventory'!W147),FALSE),8), INDEX('Lookup Tables'!$AH$6:$AP$102,MATCH(1,('Lookup Tables'!$AH$6:$AH$102='Lighting Inventory'!V147)*('Lookup Tables'!$AI$6:$AI$102='Lighting Inventory'!W147),FALSE),8)))))</f>
        <v/>
      </c>
      <c r="AC147" s="272" t="str">
        <f>IF(W147="","",IF(V147="Custom",CONCATENATE("$",'Lookup Tables'!$AM$101," ",'Lookup Tables'!$AN$101),CONCATENATE("$",INDEX('Lookup Tables'!$AM$6:$AM$102,MATCH('Lighting Inventory'!W147,'Lookup Tables'!$AI$6:$AI$102,0))," ",INDEX('Lookup Tables'!$AN$6:$AN$102,MATCH('Lighting Inventory'!W147,'Lookup Tables'!$AI$6:$AI$102,0)))))</f>
        <v/>
      </c>
      <c r="AD147" s="72"/>
      <c r="AE147" s="29"/>
      <c r="AF147" s="379"/>
      <c r="AG147" s="370" t="str">
        <f t="shared" si="401"/>
        <v/>
      </c>
      <c r="AH147" s="370" t="str">
        <f t="shared" si="454"/>
        <v/>
      </c>
      <c r="AI147" s="29"/>
      <c r="AJ147" s="29"/>
      <c r="AK147" s="110"/>
      <c r="AL147" s="375" t="str">
        <f>IF(OR(B147="", V147="", W147=""), "", IF(V147="No Change", K147, IF(V147="Remove Fixture", 0, IF(V147="Custom",VLOOKUP(W147,'Fixture Identities'!$A$6:$K$1023,10,FALSE),IF(AE147="", "← ENTER POST WATTS", 'Lighting Inventory'!AE147)))))</f>
        <v/>
      </c>
      <c r="AM147" s="376" t="str">
        <f t="shared" si="402"/>
        <v/>
      </c>
      <c r="AN147" s="29"/>
      <c r="AO147" s="671"/>
      <c r="AP147" s="29"/>
      <c r="AQ147" s="29"/>
      <c r="AR147" s="29"/>
      <c r="AS147" s="272" t="str">
        <f t="shared" si="455"/>
        <v/>
      </c>
      <c r="AT147" s="270" t="str">
        <f t="shared" si="403"/>
        <v/>
      </c>
      <c r="AU147" s="88" t="str">
        <f t="shared" si="503"/>
        <v/>
      </c>
      <c r="AV147" s="29"/>
      <c r="AW147" s="73"/>
      <c r="AX147" s="271" t="str">
        <f>IF(AND(AV147="Applicant",OR(AW147="", AW147="Use Default Facility Hours")),"← Choose Schedule",IF(F147="","",IF(W147="LED Exit Signs",8760,IF(OR(AV147="Prescribed",AV147=""),VLOOKUP(F147,'Lookup Tables'!$A$6:$G$59,IF(AB147="General", 6, 3),FALSE),VLOOKUP(AW147,'Lookup Tables'!$S$36:$U$43,2,FALSE)))))</f>
        <v/>
      </c>
      <c r="AY147" s="88" t="str">
        <f t="shared" si="404"/>
        <v/>
      </c>
      <c r="AZ147" s="270" t="str">
        <f>IFERROR(IF(F147="", "", IF(W147="LED Exit Signs", 1, IF(AV147="Applicant",VLOOKUP(AW147, 'Lookup Tables'!$S$36:$U$43,3, FALSE), VLOOKUP('Lighting Inventory'!F147, 'Lookup Tables'!$A$6:$H$59, IF('Lighting Inventory'!AB147="General",7,4), FALSE)))), "")</f>
        <v/>
      </c>
      <c r="BA147" s="522" t="str">
        <f>IFERROR(IF(F147="", "", IF(W147="LED Exit Signs", 1, VLOOKUP('Lighting Inventory'!F147, 'Lookup Tables'!$A$6:$H$59, IF('Lighting Inventory'!AB147="General",8,5), FALSE))), "")</f>
        <v/>
      </c>
      <c r="BB147" s="270" t="str">
        <f>IF(G147="", "", IF(E147="Exterior", 0, IF('Lighting Inventory'!G147="Air Conditioned", VLOOKUP(H147, 'Lookup Tables'!$R$6:$T$13, 2, FALSE), VLOOKUP('Lighting Inventory'!G147, 'Lookup Tables'!$R$6:$T$13, 2, FALSE))))</f>
        <v/>
      </c>
      <c r="BC147" s="522" t="str">
        <f>IF(G147="", "", IF(E147="Exterior", 0, IF('Lighting Inventory'!G147="Air Conditioned", VLOOKUP(H147, 'Lookup Tables'!$R$6:$T$13, 3, FALSE), VLOOKUP('Lighting Inventory'!G147, 'Lookup Tables'!$R$6:$T$13, 3, FALSE))))</f>
        <v/>
      </c>
      <c r="BD147" s="270" t="str">
        <f>IF(G147="", "", IF(E147="Exterior", 0, IF('Lighting Inventory'!G147="Air Conditioned", VLOOKUP(H147, 'Lookup Tables'!$R$6:$U$13, 4, FALSE), VLOOKUP('Lighting Inventory'!G147, 'Lookup Tables'!$R$6:$U$13, 4, FALSE))))</f>
        <v/>
      </c>
      <c r="BE147" s="270" t="str">
        <f>IFERROR(IF(B147="", "",  IF(B147="New Construction", VLOOKUP(F147, 'Lookup Tables'!$A$6:$K$59, 11, FALSE),IF(OR(AN147="", AN147="Light Switch"), 0, IF(OR(M147="",M147="None",V147= "LED Exit Signs"),0,_xlfn.XLOOKUP(M147,'Lookup Tables'!$R$91:$R$101,'Lookup Tables'!$V$91:$V$101))))), "")</f>
        <v/>
      </c>
      <c r="BF147" s="270" t="str">
        <f>IF(AND(OR(AN147="Light Switch",AN147=""),B147="New Construction"), VLOOKUP(F147, 'Lookup Tables'!$A$6:$K$59, 11, FALSE),IF(AN147="","",IF(B147="","",IF(OR(AN147="None",AN147="",V147="LED Exit Signs",AN147="Exterior Controls Not Eligible"),0,_xlfn.XLOOKUP(AN147,'Lookup Tables'!$R$91:$R$101,'Lookup Tables'!$V$91:$V$101)))))</f>
        <v/>
      </c>
      <c r="BG147" s="88" t="str">
        <f t="shared" si="456"/>
        <v/>
      </c>
      <c r="BH147" s="88" t="str">
        <f t="shared" si="457"/>
        <v/>
      </c>
      <c r="BI147" s="558" t="str">
        <f t="shared" si="501"/>
        <v/>
      </c>
      <c r="BJ147" s="82" t="str">
        <f t="shared" si="458"/>
        <v/>
      </c>
      <c r="BK147" s="82" t="str">
        <f t="shared" si="459"/>
        <v/>
      </c>
      <c r="BL147" s="559" t="str">
        <f t="shared" si="460"/>
        <v/>
      </c>
      <c r="BM147" s="521" t="str">
        <f t="shared" si="405"/>
        <v/>
      </c>
      <c r="BN147" s="521" t="str">
        <f t="shared" si="406"/>
        <v/>
      </c>
      <c r="BO147" s="522" t="str">
        <f t="shared" si="407"/>
        <v/>
      </c>
      <c r="BP147" s="83" t="str">
        <f t="shared" si="461"/>
        <v/>
      </c>
      <c r="BQ147" s="84" t="str">
        <f t="shared" si="462"/>
        <v/>
      </c>
      <c r="BR147" s="184" t="str">
        <f>IFERROR(IF(B147="", "", IF(OR(VLOOKUP(J147, 'Fixture Identities'!$A$6:$L$1023, 3, FALSE)="T12 Linear Fluorescent",VLOOKUP(J147, 'Fixture Identities'!$A$6:$L$1023, 3, FALSE)="T12 U-Tube Fluorescent"), "Y", "N")), "N")</f>
        <v/>
      </c>
      <c r="BS147" s="184" t="str">
        <f t="array" ref="BS147">IFERROR(IF(OR(B147="", V147="", W147=""), "", IF(V147="Custom", "N", IF(OR(W147="Freezer Case Lighting", W147="Refrigerated Case Lighting with Doors"), BT147, IF(B147="Retrofit", INDEX('Lookup Tables'!$AH$6:$AT$102,MATCH(1,('Lookup Tables'!$AH$6:$AH$102=V147)*('Lookup Tables'!$AI$6:$AI$102=W147),FALSE),IF(VLOOKUP(J147, 'Fixture Identities'!$A$6:$B$1023, 2, FALSE)="Incandescent",12, 13)), INDEX('Lookup Tables'!$AH$114:$AS$154,MATCH(1,('Lookup Tables'!$AH$114:$AH$154=V147)*('Lookup Tables'!$AI$114:$AI$154=W147),FALSE),12))))), "N")</f>
        <v/>
      </c>
      <c r="BT147" s="184" t="str">
        <f>IF(J147="", "", IF(AND(OR(W147="Freezer case Lighting", W147="Refrigerated Case Lighting with Doors"),'General Information'!$X$18="LCI"), "N", IF(OR(VLOOKUP(J147, 'Fixture Identities'!$A$6:$B$1023, 2, FALSE)="T12 EPACT/EISA Baseline", VLOOKUP(J147, 'Fixture Identities'!$A$6:$B$1023, 2, FALSE)="Linear Fluorescent", VLOOKUP(J147, 'Fixture Identities'!$A$6:$B$1023, 2, FALSE)="U-Tube Fluorescent"), "Y", "N")))</f>
        <v/>
      </c>
      <c r="BU147" s="184" t="str">
        <f>IFERROR(IF(B147="", "", IF(VLOOKUP(J147, 'Fixture Identities'!$A$6:$B$1023, 2, FALSE)="Exit Sign", "Y", "N")), "N")</f>
        <v/>
      </c>
      <c r="BV147" s="184" t="str">
        <f>IF(V147="Exit Signs", IF(VLOOKUP(J147, 'Fixture Identities'!$A$6:$B$1023, 2, FALSE)="Exit Sign", "N", "Y"), "")</f>
        <v/>
      </c>
      <c r="BW147" s="184" t="str">
        <f t="array" ref="BW147">IFERROR(IF(B147="", "", IF(B147="New Construction", "N", INDEX('Lookup Tables'!$AH$6:$AU$102, MATCH(1, ('Lookup Tables'!$AH$6:$AH$102='Lighting Inventory'!V147)*('Lookup Tables'!$AI$6:$AI$102='Lighting Inventory'!W147), 0), 14))), "N")</f>
        <v/>
      </c>
      <c r="BX147" s="598" t="str">
        <f t="shared" si="463"/>
        <v/>
      </c>
      <c r="BY147" s="598" t="str">
        <f t="shared" si="464"/>
        <v/>
      </c>
      <c r="BZ147" s="598" t="str">
        <f t="shared" si="465"/>
        <v/>
      </c>
      <c r="CA147" s="598" t="str">
        <f t="shared" si="466"/>
        <v/>
      </c>
      <c r="CB147" s="269" t="str">
        <f t="shared" si="467"/>
        <v/>
      </c>
      <c r="CC147" s="517" t="str">
        <f t="shared" si="468"/>
        <v/>
      </c>
      <c r="CD147" s="565" t="str">
        <f t="shared" si="408"/>
        <v/>
      </c>
      <c r="CE147" s="368">
        <v>0</v>
      </c>
      <c r="CF147" s="368" t="str" cm="1">
        <f t="array" ref="CF147">IFERROR(IF(V147="Custom", "$0.1 per kWh", IF(B147="New Construction", CONCATENATE("$",INDEX('Lookup Tables'!$AH$114:$AN$154,MATCH(1,('Lookup Tables'!$AH$114:$AH$154='Lighting Inventory'!V147)*('Lookup Tables'!$AI$114:$AI$154='Lighting Inventory'!W147),FALSE),6)," ",INDEX('Lookup Tables'!$AH$114:$AN$154,MATCH(1,('Lookup Tables'!$AH$114:$AH$154='Lighting Inventory'!V147)*('Lookup Tables'!$AI$114:$AI$154='Lighting Inventory'!W147),FALSE),7)), IF(AND(BU147="N", V147="Exit Signs"), "$0.025 per kWh", CONCATENATE("$",INDEX('Lookup Tables'!$AH$6:$AN$102,MATCH(1,('Lookup Tables'!$AH$6:$AH$102='Lighting Inventory'!V147)*('Lookup Tables'!$AI$6:$AI$102='Lighting Inventory'!W147),FALSE),6)," ",INDEX('Lookup Tables'!$AH$6:$AN$102,MATCH(1,('Lookup Tables'!$AH$6:$AH$102='Lighting Inventory'!V147)*('Lookup Tables'!$AI$6:$AI$102='Lighting Inventory'!W147),FALSE),7))))), "")</f>
        <v/>
      </c>
      <c r="CG147" s="366"/>
      <c r="CH147" s="248" t="str">
        <f t="shared" si="409"/>
        <v/>
      </c>
      <c r="CI147" s="248" t="str">
        <f t="shared" si="410"/>
        <v>Select_IE</v>
      </c>
      <c r="CJ147" s="248" t="str">
        <f t="shared" si="411"/>
        <v/>
      </c>
      <c r="CK147" s="248" t="str">
        <f t="shared" si="412"/>
        <v/>
      </c>
      <c r="CL147" s="248" t="str">
        <f t="shared" si="413"/>
        <v/>
      </c>
      <c r="CM147" s="248" t="str">
        <f>IFERROR(IF(B147="", "", IF(B147="New Construction", VLOOKUP(V147, 'Lookup Tables'!$AF$114:$AG$120, 2, FALSE), VLOOKUP(V147, 'Lookup Tables'!$AD$6:$AE$25, 2, FALSE))), "")</f>
        <v/>
      </c>
      <c r="CN147" s="248" t="str">
        <f t="shared" si="414"/>
        <v/>
      </c>
      <c r="CO147" s="248" t="str">
        <f t="shared" si="415"/>
        <v/>
      </c>
      <c r="CP147" s="592" t="str">
        <f t="shared" si="416"/>
        <v/>
      </c>
      <c r="CQ147" s="248" t="str">
        <f t="shared" si="469"/>
        <v/>
      </c>
      <c r="CR147" s="100"/>
      <c r="CS147" s="250" t="str">
        <f t="shared" si="417"/>
        <v/>
      </c>
      <c r="CT147" s="250" t="str">
        <f t="shared" si="470"/>
        <v/>
      </c>
      <c r="CU147" s="250" t="str">
        <f t="shared" si="471"/>
        <v/>
      </c>
      <c r="CV147" s="250" t="str">
        <f t="shared" si="472"/>
        <v/>
      </c>
      <c r="CW147" s="250" t="str">
        <f t="shared" si="473"/>
        <v/>
      </c>
      <c r="CX147" s="250" t="str">
        <f t="shared" si="418"/>
        <v/>
      </c>
      <c r="CY147" s="250" t="str">
        <f t="shared" si="419"/>
        <v/>
      </c>
      <c r="CZ147" s="250" t="str">
        <f t="shared" si="420"/>
        <v/>
      </c>
      <c r="DA147" s="250" t="str">
        <f t="shared" si="421"/>
        <v/>
      </c>
      <c r="DB147" s="250" t="str">
        <f t="shared" si="422"/>
        <v/>
      </c>
      <c r="DC147" s="250" t="str">
        <f t="shared" si="423"/>
        <v/>
      </c>
      <c r="DD147" s="250" t="str">
        <f t="shared" si="424"/>
        <v/>
      </c>
      <c r="DE147" s="250" t="str">
        <f t="shared" si="425"/>
        <v/>
      </c>
      <c r="DF147" s="250" t="str">
        <f t="shared" si="426"/>
        <v/>
      </c>
      <c r="DG147" s="250" t="str">
        <f t="shared" si="427"/>
        <v/>
      </c>
      <c r="DH147" s="250" t="str">
        <f t="shared" si="428"/>
        <v/>
      </c>
      <c r="DI147" s="250" t="str">
        <f t="shared" si="429"/>
        <v/>
      </c>
      <c r="DJ147" s="250" t="str">
        <f t="shared" si="430"/>
        <v/>
      </c>
      <c r="DK147" s="250" t="str">
        <f t="shared" si="431"/>
        <v/>
      </c>
      <c r="DL147" s="250" t="str">
        <f t="shared" si="432"/>
        <v/>
      </c>
      <c r="DM147" s="250" t="str">
        <f>IF(CD147="ERROR", "ERROR", IF(AND(OR(Y147=$DM$6, Y147='Lookup Tables'!$AD$21, Y147='Lookup Tables'!$AD$22), E147="Interior"), BJ147, ""))</f>
        <v/>
      </c>
      <c r="DN147" s="250" t="str">
        <f>IF(CD147="ERROR", "ERROR", IF(AND(OR(Y147=$DM$6, Y147='Lookup Tables'!$AD$21, Y147='Lookup Tables'!$AD$22), E147="Exterior"), BJ147, ""))</f>
        <v/>
      </c>
      <c r="DO147" s="100"/>
      <c r="DP147" s="250" t="str">
        <f t="shared" si="433"/>
        <v/>
      </c>
      <c r="DQ147" s="250" t="str">
        <f t="shared" si="474"/>
        <v/>
      </c>
      <c r="DR147" s="250" t="str">
        <f t="shared" si="475"/>
        <v/>
      </c>
      <c r="DS147" s="250" t="str">
        <f t="shared" si="476"/>
        <v/>
      </c>
      <c r="DT147" s="250" t="str">
        <f t="shared" si="477"/>
        <v/>
      </c>
      <c r="DU147" s="250" t="str">
        <f t="shared" si="434"/>
        <v/>
      </c>
      <c r="DV147" s="250" t="str">
        <f t="shared" si="435"/>
        <v/>
      </c>
      <c r="DW147" s="250" t="str">
        <f t="shared" si="436"/>
        <v/>
      </c>
      <c r="DX147" s="250" t="str">
        <f t="shared" si="437"/>
        <v/>
      </c>
      <c r="DY147" s="250" t="str">
        <f t="shared" si="438"/>
        <v/>
      </c>
      <c r="DZ147" s="250" t="str">
        <f t="shared" si="439"/>
        <v/>
      </c>
      <c r="EA147" s="250" t="str">
        <f t="shared" si="440"/>
        <v/>
      </c>
      <c r="EB147" s="250" t="str">
        <f t="shared" si="478"/>
        <v/>
      </c>
      <c r="EC147" s="250" t="str">
        <f t="shared" si="441"/>
        <v/>
      </c>
      <c r="ED147" s="250" t="str">
        <f t="shared" si="442"/>
        <v/>
      </c>
      <c r="EE147" s="250" t="str">
        <f t="shared" si="443"/>
        <v/>
      </c>
      <c r="EF147" s="250" t="str">
        <f t="shared" si="444"/>
        <v/>
      </c>
      <c r="EG147" s="250" t="str">
        <f t="shared" si="445"/>
        <v/>
      </c>
      <c r="EH147" s="250" t="str">
        <f>IF(CD147="ERROR", "ERROR", IF(AND(OR($EH$6=Y147, Y147='Lookup Tables'!$AD$21, Y147='Lookup Tables'!$AD$22),E147="Interior"), SUM(BP147:BP147), ""))</f>
        <v/>
      </c>
      <c r="EI147" s="250" t="str">
        <f>IF(CD147="ERROR", "ERROR", IF(AND(OR($EH$6=Y147, Y147='Lookup Tables'!$AD$21, Y147='Lookup Tables'!$AD$22),E147="Exterior"), SUM(BP147:BP147), ""))</f>
        <v/>
      </c>
      <c r="EJ147" s="109"/>
      <c r="EK147" s="485" t="str">
        <f t="shared" si="446"/>
        <v/>
      </c>
      <c r="EL147" s="252" t="str">
        <f t="shared" si="479"/>
        <v/>
      </c>
      <c r="EM147" s="252" t="str">
        <f t="shared" si="480"/>
        <v/>
      </c>
      <c r="EN147" s="252" t="str">
        <f t="shared" si="481"/>
        <v/>
      </c>
      <c r="EO147" s="252" t="str">
        <f t="shared" si="482"/>
        <v/>
      </c>
      <c r="EP147" s="252" t="str">
        <f t="shared" si="483"/>
        <v/>
      </c>
      <c r="EQ147" s="252" t="str">
        <f t="shared" si="484"/>
        <v/>
      </c>
      <c r="ER147" s="252" t="str">
        <f t="shared" si="485"/>
        <v/>
      </c>
      <c r="ES147" s="252" t="str">
        <f t="shared" si="486"/>
        <v/>
      </c>
      <c r="ET147" s="252" t="str">
        <f t="shared" si="487"/>
        <v/>
      </c>
      <c r="EU147" s="252" t="str">
        <f t="shared" si="488"/>
        <v/>
      </c>
      <c r="EV147" s="252" t="str">
        <f t="shared" si="489"/>
        <v/>
      </c>
      <c r="EW147" s="252" t="str">
        <f t="shared" si="490"/>
        <v/>
      </c>
      <c r="EX147" s="252" t="str">
        <f t="shared" si="491"/>
        <v/>
      </c>
      <c r="EY147" s="252" t="str">
        <f t="shared" si="492"/>
        <v/>
      </c>
      <c r="EZ147" s="252" t="str">
        <f t="shared" si="493"/>
        <v/>
      </c>
      <c r="FA147" s="252" t="str">
        <f t="shared" si="494"/>
        <v/>
      </c>
      <c r="FB147" s="252" t="str">
        <f t="shared" si="495"/>
        <v/>
      </c>
      <c r="FC147" s="252" t="str">
        <f>IF(CD147="ERROR", "ERROR", IF(OR(V147="No Change", V147="Not DLC or Energy Star"), "", IF(AND(OR($FC$6=Y147,Y147='Lookup Tables'!$AD$21, Y147='Lookup Tables'!$AD$22),E147="Interior"), S147, "")))</f>
        <v/>
      </c>
      <c r="FD147" s="252" t="str">
        <f t="shared" si="496"/>
        <v/>
      </c>
      <c r="FE147" s="101"/>
      <c r="FF147" s="579" t="str" cm="1">
        <f t="array" ref="FF147">IFERROR(IF(OR(BQ147&lt;=0,AQ147&lt;20,AND(V147="Exit Signs",AN147&gt;0)),"",IF(AND(AQ147&gt;=20,AN147='Lookup Tables'!$R$101),'Lookup Tables'!$U$101*BQ147,AP147*LOOKUP(2,1/((AN147='Lookup Tables'!$R$91:$R$111)*(AQ147&gt;='Lookup Tables'!$S$91:$S$111)*(AQ147&lt;='Lookup Tables'!$T$91:$T$111)),'Lookup Tables'!$U$91:$U$111))),"")</f>
        <v/>
      </c>
      <c r="FG147" s="579"/>
      <c r="FH147" s="579"/>
      <c r="FI147" s="253" t="str">
        <f>IFERROR(ROUND(IF(CD147="ERROR", "ERROR", IF(AND($FI$7=X147,E147="Interior"),VLOOKUP(W147, 'Lookup Tables'!$AI$6:$AM$102, 5, FALSE)*BP147, "")), 2), "")</f>
        <v/>
      </c>
      <c r="FJ147" s="253" t="str">
        <f>IFERROR(ROUND(IF(CD147="ERROR", "ERROR", IF(AND($FI$7=X147,E147="Exterior"),VLOOKUP(W147, 'Lookup Tables'!$AI$6:$AM$102, 5, FALSE)*BP147, "")), 2), "")</f>
        <v/>
      </c>
      <c r="FK147" s="253" t="str">
        <f>IFERROR(ROUND(IF(CD147="ERROR", "ERROR", IF(AND($FK$7=X147,E147="Interior"),VLOOKUP(W147, 'Lookup Tables'!$AI$6:$AM$102, 5, FALSE)*BP147, "")), 2), "")</f>
        <v/>
      </c>
      <c r="FL147" s="253" t="str">
        <f>IFERROR(ROUND(IF(CD147="ERROR", "ERROR", IF(AND($FK$7=X147,E147="Exterior"),VLOOKUP(W147, 'Lookup Tables'!$AI$6:$AM$102, 5, FALSE)*BP147, "")), 2), "")</f>
        <v/>
      </c>
      <c r="FM147" s="253" t="str">
        <f>IFERROR(ROUND(IF(CD147="ERROR", "ERROR", IF(AND($FM$6=Y147,E147="Interior"), IF(GB147=0, VLOOKUP(W147, 'Lookup Tables'!$AI$6:$AM$102, 5, FALSE)*BP147, IF(VLOOKUP(W147, 'Lookup Tables'!$AI$6:$AM$102, 5, FALSE)*BP147&gt;GB147*'Lighting Inventory'!S147, GB147*'Lighting Inventory'!S147,VLOOKUP(W147, 'Lookup Tables'!$AI$6:$AM$102, 5, FALSE)*BP147)), "")), 2), "")</f>
        <v/>
      </c>
      <c r="FN147" s="253" t="str">
        <f>IFERROR(ROUND(IF(CD147="ERROR", "ERROR", IF(AND($FM$6=Y147,E147="Exterior"), IF(GB147=0, VLOOKUP(W147, 'Lookup Tables'!$AI$6:$AM$102, 5, FALSE)*BP147, IF(VLOOKUP(W147, 'Lookup Tables'!$AI$6:$AM$102, 5, FALSE)*BP147&gt;GB147*'Lighting Inventory'!S147, GB147*'Lighting Inventory'!S147,VLOOKUP(W147, 'Lookup Tables'!$AI$6:$AM$102, 5, FALSE)*BP147)), "")), 2), "")</f>
        <v/>
      </c>
      <c r="FO147" s="253" t="str">
        <f>IFERROR(ROUND(IF(CD147="ERROR", "ERROR", IF(AND($FO$6=Y147,E147="Interior"),VLOOKUP(W147, 'Lookup Tables'!$AI$6:$AM$102, 5, FALSE)*'Lighting Inventory'!AI147, "")), 2), "")</f>
        <v/>
      </c>
      <c r="FP147" s="253" t="str">
        <f>IFERROR(ROUND(IF(CD147="ERROR", "ERROR", IF(AND($FO$6=Y147,E147="Exterior"),VLOOKUP(W147, 'Lookup Tables'!$AI$6:$AM$102, 5, FALSE)*'Lighting Inventory'!AI147, "")), 2), "")</f>
        <v/>
      </c>
      <c r="FQ147" s="253" t="str">
        <f>IFERROR(ROUND(IF(CD147="ERROR", "ERROR", IF(AND($FQ$6=Y147,E147="Interior", BU147="Y"), VLOOKUP('Lighting Inventory'!W147, 'Lookup Tables'!$AI$6:$AM$102, 5, FALSE)*'Lighting Inventory'!S147, IF(AND($FQ$7=Y147,E147="Interior", BU147="N"), 0.025*CD147, ""))), 2), "")</f>
        <v/>
      </c>
      <c r="FR147" s="253" t="str">
        <f>IFERROR(ROUND(IF(CD147="ERROR", "ERROR", IF(AND($FQ$6=Y147,E147="Exterior"), VLOOKUP('Lighting Inventory'!W147, 'Lookup Tables'!$AI$6:$AM$102, 5, FALSE)*'Lighting Inventory'!S147, "")), 2), "")</f>
        <v/>
      </c>
      <c r="FS147" s="253" t="str">
        <f>IFERROR(ROUND(IF(CD147="ERROR", "ERROR", IF(AND($FS$6=Y147,E147="Exterior"), IF(GB147=0, VLOOKUP(W147, 'Lookup Tables'!$AI$6:$AM$102, 5, FALSE)*BP147, IF(VLOOKUP(W147, 'Lookup Tables'!$AI$6:$AM$102, 5, FALSE)*BP147&gt;GB147*'Lighting Inventory'!S147, GB147*'Lighting Inventory'!S147,VLOOKUP(W147, 'Lookup Tables'!$AI$6:$AM$102, 5, FALSE)*BP147)), "")), 2), "")</f>
        <v/>
      </c>
      <c r="FT147" s="253" t="str">
        <f>IFERROR(ROUND(IF(CD147="ERROR", "ERROR", IF(AND($FT$6=Y147,E147="Interior"), IF(GB147=0, VLOOKUP(W147, 'Lookup Tables'!$AI$6:$AM$102, 5, FALSE)*BP147, IF(VLOOKUP(W147, 'Lookup Tables'!$AI$6:$AM$102, 5, FALSE)*BP147&gt;GB147*'Lighting Inventory'!S147, GB147*'Lighting Inventory'!S147,VLOOKUP(W147, 'Lookup Tables'!$AI$6:$AM$102, 5, FALSE)*BP147)), "")), 2), "")</f>
        <v/>
      </c>
      <c r="FU147" s="253" t="str">
        <f>IFERROR(ROUND(IF(CD147="ERROR", "ERROR", IF(AND(Y147=$FU$6, E147="Interior"), IF(BS147="N", 'Lookup Tables'!$AM$101*BP147, VLOOKUP(W147, 'Lookup Tables'!$AI$6:$AM$102, 5, FALSE)*S147*AD147), "")), 2), "")</f>
        <v/>
      </c>
      <c r="FV147" s="253" t="str">
        <f>IFERROR(ROUND(IF(CD147="ERROR", "ERROR", IF(AND(Y147=$FU$6, E147="Exterior"), IF(BS147="N", 'Lookup Tables'!$AM$101*BP147, VLOOKUP(W147, 'Lookup Tables'!$AI$6:$AM$102, 5, FALSE)*S147*AD147), "")), 2), "")</f>
        <v/>
      </c>
      <c r="FW147" s="253" t="str">
        <f>IFERROR(ROUND(IF(CD147="ERROR", "ERROR", IF($FW$6=Y147, IF(BS147="N", 'Lookup Tables'!$AM$101*BP147, MIN((VLOOKUP(W147, 'Lookup Tables'!$AI$6:$AM$102, 5, FALSE)*BP147),GB147*AJ147)), "")), 2), "")</f>
        <v/>
      </c>
      <c r="FX147" s="253" t="str">
        <f>IFERROR(ROUND(IF(CD147="ERROR", "ERROR", IF(AND($FX$6=Y147, E147="Interior"), IF(VLOOKUP(W147, 'Lookup Tables'!$AI$6:$AM$102, 5, FALSE)*BP147&gt;'Lookup Tables'!$AQ$97*'Lighting Inventory'!S147,'Lighting Inventory'!S147*'Lookup Tables'!$AQ$97,VLOOKUP(W147, 'Lookup Tables'!$AI$6:$AM$102, 5, FALSE)*BP147), "")), 2), "")</f>
        <v/>
      </c>
      <c r="FY147" s="253" t="str">
        <f>IFERROR(ROUND(IF(CD147="ERROR", "ERROR", IF(AND($FX$6=Y147, E147="Exterior"), IF(VLOOKUP(W147, 'Lookup Tables'!$AI$6:$AM$102, 5, FALSE)*BP147&gt;'Lookup Tables'!$AQ$97*'Lighting Inventory'!S147,'Lighting Inventory'!S147*'Lookup Tables'!$AQ$97,VLOOKUP(W147, 'Lookup Tables'!$AI$6:$AM$102, 5, FALSE)*BP147), "")), 2), "")</f>
        <v/>
      </c>
      <c r="FZ147" s="253" t="str">
        <f>IFERROR(ROUND(IF(CD147="ERROR", "ERROR", IF(AND($FZ$6=Y147, E147="Interior"), IF(AND(OR(W147="Refrigerated Case Lighting with Doors", W147="Freezer Case Lighting"),Y147="Custom - Process Improvement"),CD147*'Lookup Tables'!$AM$101, IF(B147="Retrofit", IF(VLOOKUP(IF(V147="Custom", V147, W147), 'Lookup Tables'!$AI$6:$AM$102, 5, FALSE)*BP147&gt;GE147, GE147, VLOOKUP(IF(V147="Custom", V147, W147), 'Lookup Tables'!$AI$6:$AM$102, 5, FALSE)*BP147), IF(VLOOKUP(IF(V147="Custom", V147, W147), 'Lookup Tables'!$AI$114:$AM$154, 5, FALSE)*BP147&gt;GE147, GE147, VLOOKUP(IF(V147="Custom", V147, W147), 'Lookup Tables'!$AI$114:$AM$154, 5, FALSE)*BP147))), "")), 2),"")</f>
        <v/>
      </c>
      <c r="GA147" s="253" t="str">
        <f>IFERROR(ROUND(IF(CD147="ERROR", "ERROR", IF(AND($FZ$6=Y147, E147="Exterior"), IF(B147="Retrofit", IF(VLOOKUP(IF(V147="Custom", V147, W147), 'Lookup Tables'!$AI$6:$AM$102, 5, FALSE)*BP147&gt;GE147, GE147, VLOOKUP(IF(V147="Custom", V147, W147), 'Lookup Tables'!$AI$6:$AM$102, 5, FALSE)*BP147), IF(VLOOKUP(IF(V147="Custom", V147, W147), 'Lookup Tables'!$AI$114:$AM$154, 5, FALSE)*BP147&gt;GE147, GE147, VLOOKUP(IF(V147="Custom", V147, W147), 'Lookup Tables'!$AI$114:$AM$154, 5, FALSE)*BP147)), "")), 2),"")</f>
        <v/>
      </c>
      <c r="GB147" s="254" t="str">
        <f t="array" ref="GB147">IF(B147="","",IF(OR(V147="Custom",V147="No Change"),0,IF(B147="Retrofit", INDEX('Lookup Tables'!$AH$6:$AQ$102,MATCH(1,('Lookup Tables'!$AH$6:$AH$102='Lighting Inventory'!V147)*('Lookup Tables'!$AI$6:$AI$102='Lighting Inventory'!W147),FALSE),10),INDEX('Lookup Tables'!$AH$114:$AQ$154,MATCH(1,('Lookup Tables'!$AH$114:$AH$154='Lighting Inventory'!V147)*('Lookup Tables'!$AI$114:$AI$154='Lighting Inventory'!W147),FALSE),10))))</f>
        <v/>
      </c>
      <c r="GC147" s="255" t="str">
        <f t="shared" si="447"/>
        <v/>
      </c>
      <c r="GD147" s="250" t="str">
        <f t="shared" si="448"/>
        <v/>
      </c>
      <c r="GE147" s="253" t="str">
        <f>IFERROR(IF(AND(AF147="", 'General Information'!$F$18="No"),"", IF(AF147="", ((GD147/$CD$266)*$CF$266)*0.5, AF147*S147*0.5)), "")</f>
        <v/>
      </c>
      <c r="GF147" s="255" t="str">
        <f>IF(AND('General Information'!$F$19="", 'General Information'!$F$18="Yes",AF147="",BW147="Y"), "Y", "N")</f>
        <v>N</v>
      </c>
      <c r="GG147" s="255" t="s">
        <v>2946</v>
      </c>
      <c r="GH147" s="255" t="str">
        <f>IFERROR(IF(B147="", "", VLOOKUP(J147, 'Fixture Identities'!$A$6:$N$908, 14, FALSE)), "")</f>
        <v/>
      </c>
      <c r="GI147" s="389" t="str">
        <f>IF(OR(B147="", V147="", W147=""), "", IF(AND(OR(M147='Lookup Tables'!$R$18, M147='Lookup Tables'!$R$19, M147='Lookup Tables'!$R$20, M147='Lookup Tables'!$R$21, M147='Lookup Tables'!$R$22), OR(AN147='Lookup Tables'!$R$17, AN147='Lookup Tables'!$R$17, AN147="")), "Y", "N"))</f>
        <v/>
      </c>
      <c r="GJ147" s="255" t="str">
        <f t="shared" si="449"/>
        <v/>
      </c>
      <c r="GK147" s="255" t="str">
        <f t="shared" si="450"/>
        <v/>
      </c>
      <c r="GL147" s="255" t="str">
        <f t="shared" si="451"/>
        <v/>
      </c>
      <c r="GM147" s="255" t="str">
        <f>IF(AN147="", "", IF(AND(IF(ISNA(VLOOKUP(AN147,'Lookup Tables'!$R$18:$R$22,1,FALSE)), "N", "Y")="Y", E147="Exterior"), "Y", "N"))</f>
        <v/>
      </c>
      <c r="GN147" s="395"/>
      <c r="GO147" s="428">
        <f t="shared" si="497"/>
        <v>0</v>
      </c>
      <c r="GP147" s="428">
        <f t="shared" si="500"/>
        <v>0</v>
      </c>
      <c r="GQ147" s="428">
        <f t="shared" si="498"/>
        <v>0</v>
      </c>
      <c r="GR147" s="428">
        <f t="shared" si="499"/>
        <v>0</v>
      </c>
    </row>
    <row r="148" spans="1:200" s="103" customFormat="1" ht="13.5" customHeight="1" x14ac:dyDescent="0.2">
      <c r="A148" s="272">
        <v>138</v>
      </c>
      <c r="B148" s="110"/>
      <c r="C148" s="110"/>
      <c r="D148" s="110"/>
      <c r="E148" s="110"/>
      <c r="F148" s="110"/>
      <c r="G148" s="110"/>
      <c r="H148" s="110"/>
      <c r="I148" s="29"/>
      <c r="J148" s="29"/>
      <c r="K148" s="272" t="str">
        <f>IFERROR(IF(OR(VLOOKUP(J148, 'Fixture Identities'!$A$6:$L$1023, 3, FALSE)="T12 Linear Fluorescent", VLOOKUP(J148, 'Fixture Identities'!$A$6:$L$1023, 3, FALSE)="T12 U-Tube Fluorescent"), VLOOKUP(VLOOKUP(J148, 'Fixture Identities'!$A$6:$L$1023, 11, FALSE), 'Fixture Identities'!$A$6:$L$1023, 10, FALSE), VLOOKUP(J148, 'Fixture Identities'!$A$6:$L$1023, 10, FALSE)), "")</f>
        <v/>
      </c>
      <c r="L148" s="270" t="str">
        <f t="shared" si="502"/>
        <v/>
      </c>
      <c r="M148" s="110"/>
      <c r="N148" s="110"/>
      <c r="O148" s="110"/>
      <c r="P148" s="272" t="str">
        <f>IFERROR(IF(OR(B148="Retrofit",B148=""),"",IF('Lighting Inventory'!E148="Exterior",VLOOKUP('Lighting Inventory'!N148,'Lookup Tables'!$B$83:$F$103,5,FALSE),IF(N148="Other - Please Estimate EFLH and CFs","Contact Prog. Rep.","ft^2"))), "")</f>
        <v/>
      </c>
      <c r="Q148" s="270" t="str">
        <f>IFERROR(IF(AND(B148="New Construction",E148="Interior",$F$5="Space-by-Space"),VLOOKUP('Lighting Inventory'!N148,'Lookup Tables'!$N$6:$O$97,2,FALSE),IF(AND(B148="New Construction",E148="Exterior"),VLOOKUP(N148,'Lookup Tables'!$B$83:$F$103,2,FALSE),IF(AND(B148="New Construction",'Lighting Inventory'!E148="Interior", $F$5="Building Area"),VLOOKUP(F148,'Lookup Tables'!$A$6:$J$59,10,FALSE),""))), "")</f>
        <v/>
      </c>
      <c r="R148" s="270" t="str">
        <f>IFERROR(IF(P148="Contact Prog. Rep.", "ERROR", IF(OR(B148="",B148="Retrofit"),"",IF(N148="Automated teller machines", ('Lookup Tables'!$A$82:$E$100+('Lighting Inventory'!O148-1)*'Lookup Tables'!$A$82:$E$100)/1000, (Q148*O148)/1000))), "")</f>
        <v/>
      </c>
      <c r="S148" s="595"/>
      <c r="T148" s="105" t="str">
        <f t="shared" si="452"/>
        <v/>
      </c>
      <c r="U148" s="105" t="str">
        <f>IF(S148="","",COUNT($S$11:S148))</f>
        <v/>
      </c>
      <c r="V148" s="111"/>
      <c r="W148" s="112"/>
      <c r="X148" s="105" t="str">
        <f t="shared" si="453"/>
        <v/>
      </c>
      <c r="Y148" s="105" t="str">
        <f t="array" ref="Y148">IF(AND(OR(W148="Freezer Case Lighting", W148="Refrigerated Case Lighting with Doors"), 'General Information'!$X$18="LCI"),'Lookup Tables'!$Y$34, IF(V148="Custom", VLOOKUP(W148, 'Fixture Identities'!$A$974:$M$1023, 13, FALSE), IF(V148="No Change",'Lookup Tables'!$Y$29,IF(OR(V148="",W148=""),"",IF(AND(S148=0,S148&lt;I148,B148="Retrofit"),'Lookup Tables'!$Y$25, IF(B148="Retrofit", INDEX('Lookup Tables'!$AH$6:$AP$102, MATCH(1, ('Lookup Tables'!$AH$6:$AH$102=V148)*('Lookup Tables'!$AI$6:$AI$102=W148), 0), IF('Lighting Inventory'!E148="Interior", 4, 5)), INDEX('Lookup Tables'!$AH$114:$AP$154, MATCH(1, ('Lookup Tables'!$AH$114:$AH$154=V148)*('Lookup Tables'!$AI$114:$AI$154=W148), 0), IF('Lighting Inventory'!E148="Interior", 4, 5))))))))</f>
        <v/>
      </c>
      <c r="Z148" s="105" t="str">
        <f>IFERROR(INDEX('Lookup Tables'!$AH$158:$AH$172,MATCH('Lighting Inventory'!Y148,'Lookup Tables'!$AI$158:$AI$172,0)),"")</f>
        <v/>
      </c>
      <c r="AA148" s="105" t="str">
        <f>IF(AP148&gt;0,INDEX('Lookup Tables'!$AK$158:$AK$172,MATCH('Lighting Inventory'!Y148,'Lookup Tables'!$AI$158:$AI$172,0)),'Lighting Inventory'!Y148)</f>
        <v/>
      </c>
      <c r="AB148" s="105" t="str">
        <f t="array" ref="AB148">IF(V148="Custom", "Custom", IF(V148="", "", IF(V148="Not DLC or Energy Star", "General", IF(B148="New Construction", INDEX('Lookup Tables'!$AH$114:$AP$154,MATCH(1,('Lookup Tables'!$AH$114:$AH$154='Lighting Inventory'!V148)*('Lookup Tables'!$AI$114:$AI$154='Lighting Inventory'!W148),FALSE),8), INDEX('Lookup Tables'!$AH$6:$AP$102,MATCH(1,('Lookup Tables'!$AH$6:$AH$102='Lighting Inventory'!V148)*('Lookup Tables'!$AI$6:$AI$102='Lighting Inventory'!W148),FALSE),8)))))</f>
        <v/>
      </c>
      <c r="AC148" s="272" t="str">
        <f>IF(W148="","",IF(V148="Custom",CONCATENATE("$",'Lookup Tables'!$AM$101," ",'Lookup Tables'!$AN$101),CONCATENATE("$",INDEX('Lookup Tables'!$AM$6:$AM$102,MATCH('Lighting Inventory'!W148,'Lookup Tables'!$AI$6:$AI$102,0))," ",INDEX('Lookup Tables'!$AN$6:$AN$102,MATCH('Lighting Inventory'!W148,'Lookup Tables'!$AI$6:$AI$102,0)))))</f>
        <v/>
      </c>
      <c r="AD148" s="72"/>
      <c r="AE148" s="29"/>
      <c r="AF148" s="379"/>
      <c r="AG148" s="370" t="str">
        <f t="shared" si="401"/>
        <v/>
      </c>
      <c r="AH148" s="370" t="str">
        <f t="shared" si="454"/>
        <v/>
      </c>
      <c r="AI148" s="29"/>
      <c r="AJ148" s="29"/>
      <c r="AK148" s="110"/>
      <c r="AL148" s="375" t="str">
        <f>IF(OR(B148="", V148="", W148=""), "", IF(V148="No Change", K148, IF(V148="Remove Fixture", 0, IF(V148="Custom",VLOOKUP(W148,'Fixture Identities'!$A$6:$K$1023,10,FALSE),IF(AE148="", "← ENTER POST WATTS", 'Lighting Inventory'!AE148)))))</f>
        <v/>
      </c>
      <c r="AM148" s="376" t="str">
        <f t="shared" si="402"/>
        <v/>
      </c>
      <c r="AN148" s="29"/>
      <c r="AO148" s="671"/>
      <c r="AP148" s="29"/>
      <c r="AQ148" s="29"/>
      <c r="AR148" s="29"/>
      <c r="AS148" s="272" t="str">
        <f t="shared" si="455"/>
        <v/>
      </c>
      <c r="AT148" s="270" t="str">
        <f t="shared" si="403"/>
        <v/>
      </c>
      <c r="AU148" s="88" t="str">
        <f t="shared" si="503"/>
        <v/>
      </c>
      <c r="AV148" s="29"/>
      <c r="AW148" s="73"/>
      <c r="AX148" s="271" t="str">
        <f>IF(AND(AV148="Applicant",OR(AW148="", AW148="Use Default Facility Hours")),"← Choose Schedule",IF(F148="","",IF(W148="LED Exit Signs",8760,IF(OR(AV148="Prescribed",AV148=""),VLOOKUP(F148,'Lookup Tables'!$A$6:$G$59,IF(AB148="General", 6, 3),FALSE),VLOOKUP(AW148,'Lookup Tables'!$S$36:$U$43,2,FALSE)))))</f>
        <v/>
      </c>
      <c r="AY148" s="88" t="str">
        <f t="shared" si="404"/>
        <v/>
      </c>
      <c r="AZ148" s="270" t="str">
        <f>IFERROR(IF(F148="", "", IF(W148="LED Exit Signs", 1, IF(AV148="Applicant",VLOOKUP(AW148, 'Lookup Tables'!$S$36:$U$43,3, FALSE), VLOOKUP('Lighting Inventory'!F148, 'Lookup Tables'!$A$6:$H$59, IF('Lighting Inventory'!AB148="General",7,4), FALSE)))), "")</f>
        <v/>
      </c>
      <c r="BA148" s="522" t="str">
        <f>IFERROR(IF(F148="", "", IF(W148="LED Exit Signs", 1, VLOOKUP('Lighting Inventory'!F148, 'Lookup Tables'!$A$6:$H$59, IF('Lighting Inventory'!AB148="General",8,5), FALSE))), "")</f>
        <v/>
      </c>
      <c r="BB148" s="270" t="str">
        <f>IF(G148="", "", IF(E148="Exterior", 0, IF('Lighting Inventory'!G148="Air Conditioned", VLOOKUP(H148, 'Lookup Tables'!$R$6:$T$13, 2, FALSE), VLOOKUP('Lighting Inventory'!G148, 'Lookup Tables'!$R$6:$T$13, 2, FALSE))))</f>
        <v/>
      </c>
      <c r="BC148" s="522" t="str">
        <f>IF(G148="", "", IF(E148="Exterior", 0, IF('Lighting Inventory'!G148="Air Conditioned", VLOOKUP(H148, 'Lookup Tables'!$R$6:$T$13, 3, FALSE), VLOOKUP('Lighting Inventory'!G148, 'Lookup Tables'!$R$6:$T$13, 3, FALSE))))</f>
        <v/>
      </c>
      <c r="BD148" s="270" t="str">
        <f>IF(G148="", "", IF(E148="Exterior", 0, IF('Lighting Inventory'!G148="Air Conditioned", VLOOKUP(H148, 'Lookup Tables'!$R$6:$U$13, 4, FALSE), VLOOKUP('Lighting Inventory'!G148, 'Lookup Tables'!$R$6:$U$13, 4, FALSE))))</f>
        <v/>
      </c>
      <c r="BE148" s="270" t="str">
        <f>IFERROR(IF(B148="", "",  IF(B148="New Construction", VLOOKUP(F148, 'Lookup Tables'!$A$6:$K$59, 11, FALSE),IF(OR(AN148="", AN148="Light Switch"), 0, IF(OR(M148="",M148="None",V148= "LED Exit Signs"),0,_xlfn.XLOOKUP(M148,'Lookup Tables'!$R$91:$R$101,'Lookup Tables'!$V$91:$V$101))))), "")</f>
        <v/>
      </c>
      <c r="BF148" s="270" t="str">
        <f>IF(AND(OR(AN148="Light Switch",AN148=""),B148="New Construction"), VLOOKUP(F148, 'Lookup Tables'!$A$6:$K$59, 11, FALSE),IF(AN148="","",IF(B148="","",IF(OR(AN148="None",AN148="",V148="LED Exit Signs",AN148="Exterior Controls Not Eligible"),0,_xlfn.XLOOKUP(AN148,'Lookup Tables'!$R$91:$R$101,'Lookup Tables'!$V$91:$V$101)))))</f>
        <v/>
      </c>
      <c r="BG148" s="88" t="str">
        <f t="shared" si="456"/>
        <v/>
      </c>
      <c r="BH148" s="88" t="str">
        <f t="shared" si="457"/>
        <v/>
      </c>
      <c r="BI148" s="558" t="str">
        <f t="shared" si="501"/>
        <v/>
      </c>
      <c r="BJ148" s="82" t="str">
        <f t="shared" si="458"/>
        <v/>
      </c>
      <c r="BK148" s="82" t="str">
        <f t="shared" si="459"/>
        <v/>
      </c>
      <c r="BL148" s="559" t="str">
        <f t="shared" si="460"/>
        <v/>
      </c>
      <c r="BM148" s="521" t="str">
        <f t="shared" si="405"/>
        <v/>
      </c>
      <c r="BN148" s="521" t="str">
        <f t="shared" si="406"/>
        <v/>
      </c>
      <c r="BO148" s="522" t="str">
        <f t="shared" si="407"/>
        <v/>
      </c>
      <c r="BP148" s="83" t="str">
        <f t="shared" si="461"/>
        <v/>
      </c>
      <c r="BQ148" s="84" t="str">
        <f t="shared" si="462"/>
        <v/>
      </c>
      <c r="BR148" s="184" t="str">
        <f>IFERROR(IF(B148="", "", IF(OR(VLOOKUP(J148, 'Fixture Identities'!$A$6:$L$1023, 3, FALSE)="T12 Linear Fluorescent",VLOOKUP(J148, 'Fixture Identities'!$A$6:$L$1023, 3, FALSE)="T12 U-Tube Fluorescent"), "Y", "N")), "N")</f>
        <v/>
      </c>
      <c r="BS148" s="184" t="str">
        <f t="array" ref="BS148">IFERROR(IF(OR(B148="", V148="", W148=""), "", IF(V148="Custom", "N", IF(OR(W148="Freezer Case Lighting", W148="Refrigerated Case Lighting with Doors"), BT148, IF(B148="Retrofit", INDEX('Lookup Tables'!$AH$6:$AT$102,MATCH(1,('Lookup Tables'!$AH$6:$AH$102=V148)*('Lookup Tables'!$AI$6:$AI$102=W148),FALSE),IF(VLOOKUP(J148, 'Fixture Identities'!$A$6:$B$1023, 2, FALSE)="Incandescent",12, 13)), INDEX('Lookup Tables'!$AH$114:$AS$154,MATCH(1,('Lookup Tables'!$AH$114:$AH$154=V148)*('Lookup Tables'!$AI$114:$AI$154=W148),FALSE),12))))), "N")</f>
        <v/>
      </c>
      <c r="BT148" s="184" t="str">
        <f>IF(J148="", "", IF(AND(OR(W148="Freezer case Lighting", W148="Refrigerated Case Lighting with Doors"),'General Information'!$X$18="LCI"), "N", IF(OR(VLOOKUP(J148, 'Fixture Identities'!$A$6:$B$1023, 2, FALSE)="T12 EPACT/EISA Baseline", VLOOKUP(J148, 'Fixture Identities'!$A$6:$B$1023, 2, FALSE)="Linear Fluorescent", VLOOKUP(J148, 'Fixture Identities'!$A$6:$B$1023, 2, FALSE)="U-Tube Fluorescent"), "Y", "N")))</f>
        <v/>
      </c>
      <c r="BU148" s="184" t="str">
        <f>IFERROR(IF(B148="", "", IF(VLOOKUP(J148, 'Fixture Identities'!$A$6:$B$1023, 2, FALSE)="Exit Sign", "Y", "N")), "N")</f>
        <v/>
      </c>
      <c r="BV148" s="184" t="str">
        <f>IF(V148="Exit Signs", IF(VLOOKUP(J148, 'Fixture Identities'!$A$6:$B$1023, 2, FALSE)="Exit Sign", "N", "Y"), "")</f>
        <v/>
      </c>
      <c r="BW148" s="184" t="str">
        <f t="array" ref="BW148">IFERROR(IF(B148="", "", IF(B148="New Construction", "N", INDEX('Lookup Tables'!$AH$6:$AU$102, MATCH(1, ('Lookup Tables'!$AH$6:$AH$102='Lighting Inventory'!V148)*('Lookup Tables'!$AI$6:$AI$102='Lighting Inventory'!W148), 0), 14))), "N")</f>
        <v/>
      </c>
      <c r="BX148" s="598" t="str">
        <f t="shared" si="463"/>
        <v/>
      </c>
      <c r="BY148" s="598" t="str">
        <f t="shared" si="464"/>
        <v/>
      </c>
      <c r="BZ148" s="598" t="str">
        <f t="shared" si="465"/>
        <v/>
      </c>
      <c r="CA148" s="598" t="str">
        <f t="shared" si="466"/>
        <v/>
      </c>
      <c r="CB148" s="269" t="str">
        <f t="shared" si="467"/>
        <v/>
      </c>
      <c r="CC148" s="517" t="str">
        <f t="shared" si="468"/>
        <v/>
      </c>
      <c r="CD148" s="565" t="str">
        <f t="shared" si="408"/>
        <v/>
      </c>
      <c r="CE148" s="368">
        <v>0</v>
      </c>
      <c r="CF148" s="368" t="str" cm="1">
        <f t="array" ref="CF148">IFERROR(IF(V148="Custom", "$0.1 per kWh", IF(B148="New Construction", CONCATENATE("$",INDEX('Lookup Tables'!$AH$114:$AN$154,MATCH(1,('Lookup Tables'!$AH$114:$AH$154='Lighting Inventory'!V148)*('Lookup Tables'!$AI$114:$AI$154='Lighting Inventory'!W148),FALSE),6)," ",INDEX('Lookup Tables'!$AH$114:$AN$154,MATCH(1,('Lookup Tables'!$AH$114:$AH$154='Lighting Inventory'!V148)*('Lookup Tables'!$AI$114:$AI$154='Lighting Inventory'!W148),FALSE),7)), IF(AND(BU148="N", V148="Exit Signs"), "$0.025 per kWh", CONCATENATE("$",INDEX('Lookup Tables'!$AH$6:$AN$102,MATCH(1,('Lookup Tables'!$AH$6:$AH$102='Lighting Inventory'!V148)*('Lookup Tables'!$AI$6:$AI$102='Lighting Inventory'!W148),FALSE),6)," ",INDEX('Lookup Tables'!$AH$6:$AN$102,MATCH(1,('Lookup Tables'!$AH$6:$AH$102='Lighting Inventory'!V148)*('Lookup Tables'!$AI$6:$AI$102='Lighting Inventory'!W148),FALSE),7))))), "")</f>
        <v/>
      </c>
      <c r="CG148" s="366"/>
      <c r="CH148" s="248" t="str">
        <f t="shared" si="409"/>
        <v/>
      </c>
      <c r="CI148" s="248" t="str">
        <f t="shared" si="410"/>
        <v>Select_IE</v>
      </c>
      <c r="CJ148" s="248" t="str">
        <f t="shared" si="411"/>
        <v/>
      </c>
      <c r="CK148" s="248" t="str">
        <f t="shared" si="412"/>
        <v/>
      </c>
      <c r="CL148" s="248" t="str">
        <f t="shared" si="413"/>
        <v/>
      </c>
      <c r="CM148" s="248" t="str">
        <f>IFERROR(IF(B148="", "", IF(B148="New Construction", VLOOKUP(V148, 'Lookup Tables'!$AF$114:$AG$120, 2, FALSE), VLOOKUP(V148, 'Lookup Tables'!$AD$6:$AE$25, 2, FALSE))), "")</f>
        <v/>
      </c>
      <c r="CN148" s="248" t="str">
        <f t="shared" si="414"/>
        <v/>
      </c>
      <c r="CO148" s="248" t="str">
        <f t="shared" si="415"/>
        <v/>
      </c>
      <c r="CP148" s="592" t="str">
        <f t="shared" si="416"/>
        <v/>
      </c>
      <c r="CQ148" s="248" t="str">
        <f t="shared" si="469"/>
        <v/>
      </c>
      <c r="CR148" s="100"/>
      <c r="CS148" s="250" t="str">
        <f t="shared" si="417"/>
        <v/>
      </c>
      <c r="CT148" s="250" t="str">
        <f t="shared" si="470"/>
        <v/>
      </c>
      <c r="CU148" s="250" t="str">
        <f t="shared" si="471"/>
        <v/>
      </c>
      <c r="CV148" s="250" t="str">
        <f t="shared" si="472"/>
        <v/>
      </c>
      <c r="CW148" s="250" t="str">
        <f t="shared" si="473"/>
        <v/>
      </c>
      <c r="CX148" s="250" t="str">
        <f t="shared" si="418"/>
        <v/>
      </c>
      <c r="CY148" s="250" t="str">
        <f t="shared" si="419"/>
        <v/>
      </c>
      <c r="CZ148" s="250" t="str">
        <f t="shared" si="420"/>
        <v/>
      </c>
      <c r="DA148" s="250" t="str">
        <f t="shared" si="421"/>
        <v/>
      </c>
      <c r="DB148" s="250" t="str">
        <f t="shared" si="422"/>
        <v/>
      </c>
      <c r="DC148" s="250" t="str">
        <f t="shared" si="423"/>
        <v/>
      </c>
      <c r="DD148" s="250" t="str">
        <f t="shared" si="424"/>
        <v/>
      </c>
      <c r="DE148" s="250" t="str">
        <f t="shared" si="425"/>
        <v/>
      </c>
      <c r="DF148" s="250" t="str">
        <f t="shared" si="426"/>
        <v/>
      </c>
      <c r="DG148" s="250" t="str">
        <f t="shared" si="427"/>
        <v/>
      </c>
      <c r="DH148" s="250" t="str">
        <f t="shared" si="428"/>
        <v/>
      </c>
      <c r="DI148" s="250" t="str">
        <f t="shared" si="429"/>
        <v/>
      </c>
      <c r="DJ148" s="250" t="str">
        <f t="shared" si="430"/>
        <v/>
      </c>
      <c r="DK148" s="250" t="str">
        <f t="shared" si="431"/>
        <v/>
      </c>
      <c r="DL148" s="250" t="str">
        <f t="shared" si="432"/>
        <v/>
      </c>
      <c r="DM148" s="250" t="str">
        <f>IF(CD148="ERROR", "ERROR", IF(AND(OR(Y148=$DM$6, Y148='Lookup Tables'!$AD$21, Y148='Lookup Tables'!$AD$22), E148="Interior"), BJ148, ""))</f>
        <v/>
      </c>
      <c r="DN148" s="250" t="str">
        <f>IF(CD148="ERROR", "ERROR", IF(AND(OR(Y148=$DM$6, Y148='Lookup Tables'!$AD$21, Y148='Lookup Tables'!$AD$22), E148="Exterior"), BJ148, ""))</f>
        <v/>
      </c>
      <c r="DO148" s="100"/>
      <c r="DP148" s="250" t="str">
        <f t="shared" si="433"/>
        <v/>
      </c>
      <c r="DQ148" s="250" t="str">
        <f t="shared" si="474"/>
        <v/>
      </c>
      <c r="DR148" s="250" t="str">
        <f t="shared" si="475"/>
        <v/>
      </c>
      <c r="DS148" s="250" t="str">
        <f t="shared" si="476"/>
        <v/>
      </c>
      <c r="DT148" s="250" t="str">
        <f t="shared" si="477"/>
        <v/>
      </c>
      <c r="DU148" s="250" t="str">
        <f t="shared" si="434"/>
        <v/>
      </c>
      <c r="DV148" s="250" t="str">
        <f t="shared" si="435"/>
        <v/>
      </c>
      <c r="DW148" s="250" t="str">
        <f t="shared" si="436"/>
        <v/>
      </c>
      <c r="DX148" s="250" t="str">
        <f t="shared" si="437"/>
        <v/>
      </c>
      <c r="DY148" s="250" t="str">
        <f t="shared" si="438"/>
        <v/>
      </c>
      <c r="DZ148" s="250" t="str">
        <f t="shared" si="439"/>
        <v/>
      </c>
      <c r="EA148" s="250" t="str">
        <f t="shared" si="440"/>
        <v/>
      </c>
      <c r="EB148" s="250" t="str">
        <f t="shared" si="478"/>
        <v/>
      </c>
      <c r="EC148" s="250" t="str">
        <f t="shared" si="441"/>
        <v/>
      </c>
      <c r="ED148" s="250" t="str">
        <f t="shared" si="442"/>
        <v/>
      </c>
      <c r="EE148" s="250" t="str">
        <f t="shared" si="443"/>
        <v/>
      </c>
      <c r="EF148" s="250" t="str">
        <f t="shared" si="444"/>
        <v/>
      </c>
      <c r="EG148" s="250" t="str">
        <f t="shared" si="445"/>
        <v/>
      </c>
      <c r="EH148" s="250" t="str">
        <f>IF(CD148="ERROR", "ERROR", IF(AND(OR($EH$6=Y148, Y148='Lookup Tables'!$AD$21, Y148='Lookup Tables'!$AD$22),E148="Interior"), SUM(BP148:BP148), ""))</f>
        <v/>
      </c>
      <c r="EI148" s="250" t="str">
        <f>IF(CD148="ERROR", "ERROR", IF(AND(OR($EH$6=Y148, Y148='Lookup Tables'!$AD$21, Y148='Lookup Tables'!$AD$22),E148="Exterior"), SUM(BP148:BP148), ""))</f>
        <v/>
      </c>
      <c r="EJ148" s="109"/>
      <c r="EK148" s="485" t="str">
        <f t="shared" si="446"/>
        <v/>
      </c>
      <c r="EL148" s="252" t="str">
        <f t="shared" si="479"/>
        <v/>
      </c>
      <c r="EM148" s="252" t="str">
        <f t="shared" si="480"/>
        <v/>
      </c>
      <c r="EN148" s="252" t="str">
        <f t="shared" si="481"/>
        <v/>
      </c>
      <c r="EO148" s="252" t="str">
        <f t="shared" si="482"/>
        <v/>
      </c>
      <c r="EP148" s="252" t="str">
        <f t="shared" si="483"/>
        <v/>
      </c>
      <c r="EQ148" s="252" t="str">
        <f t="shared" si="484"/>
        <v/>
      </c>
      <c r="ER148" s="252" t="str">
        <f t="shared" si="485"/>
        <v/>
      </c>
      <c r="ES148" s="252" t="str">
        <f t="shared" si="486"/>
        <v/>
      </c>
      <c r="ET148" s="252" t="str">
        <f t="shared" si="487"/>
        <v/>
      </c>
      <c r="EU148" s="252" t="str">
        <f t="shared" si="488"/>
        <v/>
      </c>
      <c r="EV148" s="252" t="str">
        <f t="shared" si="489"/>
        <v/>
      </c>
      <c r="EW148" s="252" t="str">
        <f t="shared" si="490"/>
        <v/>
      </c>
      <c r="EX148" s="252" t="str">
        <f t="shared" si="491"/>
        <v/>
      </c>
      <c r="EY148" s="252" t="str">
        <f t="shared" si="492"/>
        <v/>
      </c>
      <c r="EZ148" s="252" t="str">
        <f t="shared" si="493"/>
        <v/>
      </c>
      <c r="FA148" s="252" t="str">
        <f t="shared" si="494"/>
        <v/>
      </c>
      <c r="FB148" s="252" t="str">
        <f t="shared" si="495"/>
        <v/>
      </c>
      <c r="FC148" s="252" t="str">
        <f>IF(CD148="ERROR", "ERROR", IF(OR(V148="No Change", V148="Not DLC or Energy Star"), "", IF(AND(OR($FC$6=Y148,Y148='Lookup Tables'!$AD$21, Y148='Lookup Tables'!$AD$22),E148="Interior"), S148, "")))</f>
        <v/>
      </c>
      <c r="FD148" s="252" t="str">
        <f t="shared" si="496"/>
        <v/>
      </c>
      <c r="FE148" s="101"/>
      <c r="FF148" s="579" t="str" cm="1">
        <f t="array" ref="FF148">IFERROR(IF(OR(BQ148&lt;=0,AQ148&lt;20,AND(V148="Exit Signs",AN148&gt;0)),"",IF(AND(AQ148&gt;=20,AN148='Lookup Tables'!$R$101),'Lookup Tables'!$U$101*BQ148,AP148*LOOKUP(2,1/((AN148='Lookup Tables'!$R$91:$R$111)*(AQ148&gt;='Lookup Tables'!$S$91:$S$111)*(AQ148&lt;='Lookup Tables'!$T$91:$T$111)),'Lookup Tables'!$U$91:$U$111))),"")</f>
        <v/>
      </c>
      <c r="FG148" s="579"/>
      <c r="FH148" s="579"/>
      <c r="FI148" s="253" t="str">
        <f>IFERROR(ROUND(IF(CD148="ERROR", "ERROR", IF(AND($FI$7=X148,E148="Interior"),VLOOKUP(W148, 'Lookup Tables'!$AI$6:$AM$102, 5, FALSE)*BP148, "")), 2), "")</f>
        <v/>
      </c>
      <c r="FJ148" s="253" t="str">
        <f>IFERROR(ROUND(IF(CD148="ERROR", "ERROR", IF(AND($FI$7=X148,E148="Exterior"),VLOOKUP(W148, 'Lookup Tables'!$AI$6:$AM$102, 5, FALSE)*BP148, "")), 2), "")</f>
        <v/>
      </c>
      <c r="FK148" s="253" t="str">
        <f>IFERROR(ROUND(IF(CD148="ERROR", "ERROR", IF(AND($FK$7=X148,E148="Interior"),VLOOKUP(W148, 'Lookup Tables'!$AI$6:$AM$102, 5, FALSE)*BP148, "")), 2), "")</f>
        <v/>
      </c>
      <c r="FL148" s="253" t="str">
        <f>IFERROR(ROUND(IF(CD148="ERROR", "ERROR", IF(AND($FK$7=X148,E148="Exterior"),VLOOKUP(W148, 'Lookup Tables'!$AI$6:$AM$102, 5, FALSE)*BP148, "")), 2), "")</f>
        <v/>
      </c>
      <c r="FM148" s="253" t="str">
        <f>IFERROR(ROUND(IF(CD148="ERROR", "ERROR", IF(AND($FM$6=Y148,E148="Interior"), IF(GB148=0, VLOOKUP(W148, 'Lookup Tables'!$AI$6:$AM$102, 5, FALSE)*BP148, IF(VLOOKUP(W148, 'Lookup Tables'!$AI$6:$AM$102, 5, FALSE)*BP148&gt;GB148*'Lighting Inventory'!S148, GB148*'Lighting Inventory'!S148,VLOOKUP(W148, 'Lookup Tables'!$AI$6:$AM$102, 5, FALSE)*BP148)), "")), 2), "")</f>
        <v/>
      </c>
      <c r="FN148" s="253" t="str">
        <f>IFERROR(ROUND(IF(CD148="ERROR", "ERROR", IF(AND($FM$6=Y148,E148="Exterior"), IF(GB148=0, VLOOKUP(W148, 'Lookup Tables'!$AI$6:$AM$102, 5, FALSE)*BP148, IF(VLOOKUP(W148, 'Lookup Tables'!$AI$6:$AM$102, 5, FALSE)*BP148&gt;GB148*'Lighting Inventory'!S148, GB148*'Lighting Inventory'!S148,VLOOKUP(W148, 'Lookup Tables'!$AI$6:$AM$102, 5, FALSE)*BP148)), "")), 2), "")</f>
        <v/>
      </c>
      <c r="FO148" s="253" t="str">
        <f>IFERROR(ROUND(IF(CD148="ERROR", "ERROR", IF(AND($FO$6=Y148,E148="Interior"),VLOOKUP(W148, 'Lookup Tables'!$AI$6:$AM$102, 5, FALSE)*'Lighting Inventory'!AI148, "")), 2), "")</f>
        <v/>
      </c>
      <c r="FP148" s="253" t="str">
        <f>IFERROR(ROUND(IF(CD148="ERROR", "ERROR", IF(AND($FO$6=Y148,E148="Exterior"),VLOOKUP(W148, 'Lookup Tables'!$AI$6:$AM$102, 5, FALSE)*'Lighting Inventory'!AI148, "")), 2), "")</f>
        <v/>
      </c>
      <c r="FQ148" s="253" t="str">
        <f>IFERROR(ROUND(IF(CD148="ERROR", "ERROR", IF(AND($FQ$6=Y148,E148="Interior", BU148="Y"), VLOOKUP('Lighting Inventory'!W148, 'Lookup Tables'!$AI$6:$AM$102, 5, FALSE)*'Lighting Inventory'!S148, IF(AND($FQ$7=Y148,E148="Interior", BU148="N"), 0.025*CD148, ""))), 2), "")</f>
        <v/>
      </c>
      <c r="FR148" s="253" t="str">
        <f>IFERROR(ROUND(IF(CD148="ERROR", "ERROR", IF(AND($FQ$6=Y148,E148="Exterior"), VLOOKUP('Lighting Inventory'!W148, 'Lookup Tables'!$AI$6:$AM$102, 5, FALSE)*'Lighting Inventory'!S148, "")), 2), "")</f>
        <v/>
      </c>
      <c r="FS148" s="253" t="str">
        <f>IFERROR(ROUND(IF(CD148="ERROR", "ERROR", IF(AND($FS$6=Y148,E148="Exterior"), IF(GB148=0, VLOOKUP(W148, 'Lookup Tables'!$AI$6:$AM$102, 5, FALSE)*BP148, IF(VLOOKUP(W148, 'Lookup Tables'!$AI$6:$AM$102, 5, FALSE)*BP148&gt;GB148*'Lighting Inventory'!S148, GB148*'Lighting Inventory'!S148,VLOOKUP(W148, 'Lookup Tables'!$AI$6:$AM$102, 5, FALSE)*BP148)), "")), 2), "")</f>
        <v/>
      </c>
      <c r="FT148" s="253" t="str">
        <f>IFERROR(ROUND(IF(CD148="ERROR", "ERROR", IF(AND($FT$6=Y148,E148="Interior"), IF(GB148=0, VLOOKUP(W148, 'Lookup Tables'!$AI$6:$AM$102, 5, FALSE)*BP148, IF(VLOOKUP(W148, 'Lookup Tables'!$AI$6:$AM$102, 5, FALSE)*BP148&gt;GB148*'Lighting Inventory'!S148, GB148*'Lighting Inventory'!S148,VLOOKUP(W148, 'Lookup Tables'!$AI$6:$AM$102, 5, FALSE)*BP148)), "")), 2), "")</f>
        <v/>
      </c>
      <c r="FU148" s="253" t="str">
        <f>IFERROR(ROUND(IF(CD148="ERROR", "ERROR", IF(AND(Y148=$FU$6, E148="Interior"), IF(BS148="N", 'Lookup Tables'!$AM$101*BP148, VLOOKUP(W148, 'Lookup Tables'!$AI$6:$AM$102, 5, FALSE)*S148*AD148), "")), 2), "")</f>
        <v/>
      </c>
      <c r="FV148" s="253" t="str">
        <f>IFERROR(ROUND(IF(CD148="ERROR", "ERROR", IF(AND(Y148=$FU$6, E148="Exterior"), IF(BS148="N", 'Lookup Tables'!$AM$101*BP148, VLOOKUP(W148, 'Lookup Tables'!$AI$6:$AM$102, 5, FALSE)*S148*AD148), "")), 2), "")</f>
        <v/>
      </c>
      <c r="FW148" s="253" t="str">
        <f>IFERROR(ROUND(IF(CD148="ERROR", "ERROR", IF($FW$6=Y148, IF(BS148="N", 'Lookup Tables'!$AM$101*BP148, MIN((VLOOKUP(W148, 'Lookup Tables'!$AI$6:$AM$102, 5, FALSE)*BP148),GB148*AJ148)), "")), 2), "")</f>
        <v/>
      </c>
      <c r="FX148" s="253" t="str">
        <f>IFERROR(ROUND(IF(CD148="ERROR", "ERROR", IF(AND($FX$6=Y148, E148="Interior"), IF(VLOOKUP(W148, 'Lookup Tables'!$AI$6:$AM$102, 5, FALSE)*BP148&gt;'Lookup Tables'!$AQ$97*'Lighting Inventory'!S148,'Lighting Inventory'!S148*'Lookup Tables'!$AQ$97,VLOOKUP(W148, 'Lookup Tables'!$AI$6:$AM$102, 5, FALSE)*BP148), "")), 2), "")</f>
        <v/>
      </c>
      <c r="FY148" s="253" t="str">
        <f>IFERROR(ROUND(IF(CD148="ERROR", "ERROR", IF(AND($FX$6=Y148, E148="Exterior"), IF(VLOOKUP(W148, 'Lookup Tables'!$AI$6:$AM$102, 5, FALSE)*BP148&gt;'Lookup Tables'!$AQ$97*'Lighting Inventory'!S148,'Lighting Inventory'!S148*'Lookup Tables'!$AQ$97,VLOOKUP(W148, 'Lookup Tables'!$AI$6:$AM$102, 5, FALSE)*BP148), "")), 2), "")</f>
        <v/>
      </c>
      <c r="FZ148" s="253" t="str">
        <f>IFERROR(ROUND(IF(CD148="ERROR", "ERROR", IF(AND($FZ$6=Y148, E148="Interior"), IF(AND(OR(W148="Refrigerated Case Lighting with Doors", W148="Freezer Case Lighting"),Y148="Custom - Process Improvement"),CD148*'Lookup Tables'!$AM$101, IF(B148="Retrofit", IF(VLOOKUP(IF(V148="Custom", V148, W148), 'Lookup Tables'!$AI$6:$AM$102, 5, FALSE)*BP148&gt;GE148, GE148, VLOOKUP(IF(V148="Custom", V148, W148), 'Lookup Tables'!$AI$6:$AM$102, 5, FALSE)*BP148), IF(VLOOKUP(IF(V148="Custom", V148, W148), 'Lookup Tables'!$AI$114:$AM$154, 5, FALSE)*BP148&gt;GE148, GE148, VLOOKUP(IF(V148="Custom", V148, W148), 'Lookup Tables'!$AI$114:$AM$154, 5, FALSE)*BP148))), "")), 2),"")</f>
        <v/>
      </c>
      <c r="GA148" s="253" t="str">
        <f>IFERROR(ROUND(IF(CD148="ERROR", "ERROR", IF(AND($FZ$6=Y148, E148="Exterior"), IF(B148="Retrofit", IF(VLOOKUP(IF(V148="Custom", V148, W148), 'Lookup Tables'!$AI$6:$AM$102, 5, FALSE)*BP148&gt;GE148, GE148, VLOOKUP(IF(V148="Custom", V148, W148), 'Lookup Tables'!$AI$6:$AM$102, 5, FALSE)*BP148), IF(VLOOKUP(IF(V148="Custom", V148, W148), 'Lookup Tables'!$AI$114:$AM$154, 5, FALSE)*BP148&gt;GE148, GE148, VLOOKUP(IF(V148="Custom", V148, W148), 'Lookup Tables'!$AI$114:$AM$154, 5, FALSE)*BP148)), "")), 2),"")</f>
        <v/>
      </c>
      <c r="GB148" s="254" t="str">
        <f t="array" ref="GB148">IF(B148="","",IF(OR(V148="Custom",V148="No Change"),0,IF(B148="Retrofit", INDEX('Lookup Tables'!$AH$6:$AQ$102,MATCH(1,('Lookup Tables'!$AH$6:$AH$102='Lighting Inventory'!V148)*('Lookup Tables'!$AI$6:$AI$102='Lighting Inventory'!W148),FALSE),10),INDEX('Lookup Tables'!$AH$114:$AQ$154,MATCH(1,('Lookup Tables'!$AH$114:$AH$154='Lighting Inventory'!V148)*('Lookup Tables'!$AI$114:$AI$154='Lighting Inventory'!W148),FALSE),10))))</f>
        <v/>
      </c>
      <c r="GC148" s="255" t="str">
        <f t="shared" si="447"/>
        <v/>
      </c>
      <c r="GD148" s="250" t="str">
        <f t="shared" si="448"/>
        <v/>
      </c>
      <c r="GE148" s="253" t="str">
        <f>IFERROR(IF(AND(AF148="", 'General Information'!$F$18="No"),"", IF(AF148="", ((GD148/$CD$266)*$CF$266)*0.5, AF148*S148*0.5)), "")</f>
        <v/>
      </c>
      <c r="GF148" s="255" t="str">
        <f>IF(AND('General Information'!$F$19="", 'General Information'!$F$18="Yes",AF148="",BW148="Y"), "Y", "N")</f>
        <v>N</v>
      </c>
      <c r="GG148" s="255" t="s">
        <v>2946</v>
      </c>
      <c r="GH148" s="255" t="str">
        <f>IFERROR(IF(B148="", "", VLOOKUP(J148, 'Fixture Identities'!$A$6:$N$908, 14, FALSE)), "")</f>
        <v/>
      </c>
      <c r="GI148" s="389" t="str">
        <f>IF(OR(B148="", V148="", W148=""), "", IF(AND(OR(M148='Lookup Tables'!$R$18, M148='Lookup Tables'!$R$19, M148='Lookup Tables'!$R$20, M148='Lookup Tables'!$R$21, M148='Lookup Tables'!$R$22), OR(AN148='Lookup Tables'!$R$17, AN148='Lookup Tables'!$R$17, AN148="")), "Y", "N"))</f>
        <v/>
      </c>
      <c r="GJ148" s="255" t="str">
        <f t="shared" si="449"/>
        <v/>
      </c>
      <c r="GK148" s="255" t="str">
        <f t="shared" si="450"/>
        <v/>
      </c>
      <c r="GL148" s="255" t="str">
        <f t="shared" si="451"/>
        <v/>
      </c>
      <c r="GM148" s="255" t="str">
        <f>IF(AN148="", "", IF(AND(IF(ISNA(VLOOKUP(AN148,'Lookup Tables'!$R$18:$R$22,1,FALSE)), "N", "Y")="Y", E148="Exterior"), "Y", "N"))</f>
        <v/>
      </c>
      <c r="GN148" s="395"/>
      <c r="GO148" s="428">
        <f t="shared" si="497"/>
        <v>0</v>
      </c>
      <c r="GP148" s="428">
        <f t="shared" si="500"/>
        <v>0</v>
      </c>
      <c r="GQ148" s="428">
        <f t="shared" si="498"/>
        <v>0</v>
      </c>
      <c r="GR148" s="428">
        <f t="shared" si="499"/>
        <v>0</v>
      </c>
    </row>
    <row r="149" spans="1:200" s="103" customFormat="1" ht="13.5" customHeight="1" x14ac:dyDescent="0.2">
      <c r="A149" s="272">
        <v>139</v>
      </c>
      <c r="B149" s="110"/>
      <c r="C149" s="110"/>
      <c r="D149" s="110"/>
      <c r="E149" s="110"/>
      <c r="F149" s="110"/>
      <c r="G149" s="110"/>
      <c r="H149" s="110"/>
      <c r="I149" s="29"/>
      <c r="J149" s="29"/>
      <c r="K149" s="272" t="str">
        <f>IFERROR(IF(OR(VLOOKUP(J149, 'Fixture Identities'!$A$6:$L$1023, 3, FALSE)="T12 Linear Fluorescent", VLOOKUP(J149, 'Fixture Identities'!$A$6:$L$1023, 3, FALSE)="T12 U-Tube Fluorescent"), VLOOKUP(VLOOKUP(J149, 'Fixture Identities'!$A$6:$L$1023, 11, FALSE), 'Fixture Identities'!$A$6:$L$1023, 10, FALSE), VLOOKUP(J149, 'Fixture Identities'!$A$6:$L$1023, 10, FALSE)), "")</f>
        <v/>
      </c>
      <c r="L149" s="270" t="str">
        <f t="shared" si="502"/>
        <v/>
      </c>
      <c r="M149" s="110"/>
      <c r="N149" s="110"/>
      <c r="O149" s="110"/>
      <c r="P149" s="272" t="str">
        <f>IFERROR(IF(OR(B149="Retrofit",B149=""),"",IF('Lighting Inventory'!E149="Exterior",VLOOKUP('Lighting Inventory'!N149,'Lookup Tables'!$B$83:$F$103,5,FALSE),IF(N149="Other - Please Estimate EFLH and CFs","Contact Prog. Rep.","ft^2"))), "")</f>
        <v/>
      </c>
      <c r="Q149" s="270" t="str">
        <f>IFERROR(IF(AND(B149="New Construction",E149="Interior",$F$5="Space-by-Space"),VLOOKUP('Lighting Inventory'!N149,'Lookup Tables'!$N$6:$O$97,2,FALSE),IF(AND(B149="New Construction",E149="Exterior"),VLOOKUP(N149,'Lookup Tables'!$B$83:$F$103,2,FALSE),IF(AND(B149="New Construction",'Lighting Inventory'!E149="Interior", $F$5="Building Area"),VLOOKUP(F149,'Lookup Tables'!$A$6:$J$59,10,FALSE),""))), "")</f>
        <v/>
      </c>
      <c r="R149" s="270" t="str">
        <f>IFERROR(IF(P149="Contact Prog. Rep.", "ERROR", IF(OR(B149="",B149="Retrofit"),"",IF(N149="Automated teller machines", ('Lookup Tables'!$A$82:$E$100+('Lighting Inventory'!O149-1)*'Lookup Tables'!$A$82:$E$100)/1000, (Q149*O149)/1000))), "")</f>
        <v/>
      </c>
      <c r="S149" s="595"/>
      <c r="T149" s="105" t="str">
        <f t="shared" si="452"/>
        <v/>
      </c>
      <c r="U149" s="105" t="str">
        <f>IF(S149="","",COUNT($S$11:S149))</f>
        <v/>
      </c>
      <c r="V149" s="111"/>
      <c r="W149" s="112"/>
      <c r="X149" s="105" t="str">
        <f t="shared" si="453"/>
        <v/>
      </c>
      <c r="Y149" s="105" t="str">
        <f t="array" ref="Y149">IF(AND(OR(W149="Freezer Case Lighting", W149="Refrigerated Case Lighting with Doors"), 'General Information'!$X$18="LCI"),'Lookup Tables'!$Y$34, IF(V149="Custom", VLOOKUP(W149, 'Fixture Identities'!$A$974:$M$1023, 13, FALSE), IF(V149="No Change",'Lookup Tables'!$Y$29,IF(OR(V149="",W149=""),"",IF(AND(S149=0,S149&lt;I149,B149="Retrofit"),'Lookup Tables'!$Y$25, IF(B149="Retrofit", INDEX('Lookup Tables'!$AH$6:$AP$102, MATCH(1, ('Lookup Tables'!$AH$6:$AH$102=V149)*('Lookup Tables'!$AI$6:$AI$102=W149), 0), IF('Lighting Inventory'!E149="Interior", 4, 5)), INDEX('Lookup Tables'!$AH$114:$AP$154, MATCH(1, ('Lookup Tables'!$AH$114:$AH$154=V149)*('Lookup Tables'!$AI$114:$AI$154=W149), 0), IF('Lighting Inventory'!E149="Interior", 4, 5))))))))</f>
        <v/>
      </c>
      <c r="Z149" s="105" t="str">
        <f>IFERROR(INDEX('Lookup Tables'!$AH$158:$AH$172,MATCH('Lighting Inventory'!Y149,'Lookup Tables'!$AI$158:$AI$172,0)),"")</f>
        <v/>
      </c>
      <c r="AA149" s="105" t="str">
        <f>IF(AP149&gt;0,INDEX('Lookup Tables'!$AK$158:$AK$172,MATCH('Lighting Inventory'!Y149,'Lookup Tables'!$AI$158:$AI$172,0)),'Lighting Inventory'!Y149)</f>
        <v/>
      </c>
      <c r="AB149" s="105" t="str">
        <f t="array" ref="AB149">IF(V149="Custom", "Custom", IF(V149="", "", IF(V149="Not DLC or Energy Star", "General", IF(B149="New Construction", INDEX('Lookup Tables'!$AH$114:$AP$154,MATCH(1,('Lookup Tables'!$AH$114:$AH$154='Lighting Inventory'!V149)*('Lookup Tables'!$AI$114:$AI$154='Lighting Inventory'!W149),FALSE),8), INDEX('Lookup Tables'!$AH$6:$AP$102,MATCH(1,('Lookup Tables'!$AH$6:$AH$102='Lighting Inventory'!V149)*('Lookup Tables'!$AI$6:$AI$102='Lighting Inventory'!W149),FALSE),8)))))</f>
        <v/>
      </c>
      <c r="AC149" s="272" t="str">
        <f>IF(W149="","",IF(V149="Custom",CONCATENATE("$",'Lookup Tables'!$AM$101," ",'Lookup Tables'!$AN$101),CONCATENATE("$",INDEX('Lookup Tables'!$AM$6:$AM$102,MATCH('Lighting Inventory'!W149,'Lookup Tables'!$AI$6:$AI$102,0))," ",INDEX('Lookup Tables'!$AN$6:$AN$102,MATCH('Lighting Inventory'!W149,'Lookup Tables'!$AI$6:$AI$102,0)))))</f>
        <v/>
      </c>
      <c r="AD149" s="72"/>
      <c r="AE149" s="29"/>
      <c r="AF149" s="379"/>
      <c r="AG149" s="370" t="str">
        <f t="shared" si="401"/>
        <v/>
      </c>
      <c r="AH149" s="370" t="str">
        <f t="shared" si="454"/>
        <v/>
      </c>
      <c r="AI149" s="29"/>
      <c r="AJ149" s="29"/>
      <c r="AK149" s="110"/>
      <c r="AL149" s="375" t="str">
        <f>IF(OR(B149="", V149="", W149=""), "", IF(V149="No Change", K149, IF(V149="Remove Fixture", 0, IF(V149="Custom",VLOOKUP(W149,'Fixture Identities'!$A$6:$K$1023,10,FALSE),IF(AE149="", "← ENTER POST WATTS", 'Lighting Inventory'!AE149)))))</f>
        <v/>
      </c>
      <c r="AM149" s="376" t="str">
        <f t="shared" si="402"/>
        <v/>
      </c>
      <c r="AN149" s="29"/>
      <c r="AO149" s="671"/>
      <c r="AP149" s="29"/>
      <c r="AQ149" s="29"/>
      <c r="AR149" s="29"/>
      <c r="AS149" s="272" t="str">
        <f t="shared" si="455"/>
        <v/>
      </c>
      <c r="AT149" s="270" t="str">
        <f t="shared" si="403"/>
        <v/>
      </c>
      <c r="AU149" s="88" t="str">
        <f t="shared" si="503"/>
        <v/>
      </c>
      <c r="AV149" s="29"/>
      <c r="AW149" s="73"/>
      <c r="AX149" s="271" t="str">
        <f>IF(AND(AV149="Applicant",OR(AW149="", AW149="Use Default Facility Hours")),"← Choose Schedule",IF(F149="","",IF(W149="LED Exit Signs",8760,IF(OR(AV149="Prescribed",AV149=""),VLOOKUP(F149,'Lookup Tables'!$A$6:$G$59,IF(AB149="General", 6, 3),FALSE),VLOOKUP(AW149,'Lookup Tables'!$S$36:$U$43,2,FALSE)))))</f>
        <v/>
      </c>
      <c r="AY149" s="88" t="str">
        <f t="shared" si="404"/>
        <v/>
      </c>
      <c r="AZ149" s="270" t="str">
        <f>IFERROR(IF(F149="", "", IF(W149="LED Exit Signs", 1, IF(AV149="Applicant",VLOOKUP(AW149, 'Lookup Tables'!$S$36:$U$43,3, FALSE), VLOOKUP('Lighting Inventory'!F149, 'Lookup Tables'!$A$6:$H$59, IF('Lighting Inventory'!AB149="General",7,4), FALSE)))), "")</f>
        <v/>
      </c>
      <c r="BA149" s="522" t="str">
        <f>IFERROR(IF(F149="", "", IF(W149="LED Exit Signs", 1, VLOOKUP('Lighting Inventory'!F149, 'Lookup Tables'!$A$6:$H$59, IF('Lighting Inventory'!AB149="General",8,5), FALSE))), "")</f>
        <v/>
      </c>
      <c r="BB149" s="270" t="str">
        <f>IF(G149="", "", IF(E149="Exterior", 0, IF('Lighting Inventory'!G149="Air Conditioned", VLOOKUP(H149, 'Lookup Tables'!$R$6:$T$13, 2, FALSE), VLOOKUP('Lighting Inventory'!G149, 'Lookup Tables'!$R$6:$T$13, 2, FALSE))))</f>
        <v/>
      </c>
      <c r="BC149" s="522" t="str">
        <f>IF(G149="", "", IF(E149="Exterior", 0, IF('Lighting Inventory'!G149="Air Conditioned", VLOOKUP(H149, 'Lookup Tables'!$R$6:$T$13, 3, FALSE), VLOOKUP('Lighting Inventory'!G149, 'Lookup Tables'!$R$6:$T$13, 3, FALSE))))</f>
        <v/>
      </c>
      <c r="BD149" s="270" t="str">
        <f>IF(G149="", "", IF(E149="Exterior", 0, IF('Lighting Inventory'!G149="Air Conditioned", VLOOKUP(H149, 'Lookup Tables'!$R$6:$U$13, 4, FALSE), VLOOKUP('Lighting Inventory'!G149, 'Lookup Tables'!$R$6:$U$13, 4, FALSE))))</f>
        <v/>
      </c>
      <c r="BE149" s="270" t="str">
        <f>IFERROR(IF(B149="", "",  IF(B149="New Construction", VLOOKUP(F149, 'Lookup Tables'!$A$6:$K$59, 11, FALSE),IF(OR(AN149="", AN149="Light Switch"), 0, IF(OR(M149="",M149="None",V149= "LED Exit Signs"),0,_xlfn.XLOOKUP(M149,'Lookup Tables'!$R$91:$R$101,'Lookup Tables'!$V$91:$V$101))))), "")</f>
        <v/>
      </c>
      <c r="BF149" s="270" t="str">
        <f>IF(AND(OR(AN149="Light Switch",AN149=""),B149="New Construction"), VLOOKUP(F149, 'Lookup Tables'!$A$6:$K$59, 11, FALSE),IF(AN149="","",IF(B149="","",IF(OR(AN149="None",AN149="",V149="LED Exit Signs",AN149="Exterior Controls Not Eligible"),0,_xlfn.XLOOKUP(AN149,'Lookup Tables'!$R$91:$R$101,'Lookup Tables'!$V$91:$V$101)))))</f>
        <v/>
      </c>
      <c r="BG149" s="88" t="str">
        <f t="shared" si="456"/>
        <v/>
      </c>
      <c r="BH149" s="88" t="str">
        <f t="shared" si="457"/>
        <v/>
      </c>
      <c r="BI149" s="558" t="str">
        <f t="shared" si="501"/>
        <v/>
      </c>
      <c r="BJ149" s="82" t="str">
        <f t="shared" si="458"/>
        <v/>
      </c>
      <c r="BK149" s="82" t="str">
        <f t="shared" si="459"/>
        <v/>
      </c>
      <c r="BL149" s="559" t="str">
        <f t="shared" si="460"/>
        <v/>
      </c>
      <c r="BM149" s="521" t="str">
        <f t="shared" si="405"/>
        <v/>
      </c>
      <c r="BN149" s="521" t="str">
        <f t="shared" si="406"/>
        <v/>
      </c>
      <c r="BO149" s="522" t="str">
        <f t="shared" si="407"/>
        <v/>
      </c>
      <c r="BP149" s="83" t="str">
        <f t="shared" si="461"/>
        <v/>
      </c>
      <c r="BQ149" s="84" t="str">
        <f t="shared" si="462"/>
        <v/>
      </c>
      <c r="BR149" s="184" t="str">
        <f>IFERROR(IF(B149="", "", IF(OR(VLOOKUP(J149, 'Fixture Identities'!$A$6:$L$1023, 3, FALSE)="T12 Linear Fluorescent",VLOOKUP(J149, 'Fixture Identities'!$A$6:$L$1023, 3, FALSE)="T12 U-Tube Fluorescent"), "Y", "N")), "N")</f>
        <v/>
      </c>
      <c r="BS149" s="184" t="str">
        <f t="array" ref="BS149">IFERROR(IF(OR(B149="", V149="", W149=""), "", IF(V149="Custom", "N", IF(OR(W149="Freezer Case Lighting", W149="Refrigerated Case Lighting with Doors"), BT149, IF(B149="Retrofit", INDEX('Lookup Tables'!$AH$6:$AT$102,MATCH(1,('Lookup Tables'!$AH$6:$AH$102=V149)*('Lookup Tables'!$AI$6:$AI$102=W149),FALSE),IF(VLOOKUP(J149, 'Fixture Identities'!$A$6:$B$1023, 2, FALSE)="Incandescent",12, 13)), INDEX('Lookup Tables'!$AH$114:$AS$154,MATCH(1,('Lookup Tables'!$AH$114:$AH$154=V149)*('Lookup Tables'!$AI$114:$AI$154=W149),FALSE),12))))), "N")</f>
        <v/>
      </c>
      <c r="BT149" s="184" t="str">
        <f>IF(J149="", "", IF(AND(OR(W149="Freezer case Lighting", W149="Refrigerated Case Lighting with Doors"),'General Information'!$X$18="LCI"), "N", IF(OR(VLOOKUP(J149, 'Fixture Identities'!$A$6:$B$1023, 2, FALSE)="T12 EPACT/EISA Baseline", VLOOKUP(J149, 'Fixture Identities'!$A$6:$B$1023, 2, FALSE)="Linear Fluorescent", VLOOKUP(J149, 'Fixture Identities'!$A$6:$B$1023, 2, FALSE)="U-Tube Fluorescent"), "Y", "N")))</f>
        <v/>
      </c>
      <c r="BU149" s="184" t="str">
        <f>IFERROR(IF(B149="", "", IF(VLOOKUP(J149, 'Fixture Identities'!$A$6:$B$1023, 2, FALSE)="Exit Sign", "Y", "N")), "N")</f>
        <v/>
      </c>
      <c r="BV149" s="184" t="str">
        <f>IF(V149="Exit Signs", IF(VLOOKUP(J149, 'Fixture Identities'!$A$6:$B$1023, 2, FALSE)="Exit Sign", "N", "Y"), "")</f>
        <v/>
      </c>
      <c r="BW149" s="184" t="str">
        <f t="array" ref="BW149">IFERROR(IF(B149="", "", IF(B149="New Construction", "N", INDEX('Lookup Tables'!$AH$6:$AU$102, MATCH(1, ('Lookup Tables'!$AH$6:$AH$102='Lighting Inventory'!V149)*('Lookup Tables'!$AI$6:$AI$102='Lighting Inventory'!W149), 0), 14))), "N")</f>
        <v/>
      </c>
      <c r="BX149" s="598" t="str">
        <f t="shared" si="463"/>
        <v/>
      </c>
      <c r="BY149" s="598" t="str">
        <f t="shared" si="464"/>
        <v/>
      </c>
      <c r="BZ149" s="598" t="str">
        <f t="shared" si="465"/>
        <v/>
      </c>
      <c r="CA149" s="598" t="str">
        <f t="shared" si="466"/>
        <v/>
      </c>
      <c r="CB149" s="269" t="str">
        <f t="shared" si="467"/>
        <v/>
      </c>
      <c r="CC149" s="517" t="str">
        <f t="shared" si="468"/>
        <v/>
      </c>
      <c r="CD149" s="565" t="str">
        <f t="shared" si="408"/>
        <v/>
      </c>
      <c r="CE149" s="368">
        <v>0</v>
      </c>
      <c r="CF149" s="368" t="str" cm="1">
        <f t="array" ref="CF149">IFERROR(IF(V149="Custom", "$0.1 per kWh", IF(B149="New Construction", CONCATENATE("$",INDEX('Lookup Tables'!$AH$114:$AN$154,MATCH(1,('Lookup Tables'!$AH$114:$AH$154='Lighting Inventory'!V149)*('Lookup Tables'!$AI$114:$AI$154='Lighting Inventory'!W149),FALSE),6)," ",INDEX('Lookup Tables'!$AH$114:$AN$154,MATCH(1,('Lookup Tables'!$AH$114:$AH$154='Lighting Inventory'!V149)*('Lookup Tables'!$AI$114:$AI$154='Lighting Inventory'!W149),FALSE),7)), IF(AND(BU149="N", V149="Exit Signs"), "$0.025 per kWh", CONCATENATE("$",INDEX('Lookup Tables'!$AH$6:$AN$102,MATCH(1,('Lookup Tables'!$AH$6:$AH$102='Lighting Inventory'!V149)*('Lookup Tables'!$AI$6:$AI$102='Lighting Inventory'!W149),FALSE),6)," ",INDEX('Lookup Tables'!$AH$6:$AN$102,MATCH(1,('Lookup Tables'!$AH$6:$AH$102='Lighting Inventory'!V149)*('Lookup Tables'!$AI$6:$AI$102='Lighting Inventory'!W149),FALSE),7))))), "")</f>
        <v/>
      </c>
      <c r="CG149" s="366"/>
      <c r="CH149" s="248" t="str">
        <f t="shared" si="409"/>
        <v/>
      </c>
      <c r="CI149" s="248" t="str">
        <f t="shared" si="410"/>
        <v>Select_IE</v>
      </c>
      <c r="CJ149" s="248" t="str">
        <f t="shared" si="411"/>
        <v/>
      </c>
      <c r="CK149" s="248" t="str">
        <f t="shared" si="412"/>
        <v/>
      </c>
      <c r="CL149" s="248" t="str">
        <f t="shared" si="413"/>
        <v/>
      </c>
      <c r="CM149" s="248" t="str">
        <f>IFERROR(IF(B149="", "", IF(B149="New Construction", VLOOKUP(V149, 'Lookup Tables'!$AF$114:$AG$120, 2, FALSE), VLOOKUP(V149, 'Lookup Tables'!$AD$6:$AE$25, 2, FALSE))), "")</f>
        <v/>
      </c>
      <c r="CN149" s="248" t="str">
        <f t="shared" si="414"/>
        <v/>
      </c>
      <c r="CO149" s="248" t="str">
        <f t="shared" si="415"/>
        <v/>
      </c>
      <c r="CP149" s="592" t="str">
        <f t="shared" si="416"/>
        <v/>
      </c>
      <c r="CQ149" s="248" t="str">
        <f t="shared" si="469"/>
        <v/>
      </c>
      <c r="CR149" s="100"/>
      <c r="CS149" s="250" t="str">
        <f t="shared" si="417"/>
        <v/>
      </c>
      <c r="CT149" s="250" t="str">
        <f t="shared" si="470"/>
        <v/>
      </c>
      <c r="CU149" s="250" t="str">
        <f t="shared" si="471"/>
        <v/>
      </c>
      <c r="CV149" s="250" t="str">
        <f t="shared" si="472"/>
        <v/>
      </c>
      <c r="CW149" s="250" t="str">
        <f t="shared" si="473"/>
        <v/>
      </c>
      <c r="CX149" s="250" t="str">
        <f t="shared" si="418"/>
        <v/>
      </c>
      <c r="CY149" s="250" t="str">
        <f t="shared" si="419"/>
        <v/>
      </c>
      <c r="CZ149" s="250" t="str">
        <f t="shared" si="420"/>
        <v/>
      </c>
      <c r="DA149" s="250" t="str">
        <f t="shared" si="421"/>
        <v/>
      </c>
      <c r="DB149" s="250" t="str">
        <f t="shared" si="422"/>
        <v/>
      </c>
      <c r="DC149" s="250" t="str">
        <f t="shared" si="423"/>
        <v/>
      </c>
      <c r="DD149" s="250" t="str">
        <f t="shared" si="424"/>
        <v/>
      </c>
      <c r="DE149" s="250" t="str">
        <f t="shared" si="425"/>
        <v/>
      </c>
      <c r="DF149" s="250" t="str">
        <f t="shared" si="426"/>
        <v/>
      </c>
      <c r="DG149" s="250" t="str">
        <f t="shared" si="427"/>
        <v/>
      </c>
      <c r="DH149" s="250" t="str">
        <f t="shared" si="428"/>
        <v/>
      </c>
      <c r="DI149" s="250" t="str">
        <f t="shared" si="429"/>
        <v/>
      </c>
      <c r="DJ149" s="250" t="str">
        <f t="shared" si="430"/>
        <v/>
      </c>
      <c r="DK149" s="250" t="str">
        <f t="shared" si="431"/>
        <v/>
      </c>
      <c r="DL149" s="250" t="str">
        <f t="shared" si="432"/>
        <v/>
      </c>
      <c r="DM149" s="250" t="str">
        <f>IF(CD149="ERROR", "ERROR", IF(AND(OR(Y149=$DM$6, Y149='Lookup Tables'!$AD$21, Y149='Lookup Tables'!$AD$22), E149="Interior"), BJ149, ""))</f>
        <v/>
      </c>
      <c r="DN149" s="250" t="str">
        <f>IF(CD149="ERROR", "ERROR", IF(AND(OR(Y149=$DM$6, Y149='Lookup Tables'!$AD$21, Y149='Lookup Tables'!$AD$22), E149="Exterior"), BJ149, ""))</f>
        <v/>
      </c>
      <c r="DO149" s="100"/>
      <c r="DP149" s="250" t="str">
        <f t="shared" si="433"/>
        <v/>
      </c>
      <c r="DQ149" s="250" t="str">
        <f t="shared" si="474"/>
        <v/>
      </c>
      <c r="DR149" s="250" t="str">
        <f t="shared" si="475"/>
        <v/>
      </c>
      <c r="DS149" s="250" t="str">
        <f t="shared" si="476"/>
        <v/>
      </c>
      <c r="DT149" s="250" t="str">
        <f t="shared" si="477"/>
        <v/>
      </c>
      <c r="DU149" s="250" t="str">
        <f t="shared" si="434"/>
        <v/>
      </c>
      <c r="DV149" s="250" t="str">
        <f t="shared" si="435"/>
        <v/>
      </c>
      <c r="DW149" s="250" t="str">
        <f t="shared" si="436"/>
        <v/>
      </c>
      <c r="DX149" s="250" t="str">
        <f t="shared" si="437"/>
        <v/>
      </c>
      <c r="DY149" s="250" t="str">
        <f t="shared" si="438"/>
        <v/>
      </c>
      <c r="DZ149" s="250" t="str">
        <f t="shared" si="439"/>
        <v/>
      </c>
      <c r="EA149" s="250" t="str">
        <f t="shared" si="440"/>
        <v/>
      </c>
      <c r="EB149" s="250" t="str">
        <f t="shared" si="478"/>
        <v/>
      </c>
      <c r="EC149" s="250" t="str">
        <f t="shared" si="441"/>
        <v/>
      </c>
      <c r="ED149" s="250" t="str">
        <f t="shared" si="442"/>
        <v/>
      </c>
      <c r="EE149" s="250" t="str">
        <f t="shared" si="443"/>
        <v/>
      </c>
      <c r="EF149" s="250" t="str">
        <f t="shared" si="444"/>
        <v/>
      </c>
      <c r="EG149" s="250" t="str">
        <f t="shared" si="445"/>
        <v/>
      </c>
      <c r="EH149" s="250" t="str">
        <f>IF(CD149="ERROR", "ERROR", IF(AND(OR($EH$6=Y149, Y149='Lookup Tables'!$AD$21, Y149='Lookup Tables'!$AD$22),E149="Interior"), SUM(BP149:BP149), ""))</f>
        <v/>
      </c>
      <c r="EI149" s="250" t="str">
        <f>IF(CD149="ERROR", "ERROR", IF(AND(OR($EH$6=Y149, Y149='Lookup Tables'!$AD$21, Y149='Lookup Tables'!$AD$22),E149="Exterior"), SUM(BP149:BP149), ""))</f>
        <v/>
      </c>
      <c r="EJ149" s="109"/>
      <c r="EK149" s="485" t="str">
        <f t="shared" si="446"/>
        <v/>
      </c>
      <c r="EL149" s="252" t="str">
        <f t="shared" si="479"/>
        <v/>
      </c>
      <c r="EM149" s="252" t="str">
        <f t="shared" si="480"/>
        <v/>
      </c>
      <c r="EN149" s="252" t="str">
        <f t="shared" si="481"/>
        <v/>
      </c>
      <c r="EO149" s="252" t="str">
        <f t="shared" si="482"/>
        <v/>
      </c>
      <c r="EP149" s="252" t="str">
        <f t="shared" si="483"/>
        <v/>
      </c>
      <c r="EQ149" s="252" t="str">
        <f t="shared" si="484"/>
        <v/>
      </c>
      <c r="ER149" s="252" t="str">
        <f t="shared" si="485"/>
        <v/>
      </c>
      <c r="ES149" s="252" t="str">
        <f t="shared" si="486"/>
        <v/>
      </c>
      <c r="ET149" s="252" t="str">
        <f t="shared" si="487"/>
        <v/>
      </c>
      <c r="EU149" s="252" t="str">
        <f t="shared" si="488"/>
        <v/>
      </c>
      <c r="EV149" s="252" t="str">
        <f t="shared" si="489"/>
        <v/>
      </c>
      <c r="EW149" s="252" t="str">
        <f t="shared" si="490"/>
        <v/>
      </c>
      <c r="EX149" s="252" t="str">
        <f t="shared" si="491"/>
        <v/>
      </c>
      <c r="EY149" s="252" t="str">
        <f t="shared" si="492"/>
        <v/>
      </c>
      <c r="EZ149" s="252" t="str">
        <f t="shared" si="493"/>
        <v/>
      </c>
      <c r="FA149" s="252" t="str">
        <f t="shared" si="494"/>
        <v/>
      </c>
      <c r="FB149" s="252" t="str">
        <f t="shared" si="495"/>
        <v/>
      </c>
      <c r="FC149" s="252" t="str">
        <f>IF(CD149="ERROR", "ERROR", IF(OR(V149="No Change", V149="Not DLC or Energy Star"), "", IF(AND(OR($FC$6=Y149,Y149='Lookup Tables'!$AD$21, Y149='Lookup Tables'!$AD$22),E149="Interior"), S149, "")))</f>
        <v/>
      </c>
      <c r="FD149" s="252" t="str">
        <f t="shared" si="496"/>
        <v/>
      </c>
      <c r="FE149" s="101"/>
      <c r="FF149" s="579" t="str" cm="1">
        <f t="array" ref="FF149">IFERROR(IF(OR(BQ149&lt;=0,AQ149&lt;20,AND(V149="Exit Signs",AN149&gt;0)),"",IF(AND(AQ149&gt;=20,AN149='Lookup Tables'!$R$101),'Lookup Tables'!$U$101*BQ149,AP149*LOOKUP(2,1/((AN149='Lookup Tables'!$R$91:$R$111)*(AQ149&gt;='Lookup Tables'!$S$91:$S$111)*(AQ149&lt;='Lookup Tables'!$T$91:$T$111)),'Lookup Tables'!$U$91:$U$111))),"")</f>
        <v/>
      </c>
      <c r="FG149" s="579"/>
      <c r="FH149" s="579"/>
      <c r="FI149" s="253" t="str">
        <f>IFERROR(ROUND(IF(CD149="ERROR", "ERROR", IF(AND($FI$7=X149,E149="Interior"),VLOOKUP(W149, 'Lookup Tables'!$AI$6:$AM$102, 5, FALSE)*BP149, "")), 2), "")</f>
        <v/>
      </c>
      <c r="FJ149" s="253" t="str">
        <f>IFERROR(ROUND(IF(CD149="ERROR", "ERROR", IF(AND($FI$7=X149,E149="Exterior"),VLOOKUP(W149, 'Lookup Tables'!$AI$6:$AM$102, 5, FALSE)*BP149, "")), 2), "")</f>
        <v/>
      </c>
      <c r="FK149" s="253" t="str">
        <f>IFERROR(ROUND(IF(CD149="ERROR", "ERROR", IF(AND($FK$7=X149,E149="Interior"),VLOOKUP(W149, 'Lookup Tables'!$AI$6:$AM$102, 5, FALSE)*BP149, "")), 2), "")</f>
        <v/>
      </c>
      <c r="FL149" s="253" t="str">
        <f>IFERROR(ROUND(IF(CD149="ERROR", "ERROR", IF(AND($FK$7=X149,E149="Exterior"),VLOOKUP(W149, 'Lookup Tables'!$AI$6:$AM$102, 5, FALSE)*BP149, "")), 2), "")</f>
        <v/>
      </c>
      <c r="FM149" s="253" t="str">
        <f>IFERROR(ROUND(IF(CD149="ERROR", "ERROR", IF(AND($FM$6=Y149,E149="Interior"), IF(GB149=0, VLOOKUP(W149, 'Lookup Tables'!$AI$6:$AM$102, 5, FALSE)*BP149, IF(VLOOKUP(W149, 'Lookup Tables'!$AI$6:$AM$102, 5, FALSE)*BP149&gt;GB149*'Lighting Inventory'!S149, GB149*'Lighting Inventory'!S149,VLOOKUP(W149, 'Lookup Tables'!$AI$6:$AM$102, 5, FALSE)*BP149)), "")), 2), "")</f>
        <v/>
      </c>
      <c r="FN149" s="253" t="str">
        <f>IFERROR(ROUND(IF(CD149="ERROR", "ERROR", IF(AND($FM$6=Y149,E149="Exterior"), IF(GB149=0, VLOOKUP(W149, 'Lookup Tables'!$AI$6:$AM$102, 5, FALSE)*BP149, IF(VLOOKUP(W149, 'Lookup Tables'!$AI$6:$AM$102, 5, FALSE)*BP149&gt;GB149*'Lighting Inventory'!S149, GB149*'Lighting Inventory'!S149,VLOOKUP(W149, 'Lookup Tables'!$AI$6:$AM$102, 5, FALSE)*BP149)), "")), 2), "")</f>
        <v/>
      </c>
      <c r="FO149" s="253" t="str">
        <f>IFERROR(ROUND(IF(CD149="ERROR", "ERROR", IF(AND($FO$6=Y149,E149="Interior"),VLOOKUP(W149, 'Lookup Tables'!$AI$6:$AM$102, 5, FALSE)*'Lighting Inventory'!AI149, "")), 2), "")</f>
        <v/>
      </c>
      <c r="FP149" s="253" t="str">
        <f>IFERROR(ROUND(IF(CD149="ERROR", "ERROR", IF(AND($FO$6=Y149,E149="Exterior"),VLOOKUP(W149, 'Lookup Tables'!$AI$6:$AM$102, 5, FALSE)*'Lighting Inventory'!AI149, "")), 2), "")</f>
        <v/>
      </c>
      <c r="FQ149" s="253" t="str">
        <f>IFERROR(ROUND(IF(CD149="ERROR", "ERROR", IF(AND($FQ$6=Y149,E149="Interior", BU149="Y"), VLOOKUP('Lighting Inventory'!W149, 'Lookup Tables'!$AI$6:$AM$102, 5, FALSE)*'Lighting Inventory'!S149, IF(AND($FQ$7=Y149,E149="Interior", BU149="N"), 0.025*CD149, ""))), 2), "")</f>
        <v/>
      </c>
      <c r="FR149" s="253" t="str">
        <f>IFERROR(ROUND(IF(CD149="ERROR", "ERROR", IF(AND($FQ$6=Y149,E149="Exterior"), VLOOKUP('Lighting Inventory'!W149, 'Lookup Tables'!$AI$6:$AM$102, 5, FALSE)*'Lighting Inventory'!S149, "")), 2), "")</f>
        <v/>
      </c>
      <c r="FS149" s="253" t="str">
        <f>IFERROR(ROUND(IF(CD149="ERROR", "ERROR", IF(AND($FS$6=Y149,E149="Exterior"), IF(GB149=0, VLOOKUP(W149, 'Lookup Tables'!$AI$6:$AM$102, 5, FALSE)*BP149, IF(VLOOKUP(W149, 'Lookup Tables'!$AI$6:$AM$102, 5, FALSE)*BP149&gt;GB149*'Lighting Inventory'!S149, GB149*'Lighting Inventory'!S149,VLOOKUP(W149, 'Lookup Tables'!$AI$6:$AM$102, 5, FALSE)*BP149)), "")), 2), "")</f>
        <v/>
      </c>
      <c r="FT149" s="253" t="str">
        <f>IFERROR(ROUND(IF(CD149="ERROR", "ERROR", IF(AND($FT$6=Y149,E149="Interior"), IF(GB149=0, VLOOKUP(W149, 'Lookup Tables'!$AI$6:$AM$102, 5, FALSE)*BP149, IF(VLOOKUP(W149, 'Lookup Tables'!$AI$6:$AM$102, 5, FALSE)*BP149&gt;GB149*'Lighting Inventory'!S149, GB149*'Lighting Inventory'!S149,VLOOKUP(W149, 'Lookup Tables'!$AI$6:$AM$102, 5, FALSE)*BP149)), "")), 2), "")</f>
        <v/>
      </c>
      <c r="FU149" s="253" t="str">
        <f>IFERROR(ROUND(IF(CD149="ERROR", "ERROR", IF(AND(Y149=$FU$6, E149="Interior"), IF(BS149="N", 'Lookup Tables'!$AM$101*BP149, VLOOKUP(W149, 'Lookup Tables'!$AI$6:$AM$102, 5, FALSE)*S149*AD149), "")), 2), "")</f>
        <v/>
      </c>
      <c r="FV149" s="253" t="str">
        <f>IFERROR(ROUND(IF(CD149="ERROR", "ERROR", IF(AND(Y149=$FU$6, E149="Exterior"), IF(BS149="N", 'Lookup Tables'!$AM$101*BP149, VLOOKUP(W149, 'Lookup Tables'!$AI$6:$AM$102, 5, FALSE)*S149*AD149), "")), 2), "")</f>
        <v/>
      </c>
      <c r="FW149" s="253" t="str">
        <f>IFERROR(ROUND(IF(CD149="ERROR", "ERROR", IF($FW$6=Y149, IF(BS149="N", 'Lookup Tables'!$AM$101*BP149, MIN((VLOOKUP(W149, 'Lookup Tables'!$AI$6:$AM$102, 5, FALSE)*BP149),GB149*AJ149)), "")), 2), "")</f>
        <v/>
      </c>
      <c r="FX149" s="253" t="str">
        <f>IFERROR(ROUND(IF(CD149="ERROR", "ERROR", IF(AND($FX$6=Y149, E149="Interior"), IF(VLOOKUP(W149, 'Lookup Tables'!$AI$6:$AM$102, 5, FALSE)*BP149&gt;'Lookup Tables'!$AQ$97*'Lighting Inventory'!S149,'Lighting Inventory'!S149*'Lookup Tables'!$AQ$97,VLOOKUP(W149, 'Lookup Tables'!$AI$6:$AM$102, 5, FALSE)*BP149), "")), 2), "")</f>
        <v/>
      </c>
      <c r="FY149" s="253" t="str">
        <f>IFERROR(ROUND(IF(CD149="ERROR", "ERROR", IF(AND($FX$6=Y149, E149="Exterior"), IF(VLOOKUP(W149, 'Lookup Tables'!$AI$6:$AM$102, 5, FALSE)*BP149&gt;'Lookup Tables'!$AQ$97*'Lighting Inventory'!S149,'Lighting Inventory'!S149*'Lookup Tables'!$AQ$97,VLOOKUP(W149, 'Lookup Tables'!$AI$6:$AM$102, 5, FALSE)*BP149), "")), 2), "")</f>
        <v/>
      </c>
      <c r="FZ149" s="253" t="str">
        <f>IFERROR(ROUND(IF(CD149="ERROR", "ERROR", IF(AND($FZ$6=Y149, E149="Interior"), IF(AND(OR(W149="Refrigerated Case Lighting with Doors", W149="Freezer Case Lighting"),Y149="Custom - Process Improvement"),CD149*'Lookup Tables'!$AM$101, IF(B149="Retrofit", IF(VLOOKUP(IF(V149="Custom", V149, W149), 'Lookup Tables'!$AI$6:$AM$102, 5, FALSE)*BP149&gt;GE149, GE149, VLOOKUP(IF(V149="Custom", V149, W149), 'Lookup Tables'!$AI$6:$AM$102, 5, FALSE)*BP149), IF(VLOOKUP(IF(V149="Custom", V149, W149), 'Lookup Tables'!$AI$114:$AM$154, 5, FALSE)*BP149&gt;GE149, GE149, VLOOKUP(IF(V149="Custom", V149, W149), 'Lookup Tables'!$AI$114:$AM$154, 5, FALSE)*BP149))), "")), 2),"")</f>
        <v/>
      </c>
      <c r="GA149" s="253" t="str">
        <f>IFERROR(ROUND(IF(CD149="ERROR", "ERROR", IF(AND($FZ$6=Y149, E149="Exterior"), IF(B149="Retrofit", IF(VLOOKUP(IF(V149="Custom", V149, W149), 'Lookup Tables'!$AI$6:$AM$102, 5, FALSE)*BP149&gt;GE149, GE149, VLOOKUP(IF(V149="Custom", V149, W149), 'Lookup Tables'!$AI$6:$AM$102, 5, FALSE)*BP149), IF(VLOOKUP(IF(V149="Custom", V149, W149), 'Lookup Tables'!$AI$114:$AM$154, 5, FALSE)*BP149&gt;GE149, GE149, VLOOKUP(IF(V149="Custom", V149, W149), 'Lookup Tables'!$AI$114:$AM$154, 5, FALSE)*BP149)), "")), 2),"")</f>
        <v/>
      </c>
      <c r="GB149" s="254" t="str">
        <f t="array" ref="GB149">IF(B149="","",IF(OR(V149="Custom",V149="No Change"),0,IF(B149="Retrofit", INDEX('Lookup Tables'!$AH$6:$AQ$102,MATCH(1,('Lookup Tables'!$AH$6:$AH$102='Lighting Inventory'!V149)*('Lookup Tables'!$AI$6:$AI$102='Lighting Inventory'!W149),FALSE),10),INDEX('Lookup Tables'!$AH$114:$AQ$154,MATCH(1,('Lookup Tables'!$AH$114:$AH$154='Lighting Inventory'!V149)*('Lookup Tables'!$AI$114:$AI$154='Lighting Inventory'!W149),FALSE),10))))</f>
        <v/>
      </c>
      <c r="GC149" s="255" t="str">
        <f t="shared" si="447"/>
        <v/>
      </c>
      <c r="GD149" s="250" t="str">
        <f t="shared" si="448"/>
        <v/>
      </c>
      <c r="GE149" s="253" t="str">
        <f>IFERROR(IF(AND(AF149="", 'General Information'!$F$18="No"),"", IF(AF149="", ((GD149/$CD$266)*$CF$266)*0.5, AF149*S149*0.5)), "")</f>
        <v/>
      </c>
      <c r="GF149" s="255" t="str">
        <f>IF(AND('General Information'!$F$19="", 'General Information'!$F$18="Yes",AF149="",BW149="Y"), "Y", "N")</f>
        <v>N</v>
      </c>
      <c r="GG149" s="255" t="s">
        <v>2946</v>
      </c>
      <c r="GH149" s="255" t="str">
        <f>IFERROR(IF(B149="", "", VLOOKUP(J149, 'Fixture Identities'!$A$6:$N$908, 14, FALSE)), "")</f>
        <v/>
      </c>
      <c r="GI149" s="389" t="str">
        <f>IF(OR(B149="", V149="", W149=""), "", IF(AND(OR(M149='Lookup Tables'!$R$18, M149='Lookup Tables'!$R$19, M149='Lookup Tables'!$R$20, M149='Lookup Tables'!$R$21, M149='Lookup Tables'!$R$22), OR(AN149='Lookup Tables'!$R$17, AN149='Lookup Tables'!$R$17, AN149="")), "Y", "N"))</f>
        <v/>
      </c>
      <c r="GJ149" s="255" t="str">
        <f t="shared" si="449"/>
        <v/>
      </c>
      <c r="GK149" s="255" t="str">
        <f t="shared" si="450"/>
        <v/>
      </c>
      <c r="GL149" s="255" t="str">
        <f t="shared" si="451"/>
        <v/>
      </c>
      <c r="GM149" s="255" t="str">
        <f>IF(AN149="", "", IF(AND(IF(ISNA(VLOOKUP(AN149,'Lookup Tables'!$R$18:$R$22,1,FALSE)), "N", "Y")="Y", E149="Exterior"), "Y", "N"))</f>
        <v/>
      </c>
      <c r="GN149" s="395"/>
      <c r="GO149" s="428">
        <f t="shared" si="497"/>
        <v>0</v>
      </c>
      <c r="GP149" s="428">
        <f t="shared" si="500"/>
        <v>0</v>
      </c>
      <c r="GQ149" s="428">
        <f t="shared" si="498"/>
        <v>0</v>
      </c>
      <c r="GR149" s="428">
        <f t="shared" si="499"/>
        <v>0</v>
      </c>
    </row>
    <row r="150" spans="1:200" s="103" customFormat="1" ht="13.5" customHeight="1" x14ac:dyDescent="0.2">
      <c r="A150" s="272">
        <v>140</v>
      </c>
      <c r="B150" s="110"/>
      <c r="C150" s="110"/>
      <c r="D150" s="110"/>
      <c r="E150" s="110"/>
      <c r="F150" s="110"/>
      <c r="G150" s="110"/>
      <c r="H150" s="110"/>
      <c r="I150" s="29"/>
      <c r="J150" s="29"/>
      <c r="K150" s="272" t="str">
        <f>IFERROR(IF(OR(VLOOKUP(J150, 'Fixture Identities'!$A$6:$L$1023, 3, FALSE)="T12 Linear Fluorescent", VLOOKUP(J150, 'Fixture Identities'!$A$6:$L$1023, 3, FALSE)="T12 U-Tube Fluorescent"), VLOOKUP(VLOOKUP(J150, 'Fixture Identities'!$A$6:$L$1023, 11, FALSE), 'Fixture Identities'!$A$6:$L$1023, 10, FALSE), VLOOKUP(J150, 'Fixture Identities'!$A$6:$L$1023, 10, FALSE)), "")</f>
        <v/>
      </c>
      <c r="L150" s="270" t="str">
        <f t="shared" si="502"/>
        <v/>
      </c>
      <c r="M150" s="110"/>
      <c r="N150" s="110"/>
      <c r="O150" s="110"/>
      <c r="P150" s="272" t="str">
        <f>IFERROR(IF(OR(B150="Retrofit",B150=""),"",IF('Lighting Inventory'!E150="Exterior",VLOOKUP('Lighting Inventory'!N150,'Lookup Tables'!$B$83:$F$103,5,FALSE),IF(N150="Other - Please Estimate EFLH and CFs","Contact Prog. Rep.","ft^2"))), "")</f>
        <v/>
      </c>
      <c r="Q150" s="270" t="str">
        <f>IFERROR(IF(AND(B150="New Construction",E150="Interior",$F$5="Space-by-Space"),VLOOKUP('Lighting Inventory'!N150,'Lookup Tables'!$N$6:$O$97,2,FALSE),IF(AND(B150="New Construction",E150="Exterior"),VLOOKUP(N150,'Lookup Tables'!$B$83:$F$103,2,FALSE),IF(AND(B150="New Construction",'Lighting Inventory'!E150="Interior", $F$5="Building Area"),VLOOKUP(F150,'Lookup Tables'!$A$6:$J$59,10,FALSE),""))), "")</f>
        <v/>
      </c>
      <c r="R150" s="270" t="str">
        <f>IFERROR(IF(P150="Contact Prog. Rep.", "ERROR", IF(OR(B150="",B150="Retrofit"),"",IF(N150="Automated teller machines", ('Lookup Tables'!$A$82:$E$100+('Lighting Inventory'!O150-1)*'Lookup Tables'!$A$82:$E$100)/1000, (Q150*O150)/1000))), "")</f>
        <v/>
      </c>
      <c r="S150" s="595"/>
      <c r="T150" s="105" t="str">
        <f t="shared" si="452"/>
        <v/>
      </c>
      <c r="U150" s="105" t="str">
        <f>IF(S150="","",COUNT($S$11:S150))</f>
        <v/>
      </c>
      <c r="V150" s="111"/>
      <c r="W150" s="112"/>
      <c r="X150" s="105" t="str">
        <f t="shared" si="453"/>
        <v/>
      </c>
      <c r="Y150" s="105" t="str">
        <f t="array" ref="Y150">IF(AND(OR(W150="Freezer Case Lighting", W150="Refrigerated Case Lighting with Doors"), 'General Information'!$X$18="LCI"),'Lookup Tables'!$Y$34, IF(V150="Custom", VLOOKUP(W150, 'Fixture Identities'!$A$974:$M$1023, 13, FALSE), IF(V150="No Change",'Lookup Tables'!$Y$29,IF(OR(V150="",W150=""),"",IF(AND(S150=0,S150&lt;I150,B150="Retrofit"),'Lookup Tables'!$Y$25, IF(B150="Retrofit", INDEX('Lookup Tables'!$AH$6:$AP$102, MATCH(1, ('Lookup Tables'!$AH$6:$AH$102=V150)*('Lookup Tables'!$AI$6:$AI$102=W150), 0), IF('Lighting Inventory'!E150="Interior", 4, 5)), INDEX('Lookup Tables'!$AH$114:$AP$154, MATCH(1, ('Lookup Tables'!$AH$114:$AH$154=V150)*('Lookup Tables'!$AI$114:$AI$154=W150), 0), IF('Lighting Inventory'!E150="Interior", 4, 5))))))))</f>
        <v/>
      </c>
      <c r="Z150" s="105" t="str">
        <f>IFERROR(INDEX('Lookup Tables'!$AH$158:$AH$172,MATCH('Lighting Inventory'!Y150,'Lookup Tables'!$AI$158:$AI$172,0)),"")</f>
        <v/>
      </c>
      <c r="AA150" s="105" t="str">
        <f>IF(AP150&gt;0,INDEX('Lookup Tables'!$AK$158:$AK$172,MATCH('Lighting Inventory'!Y150,'Lookup Tables'!$AI$158:$AI$172,0)),'Lighting Inventory'!Y150)</f>
        <v/>
      </c>
      <c r="AB150" s="105" t="str">
        <f t="array" ref="AB150">IF(V150="Custom", "Custom", IF(V150="", "", IF(V150="Not DLC or Energy Star", "General", IF(B150="New Construction", INDEX('Lookup Tables'!$AH$114:$AP$154,MATCH(1,('Lookup Tables'!$AH$114:$AH$154='Lighting Inventory'!V150)*('Lookup Tables'!$AI$114:$AI$154='Lighting Inventory'!W150),FALSE),8), INDEX('Lookup Tables'!$AH$6:$AP$102,MATCH(1,('Lookup Tables'!$AH$6:$AH$102='Lighting Inventory'!V150)*('Lookup Tables'!$AI$6:$AI$102='Lighting Inventory'!W150),FALSE),8)))))</f>
        <v/>
      </c>
      <c r="AC150" s="272" t="str">
        <f>IF(W150="","",IF(V150="Custom",CONCATENATE("$",'Lookup Tables'!$AM$101," ",'Lookup Tables'!$AN$101),CONCATENATE("$",INDEX('Lookup Tables'!$AM$6:$AM$102,MATCH('Lighting Inventory'!W150,'Lookup Tables'!$AI$6:$AI$102,0))," ",INDEX('Lookup Tables'!$AN$6:$AN$102,MATCH('Lighting Inventory'!W150,'Lookup Tables'!$AI$6:$AI$102,0)))))</f>
        <v/>
      </c>
      <c r="AD150" s="72"/>
      <c r="AE150" s="29"/>
      <c r="AF150" s="379"/>
      <c r="AG150" s="370" t="str">
        <f t="shared" si="401"/>
        <v/>
      </c>
      <c r="AH150" s="370" t="str">
        <f t="shared" si="454"/>
        <v/>
      </c>
      <c r="AI150" s="29"/>
      <c r="AJ150" s="29"/>
      <c r="AK150" s="110"/>
      <c r="AL150" s="375" t="str">
        <f>IF(OR(B150="", V150="", W150=""), "", IF(V150="No Change", K150, IF(V150="Remove Fixture", 0, IF(V150="Custom",VLOOKUP(W150,'Fixture Identities'!$A$6:$K$1023,10,FALSE),IF(AE150="", "← ENTER POST WATTS", 'Lighting Inventory'!AE150)))))</f>
        <v/>
      </c>
      <c r="AM150" s="376" t="str">
        <f t="shared" si="402"/>
        <v/>
      </c>
      <c r="AN150" s="29"/>
      <c r="AO150" s="671"/>
      <c r="AP150" s="29"/>
      <c r="AQ150" s="29"/>
      <c r="AR150" s="29"/>
      <c r="AS150" s="272" t="str">
        <f t="shared" si="455"/>
        <v/>
      </c>
      <c r="AT150" s="270" t="str">
        <f t="shared" si="403"/>
        <v/>
      </c>
      <c r="AU150" s="88" t="str">
        <f t="shared" si="503"/>
        <v/>
      </c>
      <c r="AV150" s="29"/>
      <c r="AW150" s="73"/>
      <c r="AX150" s="271" t="str">
        <f>IF(AND(AV150="Applicant",OR(AW150="", AW150="Use Default Facility Hours")),"← Choose Schedule",IF(F150="","",IF(W150="LED Exit Signs",8760,IF(OR(AV150="Prescribed",AV150=""),VLOOKUP(F150,'Lookup Tables'!$A$6:$G$59,IF(AB150="General", 6, 3),FALSE),VLOOKUP(AW150,'Lookup Tables'!$S$36:$U$43,2,FALSE)))))</f>
        <v/>
      </c>
      <c r="AY150" s="88" t="str">
        <f t="shared" si="404"/>
        <v/>
      </c>
      <c r="AZ150" s="270" t="str">
        <f>IFERROR(IF(F150="", "", IF(W150="LED Exit Signs", 1, IF(AV150="Applicant",VLOOKUP(AW150, 'Lookup Tables'!$S$36:$U$43,3, FALSE), VLOOKUP('Lighting Inventory'!F150, 'Lookup Tables'!$A$6:$H$59, IF('Lighting Inventory'!AB150="General",7,4), FALSE)))), "")</f>
        <v/>
      </c>
      <c r="BA150" s="522" t="str">
        <f>IFERROR(IF(F150="", "", IF(W150="LED Exit Signs", 1, VLOOKUP('Lighting Inventory'!F150, 'Lookup Tables'!$A$6:$H$59, IF('Lighting Inventory'!AB150="General",8,5), FALSE))), "")</f>
        <v/>
      </c>
      <c r="BB150" s="270" t="str">
        <f>IF(G150="", "", IF(E150="Exterior", 0, IF('Lighting Inventory'!G150="Air Conditioned", VLOOKUP(H150, 'Lookup Tables'!$R$6:$T$13, 2, FALSE), VLOOKUP('Lighting Inventory'!G150, 'Lookup Tables'!$R$6:$T$13, 2, FALSE))))</f>
        <v/>
      </c>
      <c r="BC150" s="522" t="str">
        <f>IF(G150="", "", IF(E150="Exterior", 0, IF('Lighting Inventory'!G150="Air Conditioned", VLOOKUP(H150, 'Lookup Tables'!$R$6:$T$13, 3, FALSE), VLOOKUP('Lighting Inventory'!G150, 'Lookup Tables'!$R$6:$T$13, 3, FALSE))))</f>
        <v/>
      </c>
      <c r="BD150" s="270" t="str">
        <f>IF(G150="", "", IF(E150="Exterior", 0, IF('Lighting Inventory'!G150="Air Conditioned", VLOOKUP(H150, 'Lookup Tables'!$R$6:$U$13, 4, FALSE), VLOOKUP('Lighting Inventory'!G150, 'Lookup Tables'!$R$6:$U$13, 4, FALSE))))</f>
        <v/>
      </c>
      <c r="BE150" s="270" t="str">
        <f>IFERROR(IF(B150="", "",  IF(B150="New Construction", VLOOKUP(F150, 'Lookup Tables'!$A$6:$K$59, 11, FALSE),IF(OR(AN150="", AN150="Light Switch"), 0, IF(OR(M150="",M150="None",V150= "LED Exit Signs"),0,_xlfn.XLOOKUP(M150,'Lookup Tables'!$R$91:$R$101,'Lookup Tables'!$V$91:$V$101))))), "")</f>
        <v/>
      </c>
      <c r="BF150" s="270" t="str">
        <f>IF(AND(OR(AN150="Light Switch",AN150=""),B150="New Construction"), VLOOKUP(F150, 'Lookup Tables'!$A$6:$K$59, 11, FALSE),IF(AN150="","",IF(B150="","",IF(OR(AN150="None",AN150="",V150="LED Exit Signs",AN150="Exterior Controls Not Eligible"),0,_xlfn.XLOOKUP(AN150,'Lookup Tables'!$R$91:$R$101,'Lookup Tables'!$V$91:$V$101)))))</f>
        <v/>
      </c>
      <c r="BG150" s="88" t="str">
        <f t="shared" si="456"/>
        <v/>
      </c>
      <c r="BH150" s="88" t="str">
        <f t="shared" si="457"/>
        <v/>
      </c>
      <c r="BI150" s="558" t="str">
        <f t="shared" si="501"/>
        <v/>
      </c>
      <c r="BJ150" s="82" t="str">
        <f t="shared" si="458"/>
        <v/>
      </c>
      <c r="BK150" s="82" t="str">
        <f t="shared" si="459"/>
        <v/>
      </c>
      <c r="BL150" s="559" t="str">
        <f t="shared" si="460"/>
        <v/>
      </c>
      <c r="BM150" s="521" t="str">
        <f t="shared" si="405"/>
        <v/>
      </c>
      <c r="BN150" s="521" t="str">
        <f t="shared" si="406"/>
        <v/>
      </c>
      <c r="BO150" s="522" t="str">
        <f t="shared" si="407"/>
        <v/>
      </c>
      <c r="BP150" s="83" t="str">
        <f t="shared" si="461"/>
        <v/>
      </c>
      <c r="BQ150" s="84" t="str">
        <f t="shared" si="462"/>
        <v/>
      </c>
      <c r="BR150" s="184" t="str">
        <f>IFERROR(IF(B150="", "", IF(OR(VLOOKUP(J150, 'Fixture Identities'!$A$6:$L$1023, 3, FALSE)="T12 Linear Fluorescent",VLOOKUP(J150, 'Fixture Identities'!$A$6:$L$1023, 3, FALSE)="T12 U-Tube Fluorescent"), "Y", "N")), "N")</f>
        <v/>
      </c>
      <c r="BS150" s="184" t="str">
        <f t="array" ref="BS150">IFERROR(IF(OR(B150="", V150="", W150=""), "", IF(V150="Custom", "N", IF(OR(W150="Freezer Case Lighting", W150="Refrigerated Case Lighting with Doors"), BT150, IF(B150="Retrofit", INDEX('Lookup Tables'!$AH$6:$AT$102,MATCH(1,('Lookup Tables'!$AH$6:$AH$102=V150)*('Lookup Tables'!$AI$6:$AI$102=W150),FALSE),IF(VLOOKUP(J150, 'Fixture Identities'!$A$6:$B$1023, 2, FALSE)="Incandescent",12, 13)), INDEX('Lookup Tables'!$AH$114:$AS$154,MATCH(1,('Lookup Tables'!$AH$114:$AH$154=V150)*('Lookup Tables'!$AI$114:$AI$154=W150),FALSE),12))))), "N")</f>
        <v/>
      </c>
      <c r="BT150" s="184" t="str">
        <f>IF(J150="", "", IF(AND(OR(W150="Freezer case Lighting", W150="Refrigerated Case Lighting with Doors"),'General Information'!$X$18="LCI"), "N", IF(OR(VLOOKUP(J150, 'Fixture Identities'!$A$6:$B$1023, 2, FALSE)="T12 EPACT/EISA Baseline", VLOOKUP(J150, 'Fixture Identities'!$A$6:$B$1023, 2, FALSE)="Linear Fluorescent", VLOOKUP(J150, 'Fixture Identities'!$A$6:$B$1023, 2, FALSE)="U-Tube Fluorescent"), "Y", "N")))</f>
        <v/>
      </c>
      <c r="BU150" s="184" t="str">
        <f>IFERROR(IF(B150="", "", IF(VLOOKUP(J150, 'Fixture Identities'!$A$6:$B$1023, 2, FALSE)="Exit Sign", "Y", "N")), "N")</f>
        <v/>
      </c>
      <c r="BV150" s="184" t="str">
        <f>IF(V150="Exit Signs", IF(VLOOKUP(J150, 'Fixture Identities'!$A$6:$B$1023, 2, FALSE)="Exit Sign", "N", "Y"), "")</f>
        <v/>
      </c>
      <c r="BW150" s="184" t="str">
        <f t="array" ref="BW150">IFERROR(IF(B150="", "", IF(B150="New Construction", "N", INDEX('Lookup Tables'!$AH$6:$AU$102, MATCH(1, ('Lookup Tables'!$AH$6:$AH$102='Lighting Inventory'!V150)*('Lookup Tables'!$AI$6:$AI$102='Lighting Inventory'!W150), 0), 14))), "N")</f>
        <v/>
      </c>
      <c r="BX150" s="598" t="str">
        <f t="shared" si="463"/>
        <v/>
      </c>
      <c r="BY150" s="598" t="str">
        <f t="shared" si="464"/>
        <v/>
      </c>
      <c r="BZ150" s="598" t="str">
        <f t="shared" si="465"/>
        <v/>
      </c>
      <c r="CA150" s="598" t="str">
        <f t="shared" si="466"/>
        <v/>
      </c>
      <c r="CB150" s="269" t="str">
        <f t="shared" si="467"/>
        <v/>
      </c>
      <c r="CC150" s="517" t="str">
        <f t="shared" si="468"/>
        <v/>
      </c>
      <c r="CD150" s="565" t="str">
        <f t="shared" si="408"/>
        <v/>
      </c>
      <c r="CE150" s="368">
        <v>0</v>
      </c>
      <c r="CF150" s="368" t="str" cm="1">
        <f t="array" ref="CF150">IFERROR(IF(V150="Custom", "$0.1 per kWh", IF(B150="New Construction", CONCATENATE("$",INDEX('Lookup Tables'!$AH$114:$AN$154,MATCH(1,('Lookup Tables'!$AH$114:$AH$154='Lighting Inventory'!V150)*('Lookup Tables'!$AI$114:$AI$154='Lighting Inventory'!W150),FALSE),6)," ",INDEX('Lookup Tables'!$AH$114:$AN$154,MATCH(1,('Lookup Tables'!$AH$114:$AH$154='Lighting Inventory'!V150)*('Lookup Tables'!$AI$114:$AI$154='Lighting Inventory'!W150),FALSE),7)), IF(AND(BU150="N", V150="Exit Signs"), "$0.025 per kWh", CONCATENATE("$",INDEX('Lookup Tables'!$AH$6:$AN$102,MATCH(1,('Lookup Tables'!$AH$6:$AH$102='Lighting Inventory'!V150)*('Lookup Tables'!$AI$6:$AI$102='Lighting Inventory'!W150),FALSE),6)," ",INDEX('Lookup Tables'!$AH$6:$AN$102,MATCH(1,('Lookup Tables'!$AH$6:$AH$102='Lighting Inventory'!V150)*('Lookup Tables'!$AI$6:$AI$102='Lighting Inventory'!W150),FALSE),7))))), "")</f>
        <v/>
      </c>
      <c r="CG150" s="366"/>
      <c r="CH150" s="248" t="str">
        <f t="shared" si="409"/>
        <v/>
      </c>
      <c r="CI150" s="248" t="str">
        <f t="shared" si="410"/>
        <v>Select_IE</v>
      </c>
      <c r="CJ150" s="248" t="str">
        <f t="shared" si="411"/>
        <v/>
      </c>
      <c r="CK150" s="248" t="str">
        <f t="shared" si="412"/>
        <v/>
      </c>
      <c r="CL150" s="248" t="str">
        <f t="shared" si="413"/>
        <v/>
      </c>
      <c r="CM150" s="248" t="str">
        <f>IFERROR(IF(B150="", "", IF(B150="New Construction", VLOOKUP(V150, 'Lookup Tables'!$AF$114:$AG$120, 2, FALSE), VLOOKUP(V150, 'Lookup Tables'!$AD$6:$AE$25, 2, FALSE))), "")</f>
        <v/>
      </c>
      <c r="CN150" s="248" t="str">
        <f t="shared" si="414"/>
        <v/>
      </c>
      <c r="CO150" s="248" t="str">
        <f t="shared" si="415"/>
        <v/>
      </c>
      <c r="CP150" s="592" t="str">
        <f t="shared" si="416"/>
        <v/>
      </c>
      <c r="CQ150" s="248" t="str">
        <f t="shared" si="469"/>
        <v/>
      </c>
      <c r="CR150" s="249"/>
      <c r="CS150" s="250" t="str">
        <f t="shared" si="417"/>
        <v/>
      </c>
      <c r="CT150" s="250" t="str">
        <f t="shared" si="470"/>
        <v/>
      </c>
      <c r="CU150" s="250" t="str">
        <f t="shared" si="471"/>
        <v/>
      </c>
      <c r="CV150" s="250" t="str">
        <f t="shared" si="472"/>
        <v/>
      </c>
      <c r="CW150" s="250" t="str">
        <f t="shared" si="473"/>
        <v/>
      </c>
      <c r="CX150" s="250" t="str">
        <f t="shared" si="418"/>
        <v/>
      </c>
      <c r="CY150" s="250" t="str">
        <f t="shared" si="419"/>
        <v/>
      </c>
      <c r="CZ150" s="250" t="str">
        <f t="shared" si="420"/>
        <v/>
      </c>
      <c r="DA150" s="250" t="str">
        <f t="shared" si="421"/>
        <v/>
      </c>
      <c r="DB150" s="250" t="str">
        <f t="shared" si="422"/>
        <v/>
      </c>
      <c r="DC150" s="250" t="str">
        <f t="shared" si="423"/>
        <v/>
      </c>
      <c r="DD150" s="250" t="str">
        <f t="shared" si="424"/>
        <v/>
      </c>
      <c r="DE150" s="250" t="str">
        <f t="shared" si="425"/>
        <v/>
      </c>
      <c r="DF150" s="250" t="str">
        <f t="shared" si="426"/>
        <v/>
      </c>
      <c r="DG150" s="250" t="str">
        <f t="shared" si="427"/>
        <v/>
      </c>
      <c r="DH150" s="250" t="str">
        <f t="shared" si="428"/>
        <v/>
      </c>
      <c r="DI150" s="250" t="str">
        <f t="shared" si="429"/>
        <v/>
      </c>
      <c r="DJ150" s="250" t="str">
        <f t="shared" si="430"/>
        <v/>
      </c>
      <c r="DK150" s="250" t="str">
        <f t="shared" si="431"/>
        <v/>
      </c>
      <c r="DL150" s="250" t="str">
        <f t="shared" si="432"/>
        <v/>
      </c>
      <c r="DM150" s="250" t="str">
        <f>IF(CD150="ERROR", "ERROR", IF(AND(OR(Y150=$DM$6, Y150='Lookup Tables'!$AD$21, Y150='Lookup Tables'!$AD$22), E150="Interior"), BJ150, ""))</f>
        <v/>
      </c>
      <c r="DN150" s="250" t="str">
        <f>IF(CD150="ERROR", "ERROR", IF(AND(OR(Y150=$DM$6, Y150='Lookup Tables'!$AD$21, Y150='Lookup Tables'!$AD$22), E150="Exterior"), BJ150, ""))</f>
        <v/>
      </c>
      <c r="DO150" s="249"/>
      <c r="DP150" s="250" t="str">
        <f t="shared" si="433"/>
        <v/>
      </c>
      <c r="DQ150" s="250" t="str">
        <f t="shared" si="474"/>
        <v/>
      </c>
      <c r="DR150" s="250" t="str">
        <f t="shared" si="475"/>
        <v/>
      </c>
      <c r="DS150" s="250" t="str">
        <f t="shared" si="476"/>
        <v/>
      </c>
      <c r="DT150" s="250" t="str">
        <f t="shared" si="477"/>
        <v/>
      </c>
      <c r="DU150" s="250" t="str">
        <f t="shared" si="434"/>
        <v/>
      </c>
      <c r="DV150" s="250" t="str">
        <f t="shared" si="435"/>
        <v/>
      </c>
      <c r="DW150" s="250" t="str">
        <f t="shared" si="436"/>
        <v/>
      </c>
      <c r="DX150" s="250" t="str">
        <f t="shared" si="437"/>
        <v/>
      </c>
      <c r="DY150" s="250" t="str">
        <f t="shared" si="438"/>
        <v/>
      </c>
      <c r="DZ150" s="250" t="str">
        <f t="shared" si="439"/>
        <v/>
      </c>
      <c r="EA150" s="250" t="str">
        <f t="shared" si="440"/>
        <v/>
      </c>
      <c r="EB150" s="250" t="str">
        <f t="shared" si="478"/>
        <v/>
      </c>
      <c r="EC150" s="250" t="str">
        <f t="shared" si="441"/>
        <v/>
      </c>
      <c r="ED150" s="250" t="str">
        <f t="shared" si="442"/>
        <v/>
      </c>
      <c r="EE150" s="250" t="str">
        <f t="shared" si="443"/>
        <v/>
      </c>
      <c r="EF150" s="250" t="str">
        <f t="shared" si="444"/>
        <v/>
      </c>
      <c r="EG150" s="250" t="str">
        <f t="shared" si="445"/>
        <v/>
      </c>
      <c r="EH150" s="250" t="str">
        <f>IF(CD150="ERROR", "ERROR", IF(AND(OR($EH$6=Y150, Y150='Lookup Tables'!$AD$21, Y150='Lookup Tables'!$AD$22),E150="Interior"), SUM(BP150:BP150), ""))</f>
        <v/>
      </c>
      <c r="EI150" s="250" t="str">
        <f>IF(CD150="ERROR", "ERROR", IF(AND(OR($EH$6=Y150, Y150='Lookup Tables'!$AD$21, Y150='Lookup Tables'!$AD$22),E150="Exterior"), SUM(BP150:BP150), ""))</f>
        <v/>
      </c>
      <c r="EJ150" s="109"/>
      <c r="EK150" s="485" t="str">
        <f t="shared" si="446"/>
        <v/>
      </c>
      <c r="EL150" s="252" t="str">
        <f t="shared" si="479"/>
        <v/>
      </c>
      <c r="EM150" s="252" t="str">
        <f t="shared" si="480"/>
        <v/>
      </c>
      <c r="EN150" s="252" t="str">
        <f t="shared" si="481"/>
        <v/>
      </c>
      <c r="EO150" s="252" t="str">
        <f t="shared" si="482"/>
        <v/>
      </c>
      <c r="EP150" s="252" t="str">
        <f t="shared" si="483"/>
        <v/>
      </c>
      <c r="EQ150" s="252" t="str">
        <f t="shared" si="484"/>
        <v/>
      </c>
      <c r="ER150" s="252" t="str">
        <f t="shared" si="485"/>
        <v/>
      </c>
      <c r="ES150" s="252" t="str">
        <f t="shared" si="486"/>
        <v/>
      </c>
      <c r="ET150" s="252" t="str">
        <f t="shared" si="487"/>
        <v/>
      </c>
      <c r="EU150" s="252" t="str">
        <f t="shared" si="488"/>
        <v/>
      </c>
      <c r="EV150" s="252" t="str">
        <f t="shared" si="489"/>
        <v/>
      </c>
      <c r="EW150" s="252" t="str">
        <f t="shared" si="490"/>
        <v/>
      </c>
      <c r="EX150" s="252" t="str">
        <f t="shared" si="491"/>
        <v/>
      </c>
      <c r="EY150" s="252" t="str">
        <f t="shared" si="492"/>
        <v/>
      </c>
      <c r="EZ150" s="252" t="str">
        <f t="shared" si="493"/>
        <v/>
      </c>
      <c r="FA150" s="252" t="str">
        <f t="shared" si="494"/>
        <v/>
      </c>
      <c r="FB150" s="252" t="str">
        <f t="shared" si="495"/>
        <v/>
      </c>
      <c r="FC150" s="252" t="str">
        <f>IF(CD150="ERROR", "ERROR", IF(OR(V150="No Change", V150="Not DLC or Energy Star"), "", IF(AND(OR($FC$6=Y150,Y150='Lookup Tables'!$AD$21, Y150='Lookup Tables'!$AD$22),E150="Interior"), S150, "")))</f>
        <v/>
      </c>
      <c r="FD150" s="252" t="str">
        <f t="shared" si="496"/>
        <v/>
      </c>
      <c r="FE150" s="1"/>
      <c r="FF150" s="579" t="str" cm="1">
        <f t="array" ref="FF150">IFERROR(IF(OR(BQ150&lt;=0,AQ150&lt;20,AND(V150="Exit Signs",AN150&gt;0)),"",IF(AND(AQ150&gt;=20,AN150='Lookup Tables'!$R$101),'Lookup Tables'!$U$101*BQ150,AP150*LOOKUP(2,1/((AN150='Lookup Tables'!$R$91:$R$111)*(AQ150&gt;='Lookup Tables'!$S$91:$S$111)*(AQ150&lt;='Lookup Tables'!$T$91:$T$111)),'Lookup Tables'!$U$91:$U$111))),"")</f>
        <v/>
      </c>
      <c r="FG150" s="579"/>
      <c r="FH150" s="579"/>
      <c r="FI150" s="253" t="str">
        <f>IFERROR(ROUND(IF(CD150="ERROR", "ERROR", IF(AND($FI$7=X150,E150="Interior"),VLOOKUP(W150, 'Lookup Tables'!$AI$6:$AM$102, 5, FALSE)*BP150, "")), 2), "")</f>
        <v/>
      </c>
      <c r="FJ150" s="253" t="str">
        <f>IFERROR(ROUND(IF(CD150="ERROR", "ERROR", IF(AND($FI$7=X150,E150="Exterior"),VLOOKUP(W150, 'Lookup Tables'!$AI$6:$AM$102, 5, FALSE)*BP150, "")), 2), "")</f>
        <v/>
      </c>
      <c r="FK150" s="253" t="str">
        <f>IFERROR(ROUND(IF(CD150="ERROR", "ERROR", IF(AND($FK$7=X150,E150="Interior"),VLOOKUP(W150, 'Lookup Tables'!$AI$6:$AM$102, 5, FALSE)*BP150, "")), 2), "")</f>
        <v/>
      </c>
      <c r="FL150" s="253" t="str">
        <f>IFERROR(ROUND(IF(CD150="ERROR", "ERROR", IF(AND($FK$7=X150,E150="Exterior"),VLOOKUP(W150, 'Lookup Tables'!$AI$6:$AM$102, 5, FALSE)*BP150, "")), 2), "")</f>
        <v/>
      </c>
      <c r="FM150" s="253" t="str">
        <f>IFERROR(ROUND(IF(CD150="ERROR", "ERROR", IF(AND($FM$6=Y150,E150="Interior"), IF(GB150=0, VLOOKUP(W150, 'Lookup Tables'!$AI$6:$AM$102, 5, FALSE)*BP150, IF(VLOOKUP(W150, 'Lookup Tables'!$AI$6:$AM$102, 5, FALSE)*BP150&gt;GB150*'Lighting Inventory'!S150, GB150*'Lighting Inventory'!S150,VLOOKUP(W150, 'Lookup Tables'!$AI$6:$AM$102, 5, FALSE)*BP150)), "")), 2), "")</f>
        <v/>
      </c>
      <c r="FN150" s="253" t="str">
        <f>IFERROR(ROUND(IF(CD150="ERROR", "ERROR", IF(AND($FM$6=Y150,E150="Exterior"), IF(GB150=0, VLOOKUP(W150, 'Lookup Tables'!$AI$6:$AM$102, 5, FALSE)*BP150, IF(VLOOKUP(W150, 'Lookup Tables'!$AI$6:$AM$102, 5, FALSE)*BP150&gt;GB150*'Lighting Inventory'!S150, GB150*'Lighting Inventory'!S150,VLOOKUP(W150, 'Lookup Tables'!$AI$6:$AM$102, 5, FALSE)*BP150)), "")), 2), "")</f>
        <v/>
      </c>
      <c r="FO150" s="253" t="str">
        <f>IFERROR(ROUND(IF(CD150="ERROR", "ERROR", IF(AND($FO$6=Y150,E150="Interior"),VLOOKUP(W150, 'Lookup Tables'!$AI$6:$AM$102, 5, FALSE)*'Lighting Inventory'!AI150, "")), 2), "")</f>
        <v/>
      </c>
      <c r="FP150" s="253" t="str">
        <f>IFERROR(ROUND(IF(CD150="ERROR", "ERROR", IF(AND($FO$6=Y150,E150="Exterior"),VLOOKUP(W150, 'Lookup Tables'!$AI$6:$AM$102, 5, FALSE)*'Lighting Inventory'!AI150, "")), 2), "")</f>
        <v/>
      </c>
      <c r="FQ150" s="253" t="str">
        <f>IFERROR(ROUND(IF(CD150="ERROR", "ERROR", IF(AND($FQ$6=Y150,E150="Interior", BU150="Y"), VLOOKUP('Lighting Inventory'!W150, 'Lookup Tables'!$AI$6:$AM$102, 5, FALSE)*'Lighting Inventory'!S150, IF(AND($FQ$7=Y150,E150="Interior", BU150="N"), 0.025*CD150, ""))), 2), "")</f>
        <v/>
      </c>
      <c r="FR150" s="253" t="str">
        <f>IFERROR(ROUND(IF(CD150="ERROR", "ERROR", IF(AND($FQ$6=Y150,E150="Exterior"), VLOOKUP('Lighting Inventory'!W150, 'Lookup Tables'!$AI$6:$AM$102, 5, FALSE)*'Lighting Inventory'!S150, "")), 2), "")</f>
        <v/>
      </c>
      <c r="FS150" s="253" t="str">
        <f>IFERROR(ROUND(IF(CD150="ERROR", "ERROR", IF(AND($FS$6=Y150,E150="Exterior"), IF(GB150=0, VLOOKUP(W150, 'Lookup Tables'!$AI$6:$AM$102, 5, FALSE)*BP150, IF(VLOOKUP(W150, 'Lookup Tables'!$AI$6:$AM$102, 5, FALSE)*BP150&gt;GB150*'Lighting Inventory'!S150, GB150*'Lighting Inventory'!S150,VLOOKUP(W150, 'Lookup Tables'!$AI$6:$AM$102, 5, FALSE)*BP150)), "")), 2), "")</f>
        <v/>
      </c>
      <c r="FT150" s="253" t="str">
        <f>IFERROR(ROUND(IF(CD150="ERROR", "ERROR", IF(AND($FT$6=Y150,E150="Interior"), IF(GB150=0, VLOOKUP(W150, 'Lookup Tables'!$AI$6:$AM$102, 5, FALSE)*BP150, IF(VLOOKUP(W150, 'Lookup Tables'!$AI$6:$AM$102, 5, FALSE)*BP150&gt;GB150*'Lighting Inventory'!S150, GB150*'Lighting Inventory'!S150,VLOOKUP(W150, 'Lookup Tables'!$AI$6:$AM$102, 5, FALSE)*BP150)), "")), 2), "")</f>
        <v/>
      </c>
      <c r="FU150" s="253" t="str">
        <f>IFERROR(ROUND(IF(CD150="ERROR", "ERROR", IF(AND(Y150=$FU$6, E150="Interior"), IF(BS150="N", 'Lookup Tables'!$AM$101*BP150, VLOOKUP(W150, 'Lookup Tables'!$AI$6:$AM$102, 5, FALSE)*S150*AD150), "")), 2), "")</f>
        <v/>
      </c>
      <c r="FV150" s="253" t="str">
        <f>IFERROR(ROUND(IF(CD150="ERROR", "ERROR", IF(AND(Y150=$FU$6, E150="Exterior"), IF(BS150="N", 'Lookup Tables'!$AM$101*BP150, VLOOKUP(W150, 'Lookup Tables'!$AI$6:$AM$102, 5, FALSE)*S150*AD150), "")), 2), "")</f>
        <v/>
      </c>
      <c r="FW150" s="253" t="str">
        <f>IFERROR(ROUND(IF(CD150="ERROR", "ERROR", IF($FW$6=Y150, IF(BS150="N", 'Lookup Tables'!$AM$101*BP150, MIN((VLOOKUP(W150, 'Lookup Tables'!$AI$6:$AM$102, 5, FALSE)*BP150),GB150*AJ150)), "")), 2), "")</f>
        <v/>
      </c>
      <c r="FX150" s="253" t="str">
        <f>IFERROR(ROUND(IF(CD150="ERROR", "ERROR", IF(AND($FX$6=Y150, E150="Interior"), IF(VLOOKUP(W150, 'Lookup Tables'!$AI$6:$AM$102, 5, FALSE)*BP150&gt;'Lookup Tables'!$AQ$97*'Lighting Inventory'!S150,'Lighting Inventory'!S150*'Lookup Tables'!$AQ$97,VLOOKUP(W150, 'Lookup Tables'!$AI$6:$AM$102, 5, FALSE)*BP150), "")), 2), "")</f>
        <v/>
      </c>
      <c r="FY150" s="253" t="str">
        <f>IFERROR(ROUND(IF(CD150="ERROR", "ERROR", IF(AND($FX$6=Y150, E150="Exterior"), IF(VLOOKUP(W150, 'Lookup Tables'!$AI$6:$AM$102, 5, FALSE)*BP150&gt;'Lookup Tables'!$AQ$97*'Lighting Inventory'!S150,'Lighting Inventory'!S150*'Lookup Tables'!$AQ$97,VLOOKUP(W150, 'Lookup Tables'!$AI$6:$AM$102, 5, FALSE)*BP150), "")), 2), "")</f>
        <v/>
      </c>
      <c r="FZ150" s="253" t="str">
        <f>IFERROR(ROUND(IF(CD150="ERROR", "ERROR", IF(AND($FZ$6=Y150, E150="Interior"), IF(AND(OR(W150="Refrigerated Case Lighting with Doors", W150="Freezer Case Lighting"),Y150="Custom - Process Improvement"),CD150*'Lookup Tables'!$AM$101, IF(B150="Retrofit", IF(VLOOKUP(IF(V150="Custom", V150, W150), 'Lookup Tables'!$AI$6:$AM$102, 5, FALSE)*BP150&gt;GE150, GE150, VLOOKUP(IF(V150="Custom", V150, W150), 'Lookup Tables'!$AI$6:$AM$102, 5, FALSE)*BP150), IF(VLOOKUP(IF(V150="Custom", V150, W150), 'Lookup Tables'!$AI$114:$AM$154, 5, FALSE)*BP150&gt;GE150, GE150, VLOOKUP(IF(V150="Custom", V150, W150), 'Lookup Tables'!$AI$114:$AM$154, 5, FALSE)*BP150))), "")), 2),"")</f>
        <v/>
      </c>
      <c r="GA150" s="253" t="str">
        <f>IFERROR(ROUND(IF(CD150="ERROR", "ERROR", IF(AND($FZ$6=Y150, E150="Exterior"), IF(B150="Retrofit", IF(VLOOKUP(IF(V150="Custom", V150, W150), 'Lookup Tables'!$AI$6:$AM$102, 5, FALSE)*BP150&gt;GE150, GE150, VLOOKUP(IF(V150="Custom", V150, W150), 'Lookup Tables'!$AI$6:$AM$102, 5, FALSE)*BP150), IF(VLOOKUP(IF(V150="Custom", V150, W150), 'Lookup Tables'!$AI$114:$AM$154, 5, FALSE)*BP150&gt;GE150, GE150, VLOOKUP(IF(V150="Custom", V150, W150), 'Lookup Tables'!$AI$114:$AM$154, 5, FALSE)*BP150)), "")), 2),"")</f>
        <v/>
      </c>
      <c r="GB150" s="254" t="str">
        <f t="array" ref="GB150">IF(B150="","",IF(OR(V150="Custom",V150="No Change"),0,IF(B150="Retrofit", INDEX('Lookup Tables'!$AH$6:$AQ$102,MATCH(1,('Lookup Tables'!$AH$6:$AH$102='Lighting Inventory'!V150)*('Lookup Tables'!$AI$6:$AI$102='Lighting Inventory'!W150),FALSE),10),INDEX('Lookup Tables'!$AH$114:$AQ$154,MATCH(1,('Lookup Tables'!$AH$114:$AH$154='Lighting Inventory'!V150)*('Lookup Tables'!$AI$114:$AI$154='Lighting Inventory'!W150),FALSE),10))))</f>
        <v/>
      </c>
      <c r="GC150" s="255" t="str">
        <f t="shared" si="447"/>
        <v/>
      </c>
      <c r="GD150" s="250" t="str">
        <f t="shared" si="448"/>
        <v/>
      </c>
      <c r="GE150" s="253" t="str">
        <f>IFERROR(IF(AND(AF150="", 'General Information'!$F$18="No"),"", IF(AF150="", ((GD150/$CD$266)*$CF$266)*0.5, AF150*S150*0.5)), "")</f>
        <v/>
      </c>
      <c r="GF150" s="255" t="str">
        <f>IF(AND('General Information'!$F$19="", 'General Information'!$F$18="Yes",AF150="",BW150="Y"), "Y", "N")</f>
        <v>N</v>
      </c>
      <c r="GG150" s="255" t="s">
        <v>2946</v>
      </c>
      <c r="GH150" s="255" t="str">
        <f>IFERROR(IF(B150="", "", VLOOKUP(J150, 'Fixture Identities'!$A$6:$N$908, 14, FALSE)), "")</f>
        <v/>
      </c>
      <c r="GI150" s="389" t="str">
        <f>IF(OR(B150="", V150="", W150=""), "", IF(AND(OR(M150='Lookup Tables'!$R$18, M150='Lookup Tables'!$R$19, M150='Lookup Tables'!$R$20, M150='Lookup Tables'!$R$21, M150='Lookup Tables'!$R$22), OR(AN150='Lookup Tables'!$R$17, AN150='Lookup Tables'!$R$17, AN150="")), "Y", "N"))</f>
        <v/>
      </c>
      <c r="GJ150" s="255" t="str">
        <f t="shared" si="449"/>
        <v/>
      </c>
      <c r="GK150" s="255" t="str">
        <f t="shared" si="450"/>
        <v/>
      </c>
      <c r="GL150" s="255" t="str">
        <f t="shared" si="451"/>
        <v/>
      </c>
      <c r="GM150" s="255" t="str">
        <f>IF(AN150="", "", IF(AND(IF(ISNA(VLOOKUP(AN150,'Lookup Tables'!$R$18:$R$22,1,FALSE)), "N", "Y")="Y", E150="Exterior"), "Y", "N"))</f>
        <v/>
      </c>
      <c r="GN150" s="395"/>
      <c r="GO150" s="428">
        <f t="shared" si="497"/>
        <v>0</v>
      </c>
      <c r="GP150" s="428">
        <f t="shared" si="500"/>
        <v>0</v>
      </c>
      <c r="GQ150" s="428">
        <f t="shared" si="498"/>
        <v>0</v>
      </c>
      <c r="GR150" s="428">
        <f t="shared" si="499"/>
        <v>0</v>
      </c>
    </row>
    <row r="151" spans="1:200" s="103" customFormat="1" ht="13.5" customHeight="1" x14ac:dyDescent="0.2">
      <c r="A151" s="272">
        <v>141</v>
      </c>
      <c r="B151" s="110"/>
      <c r="C151" s="110"/>
      <c r="D151" s="110"/>
      <c r="E151" s="110"/>
      <c r="F151" s="110"/>
      <c r="G151" s="110"/>
      <c r="H151" s="110"/>
      <c r="I151" s="29"/>
      <c r="J151" s="29"/>
      <c r="K151" s="272" t="str">
        <f>IFERROR(IF(OR(VLOOKUP(J151, 'Fixture Identities'!$A$6:$L$1023, 3, FALSE)="T12 Linear Fluorescent", VLOOKUP(J151, 'Fixture Identities'!$A$6:$L$1023, 3, FALSE)="T12 U-Tube Fluorescent"), VLOOKUP(VLOOKUP(J151, 'Fixture Identities'!$A$6:$L$1023, 11, FALSE), 'Fixture Identities'!$A$6:$L$1023, 10, FALSE), VLOOKUP(J151, 'Fixture Identities'!$A$6:$L$1023, 10, FALSE)), "")</f>
        <v/>
      </c>
      <c r="L151" s="270" t="str">
        <f t="shared" si="502"/>
        <v/>
      </c>
      <c r="M151" s="110"/>
      <c r="N151" s="110"/>
      <c r="O151" s="110"/>
      <c r="P151" s="272" t="str">
        <f>IFERROR(IF(OR(B151="Retrofit",B151=""),"",IF('Lighting Inventory'!E151="Exterior",VLOOKUP('Lighting Inventory'!N151,'Lookup Tables'!$B$83:$F$103,5,FALSE),IF(N151="Other - Please Estimate EFLH and CFs","Contact Prog. Rep.","ft^2"))), "")</f>
        <v/>
      </c>
      <c r="Q151" s="270" t="str">
        <f>IFERROR(IF(AND(B151="New Construction",E151="Interior",$F$5="Space-by-Space"),VLOOKUP('Lighting Inventory'!N151,'Lookup Tables'!$N$6:$O$97,2,FALSE),IF(AND(B151="New Construction",E151="Exterior"),VLOOKUP(N151,'Lookup Tables'!$B$83:$F$103,2,FALSE),IF(AND(B151="New Construction",'Lighting Inventory'!E151="Interior", $F$5="Building Area"),VLOOKUP(F151,'Lookup Tables'!$A$6:$J$59,10,FALSE),""))), "")</f>
        <v/>
      </c>
      <c r="R151" s="270" t="str">
        <f>IFERROR(IF(P151="Contact Prog. Rep.", "ERROR", IF(OR(B151="",B151="Retrofit"),"",IF(N151="Automated teller machines", ('Lookup Tables'!$A$82:$E$100+('Lighting Inventory'!O151-1)*'Lookup Tables'!$A$82:$E$100)/1000, (Q151*O151)/1000))), "")</f>
        <v/>
      </c>
      <c r="S151" s="595"/>
      <c r="T151" s="105" t="str">
        <f t="shared" si="452"/>
        <v/>
      </c>
      <c r="U151" s="105" t="str">
        <f>IF(S151="","",COUNT($S$11:S151))</f>
        <v/>
      </c>
      <c r="V151" s="111"/>
      <c r="W151" s="112"/>
      <c r="X151" s="105" t="str">
        <f t="shared" si="453"/>
        <v/>
      </c>
      <c r="Y151" s="105" t="str">
        <f t="array" ref="Y151">IF(AND(OR(W151="Freezer Case Lighting", W151="Refrigerated Case Lighting with Doors"), 'General Information'!$X$18="LCI"),'Lookup Tables'!$Y$34, IF(V151="Custom", VLOOKUP(W151, 'Fixture Identities'!$A$974:$M$1023, 13, FALSE), IF(V151="No Change",'Lookup Tables'!$Y$29,IF(OR(V151="",W151=""),"",IF(AND(S151=0,S151&lt;I151,B151="Retrofit"),'Lookup Tables'!$Y$25, IF(B151="Retrofit", INDEX('Lookup Tables'!$AH$6:$AP$102, MATCH(1, ('Lookup Tables'!$AH$6:$AH$102=V151)*('Lookup Tables'!$AI$6:$AI$102=W151), 0), IF('Lighting Inventory'!E151="Interior", 4, 5)), INDEX('Lookup Tables'!$AH$114:$AP$154, MATCH(1, ('Lookup Tables'!$AH$114:$AH$154=V151)*('Lookup Tables'!$AI$114:$AI$154=W151), 0), IF('Lighting Inventory'!E151="Interior", 4, 5))))))))</f>
        <v/>
      </c>
      <c r="Z151" s="105" t="str">
        <f>IFERROR(INDEX('Lookup Tables'!$AH$158:$AH$172,MATCH('Lighting Inventory'!Y151,'Lookup Tables'!$AI$158:$AI$172,0)),"")</f>
        <v/>
      </c>
      <c r="AA151" s="105" t="str">
        <f>IF(AP151&gt;0,INDEX('Lookup Tables'!$AK$158:$AK$172,MATCH('Lighting Inventory'!Y151,'Lookup Tables'!$AI$158:$AI$172,0)),'Lighting Inventory'!Y151)</f>
        <v/>
      </c>
      <c r="AB151" s="105" t="str">
        <f t="array" ref="AB151">IF(V151="Custom", "Custom", IF(V151="", "", IF(V151="Not DLC or Energy Star", "General", IF(B151="New Construction", INDEX('Lookup Tables'!$AH$114:$AP$154,MATCH(1,('Lookup Tables'!$AH$114:$AH$154='Lighting Inventory'!V151)*('Lookup Tables'!$AI$114:$AI$154='Lighting Inventory'!W151),FALSE),8), INDEX('Lookup Tables'!$AH$6:$AP$102,MATCH(1,('Lookup Tables'!$AH$6:$AH$102='Lighting Inventory'!V151)*('Lookup Tables'!$AI$6:$AI$102='Lighting Inventory'!W151),FALSE),8)))))</f>
        <v/>
      </c>
      <c r="AC151" s="272" t="str">
        <f>IF(W151="","",IF(V151="Custom",CONCATENATE("$",'Lookup Tables'!$AM$101," ",'Lookup Tables'!$AN$101),CONCATENATE("$",INDEX('Lookup Tables'!$AM$6:$AM$102,MATCH('Lighting Inventory'!W151,'Lookup Tables'!$AI$6:$AI$102,0))," ",INDEX('Lookup Tables'!$AN$6:$AN$102,MATCH('Lighting Inventory'!W151,'Lookup Tables'!$AI$6:$AI$102,0)))))</f>
        <v/>
      </c>
      <c r="AD151" s="72"/>
      <c r="AE151" s="29"/>
      <c r="AF151" s="379"/>
      <c r="AG151" s="370" t="str">
        <f t="shared" si="401"/>
        <v/>
      </c>
      <c r="AH151" s="370" t="str">
        <f t="shared" si="454"/>
        <v/>
      </c>
      <c r="AI151" s="29"/>
      <c r="AJ151" s="29"/>
      <c r="AK151" s="110"/>
      <c r="AL151" s="375" t="str">
        <f>IF(OR(B151="", V151="", W151=""), "", IF(V151="No Change", K151, IF(V151="Remove Fixture", 0, IF(V151="Custom",VLOOKUP(W151,'Fixture Identities'!$A$6:$K$1023,10,FALSE),IF(AE151="", "← ENTER POST WATTS", 'Lighting Inventory'!AE151)))))</f>
        <v/>
      </c>
      <c r="AM151" s="376" t="str">
        <f t="shared" si="402"/>
        <v/>
      </c>
      <c r="AN151" s="29"/>
      <c r="AO151" s="671"/>
      <c r="AP151" s="29"/>
      <c r="AQ151" s="29"/>
      <c r="AR151" s="29"/>
      <c r="AS151" s="272" t="str">
        <f t="shared" si="455"/>
        <v/>
      </c>
      <c r="AT151" s="270" t="str">
        <f t="shared" si="403"/>
        <v/>
      </c>
      <c r="AU151" s="88" t="str">
        <f t="shared" si="503"/>
        <v/>
      </c>
      <c r="AV151" s="29"/>
      <c r="AW151" s="73"/>
      <c r="AX151" s="271" t="str">
        <f>IF(AND(AV151="Applicant",OR(AW151="", AW151="Use Default Facility Hours")),"← Choose Schedule",IF(F151="","",IF(W151="LED Exit Signs",8760,IF(OR(AV151="Prescribed",AV151=""),VLOOKUP(F151,'Lookup Tables'!$A$6:$G$59,IF(AB151="General", 6, 3),FALSE),VLOOKUP(AW151,'Lookup Tables'!$S$36:$U$43,2,FALSE)))))</f>
        <v/>
      </c>
      <c r="AY151" s="88" t="str">
        <f t="shared" si="404"/>
        <v/>
      </c>
      <c r="AZ151" s="270" t="str">
        <f>IFERROR(IF(F151="", "", IF(W151="LED Exit Signs", 1, IF(AV151="Applicant",VLOOKUP(AW151, 'Lookup Tables'!$S$36:$U$43,3, FALSE), VLOOKUP('Lighting Inventory'!F151, 'Lookup Tables'!$A$6:$H$59, IF('Lighting Inventory'!AB151="General",7,4), FALSE)))), "")</f>
        <v/>
      </c>
      <c r="BA151" s="522" t="str">
        <f>IFERROR(IF(F151="", "", IF(W151="LED Exit Signs", 1, VLOOKUP('Lighting Inventory'!F151, 'Lookup Tables'!$A$6:$H$59, IF('Lighting Inventory'!AB151="General",8,5), FALSE))), "")</f>
        <v/>
      </c>
      <c r="BB151" s="270" t="str">
        <f>IF(G151="", "", IF(E151="Exterior", 0, IF('Lighting Inventory'!G151="Air Conditioned", VLOOKUP(H151, 'Lookup Tables'!$R$6:$T$13, 2, FALSE), VLOOKUP('Lighting Inventory'!G151, 'Lookup Tables'!$R$6:$T$13, 2, FALSE))))</f>
        <v/>
      </c>
      <c r="BC151" s="522" t="str">
        <f>IF(G151="", "", IF(E151="Exterior", 0, IF('Lighting Inventory'!G151="Air Conditioned", VLOOKUP(H151, 'Lookup Tables'!$R$6:$T$13, 3, FALSE), VLOOKUP('Lighting Inventory'!G151, 'Lookup Tables'!$R$6:$T$13, 3, FALSE))))</f>
        <v/>
      </c>
      <c r="BD151" s="270" t="str">
        <f>IF(G151="", "", IF(E151="Exterior", 0, IF('Lighting Inventory'!G151="Air Conditioned", VLOOKUP(H151, 'Lookup Tables'!$R$6:$U$13, 4, FALSE), VLOOKUP('Lighting Inventory'!G151, 'Lookup Tables'!$R$6:$U$13, 4, FALSE))))</f>
        <v/>
      </c>
      <c r="BE151" s="270" t="str">
        <f>IFERROR(IF(B151="", "",  IF(B151="New Construction", VLOOKUP(F151, 'Lookup Tables'!$A$6:$K$59, 11, FALSE),IF(OR(AN151="", AN151="Light Switch"), 0, IF(OR(M151="",M151="None",V151= "LED Exit Signs"),0,_xlfn.XLOOKUP(M151,'Lookup Tables'!$R$91:$R$101,'Lookup Tables'!$V$91:$V$101))))), "")</f>
        <v/>
      </c>
      <c r="BF151" s="270" t="str">
        <f>IF(AND(OR(AN151="Light Switch",AN151=""),B151="New Construction"), VLOOKUP(F151, 'Lookup Tables'!$A$6:$K$59, 11, FALSE),IF(AN151="","",IF(B151="","",IF(OR(AN151="None",AN151="",V151="LED Exit Signs",AN151="Exterior Controls Not Eligible"),0,_xlfn.XLOOKUP(AN151,'Lookup Tables'!$R$91:$R$101,'Lookup Tables'!$V$91:$V$101)))))</f>
        <v/>
      </c>
      <c r="BG151" s="88" t="str">
        <f t="shared" si="456"/>
        <v/>
      </c>
      <c r="BH151" s="88" t="str">
        <f t="shared" si="457"/>
        <v/>
      </c>
      <c r="BI151" s="558" t="str">
        <f t="shared" si="501"/>
        <v/>
      </c>
      <c r="BJ151" s="82" t="str">
        <f t="shared" si="458"/>
        <v/>
      </c>
      <c r="BK151" s="82" t="str">
        <f t="shared" si="459"/>
        <v/>
      </c>
      <c r="BL151" s="559" t="str">
        <f t="shared" si="460"/>
        <v/>
      </c>
      <c r="BM151" s="521" t="str">
        <f t="shared" si="405"/>
        <v/>
      </c>
      <c r="BN151" s="521" t="str">
        <f t="shared" si="406"/>
        <v/>
      </c>
      <c r="BO151" s="522" t="str">
        <f t="shared" si="407"/>
        <v/>
      </c>
      <c r="BP151" s="83" t="str">
        <f t="shared" si="461"/>
        <v/>
      </c>
      <c r="BQ151" s="84" t="str">
        <f t="shared" si="462"/>
        <v/>
      </c>
      <c r="BR151" s="184" t="str">
        <f>IFERROR(IF(B151="", "", IF(OR(VLOOKUP(J151, 'Fixture Identities'!$A$6:$L$1023, 3, FALSE)="T12 Linear Fluorescent",VLOOKUP(J151, 'Fixture Identities'!$A$6:$L$1023, 3, FALSE)="T12 U-Tube Fluorescent"), "Y", "N")), "N")</f>
        <v/>
      </c>
      <c r="BS151" s="184" t="str">
        <f t="array" ref="BS151">IFERROR(IF(OR(B151="", V151="", W151=""), "", IF(V151="Custom", "N", IF(OR(W151="Freezer Case Lighting", W151="Refrigerated Case Lighting with Doors"), BT151, IF(B151="Retrofit", INDEX('Lookup Tables'!$AH$6:$AT$102,MATCH(1,('Lookup Tables'!$AH$6:$AH$102=V151)*('Lookup Tables'!$AI$6:$AI$102=W151),FALSE),IF(VLOOKUP(J151, 'Fixture Identities'!$A$6:$B$1023, 2, FALSE)="Incandescent",12, 13)), INDEX('Lookup Tables'!$AH$114:$AS$154,MATCH(1,('Lookup Tables'!$AH$114:$AH$154=V151)*('Lookup Tables'!$AI$114:$AI$154=W151),FALSE),12))))), "N")</f>
        <v/>
      </c>
      <c r="BT151" s="184" t="str">
        <f>IF(J151="", "", IF(AND(OR(W151="Freezer case Lighting", W151="Refrigerated Case Lighting with Doors"),'General Information'!$X$18="LCI"), "N", IF(OR(VLOOKUP(J151, 'Fixture Identities'!$A$6:$B$1023, 2, FALSE)="T12 EPACT/EISA Baseline", VLOOKUP(J151, 'Fixture Identities'!$A$6:$B$1023, 2, FALSE)="Linear Fluorescent", VLOOKUP(J151, 'Fixture Identities'!$A$6:$B$1023, 2, FALSE)="U-Tube Fluorescent"), "Y", "N")))</f>
        <v/>
      </c>
      <c r="BU151" s="184" t="str">
        <f>IFERROR(IF(B151="", "", IF(VLOOKUP(J151, 'Fixture Identities'!$A$6:$B$1023, 2, FALSE)="Exit Sign", "Y", "N")), "N")</f>
        <v/>
      </c>
      <c r="BV151" s="184" t="str">
        <f>IF(V151="Exit Signs", IF(VLOOKUP(J151, 'Fixture Identities'!$A$6:$B$1023, 2, FALSE)="Exit Sign", "N", "Y"), "")</f>
        <v/>
      </c>
      <c r="BW151" s="184" t="str">
        <f t="array" ref="BW151">IFERROR(IF(B151="", "", IF(B151="New Construction", "N", INDEX('Lookup Tables'!$AH$6:$AU$102, MATCH(1, ('Lookup Tables'!$AH$6:$AH$102='Lighting Inventory'!V151)*('Lookup Tables'!$AI$6:$AI$102='Lighting Inventory'!W151), 0), 14))), "N")</f>
        <v/>
      </c>
      <c r="BX151" s="598" t="str">
        <f t="shared" si="463"/>
        <v/>
      </c>
      <c r="BY151" s="598" t="str">
        <f t="shared" si="464"/>
        <v/>
      </c>
      <c r="BZ151" s="598" t="str">
        <f t="shared" si="465"/>
        <v/>
      </c>
      <c r="CA151" s="598" t="str">
        <f t="shared" si="466"/>
        <v/>
      </c>
      <c r="CB151" s="269" t="str">
        <f t="shared" si="467"/>
        <v/>
      </c>
      <c r="CC151" s="517" t="str">
        <f t="shared" si="468"/>
        <v/>
      </c>
      <c r="CD151" s="565" t="str">
        <f t="shared" si="408"/>
        <v/>
      </c>
      <c r="CE151" s="368">
        <v>0</v>
      </c>
      <c r="CF151" s="368" t="str" cm="1">
        <f t="array" ref="CF151">IFERROR(IF(V151="Custom", "$0.1 per kWh", IF(B151="New Construction", CONCATENATE("$",INDEX('Lookup Tables'!$AH$114:$AN$154,MATCH(1,('Lookup Tables'!$AH$114:$AH$154='Lighting Inventory'!V151)*('Lookup Tables'!$AI$114:$AI$154='Lighting Inventory'!W151),FALSE),6)," ",INDEX('Lookup Tables'!$AH$114:$AN$154,MATCH(1,('Lookup Tables'!$AH$114:$AH$154='Lighting Inventory'!V151)*('Lookup Tables'!$AI$114:$AI$154='Lighting Inventory'!W151),FALSE),7)), IF(AND(BU151="N", V151="Exit Signs"), "$0.025 per kWh", CONCATENATE("$",INDEX('Lookup Tables'!$AH$6:$AN$102,MATCH(1,('Lookup Tables'!$AH$6:$AH$102='Lighting Inventory'!V151)*('Lookup Tables'!$AI$6:$AI$102='Lighting Inventory'!W151),FALSE),6)," ",INDEX('Lookup Tables'!$AH$6:$AN$102,MATCH(1,('Lookup Tables'!$AH$6:$AH$102='Lighting Inventory'!V151)*('Lookup Tables'!$AI$6:$AI$102='Lighting Inventory'!W151),FALSE),7))))), "")</f>
        <v/>
      </c>
      <c r="CG151" s="366"/>
      <c r="CH151" s="248" t="str">
        <f t="shared" si="409"/>
        <v/>
      </c>
      <c r="CI151" s="248" t="str">
        <f t="shared" si="410"/>
        <v>Select_IE</v>
      </c>
      <c r="CJ151" s="248" t="str">
        <f t="shared" si="411"/>
        <v/>
      </c>
      <c r="CK151" s="248" t="str">
        <f t="shared" si="412"/>
        <v/>
      </c>
      <c r="CL151" s="248" t="str">
        <f t="shared" si="413"/>
        <v/>
      </c>
      <c r="CM151" s="248" t="str">
        <f>IFERROR(IF(B151="", "", IF(B151="New Construction", VLOOKUP(V151, 'Lookup Tables'!$AF$114:$AG$120, 2, FALSE), VLOOKUP(V151, 'Lookup Tables'!$AD$6:$AE$25, 2, FALSE))), "")</f>
        <v/>
      </c>
      <c r="CN151" s="248" t="str">
        <f t="shared" si="414"/>
        <v/>
      </c>
      <c r="CO151" s="248" t="str">
        <f t="shared" si="415"/>
        <v/>
      </c>
      <c r="CP151" s="592" t="str">
        <f t="shared" si="416"/>
        <v/>
      </c>
      <c r="CQ151" s="248" t="str">
        <f t="shared" si="469"/>
        <v/>
      </c>
      <c r="CR151" s="100"/>
      <c r="CS151" s="250" t="str">
        <f t="shared" si="417"/>
        <v/>
      </c>
      <c r="CT151" s="250" t="str">
        <f t="shared" si="470"/>
        <v/>
      </c>
      <c r="CU151" s="250" t="str">
        <f t="shared" si="471"/>
        <v/>
      </c>
      <c r="CV151" s="250" t="str">
        <f t="shared" si="472"/>
        <v/>
      </c>
      <c r="CW151" s="250" t="str">
        <f t="shared" si="473"/>
        <v/>
      </c>
      <c r="CX151" s="250" t="str">
        <f t="shared" si="418"/>
        <v/>
      </c>
      <c r="CY151" s="250" t="str">
        <f t="shared" si="419"/>
        <v/>
      </c>
      <c r="CZ151" s="250" t="str">
        <f t="shared" si="420"/>
        <v/>
      </c>
      <c r="DA151" s="250" t="str">
        <f t="shared" si="421"/>
        <v/>
      </c>
      <c r="DB151" s="250" t="str">
        <f t="shared" si="422"/>
        <v/>
      </c>
      <c r="DC151" s="250" t="str">
        <f t="shared" si="423"/>
        <v/>
      </c>
      <c r="DD151" s="250" t="str">
        <f t="shared" si="424"/>
        <v/>
      </c>
      <c r="DE151" s="250" t="str">
        <f t="shared" si="425"/>
        <v/>
      </c>
      <c r="DF151" s="250" t="str">
        <f t="shared" si="426"/>
        <v/>
      </c>
      <c r="DG151" s="250" t="str">
        <f t="shared" si="427"/>
        <v/>
      </c>
      <c r="DH151" s="250" t="str">
        <f t="shared" si="428"/>
        <v/>
      </c>
      <c r="DI151" s="250" t="str">
        <f t="shared" si="429"/>
        <v/>
      </c>
      <c r="DJ151" s="250" t="str">
        <f t="shared" si="430"/>
        <v/>
      </c>
      <c r="DK151" s="250" t="str">
        <f t="shared" si="431"/>
        <v/>
      </c>
      <c r="DL151" s="250" t="str">
        <f t="shared" si="432"/>
        <v/>
      </c>
      <c r="DM151" s="250" t="str">
        <f>IF(CD151="ERROR", "ERROR", IF(AND(OR(Y151=$DM$6, Y151='Lookup Tables'!$AD$21, Y151='Lookup Tables'!$AD$22), E151="Interior"), BJ151, ""))</f>
        <v/>
      </c>
      <c r="DN151" s="250" t="str">
        <f>IF(CD151="ERROR", "ERROR", IF(AND(OR(Y151=$DM$6, Y151='Lookup Tables'!$AD$21, Y151='Lookup Tables'!$AD$22), E151="Exterior"), BJ151, ""))</f>
        <v/>
      </c>
      <c r="DO151" s="100"/>
      <c r="DP151" s="250" t="str">
        <f t="shared" si="433"/>
        <v/>
      </c>
      <c r="DQ151" s="250" t="str">
        <f t="shared" si="474"/>
        <v/>
      </c>
      <c r="DR151" s="250" t="str">
        <f t="shared" si="475"/>
        <v/>
      </c>
      <c r="DS151" s="250" t="str">
        <f t="shared" si="476"/>
        <v/>
      </c>
      <c r="DT151" s="250" t="str">
        <f t="shared" si="477"/>
        <v/>
      </c>
      <c r="DU151" s="250" t="str">
        <f t="shared" si="434"/>
        <v/>
      </c>
      <c r="DV151" s="250" t="str">
        <f t="shared" si="435"/>
        <v/>
      </c>
      <c r="DW151" s="250" t="str">
        <f t="shared" si="436"/>
        <v/>
      </c>
      <c r="DX151" s="250" t="str">
        <f t="shared" si="437"/>
        <v/>
      </c>
      <c r="DY151" s="250" t="str">
        <f t="shared" si="438"/>
        <v/>
      </c>
      <c r="DZ151" s="250" t="str">
        <f t="shared" si="439"/>
        <v/>
      </c>
      <c r="EA151" s="250" t="str">
        <f t="shared" si="440"/>
        <v/>
      </c>
      <c r="EB151" s="250" t="str">
        <f t="shared" si="478"/>
        <v/>
      </c>
      <c r="EC151" s="250" t="str">
        <f t="shared" si="441"/>
        <v/>
      </c>
      <c r="ED151" s="250" t="str">
        <f t="shared" si="442"/>
        <v/>
      </c>
      <c r="EE151" s="250" t="str">
        <f t="shared" si="443"/>
        <v/>
      </c>
      <c r="EF151" s="250" t="str">
        <f t="shared" si="444"/>
        <v/>
      </c>
      <c r="EG151" s="250" t="str">
        <f t="shared" si="445"/>
        <v/>
      </c>
      <c r="EH151" s="250" t="str">
        <f>IF(CD151="ERROR", "ERROR", IF(AND(OR($EH$6=Y151, Y151='Lookup Tables'!$AD$21, Y151='Lookup Tables'!$AD$22),E151="Interior"), SUM(BP151:BP151), ""))</f>
        <v/>
      </c>
      <c r="EI151" s="250" t="str">
        <f>IF(CD151="ERROR", "ERROR", IF(AND(OR($EH$6=Y151, Y151='Lookup Tables'!$AD$21, Y151='Lookup Tables'!$AD$22),E151="Exterior"), SUM(BP151:BP151), ""))</f>
        <v/>
      </c>
      <c r="EJ151" s="109"/>
      <c r="EK151" s="485" t="str">
        <f t="shared" si="446"/>
        <v/>
      </c>
      <c r="EL151" s="252" t="str">
        <f t="shared" si="479"/>
        <v/>
      </c>
      <c r="EM151" s="252" t="str">
        <f t="shared" si="480"/>
        <v/>
      </c>
      <c r="EN151" s="252" t="str">
        <f t="shared" si="481"/>
        <v/>
      </c>
      <c r="EO151" s="252" t="str">
        <f t="shared" si="482"/>
        <v/>
      </c>
      <c r="EP151" s="252" t="str">
        <f t="shared" si="483"/>
        <v/>
      </c>
      <c r="EQ151" s="252" t="str">
        <f t="shared" si="484"/>
        <v/>
      </c>
      <c r="ER151" s="252" t="str">
        <f t="shared" si="485"/>
        <v/>
      </c>
      <c r="ES151" s="252" t="str">
        <f t="shared" si="486"/>
        <v/>
      </c>
      <c r="ET151" s="252" t="str">
        <f t="shared" si="487"/>
        <v/>
      </c>
      <c r="EU151" s="252" t="str">
        <f t="shared" si="488"/>
        <v/>
      </c>
      <c r="EV151" s="252" t="str">
        <f t="shared" si="489"/>
        <v/>
      </c>
      <c r="EW151" s="252" t="str">
        <f t="shared" si="490"/>
        <v/>
      </c>
      <c r="EX151" s="252" t="str">
        <f t="shared" si="491"/>
        <v/>
      </c>
      <c r="EY151" s="252" t="str">
        <f t="shared" si="492"/>
        <v/>
      </c>
      <c r="EZ151" s="252" t="str">
        <f t="shared" si="493"/>
        <v/>
      </c>
      <c r="FA151" s="252" t="str">
        <f t="shared" si="494"/>
        <v/>
      </c>
      <c r="FB151" s="252" t="str">
        <f t="shared" si="495"/>
        <v/>
      </c>
      <c r="FC151" s="252" t="str">
        <f>IF(CD151="ERROR", "ERROR", IF(OR(V151="No Change", V151="Not DLC or Energy Star"), "", IF(AND(OR($FC$6=Y151,Y151='Lookup Tables'!$AD$21, Y151='Lookup Tables'!$AD$22),E151="Interior"), S151, "")))</f>
        <v/>
      </c>
      <c r="FD151" s="252" t="str">
        <f t="shared" si="496"/>
        <v/>
      </c>
      <c r="FE151" s="101"/>
      <c r="FF151" s="579" t="str" cm="1">
        <f t="array" ref="FF151">IFERROR(IF(OR(BQ151&lt;=0,AQ151&lt;20,AND(V151="Exit Signs",AN151&gt;0)),"",IF(AND(AQ151&gt;=20,AN151='Lookup Tables'!$R$101),'Lookup Tables'!$U$101*BQ151,AP151*LOOKUP(2,1/((AN151='Lookup Tables'!$R$91:$R$111)*(AQ151&gt;='Lookup Tables'!$S$91:$S$111)*(AQ151&lt;='Lookup Tables'!$T$91:$T$111)),'Lookup Tables'!$U$91:$U$111))),"")</f>
        <v/>
      </c>
      <c r="FG151" s="579"/>
      <c r="FH151" s="579"/>
      <c r="FI151" s="253" t="str">
        <f>IFERROR(ROUND(IF(CD151="ERROR", "ERROR", IF(AND($FI$7=X151,E151="Interior"),VLOOKUP(W151, 'Lookup Tables'!$AI$6:$AM$102, 5, FALSE)*BP151, "")), 2), "")</f>
        <v/>
      </c>
      <c r="FJ151" s="253" t="str">
        <f>IFERROR(ROUND(IF(CD151="ERROR", "ERROR", IF(AND($FI$7=X151,E151="Exterior"),VLOOKUP(W151, 'Lookup Tables'!$AI$6:$AM$102, 5, FALSE)*BP151, "")), 2), "")</f>
        <v/>
      </c>
      <c r="FK151" s="253" t="str">
        <f>IFERROR(ROUND(IF(CD151="ERROR", "ERROR", IF(AND($FK$7=X151,E151="Interior"),VLOOKUP(W151, 'Lookup Tables'!$AI$6:$AM$102, 5, FALSE)*BP151, "")), 2), "")</f>
        <v/>
      </c>
      <c r="FL151" s="253" t="str">
        <f>IFERROR(ROUND(IF(CD151="ERROR", "ERROR", IF(AND($FK$7=X151,E151="Exterior"),VLOOKUP(W151, 'Lookup Tables'!$AI$6:$AM$102, 5, FALSE)*BP151, "")), 2), "")</f>
        <v/>
      </c>
      <c r="FM151" s="253" t="str">
        <f>IFERROR(ROUND(IF(CD151="ERROR", "ERROR", IF(AND($FM$6=Y151,E151="Interior"), IF(GB151=0, VLOOKUP(W151, 'Lookup Tables'!$AI$6:$AM$102, 5, FALSE)*BP151, IF(VLOOKUP(W151, 'Lookup Tables'!$AI$6:$AM$102, 5, FALSE)*BP151&gt;GB151*'Lighting Inventory'!S151, GB151*'Lighting Inventory'!S151,VLOOKUP(W151, 'Lookup Tables'!$AI$6:$AM$102, 5, FALSE)*BP151)), "")), 2), "")</f>
        <v/>
      </c>
      <c r="FN151" s="253" t="str">
        <f>IFERROR(ROUND(IF(CD151="ERROR", "ERROR", IF(AND($FM$6=Y151,E151="Exterior"), IF(GB151=0, VLOOKUP(W151, 'Lookup Tables'!$AI$6:$AM$102, 5, FALSE)*BP151, IF(VLOOKUP(W151, 'Lookup Tables'!$AI$6:$AM$102, 5, FALSE)*BP151&gt;GB151*'Lighting Inventory'!S151, GB151*'Lighting Inventory'!S151,VLOOKUP(W151, 'Lookup Tables'!$AI$6:$AM$102, 5, FALSE)*BP151)), "")), 2), "")</f>
        <v/>
      </c>
      <c r="FO151" s="253" t="str">
        <f>IFERROR(ROUND(IF(CD151="ERROR", "ERROR", IF(AND($FO$6=Y151,E151="Interior"),VLOOKUP(W151, 'Lookup Tables'!$AI$6:$AM$102, 5, FALSE)*'Lighting Inventory'!AI151, "")), 2), "")</f>
        <v/>
      </c>
      <c r="FP151" s="253" t="str">
        <f>IFERROR(ROUND(IF(CD151="ERROR", "ERROR", IF(AND($FO$6=Y151,E151="Exterior"),VLOOKUP(W151, 'Lookup Tables'!$AI$6:$AM$102, 5, FALSE)*'Lighting Inventory'!AI151, "")), 2), "")</f>
        <v/>
      </c>
      <c r="FQ151" s="253" t="str">
        <f>IFERROR(ROUND(IF(CD151="ERROR", "ERROR", IF(AND($FQ$6=Y151,E151="Interior", BU151="Y"), VLOOKUP('Lighting Inventory'!W151, 'Lookup Tables'!$AI$6:$AM$102, 5, FALSE)*'Lighting Inventory'!S151, IF(AND($FQ$7=Y151,E151="Interior", BU151="N"), 0.025*CD151, ""))), 2), "")</f>
        <v/>
      </c>
      <c r="FR151" s="253" t="str">
        <f>IFERROR(ROUND(IF(CD151="ERROR", "ERROR", IF(AND($FQ$6=Y151,E151="Exterior"), VLOOKUP('Lighting Inventory'!W151, 'Lookup Tables'!$AI$6:$AM$102, 5, FALSE)*'Lighting Inventory'!S151, "")), 2), "")</f>
        <v/>
      </c>
      <c r="FS151" s="253" t="str">
        <f>IFERROR(ROUND(IF(CD151="ERROR", "ERROR", IF(AND($FS$6=Y151,E151="Exterior"), IF(GB151=0, VLOOKUP(W151, 'Lookup Tables'!$AI$6:$AM$102, 5, FALSE)*BP151, IF(VLOOKUP(W151, 'Lookup Tables'!$AI$6:$AM$102, 5, FALSE)*BP151&gt;GB151*'Lighting Inventory'!S151, GB151*'Lighting Inventory'!S151,VLOOKUP(W151, 'Lookup Tables'!$AI$6:$AM$102, 5, FALSE)*BP151)), "")), 2), "")</f>
        <v/>
      </c>
      <c r="FT151" s="253" t="str">
        <f>IFERROR(ROUND(IF(CD151="ERROR", "ERROR", IF(AND($FT$6=Y151,E151="Interior"), IF(GB151=0, VLOOKUP(W151, 'Lookup Tables'!$AI$6:$AM$102, 5, FALSE)*BP151, IF(VLOOKUP(W151, 'Lookup Tables'!$AI$6:$AM$102, 5, FALSE)*BP151&gt;GB151*'Lighting Inventory'!S151, GB151*'Lighting Inventory'!S151,VLOOKUP(W151, 'Lookup Tables'!$AI$6:$AM$102, 5, FALSE)*BP151)), "")), 2), "")</f>
        <v/>
      </c>
      <c r="FU151" s="253" t="str">
        <f>IFERROR(ROUND(IF(CD151="ERROR", "ERROR", IF(AND(Y151=$FU$6, E151="Interior"), IF(BS151="N", 'Lookup Tables'!$AM$101*BP151, VLOOKUP(W151, 'Lookup Tables'!$AI$6:$AM$102, 5, FALSE)*S151*AD151), "")), 2), "")</f>
        <v/>
      </c>
      <c r="FV151" s="253" t="str">
        <f>IFERROR(ROUND(IF(CD151="ERROR", "ERROR", IF(AND(Y151=$FU$6, E151="Exterior"), IF(BS151="N", 'Lookup Tables'!$AM$101*BP151, VLOOKUP(W151, 'Lookup Tables'!$AI$6:$AM$102, 5, FALSE)*S151*AD151), "")), 2), "")</f>
        <v/>
      </c>
      <c r="FW151" s="253" t="str">
        <f>IFERROR(ROUND(IF(CD151="ERROR", "ERROR", IF($FW$6=Y151, IF(BS151="N", 'Lookup Tables'!$AM$101*BP151, MIN((VLOOKUP(W151, 'Lookup Tables'!$AI$6:$AM$102, 5, FALSE)*BP151),GB151*AJ151)), "")), 2), "")</f>
        <v/>
      </c>
      <c r="FX151" s="253" t="str">
        <f>IFERROR(ROUND(IF(CD151="ERROR", "ERROR", IF(AND($FX$6=Y151, E151="Interior"), IF(VLOOKUP(W151, 'Lookup Tables'!$AI$6:$AM$102, 5, FALSE)*BP151&gt;'Lookup Tables'!$AQ$97*'Lighting Inventory'!S151,'Lighting Inventory'!S151*'Lookup Tables'!$AQ$97,VLOOKUP(W151, 'Lookup Tables'!$AI$6:$AM$102, 5, FALSE)*BP151), "")), 2), "")</f>
        <v/>
      </c>
      <c r="FY151" s="253" t="str">
        <f>IFERROR(ROUND(IF(CD151="ERROR", "ERROR", IF(AND($FX$6=Y151, E151="Exterior"), IF(VLOOKUP(W151, 'Lookup Tables'!$AI$6:$AM$102, 5, FALSE)*BP151&gt;'Lookup Tables'!$AQ$97*'Lighting Inventory'!S151,'Lighting Inventory'!S151*'Lookup Tables'!$AQ$97,VLOOKUP(W151, 'Lookup Tables'!$AI$6:$AM$102, 5, FALSE)*BP151), "")), 2), "")</f>
        <v/>
      </c>
      <c r="FZ151" s="253" t="str">
        <f>IFERROR(ROUND(IF(CD151="ERROR", "ERROR", IF(AND($FZ$6=Y151, E151="Interior"), IF(AND(OR(W151="Refrigerated Case Lighting with Doors", W151="Freezer Case Lighting"),Y151="Custom - Process Improvement"),CD151*'Lookup Tables'!$AM$101, IF(B151="Retrofit", IF(VLOOKUP(IF(V151="Custom", V151, W151), 'Lookup Tables'!$AI$6:$AM$102, 5, FALSE)*BP151&gt;GE151, GE151, VLOOKUP(IF(V151="Custom", V151, W151), 'Lookup Tables'!$AI$6:$AM$102, 5, FALSE)*BP151), IF(VLOOKUP(IF(V151="Custom", V151, W151), 'Lookup Tables'!$AI$114:$AM$154, 5, FALSE)*BP151&gt;GE151, GE151, VLOOKUP(IF(V151="Custom", V151, W151), 'Lookup Tables'!$AI$114:$AM$154, 5, FALSE)*BP151))), "")), 2),"")</f>
        <v/>
      </c>
      <c r="GA151" s="253" t="str">
        <f>IFERROR(ROUND(IF(CD151="ERROR", "ERROR", IF(AND($FZ$6=Y151, E151="Exterior"), IF(B151="Retrofit", IF(VLOOKUP(IF(V151="Custom", V151, W151), 'Lookup Tables'!$AI$6:$AM$102, 5, FALSE)*BP151&gt;GE151, GE151, VLOOKUP(IF(V151="Custom", V151, W151), 'Lookup Tables'!$AI$6:$AM$102, 5, FALSE)*BP151), IF(VLOOKUP(IF(V151="Custom", V151, W151), 'Lookup Tables'!$AI$114:$AM$154, 5, FALSE)*BP151&gt;GE151, GE151, VLOOKUP(IF(V151="Custom", V151, W151), 'Lookup Tables'!$AI$114:$AM$154, 5, FALSE)*BP151)), "")), 2),"")</f>
        <v/>
      </c>
      <c r="GB151" s="254" t="str">
        <f t="array" ref="GB151">IF(B151="","",IF(OR(V151="Custom",V151="No Change"),0,IF(B151="Retrofit", INDEX('Lookup Tables'!$AH$6:$AQ$102,MATCH(1,('Lookup Tables'!$AH$6:$AH$102='Lighting Inventory'!V151)*('Lookup Tables'!$AI$6:$AI$102='Lighting Inventory'!W151),FALSE),10),INDEX('Lookup Tables'!$AH$114:$AQ$154,MATCH(1,('Lookup Tables'!$AH$114:$AH$154='Lighting Inventory'!V151)*('Lookup Tables'!$AI$114:$AI$154='Lighting Inventory'!W151),FALSE),10))))</f>
        <v/>
      </c>
      <c r="GC151" s="255" t="str">
        <f t="shared" si="447"/>
        <v/>
      </c>
      <c r="GD151" s="250" t="str">
        <f t="shared" si="448"/>
        <v/>
      </c>
      <c r="GE151" s="253" t="str">
        <f>IFERROR(IF(AND(AF151="", 'General Information'!$F$18="No"),"", IF(AF151="", ((GD151/$CD$266)*$CF$266)*0.5, AF151*S151*0.5)), "")</f>
        <v/>
      </c>
      <c r="GF151" s="255" t="str">
        <f>IF(AND('General Information'!$F$19="", 'General Information'!$F$18="Yes",AF151="",BW151="Y"), "Y", "N")</f>
        <v>N</v>
      </c>
      <c r="GG151" s="255" t="s">
        <v>2946</v>
      </c>
      <c r="GH151" s="255" t="str">
        <f>IFERROR(IF(B151="", "", VLOOKUP(J151, 'Fixture Identities'!$A$6:$N$908, 14, FALSE)), "")</f>
        <v/>
      </c>
      <c r="GI151" s="389" t="str">
        <f>IF(OR(B151="", V151="", W151=""), "", IF(AND(OR(M151='Lookup Tables'!$R$18, M151='Lookup Tables'!$R$19, M151='Lookup Tables'!$R$20, M151='Lookup Tables'!$R$21, M151='Lookup Tables'!$R$22), OR(AN151='Lookup Tables'!$R$17, AN151='Lookup Tables'!$R$17, AN151="")), "Y", "N"))</f>
        <v/>
      </c>
      <c r="GJ151" s="255" t="str">
        <f t="shared" si="449"/>
        <v/>
      </c>
      <c r="GK151" s="255" t="str">
        <f t="shared" si="450"/>
        <v/>
      </c>
      <c r="GL151" s="255" t="str">
        <f t="shared" si="451"/>
        <v/>
      </c>
      <c r="GM151" s="255" t="str">
        <f>IF(AN151="", "", IF(AND(IF(ISNA(VLOOKUP(AN151,'Lookup Tables'!$R$18:$R$22,1,FALSE)), "N", "Y")="Y", E151="Exterior"), "Y", "N"))</f>
        <v/>
      </c>
      <c r="GN151" s="395"/>
      <c r="GO151" s="428">
        <f t="shared" si="497"/>
        <v>0</v>
      </c>
      <c r="GP151" s="428">
        <f t="shared" si="500"/>
        <v>0</v>
      </c>
      <c r="GQ151" s="428">
        <f t="shared" si="498"/>
        <v>0</v>
      </c>
      <c r="GR151" s="428">
        <f t="shared" si="499"/>
        <v>0</v>
      </c>
    </row>
    <row r="152" spans="1:200" s="103" customFormat="1" ht="13.5" customHeight="1" x14ac:dyDescent="0.2">
      <c r="A152" s="272">
        <v>142</v>
      </c>
      <c r="B152" s="110"/>
      <c r="C152" s="110"/>
      <c r="D152" s="110"/>
      <c r="E152" s="110"/>
      <c r="F152" s="110"/>
      <c r="G152" s="110"/>
      <c r="H152" s="110"/>
      <c r="I152" s="29"/>
      <c r="J152" s="29"/>
      <c r="K152" s="272" t="str">
        <f>IFERROR(IF(OR(VLOOKUP(J152, 'Fixture Identities'!$A$6:$L$1023, 3, FALSE)="T12 Linear Fluorescent", VLOOKUP(J152, 'Fixture Identities'!$A$6:$L$1023, 3, FALSE)="T12 U-Tube Fluorescent"), VLOOKUP(VLOOKUP(J152, 'Fixture Identities'!$A$6:$L$1023, 11, FALSE), 'Fixture Identities'!$A$6:$L$1023, 10, FALSE), VLOOKUP(J152, 'Fixture Identities'!$A$6:$L$1023, 10, FALSE)), "")</f>
        <v/>
      </c>
      <c r="L152" s="270" t="str">
        <f t="shared" si="502"/>
        <v/>
      </c>
      <c r="M152" s="110"/>
      <c r="N152" s="110"/>
      <c r="O152" s="110"/>
      <c r="P152" s="272" t="str">
        <f>IFERROR(IF(OR(B152="Retrofit",B152=""),"",IF('Lighting Inventory'!E152="Exterior",VLOOKUP('Lighting Inventory'!N152,'Lookup Tables'!$B$83:$F$103,5,FALSE),IF(N152="Other - Please Estimate EFLH and CFs","Contact Prog. Rep.","ft^2"))), "")</f>
        <v/>
      </c>
      <c r="Q152" s="270" t="str">
        <f>IFERROR(IF(AND(B152="New Construction",E152="Interior",$F$5="Space-by-Space"),VLOOKUP('Lighting Inventory'!N152,'Lookup Tables'!$N$6:$O$97,2,FALSE),IF(AND(B152="New Construction",E152="Exterior"),VLOOKUP(N152,'Lookup Tables'!$B$83:$F$103,2,FALSE),IF(AND(B152="New Construction",'Lighting Inventory'!E152="Interior", $F$5="Building Area"),VLOOKUP(F152,'Lookup Tables'!$A$6:$J$59,10,FALSE),""))), "")</f>
        <v/>
      </c>
      <c r="R152" s="270" t="str">
        <f>IFERROR(IF(P152="Contact Prog. Rep.", "ERROR", IF(OR(B152="",B152="Retrofit"),"",IF(N152="Automated teller machines", ('Lookup Tables'!$A$82:$E$100+('Lighting Inventory'!O152-1)*'Lookup Tables'!$A$82:$E$100)/1000, (Q152*O152)/1000))), "")</f>
        <v/>
      </c>
      <c r="S152" s="595"/>
      <c r="T152" s="105" t="str">
        <f t="shared" si="452"/>
        <v/>
      </c>
      <c r="U152" s="105" t="str">
        <f>IF(S152="","",COUNT($S$11:S152))</f>
        <v/>
      </c>
      <c r="V152" s="111"/>
      <c r="W152" s="112"/>
      <c r="X152" s="105" t="str">
        <f t="shared" si="453"/>
        <v/>
      </c>
      <c r="Y152" s="105" t="str">
        <f t="array" ref="Y152">IF(AND(OR(W152="Freezer Case Lighting", W152="Refrigerated Case Lighting with Doors"), 'General Information'!$X$18="LCI"),'Lookup Tables'!$Y$34, IF(V152="Custom", VLOOKUP(W152, 'Fixture Identities'!$A$974:$M$1023, 13, FALSE), IF(V152="No Change",'Lookup Tables'!$Y$29,IF(OR(V152="",W152=""),"",IF(AND(S152=0,S152&lt;I152,B152="Retrofit"),'Lookup Tables'!$Y$25, IF(B152="Retrofit", INDEX('Lookup Tables'!$AH$6:$AP$102, MATCH(1, ('Lookup Tables'!$AH$6:$AH$102=V152)*('Lookup Tables'!$AI$6:$AI$102=W152), 0), IF('Lighting Inventory'!E152="Interior", 4, 5)), INDEX('Lookup Tables'!$AH$114:$AP$154, MATCH(1, ('Lookup Tables'!$AH$114:$AH$154=V152)*('Lookup Tables'!$AI$114:$AI$154=W152), 0), IF('Lighting Inventory'!E152="Interior", 4, 5))))))))</f>
        <v/>
      </c>
      <c r="Z152" s="105" t="str">
        <f>IFERROR(INDEX('Lookup Tables'!$AH$158:$AH$172,MATCH('Lighting Inventory'!Y152,'Lookup Tables'!$AI$158:$AI$172,0)),"")</f>
        <v/>
      </c>
      <c r="AA152" s="105" t="str">
        <f>IF(AP152&gt;0,INDEX('Lookup Tables'!$AK$158:$AK$172,MATCH('Lighting Inventory'!Y152,'Lookup Tables'!$AI$158:$AI$172,0)),'Lighting Inventory'!Y152)</f>
        <v/>
      </c>
      <c r="AB152" s="105" t="str">
        <f t="array" ref="AB152">IF(V152="Custom", "Custom", IF(V152="", "", IF(V152="Not DLC or Energy Star", "General", IF(B152="New Construction", INDEX('Lookup Tables'!$AH$114:$AP$154,MATCH(1,('Lookup Tables'!$AH$114:$AH$154='Lighting Inventory'!V152)*('Lookup Tables'!$AI$114:$AI$154='Lighting Inventory'!W152),FALSE),8), INDEX('Lookup Tables'!$AH$6:$AP$102,MATCH(1,('Lookup Tables'!$AH$6:$AH$102='Lighting Inventory'!V152)*('Lookup Tables'!$AI$6:$AI$102='Lighting Inventory'!W152),FALSE),8)))))</f>
        <v/>
      </c>
      <c r="AC152" s="272" t="str">
        <f>IF(W152="","",IF(V152="Custom",CONCATENATE("$",'Lookup Tables'!$AM$101," ",'Lookup Tables'!$AN$101),CONCATENATE("$",INDEX('Lookup Tables'!$AM$6:$AM$102,MATCH('Lighting Inventory'!W152,'Lookup Tables'!$AI$6:$AI$102,0))," ",INDEX('Lookup Tables'!$AN$6:$AN$102,MATCH('Lighting Inventory'!W152,'Lookup Tables'!$AI$6:$AI$102,0)))))</f>
        <v/>
      </c>
      <c r="AD152" s="72"/>
      <c r="AE152" s="29"/>
      <c r="AF152" s="379"/>
      <c r="AG152" s="370" t="str">
        <f t="shared" si="401"/>
        <v/>
      </c>
      <c r="AH152" s="370" t="str">
        <f t="shared" si="454"/>
        <v/>
      </c>
      <c r="AI152" s="29"/>
      <c r="AJ152" s="29"/>
      <c r="AK152" s="110"/>
      <c r="AL152" s="375" t="str">
        <f>IF(OR(B152="", V152="", W152=""), "", IF(V152="No Change", K152, IF(V152="Remove Fixture", 0, IF(V152="Custom",VLOOKUP(W152,'Fixture Identities'!$A$6:$K$1023,10,FALSE),IF(AE152="", "← ENTER POST WATTS", 'Lighting Inventory'!AE152)))))</f>
        <v/>
      </c>
      <c r="AM152" s="376" t="str">
        <f t="shared" si="402"/>
        <v/>
      </c>
      <c r="AN152" s="29"/>
      <c r="AO152" s="671"/>
      <c r="AP152" s="29"/>
      <c r="AQ152" s="29"/>
      <c r="AR152" s="29"/>
      <c r="AS152" s="272" t="str">
        <f t="shared" si="455"/>
        <v/>
      </c>
      <c r="AT152" s="270" t="str">
        <f t="shared" si="403"/>
        <v/>
      </c>
      <c r="AU152" s="88" t="str">
        <f t="shared" si="503"/>
        <v/>
      </c>
      <c r="AV152" s="29"/>
      <c r="AW152" s="73"/>
      <c r="AX152" s="271" t="str">
        <f>IF(AND(AV152="Applicant",OR(AW152="", AW152="Use Default Facility Hours")),"← Choose Schedule",IF(F152="","",IF(W152="LED Exit Signs",8760,IF(OR(AV152="Prescribed",AV152=""),VLOOKUP(F152,'Lookup Tables'!$A$6:$G$59,IF(AB152="General", 6, 3),FALSE),VLOOKUP(AW152,'Lookup Tables'!$S$36:$U$43,2,FALSE)))))</f>
        <v/>
      </c>
      <c r="AY152" s="88" t="str">
        <f t="shared" si="404"/>
        <v/>
      </c>
      <c r="AZ152" s="270" t="str">
        <f>IFERROR(IF(F152="", "", IF(W152="LED Exit Signs", 1, IF(AV152="Applicant",VLOOKUP(AW152, 'Lookup Tables'!$S$36:$U$43,3, FALSE), VLOOKUP('Lighting Inventory'!F152, 'Lookup Tables'!$A$6:$H$59, IF('Lighting Inventory'!AB152="General",7,4), FALSE)))), "")</f>
        <v/>
      </c>
      <c r="BA152" s="522" t="str">
        <f>IFERROR(IF(F152="", "", IF(W152="LED Exit Signs", 1, VLOOKUP('Lighting Inventory'!F152, 'Lookup Tables'!$A$6:$H$59, IF('Lighting Inventory'!AB152="General",8,5), FALSE))), "")</f>
        <v/>
      </c>
      <c r="BB152" s="270" t="str">
        <f>IF(G152="", "", IF(E152="Exterior", 0, IF('Lighting Inventory'!G152="Air Conditioned", VLOOKUP(H152, 'Lookup Tables'!$R$6:$T$13, 2, FALSE), VLOOKUP('Lighting Inventory'!G152, 'Lookup Tables'!$R$6:$T$13, 2, FALSE))))</f>
        <v/>
      </c>
      <c r="BC152" s="522" t="str">
        <f>IF(G152="", "", IF(E152="Exterior", 0, IF('Lighting Inventory'!G152="Air Conditioned", VLOOKUP(H152, 'Lookup Tables'!$R$6:$T$13, 3, FALSE), VLOOKUP('Lighting Inventory'!G152, 'Lookup Tables'!$R$6:$T$13, 3, FALSE))))</f>
        <v/>
      </c>
      <c r="BD152" s="270" t="str">
        <f>IF(G152="", "", IF(E152="Exterior", 0, IF('Lighting Inventory'!G152="Air Conditioned", VLOOKUP(H152, 'Lookup Tables'!$R$6:$U$13, 4, FALSE), VLOOKUP('Lighting Inventory'!G152, 'Lookup Tables'!$R$6:$U$13, 4, FALSE))))</f>
        <v/>
      </c>
      <c r="BE152" s="270" t="str">
        <f>IFERROR(IF(B152="", "",  IF(B152="New Construction", VLOOKUP(F152, 'Lookup Tables'!$A$6:$K$59, 11, FALSE),IF(OR(AN152="", AN152="Light Switch"), 0, IF(OR(M152="",M152="None",V152= "LED Exit Signs"),0,_xlfn.XLOOKUP(M152,'Lookup Tables'!$R$91:$R$101,'Lookup Tables'!$V$91:$V$101))))), "")</f>
        <v/>
      </c>
      <c r="BF152" s="270" t="str">
        <f>IF(AND(OR(AN152="Light Switch",AN152=""),B152="New Construction"), VLOOKUP(F152, 'Lookup Tables'!$A$6:$K$59, 11, FALSE),IF(AN152="","",IF(B152="","",IF(OR(AN152="None",AN152="",V152="LED Exit Signs",AN152="Exterior Controls Not Eligible"),0,_xlfn.XLOOKUP(AN152,'Lookup Tables'!$R$91:$R$101,'Lookup Tables'!$V$91:$V$101)))))</f>
        <v/>
      </c>
      <c r="BG152" s="88" t="str">
        <f t="shared" si="456"/>
        <v/>
      </c>
      <c r="BH152" s="88" t="str">
        <f t="shared" si="457"/>
        <v/>
      </c>
      <c r="BI152" s="558" t="str">
        <f t="shared" si="501"/>
        <v/>
      </c>
      <c r="BJ152" s="82" t="str">
        <f t="shared" si="458"/>
        <v/>
      </c>
      <c r="BK152" s="82" t="str">
        <f t="shared" si="459"/>
        <v/>
      </c>
      <c r="BL152" s="559" t="str">
        <f t="shared" si="460"/>
        <v/>
      </c>
      <c r="BM152" s="521" t="str">
        <f t="shared" si="405"/>
        <v/>
      </c>
      <c r="BN152" s="521" t="str">
        <f t="shared" si="406"/>
        <v/>
      </c>
      <c r="BO152" s="522" t="str">
        <f t="shared" si="407"/>
        <v/>
      </c>
      <c r="BP152" s="83" t="str">
        <f t="shared" si="461"/>
        <v/>
      </c>
      <c r="BQ152" s="84" t="str">
        <f t="shared" si="462"/>
        <v/>
      </c>
      <c r="BR152" s="184" t="str">
        <f>IFERROR(IF(B152="", "", IF(OR(VLOOKUP(J152, 'Fixture Identities'!$A$6:$L$1023, 3, FALSE)="T12 Linear Fluorescent",VLOOKUP(J152, 'Fixture Identities'!$A$6:$L$1023, 3, FALSE)="T12 U-Tube Fluorescent"), "Y", "N")), "N")</f>
        <v/>
      </c>
      <c r="BS152" s="184" t="str">
        <f t="array" ref="BS152">IFERROR(IF(OR(B152="", V152="", W152=""), "", IF(V152="Custom", "N", IF(OR(W152="Freezer Case Lighting", W152="Refrigerated Case Lighting with Doors"), BT152, IF(B152="Retrofit", INDEX('Lookup Tables'!$AH$6:$AT$102,MATCH(1,('Lookup Tables'!$AH$6:$AH$102=V152)*('Lookup Tables'!$AI$6:$AI$102=W152),FALSE),IF(VLOOKUP(J152, 'Fixture Identities'!$A$6:$B$1023, 2, FALSE)="Incandescent",12, 13)), INDEX('Lookup Tables'!$AH$114:$AS$154,MATCH(1,('Lookup Tables'!$AH$114:$AH$154=V152)*('Lookup Tables'!$AI$114:$AI$154=W152),FALSE),12))))), "N")</f>
        <v/>
      </c>
      <c r="BT152" s="184" t="str">
        <f>IF(J152="", "", IF(AND(OR(W152="Freezer case Lighting", W152="Refrigerated Case Lighting with Doors"),'General Information'!$X$18="LCI"), "N", IF(OR(VLOOKUP(J152, 'Fixture Identities'!$A$6:$B$1023, 2, FALSE)="T12 EPACT/EISA Baseline", VLOOKUP(J152, 'Fixture Identities'!$A$6:$B$1023, 2, FALSE)="Linear Fluorescent", VLOOKUP(J152, 'Fixture Identities'!$A$6:$B$1023, 2, FALSE)="U-Tube Fluorescent"), "Y", "N")))</f>
        <v/>
      </c>
      <c r="BU152" s="184" t="str">
        <f>IFERROR(IF(B152="", "", IF(VLOOKUP(J152, 'Fixture Identities'!$A$6:$B$1023, 2, FALSE)="Exit Sign", "Y", "N")), "N")</f>
        <v/>
      </c>
      <c r="BV152" s="184" t="str">
        <f>IF(V152="Exit Signs", IF(VLOOKUP(J152, 'Fixture Identities'!$A$6:$B$1023, 2, FALSE)="Exit Sign", "N", "Y"), "")</f>
        <v/>
      </c>
      <c r="BW152" s="184" t="str">
        <f t="array" ref="BW152">IFERROR(IF(B152="", "", IF(B152="New Construction", "N", INDEX('Lookup Tables'!$AH$6:$AU$102, MATCH(1, ('Lookup Tables'!$AH$6:$AH$102='Lighting Inventory'!V152)*('Lookup Tables'!$AI$6:$AI$102='Lighting Inventory'!W152), 0), 14))), "N")</f>
        <v/>
      </c>
      <c r="BX152" s="598" t="str">
        <f t="shared" si="463"/>
        <v/>
      </c>
      <c r="BY152" s="598" t="str">
        <f t="shared" si="464"/>
        <v/>
      </c>
      <c r="BZ152" s="598" t="str">
        <f t="shared" si="465"/>
        <v/>
      </c>
      <c r="CA152" s="598" t="str">
        <f t="shared" si="466"/>
        <v/>
      </c>
      <c r="CB152" s="269" t="str">
        <f t="shared" si="467"/>
        <v/>
      </c>
      <c r="CC152" s="517" t="str">
        <f t="shared" si="468"/>
        <v/>
      </c>
      <c r="CD152" s="565" t="str">
        <f t="shared" si="408"/>
        <v/>
      </c>
      <c r="CE152" s="368">
        <v>0</v>
      </c>
      <c r="CF152" s="368" t="str" cm="1">
        <f t="array" ref="CF152">IFERROR(IF(V152="Custom", "$0.1 per kWh", IF(B152="New Construction", CONCATENATE("$",INDEX('Lookup Tables'!$AH$114:$AN$154,MATCH(1,('Lookup Tables'!$AH$114:$AH$154='Lighting Inventory'!V152)*('Lookup Tables'!$AI$114:$AI$154='Lighting Inventory'!W152),FALSE),6)," ",INDEX('Lookup Tables'!$AH$114:$AN$154,MATCH(1,('Lookup Tables'!$AH$114:$AH$154='Lighting Inventory'!V152)*('Lookup Tables'!$AI$114:$AI$154='Lighting Inventory'!W152),FALSE),7)), IF(AND(BU152="N", V152="Exit Signs"), "$0.025 per kWh", CONCATENATE("$",INDEX('Lookup Tables'!$AH$6:$AN$102,MATCH(1,('Lookup Tables'!$AH$6:$AH$102='Lighting Inventory'!V152)*('Lookup Tables'!$AI$6:$AI$102='Lighting Inventory'!W152),FALSE),6)," ",INDEX('Lookup Tables'!$AH$6:$AN$102,MATCH(1,('Lookup Tables'!$AH$6:$AH$102='Lighting Inventory'!V152)*('Lookup Tables'!$AI$6:$AI$102='Lighting Inventory'!W152),FALSE),7))))), "")</f>
        <v/>
      </c>
      <c r="CG152" s="366"/>
      <c r="CH152" s="248" t="str">
        <f t="shared" si="409"/>
        <v/>
      </c>
      <c r="CI152" s="248" t="str">
        <f t="shared" si="410"/>
        <v>Select_IE</v>
      </c>
      <c r="CJ152" s="248" t="str">
        <f t="shared" si="411"/>
        <v/>
      </c>
      <c r="CK152" s="248" t="str">
        <f t="shared" si="412"/>
        <v/>
      </c>
      <c r="CL152" s="248" t="str">
        <f t="shared" si="413"/>
        <v/>
      </c>
      <c r="CM152" s="248" t="str">
        <f>IFERROR(IF(B152="", "", IF(B152="New Construction", VLOOKUP(V152, 'Lookup Tables'!$AF$114:$AG$120, 2, FALSE), VLOOKUP(V152, 'Lookup Tables'!$AD$6:$AE$25, 2, FALSE))), "")</f>
        <v/>
      </c>
      <c r="CN152" s="248" t="str">
        <f t="shared" si="414"/>
        <v/>
      </c>
      <c r="CO152" s="248" t="str">
        <f t="shared" si="415"/>
        <v/>
      </c>
      <c r="CP152" s="592" t="str">
        <f t="shared" si="416"/>
        <v/>
      </c>
      <c r="CQ152" s="248" t="str">
        <f t="shared" si="469"/>
        <v/>
      </c>
      <c r="CR152" s="100"/>
      <c r="CS152" s="250" t="str">
        <f t="shared" si="417"/>
        <v/>
      </c>
      <c r="CT152" s="250" t="str">
        <f t="shared" si="470"/>
        <v/>
      </c>
      <c r="CU152" s="250" t="str">
        <f t="shared" si="471"/>
        <v/>
      </c>
      <c r="CV152" s="250" t="str">
        <f t="shared" si="472"/>
        <v/>
      </c>
      <c r="CW152" s="250" t="str">
        <f t="shared" si="473"/>
        <v/>
      </c>
      <c r="CX152" s="250" t="str">
        <f t="shared" si="418"/>
        <v/>
      </c>
      <c r="CY152" s="250" t="str">
        <f t="shared" si="419"/>
        <v/>
      </c>
      <c r="CZ152" s="250" t="str">
        <f t="shared" si="420"/>
        <v/>
      </c>
      <c r="DA152" s="250" t="str">
        <f t="shared" si="421"/>
        <v/>
      </c>
      <c r="DB152" s="250" t="str">
        <f t="shared" si="422"/>
        <v/>
      </c>
      <c r="DC152" s="250" t="str">
        <f t="shared" si="423"/>
        <v/>
      </c>
      <c r="DD152" s="250" t="str">
        <f t="shared" si="424"/>
        <v/>
      </c>
      <c r="DE152" s="250" t="str">
        <f t="shared" si="425"/>
        <v/>
      </c>
      <c r="DF152" s="250" t="str">
        <f t="shared" si="426"/>
        <v/>
      </c>
      <c r="DG152" s="250" t="str">
        <f t="shared" si="427"/>
        <v/>
      </c>
      <c r="DH152" s="250" t="str">
        <f t="shared" si="428"/>
        <v/>
      </c>
      <c r="DI152" s="250" t="str">
        <f t="shared" si="429"/>
        <v/>
      </c>
      <c r="DJ152" s="250" t="str">
        <f t="shared" si="430"/>
        <v/>
      </c>
      <c r="DK152" s="250" t="str">
        <f t="shared" si="431"/>
        <v/>
      </c>
      <c r="DL152" s="250" t="str">
        <f t="shared" si="432"/>
        <v/>
      </c>
      <c r="DM152" s="250" t="str">
        <f>IF(CD152="ERROR", "ERROR", IF(AND(OR(Y152=$DM$6, Y152='Lookup Tables'!$AD$21, Y152='Lookup Tables'!$AD$22), E152="Interior"), BJ152, ""))</f>
        <v/>
      </c>
      <c r="DN152" s="250" t="str">
        <f>IF(CD152="ERROR", "ERROR", IF(AND(OR(Y152=$DM$6, Y152='Lookup Tables'!$AD$21, Y152='Lookup Tables'!$AD$22), E152="Exterior"), BJ152, ""))</f>
        <v/>
      </c>
      <c r="DO152" s="100"/>
      <c r="DP152" s="250" t="str">
        <f t="shared" si="433"/>
        <v/>
      </c>
      <c r="DQ152" s="250" t="str">
        <f t="shared" si="474"/>
        <v/>
      </c>
      <c r="DR152" s="250" t="str">
        <f t="shared" si="475"/>
        <v/>
      </c>
      <c r="DS152" s="250" t="str">
        <f t="shared" si="476"/>
        <v/>
      </c>
      <c r="DT152" s="250" t="str">
        <f t="shared" si="477"/>
        <v/>
      </c>
      <c r="DU152" s="250" t="str">
        <f t="shared" si="434"/>
        <v/>
      </c>
      <c r="DV152" s="250" t="str">
        <f t="shared" si="435"/>
        <v/>
      </c>
      <c r="DW152" s="250" t="str">
        <f t="shared" si="436"/>
        <v/>
      </c>
      <c r="DX152" s="250" t="str">
        <f t="shared" si="437"/>
        <v/>
      </c>
      <c r="DY152" s="250" t="str">
        <f t="shared" si="438"/>
        <v/>
      </c>
      <c r="DZ152" s="250" t="str">
        <f t="shared" si="439"/>
        <v/>
      </c>
      <c r="EA152" s="250" t="str">
        <f t="shared" si="440"/>
        <v/>
      </c>
      <c r="EB152" s="250" t="str">
        <f t="shared" si="478"/>
        <v/>
      </c>
      <c r="EC152" s="250" t="str">
        <f t="shared" si="441"/>
        <v/>
      </c>
      <c r="ED152" s="250" t="str">
        <f t="shared" si="442"/>
        <v/>
      </c>
      <c r="EE152" s="250" t="str">
        <f t="shared" si="443"/>
        <v/>
      </c>
      <c r="EF152" s="250" t="str">
        <f t="shared" si="444"/>
        <v/>
      </c>
      <c r="EG152" s="250" t="str">
        <f t="shared" si="445"/>
        <v/>
      </c>
      <c r="EH152" s="250" t="str">
        <f>IF(CD152="ERROR", "ERROR", IF(AND(OR($EH$6=Y152, Y152='Lookup Tables'!$AD$21, Y152='Lookup Tables'!$AD$22),E152="Interior"), SUM(BP152:BP152), ""))</f>
        <v/>
      </c>
      <c r="EI152" s="250" t="str">
        <f>IF(CD152="ERROR", "ERROR", IF(AND(OR($EH$6=Y152, Y152='Lookup Tables'!$AD$21, Y152='Lookup Tables'!$AD$22),E152="Exterior"), SUM(BP152:BP152), ""))</f>
        <v/>
      </c>
      <c r="EJ152" s="109"/>
      <c r="EK152" s="485" t="str">
        <f t="shared" si="446"/>
        <v/>
      </c>
      <c r="EL152" s="252" t="str">
        <f t="shared" si="479"/>
        <v/>
      </c>
      <c r="EM152" s="252" t="str">
        <f t="shared" si="480"/>
        <v/>
      </c>
      <c r="EN152" s="252" t="str">
        <f t="shared" si="481"/>
        <v/>
      </c>
      <c r="EO152" s="252" t="str">
        <f t="shared" si="482"/>
        <v/>
      </c>
      <c r="EP152" s="252" t="str">
        <f t="shared" si="483"/>
        <v/>
      </c>
      <c r="EQ152" s="252" t="str">
        <f t="shared" si="484"/>
        <v/>
      </c>
      <c r="ER152" s="252" t="str">
        <f t="shared" si="485"/>
        <v/>
      </c>
      <c r="ES152" s="252" t="str">
        <f t="shared" si="486"/>
        <v/>
      </c>
      <c r="ET152" s="252" t="str">
        <f t="shared" si="487"/>
        <v/>
      </c>
      <c r="EU152" s="252" t="str">
        <f t="shared" si="488"/>
        <v/>
      </c>
      <c r="EV152" s="252" t="str">
        <f t="shared" si="489"/>
        <v/>
      </c>
      <c r="EW152" s="252" t="str">
        <f t="shared" si="490"/>
        <v/>
      </c>
      <c r="EX152" s="252" t="str">
        <f t="shared" si="491"/>
        <v/>
      </c>
      <c r="EY152" s="252" t="str">
        <f t="shared" si="492"/>
        <v/>
      </c>
      <c r="EZ152" s="252" t="str">
        <f t="shared" si="493"/>
        <v/>
      </c>
      <c r="FA152" s="252" t="str">
        <f t="shared" si="494"/>
        <v/>
      </c>
      <c r="FB152" s="252" t="str">
        <f t="shared" si="495"/>
        <v/>
      </c>
      <c r="FC152" s="252" t="str">
        <f>IF(CD152="ERROR", "ERROR", IF(OR(V152="No Change", V152="Not DLC or Energy Star"), "", IF(AND(OR($FC$6=Y152,Y152='Lookup Tables'!$AD$21, Y152='Lookup Tables'!$AD$22),E152="Interior"), S152, "")))</f>
        <v/>
      </c>
      <c r="FD152" s="252" t="str">
        <f t="shared" si="496"/>
        <v/>
      </c>
      <c r="FE152" s="101"/>
      <c r="FF152" s="579" t="str" cm="1">
        <f t="array" ref="FF152">IFERROR(IF(OR(BQ152&lt;=0,AQ152&lt;20,AND(V152="Exit Signs",AN152&gt;0)),"",IF(AND(AQ152&gt;=20,AN152='Lookup Tables'!$R$101),'Lookup Tables'!$U$101*BQ152,AP152*LOOKUP(2,1/((AN152='Lookup Tables'!$R$91:$R$111)*(AQ152&gt;='Lookup Tables'!$S$91:$S$111)*(AQ152&lt;='Lookup Tables'!$T$91:$T$111)),'Lookup Tables'!$U$91:$U$111))),"")</f>
        <v/>
      </c>
      <c r="FG152" s="579"/>
      <c r="FH152" s="579"/>
      <c r="FI152" s="253" t="str">
        <f>IFERROR(ROUND(IF(CD152="ERROR", "ERROR", IF(AND($FI$7=X152,E152="Interior"),VLOOKUP(W152, 'Lookup Tables'!$AI$6:$AM$102, 5, FALSE)*BP152, "")), 2), "")</f>
        <v/>
      </c>
      <c r="FJ152" s="253" t="str">
        <f>IFERROR(ROUND(IF(CD152="ERROR", "ERROR", IF(AND($FI$7=X152,E152="Exterior"),VLOOKUP(W152, 'Lookup Tables'!$AI$6:$AM$102, 5, FALSE)*BP152, "")), 2), "")</f>
        <v/>
      </c>
      <c r="FK152" s="253" t="str">
        <f>IFERROR(ROUND(IF(CD152="ERROR", "ERROR", IF(AND($FK$7=X152,E152="Interior"),VLOOKUP(W152, 'Lookup Tables'!$AI$6:$AM$102, 5, FALSE)*BP152, "")), 2), "")</f>
        <v/>
      </c>
      <c r="FL152" s="253" t="str">
        <f>IFERROR(ROUND(IF(CD152="ERROR", "ERROR", IF(AND($FK$7=X152,E152="Exterior"),VLOOKUP(W152, 'Lookup Tables'!$AI$6:$AM$102, 5, FALSE)*BP152, "")), 2), "")</f>
        <v/>
      </c>
      <c r="FM152" s="253" t="str">
        <f>IFERROR(ROUND(IF(CD152="ERROR", "ERROR", IF(AND($FM$6=Y152,E152="Interior"), IF(GB152=0, VLOOKUP(W152, 'Lookup Tables'!$AI$6:$AM$102, 5, FALSE)*BP152, IF(VLOOKUP(W152, 'Lookup Tables'!$AI$6:$AM$102, 5, FALSE)*BP152&gt;GB152*'Lighting Inventory'!S152, GB152*'Lighting Inventory'!S152,VLOOKUP(W152, 'Lookup Tables'!$AI$6:$AM$102, 5, FALSE)*BP152)), "")), 2), "")</f>
        <v/>
      </c>
      <c r="FN152" s="253" t="str">
        <f>IFERROR(ROUND(IF(CD152="ERROR", "ERROR", IF(AND($FM$6=Y152,E152="Exterior"), IF(GB152=0, VLOOKUP(W152, 'Lookup Tables'!$AI$6:$AM$102, 5, FALSE)*BP152, IF(VLOOKUP(W152, 'Lookup Tables'!$AI$6:$AM$102, 5, FALSE)*BP152&gt;GB152*'Lighting Inventory'!S152, GB152*'Lighting Inventory'!S152,VLOOKUP(W152, 'Lookup Tables'!$AI$6:$AM$102, 5, FALSE)*BP152)), "")), 2), "")</f>
        <v/>
      </c>
      <c r="FO152" s="253" t="str">
        <f>IFERROR(ROUND(IF(CD152="ERROR", "ERROR", IF(AND($FO$6=Y152,E152="Interior"),VLOOKUP(W152, 'Lookup Tables'!$AI$6:$AM$102, 5, FALSE)*'Lighting Inventory'!AI152, "")), 2), "")</f>
        <v/>
      </c>
      <c r="FP152" s="253" t="str">
        <f>IFERROR(ROUND(IF(CD152="ERROR", "ERROR", IF(AND($FO$6=Y152,E152="Exterior"),VLOOKUP(W152, 'Lookup Tables'!$AI$6:$AM$102, 5, FALSE)*'Lighting Inventory'!AI152, "")), 2), "")</f>
        <v/>
      </c>
      <c r="FQ152" s="253" t="str">
        <f>IFERROR(ROUND(IF(CD152="ERROR", "ERROR", IF(AND($FQ$6=Y152,E152="Interior", BU152="Y"), VLOOKUP('Lighting Inventory'!W152, 'Lookup Tables'!$AI$6:$AM$102, 5, FALSE)*'Lighting Inventory'!S152, IF(AND($FQ$7=Y152,E152="Interior", BU152="N"), 0.025*CD152, ""))), 2), "")</f>
        <v/>
      </c>
      <c r="FR152" s="253" t="str">
        <f>IFERROR(ROUND(IF(CD152="ERROR", "ERROR", IF(AND($FQ$6=Y152,E152="Exterior"), VLOOKUP('Lighting Inventory'!W152, 'Lookup Tables'!$AI$6:$AM$102, 5, FALSE)*'Lighting Inventory'!S152, "")), 2), "")</f>
        <v/>
      </c>
      <c r="FS152" s="253" t="str">
        <f>IFERROR(ROUND(IF(CD152="ERROR", "ERROR", IF(AND($FS$6=Y152,E152="Exterior"), IF(GB152=0, VLOOKUP(W152, 'Lookup Tables'!$AI$6:$AM$102, 5, FALSE)*BP152, IF(VLOOKUP(W152, 'Lookup Tables'!$AI$6:$AM$102, 5, FALSE)*BP152&gt;GB152*'Lighting Inventory'!S152, GB152*'Lighting Inventory'!S152,VLOOKUP(W152, 'Lookup Tables'!$AI$6:$AM$102, 5, FALSE)*BP152)), "")), 2), "")</f>
        <v/>
      </c>
      <c r="FT152" s="253" t="str">
        <f>IFERROR(ROUND(IF(CD152="ERROR", "ERROR", IF(AND($FT$6=Y152,E152="Interior"), IF(GB152=0, VLOOKUP(W152, 'Lookup Tables'!$AI$6:$AM$102, 5, FALSE)*BP152, IF(VLOOKUP(W152, 'Lookup Tables'!$AI$6:$AM$102, 5, FALSE)*BP152&gt;GB152*'Lighting Inventory'!S152, GB152*'Lighting Inventory'!S152,VLOOKUP(W152, 'Lookup Tables'!$AI$6:$AM$102, 5, FALSE)*BP152)), "")), 2), "")</f>
        <v/>
      </c>
      <c r="FU152" s="253" t="str">
        <f>IFERROR(ROUND(IF(CD152="ERROR", "ERROR", IF(AND(Y152=$FU$6, E152="Interior"), IF(BS152="N", 'Lookup Tables'!$AM$101*BP152, VLOOKUP(W152, 'Lookup Tables'!$AI$6:$AM$102, 5, FALSE)*S152*AD152), "")), 2), "")</f>
        <v/>
      </c>
      <c r="FV152" s="253" t="str">
        <f>IFERROR(ROUND(IF(CD152="ERROR", "ERROR", IF(AND(Y152=$FU$6, E152="Exterior"), IF(BS152="N", 'Lookup Tables'!$AM$101*BP152, VLOOKUP(W152, 'Lookup Tables'!$AI$6:$AM$102, 5, FALSE)*S152*AD152), "")), 2), "")</f>
        <v/>
      </c>
      <c r="FW152" s="253" t="str">
        <f>IFERROR(ROUND(IF(CD152="ERROR", "ERROR", IF($FW$6=Y152, IF(BS152="N", 'Lookup Tables'!$AM$101*BP152, MIN((VLOOKUP(W152, 'Lookup Tables'!$AI$6:$AM$102, 5, FALSE)*BP152),GB152*AJ152)), "")), 2), "")</f>
        <v/>
      </c>
      <c r="FX152" s="253" t="str">
        <f>IFERROR(ROUND(IF(CD152="ERROR", "ERROR", IF(AND($FX$6=Y152, E152="Interior"), IF(VLOOKUP(W152, 'Lookup Tables'!$AI$6:$AM$102, 5, FALSE)*BP152&gt;'Lookup Tables'!$AQ$97*'Lighting Inventory'!S152,'Lighting Inventory'!S152*'Lookup Tables'!$AQ$97,VLOOKUP(W152, 'Lookup Tables'!$AI$6:$AM$102, 5, FALSE)*BP152), "")), 2), "")</f>
        <v/>
      </c>
      <c r="FY152" s="253" t="str">
        <f>IFERROR(ROUND(IF(CD152="ERROR", "ERROR", IF(AND($FX$6=Y152, E152="Exterior"), IF(VLOOKUP(W152, 'Lookup Tables'!$AI$6:$AM$102, 5, FALSE)*BP152&gt;'Lookup Tables'!$AQ$97*'Lighting Inventory'!S152,'Lighting Inventory'!S152*'Lookup Tables'!$AQ$97,VLOOKUP(W152, 'Lookup Tables'!$AI$6:$AM$102, 5, FALSE)*BP152), "")), 2), "")</f>
        <v/>
      </c>
      <c r="FZ152" s="253" t="str">
        <f>IFERROR(ROUND(IF(CD152="ERROR", "ERROR", IF(AND($FZ$6=Y152, E152="Interior"), IF(AND(OR(W152="Refrigerated Case Lighting with Doors", W152="Freezer Case Lighting"),Y152="Custom - Process Improvement"),CD152*'Lookup Tables'!$AM$101, IF(B152="Retrofit", IF(VLOOKUP(IF(V152="Custom", V152, W152), 'Lookup Tables'!$AI$6:$AM$102, 5, FALSE)*BP152&gt;GE152, GE152, VLOOKUP(IF(V152="Custom", V152, W152), 'Lookup Tables'!$AI$6:$AM$102, 5, FALSE)*BP152), IF(VLOOKUP(IF(V152="Custom", V152, W152), 'Lookup Tables'!$AI$114:$AM$154, 5, FALSE)*BP152&gt;GE152, GE152, VLOOKUP(IF(V152="Custom", V152, W152), 'Lookup Tables'!$AI$114:$AM$154, 5, FALSE)*BP152))), "")), 2),"")</f>
        <v/>
      </c>
      <c r="GA152" s="253" t="str">
        <f>IFERROR(ROUND(IF(CD152="ERROR", "ERROR", IF(AND($FZ$6=Y152, E152="Exterior"), IF(B152="Retrofit", IF(VLOOKUP(IF(V152="Custom", V152, W152), 'Lookup Tables'!$AI$6:$AM$102, 5, FALSE)*BP152&gt;GE152, GE152, VLOOKUP(IF(V152="Custom", V152, W152), 'Lookup Tables'!$AI$6:$AM$102, 5, FALSE)*BP152), IF(VLOOKUP(IF(V152="Custom", V152, W152), 'Lookup Tables'!$AI$114:$AM$154, 5, FALSE)*BP152&gt;GE152, GE152, VLOOKUP(IF(V152="Custom", V152, W152), 'Lookup Tables'!$AI$114:$AM$154, 5, FALSE)*BP152)), "")), 2),"")</f>
        <v/>
      </c>
      <c r="GB152" s="254" t="str">
        <f t="array" ref="GB152">IF(B152="","",IF(OR(V152="Custom",V152="No Change"),0,IF(B152="Retrofit", INDEX('Lookup Tables'!$AH$6:$AQ$102,MATCH(1,('Lookup Tables'!$AH$6:$AH$102='Lighting Inventory'!V152)*('Lookup Tables'!$AI$6:$AI$102='Lighting Inventory'!W152),FALSE),10),INDEX('Lookup Tables'!$AH$114:$AQ$154,MATCH(1,('Lookup Tables'!$AH$114:$AH$154='Lighting Inventory'!V152)*('Lookup Tables'!$AI$114:$AI$154='Lighting Inventory'!W152),FALSE),10))))</f>
        <v/>
      </c>
      <c r="GC152" s="255" t="str">
        <f t="shared" si="447"/>
        <v/>
      </c>
      <c r="GD152" s="250" t="str">
        <f t="shared" si="448"/>
        <v/>
      </c>
      <c r="GE152" s="253" t="str">
        <f>IFERROR(IF(AND(AF152="", 'General Information'!$F$18="No"),"", IF(AF152="", ((GD152/$CD$266)*$CF$266)*0.5, AF152*S152*0.5)), "")</f>
        <v/>
      </c>
      <c r="GF152" s="255" t="str">
        <f>IF(AND('General Information'!$F$19="", 'General Information'!$F$18="Yes",AF152="",BW152="Y"), "Y", "N")</f>
        <v>N</v>
      </c>
      <c r="GG152" s="255" t="s">
        <v>2946</v>
      </c>
      <c r="GH152" s="255" t="str">
        <f>IFERROR(IF(B152="", "", VLOOKUP(J152, 'Fixture Identities'!$A$6:$N$908, 14, FALSE)), "")</f>
        <v/>
      </c>
      <c r="GI152" s="389" t="str">
        <f>IF(OR(B152="", V152="", W152=""), "", IF(AND(OR(M152='Lookup Tables'!$R$18, M152='Lookup Tables'!$R$19, M152='Lookup Tables'!$R$20, M152='Lookup Tables'!$R$21, M152='Lookup Tables'!$R$22), OR(AN152='Lookup Tables'!$R$17, AN152='Lookup Tables'!$R$17, AN152="")), "Y", "N"))</f>
        <v/>
      </c>
      <c r="GJ152" s="255" t="str">
        <f t="shared" si="449"/>
        <v/>
      </c>
      <c r="GK152" s="255" t="str">
        <f t="shared" si="450"/>
        <v/>
      </c>
      <c r="GL152" s="255" t="str">
        <f t="shared" si="451"/>
        <v/>
      </c>
      <c r="GM152" s="255" t="str">
        <f>IF(AN152="", "", IF(AND(IF(ISNA(VLOOKUP(AN152,'Lookup Tables'!$R$18:$R$22,1,FALSE)), "N", "Y")="Y", E152="Exterior"), "Y", "N"))</f>
        <v/>
      </c>
      <c r="GN152" s="395"/>
      <c r="GO152" s="428">
        <f t="shared" si="497"/>
        <v>0</v>
      </c>
      <c r="GP152" s="428">
        <f t="shared" si="500"/>
        <v>0</v>
      </c>
      <c r="GQ152" s="428">
        <f t="shared" si="498"/>
        <v>0</v>
      </c>
      <c r="GR152" s="428">
        <f t="shared" si="499"/>
        <v>0</v>
      </c>
    </row>
    <row r="153" spans="1:200" s="103" customFormat="1" ht="13.5" customHeight="1" x14ac:dyDescent="0.2">
      <c r="A153" s="272">
        <v>143</v>
      </c>
      <c r="B153" s="110"/>
      <c r="C153" s="110"/>
      <c r="D153" s="110"/>
      <c r="E153" s="110"/>
      <c r="F153" s="110"/>
      <c r="G153" s="110"/>
      <c r="H153" s="110"/>
      <c r="I153" s="29"/>
      <c r="J153" s="29"/>
      <c r="K153" s="272" t="str">
        <f>IFERROR(IF(OR(VLOOKUP(J153, 'Fixture Identities'!$A$6:$L$1023, 3, FALSE)="T12 Linear Fluorescent", VLOOKUP(J153, 'Fixture Identities'!$A$6:$L$1023, 3, FALSE)="T12 U-Tube Fluorescent"), VLOOKUP(VLOOKUP(J153, 'Fixture Identities'!$A$6:$L$1023, 11, FALSE), 'Fixture Identities'!$A$6:$L$1023, 10, FALSE), VLOOKUP(J153, 'Fixture Identities'!$A$6:$L$1023, 10, FALSE)), "")</f>
        <v/>
      </c>
      <c r="L153" s="270" t="str">
        <f t="shared" si="502"/>
        <v/>
      </c>
      <c r="M153" s="110"/>
      <c r="N153" s="110"/>
      <c r="O153" s="110"/>
      <c r="P153" s="272" t="str">
        <f>IFERROR(IF(OR(B153="Retrofit",B153=""),"",IF('Lighting Inventory'!E153="Exterior",VLOOKUP('Lighting Inventory'!N153,'Lookup Tables'!$B$83:$F$103,5,FALSE),IF(N153="Other - Please Estimate EFLH and CFs","Contact Prog. Rep.","ft^2"))), "")</f>
        <v/>
      </c>
      <c r="Q153" s="270" t="str">
        <f>IFERROR(IF(AND(B153="New Construction",E153="Interior",$F$5="Space-by-Space"),VLOOKUP('Lighting Inventory'!N153,'Lookup Tables'!$N$6:$O$97,2,FALSE),IF(AND(B153="New Construction",E153="Exterior"),VLOOKUP(N153,'Lookup Tables'!$B$83:$F$103,2,FALSE),IF(AND(B153="New Construction",'Lighting Inventory'!E153="Interior", $F$5="Building Area"),VLOOKUP(F153,'Lookup Tables'!$A$6:$J$59,10,FALSE),""))), "")</f>
        <v/>
      </c>
      <c r="R153" s="270" t="str">
        <f>IFERROR(IF(P153="Contact Prog. Rep.", "ERROR", IF(OR(B153="",B153="Retrofit"),"",IF(N153="Automated teller machines", ('Lookup Tables'!$A$82:$E$100+('Lighting Inventory'!O153-1)*'Lookup Tables'!$A$82:$E$100)/1000, (Q153*O153)/1000))), "")</f>
        <v/>
      </c>
      <c r="S153" s="595"/>
      <c r="T153" s="105" t="str">
        <f t="shared" si="452"/>
        <v/>
      </c>
      <c r="U153" s="105" t="str">
        <f>IF(S153="","",COUNT($S$11:S153))</f>
        <v/>
      </c>
      <c r="V153" s="111"/>
      <c r="W153" s="112"/>
      <c r="X153" s="105" t="str">
        <f t="shared" si="453"/>
        <v/>
      </c>
      <c r="Y153" s="105" t="str">
        <f t="array" ref="Y153">IF(AND(OR(W153="Freezer Case Lighting", W153="Refrigerated Case Lighting with Doors"), 'General Information'!$X$18="LCI"),'Lookup Tables'!$Y$34, IF(V153="Custom", VLOOKUP(W153, 'Fixture Identities'!$A$974:$M$1023, 13, FALSE), IF(V153="No Change",'Lookup Tables'!$Y$29,IF(OR(V153="",W153=""),"",IF(AND(S153=0,S153&lt;I153,B153="Retrofit"),'Lookup Tables'!$Y$25, IF(B153="Retrofit", INDEX('Lookup Tables'!$AH$6:$AP$102, MATCH(1, ('Lookup Tables'!$AH$6:$AH$102=V153)*('Lookup Tables'!$AI$6:$AI$102=W153), 0), IF('Lighting Inventory'!E153="Interior", 4, 5)), INDEX('Lookup Tables'!$AH$114:$AP$154, MATCH(1, ('Lookup Tables'!$AH$114:$AH$154=V153)*('Lookup Tables'!$AI$114:$AI$154=W153), 0), IF('Lighting Inventory'!E153="Interior", 4, 5))))))))</f>
        <v/>
      </c>
      <c r="Z153" s="105" t="str">
        <f>IFERROR(INDEX('Lookup Tables'!$AH$158:$AH$172,MATCH('Lighting Inventory'!Y153,'Lookup Tables'!$AI$158:$AI$172,0)),"")</f>
        <v/>
      </c>
      <c r="AA153" s="105" t="str">
        <f>IF(AP153&gt;0,INDEX('Lookup Tables'!$AK$158:$AK$172,MATCH('Lighting Inventory'!Y153,'Lookup Tables'!$AI$158:$AI$172,0)),'Lighting Inventory'!Y153)</f>
        <v/>
      </c>
      <c r="AB153" s="105" t="str">
        <f t="array" ref="AB153">IF(V153="Custom", "Custom", IF(V153="", "", IF(V153="Not DLC or Energy Star", "General", IF(B153="New Construction", INDEX('Lookup Tables'!$AH$114:$AP$154,MATCH(1,('Lookup Tables'!$AH$114:$AH$154='Lighting Inventory'!V153)*('Lookup Tables'!$AI$114:$AI$154='Lighting Inventory'!W153),FALSE),8), INDEX('Lookup Tables'!$AH$6:$AP$102,MATCH(1,('Lookup Tables'!$AH$6:$AH$102='Lighting Inventory'!V153)*('Lookup Tables'!$AI$6:$AI$102='Lighting Inventory'!W153),FALSE),8)))))</f>
        <v/>
      </c>
      <c r="AC153" s="272" t="str">
        <f>IF(W153="","",IF(V153="Custom",CONCATENATE("$",'Lookup Tables'!$AM$101," ",'Lookup Tables'!$AN$101),CONCATENATE("$",INDEX('Lookup Tables'!$AM$6:$AM$102,MATCH('Lighting Inventory'!W153,'Lookup Tables'!$AI$6:$AI$102,0))," ",INDEX('Lookup Tables'!$AN$6:$AN$102,MATCH('Lighting Inventory'!W153,'Lookup Tables'!$AI$6:$AI$102,0)))))</f>
        <v/>
      </c>
      <c r="AD153" s="72"/>
      <c r="AE153" s="29"/>
      <c r="AF153" s="379"/>
      <c r="AG153" s="370" t="str">
        <f t="shared" si="401"/>
        <v/>
      </c>
      <c r="AH153" s="370" t="str">
        <f t="shared" si="454"/>
        <v/>
      </c>
      <c r="AI153" s="29"/>
      <c r="AJ153" s="29"/>
      <c r="AK153" s="110"/>
      <c r="AL153" s="375" t="str">
        <f>IF(OR(B153="", V153="", W153=""), "", IF(V153="No Change", K153, IF(V153="Remove Fixture", 0, IF(V153="Custom",VLOOKUP(W153,'Fixture Identities'!$A$6:$K$1023,10,FALSE),IF(AE153="", "← ENTER POST WATTS", 'Lighting Inventory'!AE153)))))</f>
        <v/>
      </c>
      <c r="AM153" s="376" t="str">
        <f t="shared" si="402"/>
        <v/>
      </c>
      <c r="AN153" s="29"/>
      <c r="AO153" s="671"/>
      <c r="AP153" s="29"/>
      <c r="AQ153" s="29"/>
      <c r="AR153" s="29"/>
      <c r="AS153" s="272" t="str">
        <f t="shared" si="455"/>
        <v/>
      </c>
      <c r="AT153" s="270" t="str">
        <f t="shared" si="403"/>
        <v/>
      </c>
      <c r="AU153" s="88" t="str">
        <f t="shared" si="503"/>
        <v/>
      </c>
      <c r="AV153" s="29"/>
      <c r="AW153" s="73"/>
      <c r="AX153" s="271" t="str">
        <f>IF(AND(AV153="Applicant",OR(AW153="", AW153="Use Default Facility Hours")),"← Choose Schedule",IF(F153="","",IF(W153="LED Exit Signs",8760,IF(OR(AV153="Prescribed",AV153=""),VLOOKUP(F153,'Lookup Tables'!$A$6:$G$59,IF(AB153="General", 6, 3),FALSE),VLOOKUP(AW153,'Lookup Tables'!$S$36:$U$43,2,FALSE)))))</f>
        <v/>
      </c>
      <c r="AY153" s="88" t="str">
        <f t="shared" si="404"/>
        <v/>
      </c>
      <c r="AZ153" s="270" t="str">
        <f>IFERROR(IF(F153="", "", IF(W153="LED Exit Signs", 1, IF(AV153="Applicant",VLOOKUP(AW153, 'Lookup Tables'!$S$36:$U$43,3, FALSE), VLOOKUP('Lighting Inventory'!F153, 'Lookup Tables'!$A$6:$H$59, IF('Lighting Inventory'!AB153="General",7,4), FALSE)))), "")</f>
        <v/>
      </c>
      <c r="BA153" s="522" t="str">
        <f>IFERROR(IF(F153="", "", IF(W153="LED Exit Signs", 1, VLOOKUP('Lighting Inventory'!F153, 'Lookup Tables'!$A$6:$H$59, IF('Lighting Inventory'!AB153="General",8,5), FALSE))), "")</f>
        <v/>
      </c>
      <c r="BB153" s="270" t="str">
        <f>IF(G153="", "", IF(E153="Exterior", 0, IF('Lighting Inventory'!G153="Air Conditioned", VLOOKUP(H153, 'Lookup Tables'!$R$6:$T$13, 2, FALSE), VLOOKUP('Lighting Inventory'!G153, 'Lookup Tables'!$R$6:$T$13, 2, FALSE))))</f>
        <v/>
      </c>
      <c r="BC153" s="522" t="str">
        <f>IF(G153="", "", IF(E153="Exterior", 0, IF('Lighting Inventory'!G153="Air Conditioned", VLOOKUP(H153, 'Lookup Tables'!$R$6:$T$13, 3, FALSE), VLOOKUP('Lighting Inventory'!G153, 'Lookup Tables'!$R$6:$T$13, 3, FALSE))))</f>
        <v/>
      </c>
      <c r="BD153" s="270" t="str">
        <f>IF(G153="", "", IF(E153="Exterior", 0, IF('Lighting Inventory'!G153="Air Conditioned", VLOOKUP(H153, 'Lookup Tables'!$R$6:$U$13, 4, FALSE), VLOOKUP('Lighting Inventory'!G153, 'Lookup Tables'!$R$6:$U$13, 4, FALSE))))</f>
        <v/>
      </c>
      <c r="BE153" s="270" t="str">
        <f>IFERROR(IF(B153="", "",  IF(B153="New Construction", VLOOKUP(F153, 'Lookup Tables'!$A$6:$K$59, 11, FALSE),IF(OR(AN153="", AN153="Light Switch"), 0, IF(OR(M153="",M153="None",V153= "LED Exit Signs"),0,_xlfn.XLOOKUP(M153,'Lookup Tables'!$R$91:$R$101,'Lookup Tables'!$V$91:$V$101))))), "")</f>
        <v/>
      </c>
      <c r="BF153" s="270" t="str">
        <f>IF(AND(OR(AN153="Light Switch",AN153=""),B153="New Construction"), VLOOKUP(F153, 'Lookup Tables'!$A$6:$K$59, 11, FALSE),IF(AN153="","",IF(B153="","",IF(OR(AN153="None",AN153="",V153="LED Exit Signs",AN153="Exterior Controls Not Eligible"),0,_xlfn.XLOOKUP(AN153,'Lookup Tables'!$R$91:$R$101,'Lookup Tables'!$V$91:$V$101)))))</f>
        <v/>
      </c>
      <c r="BG153" s="88" t="str">
        <f t="shared" si="456"/>
        <v/>
      </c>
      <c r="BH153" s="88" t="str">
        <f t="shared" si="457"/>
        <v/>
      </c>
      <c r="BI153" s="558" t="str">
        <f t="shared" si="501"/>
        <v/>
      </c>
      <c r="BJ153" s="82" t="str">
        <f t="shared" si="458"/>
        <v/>
      </c>
      <c r="BK153" s="82" t="str">
        <f t="shared" si="459"/>
        <v/>
      </c>
      <c r="BL153" s="559" t="str">
        <f t="shared" si="460"/>
        <v/>
      </c>
      <c r="BM153" s="521" t="str">
        <f t="shared" si="405"/>
        <v/>
      </c>
      <c r="BN153" s="521" t="str">
        <f t="shared" si="406"/>
        <v/>
      </c>
      <c r="BO153" s="522" t="str">
        <f t="shared" si="407"/>
        <v/>
      </c>
      <c r="BP153" s="83" t="str">
        <f t="shared" si="461"/>
        <v/>
      </c>
      <c r="BQ153" s="84" t="str">
        <f t="shared" si="462"/>
        <v/>
      </c>
      <c r="BR153" s="184" t="str">
        <f>IFERROR(IF(B153="", "", IF(OR(VLOOKUP(J153, 'Fixture Identities'!$A$6:$L$1023, 3, FALSE)="T12 Linear Fluorescent",VLOOKUP(J153, 'Fixture Identities'!$A$6:$L$1023, 3, FALSE)="T12 U-Tube Fluorescent"), "Y", "N")), "N")</f>
        <v/>
      </c>
      <c r="BS153" s="184" t="str">
        <f t="array" ref="BS153">IFERROR(IF(OR(B153="", V153="", W153=""), "", IF(V153="Custom", "N", IF(OR(W153="Freezer Case Lighting", W153="Refrigerated Case Lighting with Doors"), BT153, IF(B153="Retrofit", INDEX('Lookup Tables'!$AH$6:$AT$102,MATCH(1,('Lookup Tables'!$AH$6:$AH$102=V153)*('Lookup Tables'!$AI$6:$AI$102=W153),FALSE),IF(VLOOKUP(J153, 'Fixture Identities'!$A$6:$B$1023, 2, FALSE)="Incandescent",12, 13)), INDEX('Lookup Tables'!$AH$114:$AS$154,MATCH(1,('Lookup Tables'!$AH$114:$AH$154=V153)*('Lookup Tables'!$AI$114:$AI$154=W153),FALSE),12))))), "N")</f>
        <v/>
      </c>
      <c r="BT153" s="184" t="str">
        <f>IF(J153="", "", IF(AND(OR(W153="Freezer case Lighting", W153="Refrigerated Case Lighting with Doors"),'General Information'!$X$18="LCI"), "N", IF(OR(VLOOKUP(J153, 'Fixture Identities'!$A$6:$B$1023, 2, FALSE)="T12 EPACT/EISA Baseline", VLOOKUP(J153, 'Fixture Identities'!$A$6:$B$1023, 2, FALSE)="Linear Fluorescent", VLOOKUP(J153, 'Fixture Identities'!$A$6:$B$1023, 2, FALSE)="U-Tube Fluorescent"), "Y", "N")))</f>
        <v/>
      </c>
      <c r="BU153" s="184" t="str">
        <f>IFERROR(IF(B153="", "", IF(VLOOKUP(J153, 'Fixture Identities'!$A$6:$B$1023, 2, FALSE)="Exit Sign", "Y", "N")), "N")</f>
        <v/>
      </c>
      <c r="BV153" s="184" t="str">
        <f>IF(V153="Exit Signs", IF(VLOOKUP(J153, 'Fixture Identities'!$A$6:$B$1023, 2, FALSE)="Exit Sign", "N", "Y"), "")</f>
        <v/>
      </c>
      <c r="BW153" s="184" t="str">
        <f t="array" ref="BW153">IFERROR(IF(B153="", "", IF(B153="New Construction", "N", INDEX('Lookup Tables'!$AH$6:$AU$102, MATCH(1, ('Lookup Tables'!$AH$6:$AH$102='Lighting Inventory'!V153)*('Lookup Tables'!$AI$6:$AI$102='Lighting Inventory'!W153), 0), 14))), "N")</f>
        <v/>
      </c>
      <c r="BX153" s="598" t="str">
        <f t="shared" si="463"/>
        <v/>
      </c>
      <c r="BY153" s="598" t="str">
        <f t="shared" si="464"/>
        <v/>
      </c>
      <c r="BZ153" s="598" t="str">
        <f t="shared" si="465"/>
        <v/>
      </c>
      <c r="CA153" s="598" t="str">
        <f t="shared" si="466"/>
        <v/>
      </c>
      <c r="CB153" s="269" t="str">
        <f t="shared" si="467"/>
        <v/>
      </c>
      <c r="CC153" s="517" t="str">
        <f t="shared" si="468"/>
        <v/>
      </c>
      <c r="CD153" s="565" t="str">
        <f t="shared" si="408"/>
        <v/>
      </c>
      <c r="CE153" s="368">
        <v>0</v>
      </c>
      <c r="CF153" s="368" t="str" cm="1">
        <f t="array" ref="CF153">IFERROR(IF(V153="Custom", "$0.1 per kWh", IF(B153="New Construction", CONCATENATE("$",INDEX('Lookup Tables'!$AH$114:$AN$154,MATCH(1,('Lookup Tables'!$AH$114:$AH$154='Lighting Inventory'!V153)*('Lookup Tables'!$AI$114:$AI$154='Lighting Inventory'!W153),FALSE),6)," ",INDEX('Lookup Tables'!$AH$114:$AN$154,MATCH(1,('Lookup Tables'!$AH$114:$AH$154='Lighting Inventory'!V153)*('Lookup Tables'!$AI$114:$AI$154='Lighting Inventory'!W153),FALSE),7)), IF(AND(BU153="N", V153="Exit Signs"), "$0.025 per kWh", CONCATENATE("$",INDEX('Lookup Tables'!$AH$6:$AN$102,MATCH(1,('Lookup Tables'!$AH$6:$AH$102='Lighting Inventory'!V153)*('Lookup Tables'!$AI$6:$AI$102='Lighting Inventory'!W153),FALSE),6)," ",INDEX('Lookup Tables'!$AH$6:$AN$102,MATCH(1,('Lookup Tables'!$AH$6:$AH$102='Lighting Inventory'!V153)*('Lookup Tables'!$AI$6:$AI$102='Lighting Inventory'!W153),FALSE),7))))), "")</f>
        <v/>
      </c>
      <c r="CG153" s="366"/>
      <c r="CH153" s="248" t="str">
        <f t="shared" si="409"/>
        <v/>
      </c>
      <c r="CI153" s="248" t="str">
        <f t="shared" si="410"/>
        <v>Select_IE</v>
      </c>
      <c r="CJ153" s="248" t="str">
        <f t="shared" si="411"/>
        <v/>
      </c>
      <c r="CK153" s="248" t="str">
        <f t="shared" si="412"/>
        <v/>
      </c>
      <c r="CL153" s="248" t="str">
        <f t="shared" si="413"/>
        <v/>
      </c>
      <c r="CM153" s="248" t="str">
        <f>IFERROR(IF(B153="", "", IF(B153="New Construction", VLOOKUP(V153, 'Lookup Tables'!$AF$114:$AG$120, 2, FALSE), VLOOKUP(V153, 'Lookup Tables'!$AD$6:$AE$25, 2, FALSE))), "")</f>
        <v/>
      </c>
      <c r="CN153" s="248" t="str">
        <f t="shared" si="414"/>
        <v/>
      </c>
      <c r="CO153" s="248" t="str">
        <f t="shared" si="415"/>
        <v/>
      </c>
      <c r="CP153" s="592" t="str">
        <f t="shared" si="416"/>
        <v/>
      </c>
      <c r="CQ153" s="248" t="str">
        <f t="shared" si="469"/>
        <v/>
      </c>
      <c r="CR153" s="100"/>
      <c r="CS153" s="250" t="str">
        <f t="shared" si="417"/>
        <v/>
      </c>
      <c r="CT153" s="250" t="str">
        <f t="shared" si="470"/>
        <v/>
      </c>
      <c r="CU153" s="250" t="str">
        <f t="shared" si="471"/>
        <v/>
      </c>
      <c r="CV153" s="250" t="str">
        <f t="shared" si="472"/>
        <v/>
      </c>
      <c r="CW153" s="250" t="str">
        <f t="shared" si="473"/>
        <v/>
      </c>
      <c r="CX153" s="250" t="str">
        <f t="shared" si="418"/>
        <v/>
      </c>
      <c r="CY153" s="250" t="str">
        <f t="shared" si="419"/>
        <v/>
      </c>
      <c r="CZ153" s="250" t="str">
        <f t="shared" si="420"/>
        <v/>
      </c>
      <c r="DA153" s="250" t="str">
        <f t="shared" si="421"/>
        <v/>
      </c>
      <c r="DB153" s="250" t="str">
        <f t="shared" si="422"/>
        <v/>
      </c>
      <c r="DC153" s="250" t="str">
        <f t="shared" si="423"/>
        <v/>
      </c>
      <c r="DD153" s="250" t="str">
        <f t="shared" si="424"/>
        <v/>
      </c>
      <c r="DE153" s="250" t="str">
        <f t="shared" si="425"/>
        <v/>
      </c>
      <c r="DF153" s="250" t="str">
        <f t="shared" si="426"/>
        <v/>
      </c>
      <c r="DG153" s="250" t="str">
        <f t="shared" si="427"/>
        <v/>
      </c>
      <c r="DH153" s="250" t="str">
        <f t="shared" si="428"/>
        <v/>
      </c>
      <c r="DI153" s="250" t="str">
        <f t="shared" si="429"/>
        <v/>
      </c>
      <c r="DJ153" s="250" t="str">
        <f t="shared" si="430"/>
        <v/>
      </c>
      <c r="DK153" s="250" t="str">
        <f t="shared" si="431"/>
        <v/>
      </c>
      <c r="DL153" s="250" t="str">
        <f t="shared" si="432"/>
        <v/>
      </c>
      <c r="DM153" s="250" t="str">
        <f>IF(CD153="ERROR", "ERROR", IF(AND(OR(Y153=$DM$6, Y153='Lookup Tables'!$AD$21, Y153='Lookup Tables'!$AD$22), E153="Interior"), BJ153, ""))</f>
        <v/>
      </c>
      <c r="DN153" s="250" t="str">
        <f>IF(CD153="ERROR", "ERROR", IF(AND(OR(Y153=$DM$6, Y153='Lookup Tables'!$AD$21, Y153='Lookup Tables'!$AD$22), E153="Exterior"), BJ153, ""))</f>
        <v/>
      </c>
      <c r="DO153" s="100"/>
      <c r="DP153" s="250" t="str">
        <f t="shared" si="433"/>
        <v/>
      </c>
      <c r="DQ153" s="250" t="str">
        <f t="shared" si="474"/>
        <v/>
      </c>
      <c r="DR153" s="250" t="str">
        <f t="shared" si="475"/>
        <v/>
      </c>
      <c r="DS153" s="250" t="str">
        <f t="shared" si="476"/>
        <v/>
      </c>
      <c r="DT153" s="250" t="str">
        <f t="shared" si="477"/>
        <v/>
      </c>
      <c r="DU153" s="250" t="str">
        <f t="shared" si="434"/>
        <v/>
      </c>
      <c r="DV153" s="250" t="str">
        <f t="shared" si="435"/>
        <v/>
      </c>
      <c r="DW153" s="250" t="str">
        <f t="shared" si="436"/>
        <v/>
      </c>
      <c r="DX153" s="250" t="str">
        <f t="shared" si="437"/>
        <v/>
      </c>
      <c r="DY153" s="250" t="str">
        <f t="shared" si="438"/>
        <v/>
      </c>
      <c r="DZ153" s="250" t="str">
        <f t="shared" si="439"/>
        <v/>
      </c>
      <c r="EA153" s="250" t="str">
        <f t="shared" si="440"/>
        <v/>
      </c>
      <c r="EB153" s="250" t="str">
        <f t="shared" si="478"/>
        <v/>
      </c>
      <c r="EC153" s="250" t="str">
        <f t="shared" si="441"/>
        <v/>
      </c>
      <c r="ED153" s="250" t="str">
        <f t="shared" si="442"/>
        <v/>
      </c>
      <c r="EE153" s="250" t="str">
        <f t="shared" si="443"/>
        <v/>
      </c>
      <c r="EF153" s="250" t="str">
        <f t="shared" si="444"/>
        <v/>
      </c>
      <c r="EG153" s="250" t="str">
        <f t="shared" si="445"/>
        <v/>
      </c>
      <c r="EH153" s="250" t="str">
        <f>IF(CD153="ERROR", "ERROR", IF(AND(OR($EH$6=Y153, Y153='Lookup Tables'!$AD$21, Y153='Lookup Tables'!$AD$22),E153="Interior"), SUM(BP153:BP153), ""))</f>
        <v/>
      </c>
      <c r="EI153" s="250" t="str">
        <f>IF(CD153="ERROR", "ERROR", IF(AND(OR($EH$6=Y153, Y153='Lookup Tables'!$AD$21, Y153='Lookup Tables'!$AD$22),E153="Exterior"), SUM(BP153:BP153), ""))</f>
        <v/>
      </c>
      <c r="EJ153" s="109"/>
      <c r="EK153" s="485" t="str">
        <f t="shared" si="446"/>
        <v/>
      </c>
      <c r="EL153" s="252" t="str">
        <f t="shared" si="479"/>
        <v/>
      </c>
      <c r="EM153" s="252" t="str">
        <f t="shared" si="480"/>
        <v/>
      </c>
      <c r="EN153" s="252" t="str">
        <f t="shared" si="481"/>
        <v/>
      </c>
      <c r="EO153" s="252" t="str">
        <f t="shared" si="482"/>
        <v/>
      </c>
      <c r="EP153" s="252" t="str">
        <f t="shared" si="483"/>
        <v/>
      </c>
      <c r="EQ153" s="252" t="str">
        <f t="shared" si="484"/>
        <v/>
      </c>
      <c r="ER153" s="252" t="str">
        <f t="shared" si="485"/>
        <v/>
      </c>
      <c r="ES153" s="252" t="str">
        <f t="shared" si="486"/>
        <v/>
      </c>
      <c r="ET153" s="252" t="str">
        <f t="shared" si="487"/>
        <v/>
      </c>
      <c r="EU153" s="252" t="str">
        <f t="shared" si="488"/>
        <v/>
      </c>
      <c r="EV153" s="252" t="str">
        <f t="shared" si="489"/>
        <v/>
      </c>
      <c r="EW153" s="252" t="str">
        <f t="shared" si="490"/>
        <v/>
      </c>
      <c r="EX153" s="252" t="str">
        <f t="shared" si="491"/>
        <v/>
      </c>
      <c r="EY153" s="252" t="str">
        <f t="shared" si="492"/>
        <v/>
      </c>
      <c r="EZ153" s="252" t="str">
        <f t="shared" si="493"/>
        <v/>
      </c>
      <c r="FA153" s="252" t="str">
        <f t="shared" si="494"/>
        <v/>
      </c>
      <c r="FB153" s="252" t="str">
        <f t="shared" si="495"/>
        <v/>
      </c>
      <c r="FC153" s="252" t="str">
        <f>IF(CD153="ERROR", "ERROR", IF(OR(V153="No Change", V153="Not DLC or Energy Star"), "", IF(AND(OR($FC$6=Y153,Y153='Lookup Tables'!$AD$21, Y153='Lookup Tables'!$AD$22),E153="Interior"), S153, "")))</f>
        <v/>
      </c>
      <c r="FD153" s="252" t="str">
        <f t="shared" si="496"/>
        <v/>
      </c>
      <c r="FE153" s="101"/>
      <c r="FF153" s="579" t="str" cm="1">
        <f t="array" ref="FF153">IFERROR(IF(OR(BQ153&lt;=0,AQ153&lt;20,AND(V153="Exit Signs",AN153&gt;0)),"",IF(AND(AQ153&gt;=20,AN153='Lookup Tables'!$R$101),'Lookup Tables'!$U$101*BQ153,AP153*LOOKUP(2,1/((AN153='Lookup Tables'!$R$91:$R$111)*(AQ153&gt;='Lookup Tables'!$S$91:$S$111)*(AQ153&lt;='Lookup Tables'!$T$91:$T$111)),'Lookup Tables'!$U$91:$U$111))),"")</f>
        <v/>
      </c>
      <c r="FG153" s="579"/>
      <c r="FH153" s="579"/>
      <c r="FI153" s="253" t="str">
        <f>IFERROR(ROUND(IF(CD153="ERROR", "ERROR", IF(AND($FI$7=X153,E153="Interior"),VLOOKUP(W153, 'Lookup Tables'!$AI$6:$AM$102, 5, FALSE)*BP153, "")), 2), "")</f>
        <v/>
      </c>
      <c r="FJ153" s="253" t="str">
        <f>IFERROR(ROUND(IF(CD153="ERROR", "ERROR", IF(AND($FI$7=X153,E153="Exterior"),VLOOKUP(W153, 'Lookup Tables'!$AI$6:$AM$102, 5, FALSE)*BP153, "")), 2), "")</f>
        <v/>
      </c>
      <c r="FK153" s="253" t="str">
        <f>IFERROR(ROUND(IF(CD153="ERROR", "ERROR", IF(AND($FK$7=X153,E153="Interior"),VLOOKUP(W153, 'Lookup Tables'!$AI$6:$AM$102, 5, FALSE)*BP153, "")), 2), "")</f>
        <v/>
      </c>
      <c r="FL153" s="253" t="str">
        <f>IFERROR(ROUND(IF(CD153="ERROR", "ERROR", IF(AND($FK$7=X153,E153="Exterior"),VLOOKUP(W153, 'Lookup Tables'!$AI$6:$AM$102, 5, FALSE)*BP153, "")), 2), "")</f>
        <v/>
      </c>
      <c r="FM153" s="253" t="str">
        <f>IFERROR(ROUND(IF(CD153="ERROR", "ERROR", IF(AND($FM$6=Y153,E153="Interior"), IF(GB153=0, VLOOKUP(W153, 'Lookup Tables'!$AI$6:$AM$102, 5, FALSE)*BP153, IF(VLOOKUP(W153, 'Lookup Tables'!$AI$6:$AM$102, 5, FALSE)*BP153&gt;GB153*'Lighting Inventory'!S153, GB153*'Lighting Inventory'!S153,VLOOKUP(W153, 'Lookup Tables'!$AI$6:$AM$102, 5, FALSE)*BP153)), "")), 2), "")</f>
        <v/>
      </c>
      <c r="FN153" s="253" t="str">
        <f>IFERROR(ROUND(IF(CD153="ERROR", "ERROR", IF(AND($FM$6=Y153,E153="Exterior"), IF(GB153=0, VLOOKUP(W153, 'Lookup Tables'!$AI$6:$AM$102, 5, FALSE)*BP153, IF(VLOOKUP(W153, 'Lookup Tables'!$AI$6:$AM$102, 5, FALSE)*BP153&gt;GB153*'Lighting Inventory'!S153, GB153*'Lighting Inventory'!S153,VLOOKUP(W153, 'Lookup Tables'!$AI$6:$AM$102, 5, FALSE)*BP153)), "")), 2), "")</f>
        <v/>
      </c>
      <c r="FO153" s="253" t="str">
        <f>IFERROR(ROUND(IF(CD153="ERROR", "ERROR", IF(AND($FO$6=Y153,E153="Interior"),VLOOKUP(W153, 'Lookup Tables'!$AI$6:$AM$102, 5, FALSE)*'Lighting Inventory'!AI153, "")), 2), "")</f>
        <v/>
      </c>
      <c r="FP153" s="253" t="str">
        <f>IFERROR(ROUND(IF(CD153="ERROR", "ERROR", IF(AND($FO$6=Y153,E153="Exterior"),VLOOKUP(W153, 'Lookup Tables'!$AI$6:$AM$102, 5, FALSE)*'Lighting Inventory'!AI153, "")), 2), "")</f>
        <v/>
      </c>
      <c r="FQ153" s="253" t="str">
        <f>IFERROR(ROUND(IF(CD153="ERROR", "ERROR", IF(AND($FQ$6=Y153,E153="Interior", BU153="Y"), VLOOKUP('Lighting Inventory'!W153, 'Lookup Tables'!$AI$6:$AM$102, 5, FALSE)*'Lighting Inventory'!S153, IF(AND($FQ$7=Y153,E153="Interior", BU153="N"), 0.025*CD153, ""))), 2), "")</f>
        <v/>
      </c>
      <c r="FR153" s="253" t="str">
        <f>IFERROR(ROUND(IF(CD153="ERROR", "ERROR", IF(AND($FQ$6=Y153,E153="Exterior"), VLOOKUP('Lighting Inventory'!W153, 'Lookup Tables'!$AI$6:$AM$102, 5, FALSE)*'Lighting Inventory'!S153, "")), 2), "")</f>
        <v/>
      </c>
      <c r="FS153" s="253" t="str">
        <f>IFERROR(ROUND(IF(CD153="ERROR", "ERROR", IF(AND($FS$6=Y153,E153="Exterior"), IF(GB153=0, VLOOKUP(W153, 'Lookup Tables'!$AI$6:$AM$102, 5, FALSE)*BP153, IF(VLOOKUP(W153, 'Lookup Tables'!$AI$6:$AM$102, 5, FALSE)*BP153&gt;GB153*'Lighting Inventory'!S153, GB153*'Lighting Inventory'!S153,VLOOKUP(W153, 'Lookup Tables'!$AI$6:$AM$102, 5, FALSE)*BP153)), "")), 2), "")</f>
        <v/>
      </c>
      <c r="FT153" s="253" t="str">
        <f>IFERROR(ROUND(IF(CD153="ERROR", "ERROR", IF(AND($FT$6=Y153,E153="Interior"), IF(GB153=0, VLOOKUP(W153, 'Lookup Tables'!$AI$6:$AM$102, 5, FALSE)*BP153, IF(VLOOKUP(W153, 'Lookup Tables'!$AI$6:$AM$102, 5, FALSE)*BP153&gt;GB153*'Lighting Inventory'!S153, GB153*'Lighting Inventory'!S153,VLOOKUP(W153, 'Lookup Tables'!$AI$6:$AM$102, 5, FALSE)*BP153)), "")), 2), "")</f>
        <v/>
      </c>
      <c r="FU153" s="253" t="str">
        <f>IFERROR(ROUND(IF(CD153="ERROR", "ERROR", IF(AND(Y153=$FU$6, E153="Interior"), IF(BS153="N", 'Lookup Tables'!$AM$101*BP153, VLOOKUP(W153, 'Lookup Tables'!$AI$6:$AM$102, 5, FALSE)*S153*AD153), "")), 2), "")</f>
        <v/>
      </c>
      <c r="FV153" s="253" t="str">
        <f>IFERROR(ROUND(IF(CD153="ERROR", "ERROR", IF(AND(Y153=$FU$6, E153="Exterior"), IF(BS153="N", 'Lookup Tables'!$AM$101*BP153, VLOOKUP(W153, 'Lookup Tables'!$AI$6:$AM$102, 5, FALSE)*S153*AD153), "")), 2), "")</f>
        <v/>
      </c>
      <c r="FW153" s="253" t="str">
        <f>IFERROR(ROUND(IF(CD153="ERROR", "ERROR", IF($FW$6=Y153, IF(BS153="N", 'Lookup Tables'!$AM$101*BP153, MIN((VLOOKUP(W153, 'Lookup Tables'!$AI$6:$AM$102, 5, FALSE)*BP153),GB153*AJ153)), "")), 2), "")</f>
        <v/>
      </c>
      <c r="FX153" s="253" t="str">
        <f>IFERROR(ROUND(IF(CD153="ERROR", "ERROR", IF(AND($FX$6=Y153, E153="Interior"), IF(VLOOKUP(W153, 'Lookup Tables'!$AI$6:$AM$102, 5, FALSE)*BP153&gt;'Lookup Tables'!$AQ$97*'Lighting Inventory'!S153,'Lighting Inventory'!S153*'Lookup Tables'!$AQ$97,VLOOKUP(W153, 'Lookup Tables'!$AI$6:$AM$102, 5, FALSE)*BP153), "")), 2), "")</f>
        <v/>
      </c>
      <c r="FY153" s="253" t="str">
        <f>IFERROR(ROUND(IF(CD153="ERROR", "ERROR", IF(AND($FX$6=Y153, E153="Exterior"), IF(VLOOKUP(W153, 'Lookup Tables'!$AI$6:$AM$102, 5, FALSE)*BP153&gt;'Lookup Tables'!$AQ$97*'Lighting Inventory'!S153,'Lighting Inventory'!S153*'Lookup Tables'!$AQ$97,VLOOKUP(W153, 'Lookup Tables'!$AI$6:$AM$102, 5, FALSE)*BP153), "")), 2), "")</f>
        <v/>
      </c>
      <c r="FZ153" s="253" t="str">
        <f>IFERROR(ROUND(IF(CD153="ERROR", "ERROR", IF(AND($FZ$6=Y153, E153="Interior"), IF(AND(OR(W153="Refrigerated Case Lighting with Doors", W153="Freezer Case Lighting"),Y153="Custom - Process Improvement"),CD153*'Lookup Tables'!$AM$101, IF(B153="Retrofit", IF(VLOOKUP(IF(V153="Custom", V153, W153), 'Lookup Tables'!$AI$6:$AM$102, 5, FALSE)*BP153&gt;GE153, GE153, VLOOKUP(IF(V153="Custom", V153, W153), 'Lookup Tables'!$AI$6:$AM$102, 5, FALSE)*BP153), IF(VLOOKUP(IF(V153="Custom", V153, W153), 'Lookup Tables'!$AI$114:$AM$154, 5, FALSE)*BP153&gt;GE153, GE153, VLOOKUP(IF(V153="Custom", V153, W153), 'Lookup Tables'!$AI$114:$AM$154, 5, FALSE)*BP153))), "")), 2),"")</f>
        <v/>
      </c>
      <c r="GA153" s="253" t="str">
        <f>IFERROR(ROUND(IF(CD153="ERROR", "ERROR", IF(AND($FZ$6=Y153, E153="Exterior"), IF(B153="Retrofit", IF(VLOOKUP(IF(V153="Custom", V153, W153), 'Lookup Tables'!$AI$6:$AM$102, 5, FALSE)*BP153&gt;GE153, GE153, VLOOKUP(IF(V153="Custom", V153, W153), 'Lookup Tables'!$AI$6:$AM$102, 5, FALSE)*BP153), IF(VLOOKUP(IF(V153="Custom", V153, W153), 'Lookup Tables'!$AI$114:$AM$154, 5, FALSE)*BP153&gt;GE153, GE153, VLOOKUP(IF(V153="Custom", V153, W153), 'Lookup Tables'!$AI$114:$AM$154, 5, FALSE)*BP153)), "")), 2),"")</f>
        <v/>
      </c>
      <c r="GB153" s="254" t="str">
        <f t="array" ref="GB153">IF(B153="","",IF(OR(V153="Custom",V153="No Change"),0,IF(B153="Retrofit", INDEX('Lookup Tables'!$AH$6:$AQ$102,MATCH(1,('Lookup Tables'!$AH$6:$AH$102='Lighting Inventory'!V153)*('Lookup Tables'!$AI$6:$AI$102='Lighting Inventory'!W153),FALSE),10),INDEX('Lookup Tables'!$AH$114:$AQ$154,MATCH(1,('Lookup Tables'!$AH$114:$AH$154='Lighting Inventory'!V153)*('Lookup Tables'!$AI$114:$AI$154='Lighting Inventory'!W153),FALSE),10))))</f>
        <v/>
      </c>
      <c r="GC153" s="255" t="str">
        <f t="shared" si="447"/>
        <v/>
      </c>
      <c r="GD153" s="250" t="str">
        <f t="shared" si="448"/>
        <v/>
      </c>
      <c r="GE153" s="253" t="str">
        <f>IFERROR(IF(AND(AF153="", 'General Information'!$F$18="No"),"", IF(AF153="", ((GD153/$CD$266)*$CF$266)*0.5, AF153*S153*0.5)), "")</f>
        <v/>
      </c>
      <c r="GF153" s="255" t="str">
        <f>IF(AND('General Information'!$F$19="", 'General Information'!$F$18="Yes",AF153="",BW153="Y"), "Y", "N")</f>
        <v>N</v>
      </c>
      <c r="GG153" s="255" t="s">
        <v>2946</v>
      </c>
      <c r="GH153" s="255" t="str">
        <f>IFERROR(IF(B153="", "", VLOOKUP(J153, 'Fixture Identities'!$A$6:$N$908, 14, FALSE)), "")</f>
        <v/>
      </c>
      <c r="GI153" s="389" t="str">
        <f>IF(OR(B153="", V153="", W153=""), "", IF(AND(OR(M153='Lookup Tables'!$R$18, M153='Lookup Tables'!$R$19, M153='Lookup Tables'!$R$20, M153='Lookup Tables'!$R$21, M153='Lookup Tables'!$R$22), OR(AN153='Lookup Tables'!$R$17, AN153='Lookup Tables'!$R$17, AN153="")), "Y", "N"))</f>
        <v/>
      </c>
      <c r="GJ153" s="255" t="str">
        <f t="shared" si="449"/>
        <v/>
      </c>
      <c r="GK153" s="255" t="str">
        <f t="shared" si="450"/>
        <v/>
      </c>
      <c r="GL153" s="255" t="str">
        <f t="shared" si="451"/>
        <v/>
      </c>
      <c r="GM153" s="255" t="str">
        <f>IF(AN153="", "", IF(AND(IF(ISNA(VLOOKUP(AN153,'Lookup Tables'!$R$18:$R$22,1,FALSE)), "N", "Y")="Y", E153="Exterior"), "Y", "N"))</f>
        <v/>
      </c>
      <c r="GN153" s="395"/>
      <c r="GO153" s="428">
        <f t="shared" si="497"/>
        <v>0</v>
      </c>
      <c r="GP153" s="428">
        <f t="shared" si="500"/>
        <v>0</v>
      </c>
      <c r="GQ153" s="428">
        <f t="shared" si="498"/>
        <v>0</v>
      </c>
      <c r="GR153" s="428">
        <f t="shared" si="499"/>
        <v>0</v>
      </c>
    </row>
    <row r="154" spans="1:200" s="103" customFormat="1" ht="13.5" customHeight="1" x14ac:dyDescent="0.2">
      <c r="A154" s="272">
        <v>144</v>
      </c>
      <c r="B154" s="110"/>
      <c r="C154" s="110"/>
      <c r="D154" s="110"/>
      <c r="E154" s="110"/>
      <c r="F154" s="110"/>
      <c r="G154" s="110"/>
      <c r="H154" s="110"/>
      <c r="I154" s="29"/>
      <c r="J154" s="29"/>
      <c r="K154" s="272" t="str">
        <f>IFERROR(IF(OR(VLOOKUP(J154, 'Fixture Identities'!$A$6:$L$1023, 3, FALSE)="T12 Linear Fluorescent", VLOOKUP(J154, 'Fixture Identities'!$A$6:$L$1023, 3, FALSE)="T12 U-Tube Fluorescent"), VLOOKUP(VLOOKUP(J154, 'Fixture Identities'!$A$6:$L$1023, 11, FALSE), 'Fixture Identities'!$A$6:$L$1023, 10, FALSE), VLOOKUP(J154, 'Fixture Identities'!$A$6:$L$1023, 10, FALSE)), "")</f>
        <v/>
      </c>
      <c r="L154" s="270" t="str">
        <f t="shared" si="502"/>
        <v/>
      </c>
      <c r="M154" s="110"/>
      <c r="N154" s="110"/>
      <c r="O154" s="110"/>
      <c r="P154" s="272" t="str">
        <f>IFERROR(IF(OR(B154="Retrofit",B154=""),"",IF('Lighting Inventory'!E154="Exterior",VLOOKUP('Lighting Inventory'!N154,'Lookup Tables'!$B$83:$F$103,5,FALSE),IF(N154="Other - Please Estimate EFLH and CFs","Contact Prog. Rep.","ft^2"))), "")</f>
        <v/>
      </c>
      <c r="Q154" s="270" t="str">
        <f>IFERROR(IF(AND(B154="New Construction",E154="Interior",$F$5="Space-by-Space"),VLOOKUP('Lighting Inventory'!N154,'Lookup Tables'!$N$6:$O$97,2,FALSE),IF(AND(B154="New Construction",E154="Exterior"),VLOOKUP(N154,'Lookup Tables'!$B$83:$F$103,2,FALSE),IF(AND(B154="New Construction",'Lighting Inventory'!E154="Interior", $F$5="Building Area"),VLOOKUP(F154,'Lookup Tables'!$A$6:$J$59,10,FALSE),""))), "")</f>
        <v/>
      </c>
      <c r="R154" s="270" t="str">
        <f>IFERROR(IF(P154="Contact Prog. Rep.", "ERROR", IF(OR(B154="",B154="Retrofit"),"",IF(N154="Automated teller machines", ('Lookup Tables'!$A$82:$E$100+('Lighting Inventory'!O154-1)*'Lookup Tables'!$A$82:$E$100)/1000, (Q154*O154)/1000))), "")</f>
        <v/>
      </c>
      <c r="S154" s="595"/>
      <c r="T154" s="105" t="str">
        <f t="shared" si="452"/>
        <v/>
      </c>
      <c r="U154" s="105" t="str">
        <f>IF(S154="","",COUNT($S$11:S154))</f>
        <v/>
      </c>
      <c r="V154" s="111"/>
      <c r="W154" s="112"/>
      <c r="X154" s="105" t="str">
        <f t="shared" si="453"/>
        <v/>
      </c>
      <c r="Y154" s="105" t="str">
        <f t="array" ref="Y154">IF(AND(OR(W154="Freezer Case Lighting", W154="Refrigerated Case Lighting with Doors"), 'General Information'!$X$18="LCI"),'Lookup Tables'!$Y$34, IF(V154="Custom", VLOOKUP(W154, 'Fixture Identities'!$A$974:$M$1023, 13, FALSE), IF(V154="No Change",'Lookup Tables'!$Y$29,IF(OR(V154="",W154=""),"",IF(AND(S154=0,S154&lt;I154,B154="Retrofit"),'Lookup Tables'!$Y$25, IF(B154="Retrofit", INDEX('Lookup Tables'!$AH$6:$AP$102, MATCH(1, ('Lookup Tables'!$AH$6:$AH$102=V154)*('Lookup Tables'!$AI$6:$AI$102=W154), 0), IF('Lighting Inventory'!E154="Interior", 4, 5)), INDEX('Lookup Tables'!$AH$114:$AP$154, MATCH(1, ('Lookup Tables'!$AH$114:$AH$154=V154)*('Lookup Tables'!$AI$114:$AI$154=W154), 0), IF('Lighting Inventory'!E154="Interior", 4, 5))))))))</f>
        <v/>
      </c>
      <c r="Z154" s="105" t="str">
        <f>IFERROR(INDEX('Lookup Tables'!$AH$158:$AH$172,MATCH('Lighting Inventory'!Y154,'Lookup Tables'!$AI$158:$AI$172,0)),"")</f>
        <v/>
      </c>
      <c r="AA154" s="105" t="str">
        <f>IF(AP154&gt;0,INDEX('Lookup Tables'!$AK$158:$AK$172,MATCH('Lighting Inventory'!Y154,'Lookup Tables'!$AI$158:$AI$172,0)),'Lighting Inventory'!Y154)</f>
        <v/>
      </c>
      <c r="AB154" s="105" t="str">
        <f t="array" ref="AB154">IF(V154="Custom", "Custom", IF(V154="", "", IF(V154="Not DLC or Energy Star", "General", IF(B154="New Construction", INDEX('Lookup Tables'!$AH$114:$AP$154,MATCH(1,('Lookup Tables'!$AH$114:$AH$154='Lighting Inventory'!V154)*('Lookup Tables'!$AI$114:$AI$154='Lighting Inventory'!W154),FALSE),8), INDEX('Lookup Tables'!$AH$6:$AP$102,MATCH(1,('Lookup Tables'!$AH$6:$AH$102='Lighting Inventory'!V154)*('Lookup Tables'!$AI$6:$AI$102='Lighting Inventory'!W154),FALSE),8)))))</f>
        <v/>
      </c>
      <c r="AC154" s="272" t="str">
        <f>IF(W154="","",IF(V154="Custom",CONCATENATE("$",'Lookup Tables'!$AM$101," ",'Lookup Tables'!$AN$101),CONCATENATE("$",INDEX('Lookup Tables'!$AM$6:$AM$102,MATCH('Lighting Inventory'!W154,'Lookup Tables'!$AI$6:$AI$102,0))," ",INDEX('Lookup Tables'!$AN$6:$AN$102,MATCH('Lighting Inventory'!W154,'Lookup Tables'!$AI$6:$AI$102,0)))))</f>
        <v/>
      </c>
      <c r="AD154" s="72"/>
      <c r="AE154" s="29"/>
      <c r="AF154" s="379"/>
      <c r="AG154" s="370" t="str">
        <f t="shared" si="401"/>
        <v/>
      </c>
      <c r="AH154" s="370" t="str">
        <f t="shared" si="454"/>
        <v/>
      </c>
      <c r="AI154" s="29"/>
      <c r="AJ154" s="29"/>
      <c r="AK154" s="110"/>
      <c r="AL154" s="375" t="str">
        <f>IF(OR(B154="", V154="", W154=""), "", IF(V154="No Change", K154, IF(V154="Remove Fixture", 0, IF(V154="Custom",VLOOKUP(W154,'Fixture Identities'!$A$6:$K$1023,10,FALSE),IF(AE154="", "← ENTER POST WATTS", 'Lighting Inventory'!AE154)))))</f>
        <v/>
      </c>
      <c r="AM154" s="376" t="str">
        <f t="shared" si="402"/>
        <v/>
      </c>
      <c r="AN154" s="29"/>
      <c r="AO154" s="671"/>
      <c r="AP154" s="29"/>
      <c r="AQ154" s="29"/>
      <c r="AR154" s="29"/>
      <c r="AS154" s="272" t="str">
        <f t="shared" si="455"/>
        <v/>
      </c>
      <c r="AT154" s="270" t="str">
        <f t="shared" si="403"/>
        <v/>
      </c>
      <c r="AU154" s="88" t="str">
        <f t="shared" si="503"/>
        <v/>
      </c>
      <c r="AV154" s="29"/>
      <c r="AW154" s="73"/>
      <c r="AX154" s="271" t="str">
        <f>IF(AND(AV154="Applicant",OR(AW154="", AW154="Use Default Facility Hours")),"← Choose Schedule",IF(F154="","",IF(W154="LED Exit Signs",8760,IF(OR(AV154="Prescribed",AV154=""),VLOOKUP(F154,'Lookup Tables'!$A$6:$G$59,IF(AB154="General", 6, 3),FALSE),VLOOKUP(AW154,'Lookup Tables'!$S$36:$U$43,2,FALSE)))))</f>
        <v/>
      </c>
      <c r="AY154" s="88" t="str">
        <f t="shared" si="404"/>
        <v/>
      </c>
      <c r="AZ154" s="270" t="str">
        <f>IFERROR(IF(F154="", "", IF(W154="LED Exit Signs", 1, IF(AV154="Applicant",VLOOKUP(AW154, 'Lookup Tables'!$S$36:$U$43,3, FALSE), VLOOKUP('Lighting Inventory'!F154, 'Lookup Tables'!$A$6:$H$59, IF('Lighting Inventory'!AB154="General",7,4), FALSE)))), "")</f>
        <v/>
      </c>
      <c r="BA154" s="522" t="str">
        <f>IFERROR(IF(F154="", "", IF(W154="LED Exit Signs", 1, VLOOKUP('Lighting Inventory'!F154, 'Lookup Tables'!$A$6:$H$59, IF('Lighting Inventory'!AB154="General",8,5), FALSE))), "")</f>
        <v/>
      </c>
      <c r="BB154" s="270" t="str">
        <f>IF(G154="", "", IF(E154="Exterior", 0, IF('Lighting Inventory'!G154="Air Conditioned", VLOOKUP(H154, 'Lookup Tables'!$R$6:$T$13, 2, FALSE), VLOOKUP('Lighting Inventory'!G154, 'Lookup Tables'!$R$6:$T$13, 2, FALSE))))</f>
        <v/>
      </c>
      <c r="BC154" s="522" t="str">
        <f>IF(G154="", "", IF(E154="Exterior", 0, IF('Lighting Inventory'!G154="Air Conditioned", VLOOKUP(H154, 'Lookup Tables'!$R$6:$T$13, 3, FALSE), VLOOKUP('Lighting Inventory'!G154, 'Lookup Tables'!$R$6:$T$13, 3, FALSE))))</f>
        <v/>
      </c>
      <c r="BD154" s="270" t="str">
        <f>IF(G154="", "", IF(E154="Exterior", 0, IF('Lighting Inventory'!G154="Air Conditioned", VLOOKUP(H154, 'Lookup Tables'!$R$6:$U$13, 4, FALSE), VLOOKUP('Lighting Inventory'!G154, 'Lookup Tables'!$R$6:$U$13, 4, FALSE))))</f>
        <v/>
      </c>
      <c r="BE154" s="270" t="str">
        <f>IFERROR(IF(B154="", "",  IF(B154="New Construction", VLOOKUP(F154, 'Lookup Tables'!$A$6:$K$59, 11, FALSE),IF(OR(AN154="", AN154="Light Switch"), 0, IF(OR(M154="",M154="None",V154= "LED Exit Signs"),0,_xlfn.XLOOKUP(M154,'Lookup Tables'!$R$91:$R$101,'Lookup Tables'!$V$91:$V$101))))), "")</f>
        <v/>
      </c>
      <c r="BF154" s="270" t="str">
        <f>IF(AND(OR(AN154="Light Switch",AN154=""),B154="New Construction"), VLOOKUP(F154, 'Lookup Tables'!$A$6:$K$59, 11, FALSE),IF(AN154="","",IF(B154="","",IF(OR(AN154="None",AN154="",V154="LED Exit Signs",AN154="Exterior Controls Not Eligible"),0,_xlfn.XLOOKUP(AN154,'Lookup Tables'!$R$91:$R$101,'Lookup Tables'!$V$91:$V$101)))))</f>
        <v/>
      </c>
      <c r="BG154" s="88" t="str">
        <f t="shared" si="456"/>
        <v/>
      </c>
      <c r="BH154" s="88" t="str">
        <f t="shared" si="457"/>
        <v/>
      </c>
      <c r="BI154" s="558" t="str">
        <f t="shared" si="501"/>
        <v/>
      </c>
      <c r="BJ154" s="82" t="str">
        <f t="shared" si="458"/>
        <v/>
      </c>
      <c r="BK154" s="82" t="str">
        <f t="shared" si="459"/>
        <v/>
      </c>
      <c r="BL154" s="559" t="str">
        <f t="shared" si="460"/>
        <v/>
      </c>
      <c r="BM154" s="521" t="str">
        <f t="shared" si="405"/>
        <v/>
      </c>
      <c r="BN154" s="521" t="str">
        <f t="shared" si="406"/>
        <v/>
      </c>
      <c r="BO154" s="522" t="str">
        <f t="shared" si="407"/>
        <v/>
      </c>
      <c r="BP154" s="83" t="str">
        <f t="shared" si="461"/>
        <v/>
      </c>
      <c r="BQ154" s="84" t="str">
        <f t="shared" si="462"/>
        <v/>
      </c>
      <c r="BR154" s="184" t="str">
        <f>IFERROR(IF(B154="", "", IF(OR(VLOOKUP(J154, 'Fixture Identities'!$A$6:$L$1023, 3, FALSE)="T12 Linear Fluorescent",VLOOKUP(J154, 'Fixture Identities'!$A$6:$L$1023, 3, FALSE)="T12 U-Tube Fluorescent"), "Y", "N")), "N")</f>
        <v/>
      </c>
      <c r="BS154" s="184" t="str">
        <f t="array" ref="BS154">IFERROR(IF(OR(B154="", V154="", W154=""), "", IF(V154="Custom", "N", IF(OR(W154="Freezer Case Lighting", W154="Refrigerated Case Lighting with Doors"), BT154, IF(B154="Retrofit", INDEX('Lookup Tables'!$AH$6:$AT$102,MATCH(1,('Lookup Tables'!$AH$6:$AH$102=V154)*('Lookup Tables'!$AI$6:$AI$102=W154),FALSE),IF(VLOOKUP(J154, 'Fixture Identities'!$A$6:$B$1023, 2, FALSE)="Incandescent",12, 13)), INDEX('Lookup Tables'!$AH$114:$AS$154,MATCH(1,('Lookup Tables'!$AH$114:$AH$154=V154)*('Lookup Tables'!$AI$114:$AI$154=W154),FALSE),12))))), "N")</f>
        <v/>
      </c>
      <c r="BT154" s="184" t="str">
        <f>IF(J154="", "", IF(AND(OR(W154="Freezer case Lighting", W154="Refrigerated Case Lighting with Doors"),'General Information'!$X$18="LCI"), "N", IF(OR(VLOOKUP(J154, 'Fixture Identities'!$A$6:$B$1023, 2, FALSE)="T12 EPACT/EISA Baseline", VLOOKUP(J154, 'Fixture Identities'!$A$6:$B$1023, 2, FALSE)="Linear Fluorescent", VLOOKUP(J154, 'Fixture Identities'!$A$6:$B$1023, 2, FALSE)="U-Tube Fluorescent"), "Y", "N")))</f>
        <v/>
      </c>
      <c r="BU154" s="184" t="str">
        <f>IFERROR(IF(B154="", "", IF(VLOOKUP(J154, 'Fixture Identities'!$A$6:$B$1023, 2, FALSE)="Exit Sign", "Y", "N")), "N")</f>
        <v/>
      </c>
      <c r="BV154" s="184" t="str">
        <f>IF(V154="Exit Signs", IF(VLOOKUP(J154, 'Fixture Identities'!$A$6:$B$1023, 2, FALSE)="Exit Sign", "N", "Y"), "")</f>
        <v/>
      </c>
      <c r="BW154" s="184" t="str">
        <f t="array" ref="BW154">IFERROR(IF(B154="", "", IF(B154="New Construction", "N", INDEX('Lookup Tables'!$AH$6:$AU$102, MATCH(1, ('Lookup Tables'!$AH$6:$AH$102='Lighting Inventory'!V154)*('Lookup Tables'!$AI$6:$AI$102='Lighting Inventory'!W154), 0), 14))), "N")</f>
        <v/>
      </c>
      <c r="BX154" s="598" t="str">
        <f t="shared" si="463"/>
        <v/>
      </c>
      <c r="BY154" s="598" t="str">
        <f t="shared" si="464"/>
        <v/>
      </c>
      <c r="BZ154" s="598" t="str">
        <f t="shared" si="465"/>
        <v/>
      </c>
      <c r="CA154" s="598" t="str">
        <f t="shared" si="466"/>
        <v/>
      </c>
      <c r="CB154" s="269" t="str">
        <f t="shared" si="467"/>
        <v/>
      </c>
      <c r="CC154" s="517" t="str">
        <f t="shared" si="468"/>
        <v/>
      </c>
      <c r="CD154" s="565" t="str">
        <f t="shared" si="408"/>
        <v/>
      </c>
      <c r="CE154" s="368">
        <v>0</v>
      </c>
      <c r="CF154" s="368" t="str" cm="1">
        <f t="array" ref="CF154">IFERROR(IF(V154="Custom", "$0.1 per kWh", IF(B154="New Construction", CONCATENATE("$",INDEX('Lookup Tables'!$AH$114:$AN$154,MATCH(1,('Lookup Tables'!$AH$114:$AH$154='Lighting Inventory'!V154)*('Lookup Tables'!$AI$114:$AI$154='Lighting Inventory'!W154),FALSE),6)," ",INDEX('Lookup Tables'!$AH$114:$AN$154,MATCH(1,('Lookup Tables'!$AH$114:$AH$154='Lighting Inventory'!V154)*('Lookup Tables'!$AI$114:$AI$154='Lighting Inventory'!W154),FALSE),7)), IF(AND(BU154="N", V154="Exit Signs"), "$0.025 per kWh", CONCATENATE("$",INDEX('Lookup Tables'!$AH$6:$AN$102,MATCH(1,('Lookup Tables'!$AH$6:$AH$102='Lighting Inventory'!V154)*('Lookup Tables'!$AI$6:$AI$102='Lighting Inventory'!W154),FALSE),6)," ",INDEX('Lookup Tables'!$AH$6:$AN$102,MATCH(1,('Lookup Tables'!$AH$6:$AH$102='Lighting Inventory'!V154)*('Lookup Tables'!$AI$6:$AI$102='Lighting Inventory'!W154),FALSE),7))))), "")</f>
        <v/>
      </c>
      <c r="CG154" s="366"/>
      <c r="CH154" s="248" t="str">
        <f t="shared" si="409"/>
        <v/>
      </c>
      <c r="CI154" s="248" t="str">
        <f t="shared" si="410"/>
        <v>Select_IE</v>
      </c>
      <c r="CJ154" s="248" t="str">
        <f t="shared" si="411"/>
        <v/>
      </c>
      <c r="CK154" s="248" t="str">
        <f t="shared" si="412"/>
        <v/>
      </c>
      <c r="CL154" s="248" t="str">
        <f t="shared" si="413"/>
        <v/>
      </c>
      <c r="CM154" s="248" t="str">
        <f>IFERROR(IF(B154="", "", IF(B154="New Construction", VLOOKUP(V154, 'Lookup Tables'!$AF$114:$AG$120, 2, FALSE), VLOOKUP(V154, 'Lookup Tables'!$AD$6:$AE$25, 2, FALSE))), "")</f>
        <v/>
      </c>
      <c r="CN154" s="248" t="str">
        <f t="shared" si="414"/>
        <v/>
      </c>
      <c r="CO154" s="248" t="str">
        <f t="shared" si="415"/>
        <v/>
      </c>
      <c r="CP154" s="592" t="str">
        <f t="shared" si="416"/>
        <v/>
      </c>
      <c r="CQ154" s="248" t="str">
        <f t="shared" si="469"/>
        <v/>
      </c>
      <c r="CR154" s="249"/>
      <c r="CS154" s="250" t="str">
        <f t="shared" si="417"/>
        <v/>
      </c>
      <c r="CT154" s="250" t="str">
        <f t="shared" si="470"/>
        <v/>
      </c>
      <c r="CU154" s="250" t="str">
        <f t="shared" si="471"/>
        <v/>
      </c>
      <c r="CV154" s="250" t="str">
        <f t="shared" si="472"/>
        <v/>
      </c>
      <c r="CW154" s="250" t="str">
        <f t="shared" si="473"/>
        <v/>
      </c>
      <c r="CX154" s="250" t="str">
        <f t="shared" si="418"/>
        <v/>
      </c>
      <c r="CY154" s="250" t="str">
        <f t="shared" si="419"/>
        <v/>
      </c>
      <c r="CZ154" s="250" t="str">
        <f t="shared" si="420"/>
        <v/>
      </c>
      <c r="DA154" s="250" t="str">
        <f t="shared" si="421"/>
        <v/>
      </c>
      <c r="DB154" s="250" t="str">
        <f t="shared" si="422"/>
        <v/>
      </c>
      <c r="DC154" s="250" t="str">
        <f t="shared" si="423"/>
        <v/>
      </c>
      <c r="DD154" s="250" t="str">
        <f t="shared" si="424"/>
        <v/>
      </c>
      <c r="DE154" s="250" t="str">
        <f t="shared" si="425"/>
        <v/>
      </c>
      <c r="DF154" s="250" t="str">
        <f t="shared" si="426"/>
        <v/>
      </c>
      <c r="DG154" s="250" t="str">
        <f t="shared" si="427"/>
        <v/>
      </c>
      <c r="DH154" s="250" t="str">
        <f t="shared" si="428"/>
        <v/>
      </c>
      <c r="DI154" s="250" t="str">
        <f t="shared" si="429"/>
        <v/>
      </c>
      <c r="DJ154" s="250" t="str">
        <f t="shared" si="430"/>
        <v/>
      </c>
      <c r="DK154" s="250" t="str">
        <f t="shared" si="431"/>
        <v/>
      </c>
      <c r="DL154" s="250" t="str">
        <f t="shared" si="432"/>
        <v/>
      </c>
      <c r="DM154" s="250" t="str">
        <f>IF(CD154="ERROR", "ERROR", IF(AND(OR(Y154=$DM$6, Y154='Lookup Tables'!$AD$21, Y154='Lookup Tables'!$AD$22), E154="Interior"), BJ154, ""))</f>
        <v/>
      </c>
      <c r="DN154" s="250" t="str">
        <f>IF(CD154="ERROR", "ERROR", IF(AND(OR(Y154=$DM$6, Y154='Lookup Tables'!$AD$21, Y154='Lookup Tables'!$AD$22), E154="Exterior"), BJ154, ""))</f>
        <v/>
      </c>
      <c r="DO154" s="249"/>
      <c r="DP154" s="250" t="str">
        <f t="shared" si="433"/>
        <v/>
      </c>
      <c r="DQ154" s="250" t="str">
        <f t="shared" si="474"/>
        <v/>
      </c>
      <c r="DR154" s="250" t="str">
        <f t="shared" si="475"/>
        <v/>
      </c>
      <c r="DS154" s="250" t="str">
        <f t="shared" si="476"/>
        <v/>
      </c>
      <c r="DT154" s="250" t="str">
        <f t="shared" si="477"/>
        <v/>
      </c>
      <c r="DU154" s="250" t="str">
        <f t="shared" si="434"/>
        <v/>
      </c>
      <c r="DV154" s="250" t="str">
        <f t="shared" si="435"/>
        <v/>
      </c>
      <c r="DW154" s="250" t="str">
        <f t="shared" si="436"/>
        <v/>
      </c>
      <c r="DX154" s="250" t="str">
        <f t="shared" si="437"/>
        <v/>
      </c>
      <c r="DY154" s="250" t="str">
        <f t="shared" si="438"/>
        <v/>
      </c>
      <c r="DZ154" s="250" t="str">
        <f t="shared" si="439"/>
        <v/>
      </c>
      <c r="EA154" s="250" t="str">
        <f t="shared" si="440"/>
        <v/>
      </c>
      <c r="EB154" s="250" t="str">
        <f t="shared" si="478"/>
        <v/>
      </c>
      <c r="EC154" s="250" t="str">
        <f t="shared" si="441"/>
        <v/>
      </c>
      <c r="ED154" s="250" t="str">
        <f t="shared" si="442"/>
        <v/>
      </c>
      <c r="EE154" s="250" t="str">
        <f t="shared" si="443"/>
        <v/>
      </c>
      <c r="EF154" s="250" t="str">
        <f t="shared" si="444"/>
        <v/>
      </c>
      <c r="EG154" s="250" t="str">
        <f t="shared" si="445"/>
        <v/>
      </c>
      <c r="EH154" s="250" t="str">
        <f>IF(CD154="ERROR", "ERROR", IF(AND(OR($EH$6=Y154, Y154='Lookup Tables'!$AD$21, Y154='Lookup Tables'!$AD$22),E154="Interior"), SUM(BP154:BP154), ""))</f>
        <v/>
      </c>
      <c r="EI154" s="250" t="str">
        <f>IF(CD154="ERROR", "ERROR", IF(AND(OR($EH$6=Y154, Y154='Lookup Tables'!$AD$21, Y154='Lookup Tables'!$AD$22),E154="Exterior"), SUM(BP154:BP154), ""))</f>
        <v/>
      </c>
      <c r="EJ154" s="109"/>
      <c r="EK154" s="485" t="str">
        <f t="shared" si="446"/>
        <v/>
      </c>
      <c r="EL154" s="252" t="str">
        <f t="shared" si="479"/>
        <v/>
      </c>
      <c r="EM154" s="252" t="str">
        <f t="shared" si="480"/>
        <v/>
      </c>
      <c r="EN154" s="252" t="str">
        <f t="shared" si="481"/>
        <v/>
      </c>
      <c r="EO154" s="252" t="str">
        <f t="shared" si="482"/>
        <v/>
      </c>
      <c r="EP154" s="252" t="str">
        <f t="shared" si="483"/>
        <v/>
      </c>
      <c r="EQ154" s="252" t="str">
        <f t="shared" si="484"/>
        <v/>
      </c>
      <c r="ER154" s="252" t="str">
        <f t="shared" si="485"/>
        <v/>
      </c>
      <c r="ES154" s="252" t="str">
        <f t="shared" si="486"/>
        <v/>
      </c>
      <c r="ET154" s="252" t="str">
        <f t="shared" si="487"/>
        <v/>
      </c>
      <c r="EU154" s="252" t="str">
        <f t="shared" si="488"/>
        <v/>
      </c>
      <c r="EV154" s="252" t="str">
        <f t="shared" si="489"/>
        <v/>
      </c>
      <c r="EW154" s="252" t="str">
        <f t="shared" si="490"/>
        <v/>
      </c>
      <c r="EX154" s="252" t="str">
        <f t="shared" si="491"/>
        <v/>
      </c>
      <c r="EY154" s="252" t="str">
        <f t="shared" si="492"/>
        <v/>
      </c>
      <c r="EZ154" s="252" t="str">
        <f t="shared" si="493"/>
        <v/>
      </c>
      <c r="FA154" s="252" t="str">
        <f t="shared" si="494"/>
        <v/>
      </c>
      <c r="FB154" s="252" t="str">
        <f t="shared" si="495"/>
        <v/>
      </c>
      <c r="FC154" s="252" t="str">
        <f>IF(CD154="ERROR", "ERROR", IF(OR(V154="No Change", V154="Not DLC or Energy Star"), "", IF(AND(OR($FC$6=Y154,Y154='Lookup Tables'!$AD$21, Y154='Lookup Tables'!$AD$22),E154="Interior"), S154, "")))</f>
        <v/>
      </c>
      <c r="FD154" s="252" t="str">
        <f t="shared" si="496"/>
        <v/>
      </c>
      <c r="FE154" s="1"/>
      <c r="FF154" s="579" t="str" cm="1">
        <f t="array" ref="FF154">IFERROR(IF(OR(BQ154&lt;=0,AQ154&lt;20,AND(V154="Exit Signs",AN154&gt;0)),"",IF(AND(AQ154&gt;=20,AN154='Lookup Tables'!$R$101),'Lookup Tables'!$U$101*BQ154,AP154*LOOKUP(2,1/((AN154='Lookup Tables'!$R$91:$R$111)*(AQ154&gt;='Lookup Tables'!$S$91:$S$111)*(AQ154&lt;='Lookup Tables'!$T$91:$T$111)),'Lookup Tables'!$U$91:$U$111))),"")</f>
        <v/>
      </c>
      <c r="FG154" s="579"/>
      <c r="FH154" s="579"/>
      <c r="FI154" s="253" t="str">
        <f>IFERROR(ROUND(IF(CD154="ERROR", "ERROR", IF(AND($FI$7=X154,E154="Interior"),VLOOKUP(W154, 'Lookup Tables'!$AI$6:$AM$102, 5, FALSE)*BP154, "")), 2), "")</f>
        <v/>
      </c>
      <c r="FJ154" s="253" t="str">
        <f>IFERROR(ROUND(IF(CD154="ERROR", "ERROR", IF(AND($FI$7=X154,E154="Exterior"),VLOOKUP(W154, 'Lookup Tables'!$AI$6:$AM$102, 5, FALSE)*BP154, "")), 2), "")</f>
        <v/>
      </c>
      <c r="FK154" s="253" t="str">
        <f>IFERROR(ROUND(IF(CD154="ERROR", "ERROR", IF(AND($FK$7=X154,E154="Interior"),VLOOKUP(W154, 'Lookup Tables'!$AI$6:$AM$102, 5, FALSE)*BP154, "")), 2), "")</f>
        <v/>
      </c>
      <c r="FL154" s="253" t="str">
        <f>IFERROR(ROUND(IF(CD154="ERROR", "ERROR", IF(AND($FK$7=X154,E154="Exterior"),VLOOKUP(W154, 'Lookup Tables'!$AI$6:$AM$102, 5, FALSE)*BP154, "")), 2), "")</f>
        <v/>
      </c>
      <c r="FM154" s="253" t="str">
        <f>IFERROR(ROUND(IF(CD154="ERROR", "ERROR", IF(AND($FM$6=Y154,E154="Interior"), IF(GB154=0, VLOOKUP(W154, 'Lookup Tables'!$AI$6:$AM$102, 5, FALSE)*BP154, IF(VLOOKUP(W154, 'Lookup Tables'!$AI$6:$AM$102, 5, FALSE)*BP154&gt;GB154*'Lighting Inventory'!S154, GB154*'Lighting Inventory'!S154,VLOOKUP(W154, 'Lookup Tables'!$AI$6:$AM$102, 5, FALSE)*BP154)), "")), 2), "")</f>
        <v/>
      </c>
      <c r="FN154" s="253" t="str">
        <f>IFERROR(ROUND(IF(CD154="ERROR", "ERROR", IF(AND($FM$6=Y154,E154="Exterior"), IF(GB154=0, VLOOKUP(W154, 'Lookup Tables'!$AI$6:$AM$102, 5, FALSE)*BP154, IF(VLOOKUP(W154, 'Lookup Tables'!$AI$6:$AM$102, 5, FALSE)*BP154&gt;GB154*'Lighting Inventory'!S154, GB154*'Lighting Inventory'!S154,VLOOKUP(W154, 'Lookup Tables'!$AI$6:$AM$102, 5, FALSE)*BP154)), "")), 2), "")</f>
        <v/>
      </c>
      <c r="FO154" s="253" t="str">
        <f>IFERROR(ROUND(IF(CD154="ERROR", "ERROR", IF(AND($FO$6=Y154,E154="Interior"),VLOOKUP(W154, 'Lookup Tables'!$AI$6:$AM$102, 5, FALSE)*'Lighting Inventory'!AI154, "")), 2), "")</f>
        <v/>
      </c>
      <c r="FP154" s="253" t="str">
        <f>IFERROR(ROUND(IF(CD154="ERROR", "ERROR", IF(AND($FO$6=Y154,E154="Exterior"),VLOOKUP(W154, 'Lookup Tables'!$AI$6:$AM$102, 5, FALSE)*'Lighting Inventory'!AI154, "")), 2), "")</f>
        <v/>
      </c>
      <c r="FQ154" s="253" t="str">
        <f>IFERROR(ROUND(IF(CD154="ERROR", "ERROR", IF(AND($FQ$6=Y154,E154="Interior", BU154="Y"), VLOOKUP('Lighting Inventory'!W154, 'Lookup Tables'!$AI$6:$AM$102, 5, FALSE)*'Lighting Inventory'!S154, IF(AND($FQ$7=Y154,E154="Interior", BU154="N"), 0.025*CD154, ""))), 2), "")</f>
        <v/>
      </c>
      <c r="FR154" s="253" t="str">
        <f>IFERROR(ROUND(IF(CD154="ERROR", "ERROR", IF(AND($FQ$6=Y154,E154="Exterior"), VLOOKUP('Lighting Inventory'!W154, 'Lookup Tables'!$AI$6:$AM$102, 5, FALSE)*'Lighting Inventory'!S154, "")), 2), "")</f>
        <v/>
      </c>
      <c r="FS154" s="253" t="str">
        <f>IFERROR(ROUND(IF(CD154="ERROR", "ERROR", IF(AND($FS$6=Y154,E154="Exterior"), IF(GB154=0, VLOOKUP(W154, 'Lookup Tables'!$AI$6:$AM$102, 5, FALSE)*BP154, IF(VLOOKUP(W154, 'Lookup Tables'!$AI$6:$AM$102, 5, FALSE)*BP154&gt;GB154*'Lighting Inventory'!S154, GB154*'Lighting Inventory'!S154,VLOOKUP(W154, 'Lookup Tables'!$AI$6:$AM$102, 5, FALSE)*BP154)), "")), 2), "")</f>
        <v/>
      </c>
      <c r="FT154" s="253" t="str">
        <f>IFERROR(ROUND(IF(CD154="ERROR", "ERROR", IF(AND($FT$6=Y154,E154="Interior"), IF(GB154=0, VLOOKUP(W154, 'Lookup Tables'!$AI$6:$AM$102, 5, FALSE)*BP154, IF(VLOOKUP(W154, 'Lookup Tables'!$AI$6:$AM$102, 5, FALSE)*BP154&gt;GB154*'Lighting Inventory'!S154, GB154*'Lighting Inventory'!S154,VLOOKUP(W154, 'Lookup Tables'!$AI$6:$AM$102, 5, FALSE)*BP154)), "")), 2), "")</f>
        <v/>
      </c>
      <c r="FU154" s="253" t="str">
        <f>IFERROR(ROUND(IF(CD154="ERROR", "ERROR", IF(AND(Y154=$FU$6, E154="Interior"), IF(BS154="N", 'Lookup Tables'!$AM$101*BP154, VLOOKUP(W154, 'Lookup Tables'!$AI$6:$AM$102, 5, FALSE)*S154*AD154), "")), 2), "")</f>
        <v/>
      </c>
      <c r="FV154" s="253" t="str">
        <f>IFERROR(ROUND(IF(CD154="ERROR", "ERROR", IF(AND(Y154=$FU$6, E154="Exterior"), IF(BS154="N", 'Lookup Tables'!$AM$101*BP154, VLOOKUP(W154, 'Lookup Tables'!$AI$6:$AM$102, 5, FALSE)*S154*AD154), "")), 2), "")</f>
        <v/>
      </c>
      <c r="FW154" s="253" t="str">
        <f>IFERROR(ROUND(IF(CD154="ERROR", "ERROR", IF($FW$6=Y154, IF(BS154="N", 'Lookup Tables'!$AM$101*BP154, MIN((VLOOKUP(W154, 'Lookup Tables'!$AI$6:$AM$102, 5, FALSE)*BP154),GB154*AJ154)), "")), 2), "")</f>
        <v/>
      </c>
      <c r="FX154" s="253" t="str">
        <f>IFERROR(ROUND(IF(CD154="ERROR", "ERROR", IF(AND($FX$6=Y154, E154="Interior"), IF(VLOOKUP(W154, 'Lookup Tables'!$AI$6:$AM$102, 5, FALSE)*BP154&gt;'Lookup Tables'!$AQ$97*'Lighting Inventory'!S154,'Lighting Inventory'!S154*'Lookup Tables'!$AQ$97,VLOOKUP(W154, 'Lookup Tables'!$AI$6:$AM$102, 5, FALSE)*BP154), "")), 2), "")</f>
        <v/>
      </c>
      <c r="FY154" s="253" t="str">
        <f>IFERROR(ROUND(IF(CD154="ERROR", "ERROR", IF(AND($FX$6=Y154, E154="Exterior"), IF(VLOOKUP(W154, 'Lookup Tables'!$AI$6:$AM$102, 5, FALSE)*BP154&gt;'Lookup Tables'!$AQ$97*'Lighting Inventory'!S154,'Lighting Inventory'!S154*'Lookup Tables'!$AQ$97,VLOOKUP(W154, 'Lookup Tables'!$AI$6:$AM$102, 5, FALSE)*BP154), "")), 2), "")</f>
        <v/>
      </c>
      <c r="FZ154" s="253" t="str">
        <f>IFERROR(ROUND(IF(CD154="ERROR", "ERROR", IF(AND($FZ$6=Y154, E154="Interior"), IF(AND(OR(W154="Refrigerated Case Lighting with Doors", W154="Freezer Case Lighting"),Y154="Custom - Process Improvement"),CD154*'Lookup Tables'!$AM$101, IF(B154="Retrofit", IF(VLOOKUP(IF(V154="Custom", V154, W154), 'Lookup Tables'!$AI$6:$AM$102, 5, FALSE)*BP154&gt;GE154, GE154, VLOOKUP(IF(V154="Custom", V154, W154), 'Lookup Tables'!$AI$6:$AM$102, 5, FALSE)*BP154), IF(VLOOKUP(IF(V154="Custom", V154, W154), 'Lookup Tables'!$AI$114:$AM$154, 5, FALSE)*BP154&gt;GE154, GE154, VLOOKUP(IF(V154="Custom", V154, W154), 'Lookup Tables'!$AI$114:$AM$154, 5, FALSE)*BP154))), "")), 2),"")</f>
        <v/>
      </c>
      <c r="GA154" s="253" t="str">
        <f>IFERROR(ROUND(IF(CD154="ERROR", "ERROR", IF(AND($FZ$6=Y154, E154="Exterior"), IF(B154="Retrofit", IF(VLOOKUP(IF(V154="Custom", V154, W154), 'Lookup Tables'!$AI$6:$AM$102, 5, FALSE)*BP154&gt;GE154, GE154, VLOOKUP(IF(V154="Custom", V154, W154), 'Lookup Tables'!$AI$6:$AM$102, 5, FALSE)*BP154), IF(VLOOKUP(IF(V154="Custom", V154, W154), 'Lookup Tables'!$AI$114:$AM$154, 5, FALSE)*BP154&gt;GE154, GE154, VLOOKUP(IF(V154="Custom", V154, W154), 'Lookup Tables'!$AI$114:$AM$154, 5, FALSE)*BP154)), "")), 2),"")</f>
        <v/>
      </c>
      <c r="GB154" s="254" t="str">
        <f t="array" ref="GB154">IF(B154="","",IF(OR(V154="Custom",V154="No Change"),0,IF(B154="Retrofit", INDEX('Lookup Tables'!$AH$6:$AQ$102,MATCH(1,('Lookup Tables'!$AH$6:$AH$102='Lighting Inventory'!V154)*('Lookup Tables'!$AI$6:$AI$102='Lighting Inventory'!W154),FALSE),10),INDEX('Lookup Tables'!$AH$114:$AQ$154,MATCH(1,('Lookup Tables'!$AH$114:$AH$154='Lighting Inventory'!V154)*('Lookup Tables'!$AI$114:$AI$154='Lighting Inventory'!W154),FALSE),10))))</f>
        <v/>
      </c>
      <c r="GC154" s="255" t="str">
        <f t="shared" si="447"/>
        <v/>
      </c>
      <c r="GD154" s="250" t="str">
        <f t="shared" si="448"/>
        <v/>
      </c>
      <c r="GE154" s="253" t="str">
        <f>IFERROR(IF(AND(AF154="", 'General Information'!$F$18="No"),"", IF(AF154="", ((GD154/$CD$266)*$CF$266)*0.5, AF154*S154*0.5)), "")</f>
        <v/>
      </c>
      <c r="GF154" s="255" t="str">
        <f>IF(AND('General Information'!$F$19="", 'General Information'!$F$18="Yes",AF154="",BW154="Y"), "Y", "N")</f>
        <v>N</v>
      </c>
      <c r="GG154" s="255" t="s">
        <v>2946</v>
      </c>
      <c r="GH154" s="255" t="str">
        <f>IFERROR(IF(B154="", "", VLOOKUP(J154, 'Fixture Identities'!$A$6:$N$908, 14, FALSE)), "")</f>
        <v/>
      </c>
      <c r="GI154" s="389" t="str">
        <f>IF(OR(B154="", V154="", W154=""), "", IF(AND(OR(M154='Lookup Tables'!$R$18, M154='Lookup Tables'!$R$19, M154='Lookup Tables'!$R$20, M154='Lookup Tables'!$R$21, M154='Lookup Tables'!$R$22), OR(AN154='Lookup Tables'!$R$17, AN154='Lookup Tables'!$R$17, AN154="")), "Y", "N"))</f>
        <v/>
      </c>
      <c r="GJ154" s="255" t="str">
        <f t="shared" si="449"/>
        <v/>
      </c>
      <c r="GK154" s="255" t="str">
        <f t="shared" si="450"/>
        <v/>
      </c>
      <c r="GL154" s="255" t="str">
        <f t="shared" si="451"/>
        <v/>
      </c>
      <c r="GM154" s="255" t="str">
        <f>IF(AN154="", "", IF(AND(IF(ISNA(VLOOKUP(AN154,'Lookup Tables'!$R$18:$R$22,1,FALSE)), "N", "Y")="Y", E154="Exterior"), "Y", "N"))</f>
        <v/>
      </c>
      <c r="GN154" s="395"/>
      <c r="GO154" s="428">
        <f t="shared" si="497"/>
        <v>0</v>
      </c>
      <c r="GP154" s="428">
        <f t="shared" si="500"/>
        <v>0</v>
      </c>
      <c r="GQ154" s="428">
        <f t="shared" si="498"/>
        <v>0</v>
      </c>
      <c r="GR154" s="428">
        <f t="shared" si="499"/>
        <v>0</v>
      </c>
    </row>
    <row r="155" spans="1:200" s="103" customFormat="1" ht="13.5" customHeight="1" x14ac:dyDescent="0.2">
      <c r="A155" s="272">
        <v>145</v>
      </c>
      <c r="B155" s="110"/>
      <c r="C155" s="110"/>
      <c r="D155" s="110"/>
      <c r="E155" s="110"/>
      <c r="F155" s="110"/>
      <c r="G155" s="110"/>
      <c r="H155" s="110"/>
      <c r="I155" s="29"/>
      <c r="J155" s="29"/>
      <c r="K155" s="272" t="str">
        <f>IFERROR(IF(OR(VLOOKUP(J155, 'Fixture Identities'!$A$6:$L$1023, 3, FALSE)="T12 Linear Fluorescent", VLOOKUP(J155, 'Fixture Identities'!$A$6:$L$1023, 3, FALSE)="T12 U-Tube Fluorescent"), VLOOKUP(VLOOKUP(J155, 'Fixture Identities'!$A$6:$L$1023, 11, FALSE), 'Fixture Identities'!$A$6:$L$1023, 10, FALSE), VLOOKUP(J155, 'Fixture Identities'!$A$6:$L$1023, 10, FALSE)), "")</f>
        <v/>
      </c>
      <c r="L155" s="270" t="str">
        <f t="shared" si="502"/>
        <v/>
      </c>
      <c r="M155" s="110"/>
      <c r="N155" s="110"/>
      <c r="O155" s="110"/>
      <c r="P155" s="272" t="str">
        <f>IFERROR(IF(OR(B155="Retrofit",B155=""),"",IF('Lighting Inventory'!E155="Exterior",VLOOKUP('Lighting Inventory'!N155,'Lookup Tables'!$B$83:$F$103,5,FALSE),IF(N155="Other - Please Estimate EFLH and CFs","Contact Prog. Rep.","ft^2"))), "")</f>
        <v/>
      </c>
      <c r="Q155" s="270" t="str">
        <f>IFERROR(IF(AND(B155="New Construction",E155="Interior",$F$5="Space-by-Space"),VLOOKUP('Lighting Inventory'!N155,'Lookup Tables'!$N$6:$O$97,2,FALSE),IF(AND(B155="New Construction",E155="Exterior"),VLOOKUP(N155,'Lookup Tables'!$B$83:$F$103,2,FALSE),IF(AND(B155="New Construction",'Lighting Inventory'!E155="Interior", $F$5="Building Area"),VLOOKUP(F155,'Lookup Tables'!$A$6:$J$59,10,FALSE),""))), "")</f>
        <v/>
      </c>
      <c r="R155" s="270" t="str">
        <f>IFERROR(IF(P155="Contact Prog. Rep.", "ERROR", IF(OR(B155="",B155="Retrofit"),"",IF(N155="Automated teller machines", ('Lookup Tables'!$A$82:$E$100+('Lighting Inventory'!O155-1)*'Lookup Tables'!$A$82:$E$100)/1000, (Q155*O155)/1000))), "")</f>
        <v/>
      </c>
      <c r="S155" s="595"/>
      <c r="T155" s="105" t="str">
        <f t="shared" si="452"/>
        <v/>
      </c>
      <c r="U155" s="105" t="str">
        <f>IF(S155="","",COUNT($S$11:S155))</f>
        <v/>
      </c>
      <c r="V155" s="111"/>
      <c r="W155" s="112"/>
      <c r="X155" s="105" t="str">
        <f t="shared" si="453"/>
        <v/>
      </c>
      <c r="Y155" s="105" t="str">
        <f t="array" ref="Y155">IF(AND(OR(W155="Freezer Case Lighting", W155="Refrigerated Case Lighting with Doors"), 'General Information'!$X$18="LCI"),'Lookup Tables'!$Y$34, IF(V155="Custom", VLOOKUP(W155, 'Fixture Identities'!$A$974:$M$1023, 13, FALSE), IF(V155="No Change",'Lookup Tables'!$Y$29,IF(OR(V155="",W155=""),"",IF(AND(S155=0,S155&lt;I155,B155="Retrofit"),'Lookup Tables'!$Y$25, IF(B155="Retrofit", INDEX('Lookup Tables'!$AH$6:$AP$102, MATCH(1, ('Lookup Tables'!$AH$6:$AH$102=V155)*('Lookup Tables'!$AI$6:$AI$102=W155), 0), IF('Lighting Inventory'!E155="Interior", 4, 5)), INDEX('Lookup Tables'!$AH$114:$AP$154, MATCH(1, ('Lookup Tables'!$AH$114:$AH$154=V155)*('Lookup Tables'!$AI$114:$AI$154=W155), 0), IF('Lighting Inventory'!E155="Interior", 4, 5))))))))</f>
        <v/>
      </c>
      <c r="Z155" s="105" t="str">
        <f>IFERROR(INDEX('Lookup Tables'!$AH$158:$AH$172,MATCH('Lighting Inventory'!Y155,'Lookup Tables'!$AI$158:$AI$172,0)),"")</f>
        <v/>
      </c>
      <c r="AA155" s="105" t="str">
        <f>IF(AP155&gt;0,INDEX('Lookup Tables'!$AK$158:$AK$172,MATCH('Lighting Inventory'!Y155,'Lookup Tables'!$AI$158:$AI$172,0)),'Lighting Inventory'!Y155)</f>
        <v/>
      </c>
      <c r="AB155" s="105" t="str">
        <f t="array" ref="AB155">IF(V155="Custom", "Custom", IF(V155="", "", IF(V155="Not DLC or Energy Star", "General", IF(B155="New Construction", INDEX('Lookup Tables'!$AH$114:$AP$154,MATCH(1,('Lookup Tables'!$AH$114:$AH$154='Lighting Inventory'!V155)*('Lookup Tables'!$AI$114:$AI$154='Lighting Inventory'!W155),FALSE),8), INDEX('Lookup Tables'!$AH$6:$AP$102,MATCH(1,('Lookup Tables'!$AH$6:$AH$102='Lighting Inventory'!V155)*('Lookup Tables'!$AI$6:$AI$102='Lighting Inventory'!W155),FALSE),8)))))</f>
        <v/>
      </c>
      <c r="AC155" s="272" t="str">
        <f>IF(W155="","",IF(V155="Custom",CONCATENATE("$",'Lookup Tables'!$AM$101," ",'Lookup Tables'!$AN$101),CONCATENATE("$",INDEX('Lookup Tables'!$AM$6:$AM$102,MATCH('Lighting Inventory'!W155,'Lookup Tables'!$AI$6:$AI$102,0))," ",INDEX('Lookup Tables'!$AN$6:$AN$102,MATCH('Lighting Inventory'!W155,'Lookup Tables'!$AI$6:$AI$102,0)))))</f>
        <v/>
      </c>
      <c r="AD155" s="72"/>
      <c r="AE155" s="29"/>
      <c r="AF155" s="379"/>
      <c r="AG155" s="370" t="str">
        <f t="shared" si="401"/>
        <v/>
      </c>
      <c r="AH155" s="370" t="str">
        <f t="shared" si="454"/>
        <v/>
      </c>
      <c r="AI155" s="29"/>
      <c r="AJ155" s="29"/>
      <c r="AK155" s="110"/>
      <c r="AL155" s="375" t="str">
        <f>IF(OR(B155="", V155="", W155=""), "", IF(V155="No Change", K155, IF(V155="Remove Fixture", 0, IF(V155="Custom",VLOOKUP(W155,'Fixture Identities'!$A$6:$K$1023,10,FALSE),IF(AE155="", "← ENTER POST WATTS", 'Lighting Inventory'!AE155)))))</f>
        <v/>
      </c>
      <c r="AM155" s="376" t="str">
        <f t="shared" si="402"/>
        <v/>
      </c>
      <c r="AN155" s="29"/>
      <c r="AO155" s="671"/>
      <c r="AP155" s="29"/>
      <c r="AQ155" s="29"/>
      <c r="AR155" s="29"/>
      <c r="AS155" s="272" t="str">
        <f t="shared" si="455"/>
        <v/>
      </c>
      <c r="AT155" s="270" t="str">
        <f t="shared" si="403"/>
        <v/>
      </c>
      <c r="AU155" s="88" t="str">
        <f t="shared" si="503"/>
        <v/>
      </c>
      <c r="AV155" s="29"/>
      <c r="AW155" s="73"/>
      <c r="AX155" s="271" t="str">
        <f>IF(AND(AV155="Applicant",OR(AW155="", AW155="Use Default Facility Hours")),"← Choose Schedule",IF(F155="","",IF(W155="LED Exit Signs",8760,IF(OR(AV155="Prescribed",AV155=""),VLOOKUP(F155,'Lookup Tables'!$A$6:$G$59,IF(AB155="General", 6, 3),FALSE),VLOOKUP(AW155,'Lookup Tables'!$S$36:$U$43,2,FALSE)))))</f>
        <v/>
      </c>
      <c r="AY155" s="88" t="str">
        <f t="shared" si="404"/>
        <v/>
      </c>
      <c r="AZ155" s="270" t="str">
        <f>IFERROR(IF(F155="", "", IF(W155="LED Exit Signs", 1, IF(AV155="Applicant",VLOOKUP(AW155, 'Lookup Tables'!$S$36:$U$43,3, FALSE), VLOOKUP('Lighting Inventory'!F155, 'Lookup Tables'!$A$6:$H$59, IF('Lighting Inventory'!AB155="General",7,4), FALSE)))), "")</f>
        <v/>
      </c>
      <c r="BA155" s="522" t="str">
        <f>IFERROR(IF(F155="", "", IF(W155="LED Exit Signs", 1, VLOOKUP('Lighting Inventory'!F155, 'Lookup Tables'!$A$6:$H$59, IF('Lighting Inventory'!AB155="General",8,5), FALSE))), "")</f>
        <v/>
      </c>
      <c r="BB155" s="270" t="str">
        <f>IF(G155="", "", IF(E155="Exterior", 0, IF('Lighting Inventory'!G155="Air Conditioned", VLOOKUP(H155, 'Lookup Tables'!$R$6:$T$13, 2, FALSE), VLOOKUP('Lighting Inventory'!G155, 'Lookup Tables'!$R$6:$T$13, 2, FALSE))))</f>
        <v/>
      </c>
      <c r="BC155" s="522" t="str">
        <f>IF(G155="", "", IF(E155="Exterior", 0, IF('Lighting Inventory'!G155="Air Conditioned", VLOOKUP(H155, 'Lookup Tables'!$R$6:$T$13, 3, FALSE), VLOOKUP('Lighting Inventory'!G155, 'Lookup Tables'!$R$6:$T$13, 3, FALSE))))</f>
        <v/>
      </c>
      <c r="BD155" s="270" t="str">
        <f>IF(G155="", "", IF(E155="Exterior", 0, IF('Lighting Inventory'!G155="Air Conditioned", VLOOKUP(H155, 'Lookup Tables'!$R$6:$U$13, 4, FALSE), VLOOKUP('Lighting Inventory'!G155, 'Lookup Tables'!$R$6:$U$13, 4, FALSE))))</f>
        <v/>
      </c>
      <c r="BE155" s="270" t="str">
        <f>IFERROR(IF(B155="", "",  IF(B155="New Construction", VLOOKUP(F155, 'Lookup Tables'!$A$6:$K$59, 11, FALSE),IF(OR(AN155="", AN155="Light Switch"), 0, IF(OR(M155="",M155="None",V155= "LED Exit Signs"),0,_xlfn.XLOOKUP(M155,'Lookup Tables'!$R$91:$R$101,'Lookup Tables'!$V$91:$V$101))))), "")</f>
        <v/>
      </c>
      <c r="BF155" s="270" t="str">
        <f>IF(AND(OR(AN155="Light Switch",AN155=""),B155="New Construction"), VLOOKUP(F155, 'Lookup Tables'!$A$6:$K$59, 11, FALSE),IF(AN155="","",IF(B155="","",IF(OR(AN155="None",AN155="",V155="LED Exit Signs",AN155="Exterior Controls Not Eligible"),0,_xlfn.XLOOKUP(AN155,'Lookup Tables'!$R$91:$R$101,'Lookup Tables'!$V$91:$V$101)))))</f>
        <v/>
      </c>
      <c r="BG155" s="88" t="str">
        <f t="shared" si="456"/>
        <v/>
      </c>
      <c r="BH155" s="88" t="str">
        <f t="shared" si="457"/>
        <v/>
      </c>
      <c r="BI155" s="558" t="str">
        <f t="shared" si="501"/>
        <v/>
      </c>
      <c r="BJ155" s="82" t="str">
        <f t="shared" si="458"/>
        <v/>
      </c>
      <c r="BK155" s="82" t="str">
        <f t="shared" si="459"/>
        <v/>
      </c>
      <c r="BL155" s="559" t="str">
        <f t="shared" si="460"/>
        <v/>
      </c>
      <c r="BM155" s="521" t="str">
        <f t="shared" si="405"/>
        <v/>
      </c>
      <c r="BN155" s="521" t="str">
        <f t="shared" si="406"/>
        <v/>
      </c>
      <c r="BO155" s="522" t="str">
        <f t="shared" si="407"/>
        <v/>
      </c>
      <c r="BP155" s="83" t="str">
        <f t="shared" si="461"/>
        <v/>
      </c>
      <c r="BQ155" s="84" t="str">
        <f t="shared" si="462"/>
        <v/>
      </c>
      <c r="BR155" s="184" t="str">
        <f>IFERROR(IF(B155="", "", IF(OR(VLOOKUP(J155, 'Fixture Identities'!$A$6:$L$1023, 3, FALSE)="T12 Linear Fluorescent",VLOOKUP(J155, 'Fixture Identities'!$A$6:$L$1023, 3, FALSE)="T12 U-Tube Fluorescent"), "Y", "N")), "N")</f>
        <v/>
      </c>
      <c r="BS155" s="184" t="str">
        <f t="array" ref="BS155">IFERROR(IF(OR(B155="", V155="", W155=""), "", IF(V155="Custom", "N", IF(OR(W155="Freezer Case Lighting", W155="Refrigerated Case Lighting with Doors"), BT155, IF(B155="Retrofit", INDEX('Lookup Tables'!$AH$6:$AT$102,MATCH(1,('Lookup Tables'!$AH$6:$AH$102=V155)*('Lookup Tables'!$AI$6:$AI$102=W155),FALSE),IF(VLOOKUP(J155, 'Fixture Identities'!$A$6:$B$1023, 2, FALSE)="Incandescent",12, 13)), INDEX('Lookup Tables'!$AH$114:$AS$154,MATCH(1,('Lookup Tables'!$AH$114:$AH$154=V155)*('Lookup Tables'!$AI$114:$AI$154=W155),FALSE),12))))), "N")</f>
        <v/>
      </c>
      <c r="BT155" s="184" t="str">
        <f>IF(J155="", "", IF(AND(OR(W155="Freezer case Lighting", W155="Refrigerated Case Lighting with Doors"),'General Information'!$X$18="LCI"), "N", IF(OR(VLOOKUP(J155, 'Fixture Identities'!$A$6:$B$1023, 2, FALSE)="T12 EPACT/EISA Baseline", VLOOKUP(J155, 'Fixture Identities'!$A$6:$B$1023, 2, FALSE)="Linear Fluorescent", VLOOKUP(J155, 'Fixture Identities'!$A$6:$B$1023, 2, FALSE)="U-Tube Fluorescent"), "Y", "N")))</f>
        <v/>
      </c>
      <c r="BU155" s="184" t="str">
        <f>IFERROR(IF(B155="", "", IF(VLOOKUP(J155, 'Fixture Identities'!$A$6:$B$1023, 2, FALSE)="Exit Sign", "Y", "N")), "N")</f>
        <v/>
      </c>
      <c r="BV155" s="184" t="str">
        <f>IF(V155="Exit Signs", IF(VLOOKUP(J155, 'Fixture Identities'!$A$6:$B$1023, 2, FALSE)="Exit Sign", "N", "Y"), "")</f>
        <v/>
      </c>
      <c r="BW155" s="184" t="str">
        <f t="array" ref="BW155">IFERROR(IF(B155="", "", IF(B155="New Construction", "N", INDEX('Lookup Tables'!$AH$6:$AU$102, MATCH(1, ('Lookup Tables'!$AH$6:$AH$102='Lighting Inventory'!V155)*('Lookup Tables'!$AI$6:$AI$102='Lighting Inventory'!W155), 0), 14))), "N")</f>
        <v/>
      </c>
      <c r="BX155" s="598" t="str">
        <f t="shared" si="463"/>
        <v/>
      </c>
      <c r="BY155" s="598" t="str">
        <f t="shared" si="464"/>
        <v/>
      </c>
      <c r="BZ155" s="598" t="str">
        <f t="shared" si="465"/>
        <v/>
      </c>
      <c r="CA155" s="598" t="str">
        <f t="shared" si="466"/>
        <v/>
      </c>
      <c r="CB155" s="269" t="str">
        <f t="shared" si="467"/>
        <v/>
      </c>
      <c r="CC155" s="517" t="str">
        <f t="shared" si="468"/>
        <v/>
      </c>
      <c r="CD155" s="565" t="str">
        <f t="shared" si="408"/>
        <v/>
      </c>
      <c r="CE155" s="368">
        <v>0</v>
      </c>
      <c r="CF155" s="368" t="str" cm="1">
        <f t="array" ref="CF155">IFERROR(IF(V155="Custom", "$0.1 per kWh", IF(B155="New Construction", CONCATENATE("$",INDEX('Lookup Tables'!$AH$114:$AN$154,MATCH(1,('Lookup Tables'!$AH$114:$AH$154='Lighting Inventory'!V155)*('Lookup Tables'!$AI$114:$AI$154='Lighting Inventory'!W155),FALSE),6)," ",INDEX('Lookup Tables'!$AH$114:$AN$154,MATCH(1,('Lookup Tables'!$AH$114:$AH$154='Lighting Inventory'!V155)*('Lookup Tables'!$AI$114:$AI$154='Lighting Inventory'!W155),FALSE),7)), IF(AND(BU155="N", V155="Exit Signs"), "$0.025 per kWh", CONCATENATE("$",INDEX('Lookup Tables'!$AH$6:$AN$102,MATCH(1,('Lookup Tables'!$AH$6:$AH$102='Lighting Inventory'!V155)*('Lookup Tables'!$AI$6:$AI$102='Lighting Inventory'!W155),FALSE),6)," ",INDEX('Lookup Tables'!$AH$6:$AN$102,MATCH(1,('Lookup Tables'!$AH$6:$AH$102='Lighting Inventory'!V155)*('Lookup Tables'!$AI$6:$AI$102='Lighting Inventory'!W155),FALSE),7))))), "")</f>
        <v/>
      </c>
      <c r="CG155" s="366"/>
      <c r="CH155" s="248" t="str">
        <f t="shared" si="409"/>
        <v/>
      </c>
      <c r="CI155" s="248" t="str">
        <f t="shared" si="410"/>
        <v>Select_IE</v>
      </c>
      <c r="CJ155" s="248" t="str">
        <f t="shared" si="411"/>
        <v/>
      </c>
      <c r="CK155" s="248" t="str">
        <f t="shared" si="412"/>
        <v/>
      </c>
      <c r="CL155" s="248" t="str">
        <f t="shared" si="413"/>
        <v/>
      </c>
      <c r="CM155" s="248" t="str">
        <f>IFERROR(IF(B155="", "", IF(B155="New Construction", VLOOKUP(V155, 'Lookup Tables'!$AF$114:$AG$120, 2, FALSE), VLOOKUP(V155, 'Lookup Tables'!$AD$6:$AE$25, 2, FALSE))), "")</f>
        <v/>
      </c>
      <c r="CN155" s="248" t="str">
        <f t="shared" si="414"/>
        <v/>
      </c>
      <c r="CO155" s="248" t="str">
        <f t="shared" si="415"/>
        <v/>
      </c>
      <c r="CP155" s="592" t="str">
        <f t="shared" si="416"/>
        <v/>
      </c>
      <c r="CQ155" s="248" t="str">
        <f t="shared" si="469"/>
        <v/>
      </c>
      <c r="CR155" s="100"/>
      <c r="CS155" s="250" t="str">
        <f t="shared" si="417"/>
        <v/>
      </c>
      <c r="CT155" s="250" t="str">
        <f t="shared" si="470"/>
        <v/>
      </c>
      <c r="CU155" s="250" t="str">
        <f t="shared" si="471"/>
        <v/>
      </c>
      <c r="CV155" s="250" t="str">
        <f t="shared" si="472"/>
        <v/>
      </c>
      <c r="CW155" s="250" t="str">
        <f t="shared" si="473"/>
        <v/>
      </c>
      <c r="CX155" s="250" t="str">
        <f t="shared" si="418"/>
        <v/>
      </c>
      <c r="CY155" s="250" t="str">
        <f t="shared" si="419"/>
        <v/>
      </c>
      <c r="CZ155" s="250" t="str">
        <f t="shared" si="420"/>
        <v/>
      </c>
      <c r="DA155" s="250" t="str">
        <f t="shared" si="421"/>
        <v/>
      </c>
      <c r="DB155" s="250" t="str">
        <f t="shared" si="422"/>
        <v/>
      </c>
      <c r="DC155" s="250" t="str">
        <f t="shared" si="423"/>
        <v/>
      </c>
      <c r="DD155" s="250" t="str">
        <f t="shared" si="424"/>
        <v/>
      </c>
      <c r="DE155" s="250" t="str">
        <f t="shared" si="425"/>
        <v/>
      </c>
      <c r="DF155" s="250" t="str">
        <f t="shared" si="426"/>
        <v/>
      </c>
      <c r="DG155" s="250" t="str">
        <f t="shared" si="427"/>
        <v/>
      </c>
      <c r="DH155" s="250" t="str">
        <f t="shared" si="428"/>
        <v/>
      </c>
      <c r="DI155" s="250" t="str">
        <f t="shared" si="429"/>
        <v/>
      </c>
      <c r="DJ155" s="250" t="str">
        <f t="shared" si="430"/>
        <v/>
      </c>
      <c r="DK155" s="250" t="str">
        <f t="shared" si="431"/>
        <v/>
      </c>
      <c r="DL155" s="250" t="str">
        <f t="shared" si="432"/>
        <v/>
      </c>
      <c r="DM155" s="250" t="str">
        <f>IF(CD155="ERROR", "ERROR", IF(AND(OR(Y155=$DM$6, Y155='Lookup Tables'!$AD$21, Y155='Lookup Tables'!$AD$22), E155="Interior"), BJ155, ""))</f>
        <v/>
      </c>
      <c r="DN155" s="250" t="str">
        <f>IF(CD155="ERROR", "ERROR", IF(AND(OR(Y155=$DM$6, Y155='Lookup Tables'!$AD$21, Y155='Lookup Tables'!$AD$22), E155="Exterior"), BJ155, ""))</f>
        <v/>
      </c>
      <c r="DO155" s="100"/>
      <c r="DP155" s="250" t="str">
        <f t="shared" si="433"/>
        <v/>
      </c>
      <c r="DQ155" s="250" t="str">
        <f t="shared" si="474"/>
        <v/>
      </c>
      <c r="DR155" s="250" t="str">
        <f t="shared" si="475"/>
        <v/>
      </c>
      <c r="DS155" s="250" t="str">
        <f t="shared" si="476"/>
        <v/>
      </c>
      <c r="DT155" s="250" t="str">
        <f t="shared" si="477"/>
        <v/>
      </c>
      <c r="DU155" s="250" t="str">
        <f t="shared" si="434"/>
        <v/>
      </c>
      <c r="DV155" s="250" t="str">
        <f t="shared" si="435"/>
        <v/>
      </c>
      <c r="DW155" s="250" t="str">
        <f t="shared" si="436"/>
        <v/>
      </c>
      <c r="DX155" s="250" t="str">
        <f t="shared" si="437"/>
        <v/>
      </c>
      <c r="DY155" s="250" t="str">
        <f t="shared" si="438"/>
        <v/>
      </c>
      <c r="DZ155" s="250" t="str">
        <f t="shared" si="439"/>
        <v/>
      </c>
      <c r="EA155" s="250" t="str">
        <f t="shared" si="440"/>
        <v/>
      </c>
      <c r="EB155" s="250" t="str">
        <f t="shared" si="478"/>
        <v/>
      </c>
      <c r="EC155" s="250" t="str">
        <f t="shared" si="441"/>
        <v/>
      </c>
      <c r="ED155" s="250" t="str">
        <f t="shared" si="442"/>
        <v/>
      </c>
      <c r="EE155" s="250" t="str">
        <f t="shared" si="443"/>
        <v/>
      </c>
      <c r="EF155" s="250" t="str">
        <f t="shared" si="444"/>
        <v/>
      </c>
      <c r="EG155" s="250" t="str">
        <f t="shared" si="445"/>
        <v/>
      </c>
      <c r="EH155" s="250" t="str">
        <f>IF(CD155="ERROR", "ERROR", IF(AND(OR($EH$6=Y155, Y155='Lookup Tables'!$AD$21, Y155='Lookup Tables'!$AD$22),E155="Interior"), SUM(BP155:BP155), ""))</f>
        <v/>
      </c>
      <c r="EI155" s="250" t="str">
        <f>IF(CD155="ERROR", "ERROR", IF(AND(OR($EH$6=Y155, Y155='Lookup Tables'!$AD$21, Y155='Lookup Tables'!$AD$22),E155="Exterior"), SUM(BP155:BP155), ""))</f>
        <v/>
      </c>
      <c r="EJ155" s="109"/>
      <c r="EK155" s="485" t="str">
        <f t="shared" si="446"/>
        <v/>
      </c>
      <c r="EL155" s="252" t="str">
        <f t="shared" si="479"/>
        <v/>
      </c>
      <c r="EM155" s="252" t="str">
        <f t="shared" si="480"/>
        <v/>
      </c>
      <c r="EN155" s="252" t="str">
        <f t="shared" si="481"/>
        <v/>
      </c>
      <c r="EO155" s="252" t="str">
        <f t="shared" si="482"/>
        <v/>
      </c>
      <c r="EP155" s="252" t="str">
        <f t="shared" si="483"/>
        <v/>
      </c>
      <c r="EQ155" s="252" t="str">
        <f t="shared" si="484"/>
        <v/>
      </c>
      <c r="ER155" s="252" t="str">
        <f t="shared" si="485"/>
        <v/>
      </c>
      <c r="ES155" s="252" t="str">
        <f t="shared" si="486"/>
        <v/>
      </c>
      <c r="ET155" s="252" t="str">
        <f t="shared" si="487"/>
        <v/>
      </c>
      <c r="EU155" s="252" t="str">
        <f t="shared" si="488"/>
        <v/>
      </c>
      <c r="EV155" s="252" t="str">
        <f t="shared" si="489"/>
        <v/>
      </c>
      <c r="EW155" s="252" t="str">
        <f t="shared" si="490"/>
        <v/>
      </c>
      <c r="EX155" s="252" t="str">
        <f t="shared" si="491"/>
        <v/>
      </c>
      <c r="EY155" s="252" t="str">
        <f t="shared" si="492"/>
        <v/>
      </c>
      <c r="EZ155" s="252" t="str">
        <f t="shared" si="493"/>
        <v/>
      </c>
      <c r="FA155" s="252" t="str">
        <f t="shared" si="494"/>
        <v/>
      </c>
      <c r="FB155" s="252" t="str">
        <f t="shared" si="495"/>
        <v/>
      </c>
      <c r="FC155" s="252" t="str">
        <f>IF(CD155="ERROR", "ERROR", IF(OR(V155="No Change", V155="Not DLC or Energy Star"), "", IF(AND(OR($FC$6=Y155,Y155='Lookup Tables'!$AD$21, Y155='Lookup Tables'!$AD$22),E155="Interior"), S155, "")))</f>
        <v/>
      </c>
      <c r="FD155" s="252" t="str">
        <f t="shared" si="496"/>
        <v/>
      </c>
      <c r="FE155" s="101"/>
      <c r="FF155" s="579" t="str" cm="1">
        <f t="array" ref="FF155">IFERROR(IF(OR(BQ155&lt;=0,AQ155&lt;20,AND(V155="Exit Signs",AN155&gt;0)),"",IF(AND(AQ155&gt;=20,AN155='Lookup Tables'!$R$101),'Lookup Tables'!$U$101*BQ155,AP155*LOOKUP(2,1/((AN155='Lookup Tables'!$R$91:$R$111)*(AQ155&gt;='Lookup Tables'!$S$91:$S$111)*(AQ155&lt;='Lookup Tables'!$T$91:$T$111)),'Lookup Tables'!$U$91:$U$111))),"")</f>
        <v/>
      </c>
      <c r="FG155" s="579"/>
      <c r="FH155" s="579"/>
      <c r="FI155" s="253" t="str">
        <f>IFERROR(ROUND(IF(CD155="ERROR", "ERROR", IF(AND($FI$7=X155,E155="Interior"),VLOOKUP(W155, 'Lookup Tables'!$AI$6:$AM$102, 5, FALSE)*BP155, "")), 2), "")</f>
        <v/>
      </c>
      <c r="FJ155" s="253" t="str">
        <f>IFERROR(ROUND(IF(CD155="ERROR", "ERROR", IF(AND($FI$7=X155,E155="Exterior"),VLOOKUP(W155, 'Lookup Tables'!$AI$6:$AM$102, 5, FALSE)*BP155, "")), 2), "")</f>
        <v/>
      </c>
      <c r="FK155" s="253" t="str">
        <f>IFERROR(ROUND(IF(CD155="ERROR", "ERROR", IF(AND($FK$7=X155,E155="Interior"),VLOOKUP(W155, 'Lookup Tables'!$AI$6:$AM$102, 5, FALSE)*BP155, "")), 2), "")</f>
        <v/>
      </c>
      <c r="FL155" s="253" t="str">
        <f>IFERROR(ROUND(IF(CD155="ERROR", "ERROR", IF(AND($FK$7=X155,E155="Exterior"),VLOOKUP(W155, 'Lookup Tables'!$AI$6:$AM$102, 5, FALSE)*BP155, "")), 2), "")</f>
        <v/>
      </c>
      <c r="FM155" s="253" t="str">
        <f>IFERROR(ROUND(IF(CD155="ERROR", "ERROR", IF(AND($FM$6=Y155,E155="Interior"), IF(GB155=0, VLOOKUP(W155, 'Lookup Tables'!$AI$6:$AM$102, 5, FALSE)*BP155, IF(VLOOKUP(W155, 'Lookup Tables'!$AI$6:$AM$102, 5, FALSE)*BP155&gt;GB155*'Lighting Inventory'!S155, GB155*'Lighting Inventory'!S155,VLOOKUP(W155, 'Lookup Tables'!$AI$6:$AM$102, 5, FALSE)*BP155)), "")), 2), "")</f>
        <v/>
      </c>
      <c r="FN155" s="253" t="str">
        <f>IFERROR(ROUND(IF(CD155="ERROR", "ERROR", IF(AND($FM$6=Y155,E155="Exterior"), IF(GB155=0, VLOOKUP(W155, 'Lookup Tables'!$AI$6:$AM$102, 5, FALSE)*BP155, IF(VLOOKUP(W155, 'Lookup Tables'!$AI$6:$AM$102, 5, FALSE)*BP155&gt;GB155*'Lighting Inventory'!S155, GB155*'Lighting Inventory'!S155,VLOOKUP(W155, 'Lookup Tables'!$AI$6:$AM$102, 5, FALSE)*BP155)), "")), 2), "")</f>
        <v/>
      </c>
      <c r="FO155" s="253" t="str">
        <f>IFERROR(ROUND(IF(CD155="ERROR", "ERROR", IF(AND($FO$6=Y155,E155="Interior"),VLOOKUP(W155, 'Lookup Tables'!$AI$6:$AM$102, 5, FALSE)*'Lighting Inventory'!AI155, "")), 2), "")</f>
        <v/>
      </c>
      <c r="FP155" s="253" t="str">
        <f>IFERROR(ROUND(IF(CD155="ERROR", "ERROR", IF(AND($FO$6=Y155,E155="Exterior"),VLOOKUP(W155, 'Lookup Tables'!$AI$6:$AM$102, 5, FALSE)*'Lighting Inventory'!AI155, "")), 2), "")</f>
        <v/>
      </c>
      <c r="FQ155" s="253" t="str">
        <f>IFERROR(ROUND(IF(CD155="ERROR", "ERROR", IF(AND($FQ$6=Y155,E155="Interior", BU155="Y"), VLOOKUP('Lighting Inventory'!W155, 'Lookup Tables'!$AI$6:$AM$102, 5, FALSE)*'Lighting Inventory'!S155, IF(AND($FQ$7=Y155,E155="Interior", BU155="N"), 0.025*CD155, ""))), 2), "")</f>
        <v/>
      </c>
      <c r="FR155" s="253" t="str">
        <f>IFERROR(ROUND(IF(CD155="ERROR", "ERROR", IF(AND($FQ$6=Y155,E155="Exterior"), VLOOKUP('Lighting Inventory'!W155, 'Lookup Tables'!$AI$6:$AM$102, 5, FALSE)*'Lighting Inventory'!S155, "")), 2), "")</f>
        <v/>
      </c>
      <c r="FS155" s="253" t="str">
        <f>IFERROR(ROUND(IF(CD155="ERROR", "ERROR", IF(AND($FS$6=Y155,E155="Exterior"), IF(GB155=0, VLOOKUP(W155, 'Lookup Tables'!$AI$6:$AM$102, 5, FALSE)*BP155, IF(VLOOKUP(W155, 'Lookup Tables'!$AI$6:$AM$102, 5, FALSE)*BP155&gt;GB155*'Lighting Inventory'!S155, GB155*'Lighting Inventory'!S155,VLOOKUP(W155, 'Lookup Tables'!$AI$6:$AM$102, 5, FALSE)*BP155)), "")), 2), "")</f>
        <v/>
      </c>
      <c r="FT155" s="253" t="str">
        <f>IFERROR(ROUND(IF(CD155="ERROR", "ERROR", IF(AND($FT$6=Y155,E155="Interior"), IF(GB155=0, VLOOKUP(W155, 'Lookup Tables'!$AI$6:$AM$102, 5, FALSE)*BP155, IF(VLOOKUP(W155, 'Lookup Tables'!$AI$6:$AM$102, 5, FALSE)*BP155&gt;GB155*'Lighting Inventory'!S155, GB155*'Lighting Inventory'!S155,VLOOKUP(W155, 'Lookup Tables'!$AI$6:$AM$102, 5, FALSE)*BP155)), "")), 2), "")</f>
        <v/>
      </c>
      <c r="FU155" s="253" t="str">
        <f>IFERROR(ROUND(IF(CD155="ERROR", "ERROR", IF(AND(Y155=$FU$6, E155="Interior"), IF(BS155="N", 'Lookup Tables'!$AM$101*BP155, VLOOKUP(W155, 'Lookup Tables'!$AI$6:$AM$102, 5, FALSE)*S155*AD155), "")), 2), "")</f>
        <v/>
      </c>
      <c r="FV155" s="253" t="str">
        <f>IFERROR(ROUND(IF(CD155="ERROR", "ERROR", IF(AND(Y155=$FU$6, E155="Exterior"), IF(BS155="N", 'Lookup Tables'!$AM$101*BP155, VLOOKUP(W155, 'Lookup Tables'!$AI$6:$AM$102, 5, FALSE)*S155*AD155), "")), 2), "")</f>
        <v/>
      </c>
      <c r="FW155" s="253" t="str">
        <f>IFERROR(ROUND(IF(CD155="ERROR", "ERROR", IF($FW$6=Y155, IF(BS155="N", 'Lookup Tables'!$AM$101*BP155, MIN((VLOOKUP(W155, 'Lookup Tables'!$AI$6:$AM$102, 5, FALSE)*BP155),GB155*AJ155)), "")), 2), "")</f>
        <v/>
      </c>
      <c r="FX155" s="253" t="str">
        <f>IFERROR(ROUND(IF(CD155="ERROR", "ERROR", IF(AND($FX$6=Y155, E155="Interior"), IF(VLOOKUP(W155, 'Lookup Tables'!$AI$6:$AM$102, 5, FALSE)*BP155&gt;'Lookup Tables'!$AQ$97*'Lighting Inventory'!S155,'Lighting Inventory'!S155*'Lookup Tables'!$AQ$97,VLOOKUP(W155, 'Lookup Tables'!$AI$6:$AM$102, 5, FALSE)*BP155), "")), 2), "")</f>
        <v/>
      </c>
      <c r="FY155" s="253" t="str">
        <f>IFERROR(ROUND(IF(CD155="ERROR", "ERROR", IF(AND($FX$6=Y155, E155="Exterior"), IF(VLOOKUP(W155, 'Lookup Tables'!$AI$6:$AM$102, 5, FALSE)*BP155&gt;'Lookup Tables'!$AQ$97*'Lighting Inventory'!S155,'Lighting Inventory'!S155*'Lookup Tables'!$AQ$97,VLOOKUP(W155, 'Lookup Tables'!$AI$6:$AM$102, 5, FALSE)*BP155), "")), 2), "")</f>
        <v/>
      </c>
      <c r="FZ155" s="253" t="str">
        <f>IFERROR(ROUND(IF(CD155="ERROR", "ERROR", IF(AND($FZ$6=Y155, E155="Interior"), IF(AND(OR(W155="Refrigerated Case Lighting with Doors", W155="Freezer Case Lighting"),Y155="Custom - Process Improvement"),CD155*'Lookup Tables'!$AM$101, IF(B155="Retrofit", IF(VLOOKUP(IF(V155="Custom", V155, W155), 'Lookup Tables'!$AI$6:$AM$102, 5, FALSE)*BP155&gt;GE155, GE155, VLOOKUP(IF(V155="Custom", V155, W155), 'Lookup Tables'!$AI$6:$AM$102, 5, FALSE)*BP155), IF(VLOOKUP(IF(V155="Custom", V155, W155), 'Lookup Tables'!$AI$114:$AM$154, 5, FALSE)*BP155&gt;GE155, GE155, VLOOKUP(IF(V155="Custom", V155, W155), 'Lookup Tables'!$AI$114:$AM$154, 5, FALSE)*BP155))), "")), 2),"")</f>
        <v/>
      </c>
      <c r="GA155" s="253" t="str">
        <f>IFERROR(ROUND(IF(CD155="ERROR", "ERROR", IF(AND($FZ$6=Y155, E155="Exterior"), IF(B155="Retrofit", IF(VLOOKUP(IF(V155="Custom", V155, W155), 'Lookup Tables'!$AI$6:$AM$102, 5, FALSE)*BP155&gt;GE155, GE155, VLOOKUP(IF(V155="Custom", V155, W155), 'Lookup Tables'!$AI$6:$AM$102, 5, FALSE)*BP155), IF(VLOOKUP(IF(V155="Custom", V155, W155), 'Lookup Tables'!$AI$114:$AM$154, 5, FALSE)*BP155&gt;GE155, GE155, VLOOKUP(IF(V155="Custom", V155, W155), 'Lookup Tables'!$AI$114:$AM$154, 5, FALSE)*BP155)), "")), 2),"")</f>
        <v/>
      </c>
      <c r="GB155" s="254" t="str">
        <f t="array" ref="GB155">IF(B155="","",IF(OR(V155="Custom",V155="No Change"),0,IF(B155="Retrofit", INDEX('Lookup Tables'!$AH$6:$AQ$102,MATCH(1,('Lookup Tables'!$AH$6:$AH$102='Lighting Inventory'!V155)*('Lookup Tables'!$AI$6:$AI$102='Lighting Inventory'!W155),FALSE),10),INDEX('Lookup Tables'!$AH$114:$AQ$154,MATCH(1,('Lookup Tables'!$AH$114:$AH$154='Lighting Inventory'!V155)*('Lookup Tables'!$AI$114:$AI$154='Lighting Inventory'!W155),FALSE),10))))</f>
        <v/>
      </c>
      <c r="GC155" s="255" t="str">
        <f t="shared" si="447"/>
        <v/>
      </c>
      <c r="GD155" s="250" t="str">
        <f t="shared" si="448"/>
        <v/>
      </c>
      <c r="GE155" s="253" t="str">
        <f>IFERROR(IF(AND(AF155="", 'General Information'!$F$18="No"),"", IF(AF155="", ((GD155/$CD$266)*$CF$266)*0.5, AF155*S155*0.5)), "")</f>
        <v/>
      </c>
      <c r="GF155" s="255" t="str">
        <f>IF(AND('General Information'!$F$19="", 'General Information'!$F$18="Yes",AF155="",BW155="Y"), "Y", "N")</f>
        <v>N</v>
      </c>
      <c r="GG155" s="255" t="s">
        <v>2946</v>
      </c>
      <c r="GH155" s="255" t="str">
        <f>IFERROR(IF(B155="", "", VLOOKUP(J155, 'Fixture Identities'!$A$6:$N$908, 14, FALSE)), "")</f>
        <v/>
      </c>
      <c r="GI155" s="389" t="str">
        <f>IF(OR(B155="", V155="", W155=""), "", IF(AND(OR(M155='Lookup Tables'!$R$18, M155='Lookup Tables'!$R$19, M155='Lookup Tables'!$R$20, M155='Lookup Tables'!$R$21, M155='Lookup Tables'!$R$22), OR(AN155='Lookup Tables'!$R$17, AN155='Lookup Tables'!$R$17, AN155="")), "Y", "N"))</f>
        <v/>
      </c>
      <c r="GJ155" s="255" t="str">
        <f t="shared" si="449"/>
        <v/>
      </c>
      <c r="GK155" s="255" t="str">
        <f t="shared" si="450"/>
        <v/>
      </c>
      <c r="GL155" s="255" t="str">
        <f t="shared" si="451"/>
        <v/>
      </c>
      <c r="GM155" s="255" t="str">
        <f>IF(AN155="", "", IF(AND(IF(ISNA(VLOOKUP(AN155,'Lookup Tables'!$R$18:$R$22,1,FALSE)), "N", "Y")="Y", E155="Exterior"), "Y", "N"))</f>
        <v/>
      </c>
      <c r="GN155" s="395"/>
      <c r="GO155" s="428">
        <f t="shared" si="497"/>
        <v>0</v>
      </c>
      <c r="GP155" s="428">
        <f t="shared" si="500"/>
        <v>0</v>
      </c>
      <c r="GQ155" s="428">
        <f t="shared" si="498"/>
        <v>0</v>
      </c>
      <c r="GR155" s="428">
        <f t="shared" si="499"/>
        <v>0</v>
      </c>
    </row>
    <row r="156" spans="1:200" s="103" customFormat="1" ht="13.5" customHeight="1" x14ac:dyDescent="0.2">
      <c r="A156" s="272">
        <v>146</v>
      </c>
      <c r="B156" s="110"/>
      <c r="C156" s="110"/>
      <c r="D156" s="110"/>
      <c r="E156" s="110"/>
      <c r="F156" s="110"/>
      <c r="G156" s="110"/>
      <c r="H156" s="110"/>
      <c r="I156" s="29"/>
      <c r="J156" s="29"/>
      <c r="K156" s="272" t="str">
        <f>IFERROR(IF(OR(VLOOKUP(J156, 'Fixture Identities'!$A$6:$L$1023, 3, FALSE)="T12 Linear Fluorescent", VLOOKUP(J156, 'Fixture Identities'!$A$6:$L$1023, 3, FALSE)="T12 U-Tube Fluorescent"), VLOOKUP(VLOOKUP(J156, 'Fixture Identities'!$A$6:$L$1023, 11, FALSE), 'Fixture Identities'!$A$6:$L$1023, 10, FALSE), VLOOKUP(J156, 'Fixture Identities'!$A$6:$L$1023, 10, FALSE)), "")</f>
        <v/>
      </c>
      <c r="L156" s="270" t="str">
        <f t="shared" si="502"/>
        <v/>
      </c>
      <c r="M156" s="110"/>
      <c r="N156" s="110"/>
      <c r="O156" s="110"/>
      <c r="P156" s="272" t="str">
        <f>IFERROR(IF(OR(B156="Retrofit",B156=""),"",IF('Lighting Inventory'!E156="Exterior",VLOOKUP('Lighting Inventory'!N156,'Lookup Tables'!$B$83:$F$103,5,FALSE),IF(N156="Other - Please Estimate EFLH and CFs","Contact Prog. Rep.","ft^2"))), "")</f>
        <v/>
      </c>
      <c r="Q156" s="270" t="str">
        <f>IFERROR(IF(AND(B156="New Construction",E156="Interior",$F$5="Space-by-Space"),VLOOKUP('Lighting Inventory'!N156,'Lookup Tables'!$N$6:$O$97,2,FALSE),IF(AND(B156="New Construction",E156="Exterior"),VLOOKUP(N156,'Lookup Tables'!$B$83:$F$103,2,FALSE),IF(AND(B156="New Construction",'Lighting Inventory'!E156="Interior", $F$5="Building Area"),VLOOKUP(F156,'Lookup Tables'!$A$6:$J$59,10,FALSE),""))), "")</f>
        <v/>
      </c>
      <c r="R156" s="270" t="str">
        <f>IFERROR(IF(P156="Contact Prog. Rep.", "ERROR", IF(OR(B156="",B156="Retrofit"),"",IF(N156="Automated teller machines", ('Lookup Tables'!$A$82:$E$100+('Lighting Inventory'!O156-1)*'Lookup Tables'!$A$82:$E$100)/1000, (Q156*O156)/1000))), "")</f>
        <v/>
      </c>
      <c r="S156" s="595"/>
      <c r="T156" s="105" t="str">
        <f t="shared" si="452"/>
        <v/>
      </c>
      <c r="U156" s="105" t="str">
        <f>IF(S156="","",COUNT($S$11:S156))</f>
        <v/>
      </c>
      <c r="V156" s="111"/>
      <c r="W156" s="112"/>
      <c r="X156" s="105" t="str">
        <f t="shared" si="453"/>
        <v/>
      </c>
      <c r="Y156" s="105" t="str">
        <f t="array" ref="Y156">IF(AND(OR(W156="Freezer Case Lighting", W156="Refrigerated Case Lighting with Doors"), 'General Information'!$X$18="LCI"),'Lookup Tables'!$Y$34, IF(V156="Custom", VLOOKUP(W156, 'Fixture Identities'!$A$974:$M$1023, 13, FALSE), IF(V156="No Change",'Lookup Tables'!$Y$29,IF(OR(V156="",W156=""),"",IF(AND(S156=0,S156&lt;I156,B156="Retrofit"),'Lookup Tables'!$Y$25, IF(B156="Retrofit", INDEX('Lookup Tables'!$AH$6:$AP$102, MATCH(1, ('Lookup Tables'!$AH$6:$AH$102=V156)*('Lookup Tables'!$AI$6:$AI$102=W156), 0), IF('Lighting Inventory'!E156="Interior", 4, 5)), INDEX('Lookup Tables'!$AH$114:$AP$154, MATCH(1, ('Lookup Tables'!$AH$114:$AH$154=V156)*('Lookup Tables'!$AI$114:$AI$154=W156), 0), IF('Lighting Inventory'!E156="Interior", 4, 5))))))))</f>
        <v/>
      </c>
      <c r="Z156" s="105" t="str">
        <f>IFERROR(INDEX('Lookup Tables'!$AH$158:$AH$172,MATCH('Lighting Inventory'!Y156,'Lookup Tables'!$AI$158:$AI$172,0)),"")</f>
        <v/>
      </c>
      <c r="AA156" s="105" t="str">
        <f>IF(AP156&gt;0,INDEX('Lookup Tables'!$AK$158:$AK$172,MATCH('Lighting Inventory'!Y156,'Lookup Tables'!$AI$158:$AI$172,0)),'Lighting Inventory'!Y156)</f>
        <v/>
      </c>
      <c r="AB156" s="105" t="str">
        <f t="array" ref="AB156">IF(V156="Custom", "Custom", IF(V156="", "", IF(V156="Not DLC or Energy Star", "General", IF(B156="New Construction", INDEX('Lookup Tables'!$AH$114:$AP$154,MATCH(1,('Lookup Tables'!$AH$114:$AH$154='Lighting Inventory'!V156)*('Lookup Tables'!$AI$114:$AI$154='Lighting Inventory'!W156),FALSE),8), INDEX('Lookup Tables'!$AH$6:$AP$102,MATCH(1,('Lookup Tables'!$AH$6:$AH$102='Lighting Inventory'!V156)*('Lookup Tables'!$AI$6:$AI$102='Lighting Inventory'!W156),FALSE),8)))))</f>
        <v/>
      </c>
      <c r="AC156" s="272" t="str">
        <f>IF(W156="","",IF(V156="Custom",CONCATENATE("$",'Lookup Tables'!$AM$101," ",'Lookup Tables'!$AN$101),CONCATENATE("$",INDEX('Lookup Tables'!$AM$6:$AM$102,MATCH('Lighting Inventory'!W156,'Lookup Tables'!$AI$6:$AI$102,0))," ",INDEX('Lookup Tables'!$AN$6:$AN$102,MATCH('Lighting Inventory'!W156,'Lookup Tables'!$AI$6:$AI$102,0)))))</f>
        <v/>
      </c>
      <c r="AD156" s="72"/>
      <c r="AE156" s="29"/>
      <c r="AF156" s="379"/>
      <c r="AG156" s="370" t="str">
        <f t="shared" si="401"/>
        <v/>
      </c>
      <c r="AH156" s="370" t="str">
        <f t="shared" si="454"/>
        <v/>
      </c>
      <c r="AI156" s="29"/>
      <c r="AJ156" s="29"/>
      <c r="AK156" s="110"/>
      <c r="AL156" s="375" t="str">
        <f>IF(OR(B156="", V156="", W156=""), "", IF(V156="No Change", K156, IF(V156="Remove Fixture", 0, IF(V156="Custom",VLOOKUP(W156,'Fixture Identities'!$A$6:$K$1023,10,FALSE),IF(AE156="", "← ENTER POST WATTS", 'Lighting Inventory'!AE156)))))</f>
        <v/>
      </c>
      <c r="AM156" s="376" t="str">
        <f t="shared" si="402"/>
        <v/>
      </c>
      <c r="AN156" s="29"/>
      <c r="AO156" s="671"/>
      <c r="AP156" s="29"/>
      <c r="AQ156" s="29"/>
      <c r="AR156" s="29"/>
      <c r="AS156" s="272" t="str">
        <f t="shared" si="455"/>
        <v/>
      </c>
      <c r="AT156" s="270" t="str">
        <f t="shared" si="403"/>
        <v/>
      </c>
      <c r="AU156" s="88" t="str">
        <f t="shared" si="503"/>
        <v/>
      </c>
      <c r="AV156" s="29"/>
      <c r="AW156" s="73"/>
      <c r="AX156" s="271" t="str">
        <f>IF(AND(AV156="Applicant",OR(AW156="", AW156="Use Default Facility Hours")),"← Choose Schedule",IF(F156="","",IF(W156="LED Exit Signs",8760,IF(OR(AV156="Prescribed",AV156=""),VLOOKUP(F156,'Lookup Tables'!$A$6:$G$59,IF(AB156="General", 6, 3),FALSE),VLOOKUP(AW156,'Lookup Tables'!$S$36:$U$43,2,FALSE)))))</f>
        <v/>
      </c>
      <c r="AY156" s="88" t="str">
        <f t="shared" si="404"/>
        <v/>
      </c>
      <c r="AZ156" s="270" t="str">
        <f>IFERROR(IF(F156="", "", IF(W156="LED Exit Signs", 1, IF(AV156="Applicant",VLOOKUP(AW156, 'Lookup Tables'!$S$36:$U$43,3, FALSE), VLOOKUP('Lighting Inventory'!F156, 'Lookup Tables'!$A$6:$H$59, IF('Lighting Inventory'!AB156="General",7,4), FALSE)))), "")</f>
        <v/>
      </c>
      <c r="BA156" s="522" t="str">
        <f>IFERROR(IF(F156="", "", IF(W156="LED Exit Signs", 1, VLOOKUP('Lighting Inventory'!F156, 'Lookup Tables'!$A$6:$H$59, IF('Lighting Inventory'!AB156="General",8,5), FALSE))), "")</f>
        <v/>
      </c>
      <c r="BB156" s="270" t="str">
        <f>IF(G156="", "", IF(E156="Exterior", 0, IF('Lighting Inventory'!G156="Air Conditioned", VLOOKUP(H156, 'Lookup Tables'!$R$6:$T$13, 2, FALSE), VLOOKUP('Lighting Inventory'!G156, 'Lookup Tables'!$R$6:$T$13, 2, FALSE))))</f>
        <v/>
      </c>
      <c r="BC156" s="522" t="str">
        <f>IF(G156="", "", IF(E156="Exterior", 0, IF('Lighting Inventory'!G156="Air Conditioned", VLOOKUP(H156, 'Lookup Tables'!$R$6:$T$13, 3, FALSE), VLOOKUP('Lighting Inventory'!G156, 'Lookup Tables'!$R$6:$T$13, 3, FALSE))))</f>
        <v/>
      </c>
      <c r="BD156" s="270" t="str">
        <f>IF(G156="", "", IF(E156="Exterior", 0, IF('Lighting Inventory'!G156="Air Conditioned", VLOOKUP(H156, 'Lookup Tables'!$R$6:$U$13, 4, FALSE), VLOOKUP('Lighting Inventory'!G156, 'Lookup Tables'!$R$6:$U$13, 4, FALSE))))</f>
        <v/>
      </c>
      <c r="BE156" s="270" t="str">
        <f>IFERROR(IF(B156="", "",  IF(B156="New Construction", VLOOKUP(F156, 'Lookup Tables'!$A$6:$K$59, 11, FALSE),IF(OR(AN156="", AN156="Light Switch"), 0, IF(OR(M156="",M156="None",V156= "LED Exit Signs"),0,_xlfn.XLOOKUP(M156,'Lookup Tables'!$R$91:$R$101,'Lookup Tables'!$V$91:$V$101))))), "")</f>
        <v/>
      </c>
      <c r="BF156" s="270" t="str">
        <f>IF(AND(OR(AN156="Light Switch",AN156=""),B156="New Construction"), VLOOKUP(F156, 'Lookup Tables'!$A$6:$K$59, 11, FALSE),IF(AN156="","",IF(B156="","",IF(OR(AN156="None",AN156="",V156="LED Exit Signs",AN156="Exterior Controls Not Eligible"),0,_xlfn.XLOOKUP(AN156,'Lookup Tables'!$R$91:$R$101,'Lookup Tables'!$V$91:$V$101)))))</f>
        <v/>
      </c>
      <c r="BG156" s="88" t="str">
        <f t="shared" si="456"/>
        <v/>
      </c>
      <c r="BH156" s="88" t="str">
        <f t="shared" si="457"/>
        <v/>
      </c>
      <c r="BI156" s="558" t="str">
        <f t="shared" si="501"/>
        <v/>
      </c>
      <c r="BJ156" s="82" t="str">
        <f t="shared" si="458"/>
        <v/>
      </c>
      <c r="BK156" s="82" t="str">
        <f t="shared" si="459"/>
        <v/>
      </c>
      <c r="BL156" s="559" t="str">
        <f t="shared" si="460"/>
        <v/>
      </c>
      <c r="BM156" s="521" t="str">
        <f t="shared" si="405"/>
        <v/>
      </c>
      <c r="BN156" s="521" t="str">
        <f t="shared" si="406"/>
        <v/>
      </c>
      <c r="BO156" s="522" t="str">
        <f t="shared" si="407"/>
        <v/>
      </c>
      <c r="BP156" s="83" t="str">
        <f t="shared" si="461"/>
        <v/>
      </c>
      <c r="BQ156" s="84" t="str">
        <f t="shared" si="462"/>
        <v/>
      </c>
      <c r="BR156" s="184" t="str">
        <f>IFERROR(IF(B156="", "", IF(OR(VLOOKUP(J156, 'Fixture Identities'!$A$6:$L$1023, 3, FALSE)="T12 Linear Fluorescent",VLOOKUP(J156, 'Fixture Identities'!$A$6:$L$1023, 3, FALSE)="T12 U-Tube Fluorescent"), "Y", "N")), "N")</f>
        <v/>
      </c>
      <c r="BS156" s="184" t="str">
        <f t="array" ref="BS156">IFERROR(IF(OR(B156="", V156="", W156=""), "", IF(V156="Custom", "N", IF(OR(W156="Freezer Case Lighting", W156="Refrigerated Case Lighting with Doors"), BT156, IF(B156="Retrofit", INDEX('Lookup Tables'!$AH$6:$AT$102,MATCH(1,('Lookup Tables'!$AH$6:$AH$102=V156)*('Lookup Tables'!$AI$6:$AI$102=W156),FALSE),IF(VLOOKUP(J156, 'Fixture Identities'!$A$6:$B$1023, 2, FALSE)="Incandescent",12, 13)), INDEX('Lookup Tables'!$AH$114:$AS$154,MATCH(1,('Lookup Tables'!$AH$114:$AH$154=V156)*('Lookup Tables'!$AI$114:$AI$154=W156),FALSE),12))))), "N")</f>
        <v/>
      </c>
      <c r="BT156" s="184" t="str">
        <f>IF(J156="", "", IF(AND(OR(W156="Freezer case Lighting", W156="Refrigerated Case Lighting with Doors"),'General Information'!$X$18="LCI"), "N", IF(OR(VLOOKUP(J156, 'Fixture Identities'!$A$6:$B$1023, 2, FALSE)="T12 EPACT/EISA Baseline", VLOOKUP(J156, 'Fixture Identities'!$A$6:$B$1023, 2, FALSE)="Linear Fluorescent", VLOOKUP(J156, 'Fixture Identities'!$A$6:$B$1023, 2, FALSE)="U-Tube Fluorescent"), "Y", "N")))</f>
        <v/>
      </c>
      <c r="BU156" s="184" t="str">
        <f>IFERROR(IF(B156="", "", IF(VLOOKUP(J156, 'Fixture Identities'!$A$6:$B$1023, 2, FALSE)="Exit Sign", "Y", "N")), "N")</f>
        <v/>
      </c>
      <c r="BV156" s="184" t="str">
        <f>IF(V156="Exit Signs", IF(VLOOKUP(J156, 'Fixture Identities'!$A$6:$B$1023, 2, FALSE)="Exit Sign", "N", "Y"), "")</f>
        <v/>
      </c>
      <c r="BW156" s="184" t="str">
        <f t="array" ref="BW156">IFERROR(IF(B156="", "", IF(B156="New Construction", "N", INDEX('Lookup Tables'!$AH$6:$AU$102, MATCH(1, ('Lookup Tables'!$AH$6:$AH$102='Lighting Inventory'!V156)*('Lookup Tables'!$AI$6:$AI$102='Lighting Inventory'!W156), 0), 14))), "N")</f>
        <v/>
      </c>
      <c r="BX156" s="598" t="str">
        <f t="shared" si="463"/>
        <v/>
      </c>
      <c r="BY156" s="598" t="str">
        <f t="shared" si="464"/>
        <v/>
      </c>
      <c r="BZ156" s="598" t="str">
        <f t="shared" si="465"/>
        <v/>
      </c>
      <c r="CA156" s="598" t="str">
        <f t="shared" si="466"/>
        <v/>
      </c>
      <c r="CB156" s="269" t="str">
        <f t="shared" si="467"/>
        <v/>
      </c>
      <c r="CC156" s="517" t="str">
        <f t="shared" si="468"/>
        <v/>
      </c>
      <c r="CD156" s="565" t="str">
        <f t="shared" si="408"/>
        <v/>
      </c>
      <c r="CE156" s="368">
        <v>0</v>
      </c>
      <c r="CF156" s="368" t="str" cm="1">
        <f t="array" ref="CF156">IFERROR(IF(V156="Custom", "$0.1 per kWh", IF(B156="New Construction", CONCATENATE("$",INDEX('Lookup Tables'!$AH$114:$AN$154,MATCH(1,('Lookup Tables'!$AH$114:$AH$154='Lighting Inventory'!V156)*('Lookup Tables'!$AI$114:$AI$154='Lighting Inventory'!W156),FALSE),6)," ",INDEX('Lookup Tables'!$AH$114:$AN$154,MATCH(1,('Lookup Tables'!$AH$114:$AH$154='Lighting Inventory'!V156)*('Lookup Tables'!$AI$114:$AI$154='Lighting Inventory'!W156),FALSE),7)), IF(AND(BU156="N", V156="Exit Signs"), "$0.025 per kWh", CONCATENATE("$",INDEX('Lookup Tables'!$AH$6:$AN$102,MATCH(1,('Lookup Tables'!$AH$6:$AH$102='Lighting Inventory'!V156)*('Lookup Tables'!$AI$6:$AI$102='Lighting Inventory'!W156),FALSE),6)," ",INDEX('Lookup Tables'!$AH$6:$AN$102,MATCH(1,('Lookup Tables'!$AH$6:$AH$102='Lighting Inventory'!V156)*('Lookup Tables'!$AI$6:$AI$102='Lighting Inventory'!W156),FALSE),7))))), "")</f>
        <v/>
      </c>
      <c r="CG156" s="366"/>
      <c r="CH156" s="248" t="str">
        <f t="shared" si="409"/>
        <v/>
      </c>
      <c r="CI156" s="248" t="str">
        <f t="shared" si="410"/>
        <v>Select_IE</v>
      </c>
      <c r="CJ156" s="248" t="str">
        <f t="shared" si="411"/>
        <v/>
      </c>
      <c r="CK156" s="248" t="str">
        <f t="shared" si="412"/>
        <v/>
      </c>
      <c r="CL156" s="248" t="str">
        <f t="shared" si="413"/>
        <v/>
      </c>
      <c r="CM156" s="248" t="str">
        <f>IFERROR(IF(B156="", "", IF(B156="New Construction", VLOOKUP(V156, 'Lookup Tables'!$AF$114:$AG$120, 2, FALSE), VLOOKUP(V156, 'Lookup Tables'!$AD$6:$AE$25, 2, FALSE))), "")</f>
        <v/>
      </c>
      <c r="CN156" s="248" t="str">
        <f t="shared" si="414"/>
        <v/>
      </c>
      <c r="CO156" s="248" t="str">
        <f t="shared" si="415"/>
        <v/>
      </c>
      <c r="CP156" s="592" t="str">
        <f t="shared" si="416"/>
        <v/>
      </c>
      <c r="CQ156" s="248" t="str">
        <f t="shared" si="469"/>
        <v/>
      </c>
      <c r="CR156" s="100"/>
      <c r="CS156" s="250" t="str">
        <f t="shared" si="417"/>
        <v/>
      </c>
      <c r="CT156" s="250" t="str">
        <f t="shared" si="470"/>
        <v/>
      </c>
      <c r="CU156" s="250" t="str">
        <f t="shared" si="471"/>
        <v/>
      </c>
      <c r="CV156" s="250" t="str">
        <f t="shared" si="472"/>
        <v/>
      </c>
      <c r="CW156" s="250" t="str">
        <f t="shared" si="473"/>
        <v/>
      </c>
      <c r="CX156" s="250" t="str">
        <f t="shared" si="418"/>
        <v/>
      </c>
      <c r="CY156" s="250" t="str">
        <f t="shared" si="419"/>
        <v/>
      </c>
      <c r="CZ156" s="250" t="str">
        <f t="shared" si="420"/>
        <v/>
      </c>
      <c r="DA156" s="250" t="str">
        <f t="shared" si="421"/>
        <v/>
      </c>
      <c r="DB156" s="250" t="str">
        <f t="shared" si="422"/>
        <v/>
      </c>
      <c r="DC156" s="250" t="str">
        <f t="shared" si="423"/>
        <v/>
      </c>
      <c r="DD156" s="250" t="str">
        <f t="shared" si="424"/>
        <v/>
      </c>
      <c r="DE156" s="250" t="str">
        <f t="shared" si="425"/>
        <v/>
      </c>
      <c r="DF156" s="250" t="str">
        <f t="shared" si="426"/>
        <v/>
      </c>
      <c r="DG156" s="250" t="str">
        <f t="shared" si="427"/>
        <v/>
      </c>
      <c r="DH156" s="250" t="str">
        <f t="shared" si="428"/>
        <v/>
      </c>
      <c r="DI156" s="250" t="str">
        <f t="shared" si="429"/>
        <v/>
      </c>
      <c r="DJ156" s="250" t="str">
        <f t="shared" si="430"/>
        <v/>
      </c>
      <c r="DK156" s="250" t="str">
        <f t="shared" si="431"/>
        <v/>
      </c>
      <c r="DL156" s="250" t="str">
        <f t="shared" si="432"/>
        <v/>
      </c>
      <c r="DM156" s="250" t="str">
        <f>IF(CD156="ERROR", "ERROR", IF(AND(OR(Y156=$DM$6, Y156='Lookup Tables'!$AD$21, Y156='Lookup Tables'!$AD$22), E156="Interior"), BJ156, ""))</f>
        <v/>
      </c>
      <c r="DN156" s="250" t="str">
        <f>IF(CD156="ERROR", "ERROR", IF(AND(OR(Y156=$DM$6, Y156='Lookup Tables'!$AD$21, Y156='Lookup Tables'!$AD$22), E156="Exterior"), BJ156, ""))</f>
        <v/>
      </c>
      <c r="DO156" s="100"/>
      <c r="DP156" s="250" t="str">
        <f t="shared" si="433"/>
        <v/>
      </c>
      <c r="DQ156" s="250" t="str">
        <f t="shared" si="474"/>
        <v/>
      </c>
      <c r="DR156" s="250" t="str">
        <f t="shared" si="475"/>
        <v/>
      </c>
      <c r="DS156" s="250" t="str">
        <f t="shared" si="476"/>
        <v/>
      </c>
      <c r="DT156" s="250" t="str">
        <f t="shared" si="477"/>
        <v/>
      </c>
      <c r="DU156" s="250" t="str">
        <f t="shared" si="434"/>
        <v/>
      </c>
      <c r="DV156" s="250" t="str">
        <f t="shared" si="435"/>
        <v/>
      </c>
      <c r="DW156" s="250" t="str">
        <f t="shared" si="436"/>
        <v/>
      </c>
      <c r="DX156" s="250" t="str">
        <f t="shared" si="437"/>
        <v/>
      </c>
      <c r="DY156" s="250" t="str">
        <f t="shared" si="438"/>
        <v/>
      </c>
      <c r="DZ156" s="250" t="str">
        <f t="shared" si="439"/>
        <v/>
      </c>
      <c r="EA156" s="250" t="str">
        <f t="shared" si="440"/>
        <v/>
      </c>
      <c r="EB156" s="250" t="str">
        <f t="shared" si="478"/>
        <v/>
      </c>
      <c r="EC156" s="250" t="str">
        <f t="shared" si="441"/>
        <v/>
      </c>
      <c r="ED156" s="250" t="str">
        <f t="shared" si="442"/>
        <v/>
      </c>
      <c r="EE156" s="250" t="str">
        <f t="shared" si="443"/>
        <v/>
      </c>
      <c r="EF156" s="250" t="str">
        <f t="shared" si="444"/>
        <v/>
      </c>
      <c r="EG156" s="250" t="str">
        <f t="shared" si="445"/>
        <v/>
      </c>
      <c r="EH156" s="250" t="str">
        <f>IF(CD156="ERROR", "ERROR", IF(AND(OR($EH$6=Y156, Y156='Lookup Tables'!$AD$21, Y156='Lookup Tables'!$AD$22),E156="Interior"), SUM(BP156:BP156), ""))</f>
        <v/>
      </c>
      <c r="EI156" s="250" t="str">
        <f>IF(CD156="ERROR", "ERROR", IF(AND(OR($EH$6=Y156, Y156='Lookup Tables'!$AD$21, Y156='Lookup Tables'!$AD$22),E156="Exterior"), SUM(BP156:BP156), ""))</f>
        <v/>
      </c>
      <c r="EJ156" s="109"/>
      <c r="EK156" s="485" t="str">
        <f t="shared" si="446"/>
        <v/>
      </c>
      <c r="EL156" s="252" t="str">
        <f t="shared" si="479"/>
        <v/>
      </c>
      <c r="EM156" s="252" t="str">
        <f t="shared" si="480"/>
        <v/>
      </c>
      <c r="EN156" s="252" t="str">
        <f t="shared" si="481"/>
        <v/>
      </c>
      <c r="EO156" s="252" t="str">
        <f t="shared" si="482"/>
        <v/>
      </c>
      <c r="EP156" s="252" t="str">
        <f t="shared" si="483"/>
        <v/>
      </c>
      <c r="EQ156" s="252" t="str">
        <f t="shared" si="484"/>
        <v/>
      </c>
      <c r="ER156" s="252" t="str">
        <f t="shared" si="485"/>
        <v/>
      </c>
      <c r="ES156" s="252" t="str">
        <f t="shared" si="486"/>
        <v/>
      </c>
      <c r="ET156" s="252" t="str">
        <f t="shared" si="487"/>
        <v/>
      </c>
      <c r="EU156" s="252" t="str">
        <f t="shared" si="488"/>
        <v/>
      </c>
      <c r="EV156" s="252" t="str">
        <f t="shared" si="489"/>
        <v/>
      </c>
      <c r="EW156" s="252" t="str">
        <f t="shared" si="490"/>
        <v/>
      </c>
      <c r="EX156" s="252" t="str">
        <f t="shared" si="491"/>
        <v/>
      </c>
      <c r="EY156" s="252" t="str">
        <f t="shared" si="492"/>
        <v/>
      </c>
      <c r="EZ156" s="252" t="str">
        <f t="shared" si="493"/>
        <v/>
      </c>
      <c r="FA156" s="252" t="str">
        <f t="shared" si="494"/>
        <v/>
      </c>
      <c r="FB156" s="252" t="str">
        <f t="shared" si="495"/>
        <v/>
      </c>
      <c r="FC156" s="252" t="str">
        <f>IF(CD156="ERROR", "ERROR", IF(OR(V156="No Change", V156="Not DLC or Energy Star"), "", IF(AND(OR($FC$6=Y156,Y156='Lookup Tables'!$AD$21, Y156='Lookup Tables'!$AD$22),E156="Interior"), S156, "")))</f>
        <v/>
      </c>
      <c r="FD156" s="252" t="str">
        <f t="shared" si="496"/>
        <v/>
      </c>
      <c r="FE156" s="101"/>
      <c r="FF156" s="579" t="str" cm="1">
        <f t="array" ref="FF156">IFERROR(IF(OR(BQ156&lt;=0,AQ156&lt;20,AND(V156="Exit Signs",AN156&gt;0)),"",IF(AND(AQ156&gt;=20,AN156='Lookup Tables'!$R$101),'Lookup Tables'!$U$101*BQ156,AP156*LOOKUP(2,1/((AN156='Lookup Tables'!$R$91:$R$111)*(AQ156&gt;='Lookup Tables'!$S$91:$S$111)*(AQ156&lt;='Lookup Tables'!$T$91:$T$111)),'Lookup Tables'!$U$91:$U$111))),"")</f>
        <v/>
      </c>
      <c r="FG156" s="579"/>
      <c r="FH156" s="579"/>
      <c r="FI156" s="253" t="str">
        <f>IFERROR(ROUND(IF(CD156="ERROR", "ERROR", IF(AND($FI$7=X156,E156="Interior"),VLOOKUP(W156, 'Lookup Tables'!$AI$6:$AM$102, 5, FALSE)*BP156, "")), 2), "")</f>
        <v/>
      </c>
      <c r="FJ156" s="253" t="str">
        <f>IFERROR(ROUND(IF(CD156="ERROR", "ERROR", IF(AND($FI$7=X156,E156="Exterior"),VLOOKUP(W156, 'Lookup Tables'!$AI$6:$AM$102, 5, FALSE)*BP156, "")), 2), "")</f>
        <v/>
      </c>
      <c r="FK156" s="253" t="str">
        <f>IFERROR(ROUND(IF(CD156="ERROR", "ERROR", IF(AND($FK$7=X156,E156="Interior"),VLOOKUP(W156, 'Lookup Tables'!$AI$6:$AM$102, 5, FALSE)*BP156, "")), 2), "")</f>
        <v/>
      </c>
      <c r="FL156" s="253" t="str">
        <f>IFERROR(ROUND(IF(CD156="ERROR", "ERROR", IF(AND($FK$7=X156,E156="Exterior"),VLOOKUP(W156, 'Lookup Tables'!$AI$6:$AM$102, 5, FALSE)*BP156, "")), 2), "")</f>
        <v/>
      </c>
      <c r="FM156" s="253" t="str">
        <f>IFERROR(ROUND(IF(CD156="ERROR", "ERROR", IF(AND($FM$6=Y156,E156="Interior"), IF(GB156=0, VLOOKUP(W156, 'Lookup Tables'!$AI$6:$AM$102, 5, FALSE)*BP156, IF(VLOOKUP(W156, 'Lookup Tables'!$AI$6:$AM$102, 5, FALSE)*BP156&gt;GB156*'Lighting Inventory'!S156, GB156*'Lighting Inventory'!S156,VLOOKUP(W156, 'Lookup Tables'!$AI$6:$AM$102, 5, FALSE)*BP156)), "")), 2), "")</f>
        <v/>
      </c>
      <c r="FN156" s="253" t="str">
        <f>IFERROR(ROUND(IF(CD156="ERROR", "ERROR", IF(AND($FM$6=Y156,E156="Exterior"), IF(GB156=0, VLOOKUP(W156, 'Lookup Tables'!$AI$6:$AM$102, 5, FALSE)*BP156, IF(VLOOKUP(W156, 'Lookup Tables'!$AI$6:$AM$102, 5, FALSE)*BP156&gt;GB156*'Lighting Inventory'!S156, GB156*'Lighting Inventory'!S156,VLOOKUP(W156, 'Lookup Tables'!$AI$6:$AM$102, 5, FALSE)*BP156)), "")), 2), "")</f>
        <v/>
      </c>
      <c r="FO156" s="253" t="str">
        <f>IFERROR(ROUND(IF(CD156="ERROR", "ERROR", IF(AND($FO$6=Y156,E156="Interior"),VLOOKUP(W156, 'Lookup Tables'!$AI$6:$AM$102, 5, FALSE)*'Lighting Inventory'!AI156, "")), 2), "")</f>
        <v/>
      </c>
      <c r="FP156" s="253" t="str">
        <f>IFERROR(ROUND(IF(CD156="ERROR", "ERROR", IF(AND($FO$6=Y156,E156="Exterior"),VLOOKUP(W156, 'Lookup Tables'!$AI$6:$AM$102, 5, FALSE)*'Lighting Inventory'!AI156, "")), 2), "")</f>
        <v/>
      </c>
      <c r="FQ156" s="253" t="str">
        <f>IFERROR(ROUND(IF(CD156="ERROR", "ERROR", IF(AND($FQ$6=Y156,E156="Interior", BU156="Y"), VLOOKUP('Lighting Inventory'!W156, 'Lookup Tables'!$AI$6:$AM$102, 5, FALSE)*'Lighting Inventory'!S156, IF(AND($FQ$7=Y156,E156="Interior", BU156="N"), 0.025*CD156, ""))), 2), "")</f>
        <v/>
      </c>
      <c r="FR156" s="253" t="str">
        <f>IFERROR(ROUND(IF(CD156="ERROR", "ERROR", IF(AND($FQ$6=Y156,E156="Exterior"), VLOOKUP('Lighting Inventory'!W156, 'Lookup Tables'!$AI$6:$AM$102, 5, FALSE)*'Lighting Inventory'!S156, "")), 2), "")</f>
        <v/>
      </c>
      <c r="FS156" s="253" t="str">
        <f>IFERROR(ROUND(IF(CD156="ERROR", "ERROR", IF(AND($FS$6=Y156,E156="Exterior"), IF(GB156=0, VLOOKUP(W156, 'Lookup Tables'!$AI$6:$AM$102, 5, FALSE)*BP156, IF(VLOOKUP(W156, 'Lookup Tables'!$AI$6:$AM$102, 5, FALSE)*BP156&gt;GB156*'Lighting Inventory'!S156, GB156*'Lighting Inventory'!S156,VLOOKUP(W156, 'Lookup Tables'!$AI$6:$AM$102, 5, FALSE)*BP156)), "")), 2), "")</f>
        <v/>
      </c>
      <c r="FT156" s="253" t="str">
        <f>IFERROR(ROUND(IF(CD156="ERROR", "ERROR", IF(AND($FT$6=Y156,E156="Interior"), IF(GB156=0, VLOOKUP(W156, 'Lookup Tables'!$AI$6:$AM$102, 5, FALSE)*BP156, IF(VLOOKUP(W156, 'Lookup Tables'!$AI$6:$AM$102, 5, FALSE)*BP156&gt;GB156*'Lighting Inventory'!S156, GB156*'Lighting Inventory'!S156,VLOOKUP(W156, 'Lookup Tables'!$AI$6:$AM$102, 5, FALSE)*BP156)), "")), 2), "")</f>
        <v/>
      </c>
      <c r="FU156" s="253" t="str">
        <f>IFERROR(ROUND(IF(CD156="ERROR", "ERROR", IF(AND(Y156=$FU$6, E156="Interior"), IF(BS156="N", 'Lookup Tables'!$AM$101*BP156, VLOOKUP(W156, 'Lookup Tables'!$AI$6:$AM$102, 5, FALSE)*S156*AD156), "")), 2), "")</f>
        <v/>
      </c>
      <c r="FV156" s="253" t="str">
        <f>IFERROR(ROUND(IF(CD156="ERROR", "ERROR", IF(AND(Y156=$FU$6, E156="Exterior"), IF(BS156="N", 'Lookup Tables'!$AM$101*BP156, VLOOKUP(W156, 'Lookup Tables'!$AI$6:$AM$102, 5, FALSE)*S156*AD156), "")), 2), "")</f>
        <v/>
      </c>
      <c r="FW156" s="253" t="str">
        <f>IFERROR(ROUND(IF(CD156="ERROR", "ERROR", IF($FW$6=Y156, IF(BS156="N", 'Lookup Tables'!$AM$101*BP156, MIN((VLOOKUP(W156, 'Lookup Tables'!$AI$6:$AM$102, 5, FALSE)*BP156),GB156*AJ156)), "")), 2), "")</f>
        <v/>
      </c>
      <c r="FX156" s="253" t="str">
        <f>IFERROR(ROUND(IF(CD156="ERROR", "ERROR", IF(AND($FX$6=Y156, E156="Interior"), IF(VLOOKUP(W156, 'Lookup Tables'!$AI$6:$AM$102, 5, FALSE)*BP156&gt;'Lookup Tables'!$AQ$97*'Lighting Inventory'!S156,'Lighting Inventory'!S156*'Lookup Tables'!$AQ$97,VLOOKUP(W156, 'Lookup Tables'!$AI$6:$AM$102, 5, FALSE)*BP156), "")), 2), "")</f>
        <v/>
      </c>
      <c r="FY156" s="253" t="str">
        <f>IFERROR(ROUND(IF(CD156="ERROR", "ERROR", IF(AND($FX$6=Y156, E156="Exterior"), IF(VLOOKUP(W156, 'Lookup Tables'!$AI$6:$AM$102, 5, FALSE)*BP156&gt;'Lookup Tables'!$AQ$97*'Lighting Inventory'!S156,'Lighting Inventory'!S156*'Lookup Tables'!$AQ$97,VLOOKUP(W156, 'Lookup Tables'!$AI$6:$AM$102, 5, FALSE)*BP156), "")), 2), "")</f>
        <v/>
      </c>
      <c r="FZ156" s="253" t="str">
        <f>IFERROR(ROUND(IF(CD156="ERROR", "ERROR", IF(AND($FZ$6=Y156, E156="Interior"), IF(AND(OR(W156="Refrigerated Case Lighting with Doors", W156="Freezer Case Lighting"),Y156="Custom - Process Improvement"),CD156*'Lookup Tables'!$AM$101, IF(B156="Retrofit", IF(VLOOKUP(IF(V156="Custom", V156, W156), 'Lookup Tables'!$AI$6:$AM$102, 5, FALSE)*BP156&gt;GE156, GE156, VLOOKUP(IF(V156="Custom", V156, W156), 'Lookup Tables'!$AI$6:$AM$102, 5, FALSE)*BP156), IF(VLOOKUP(IF(V156="Custom", V156, W156), 'Lookup Tables'!$AI$114:$AM$154, 5, FALSE)*BP156&gt;GE156, GE156, VLOOKUP(IF(V156="Custom", V156, W156), 'Lookup Tables'!$AI$114:$AM$154, 5, FALSE)*BP156))), "")), 2),"")</f>
        <v/>
      </c>
      <c r="GA156" s="253" t="str">
        <f>IFERROR(ROUND(IF(CD156="ERROR", "ERROR", IF(AND($FZ$6=Y156, E156="Exterior"), IF(B156="Retrofit", IF(VLOOKUP(IF(V156="Custom", V156, W156), 'Lookup Tables'!$AI$6:$AM$102, 5, FALSE)*BP156&gt;GE156, GE156, VLOOKUP(IF(V156="Custom", V156, W156), 'Lookup Tables'!$AI$6:$AM$102, 5, FALSE)*BP156), IF(VLOOKUP(IF(V156="Custom", V156, W156), 'Lookup Tables'!$AI$114:$AM$154, 5, FALSE)*BP156&gt;GE156, GE156, VLOOKUP(IF(V156="Custom", V156, W156), 'Lookup Tables'!$AI$114:$AM$154, 5, FALSE)*BP156)), "")), 2),"")</f>
        <v/>
      </c>
      <c r="GB156" s="254" t="str">
        <f t="array" ref="GB156">IF(B156="","",IF(OR(V156="Custom",V156="No Change"),0,IF(B156="Retrofit", INDEX('Lookup Tables'!$AH$6:$AQ$102,MATCH(1,('Lookup Tables'!$AH$6:$AH$102='Lighting Inventory'!V156)*('Lookup Tables'!$AI$6:$AI$102='Lighting Inventory'!W156),FALSE),10),INDEX('Lookup Tables'!$AH$114:$AQ$154,MATCH(1,('Lookup Tables'!$AH$114:$AH$154='Lighting Inventory'!V156)*('Lookup Tables'!$AI$114:$AI$154='Lighting Inventory'!W156),FALSE),10))))</f>
        <v/>
      </c>
      <c r="GC156" s="255" t="str">
        <f t="shared" si="447"/>
        <v/>
      </c>
      <c r="GD156" s="250" t="str">
        <f t="shared" si="448"/>
        <v/>
      </c>
      <c r="GE156" s="253" t="str">
        <f>IFERROR(IF(AND(AF156="", 'General Information'!$F$18="No"),"", IF(AF156="", ((GD156/$CD$266)*$CF$266)*0.5, AF156*S156*0.5)), "")</f>
        <v/>
      </c>
      <c r="GF156" s="255" t="str">
        <f>IF(AND('General Information'!$F$19="", 'General Information'!$F$18="Yes",AF156="",BW156="Y"), "Y", "N")</f>
        <v>N</v>
      </c>
      <c r="GG156" s="255" t="s">
        <v>2946</v>
      </c>
      <c r="GH156" s="255" t="str">
        <f>IFERROR(IF(B156="", "", VLOOKUP(J156, 'Fixture Identities'!$A$6:$N$908, 14, FALSE)), "")</f>
        <v/>
      </c>
      <c r="GI156" s="389" t="str">
        <f>IF(OR(B156="", V156="", W156=""), "", IF(AND(OR(M156='Lookup Tables'!$R$18, M156='Lookup Tables'!$R$19, M156='Lookup Tables'!$R$20, M156='Lookup Tables'!$R$21, M156='Lookup Tables'!$R$22), OR(AN156='Lookup Tables'!$R$17, AN156='Lookup Tables'!$R$17, AN156="")), "Y", "N"))</f>
        <v/>
      </c>
      <c r="GJ156" s="255" t="str">
        <f t="shared" si="449"/>
        <v/>
      </c>
      <c r="GK156" s="255" t="str">
        <f t="shared" si="450"/>
        <v/>
      </c>
      <c r="GL156" s="255" t="str">
        <f t="shared" si="451"/>
        <v/>
      </c>
      <c r="GM156" s="255" t="str">
        <f>IF(AN156="", "", IF(AND(IF(ISNA(VLOOKUP(AN156,'Lookup Tables'!$R$18:$R$22,1,FALSE)), "N", "Y")="Y", E156="Exterior"), "Y", "N"))</f>
        <v/>
      </c>
      <c r="GN156" s="395"/>
      <c r="GO156" s="428">
        <f t="shared" si="497"/>
        <v>0</v>
      </c>
      <c r="GP156" s="428">
        <f t="shared" si="500"/>
        <v>0</v>
      </c>
      <c r="GQ156" s="428">
        <f t="shared" si="498"/>
        <v>0</v>
      </c>
      <c r="GR156" s="428">
        <f t="shared" si="499"/>
        <v>0</v>
      </c>
    </row>
    <row r="157" spans="1:200" s="103" customFormat="1" ht="13.5" customHeight="1" x14ac:dyDescent="0.2">
      <c r="A157" s="272">
        <v>147</v>
      </c>
      <c r="B157" s="110"/>
      <c r="C157" s="110"/>
      <c r="D157" s="110"/>
      <c r="E157" s="110"/>
      <c r="F157" s="110"/>
      <c r="G157" s="110"/>
      <c r="H157" s="110"/>
      <c r="I157" s="29"/>
      <c r="J157" s="29"/>
      <c r="K157" s="272" t="str">
        <f>IFERROR(IF(OR(VLOOKUP(J157, 'Fixture Identities'!$A$6:$L$1023, 3, FALSE)="T12 Linear Fluorescent", VLOOKUP(J157, 'Fixture Identities'!$A$6:$L$1023, 3, FALSE)="T12 U-Tube Fluorescent"), VLOOKUP(VLOOKUP(J157, 'Fixture Identities'!$A$6:$L$1023, 11, FALSE), 'Fixture Identities'!$A$6:$L$1023, 10, FALSE), VLOOKUP(J157, 'Fixture Identities'!$A$6:$L$1023, 10, FALSE)), "")</f>
        <v/>
      </c>
      <c r="L157" s="270" t="str">
        <f t="shared" si="502"/>
        <v/>
      </c>
      <c r="M157" s="110"/>
      <c r="N157" s="110"/>
      <c r="O157" s="110"/>
      <c r="P157" s="272" t="str">
        <f>IFERROR(IF(OR(B157="Retrofit",B157=""),"",IF('Lighting Inventory'!E157="Exterior",VLOOKUP('Lighting Inventory'!N157,'Lookup Tables'!$B$83:$F$103,5,FALSE),IF(N157="Other - Please Estimate EFLH and CFs","Contact Prog. Rep.","ft^2"))), "")</f>
        <v/>
      </c>
      <c r="Q157" s="270" t="str">
        <f>IFERROR(IF(AND(B157="New Construction",E157="Interior",$F$5="Space-by-Space"),VLOOKUP('Lighting Inventory'!N157,'Lookup Tables'!$N$6:$O$97,2,FALSE),IF(AND(B157="New Construction",E157="Exterior"),VLOOKUP(N157,'Lookup Tables'!$B$83:$F$103,2,FALSE),IF(AND(B157="New Construction",'Lighting Inventory'!E157="Interior", $F$5="Building Area"),VLOOKUP(F157,'Lookup Tables'!$A$6:$J$59,10,FALSE),""))), "")</f>
        <v/>
      </c>
      <c r="R157" s="270" t="str">
        <f>IFERROR(IF(P157="Contact Prog. Rep.", "ERROR", IF(OR(B157="",B157="Retrofit"),"",IF(N157="Automated teller machines", ('Lookup Tables'!$A$82:$E$100+('Lighting Inventory'!O157-1)*'Lookup Tables'!$A$82:$E$100)/1000, (Q157*O157)/1000))), "")</f>
        <v/>
      </c>
      <c r="S157" s="595"/>
      <c r="T157" s="105" t="str">
        <f t="shared" si="452"/>
        <v/>
      </c>
      <c r="U157" s="105" t="str">
        <f>IF(S157="","",COUNT($S$11:S157))</f>
        <v/>
      </c>
      <c r="V157" s="111"/>
      <c r="W157" s="112"/>
      <c r="X157" s="105" t="str">
        <f t="shared" si="453"/>
        <v/>
      </c>
      <c r="Y157" s="105" t="str">
        <f t="array" ref="Y157">IF(AND(OR(W157="Freezer Case Lighting", W157="Refrigerated Case Lighting with Doors"), 'General Information'!$X$18="LCI"),'Lookup Tables'!$Y$34, IF(V157="Custom", VLOOKUP(W157, 'Fixture Identities'!$A$974:$M$1023, 13, FALSE), IF(V157="No Change",'Lookup Tables'!$Y$29,IF(OR(V157="",W157=""),"",IF(AND(S157=0,S157&lt;I157,B157="Retrofit"),'Lookup Tables'!$Y$25, IF(B157="Retrofit", INDEX('Lookup Tables'!$AH$6:$AP$102, MATCH(1, ('Lookup Tables'!$AH$6:$AH$102=V157)*('Lookup Tables'!$AI$6:$AI$102=W157), 0), IF('Lighting Inventory'!E157="Interior", 4, 5)), INDEX('Lookup Tables'!$AH$114:$AP$154, MATCH(1, ('Lookup Tables'!$AH$114:$AH$154=V157)*('Lookup Tables'!$AI$114:$AI$154=W157), 0), IF('Lighting Inventory'!E157="Interior", 4, 5))))))))</f>
        <v/>
      </c>
      <c r="Z157" s="105" t="str">
        <f>IFERROR(INDEX('Lookup Tables'!$AH$158:$AH$172,MATCH('Lighting Inventory'!Y157,'Lookup Tables'!$AI$158:$AI$172,0)),"")</f>
        <v/>
      </c>
      <c r="AA157" s="105" t="str">
        <f>IF(AP157&gt;0,INDEX('Lookup Tables'!$AK$158:$AK$172,MATCH('Lighting Inventory'!Y157,'Lookup Tables'!$AI$158:$AI$172,0)),'Lighting Inventory'!Y157)</f>
        <v/>
      </c>
      <c r="AB157" s="105" t="str">
        <f t="array" ref="AB157">IF(V157="Custom", "Custom", IF(V157="", "", IF(V157="Not DLC or Energy Star", "General", IF(B157="New Construction", INDEX('Lookup Tables'!$AH$114:$AP$154,MATCH(1,('Lookup Tables'!$AH$114:$AH$154='Lighting Inventory'!V157)*('Lookup Tables'!$AI$114:$AI$154='Lighting Inventory'!W157),FALSE),8), INDEX('Lookup Tables'!$AH$6:$AP$102,MATCH(1,('Lookup Tables'!$AH$6:$AH$102='Lighting Inventory'!V157)*('Lookup Tables'!$AI$6:$AI$102='Lighting Inventory'!W157),FALSE),8)))))</f>
        <v/>
      </c>
      <c r="AC157" s="272" t="str">
        <f>IF(W157="","",IF(V157="Custom",CONCATENATE("$",'Lookup Tables'!$AM$101," ",'Lookup Tables'!$AN$101),CONCATENATE("$",INDEX('Lookup Tables'!$AM$6:$AM$102,MATCH('Lighting Inventory'!W157,'Lookup Tables'!$AI$6:$AI$102,0))," ",INDEX('Lookup Tables'!$AN$6:$AN$102,MATCH('Lighting Inventory'!W157,'Lookup Tables'!$AI$6:$AI$102,0)))))</f>
        <v/>
      </c>
      <c r="AD157" s="72"/>
      <c r="AE157" s="29"/>
      <c r="AF157" s="379"/>
      <c r="AG157" s="370" t="str">
        <f t="shared" si="401"/>
        <v/>
      </c>
      <c r="AH157" s="370" t="str">
        <f t="shared" si="454"/>
        <v/>
      </c>
      <c r="AI157" s="29"/>
      <c r="AJ157" s="29"/>
      <c r="AK157" s="110"/>
      <c r="AL157" s="375" t="str">
        <f>IF(OR(B157="", V157="", W157=""), "", IF(V157="No Change", K157, IF(V157="Remove Fixture", 0, IF(V157="Custom",VLOOKUP(W157,'Fixture Identities'!$A$6:$K$1023,10,FALSE),IF(AE157="", "← ENTER POST WATTS", 'Lighting Inventory'!AE157)))))</f>
        <v/>
      </c>
      <c r="AM157" s="376" t="str">
        <f t="shared" si="402"/>
        <v/>
      </c>
      <c r="AN157" s="29"/>
      <c r="AO157" s="671"/>
      <c r="AP157" s="29"/>
      <c r="AQ157" s="29"/>
      <c r="AR157" s="29"/>
      <c r="AS157" s="272" t="str">
        <f t="shared" si="455"/>
        <v/>
      </c>
      <c r="AT157" s="270" t="str">
        <f t="shared" si="403"/>
        <v/>
      </c>
      <c r="AU157" s="88" t="str">
        <f t="shared" si="503"/>
        <v/>
      </c>
      <c r="AV157" s="29"/>
      <c r="AW157" s="73"/>
      <c r="AX157" s="271" t="str">
        <f>IF(AND(AV157="Applicant",OR(AW157="", AW157="Use Default Facility Hours")),"← Choose Schedule",IF(F157="","",IF(W157="LED Exit Signs",8760,IF(OR(AV157="Prescribed",AV157=""),VLOOKUP(F157,'Lookup Tables'!$A$6:$G$59,IF(AB157="General", 6, 3),FALSE),VLOOKUP(AW157,'Lookup Tables'!$S$36:$U$43,2,FALSE)))))</f>
        <v/>
      </c>
      <c r="AY157" s="88" t="str">
        <f t="shared" si="404"/>
        <v/>
      </c>
      <c r="AZ157" s="270" t="str">
        <f>IFERROR(IF(F157="", "", IF(W157="LED Exit Signs", 1, IF(AV157="Applicant",VLOOKUP(AW157, 'Lookup Tables'!$S$36:$U$43,3, FALSE), VLOOKUP('Lighting Inventory'!F157, 'Lookup Tables'!$A$6:$H$59, IF('Lighting Inventory'!AB157="General",7,4), FALSE)))), "")</f>
        <v/>
      </c>
      <c r="BA157" s="522" t="str">
        <f>IFERROR(IF(F157="", "", IF(W157="LED Exit Signs", 1, VLOOKUP('Lighting Inventory'!F157, 'Lookup Tables'!$A$6:$H$59, IF('Lighting Inventory'!AB157="General",8,5), FALSE))), "")</f>
        <v/>
      </c>
      <c r="BB157" s="270" t="str">
        <f>IF(G157="", "", IF(E157="Exterior", 0, IF('Lighting Inventory'!G157="Air Conditioned", VLOOKUP(H157, 'Lookup Tables'!$R$6:$T$13, 2, FALSE), VLOOKUP('Lighting Inventory'!G157, 'Lookup Tables'!$R$6:$T$13, 2, FALSE))))</f>
        <v/>
      </c>
      <c r="BC157" s="522" t="str">
        <f>IF(G157="", "", IF(E157="Exterior", 0, IF('Lighting Inventory'!G157="Air Conditioned", VLOOKUP(H157, 'Lookup Tables'!$R$6:$T$13, 3, FALSE), VLOOKUP('Lighting Inventory'!G157, 'Lookup Tables'!$R$6:$T$13, 3, FALSE))))</f>
        <v/>
      </c>
      <c r="BD157" s="270" t="str">
        <f>IF(G157="", "", IF(E157="Exterior", 0, IF('Lighting Inventory'!G157="Air Conditioned", VLOOKUP(H157, 'Lookup Tables'!$R$6:$U$13, 4, FALSE), VLOOKUP('Lighting Inventory'!G157, 'Lookup Tables'!$R$6:$U$13, 4, FALSE))))</f>
        <v/>
      </c>
      <c r="BE157" s="270" t="str">
        <f>IFERROR(IF(B157="", "",  IF(B157="New Construction", VLOOKUP(F157, 'Lookup Tables'!$A$6:$K$59, 11, FALSE),IF(OR(AN157="", AN157="Light Switch"), 0, IF(OR(M157="",M157="None",V157= "LED Exit Signs"),0,_xlfn.XLOOKUP(M157,'Lookup Tables'!$R$91:$R$101,'Lookup Tables'!$V$91:$V$101))))), "")</f>
        <v/>
      </c>
      <c r="BF157" s="270" t="str">
        <f>IF(AND(OR(AN157="Light Switch",AN157=""),B157="New Construction"), VLOOKUP(F157, 'Lookup Tables'!$A$6:$K$59, 11, FALSE),IF(AN157="","",IF(B157="","",IF(OR(AN157="None",AN157="",V157="LED Exit Signs",AN157="Exterior Controls Not Eligible"),0,_xlfn.XLOOKUP(AN157,'Lookup Tables'!$R$91:$R$101,'Lookup Tables'!$V$91:$V$101)))))</f>
        <v/>
      </c>
      <c r="BG157" s="88" t="str">
        <f t="shared" si="456"/>
        <v/>
      </c>
      <c r="BH157" s="88" t="str">
        <f t="shared" si="457"/>
        <v/>
      </c>
      <c r="BI157" s="558" t="str">
        <f t="shared" si="501"/>
        <v/>
      </c>
      <c r="BJ157" s="82" t="str">
        <f t="shared" si="458"/>
        <v/>
      </c>
      <c r="BK157" s="82" t="str">
        <f t="shared" si="459"/>
        <v/>
      </c>
      <c r="BL157" s="559" t="str">
        <f t="shared" si="460"/>
        <v/>
      </c>
      <c r="BM157" s="521" t="str">
        <f t="shared" si="405"/>
        <v/>
      </c>
      <c r="BN157" s="521" t="str">
        <f t="shared" si="406"/>
        <v/>
      </c>
      <c r="BO157" s="522" t="str">
        <f t="shared" si="407"/>
        <v/>
      </c>
      <c r="BP157" s="83" t="str">
        <f t="shared" si="461"/>
        <v/>
      </c>
      <c r="BQ157" s="84" t="str">
        <f t="shared" si="462"/>
        <v/>
      </c>
      <c r="BR157" s="184" t="str">
        <f>IFERROR(IF(B157="", "", IF(OR(VLOOKUP(J157, 'Fixture Identities'!$A$6:$L$1023, 3, FALSE)="T12 Linear Fluorescent",VLOOKUP(J157, 'Fixture Identities'!$A$6:$L$1023, 3, FALSE)="T12 U-Tube Fluorescent"), "Y", "N")), "N")</f>
        <v/>
      </c>
      <c r="BS157" s="184" t="str">
        <f t="array" ref="BS157">IFERROR(IF(OR(B157="", V157="", W157=""), "", IF(V157="Custom", "N", IF(OR(W157="Freezer Case Lighting", W157="Refrigerated Case Lighting with Doors"), BT157, IF(B157="Retrofit", INDEX('Lookup Tables'!$AH$6:$AT$102,MATCH(1,('Lookup Tables'!$AH$6:$AH$102=V157)*('Lookup Tables'!$AI$6:$AI$102=W157),FALSE),IF(VLOOKUP(J157, 'Fixture Identities'!$A$6:$B$1023, 2, FALSE)="Incandescent",12, 13)), INDEX('Lookup Tables'!$AH$114:$AS$154,MATCH(1,('Lookup Tables'!$AH$114:$AH$154=V157)*('Lookup Tables'!$AI$114:$AI$154=W157),FALSE),12))))), "N")</f>
        <v/>
      </c>
      <c r="BT157" s="184" t="str">
        <f>IF(J157="", "", IF(AND(OR(W157="Freezer case Lighting", W157="Refrigerated Case Lighting with Doors"),'General Information'!$X$18="LCI"), "N", IF(OR(VLOOKUP(J157, 'Fixture Identities'!$A$6:$B$1023, 2, FALSE)="T12 EPACT/EISA Baseline", VLOOKUP(J157, 'Fixture Identities'!$A$6:$B$1023, 2, FALSE)="Linear Fluorescent", VLOOKUP(J157, 'Fixture Identities'!$A$6:$B$1023, 2, FALSE)="U-Tube Fluorescent"), "Y", "N")))</f>
        <v/>
      </c>
      <c r="BU157" s="184" t="str">
        <f>IFERROR(IF(B157="", "", IF(VLOOKUP(J157, 'Fixture Identities'!$A$6:$B$1023, 2, FALSE)="Exit Sign", "Y", "N")), "N")</f>
        <v/>
      </c>
      <c r="BV157" s="184" t="str">
        <f>IF(V157="Exit Signs", IF(VLOOKUP(J157, 'Fixture Identities'!$A$6:$B$1023, 2, FALSE)="Exit Sign", "N", "Y"), "")</f>
        <v/>
      </c>
      <c r="BW157" s="184" t="str">
        <f t="array" ref="BW157">IFERROR(IF(B157="", "", IF(B157="New Construction", "N", INDEX('Lookup Tables'!$AH$6:$AU$102, MATCH(1, ('Lookup Tables'!$AH$6:$AH$102='Lighting Inventory'!V157)*('Lookup Tables'!$AI$6:$AI$102='Lighting Inventory'!W157), 0), 14))), "N")</f>
        <v/>
      </c>
      <c r="BX157" s="598" t="str">
        <f t="shared" si="463"/>
        <v/>
      </c>
      <c r="BY157" s="598" t="str">
        <f t="shared" si="464"/>
        <v/>
      </c>
      <c r="BZ157" s="598" t="str">
        <f t="shared" si="465"/>
        <v/>
      </c>
      <c r="CA157" s="598" t="str">
        <f t="shared" si="466"/>
        <v/>
      </c>
      <c r="CB157" s="269" t="str">
        <f t="shared" si="467"/>
        <v/>
      </c>
      <c r="CC157" s="517" t="str">
        <f t="shared" si="468"/>
        <v/>
      </c>
      <c r="CD157" s="565" t="str">
        <f t="shared" si="408"/>
        <v/>
      </c>
      <c r="CE157" s="368">
        <v>0</v>
      </c>
      <c r="CF157" s="368" t="str" cm="1">
        <f t="array" ref="CF157">IFERROR(IF(V157="Custom", "$0.1 per kWh", IF(B157="New Construction", CONCATENATE("$",INDEX('Lookup Tables'!$AH$114:$AN$154,MATCH(1,('Lookup Tables'!$AH$114:$AH$154='Lighting Inventory'!V157)*('Lookup Tables'!$AI$114:$AI$154='Lighting Inventory'!W157),FALSE),6)," ",INDEX('Lookup Tables'!$AH$114:$AN$154,MATCH(1,('Lookup Tables'!$AH$114:$AH$154='Lighting Inventory'!V157)*('Lookup Tables'!$AI$114:$AI$154='Lighting Inventory'!W157),FALSE),7)), IF(AND(BU157="N", V157="Exit Signs"), "$0.025 per kWh", CONCATENATE("$",INDEX('Lookup Tables'!$AH$6:$AN$102,MATCH(1,('Lookup Tables'!$AH$6:$AH$102='Lighting Inventory'!V157)*('Lookup Tables'!$AI$6:$AI$102='Lighting Inventory'!W157),FALSE),6)," ",INDEX('Lookup Tables'!$AH$6:$AN$102,MATCH(1,('Lookup Tables'!$AH$6:$AH$102='Lighting Inventory'!V157)*('Lookup Tables'!$AI$6:$AI$102='Lighting Inventory'!W157),FALSE),7))))), "")</f>
        <v/>
      </c>
      <c r="CG157" s="366"/>
      <c r="CH157" s="248" t="str">
        <f t="shared" si="409"/>
        <v/>
      </c>
      <c r="CI157" s="248" t="str">
        <f t="shared" si="410"/>
        <v>Select_IE</v>
      </c>
      <c r="CJ157" s="248" t="str">
        <f t="shared" si="411"/>
        <v/>
      </c>
      <c r="CK157" s="248" t="str">
        <f t="shared" si="412"/>
        <v/>
      </c>
      <c r="CL157" s="248" t="str">
        <f t="shared" si="413"/>
        <v/>
      </c>
      <c r="CM157" s="248" t="str">
        <f>IFERROR(IF(B157="", "", IF(B157="New Construction", VLOOKUP(V157, 'Lookup Tables'!$AF$114:$AG$120, 2, FALSE), VLOOKUP(V157, 'Lookup Tables'!$AD$6:$AE$25, 2, FALSE))), "")</f>
        <v/>
      </c>
      <c r="CN157" s="248" t="str">
        <f t="shared" si="414"/>
        <v/>
      </c>
      <c r="CO157" s="248" t="str">
        <f t="shared" si="415"/>
        <v/>
      </c>
      <c r="CP157" s="592" t="str">
        <f t="shared" si="416"/>
        <v/>
      </c>
      <c r="CQ157" s="248" t="str">
        <f t="shared" si="469"/>
        <v/>
      </c>
      <c r="CR157" s="100"/>
      <c r="CS157" s="250" t="str">
        <f t="shared" si="417"/>
        <v/>
      </c>
      <c r="CT157" s="250" t="str">
        <f t="shared" si="470"/>
        <v/>
      </c>
      <c r="CU157" s="250" t="str">
        <f t="shared" si="471"/>
        <v/>
      </c>
      <c r="CV157" s="250" t="str">
        <f t="shared" si="472"/>
        <v/>
      </c>
      <c r="CW157" s="250" t="str">
        <f t="shared" si="473"/>
        <v/>
      </c>
      <c r="CX157" s="250" t="str">
        <f t="shared" si="418"/>
        <v/>
      </c>
      <c r="CY157" s="250" t="str">
        <f t="shared" si="419"/>
        <v/>
      </c>
      <c r="CZ157" s="250" t="str">
        <f t="shared" si="420"/>
        <v/>
      </c>
      <c r="DA157" s="250" t="str">
        <f t="shared" si="421"/>
        <v/>
      </c>
      <c r="DB157" s="250" t="str">
        <f t="shared" si="422"/>
        <v/>
      </c>
      <c r="DC157" s="250" t="str">
        <f t="shared" si="423"/>
        <v/>
      </c>
      <c r="DD157" s="250" t="str">
        <f t="shared" si="424"/>
        <v/>
      </c>
      <c r="DE157" s="250" t="str">
        <f t="shared" si="425"/>
        <v/>
      </c>
      <c r="DF157" s="250" t="str">
        <f t="shared" si="426"/>
        <v/>
      </c>
      <c r="DG157" s="250" t="str">
        <f t="shared" si="427"/>
        <v/>
      </c>
      <c r="DH157" s="250" t="str">
        <f t="shared" si="428"/>
        <v/>
      </c>
      <c r="DI157" s="250" t="str">
        <f t="shared" si="429"/>
        <v/>
      </c>
      <c r="DJ157" s="250" t="str">
        <f t="shared" si="430"/>
        <v/>
      </c>
      <c r="DK157" s="250" t="str">
        <f t="shared" si="431"/>
        <v/>
      </c>
      <c r="DL157" s="250" t="str">
        <f t="shared" si="432"/>
        <v/>
      </c>
      <c r="DM157" s="250" t="str">
        <f>IF(CD157="ERROR", "ERROR", IF(AND(OR(Y157=$DM$6, Y157='Lookup Tables'!$AD$21, Y157='Lookup Tables'!$AD$22), E157="Interior"), BJ157, ""))</f>
        <v/>
      </c>
      <c r="DN157" s="250" t="str">
        <f>IF(CD157="ERROR", "ERROR", IF(AND(OR(Y157=$DM$6, Y157='Lookup Tables'!$AD$21, Y157='Lookup Tables'!$AD$22), E157="Exterior"), BJ157, ""))</f>
        <v/>
      </c>
      <c r="DO157" s="100"/>
      <c r="DP157" s="250" t="str">
        <f t="shared" si="433"/>
        <v/>
      </c>
      <c r="DQ157" s="250" t="str">
        <f t="shared" si="474"/>
        <v/>
      </c>
      <c r="DR157" s="250" t="str">
        <f t="shared" si="475"/>
        <v/>
      </c>
      <c r="DS157" s="250" t="str">
        <f t="shared" si="476"/>
        <v/>
      </c>
      <c r="DT157" s="250" t="str">
        <f t="shared" si="477"/>
        <v/>
      </c>
      <c r="DU157" s="250" t="str">
        <f t="shared" si="434"/>
        <v/>
      </c>
      <c r="DV157" s="250" t="str">
        <f t="shared" si="435"/>
        <v/>
      </c>
      <c r="DW157" s="250" t="str">
        <f t="shared" si="436"/>
        <v/>
      </c>
      <c r="DX157" s="250" t="str">
        <f t="shared" si="437"/>
        <v/>
      </c>
      <c r="DY157" s="250" t="str">
        <f t="shared" si="438"/>
        <v/>
      </c>
      <c r="DZ157" s="250" t="str">
        <f t="shared" si="439"/>
        <v/>
      </c>
      <c r="EA157" s="250" t="str">
        <f t="shared" si="440"/>
        <v/>
      </c>
      <c r="EB157" s="250" t="str">
        <f t="shared" si="478"/>
        <v/>
      </c>
      <c r="EC157" s="250" t="str">
        <f t="shared" si="441"/>
        <v/>
      </c>
      <c r="ED157" s="250" t="str">
        <f t="shared" si="442"/>
        <v/>
      </c>
      <c r="EE157" s="250" t="str">
        <f t="shared" si="443"/>
        <v/>
      </c>
      <c r="EF157" s="250" t="str">
        <f t="shared" si="444"/>
        <v/>
      </c>
      <c r="EG157" s="250" t="str">
        <f t="shared" si="445"/>
        <v/>
      </c>
      <c r="EH157" s="250" t="str">
        <f>IF(CD157="ERROR", "ERROR", IF(AND(OR($EH$6=Y157, Y157='Lookup Tables'!$AD$21, Y157='Lookup Tables'!$AD$22),E157="Interior"), SUM(BP157:BP157), ""))</f>
        <v/>
      </c>
      <c r="EI157" s="250" t="str">
        <f>IF(CD157="ERROR", "ERROR", IF(AND(OR($EH$6=Y157, Y157='Lookup Tables'!$AD$21, Y157='Lookup Tables'!$AD$22),E157="Exterior"), SUM(BP157:BP157), ""))</f>
        <v/>
      </c>
      <c r="EJ157" s="109"/>
      <c r="EK157" s="485" t="str">
        <f t="shared" si="446"/>
        <v/>
      </c>
      <c r="EL157" s="252" t="str">
        <f t="shared" si="479"/>
        <v/>
      </c>
      <c r="EM157" s="252" t="str">
        <f t="shared" si="480"/>
        <v/>
      </c>
      <c r="EN157" s="252" t="str">
        <f t="shared" si="481"/>
        <v/>
      </c>
      <c r="EO157" s="252" t="str">
        <f t="shared" si="482"/>
        <v/>
      </c>
      <c r="EP157" s="252" t="str">
        <f t="shared" si="483"/>
        <v/>
      </c>
      <c r="EQ157" s="252" t="str">
        <f t="shared" si="484"/>
        <v/>
      </c>
      <c r="ER157" s="252" t="str">
        <f t="shared" si="485"/>
        <v/>
      </c>
      <c r="ES157" s="252" t="str">
        <f t="shared" si="486"/>
        <v/>
      </c>
      <c r="ET157" s="252" t="str">
        <f t="shared" si="487"/>
        <v/>
      </c>
      <c r="EU157" s="252" t="str">
        <f t="shared" si="488"/>
        <v/>
      </c>
      <c r="EV157" s="252" t="str">
        <f t="shared" si="489"/>
        <v/>
      </c>
      <c r="EW157" s="252" t="str">
        <f t="shared" si="490"/>
        <v/>
      </c>
      <c r="EX157" s="252" t="str">
        <f t="shared" si="491"/>
        <v/>
      </c>
      <c r="EY157" s="252" t="str">
        <f t="shared" si="492"/>
        <v/>
      </c>
      <c r="EZ157" s="252" t="str">
        <f t="shared" si="493"/>
        <v/>
      </c>
      <c r="FA157" s="252" t="str">
        <f t="shared" si="494"/>
        <v/>
      </c>
      <c r="FB157" s="252" t="str">
        <f t="shared" si="495"/>
        <v/>
      </c>
      <c r="FC157" s="252" t="str">
        <f>IF(CD157="ERROR", "ERROR", IF(OR(V157="No Change", V157="Not DLC or Energy Star"), "", IF(AND(OR($FC$6=Y157,Y157='Lookup Tables'!$AD$21, Y157='Lookup Tables'!$AD$22),E157="Interior"), S157, "")))</f>
        <v/>
      </c>
      <c r="FD157" s="252" t="str">
        <f t="shared" si="496"/>
        <v/>
      </c>
      <c r="FE157" s="101"/>
      <c r="FF157" s="579" t="str" cm="1">
        <f t="array" ref="FF157">IFERROR(IF(OR(BQ157&lt;=0,AQ157&lt;20,AND(V157="Exit Signs",AN157&gt;0)),"",IF(AND(AQ157&gt;=20,AN157='Lookup Tables'!$R$101),'Lookup Tables'!$U$101*BQ157,AP157*LOOKUP(2,1/((AN157='Lookup Tables'!$R$91:$R$111)*(AQ157&gt;='Lookup Tables'!$S$91:$S$111)*(AQ157&lt;='Lookup Tables'!$T$91:$T$111)),'Lookup Tables'!$U$91:$U$111))),"")</f>
        <v/>
      </c>
      <c r="FG157" s="579"/>
      <c r="FH157" s="579"/>
      <c r="FI157" s="253" t="str">
        <f>IFERROR(ROUND(IF(CD157="ERROR", "ERROR", IF(AND($FI$7=X157,E157="Interior"),VLOOKUP(W157, 'Lookup Tables'!$AI$6:$AM$102, 5, FALSE)*BP157, "")), 2), "")</f>
        <v/>
      </c>
      <c r="FJ157" s="253" t="str">
        <f>IFERROR(ROUND(IF(CD157="ERROR", "ERROR", IF(AND($FI$7=X157,E157="Exterior"),VLOOKUP(W157, 'Lookup Tables'!$AI$6:$AM$102, 5, FALSE)*BP157, "")), 2), "")</f>
        <v/>
      </c>
      <c r="FK157" s="253" t="str">
        <f>IFERROR(ROUND(IF(CD157="ERROR", "ERROR", IF(AND($FK$7=X157,E157="Interior"),VLOOKUP(W157, 'Lookup Tables'!$AI$6:$AM$102, 5, FALSE)*BP157, "")), 2), "")</f>
        <v/>
      </c>
      <c r="FL157" s="253" t="str">
        <f>IFERROR(ROUND(IF(CD157="ERROR", "ERROR", IF(AND($FK$7=X157,E157="Exterior"),VLOOKUP(W157, 'Lookup Tables'!$AI$6:$AM$102, 5, FALSE)*BP157, "")), 2), "")</f>
        <v/>
      </c>
      <c r="FM157" s="253" t="str">
        <f>IFERROR(ROUND(IF(CD157="ERROR", "ERROR", IF(AND($FM$6=Y157,E157="Interior"), IF(GB157=0, VLOOKUP(W157, 'Lookup Tables'!$AI$6:$AM$102, 5, FALSE)*BP157, IF(VLOOKUP(W157, 'Lookup Tables'!$AI$6:$AM$102, 5, FALSE)*BP157&gt;GB157*'Lighting Inventory'!S157, GB157*'Lighting Inventory'!S157,VLOOKUP(W157, 'Lookup Tables'!$AI$6:$AM$102, 5, FALSE)*BP157)), "")), 2), "")</f>
        <v/>
      </c>
      <c r="FN157" s="253" t="str">
        <f>IFERROR(ROUND(IF(CD157="ERROR", "ERROR", IF(AND($FM$6=Y157,E157="Exterior"), IF(GB157=0, VLOOKUP(W157, 'Lookup Tables'!$AI$6:$AM$102, 5, FALSE)*BP157, IF(VLOOKUP(W157, 'Lookup Tables'!$AI$6:$AM$102, 5, FALSE)*BP157&gt;GB157*'Lighting Inventory'!S157, GB157*'Lighting Inventory'!S157,VLOOKUP(W157, 'Lookup Tables'!$AI$6:$AM$102, 5, FALSE)*BP157)), "")), 2), "")</f>
        <v/>
      </c>
      <c r="FO157" s="253" t="str">
        <f>IFERROR(ROUND(IF(CD157="ERROR", "ERROR", IF(AND($FO$6=Y157,E157="Interior"),VLOOKUP(W157, 'Lookup Tables'!$AI$6:$AM$102, 5, FALSE)*'Lighting Inventory'!AI157, "")), 2), "")</f>
        <v/>
      </c>
      <c r="FP157" s="253" t="str">
        <f>IFERROR(ROUND(IF(CD157="ERROR", "ERROR", IF(AND($FO$6=Y157,E157="Exterior"),VLOOKUP(W157, 'Lookup Tables'!$AI$6:$AM$102, 5, FALSE)*'Lighting Inventory'!AI157, "")), 2), "")</f>
        <v/>
      </c>
      <c r="FQ157" s="253" t="str">
        <f>IFERROR(ROUND(IF(CD157="ERROR", "ERROR", IF(AND($FQ$6=Y157,E157="Interior", BU157="Y"), VLOOKUP('Lighting Inventory'!W157, 'Lookup Tables'!$AI$6:$AM$102, 5, FALSE)*'Lighting Inventory'!S157, IF(AND($FQ$7=Y157,E157="Interior", BU157="N"), 0.025*CD157, ""))), 2), "")</f>
        <v/>
      </c>
      <c r="FR157" s="253" t="str">
        <f>IFERROR(ROUND(IF(CD157="ERROR", "ERROR", IF(AND($FQ$6=Y157,E157="Exterior"), VLOOKUP('Lighting Inventory'!W157, 'Lookup Tables'!$AI$6:$AM$102, 5, FALSE)*'Lighting Inventory'!S157, "")), 2), "")</f>
        <v/>
      </c>
      <c r="FS157" s="253" t="str">
        <f>IFERROR(ROUND(IF(CD157="ERROR", "ERROR", IF(AND($FS$6=Y157,E157="Exterior"), IF(GB157=0, VLOOKUP(W157, 'Lookup Tables'!$AI$6:$AM$102, 5, FALSE)*BP157, IF(VLOOKUP(W157, 'Lookup Tables'!$AI$6:$AM$102, 5, FALSE)*BP157&gt;GB157*'Lighting Inventory'!S157, GB157*'Lighting Inventory'!S157,VLOOKUP(W157, 'Lookup Tables'!$AI$6:$AM$102, 5, FALSE)*BP157)), "")), 2), "")</f>
        <v/>
      </c>
      <c r="FT157" s="253" t="str">
        <f>IFERROR(ROUND(IF(CD157="ERROR", "ERROR", IF(AND($FT$6=Y157,E157="Interior"), IF(GB157=0, VLOOKUP(W157, 'Lookup Tables'!$AI$6:$AM$102, 5, FALSE)*BP157, IF(VLOOKUP(W157, 'Lookup Tables'!$AI$6:$AM$102, 5, FALSE)*BP157&gt;GB157*'Lighting Inventory'!S157, GB157*'Lighting Inventory'!S157,VLOOKUP(W157, 'Lookup Tables'!$AI$6:$AM$102, 5, FALSE)*BP157)), "")), 2), "")</f>
        <v/>
      </c>
      <c r="FU157" s="253" t="str">
        <f>IFERROR(ROUND(IF(CD157="ERROR", "ERROR", IF(AND(Y157=$FU$6, E157="Interior"), IF(BS157="N", 'Lookup Tables'!$AM$101*BP157, VLOOKUP(W157, 'Lookup Tables'!$AI$6:$AM$102, 5, FALSE)*S157*AD157), "")), 2), "")</f>
        <v/>
      </c>
      <c r="FV157" s="253" t="str">
        <f>IFERROR(ROUND(IF(CD157="ERROR", "ERROR", IF(AND(Y157=$FU$6, E157="Exterior"), IF(BS157="N", 'Lookup Tables'!$AM$101*BP157, VLOOKUP(W157, 'Lookup Tables'!$AI$6:$AM$102, 5, FALSE)*S157*AD157), "")), 2), "")</f>
        <v/>
      </c>
      <c r="FW157" s="253" t="str">
        <f>IFERROR(ROUND(IF(CD157="ERROR", "ERROR", IF($FW$6=Y157, IF(BS157="N", 'Lookup Tables'!$AM$101*BP157, MIN((VLOOKUP(W157, 'Lookup Tables'!$AI$6:$AM$102, 5, FALSE)*BP157),GB157*AJ157)), "")), 2), "")</f>
        <v/>
      </c>
      <c r="FX157" s="253" t="str">
        <f>IFERROR(ROUND(IF(CD157="ERROR", "ERROR", IF(AND($FX$6=Y157, E157="Interior"), IF(VLOOKUP(W157, 'Lookup Tables'!$AI$6:$AM$102, 5, FALSE)*BP157&gt;'Lookup Tables'!$AQ$97*'Lighting Inventory'!S157,'Lighting Inventory'!S157*'Lookup Tables'!$AQ$97,VLOOKUP(W157, 'Lookup Tables'!$AI$6:$AM$102, 5, FALSE)*BP157), "")), 2), "")</f>
        <v/>
      </c>
      <c r="FY157" s="253" t="str">
        <f>IFERROR(ROUND(IF(CD157="ERROR", "ERROR", IF(AND($FX$6=Y157, E157="Exterior"), IF(VLOOKUP(W157, 'Lookup Tables'!$AI$6:$AM$102, 5, FALSE)*BP157&gt;'Lookup Tables'!$AQ$97*'Lighting Inventory'!S157,'Lighting Inventory'!S157*'Lookup Tables'!$AQ$97,VLOOKUP(W157, 'Lookup Tables'!$AI$6:$AM$102, 5, FALSE)*BP157), "")), 2), "")</f>
        <v/>
      </c>
      <c r="FZ157" s="253" t="str">
        <f>IFERROR(ROUND(IF(CD157="ERROR", "ERROR", IF(AND($FZ$6=Y157, E157="Interior"), IF(AND(OR(W157="Refrigerated Case Lighting with Doors", W157="Freezer Case Lighting"),Y157="Custom - Process Improvement"),CD157*'Lookup Tables'!$AM$101, IF(B157="Retrofit", IF(VLOOKUP(IF(V157="Custom", V157, W157), 'Lookup Tables'!$AI$6:$AM$102, 5, FALSE)*BP157&gt;GE157, GE157, VLOOKUP(IF(V157="Custom", V157, W157), 'Lookup Tables'!$AI$6:$AM$102, 5, FALSE)*BP157), IF(VLOOKUP(IF(V157="Custom", V157, W157), 'Lookup Tables'!$AI$114:$AM$154, 5, FALSE)*BP157&gt;GE157, GE157, VLOOKUP(IF(V157="Custom", V157, W157), 'Lookup Tables'!$AI$114:$AM$154, 5, FALSE)*BP157))), "")), 2),"")</f>
        <v/>
      </c>
      <c r="GA157" s="253" t="str">
        <f>IFERROR(ROUND(IF(CD157="ERROR", "ERROR", IF(AND($FZ$6=Y157, E157="Exterior"), IF(B157="Retrofit", IF(VLOOKUP(IF(V157="Custom", V157, W157), 'Lookup Tables'!$AI$6:$AM$102, 5, FALSE)*BP157&gt;GE157, GE157, VLOOKUP(IF(V157="Custom", V157, W157), 'Lookup Tables'!$AI$6:$AM$102, 5, FALSE)*BP157), IF(VLOOKUP(IF(V157="Custom", V157, W157), 'Lookup Tables'!$AI$114:$AM$154, 5, FALSE)*BP157&gt;GE157, GE157, VLOOKUP(IF(V157="Custom", V157, W157), 'Lookup Tables'!$AI$114:$AM$154, 5, FALSE)*BP157)), "")), 2),"")</f>
        <v/>
      </c>
      <c r="GB157" s="254" t="str">
        <f t="array" ref="GB157">IF(B157="","",IF(OR(V157="Custom",V157="No Change"),0,IF(B157="Retrofit", INDEX('Lookup Tables'!$AH$6:$AQ$102,MATCH(1,('Lookup Tables'!$AH$6:$AH$102='Lighting Inventory'!V157)*('Lookup Tables'!$AI$6:$AI$102='Lighting Inventory'!W157),FALSE),10),INDEX('Lookup Tables'!$AH$114:$AQ$154,MATCH(1,('Lookup Tables'!$AH$114:$AH$154='Lighting Inventory'!V157)*('Lookup Tables'!$AI$114:$AI$154='Lighting Inventory'!W157),FALSE),10))))</f>
        <v/>
      </c>
      <c r="GC157" s="255" t="str">
        <f t="shared" si="447"/>
        <v/>
      </c>
      <c r="GD157" s="250" t="str">
        <f t="shared" si="448"/>
        <v/>
      </c>
      <c r="GE157" s="253" t="str">
        <f>IFERROR(IF(AND(AF157="", 'General Information'!$F$18="No"),"", IF(AF157="", ((GD157/$CD$266)*$CF$266)*0.5, AF157*S157*0.5)), "")</f>
        <v/>
      </c>
      <c r="GF157" s="255" t="str">
        <f>IF(AND('General Information'!$F$19="", 'General Information'!$F$18="Yes",AF157="",BW157="Y"), "Y", "N")</f>
        <v>N</v>
      </c>
      <c r="GG157" s="255" t="s">
        <v>2946</v>
      </c>
      <c r="GH157" s="255" t="str">
        <f>IFERROR(IF(B157="", "", VLOOKUP(J157, 'Fixture Identities'!$A$6:$N$908, 14, FALSE)), "")</f>
        <v/>
      </c>
      <c r="GI157" s="389" t="str">
        <f>IF(OR(B157="", V157="", W157=""), "", IF(AND(OR(M157='Lookup Tables'!$R$18, M157='Lookup Tables'!$R$19, M157='Lookup Tables'!$R$20, M157='Lookup Tables'!$R$21, M157='Lookup Tables'!$R$22), OR(AN157='Lookup Tables'!$R$17, AN157='Lookup Tables'!$R$17, AN157="")), "Y", "N"))</f>
        <v/>
      </c>
      <c r="GJ157" s="255" t="str">
        <f t="shared" si="449"/>
        <v/>
      </c>
      <c r="GK157" s="255" t="str">
        <f t="shared" si="450"/>
        <v/>
      </c>
      <c r="GL157" s="255" t="str">
        <f t="shared" si="451"/>
        <v/>
      </c>
      <c r="GM157" s="255" t="str">
        <f>IF(AN157="", "", IF(AND(IF(ISNA(VLOOKUP(AN157,'Lookup Tables'!$R$18:$R$22,1,FALSE)), "N", "Y")="Y", E157="Exterior"), "Y", "N"))</f>
        <v/>
      </c>
      <c r="GN157" s="395"/>
      <c r="GO157" s="428">
        <f t="shared" si="497"/>
        <v>0</v>
      </c>
      <c r="GP157" s="428">
        <f t="shared" si="500"/>
        <v>0</v>
      </c>
      <c r="GQ157" s="428">
        <f t="shared" si="498"/>
        <v>0</v>
      </c>
      <c r="GR157" s="428">
        <f t="shared" si="499"/>
        <v>0</v>
      </c>
    </row>
    <row r="158" spans="1:200" s="103" customFormat="1" ht="13.5" customHeight="1" x14ac:dyDescent="0.2">
      <c r="A158" s="272">
        <v>148</v>
      </c>
      <c r="B158" s="110"/>
      <c r="C158" s="110"/>
      <c r="D158" s="110"/>
      <c r="E158" s="110"/>
      <c r="F158" s="110"/>
      <c r="G158" s="110"/>
      <c r="H158" s="110"/>
      <c r="I158" s="29"/>
      <c r="J158" s="29"/>
      <c r="K158" s="272" t="str">
        <f>IFERROR(IF(OR(VLOOKUP(J158, 'Fixture Identities'!$A$6:$L$1023, 3, FALSE)="T12 Linear Fluorescent", VLOOKUP(J158, 'Fixture Identities'!$A$6:$L$1023, 3, FALSE)="T12 U-Tube Fluorescent"), VLOOKUP(VLOOKUP(J158, 'Fixture Identities'!$A$6:$L$1023, 11, FALSE), 'Fixture Identities'!$A$6:$L$1023, 10, FALSE), VLOOKUP(J158, 'Fixture Identities'!$A$6:$L$1023, 10, FALSE)), "")</f>
        <v/>
      </c>
      <c r="L158" s="270" t="str">
        <f t="shared" si="502"/>
        <v/>
      </c>
      <c r="M158" s="110"/>
      <c r="N158" s="110"/>
      <c r="O158" s="110"/>
      <c r="P158" s="272" t="str">
        <f>IFERROR(IF(OR(B158="Retrofit",B158=""),"",IF('Lighting Inventory'!E158="Exterior",VLOOKUP('Lighting Inventory'!N158,'Lookup Tables'!$B$83:$F$103,5,FALSE),IF(N158="Other - Please Estimate EFLH and CFs","Contact Prog. Rep.","ft^2"))), "")</f>
        <v/>
      </c>
      <c r="Q158" s="270" t="str">
        <f>IFERROR(IF(AND(B158="New Construction",E158="Interior",$F$5="Space-by-Space"),VLOOKUP('Lighting Inventory'!N158,'Lookup Tables'!$N$6:$O$97,2,FALSE),IF(AND(B158="New Construction",E158="Exterior"),VLOOKUP(N158,'Lookup Tables'!$B$83:$F$103,2,FALSE),IF(AND(B158="New Construction",'Lighting Inventory'!E158="Interior", $F$5="Building Area"),VLOOKUP(F158,'Lookup Tables'!$A$6:$J$59,10,FALSE),""))), "")</f>
        <v/>
      </c>
      <c r="R158" s="270" t="str">
        <f>IFERROR(IF(P158="Contact Prog. Rep.", "ERROR", IF(OR(B158="",B158="Retrofit"),"",IF(N158="Automated teller machines", ('Lookup Tables'!$A$82:$E$100+('Lighting Inventory'!O158-1)*'Lookup Tables'!$A$82:$E$100)/1000, (Q158*O158)/1000))), "")</f>
        <v/>
      </c>
      <c r="S158" s="595"/>
      <c r="T158" s="105" t="str">
        <f t="shared" si="452"/>
        <v/>
      </c>
      <c r="U158" s="105" t="str">
        <f>IF(S158="","",COUNT($S$11:S158))</f>
        <v/>
      </c>
      <c r="V158" s="111"/>
      <c r="W158" s="112"/>
      <c r="X158" s="105" t="str">
        <f t="shared" si="453"/>
        <v/>
      </c>
      <c r="Y158" s="105" t="str">
        <f t="array" ref="Y158">IF(AND(OR(W158="Freezer Case Lighting", W158="Refrigerated Case Lighting with Doors"), 'General Information'!$X$18="LCI"),'Lookup Tables'!$Y$34, IF(V158="Custom", VLOOKUP(W158, 'Fixture Identities'!$A$974:$M$1023, 13, FALSE), IF(V158="No Change",'Lookup Tables'!$Y$29,IF(OR(V158="",W158=""),"",IF(AND(S158=0,S158&lt;I158,B158="Retrofit"),'Lookup Tables'!$Y$25, IF(B158="Retrofit", INDEX('Lookup Tables'!$AH$6:$AP$102, MATCH(1, ('Lookup Tables'!$AH$6:$AH$102=V158)*('Lookup Tables'!$AI$6:$AI$102=W158), 0), IF('Lighting Inventory'!E158="Interior", 4, 5)), INDEX('Lookup Tables'!$AH$114:$AP$154, MATCH(1, ('Lookup Tables'!$AH$114:$AH$154=V158)*('Lookup Tables'!$AI$114:$AI$154=W158), 0), IF('Lighting Inventory'!E158="Interior", 4, 5))))))))</f>
        <v/>
      </c>
      <c r="Z158" s="105" t="str">
        <f>IFERROR(INDEX('Lookup Tables'!$AH$158:$AH$172,MATCH('Lighting Inventory'!Y158,'Lookup Tables'!$AI$158:$AI$172,0)),"")</f>
        <v/>
      </c>
      <c r="AA158" s="105" t="str">
        <f>IF(AP158&gt;0,INDEX('Lookup Tables'!$AK$158:$AK$172,MATCH('Lighting Inventory'!Y158,'Lookup Tables'!$AI$158:$AI$172,0)),'Lighting Inventory'!Y158)</f>
        <v/>
      </c>
      <c r="AB158" s="105" t="str">
        <f t="array" ref="AB158">IF(V158="Custom", "Custom", IF(V158="", "", IF(V158="Not DLC or Energy Star", "General", IF(B158="New Construction", INDEX('Lookup Tables'!$AH$114:$AP$154,MATCH(1,('Lookup Tables'!$AH$114:$AH$154='Lighting Inventory'!V158)*('Lookup Tables'!$AI$114:$AI$154='Lighting Inventory'!W158),FALSE),8), INDEX('Lookup Tables'!$AH$6:$AP$102,MATCH(1,('Lookup Tables'!$AH$6:$AH$102='Lighting Inventory'!V158)*('Lookup Tables'!$AI$6:$AI$102='Lighting Inventory'!W158),FALSE),8)))))</f>
        <v/>
      </c>
      <c r="AC158" s="272" t="str">
        <f>IF(W158="","",IF(V158="Custom",CONCATENATE("$",'Lookup Tables'!$AM$101," ",'Lookup Tables'!$AN$101),CONCATENATE("$",INDEX('Lookup Tables'!$AM$6:$AM$102,MATCH('Lighting Inventory'!W158,'Lookup Tables'!$AI$6:$AI$102,0))," ",INDEX('Lookup Tables'!$AN$6:$AN$102,MATCH('Lighting Inventory'!W158,'Lookup Tables'!$AI$6:$AI$102,0)))))</f>
        <v/>
      </c>
      <c r="AD158" s="72"/>
      <c r="AE158" s="29"/>
      <c r="AF158" s="379"/>
      <c r="AG158" s="370" t="str">
        <f t="shared" si="401"/>
        <v/>
      </c>
      <c r="AH158" s="370" t="str">
        <f t="shared" si="454"/>
        <v/>
      </c>
      <c r="AI158" s="29"/>
      <c r="AJ158" s="29"/>
      <c r="AK158" s="110"/>
      <c r="AL158" s="375" t="str">
        <f>IF(OR(B158="", V158="", W158=""), "", IF(V158="No Change", K158, IF(V158="Remove Fixture", 0, IF(V158="Custom",VLOOKUP(W158,'Fixture Identities'!$A$6:$K$1023,10,FALSE),IF(AE158="", "← ENTER POST WATTS", 'Lighting Inventory'!AE158)))))</f>
        <v/>
      </c>
      <c r="AM158" s="376" t="str">
        <f t="shared" si="402"/>
        <v/>
      </c>
      <c r="AN158" s="29"/>
      <c r="AO158" s="671"/>
      <c r="AP158" s="29"/>
      <c r="AQ158" s="29"/>
      <c r="AR158" s="29"/>
      <c r="AS158" s="272" t="str">
        <f t="shared" si="455"/>
        <v/>
      </c>
      <c r="AT158" s="270" t="str">
        <f t="shared" si="403"/>
        <v/>
      </c>
      <c r="AU158" s="88" t="str">
        <f t="shared" si="503"/>
        <v/>
      </c>
      <c r="AV158" s="29"/>
      <c r="AW158" s="73"/>
      <c r="AX158" s="271" t="str">
        <f>IF(AND(AV158="Applicant",OR(AW158="", AW158="Use Default Facility Hours")),"← Choose Schedule",IF(F158="","",IF(W158="LED Exit Signs",8760,IF(OR(AV158="Prescribed",AV158=""),VLOOKUP(F158,'Lookup Tables'!$A$6:$G$59,IF(AB158="General", 6, 3),FALSE),VLOOKUP(AW158,'Lookup Tables'!$S$36:$U$43,2,FALSE)))))</f>
        <v/>
      </c>
      <c r="AY158" s="88" t="str">
        <f t="shared" si="404"/>
        <v/>
      </c>
      <c r="AZ158" s="270" t="str">
        <f>IFERROR(IF(F158="", "", IF(W158="LED Exit Signs", 1, IF(AV158="Applicant",VLOOKUP(AW158, 'Lookup Tables'!$S$36:$U$43,3, FALSE), VLOOKUP('Lighting Inventory'!F158, 'Lookup Tables'!$A$6:$H$59, IF('Lighting Inventory'!AB158="General",7,4), FALSE)))), "")</f>
        <v/>
      </c>
      <c r="BA158" s="522" t="str">
        <f>IFERROR(IF(F158="", "", IF(W158="LED Exit Signs", 1, VLOOKUP('Lighting Inventory'!F158, 'Lookup Tables'!$A$6:$H$59, IF('Lighting Inventory'!AB158="General",8,5), FALSE))), "")</f>
        <v/>
      </c>
      <c r="BB158" s="270" t="str">
        <f>IF(G158="", "", IF(E158="Exterior", 0, IF('Lighting Inventory'!G158="Air Conditioned", VLOOKUP(H158, 'Lookup Tables'!$R$6:$T$13, 2, FALSE), VLOOKUP('Lighting Inventory'!G158, 'Lookup Tables'!$R$6:$T$13, 2, FALSE))))</f>
        <v/>
      </c>
      <c r="BC158" s="522" t="str">
        <f>IF(G158="", "", IF(E158="Exterior", 0, IF('Lighting Inventory'!G158="Air Conditioned", VLOOKUP(H158, 'Lookup Tables'!$R$6:$T$13, 3, FALSE), VLOOKUP('Lighting Inventory'!G158, 'Lookup Tables'!$R$6:$T$13, 3, FALSE))))</f>
        <v/>
      </c>
      <c r="BD158" s="270" t="str">
        <f>IF(G158="", "", IF(E158="Exterior", 0, IF('Lighting Inventory'!G158="Air Conditioned", VLOOKUP(H158, 'Lookup Tables'!$R$6:$U$13, 4, FALSE), VLOOKUP('Lighting Inventory'!G158, 'Lookup Tables'!$R$6:$U$13, 4, FALSE))))</f>
        <v/>
      </c>
      <c r="BE158" s="270" t="str">
        <f>IFERROR(IF(B158="", "",  IF(B158="New Construction", VLOOKUP(F158, 'Lookup Tables'!$A$6:$K$59, 11, FALSE),IF(OR(AN158="", AN158="Light Switch"), 0, IF(OR(M158="",M158="None",V158= "LED Exit Signs"),0,_xlfn.XLOOKUP(M158,'Lookup Tables'!$R$91:$R$101,'Lookup Tables'!$V$91:$V$101))))), "")</f>
        <v/>
      </c>
      <c r="BF158" s="270" t="str">
        <f>IF(AND(OR(AN158="Light Switch",AN158=""),B158="New Construction"), VLOOKUP(F158, 'Lookup Tables'!$A$6:$K$59, 11, FALSE),IF(AN158="","",IF(B158="","",IF(OR(AN158="None",AN158="",V158="LED Exit Signs",AN158="Exterior Controls Not Eligible"),0,_xlfn.XLOOKUP(AN158,'Lookup Tables'!$R$91:$R$101,'Lookup Tables'!$V$91:$V$101)))))</f>
        <v/>
      </c>
      <c r="BG158" s="88" t="str">
        <f t="shared" si="456"/>
        <v/>
      </c>
      <c r="BH158" s="88" t="str">
        <f t="shared" si="457"/>
        <v/>
      </c>
      <c r="BI158" s="558" t="str">
        <f t="shared" si="501"/>
        <v/>
      </c>
      <c r="BJ158" s="82" t="str">
        <f t="shared" si="458"/>
        <v/>
      </c>
      <c r="BK158" s="82" t="str">
        <f t="shared" si="459"/>
        <v/>
      </c>
      <c r="BL158" s="559" t="str">
        <f t="shared" si="460"/>
        <v/>
      </c>
      <c r="BM158" s="521" t="str">
        <f t="shared" si="405"/>
        <v/>
      </c>
      <c r="BN158" s="521" t="str">
        <f t="shared" si="406"/>
        <v/>
      </c>
      <c r="BO158" s="522" t="str">
        <f t="shared" si="407"/>
        <v/>
      </c>
      <c r="BP158" s="83" t="str">
        <f t="shared" si="461"/>
        <v/>
      </c>
      <c r="BQ158" s="84" t="str">
        <f t="shared" si="462"/>
        <v/>
      </c>
      <c r="BR158" s="184" t="str">
        <f>IFERROR(IF(B158="", "", IF(OR(VLOOKUP(J158, 'Fixture Identities'!$A$6:$L$1023, 3, FALSE)="T12 Linear Fluorescent",VLOOKUP(J158, 'Fixture Identities'!$A$6:$L$1023, 3, FALSE)="T12 U-Tube Fluorescent"), "Y", "N")), "N")</f>
        <v/>
      </c>
      <c r="BS158" s="184" t="str">
        <f t="array" ref="BS158">IFERROR(IF(OR(B158="", V158="", W158=""), "", IF(V158="Custom", "N", IF(OR(W158="Freezer Case Lighting", W158="Refrigerated Case Lighting with Doors"), BT158, IF(B158="Retrofit", INDEX('Lookup Tables'!$AH$6:$AT$102,MATCH(1,('Lookup Tables'!$AH$6:$AH$102=V158)*('Lookup Tables'!$AI$6:$AI$102=W158),FALSE),IF(VLOOKUP(J158, 'Fixture Identities'!$A$6:$B$1023, 2, FALSE)="Incandescent",12, 13)), INDEX('Lookup Tables'!$AH$114:$AS$154,MATCH(1,('Lookup Tables'!$AH$114:$AH$154=V158)*('Lookup Tables'!$AI$114:$AI$154=W158),FALSE),12))))), "N")</f>
        <v/>
      </c>
      <c r="BT158" s="184" t="str">
        <f>IF(J158="", "", IF(AND(OR(W158="Freezer case Lighting", W158="Refrigerated Case Lighting with Doors"),'General Information'!$X$18="LCI"), "N", IF(OR(VLOOKUP(J158, 'Fixture Identities'!$A$6:$B$1023, 2, FALSE)="T12 EPACT/EISA Baseline", VLOOKUP(J158, 'Fixture Identities'!$A$6:$B$1023, 2, FALSE)="Linear Fluorescent", VLOOKUP(J158, 'Fixture Identities'!$A$6:$B$1023, 2, FALSE)="U-Tube Fluorescent"), "Y", "N")))</f>
        <v/>
      </c>
      <c r="BU158" s="184" t="str">
        <f>IFERROR(IF(B158="", "", IF(VLOOKUP(J158, 'Fixture Identities'!$A$6:$B$1023, 2, FALSE)="Exit Sign", "Y", "N")), "N")</f>
        <v/>
      </c>
      <c r="BV158" s="184" t="str">
        <f>IF(V158="Exit Signs", IF(VLOOKUP(J158, 'Fixture Identities'!$A$6:$B$1023, 2, FALSE)="Exit Sign", "N", "Y"), "")</f>
        <v/>
      </c>
      <c r="BW158" s="184" t="str">
        <f t="array" ref="BW158">IFERROR(IF(B158="", "", IF(B158="New Construction", "N", INDEX('Lookup Tables'!$AH$6:$AU$102, MATCH(1, ('Lookup Tables'!$AH$6:$AH$102='Lighting Inventory'!V158)*('Lookup Tables'!$AI$6:$AI$102='Lighting Inventory'!W158), 0), 14))), "N")</f>
        <v/>
      </c>
      <c r="BX158" s="598" t="str">
        <f t="shared" si="463"/>
        <v/>
      </c>
      <c r="BY158" s="598" t="str">
        <f t="shared" si="464"/>
        <v/>
      </c>
      <c r="BZ158" s="598" t="str">
        <f t="shared" si="465"/>
        <v/>
      </c>
      <c r="CA158" s="598" t="str">
        <f t="shared" si="466"/>
        <v/>
      </c>
      <c r="CB158" s="269" t="str">
        <f t="shared" si="467"/>
        <v/>
      </c>
      <c r="CC158" s="517" t="str">
        <f t="shared" si="468"/>
        <v/>
      </c>
      <c r="CD158" s="565" t="str">
        <f t="shared" si="408"/>
        <v/>
      </c>
      <c r="CE158" s="368">
        <v>0</v>
      </c>
      <c r="CF158" s="368" t="str" cm="1">
        <f t="array" ref="CF158">IFERROR(IF(V158="Custom", "$0.1 per kWh", IF(B158="New Construction", CONCATENATE("$",INDEX('Lookup Tables'!$AH$114:$AN$154,MATCH(1,('Lookup Tables'!$AH$114:$AH$154='Lighting Inventory'!V158)*('Lookup Tables'!$AI$114:$AI$154='Lighting Inventory'!W158),FALSE),6)," ",INDEX('Lookup Tables'!$AH$114:$AN$154,MATCH(1,('Lookup Tables'!$AH$114:$AH$154='Lighting Inventory'!V158)*('Lookup Tables'!$AI$114:$AI$154='Lighting Inventory'!W158),FALSE),7)), IF(AND(BU158="N", V158="Exit Signs"), "$0.025 per kWh", CONCATENATE("$",INDEX('Lookup Tables'!$AH$6:$AN$102,MATCH(1,('Lookup Tables'!$AH$6:$AH$102='Lighting Inventory'!V158)*('Lookup Tables'!$AI$6:$AI$102='Lighting Inventory'!W158),FALSE),6)," ",INDEX('Lookup Tables'!$AH$6:$AN$102,MATCH(1,('Lookup Tables'!$AH$6:$AH$102='Lighting Inventory'!V158)*('Lookup Tables'!$AI$6:$AI$102='Lighting Inventory'!W158),FALSE),7))))), "")</f>
        <v/>
      </c>
      <c r="CG158" s="366"/>
      <c r="CH158" s="248" t="str">
        <f t="shared" si="409"/>
        <v/>
      </c>
      <c r="CI158" s="248" t="str">
        <f t="shared" si="410"/>
        <v>Select_IE</v>
      </c>
      <c r="CJ158" s="248" t="str">
        <f t="shared" si="411"/>
        <v/>
      </c>
      <c r="CK158" s="248" t="str">
        <f t="shared" si="412"/>
        <v/>
      </c>
      <c r="CL158" s="248" t="str">
        <f t="shared" si="413"/>
        <v/>
      </c>
      <c r="CM158" s="248" t="str">
        <f>IFERROR(IF(B158="", "", IF(B158="New Construction", VLOOKUP(V158, 'Lookup Tables'!$AF$114:$AG$120, 2, FALSE), VLOOKUP(V158, 'Lookup Tables'!$AD$6:$AE$25, 2, FALSE))), "")</f>
        <v/>
      </c>
      <c r="CN158" s="248" t="str">
        <f t="shared" si="414"/>
        <v/>
      </c>
      <c r="CO158" s="248" t="str">
        <f t="shared" si="415"/>
        <v/>
      </c>
      <c r="CP158" s="592" t="str">
        <f t="shared" si="416"/>
        <v/>
      </c>
      <c r="CQ158" s="248" t="str">
        <f t="shared" si="469"/>
        <v/>
      </c>
      <c r="CR158" s="249"/>
      <c r="CS158" s="250" t="str">
        <f t="shared" si="417"/>
        <v/>
      </c>
      <c r="CT158" s="250" t="str">
        <f t="shared" si="470"/>
        <v/>
      </c>
      <c r="CU158" s="250" t="str">
        <f t="shared" si="471"/>
        <v/>
      </c>
      <c r="CV158" s="250" t="str">
        <f t="shared" si="472"/>
        <v/>
      </c>
      <c r="CW158" s="250" t="str">
        <f t="shared" si="473"/>
        <v/>
      </c>
      <c r="CX158" s="250" t="str">
        <f t="shared" si="418"/>
        <v/>
      </c>
      <c r="CY158" s="250" t="str">
        <f t="shared" si="419"/>
        <v/>
      </c>
      <c r="CZ158" s="250" t="str">
        <f t="shared" si="420"/>
        <v/>
      </c>
      <c r="DA158" s="250" t="str">
        <f t="shared" si="421"/>
        <v/>
      </c>
      <c r="DB158" s="250" t="str">
        <f t="shared" si="422"/>
        <v/>
      </c>
      <c r="DC158" s="250" t="str">
        <f t="shared" si="423"/>
        <v/>
      </c>
      <c r="DD158" s="250" t="str">
        <f t="shared" si="424"/>
        <v/>
      </c>
      <c r="DE158" s="250" t="str">
        <f t="shared" si="425"/>
        <v/>
      </c>
      <c r="DF158" s="250" t="str">
        <f t="shared" si="426"/>
        <v/>
      </c>
      <c r="DG158" s="250" t="str">
        <f t="shared" si="427"/>
        <v/>
      </c>
      <c r="DH158" s="250" t="str">
        <f t="shared" si="428"/>
        <v/>
      </c>
      <c r="DI158" s="250" t="str">
        <f t="shared" si="429"/>
        <v/>
      </c>
      <c r="DJ158" s="250" t="str">
        <f t="shared" si="430"/>
        <v/>
      </c>
      <c r="DK158" s="250" t="str">
        <f t="shared" si="431"/>
        <v/>
      </c>
      <c r="DL158" s="250" t="str">
        <f t="shared" si="432"/>
        <v/>
      </c>
      <c r="DM158" s="250" t="str">
        <f>IF(CD158="ERROR", "ERROR", IF(AND(OR(Y158=$DM$6, Y158='Lookup Tables'!$AD$21, Y158='Lookup Tables'!$AD$22), E158="Interior"), BJ158, ""))</f>
        <v/>
      </c>
      <c r="DN158" s="250" t="str">
        <f>IF(CD158="ERROR", "ERROR", IF(AND(OR(Y158=$DM$6, Y158='Lookup Tables'!$AD$21, Y158='Lookup Tables'!$AD$22), E158="Exterior"), BJ158, ""))</f>
        <v/>
      </c>
      <c r="DO158" s="249"/>
      <c r="DP158" s="250" t="str">
        <f t="shared" si="433"/>
        <v/>
      </c>
      <c r="DQ158" s="250" t="str">
        <f t="shared" si="474"/>
        <v/>
      </c>
      <c r="DR158" s="250" t="str">
        <f t="shared" si="475"/>
        <v/>
      </c>
      <c r="DS158" s="250" t="str">
        <f t="shared" si="476"/>
        <v/>
      </c>
      <c r="DT158" s="250" t="str">
        <f t="shared" si="477"/>
        <v/>
      </c>
      <c r="DU158" s="250" t="str">
        <f t="shared" si="434"/>
        <v/>
      </c>
      <c r="DV158" s="250" t="str">
        <f t="shared" si="435"/>
        <v/>
      </c>
      <c r="DW158" s="250" t="str">
        <f t="shared" si="436"/>
        <v/>
      </c>
      <c r="DX158" s="250" t="str">
        <f t="shared" si="437"/>
        <v/>
      </c>
      <c r="DY158" s="250" t="str">
        <f t="shared" si="438"/>
        <v/>
      </c>
      <c r="DZ158" s="250" t="str">
        <f t="shared" si="439"/>
        <v/>
      </c>
      <c r="EA158" s="250" t="str">
        <f t="shared" si="440"/>
        <v/>
      </c>
      <c r="EB158" s="250" t="str">
        <f t="shared" si="478"/>
        <v/>
      </c>
      <c r="EC158" s="250" t="str">
        <f t="shared" si="441"/>
        <v/>
      </c>
      <c r="ED158" s="250" t="str">
        <f t="shared" si="442"/>
        <v/>
      </c>
      <c r="EE158" s="250" t="str">
        <f t="shared" si="443"/>
        <v/>
      </c>
      <c r="EF158" s="250" t="str">
        <f t="shared" si="444"/>
        <v/>
      </c>
      <c r="EG158" s="250" t="str">
        <f t="shared" si="445"/>
        <v/>
      </c>
      <c r="EH158" s="250" t="str">
        <f>IF(CD158="ERROR", "ERROR", IF(AND(OR($EH$6=Y158, Y158='Lookup Tables'!$AD$21, Y158='Lookup Tables'!$AD$22),E158="Interior"), SUM(BP158:BP158), ""))</f>
        <v/>
      </c>
      <c r="EI158" s="250" t="str">
        <f>IF(CD158="ERROR", "ERROR", IF(AND(OR($EH$6=Y158, Y158='Lookup Tables'!$AD$21, Y158='Lookup Tables'!$AD$22),E158="Exterior"), SUM(BP158:BP158), ""))</f>
        <v/>
      </c>
      <c r="EJ158" s="109"/>
      <c r="EK158" s="485" t="str">
        <f t="shared" si="446"/>
        <v/>
      </c>
      <c r="EL158" s="252" t="str">
        <f t="shared" si="479"/>
        <v/>
      </c>
      <c r="EM158" s="252" t="str">
        <f t="shared" si="480"/>
        <v/>
      </c>
      <c r="EN158" s="252" t="str">
        <f t="shared" si="481"/>
        <v/>
      </c>
      <c r="EO158" s="252" t="str">
        <f t="shared" si="482"/>
        <v/>
      </c>
      <c r="EP158" s="252" t="str">
        <f t="shared" si="483"/>
        <v/>
      </c>
      <c r="EQ158" s="252" t="str">
        <f t="shared" si="484"/>
        <v/>
      </c>
      <c r="ER158" s="252" t="str">
        <f t="shared" si="485"/>
        <v/>
      </c>
      <c r="ES158" s="252" t="str">
        <f t="shared" si="486"/>
        <v/>
      </c>
      <c r="ET158" s="252" t="str">
        <f t="shared" si="487"/>
        <v/>
      </c>
      <c r="EU158" s="252" t="str">
        <f t="shared" si="488"/>
        <v/>
      </c>
      <c r="EV158" s="252" t="str">
        <f t="shared" si="489"/>
        <v/>
      </c>
      <c r="EW158" s="252" t="str">
        <f t="shared" si="490"/>
        <v/>
      </c>
      <c r="EX158" s="252" t="str">
        <f t="shared" si="491"/>
        <v/>
      </c>
      <c r="EY158" s="252" t="str">
        <f t="shared" si="492"/>
        <v/>
      </c>
      <c r="EZ158" s="252" t="str">
        <f t="shared" si="493"/>
        <v/>
      </c>
      <c r="FA158" s="252" t="str">
        <f t="shared" si="494"/>
        <v/>
      </c>
      <c r="FB158" s="252" t="str">
        <f t="shared" si="495"/>
        <v/>
      </c>
      <c r="FC158" s="252" t="str">
        <f>IF(CD158="ERROR", "ERROR", IF(OR(V158="No Change", V158="Not DLC or Energy Star"), "", IF(AND(OR($FC$6=Y158,Y158='Lookup Tables'!$AD$21, Y158='Lookup Tables'!$AD$22),E158="Interior"), S158, "")))</f>
        <v/>
      </c>
      <c r="FD158" s="252" t="str">
        <f t="shared" si="496"/>
        <v/>
      </c>
      <c r="FE158" s="1"/>
      <c r="FF158" s="579" t="str" cm="1">
        <f t="array" ref="FF158">IFERROR(IF(OR(BQ158&lt;=0,AQ158&lt;20,AND(V158="Exit Signs",AN158&gt;0)),"",IF(AND(AQ158&gt;=20,AN158='Lookup Tables'!$R$101),'Lookup Tables'!$U$101*BQ158,AP158*LOOKUP(2,1/((AN158='Lookup Tables'!$R$91:$R$111)*(AQ158&gt;='Lookup Tables'!$S$91:$S$111)*(AQ158&lt;='Lookup Tables'!$T$91:$T$111)),'Lookup Tables'!$U$91:$U$111))),"")</f>
        <v/>
      </c>
      <c r="FG158" s="579"/>
      <c r="FH158" s="579"/>
      <c r="FI158" s="253" t="str">
        <f>IFERROR(ROUND(IF(CD158="ERROR", "ERROR", IF(AND($FI$7=X158,E158="Interior"),VLOOKUP(W158, 'Lookup Tables'!$AI$6:$AM$102, 5, FALSE)*BP158, "")), 2), "")</f>
        <v/>
      </c>
      <c r="FJ158" s="253" t="str">
        <f>IFERROR(ROUND(IF(CD158="ERROR", "ERROR", IF(AND($FI$7=X158,E158="Exterior"),VLOOKUP(W158, 'Lookup Tables'!$AI$6:$AM$102, 5, FALSE)*BP158, "")), 2), "")</f>
        <v/>
      </c>
      <c r="FK158" s="253" t="str">
        <f>IFERROR(ROUND(IF(CD158="ERROR", "ERROR", IF(AND($FK$7=X158,E158="Interior"),VLOOKUP(W158, 'Lookup Tables'!$AI$6:$AM$102, 5, FALSE)*BP158, "")), 2), "")</f>
        <v/>
      </c>
      <c r="FL158" s="253" t="str">
        <f>IFERROR(ROUND(IF(CD158="ERROR", "ERROR", IF(AND($FK$7=X158,E158="Exterior"),VLOOKUP(W158, 'Lookup Tables'!$AI$6:$AM$102, 5, FALSE)*BP158, "")), 2), "")</f>
        <v/>
      </c>
      <c r="FM158" s="253" t="str">
        <f>IFERROR(ROUND(IF(CD158="ERROR", "ERROR", IF(AND($FM$6=Y158,E158="Interior"), IF(GB158=0, VLOOKUP(W158, 'Lookup Tables'!$AI$6:$AM$102, 5, FALSE)*BP158, IF(VLOOKUP(W158, 'Lookup Tables'!$AI$6:$AM$102, 5, FALSE)*BP158&gt;GB158*'Lighting Inventory'!S158, GB158*'Lighting Inventory'!S158,VLOOKUP(W158, 'Lookup Tables'!$AI$6:$AM$102, 5, FALSE)*BP158)), "")), 2), "")</f>
        <v/>
      </c>
      <c r="FN158" s="253" t="str">
        <f>IFERROR(ROUND(IF(CD158="ERROR", "ERROR", IF(AND($FM$6=Y158,E158="Exterior"), IF(GB158=0, VLOOKUP(W158, 'Lookup Tables'!$AI$6:$AM$102, 5, FALSE)*BP158, IF(VLOOKUP(W158, 'Lookup Tables'!$AI$6:$AM$102, 5, FALSE)*BP158&gt;GB158*'Lighting Inventory'!S158, GB158*'Lighting Inventory'!S158,VLOOKUP(W158, 'Lookup Tables'!$AI$6:$AM$102, 5, FALSE)*BP158)), "")), 2), "")</f>
        <v/>
      </c>
      <c r="FO158" s="253" t="str">
        <f>IFERROR(ROUND(IF(CD158="ERROR", "ERROR", IF(AND($FO$6=Y158,E158="Interior"),VLOOKUP(W158, 'Lookup Tables'!$AI$6:$AM$102, 5, FALSE)*'Lighting Inventory'!AI158, "")), 2), "")</f>
        <v/>
      </c>
      <c r="FP158" s="253" t="str">
        <f>IFERROR(ROUND(IF(CD158="ERROR", "ERROR", IF(AND($FO$6=Y158,E158="Exterior"),VLOOKUP(W158, 'Lookup Tables'!$AI$6:$AM$102, 5, FALSE)*'Lighting Inventory'!AI158, "")), 2), "")</f>
        <v/>
      </c>
      <c r="FQ158" s="253" t="str">
        <f>IFERROR(ROUND(IF(CD158="ERROR", "ERROR", IF(AND($FQ$6=Y158,E158="Interior", BU158="Y"), VLOOKUP('Lighting Inventory'!W158, 'Lookup Tables'!$AI$6:$AM$102, 5, FALSE)*'Lighting Inventory'!S158, IF(AND($FQ$7=Y158,E158="Interior", BU158="N"), 0.025*CD158, ""))), 2), "")</f>
        <v/>
      </c>
      <c r="FR158" s="253" t="str">
        <f>IFERROR(ROUND(IF(CD158="ERROR", "ERROR", IF(AND($FQ$6=Y158,E158="Exterior"), VLOOKUP('Lighting Inventory'!W158, 'Lookup Tables'!$AI$6:$AM$102, 5, FALSE)*'Lighting Inventory'!S158, "")), 2), "")</f>
        <v/>
      </c>
      <c r="FS158" s="253" t="str">
        <f>IFERROR(ROUND(IF(CD158="ERROR", "ERROR", IF(AND($FS$6=Y158,E158="Exterior"), IF(GB158=0, VLOOKUP(W158, 'Lookup Tables'!$AI$6:$AM$102, 5, FALSE)*BP158, IF(VLOOKUP(W158, 'Lookup Tables'!$AI$6:$AM$102, 5, FALSE)*BP158&gt;GB158*'Lighting Inventory'!S158, GB158*'Lighting Inventory'!S158,VLOOKUP(W158, 'Lookup Tables'!$AI$6:$AM$102, 5, FALSE)*BP158)), "")), 2), "")</f>
        <v/>
      </c>
      <c r="FT158" s="253" t="str">
        <f>IFERROR(ROUND(IF(CD158="ERROR", "ERROR", IF(AND($FT$6=Y158,E158="Interior"), IF(GB158=0, VLOOKUP(W158, 'Lookup Tables'!$AI$6:$AM$102, 5, FALSE)*BP158, IF(VLOOKUP(W158, 'Lookup Tables'!$AI$6:$AM$102, 5, FALSE)*BP158&gt;GB158*'Lighting Inventory'!S158, GB158*'Lighting Inventory'!S158,VLOOKUP(W158, 'Lookup Tables'!$AI$6:$AM$102, 5, FALSE)*BP158)), "")), 2), "")</f>
        <v/>
      </c>
      <c r="FU158" s="253" t="str">
        <f>IFERROR(ROUND(IF(CD158="ERROR", "ERROR", IF(AND(Y158=$FU$6, E158="Interior"), IF(BS158="N", 'Lookup Tables'!$AM$101*BP158, VLOOKUP(W158, 'Lookup Tables'!$AI$6:$AM$102, 5, FALSE)*S158*AD158), "")), 2), "")</f>
        <v/>
      </c>
      <c r="FV158" s="253" t="str">
        <f>IFERROR(ROUND(IF(CD158="ERROR", "ERROR", IF(AND(Y158=$FU$6, E158="Exterior"), IF(BS158="N", 'Lookup Tables'!$AM$101*BP158, VLOOKUP(W158, 'Lookup Tables'!$AI$6:$AM$102, 5, FALSE)*S158*AD158), "")), 2), "")</f>
        <v/>
      </c>
      <c r="FW158" s="253" t="str">
        <f>IFERROR(ROUND(IF(CD158="ERROR", "ERROR", IF($FW$6=Y158, IF(BS158="N", 'Lookup Tables'!$AM$101*BP158, MIN((VLOOKUP(W158, 'Lookup Tables'!$AI$6:$AM$102, 5, FALSE)*BP158),GB158*AJ158)), "")), 2), "")</f>
        <v/>
      </c>
      <c r="FX158" s="253" t="str">
        <f>IFERROR(ROUND(IF(CD158="ERROR", "ERROR", IF(AND($FX$6=Y158, E158="Interior"), IF(VLOOKUP(W158, 'Lookup Tables'!$AI$6:$AM$102, 5, FALSE)*BP158&gt;'Lookup Tables'!$AQ$97*'Lighting Inventory'!S158,'Lighting Inventory'!S158*'Lookup Tables'!$AQ$97,VLOOKUP(W158, 'Lookup Tables'!$AI$6:$AM$102, 5, FALSE)*BP158), "")), 2), "")</f>
        <v/>
      </c>
      <c r="FY158" s="253" t="str">
        <f>IFERROR(ROUND(IF(CD158="ERROR", "ERROR", IF(AND($FX$6=Y158, E158="Exterior"), IF(VLOOKUP(W158, 'Lookup Tables'!$AI$6:$AM$102, 5, FALSE)*BP158&gt;'Lookup Tables'!$AQ$97*'Lighting Inventory'!S158,'Lighting Inventory'!S158*'Lookup Tables'!$AQ$97,VLOOKUP(W158, 'Lookup Tables'!$AI$6:$AM$102, 5, FALSE)*BP158), "")), 2), "")</f>
        <v/>
      </c>
      <c r="FZ158" s="253" t="str">
        <f>IFERROR(ROUND(IF(CD158="ERROR", "ERROR", IF(AND($FZ$6=Y158, E158="Interior"), IF(AND(OR(W158="Refrigerated Case Lighting with Doors", W158="Freezer Case Lighting"),Y158="Custom - Process Improvement"),CD158*'Lookup Tables'!$AM$101, IF(B158="Retrofit", IF(VLOOKUP(IF(V158="Custom", V158, W158), 'Lookup Tables'!$AI$6:$AM$102, 5, FALSE)*BP158&gt;GE158, GE158, VLOOKUP(IF(V158="Custom", V158, W158), 'Lookup Tables'!$AI$6:$AM$102, 5, FALSE)*BP158), IF(VLOOKUP(IF(V158="Custom", V158, W158), 'Lookup Tables'!$AI$114:$AM$154, 5, FALSE)*BP158&gt;GE158, GE158, VLOOKUP(IF(V158="Custom", V158, W158), 'Lookup Tables'!$AI$114:$AM$154, 5, FALSE)*BP158))), "")), 2),"")</f>
        <v/>
      </c>
      <c r="GA158" s="253" t="str">
        <f>IFERROR(ROUND(IF(CD158="ERROR", "ERROR", IF(AND($FZ$6=Y158, E158="Exterior"), IF(B158="Retrofit", IF(VLOOKUP(IF(V158="Custom", V158, W158), 'Lookup Tables'!$AI$6:$AM$102, 5, FALSE)*BP158&gt;GE158, GE158, VLOOKUP(IF(V158="Custom", V158, W158), 'Lookup Tables'!$AI$6:$AM$102, 5, FALSE)*BP158), IF(VLOOKUP(IF(V158="Custom", V158, W158), 'Lookup Tables'!$AI$114:$AM$154, 5, FALSE)*BP158&gt;GE158, GE158, VLOOKUP(IF(V158="Custom", V158, W158), 'Lookup Tables'!$AI$114:$AM$154, 5, FALSE)*BP158)), "")), 2),"")</f>
        <v/>
      </c>
      <c r="GB158" s="254" t="str">
        <f t="array" ref="GB158">IF(B158="","",IF(OR(V158="Custom",V158="No Change"),0,IF(B158="Retrofit", INDEX('Lookup Tables'!$AH$6:$AQ$102,MATCH(1,('Lookup Tables'!$AH$6:$AH$102='Lighting Inventory'!V158)*('Lookup Tables'!$AI$6:$AI$102='Lighting Inventory'!W158),FALSE),10),INDEX('Lookup Tables'!$AH$114:$AQ$154,MATCH(1,('Lookup Tables'!$AH$114:$AH$154='Lighting Inventory'!V158)*('Lookup Tables'!$AI$114:$AI$154='Lighting Inventory'!W158),FALSE),10))))</f>
        <v/>
      </c>
      <c r="GC158" s="255" t="str">
        <f t="shared" si="447"/>
        <v/>
      </c>
      <c r="GD158" s="250" t="str">
        <f t="shared" si="448"/>
        <v/>
      </c>
      <c r="GE158" s="253" t="str">
        <f>IFERROR(IF(AND(AF158="", 'General Information'!$F$18="No"),"", IF(AF158="", ((GD158/$CD$266)*$CF$266)*0.5, AF158*S158*0.5)), "")</f>
        <v/>
      </c>
      <c r="GF158" s="255" t="str">
        <f>IF(AND('General Information'!$F$19="", 'General Information'!$F$18="Yes",AF158="",BW158="Y"), "Y", "N")</f>
        <v>N</v>
      </c>
      <c r="GG158" s="255" t="s">
        <v>2946</v>
      </c>
      <c r="GH158" s="255" t="str">
        <f>IFERROR(IF(B158="", "", VLOOKUP(J158, 'Fixture Identities'!$A$6:$N$908, 14, FALSE)), "")</f>
        <v/>
      </c>
      <c r="GI158" s="389" t="str">
        <f>IF(OR(B158="", V158="", W158=""), "", IF(AND(OR(M158='Lookup Tables'!$R$18, M158='Lookup Tables'!$R$19, M158='Lookup Tables'!$R$20, M158='Lookup Tables'!$R$21, M158='Lookup Tables'!$R$22), OR(AN158='Lookup Tables'!$R$17, AN158='Lookup Tables'!$R$17, AN158="")), "Y", "N"))</f>
        <v/>
      </c>
      <c r="GJ158" s="255" t="str">
        <f t="shared" si="449"/>
        <v/>
      </c>
      <c r="GK158" s="255" t="str">
        <f t="shared" si="450"/>
        <v/>
      </c>
      <c r="GL158" s="255" t="str">
        <f t="shared" si="451"/>
        <v/>
      </c>
      <c r="GM158" s="255" t="str">
        <f>IF(AN158="", "", IF(AND(IF(ISNA(VLOOKUP(AN158,'Lookup Tables'!$R$18:$R$22,1,FALSE)), "N", "Y")="Y", E158="Exterior"), "Y", "N"))</f>
        <v/>
      </c>
      <c r="GN158" s="395"/>
      <c r="GO158" s="428">
        <f t="shared" si="497"/>
        <v>0</v>
      </c>
      <c r="GP158" s="428">
        <f t="shared" si="500"/>
        <v>0</v>
      </c>
      <c r="GQ158" s="428">
        <f t="shared" si="498"/>
        <v>0</v>
      </c>
      <c r="GR158" s="428">
        <f t="shared" si="499"/>
        <v>0</v>
      </c>
    </row>
    <row r="159" spans="1:200" s="103" customFormat="1" ht="13.5" customHeight="1" x14ac:dyDescent="0.2">
      <c r="A159" s="272">
        <v>149</v>
      </c>
      <c r="B159" s="110"/>
      <c r="C159" s="110"/>
      <c r="D159" s="110"/>
      <c r="E159" s="110"/>
      <c r="F159" s="110"/>
      <c r="G159" s="110"/>
      <c r="H159" s="110"/>
      <c r="I159" s="29"/>
      <c r="J159" s="29"/>
      <c r="K159" s="272" t="str">
        <f>IFERROR(IF(OR(VLOOKUP(J159, 'Fixture Identities'!$A$6:$L$1023, 3, FALSE)="T12 Linear Fluorescent", VLOOKUP(J159, 'Fixture Identities'!$A$6:$L$1023, 3, FALSE)="T12 U-Tube Fluorescent"), VLOOKUP(VLOOKUP(J159, 'Fixture Identities'!$A$6:$L$1023, 11, FALSE), 'Fixture Identities'!$A$6:$L$1023, 10, FALSE), VLOOKUP(J159, 'Fixture Identities'!$A$6:$L$1023, 10, FALSE)), "")</f>
        <v/>
      </c>
      <c r="L159" s="270" t="str">
        <f t="shared" si="502"/>
        <v/>
      </c>
      <c r="M159" s="110"/>
      <c r="N159" s="110"/>
      <c r="O159" s="110"/>
      <c r="P159" s="272" t="str">
        <f>IFERROR(IF(OR(B159="Retrofit",B159=""),"",IF('Lighting Inventory'!E159="Exterior",VLOOKUP('Lighting Inventory'!N159,'Lookup Tables'!$B$83:$F$103,5,FALSE),IF(N159="Other - Please Estimate EFLH and CFs","Contact Prog. Rep.","ft^2"))), "")</f>
        <v/>
      </c>
      <c r="Q159" s="270" t="str">
        <f>IFERROR(IF(AND(B159="New Construction",E159="Interior",$F$5="Space-by-Space"),VLOOKUP('Lighting Inventory'!N159,'Lookup Tables'!$N$6:$O$97,2,FALSE),IF(AND(B159="New Construction",E159="Exterior"),VLOOKUP(N159,'Lookup Tables'!$B$83:$F$103,2,FALSE),IF(AND(B159="New Construction",'Lighting Inventory'!E159="Interior", $F$5="Building Area"),VLOOKUP(F159,'Lookup Tables'!$A$6:$J$59,10,FALSE),""))), "")</f>
        <v/>
      </c>
      <c r="R159" s="270" t="str">
        <f>IFERROR(IF(P159="Contact Prog. Rep.", "ERROR", IF(OR(B159="",B159="Retrofit"),"",IF(N159="Automated teller machines", ('Lookup Tables'!$A$82:$E$100+('Lighting Inventory'!O159-1)*'Lookup Tables'!$A$82:$E$100)/1000, (Q159*O159)/1000))), "")</f>
        <v/>
      </c>
      <c r="S159" s="595"/>
      <c r="T159" s="105" t="str">
        <f t="shared" si="452"/>
        <v/>
      </c>
      <c r="U159" s="105" t="str">
        <f>IF(S159="","",COUNT($S$11:S159))</f>
        <v/>
      </c>
      <c r="V159" s="111"/>
      <c r="W159" s="112"/>
      <c r="X159" s="105" t="str">
        <f t="shared" si="453"/>
        <v/>
      </c>
      <c r="Y159" s="105" t="str">
        <f t="array" ref="Y159">IF(AND(OR(W159="Freezer Case Lighting", W159="Refrigerated Case Lighting with Doors"), 'General Information'!$X$18="LCI"),'Lookup Tables'!$Y$34, IF(V159="Custom", VLOOKUP(W159, 'Fixture Identities'!$A$974:$M$1023, 13, FALSE), IF(V159="No Change",'Lookup Tables'!$Y$29,IF(OR(V159="",W159=""),"",IF(AND(S159=0,S159&lt;I159,B159="Retrofit"),'Lookup Tables'!$Y$25, IF(B159="Retrofit", INDEX('Lookup Tables'!$AH$6:$AP$102, MATCH(1, ('Lookup Tables'!$AH$6:$AH$102=V159)*('Lookup Tables'!$AI$6:$AI$102=W159), 0), IF('Lighting Inventory'!E159="Interior", 4, 5)), INDEX('Lookup Tables'!$AH$114:$AP$154, MATCH(1, ('Lookup Tables'!$AH$114:$AH$154=V159)*('Lookup Tables'!$AI$114:$AI$154=W159), 0), IF('Lighting Inventory'!E159="Interior", 4, 5))))))))</f>
        <v/>
      </c>
      <c r="Z159" s="105" t="str">
        <f>IFERROR(INDEX('Lookup Tables'!$AH$158:$AH$172,MATCH('Lighting Inventory'!Y159,'Lookup Tables'!$AI$158:$AI$172,0)),"")</f>
        <v/>
      </c>
      <c r="AA159" s="105" t="str">
        <f>IF(AP159&gt;0,INDEX('Lookup Tables'!$AK$158:$AK$172,MATCH('Lighting Inventory'!Y159,'Lookup Tables'!$AI$158:$AI$172,0)),'Lighting Inventory'!Y159)</f>
        <v/>
      </c>
      <c r="AB159" s="105" t="str">
        <f t="array" ref="AB159">IF(V159="Custom", "Custom", IF(V159="", "", IF(V159="Not DLC or Energy Star", "General", IF(B159="New Construction", INDEX('Lookup Tables'!$AH$114:$AP$154,MATCH(1,('Lookup Tables'!$AH$114:$AH$154='Lighting Inventory'!V159)*('Lookup Tables'!$AI$114:$AI$154='Lighting Inventory'!W159),FALSE),8), INDEX('Lookup Tables'!$AH$6:$AP$102,MATCH(1,('Lookup Tables'!$AH$6:$AH$102='Lighting Inventory'!V159)*('Lookup Tables'!$AI$6:$AI$102='Lighting Inventory'!W159),FALSE),8)))))</f>
        <v/>
      </c>
      <c r="AC159" s="272" t="str">
        <f>IF(W159="","",IF(V159="Custom",CONCATENATE("$",'Lookup Tables'!$AM$101," ",'Lookup Tables'!$AN$101),CONCATENATE("$",INDEX('Lookup Tables'!$AM$6:$AM$102,MATCH('Lighting Inventory'!W159,'Lookup Tables'!$AI$6:$AI$102,0))," ",INDEX('Lookup Tables'!$AN$6:$AN$102,MATCH('Lighting Inventory'!W159,'Lookup Tables'!$AI$6:$AI$102,0)))))</f>
        <v/>
      </c>
      <c r="AD159" s="72"/>
      <c r="AE159" s="29"/>
      <c r="AF159" s="379"/>
      <c r="AG159" s="370" t="str">
        <f t="shared" si="401"/>
        <v/>
      </c>
      <c r="AH159" s="370" t="str">
        <f t="shared" si="454"/>
        <v/>
      </c>
      <c r="AI159" s="29"/>
      <c r="AJ159" s="29"/>
      <c r="AK159" s="110"/>
      <c r="AL159" s="375" t="str">
        <f>IF(OR(B159="", V159="", W159=""), "", IF(V159="No Change", K159, IF(V159="Remove Fixture", 0, IF(V159="Custom",VLOOKUP(W159,'Fixture Identities'!$A$6:$K$1023,10,FALSE),IF(AE159="", "← ENTER POST WATTS", 'Lighting Inventory'!AE159)))))</f>
        <v/>
      </c>
      <c r="AM159" s="376" t="str">
        <f t="shared" si="402"/>
        <v/>
      </c>
      <c r="AN159" s="29"/>
      <c r="AO159" s="671"/>
      <c r="AP159" s="29"/>
      <c r="AQ159" s="29"/>
      <c r="AR159" s="29"/>
      <c r="AS159" s="272" t="str">
        <f t="shared" si="455"/>
        <v/>
      </c>
      <c r="AT159" s="270" t="str">
        <f t="shared" si="403"/>
        <v/>
      </c>
      <c r="AU159" s="88" t="str">
        <f t="shared" si="503"/>
        <v/>
      </c>
      <c r="AV159" s="29"/>
      <c r="AW159" s="73"/>
      <c r="AX159" s="271" t="str">
        <f>IF(AND(AV159="Applicant",OR(AW159="", AW159="Use Default Facility Hours")),"← Choose Schedule",IF(F159="","",IF(W159="LED Exit Signs",8760,IF(OR(AV159="Prescribed",AV159=""),VLOOKUP(F159,'Lookup Tables'!$A$6:$G$59,IF(AB159="General", 6, 3),FALSE),VLOOKUP(AW159,'Lookup Tables'!$S$36:$U$43,2,FALSE)))))</f>
        <v/>
      </c>
      <c r="AY159" s="88" t="str">
        <f t="shared" si="404"/>
        <v/>
      </c>
      <c r="AZ159" s="270" t="str">
        <f>IFERROR(IF(F159="", "", IF(W159="LED Exit Signs", 1, IF(AV159="Applicant",VLOOKUP(AW159, 'Lookup Tables'!$S$36:$U$43,3, FALSE), VLOOKUP('Lighting Inventory'!F159, 'Lookup Tables'!$A$6:$H$59, IF('Lighting Inventory'!AB159="General",7,4), FALSE)))), "")</f>
        <v/>
      </c>
      <c r="BA159" s="522" t="str">
        <f>IFERROR(IF(F159="", "", IF(W159="LED Exit Signs", 1, VLOOKUP('Lighting Inventory'!F159, 'Lookup Tables'!$A$6:$H$59, IF('Lighting Inventory'!AB159="General",8,5), FALSE))), "")</f>
        <v/>
      </c>
      <c r="BB159" s="270" t="str">
        <f>IF(G159="", "", IF(E159="Exterior", 0, IF('Lighting Inventory'!G159="Air Conditioned", VLOOKUP(H159, 'Lookup Tables'!$R$6:$T$13, 2, FALSE), VLOOKUP('Lighting Inventory'!G159, 'Lookup Tables'!$R$6:$T$13, 2, FALSE))))</f>
        <v/>
      </c>
      <c r="BC159" s="522" t="str">
        <f>IF(G159="", "", IF(E159="Exterior", 0, IF('Lighting Inventory'!G159="Air Conditioned", VLOOKUP(H159, 'Lookup Tables'!$R$6:$T$13, 3, FALSE), VLOOKUP('Lighting Inventory'!G159, 'Lookup Tables'!$R$6:$T$13, 3, FALSE))))</f>
        <v/>
      </c>
      <c r="BD159" s="270" t="str">
        <f>IF(G159="", "", IF(E159="Exterior", 0, IF('Lighting Inventory'!G159="Air Conditioned", VLOOKUP(H159, 'Lookup Tables'!$R$6:$U$13, 4, FALSE), VLOOKUP('Lighting Inventory'!G159, 'Lookup Tables'!$R$6:$U$13, 4, FALSE))))</f>
        <v/>
      </c>
      <c r="BE159" s="270" t="str">
        <f>IFERROR(IF(B159="", "",  IF(B159="New Construction", VLOOKUP(F159, 'Lookup Tables'!$A$6:$K$59, 11, FALSE),IF(OR(AN159="", AN159="Light Switch"), 0, IF(OR(M159="",M159="None",V159= "LED Exit Signs"),0,_xlfn.XLOOKUP(M159,'Lookup Tables'!$R$91:$R$101,'Lookup Tables'!$V$91:$V$101))))), "")</f>
        <v/>
      </c>
      <c r="BF159" s="270" t="str">
        <f>IF(AND(OR(AN159="Light Switch",AN159=""),B159="New Construction"), VLOOKUP(F159, 'Lookup Tables'!$A$6:$K$59, 11, FALSE),IF(AN159="","",IF(B159="","",IF(OR(AN159="None",AN159="",V159="LED Exit Signs",AN159="Exterior Controls Not Eligible"),0,_xlfn.XLOOKUP(AN159,'Lookup Tables'!$R$91:$R$101,'Lookup Tables'!$V$91:$V$101)))))</f>
        <v/>
      </c>
      <c r="BG159" s="88" t="str">
        <f t="shared" si="456"/>
        <v/>
      </c>
      <c r="BH159" s="88" t="str">
        <f t="shared" si="457"/>
        <v/>
      </c>
      <c r="BI159" s="558" t="str">
        <f t="shared" si="501"/>
        <v/>
      </c>
      <c r="BJ159" s="82" t="str">
        <f t="shared" si="458"/>
        <v/>
      </c>
      <c r="BK159" s="82" t="str">
        <f t="shared" si="459"/>
        <v/>
      </c>
      <c r="BL159" s="559" t="str">
        <f t="shared" si="460"/>
        <v/>
      </c>
      <c r="BM159" s="521" t="str">
        <f t="shared" si="405"/>
        <v/>
      </c>
      <c r="BN159" s="521" t="str">
        <f t="shared" si="406"/>
        <v/>
      </c>
      <c r="BO159" s="522" t="str">
        <f t="shared" si="407"/>
        <v/>
      </c>
      <c r="BP159" s="83" t="str">
        <f t="shared" si="461"/>
        <v/>
      </c>
      <c r="BQ159" s="84" t="str">
        <f t="shared" si="462"/>
        <v/>
      </c>
      <c r="BR159" s="184" t="str">
        <f>IFERROR(IF(B159="", "", IF(OR(VLOOKUP(J159, 'Fixture Identities'!$A$6:$L$1023, 3, FALSE)="T12 Linear Fluorescent",VLOOKUP(J159, 'Fixture Identities'!$A$6:$L$1023, 3, FALSE)="T12 U-Tube Fluorescent"), "Y", "N")), "N")</f>
        <v/>
      </c>
      <c r="BS159" s="184" t="str">
        <f t="array" ref="BS159">IFERROR(IF(OR(B159="", V159="", W159=""), "", IF(V159="Custom", "N", IF(OR(W159="Freezer Case Lighting", W159="Refrigerated Case Lighting with Doors"), BT159, IF(B159="Retrofit", INDEX('Lookup Tables'!$AH$6:$AT$102,MATCH(1,('Lookup Tables'!$AH$6:$AH$102=V159)*('Lookup Tables'!$AI$6:$AI$102=W159),FALSE),IF(VLOOKUP(J159, 'Fixture Identities'!$A$6:$B$1023, 2, FALSE)="Incandescent",12, 13)), INDEX('Lookup Tables'!$AH$114:$AS$154,MATCH(1,('Lookup Tables'!$AH$114:$AH$154=V159)*('Lookup Tables'!$AI$114:$AI$154=W159),FALSE),12))))), "N")</f>
        <v/>
      </c>
      <c r="BT159" s="184" t="str">
        <f>IF(J159="", "", IF(AND(OR(W159="Freezer case Lighting", W159="Refrigerated Case Lighting with Doors"),'General Information'!$X$18="LCI"), "N", IF(OR(VLOOKUP(J159, 'Fixture Identities'!$A$6:$B$1023, 2, FALSE)="T12 EPACT/EISA Baseline", VLOOKUP(J159, 'Fixture Identities'!$A$6:$B$1023, 2, FALSE)="Linear Fluorescent", VLOOKUP(J159, 'Fixture Identities'!$A$6:$B$1023, 2, FALSE)="U-Tube Fluorescent"), "Y", "N")))</f>
        <v/>
      </c>
      <c r="BU159" s="184" t="str">
        <f>IFERROR(IF(B159="", "", IF(VLOOKUP(J159, 'Fixture Identities'!$A$6:$B$1023, 2, FALSE)="Exit Sign", "Y", "N")), "N")</f>
        <v/>
      </c>
      <c r="BV159" s="184" t="str">
        <f>IF(V159="Exit Signs", IF(VLOOKUP(J159, 'Fixture Identities'!$A$6:$B$1023, 2, FALSE)="Exit Sign", "N", "Y"), "")</f>
        <v/>
      </c>
      <c r="BW159" s="184" t="str">
        <f t="array" ref="BW159">IFERROR(IF(B159="", "", IF(B159="New Construction", "N", INDEX('Lookup Tables'!$AH$6:$AU$102, MATCH(1, ('Lookup Tables'!$AH$6:$AH$102='Lighting Inventory'!V159)*('Lookup Tables'!$AI$6:$AI$102='Lighting Inventory'!W159), 0), 14))), "N")</f>
        <v/>
      </c>
      <c r="BX159" s="598" t="str">
        <f t="shared" si="463"/>
        <v/>
      </c>
      <c r="BY159" s="598" t="str">
        <f t="shared" si="464"/>
        <v/>
      </c>
      <c r="BZ159" s="598" t="str">
        <f t="shared" si="465"/>
        <v/>
      </c>
      <c r="CA159" s="598" t="str">
        <f t="shared" si="466"/>
        <v/>
      </c>
      <c r="CB159" s="269" t="str">
        <f t="shared" si="467"/>
        <v/>
      </c>
      <c r="CC159" s="517" t="str">
        <f t="shared" si="468"/>
        <v/>
      </c>
      <c r="CD159" s="565" t="str">
        <f t="shared" si="408"/>
        <v/>
      </c>
      <c r="CE159" s="368">
        <v>0</v>
      </c>
      <c r="CF159" s="368" t="str" cm="1">
        <f t="array" ref="CF159">IFERROR(IF(V159="Custom", "$0.1 per kWh", IF(B159="New Construction", CONCATENATE("$",INDEX('Lookup Tables'!$AH$114:$AN$154,MATCH(1,('Lookup Tables'!$AH$114:$AH$154='Lighting Inventory'!V159)*('Lookup Tables'!$AI$114:$AI$154='Lighting Inventory'!W159),FALSE),6)," ",INDEX('Lookup Tables'!$AH$114:$AN$154,MATCH(1,('Lookup Tables'!$AH$114:$AH$154='Lighting Inventory'!V159)*('Lookup Tables'!$AI$114:$AI$154='Lighting Inventory'!W159),FALSE),7)), IF(AND(BU159="N", V159="Exit Signs"), "$0.025 per kWh", CONCATENATE("$",INDEX('Lookup Tables'!$AH$6:$AN$102,MATCH(1,('Lookup Tables'!$AH$6:$AH$102='Lighting Inventory'!V159)*('Lookup Tables'!$AI$6:$AI$102='Lighting Inventory'!W159),FALSE),6)," ",INDEX('Lookup Tables'!$AH$6:$AN$102,MATCH(1,('Lookup Tables'!$AH$6:$AH$102='Lighting Inventory'!V159)*('Lookup Tables'!$AI$6:$AI$102='Lighting Inventory'!W159),FALSE),7))))), "")</f>
        <v/>
      </c>
      <c r="CG159" s="366"/>
      <c r="CH159" s="248" t="str">
        <f t="shared" si="409"/>
        <v/>
      </c>
      <c r="CI159" s="248" t="str">
        <f t="shared" si="410"/>
        <v>Select_IE</v>
      </c>
      <c r="CJ159" s="248" t="str">
        <f t="shared" si="411"/>
        <v/>
      </c>
      <c r="CK159" s="248" t="str">
        <f t="shared" si="412"/>
        <v/>
      </c>
      <c r="CL159" s="248" t="str">
        <f t="shared" si="413"/>
        <v/>
      </c>
      <c r="CM159" s="248" t="str">
        <f>IFERROR(IF(B159="", "", IF(B159="New Construction", VLOOKUP(V159, 'Lookup Tables'!$AF$114:$AG$120, 2, FALSE), VLOOKUP(V159, 'Lookup Tables'!$AD$6:$AE$25, 2, FALSE))), "")</f>
        <v/>
      </c>
      <c r="CN159" s="248" t="str">
        <f t="shared" si="414"/>
        <v/>
      </c>
      <c r="CO159" s="248" t="str">
        <f t="shared" si="415"/>
        <v/>
      </c>
      <c r="CP159" s="592" t="str">
        <f t="shared" si="416"/>
        <v/>
      </c>
      <c r="CQ159" s="248" t="str">
        <f t="shared" si="469"/>
        <v/>
      </c>
      <c r="CR159" s="100"/>
      <c r="CS159" s="250" t="str">
        <f t="shared" si="417"/>
        <v/>
      </c>
      <c r="CT159" s="250" t="str">
        <f t="shared" si="470"/>
        <v/>
      </c>
      <c r="CU159" s="250" t="str">
        <f t="shared" si="471"/>
        <v/>
      </c>
      <c r="CV159" s="250" t="str">
        <f t="shared" si="472"/>
        <v/>
      </c>
      <c r="CW159" s="250" t="str">
        <f t="shared" si="473"/>
        <v/>
      </c>
      <c r="CX159" s="250" t="str">
        <f t="shared" si="418"/>
        <v/>
      </c>
      <c r="CY159" s="250" t="str">
        <f t="shared" si="419"/>
        <v/>
      </c>
      <c r="CZ159" s="250" t="str">
        <f t="shared" si="420"/>
        <v/>
      </c>
      <c r="DA159" s="250" t="str">
        <f t="shared" si="421"/>
        <v/>
      </c>
      <c r="DB159" s="250" t="str">
        <f t="shared" si="422"/>
        <v/>
      </c>
      <c r="DC159" s="250" t="str">
        <f t="shared" si="423"/>
        <v/>
      </c>
      <c r="DD159" s="250" t="str">
        <f t="shared" si="424"/>
        <v/>
      </c>
      <c r="DE159" s="250" t="str">
        <f t="shared" si="425"/>
        <v/>
      </c>
      <c r="DF159" s="250" t="str">
        <f t="shared" si="426"/>
        <v/>
      </c>
      <c r="DG159" s="250" t="str">
        <f t="shared" si="427"/>
        <v/>
      </c>
      <c r="DH159" s="250" t="str">
        <f t="shared" si="428"/>
        <v/>
      </c>
      <c r="DI159" s="250" t="str">
        <f t="shared" si="429"/>
        <v/>
      </c>
      <c r="DJ159" s="250" t="str">
        <f t="shared" si="430"/>
        <v/>
      </c>
      <c r="DK159" s="250" t="str">
        <f t="shared" si="431"/>
        <v/>
      </c>
      <c r="DL159" s="250" t="str">
        <f t="shared" si="432"/>
        <v/>
      </c>
      <c r="DM159" s="250" t="str">
        <f>IF(CD159="ERROR", "ERROR", IF(AND(OR(Y159=$DM$6, Y159='Lookup Tables'!$AD$21, Y159='Lookup Tables'!$AD$22), E159="Interior"), BJ159, ""))</f>
        <v/>
      </c>
      <c r="DN159" s="250" t="str">
        <f>IF(CD159="ERROR", "ERROR", IF(AND(OR(Y159=$DM$6, Y159='Lookup Tables'!$AD$21, Y159='Lookup Tables'!$AD$22), E159="Exterior"), BJ159, ""))</f>
        <v/>
      </c>
      <c r="DO159" s="100"/>
      <c r="DP159" s="250" t="str">
        <f t="shared" si="433"/>
        <v/>
      </c>
      <c r="DQ159" s="250" t="str">
        <f t="shared" si="474"/>
        <v/>
      </c>
      <c r="DR159" s="250" t="str">
        <f t="shared" si="475"/>
        <v/>
      </c>
      <c r="DS159" s="250" t="str">
        <f t="shared" si="476"/>
        <v/>
      </c>
      <c r="DT159" s="250" t="str">
        <f t="shared" si="477"/>
        <v/>
      </c>
      <c r="DU159" s="250" t="str">
        <f t="shared" si="434"/>
        <v/>
      </c>
      <c r="DV159" s="250" t="str">
        <f t="shared" si="435"/>
        <v/>
      </c>
      <c r="DW159" s="250" t="str">
        <f t="shared" si="436"/>
        <v/>
      </c>
      <c r="DX159" s="250" t="str">
        <f t="shared" si="437"/>
        <v/>
      </c>
      <c r="DY159" s="250" t="str">
        <f t="shared" si="438"/>
        <v/>
      </c>
      <c r="DZ159" s="250" t="str">
        <f t="shared" si="439"/>
        <v/>
      </c>
      <c r="EA159" s="250" t="str">
        <f t="shared" si="440"/>
        <v/>
      </c>
      <c r="EB159" s="250" t="str">
        <f t="shared" si="478"/>
        <v/>
      </c>
      <c r="EC159" s="250" t="str">
        <f t="shared" si="441"/>
        <v/>
      </c>
      <c r="ED159" s="250" t="str">
        <f t="shared" si="442"/>
        <v/>
      </c>
      <c r="EE159" s="250" t="str">
        <f t="shared" si="443"/>
        <v/>
      </c>
      <c r="EF159" s="250" t="str">
        <f t="shared" si="444"/>
        <v/>
      </c>
      <c r="EG159" s="250" t="str">
        <f t="shared" si="445"/>
        <v/>
      </c>
      <c r="EH159" s="250" t="str">
        <f>IF(CD159="ERROR", "ERROR", IF(AND(OR($EH$6=Y159, Y159='Lookup Tables'!$AD$21, Y159='Lookup Tables'!$AD$22),E159="Interior"), SUM(BP159:BP159), ""))</f>
        <v/>
      </c>
      <c r="EI159" s="250" t="str">
        <f>IF(CD159="ERROR", "ERROR", IF(AND(OR($EH$6=Y159, Y159='Lookup Tables'!$AD$21, Y159='Lookup Tables'!$AD$22),E159="Exterior"), SUM(BP159:BP159), ""))</f>
        <v/>
      </c>
      <c r="EJ159" s="109"/>
      <c r="EK159" s="485" t="str">
        <f t="shared" si="446"/>
        <v/>
      </c>
      <c r="EL159" s="252" t="str">
        <f t="shared" si="479"/>
        <v/>
      </c>
      <c r="EM159" s="252" t="str">
        <f t="shared" si="480"/>
        <v/>
      </c>
      <c r="EN159" s="252" t="str">
        <f t="shared" si="481"/>
        <v/>
      </c>
      <c r="EO159" s="252" t="str">
        <f t="shared" si="482"/>
        <v/>
      </c>
      <c r="EP159" s="252" t="str">
        <f t="shared" si="483"/>
        <v/>
      </c>
      <c r="EQ159" s="252" t="str">
        <f t="shared" si="484"/>
        <v/>
      </c>
      <c r="ER159" s="252" t="str">
        <f t="shared" si="485"/>
        <v/>
      </c>
      <c r="ES159" s="252" t="str">
        <f t="shared" si="486"/>
        <v/>
      </c>
      <c r="ET159" s="252" t="str">
        <f t="shared" si="487"/>
        <v/>
      </c>
      <c r="EU159" s="252" t="str">
        <f t="shared" si="488"/>
        <v/>
      </c>
      <c r="EV159" s="252" t="str">
        <f t="shared" si="489"/>
        <v/>
      </c>
      <c r="EW159" s="252" t="str">
        <f t="shared" si="490"/>
        <v/>
      </c>
      <c r="EX159" s="252" t="str">
        <f t="shared" si="491"/>
        <v/>
      </c>
      <c r="EY159" s="252" t="str">
        <f t="shared" si="492"/>
        <v/>
      </c>
      <c r="EZ159" s="252" t="str">
        <f t="shared" si="493"/>
        <v/>
      </c>
      <c r="FA159" s="252" t="str">
        <f t="shared" si="494"/>
        <v/>
      </c>
      <c r="FB159" s="252" t="str">
        <f t="shared" si="495"/>
        <v/>
      </c>
      <c r="FC159" s="252" t="str">
        <f>IF(CD159="ERROR", "ERROR", IF(OR(V159="No Change", V159="Not DLC or Energy Star"), "", IF(AND(OR($FC$6=Y159,Y159='Lookup Tables'!$AD$21, Y159='Lookup Tables'!$AD$22),E159="Interior"), S159, "")))</f>
        <v/>
      </c>
      <c r="FD159" s="252" t="str">
        <f t="shared" si="496"/>
        <v/>
      </c>
      <c r="FE159" s="101"/>
      <c r="FF159" s="579" t="str" cm="1">
        <f t="array" ref="FF159">IFERROR(IF(OR(BQ159&lt;=0,AQ159&lt;20,AND(V159="Exit Signs",AN159&gt;0)),"",IF(AND(AQ159&gt;=20,AN159='Lookup Tables'!$R$101),'Lookup Tables'!$U$101*BQ159,AP159*LOOKUP(2,1/((AN159='Lookup Tables'!$R$91:$R$111)*(AQ159&gt;='Lookup Tables'!$S$91:$S$111)*(AQ159&lt;='Lookup Tables'!$T$91:$T$111)),'Lookup Tables'!$U$91:$U$111))),"")</f>
        <v/>
      </c>
      <c r="FG159" s="579"/>
      <c r="FH159" s="579"/>
      <c r="FI159" s="253" t="str">
        <f>IFERROR(ROUND(IF(CD159="ERROR", "ERROR", IF(AND($FI$7=X159,E159="Interior"),VLOOKUP(W159, 'Lookup Tables'!$AI$6:$AM$102, 5, FALSE)*BP159, "")), 2), "")</f>
        <v/>
      </c>
      <c r="FJ159" s="253" t="str">
        <f>IFERROR(ROUND(IF(CD159="ERROR", "ERROR", IF(AND($FI$7=X159,E159="Exterior"),VLOOKUP(W159, 'Lookup Tables'!$AI$6:$AM$102, 5, FALSE)*BP159, "")), 2), "")</f>
        <v/>
      </c>
      <c r="FK159" s="253" t="str">
        <f>IFERROR(ROUND(IF(CD159="ERROR", "ERROR", IF(AND($FK$7=X159,E159="Interior"),VLOOKUP(W159, 'Lookup Tables'!$AI$6:$AM$102, 5, FALSE)*BP159, "")), 2), "")</f>
        <v/>
      </c>
      <c r="FL159" s="253" t="str">
        <f>IFERROR(ROUND(IF(CD159="ERROR", "ERROR", IF(AND($FK$7=X159,E159="Exterior"),VLOOKUP(W159, 'Lookup Tables'!$AI$6:$AM$102, 5, FALSE)*BP159, "")), 2), "")</f>
        <v/>
      </c>
      <c r="FM159" s="253" t="str">
        <f>IFERROR(ROUND(IF(CD159="ERROR", "ERROR", IF(AND($FM$6=Y159,E159="Interior"), IF(GB159=0, VLOOKUP(W159, 'Lookup Tables'!$AI$6:$AM$102, 5, FALSE)*BP159, IF(VLOOKUP(W159, 'Lookup Tables'!$AI$6:$AM$102, 5, FALSE)*BP159&gt;GB159*'Lighting Inventory'!S159, GB159*'Lighting Inventory'!S159,VLOOKUP(W159, 'Lookup Tables'!$AI$6:$AM$102, 5, FALSE)*BP159)), "")), 2), "")</f>
        <v/>
      </c>
      <c r="FN159" s="253" t="str">
        <f>IFERROR(ROUND(IF(CD159="ERROR", "ERROR", IF(AND($FM$6=Y159,E159="Exterior"), IF(GB159=0, VLOOKUP(W159, 'Lookup Tables'!$AI$6:$AM$102, 5, FALSE)*BP159, IF(VLOOKUP(W159, 'Lookup Tables'!$AI$6:$AM$102, 5, FALSE)*BP159&gt;GB159*'Lighting Inventory'!S159, GB159*'Lighting Inventory'!S159,VLOOKUP(W159, 'Lookup Tables'!$AI$6:$AM$102, 5, FALSE)*BP159)), "")), 2), "")</f>
        <v/>
      </c>
      <c r="FO159" s="253" t="str">
        <f>IFERROR(ROUND(IF(CD159="ERROR", "ERROR", IF(AND($FO$6=Y159,E159="Interior"),VLOOKUP(W159, 'Lookup Tables'!$AI$6:$AM$102, 5, FALSE)*'Lighting Inventory'!AI159, "")), 2), "")</f>
        <v/>
      </c>
      <c r="FP159" s="253" t="str">
        <f>IFERROR(ROUND(IF(CD159="ERROR", "ERROR", IF(AND($FO$6=Y159,E159="Exterior"),VLOOKUP(W159, 'Lookup Tables'!$AI$6:$AM$102, 5, FALSE)*'Lighting Inventory'!AI159, "")), 2), "")</f>
        <v/>
      </c>
      <c r="FQ159" s="253" t="str">
        <f>IFERROR(ROUND(IF(CD159="ERROR", "ERROR", IF(AND($FQ$6=Y159,E159="Interior", BU159="Y"), VLOOKUP('Lighting Inventory'!W159, 'Lookup Tables'!$AI$6:$AM$102, 5, FALSE)*'Lighting Inventory'!S159, IF(AND($FQ$7=Y159,E159="Interior", BU159="N"), 0.025*CD159, ""))), 2), "")</f>
        <v/>
      </c>
      <c r="FR159" s="253" t="str">
        <f>IFERROR(ROUND(IF(CD159="ERROR", "ERROR", IF(AND($FQ$6=Y159,E159="Exterior"), VLOOKUP('Lighting Inventory'!W159, 'Lookup Tables'!$AI$6:$AM$102, 5, FALSE)*'Lighting Inventory'!S159, "")), 2), "")</f>
        <v/>
      </c>
      <c r="FS159" s="253" t="str">
        <f>IFERROR(ROUND(IF(CD159="ERROR", "ERROR", IF(AND($FS$6=Y159,E159="Exterior"), IF(GB159=0, VLOOKUP(W159, 'Lookup Tables'!$AI$6:$AM$102, 5, FALSE)*BP159, IF(VLOOKUP(W159, 'Lookup Tables'!$AI$6:$AM$102, 5, FALSE)*BP159&gt;GB159*'Lighting Inventory'!S159, GB159*'Lighting Inventory'!S159,VLOOKUP(W159, 'Lookup Tables'!$AI$6:$AM$102, 5, FALSE)*BP159)), "")), 2), "")</f>
        <v/>
      </c>
      <c r="FT159" s="253" t="str">
        <f>IFERROR(ROUND(IF(CD159="ERROR", "ERROR", IF(AND($FT$6=Y159,E159="Interior"), IF(GB159=0, VLOOKUP(W159, 'Lookup Tables'!$AI$6:$AM$102, 5, FALSE)*BP159, IF(VLOOKUP(W159, 'Lookup Tables'!$AI$6:$AM$102, 5, FALSE)*BP159&gt;GB159*'Lighting Inventory'!S159, GB159*'Lighting Inventory'!S159,VLOOKUP(W159, 'Lookup Tables'!$AI$6:$AM$102, 5, FALSE)*BP159)), "")), 2), "")</f>
        <v/>
      </c>
      <c r="FU159" s="253" t="str">
        <f>IFERROR(ROUND(IF(CD159="ERROR", "ERROR", IF(AND(Y159=$FU$6, E159="Interior"), IF(BS159="N", 'Lookup Tables'!$AM$101*BP159, VLOOKUP(W159, 'Lookup Tables'!$AI$6:$AM$102, 5, FALSE)*S159*AD159), "")), 2), "")</f>
        <v/>
      </c>
      <c r="FV159" s="253" t="str">
        <f>IFERROR(ROUND(IF(CD159="ERROR", "ERROR", IF(AND(Y159=$FU$6, E159="Exterior"), IF(BS159="N", 'Lookup Tables'!$AM$101*BP159, VLOOKUP(W159, 'Lookup Tables'!$AI$6:$AM$102, 5, FALSE)*S159*AD159), "")), 2), "")</f>
        <v/>
      </c>
      <c r="FW159" s="253" t="str">
        <f>IFERROR(ROUND(IF(CD159="ERROR", "ERROR", IF($FW$6=Y159, IF(BS159="N", 'Lookup Tables'!$AM$101*BP159, MIN((VLOOKUP(W159, 'Lookup Tables'!$AI$6:$AM$102, 5, FALSE)*BP159),GB159*AJ159)), "")), 2), "")</f>
        <v/>
      </c>
      <c r="FX159" s="253" t="str">
        <f>IFERROR(ROUND(IF(CD159="ERROR", "ERROR", IF(AND($FX$6=Y159, E159="Interior"), IF(VLOOKUP(W159, 'Lookup Tables'!$AI$6:$AM$102, 5, FALSE)*BP159&gt;'Lookup Tables'!$AQ$97*'Lighting Inventory'!S159,'Lighting Inventory'!S159*'Lookup Tables'!$AQ$97,VLOOKUP(W159, 'Lookup Tables'!$AI$6:$AM$102, 5, FALSE)*BP159), "")), 2), "")</f>
        <v/>
      </c>
      <c r="FY159" s="253" t="str">
        <f>IFERROR(ROUND(IF(CD159="ERROR", "ERROR", IF(AND($FX$6=Y159, E159="Exterior"), IF(VLOOKUP(W159, 'Lookup Tables'!$AI$6:$AM$102, 5, FALSE)*BP159&gt;'Lookup Tables'!$AQ$97*'Lighting Inventory'!S159,'Lighting Inventory'!S159*'Lookup Tables'!$AQ$97,VLOOKUP(W159, 'Lookup Tables'!$AI$6:$AM$102, 5, FALSE)*BP159), "")), 2), "")</f>
        <v/>
      </c>
      <c r="FZ159" s="253" t="str">
        <f>IFERROR(ROUND(IF(CD159="ERROR", "ERROR", IF(AND($FZ$6=Y159, E159="Interior"), IF(AND(OR(W159="Refrigerated Case Lighting with Doors", W159="Freezer Case Lighting"),Y159="Custom - Process Improvement"),CD159*'Lookup Tables'!$AM$101, IF(B159="Retrofit", IF(VLOOKUP(IF(V159="Custom", V159, W159), 'Lookup Tables'!$AI$6:$AM$102, 5, FALSE)*BP159&gt;GE159, GE159, VLOOKUP(IF(V159="Custom", V159, W159), 'Lookup Tables'!$AI$6:$AM$102, 5, FALSE)*BP159), IF(VLOOKUP(IF(V159="Custom", V159, W159), 'Lookup Tables'!$AI$114:$AM$154, 5, FALSE)*BP159&gt;GE159, GE159, VLOOKUP(IF(V159="Custom", V159, W159), 'Lookup Tables'!$AI$114:$AM$154, 5, FALSE)*BP159))), "")), 2),"")</f>
        <v/>
      </c>
      <c r="GA159" s="253" t="str">
        <f>IFERROR(ROUND(IF(CD159="ERROR", "ERROR", IF(AND($FZ$6=Y159, E159="Exterior"), IF(B159="Retrofit", IF(VLOOKUP(IF(V159="Custom", V159, W159), 'Lookup Tables'!$AI$6:$AM$102, 5, FALSE)*BP159&gt;GE159, GE159, VLOOKUP(IF(V159="Custom", V159, W159), 'Lookup Tables'!$AI$6:$AM$102, 5, FALSE)*BP159), IF(VLOOKUP(IF(V159="Custom", V159, W159), 'Lookup Tables'!$AI$114:$AM$154, 5, FALSE)*BP159&gt;GE159, GE159, VLOOKUP(IF(V159="Custom", V159, W159), 'Lookup Tables'!$AI$114:$AM$154, 5, FALSE)*BP159)), "")), 2),"")</f>
        <v/>
      </c>
      <c r="GB159" s="254" t="str">
        <f t="array" ref="GB159">IF(B159="","",IF(OR(V159="Custom",V159="No Change"),0,IF(B159="Retrofit", INDEX('Lookup Tables'!$AH$6:$AQ$102,MATCH(1,('Lookup Tables'!$AH$6:$AH$102='Lighting Inventory'!V159)*('Lookup Tables'!$AI$6:$AI$102='Lighting Inventory'!W159),FALSE),10),INDEX('Lookup Tables'!$AH$114:$AQ$154,MATCH(1,('Lookup Tables'!$AH$114:$AH$154='Lighting Inventory'!V159)*('Lookup Tables'!$AI$114:$AI$154='Lighting Inventory'!W159),FALSE),10))))</f>
        <v/>
      </c>
      <c r="GC159" s="255" t="str">
        <f t="shared" si="447"/>
        <v/>
      </c>
      <c r="GD159" s="250" t="str">
        <f t="shared" si="448"/>
        <v/>
      </c>
      <c r="GE159" s="253" t="str">
        <f>IFERROR(IF(AND(AF159="", 'General Information'!$F$18="No"),"", IF(AF159="", ((GD159/$CD$266)*$CF$266)*0.5, AF159*S159*0.5)), "")</f>
        <v/>
      </c>
      <c r="GF159" s="255" t="str">
        <f>IF(AND('General Information'!$F$19="", 'General Information'!$F$18="Yes",AF159="",BW159="Y"), "Y", "N")</f>
        <v>N</v>
      </c>
      <c r="GG159" s="255" t="s">
        <v>2946</v>
      </c>
      <c r="GH159" s="255" t="str">
        <f>IFERROR(IF(B159="", "", VLOOKUP(J159, 'Fixture Identities'!$A$6:$N$908, 14, FALSE)), "")</f>
        <v/>
      </c>
      <c r="GI159" s="389" t="str">
        <f>IF(OR(B159="", V159="", W159=""), "", IF(AND(OR(M159='Lookup Tables'!$R$18, M159='Lookup Tables'!$R$19, M159='Lookup Tables'!$R$20, M159='Lookup Tables'!$R$21, M159='Lookup Tables'!$R$22), OR(AN159='Lookup Tables'!$R$17, AN159='Lookup Tables'!$R$17, AN159="")), "Y", "N"))</f>
        <v/>
      </c>
      <c r="GJ159" s="255" t="str">
        <f t="shared" si="449"/>
        <v/>
      </c>
      <c r="GK159" s="255" t="str">
        <f t="shared" si="450"/>
        <v/>
      </c>
      <c r="GL159" s="255" t="str">
        <f t="shared" si="451"/>
        <v/>
      </c>
      <c r="GM159" s="255" t="str">
        <f>IF(AN159="", "", IF(AND(IF(ISNA(VLOOKUP(AN159,'Lookup Tables'!$R$18:$R$22,1,FALSE)), "N", "Y")="Y", E159="Exterior"), "Y", "N"))</f>
        <v/>
      </c>
      <c r="GN159" s="395"/>
      <c r="GO159" s="428">
        <f t="shared" si="497"/>
        <v>0</v>
      </c>
      <c r="GP159" s="428">
        <f t="shared" si="500"/>
        <v>0</v>
      </c>
      <c r="GQ159" s="428">
        <f t="shared" si="498"/>
        <v>0</v>
      </c>
      <c r="GR159" s="428">
        <f t="shared" si="499"/>
        <v>0</v>
      </c>
    </row>
    <row r="160" spans="1:200" s="103" customFormat="1" ht="13.5" customHeight="1" x14ac:dyDescent="0.2">
      <c r="A160" s="272">
        <v>150</v>
      </c>
      <c r="B160" s="110"/>
      <c r="C160" s="110"/>
      <c r="D160" s="110"/>
      <c r="E160" s="110"/>
      <c r="F160" s="110"/>
      <c r="G160" s="110"/>
      <c r="H160" s="110"/>
      <c r="I160" s="29"/>
      <c r="J160" s="29"/>
      <c r="K160" s="272" t="str">
        <f>IFERROR(IF(OR(VLOOKUP(J160, 'Fixture Identities'!$A$6:$L$1023, 3, FALSE)="T12 Linear Fluorescent", VLOOKUP(J160, 'Fixture Identities'!$A$6:$L$1023, 3, FALSE)="T12 U-Tube Fluorescent"), VLOOKUP(VLOOKUP(J160, 'Fixture Identities'!$A$6:$L$1023, 11, FALSE), 'Fixture Identities'!$A$6:$L$1023, 10, FALSE), VLOOKUP(J160, 'Fixture Identities'!$A$6:$L$1023, 10, FALSE)), "")</f>
        <v/>
      </c>
      <c r="L160" s="270" t="str">
        <f t="shared" si="502"/>
        <v/>
      </c>
      <c r="M160" s="110"/>
      <c r="N160" s="110"/>
      <c r="O160" s="110"/>
      <c r="P160" s="272" t="str">
        <f>IFERROR(IF(OR(B160="Retrofit",B160=""),"",IF('Lighting Inventory'!E160="Exterior",VLOOKUP('Lighting Inventory'!N160,'Lookup Tables'!$B$83:$F$103,5,FALSE),IF(N160="Other - Please Estimate EFLH and CFs","Contact Prog. Rep.","ft^2"))), "")</f>
        <v/>
      </c>
      <c r="Q160" s="270" t="str">
        <f>IFERROR(IF(AND(B160="New Construction",E160="Interior",$F$5="Space-by-Space"),VLOOKUP('Lighting Inventory'!N160,'Lookup Tables'!$N$6:$O$97,2,FALSE),IF(AND(B160="New Construction",E160="Exterior"),VLOOKUP(N160,'Lookup Tables'!$B$83:$F$103,2,FALSE),IF(AND(B160="New Construction",'Lighting Inventory'!E160="Interior", $F$5="Building Area"),VLOOKUP(F160,'Lookup Tables'!$A$6:$J$59,10,FALSE),""))), "")</f>
        <v/>
      </c>
      <c r="R160" s="270" t="str">
        <f>IFERROR(IF(P160="Contact Prog. Rep.", "ERROR", IF(OR(B160="",B160="Retrofit"),"",IF(N160="Automated teller machines", ('Lookup Tables'!$A$82:$E$100+('Lighting Inventory'!O160-1)*'Lookup Tables'!$A$82:$E$100)/1000, (Q160*O160)/1000))), "")</f>
        <v/>
      </c>
      <c r="S160" s="595"/>
      <c r="T160" s="105" t="str">
        <f t="shared" si="452"/>
        <v/>
      </c>
      <c r="U160" s="105" t="str">
        <f>IF(S160="","",COUNT($S$11:S160))</f>
        <v/>
      </c>
      <c r="V160" s="111"/>
      <c r="W160" s="112"/>
      <c r="X160" s="105" t="str">
        <f t="shared" si="453"/>
        <v/>
      </c>
      <c r="Y160" s="105" t="str">
        <f t="array" ref="Y160">IF(AND(OR(W160="Freezer Case Lighting", W160="Refrigerated Case Lighting with Doors"), 'General Information'!$X$18="LCI"),'Lookup Tables'!$Y$34, IF(V160="Custom", VLOOKUP(W160, 'Fixture Identities'!$A$974:$M$1023, 13, FALSE), IF(V160="No Change",'Lookup Tables'!$Y$29,IF(OR(V160="",W160=""),"",IF(AND(S160=0,S160&lt;I160,B160="Retrofit"),'Lookup Tables'!$Y$25, IF(B160="Retrofit", INDEX('Lookup Tables'!$AH$6:$AP$102, MATCH(1, ('Lookup Tables'!$AH$6:$AH$102=V160)*('Lookup Tables'!$AI$6:$AI$102=W160), 0), IF('Lighting Inventory'!E160="Interior", 4, 5)), INDEX('Lookup Tables'!$AH$114:$AP$154, MATCH(1, ('Lookup Tables'!$AH$114:$AH$154=V160)*('Lookup Tables'!$AI$114:$AI$154=W160), 0), IF('Lighting Inventory'!E160="Interior", 4, 5))))))))</f>
        <v/>
      </c>
      <c r="Z160" s="105" t="str">
        <f>IFERROR(INDEX('Lookup Tables'!$AH$158:$AH$172,MATCH('Lighting Inventory'!Y160,'Lookup Tables'!$AI$158:$AI$172,0)),"")</f>
        <v/>
      </c>
      <c r="AA160" s="105" t="str">
        <f>IF(AP160&gt;0,INDEX('Lookup Tables'!$AK$158:$AK$172,MATCH('Lighting Inventory'!Y160,'Lookup Tables'!$AI$158:$AI$172,0)),'Lighting Inventory'!Y160)</f>
        <v/>
      </c>
      <c r="AB160" s="105" t="str">
        <f t="array" ref="AB160">IF(V160="Custom", "Custom", IF(V160="", "", IF(V160="Not DLC or Energy Star", "General", IF(B160="New Construction", INDEX('Lookup Tables'!$AH$114:$AP$154,MATCH(1,('Lookup Tables'!$AH$114:$AH$154='Lighting Inventory'!V160)*('Lookup Tables'!$AI$114:$AI$154='Lighting Inventory'!W160),FALSE),8), INDEX('Lookup Tables'!$AH$6:$AP$102,MATCH(1,('Lookup Tables'!$AH$6:$AH$102='Lighting Inventory'!V160)*('Lookup Tables'!$AI$6:$AI$102='Lighting Inventory'!W160),FALSE),8)))))</f>
        <v/>
      </c>
      <c r="AC160" s="272" t="str">
        <f>IF(W160="","",IF(V160="Custom",CONCATENATE("$",'Lookup Tables'!$AM$101," ",'Lookup Tables'!$AN$101),CONCATENATE("$",INDEX('Lookup Tables'!$AM$6:$AM$102,MATCH('Lighting Inventory'!W160,'Lookup Tables'!$AI$6:$AI$102,0))," ",INDEX('Lookup Tables'!$AN$6:$AN$102,MATCH('Lighting Inventory'!W160,'Lookup Tables'!$AI$6:$AI$102,0)))))</f>
        <v/>
      </c>
      <c r="AD160" s="72"/>
      <c r="AE160" s="29"/>
      <c r="AF160" s="379"/>
      <c r="AG160" s="370" t="str">
        <f t="shared" si="401"/>
        <v/>
      </c>
      <c r="AH160" s="370" t="str">
        <f t="shared" si="454"/>
        <v/>
      </c>
      <c r="AI160" s="29"/>
      <c r="AJ160" s="29"/>
      <c r="AK160" s="110"/>
      <c r="AL160" s="375" t="str">
        <f>IF(OR(B160="", V160="", W160=""), "", IF(V160="No Change", K160, IF(V160="Remove Fixture", 0, IF(V160="Custom",VLOOKUP(W160,'Fixture Identities'!$A$6:$K$1023,10,FALSE),IF(AE160="", "← ENTER POST WATTS", 'Lighting Inventory'!AE160)))))</f>
        <v/>
      </c>
      <c r="AM160" s="376" t="str">
        <f t="shared" si="402"/>
        <v/>
      </c>
      <c r="AN160" s="29"/>
      <c r="AO160" s="671"/>
      <c r="AP160" s="29"/>
      <c r="AQ160" s="29"/>
      <c r="AR160" s="29"/>
      <c r="AS160" s="272" t="str">
        <f t="shared" si="455"/>
        <v/>
      </c>
      <c r="AT160" s="270" t="str">
        <f t="shared" si="403"/>
        <v/>
      </c>
      <c r="AU160" s="88" t="str">
        <f t="shared" si="503"/>
        <v/>
      </c>
      <c r="AV160" s="29"/>
      <c r="AW160" s="73"/>
      <c r="AX160" s="271" t="str">
        <f>IF(AND(AV160="Applicant",OR(AW160="", AW160="Use Default Facility Hours")),"← Choose Schedule",IF(F160="","",IF(W160="LED Exit Signs",8760,IF(OR(AV160="Prescribed",AV160=""),VLOOKUP(F160,'Lookup Tables'!$A$6:$G$59,IF(AB160="General", 6, 3),FALSE),VLOOKUP(AW160,'Lookup Tables'!$S$36:$U$43,2,FALSE)))))</f>
        <v/>
      </c>
      <c r="AY160" s="88" t="str">
        <f t="shared" si="404"/>
        <v/>
      </c>
      <c r="AZ160" s="270" t="str">
        <f>IFERROR(IF(F160="", "", IF(W160="LED Exit Signs", 1, IF(AV160="Applicant",VLOOKUP(AW160, 'Lookup Tables'!$S$36:$U$43,3, FALSE), VLOOKUP('Lighting Inventory'!F160, 'Lookup Tables'!$A$6:$H$59, IF('Lighting Inventory'!AB160="General",7,4), FALSE)))), "")</f>
        <v/>
      </c>
      <c r="BA160" s="522" t="str">
        <f>IFERROR(IF(F160="", "", IF(W160="LED Exit Signs", 1, VLOOKUP('Lighting Inventory'!F160, 'Lookup Tables'!$A$6:$H$59, IF('Lighting Inventory'!AB160="General",8,5), FALSE))), "")</f>
        <v/>
      </c>
      <c r="BB160" s="270" t="str">
        <f>IF(G160="", "", IF(E160="Exterior", 0, IF('Lighting Inventory'!G160="Air Conditioned", VLOOKUP(H160, 'Lookup Tables'!$R$6:$T$13, 2, FALSE), VLOOKUP('Lighting Inventory'!G160, 'Lookup Tables'!$R$6:$T$13, 2, FALSE))))</f>
        <v/>
      </c>
      <c r="BC160" s="522" t="str">
        <f>IF(G160="", "", IF(E160="Exterior", 0, IF('Lighting Inventory'!G160="Air Conditioned", VLOOKUP(H160, 'Lookup Tables'!$R$6:$T$13, 3, FALSE), VLOOKUP('Lighting Inventory'!G160, 'Lookup Tables'!$R$6:$T$13, 3, FALSE))))</f>
        <v/>
      </c>
      <c r="BD160" s="270" t="str">
        <f>IF(G160="", "", IF(E160="Exterior", 0, IF('Lighting Inventory'!G160="Air Conditioned", VLOOKUP(H160, 'Lookup Tables'!$R$6:$U$13, 4, FALSE), VLOOKUP('Lighting Inventory'!G160, 'Lookup Tables'!$R$6:$U$13, 4, FALSE))))</f>
        <v/>
      </c>
      <c r="BE160" s="270" t="str">
        <f>IFERROR(IF(B160="", "",  IF(B160="New Construction", VLOOKUP(F160, 'Lookup Tables'!$A$6:$K$59, 11, FALSE),IF(OR(AN160="", AN160="Light Switch"), 0, IF(OR(M160="",M160="None",V160= "LED Exit Signs"),0,_xlfn.XLOOKUP(M160,'Lookup Tables'!$R$91:$R$101,'Lookup Tables'!$V$91:$V$101))))), "")</f>
        <v/>
      </c>
      <c r="BF160" s="270" t="str">
        <f>IF(AND(OR(AN160="Light Switch",AN160=""),B160="New Construction"), VLOOKUP(F160, 'Lookup Tables'!$A$6:$K$59, 11, FALSE),IF(AN160="","",IF(B160="","",IF(OR(AN160="None",AN160="",V160="LED Exit Signs",AN160="Exterior Controls Not Eligible"),0,_xlfn.XLOOKUP(AN160,'Lookup Tables'!$R$91:$R$101,'Lookup Tables'!$V$91:$V$101)))))</f>
        <v/>
      </c>
      <c r="BG160" s="88" t="str">
        <f t="shared" si="456"/>
        <v/>
      </c>
      <c r="BH160" s="88" t="str">
        <f t="shared" si="457"/>
        <v/>
      </c>
      <c r="BI160" s="558" t="str">
        <f t="shared" si="501"/>
        <v/>
      </c>
      <c r="BJ160" s="82" t="str">
        <f t="shared" si="458"/>
        <v/>
      </c>
      <c r="BK160" s="82" t="str">
        <f t="shared" si="459"/>
        <v/>
      </c>
      <c r="BL160" s="559" t="str">
        <f t="shared" si="460"/>
        <v/>
      </c>
      <c r="BM160" s="521" t="str">
        <f t="shared" si="405"/>
        <v/>
      </c>
      <c r="BN160" s="521" t="str">
        <f t="shared" si="406"/>
        <v/>
      </c>
      <c r="BO160" s="522" t="str">
        <f t="shared" si="407"/>
        <v/>
      </c>
      <c r="BP160" s="83" t="str">
        <f t="shared" si="461"/>
        <v/>
      </c>
      <c r="BQ160" s="84" t="str">
        <f t="shared" si="462"/>
        <v/>
      </c>
      <c r="BR160" s="184" t="str">
        <f>IFERROR(IF(B160="", "", IF(OR(VLOOKUP(J160, 'Fixture Identities'!$A$6:$L$1023, 3, FALSE)="T12 Linear Fluorescent",VLOOKUP(J160, 'Fixture Identities'!$A$6:$L$1023, 3, FALSE)="T12 U-Tube Fluorescent"), "Y", "N")), "N")</f>
        <v/>
      </c>
      <c r="BS160" s="184" t="str">
        <f t="array" ref="BS160">IFERROR(IF(OR(B160="", V160="", W160=""), "", IF(V160="Custom", "N", IF(OR(W160="Freezer Case Lighting", W160="Refrigerated Case Lighting with Doors"), BT160, IF(B160="Retrofit", INDEX('Lookup Tables'!$AH$6:$AT$102,MATCH(1,('Lookup Tables'!$AH$6:$AH$102=V160)*('Lookup Tables'!$AI$6:$AI$102=W160),FALSE),IF(VLOOKUP(J160, 'Fixture Identities'!$A$6:$B$1023, 2, FALSE)="Incandescent",12, 13)), INDEX('Lookup Tables'!$AH$114:$AS$154,MATCH(1,('Lookup Tables'!$AH$114:$AH$154=V160)*('Lookup Tables'!$AI$114:$AI$154=W160),FALSE),12))))), "N")</f>
        <v/>
      </c>
      <c r="BT160" s="184" t="str">
        <f>IF(J160="", "", IF(AND(OR(W160="Freezer case Lighting", W160="Refrigerated Case Lighting with Doors"),'General Information'!$X$18="LCI"), "N", IF(OR(VLOOKUP(J160, 'Fixture Identities'!$A$6:$B$1023, 2, FALSE)="T12 EPACT/EISA Baseline", VLOOKUP(J160, 'Fixture Identities'!$A$6:$B$1023, 2, FALSE)="Linear Fluorescent", VLOOKUP(J160, 'Fixture Identities'!$A$6:$B$1023, 2, FALSE)="U-Tube Fluorescent"), "Y", "N")))</f>
        <v/>
      </c>
      <c r="BU160" s="184" t="str">
        <f>IFERROR(IF(B160="", "", IF(VLOOKUP(J160, 'Fixture Identities'!$A$6:$B$1023, 2, FALSE)="Exit Sign", "Y", "N")), "N")</f>
        <v/>
      </c>
      <c r="BV160" s="184" t="str">
        <f>IF(V160="Exit Signs", IF(VLOOKUP(J160, 'Fixture Identities'!$A$6:$B$1023, 2, FALSE)="Exit Sign", "N", "Y"), "")</f>
        <v/>
      </c>
      <c r="BW160" s="184" t="str">
        <f t="array" ref="BW160">IFERROR(IF(B160="", "", IF(B160="New Construction", "N", INDEX('Lookup Tables'!$AH$6:$AU$102, MATCH(1, ('Lookup Tables'!$AH$6:$AH$102='Lighting Inventory'!V160)*('Lookup Tables'!$AI$6:$AI$102='Lighting Inventory'!W160), 0), 14))), "N")</f>
        <v/>
      </c>
      <c r="BX160" s="598" t="str">
        <f t="shared" si="463"/>
        <v/>
      </c>
      <c r="BY160" s="598" t="str">
        <f t="shared" si="464"/>
        <v/>
      </c>
      <c r="BZ160" s="598" t="str">
        <f t="shared" si="465"/>
        <v/>
      </c>
      <c r="CA160" s="598" t="str">
        <f t="shared" si="466"/>
        <v/>
      </c>
      <c r="CB160" s="269" t="str">
        <f t="shared" si="467"/>
        <v/>
      </c>
      <c r="CC160" s="517" t="str">
        <f t="shared" si="468"/>
        <v/>
      </c>
      <c r="CD160" s="565" t="str">
        <f t="shared" si="408"/>
        <v/>
      </c>
      <c r="CE160" s="368">
        <v>0</v>
      </c>
      <c r="CF160" s="368" t="str" cm="1">
        <f t="array" ref="CF160">IFERROR(IF(V160="Custom", "$0.1 per kWh", IF(B160="New Construction", CONCATENATE("$",INDEX('Lookup Tables'!$AH$114:$AN$154,MATCH(1,('Lookup Tables'!$AH$114:$AH$154='Lighting Inventory'!V160)*('Lookup Tables'!$AI$114:$AI$154='Lighting Inventory'!W160),FALSE),6)," ",INDEX('Lookup Tables'!$AH$114:$AN$154,MATCH(1,('Lookup Tables'!$AH$114:$AH$154='Lighting Inventory'!V160)*('Lookup Tables'!$AI$114:$AI$154='Lighting Inventory'!W160),FALSE),7)), IF(AND(BU160="N", V160="Exit Signs"), "$0.025 per kWh", CONCATENATE("$",INDEX('Lookup Tables'!$AH$6:$AN$102,MATCH(1,('Lookup Tables'!$AH$6:$AH$102='Lighting Inventory'!V160)*('Lookup Tables'!$AI$6:$AI$102='Lighting Inventory'!W160),FALSE),6)," ",INDEX('Lookup Tables'!$AH$6:$AN$102,MATCH(1,('Lookup Tables'!$AH$6:$AH$102='Lighting Inventory'!V160)*('Lookup Tables'!$AI$6:$AI$102='Lighting Inventory'!W160),FALSE),7))))), "")</f>
        <v/>
      </c>
      <c r="CG160" s="366"/>
      <c r="CH160" s="248" t="str">
        <f t="shared" si="409"/>
        <v/>
      </c>
      <c r="CI160" s="248" t="str">
        <f t="shared" si="410"/>
        <v>Select_IE</v>
      </c>
      <c r="CJ160" s="248" t="str">
        <f t="shared" si="411"/>
        <v/>
      </c>
      <c r="CK160" s="248" t="str">
        <f t="shared" si="412"/>
        <v/>
      </c>
      <c r="CL160" s="248" t="str">
        <f t="shared" si="413"/>
        <v/>
      </c>
      <c r="CM160" s="248" t="str">
        <f>IFERROR(IF(B160="", "", IF(B160="New Construction", VLOOKUP(V160, 'Lookup Tables'!$AF$114:$AG$120, 2, FALSE), VLOOKUP(V160, 'Lookup Tables'!$AD$6:$AE$25, 2, FALSE))), "")</f>
        <v/>
      </c>
      <c r="CN160" s="248" t="str">
        <f t="shared" si="414"/>
        <v/>
      </c>
      <c r="CO160" s="248" t="str">
        <f t="shared" si="415"/>
        <v/>
      </c>
      <c r="CP160" s="592" t="str">
        <f t="shared" si="416"/>
        <v/>
      </c>
      <c r="CQ160" s="248" t="str">
        <f t="shared" si="469"/>
        <v/>
      </c>
      <c r="CR160" s="100"/>
      <c r="CS160" s="250" t="str">
        <f t="shared" si="417"/>
        <v/>
      </c>
      <c r="CT160" s="250" t="str">
        <f t="shared" si="470"/>
        <v/>
      </c>
      <c r="CU160" s="250" t="str">
        <f t="shared" si="471"/>
        <v/>
      </c>
      <c r="CV160" s="250" t="str">
        <f t="shared" si="472"/>
        <v/>
      </c>
      <c r="CW160" s="250" t="str">
        <f t="shared" si="473"/>
        <v/>
      </c>
      <c r="CX160" s="250" t="str">
        <f t="shared" si="418"/>
        <v/>
      </c>
      <c r="CY160" s="250" t="str">
        <f t="shared" si="419"/>
        <v/>
      </c>
      <c r="CZ160" s="250" t="str">
        <f t="shared" si="420"/>
        <v/>
      </c>
      <c r="DA160" s="250" t="str">
        <f t="shared" si="421"/>
        <v/>
      </c>
      <c r="DB160" s="250" t="str">
        <f t="shared" si="422"/>
        <v/>
      </c>
      <c r="DC160" s="250" t="str">
        <f t="shared" si="423"/>
        <v/>
      </c>
      <c r="DD160" s="250" t="str">
        <f t="shared" si="424"/>
        <v/>
      </c>
      <c r="DE160" s="250" t="str">
        <f t="shared" si="425"/>
        <v/>
      </c>
      <c r="DF160" s="250" t="str">
        <f t="shared" si="426"/>
        <v/>
      </c>
      <c r="DG160" s="250" t="str">
        <f t="shared" si="427"/>
        <v/>
      </c>
      <c r="DH160" s="250" t="str">
        <f t="shared" si="428"/>
        <v/>
      </c>
      <c r="DI160" s="250" t="str">
        <f t="shared" si="429"/>
        <v/>
      </c>
      <c r="DJ160" s="250" t="str">
        <f t="shared" si="430"/>
        <v/>
      </c>
      <c r="DK160" s="250" t="str">
        <f t="shared" si="431"/>
        <v/>
      </c>
      <c r="DL160" s="250" t="str">
        <f t="shared" si="432"/>
        <v/>
      </c>
      <c r="DM160" s="250" t="str">
        <f>IF(CD160="ERROR", "ERROR", IF(AND(OR(Y160=$DM$6, Y160='Lookup Tables'!$AD$21, Y160='Lookup Tables'!$AD$22), E160="Interior"), BJ160, ""))</f>
        <v/>
      </c>
      <c r="DN160" s="250" t="str">
        <f>IF(CD160="ERROR", "ERROR", IF(AND(OR(Y160=$DM$6, Y160='Lookup Tables'!$AD$21, Y160='Lookup Tables'!$AD$22), E160="Exterior"), BJ160, ""))</f>
        <v/>
      </c>
      <c r="DO160" s="100"/>
      <c r="DP160" s="250" t="str">
        <f t="shared" si="433"/>
        <v/>
      </c>
      <c r="DQ160" s="250" t="str">
        <f t="shared" si="474"/>
        <v/>
      </c>
      <c r="DR160" s="250" t="str">
        <f t="shared" si="475"/>
        <v/>
      </c>
      <c r="DS160" s="250" t="str">
        <f t="shared" si="476"/>
        <v/>
      </c>
      <c r="DT160" s="250" t="str">
        <f t="shared" si="477"/>
        <v/>
      </c>
      <c r="DU160" s="250" t="str">
        <f t="shared" si="434"/>
        <v/>
      </c>
      <c r="DV160" s="250" t="str">
        <f t="shared" si="435"/>
        <v/>
      </c>
      <c r="DW160" s="250" t="str">
        <f t="shared" si="436"/>
        <v/>
      </c>
      <c r="DX160" s="250" t="str">
        <f t="shared" si="437"/>
        <v/>
      </c>
      <c r="DY160" s="250" t="str">
        <f t="shared" si="438"/>
        <v/>
      </c>
      <c r="DZ160" s="250" t="str">
        <f t="shared" si="439"/>
        <v/>
      </c>
      <c r="EA160" s="250" t="str">
        <f t="shared" si="440"/>
        <v/>
      </c>
      <c r="EB160" s="250" t="str">
        <f t="shared" si="478"/>
        <v/>
      </c>
      <c r="EC160" s="250" t="str">
        <f t="shared" si="441"/>
        <v/>
      </c>
      <c r="ED160" s="250" t="str">
        <f t="shared" si="442"/>
        <v/>
      </c>
      <c r="EE160" s="250" t="str">
        <f t="shared" si="443"/>
        <v/>
      </c>
      <c r="EF160" s="250" t="str">
        <f t="shared" si="444"/>
        <v/>
      </c>
      <c r="EG160" s="250" t="str">
        <f t="shared" si="445"/>
        <v/>
      </c>
      <c r="EH160" s="250" t="str">
        <f>IF(CD160="ERROR", "ERROR", IF(AND(OR($EH$6=Y160, Y160='Lookup Tables'!$AD$21, Y160='Lookup Tables'!$AD$22),E160="Interior"), SUM(BP160:BP160), ""))</f>
        <v/>
      </c>
      <c r="EI160" s="250" t="str">
        <f>IF(CD160="ERROR", "ERROR", IF(AND(OR($EH$6=Y160, Y160='Lookup Tables'!$AD$21, Y160='Lookup Tables'!$AD$22),E160="Exterior"), SUM(BP160:BP160), ""))</f>
        <v/>
      </c>
      <c r="EJ160" s="109"/>
      <c r="EK160" s="485" t="str">
        <f t="shared" si="446"/>
        <v/>
      </c>
      <c r="EL160" s="252" t="str">
        <f t="shared" si="479"/>
        <v/>
      </c>
      <c r="EM160" s="252" t="str">
        <f t="shared" si="480"/>
        <v/>
      </c>
      <c r="EN160" s="252" t="str">
        <f t="shared" si="481"/>
        <v/>
      </c>
      <c r="EO160" s="252" t="str">
        <f t="shared" si="482"/>
        <v/>
      </c>
      <c r="EP160" s="252" t="str">
        <f t="shared" si="483"/>
        <v/>
      </c>
      <c r="EQ160" s="252" t="str">
        <f t="shared" si="484"/>
        <v/>
      </c>
      <c r="ER160" s="252" t="str">
        <f t="shared" si="485"/>
        <v/>
      </c>
      <c r="ES160" s="252" t="str">
        <f t="shared" si="486"/>
        <v/>
      </c>
      <c r="ET160" s="252" t="str">
        <f t="shared" si="487"/>
        <v/>
      </c>
      <c r="EU160" s="252" t="str">
        <f t="shared" si="488"/>
        <v/>
      </c>
      <c r="EV160" s="252" t="str">
        <f t="shared" si="489"/>
        <v/>
      </c>
      <c r="EW160" s="252" t="str">
        <f t="shared" si="490"/>
        <v/>
      </c>
      <c r="EX160" s="252" t="str">
        <f t="shared" si="491"/>
        <v/>
      </c>
      <c r="EY160" s="252" t="str">
        <f t="shared" si="492"/>
        <v/>
      </c>
      <c r="EZ160" s="252" t="str">
        <f t="shared" si="493"/>
        <v/>
      </c>
      <c r="FA160" s="252" t="str">
        <f t="shared" si="494"/>
        <v/>
      </c>
      <c r="FB160" s="252" t="str">
        <f t="shared" si="495"/>
        <v/>
      </c>
      <c r="FC160" s="252" t="str">
        <f>IF(CD160="ERROR", "ERROR", IF(OR(V160="No Change", V160="Not DLC or Energy Star"), "", IF(AND(OR($FC$6=Y160,Y160='Lookup Tables'!$AD$21, Y160='Lookup Tables'!$AD$22),E160="Interior"), S160, "")))</f>
        <v/>
      </c>
      <c r="FD160" s="252" t="str">
        <f t="shared" si="496"/>
        <v/>
      </c>
      <c r="FE160" s="101"/>
      <c r="FF160" s="579" t="str" cm="1">
        <f t="array" ref="FF160">IFERROR(IF(OR(BQ160&lt;=0,AQ160&lt;20,AND(V160="Exit Signs",AN160&gt;0)),"",IF(AND(AQ160&gt;=20,AN160='Lookup Tables'!$R$101),'Lookup Tables'!$U$101*BQ160,AP160*LOOKUP(2,1/((AN160='Lookup Tables'!$R$91:$R$111)*(AQ160&gt;='Lookup Tables'!$S$91:$S$111)*(AQ160&lt;='Lookup Tables'!$T$91:$T$111)),'Lookup Tables'!$U$91:$U$111))),"")</f>
        <v/>
      </c>
      <c r="FG160" s="579"/>
      <c r="FH160" s="579"/>
      <c r="FI160" s="253" t="str">
        <f>IFERROR(ROUND(IF(CD160="ERROR", "ERROR", IF(AND($FI$7=X160,E160="Interior"),VLOOKUP(W160, 'Lookup Tables'!$AI$6:$AM$102, 5, FALSE)*BP160, "")), 2), "")</f>
        <v/>
      </c>
      <c r="FJ160" s="253" t="str">
        <f>IFERROR(ROUND(IF(CD160="ERROR", "ERROR", IF(AND($FI$7=X160,E160="Exterior"),VLOOKUP(W160, 'Lookup Tables'!$AI$6:$AM$102, 5, FALSE)*BP160, "")), 2), "")</f>
        <v/>
      </c>
      <c r="FK160" s="253" t="str">
        <f>IFERROR(ROUND(IF(CD160="ERROR", "ERROR", IF(AND($FK$7=X160,E160="Interior"),VLOOKUP(W160, 'Lookup Tables'!$AI$6:$AM$102, 5, FALSE)*BP160, "")), 2), "")</f>
        <v/>
      </c>
      <c r="FL160" s="253" t="str">
        <f>IFERROR(ROUND(IF(CD160="ERROR", "ERROR", IF(AND($FK$7=X160,E160="Exterior"),VLOOKUP(W160, 'Lookup Tables'!$AI$6:$AM$102, 5, FALSE)*BP160, "")), 2), "")</f>
        <v/>
      </c>
      <c r="FM160" s="253" t="str">
        <f>IFERROR(ROUND(IF(CD160="ERROR", "ERROR", IF(AND($FM$6=Y160,E160="Interior"), IF(GB160=0, VLOOKUP(W160, 'Lookup Tables'!$AI$6:$AM$102, 5, FALSE)*BP160, IF(VLOOKUP(W160, 'Lookup Tables'!$AI$6:$AM$102, 5, FALSE)*BP160&gt;GB160*'Lighting Inventory'!S160, GB160*'Lighting Inventory'!S160,VLOOKUP(W160, 'Lookup Tables'!$AI$6:$AM$102, 5, FALSE)*BP160)), "")), 2), "")</f>
        <v/>
      </c>
      <c r="FN160" s="253" t="str">
        <f>IFERROR(ROUND(IF(CD160="ERROR", "ERROR", IF(AND($FM$6=Y160,E160="Exterior"), IF(GB160=0, VLOOKUP(W160, 'Lookup Tables'!$AI$6:$AM$102, 5, FALSE)*BP160, IF(VLOOKUP(W160, 'Lookup Tables'!$AI$6:$AM$102, 5, FALSE)*BP160&gt;GB160*'Lighting Inventory'!S160, GB160*'Lighting Inventory'!S160,VLOOKUP(W160, 'Lookup Tables'!$AI$6:$AM$102, 5, FALSE)*BP160)), "")), 2), "")</f>
        <v/>
      </c>
      <c r="FO160" s="253" t="str">
        <f>IFERROR(ROUND(IF(CD160="ERROR", "ERROR", IF(AND($FO$6=Y160,E160="Interior"),VLOOKUP(W160, 'Lookup Tables'!$AI$6:$AM$102, 5, FALSE)*'Lighting Inventory'!AI160, "")), 2), "")</f>
        <v/>
      </c>
      <c r="FP160" s="253" t="str">
        <f>IFERROR(ROUND(IF(CD160="ERROR", "ERROR", IF(AND($FO$6=Y160,E160="Exterior"),VLOOKUP(W160, 'Lookup Tables'!$AI$6:$AM$102, 5, FALSE)*'Lighting Inventory'!AI160, "")), 2), "")</f>
        <v/>
      </c>
      <c r="FQ160" s="253" t="str">
        <f>IFERROR(ROUND(IF(CD160="ERROR", "ERROR", IF(AND($FQ$6=Y160,E160="Interior", BU160="Y"), VLOOKUP('Lighting Inventory'!W160, 'Lookup Tables'!$AI$6:$AM$102, 5, FALSE)*'Lighting Inventory'!S160, IF(AND($FQ$7=Y160,E160="Interior", BU160="N"), 0.025*CD160, ""))), 2), "")</f>
        <v/>
      </c>
      <c r="FR160" s="253" t="str">
        <f>IFERROR(ROUND(IF(CD160="ERROR", "ERROR", IF(AND($FQ$6=Y160,E160="Exterior"), VLOOKUP('Lighting Inventory'!W160, 'Lookup Tables'!$AI$6:$AM$102, 5, FALSE)*'Lighting Inventory'!S160, "")), 2), "")</f>
        <v/>
      </c>
      <c r="FS160" s="253" t="str">
        <f>IFERROR(ROUND(IF(CD160="ERROR", "ERROR", IF(AND($FS$6=Y160,E160="Exterior"), IF(GB160=0, VLOOKUP(W160, 'Lookup Tables'!$AI$6:$AM$102, 5, FALSE)*BP160, IF(VLOOKUP(W160, 'Lookup Tables'!$AI$6:$AM$102, 5, FALSE)*BP160&gt;GB160*'Lighting Inventory'!S160, GB160*'Lighting Inventory'!S160,VLOOKUP(W160, 'Lookup Tables'!$AI$6:$AM$102, 5, FALSE)*BP160)), "")), 2), "")</f>
        <v/>
      </c>
      <c r="FT160" s="253" t="str">
        <f>IFERROR(ROUND(IF(CD160="ERROR", "ERROR", IF(AND($FT$6=Y160,E160="Interior"), IF(GB160=0, VLOOKUP(W160, 'Lookup Tables'!$AI$6:$AM$102, 5, FALSE)*BP160, IF(VLOOKUP(W160, 'Lookup Tables'!$AI$6:$AM$102, 5, FALSE)*BP160&gt;GB160*'Lighting Inventory'!S160, GB160*'Lighting Inventory'!S160,VLOOKUP(W160, 'Lookup Tables'!$AI$6:$AM$102, 5, FALSE)*BP160)), "")), 2), "")</f>
        <v/>
      </c>
      <c r="FU160" s="253" t="str">
        <f>IFERROR(ROUND(IF(CD160="ERROR", "ERROR", IF(AND(Y160=$FU$6, E160="Interior"), IF(BS160="N", 'Lookup Tables'!$AM$101*BP160, VLOOKUP(W160, 'Lookup Tables'!$AI$6:$AM$102, 5, FALSE)*S160*AD160), "")), 2), "")</f>
        <v/>
      </c>
      <c r="FV160" s="253" t="str">
        <f>IFERROR(ROUND(IF(CD160="ERROR", "ERROR", IF(AND(Y160=$FU$6, E160="Exterior"), IF(BS160="N", 'Lookup Tables'!$AM$101*BP160, VLOOKUP(W160, 'Lookup Tables'!$AI$6:$AM$102, 5, FALSE)*S160*AD160), "")), 2), "")</f>
        <v/>
      </c>
      <c r="FW160" s="253" t="str">
        <f>IFERROR(ROUND(IF(CD160="ERROR", "ERROR", IF($FW$6=Y160, IF(BS160="N", 'Lookup Tables'!$AM$101*BP160, MIN((VLOOKUP(W160, 'Lookup Tables'!$AI$6:$AM$102, 5, FALSE)*BP160),GB160*AJ160)), "")), 2), "")</f>
        <v/>
      </c>
      <c r="FX160" s="253" t="str">
        <f>IFERROR(ROUND(IF(CD160="ERROR", "ERROR", IF(AND($FX$6=Y160, E160="Interior"), IF(VLOOKUP(W160, 'Lookup Tables'!$AI$6:$AM$102, 5, FALSE)*BP160&gt;'Lookup Tables'!$AQ$97*'Lighting Inventory'!S160,'Lighting Inventory'!S160*'Lookup Tables'!$AQ$97,VLOOKUP(W160, 'Lookup Tables'!$AI$6:$AM$102, 5, FALSE)*BP160), "")), 2), "")</f>
        <v/>
      </c>
      <c r="FY160" s="253" t="str">
        <f>IFERROR(ROUND(IF(CD160="ERROR", "ERROR", IF(AND($FX$6=Y160, E160="Exterior"), IF(VLOOKUP(W160, 'Lookup Tables'!$AI$6:$AM$102, 5, FALSE)*BP160&gt;'Lookup Tables'!$AQ$97*'Lighting Inventory'!S160,'Lighting Inventory'!S160*'Lookup Tables'!$AQ$97,VLOOKUP(W160, 'Lookup Tables'!$AI$6:$AM$102, 5, FALSE)*BP160), "")), 2), "")</f>
        <v/>
      </c>
      <c r="FZ160" s="253" t="str">
        <f>IFERROR(ROUND(IF(CD160="ERROR", "ERROR", IF(AND($FZ$6=Y160, E160="Interior"), IF(AND(OR(W160="Refrigerated Case Lighting with Doors", W160="Freezer Case Lighting"),Y160="Custom - Process Improvement"),CD160*'Lookup Tables'!$AM$101, IF(B160="Retrofit", IF(VLOOKUP(IF(V160="Custom", V160, W160), 'Lookup Tables'!$AI$6:$AM$102, 5, FALSE)*BP160&gt;GE160, GE160, VLOOKUP(IF(V160="Custom", V160, W160), 'Lookup Tables'!$AI$6:$AM$102, 5, FALSE)*BP160), IF(VLOOKUP(IF(V160="Custom", V160, W160), 'Lookup Tables'!$AI$114:$AM$154, 5, FALSE)*BP160&gt;GE160, GE160, VLOOKUP(IF(V160="Custom", V160, W160), 'Lookup Tables'!$AI$114:$AM$154, 5, FALSE)*BP160))), "")), 2),"")</f>
        <v/>
      </c>
      <c r="GA160" s="253" t="str">
        <f>IFERROR(ROUND(IF(CD160="ERROR", "ERROR", IF(AND($FZ$6=Y160, E160="Exterior"), IF(B160="Retrofit", IF(VLOOKUP(IF(V160="Custom", V160, W160), 'Lookup Tables'!$AI$6:$AM$102, 5, FALSE)*BP160&gt;GE160, GE160, VLOOKUP(IF(V160="Custom", V160, W160), 'Lookup Tables'!$AI$6:$AM$102, 5, FALSE)*BP160), IF(VLOOKUP(IF(V160="Custom", V160, W160), 'Lookup Tables'!$AI$114:$AM$154, 5, FALSE)*BP160&gt;GE160, GE160, VLOOKUP(IF(V160="Custom", V160, W160), 'Lookup Tables'!$AI$114:$AM$154, 5, FALSE)*BP160)), "")), 2),"")</f>
        <v/>
      </c>
      <c r="GB160" s="254" t="str">
        <f t="array" ref="GB160">IF(B160="","",IF(OR(V160="Custom",V160="No Change"),0,IF(B160="Retrofit", INDEX('Lookup Tables'!$AH$6:$AQ$102,MATCH(1,('Lookup Tables'!$AH$6:$AH$102='Lighting Inventory'!V160)*('Lookup Tables'!$AI$6:$AI$102='Lighting Inventory'!W160),FALSE),10),INDEX('Lookup Tables'!$AH$114:$AQ$154,MATCH(1,('Lookup Tables'!$AH$114:$AH$154='Lighting Inventory'!V160)*('Lookup Tables'!$AI$114:$AI$154='Lighting Inventory'!W160),FALSE),10))))</f>
        <v/>
      </c>
      <c r="GC160" s="255" t="str">
        <f t="shared" si="447"/>
        <v/>
      </c>
      <c r="GD160" s="250" t="str">
        <f t="shared" si="448"/>
        <v/>
      </c>
      <c r="GE160" s="253" t="str">
        <f>IFERROR(IF(AND(AF160="", 'General Information'!$F$18="No"),"", IF(AF160="", ((GD160/$CD$266)*$CF$266)*0.5, AF160*S160*0.5)), "")</f>
        <v/>
      </c>
      <c r="GF160" s="255" t="str">
        <f>IF(AND('General Information'!$F$19="", 'General Information'!$F$18="Yes",AF160="",BW160="Y"), "Y", "N")</f>
        <v>N</v>
      </c>
      <c r="GG160" s="255" t="s">
        <v>2946</v>
      </c>
      <c r="GH160" s="255" t="str">
        <f>IFERROR(IF(B160="", "", VLOOKUP(J160, 'Fixture Identities'!$A$6:$N$908, 14, FALSE)), "")</f>
        <v/>
      </c>
      <c r="GI160" s="389" t="str">
        <f>IF(OR(B160="", V160="", W160=""), "", IF(AND(OR(M160='Lookup Tables'!$R$18, M160='Lookup Tables'!$R$19, M160='Lookup Tables'!$R$20, M160='Lookup Tables'!$R$21, M160='Lookup Tables'!$R$22), OR(AN160='Lookup Tables'!$R$17, AN160='Lookup Tables'!$R$17, AN160="")), "Y", "N"))</f>
        <v/>
      </c>
      <c r="GJ160" s="255" t="str">
        <f t="shared" si="449"/>
        <v/>
      </c>
      <c r="GK160" s="255" t="str">
        <f t="shared" si="450"/>
        <v/>
      </c>
      <c r="GL160" s="255" t="str">
        <f t="shared" si="451"/>
        <v/>
      </c>
      <c r="GM160" s="255" t="str">
        <f>IF(AN160="", "", IF(AND(IF(ISNA(VLOOKUP(AN160,'Lookup Tables'!$R$18:$R$22,1,FALSE)), "N", "Y")="Y", E160="Exterior"), "Y", "N"))</f>
        <v/>
      </c>
      <c r="GN160" s="395"/>
      <c r="GO160" s="428">
        <f t="shared" si="497"/>
        <v>0</v>
      </c>
      <c r="GP160" s="428">
        <f t="shared" si="500"/>
        <v>0</v>
      </c>
      <c r="GQ160" s="428">
        <f t="shared" si="498"/>
        <v>0</v>
      </c>
      <c r="GR160" s="428">
        <f t="shared" si="499"/>
        <v>0</v>
      </c>
    </row>
    <row r="161" spans="1:200" s="103" customFormat="1" ht="13.5" customHeight="1" x14ac:dyDescent="0.2">
      <c r="A161" s="272">
        <v>151</v>
      </c>
      <c r="B161" s="110"/>
      <c r="C161" s="110"/>
      <c r="D161" s="110"/>
      <c r="E161" s="110"/>
      <c r="F161" s="110"/>
      <c r="G161" s="110"/>
      <c r="H161" s="110"/>
      <c r="I161" s="29"/>
      <c r="J161" s="29"/>
      <c r="K161" s="272" t="str">
        <f>IFERROR(IF(OR(VLOOKUP(J161, 'Fixture Identities'!$A$6:$L$1023, 3, FALSE)="T12 Linear Fluorescent", VLOOKUP(J161, 'Fixture Identities'!$A$6:$L$1023, 3, FALSE)="T12 U-Tube Fluorescent"), VLOOKUP(VLOOKUP(J161, 'Fixture Identities'!$A$6:$L$1023, 11, FALSE), 'Fixture Identities'!$A$6:$L$1023, 10, FALSE), VLOOKUP(J161, 'Fixture Identities'!$A$6:$L$1023, 10, FALSE)), "")</f>
        <v/>
      </c>
      <c r="L161" s="270" t="str">
        <f t="shared" si="502"/>
        <v/>
      </c>
      <c r="M161" s="110"/>
      <c r="N161" s="110"/>
      <c r="O161" s="110"/>
      <c r="P161" s="272" t="str">
        <f>IFERROR(IF(OR(B161="Retrofit",B161=""),"",IF('Lighting Inventory'!E161="Exterior",VLOOKUP('Lighting Inventory'!N161,'Lookup Tables'!$B$83:$F$103,5,FALSE),IF(N161="Other - Please Estimate EFLH and CFs","Contact Prog. Rep.","ft^2"))), "")</f>
        <v/>
      </c>
      <c r="Q161" s="270" t="str">
        <f>IFERROR(IF(AND(B161="New Construction",E161="Interior",$F$5="Space-by-Space"),VLOOKUP('Lighting Inventory'!N161,'Lookup Tables'!$N$6:$O$97,2,FALSE),IF(AND(B161="New Construction",E161="Exterior"),VLOOKUP(N161,'Lookup Tables'!$B$83:$F$103,2,FALSE),IF(AND(B161="New Construction",'Lighting Inventory'!E161="Interior", $F$5="Building Area"),VLOOKUP(F161,'Lookup Tables'!$A$6:$J$59,10,FALSE),""))), "")</f>
        <v/>
      </c>
      <c r="R161" s="270" t="str">
        <f>IFERROR(IF(P161="Contact Prog. Rep.", "ERROR", IF(OR(B161="",B161="Retrofit"),"",IF(N161="Automated teller machines", ('Lookup Tables'!$A$82:$E$100+('Lighting Inventory'!O161-1)*'Lookup Tables'!$A$82:$E$100)/1000, (Q161*O161)/1000))), "")</f>
        <v/>
      </c>
      <c r="S161" s="595"/>
      <c r="T161" s="105" t="str">
        <f t="shared" si="452"/>
        <v/>
      </c>
      <c r="U161" s="105" t="str">
        <f>IF(S161="","",COUNT($S$11:S161))</f>
        <v/>
      </c>
      <c r="V161" s="111"/>
      <c r="W161" s="112"/>
      <c r="X161" s="105" t="str">
        <f t="shared" si="453"/>
        <v/>
      </c>
      <c r="Y161" s="105" t="str">
        <f t="array" ref="Y161">IF(AND(OR(W161="Freezer Case Lighting", W161="Refrigerated Case Lighting with Doors"), 'General Information'!$X$18="LCI"),'Lookup Tables'!$Y$34, IF(V161="Custom", VLOOKUP(W161, 'Fixture Identities'!$A$974:$M$1023, 13, FALSE), IF(V161="No Change",'Lookup Tables'!$Y$29,IF(OR(V161="",W161=""),"",IF(AND(S161=0,S161&lt;I161,B161="Retrofit"),'Lookup Tables'!$Y$25, IF(B161="Retrofit", INDEX('Lookup Tables'!$AH$6:$AP$102, MATCH(1, ('Lookup Tables'!$AH$6:$AH$102=V161)*('Lookup Tables'!$AI$6:$AI$102=W161), 0), IF('Lighting Inventory'!E161="Interior", 4, 5)), INDEX('Lookup Tables'!$AH$114:$AP$154, MATCH(1, ('Lookup Tables'!$AH$114:$AH$154=V161)*('Lookup Tables'!$AI$114:$AI$154=W161), 0), IF('Lighting Inventory'!E161="Interior", 4, 5))))))))</f>
        <v/>
      </c>
      <c r="Z161" s="105" t="str">
        <f>IFERROR(INDEX('Lookup Tables'!$AH$158:$AH$172,MATCH('Lighting Inventory'!Y161,'Lookup Tables'!$AI$158:$AI$172,0)),"")</f>
        <v/>
      </c>
      <c r="AA161" s="105" t="str">
        <f>IF(AP161&gt;0,INDEX('Lookup Tables'!$AK$158:$AK$172,MATCH('Lighting Inventory'!Y161,'Lookup Tables'!$AI$158:$AI$172,0)),'Lighting Inventory'!Y161)</f>
        <v/>
      </c>
      <c r="AB161" s="105" t="str">
        <f t="array" ref="AB161">IF(V161="Custom", "Custom", IF(V161="", "", IF(V161="Not DLC or Energy Star", "General", IF(B161="New Construction", INDEX('Lookup Tables'!$AH$114:$AP$154,MATCH(1,('Lookup Tables'!$AH$114:$AH$154='Lighting Inventory'!V161)*('Lookup Tables'!$AI$114:$AI$154='Lighting Inventory'!W161),FALSE),8), INDEX('Lookup Tables'!$AH$6:$AP$102,MATCH(1,('Lookup Tables'!$AH$6:$AH$102='Lighting Inventory'!V161)*('Lookup Tables'!$AI$6:$AI$102='Lighting Inventory'!W161),FALSE),8)))))</f>
        <v/>
      </c>
      <c r="AC161" s="272" t="str">
        <f>IF(W161="","",IF(V161="Custom",CONCATENATE("$",'Lookup Tables'!$AM$101," ",'Lookup Tables'!$AN$101),CONCATENATE("$",INDEX('Lookup Tables'!$AM$6:$AM$102,MATCH('Lighting Inventory'!W161,'Lookup Tables'!$AI$6:$AI$102,0))," ",INDEX('Lookup Tables'!$AN$6:$AN$102,MATCH('Lighting Inventory'!W161,'Lookup Tables'!$AI$6:$AI$102,0)))))</f>
        <v/>
      </c>
      <c r="AD161" s="72"/>
      <c r="AE161" s="29"/>
      <c r="AF161" s="379"/>
      <c r="AG161" s="370" t="str">
        <f t="shared" si="401"/>
        <v/>
      </c>
      <c r="AH161" s="370" t="str">
        <f t="shared" si="454"/>
        <v/>
      </c>
      <c r="AI161" s="29"/>
      <c r="AJ161" s="29"/>
      <c r="AK161" s="110"/>
      <c r="AL161" s="375" t="str">
        <f>IF(OR(B161="", V161="", W161=""), "", IF(V161="No Change", K161, IF(V161="Remove Fixture", 0, IF(V161="Custom",VLOOKUP(W161,'Fixture Identities'!$A$6:$K$1023,10,FALSE),IF(AE161="", "← ENTER POST WATTS", 'Lighting Inventory'!AE161)))))</f>
        <v/>
      </c>
      <c r="AM161" s="376" t="str">
        <f t="shared" si="402"/>
        <v/>
      </c>
      <c r="AN161" s="29"/>
      <c r="AO161" s="671"/>
      <c r="AP161" s="29"/>
      <c r="AQ161" s="29"/>
      <c r="AR161" s="29"/>
      <c r="AS161" s="272" t="str">
        <f t="shared" si="455"/>
        <v/>
      </c>
      <c r="AT161" s="270" t="str">
        <f t="shared" si="403"/>
        <v/>
      </c>
      <c r="AU161" s="88" t="str">
        <f t="shared" si="503"/>
        <v/>
      </c>
      <c r="AV161" s="29"/>
      <c r="AW161" s="73"/>
      <c r="AX161" s="271" t="str">
        <f>IF(AND(AV161="Applicant",OR(AW161="", AW161="Use Default Facility Hours")),"← Choose Schedule",IF(F161="","",IF(W161="LED Exit Signs",8760,IF(OR(AV161="Prescribed",AV161=""),VLOOKUP(F161,'Lookup Tables'!$A$6:$G$59,IF(AB161="General", 6, 3),FALSE),VLOOKUP(AW161,'Lookup Tables'!$S$36:$U$43,2,FALSE)))))</f>
        <v/>
      </c>
      <c r="AY161" s="88" t="str">
        <f t="shared" si="404"/>
        <v/>
      </c>
      <c r="AZ161" s="270" t="str">
        <f>IFERROR(IF(F161="", "", IF(W161="LED Exit Signs", 1, IF(AV161="Applicant",VLOOKUP(AW161, 'Lookup Tables'!$S$36:$U$43,3, FALSE), VLOOKUP('Lighting Inventory'!F161, 'Lookup Tables'!$A$6:$H$59, IF('Lighting Inventory'!AB161="General",7,4), FALSE)))), "")</f>
        <v/>
      </c>
      <c r="BA161" s="522" t="str">
        <f>IFERROR(IF(F161="", "", IF(W161="LED Exit Signs", 1, VLOOKUP('Lighting Inventory'!F161, 'Lookup Tables'!$A$6:$H$59, IF('Lighting Inventory'!AB161="General",8,5), FALSE))), "")</f>
        <v/>
      </c>
      <c r="BB161" s="270" t="str">
        <f>IF(G161="", "", IF(E161="Exterior", 0, IF('Lighting Inventory'!G161="Air Conditioned", VLOOKUP(H161, 'Lookup Tables'!$R$6:$T$13, 2, FALSE), VLOOKUP('Lighting Inventory'!G161, 'Lookup Tables'!$R$6:$T$13, 2, FALSE))))</f>
        <v/>
      </c>
      <c r="BC161" s="522" t="str">
        <f>IF(G161="", "", IF(E161="Exterior", 0, IF('Lighting Inventory'!G161="Air Conditioned", VLOOKUP(H161, 'Lookup Tables'!$R$6:$T$13, 3, FALSE), VLOOKUP('Lighting Inventory'!G161, 'Lookup Tables'!$R$6:$T$13, 3, FALSE))))</f>
        <v/>
      </c>
      <c r="BD161" s="270" t="str">
        <f>IF(G161="", "", IF(E161="Exterior", 0, IF('Lighting Inventory'!G161="Air Conditioned", VLOOKUP(H161, 'Lookup Tables'!$R$6:$U$13, 4, FALSE), VLOOKUP('Lighting Inventory'!G161, 'Lookup Tables'!$R$6:$U$13, 4, FALSE))))</f>
        <v/>
      </c>
      <c r="BE161" s="270" t="str">
        <f>IFERROR(IF(B161="", "",  IF(B161="New Construction", VLOOKUP(F161, 'Lookup Tables'!$A$6:$K$59, 11, FALSE),IF(OR(AN161="", AN161="Light Switch"), 0, IF(OR(M161="",M161="None",V161= "LED Exit Signs"),0,_xlfn.XLOOKUP(M161,'Lookup Tables'!$R$91:$R$101,'Lookup Tables'!$V$91:$V$101))))), "")</f>
        <v/>
      </c>
      <c r="BF161" s="270" t="str">
        <f>IF(AND(OR(AN161="Light Switch",AN161=""),B161="New Construction"), VLOOKUP(F161, 'Lookup Tables'!$A$6:$K$59, 11, FALSE),IF(AN161="","",IF(B161="","",IF(OR(AN161="None",AN161="",V161="LED Exit Signs",AN161="Exterior Controls Not Eligible"),0,_xlfn.XLOOKUP(AN161,'Lookup Tables'!$R$91:$R$101,'Lookup Tables'!$V$91:$V$101)))))</f>
        <v/>
      </c>
      <c r="BG161" s="88" t="str">
        <f t="shared" si="456"/>
        <v/>
      </c>
      <c r="BH161" s="88" t="str">
        <f t="shared" si="457"/>
        <v/>
      </c>
      <c r="BI161" s="558" t="str">
        <f t="shared" si="501"/>
        <v/>
      </c>
      <c r="BJ161" s="82" t="str">
        <f t="shared" si="458"/>
        <v/>
      </c>
      <c r="BK161" s="82" t="str">
        <f t="shared" si="459"/>
        <v/>
      </c>
      <c r="BL161" s="559" t="str">
        <f t="shared" si="460"/>
        <v/>
      </c>
      <c r="BM161" s="521" t="str">
        <f t="shared" si="405"/>
        <v/>
      </c>
      <c r="BN161" s="521" t="str">
        <f t="shared" si="406"/>
        <v/>
      </c>
      <c r="BO161" s="522" t="str">
        <f t="shared" si="407"/>
        <v/>
      </c>
      <c r="BP161" s="83" t="str">
        <f t="shared" si="461"/>
        <v/>
      </c>
      <c r="BQ161" s="84" t="str">
        <f t="shared" si="462"/>
        <v/>
      </c>
      <c r="BR161" s="184" t="str">
        <f>IFERROR(IF(B161="", "", IF(OR(VLOOKUP(J161, 'Fixture Identities'!$A$6:$L$1023, 3, FALSE)="T12 Linear Fluorescent",VLOOKUP(J161, 'Fixture Identities'!$A$6:$L$1023, 3, FALSE)="T12 U-Tube Fluorescent"), "Y", "N")), "N")</f>
        <v/>
      </c>
      <c r="BS161" s="184" t="str">
        <f t="array" ref="BS161">IFERROR(IF(OR(B161="", V161="", W161=""), "", IF(V161="Custom", "N", IF(OR(W161="Freezer Case Lighting", W161="Refrigerated Case Lighting with Doors"), BT161, IF(B161="Retrofit", INDEX('Lookup Tables'!$AH$6:$AT$102,MATCH(1,('Lookup Tables'!$AH$6:$AH$102=V161)*('Lookup Tables'!$AI$6:$AI$102=W161),FALSE),IF(VLOOKUP(J161, 'Fixture Identities'!$A$6:$B$1023, 2, FALSE)="Incandescent",12, 13)), INDEX('Lookup Tables'!$AH$114:$AS$154,MATCH(1,('Lookup Tables'!$AH$114:$AH$154=V161)*('Lookup Tables'!$AI$114:$AI$154=W161),FALSE),12))))), "N")</f>
        <v/>
      </c>
      <c r="BT161" s="184" t="str">
        <f>IF(J161="", "", IF(AND(OR(W161="Freezer case Lighting", W161="Refrigerated Case Lighting with Doors"),'General Information'!$X$18="LCI"), "N", IF(OR(VLOOKUP(J161, 'Fixture Identities'!$A$6:$B$1023, 2, FALSE)="T12 EPACT/EISA Baseline", VLOOKUP(J161, 'Fixture Identities'!$A$6:$B$1023, 2, FALSE)="Linear Fluorescent", VLOOKUP(J161, 'Fixture Identities'!$A$6:$B$1023, 2, FALSE)="U-Tube Fluorescent"), "Y", "N")))</f>
        <v/>
      </c>
      <c r="BU161" s="184" t="str">
        <f>IFERROR(IF(B161="", "", IF(VLOOKUP(J161, 'Fixture Identities'!$A$6:$B$1023, 2, FALSE)="Exit Sign", "Y", "N")), "N")</f>
        <v/>
      </c>
      <c r="BV161" s="184" t="str">
        <f>IF(V161="Exit Signs", IF(VLOOKUP(J161, 'Fixture Identities'!$A$6:$B$1023, 2, FALSE)="Exit Sign", "N", "Y"), "")</f>
        <v/>
      </c>
      <c r="BW161" s="184" t="str">
        <f t="array" ref="BW161">IFERROR(IF(B161="", "", IF(B161="New Construction", "N", INDEX('Lookup Tables'!$AH$6:$AU$102, MATCH(1, ('Lookup Tables'!$AH$6:$AH$102='Lighting Inventory'!V161)*('Lookup Tables'!$AI$6:$AI$102='Lighting Inventory'!W161), 0), 14))), "N")</f>
        <v/>
      </c>
      <c r="BX161" s="598" t="str">
        <f t="shared" si="463"/>
        <v/>
      </c>
      <c r="BY161" s="598" t="str">
        <f t="shared" si="464"/>
        <v/>
      </c>
      <c r="BZ161" s="598" t="str">
        <f t="shared" si="465"/>
        <v/>
      </c>
      <c r="CA161" s="598" t="str">
        <f t="shared" si="466"/>
        <v/>
      </c>
      <c r="CB161" s="269" t="str">
        <f t="shared" si="467"/>
        <v/>
      </c>
      <c r="CC161" s="517" t="str">
        <f t="shared" si="468"/>
        <v/>
      </c>
      <c r="CD161" s="565" t="str">
        <f t="shared" si="408"/>
        <v/>
      </c>
      <c r="CE161" s="368">
        <v>0</v>
      </c>
      <c r="CF161" s="368" t="str" cm="1">
        <f t="array" ref="CF161">IFERROR(IF(V161="Custom", "$0.1 per kWh", IF(B161="New Construction", CONCATENATE("$",INDEX('Lookup Tables'!$AH$114:$AN$154,MATCH(1,('Lookup Tables'!$AH$114:$AH$154='Lighting Inventory'!V161)*('Lookup Tables'!$AI$114:$AI$154='Lighting Inventory'!W161),FALSE),6)," ",INDEX('Lookup Tables'!$AH$114:$AN$154,MATCH(1,('Lookup Tables'!$AH$114:$AH$154='Lighting Inventory'!V161)*('Lookup Tables'!$AI$114:$AI$154='Lighting Inventory'!W161),FALSE),7)), IF(AND(BU161="N", V161="Exit Signs"), "$0.025 per kWh", CONCATENATE("$",INDEX('Lookup Tables'!$AH$6:$AN$102,MATCH(1,('Lookup Tables'!$AH$6:$AH$102='Lighting Inventory'!V161)*('Lookup Tables'!$AI$6:$AI$102='Lighting Inventory'!W161),FALSE),6)," ",INDEX('Lookup Tables'!$AH$6:$AN$102,MATCH(1,('Lookup Tables'!$AH$6:$AH$102='Lighting Inventory'!V161)*('Lookup Tables'!$AI$6:$AI$102='Lighting Inventory'!W161),FALSE),7))))), "")</f>
        <v/>
      </c>
      <c r="CG161" s="366"/>
      <c r="CH161" s="248" t="str">
        <f t="shared" si="409"/>
        <v/>
      </c>
      <c r="CI161" s="248" t="str">
        <f t="shared" si="410"/>
        <v>Select_IE</v>
      </c>
      <c r="CJ161" s="248" t="str">
        <f t="shared" si="411"/>
        <v/>
      </c>
      <c r="CK161" s="248" t="str">
        <f t="shared" si="412"/>
        <v/>
      </c>
      <c r="CL161" s="248" t="str">
        <f t="shared" si="413"/>
        <v/>
      </c>
      <c r="CM161" s="248" t="str">
        <f>IFERROR(IF(B161="", "", IF(B161="New Construction", VLOOKUP(V161, 'Lookup Tables'!$AF$114:$AG$120, 2, FALSE), VLOOKUP(V161, 'Lookup Tables'!$AD$6:$AE$25, 2, FALSE))), "")</f>
        <v/>
      </c>
      <c r="CN161" s="248" t="str">
        <f t="shared" si="414"/>
        <v/>
      </c>
      <c r="CO161" s="248" t="str">
        <f t="shared" si="415"/>
        <v/>
      </c>
      <c r="CP161" s="592" t="str">
        <f t="shared" si="416"/>
        <v/>
      </c>
      <c r="CQ161" s="248" t="str">
        <f t="shared" si="469"/>
        <v/>
      </c>
      <c r="CR161" s="100"/>
      <c r="CS161" s="250" t="str">
        <f t="shared" si="417"/>
        <v/>
      </c>
      <c r="CT161" s="250" t="str">
        <f t="shared" si="470"/>
        <v/>
      </c>
      <c r="CU161" s="250" t="str">
        <f t="shared" si="471"/>
        <v/>
      </c>
      <c r="CV161" s="250" t="str">
        <f t="shared" si="472"/>
        <v/>
      </c>
      <c r="CW161" s="250" t="str">
        <f t="shared" si="473"/>
        <v/>
      </c>
      <c r="CX161" s="250" t="str">
        <f t="shared" si="418"/>
        <v/>
      </c>
      <c r="CY161" s="250" t="str">
        <f t="shared" si="419"/>
        <v/>
      </c>
      <c r="CZ161" s="250" t="str">
        <f t="shared" si="420"/>
        <v/>
      </c>
      <c r="DA161" s="250" t="str">
        <f t="shared" si="421"/>
        <v/>
      </c>
      <c r="DB161" s="250" t="str">
        <f t="shared" si="422"/>
        <v/>
      </c>
      <c r="DC161" s="250" t="str">
        <f t="shared" si="423"/>
        <v/>
      </c>
      <c r="DD161" s="250" t="str">
        <f t="shared" si="424"/>
        <v/>
      </c>
      <c r="DE161" s="250" t="str">
        <f t="shared" si="425"/>
        <v/>
      </c>
      <c r="DF161" s="250" t="str">
        <f t="shared" si="426"/>
        <v/>
      </c>
      <c r="DG161" s="250" t="str">
        <f t="shared" si="427"/>
        <v/>
      </c>
      <c r="DH161" s="250" t="str">
        <f t="shared" si="428"/>
        <v/>
      </c>
      <c r="DI161" s="250" t="str">
        <f t="shared" si="429"/>
        <v/>
      </c>
      <c r="DJ161" s="250" t="str">
        <f t="shared" si="430"/>
        <v/>
      </c>
      <c r="DK161" s="250" t="str">
        <f t="shared" si="431"/>
        <v/>
      </c>
      <c r="DL161" s="250" t="str">
        <f t="shared" si="432"/>
        <v/>
      </c>
      <c r="DM161" s="250" t="str">
        <f>IF(CD161="ERROR", "ERROR", IF(AND(OR(Y161=$DM$6, Y161='Lookup Tables'!$AD$21, Y161='Lookup Tables'!$AD$22), E161="Interior"), BJ161, ""))</f>
        <v/>
      </c>
      <c r="DN161" s="250" t="str">
        <f>IF(CD161="ERROR", "ERROR", IF(AND(OR(Y161=$DM$6, Y161='Lookup Tables'!$AD$21, Y161='Lookup Tables'!$AD$22), E161="Exterior"), BJ161, ""))</f>
        <v/>
      </c>
      <c r="DO161" s="100"/>
      <c r="DP161" s="250" t="str">
        <f t="shared" si="433"/>
        <v/>
      </c>
      <c r="DQ161" s="250" t="str">
        <f t="shared" si="474"/>
        <v/>
      </c>
      <c r="DR161" s="250" t="str">
        <f t="shared" si="475"/>
        <v/>
      </c>
      <c r="DS161" s="250" t="str">
        <f t="shared" si="476"/>
        <v/>
      </c>
      <c r="DT161" s="250" t="str">
        <f t="shared" si="477"/>
        <v/>
      </c>
      <c r="DU161" s="250" t="str">
        <f t="shared" si="434"/>
        <v/>
      </c>
      <c r="DV161" s="250" t="str">
        <f t="shared" si="435"/>
        <v/>
      </c>
      <c r="DW161" s="250" t="str">
        <f t="shared" si="436"/>
        <v/>
      </c>
      <c r="DX161" s="250" t="str">
        <f t="shared" si="437"/>
        <v/>
      </c>
      <c r="DY161" s="250" t="str">
        <f t="shared" si="438"/>
        <v/>
      </c>
      <c r="DZ161" s="250" t="str">
        <f t="shared" si="439"/>
        <v/>
      </c>
      <c r="EA161" s="250" t="str">
        <f t="shared" si="440"/>
        <v/>
      </c>
      <c r="EB161" s="250" t="str">
        <f t="shared" si="478"/>
        <v/>
      </c>
      <c r="EC161" s="250" t="str">
        <f t="shared" si="441"/>
        <v/>
      </c>
      <c r="ED161" s="250" t="str">
        <f t="shared" si="442"/>
        <v/>
      </c>
      <c r="EE161" s="250" t="str">
        <f t="shared" si="443"/>
        <v/>
      </c>
      <c r="EF161" s="250" t="str">
        <f t="shared" si="444"/>
        <v/>
      </c>
      <c r="EG161" s="250" t="str">
        <f t="shared" si="445"/>
        <v/>
      </c>
      <c r="EH161" s="250" t="str">
        <f>IF(CD161="ERROR", "ERROR", IF(AND(OR($EH$6=Y161, Y161='Lookup Tables'!$AD$21, Y161='Lookup Tables'!$AD$22),E161="Interior"), SUM(BP161:BP161), ""))</f>
        <v/>
      </c>
      <c r="EI161" s="250" t="str">
        <f>IF(CD161="ERROR", "ERROR", IF(AND(OR($EH$6=Y161, Y161='Lookup Tables'!$AD$21, Y161='Lookup Tables'!$AD$22),E161="Exterior"), SUM(BP161:BP161), ""))</f>
        <v/>
      </c>
      <c r="EJ161" s="109"/>
      <c r="EK161" s="485" t="str">
        <f t="shared" si="446"/>
        <v/>
      </c>
      <c r="EL161" s="252" t="str">
        <f t="shared" si="479"/>
        <v/>
      </c>
      <c r="EM161" s="252" t="str">
        <f t="shared" si="480"/>
        <v/>
      </c>
      <c r="EN161" s="252" t="str">
        <f t="shared" si="481"/>
        <v/>
      </c>
      <c r="EO161" s="252" t="str">
        <f t="shared" si="482"/>
        <v/>
      </c>
      <c r="EP161" s="252" t="str">
        <f t="shared" si="483"/>
        <v/>
      </c>
      <c r="EQ161" s="252" t="str">
        <f t="shared" si="484"/>
        <v/>
      </c>
      <c r="ER161" s="252" t="str">
        <f t="shared" si="485"/>
        <v/>
      </c>
      <c r="ES161" s="252" t="str">
        <f t="shared" si="486"/>
        <v/>
      </c>
      <c r="ET161" s="252" t="str">
        <f t="shared" si="487"/>
        <v/>
      </c>
      <c r="EU161" s="252" t="str">
        <f t="shared" si="488"/>
        <v/>
      </c>
      <c r="EV161" s="252" t="str">
        <f t="shared" si="489"/>
        <v/>
      </c>
      <c r="EW161" s="252" t="str">
        <f t="shared" si="490"/>
        <v/>
      </c>
      <c r="EX161" s="252" t="str">
        <f t="shared" si="491"/>
        <v/>
      </c>
      <c r="EY161" s="252" t="str">
        <f t="shared" si="492"/>
        <v/>
      </c>
      <c r="EZ161" s="252" t="str">
        <f t="shared" si="493"/>
        <v/>
      </c>
      <c r="FA161" s="252" t="str">
        <f t="shared" si="494"/>
        <v/>
      </c>
      <c r="FB161" s="252" t="str">
        <f t="shared" si="495"/>
        <v/>
      </c>
      <c r="FC161" s="252" t="str">
        <f>IF(CD161="ERROR", "ERROR", IF(OR(V161="No Change", V161="Not DLC or Energy Star"), "", IF(AND(OR($FC$6=Y161,Y161='Lookup Tables'!$AD$21, Y161='Lookup Tables'!$AD$22),E161="Interior"), S161, "")))</f>
        <v/>
      </c>
      <c r="FD161" s="252" t="str">
        <f t="shared" si="496"/>
        <v/>
      </c>
      <c r="FE161" s="101"/>
      <c r="FF161" s="579" t="str" cm="1">
        <f t="array" ref="FF161">IFERROR(IF(OR(BQ161&lt;=0,AQ161&lt;20,AND(V161="Exit Signs",AN161&gt;0)),"",IF(AND(AQ161&gt;=20,AN161='Lookup Tables'!$R$101),'Lookup Tables'!$U$101*BQ161,AP161*LOOKUP(2,1/((AN161='Lookup Tables'!$R$91:$R$111)*(AQ161&gt;='Lookup Tables'!$S$91:$S$111)*(AQ161&lt;='Lookup Tables'!$T$91:$T$111)),'Lookup Tables'!$U$91:$U$111))),"")</f>
        <v/>
      </c>
      <c r="FG161" s="579"/>
      <c r="FH161" s="579"/>
      <c r="FI161" s="253" t="str">
        <f>IFERROR(ROUND(IF(CD161="ERROR", "ERROR", IF(AND($FI$7=X161,E161="Interior"),VLOOKUP(W161, 'Lookup Tables'!$AI$6:$AM$102, 5, FALSE)*BP161, "")), 2), "")</f>
        <v/>
      </c>
      <c r="FJ161" s="253" t="str">
        <f>IFERROR(ROUND(IF(CD161="ERROR", "ERROR", IF(AND($FI$7=X161,E161="Exterior"),VLOOKUP(W161, 'Lookup Tables'!$AI$6:$AM$102, 5, FALSE)*BP161, "")), 2), "")</f>
        <v/>
      </c>
      <c r="FK161" s="253" t="str">
        <f>IFERROR(ROUND(IF(CD161="ERROR", "ERROR", IF(AND($FK$7=X161,E161="Interior"),VLOOKUP(W161, 'Lookup Tables'!$AI$6:$AM$102, 5, FALSE)*BP161, "")), 2), "")</f>
        <v/>
      </c>
      <c r="FL161" s="253" t="str">
        <f>IFERROR(ROUND(IF(CD161="ERROR", "ERROR", IF(AND($FK$7=X161,E161="Exterior"),VLOOKUP(W161, 'Lookup Tables'!$AI$6:$AM$102, 5, FALSE)*BP161, "")), 2), "")</f>
        <v/>
      </c>
      <c r="FM161" s="253" t="str">
        <f>IFERROR(ROUND(IF(CD161="ERROR", "ERROR", IF(AND($FM$6=Y161,E161="Interior"), IF(GB161=0, VLOOKUP(W161, 'Lookup Tables'!$AI$6:$AM$102, 5, FALSE)*BP161, IF(VLOOKUP(W161, 'Lookup Tables'!$AI$6:$AM$102, 5, FALSE)*BP161&gt;GB161*'Lighting Inventory'!S161, GB161*'Lighting Inventory'!S161,VLOOKUP(W161, 'Lookup Tables'!$AI$6:$AM$102, 5, FALSE)*BP161)), "")), 2), "")</f>
        <v/>
      </c>
      <c r="FN161" s="253" t="str">
        <f>IFERROR(ROUND(IF(CD161="ERROR", "ERROR", IF(AND($FM$6=Y161,E161="Exterior"), IF(GB161=0, VLOOKUP(W161, 'Lookup Tables'!$AI$6:$AM$102, 5, FALSE)*BP161, IF(VLOOKUP(W161, 'Lookup Tables'!$AI$6:$AM$102, 5, FALSE)*BP161&gt;GB161*'Lighting Inventory'!S161, GB161*'Lighting Inventory'!S161,VLOOKUP(W161, 'Lookup Tables'!$AI$6:$AM$102, 5, FALSE)*BP161)), "")), 2), "")</f>
        <v/>
      </c>
      <c r="FO161" s="253" t="str">
        <f>IFERROR(ROUND(IF(CD161="ERROR", "ERROR", IF(AND($FO$6=Y161,E161="Interior"),VLOOKUP(W161, 'Lookup Tables'!$AI$6:$AM$102, 5, FALSE)*'Lighting Inventory'!AI161, "")), 2), "")</f>
        <v/>
      </c>
      <c r="FP161" s="253" t="str">
        <f>IFERROR(ROUND(IF(CD161="ERROR", "ERROR", IF(AND($FO$6=Y161,E161="Exterior"),VLOOKUP(W161, 'Lookup Tables'!$AI$6:$AM$102, 5, FALSE)*'Lighting Inventory'!AI161, "")), 2), "")</f>
        <v/>
      </c>
      <c r="FQ161" s="253" t="str">
        <f>IFERROR(ROUND(IF(CD161="ERROR", "ERROR", IF(AND($FQ$6=Y161,E161="Interior", BU161="Y"), VLOOKUP('Lighting Inventory'!W161, 'Lookup Tables'!$AI$6:$AM$102, 5, FALSE)*'Lighting Inventory'!S161, IF(AND($FQ$7=Y161,E161="Interior", BU161="N"), 0.025*CD161, ""))), 2), "")</f>
        <v/>
      </c>
      <c r="FR161" s="253" t="str">
        <f>IFERROR(ROUND(IF(CD161="ERROR", "ERROR", IF(AND($FQ$6=Y161,E161="Exterior"), VLOOKUP('Lighting Inventory'!W161, 'Lookup Tables'!$AI$6:$AM$102, 5, FALSE)*'Lighting Inventory'!S161, "")), 2), "")</f>
        <v/>
      </c>
      <c r="FS161" s="253" t="str">
        <f>IFERROR(ROUND(IF(CD161="ERROR", "ERROR", IF(AND($FS$6=Y161,E161="Exterior"), IF(GB161=0, VLOOKUP(W161, 'Lookup Tables'!$AI$6:$AM$102, 5, FALSE)*BP161, IF(VLOOKUP(W161, 'Lookup Tables'!$AI$6:$AM$102, 5, FALSE)*BP161&gt;GB161*'Lighting Inventory'!S161, GB161*'Lighting Inventory'!S161,VLOOKUP(W161, 'Lookup Tables'!$AI$6:$AM$102, 5, FALSE)*BP161)), "")), 2), "")</f>
        <v/>
      </c>
      <c r="FT161" s="253" t="str">
        <f>IFERROR(ROUND(IF(CD161="ERROR", "ERROR", IF(AND($FT$6=Y161,E161="Interior"), IF(GB161=0, VLOOKUP(W161, 'Lookup Tables'!$AI$6:$AM$102, 5, FALSE)*BP161, IF(VLOOKUP(W161, 'Lookup Tables'!$AI$6:$AM$102, 5, FALSE)*BP161&gt;GB161*'Lighting Inventory'!S161, GB161*'Lighting Inventory'!S161,VLOOKUP(W161, 'Lookup Tables'!$AI$6:$AM$102, 5, FALSE)*BP161)), "")), 2), "")</f>
        <v/>
      </c>
      <c r="FU161" s="253" t="str">
        <f>IFERROR(ROUND(IF(CD161="ERROR", "ERROR", IF(AND(Y161=$FU$6, E161="Interior"), IF(BS161="N", 'Lookup Tables'!$AM$101*BP161, VLOOKUP(W161, 'Lookup Tables'!$AI$6:$AM$102, 5, FALSE)*S161*AD161), "")), 2), "")</f>
        <v/>
      </c>
      <c r="FV161" s="253" t="str">
        <f>IFERROR(ROUND(IF(CD161="ERROR", "ERROR", IF(AND(Y161=$FU$6, E161="Exterior"), IF(BS161="N", 'Lookup Tables'!$AM$101*BP161, VLOOKUP(W161, 'Lookup Tables'!$AI$6:$AM$102, 5, FALSE)*S161*AD161), "")), 2), "")</f>
        <v/>
      </c>
      <c r="FW161" s="253" t="str">
        <f>IFERROR(ROUND(IF(CD161="ERROR", "ERROR", IF($FW$6=Y161, IF(BS161="N", 'Lookup Tables'!$AM$101*BP161, MIN((VLOOKUP(W161, 'Lookup Tables'!$AI$6:$AM$102, 5, FALSE)*BP161),GB161*AJ161)), "")), 2), "")</f>
        <v/>
      </c>
      <c r="FX161" s="253" t="str">
        <f>IFERROR(ROUND(IF(CD161="ERROR", "ERROR", IF(AND($FX$6=Y161, E161="Interior"), IF(VLOOKUP(W161, 'Lookup Tables'!$AI$6:$AM$102, 5, FALSE)*BP161&gt;'Lookup Tables'!$AQ$97*'Lighting Inventory'!S161,'Lighting Inventory'!S161*'Lookup Tables'!$AQ$97,VLOOKUP(W161, 'Lookup Tables'!$AI$6:$AM$102, 5, FALSE)*BP161), "")), 2), "")</f>
        <v/>
      </c>
      <c r="FY161" s="253" t="str">
        <f>IFERROR(ROUND(IF(CD161="ERROR", "ERROR", IF(AND($FX$6=Y161, E161="Exterior"), IF(VLOOKUP(W161, 'Lookup Tables'!$AI$6:$AM$102, 5, FALSE)*BP161&gt;'Lookup Tables'!$AQ$97*'Lighting Inventory'!S161,'Lighting Inventory'!S161*'Lookup Tables'!$AQ$97,VLOOKUP(W161, 'Lookup Tables'!$AI$6:$AM$102, 5, FALSE)*BP161), "")), 2), "")</f>
        <v/>
      </c>
      <c r="FZ161" s="253" t="str">
        <f>IFERROR(ROUND(IF(CD161="ERROR", "ERROR", IF(AND($FZ$6=Y161, E161="Interior"), IF(AND(OR(W161="Refrigerated Case Lighting with Doors", W161="Freezer Case Lighting"),Y161="Custom - Process Improvement"),CD161*'Lookup Tables'!$AM$101, IF(B161="Retrofit", IF(VLOOKUP(IF(V161="Custom", V161, W161), 'Lookup Tables'!$AI$6:$AM$102, 5, FALSE)*BP161&gt;GE161, GE161, VLOOKUP(IF(V161="Custom", V161, W161), 'Lookup Tables'!$AI$6:$AM$102, 5, FALSE)*BP161), IF(VLOOKUP(IF(V161="Custom", V161, W161), 'Lookup Tables'!$AI$114:$AM$154, 5, FALSE)*BP161&gt;GE161, GE161, VLOOKUP(IF(V161="Custom", V161, W161), 'Lookup Tables'!$AI$114:$AM$154, 5, FALSE)*BP161))), "")), 2),"")</f>
        <v/>
      </c>
      <c r="GA161" s="253" t="str">
        <f>IFERROR(ROUND(IF(CD161="ERROR", "ERROR", IF(AND($FZ$6=Y161, E161="Exterior"), IF(B161="Retrofit", IF(VLOOKUP(IF(V161="Custom", V161, W161), 'Lookup Tables'!$AI$6:$AM$102, 5, FALSE)*BP161&gt;GE161, GE161, VLOOKUP(IF(V161="Custom", V161, W161), 'Lookup Tables'!$AI$6:$AM$102, 5, FALSE)*BP161), IF(VLOOKUP(IF(V161="Custom", V161, W161), 'Lookup Tables'!$AI$114:$AM$154, 5, FALSE)*BP161&gt;GE161, GE161, VLOOKUP(IF(V161="Custom", V161, W161), 'Lookup Tables'!$AI$114:$AM$154, 5, FALSE)*BP161)), "")), 2),"")</f>
        <v/>
      </c>
      <c r="GB161" s="254" t="str">
        <f t="array" ref="GB161">IF(B161="","",IF(OR(V161="Custom",V161="No Change"),0,IF(B161="Retrofit", INDEX('Lookup Tables'!$AH$6:$AQ$102,MATCH(1,('Lookup Tables'!$AH$6:$AH$102='Lighting Inventory'!V161)*('Lookup Tables'!$AI$6:$AI$102='Lighting Inventory'!W161),FALSE),10),INDEX('Lookup Tables'!$AH$114:$AQ$154,MATCH(1,('Lookup Tables'!$AH$114:$AH$154='Lighting Inventory'!V161)*('Lookup Tables'!$AI$114:$AI$154='Lighting Inventory'!W161),FALSE),10))))</f>
        <v/>
      </c>
      <c r="GC161" s="255" t="str">
        <f t="shared" si="447"/>
        <v/>
      </c>
      <c r="GD161" s="250" t="str">
        <f t="shared" si="448"/>
        <v/>
      </c>
      <c r="GE161" s="253" t="str">
        <f>IFERROR(IF(AND(AF161="", 'General Information'!$F$18="No"),"", IF(AF161="", ((GD161/$CD$266)*$CF$266)*0.5, AF161*S161*0.5)), "")</f>
        <v/>
      </c>
      <c r="GF161" s="255" t="str">
        <f>IF(AND('General Information'!$F$19="", 'General Information'!$F$18="Yes",AF161="",BW161="Y"), "Y", "N")</f>
        <v>N</v>
      </c>
      <c r="GG161" s="255" t="s">
        <v>2946</v>
      </c>
      <c r="GH161" s="255" t="str">
        <f>IFERROR(IF(B161="", "", VLOOKUP(J161, 'Fixture Identities'!$A$6:$N$908, 14, FALSE)), "")</f>
        <v/>
      </c>
      <c r="GI161" s="389" t="str">
        <f>IF(OR(B161="", V161="", W161=""), "", IF(AND(OR(M161='Lookup Tables'!$R$18, M161='Lookup Tables'!$R$19, M161='Lookup Tables'!$R$20, M161='Lookup Tables'!$R$21, M161='Lookup Tables'!$R$22), OR(AN161='Lookup Tables'!$R$17, AN161='Lookup Tables'!$R$17, AN161="")), "Y", "N"))</f>
        <v/>
      </c>
      <c r="GJ161" s="255" t="str">
        <f t="shared" si="449"/>
        <v/>
      </c>
      <c r="GK161" s="255" t="str">
        <f t="shared" si="450"/>
        <v/>
      </c>
      <c r="GL161" s="255" t="str">
        <f t="shared" si="451"/>
        <v/>
      </c>
      <c r="GM161" s="255" t="str">
        <f>IF(AN161="", "", IF(AND(IF(ISNA(VLOOKUP(AN161,'Lookup Tables'!$R$18:$R$22,1,FALSE)), "N", "Y")="Y", E161="Exterior"), "Y", "N"))</f>
        <v/>
      </c>
      <c r="GN161" s="395"/>
      <c r="GO161" s="428">
        <f t="shared" si="497"/>
        <v>0</v>
      </c>
      <c r="GP161" s="428">
        <f t="shared" si="500"/>
        <v>0</v>
      </c>
      <c r="GQ161" s="428">
        <f t="shared" si="498"/>
        <v>0</v>
      </c>
      <c r="GR161" s="428">
        <f t="shared" si="499"/>
        <v>0</v>
      </c>
    </row>
    <row r="162" spans="1:200" s="103" customFormat="1" ht="13.5" customHeight="1" x14ac:dyDescent="0.2">
      <c r="A162" s="272">
        <v>152</v>
      </c>
      <c r="B162" s="110"/>
      <c r="C162" s="110"/>
      <c r="D162" s="110"/>
      <c r="E162" s="110"/>
      <c r="F162" s="110"/>
      <c r="G162" s="110"/>
      <c r="H162" s="110"/>
      <c r="I162" s="29"/>
      <c r="J162" s="29"/>
      <c r="K162" s="272" t="str">
        <f>IFERROR(IF(OR(VLOOKUP(J162, 'Fixture Identities'!$A$6:$L$1023, 3, FALSE)="T12 Linear Fluorescent", VLOOKUP(J162, 'Fixture Identities'!$A$6:$L$1023, 3, FALSE)="T12 U-Tube Fluorescent"), VLOOKUP(VLOOKUP(J162, 'Fixture Identities'!$A$6:$L$1023, 11, FALSE), 'Fixture Identities'!$A$6:$L$1023, 10, FALSE), VLOOKUP(J162, 'Fixture Identities'!$A$6:$L$1023, 10, FALSE)), "")</f>
        <v/>
      </c>
      <c r="L162" s="270" t="str">
        <f t="shared" si="502"/>
        <v/>
      </c>
      <c r="M162" s="110"/>
      <c r="N162" s="110"/>
      <c r="O162" s="110"/>
      <c r="P162" s="272" t="str">
        <f>IFERROR(IF(OR(B162="Retrofit",B162=""),"",IF('Lighting Inventory'!E162="Exterior",VLOOKUP('Lighting Inventory'!N162,'Lookup Tables'!$B$83:$F$103,5,FALSE),IF(N162="Other - Please Estimate EFLH and CFs","Contact Prog. Rep.","ft^2"))), "")</f>
        <v/>
      </c>
      <c r="Q162" s="270" t="str">
        <f>IFERROR(IF(AND(B162="New Construction",E162="Interior",$F$5="Space-by-Space"),VLOOKUP('Lighting Inventory'!N162,'Lookup Tables'!$N$6:$O$97,2,FALSE),IF(AND(B162="New Construction",E162="Exterior"),VLOOKUP(N162,'Lookup Tables'!$B$83:$F$103,2,FALSE),IF(AND(B162="New Construction",'Lighting Inventory'!E162="Interior", $F$5="Building Area"),VLOOKUP(F162,'Lookup Tables'!$A$6:$J$59,10,FALSE),""))), "")</f>
        <v/>
      </c>
      <c r="R162" s="270" t="str">
        <f>IFERROR(IF(P162="Contact Prog. Rep.", "ERROR", IF(OR(B162="",B162="Retrofit"),"",IF(N162="Automated teller machines", ('Lookup Tables'!$A$82:$E$100+('Lighting Inventory'!O162-1)*'Lookup Tables'!$A$82:$E$100)/1000, (Q162*O162)/1000))), "")</f>
        <v/>
      </c>
      <c r="S162" s="595"/>
      <c r="T162" s="105" t="str">
        <f t="shared" si="452"/>
        <v/>
      </c>
      <c r="U162" s="105" t="str">
        <f>IF(S162="","",COUNT($S$11:S162))</f>
        <v/>
      </c>
      <c r="V162" s="111"/>
      <c r="W162" s="112"/>
      <c r="X162" s="105" t="str">
        <f t="shared" si="453"/>
        <v/>
      </c>
      <c r="Y162" s="105" t="str">
        <f t="array" ref="Y162">IF(AND(OR(W162="Freezer Case Lighting", W162="Refrigerated Case Lighting with Doors"), 'General Information'!$X$18="LCI"),'Lookup Tables'!$Y$34, IF(V162="Custom", VLOOKUP(W162, 'Fixture Identities'!$A$974:$M$1023, 13, FALSE), IF(V162="No Change",'Lookup Tables'!$Y$29,IF(OR(V162="",W162=""),"",IF(AND(S162=0,S162&lt;I162,B162="Retrofit"),'Lookup Tables'!$Y$25, IF(B162="Retrofit", INDEX('Lookup Tables'!$AH$6:$AP$102, MATCH(1, ('Lookup Tables'!$AH$6:$AH$102=V162)*('Lookup Tables'!$AI$6:$AI$102=W162), 0), IF('Lighting Inventory'!E162="Interior", 4, 5)), INDEX('Lookup Tables'!$AH$114:$AP$154, MATCH(1, ('Lookup Tables'!$AH$114:$AH$154=V162)*('Lookup Tables'!$AI$114:$AI$154=W162), 0), IF('Lighting Inventory'!E162="Interior", 4, 5))))))))</f>
        <v/>
      </c>
      <c r="Z162" s="105" t="str">
        <f>IFERROR(INDEX('Lookup Tables'!$AH$158:$AH$172,MATCH('Lighting Inventory'!Y162,'Lookup Tables'!$AI$158:$AI$172,0)),"")</f>
        <v/>
      </c>
      <c r="AA162" s="105" t="str">
        <f>IF(AP162&gt;0,INDEX('Lookup Tables'!$AK$158:$AK$172,MATCH('Lighting Inventory'!Y162,'Lookup Tables'!$AI$158:$AI$172,0)),'Lighting Inventory'!Y162)</f>
        <v/>
      </c>
      <c r="AB162" s="105" t="str">
        <f t="array" ref="AB162">IF(V162="Custom", "Custom", IF(V162="", "", IF(V162="Not DLC or Energy Star", "General", IF(B162="New Construction", INDEX('Lookup Tables'!$AH$114:$AP$154,MATCH(1,('Lookup Tables'!$AH$114:$AH$154='Lighting Inventory'!V162)*('Lookup Tables'!$AI$114:$AI$154='Lighting Inventory'!W162),FALSE),8), INDEX('Lookup Tables'!$AH$6:$AP$102,MATCH(1,('Lookup Tables'!$AH$6:$AH$102='Lighting Inventory'!V162)*('Lookup Tables'!$AI$6:$AI$102='Lighting Inventory'!W162),FALSE),8)))))</f>
        <v/>
      </c>
      <c r="AC162" s="272" t="str">
        <f>IF(W162="","",IF(V162="Custom",CONCATENATE("$",'Lookup Tables'!$AM$101," ",'Lookup Tables'!$AN$101),CONCATENATE("$",INDEX('Lookup Tables'!$AM$6:$AM$102,MATCH('Lighting Inventory'!W162,'Lookup Tables'!$AI$6:$AI$102,0))," ",INDEX('Lookup Tables'!$AN$6:$AN$102,MATCH('Lighting Inventory'!W162,'Lookup Tables'!$AI$6:$AI$102,0)))))</f>
        <v/>
      </c>
      <c r="AD162" s="72"/>
      <c r="AE162" s="29"/>
      <c r="AF162" s="379"/>
      <c r="AG162" s="370" t="str">
        <f t="shared" si="401"/>
        <v/>
      </c>
      <c r="AH162" s="370" t="str">
        <f t="shared" si="454"/>
        <v/>
      </c>
      <c r="AI162" s="29"/>
      <c r="AJ162" s="29"/>
      <c r="AK162" s="110"/>
      <c r="AL162" s="375" t="str">
        <f>IF(OR(B162="", V162="", W162=""), "", IF(V162="No Change", K162, IF(V162="Remove Fixture", 0, IF(V162="Custom",VLOOKUP(W162,'Fixture Identities'!$A$6:$K$1023,10,FALSE),IF(AE162="", "← ENTER POST WATTS", 'Lighting Inventory'!AE162)))))</f>
        <v/>
      </c>
      <c r="AM162" s="376" t="str">
        <f t="shared" si="402"/>
        <v/>
      </c>
      <c r="AN162" s="29"/>
      <c r="AO162" s="671"/>
      <c r="AP162" s="29"/>
      <c r="AQ162" s="29"/>
      <c r="AR162" s="29"/>
      <c r="AS162" s="272" t="str">
        <f t="shared" si="455"/>
        <v/>
      </c>
      <c r="AT162" s="270" t="str">
        <f t="shared" si="403"/>
        <v/>
      </c>
      <c r="AU162" s="88" t="str">
        <f t="shared" si="503"/>
        <v/>
      </c>
      <c r="AV162" s="29"/>
      <c r="AW162" s="73"/>
      <c r="AX162" s="271" t="str">
        <f>IF(AND(AV162="Applicant",OR(AW162="", AW162="Use Default Facility Hours")),"← Choose Schedule",IF(F162="","",IF(W162="LED Exit Signs",8760,IF(OR(AV162="Prescribed",AV162=""),VLOOKUP(F162,'Lookup Tables'!$A$6:$G$59,IF(AB162="General", 6, 3),FALSE),VLOOKUP(AW162,'Lookup Tables'!$S$36:$U$43,2,FALSE)))))</f>
        <v/>
      </c>
      <c r="AY162" s="88" t="str">
        <f t="shared" si="404"/>
        <v/>
      </c>
      <c r="AZ162" s="270" t="str">
        <f>IFERROR(IF(F162="", "", IF(W162="LED Exit Signs", 1, IF(AV162="Applicant",VLOOKUP(AW162, 'Lookup Tables'!$S$36:$U$43,3, FALSE), VLOOKUP('Lighting Inventory'!F162, 'Lookup Tables'!$A$6:$H$59, IF('Lighting Inventory'!AB162="General",7,4), FALSE)))), "")</f>
        <v/>
      </c>
      <c r="BA162" s="522" t="str">
        <f>IFERROR(IF(F162="", "", IF(W162="LED Exit Signs", 1, VLOOKUP('Lighting Inventory'!F162, 'Lookup Tables'!$A$6:$H$59, IF('Lighting Inventory'!AB162="General",8,5), FALSE))), "")</f>
        <v/>
      </c>
      <c r="BB162" s="270" t="str">
        <f>IF(G162="", "", IF(E162="Exterior", 0, IF('Lighting Inventory'!G162="Air Conditioned", VLOOKUP(H162, 'Lookup Tables'!$R$6:$T$13, 2, FALSE), VLOOKUP('Lighting Inventory'!G162, 'Lookup Tables'!$R$6:$T$13, 2, FALSE))))</f>
        <v/>
      </c>
      <c r="BC162" s="522" t="str">
        <f>IF(G162="", "", IF(E162="Exterior", 0, IF('Lighting Inventory'!G162="Air Conditioned", VLOOKUP(H162, 'Lookup Tables'!$R$6:$T$13, 3, FALSE), VLOOKUP('Lighting Inventory'!G162, 'Lookup Tables'!$R$6:$T$13, 3, FALSE))))</f>
        <v/>
      </c>
      <c r="BD162" s="270" t="str">
        <f>IF(G162="", "", IF(E162="Exterior", 0, IF('Lighting Inventory'!G162="Air Conditioned", VLOOKUP(H162, 'Lookup Tables'!$R$6:$U$13, 4, FALSE), VLOOKUP('Lighting Inventory'!G162, 'Lookup Tables'!$R$6:$U$13, 4, FALSE))))</f>
        <v/>
      </c>
      <c r="BE162" s="270" t="str">
        <f>IFERROR(IF(B162="", "",  IF(B162="New Construction", VLOOKUP(F162, 'Lookup Tables'!$A$6:$K$59, 11, FALSE),IF(OR(AN162="", AN162="Light Switch"), 0, IF(OR(M162="",M162="None",V162= "LED Exit Signs"),0,_xlfn.XLOOKUP(M162,'Lookup Tables'!$R$91:$R$101,'Lookup Tables'!$V$91:$V$101))))), "")</f>
        <v/>
      </c>
      <c r="BF162" s="270" t="str">
        <f>IF(AND(OR(AN162="Light Switch",AN162=""),B162="New Construction"), VLOOKUP(F162, 'Lookup Tables'!$A$6:$K$59, 11, FALSE),IF(AN162="","",IF(B162="","",IF(OR(AN162="None",AN162="",V162="LED Exit Signs",AN162="Exterior Controls Not Eligible"),0,_xlfn.XLOOKUP(AN162,'Lookup Tables'!$R$91:$R$101,'Lookup Tables'!$V$91:$V$101)))))</f>
        <v/>
      </c>
      <c r="BG162" s="88" t="str">
        <f t="shared" si="456"/>
        <v/>
      </c>
      <c r="BH162" s="88" t="str">
        <f t="shared" si="457"/>
        <v/>
      </c>
      <c r="BI162" s="558" t="str">
        <f t="shared" si="501"/>
        <v/>
      </c>
      <c r="BJ162" s="82" t="str">
        <f t="shared" si="458"/>
        <v/>
      </c>
      <c r="BK162" s="82" t="str">
        <f t="shared" si="459"/>
        <v/>
      </c>
      <c r="BL162" s="559" t="str">
        <f t="shared" si="460"/>
        <v/>
      </c>
      <c r="BM162" s="521" t="str">
        <f t="shared" si="405"/>
        <v/>
      </c>
      <c r="BN162" s="521" t="str">
        <f t="shared" si="406"/>
        <v/>
      </c>
      <c r="BO162" s="522" t="str">
        <f t="shared" si="407"/>
        <v/>
      </c>
      <c r="BP162" s="83" t="str">
        <f t="shared" si="461"/>
        <v/>
      </c>
      <c r="BQ162" s="84" t="str">
        <f t="shared" si="462"/>
        <v/>
      </c>
      <c r="BR162" s="184" t="str">
        <f>IFERROR(IF(B162="", "", IF(OR(VLOOKUP(J162, 'Fixture Identities'!$A$6:$L$1023, 3, FALSE)="T12 Linear Fluorescent",VLOOKUP(J162, 'Fixture Identities'!$A$6:$L$1023, 3, FALSE)="T12 U-Tube Fluorescent"), "Y", "N")), "N")</f>
        <v/>
      </c>
      <c r="BS162" s="184" t="str">
        <f t="array" ref="BS162">IFERROR(IF(OR(B162="", V162="", W162=""), "", IF(V162="Custom", "N", IF(OR(W162="Freezer Case Lighting", W162="Refrigerated Case Lighting with Doors"), BT162, IF(B162="Retrofit", INDEX('Lookup Tables'!$AH$6:$AT$102,MATCH(1,('Lookup Tables'!$AH$6:$AH$102=V162)*('Lookup Tables'!$AI$6:$AI$102=W162),FALSE),IF(VLOOKUP(J162, 'Fixture Identities'!$A$6:$B$1023, 2, FALSE)="Incandescent",12, 13)), INDEX('Lookup Tables'!$AH$114:$AS$154,MATCH(1,('Lookup Tables'!$AH$114:$AH$154=V162)*('Lookup Tables'!$AI$114:$AI$154=W162),FALSE),12))))), "N")</f>
        <v/>
      </c>
      <c r="BT162" s="184" t="str">
        <f>IF(J162="", "", IF(AND(OR(W162="Freezer case Lighting", W162="Refrigerated Case Lighting with Doors"),'General Information'!$X$18="LCI"), "N", IF(OR(VLOOKUP(J162, 'Fixture Identities'!$A$6:$B$1023, 2, FALSE)="T12 EPACT/EISA Baseline", VLOOKUP(J162, 'Fixture Identities'!$A$6:$B$1023, 2, FALSE)="Linear Fluorescent", VLOOKUP(J162, 'Fixture Identities'!$A$6:$B$1023, 2, FALSE)="U-Tube Fluorescent"), "Y", "N")))</f>
        <v/>
      </c>
      <c r="BU162" s="184" t="str">
        <f>IFERROR(IF(B162="", "", IF(VLOOKUP(J162, 'Fixture Identities'!$A$6:$B$1023, 2, FALSE)="Exit Sign", "Y", "N")), "N")</f>
        <v/>
      </c>
      <c r="BV162" s="184" t="str">
        <f>IF(V162="Exit Signs", IF(VLOOKUP(J162, 'Fixture Identities'!$A$6:$B$1023, 2, FALSE)="Exit Sign", "N", "Y"), "")</f>
        <v/>
      </c>
      <c r="BW162" s="184" t="str">
        <f t="array" ref="BW162">IFERROR(IF(B162="", "", IF(B162="New Construction", "N", INDEX('Lookup Tables'!$AH$6:$AU$102, MATCH(1, ('Lookup Tables'!$AH$6:$AH$102='Lighting Inventory'!V162)*('Lookup Tables'!$AI$6:$AI$102='Lighting Inventory'!W162), 0), 14))), "N")</f>
        <v/>
      </c>
      <c r="BX162" s="598" t="str">
        <f t="shared" si="463"/>
        <v/>
      </c>
      <c r="BY162" s="598" t="str">
        <f t="shared" si="464"/>
        <v/>
      </c>
      <c r="BZ162" s="598" t="str">
        <f t="shared" si="465"/>
        <v/>
      </c>
      <c r="CA162" s="598" t="str">
        <f t="shared" si="466"/>
        <v/>
      </c>
      <c r="CB162" s="269" t="str">
        <f t="shared" si="467"/>
        <v/>
      </c>
      <c r="CC162" s="517" t="str">
        <f t="shared" si="468"/>
        <v/>
      </c>
      <c r="CD162" s="565" t="str">
        <f t="shared" si="408"/>
        <v/>
      </c>
      <c r="CE162" s="368">
        <v>0</v>
      </c>
      <c r="CF162" s="368" t="str" cm="1">
        <f t="array" ref="CF162">IFERROR(IF(V162="Custom", "$0.1 per kWh", IF(B162="New Construction", CONCATENATE("$",INDEX('Lookup Tables'!$AH$114:$AN$154,MATCH(1,('Lookup Tables'!$AH$114:$AH$154='Lighting Inventory'!V162)*('Lookup Tables'!$AI$114:$AI$154='Lighting Inventory'!W162),FALSE),6)," ",INDEX('Lookup Tables'!$AH$114:$AN$154,MATCH(1,('Lookup Tables'!$AH$114:$AH$154='Lighting Inventory'!V162)*('Lookup Tables'!$AI$114:$AI$154='Lighting Inventory'!W162),FALSE),7)), IF(AND(BU162="N", V162="Exit Signs"), "$0.025 per kWh", CONCATENATE("$",INDEX('Lookup Tables'!$AH$6:$AN$102,MATCH(1,('Lookup Tables'!$AH$6:$AH$102='Lighting Inventory'!V162)*('Lookup Tables'!$AI$6:$AI$102='Lighting Inventory'!W162),FALSE),6)," ",INDEX('Lookup Tables'!$AH$6:$AN$102,MATCH(1,('Lookup Tables'!$AH$6:$AH$102='Lighting Inventory'!V162)*('Lookup Tables'!$AI$6:$AI$102='Lighting Inventory'!W162),FALSE),7))))), "")</f>
        <v/>
      </c>
      <c r="CG162" s="366"/>
      <c r="CH162" s="248" t="str">
        <f t="shared" si="409"/>
        <v/>
      </c>
      <c r="CI162" s="248" t="str">
        <f t="shared" si="410"/>
        <v>Select_IE</v>
      </c>
      <c r="CJ162" s="248" t="str">
        <f t="shared" si="411"/>
        <v/>
      </c>
      <c r="CK162" s="248" t="str">
        <f t="shared" si="412"/>
        <v/>
      </c>
      <c r="CL162" s="248" t="str">
        <f t="shared" si="413"/>
        <v/>
      </c>
      <c r="CM162" s="248" t="str">
        <f>IFERROR(IF(B162="", "", IF(B162="New Construction", VLOOKUP(V162, 'Lookup Tables'!$AF$114:$AG$120, 2, FALSE), VLOOKUP(V162, 'Lookup Tables'!$AD$6:$AE$25, 2, FALSE))), "")</f>
        <v/>
      </c>
      <c r="CN162" s="248" t="str">
        <f t="shared" si="414"/>
        <v/>
      </c>
      <c r="CO162" s="248" t="str">
        <f t="shared" si="415"/>
        <v/>
      </c>
      <c r="CP162" s="592" t="str">
        <f t="shared" si="416"/>
        <v/>
      </c>
      <c r="CQ162" s="248" t="str">
        <f t="shared" si="469"/>
        <v/>
      </c>
      <c r="CR162" s="249"/>
      <c r="CS162" s="250" t="str">
        <f t="shared" si="417"/>
        <v/>
      </c>
      <c r="CT162" s="250" t="str">
        <f t="shared" si="470"/>
        <v/>
      </c>
      <c r="CU162" s="250" t="str">
        <f t="shared" si="471"/>
        <v/>
      </c>
      <c r="CV162" s="250" t="str">
        <f t="shared" si="472"/>
        <v/>
      </c>
      <c r="CW162" s="250" t="str">
        <f t="shared" si="473"/>
        <v/>
      </c>
      <c r="CX162" s="250" t="str">
        <f t="shared" si="418"/>
        <v/>
      </c>
      <c r="CY162" s="250" t="str">
        <f t="shared" si="419"/>
        <v/>
      </c>
      <c r="CZ162" s="250" t="str">
        <f t="shared" si="420"/>
        <v/>
      </c>
      <c r="DA162" s="250" t="str">
        <f t="shared" si="421"/>
        <v/>
      </c>
      <c r="DB162" s="250" t="str">
        <f t="shared" si="422"/>
        <v/>
      </c>
      <c r="DC162" s="250" t="str">
        <f t="shared" si="423"/>
        <v/>
      </c>
      <c r="DD162" s="250" t="str">
        <f t="shared" si="424"/>
        <v/>
      </c>
      <c r="DE162" s="250" t="str">
        <f t="shared" si="425"/>
        <v/>
      </c>
      <c r="DF162" s="250" t="str">
        <f t="shared" si="426"/>
        <v/>
      </c>
      <c r="DG162" s="250" t="str">
        <f t="shared" si="427"/>
        <v/>
      </c>
      <c r="DH162" s="250" t="str">
        <f t="shared" si="428"/>
        <v/>
      </c>
      <c r="DI162" s="250" t="str">
        <f t="shared" si="429"/>
        <v/>
      </c>
      <c r="DJ162" s="250" t="str">
        <f t="shared" si="430"/>
        <v/>
      </c>
      <c r="DK162" s="250" t="str">
        <f t="shared" si="431"/>
        <v/>
      </c>
      <c r="DL162" s="250" t="str">
        <f t="shared" si="432"/>
        <v/>
      </c>
      <c r="DM162" s="250" t="str">
        <f>IF(CD162="ERROR", "ERROR", IF(AND(OR(Y162=$DM$6, Y162='Lookup Tables'!$AD$21, Y162='Lookup Tables'!$AD$22), E162="Interior"), BJ162, ""))</f>
        <v/>
      </c>
      <c r="DN162" s="250" t="str">
        <f>IF(CD162="ERROR", "ERROR", IF(AND(OR(Y162=$DM$6, Y162='Lookup Tables'!$AD$21, Y162='Lookup Tables'!$AD$22), E162="Exterior"), BJ162, ""))</f>
        <v/>
      </c>
      <c r="DO162" s="249"/>
      <c r="DP162" s="250" t="str">
        <f t="shared" si="433"/>
        <v/>
      </c>
      <c r="DQ162" s="250" t="str">
        <f t="shared" si="474"/>
        <v/>
      </c>
      <c r="DR162" s="250" t="str">
        <f t="shared" si="475"/>
        <v/>
      </c>
      <c r="DS162" s="250" t="str">
        <f t="shared" si="476"/>
        <v/>
      </c>
      <c r="DT162" s="250" t="str">
        <f t="shared" si="477"/>
        <v/>
      </c>
      <c r="DU162" s="250" t="str">
        <f t="shared" si="434"/>
        <v/>
      </c>
      <c r="DV162" s="250" t="str">
        <f t="shared" si="435"/>
        <v/>
      </c>
      <c r="DW162" s="250" t="str">
        <f t="shared" si="436"/>
        <v/>
      </c>
      <c r="DX162" s="250" t="str">
        <f t="shared" si="437"/>
        <v/>
      </c>
      <c r="DY162" s="250" t="str">
        <f t="shared" si="438"/>
        <v/>
      </c>
      <c r="DZ162" s="250" t="str">
        <f t="shared" si="439"/>
        <v/>
      </c>
      <c r="EA162" s="250" t="str">
        <f t="shared" si="440"/>
        <v/>
      </c>
      <c r="EB162" s="250" t="str">
        <f t="shared" si="478"/>
        <v/>
      </c>
      <c r="EC162" s="250" t="str">
        <f t="shared" si="441"/>
        <v/>
      </c>
      <c r="ED162" s="250" t="str">
        <f t="shared" si="442"/>
        <v/>
      </c>
      <c r="EE162" s="250" t="str">
        <f t="shared" si="443"/>
        <v/>
      </c>
      <c r="EF162" s="250" t="str">
        <f t="shared" si="444"/>
        <v/>
      </c>
      <c r="EG162" s="250" t="str">
        <f t="shared" si="445"/>
        <v/>
      </c>
      <c r="EH162" s="250" t="str">
        <f>IF(CD162="ERROR", "ERROR", IF(AND(OR($EH$6=Y162, Y162='Lookup Tables'!$AD$21, Y162='Lookup Tables'!$AD$22),E162="Interior"), SUM(BP162:BP162), ""))</f>
        <v/>
      </c>
      <c r="EI162" s="250" t="str">
        <f>IF(CD162="ERROR", "ERROR", IF(AND(OR($EH$6=Y162, Y162='Lookup Tables'!$AD$21, Y162='Lookup Tables'!$AD$22),E162="Exterior"), SUM(BP162:BP162), ""))</f>
        <v/>
      </c>
      <c r="EJ162" s="109"/>
      <c r="EK162" s="485" t="str">
        <f t="shared" si="446"/>
        <v/>
      </c>
      <c r="EL162" s="252" t="str">
        <f t="shared" si="479"/>
        <v/>
      </c>
      <c r="EM162" s="252" t="str">
        <f t="shared" si="480"/>
        <v/>
      </c>
      <c r="EN162" s="252" t="str">
        <f t="shared" si="481"/>
        <v/>
      </c>
      <c r="EO162" s="252" t="str">
        <f t="shared" si="482"/>
        <v/>
      </c>
      <c r="EP162" s="252" t="str">
        <f t="shared" si="483"/>
        <v/>
      </c>
      <c r="EQ162" s="252" t="str">
        <f t="shared" si="484"/>
        <v/>
      </c>
      <c r="ER162" s="252" t="str">
        <f t="shared" si="485"/>
        <v/>
      </c>
      <c r="ES162" s="252" t="str">
        <f t="shared" si="486"/>
        <v/>
      </c>
      <c r="ET162" s="252" t="str">
        <f t="shared" si="487"/>
        <v/>
      </c>
      <c r="EU162" s="252" t="str">
        <f t="shared" si="488"/>
        <v/>
      </c>
      <c r="EV162" s="252" t="str">
        <f t="shared" si="489"/>
        <v/>
      </c>
      <c r="EW162" s="252" t="str">
        <f t="shared" si="490"/>
        <v/>
      </c>
      <c r="EX162" s="252" t="str">
        <f t="shared" si="491"/>
        <v/>
      </c>
      <c r="EY162" s="252" t="str">
        <f t="shared" si="492"/>
        <v/>
      </c>
      <c r="EZ162" s="252" t="str">
        <f t="shared" si="493"/>
        <v/>
      </c>
      <c r="FA162" s="252" t="str">
        <f t="shared" si="494"/>
        <v/>
      </c>
      <c r="FB162" s="252" t="str">
        <f t="shared" si="495"/>
        <v/>
      </c>
      <c r="FC162" s="252" t="str">
        <f>IF(CD162="ERROR", "ERROR", IF(OR(V162="No Change", V162="Not DLC or Energy Star"), "", IF(AND(OR($FC$6=Y162,Y162='Lookup Tables'!$AD$21, Y162='Lookup Tables'!$AD$22),E162="Interior"), S162, "")))</f>
        <v/>
      </c>
      <c r="FD162" s="252" t="str">
        <f t="shared" si="496"/>
        <v/>
      </c>
      <c r="FE162" s="1"/>
      <c r="FF162" s="579" t="str" cm="1">
        <f t="array" ref="FF162">IFERROR(IF(OR(BQ162&lt;=0,AQ162&lt;20,AND(V162="Exit Signs",AN162&gt;0)),"",IF(AND(AQ162&gt;=20,AN162='Lookup Tables'!$R$101),'Lookup Tables'!$U$101*BQ162,AP162*LOOKUP(2,1/((AN162='Lookup Tables'!$R$91:$R$111)*(AQ162&gt;='Lookup Tables'!$S$91:$S$111)*(AQ162&lt;='Lookup Tables'!$T$91:$T$111)),'Lookup Tables'!$U$91:$U$111))),"")</f>
        <v/>
      </c>
      <c r="FG162" s="579"/>
      <c r="FH162" s="579"/>
      <c r="FI162" s="253" t="str">
        <f>IFERROR(ROUND(IF(CD162="ERROR", "ERROR", IF(AND($FI$7=X162,E162="Interior"),VLOOKUP(W162, 'Lookup Tables'!$AI$6:$AM$102, 5, FALSE)*BP162, "")), 2), "")</f>
        <v/>
      </c>
      <c r="FJ162" s="253" t="str">
        <f>IFERROR(ROUND(IF(CD162="ERROR", "ERROR", IF(AND($FI$7=X162,E162="Exterior"),VLOOKUP(W162, 'Lookup Tables'!$AI$6:$AM$102, 5, FALSE)*BP162, "")), 2), "")</f>
        <v/>
      </c>
      <c r="FK162" s="253" t="str">
        <f>IFERROR(ROUND(IF(CD162="ERROR", "ERROR", IF(AND($FK$7=X162,E162="Interior"),VLOOKUP(W162, 'Lookup Tables'!$AI$6:$AM$102, 5, FALSE)*BP162, "")), 2), "")</f>
        <v/>
      </c>
      <c r="FL162" s="253" t="str">
        <f>IFERROR(ROUND(IF(CD162="ERROR", "ERROR", IF(AND($FK$7=X162,E162="Exterior"),VLOOKUP(W162, 'Lookup Tables'!$AI$6:$AM$102, 5, FALSE)*BP162, "")), 2), "")</f>
        <v/>
      </c>
      <c r="FM162" s="253" t="str">
        <f>IFERROR(ROUND(IF(CD162="ERROR", "ERROR", IF(AND($FM$6=Y162,E162="Interior"), IF(GB162=0, VLOOKUP(W162, 'Lookup Tables'!$AI$6:$AM$102, 5, FALSE)*BP162, IF(VLOOKUP(W162, 'Lookup Tables'!$AI$6:$AM$102, 5, FALSE)*BP162&gt;GB162*'Lighting Inventory'!S162, GB162*'Lighting Inventory'!S162,VLOOKUP(W162, 'Lookup Tables'!$AI$6:$AM$102, 5, FALSE)*BP162)), "")), 2), "")</f>
        <v/>
      </c>
      <c r="FN162" s="253" t="str">
        <f>IFERROR(ROUND(IF(CD162="ERROR", "ERROR", IF(AND($FM$6=Y162,E162="Exterior"), IF(GB162=0, VLOOKUP(W162, 'Lookup Tables'!$AI$6:$AM$102, 5, FALSE)*BP162, IF(VLOOKUP(W162, 'Lookup Tables'!$AI$6:$AM$102, 5, FALSE)*BP162&gt;GB162*'Lighting Inventory'!S162, GB162*'Lighting Inventory'!S162,VLOOKUP(W162, 'Lookup Tables'!$AI$6:$AM$102, 5, FALSE)*BP162)), "")), 2), "")</f>
        <v/>
      </c>
      <c r="FO162" s="253" t="str">
        <f>IFERROR(ROUND(IF(CD162="ERROR", "ERROR", IF(AND($FO$6=Y162,E162="Interior"),VLOOKUP(W162, 'Lookup Tables'!$AI$6:$AM$102, 5, FALSE)*'Lighting Inventory'!AI162, "")), 2), "")</f>
        <v/>
      </c>
      <c r="FP162" s="253" t="str">
        <f>IFERROR(ROUND(IF(CD162="ERROR", "ERROR", IF(AND($FO$6=Y162,E162="Exterior"),VLOOKUP(W162, 'Lookup Tables'!$AI$6:$AM$102, 5, FALSE)*'Lighting Inventory'!AI162, "")), 2), "")</f>
        <v/>
      </c>
      <c r="FQ162" s="253" t="str">
        <f>IFERROR(ROUND(IF(CD162="ERROR", "ERROR", IF(AND($FQ$6=Y162,E162="Interior", BU162="Y"), VLOOKUP('Lighting Inventory'!W162, 'Lookup Tables'!$AI$6:$AM$102, 5, FALSE)*'Lighting Inventory'!S162, IF(AND($FQ$7=Y162,E162="Interior", BU162="N"), 0.025*CD162, ""))), 2), "")</f>
        <v/>
      </c>
      <c r="FR162" s="253" t="str">
        <f>IFERROR(ROUND(IF(CD162="ERROR", "ERROR", IF(AND($FQ$6=Y162,E162="Exterior"), VLOOKUP('Lighting Inventory'!W162, 'Lookup Tables'!$AI$6:$AM$102, 5, FALSE)*'Lighting Inventory'!S162, "")), 2), "")</f>
        <v/>
      </c>
      <c r="FS162" s="253" t="str">
        <f>IFERROR(ROUND(IF(CD162="ERROR", "ERROR", IF(AND($FS$6=Y162,E162="Exterior"), IF(GB162=0, VLOOKUP(W162, 'Lookup Tables'!$AI$6:$AM$102, 5, FALSE)*BP162, IF(VLOOKUP(W162, 'Lookup Tables'!$AI$6:$AM$102, 5, FALSE)*BP162&gt;GB162*'Lighting Inventory'!S162, GB162*'Lighting Inventory'!S162,VLOOKUP(W162, 'Lookup Tables'!$AI$6:$AM$102, 5, FALSE)*BP162)), "")), 2), "")</f>
        <v/>
      </c>
      <c r="FT162" s="253" t="str">
        <f>IFERROR(ROUND(IF(CD162="ERROR", "ERROR", IF(AND($FT$6=Y162,E162="Interior"), IF(GB162=0, VLOOKUP(W162, 'Lookup Tables'!$AI$6:$AM$102, 5, FALSE)*BP162, IF(VLOOKUP(W162, 'Lookup Tables'!$AI$6:$AM$102, 5, FALSE)*BP162&gt;GB162*'Lighting Inventory'!S162, GB162*'Lighting Inventory'!S162,VLOOKUP(W162, 'Lookup Tables'!$AI$6:$AM$102, 5, FALSE)*BP162)), "")), 2), "")</f>
        <v/>
      </c>
      <c r="FU162" s="253" t="str">
        <f>IFERROR(ROUND(IF(CD162="ERROR", "ERROR", IF(AND(Y162=$FU$6, E162="Interior"), IF(BS162="N", 'Lookup Tables'!$AM$101*BP162, VLOOKUP(W162, 'Lookup Tables'!$AI$6:$AM$102, 5, FALSE)*S162*AD162), "")), 2), "")</f>
        <v/>
      </c>
      <c r="FV162" s="253" t="str">
        <f>IFERROR(ROUND(IF(CD162="ERROR", "ERROR", IF(AND(Y162=$FU$6, E162="Exterior"), IF(BS162="N", 'Lookup Tables'!$AM$101*BP162, VLOOKUP(W162, 'Lookup Tables'!$AI$6:$AM$102, 5, FALSE)*S162*AD162), "")), 2), "")</f>
        <v/>
      </c>
      <c r="FW162" s="253" t="str">
        <f>IFERROR(ROUND(IF(CD162="ERROR", "ERROR", IF($FW$6=Y162, IF(BS162="N", 'Lookup Tables'!$AM$101*BP162, MIN((VLOOKUP(W162, 'Lookup Tables'!$AI$6:$AM$102, 5, FALSE)*BP162),GB162*AJ162)), "")), 2), "")</f>
        <v/>
      </c>
      <c r="FX162" s="253" t="str">
        <f>IFERROR(ROUND(IF(CD162="ERROR", "ERROR", IF(AND($FX$6=Y162, E162="Interior"), IF(VLOOKUP(W162, 'Lookup Tables'!$AI$6:$AM$102, 5, FALSE)*BP162&gt;'Lookup Tables'!$AQ$97*'Lighting Inventory'!S162,'Lighting Inventory'!S162*'Lookup Tables'!$AQ$97,VLOOKUP(W162, 'Lookup Tables'!$AI$6:$AM$102, 5, FALSE)*BP162), "")), 2), "")</f>
        <v/>
      </c>
      <c r="FY162" s="253" t="str">
        <f>IFERROR(ROUND(IF(CD162="ERROR", "ERROR", IF(AND($FX$6=Y162, E162="Exterior"), IF(VLOOKUP(W162, 'Lookup Tables'!$AI$6:$AM$102, 5, FALSE)*BP162&gt;'Lookup Tables'!$AQ$97*'Lighting Inventory'!S162,'Lighting Inventory'!S162*'Lookup Tables'!$AQ$97,VLOOKUP(W162, 'Lookup Tables'!$AI$6:$AM$102, 5, FALSE)*BP162), "")), 2), "")</f>
        <v/>
      </c>
      <c r="FZ162" s="253" t="str">
        <f>IFERROR(ROUND(IF(CD162="ERROR", "ERROR", IF(AND($FZ$6=Y162, E162="Interior"), IF(AND(OR(W162="Refrigerated Case Lighting with Doors", W162="Freezer Case Lighting"),Y162="Custom - Process Improvement"),CD162*'Lookup Tables'!$AM$101, IF(B162="Retrofit", IF(VLOOKUP(IF(V162="Custom", V162, W162), 'Lookup Tables'!$AI$6:$AM$102, 5, FALSE)*BP162&gt;GE162, GE162, VLOOKUP(IF(V162="Custom", V162, W162), 'Lookup Tables'!$AI$6:$AM$102, 5, FALSE)*BP162), IF(VLOOKUP(IF(V162="Custom", V162, W162), 'Lookup Tables'!$AI$114:$AM$154, 5, FALSE)*BP162&gt;GE162, GE162, VLOOKUP(IF(V162="Custom", V162, W162), 'Lookup Tables'!$AI$114:$AM$154, 5, FALSE)*BP162))), "")), 2),"")</f>
        <v/>
      </c>
      <c r="GA162" s="253" t="str">
        <f>IFERROR(ROUND(IF(CD162="ERROR", "ERROR", IF(AND($FZ$6=Y162, E162="Exterior"), IF(B162="Retrofit", IF(VLOOKUP(IF(V162="Custom", V162, W162), 'Lookup Tables'!$AI$6:$AM$102, 5, FALSE)*BP162&gt;GE162, GE162, VLOOKUP(IF(V162="Custom", V162, W162), 'Lookup Tables'!$AI$6:$AM$102, 5, FALSE)*BP162), IF(VLOOKUP(IF(V162="Custom", V162, W162), 'Lookup Tables'!$AI$114:$AM$154, 5, FALSE)*BP162&gt;GE162, GE162, VLOOKUP(IF(V162="Custom", V162, W162), 'Lookup Tables'!$AI$114:$AM$154, 5, FALSE)*BP162)), "")), 2),"")</f>
        <v/>
      </c>
      <c r="GB162" s="254" t="str">
        <f t="array" ref="GB162">IF(B162="","",IF(OR(V162="Custom",V162="No Change"),0,IF(B162="Retrofit", INDEX('Lookup Tables'!$AH$6:$AQ$102,MATCH(1,('Lookup Tables'!$AH$6:$AH$102='Lighting Inventory'!V162)*('Lookup Tables'!$AI$6:$AI$102='Lighting Inventory'!W162),FALSE),10),INDEX('Lookup Tables'!$AH$114:$AQ$154,MATCH(1,('Lookup Tables'!$AH$114:$AH$154='Lighting Inventory'!V162)*('Lookup Tables'!$AI$114:$AI$154='Lighting Inventory'!W162),FALSE),10))))</f>
        <v/>
      </c>
      <c r="GC162" s="255" t="str">
        <f t="shared" si="447"/>
        <v/>
      </c>
      <c r="GD162" s="250" t="str">
        <f t="shared" si="448"/>
        <v/>
      </c>
      <c r="GE162" s="253" t="str">
        <f>IFERROR(IF(AND(AF162="", 'General Information'!$F$18="No"),"", IF(AF162="", ((GD162/$CD$266)*$CF$266)*0.5, AF162*S162*0.5)), "")</f>
        <v/>
      </c>
      <c r="GF162" s="255" t="str">
        <f>IF(AND('General Information'!$F$19="", 'General Information'!$F$18="Yes",AF162="",BW162="Y"), "Y", "N")</f>
        <v>N</v>
      </c>
      <c r="GG162" s="255" t="s">
        <v>2946</v>
      </c>
      <c r="GH162" s="255" t="str">
        <f>IFERROR(IF(B162="", "", VLOOKUP(J162, 'Fixture Identities'!$A$6:$N$908, 14, FALSE)), "")</f>
        <v/>
      </c>
      <c r="GI162" s="389" t="str">
        <f>IF(OR(B162="", V162="", W162=""), "", IF(AND(OR(M162='Lookup Tables'!$R$18, M162='Lookup Tables'!$R$19, M162='Lookup Tables'!$R$20, M162='Lookup Tables'!$R$21, M162='Lookup Tables'!$R$22), OR(AN162='Lookup Tables'!$R$17, AN162='Lookup Tables'!$R$17, AN162="")), "Y", "N"))</f>
        <v/>
      </c>
      <c r="GJ162" s="255" t="str">
        <f t="shared" si="449"/>
        <v/>
      </c>
      <c r="GK162" s="255" t="str">
        <f t="shared" si="450"/>
        <v/>
      </c>
      <c r="GL162" s="255" t="str">
        <f t="shared" si="451"/>
        <v/>
      </c>
      <c r="GM162" s="255" t="str">
        <f>IF(AN162="", "", IF(AND(IF(ISNA(VLOOKUP(AN162,'Lookup Tables'!$R$18:$R$22,1,FALSE)), "N", "Y")="Y", E162="Exterior"), "Y", "N"))</f>
        <v/>
      </c>
      <c r="GN162" s="395"/>
      <c r="GO162" s="428">
        <f t="shared" si="497"/>
        <v>0</v>
      </c>
      <c r="GP162" s="428">
        <f t="shared" si="500"/>
        <v>0</v>
      </c>
      <c r="GQ162" s="428">
        <f t="shared" si="498"/>
        <v>0</v>
      </c>
      <c r="GR162" s="428">
        <f t="shared" si="499"/>
        <v>0</v>
      </c>
    </row>
    <row r="163" spans="1:200" s="103" customFormat="1" ht="13.5" customHeight="1" x14ac:dyDescent="0.2">
      <c r="A163" s="272">
        <v>153</v>
      </c>
      <c r="B163" s="110"/>
      <c r="C163" s="110"/>
      <c r="D163" s="110"/>
      <c r="E163" s="110"/>
      <c r="F163" s="110"/>
      <c r="G163" s="110"/>
      <c r="H163" s="110"/>
      <c r="I163" s="29"/>
      <c r="J163" s="29"/>
      <c r="K163" s="272" t="str">
        <f>IFERROR(IF(OR(VLOOKUP(J163, 'Fixture Identities'!$A$6:$L$1023, 3, FALSE)="T12 Linear Fluorescent", VLOOKUP(J163, 'Fixture Identities'!$A$6:$L$1023, 3, FALSE)="T12 U-Tube Fluorescent"), VLOOKUP(VLOOKUP(J163, 'Fixture Identities'!$A$6:$L$1023, 11, FALSE), 'Fixture Identities'!$A$6:$L$1023, 10, FALSE), VLOOKUP(J163, 'Fixture Identities'!$A$6:$L$1023, 10, FALSE)), "")</f>
        <v/>
      </c>
      <c r="L163" s="270" t="str">
        <f t="shared" si="502"/>
        <v/>
      </c>
      <c r="M163" s="110"/>
      <c r="N163" s="110"/>
      <c r="O163" s="110"/>
      <c r="P163" s="272" t="str">
        <f>IFERROR(IF(OR(B163="Retrofit",B163=""),"",IF('Lighting Inventory'!E163="Exterior",VLOOKUP('Lighting Inventory'!N163,'Lookup Tables'!$B$83:$F$103,5,FALSE),IF(N163="Other - Please Estimate EFLH and CFs","Contact Prog. Rep.","ft^2"))), "")</f>
        <v/>
      </c>
      <c r="Q163" s="270" t="str">
        <f>IFERROR(IF(AND(B163="New Construction",E163="Interior",$F$5="Space-by-Space"),VLOOKUP('Lighting Inventory'!N163,'Lookup Tables'!$N$6:$O$97,2,FALSE),IF(AND(B163="New Construction",E163="Exterior"),VLOOKUP(N163,'Lookup Tables'!$B$83:$F$103,2,FALSE),IF(AND(B163="New Construction",'Lighting Inventory'!E163="Interior", $F$5="Building Area"),VLOOKUP(F163,'Lookup Tables'!$A$6:$J$59,10,FALSE),""))), "")</f>
        <v/>
      </c>
      <c r="R163" s="270" t="str">
        <f>IFERROR(IF(P163="Contact Prog. Rep.", "ERROR", IF(OR(B163="",B163="Retrofit"),"",IF(N163="Automated teller machines", ('Lookup Tables'!$A$82:$E$100+('Lighting Inventory'!O163-1)*'Lookup Tables'!$A$82:$E$100)/1000, (Q163*O163)/1000))), "")</f>
        <v/>
      </c>
      <c r="S163" s="595"/>
      <c r="T163" s="105" t="str">
        <f t="shared" si="452"/>
        <v/>
      </c>
      <c r="U163" s="105" t="str">
        <f>IF(S163="","",COUNT($S$11:S163))</f>
        <v/>
      </c>
      <c r="V163" s="111"/>
      <c r="W163" s="112"/>
      <c r="X163" s="105" t="str">
        <f t="shared" si="453"/>
        <v/>
      </c>
      <c r="Y163" s="105" t="str">
        <f t="array" ref="Y163">IF(AND(OR(W163="Freezer Case Lighting", W163="Refrigerated Case Lighting with Doors"), 'General Information'!$X$18="LCI"),'Lookup Tables'!$Y$34, IF(V163="Custom", VLOOKUP(W163, 'Fixture Identities'!$A$974:$M$1023, 13, FALSE), IF(V163="No Change",'Lookup Tables'!$Y$29,IF(OR(V163="",W163=""),"",IF(AND(S163=0,S163&lt;I163,B163="Retrofit"),'Lookup Tables'!$Y$25, IF(B163="Retrofit", INDEX('Lookup Tables'!$AH$6:$AP$102, MATCH(1, ('Lookup Tables'!$AH$6:$AH$102=V163)*('Lookup Tables'!$AI$6:$AI$102=W163), 0), IF('Lighting Inventory'!E163="Interior", 4, 5)), INDEX('Lookup Tables'!$AH$114:$AP$154, MATCH(1, ('Lookup Tables'!$AH$114:$AH$154=V163)*('Lookup Tables'!$AI$114:$AI$154=W163), 0), IF('Lighting Inventory'!E163="Interior", 4, 5))))))))</f>
        <v/>
      </c>
      <c r="Z163" s="105" t="str">
        <f>IFERROR(INDEX('Lookup Tables'!$AH$158:$AH$172,MATCH('Lighting Inventory'!Y163,'Lookup Tables'!$AI$158:$AI$172,0)),"")</f>
        <v/>
      </c>
      <c r="AA163" s="105" t="str">
        <f>IF(AP163&gt;0,INDEX('Lookup Tables'!$AK$158:$AK$172,MATCH('Lighting Inventory'!Y163,'Lookup Tables'!$AI$158:$AI$172,0)),'Lighting Inventory'!Y163)</f>
        <v/>
      </c>
      <c r="AB163" s="105" t="str">
        <f t="array" ref="AB163">IF(V163="Custom", "Custom", IF(V163="", "", IF(V163="Not DLC or Energy Star", "General", IF(B163="New Construction", INDEX('Lookup Tables'!$AH$114:$AP$154,MATCH(1,('Lookup Tables'!$AH$114:$AH$154='Lighting Inventory'!V163)*('Lookup Tables'!$AI$114:$AI$154='Lighting Inventory'!W163),FALSE),8), INDEX('Lookup Tables'!$AH$6:$AP$102,MATCH(1,('Lookup Tables'!$AH$6:$AH$102='Lighting Inventory'!V163)*('Lookup Tables'!$AI$6:$AI$102='Lighting Inventory'!W163),FALSE),8)))))</f>
        <v/>
      </c>
      <c r="AC163" s="272" t="str">
        <f>IF(W163="","",IF(V163="Custom",CONCATENATE("$",'Lookup Tables'!$AM$101," ",'Lookup Tables'!$AN$101),CONCATENATE("$",INDEX('Lookup Tables'!$AM$6:$AM$102,MATCH('Lighting Inventory'!W163,'Lookup Tables'!$AI$6:$AI$102,0))," ",INDEX('Lookup Tables'!$AN$6:$AN$102,MATCH('Lighting Inventory'!W163,'Lookup Tables'!$AI$6:$AI$102,0)))))</f>
        <v/>
      </c>
      <c r="AD163" s="72"/>
      <c r="AE163" s="29"/>
      <c r="AF163" s="379"/>
      <c r="AG163" s="370" t="str">
        <f t="shared" si="401"/>
        <v/>
      </c>
      <c r="AH163" s="370" t="str">
        <f t="shared" si="454"/>
        <v/>
      </c>
      <c r="AI163" s="29"/>
      <c r="AJ163" s="29"/>
      <c r="AK163" s="110"/>
      <c r="AL163" s="375" t="str">
        <f>IF(OR(B163="", V163="", W163=""), "", IF(V163="No Change", K163, IF(V163="Remove Fixture", 0, IF(V163="Custom",VLOOKUP(W163,'Fixture Identities'!$A$6:$K$1023,10,FALSE),IF(AE163="", "← ENTER POST WATTS", 'Lighting Inventory'!AE163)))))</f>
        <v/>
      </c>
      <c r="AM163" s="376" t="str">
        <f t="shared" si="402"/>
        <v/>
      </c>
      <c r="AN163" s="29"/>
      <c r="AO163" s="671"/>
      <c r="AP163" s="29"/>
      <c r="AQ163" s="29"/>
      <c r="AR163" s="29"/>
      <c r="AS163" s="272" t="str">
        <f t="shared" si="455"/>
        <v/>
      </c>
      <c r="AT163" s="270" t="str">
        <f t="shared" si="403"/>
        <v/>
      </c>
      <c r="AU163" s="88" t="str">
        <f t="shared" si="503"/>
        <v/>
      </c>
      <c r="AV163" s="29"/>
      <c r="AW163" s="73"/>
      <c r="AX163" s="271" t="str">
        <f>IF(AND(AV163="Applicant",OR(AW163="", AW163="Use Default Facility Hours")),"← Choose Schedule",IF(F163="","",IF(W163="LED Exit Signs",8760,IF(OR(AV163="Prescribed",AV163=""),VLOOKUP(F163,'Lookup Tables'!$A$6:$G$59,IF(AB163="General", 6, 3),FALSE),VLOOKUP(AW163,'Lookup Tables'!$S$36:$U$43,2,FALSE)))))</f>
        <v/>
      </c>
      <c r="AY163" s="88" t="str">
        <f t="shared" si="404"/>
        <v/>
      </c>
      <c r="AZ163" s="270" t="str">
        <f>IFERROR(IF(F163="", "", IF(W163="LED Exit Signs", 1, IF(AV163="Applicant",VLOOKUP(AW163, 'Lookup Tables'!$S$36:$U$43,3, FALSE), VLOOKUP('Lighting Inventory'!F163, 'Lookup Tables'!$A$6:$H$59, IF('Lighting Inventory'!AB163="General",7,4), FALSE)))), "")</f>
        <v/>
      </c>
      <c r="BA163" s="522" t="str">
        <f>IFERROR(IF(F163="", "", IF(W163="LED Exit Signs", 1, VLOOKUP('Lighting Inventory'!F163, 'Lookup Tables'!$A$6:$H$59, IF('Lighting Inventory'!AB163="General",8,5), FALSE))), "")</f>
        <v/>
      </c>
      <c r="BB163" s="270" t="str">
        <f>IF(G163="", "", IF(E163="Exterior", 0, IF('Lighting Inventory'!G163="Air Conditioned", VLOOKUP(H163, 'Lookup Tables'!$R$6:$T$13, 2, FALSE), VLOOKUP('Lighting Inventory'!G163, 'Lookup Tables'!$R$6:$T$13, 2, FALSE))))</f>
        <v/>
      </c>
      <c r="BC163" s="522" t="str">
        <f>IF(G163="", "", IF(E163="Exterior", 0, IF('Lighting Inventory'!G163="Air Conditioned", VLOOKUP(H163, 'Lookup Tables'!$R$6:$T$13, 3, FALSE), VLOOKUP('Lighting Inventory'!G163, 'Lookup Tables'!$R$6:$T$13, 3, FALSE))))</f>
        <v/>
      </c>
      <c r="BD163" s="270" t="str">
        <f>IF(G163="", "", IF(E163="Exterior", 0, IF('Lighting Inventory'!G163="Air Conditioned", VLOOKUP(H163, 'Lookup Tables'!$R$6:$U$13, 4, FALSE), VLOOKUP('Lighting Inventory'!G163, 'Lookup Tables'!$R$6:$U$13, 4, FALSE))))</f>
        <v/>
      </c>
      <c r="BE163" s="270" t="str">
        <f>IFERROR(IF(B163="", "",  IF(B163="New Construction", VLOOKUP(F163, 'Lookup Tables'!$A$6:$K$59, 11, FALSE),IF(OR(AN163="", AN163="Light Switch"), 0, IF(OR(M163="",M163="None",V163= "LED Exit Signs"),0,_xlfn.XLOOKUP(M163,'Lookup Tables'!$R$91:$R$101,'Lookup Tables'!$V$91:$V$101))))), "")</f>
        <v/>
      </c>
      <c r="BF163" s="270" t="str">
        <f>IF(AND(OR(AN163="Light Switch",AN163=""),B163="New Construction"), VLOOKUP(F163, 'Lookup Tables'!$A$6:$K$59, 11, FALSE),IF(AN163="","",IF(B163="","",IF(OR(AN163="None",AN163="",V163="LED Exit Signs",AN163="Exterior Controls Not Eligible"),0,_xlfn.XLOOKUP(AN163,'Lookup Tables'!$R$91:$R$101,'Lookup Tables'!$V$91:$V$101)))))</f>
        <v/>
      </c>
      <c r="BG163" s="88" t="str">
        <f t="shared" si="456"/>
        <v/>
      </c>
      <c r="BH163" s="88" t="str">
        <f t="shared" si="457"/>
        <v/>
      </c>
      <c r="BI163" s="558" t="str">
        <f t="shared" si="501"/>
        <v/>
      </c>
      <c r="BJ163" s="82" t="str">
        <f t="shared" si="458"/>
        <v/>
      </c>
      <c r="BK163" s="82" t="str">
        <f t="shared" si="459"/>
        <v/>
      </c>
      <c r="BL163" s="559" t="str">
        <f t="shared" si="460"/>
        <v/>
      </c>
      <c r="BM163" s="521" t="str">
        <f t="shared" si="405"/>
        <v/>
      </c>
      <c r="BN163" s="521" t="str">
        <f t="shared" si="406"/>
        <v/>
      </c>
      <c r="BO163" s="522" t="str">
        <f t="shared" si="407"/>
        <v/>
      </c>
      <c r="BP163" s="83" t="str">
        <f t="shared" si="461"/>
        <v/>
      </c>
      <c r="BQ163" s="84" t="str">
        <f t="shared" si="462"/>
        <v/>
      </c>
      <c r="BR163" s="184" t="str">
        <f>IFERROR(IF(B163="", "", IF(OR(VLOOKUP(J163, 'Fixture Identities'!$A$6:$L$1023, 3, FALSE)="T12 Linear Fluorescent",VLOOKUP(J163, 'Fixture Identities'!$A$6:$L$1023, 3, FALSE)="T12 U-Tube Fluorescent"), "Y", "N")), "N")</f>
        <v/>
      </c>
      <c r="BS163" s="184" t="str">
        <f t="array" ref="BS163">IFERROR(IF(OR(B163="", V163="", W163=""), "", IF(V163="Custom", "N", IF(OR(W163="Freezer Case Lighting", W163="Refrigerated Case Lighting with Doors"), BT163, IF(B163="Retrofit", INDEX('Lookup Tables'!$AH$6:$AT$102,MATCH(1,('Lookup Tables'!$AH$6:$AH$102=V163)*('Lookup Tables'!$AI$6:$AI$102=W163),FALSE),IF(VLOOKUP(J163, 'Fixture Identities'!$A$6:$B$1023, 2, FALSE)="Incandescent",12, 13)), INDEX('Lookup Tables'!$AH$114:$AS$154,MATCH(1,('Lookup Tables'!$AH$114:$AH$154=V163)*('Lookup Tables'!$AI$114:$AI$154=W163),FALSE),12))))), "N")</f>
        <v/>
      </c>
      <c r="BT163" s="184" t="str">
        <f>IF(J163="", "", IF(AND(OR(W163="Freezer case Lighting", W163="Refrigerated Case Lighting with Doors"),'General Information'!$X$18="LCI"), "N", IF(OR(VLOOKUP(J163, 'Fixture Identities'!$A$6:$B$1023, 2, FALSE)="T12 EPACT/EISA Baseline", VLOOKUP(J163, 'Fixture Identities'!$A$6:$B$1023, 2, FALSE)="Linear Fluorescent", VLOOKUP(J163, 'Fixture Identities'!$A$6:$B$1023, 2, FALSE)="U-Tube Fluorescent"), "Y", "N")))</f>
        <v/>
      </c>
      <c r="BU163" s="184" t="str">
        <f>IFERROR(IF(B163="", "", IF(VLOOKUP(J163, 'Fixture Identities'!$A$6:$B$1023, 2, FALSE)="Exit Sign", "Y", "N")), "N")</f>
        <v/>
      </c>
      <c r="BV163" s="184" t="str">
        <f>IF(V163="Exit Signs", IF(VLOOKUP(J163, 'Fixture Identities'!$A$6:$B$1023, 2, FALSE)="Exit Sign", "N", "Y"), "")</f>
        <v/>
      </c>
      <c r="BW163" s="184" t="str">
        <f t="array" ref="BW163">IFERROR(IF(B163="", "", IF(B163="New Construction", "N", INDEX('Lookup Tables'!$AH$6:$AU$102, MATCH(1, ('Lookup Tables'!$AH$6:$AH$102='Lighting Inventory'!V163)*('Lookup Tables'!$AI$6:$AI$102='Lighting Inventory'!W163), 0), 14))), "N")</f>
        <v/>
      </c>
      <c r="BX163" s="598" t="str">
        <f t="shared" si="463"/>
        <v/>
      </c>
      <c r="BY163" s="598" t="str">
        <f t="shared" si="464"/>
        <v/>
      </c>
      <c r="BZ163" s="598" t="str">
        <f t="shared" si="465"/>
        <v/>
      </c>
      <c r="CA163" s="598" t="str">
        <f t="shared" si="466"/>
        <v/>
      </c>
      <c r="CB163" s="269" t="str">
        <f t="shared" si="467"/>
        <v/>
      </c>
      <c r="CC163" s="517" t="str">
        <f t="shared" si="468"/>
        <v/>
      </c>
      <c r="CD163" s="565" t="str">
        <f t="shared" si="408"/>
        <v/>
      </c>
      <c r="CE163" s="368">
        <v>0</v>
      </c>
      <c r="CF163" s="368" t="str" cm="1">
        <f t="array" ref="CF163">IFERROR(IF(V163="Custom", "$0.1 per kWh", IF(B163="New Construction", CONCATENATE("$",INDEX('Lookup Tables'!$AH$114:$AN$154,MATCH(1,('Lookup Tables'!$AH$114:$AH$154='Lighting Inventory'!V163)*('Lookup Tables'!$AI$114:$AI$154='Lighting Inventory'!W163),FALSE),6)," ",INDEX('Lookup Tables'!$AH$114:$AN$154,MATCH(1,('Lookup Tables'!$AH$114:$AH$154='Lighting Inventory'!V163)*('Lookup Tables'!$AI$114:$AI$154='Lighting Inventory'!W163),FALSE),7)), IF(AND(BU163="N", V163="Exit Signs"), "$0.025 per kWh", CONCATENATE("$",INDEX('Lookup Tables'!$AH$6:$AN$102,MATCH(1,('Lookup Tables'!$AH$6:$AH$102='Lighting Inventory'!V163)*('Lookup Tables'!$AI$6:$AI$102='Lighting Inventory'!W163),FALSE),6)," ",INDEX('Lookup Tables'!$AH$6:$AN$102,MATCH(1,('Lookup Tables'!$AH$6:$AH$102='Lighting Inventory'!V163)*('Lookup Tables'!$AI$6:$AI$102='Lighting Inventory'!W163),FALSE),7))))), "")</f>
        <v/>
      </c>
      <c r="CG163" s="366"/>
      <c r="CH163" s="248" t="str">
        <f t="shared" si="409"/>
        <v/>
      </c>
      <c r="CI163" s="248" t="str">
        <f t="shared" si="410"/>
        <v>Select_IE</v>
      </c>
      <c r="CJ163" s="248" t="str">
        <f t="shared" si="411"/>
        <v/>
      </c>
      <c r="CK163" s="248" t="str">
        <f t="shared" si="412"/>
        <v/>
      </c>
      <c r="CL163" s="248" t="str">
        <f t="shared" si="413"/>
        <v/>
      </c>
      <c r="CM163" s="248" t="str">
        <f>IFERROR(IF(B163="", "", IF(B163="New Construction", VLOOKUP(V163, 'Lookup Tables'!$AF$114:$AG$120, 2, FALSE), VLOOKUP(V163, 'Lookup Tables'!$AD$6:$AE$25, 2, FALSE))), "")</f>
        <v/>
      </c>
      <c r="CN163" s="248" t="str">
        <f t="shared" si="414"/>
        <v/>
      </c>
      <c r="CO163" s="248" t="str">
        <f t="shared" si="415"/>
        <v/>
      </c>
      <c r="CP163" s="592" t="str">
        <f t="shared" si="416"/>
        <v/>
      </c>
      <c r="CQ163" s="248" t="str">
        <f t="shared" si="469"/>
        <v/>
      </c>
      <c r="CR163" s="100"/>
      <c r="CS163" s="250" t="str">
        <f t="shared" si="417"/>
        <v/>
      </c>
      <c r="CT163" s="250" t="str">
        <f t="shared" si="470"/>
        <v/>
      </c>
      <c r="CU163" s="250" t="str">
        <f t="shared" si="471"/>
        <v/>
      </c>
      <c r="CV163" s="250" t="str">
        <f t="shared" si="472"/>
        <v/>
      </c>
      <c r="CW163" s="250" t="str">
        <f t="shared" si="473"/>
        <v/>
      </c>
      <c r="CX163" s="250" t="str">
        <f t="shared" si="418"/>
        <v/>
      </c>
      <c r="CY163" s="250" t="str">
        <f t="shared" si="419"/>
        <v/>
      </c>
      <c r="CZ163" s="250" t="str">
        <f t="shared" si="420"/>
        <v/>
      </c>
      <c r="DA163" s="250" t="str">
        <f t="shared" si="421"/>
        <v/>
      </c>
      <c r="DB163" s="250" t="str">
        <f t="shared" si="422"/>
        <v/>
      </c>
      <c r="DC163" s="250" t="str">
        <f t="shared" si="423"/>
        <v/>
      </c>
      <c r="DD163" s="250" t="str">
        <f t="shared" si="424"/>
        <v/>
      </c>
      <c r="DE163" s="250" t="str">
        <f t="shared" si="425"/>
        <v/>
      </c>
      <c r="DF163" s="250" t="str">
        <f t="shared" si="426"/>
        <v/>
      </c>
      <c r="DG163" s="250" t="str">
        <f t="shared" si="427"/>
        <v/>
      </c>
      <c r="DH163" s="250" t="str">
        <f t="shared" si="428"/>
        <v/>
      </c>
      <c r="DI163" s="250" t="str">
        <f t="shared" si="429"/>
        <v/>
      </c>
      <c r="DJ163" s="250" t="str">
        <f t="shared" si="430"/>
        <v/>
      </c>
      <c r="DK163" s="250" t="str">
        <f t="shared" si="431"/>
        <v/>
      </c>
      <c r="DL163" s="250" t="str">
        <f t="shared" si="432"/>
        <v/>
      </c>
      <c r="DM163" s="250" t="str">
        <f>IF(CD163="ERROR", "ERROR", IF(AND(OR(Y163=$DM$6, Y163='Lookup Tables'!$AD$21, Y163='Lookup Tables'!$AD$22), E163="Interior"), BJ163, ""))</f>
        <v/>
      </c>
      <c r="DN163" s="250" t="str">
        <f>IF(CD163="ERROR", "ERROR", IF(AND(OR(Y163=$DM$6, Y163='Lookup Tables'!$AD$21, Y163='Lookup Tables'!$AD$22), E163="Exterior"), BJ163, ""))</f>
        <v/>
      </c>
      <c r="DO163" s="100"/>
      <c r="DP163" s="250" t="str">
        <f t="shared" si="433"/>
        <v/>
      </c>
      <c r="DQ163" s="250" t="str">
        <f t="shared" si="474"/>
        <v/>
      </c>
      <c r="DR163" s="250" t="str">
        <f t="shared" si="475"/>
        <v/>
      </c>
      <c r="DS163" s="250" t="str">
        <f t="shared" si="476"/>
        <v/>
      </c>
      <c r="DT163" s="250" t="str">
        <f t="shared" si="477"/>
        <v/>
      </c>
      <c r="DU163" s="250" t="str">
        <f t="shared" si="434"/>
        <v/>
      </c>
      <c r="DV163" s="250" t="str">
        <f t="shared" si="435"/>
        <v/>
      </c>
      <c r="DW163" s="250" t="str">
        <f t="shared" si="436"/>
        <v/>
      </c>
      <c r="DX163" s="250" t="str">
        <f t="shared" si="437"/>
        <v/>
      </c>
      <c r="DY163" s="250" t="str">
        <f t="shared" si="438"/>
        <v/>
      </c>
      <c r="DZ163" s="250" t="str">
        <f t="shared" si="439"/>
        <v/>
      </c>
      <c r="EA163" s="250" t="str">
        <f t="shared" si="440"/>
        <v/>
      </c>
      <c r="EB163" s="250" t="str">
        <f t="shared" si="478"/>
        <v/>
      </c>
      <c r="EC163" s="250" t="str">
        <f t="shared" si="441"/>
        <v/>
      </c>
      <c r="ED163" s="250" t="str">
        <f t="shared" si="442"/>
        <v/>
      </c>
      <c r="EE163" s="250" t="str">
        <f t="shared" si="443"/>
        <v/>
      </c>
      <c r="EF163" s="250" t="str">
        <f t="shared" si="444"/>
        <v/>
      </c>
      <c r="EG163" s="250" t="str">
        <f t="shared" si="445"/>
        <v/>
      </c>
      <c r="EH163" s="250" t="str">
        <f>IF(CD163="ERROR", "ERROR", IF(AND(OR($EH$6=Y163, Y163='Lookup Tables'!$AD$21, Y163='Lookup Tables'!$AD$22),E163="Interior"), SUM(BP163:BP163), ""))</f>
        <v/>
      </c>
      <c r="EI163" s="250" t="str">
        <f>IF(CD163="ERROR", "ERROR", IF(AND(OR($EH$6=Y163, Y163='Lookup Tables'!$AD$21, Y163='Lookup Tables'!$AD$22),E163="Exterior"), SUM(BP163:BP163), ""))</f>
        <v/>
      </c>
      <c r="EJ163" s="109"/>
      <c r="EK163" s="485" t="str">
        <f t="shared" si="446"/>
        <v/>
      </c>
      <c r="EL163" s="252" t="str">
        <f t="shared" si="479"/>
        <v/>
      </c>
      <c r="EM163" s="252" t="str">
        <f t="shared" si="480"/>
        <v/>
      </c>
      <c r="EN163" s="252" t="str">
        <f t="shared" si="481"/>
        <v/>
      </c>
      <c r="EO163" s="252" t="str">
        <f t="shared" si="482"/>
        <v/>
      </c>
      <c r="EP163" s="252" t="str">
        <f t="shared" si="483"/>
        <v/>
      </c>
      <c r="EQ163" s="252" t="str">
        <f t="shared" si="484"/>
        <v/>
      </c>
      <c r="ER163" s="252" t="str">
        <f t="shared" si="485"/>
        <v/>
      </c>
      <c r="ES163" s="252" t="str">
        <f t="shared" si="486"/>
        <v/>
      </c>
      <c r="ET163" s="252" t="str">
        <f t="shared" si="487"/>
        <v/>
      </c>
      <c r="EU163" s="252" t="str">
        <f t="shared" si="488"/>
        <v/>
      </c>
      <c r="EV163" s="252" t="str">
        <f t="shared" si="489"/>
        <v/>
      </c>
      <c r="EW163" s="252" t="str">
        <f t="shared" si="490"/>
        <v/>
      </c>
      <c r="EX163" s="252" t="str">
        <f t="shared" si="491"/>
        <v/>
      </c>
      <c r="EY163" s="252" t="str">
        <f t="shared" si="492"/>
        <v/>
      </c>
      <c r="EZ163" s="252" t="str">
        <f t="shared" si="493"/>
        <v/>
      </c>
      <c r="FA163" s="252" t="str">
        <f t="shared" si="494"/>
        <v/>
      </c>
      <c r="FB163" s="252" t="str">
        <f t="shared" si="495"/>
        <v/>
      </c>
      <c r="FC163" s="252" t="str">
        <f>IF(CD163="ERROR", "ERROR", IF(OR(V163="No Change", V163="Not DLC or Energy Star"), "", IF(AND(OR($FC$6=Y163,Y163='Lookup Tables'!$AD$21, Y163='Lookup Tables'!$AD$22),E163="Interior"), S163, "")))</f>
        <v/>
      </c>
      <c r="FD163" s="252" t="str">
        <f t="shared" si="496"/>
        <v/>
      </c>
      <c r="FE163" s="101"/>
      <c r="FF163" s="579" t="str" cm="1">
        <f t="array" ref="FF163">IFERROR(IF(OR(BQ163&lt;=0,AQ163&lt;20,AND(V163="Exit Signs",AN163&gt;0)),"",IF(AND(AQ163&gt;=20,AN163='Lookup Tables'!$R$101),'Lookup Tables'!$U$101*BQ163,AP163*LOOKUP(2,1/((AN163='Lookup Tables'!$R$91:$R$111)*(AQ163&gt;='Lookup Tables'!$S$91:$S$111)*(AQ163&lt;='Lookup Tables'!$T$91:$T$111)),'Lookup Tables'!$U$91:$U$111))),"")</f>
        <v/>
      </c>
      <c r="FG163" s="579"/>
      <c r="FH163" s="579"/>
      <c r="FI163" s="253" t="str">
        <f>IFERROR(ROUND(IF(CD163="ERROR", "ERROR", IF(AND($FI$7=X163,E163="Interior"),VLOOKUP(W163, 'Lookup Tables'!$AI$6:$AM$102, 5, FALSE)*BP163, "")), 2), "")</f>
        <v/>
      </c>
      <c r="FJ163" s="253" t="str">
        <f>IFERROR(ROUND(IF(CD163="ERROR", "ERROR", IF(AND($FI$7=X163,E163="Exterior"),VLOOKUP(W163, 'Lookup Tables'!$AI$6:$AM$102, 5, FALSE)*BP163, "")), 2), "")</f>
        <v/>
      </c>
      <c r="FK163" s="253" t="str">
        <f>IFERROR(ROUND(IF(CD163="ERROR", "ERROR", IF(AND($FK$7=X163,E163="Interior"),VLOOKUP(W163, 'Lookup Tables'!$AI$6:$AM$102, 5, FALSE)*BP163, "")), 2), "")</f>
        <v/>
      </c>
      <c r="FL163" s="253" t="str">
        <f>IFERROR(ROUND(IF(CD163="ERROR", "ERROR", IF(AND($FK$7=X163,E163="Exterior"),VLOOKUP(W163, 'Lookup Tables'!$AI$6:$AM$102, 5, FALSE)*BP163, "")), 2), "")</f>
        <v/>
      </c>
      <c r="FM163" s="253" t="str">
        <f>IFERROR(ROUND(IF(CD163="ERROR", "ERROR", IF(AND($FM$6=Y163,E163="Interior"), IF(GB163=0, VLOOKUP(W163, 'Lookup Tables'!$AI$6:$AM$102, 5, FALSE)*BP163, IF(VLOOKUP(W163, 'Lookup Tables'!$AI$6:$AM$102, 5, FALSE)*BP163&gt;GB163*'Lighting Inventory'!S163, GB163*'Lighting Inventory'!S163,VLOOKUP(W163, 'Lookup Tables'!$AI$6:$AM$102, 5, FALSE)*BP163)), "")), 2), "")</f>
        <v/>
      </c>
      <c r="FN163" s="253" t="str">
        <f>IFERROR(ROUND(IF(CD163="ERROR", "ERROR", IF(AND($FM$6=Y163,E163="Exterior"), IF(GB163=0, VLOOKUP(W163, 'Lookup Tables'!$AI$6:$AM$102, 5, FALSE)*BP163, IF(VLOOKUP(W163, 'Lookup Tables'!$AI$6:$AM$102, 5, FALSE)*BP163&gt;GB163*'Lighting Inventory'!S163, GB163*'Lighting Inventory'!S163,VLOOKUP(W163, 'Lookup Tables'!$AI$6:$AM$102, 5, FALSE)*BP163)), "")), 2), "")</f>
        <v/>
      </c>
      <c r="FO163" s="253" t="str">
        <f>IFERROR(ROUND(IF(CD163="ERROR", "ERROR", IF(AND($FO$6=Y163,E163="Interior"),VLOOKUP(W163, 'Lookup Tables'!$AI$6:$AM$102, 5, FALSE)*'Lighting Inventory'!AI163, "")), 2), "")</f>
        <v/>
      </c>
      <c r="FP163" s="253" t="str">
        <f>IFERROR(ROUND(IF(CD163="ERROR", "ERROR", IF(AND($FO$6=Y163,E163="Exterior"),VLOOKUP(W163, 'Lookup Tables'!$AI$6:$AM$102, 5, FALSE)*'Lighting Inventory'!AI163, "")), 2), "")</f>
        <v/>
      </c>
      <c r="FQ163" s="253" t="str">
        <f>IFERROR(ROUND(IF(CD163="ERROR", "ERROR", IF(AND($FQ$6=Y163,E163="Interior", BU163="Y"), VLOOKUP('Lighting Inventory'!W163, 'Lookup Tables'!$AI$6:$AM$102, 5, FALSE)*'Lighting Inventory'!S163, IF(AND($FQ$7=Y163,E163="Interior", BU163="N"), 0.025*CD163, ""))), 2), "")</f>
        <v/>
      </c>
      <c r="FR163" s="253" t="str">
        <f>IFERROR(ROUND(IF(CD163="ERROR", "ERROR", IF(AND($FQ$6=Y163,E163="Exterior"), VLOOKUP('Lighting Inventory'!W163, 'Lookup Tables'!$AI$6:$AM$102, 5, FALSE)*'Lighting Inventory'!S163, "")), 2), "")</f>
        <v/>
      </c>
      <c r="FS163" s="253" t="str">
        <f>IFERROR(ROUND(IF(CD163="ERROR", "ERROR", IF(AND($FS$6=Y163,E163="Exterior"), IF(GB163=0, VLOOKUP(W163, 'Lookup Tables'!$AI$6:$AM$102, 5, FALSE)*BP163, IF(VLOOKUP(W163, 'Lookup Tables'!$AI$6:$AM$102, 5, FALSE)*BP163&gt;GB163*'Lighting Inventory'!S163, GB163*'Lighting Inventory'!S163,VLOOKUP(W163, 'Lookup Tables'!$AI$6:$AM$102, 5, FALSE)*BP163)), "")), 2), "")</f>
        <v/>
      </c>
      <c r="FT163" s="253" t="str">
        <f>IFERROR(ROUND(IF(CD163="ERROR", "ERROR", IF(AND($FT$6=Y163,E163="Interior"), IF(GB163=0, VLOOKUP(W163, 'Lookup Tables'!$AI$6:$AM$102, 5, FALSE)*BP163, IF(VLOOKUP(W163, 'Lookup Tables'!$AI$6:$AM$102, 5, FALSE)*BP163&gt;GB163*'Lighting Inventory'!S163, GB163*'Lighting Inventory'!S163,VLOOKUP(W163, 'Lookup Tables'!$AI$6:$AM$102, 5, FALSE)*BP163)), "")), 2), "")</f>
        <v/>
      </c>
      <c r="FU163" s="253" t="str">
        <f>IFERROR(ROUND(IF(CD163="ERROR", "ERROR", IF(AND(Y163=$FU$6, E163="Interior"), IF(BS163="N", 'Lookup Tables'!$AM$101*BP163, VLOOKUP(W163, 'Lookup Tables'!$AI$6:$AM$102, 5, FALSE)*S163*AD163), "")), 2), "")</f>
        <v/>
      </c>
      <c r="FV163" s="253" t="str">
        <f>IFERROR(ROUND(IF(CD163="ERROR", "ERROR", IF(AND(Y163=$FU$6, E163="Exterior"), IF(BS163="N", 'Lookup Tables'!$AM$101*BP163, VLOOKUP(W163, 'Lookup Tables'!$AI$6:$AM$102, 5, FALSE)*S163*AD163), "")), 2), "")</f>
        <v/>
      </c>
      <c r="FW163" s="253" t="str">
        <f>IFERROR(ROUND(IF(CD163="ERROR", "ERROR", IF($FW$6=Y163, IF(BS163="N", 'Lookup Tables'!$AM$101*BP163, MIN((VLOOKUP(W163, 'Lookup Tables'!$AI$6:$AM$102, 5, FALSE)*BP163),GB163*AJ163)), "")), 2), "")</f>
        <v/>
      </c>
      <c r="FX163" s="253" t="str">
        <f>IFERROR(ROUND(IF(CD163="ERROR", "ERROR", IF(AND($FX$6=Y163, E163="Interior"), IF(VLOOKUP(W163, 'Lookup Tables'!$AI$6:$AM$102, 5, FALSE)*BP163&gt;'Lookup Tables'!$AQ$97*'Lighting Inventory'!S163,'Lighting Inventory'!S163*'Lookup Tables'!$AQ$97,VLOOKUP(W163, 'Lookup Tables'!$AI$6:$AM$102, 5, FALSE)*BP163), "")), 2), "")</f>
        <v/>
      </c>
      <c r="FY163" s="253" t="str">
        <f>IFERROR(ROUND(IF(CD163="ERROR", "ERROR", IF(AND($FX$6=Y163, E163="Exterior"), IF(VLOOKUP(W163, 'Lookup Tables'!$AI$6:$AM$102, 5, FALSE)*BP163&gt;'Lookup Tables'!$AQ$97*'Lighting Inventory'!S163,'Lighting Inventory'!S163*'Lookup Tables'!$AQ$97,VLOOKUP(W163, 'Lookup Tables'!$AI$6:$AM$102, 5, FALSE)*BP163), "")), 2), "")</f>
        <v/>
      </c>
      <c r="FZ163" s="253" t="str">
        <f>IFERROR(ROUND(IF(CD163="ERROR", "ERROR", IF(AND($FZ$6=Y163, E163="Interior"), IF(AND(OR(W163="Refrigerated Case Lighting with Doors", W163="Freezer Case Lighting"),Y163="Custom - Process Improvement"),CD163*'Lookup Tables'!$AM$101, IF(B163="Retrofit", IF(VLOOKUP(IF(V163="Custom", V163, W163), 'Lookup Tables'!$AI$6:$AM$102, 5, FALSE)*BP163&gt;GE163, GE163, VLOOKUP(IF(V163="Custom", V163, W163), 'Lookup Tables'!$AI$6:$AM$102, 5, FALSE)*BP163), IF(VLOOKUP(IF(V163="Custom", V163, W163), 'Lookup Tables'!$AI$114:$AM$154, 5, FALSE)*BP163&gt;GE163, GE163, VLOOKUP(IF(V163="Custom", V163, W163), 'Lookup Tables'!$AI$114:$AM$154, 5, FALSE)*BP163))), "")), 2),"")</f>
        <v/>
      </c>
      <c r="GA163" s="253" t="str">
        <f>IFERROR(ROUND(IF(CD163="ERROR", "ERROR", IF(AND($FZ$6=Y163, E163="Exterior"), IF(B163="Retrofit", IF(VLOOKUP(IF(V163="Custom", V163, W163), 'Lookup Tables'!$AI$6:$AM$102, 5, FALSE)*BP163&gt;GE163, GE163, VLOOKUP(IF(V163="Custom", V163, W163), 'Lookup Tables'!$AI$6:$AM$102, 5, FALSE)*BP163), IF(VLOOKUP(IF(V163="Custom", V163, W163), 'Lookup Tables'!$AI$114:$AM$154, 5, FALSE)*BP163&gt;GE163, GE163, VLOOKUP(IF(V163="Custom", V163, W163), 'Lookup Tables'!$AI$114:$AM$154, 5, FALSE)*BP163)), "")), 2),"")</f>
        <v/>
      </c>
      <c r="GB163" s="254" t="str">
        <f t="array" ref="GB163">IF(B163="","",IF(OR(V163="Custom",V163="No Change"),0,IF(B163="Retrofit", INDEX('Lookup Tables'!$AH$6:$AQ$102,MATCH(1,('Lookup Tables'!$AH$6:$AH$102='Lighting Inventory'!V163)*('Lookup Tables'!$AI$6:$AI$102='Lighting Inventory'!W163),FALSE),10),INDEX('Lookup Tables'!$AH$114:$AQ$154,MATCH(1,('Lookup Tables'!$AH$114:$AH$154='Lighting Inventory'!V163)*('Lookup Tables'!$AI$114:$AI$154='Lighting Inventory'!W163),FALSE),10))))</f>
        <v/>
      </c>
      <c r="GC163" s="255" t="str">
        <f t="shared" si="447"/>
        <v/>
      </c>
      <c r="GD163" s="250" t="str">
        <f t="shared" si="448"/>
        <v/>
      </c>
      <c r="GE163" s="253" t="str">
        <f>IFERROR(IF(AND(AF163="", 'General Information'!$F$18="No"),"", IF(AF163="", ((GD163/$CD$266)*$CF$266)*0.5, AF163*S163*0.5)), "")</f>
        <v/>
      </c>
      <c r="GF163" s="255" t="str">
        <f>IF(AND('General Information'!$F$19="", 'General Information'!$F$18="Yes",AF163="",BW163="Y"), "Y", "N")</f>
        <v>N</v>
      </c>
      <c r="GG163" s="255" t="s">
        <v>2946</v>
      </c>
      <c r="GH163" s="255" t="str">
        <f>IFERROR(IF(B163="", "", VLOOKUP(J163, 'Fixture Identities'!$A$6:$N$908, 14, FALSE)), "")</f>
        <v/>
      </c>
      <c r="GI163" s="389" t="str">
        <f>IF(OR(B163="", V163="", W163=""), "", IF(AND(OR(M163='Lookup Tables'!$R$18, M163='Lookup Tables'!$R$19, M163='Lookup Tables'!$R$20, M163='Lookup Tables'!$R$21, M163='Lookup Tables'!$R$22), OR(AN163='Lookup Tables'!$R$17, AN163='Lookup Tables'!$R$17, AN163="")), "Y", "N"))</f>
        <v/>
      </c>
      <c r="GJ163" s="255" t="str">
        <f t="shared" si="449"/>
        <v/>
      </c>
      <c r="GK163" s="255" t="str">
        <f t="shared" si="450"/>
        <v/>
      </c>
      <c r="GL163" s="255" t="str">
        <f t="shared" si="451"/>
        <v/>
      </c>
      <c r="GM163" s="255" t="str">
        <f>IF(AN163="", "", IF(AND(IF(ISNA(VLOOKUP(AN163,'Lookup Tables'!$R$18:$R$22,1,FALSE)), "N", "Y")="Y", E163="Exterior"), "Y", "N"))</f>
        <v/>
      </c>
      <c r="GN163" s="395"/>
      <c r="GO163" s="428">
        <f t="shared" si="497"/>
        <v>0</v>
      </c>
      <c r="GP163" s="428">
        <f t="shared" si="500"/>
        <v>0</v>
      </c>
      <c r="GQ163" s="428">
        <f t="shared" si="498"/>
        <v>0</v>
      </c>
      <c r="GR163" s="428">
        <f t="shared" si="499"/>
        <v>0</v>
      </c>
    </row>
    <row r="164" spans="1:200" s="103" customFormat="1" ht="13.5" customHeight="1" x14ac:dyDescent="0.2">
      <c r="A164" s="272">
        <v>154</v>
      </c>
      <c r="B164" s="110"/>
      <c r="C164" s="110"/>
      <c r="D164" s="110"/>
      <c r="E164" s="110"/>
      <c r="F164" s="110"/>
      <c r="G164" s="110"/>
      <c r="H164" s="110"/>
      <c r="I164" s="29"/>
      <c r="J164" s="29"/>
      <c r="K164" s="272" t="str">
        <f>IFERROR(IF(OR(VLOOKUP(J164, 'Fixture Identities'!$A$6:$L$1023, 3, FALSE)="T12 Linear Fluorescent", VLOOKUP(J164, 'Fixture Identities'!$A$6:$L$1023, 3, FALSE)="T12 U-Tube Fluorescent"), VLOOKUP(VLOOKUP(J164, 'Fixture Identities'!$A$6:$L$1023, 11, FALSE), 'Fixture Identities'!$A$6:$L$1023, 10, FALSE), VLOOKUP(J164, 'Fixture Identities'!$A$6:$L$1023, 10, FALSE)), "")</f>
        <v/>
      </c>
      <c r="L164" s="270" t="str">
        <f t="shared" si="502"/>
        <v/>
      </c>
      <c r="M164" s="110"/>
      <c r="N164" s="110"/>
      <c r="O164" s="110"/>
      <c r="P164" s="272" t="str">
        <f>IFERROR(IF(OR(B164="Retrofit",B164=""),"",IF('Lighting Inventory'!E164="Exterior",VLOOKUP('Lighting Inventory'!N164,'Lookup Tables'!$B$83:$F$103,5,FALSE),IF(N164="Other - Please Estimate EFLH and CFs","Contact Prog. Rep.","ft^2"))), "")</f>
        <v/>
      </c>
      <c r="Q164" s="270" t="str">
        <f>IFERROR(IF(AND(B164="New Construction",E164="Interior",$F$5="Space-by-Space"),VLOOKUP('Lighting Inventory'!N164,'Lookup Tables'!$N$6:$O$97,2,FALSE),IF(AND(B164="New Construction",E164="Exterior"),VLOOKUP(N164,'Lookup Tables'!$B$83:$F$103,2,FALSE),IF(AND(B164="New Construction",'Lighting Inventory'!E164="Interior", $F$5="Building Area"),VLOOKUP(F164,'Lookup Tables'!$A$6:$J$59,10,FALSE),""))), "")</f>
        <v/>
      </c>
      <c r="R164" s="270" t="str">
        <f>IFERROR(IF(P164="Contact Prog. Rep.", "ERROR", IF(OR(B164="",B164="Retrofit"),"",IF(N164="Automated teller machines", ('Lookup Tables'!$A$82:$E$100+('Lighting Inventory'!O164-1)*'Lookup Tables'!$A$82:$E$100)/1000, (Q164*O164)/1000))), "")</f>
        <v/>
      </c>
      <c r="S164" s="595"/>
      <c r="T164" s="105" t="str">
        <f t="shared" si="452"/>
        <v/>
      </c>
      <c r="U164" s="105" t="str">
        <f>IF(S164="","",COUNT($S$11:S164))</f>
        <v/>
      </c>
      <c r="V164" s="111"/>
      <c r="W164" s="112"/>
      <c r="X164" s="105" t="str">
        <f t="shared" si="453"/>
        <v/>
      </c>
      <c r="Y164" s="105" t="str">
        <f t="array" ref="Y164">IF(AND(OR(W164="Freezer Case Lighting", W164="Refrigerated Case Lighting with Doors"), 'General Information'!$X$18="LCI"),'Lookup Tables'!$Y$34, IF(V164="Custom", VLOOKUP(W164, 'Fixture Identities'!$A$974:$M$1023, 13, FALSE), IF(V164="No Change",'Lookup Tables'!$Y$29,IF(OR(V164="",W164=""),"",IF(AND(S164=0,S164&lt;I164,B164="Retrofit"),'Lookup Tables'!$Y$25, IF(B164="Retrofit", INDEX('Lookup Tables'!$AH$6:$AP$102, MATCH(1, ('Lookup Tables'!$AH$6:$AH$102=V164)*('Lookup Tables'!$AI$6:$AI$102=W164), 0), IF('Lighting Inventory'!E164="Interior", 4, 5)), INDEX('Lookup Tables'!$AH$114:$AP$154, MATCH(1, ('Lookup Tables'!$AH$114:$AH$154=V164)*('Lookup Tables'!$AI$114:$AI$154=W164), 0), IF('Lighting Inventory'!E164="Interior", 4, 5))))))))</f>
        <v/>
      </c>
      <c r="Z164" s="105" t="str">
        <f>IFERROR(INDEX('Lookup Tables'!$AH$158:$AH$172,MATCH('Lighting Inventory'!Y164,'Lookup Tables'!$AI$158:$AI$172,0)),"")</f>
        <v/>
      </c>
      <c r="AA164" s="105" t="str">
        <f>IF(AP164&gt;0,INDEX('Lookup Tables'!$AK$158:$AK$172,MATCH('Lighting Inventory'!Y164,'Lookup Tables'!$AI$158:$AI$172,0)),'Lighting Inventory'!Y164)</f>
        <v/>
      </c>
      <c r="AB164" s="105" t="str">
        <f t="array" ref="AB164">IF(V164="Custom", "Custom", IF(V164="", "", IF(V164="Not DLC or Energy Star", "General", IF(B164="New Construction", INDEX('Lookup Tables'!$AH$114:$AP$154,MATCH(1,('Lookup Tables'!$AH$114:$AH$154='Lighting Inventory'!V164)*('Lookup Tables'!$AI$114:$AI$154='Lighting Inventory'!W164),FALSE),8), INDEX('Lookup Tables'!$AH$6:$AP$102,MATCH(1,('Lookup Tables'!$AH$6:$AH$102='Lighting Inventory'!V164)*('Lookup Tables'!$AI$6:$AI$102='Lighting Inventory'!W164),FALSE),8)))))</f>
        <v/>
      </c>
      <c r="AC164" s="272" t="str">
        <f>IF(W164="","",IF(V164="Custom",CONCATENATE("$",'Lookup Tables'!$AM$101," ",'Lookup Tables'!$AN$101),CONCATENATE("$",INDEX('Lookup Tables'!$AM$6:$AM$102,MATCH('Lighting Inventory'!W164,'Lookup Tables'!$AI$6:$AI$102,0))," ",INDEX('Lookup Tables'!$AN$6:$AN$102,MATCH('Lighting Inventory'!W164,'Lookup Tables'!$AI$6:$AI$102,0)))))</f>
        <v/>
      </c>
      <c r="AD164" s="72"/>
      <c r="AE164" s="29"/>
      <c r="AF164" s="379"/>
      <c r="AG164" s="370" t="str">
        <f t="shared" si="401"/>
        <v/>
      </c>
      <c r="AH164" s="370" t="str">
        <f t="shared" si="454"/>
        <v/>
      </c>
      <c r="AI164" s="29"/>
      <c r="AJ164" s="29"/>
      <c r="AK164" s="110"/>
      <c r="AL164" s="375" t="str">
        <f>IF(OR(B164="", V164="", W164=""), "", IF(V164="No Change", K164, IF(V164="Remove Fixture", 0, IF(V164="Custom",VLOOKUP(W164,'Fixture Identities'!$A$6:$K$1023,10,FALSE),IF(AE164="", "← ENTER POST WATTS", 'Lighting Inventory'!AE164)))))</f>
        <v/>
      </c>
      <c r="AM164" s="376" t="str">
        <f t="shared" si="402"/>
        <v/>
      </c>
      <c r="AN164" s="29"/>
      <c r="AO164" s="671"/>
      <c r="AP164" s="29"/>
      <c r="AQ164" s="29"/>
      <c r="AR164" s="29"/>
      <c r="AS164" s="272" t="str">
        <f t="shared" si="455"/>
        <v/>
      </c>
      <c r="AT164" s="270" t="str">
        <f t="shared" si="403"/>
        <v/>
      </c>
      <c r="AU164" s="88" t="str">
        <f t="shared" si="503"/>
        <v/>
      </c>
      <c r="AV164" s="29"/>
      <c r="AW164" s="73"/>
      <c r="AX164" s="271" t="str">
        <f>IF(AND(AV164="Applicant",OR(AW164="", AW164="Use Default Facility Hours")),"← Choose Schedule",IF(F164="","",IF(W164="LED Exit Signs",8760,IF(OR(AV164="Prescribed",AV164=""),VLOOKUP(F164,'Lookup Tables'!$A$6:$G$59,IF(AB164="General", 6, 3),FALSE),VLOOKUP(AW164,'Lookup Tables'!$S$36:$U$43,2,FALSE)))))</f>
        <v/>
      </c>
      <c r="AY164" s="88" t="str">
        <f t="shared" si="404"/>
        <v/>
      </c>
      <c r="AZ164" s="270" t="str">
        <f>IFERROR(IF(F164="", "", IF(W164="LED Exit Signs", 1, IF(AV164="Applicant",VLOOKUP(AW164, 'Lookup Tables'!$S$36:$U$43,3, FALSE), VLOOKUP('Lighting Inventory'!F164, 'Lookup Tables'!$A$6:$H$59, IF('Lighting Inventory'!AB164="General",7,4), FALSE)))), "")</f>
        <v/>
      </c>
      <c r="BA164" s="522" t="str">
        <f>IFERROR(IF(F164="", "", IF(W164="LED Exit Signs", 1, VLOOKUP('Lighting Inventory'!F164, 'Lookup Tables'!$A$6:$H$59, IF('Lighting Inventory'!AB164="General",8,5), FALSE))), "")</f>
        <v/>
      </c>
      <c r="BB164" s="270" t="str">
        <f>IF(G164="", "", IF(E164="Exterior", 0, IF('Lighting Inventory'!G164="Air Conditioned", VLOOKUP(H164, 'Lookup Tables'!$R$6:$T$13, 2, FALSE), VLOOKUP('Lighting Inventory'!G164, 'Lookup Tables'!$R$6:$T$13, 2, FALSE))))</f>
        <v/>
      </c>
      <c r="BC164" s="522" t="str">
        <f>IF(G164="", "", IF(E164="Exterior", 0, IF('Lighting Inventory'!G164="Air Conditioned", VLOOKUP(H164, 'Lookup Tables'!$R$6:$T$13, 3, FALSE), VLOOKUP('Lighting Inventory'!G164, 'Lookup Tables'!$R$6:$T$13, 3, FALSE))))</f>
        <v/>
      </c>
      <c r="BD164" s="270" t="str">
        <f>IF(G164="", "", IF(E164="Exterior", 0, IF('Lighting Inventory'!G164="Air Conditioned", VLOOKUP(H164, 'Lookup Tables'!$R$6:$U$13, 4, FALSE), VLOOKUP('Lighting Inventory'!G164, 'Lookup Tables'!$R$6:$U$13, 4, FALSE))))</f>
        <v/>
      </c>
      <c r="BE164" s="270" t="str">
        <f>IFERROR(IF(B164="", "",  IF(B164="New Construction", VLOOKUP(F164, 'Lookup Tables'!$A$6:$K$59, 11, FALSE),IF(OR(AN164="", AN164="Light Switch"), 0, IF(OR(M164="",M164="None",V164= "LED Exit Signs"),0,_xlfn.XLOOKUP(M164,'Lookup Tables'!$R$91:$R$101,'Lookup Tables'!$V$91:$V$101))))), "")</f>
        <v/>
      </c>
      <c r="BF164" s="270" t="str">
        <f>IF(AND(OR(AN164="Light Switch",AN164=""),B164="New Construction"), VLOOKUP(F164, 'Lookup Tables'!$A$6:$K$59, 11, FALSE),IF(AN164="","",IF(B164="","",IF(OR(AN164="None",AN164="",V164="LED Exit Signs",AN164="Exterior Controls Not Eligible"),0,_xlfn.XLOOKUP(AN164,'Lookup Tables'!$R$91:$R$101,'Lookup Tables'!$V$91:$V$101)))))</f>
        <v/>
      </c>
      <c r="BG164" s="88" t="str">
        <f t="shared" si="456"/>
        <v/>
      </c>
      <c r="BH164" s="88" t="str">
        <f t="shared" si="457"/>
        <v/>
      </c>
      <c r="BI164" s="558" t="str">
        <f t="shared" si="501"/>
        <v/>
      </c>
      <c r="BJ164" s="82" t="str">
        <f t="shared" si="458"/>
        <v/>
      </c>
      <c r="BK164" s="82" t="str">
        <f t="shared" si="459"/>
        <v/>
      </c>
      <c r="BL164" s="559" t="str">
        <f t="shared" si="460"/>
        <v/>
      </c>
      <c r="BM164" s="521" t="str">
        <f t="shared" si="405"/>
        <v/>
      </c>
      <c r="BN164" s="521" t="str">
        <f t="shared" si="406"/>
        <v/>
      </c>
      <c r="BO164" s="522" t="str">
        <f t="shared" si="407"/>
        <v/>
      </c>
      <c r="BP164" s="83" t="str">
        <f t="shared" si="461"/>
        <v/>
      </c>
      <c r="BQ164" s="84" t="str">
        <f t="shared" si="462"/>
        <v/>
      </c>
      <c r="BR164" s="184" t="str">
        <f>IFERROR(IF(B164="", "", IF(OR(VLOOKUP(J164, 'Fixture Identities'!$A$6:$L$1023, 3, FALSE)="T12 Linear Fluorescent",VLOOKUP(J164, 'Fixture Identities'!$A$6:$L$1023, 3, FALSE)="T12 U-Tube Fluorescent"), "Y", "N")), "N")</f>
        <v/>
      </c>
      <c r="BS164" s="184" t="str">
        <f t="array" ref="BS164">IFERROR(IF(OR(B164="", V164="", W164=""), "", IF(V164="Custom", "N", IF(OR(W164="Freezer Case Lighting", W164="Refrigerated Case Lighting with Doors"), BT164, IF(B164="Retrofit", INDEX('Lookup Tables'!$AH$6:$AT$102,MATCH(1,('Lookup Tables'!$AH$6:$AH$102=V164)*('Lookup Tables'!$AI$6:$AI$102=W164),FALSE),IF(VLOOKUP(J164, 'Fixture Identities'!$A$6:$B$1023, 2, FALSE)="Incandescent",12, 13)), INDEX('Lookup Tables'!$AH$114:$AS$154,MATCH(1,('Lookup Tables'!$AH$114:$AH$154=V164)*('Lookup Tables'!$AI$114:$AI$154=W164),FALSE),12))))), "N")</f>
        <v/>
      </c>
      <c r="BT164" s="184" t="str">
        <f>IF(J164="", "", IF(AND(OR(W164="Freezer case Lighting", W164="Refrigerated Case Lighting with Doors"),'General Information'!$X$18="LCI"), "N", IF(OR(VLOOKUP(J164, 'Fixture Identities'!$A$6:$B$1023, 2, FALSE)="T12 EPACT/EISA Baseline", VLOOKUP(J164, 'Fixture Identities'!$A$6:$B$1023, 2, FALSE)="Linear Fluorescent", VLOOKUP(J164, 'Fixture Identities'!$A$6:$B$1023, 2, FALSE)="U-Tube Fluorescent"), "Y", "N")))</f>
        <v/>
      </c>
      <c r="BU164" s="184" t="str">
        <f>IFERROR(IF(B164="", "", IF(VLOOKUP(J164, 'Fixture Identities'!$A$6:$B$1023, 2, FALSE)="Exit Sign", "Y", "N")), "N")</f>
        <v/>
      </c>
      <c r="BV164" s="184" t="str">
        <f>IF(V164="Exit Signs", IF(VLOOKUP(J164, 'Fixture Identities'!$A$6:$B$1023, 2, FALSE)="Exit Sign", "N", "Y"), "")</f>
        <v/>
      </c>
      <c r="BW164" s="184" t="str">
        <f t="array" ref="BW164">IFERROR(IF(B164="", "", IF(B164="New Construction", "N", INDEX('Lookup Tables'!$AH$6:$AU$102, MATCH(1, ('Lookup Tables'!$AH$6:$AH$102='Lighting Inventory'!V164)*('Lookup Tables'!$AI$6:$AI$102='Lighting Inventory'!W164), 0), 14))), "N")</f>
        <v/>
      </c>
      <c r="BX164" s="598" t="str">
        <f t="shared" si="463"/>
        <v/>
      </c>
      <c r="BY164" s="598" t="str">
        <f t="shared" si="464"/>
        <v/>
      </c>
      <c r="BZ164" s="598" t="str">
        <f t="shared" si="465"/>
        <v/>
      </c>
      <c r="CA164" s="598" t="str">
        <f t="shared" si="466"/>
        <v/>
      </c>
      <c r="CB164" s="269" t="str">
        <f t="shared" si="467"/>
        <v/>
      </c>
      <c r="CC164" s="517" t="str">
        <f t="shared" si="468"/>
        <v/>
      </c>
      <c r="CD164" s="565" t="str">
        <f t="shared" si="408"/>
        <v/>
      </c>
      <c r="CE164" s="368">
        <v>0</v>
      </c>
      <c r="CF164" s="368" t="str" cm="1">
        <f t="array" ref="CF164">IFERROR(IF(V164="Custom", "$0.1 per kWh", IF(B164="New Construction", CONCATENATE("$",INDEX('Lookup Tables'!$AH$114:$AN$154,MATCH(1,('Lookup Tables'!$AH$114:$AH$154='Lighting Inventory'!V164)*('Lookup Tables'!$AI$114:$AI$154='Lighting Inventory'!W164),FALSE),6)," ",INDEX('Lookup Tables'!$AH$114:$AN$154,MATCH(1,('Lookup Tables'!$AH$114:$AH$154='Lighting Inventory'!V164)*('Lookup Tables'!$AI$114:$AI$154='Lighting Inventory'!W164),FALSE),7)), IF(AND(BU164="N", V164="Exit Signs"), "$0.025 per kWh", CONCATENATE("$",INDEX('Lookup Tables'!$AH$6:$AN$102,MATCH(1,('Lookup Tables'!$AH$6:$AH$102='Lighting Inventory'!V164)*('Lookup Tables'!$AI$6:$AI$102='Lighting Inventory'!W164),FALSE),6)," ",INDEX('Lookup Tables'!$AH$6:$AN$102,MATCH(1,('Lookup Tables'!$AH$6:$AH$102='Lighting Inventory'!V164)*('Lookup Tables'!$AI$6:$AI$102='Lighting Inventory'!W164),FALSE),7))))), "")</f>
        <v/>
      </c>
      <c r="CG164" s="366"/>
      <c r="CH164" s="248" t="str">
        <f t="shared" si="409"/>
        <v/>
      </c>
      <c r="CI164" s="248" t="str">
        <f t="shared" si="410"/>
        <v>Select_IE</v>
      </c>
      <c r="CJ164" s="248" t="str">
        <f t="shared" si="411"/>
        <v/>
      </c>
      <c r="CK164" s="248" t="str">
        <f t="shared" si="412"/>
        <v/>
      </c>
      <c r="CL164" s="248" t="str">
        <f t="shared" si="413"/>
        <v/>
      </c>
      <c r="CM164" s="248" t="str">
        <f>IFERROR(IF(B164="", "", IF(B164="New Construction", VLOOKUP(V164, 'Lookup Tables'!$AF$114:$AG$120, 2, FALSE), VLOOKUP(V164, 'Lookup Tables'!$AD$6:$AE$25, 2, FALSE))), "")</f>
        <v/>
      </c>
      <c r="CN164" s="248" t="str">
        <f t="shared" si="414"/>
        <v/>
      </c>
      <c r="CO164" s="248" t="str">
        <f t="shared" si="415"/>
        <v/>
      </c>
      <c r="CP164" s="592" t="str">
        <f t="shared" si="416"/>
        <v/>
      </c>
      <c r="CQ164" s="248" t="str">
        <f t="shared" si="469"/>
        <v/>
      </c>
      <c r="CR164" s="100"/>
      <c r="CS164" s="250" t="str">
        <f t="shared" si="417"/>
        <v/>
      </c>
      <c r="CT164" s="250" t="str">
        <f t="shared" si="470"/>
        <v/>
      </c>
      <c r="CU164" s="250" t="str">
        <f t="shared" si="471"/>
        <v/>
      </c>
      <c r="CV164" s="250" t="str">
        <f t="shared" si="472"/>
        <v/>
      </c>
      <c r="CW164" s="250" t="str">
        <f t="shared" si="473"/>
        <v/>
      </c>
      <c r="CX164" s="250" t="str">
        <f t="shared" si="418"/>
        <v/>
      </c>
      <c r="CY164" s="250" t="str">
        <f t="shared" si="419"/>
        <v/>
      </c>
      <c r="CZ164" s="250" t="str">
        <f t="shared" si="420"/>
        <v/>
      </c>
      <c r="DA164" s="250" t="str">
        <f t="shared" si="421"/>
        <v/>
      </c>
      <c r="DB164" s="250" t="str">
        <f t="shared" si="422"/>
        <v/>
      </c>
      <c r="DC164" s="250" t="str">
        <f t="shared" si="423"/>
        <v/>
      </c>
      <c r="DD164" s="250" t="str">
        <f t="shared" si="424"/>
        <v/>
      </c>
      <c r="DE164" s="250" t="str">
        <f t="shared" si="425"/>
        <v/>
      </c>
      <c r="DF164" s="250" t="str">
        <f t="shared" si="426"/>
        <v/>
      </c>
      <c r="DG164" s="250" t="str">
        <f t="shared" si="427"/>
        <v/>
      </c>
      <c r="DH164" s="250" t="str">
        <f t="shared" si="428"/>
        <v/>
      </c>
      <c r="DI164" s="250" t="str">
        <f t="shared" si="429"/>
        <v/>
      </c>
      <c r="DJ164" s="250" t="str">
        <f t="shared" si="430"/>
        <v/>
      </c>
      <c r="DK164" s="250" t="str">
        <f t="shared" si="431"/>
        <v/>
      </c>
      <c r="DL164" s="250" t="str">
        <f t="shared" si="432"/>
        <v/>
      </c>
      <c r="DM164" s="250" t="str">
        <f>IF(CD164="ERROR", "ERROR", IF(AND(OR(Y164=$DM$6, Y164='Lookup Tables'!$AD$21, Y164='Lookup Tables'!$AD$22), E164="Interior"), BJ164, ""))</f>
        <v/>
      </c>
      <c r="DN164" s="250" t="str">
        <f>IF(CD164="ERROR", "ERROR", IF(AND(OR(Y164=$DM$6, Y164='Lookup Tables'!$AD$21, Y164='Lookup Tables'!$AD$22), E164="Exterior"), BJ164, ""))</f>
        <v/>
      </c>
      <c r="DO164" s="100"/>
      <c r="DP164" s="250" t="str">
        <f t="shared" si="433"/>
        <v/>
      </c>
      <c r="DQ164" s="250" t="str">
        <f t="shared" si="474"/>
        <v/>
      </c>
      <c r="DR164" s="250" t="str">
        <f t="shared" si="475"/>
        <v/>
      </c>
      <c r="DS164" s="250" t="str">
        <f t="shared" si="476"/>
        <v/>
      </c>
      <c r="DT164" s="250" t="str">
        <f t="shared" si="477"/>
        <v/>
      </c>
      <c r="DU164" s="250" t="str">
        <f t="shared" si="434"/>
        <v/>
      </c>
      <c r="DV164" s="250" t="str">
        <f t="shared" si="435"/>
        <v/>
      </c>
      <c r="DW164" s="250" t="str">
        <f t="shared" si="436"/>
        <v/>
      </c>
      <c r="DX164" s="250" t="str">
        <f t="shared" si="437"/>
        <v/>
      </c>
      <c r="DY164" s="250" t="str">
        <f t="shared" si="438"/>
        <v/>
      </c>
      <c r="DZ164" s="250" t="str">
        <f t="shared" si="439"/>
        <v/>
      </c>
      <c r="EA164" s="250" t="str">
        <f t="shared" si="440"/>
        <v/>
      </c>
      <c r="EB164" s="250" t="str">
        <f t="shared" si="478"/>
        <v/>
      </c>
      <c r="EC164" s="250" t="str">
        <f t="shared" si="441"/>
        <v/>
      </c>
      <c r="ED164" s="250" t="str">
        <f t="shared" si="442"/>
        <v/>
      </c>
      <c r="EE164" s="250" t="str">
        <f t="shared" si="443"/>
        <v/>
      </c>
      <c r="EF164" s="250" t="str">
        <f t="shared" si="444"/>
        <v/>
      </c>
      <c r="EG164" s="250" t="str">
        <f t="shared" si="445"/>
        <v/>
      </c>
      <c r="EH164" s="250" t="str">
        <f>IF(CD164="ERROR", "ERROR", IF(AND(OR($EH$6=Y164, Y164='Lookup Tables'!$AD$21, Y164='Lookup Tables'!$AD$22),E164="Interior"), SUM(BP164:BP164), ""))</f>
        <v/>
      </c>
      <c r="EI164" s="250" t="str">
        <f>IF(CD164="ERROR", "ERROR", IF(AND(OR($EH$6=Y164, Y164='Lookup Tables'!$AD$21, Y164='Lookup Tables'!$AD$22),E164="Exterior"), SUM(BP164:BP164), ""))</f>
        <v/>
      </c>
      <c r="EJ164" s="109"/>
      <c r="EK164" s="485" t="str">
        <f t="shared" si="446"/>
        <v/>
      </c>
      <c r="EL164" s="252" t="str">
        <f t="shared" si="479"/>
        <v/>
      </c>
      <c r="EM164" s="252" t="str">
        <f t="shared" si="480"/>
        <v/>
      </c>
      <c r="EN164" s="252" t="str">
        <f t="shared" si="481"/>
        <v/>
      </c>
      <c r="EO164" s="252" t="str">
        <f t="shared" si="482"/>
        <v/>
      </c>
      <c r="EP164" s="252" t="str">
        <f t="shared" si="483"/>
        <v/>
      </c>
      <c r="EQ164" s="252" t="str">
        <f t="shared" si="484"/>
        <v/>
      </c>
      <c r="ER164" s="252" t="str">
        <f t="shared" si="485"/>
        <v/>
      </c>
      <c r="ES164" s="252" t="str">
        <f t="shared" si="486"/>
        <v/>
      </c>
      <c r="ET164" s="252" t="str">
        <f t="shared" si="487"/>
        <v/>
      </c>
      <c r="EU164" s="252" t="str">
        <f t="shared" si="488"/>
        <v/>
      </c>
      <c r="EV164" s="252" t="str">
        <f t="shared" si="489"/>
        <v/>
      </c>
      <c r="EW164" s="252" t="str">
        <f t="shared" si="490"/>
        <v/>
      </c>
      <c r="EX164" s="252" t="str">
        <f t="shared" si="491"/>
        <v/>
      </c>
      <c r="EY164" s="252" t="str">
        <f t="shared" si="492"/>
        <v/>
      </c>
      <c r="EZ164" s="252" t="str">
        <f t="shared" si="493"/>
        <v/>
      </c>
      <c r="FA164" s="252" t="str">
        <f t="shared" si="494"/>
        <v/>
      </c>
      <c r="FB164" s="252" t="str">
        <f t="shared" si="495"/>
        <v/>
      </c>
      <c r="FC164" s="252" t="str">
        <f>IF(CD164="ERROR", "ERROR", IF(OR(V164="No Change", V164="Not DLC or Energy Star"), "", IF(AND(OR($FC$6=Y164,Y164='Lookup Tables'!$AD$21, Y164='Lookup Tables'!$AD$22),E164="Interior"), S164, "")))</f>
        <v/>
      </c>
      <c r="FD164" s="252" t="str">
        <f t="shared" si="496"/>
        <v/>
      </c>
      <c r="FE164" s="101"/>
      <c r="FF164" s="579" t="str" cm="1">
        <f t="array" ref="FF164">IFERROR(IF(OR(BQ164&lt;=0,AQ164&lt;20,AND(V164="Exit Signs",AN164&gt;0)),"",IF(AND(AQ164&gt;=20,AN164='Lookup Tables'!$R$101),'Lookup Tables'!$U$101*BQ164,AP164*LOOKUP(2,1/((AN164='Lookup Tables'!$R$91:$R$111)*(AQ164&gt;='Lookup Tables'!$S$91:$S$111)*(AQ164&lt;='Lookup Tables'!$T$91:$T$111)),'Lookup Tables'!$U$91:$U$111))),"")</f>
        <v/>
      </c>
      <c r="FG164" s="579"/>
      <c r="FH164" s="579"/>
      <c r="FI164" s="253" t="str">
        <f>IFERROR(ROUND(IF(CD164="ERROR", "ERROR", IF(AND($FI$7=X164,E164="Interior"),VLOOKUP(W164, 'Lookup Tables'!$AI$6:$AM$102, 5, FALSE)*BP164, "")), 2), "")</f>
        <v/>
      </c>
      <c r="FJ164" s="253" t="str">
        <f>IFERROR(ROUND(IF(CD164="ERROR", "ERROR", IF(AND($FI$7=X164,E164="Exterior"),VLOOKUP(W164, 'Lookup Tables'!$AI$6:$AM$102, 5, FALSE)*BP164, "")), 2), "")</f>
        <v/>
      </c>
      <c r="FK164" s="253" t="str">
        <f>IFERROR(ROUND(IF(CD164="ERROR", "ERROR", IF(AND($FK$7=X164,E164="Interior"),VLOOKUP(W164, 'Lookup Tables'!$AI$6:$AM$102, 5, FALSE)*BP164, "")), 2), "")</f>
        <v/>
      </c>
      <c r="FL164" s="253" t="str">
        <f>IFERROR(ROUND(IF(CD164="ERROR", "ERROR", IF(AND($FK$7=X164,E164="Exterior"),VLOOKUP(W164, 'Lookup Tables'!$AI$6:$AM$102, 5, FALSE)*BP164, "")), 2), "")</f>
        <v/>
      </c>
      <c r="FM164" s="253" t="str">
        <f>IFERROR(ROUND(IF(CD164="ERROR", "ERROR", IF(AND($FM$6=Y164,E164="Interior"), IF(GB164=0, VLOOKUP(W164, 'Lookup Tables'!$AI$6:$AM$102, 5, FALSE)*BP164, IF(VLOOKUP(W164, 'Lookup Tables'!$AI$6:$AM$102, 5, FALSE)*BP164&gt;GB164*'Lighting Inventory'!S164, GB164*'Lighting Inventory'!S164,VLOOKUP(W164, 'Lookup Tables'!$AI$6:$AM$102, 5, FALSE)*BP164)), "")), 2), "")</f>
        <v/>
      </c>
      <c r="FN164" s="253" t="str">
        <f>IFERROR(ROUND(IF(CD164="ERROR", "ERROR", IF(AND($FM$6=Y164,E164="Exterior"), IF(GB164=0, VLOOKUP(W164, 'Lookup Tables'!$AI$6:$AM$102, 5, FALSE)*BP164, IF(VLOOKUP(W164, 'Lookup Tables'!$AI$6:$AM$102, 5, FALSE)*BP164&gt;GB164*'Lighting Inventory'!S164, GB164*'Lighting Inventory'!S164,VLOOKUP(W164, 'Lookup Tables'!$AI$6:$AM$102, 5, FALSE)*BP164)), "")), 2), "")</f>
        <v/>
      </c>
      <c r="FO164" s="253" t="str">
        <f>IFERROR(ROUND(IF(CD164="ERROR", "ERROR", IF(AND($FO$6=Y164,E164="Interior"),VLOOKUP(W164, 'Lookup Tables'!$AI$6:$AM$102, 5, FALSE)*'Lighting Inventory'!AI164, "")), 2), "")</f>
        <v/>
      </c>
      <c r="FP164" s="253" t="str">
        <f>IFERROR(ROUND(IF(CD164="ERROR", "ERROR", IF(AND($FO$6=Y164,E164="Exterior"),VLOOKUP(W164, 'Lookup Tables'!$AI$6:$AM$102, 5, FALSE)*'Lighting Inventory'!AI164, "")), 2), "")</f>
        <v/>
      </c>
      <c r="FQ164" s="253" t="str">
        <f>IFERROR(ROUND(IF(CD164="ERROR", "ERROR", IF(AND($FQ$6=Y164,E164="Interior", BU164="Y"), VLOOKUP('Lighting Inventory'!W164, 'Lookup Tables'!$AI$6:$AM$102, 5, FALSE)*'Lighting Inventory'!S164, IF(AND($FQ$7=Y164,E164="Interior", BU164="N"), 0.025*CD164, ""))), 2), "")</f>
        <v/>
      </c>
      <c r="FR164" s="253" t="str">
        <f>IFERROR(ROUND(IF(CD164="ERROR", "ERROR", IF(AND($FQ$6=Y164,E164="Exterior"), VLOOKUP('Lighting Inventory'!W164, 'Lookup Tables'!$AI$6:$AM$102, 5, FALSE)*'Lighting Inventory'!S164, "")), 2), "")</f>
        <v/>
      </c>
      <c r="FS164" s="253" t="str">
        <f>IFERROR(ROUND(IF(CD164="ERROR", "ERROR", IF(AND($FS$6=Y164,E164="Exterior"), IF(GB164=0, VLOOKUP(W164, 'Lookup Tables'!$AI$6:$AM$102, 5, FALSE)*BP164, IF(VLOOKUP(W164, 'Lookup Tables'!$AI$6:$AM$102, 5, FALSE)*BP164&gt;GB164*'Lighting Inventory'!S164, GB164*'Lighting Inventory'!S164,VLOOKUP(W164, 'Lookup Tables'!$AI$6:$AM$102, 5, FALSE)*BP164)), "")), 2), "")</f>
        <v/>
      </c>
      <c r="FT164" s="253" t="str">
        <f>IFERROR(ROUND(IF(CD164="ERROR", "ERROR", IF(AND($FT$6=Y164,E164="Interior"), IF(GB164=0, VLOOKUP(W164, 'Lookup Tables'!$AI$6:$AM$102, 5, FALSE)*BP164, IF(VLOOKUP(W164, 'Lookup Tables'!$AI$6:$AM$102, 5, FALSE)*BP164&gt;GB164*'Lighting Inventory'!S164, GB164*'Lighting Inventory'!S164,VLOOKUP(W164, 'Lookup Tables'!$AI$6:$AM$102, 5, FALSE)*BP164)), "")), 2), "")</f>
        <v/>
      </c>
      <c r="FU164" s="253" t="str">
        <f>IFERROR(ROUND(IF(CD164="ERROR", "ERROR", IF(AND(Y164=$FU$6, E164="Interior"), IF(BS164="N", 'Lookup Tables'!$AM$101*BP164, VLOOKUP(W164, 'Lookup Tables'!$AI$6:$AM$102, 5, FALSE)*S164*AD164), "")), 2), "")</f>
        <v/>
      </c>
      <c r="FV164" s="253" t="str">
        <f>IFERROR(ROUND(IF(CD164="ERROR", "ERROR", IF(AND(Y164=$FU$6, E164="Exterior"), IF(BS164="N", 'Lookup Tables'!$AM$101*BP164, VLOOKUP(W164, 'Lookup Tables'!$AI$6:$AM$102, 5, FALSE)*S164*AD164), "")), 2), "")</f>
        <v/>
      </c>
      <c r="FW164" s="253" t="str">
        <f>IFERROR(ROUND(IF(CD164="ERROR", "ERROR", IF($FW$6=Y164, IF(BS164="N", 'Lookup Tables'!$AM$101*BP164, MIN((VLOOKUP(W164, 'Lookup Tables'!$AI$6:$AM$102, 5, FALSE)*BP164),GB164*AJ164)), "")), 2), "")</f>
        <v/>
      </c>
      <c r="FX164" s="253" t="str">
        <f>IFERROR(ROUND(IF(CD164="ERROR", "ERROR", IF(AND($FX$6=Y164, E164="Interior"), IF(VLOOKUP(W164, 'Lookup Tables'!$AI$6:$AM$102, 5, FALSE)*BP164&gt;'Lookup Tables'!$AQ$97*'Lighting Inventory'!S164,'Lighting Inventory'!S164*'Lookup Tables'!$AQ$97,VLOOKUP(W164, 'Lookup Tables'!$AI$6:$AM$102, 5, FALSE)*BP164), "")), 2), "")</f>
        <v/>
      </c>
      <c r="FY164" s="253" t="str">
        <f>IFERROR(ROUND(IF(CD164="ERROR", "ERROR", IF(AND($FX$6=Y164, E164="Exterior"), IF(VLOOKUP(W164, 'Lookup Tables'!$AI$6:$AM$102, 5, FALSE)*BP164&gt;'Lookup Tables'!$AQ$97*'Lighting Inventory'!S164,'Lighting Inventory'!S164*'Lookup Tables'!$AQ$97,VLOOKUP(W164, 'Lookup Tables'!$AI$6:$AM$102, 5, FALSE)*BP164), "")), 2), "")</f>
        <v/>
      </c>
      <c r="FZ164" s="253" t="str">
        <f>IFERROR(ROUND(IF(CD164="ERROR", "ERROR", IF(AND($FZ$6=Y164, E164="Interior"), IF(AND(OR(W164="Refrigerated Case Lighting with Doors", W164="Freezer Case Lighting"),Y164="Custom - Process Improvement"),CD164*'Lookup Tables'!$AM$101, IF(B164="Retrofit", IF(VLOOKUP(IF(V164="Custom", V164, W164), 'Lookup Tables'!$AI$6:$AM$102, 5, FALSE)*BP164&gt;GE164, GE164, VLOOKUP(IF(V164="Custom", V164, W164), 'Lookup Tables'!$AI$6:$AM$102, 5, FALSE)*BP164), IF(VLOOKUP(IF(V164="Custom", V164, W164), 'Lookup Tables'!$AI$114:$AM$154, 5, FALSE)*BP164&gt;GE164, GE164, VLOOKUP(IF(V164="Custom", V164, W164), 'Lookup Tables'!$AI$114:$AM$154, 5, FALSE)*BP164))), "")), 2),"")</f>
        <v/>
      </c>
      <c r="GA164" s="253" t="str">
        <f>IFERROR(ROUND(IF(CD164="ERROR", "ERROR", IF(AND($FZ$6=Y164, E164="Exterior"), IF(B164="Retrofit", IF(VLOOKUP(IF(V164="Custom", V164, W164), 'Lookup Tables'!$AI$6:$AM$102, 5, FALSE)*BP164&gt;GE164, GE164, VLOOKUP(IF(V164="Custom", V164, W164), 'Lookup Tables'!$AI$6:$AM$102, 5, FALSE)*BP164), IF(VLOOKUP(IF(V164="Custom", V164, W164), 'Lookup Tables'!$AI$114:$AM$154, 5, FALSE)*BP164&gt;GE164, GE164, VLOOKUP(IF(V164="Custom", V164, W164), 'Lookup Tables'!$AI$114:$AM$154, 5, FALSE)*BP164)), "")), 2),"")</f>
        <v/>
      </c>
      <c r="GB164" s="254" t="str">
        <f t="array" ref="GB164">IF(B164="","",IF(OR(V164="Custom",V164="No Change"),0,IF(B164="Retrofit", INDEX('Lookup Tables'!$AH$6:$AQ$102,MATCH(1,('Lookup Tables'!$AH$6:$AH$102='Lighting Inventory'!V164)*('Lookup Tables'!$AI$6:$AI$102='Lighting Inventory'!W164),FALSE),10),INDEX('Lookup Tables'!$AH$114:$AQ$154,MATCH(1,('Lookup Tables'!$AH$114:$AH$154='Lighting Inventory'!V164)*('Lookup Tables'!$AI$114:$AI$154='Lighting Inventory'!W164),FALSE),10))))</f>
        <v/>
      </c>
      <c r="GC164" s="255" t="str">
        <f t="shared" si="447"/>
        <v/>
      </c>
      <c r="GD164" s="250" t="str">
        <f t="shared" si="448"/>
        <v/>
      </c>
      <c r="GE164" s="253" t="str">
        <f>IFERROR(IF(AND(AF164="", 'General Information'!$F$18="No"),"", IF(AF164="", ((GD164/$CD$266)*$CF$266)*0.5, AF164*S164*0.5)), "")</f>
        <v/>
      </c>
      <c r="GF164" s="255" t="str">
        <f>IF(AND('General Information'!$F$19="", 'General Information'!$F$18="Yes",AF164="",BW164="Y"), "Y", "N")</f>
        <v>N</v>
      </c>
      <c r="GG164" s="255" t="s">
        <v>2946</v>
      </c>
      <c r="GH164" s="255" t="str">
        <f>IFERROR(IF(B164="", "", VLOOKUP(J164, 'Fixture Identities'!$A$6:$N$908, 14, FALSE)), "")</f>
        <v/>
      </c>
      <c r="GI164" s="389" t="str">
        <f>IF(OR(B164="", V164="", W164=""), "", IF(AND(OR(M164='Lookup Tables'!$R$18, M164='Lookup Tables'!$R$19, M164='Lookup Tables'!$R$20, M164='Lookup Tables'!$R$21, M164='Lookup Tables'!$R$22), OR(AN164='Lookup Tables'!$R$17, AN164='Lookup Tables'!$R$17, AN164="")), "Y", "N"))</f>
        <v/>
      </c>
      <c r="GJ164" s="255" t="str">
        <f t="shared" si="449"/>
        <v/>
      </c>
      <c r="GK164" s="255" t="str">
        <f t="shared" si="450"/>
        <v/>
      </c>
      <c r="GL164" s="255" t="str">
        <f t="shared" si="451"/>
        <v/>
      </c>
      <c r="GM164" s="255" t="str">
        <f>IF(AN164="", "", IF(AND(IF(ISNA(VLOOKUP(AN164,'Lookup Tables'!$R$18:$R$22,1,FALSE)), "N", "Y")="Y", E164="Exterior"), "Y", "N"))</f>
        <v/>
      </c>
      <c r="GN164" s="395"/>
      <c r="GO164" s="428">
        <f t="shared" si="497"/>
        <v>0</v>
      </c>
      <c r="GP164" s="428">
        <f t="shared" si="500"/>
        <v>0</v>
      </c>
      <c r="GQ164" s="428">
        <f t="shared" si="498"/>
        <v>0</v>
      </c>
      <c r="GR164" s="428">
        <f t="shared" si="499"/>
        <v>0</v>
      </c>
    </row>
    <row r="165" spans="1:200" s="103" customFormat="1" ht="13.5" customHeight="1" x14ac:dyDescent="0.2">
      <c r="A165" s="272">
        <v>155</v>
      </c>
      <c r="B165" s="110"/>
      <c r="C165" s="110"/>
      <c r="D165" s="110"/>
      <c r="E165" s="110"/>
      <c r="F165" s="110"/>
      <c r="G165" s="110"/>
      <c r="H165" s="110"/>
      <c r="I165" s="29"/>
      <c r="J165" s="29"/>
      <c r="K165" s="272" t="str">
        <f>IFERROR(IF(OR(VLOOKUP(J165, 'Fixture Identities'!$A$6:$L$1023, 3, FALSE)="T12 Linear Fluorescent", VLOOKUP(J165, 'Fixture Identities'!$A$6:$L$1023, 3, FALSE)="T12 U-Tube Fluorescent"), VLOOKUP(VLOOKUP(J165, 'Fixture Identities'!$A$6:$L$1023, 11, FALSE), 'Fixture Identities'!$A$6:$L$1023, 10, FALSE), VLOOKUP(J165, 'Fixture Identities'!$A$6:$L$1023, 10, FALSE)), "")</f>
        <v/>
      </c>
      <c r="L165" s="270" t="str">
        <f t="shared" si="502"/>
        <v/>
      </c>
      <c r="M165" s="110"/>
      <c r="N165" s="110"/>
      <c r="O165" s="110"/>
      <c r="P165" s="272" t="str">
        <f>IFERROR(IF(OR(B165="Retrofit",B165=""),"",IF('Lighting Inventory'!E165="Exterior",VLOOKUP('Lighting Inventory'!N165,'Lookup Tables'!$B$83:$F$103,5,FALSE),IF(N165="Other - Please Estimate EFLH and CFs","Contact Prog. Rep.","ft^2"))), "")</f>
        <v/>
      </c>
      <c r="Q165" s="270" t="str">
        <f>IFERROR(IF(AND(B165="New Construction",E165="Interior",$F$5="Space-by-Space"),VLOOKUP('Lighting Inventory'!N165,'Lookup Tables'!$N$6:$O$97,2,FALSE),IF(AND(B165="New Construction",E165="Exterior"),VLOOKUP(N165,'Lookup Tables'!$B$83:$F$103,2,FALSE),IF(AND(B165="New Construction",'Lighting Inventory'!E165="Interior", $F$5="Building Area"),VLOOKUP(F165,'Lookup Tables'!$A$6:$J$59,10,FALSE),""))), "")</f>
        <v/>
      </c>
      <c r="R165" s="270" t="str">
        <f>IFERROR(IF(P165="Contact Prog. Rep.", "ERROR", IF(OR(B165="",B165="Retrofit"),"",IF(N165="Automated teller machines", ('Lookup Tables'!$A$82:$E$100+('Lighting Inventory'!O165-1)*'Lookup Tables'!$A$82:$E$100)/1000, (Q165*O165)/1000))), "")</f>
        <v/>
      </c>
      <c r="S165" s="595"/>
      <c r="T165" s="105" t="str">
        <f t="shared" si="452"/>
        <v/>
      </c>
      <c r="U165" s="105" t="str">
        <f>IF(S165="","",COUNT($S$11:S165))</f>
        <v/>
      </c>
      <c r="V165" s="111"/>
      <c r="W165" s="112"/>
      <c r="X165" s="105" t="str">
        <f t="shared" si="453"/>
        <v/>
      </c>
      <c r="Y165" s="105" t="str">
        <f t="array" ref="Y165">IF(AND(OR(W165="Freezer Case Lighting", W165="Refrigerated Case Lighting with Doors"), 'General Information'!$X$18="LCI"),'Lookup Tables'!$Y$34, IF(V165="Custom", VLOOKUP(W165, 'Fixture Identities'!$A$974:$M$1023, 13, FALSE), IF(V165="No Change",'Lookup Tables'!$Y$29,IF(OR(V165="",W165=""),"",IF(AND(S165=0,S165&lt;I165,B165="Retrofit"),'Lookup Tables'!$Y$25, IF(B165="Retrofit", INDEX('Lookup Tables'!$AH$6:$AP$102, MATCH(1, ('Lookup Tables'!$AH$6:$AH$102=V165)*('Lookup Tables'!$AI$6:$AI$102=W165), 0), IF('Lighting Inventory'!E165="Interior", 4, 5)), INDEX('Lookup Tables'!$AH$114:$AP$154, MATCH(1, ('Lookup Tables'!$AH$114:$AH$154=V165)*('Lookup Tables'!$AI$114:$AI$154=W165), 0), IF('Lighting Inventory'!E165="Interior", 4, 5))))))))</f>
        <v/>
      </c>
      <c r="Z165" s="105" t="str">
        <f>IFERROR(INDEX('Lookup Tables'!$AH$158:$AH$172,MATCH('Lighting Inventory'!Y165,'Lookup Tables'!$AI$158:$AI$172,0)),"")</f>
        <v/>
      </c>
      <c r="AA165" s="105" t="str">
        <f>IF(AP165&gt;0,INDEX('Lookup Tables'!$AK$158:$AK$172,MATCH('Lighting Inventory'!Y165,'Lookup Tables'!$AI$158:$AI$172,0)),'Lighting Inventory'!Y165)</f>
        <v/>
      </c>
      <c r="AB165" s="105" t="str">
        <f t="array" ref="AB165">IF(V165="Custom", "Custom", IF(V165="", "", IF(V165="Not DLC or Energy Star", "General", IF(B165="New Construction", INDEX('Lookup Tables'!$AH$114:$AP$154,MATCH(1,('Lookup Tables'!$AH$114:$AH$154='Lighting Inventory'!V165)*('Lookup Tables'!$AI$114:$AI$154='Lighting Inventory'!W165),FALSE),8), INDEX('Lookup Tables'!$AH$6:$AP$102,MATCH(1,('Lookup Tables'!$AH$6:$AH$102='Lighting Inventory'!V165)*('Lookup Tables'!$AI$6:$AI$102='Lighting Inventory'!W165),FALSE),8)))))</f>
        <v/>
      </c>
      <c r="AC165" s="272" t="str">
        <f>IF(W165="","",IF(V165="Custom",CONCATENATE("$",'Lookup Tables'!$AM$101," ",'Lookup Tables'!$AN$101),CONCATENATE("$",INDEX('Lookup Tables'!$AM$6:$AM$102,MATCH('Lighting Inventory'!W165,'Lookup Tables'!$AI$6:$AI$102,0))," ",INDEX('Lookup Tables'!$AN$6:$AN$102,MATCH('Lighting Inventory'!W165,'Lookup Tables'!$AI$6:$AI$102,0)))))</f>
        <v/>
      </c>
      <c r="AD165" s="72"/>
      <c r="AE165" s="29"/>
      <c r="AF165" s="379"/>
      <c r="AG165" s="370" t="str">
        <f t="shared" si="401"/>
        <v/>
      </c>
      <c r="AH165" s="370" t="str">
        <f t="shared" si="454"/>
        <v/>
      </c>
      <c r="AI165" s="29"/>
      <c r="AJ165" s="29"/>
      <c r="AK165" s="110"/>
      <c r="AL165" s="375" t="str">
        <f>IF(OR(B165="", V165="", W165=""), "", IF(V165="No Change", K165, IF(V165="Remove Fixture", 0, IF(V165="Custom",VLOOKUP(W165,'Fixture Identities'!$A$6:$K$1023,10,FALSE),IF(AE165="", "← ENTER POST WATTS", 'Lighting Inventory'!AE165)))))</f>
        <v/>
      </c>
      <c r="AM165" s="376" t="str">
        <f t="shared" si="402"/>
        <v/>
      </c>
      <c r="AN165" s="29"/>
      <c r="AO165" s="671"/>
      <c r="AP165" s="29"/>
      <c r="AQ165" s="29"/>
      <c r="AR165" s="29"/>
      <c r="AS165" s="272" t="str">
        <f t="shared" si="455"/>
        <v/>
      </c>
      <c r="AT165" s="270" t="str">
        <f t="shared" si="403"/>
        <v/>
      </c>
      <c r="AU165" s="88" t="str">
        <f t="shared" si="503"/>
        <v/>
      </c>
      <c r="AV165" s="29"/>
      <c r="AW165" s="73"/>
      <c r="AX165" s="271" t="str">
        <f>IF(AND(AV165="Applicant",OR(AW165="", AW165="Use Default Facility Hours")),"← Choose Schedule",IF(F165="","",IF(W165="LED Exit Signs",8760,IF(OR(AV165="Prescribed",AV165=""),VLOOKUP(F165,'Lookup Tables'!$A$6:$G$59,IF(AB165="General", 6, 3),FALSE),VLOOKUP(AW165,'Lookup Tables'!$S$36:$U$43,2,FALSE)))))</f>
        <v/>
      </c>
      <c r="AY165" s="88" t="str">
        <f t="shared" si="404"/>
        <v/>
      </c>
      <c r="AZ165" s="270" t="str">
        <f>IFERROR(IF(F165="", "", IF(W165="LED Exit Signs", 1, IF(AV165="Applicant",VLOOKUP(AW165, 'Lookup Tables'!$S$36:$U$43,3, FALSE), VLOOKUP('Lighting Inventory'!F165, 'Lookup Tables'!$A$6:$H$59, IF('Lighting Inventory'!AB165="General",7,4), FALSE)))), "")</f>
        <v/>
      </c>
      <c r="BA165" s="522" t="str">
        <f>IFERROR(IF(F165="", "", IF(W165="LED Exit Signs", 1, VLOOKUP('Lighting Inventory'!F165, 'Lookup Tables'!$A$6:$H$59, IF('Lighting Inventory'!AB165="General",8,5), FALSE))), "")</f>
        <v/>
      </c>
      <c r="BB165" s="270" t="str">
        <f>IF(G165="", "", IF(E165="Exterior", 0, IF('Lighting Inventory'!G165="Air Conditioned", VLOOKUP(H165, 'Lookup Tables'!$R$6:$T$13, 2, FALSE), VLOOKUP('Lighting Inventory'!G165, 'Lookup Tables'!$R$6:$T$13, 2, FALSE))))</f>
        <v/>
      </c>
      <c r="BC165" s="522" t="str">
        <f>IF(G165="", "", IF(E165="Exterior", 0, IF('Lighting Inventory'!G165="Air Conditioned", VLOOKUP(H165, 'Lookup Tables'!$R$6:$T$13, 3, FALSE), VLOOKUP('Lighting Inventory'!G165, 'Lookup Tables'!$R$6:$T$13, 3, FALSE))))</f>
        <v/>
      </c>
      <c r="BD165" s="270" t="str">
        <f>IF(G165="", "", IF(E165="Exterior", 0, IF('Lighting Inventory'!G165="Air Conditioned", VLOOKUP(H165, 'Lookup Tables'!$R$6:$U$13, 4, FALSE), VLOOKUP('Lighting Inventory'!G165, 'Lookup Tables'!$R$6:$U$13, 4, FALSE))))</f>
        <v/>
      </c>
      <c r="BE165" s="270" t="str">
        <f>IFERROR(IF(B165="", "",  IF(B165="New Construction", VLOOKUP(F165, 'Lookup Tables'!$A$6:$K$59, 11, FALSE),IF(OR(AN165="", AN165="Light Switch"), 0, IF(OR(M165="",M165="None",V165= "LED Exit Signs"),0,_xlfn.XLOOKUP(M165,'Lookup Tables'!$R$91:$R$101,'Lookup Tables'!$V$91:$V$101))))), "")</f>
        <v/>
      </c>
      <c r="BF165" s="270" t="str">
        <f>IF(AND(OR(AN165="Light Switch",AN165=""),B165="New Construction"), VLOOKUP(F165, 'Lookup Tables'!$A$6:$K$59, 11, FALSE),IF(AN165="","",IF(B165="","",IF(OR(AN165="None",AN165="",V165="LED Exit Signs",AN165="Exterior Controls Not Eligible"),0,_xlfn.XLOOKUP(AN165,'Lookup Tables'!$R$91:$R$101,'Lookup Tables'!$V$91:$V$101)))))</f>
        <v/>
      </c>
      <c r="BG165" s="88" t="str">
        <f t="shared" si="456"/>
        <v/>
      </c>
      <c r="BH165" s="88" t="str">
        <f t="shared" si="457"/>
        <v/>
      </c>
      <c r="BI165" s="558" t="str">
        <f t="shared" si="501"/>
        <v/>
      </c>
      <c r="BJ165" s="82" t="str">
        <f t="shared" si="458"/>
        <v/>
      </c>
      <c r="BK165" s="82" t="str">
        <f t="shared" si="459"/>
        <v/>
      </c>
      <c r="BL165" s="559" t="str">
        <f t="shared" si="460"/>
        <v/>
      </c>
      <c r="BM165" s="521" t="str">
        <f t="shared" si="405"/>
        <v/>
      </c>
      <c r="BN165" s="521" t="str">
        <f t="shared" si="406"/>
        <v/>
      </c>
      <c r="BO165" s="522" t="str">
        <f t="shared" si="407"/>
        <v/>
      </c>
      <c r="BP165" s="83" t="str">
        <f t="shared" si="461"/>
        <v/>
      </c>
      <c r="BQ165" s="84" t="str">
        <f t="shared" si="462"/>
        <v/>
      </c>
      <c r="BR165" s="184" t="str">
        <f>IFERROR(IF(B165="", "", IF(OR(VLOOKUP(J165, 'Fixture Identities'!$A$6:$L$1023, 3, FALSE)="T12 Linear Fluorescent",VLOOKUP(J165, 'Fixture Identities'!$A$6:$L$1023, 3, FALSE)="T12 U-Tube Fluorescent"), "Y", "N")), "N")</f>
        <v/>
      </c>
      <c r="BS165" s="184" t="str">
        <f t="array" ref="BS165">IFERROR(IF(OR(B165="", V165="", W165=""), "", IF(V165="Custom", "N", IF(OR(W165="Freezer Case Lighting", W165="Refrigerated Case Lighting with Doors"), BT165, IF(B165="Retrofit", INDEX('Lookup Tables'!$AH$6:$AT$102,MATCH(1,('Lookup Tables'!$AH$6:$AH$102=V165)*('Lookup Tables'!$AI$6:$AI$102=W165),FALSE),IF(VLOOKUP(J165, 'Fixture Identities'!$A$6:$B$1023, 2, FALSE)="Incandescent",12, 13)), INDEX('Lookup Tables'!$AH$114:$AS$154,MATCH(1,('Lookup Tables'!$AH$114:$AH$154=V165)*('Lookup Tables'!$AI$114:$AI$154=W165),FALSE),12))))), "N")</f>
        <v/>
      </c>
      <c r="BT165" s="184" t="str">
        <f>IF(J165="", "", IF(AND(OR(W165="Freezer case Lighting", W165="Refrigerated Case Lighting with Doors"),'General Information'!$X$18="LCI"), "N", IF(OR(VLOOKUP(J165, 'Fixture Identities'!$A$6:$B$1023, 2, FALSE)="T12 EPACT/EISA Baseline", VLOOKUP(J165, 'Fixture Identities'!$A$6:$B$1023, 2, FALSE)="Linear Fluorescent", VLOOKUP(J165, 'Fixture Identities'!$A$6:$B$1023, 2, FALSE)="U-Tube Fluorescent"), "Y", "N")))</f>
        <v/>
      </c>
      <c r="BU165" s="184" t="str">
        <f>IFERROR(IF(B165="", "", IF(VLOOKUP(J165, 'Fixture Identities'!$A$6:$B$1023, 2, FALSE)="Exit Sign", "Y", "N")), "N")</f>
        <v/>
      </c>
      <c r="BV165" s="184" t="str">
        <f>IF(V165="Exit Signs", IF(VLOOKUP(J165, 'Fixture Identities'!$A$6:$B$1023, 2, FALSE)="Exit Sign", "N", "Y"), "")</f>
        <v/>
      </c>
      <c r="BW165" s="184" t="str">
        <f t="array" ref="BW165">IFERROR(IF(B165="", "", IF(B165="New Construction", "N", INDEX('Lookup Tables'!$AH$6:$AU$102, MATCH(1, ('Lookup Tables'!$AH$6:$AH$102='Lighting Inventory'!V165)*('Lookup Tables'!$AI$6:$AI$102='Lighting Inventory'!W165), 0), 14))), "N")</f>
        <v/>
      </c>
      <c r="BX165" s="598" t="str">
        <f t="shared" si="463"/>
        <v/>
      </c>
      <c r="BY165" s="598" t="str">
        <f t="shared" si="464"/>
        <v/>
      </c>
      <c r="BZ165" s="598" t="str">
        <f t="shared" si="465"/>
        <v/>
      </c>
      <c r="CA165" s="598" t="str">
        <f t="shared" si="466"/>
        <v/>
      </c>
      <c r="CB165" s="269" t="str">
        <f t="shared" si="467"/>
        <v/>
      </c>
      <c r="CC165" s="517" t="str">
        <f t="shared" si="468"/>
        <v/>
      </c>
      <c r="CD165" s="565" t="str">
        <f t="shared" si="408"/>
        <v/>
      </c>
      <c r="CE165" s="368">
        <v>0</v>
      </c>
      <c r="CF165" s="368" t="str" cm="1">
        <f t="array" ref="CF165">IFERROR(IF(V165="Custom", "$0.1 per kWh", IF(B165="New Construction", CONCATENATE("$",INDEX('Lookup Tables'!$AH$114:$AN$154,MATCH(1,('Lookup Tables'!$AH$114:$AH$154='Lighting Inventory'!V165)*('Lookup Tables'!$AI$114:$AI$154='Lighting Inventory'!W165),FALSE),6)," ",INDEX('Lookup Tables'!$AH$114:$AN$154,MATCH(1,('Lookup Tables'!$AH$114:$AH$154='Lighting Inventory'!V165)*('Lookup Tables'!$AI$114:$AI$154='Lighting Inventory'!W165),FALSE),7)), IF(AND(BU165="N", V165="Exit Signs"), "$0.025 per kWh", CONCATENATE("$",INDEX('Lookup Tables'!$AH$6:$AN$102,MATCH(1,('Lookup Tables'!$AH$6:$AH$102='Lighting Inventory'!V165)*('Lookup Tables'!$AI$6:$AI$102='Lighting Inventory'!W165),FALSE),6)," ",INDEX('Lookup Tables'!$AH$6:$AN$102,MATCH(1,('Lookup Tables'!$AH$6:$AH$102='Lighting Inventory'!V165)*('Lookup Tables'!$AI$6:$AI$102='Lighting Inventory'!W165),FALSE),7))))), "")</f>
        <v/>
      </c>
      <c r="CG165" s="366"/>
      <c r="CH165" s="248" t="str">
        <f t="shared" si="409"/>
        <v/>
      </c>
      <c r="CI165" s="248" t="str">
        <f t="shared" si="410"/>
        <v>Select_IE</v>
      </c>
      <c r="CJ165" s="248" t="str">
        <f t="shared" si="411"/>
        <v/>
      </c>
      <c r="CK165" s="248" t="str">
        <f t="shared" si="412"/>
        <v/>
      </c>
      <c r="CL165" s="248" t="str">
        <f t="shared" si="413"/>
        <v/>
      </c>
      <c r="CM165" s="248" t="str">
        <f>IFERROR(IF(B165="", "", IF(B165="New Construction", VLOOKUP(V165, 'Lookup Tables'!$AF$114:$AG$120, 2, FALSE), VLOOKUP(V165, 'Lookup Tables'!$AD$6:$AE$25, 2, FALSE))), "")</f>
        <v/>
      </c>
      <c r="CN165" s="248" t="str">
        <f t="shared" si="414"/>
        <v/>
      </c>
      <c r="CO165" s="248" t="str">
        <f t="shared" si="415"/>
        <v/>
      </c>
      <c r="CP165" s="592" t="str">
        <f t="shared" si="416"/>
        <v/>
      </c>
      <c r="CQ165" s="248" t="str">
        <f t="shared" si="469"/>
        <v/>
      </c>
      <c r="CR165" s="100"/>
      <c r="CS165" s="250" t="str">
        <f t="shared" si="417"/>
        <v/>
      </c>
      <c r="CT165" s="250" t="str">
        <f t="shared" si="470"/>
        <v/>
      </c>
      <c r="CU165" s="250" t="str">
        <f t="shared" si="471"/>
        <v/>
      </c>
      <c r="CV165" s="250" t="str">
        <f t="shared" si="472"/>
        <v/>
      </c>
      <c r="CW165" s="250" t="str">
        <f t="shared" si="473"/>
        <v/>
      </c>
      <c r="CX165" s="250" t="str">
        <f t="shared" si="418"/>
        <v/>
      </c>
      <c r="CY165" s="250" t="str">
        <f t="shared" si="419"/>
        <v/>
      </c>
      <c r="CZ165" s="250" t="str">
        <f t="shared" si="420"/>
        <v/>
      </c>
      <c r="DA165" s="250" t="str">
        <f t="shared" si="421"/>
        <v/>
      </c>
      <c r="DB165" s="250" t="str">
        <f t="shared" si="422"/>
        <v/>
      </c>
      <c r="DC165" s="250" t="str">
        <f t="shared" si="423"/>
        <v/>
      </c>
      <c r="DD165" s="250" t="str">
        <f t="shared" si="424"/>
        <v/>
      </c>
      <c r="DE165" s="250" t="str">
        <f t="shared" si="425"/>
        <v/>
      </c>
      <c r="DF165" s="250" t="str">
        <f t="shared" si="426"/>
        <v/>
      </c>
      <c r="DG165" s="250" t="str">
        <f t="shared" si="427"/>
        <v/>
      </c>
      <c r="DH165" s="250" t="str">
        <f t="shared" si="428"/>
        <v/>
      </c>
      <c r="DI165" s="250" t="str">
        <f t="shared" si="429"/>
        <v/>
      </c>
      <c r="DJ165" s="250" t="str">
        <f t="shared" si="430"/>
        <v/>
      </c>
      <c r="DK165" s="250" t="str">
        <f t="shared" si="431"/>
        <v/>
      </c>
      <c r="DL165" s="250" t="str">
        <f t="shared" si="432"/>
        <v/>
      </c>
      <c r="DM165" s="250" t="str">
        <f>IF(CD165="ERROR", "ERROR", IF(AND(OR(Y165=$DM$6, Y165='Lookup Tables'!$AD$21, Y165='Lookup Tables'!$AD$22), E165="Interior"), BJ165, ""))</f>
        <v/>
      </c>
      <c r="DN165" s="250" t="str">
        <f>IF(CD165="ERROR", "ERROR", IF(AND(OR(Y165=$DM$6, Y165='Lookup Tables'!$AD$21, Y165='Lookup Tables'!$AD$22), E165="Exterior"), BJ165, ""))</f>
        <v/>
      </c>
      <c r="DO165" s="100"/>
      <c r="DP165" s="250" t="str">
        <f t="shared" si="433"/>
        <v/>
      </c>
      <c r="DQ165" s="250" t="str">
        <f t="shared" si="474"/>
        <v/>
      </c>
      <c r="DR165" s="250" t="str">
        <f t="shared" si="475"/>
        <v/>
      </c>
      <c r="DS165" s="250" t="str">
        <f t="shared" si="476"/>
        <v/>
      </c>
      <c r="DT165" s="250" t="str">
        <f t="shared" si="477"/>
        <v/>
      </c>
      <c r="DU165" s="250" t="str">
        <f t="shared" si="434"/>
        <v/>
      </c>
      <c r="DV165" s="250" t="str">
        <f t="shared" si="435"/>
        <v/>
      </c>
      <c r="DW165" s="250" t="str">
        <f t="shared" si="436"/>
        <v/>
      </c>
      <c r="DX165" s="250" t="str">
        <f t="shared" si="437"/>
        <v/>
      </c>
      <c r="DY165" s="250" t="str">
        <f t="shared" si="438"/>
        <v/>
      </c>
      <c r="DZ165" s="250" t="str">
        <f t="shared" si="439"/>
        <v/>
      </c>
      <c r="EA165" s="250" t="str">
        <f t="shared" si="440"/>
        <v/>
      </c>
      <c r="EB165" s="250" t="str">
        <f t="shared" si="478"/>
        <v/>
      </c>
      <c r="EC165" s="250" t="str">
        <f t="shared" si="441"/>
        <v/>
      </c>
      <c r="ED165" s="250" t="str">
        <f t="shared" si="442"/>
        <v/>
      </c>
      <c r="EE165" s="250" t="str">
        <f t="shared" si="443"/>
        <v/>
      </c>
      <c r="EF165" s="250" t="str">
        <f t="shared" si="444"/>
        <v/>
      </c>
      <c r="EG165" s="250" t="str">
        <f t="shared" si="445"/>
        <v/>
      </c>
      <c r="EH165" s="250" t="str">
        <f>IF(CD165="ERROR", "ERROR", IF(AND(OR($EH$6=Y165, Y165='Lookup Tables'!$AD$21, Y165='Lookup Tables'!$AD$22),E165="Interior"), SUM(BP165:BP165), ""))</f>
        <v/>
      </c>
      <c r="EI165" s="250" t="str">
        <f>IF(CD165="ERROR", "ERROR", IF(AND(OR($EH$6=Y165, Y165='Lookup Tables'!$AD$21, Y165='Lookup Tables'!$AD$22),E165="Exterior"), SUM(BP165:BP165), ""))</f>
        <v/>
      </c>
      <c r="EJ165" s="109"/>
      <c r="EK165" s="485" t="str">
        <f t="shared" si="446"/>
        <v/>
      </c>
      <c r="EL165" s="252" t="str">
        <f t="shared" si="479"/>
        <v/>
      </c>
      <c r="EM165" s="252" t="str">
        <f t="shared" si="480"/>
        <v/>
      </c>
      <c r="EN165" s="252" t="str">
        <f t="shared" si="481"/>
        <v/>
      </c>
      <c r="EO165" s="252" t="str">
        <f t="shared" si="482"/>
        <v/>
      </c>
      <c r="EP165" s="252" t="str">
        <f t="shared" si="483"/>
        <v/>
      </c>
      <c r="EQ165" s="252" t="str">
        <f t="shared" si="484"/>
        <v/>
      </c>
      <c r="ER165" s="252" t="str">
        <f t="shared" si="485"/>
        <v/>
      </c>
      <c r="ES165" s="252" t="str">
        <f t="shared" si="486"/>
        <v/>
      </c>
      <c r="ET165" s="252" t="str">
        <f t="shared" si="487"/>
        <v/>
      </c>
      <c r="EU165" s="252" t="str">
        <f t="shared" si="488"/>
        <v/>
      </c>
      <c r="EV165" s="252" t="str">
        <f t="shared" si="489"/>
        <v/>
      </c>
      <c r="EW165" s="252" t="str">
        <f t="shared" si="490"/>
        <v/>
      </c>
      <c r="EX165" s="252" t="str">
        <f t="shared" si="491"/>
        <v/>
      </c>
      <c r="EY165" s="252" t="str">
        <f t="shared" si="492"/>
        <v/>
      </c>
      <c r="EZ165" s="252" t="str">
        <f t="shared" si="493"/>
        <v/>
      </c>
      <c r="FA165" s="252" t="str">
        <f t="shared" si="494"/>
        <v/>
      </c>
      <c r="FB165" s="252" t="str">
        <f t="shared" si="495"/>
        <v/>
      </c>
      <c r="FC165" s="252" t="str">
        <f>IF(CD165="ERROR", "ERROR", IF(OR(V165="No Change", V165="Not DLC or Energy Star"), "", IF(AND(OR($FC$6=Y165,Y165='Lookup Tables'!$AD$21, Y165='Lookup Tables'!$AD$22),E165="Interior"), S165, "")))</f>
        <v/>
      </c>
      <c r="FD165" s="252" t="str">
        <f t="shared" si="496"/>
        <v/>
      </c>
      <c r="FE165" s="101"/>
      <c r="FF165" s="579" t="str" cm="1">
        <f t="array" ref="FF165">IFERROR(IF(OR(BQ165&lt;=0,AQ165&lt;20,AND(V165="Exit Signs",AN165&gt;0)),"",IF(AND(AQ165&gt;=20,AN165='Lookup Tables'!$R$101),'Lookup Tables'!$U$101*BQ165,AP165*LOOKUP(2,1/((AN165='Lookup Tables'!$R$91:$R$111)*(AQ165&gt;='Lookup Tables'!$S$91:$S$111)*(AQ165&lt;='Lookup Tables'!$T$91:$T$111)),'Lookup Tables'!$U$91:$U$111))),"")</f>
        <v/>
      </c>
      <c r="FG165" s="579"/>
      <c r="FH165" s="579"/>
      <c r="FI165" s="253" t="str">
        <f>IFERROR(ROUND(IF(CD165="ERROR", "ERROR", IF(AND($FI$7=X165,E165="Interior"),VLOOKUP(W165, 'Lookup Tables'!$AI$6:$AM$102, 5, FALSE)*BP165, "")), 2), "")</f>
        <v/>
      </c>
      <c r="FJ165" s="253" t="str">
        <f>IFERROR(ROUND(IF(CD165="ERROR", "ERROR", IF(AND($FI$7=X165,E165="Exterior"),VLOOKUP(W165, 'Lookup Tables'!$AI$6:$AM$102, 5, FALSE)*BP165, "")), 2), "")</f>
        <v/>
      </c>
      <c r="FK165" s="253" t="str">
        <f>IFERROR(ROUND(IF(CD165="ERROR", "ERROR", IF(AND($FK$7=X165,E165="Interior"),VLOOKUP(W165, 'Lookup Tables'!$AI$6:$AM$102, 5, FALSE)*BP165, "")), 2), "")</f>
        <v/>
      </c>
      <c r="FL165" s="253" t="str">
        <f>IFERROR(ROUND(IF(CD165="ERROR", "ERROR", IF(AND($FK$7=X165,E165="Exterior"),VLOOKUP(W165, 'Lookup Tables'!$AI$6:$AM$102, 5, FALSE)*BP165, "")), 2), "")</f>
        <v/>
      </c>
      <c r="FM165" s="253" t="str">
        <f>IFERROR(ROUND(IF(CD165="ERROR", "ERROR", IF(AND($FM$6=Y165,E165="Interior"), IF(GB165=0, VLOOKUP(W165, 'Lookup Tables'!$AI$6:$AM$102, 5, FALSE)*BP165, IF(VLOOKUP(W165, 'Lookup Tables'!$AI$6:$AM$102, 5, FALSE)*BP165&gt;GB165*'Lighting Inventory'!S165, GB165*'Lighting Inventory'!S165,VLOOKUP(W165, 'Lookup Tables'!$AI$6:$AM$102, 5, FALSE)*BP165)), "")), 2), "")</f>
        <v/>
      </c>
      <c r="FN165" s="253" t="str">
        <f>IFERROR(ROUND(IF(CD165="ERROR", "ERROR", IF(AND($FM$6=Y165,E165="Exterior"), IF(GB165=0, VLOOKUP(W165, 'Lookup Tables'!$AI$6:$AM$102, 5, FALSE)*BP165, IF(VLOOKUP(W165, 'Lookup Tables'!$AI$6:$AM$102, 5, FALSE)*BP165&gt;GB165*'Lighting Inventory'!S165, GB165*'Lighting Inventory'!S165,VLOOKUP(W165, 'Lookup Tables'!$AI$6:$AM$102, 5, FALSE)*BP165)), "")), 2), "")</f>
        <v/>
      </c>
      <c r="FO165" s="253" t="str">
        <f>IFERROR(ROUND(IF(CD165="ERROR", "ERROR", IF(AND($FO$6=Y165,E165="Interior"),VLOOKUP(W165, 'Lookup Tables'!$AI$6:$AM$102, 5, FALSE)*'Lighting Inventory'!AI165, "")), 2), "")</f>
        <v/>
      </c>
      <c r="FP165" s="253" t="str">
        <f>IFERROR(ROUND(IF(CD165="ERROR", "ERROR", IF(AND($FO$6=Y165,E165="Exterior"),VLOOKUP(W165, 'Lookup Tables'!$AI$6:$AM$102, 5, FALSE)*'Lighting Inventory'!AI165, "")), 2), "")</f>
        <v/>
      </c>
      <c r="FQ165" s="253" t="str">
        <f>IFERROR(ROUND(IF(CD165="ERROR", "ERROR", IF(AND($FQ$6=Y165,E165="Interior", BU165="Y"), VLOOKUP('Lighting Inventory'!W165, 'Lookup Tables'!$AI$6:$AM$102, 5, FALSE)*'Lighting Inventory'!S165, IF(AND($FQ$7=Y165,E165="Interior", BU165="N"), 0.025*CD165, ""))), 2), "")</f>
        <v/>
      </c>
      <c r="FR165" s="253" t="str">
        <f>IFERROR(ROUND(IF(CD165="ERROR", "ERROR", IF(AND($FQ$6=Y165,E165="Exterior"), VLOOKUP('Lighting Inventory'!W165, 'Lookup Tables'!$AI$6:$AM$102, 5, FALSE)*'Lighting Inventory'!S165, "")), 2), "")</f>
        <v/>
      </c>
      <c r="FS165" s="253" t="str">
        <f>IFERROR(ROUND(IF(CD165="ERROR", "ERROR", IF(AND($FS$6=Y165,E165="Exterior"), IF(GB165=0, VLOOKUP(W165, 'Lookup Tables'!$AI$6:$AM$102, 5, FALSE)*BP165, IF(VLOOKUP(W165, 'Lookup Tables'!$AI$6:$AM$102, 5, FALSE)*BP165&gt;GB165*'Lighting Inventory'!S165, GB165*'Lighting Inventory'!S165,VLOOKUP(W165, 'Lookup Tables'!$AI$6:$AM$102, 5, FALSE)*BP165)), "")), 2), "")</f>
        <v/>
      </c>
      <c r="FT165" s="253" t="str">
        <f>IFERROR(ROUND(IF(CD165="ERROR", "ERROR", IF(AND($FT$6=Y165,E165="Interior"), IF(GB165=0, VLOOKUP(W165, 'Lookup Tables'!$AI$6:$AM$102, 5, FALSE)*BP165, IF(VLOOKUP(W165, 'Lookup Tables'!$AI$6:$AM$102, 5, FALSE)*BP165&gt;GB165*'Lighting Inventory'!S165, GB165*'Lighting Inventory'!S165,VLOOKUP(W165, 'Lookup Tables'!$AI$6:$AM$102, 5, FALSE)*BP165)), "")), 2), "")</f>
        <v/>
      </c>
      <c r="FU165" s="253" t="str">
        <f>IFERROR(ROUND(IF(CD165="ERROR", "ERROR", IF(AND(Y165=$FU$6, E165="Interior"), IF(BS165="N", 'Lookup Tables'!$AM$101*BP165, VLOOKUP(W165, 'Lookup Tables'!$AI$6:$AM$102, 5, FALSE)*S165*AD165), "")), 2), "")</f>
        <v/>
      </c>
      <c r="FV165" s="253" t="str">
        <f>IFERROR(ROUND(IF(CD165="ERROR", "ERROR", IF(AND(Y165=$FU$6, E165="Exterior"), IF(BS165="N", 'Lookup Tables'!$AM$101*BP165, VLOOKUP(W165, 'Lookup Tables'!$AI$6:$AM$102, 5, FALSE)*S165*AD165), "")), 2), "")</f>
        <v/>
      </c>
      <c r="FW165" s="253" t="str">
        <f>IFERROR(ROUND(IF(CD165="ERROR", "ERROR", IF($FW$6=Y165, IF(BS165="N", 'Lookup Tables'!$AM$101*BP165, MIN((VLOOKUP(W165, 'Lookup Tables'!$AI$6:$AM$102, 5, FALSE)*BP165),GB165*AJ165)), "")), 2), "")</f>
        <v/>
      </c>
      <c r="FX165" s="253" t="str">
        <f>IFERROR(ROUND(IF(CD165="ERROR", "ERROR", IF(AND($FX$6=Y165, E165="Interior"), IF(VLOOKUP(W165, 'Lookup Tables'!$AI$6:$AM$102, 5, FALSE)*BP165&gt;'Lookup Tables'!$AQ$97*'Lighting Inventory'!S165,'Lighting Inventory'!S165*'Lookup Tables'!$AQ$97,VLOOKUP(W165, 'Lookup Tables'!$AI$6:$AM$102, 5, FALSE)*BP165), "")), 2), "")</f>
        <v/>
      </c>
      <c r="FY165" s="253" t="str">
        <f>IFERROR(ROUND(IF(CD165="ERROR", "ERROR", IF(AND($FX$6=Y165, E165="Exterior"), IF(VLOOKUP(W165, 'Lookup Tables'!$AI$6:$AM$102, 5, FALSE)*BP165&gt;'Lookup Tables'!$AQ$97*'Lighting Inventory'!S165,'Lighting Inventory'!S165*'Lookup Tables'!$AQ$97,VLOOKUP(W165, 'Lookup Tables'!$AI$6:$AM$102, 5, FALSE)*BP165), "")), 2), "")</f>
        <v/>
      </c>
      <c r="FZ165" s="253" t="str">
        <f>IFERROR(ROUND(IF(CD165="ERROR", "ERROR", IF(AND($FZ$6=Y165, E165="Interior"), IF(AND(OR(W165="Refrigerated Case Lighting with Doors", W165="Freezer Case Lighting"),Y165="Custom - Process Improvement"),CD165*'Lookup Tables'!$AM$101, IF(B165="Retrofit", IF(VLOOKUP(IF(V165="Custom", V165, W165), 'Lookup Tables'!$AI$6:$AM$102, 5, FALSE)*BP165&gt;GE165, GE165, VLOOKUP(IF(V165="Custom", V165, W165), 'Lookup Tables'!$AI$6:$AM$102, 5, FALSE)*BP165), IF(VLOOKUP(IF(V165="Custom", V165, W165), 'Lookup Tables'!$AI$114:$AM$154, 5, FALSE)*BP165&gt;GE165, GE165, VLOOKUP(IF(V165="Custom", V165, W165), 'Lookup Tables'!$AI$114:$AM$154, 5, FALSE)*BP165))), "")), 2),"")</f>
        <v/>
      </c>
      <c r="GA165" s="253" t="str">
        <f>IFERROR(ROUND(IF(CD165="ERROR", "ERROR", IF(AND($FZ$6=Y165, E165="Exterior"), IF(B165="Retrofit", IF(VLOOKUP(IF(V165="Custom", V165, W165), 'Lookup Tables'!$AI$6:$AM$102, 5, FALSE)*BP165&gt;GE165, GE165, VLOOKUP(IF(V165="Custom", V165, W165), 'Lookup Tables'!$AI$6:$AM$102, 5, FALSE)*BP165), IF(VLOOKUP(IF(V165="Custom", V165, W165), 'Lookup Tables'!$AI$114:$AM$154, 5, FALSE)*BP165&gt;GE165, GE165, VLOOKUP(IF(V165="Custom", V165, W165), 'Lookup Tables'!$AI$114:$AM$154, 5, FALSE)*BP165)), "")), 2),"")</f>
        <v/>
      </c>
      <c r="GB165" s="254" t="str">
        <f t="array" ref="GB165">IF(B165="","",IF(OR(V165="Custom",V165="No Change"),0,IF(B165="Retrofit", INDEX('Lookup Tables'!$AH$6:$AQ$102,MATCH(1,('Lookup Tables'!$AH$6:$AH$102='Lighting Inventory'!V165)*('Lookup Tables'!$AI$6:$AI$102='Lighting Inventory'!W165),FALSE),10),INDEX('Lookup Tables'!$AH$114:$AQ$154,MATCH(1,('Lookup Tables'!$AH$114:$AH$154='Lighting Inventory'!V165)*('Lookup Tables'!$AI$114:$AI$154='Lighting Inventory'!W165),FALSE),10))))</f>
        <v/>
      </c>
      <c r="GC165" s="255" t="str">
        <f t="shared" si="447"/>
        <v/>
      </c>
      <c r="GD165" s="250" t="str">
        <f t="shared" si="448"/>
        <v/>
      </c>
      <c r="GE165" s="253" t="str">
        <f>IFERROR(IF(AND(AF165="", 'General Information'!$F$18="No"),"", IF(AF165="", ((GD165/$CD$266)*$CF$266)*0.5, AF165*S165*0.5)), "")</f>
        <v/>
      </c>
      <c r="GF165" s="255" t="str">
        <f>IF(AND('General Information'!$F$19="", 'General Information'!$F$18="Yes",AF165="",BW165="Y"), "Y", "N")</f>
        <v>N</v>
      </c>
      <c r="GG165" s="255" t="s">
        <v>2946</v>
      </c>
      <c r="GH165" s="255" t="str">
        <f>IFERROR(IF(B165="", "", VLOOKUP(J165, 'Fixture Identities'!$A$6:$N$908, 14, FALSE)), "")</f>
        <v/>
      </c>
      <c r="GI165" s="389" t="str">
        <f>IF(OR(B165="", V165="", W165=""), "", IF(AND(OR(M165='Lookup Tables'!$R$18, M165='Lookup Tables'!$R$19, M165='Lookup Tables'!$R$20, M165='Lookup Tables'!$R$21, M165='Lookup Tables'!$R$22), OR(AN165='Lookup Tables'!$R$17, AN165='Lookup Tables'!$R$17, AN165="")), "Y", "N"))</f>
        <v/>
      </c>
      <c r="GJ165" s="255" t="str">
        <f t="shared" si="449"/>
        <v/>
      </c>
      <c r="GK165" s="255" t="str">
        <f t="shared" si="450"/>
        <v/>
      </c>
      <c r="GL165" s="255" t="str">
        <f t="shared" si="451"/>
        <v/>
      </c>
      <c r="GM165" s="255" t="str">
        <f>IF(AN165="", "", IF(AND(IF(ISNA(VLOOKUP(AN165,'Lookup Tables'!$R$18:$R$22,1,FALSE)), "N", "Y")="Y", E165="Exterior"), "Y", "N"))</f>
        <v/>
      </c>
      <c r="GN165" s="395"/>
      <c r="GO165" s="428">
        <f t="shared" si="497"/>
        <v>0</v>
      </c>
      <c r="GP165" s="428">
        <f t="shared" si="500"/>
        <v>0</v>
      </c>
      <c r="GQ165" s="428">
        <f t="shared" si="498"/>
        <v>0</v>
      </c>
      <c r="GR165" s="428">
        <f t="shared" si="499"/>
        <v>0</v>
      </c>
    </row>
    <row r="166" spans="1:200" s="103" customFormat="1" ht="13.5" customHeight="1" x14ac:dyDescent="0.2">
      <c r="A166" s="272">
        <v>156</v>
      </c>
      <c r="B166" s="110"/>
      <c r="C166" s="110"/>
      <c r="D166" s="110"/>
      <c r="E166" s="110"/>
      <c r="F166" s="110"/>
      <c r="G166" s="110"/>
      <c r="H166" s="110"/>
      <c r="I166" s="29"/>
      <c r="J166" s="29"/>
      <c r="K166" s="272" t="str">
        <f>IFERROR(IF(OR(VLOOKUP(J166, 'Fixture Identities'!$A$6:$L$1023, 3, FALSE)="T12 Linear Fluorescent", VLOOKUP(J166, 'Fixture Identities'!$A$6:$L$1023, 3, FALSE)="T12 U-Tube Fluorescent"), VLOOKUP(VLOOKUP(J166, 'Fixture Identities'!$A$6:$L$1023, 11, FALSE), 'Fixture Identities'!$A$6:$L$1023, 10, FALSE), VLOOKUP(J166, 'Fixture Identities'!$A$6:$L$1023, 10, FALSE)), "")</f>
        <v/>
      </c>
      <c r="L166" s="270" t="str">
        <f t="shared" si="502"/>
        <v/>
      </c>
      <c r="M166" s="110"/>
      <c r="N166" s="110"/>
      <c r="O166" s="110"/>
      <c r="P166" s="272" t="str">
        <f>IFERROR(IF(OR(B166="Retrofit",B166=""),"",IF('Lighting Inventory'!E166="Exterior",VLOOKUP('Lighting Inventory'!N166,'Lookup Tables'!$B$83:$F$103,5,FALSE),IF(N166="Other - Please Estimate EFLH and CFs","Contact Prog. Rep.","ft^2"))), "")</f>
        <v/>
      </c>
      <c r="Q166" s="270" t="str">
        <f>IFERROR(IF(AND(B166="New Construction",E166="Interior",$F$5="Space-by-Space"),VLOOKUP('Lighting Inventory'!N166,'Lookup Tables'!$N$6:$O$97,2,FALSE),IF(AND(B166="New Construction",E166="Exterior"),VLOOKUP(N166,'Lookup Tables'!$B$83:$F$103,2,FALSE),IF(AND(B166="New Construction",'Lighting Inventory'!E166="Interior", $F$5="Building Area"),VLOOKUP(F166,'Lookup Tables'!$A$6:$J$59,10,FALSE),""))), "")</f>
        <v/>
      </c>
      <c r="R166" s="270" t="str">
        <f>IFERROR(IF(P166="Contact Prog. Rep.", "ERROR", IF(OR(B166="",B166="Retrofit"),"",IF(N166="Automated teller machines", ('Lookup Tables'!$A$82:$E$100+('Lighting Inventory'!O166-1)*'Lookup Tables'!$A$82:$E$100)/1000, (Q166*O166)/1000))), "")</f>
        <v/>
      </c>
      <c r="S166" s="595"/>
      <c r="T166" s="105" t="str">
        <f t="shared" si="452"/>
        <v/>
      </c>
      <c r="U166" s="105" t="str">
        <f>IF(S166="","",COUNT($S$11:S166))</f>
        <v/>
      </c>
      <c r="V166" s="111"/>
      <c r="W166" s="112"/>
      <c r="X166" s="105" t="str">
        <f t="shared" si="453"/>
        <v/>
      </c>
      <c r="Y166" s="105" t="str">
        <f t="array" ref="Y166">IF(AND(OR(W166="Freezer Case Lighting", W166="Refrigerated Case Lighting with Doors"), 'General Information'!$X$18="LCI"),'Lookup Tables'!$Y$34, IF(V166="Custom", VLOOKUP(W166, 'Fixture Identities'!$A$974:$M$1023, 13, FALSE), IF(V166="No Change",'Lookup Tables'!$Y$29,IF(OR(V166="",W166=""),"",IF(AND(S166=0,S166&lt;I166,B166="Retrofit"),'Lookup Tables'!$Y$25, IF(B166="Retrofit", INDEX('Lookup Tables'!$AH$6:$AP$102, MATCH(1, ('Lookup Tables'!$AH$6:$AH$102=V166)*('Lookup Tables'!$AI$6:$AI$102=W166), 0), IF('Lighting Inventory'!E166="Interior", 4, 5)), INDEX('Lookup Tables'!$AH$114:$AP$154, MATCH(1, ('Lookup Tables'!$AH$114:$AH$154=V166)*('Lookup Tables'!$AI$114:$AI$154=W166), 0), IF('Lighting Inventory'!E166="Interior", 4, 5))))))))</f>
        <v/>
      </c>
      <c r="Z166" s="105" t="str">
        <f>IFERROR(INDEX('Lookup Tables'!$AH$158:$AH$172,MATCH('Lighting Inventory'!Y166,'Lookup Tables'!$AI$158:$AI$172,0)),"")</f>
        <v/>
      </c>
      <c r="AA166" s="105" t="str">
        <f>IF(AP166&gt;0,INDEX('Lookup Tables'!$AK$158:$AK$172,MATCH('Lighting Inventory'!Y166,'Lookup Tables'!$AI$158:$AI$172,0)),'Lighting Inventory'!Y166)</f>
        <v/>
      </c>
      <c r="AB166" s="105" t="str">
        <f t="array" ref="AB166">IF(V166="Custom", "Custom", IF(V166="", "", IF(V166="Not DLC or Energy Star", "General", IF(B166="New Construction", INDEX('Lookup Tables'!$AH$114:$AP$154,MATCH(1,('Lookup Tables'!$AH$114:$AH$154='Lighting Inventory'!V166)*('Lookup Tables'!$AI$114:$AI$154='Lighting Inventory'!W166),FALSE),8), INDEX('Lookup Tables'!$AH$6:$AP$102,MATCH(1,('Lookup Tables'!$AH$6:$AH$102='Lighting Inventory'!V166)*('Lookup Tables'!$AI$6:$AI$102='Lighting Inventory'!W166),FALSE),8)))))</f>
        <v/>
      </c>
      <c r="AC166" s="272" t="str">
        <f>IF(W166="","",IF(V166="Custom",CONCATENATE("$",'Lookup Tables'!$AM$101," ",'Lookup Tables'!$AN$101),CONCATENATE("$",INDEX('Lookup Tables'!$AM$6:$AM$102,MATCH('Lighting Inventory'!W166,'Lookup Tables'!$AI$6:$AI$102,0))," ",INDEX('Lookup Tables'!$AN$6:$AN$102,MATCH('Lighting Inventory'!W166,'Lookup Tables'!$AI$6:$AI$102,0)))))</f>
        <v/>
      </c>
      <c r="AD166" s="72"/>
      <c r="AE166" s="29"/>
      <c r="AF166" s="379"/>
      <c r="AG166" s="370" t="str">
        <f t="shared" si="401"/>
        <v/>
      </c>
      <c r="AH166" s="370" t="str">
        <f t="shared" si="454"/>
        <v/>
      </c>
      <c r="AI166" s="29"/>
      <c r="AJ166" s="29"/>
      <c r="AK166" s="110"/>
      <c r="AL166" s="375" t="str">
        <f>IF(OR(B166="", V166="", W166=""), "", IF(V166="No Change", K166, IF(V166="Remove Fixture", 0, IF(V166="Custom",VLOOKUP(W166,'Fixture Identities'!$A$6:$K$1023,10,FALSE),IF(AE166="", "← ENTER POST WATTS", 'Lighting Inventory'!AE166)))))</f>
        <v/>
      </c>
      <c r="AM166" s="376" t="str">
        <f t="shared" si="402"/>
        <v/>
      </c>
      <c r="AN166" s="29"/>
      <c r="AO166" s="671"/>
      <c r="AP166" s="29"/>
      <c r="AQ166" s="29"/>
      <c r="AR166" s="29"/>
      <c r="AS166" s="272" t="str">
        <f t="shared" si="455"/>
        <v/>
      </c>
      <c r="AT166" s="270" t="str">
        <f t="shared" si="403"/>
        <v/>
      </c>
      <c r="AU166" s="88" t="str">
        <f t="shared" si="503"/>
        <v/>
      </c>
      <c r="AV166" s="29"/>
      <c r="AW166" s="73"/>
      <c r="AX166" s="271" t="str">
        <f>IF(AND(AV166="Applicant",OR(AW166="", AW166="Use Default Facility Hours")),"← Choose Schedule",IF(F166="","",IF(W166="LED Exit Signs",8760,IF(OR(AV166="Prescribed",AV166=""),VLOOKUP(F166,'Lookup Tables'!$A$6:$G$59,IF(AB166="General", 6, 3),FALSE),VLOOKUP(AW166,'Lookup Tables'!$S$36:$U$43,2,FALSE)))))</f>
        <v/>
      </c>
      <c r="AY166" s="88" t="str">
        <f t="shared" si="404"/>
        <v/>
      </c>
      <c r="AZ166" s="270" t="str">
        <f>IFERROR(IF(F166="", "", IF(W166="LED Exit Signs", 1, IF(AV166="Applicant",VLOOKUP(AW166, 'Lookup Tables'!$S$36:$U$43,3, FALSE), VLOOKUP('Lighting Inventory'!F166, 'Lookup Tables'!$A$6:$H$59, IF('Lighting Inventory'!AB166="General",7,4), FALSE)))), "")</f>
        <v/>
      </c>
      <c r="BA166" s="522" t="str">
        <f>IFERROR(IF(F166="", "", IF(W166="LED Exit Signs", 1, VLOOKUP('Lighting Inventory'!F166, 'Lookup Tables'!$A$6:$H$59, IF('Lighting Inventory'!AB166="General",8,5), FALSE))), "")</f>
        <v/>
      </c>
      <c r="BB166" s="270" t="str">
        <f>IF(G166="", "", IF(E166="Exterior", 0, IF('Lighting Inventory'!G166="Air Conditioned", VLOOKUP(H166, 'Lookup Tables'!$R$6:$T$13, 2, FALSE), VLOOKUP('Lighting Inventory'!G166, 'Lookup Tables'!$R$6:$T$13, 2, FALSE))))</f>
        <v/>
      </c>
      <c r="BC166" s="522" t="str">
        <f>IF(G166="", "", IF(E166="Exterior", 0, IF('Lighting Inventory'!G166="Air Conditioned", VLOOKUP(H166, 'Lookup Tables'!$R$6:$T$13, 3, FALSE), VLOOKUP('Lighting Inventory'!G166, 'Lookup Tables'!$R$6:$T$13, 3, FALSE))))</f>
        <v/>
      </c>
      <c r="BD166" s="270" t="str">
        <f>IF(G166="", "", IF(E166="Exterior", 0, IF('Lighting Inventory'!G166="Air Conditioned", VLOOKUP(H166, 'Lookup Tables'!$R$6:$U$13, 4, FALSE), VLOOKUP('Lighting Inventory'!G166, 'Lookup Tables'!$R$6:$U$13, 4, FALSE))))</f>
        <v/>
      </c>
      <c r="BE166" s="270" t="str">
        <f>IFERROR(IF(B166="", "",  IF(B166="New Construction", VLOOKUP(F166, 'Lookup Tables'!$A$6:$K$59, 11, FALSE),IF(OR(AN166="", AN166="Light Switch"), 0, IF(OR(M166="",M166="None",V166= "LED Exit Signs"),0,_xlfn.XLOOKUP(M166,'Lookup Tables'!$R$91:$R$101,'Lookup Tables'!$V$91:$V$101))))), "")</f>
        <v/>
      </c>
      <c r="BF166" s="270" t="str">
        <f>IF(AND(OR(AN166="Light Switch",AN166=""),B166="New Construction"), VLOOKUP(F166, 'Lookup Tables'!$A$6:$K$59, 11, FALSE),IF(AN166="","",IF(B166="","",IF(OR(AN166="None",AN166="",V166="LED Exit Signs",AN166="Exterior Controls Not Eligible"),0,_xlfn.XLOOKUP(AN166,'Lookup Tables'!$R$91:$R$101,'Lookup Tables'!$V$91:$V$101)))))</f>
        <v/>
      </c>
      <c r="BG166" s="88" t="str">
        <f t="shared" si="456"/>
        <v/>
      </c>
      <c r="BH166" s="88" t="str">
        <f t="shared" si="457"/>
        <v/>
      </c>
      <c r="BI166" s="558" t="str">
        <f t="shared" si="501"/>
        <v/>
      </c>
      <c r="BJ166" s="82" t="str">
        <f t="shared" si="458"/>
        <v/>
      </c>
      <c r="BK166" s="82" t="str">
        <f t="shared" si="459"/>
        <v/>
      </c>
      <c r="BL166" s="559" t="str">
        <f t="shared" si="460"/>
        <v/>
      </c>
      <c r="BM166" s="521" t="str">
        <f t="shared" si="405"/>
        <v/>
      </c>
      <c r="BN166" s="521" t="str">
        <f t="shared" si="406"/>
        <v/>
      </c>
      <c r="BO166" s="522" t="str">
        <f t="shared" si="407"/>
        <v/>
      </c>
      <c r="BP166" s="83" t="str">
        <f t="shared" si="461"/>
        <v/>
      </c>
      <c r="BQ166" s="84" t="str">
        <f t="shared" si="462"/>
        <v/>
      </c>
      <c r="BR166" s="184" t="str">
        <f>IFERROR(IF(B166="", "", IF(OR(VLOOKUP(J166, 'Fixture Identities'!$A$6:$L$1023, 3, FALSE)="T12 Linear Fluorescent",VLOOKUP(J166, 'Fixture Identities'!$A$6:$L$1023, 3, FALSE)="T12 U-Tube Fluorescent"), "Y", "N")), "N")</f>
        <v/>
      </c>
      <c r="BS166" s="184" t="str">
        <f t="array" ref="BS166">IFERROR(IF(OR(B166="", V166="", W166=""), "", IF(V166="Custom", "N", IF(OR(W166="Freezer Case Lighting", W166="Refrigerated Case Lighting with Doors"), BT166, IF(B166="Retrofit", INDEX('Lookup Tables'!$AH$6:$AT$102,MATCH(1,('Lookup Tables'!$AH$6:$AH$102=V166)*('Lookup Tables'!$AI$6:$AI$102=W166),FALSE),IF(VLOOKUP(J166, 'Fixture Identities'!$A$6:$B$1023, 2, FALSE)="Incandescent",12, 13)), INDEX('Lookup Tables'!$AH$114:$AS$154,MATCH(1,('Lookup Tables'!$AH$114:$AH$154=V166)*('Lookup Tables'!$AI$114:$AI$154=W166),FALSE),12))))), "N")</f>
        <v/>
      </c>
      <c r="BT166" s="184" t="str">
        <f>IF(J166="", "", IF(AND(OR(W166="Freezer case Lighting", W166="Refrigerated Case Lighting with Doors"),'General Information'!$X$18="LCI"), "N", IF(OR(VLOOKUP(J166, 'Fixture Identities'!$A$6:$B$1023, 2, FALSE)="T12 EPACT/EISA Baseline", VLOOKUP(J166, 'Fixture Identities'!$A$6:$B$1023, 2, FALSE)="Linear Fluorescent", VLOOKUP(J166, 'Fixture Identities'!$A$6:$B$1023, 2, FALSE)="U-Tube Fluorescent"), "Y", "N")))</f>
        <v/>
      </c>
      <c r="BU166" s="184" t="str">
        <f>IFERROR(IF(B166="", "", IF(VLOOKUP(J166, 'Fixture Identities'!$A$6:$B$1023, 2, FALSE)="Exit Sign", "Y", "N")), "N")</f>
        <v/>
      </c>
      <c r="BV166" s="184" t="str">
        <f>IF(V166="Exit Signs", IF(VLOOKUP(J166, 'Fixture Identities'!$A$6:$B$1023, 2, FALSE)="Exit Sign", "N", "Y"), "")</f>
        <v/>
      </c>
      <c r="BW166" s="184" t="str">
        <f t="array" ref="BW166">IFERROR(IF(B166="", "", IF(B166="New Construction", "N", INDEX('Lookup Tables'!$AH$6:$AU$102, MATCH(1, ('Lookup Tables'!$AH$6:$AH$102='Lighting Inventory'!V166)*('Lookup Tables'!$AI$6:$AI$102='Lighting Inventory'!W166), 0), 14))), "N")</f>
        <v/>
      </c>
      <c r="BX166" s="598" t="str">
        <f t="shared" si="463"/>
        <v/>
      </c>
      <c r="BY166" s="598" t="str">
        <f t="shared" si="464"/>
        <v/>
      </c>
      <c r="BZ166" s="598" t="str">
        <f t="shared" si="465"/>
        <v/>
      </c>
      <c r="CA166" s="598" t="str">
        <f t="shared" si="466"/>
        <v/>
      </c>
      <c r="CB166" s="269" t="str">
        <f t="shared" si="467"/>
        <v/>
      </c>
      <c r="CC166" s="517" t="str">
        <f t="shared" si="468"/>
        <v/>
      </c>
      <c r="CD166" s="565" t="str">
        <f t="shared" si="408"/>
        <v/>
      </c>
      <c r="CE166" s="368">
        <v>0</v>
      </c>
      <c r="CF166" s="368" t="str" cm="1">
        <f t="array" ref="CF166">IFERROR(IF(V166="Custom", "$0.1 per kWh", IF(B166="New Construction", CONCATENATE("$",INDEX('Lookup Tables'!$AH$114:$AN$154,MATCH(1,('Lookup Tables'!$AH$114:$AH$154='Lighting Inventory'!V166)*('Lookup Tables'!$AI$114:$AI$154='Lighting Inventory'!W166),FALSE),6)," ",INDEX('Lookup Tables'!$AH$114:$AN$154,MATCH(1,('Lookup Tables'!$AH$114:$AH$154='Lighting Inventory'!V166)*('Lookup Tables'!$AI$114:$AI$154='Lighting Inventory'!W166),FALSE),7)), IF(AND(BU166="N", V166="Exit Signs"), "$0.025 per kWh", CONCATENATE("$",INDEX('Lookup Tables'!$AH$6:$AN$102,MATCH(1,('Lookup Tables'!$AH$6:$AH$102='Lighting Inventory'!V166)*('Lookup Tables'!$AI$6:$AI$102='Lighting Inventory'!W166),FALSE),6)," ",INDEX('Lookup Tables'!$AH$6:$AN$102,MATCH(1,('Lookup Tables'!$AH$6:$AH$102='Lighting Inventory'!V166)*('Lookup Tables'!$AI$6:$AI$102='Lighting Inventory'!W166),FALSE),7))))), "")</f>
        <v/>
      </c>
      <c r="CG166" s="366"/>
      <c r="CH166" s="248" t="str">
        <f t="shared" si="409"/>
        <v/>
      </c>
      <c r="CI166" s="248" t="str">
        <f t="shared" si="410"/>
        <v>Select_IE</v>
      </c>
      <c r="CJ166" s="248" t="str">
        <f t="shared" si="411"/>
        <v/>
      </c>
      <c r="CK166" s="248" t="str">
        <f t="shared" si="412"/>
        <v/>
      </c>
      <c r="CL166" s="248" t="str">
        <f t="shared" si="413"/>
        <v/>
      </c>
      <c r="CM166" s="248" t="str">
        <f>IFERROR(IF(B166="", "", IF(B166="New Construction", VLOOKUP(V166, 'Lookup Tables'!$AF$114:$AG$120, 2, FALSE), VLOOKUP(V166, 'Lookup Tables'!$AD$6:$AE$25, 2, FALSE))), "")</f>
        <v/>
      </c>
      <c r="CN166" s="248" t="str">
        <f t="shared" si="414"/>
        <v/>
      </c>
      <c r="CO166" s="248" t="str">
        <f t="shared" si="415"/>
        <v/>
      </c>
      <c r="CP166" s="592" t="str">
        <f t="shared" si="416"/>
        <v/>
      </c>
      <c r="CQ166" s="248" t="str">
        <f t="shared" si="469"/>
        <v/>
      </c>
      <c r="CR166" s="249"/>
      <c r="CS166" s="250" t="str">
        <f t="shared" si="417"/>
        <v/>
      </c>
      <c r="CT166" s="250" t="str">
        <f t="shared" si="470"/>
        <v/>
      </c>
      <c r="CU166" s="250" t="str">
        <f t="shared" si="471"/>
        <v/>
      </c>
      <c r="CV166" s="250" t="str">
        <f t="shared" si="472"/>
        <v/>
      </c>
      <c r="CW166" s="250" t="str">
        <f t="shared" si="473"/>
        <v/>
      </c>
      <c r="CX166" s="250" t="str">
        <f t="shared" si="418"/>
        <v/>
      </c>
      <c r="CY166" s="250" t="str">
        <f t="shared" si="419"/>
        <v/>
      </c>
      <c r="CZ166" s="250" t="str">
        <f t="shared" si="420"/>
        <v/>
      </c>
      <c r="DA166" s="250" t="str">
        <f t="shared" si="421"/>
        <v/>
      </c>
      <c r="DB166" s="250" t="str">
        <f t="shared" si="422"/>
        <v/>
      </c>
      <c r="DC166" s="250" t="str">
        <f t="shared" si="423"/>
        <v/>
      </c>
      <c r="DD166" s="250" t="str">
        <f t="shared" si="424"/>
        <v/>
      </c>
      <c r="DE166" s="250" t="str">
        <f t="shared" si="425"/>
        <v/>
      </c>
      <c r="DF166" s="250" t="str">
        <f t="shared" si="426"/>
        <v/>
      </c>
      <c r="DG166" s="250" t="str">
        <f t="shared" si="427"/>
        <v/>
      </c>
      <c r="DH166" s="250" t="str">
        <f t="shared" si="428"/>
        <v/>
      </c>
      <c r="DI166" s="250" t="str">
        <f t="shared" si="429"/>
        <v/>
      </c>
      <c r="DJ166" s="250" t="str">
        <f t="shared" si="430"/>
        <v/>
      </c>
      <c r="DK166" s="250" t="str">
        <f t="shared" si="431"/>
        <v/>
      </c>
      <c r="DL166" s="250" t="str">
        <f t="shared" si="432"/>
        <v/>
      </c>
      <c r="DM166" s="250" t="str">
        <f>IF(CD166="ERROR", "ERROR", IF(AND(OR(Y166=$DM$6, Y166='Lookup Tables'!$AD$21, Y166='Lookup Tables'!$AD$22), E166="Interior"), BJ166, ""))</f>
        <v/>
      </c>
      <c r="DN166" s="250" t="str">
        <f>IF(CD166="ERROR", "ERROR", IF(AND(OR(Y166=$DM$6, Y166='Lookup Tables'!$AD$21, Y166='Lookup Tables'!$AD$22), E166="Exterior"), BJ166, ""))</f>
        <v/>
      </c>
      <c r="DO166" s="249"/>
      <c r="DP166" s="250" t="str">
        <f t="shared" si="433"/>
        <v/>
      </c>
      <c r="DQ166" s="250" t="str">
        <f t="shared" si="474"/>
        <v/>
      </c>
      <c r="DR166" s="250" t="str">
        <f t="shared" si="475"/>
        <v/>
      </c>
      <c r="DS166" s="250" t="str">
        <f t="shared" si="476"/>
        <v/>
      </c>
      <c r="DT166" s="250" t="str">
        <f t="shared" si="477"/>
        <v/>
      </c>
      <c r="DU166" s="250" t="str">
        <f t="shared" si="434"/>
        <v/>
      </c>
      <c r="DV166" s="250" t="str">
        <f t="shared" si="435"/>
        <v/>
      </c>
      <c r="DW166" s="250" t="str">
        <f t="shared" si="436"/>
        <v/>
      </c>
      <c r="DX166" s="250" t="str">
        <f t="shared" si="437"/>
        <v/>
      </c>
      <c r="DY166" s="250" t="str">
        <f t="shared" si="438"/>
        <v/>
      </c>
      <c r="DZ166" s="250" t="str">
        <f t="shared" si="439"/>
        <v/>
      </c>
      <c r="EA166" s="250" t="str">
        <f t="shared" si="440"/>
        <v/>
      </c>
      <c r="EB166" s="250" t="str">
        <f t="shared" si="478"/>
        <v/>
      </c>
      <c r="EC166" s="250" t="str">
        <f t="shared" si="441"/>
        <v/>
      </c>
      <c r="ED166" s="250" t="str">
        <f t="shared" si="442"/>
        <v/>
      </c>
      <c r="EE166" s="250" t="str">
        <f t="shared" si="443"/>
        <v/>
      </c>
      <c r="EF166" s="250" t="str">
        <f t="shared" si="444"/>
        <v/>
      </c>
      <c r="EG166" s="250" t="str">
        <f t="shared" si="445"/>
        <v/>
      </c>
      <c r="EH166" s="250" t="str">
        <f>IF(CD166="ERROR", "ERROR", IF(AND(OR($EH$6=Y166, Y166='Lookup Tables'!$AD$21, Y166='Lookup Tables'!$AD$22),E166="Interior"), SUM(BP166:BP166), ""))</f>
        <v/>
      </c>
      <c r="EI166" s="250" t="str">
        <f>IF(CD166="ERROR", "ERROR", IF(AND(OR($EH$6=Y166, Y166='Lookup Tables'!$AD$21, Y166='Lookup Tables'!$AD$22),E166="Exterior"), SUM(BP166:BP166), ""))</f>
        <v/>
      </c>
      <c r="EJ166" s="109"/>
      <c r="EK166" s="485" t="str">
        <f t="shared" si="446"/>
        <v/>
      </c>
      <c r="EL166" s="252" t="str">
        <f t="shared" si="479"/>
        <v/>
      </c>
      <c r="EM166" s="252" t="str">
        <f t="shared" si="480"/>
        <v/>
      </c>
      <c r="EN166" s="252" t="str">
        <f t="shared" si="481"/>
        <v/>
      </c>
      <c r="EO166" s="252" t="str">
        <f t="shared" si="482"/>
        <v/>
      </c>
      <c r="EP166" s="252" t="str">
        <f t="shared" si="483"/>
        <v/>
      </c>
      <c r="EQ166" s="252" t="str">
        <f t="shared" si="484"/>
        <v/>
      </c>
      <c r="ER166" s="252" t="str">
        <f t="shared" si="485"/>
        <v/>
      </c>
      <c r="ES166" s="252" t="str">
        <f t="shared" si="486"/>
        <v/>
      </c>
      <c r="ET166" s="252" t="str">
        <f t="shared" si="487"/>
        <v/>
      </c>
      <c r="EU166" s="252" t="str">
        <f t="shared" si="488"/>
        <v/>
      </c>
      <c r="EV166" s="252" t="str">
        <f t="shared" si="489"/>
        <v/>
      </c>
      <c r="EW166" s="252" t="str">
        <f t="shared" si="490"/>
        <v/>
      </c>
      <c r="EX166" s="252" t="str">
        <f t="shared" si="491"/>
        <v/>
      </c>
      <c r="EY166" s="252" t="str">
        <f t="shared" si="492"/>
        <v/>
      </c>
      <c r="EZ166" s="252" t="str">
        <f t="shared" si="493"/>
        <v/>
      </c>
      <c r="FA166" s="252" t="str">
        <f t="shared" si="494"/>
        <v/>
      </c>
      <c r="FB166" s="252" t="str">
        <f t="shared" si="495"/>
        <v/>
      </c>
      <c r="FC166" s="252" t="str">
        <f>IF(CD166="ERROR", "ERROR", IF(OR(V166="No Change", V166="Not DLC or Energy Star"), "", IF(AND(OR($FC$6=Y166,Y166='Lookup Tables'!$AD$21, Y166='Lookup Tables'!$AD$22),E166="Interior"), S166, "")))</f>
        <v/>
      </c>
      <c r="FD166" s="252" t="str">
        <f t="shared" si="496"/>
        <v/>
      </c>
      <c r="FE166" s="1"/>
      <c r="FF166" s="579" t="str" cm="1">
        <f t="array" ref="FF166">IFERROR(IF(OR(BQ166&lt;=0,AQ166&lt;20,AND(V166="Exit Signs",AN166&gt;0)),"",IF(AND(AQ166&gt;=20,AN166='Lookup Tables'!$R$101),'Lookup Tables'!$U$101*BQ166,AP166*LOOKUP(2,1/((AN166='Lookup Tables'!$R$91:$R$111)*(AQ166&gt;='Lookup Tables'!$S$91:$S$111)*(AQ166&lt;='Lookup Tables'!$T$91:$T$111)),'Lookup Tables'!$U$91:$U$111))),"")</f>
        <v/>
      </c>
      <c r="FG166" s="579"/>
      <c r="FH166" s="579"/>
      <c r="FI166" s="253" t="str">
        <f>IFERROR(ROUND(IF(CD166="ERROR", "ERROR", IF(AND($FI$7=X166,E166="Interior"),VLOOKUP(W166, 'Lookup Tables'!$AI$6:$AM$102, 5, FALSE)*BP166, "")), 2), "")</f>
        <v/>
      </c>
      <c r="FJ166" s="253" t="str">
        <f>IFERROR(ROUND(IF(CD166="ERROR", "ERROR", IF(AND($FI$7=X166,E166="Exterior"),VLOOKUP(W166, 'Lookup Tables'!$AI$6:$AM$102, 5, FALSE)*BP166, "")), 2), "")</f>
        <v/>
      </c>
      <c r="FK166" s="253" t="str">
        <f>IFERROR(ROUND(IF(CD166="ERROR", "ERROR", IF(AND($FK$7=X166,E166="Interior"),VLOOKUP(W166, 'Lookup Tables'!$AI$6:$AM$102, 5, FALSE)*BP166, "")), 2), "")</f>
        <v/>
      </c>
      <c r="FL166" s="253" t="str">
        <f>IFERROR(ROUND(IF(CD166="ERROR", "ERROR", IF(AND($FK$7=X166,E166="Exterior"),VLOOKUP(W166, 'Lookup Tables'!$AI$6:$AM$102, 5, FALSE)*BP166, "")), 2), "")</f>
        <v/>
      </c>
      <c r="FM166" s="253" t="str">
        <f>IFERROR(ROUND(IF(CD166="ERROR", "ERROR", IF(AND($FM$6=Y166,E166="Interior"), IF(GB166=0, VLOOKUP(W166, 'Lookup Tables'!$AI$6:$AM$102, 5, FALSE)*BP166, IF(VLOOKUP(W166, 'Lookup Tables'!$AI$6:$AM$102, 5, FALSE)*BP166&gt;GB166*'Lighting Inventory'!S166, GB166*'Lighting Inventory'!S166,VLOOKUP(W166, 'Lookup Tables'!$AI$6:$AM$102, 5, FALSE)*BP166)), "")), 2), "")</f>
        <v/>
      </c>
      <c r="FN166" s="253" t="str">
        <f>IFERROR(ROUND(IF(CD166="ERROR", "ERROR", IF(AND($FM$6=Y166,E166="Exterior"), IF(GB166=0, VLOOKUP(W166, 'Lookup Tables'!$AI$6:$AM$102, 5, FALSE)*BP166, IF(VLOOKUP(W166, 'Lookup Tables'!$AI$6:$AM$102, 5, FALSE)*BP166&gt;GB166*'Lighting Inventory'!S166, GB166*'Lighting Inventory'!S166,VLOOKUP(W166, 'Lookup Tables'!$AI$6:$AM$102, 5, FALSE)*BP166)), "")), 2), "")</f>
        <v/>
      </c>
      <c r="FO166" s="253" t="str">
        <f>IFERROR(ROUND(IF(CD166="ERROR", "ERROR", IF(AND($FO$6=Y166,E166="Interior"),VLOOKUP(W166, 'Lookup Tables'!$AI$6:$AM$102, 5, FALSE)*'Lighting Inventory'!AI166, "")), 2), "")</f>
        <v/>
      </c>
      <c r="FP166" s="253" t="str">
        <f>IFERROR(ROUND(IF(CD166="ERROR", "ERROR", IF(AND($FO$6=Y166,E166="Exterior"),VLOOKUP(W166, 'Lookup Tables'!$AI$6:$AM$102, 5, FALSE)*'Lighting Inventory'!AI166, "")), 2), "")</f>
        <v/>
      </c>
      <c r="FQ166" s="253" t="str">
        <f>IFERROR(ROUND(IF(CD166="ERROR", "ERROR", IF(AND($FQ$6=Y166,E166="Interior", BU166="Y"), VLOOKUP('Lighting Inventory'!W166, 'Lookup Tables'!$AI$6:$AM$102, 5, FALSE)*'Lighting Inventory'!S166, IF(AND($FQ$7=Y166,E166="Interior", BU166="N"), 0.025*CD166, ""))), 2), "")</f>
        <v/>
      </c>
      <c r="FR166" s="253" t="str">
        <f>IFERROR(ROUND(IF(CD166="ERROR", "ERROR", IF(AND($FQ$6=Y166,E166="Exterior"), VLOOKUP('Lighting Inventory'!W166, 'Lookup Tables'!$AI$6:$AM$102, 5, FALSE)*'Lighting Inventory'!S166, "")), 2), "")</f>
        <v/>
      </c>
      <c r="FS166" s="253" t="str">
        <f>IFERROR(ROUND(IF(CD166="ERROR", "ERROR", IF(AND($FS$6=Y166,E166="Exterior"), IF(GB166=0, VLOOKUP(W166, 'Lookup Tables'!$AI$6:$AM$102, 5, FALSE)*BP166, IF(VLOOKUP(W166, 'Lookup Tables'!$AI$6:$AM$102, 5, FALSE)*BP166&gt;GB166*'Lighting Inventory'!S166, GB166*'Lighting Inventory'!S166,VLOOKUP(W166, 'Lookup Tables'!$AI$6:$AM$102, 5, FALSE)*BP166)), "")), 2), "")</f>
        <v/>
      </c>
      <c r="FT166" s="253" t="str">
        <f>IFERROR(ROUND(IF(CD166="ERROR", "ERROR", IF(AND($FT$6=Y166,E166="Interior"), IF(GB166=0, VLOOKUP(W166, 'Lookup Tables'!$AI$6:$AM$102, 5, FALSE)*BP166, IF(VLOOKUP(W166, 'Lookup Tables'!$AI$6:$AM$102, 5, FALSE)*BP166&gt;GB166*'Lighting Inventory'!S166, GB166*'Lighting Inventory'!S166,VLOOKUP(W166, 'Lookup Tables'!$AI$6:$AM$102, 5, FALSE)*BP166)), "")), 2), "")</f>
        <v/>
      </c>
      <c r="FU166" s="253" t="str">
        <f>IFERROR(ROUND(IF(CD166="ERROR", "ERROR", IF(AND(Y166=$FU$6, E166="Interior"), IF(BS166="N", 'Lookup Tables'!$AM$101*BP166, VLOOKUP(W166, 'Lookup Tables'!$AI$6:$AM$102, 5, FALSE)*S166*AD166), "")), 2), "")</f>
        <v/>
      </c>
      <c r="FV166" s="253" t="str">
        <f>IFERROR(ROUND(IF(CD166="ERROR", "ERROR", IF(AND(Y166=$FU$6, E166="Exterior"), IF(BS166="N", 'Lookup Tables'!$AM$101*BP166, VLOOKUP(W166, 'Lookup Tables'!$AI$6:$AM$102, 5, FALSE)*S166*AD166), "")), 2), "")</f>
        <v/>
      </c>
      <c r="FW166" s="253" t="str">
        <f>IFERROR(ROUND(IF(CD166="ERROR", "ERROR", IF($FW$6=Y166, IF(BS166="N", 'Lookup Tables'!$AM$101*BP166, MIN((VLOOKUP(W166, 'Lookup Tables'!$AI$6:$AM$102, 5, FALSE)*BP166),GB166*AJ166)), "")), 2), "")</f>
        <v/>
      </c>
      <c r="FX166" s="253" t="str">
        <f>IFERROR(ROUND(IF(CD166="ERROR", "ERROR", IF(AND($FX$6=Y166, E166="Interior"), IF(VLOOKUP(W166, 'Lookup Tables'!$AI$6:$AM$102, 5, FALSE)*BP166&gt;'Lookup Tables'!$AQ$97*'Lighting Inventory'!S166,'Lighting Inventory'!S166*'Lookup Tables'!$AQ$97,VLOOKUP(W166, 'Lookup Tables'!$AI$6:$AM$102, 5, FALSE)*BP166), "")), 2), "")</f>
        <v/>
      </c>
      <c r="FY166" s="253" t="str">
        <f>IFERROR(ROUND(IF(CD166="ERROR", "ERROR", IF(AND($FX$6=Y166, E166="Exterior"), IF(VLOOKUP(W166, 'Lookup Tables'!$AI$6:$AM$102, 5, FALSE)*BP166&gt;'Lookup Tables'!$AQ$97*'Lighting Inventory'!S166,'Lighting Inventory'!S166*'Lookup Tables'!$AQ$97,VLOOKUP(W166, 'Lookup Tables'!$AI$6:$AM$102, 5, FALSE)*BP166), "")), 2), "")</f>
        <v/>
      </c>
      <c r="FZ166" s="253" t="str">
        <f>IFERROR(ROUND(IF(CD166="ERROR", "ERROR", IF(AND($FZ$6=Y166, E166="Interior"), IF(AND(OR(W166="Refrigerated Case Lighting with Doors", W166="Freezer Case Lighting"),Y166="Custom - Process Improvement"),CD166*'Lookup Tables'!$AM$101, IF(B166="Retrofit", IF(VLOOKUP(IF(V166="Custom", V166, W166), 'Lookup Tables'!$AI$6:$AM$102, 5, FALSE)*BP166&gt;GE166, GE166, VLOOKUP(IF(V166="Custom", V166, W166), 'Lookup Tables'!$AI$6:$AM$102, 5, FALSE)*BP166), IF(VLOOKUP(IF(V166="Custom", V166, W166), 'Lookup Tables'!$AI$114:$AM$154, 5, FALSE)*BP166&gt;GE166, GE166, VLOOKUP(IF(V166="Custom", V166, W166), 'Lookup Tables'!$AI$114:$AM$154, 5, FALSE)*BP166))), "")), 2),"")</f>
        <v/>
      </c>
      <c r="GA166" s="253" t="str">
        <f>IFERROR(ROUND(IF(CD166="ERROR", "ERROR", IF(AND($FZ$6=Y166, E166="Exterior"), IF(B166="Retrofit", IF(VLOOKUP(IF(V166="Custom", V166, W166), 'Lookup Tables'!$AI$6:$AM$102, 5, FALSE)*BP166&gt;GE166, GE166, VLOOKUP(IF(V166="Custom", V166, W166), 'Lookup Tables'!$AI$6:$AM$102, 5, FALSE)*BP166), IF(VLOOKUP(IF(V166="Custom", V166, W166), 'Lookup Tables'!$AI$114:$AM$154, 5, FALSE)*BP166&gt;GE166, GE166, VLOOKUP(IF(V166="Custom", V166, W166), 'Lookup Tables'!$AI$114:$AM$154, 5, FALSE)*BP166)), "")), 2),"")</f>
        <v/>
      </c>
      <c r="GB166" s="254" t="str">
        <f t="array" ref="GB166">IF(B166="","",IF(OR(V166="Custom",V166="No Change"),0,IF(B166="Retrofit", INDEX('Lookup Tables'!$AH$6:$AQ$102,MATCH(1,('Lookup Tables'!$AH$6:$AH$102='Lighting Inventory'!V166)*('Lookup Tables'!$AI$6:$AI$102='Lighting Inventory'!W166),FALSE),10),INDEX('Lookup Tables'!$AH$114:$AQ$154,MATCH(1,('Lookup Tables'!$AH$114:$AH$154='Lighting Inventory'!V166)*('Lookup Tables'!$AI$114:$AI$154='Lighting Inventory'!W166),FALSE),10))))</f>
        <v/>
      </c>
      <c r="GC166" s="255" t="str">
        <f t="shared" si="447"/>
        <v/>
      </c>
      <c r="GD166" s="250" t="str">
        <f t="shared" si="448"/>
        <v/>
      </c>
      <c r="GE166" s="253" t="str">
        <f>IFERROR(IF(AND(AF166="", 'General Information'!$F$18="No"),"", IF(AF166="", ((GD166/$CD$266)*$CF$266)*0.5, AF166*S166*0.5)), "")</f>
        <v/>
      </c>
      <c r="GF166" s="255" t="str">
        <f>IF(AND('General Information'!$F$19="", 'General Information'!$F$18="Yes",AF166="",BW166="Y"), "Y", "N")</f>
        <v>N</v>
      </c>
      <c r="GG166" s="255" t="s">
        <v>2946</v>
      </c>
      <c r="GH166" s="255" t="str">
        <f>IFERROR(IF(B166="", "", VLOOKUP(J166, 'Fixture Identities'!$A$6:$N$908, 14, FALSE)), "")</f>
        <v/>
      </c>
      <c r="GI166" s="389" t="str">
        <f>IF(OR(B166="", V166="", W166=""), "", IF(AND(OR(M166='Lookup Tables'!$R$18, M166='Lookup Tables'!$R$19, M166='Lookup Tables'!$R$20, M166='Lookup Tables'!$R$21, M166='Lookup Tables'!$R$22), OR(AN166='Lookup Tables'!$R$17, AN166='Lookup Tables'!$R$17, AN166="")), "Y", "N"))</f>
        <v/>
      </c>
      <c r="GJ166" s="255" t="str">
        <f t="shared" si="449"/>
        <v/>
      </c>
      <c r="GK166" s="255" t="str">
        <f t="shared" si="450"/>
        <v/>
      </c>
      <c r="GL166" s="255" t="str">
        <f t="shared" si="451"/>
        <v/>
      </c>
      <c r="GM166" s="255" t="str">
        <f>IF(AN166="", "", IF(AND(IF(ISNA(VLOOKUP(AN166,'Lookup Tables'!$R$18:$R$22,1,FALSE)), "N", "Y")="Y", E166="Exterior"), "Y", "N"))</f>
        <v/>
      </c>
      <c r="GN166" s="395"/>
      <c r="GO166" s="428">
        <f t="shared" si="497"/>
        <v>0</v>
      </c>
      <c r="GP166" s="428">
        <f t="shared" si="500"/>
        <v>0</v>
      </c>
      <c r="GQ166" s="428">
        <f t="shared" si="498"/>
        <v>0</v>
      </c>
      <c r="GR166" s="428">
        <f t="shared" si="499"/>
        <v>0</v>
      </c>
    </row>
    <row r="167" spans="1:200" s="103" customFormat="1" ht="13.5" customHeight="1" x14ac:dyDescent="0.2">
      <c r="A167" s="272">
        <v>157</v>
      </c>
      <c r="B167" s="110"/>
      <c r="C167" s="110"/>
      <c r="D167" s="110"/>
      <c r="E167" s="110"/>
      <c r="F167" s="110"/>
      <c r="G167" s="110"/>
      <c r="H167" s="110"/>
      <c r="I167" s="29"/>
      <c r="J167" s="29"/>
      <c r="K167" s="272" t="str">
        <f>IFERROR(IF(OR(VLOOKUP(J167, 'Fixture Identities'!$A$6:$L$1023, 3, FALSE)="T12 Linear Fluorescent", VLOOKUP(J167, 'Fixture Identities'!$A$6:$L$1023, 3, FALSE)="T12 U-Tube Fluorescent"), VLOOKUP(VLOOKUP(J167, 'Fixture Identities'!$A$6:$L$1023, 11, FALSE), 'Fixture Identities'!$A$6:$L$1023, 10, FALSE), VLOOKUP(J167, 'Fixture Identities'!$A$6:$L$1023, 10, FALSE)), "")</f>
        <v/>
      </c>
      <c r="L167" s="270" t="str">
        <f t="shared" si="502"/>
        <v/>
      </c>
      <c r="M167" s="110"/>
      <c r="N167" s="110"/>
      <c r="O167" s="110"/>
      <c r="P167" s="272" t="str">
        <f>IFERROR(IF(OR(B167="Retrofit",B167=""),"",IF('Lighting Inventory'!E167="Exterior",VLOOKUP('Lighting Inventory'!N167,'Lookup Tables'!$B$83:$F$103,5,FALSE),IF(N167="Other - Please Estimate EFLH and CFs","Contact Prog. Rep.","ft^2"))), "")</f>
        <v/>
      </c>
      <c r="Q167" s="270" t="str">
        <f>IFERROR(IF(AND(B167="New Construction",E167="Interior",$F$5="Space-by-Space"),VLOOKUP('Lighting Inventory'!N167,'Lookup Tables'!$N$6:$O$97,2,FALSE),IF(AND(B167="New Construction",E167="Exterior"),VLOOKUP(N167,'Lookup Tables'!$B$83:$F$103,2,FALSE),IF(AND(B167="New Construction",'Lighting Inventory'!E167="Interior", $F$5="Building Area"),VLOOKUP(F167,'Lookup Tables'!$A$6:$J$59,10,FALSE),""))), "")</f>
        <v/>
      </c>
      <c r="R167" s="270" t="str">
        <f>IFERROR(IF(P167="Contact Prog. Rep.", "ERROR", IF(OR(B167="",B167="Retrofit"),"",IF(N167="Automated teller machines", ('Lookup Tables'!$A$82:$E$100+('Lighting Inventory'!O167-1)*'Lookup Tables'!$A$82:$E$100)/1000, (Q167*O167)/1000))), "")</f>
        <v/>
      </c>
      <c r="S167" s="595"/>
      <c r="T167" s="105" t="str">
        <f t="shared" si="452"/>
        <v/>
      </c>
      <c r="U167" s="105" t="str">
        <f>IF(S167="","",COUNT($S$11:S167))</f>
        <v/>
      </c>
      <c r="V167" s="111"/>
      <c r="W167" s="112"/>
      <c r="X167" s="105" t="str">
        <f t="shared" si="453"/>
        <v/>
      </c>
      <c r="Y167" s="105" t="str">
        <f t="array" ref="Y167">IF(AND(OR(W167="Freezer Case Lighting", W167="Refrigerated Case Lighting with Doors"), 'General Information'!$X$18="LCI"),'Lookup Tables'!$Y$34, IF(V167="Custom", VLOOKUP(W167, 'Fixture Identities'!$A$974:$M$1023, 13, FALSE), IF(V167="No Change",'Lookup Tables'!$Y$29,IF(OR(V167="",W167=""),"",IF(AND(S167=0,S167&lt;I167,B167="Retrofit"),'Lookup Tables'!$Y$25, IF(B167="Retrofit", INDEX('Lookup Tables'!$AH$6:$AP$102, MATCH(1, ('Lookup Tables'!$AH$6:$AH$102=V167)*('Lookup Tables'!$AI$6:$AI$102=W167), 0), IF('Lighting Inventory'!E167="Interior", 4, 5)), INDEX('Lookup Tables'!$AH$114:$AP$154, MATCH(1, ('Lookup Tables'!$AH$114:$AH$154=V167)*('Lookup Tables'!$AI$114:$AI$154=W167), 0), IF('Lighting Inventory'!E167="Interior", 4, 5))))))))</f>
        <v/>
      </c>
      <c r="Z167" s="105" t="str">
        <f>IFERROR(INDEX('Lookup Tables'!$AH$158:$AH$172,MATCH('Lighting Inventory'!Y167,'Lookup Tables'!$AI$158:$AI$172,0)),"")</f>
        <v/>
      </c>
      <c r="AA167" s="105" t="str">
        <f>IF(AP167&gt;0,INDEX('Lookup Tables'!$AK$158:$AK$172,MATCH('Lighting Inventory'!Y167,'Lookup Tables'!$AI$158:$AI$172,0)),'Lighting Inventory'!Y167)</f>
        <v/>
      </c>
      <c r="AB167" s="105" t="str">
        <f t="array" ref="AB167">IF(V167="Custom", "Custom", IF(V167="", "", IF(V167="Not DLC or Energy Star", "General", IF(B167="New Construction", INDEX('Lookup Tables'!$AH$114:$AP$154,MATCH(1,('Lookup Tables'!$AH$114:$AH$154='Lighting Inventory'!V167)*('Lookup Tables'!$AI$114:$AI$154='Lighting Inventory'!W167),FALSE),8), INDEX('Lookup Tables'!$AH$6:$AP$102,MATCH(1,('Lookup Tables'!$AH$6:$AH$102='Lighting Inventory'!V167)*('Lookup Tables'!$AI$6:$AI$102='Lighting Inventory'!W167),FALSE),8)))))</f>
        <v/>
      </c>
      <c r="AC167" s="272" t="str">
        <f>IF(W167="","",IF(V167="Custom",CONCATENATE("$",'Lookup Tables'!$AM$101," ",'Lookup Tables'!$AN$101),CONCATENATE("$",INDEX('Lookup Tables'!$AM$6:$AM$102,MATCH('Lighting Inventory'!W167,'Lookup Tables'!$AI$6:$AI$102,0))," ",INDEX('Lookup Tables'!$AN$6:$AN$102,MATCH('Lighting Inventory'!W167,'Lookup Tables'!$AI$6:$AI$102,0)))))</f>
        <v/>
      </c>
      <c r="AD167" s="72"/>
      <c r="AE167" s="29"/>
      <c r="AF167" s="379"/>
      <c r="AG167" s="370" t="str">
        <f t="shared" si="401"/>
        <v/>
      </c>
      <c r="AH167" s="370" t="str">
        <f t="shared" si="454"/>
        <v/>
      </c>
      <c r="AI167" s="29"/>
      <c r="AJ167" s="29"/>
      <c r="AK167" s="110"/>
      <c r="AL167" s="375" t="str">
        <f>IF(OR(B167="", V167="", W167=""), "", IF(V167="No Change", K167, IF(V167="Remove Fixture", 0, IF(V167="Custom",VLOOKUP(W167,'Fixture Identities'!$A$6:$K$1023,10,FALSE),IF(AE167="", "← ENTER POST WATTS", 'Lighting Inventory'!AE167)))))</f>
        <v/>
      </c>
      <c r="AM167" s="376" t="str">
        <f t="shared" si="402"/>
        <v/>
      </c>
      <c r="AN167" s="29"/>
      <c r="AO167" s="671"/>
      <c r="AP167" s="29"/>
      <c r="AQ167" s="29"/>
      <c r="AR167" s="29"/>
      <c r="AS167" s="272" t="str">
        <f t="shared" si="455"/>
        <v/>
      </c>
      <c r="AT167" s="270" t="str">
        <f t="shared" si="403"/>
        <v/>
      </c>
      <c r="AU167" s="88" t="str">
        <f t="shared" si="503"/>
        <v/>
      </c>
      <c r="AV167" s="29"/>
      <c r="AW167" s="73"/>
      <c r="AX167" s="271" t="str">
        <f>IF(AND(AV167="Applicant",OR(AW167="", AW167="Use Default Facility Hours")),"← Choose Schedule",IF(F167="","",IF(W167="LED Exit Signs",8760,IF(OR(AV167="Prescribed",AV167=""),VLOOKUP(F167,'Lookup Tables'!$A$6:$G$59,IF(AB167="General", 6, 3),FALSE),VLOOKUP(AW167,'Lookup Tables'!$S$36:$U$43,2,FALSE)))))</f>
        <v/>
      </c>
      <c r="AY167" s="88" t="str">
        <f t="shared" si="404"/>
        <v/>
      </c>
      <c r="AZ167" s="270" t="str">
        <f>IFERROR(IF(F167="", "", IF(W167="LED Exit Signs", 1, IF(AV167="Applicant",VLOOKUP(AW167, 'Lookup Tables'!$S$36:$U$43,3, FALSE), VLOOKUP('Lighting Inventory'!F167, 'Lookup Tables'!$A$6:$H$59, IF('Lighting Inventory'!AB167="General",7,4), FALSE)))), "")</f>
        <v/>
      </c>
      <c r="BA167" s="522" t="str">
        <f>IFERROR(IF(F167="", "", IF(W167="LED Exit Signs", 1, VLOOKUP('Lighting Inventory'!F167, 'Lookup Tables'!$A$6:$H$59, IF('Lighting Inventory'!AB167="General",8,5), FALSE))), "")</f>
        <v/>
      </c>
      <c r="BB167" s="270" t="str">
        <f>IF(G167="", "", IF(E167="Exterior", 0, IF('Lighting Inventory'!G167="Air Conditioned", VLOOKUP(H167, 'Lookup Tables'!$R$6:$T$13, 2, FALSE), VLOOKUP('Lighting Inventory'!G167, 'Lookup Tables'!$R$6:$T$13, 2, FALSE))))</f>
        <v/>
      </c>
      <c r="BC167" s="522" t="str">
        <f>IF(G167="", "", IF(E167="Exterior", 0, IF('Lighting Inventory'!G167="Air Conditioned", VLOOKUP(H167, 'Lookup Tables'!$R$6:$T$13, 3, FALSE), VLOOKUP('Lighting Inventory'!G167, 'Lookup Tables'!$R$6:$T$13, 3, FALSE))))</f>
        <v/>
      </c>
      <c r="BD167" s="270" t="str">
        <f>IF(G167="", "", IF(E167="Exterior", 0, IF('Lighting Inventory'!G167="Air Conditioned", VLOOKUP(H167, 'Lookup Tables'!$R$6:$U$13, 4, FALSE), VLOOKUP('Lighting Inventory'!G167, 'Lookup Tables'!$R$6:$U$13, 4, FALSE))))</f>
        <v/>
      </c>
      <c r="BE167" s="270" t="str">
        <f>IFERROR(IF(B167="", "",  IF(B167="New Construction", VLOOKUP(F167, 'Lookup Tables'!$A$6:$K$59, 11, FALSE),IF(OR(AN167="", AN167="Light Switch"), 0, IF(OR(M167="",M167="None",V167= "LED Exit Signs"),0,_xlfn.XLOOKUP(M167,'Lookup Tables'!$R$91:$R$101,'Lookup Tables'!$V$91:$V$101))))), "")</f>
        <v/>
      </c>
      <c r="BF167" s="270" t="str">
        <f>IF(AND(OR(AN167="Light Switch",AN167=""),B167="New Construction"), VLOOKUP(F167, 'Lookup Tables'!$A$6:$K$59, 11, FALSE),IF(AN167="","",IF(B167="","",IF(OR(AN167="None",AN167="",V167="LED Exit Signs",AN167="Exterior Controls Not Eligible"),0,_xlfn.XLOOKUP(AN167,'Lookup Tables'!$R$91:$R$101,'Lookup Tables'!$V$91:$V$101)))))</f>
        <v/>
      </c>
      <c r="BG167" s="88" t="str">
        <f t="shared" si="456"/>
        <v/>
      </c>
      <c r="BH167" s="88" t="str">
        <f t="shared" si="457"/>
        <v/>
      </c>
      <c r="BI167" s="558" t="str">
        <f t="shared" si="501"/>
        <v/>
      </c>
      <c r="BJ167" s="82" t="str">
        <f t="shared" si="458"/>
        <v/>
      </c>
      <c r="BK167" s="82" t="str">
        <f t="shared" si="459"/>
        <v/>
      </c>
      <c r="BL167" s="559" t="str">
        <f t="shared" si="460"/>
        <v/>
      </c>
      <c r="BM167" s="521" t="str">
        <f t="shared" si="405"/>
        <v/>
      </c>
      <c r="BN167" s="521" t="str">
        <f t="shared" si="406"/>
        <v/>
      </c>
      <c r="BO167" s="522" t="str">
        <f t="shared" si="407"/>
        <v/>
      </c>
      <c r="BP167" s="83" t="str">
        <f t="shared" si="461"/>
        <v/>
      </c>
      <c r="BQ167" s="84" t="str">
        <f t="shared" si="462"/>
        <v/>
      </c>
      <c r="BR167" s="184" t="str">
        <f>IFERROR(IF(B167="", "", IF(OR(VLOOKUP(J167, 'Fixture Identities'!$A$6:$L$1023, 3, FALSE)="T12 Linear Fluorescent",VLOOKUP(J167, 'Fixture Identities'!$A$6:$L$1023, 3, FALSE)="T12 U-Tube Fluorescent"), "Y", "N")), "N")</f>
        <v/>
      </c>
      <c r="BS167" s="184" t="str">
        <f t="array" ref="BS167">IFERROR(IF(OR(B167="", V167="", W167=""), "", IF(V167="Custom", "N", IF(OR(W167="Freezer Case Lighting", W167="Refrigerated Case Lighting with Doors"), BT167, IF(B167="Retrofit", INDEX('Lookup Tables'!$AH$6:$AT$102,MATCH(1,('Lookup Tables'!$AH$6:$AH$102=V167)*('Lookup Tables'!$AI$6:$AI$102=W167),FALSE),IF(VLOOKUP(J167, 'Fixture Identities'!$A$6:$B$1023, 2, FALSE)="Incandescent",12, 13)), INDEX('Lookup Tables'!$AH$114:$AS$154,MATCH(1,('Lookup Tables'!$AH$114:$AH$154=V167)*('Lookup Tables'!$AI$114:$AI$154=W167),FALSE),12))))), "N")</f>
        <v/>
      </c>
      <c r="BT167" s="184" t="str">
        <f>IF(J167="", "", IF(AND(OR(W167="Freezer case Lighting", W167="Refrigerated Case Lighting with Doors"),'General Information'!$X$18="LCI"), "N", IF(OR(VLOOKUP(J167, 'Fixture Identities'!$A$6:$B$1023, 2, FALSE)="T12 EPACT/EISA Baseline", VLOOKUP(J167, 'Fixture Identities'!$A$6:$B$1023, 2, FALSE)="Linear Fluorescent", VLOOKUP(J167, 'Fixture Identities'!$A$6:$B$1023, 2, FALSE)="U-Tube Fluorescent"), "Y", "N")))</f>
        <v/>
      </c>
      <c r="BU167" s="184" t="str">
        <f>IFERROR(IF(B167="", "", IF(VLOOKUP(J167, 'Fixture Identities'!$A$6:$B$1023, 2, FALSE)="Exit Sign", "Y", "N")), "N")</f>
        <v/>
      </c>
      <c r="BV167" s="184" t="str">
        <f>IF(V167="Exit Signs", IF(VLOOKUP(J167, 'Fixture Identities'!$A$6:$B$1023, 2, FALSE)="Exit Sign", "N", "Y"), "")</f>
        <v/>
      </c>
      <c r="BW167" s="184" t="str">
        <f t="array" ref="BW167">IFERROR(IF(B167="", "", IF(B167="New Construction", "N", INDEX('Lookup Tables'!$AH$6:$AU$102, MATCH(1, ('Lookup Tables'!$AH$6:$AH$102='Lighting Inventory'!V167)*('Lookup Tables'!$AI$6:$AI$102='Lighting Inventory'!W167), 0), 14))), "N")</f>
        <v/>
      </c>
      <c r="BX167" s="598" t="str">
        <f t="shared" si="463"/>
        <v/>
      </c>
      <c r="BY167" s="598" t="str">
        <f t="shared" si="464"/>
        <v/>
      </c>
      <c r="BZ167" s="598" t="str">
        <f t="shared" si="465"/>
        <v/>
      </c>
      <c r="CA167" s="598" t="str">
        <f t="shared" si="466"/>
        <v/>
      </c>
      <c r="CB167" s="269" t="str">
        <f t="shared" si="467"/>
        <v/>
      </c>
      <c r="CC167" s="517" t="str">
        <f t="shared" si="468"/>
        <v/>
      </c>
      <c r="CD167" s="565" t="str">
        <f t="shared" si="408"/>
        <v/>
      </c>
      <c r="CE167" s="368">
        <v>0</v>
      </c>
      <c r="CF167" s="368" t="str" cm="1">
        <f t="array" ref="CF167">IFERROR(IF(V167="Custom", "$0.1 per kWh", IF(B167="New Construction", CONCATENATE("$",INDEX('Lookup Tables'!$AH$114:$AN$154,MATCH(1,('Lookup Tables'!$AH$114:$AH$154='Lighting Inventory'!V167)*('Lookup Tables'!$AI$114:$AI$154='Lighting Inventory'!W167),FALSE),6)," ",INDEX('Lookup Tables'!$AH$114:$AN$154,MATCH(1,('Lookup Tables'!$AH$114:$AH$154='Lighting Inventory'!V167)*('Lookup Tables'!$AI$114:$AI$154='Lighting Inventory'!W167),FALSE),7)), IF(AND(BU167="N", V167="Exit Signs"), "$0.025 per kWh", CONCATENATE("$",INDEX('Lookup Tables'!$AH$6:$AN$102,MATCH(1,('Lookup Tables'!$AH$6:$AH$102='Lighting Inventory'!V167)*('Lookup Tables'!$AI$6:$AI$102='Lighting Inventory'!W167),FALSE),6)," ",INDEX('Lookup Tables'!$AH$6:$AN$102,MATCH(1,('Lookup Tables'!$AH$6:$AH$102='Lighting Inventory'!V167)*('Lookup Tables'!$AI$6:$AI$102='Lighting Inventory'!W167),FALSE),7))))), "")</f>
        <v/>
      </c>
      <c r="CG167" s="366"/>
      <c r="CH167" s="248" t="str">
        <f t="shared" si="409"/>
        <v/>
      </c>
      <c r="CI167" s="248" t="str">
        <f t="shared" si="410"/>
        <v>Select_IE</v>
      </c>
      <c r="CJ167" s="248" t="str">
        <f t="shared" si="411"/>
        <v/>
      </c>
      <c r="CK167" s="248" t="str">
        <f t="shared" si="412"/>
        <v/>
      </c>
      <c r="CL167" s="248" t="str">
        <f t="shared" si="413"/>
        <v/>
      </c>
      <c r="CM167" s="248" t="str">
        <f>IFERROR(IF(B167="", "", IF(B167="New Construction", VLOOKUP(V167, 'Lookup Tables'!$AF$114:$AG$120, 2, FALSE), VLOOKUP(V167, 'Lookup Tables'!$AD$6:$AE$25, 2, FALSE))), "")</f>
        <v/>
      </c>
      <c r="CN167" s="248" t="str">
        <f t="shared" si="414"/>
        <v/>
      </c>
      <c r="CO167" s="248" t="str">
        <f t="shared" si="415"/>
        <v/>
      </c>
      <c r="CP167" s="592" t="str">
        <f t="shared" si="416"/>
        <v/>
      </c>
      <c r="CQ167" s="248" t="str">
        <f t="shared" si="469"/>
        <v/>
      </c>
      <c r="CR167" s="100"/>
      <c r="CS167" s="250" t="str">
        <f t="shared" si="417"/>
        <v/>
      </c>
      <c r="CT167" s="250" t="str">
        <f t="shared" si="470"/>
        <v/>
      </c>
      <c r="CU167" s="250" t="str">
        <f t="shared" si="471"/>
        <v/>
      </c>
      <c r="CV167" s="250" t="str">
        <f t="shared" si="472"/>
        <v/>
      </c>
      <c r="CW167" s="250" t="str">
        <f t="shared" si="473"/>
        <v/>
      </c>
      <c r="CX167" s="250" t="str">
        <f t="shared" si="418"/>
        <v/>
      </c>
      <c r="CY167" s="250" t="str">
        <f t="shared" si="419"/>
        <v/>
      </c>
      <c r="CZ167" s="250" t="str">
        <f t="shared" si="420"/>
        <v/>
      </c>
      <c r="DA167" s="250" t="str">
        <f t="shared" si="421"/>
        <v/>
      </c>
      <c r="DB167" s="250" t="str">
        <f t="shared" si="422"/>
        <v/>
      </c>
      <c r="DC167" s="250" t="str">
        <f t="shared" si="423"/>
        <v/>
      </c>
      <c r="DD167" s="250" t="str">
        <f t="shared" si="424"/>
        <v/>
      </c>
      <c r="DE167" s="250" t="str">
        <f t="shared" si="425"/>
        <v/>
      </c>
      <c r="DF167" s="250" t="str">
        <f t="shared" si="426"/>
        <v/>
      </c>
      <c r="DG167" s="250" t="str">
        <f t="shared" si="427"/>
        <v/>
      </c>
      <c r="DH167" s="250" t="str">
        <f t="shared" si="428"/>
        <v/>
      </c>
      <c r="DI167" s="250" t="str">
        <f t="shared" si="429"/>
        <v/>
      </c>
      <c r="DJ167" s="250" t="str">
        <f t="shared" si="430"/>
        <v/>
      </c>
      <c r="DK167" s="250" t="str">
        <f t="shared" si="431"/>
        <v/>
      </c>
      <c r="DL167" s="250" t="str">
        <f t="shared" si="432"/>
        <v/>
      </c>
      <c r="DM167" s="250" t="str">
        <f>IF(CD167="ERROR", "ERROR", IF(AND(OR(Y167=$DM$6, Y167='Lookup Tables'!$AD$21, Y167='Lookup Tables'!$AD$22), E167="Interior"), BJ167, ""))</f>
        <v/>
      </c>
      <c r="DN167" s="250" t="str">
        <f>IF(CD167="ERROR", "ERROR", IF(AND(OR(Y167=$DM$6, Y167='Lookup Tables'!$AD$21, Y167='Lookup Tables'!$AD$22), E167="Exterior"), BJ167, ""))</f>
        <v/>
      </c>
      <c r="DO167" s="100"/>
      <c r="DP167" s="250" t="str">
        <f t="shared" si="433"/>
        <v/>
      </c>
      <c r="DQ167" s="250" t="str">
        <f t="shared" si="474"/>
        <v/>
      </c>
      <c r="DR167" s="250" t="str">
        <f t="shared" si="475"/>
        <v/>
      </c>
      <c r="DS167" s="250" t="str">
        <f t="shared" si="476"/>
        <v/>
      </c>
      <c r="DT167" s="250" t="str">
        <f t="shared" si="477"/>
        <v/>
      </c>
      <c r="DU167" s="250" t="str">
        <f t="shared" si="434"/>
        <v/>
      </c>
      <c r="DV167" s="250" t="str">
        <f t="shared" si="435"/>
        <v/>
      </c>
      <c r="DW167" s="250" t="str">
        <f t="shared" si="436"/>
        <v/>
      </c>
      <c r="DX167" s="250" t="str">
        <f t="shared" si="437"/>
        <v/>
      </c>
      <c r="DY167" s="250" t="str">
        <f t="shared" si="438"/>
        <v/>
      </c>
      <c r="DZ167" s="250" t="str">
        <f t="shared" si="439"/>
        <v/>
      </c>
      <c r="EA167" s="250" t="str">
        <f t="shared" si="440"/>
        <v/>
      </c>
      <c r="EB167" s="250" t="str">
        <f t="shared" si="478"/>
        <v/>
      </c>
      <c r="EC167" s="250" t="str">
        <f t="shared" si="441"/>
        <v/>
      </c>
      <c r="ED167" s="250" t="str">
        <f t="shared" si="442"/>
        <v/>
      </c>
      <c r="EE167" s="250" t="str">
        <f t="shared" si="443"/>
        <v/>
      </c>
      <c r="EF167" s="250" t="str">
        <f t="shared" si="444"/>
        <v/>
      </c>
      <c r="EG167" s="250" t="str">
        <f t="shared" si="445"/>
        <v/>
      </c>
      <c r="EH167" s="250" t="str">
        <f>IF(CD167="ERROR", "ERROR", IF(AND(OR($EH$6=Y167, Y167='Lookup Tables'!$AD$21, Y167='Lookup Tables'!$AD$22),E167="Interior"), SUM(BP167:BP167), ""))</f>
        <v/>
      </c>
      <c r="EI167" s="250" t="str">
        <f>IF(CD167="ERROR", "ERROR", IF(AND(OR($EH$6=Y167, Y167='Lookup Tables'!$AD$21, Y167='Lookup Tables'!$AD$22),E167="Exterior"), SUM(BP167:BP167), ""))</f>
        <v/>
      </c>
      <c r="EJ167" s="109"/>
      <c r="EK167" s="485" t="str">
        <f t="shared" si="446"/>
        <v/>
      </c>
      <c r="EL167" s="252" t="str">
        <f t="shared" si="479"/>
        <v/>
      </c>
      <c r="EM167" s="252" t="str">
        <f t="shared" si="480"/>
        <v/>
      </c>
      <c r="EN167" s="252" t="str">
        <f t="shared" si="481"/>
        <v/>
      </c>
      <c r="EO167" s="252" t="str">
        <f t="shared" si="482"/>
        <v/>
      </c>
      <c r="EP167" s="252" t="str">
        <f t="shared" si="483"/>
        <v/>
      </c>
      <c r="EQ167" s="252" t="str">
        <f t="shared" si="484"/>
        <v/>
      </c>
      <c r="ER167" s="252" t="str">
        <f t="shared" si="485"/>
        <v/>
      </c>
      <c r="ES167" s="252" t="str">
        <f t="shared" si="486"/>
        <v/>
      </c>
      <c r="ET167" s="252" t="str">
        <f t="shared" si="487"/>
        <v/>
      </c>
      <c r="EU167" s="252" t="str">
        <f t="shared" si="488"/>
        <v/>
      </c>
      <c r="EV167" s="252" t="str">
        <f t="shared" si="489"/>
        <v/>
      </c>
      <c r="EW167" s="252" t="str">
        <f t="shared" si="490"/>
        <v/>
      </c>
      <c r="EX167" s="252" t="str">
        <f t="shared" si="491"/>
        <v/>
      </c>
      <c r="EY167" s="252" t="str">
        <f t="shared" si="492"/>
        <v/>
      </c>
      <c r="EZ167" s="252" t="str">
        <f t="shared" si="493"/>
        <v/>
      </c>
      <c r="FA167" s="252" t="str">
        <f t="shared" si="494"/>
        <v/>
      </c>
      <c r="FB167" s="252" t="str">
        <f t="shared" si="495"/>
        <v/>
      </c>
      <c r="FC167" s="252" t="str">
        <f>IF(CD167="ERROR", "ERROR", IF(OR(V167="No Change", V167="Not DLC or Energy Star"), "", IF(AND(OR($FC$6=Y167,Y167='Lookup Tables'!$AD$21, Y167='Lookup Tables'!$AD$22),E167="Interior"), S167, "")))</f>
        <v/>
      </c>
      <c r="FD167" s="252" t="str">
        <f t="shared" si="496"/>
        <v/>
      </c>
      <c r="FE167" s="101"/>
      <c r="FF167" s="579" t="str" cm="1">
        <f t="array" ref="FF167">IFERROR(IF(OR(BQ167&lt;=0,AQ167&lt;20,AND(V167="Exit Signs",AN167&gt;0)),"",IF(AND(AQ167&gt;=20,AN167='Lookup Tables'!$R$101),'Lookup Tables'!$U$101*BQ167,AP167*LOOKUP(2,1/((AN167='Lookup Tables'!$R$91:$R$111)*(AQ167&gt;='Lookup Tables'!$S$91:$S$111)*(AQ167&lt;='Lookup Tables'!$T$91:$T$111)),'Lookup Tables'!$U$91:$U$111))),"")</f>
        <v/>
      </c>
      <c r="FG167" s="579"/>
      <c r="FH167" s="579"/>
      <c r="FI167" s="253" t="str">
        <f>IFERROR(ROUND(IF(CD167="ERROR", "ERROR", IF(AND($FI$7=X167,E167="Interior"),VLOOKUP(W167, 'Lookup Tables'!$AI$6:$AM$102, 5, FALSE)*BP167, "")), 2), "")</f>
        <v/>
      </c>
      <c r="FJ167" s="253" t="str">
        <f>IFERROR(ROUND(IF(CD167="ERROR", "ERROR", IF(AND($FI$7=X167,E167="Exterior"),VLOOKUP(W167, 'Lookup Tables'!$AI$6:$AM$102, 5, FALSE)*BP167, "")), 2), "")</f>
        <v/>
      </c>
      <c r="FK167" s="253" t="str">
        <f>IFERROR(ROUND(IF(CD167="ERROR", "ERROR", IF(AND($FK$7=X167,E167="Interior"),VLOOKUP(W167, 'Lookup Tables'!$AI$6:$AM$102, 5, FALSE)*BP167, "")), 2), "")</f>
        <v/>
      </c>
      <c r="FL167" s="253" t="str">
        <f>IFERROR(ROUND(IF(CD167="ERROR", "ERROR", IF(AND($FK$7=X167,E167="Exterior"),VLOOKUP(W167, 'Lookup Tables'!$AI$6:$AM$102, 5, FALSE)*BP167, "")), 2), "")</f>
        <v/>
      </c>
      <c r="FM167" s="253" t="str">
        <f>IFERROR(ROUND(IF(CD167="ERROR", "ERROR", IF(AND($FM$6=Y167,E167="Interior"), IF(GB167=0, VLOOKUP(W167, 'Lookup Tables'!$AI$6:$AM$102, 5, FALSE)*BP167, IF(VLOOKUP(W167, 'Lookup Tables'!$AI$6:$AM$102, 5, FALSE)*BP167&gt;GB167*'Lighting Inventory'!S167, GB167*'Lighting Inventory'!S167,VLOOKUP(W167, 'Lookup Tables'!$AI$6:$AM$102, 5, FALSE)*BP167)), "")), 2), "")</f>
        <v/>
      </c>
      <c r="FN167" s="253" t="str">
        <f>IFERROR(ROUND(IF(CD167="ERROR", "ERROR", IF(AND($FM$6=Y167,E167="Exterior"), IF(GB167=0, VLOOKUP(W167, 'Lookup Tables'!$AI$6:$AM$102, 5, FALSE)*BP167, IF(VLOOKUP(W167, 'Lookup Tables'!$AI$6:$AM$102, 5, FALSE)*BP167&gt;GB167*'Lighting Inventory'!S167, GB167*'Lighting Inventory'!S167,VLOOKUP(W167, 'Lookup Tables'!$AI$6:$AM$102, 5, FALSE)*BP167)), "")), 2), "")</f>
        <v/>
      </c>
      <c r="FO167" s="253" t="str">
        <f>IFERROR(ROUND(IF(CD167="ERROR", "ERROR", IF(AND($FO$6=Y167,E167="Interior"),VLOOKUP(W167, 'Lookup Tables'!$AI$6:$AM$102, 5, FALSE)*'Lighting Inventory'!AI167, "")), 2), "")</f>
        <v/>
      </c>
      <c r="FP167" s="253" t="str">
        <f>IFERROR(ROUND(IF(CD167="ERROR", "ERROR", IF(AND($FO$6=Y167,E167="Exterior"),VLOOKUP(W167, 'Lookup Tables'!$AI$6:$AM$102, 5, FALSE)*'Lighting Inventory'!AI167, "")), 2), "")</f>
        <v/>
      </c>
      <c r="FQ167" s="253" t="str">
        <f>IFERROR(ROUND(IF(CD167="ERROR", "ERROR", IF(AND($FQ$6=Y167,E167="Interior", BU167="Y"), VLOOKUP('Lighting Inventory'!W167, 'Lookup Tables'!$AI$6:$AM$102, 5, FALSE)*'Lighting Inventory'!S167, IF(AND($FQ$7=Y167,E167="Interior", BU167="N"), 0.025*CD167, ""))), 2), "")</f>
        <v/>
      </c>
      <c r="FR167" s="253" t="str">
        <f>IFERROR(ROUND(IF(CD167="ERROR", "ERROR", IF(AND($FQ$6=Y167,E167="Exterior"), VLOOKUP('Lighting Inventory'!W167, 'Lookup Tables'!$AI$6:$AM$102, 5, FALSE)*'Lighting Inventory'!S167, "")), 2), "")</f>
        <v/>
      </c>
      <c r="FS167" s="253" t="str">
        <f>IFERROR(ROUND(IF(CD167="ERROR", "ERROR", IF(AND($FS$6=Y167,E167="Exterior"), IF(GB167=0, VLOOKUP(W167, 'Lookup Tables'!$AI$6:$AM$102, 5, FALSE)*BP167, IF(VLOOKUP(W167, 'Lookup Tables'!$AI$6:$AM$102, 5, FALSE)*BP167&gt;GB167*'Lighting Inventory'!S167, GB167*'Lighting Inventory'!S167,VLOOKUP(W167, 'Lookup Tables'!$AI$6:$AM$102, 5, FALSE)*BP167)), "")), 2), "")</f>
        <v/>
      </c>
      <c r="FT167" s="253" t="str">
        <f>IFERROR(ROUND(IF(CD167="ERROR", "ERROR", IF(AND($FT$6=Y167,E167="Interior"), IF(GB167=0, VLOOKUP(W167, 'Lookup Tables'!$AI$6:$AM$102, 5, FALSE)*BP167, IF(VLOOKUP(W167, 'Lookup Tables'!$AI$6:$AM$102, 5, FALSE)*BP167&gt;GB167*'Lighting Inventory'!S167, GB167*'Lighting Inventory'!S167,VLOOKUP(W167, 'Lookup Tables'!$AI$6:$AM$102, 5, FALSE)*BP167)), "")), 2), "")</f>
        <v/>
      </c>
      <c r="FU167" s="253" t="str">
        <f>IFERROR(ROUND(IF(CD167="ERROR", "ERROR", IF(AND(Y167=$FU$6, E167="Interior"), IF(BS167="N", 'Lookup Tables'!$AM$101*BP167, VLOOKUP(W167, 'Lookup Tables'!$AI$6:$AM$102, 5, FALSE)*S167*AD167), "")), 2), "")</f>
        <v/>
      </c>
      <c r="FV167" s="253" t="str">
        <f>IFERROR(ROUND(IF(CD167="ERROR", "ERROR", IF(AND(Y167=$FU$6, E167="Exterior"), IF(BS167="N", 'Lookup Tables'!$AM$101*BP167, VLOOKUP(W167, 'Lookup Tables'!$AI$6:$AM$102, 5, FALSE)*S167*AD167), "")), 2), "")</f>
        <v/>
      </c>
      <c r="FW167" s="253" t="str">
        <f>IFERROR(ROUND(IF(CD167="ERROR", "ERROR", IF($FW$6=Y167, IF(BS167="N", 'Lookup Tables'!$AM$101*BP167, MIN((VLOOKUP(W167, 'Lookup Tables'!$AI$6:$AM$102, 5, FALSE)*BP167),GB167*AJ167)), "")), 2), "")</f>
        <v/>
      </c>
      <c r="FX167" s="253" t="str">
        <f>IFERROR(ROUND(IF(CD167="ERROR", "ERROR", IF(AND($FX$6=Y167, E167="Interior"), IF(VLOOKUP(W167, 'Lookup Tables'!$AI$6:$AM$102, 5, FALSE)*BP167&gt;'Lookup Tables'!$AQ$97*'Lighting Inventory'!S167,'Lighting Inventory'!S167*'Lookup Tables'!$AQ$97,VLOOKUP(W167, 'Lookup Tables'!$AI$6:$AM$102, 5, FALSE)*BP167), "")), 2), "")</f>
        <v/>
      </c>
      <c r="FY167" s="253" t="str">
        <f>IFERROR(ROUND(IF(CD167="ERROR", "ERROR", IF(AND($FX$6=Y167, E167="Exterior"), IF(VLOOKUP(W167, 'Lookup Tables'!$AI$6:$AM$102, 5, FALSE)*BP167&gt;'Lookup Tables'!$AQ$97*'Lighting Inventory'!S167,'Lighting Inventory'!S167*'Lookup Tables'!$AQ$97,VLOOKUP(W167, 'Lookup Tables'!$AI$6:$AM$102, 5, FALSE)*BP167), "")), 2), "")</f>
        <v/>
      </c>
      <c r="FZ167" s="253" t="str">
        <f>IFERROR(ROUND(IF(CD167="ERROR", "ERROR", IF(AND($FZ$6=Y167, E167="Interior"), IF(AND(OR(W167="Refrigerated Case Lighting with Doors", W167="Freezer Case Lighting"),Y167="Custom - Process Improvement"),CD167*'Lookup Tables'!$AM$101, IF(B167="Retrofit", IF(VLOOKUP(IF(V167="Custom", V167, W167), 'Lookup Tables'!$AI$6:$AM$102, 5, FALSE)*BP167&gt;GE167, GE167, VLOOKUP(IF(V167="Custom", V167, W167), 'Lookup Tables'!$AI$6:$AM$102, 5, FALSE)*BP167), IF(VLOOKUP(IF(V167="Custom", V167, W167), 'Lookup Tables'!$AI$114:$AM$154, 5, FALSE)*BP167&gt;GE167, GE167, VLOOKUP(IF(V167="Custom", V167, W167), 'Lookup Tables'!$AI$114:$AM$154, 5, FALSE)*BP167))), "")), 2),"")</f>
        <v/>
      </c>
      <c r="GA167" s="253" t="str">
        <f>IFERROR(ROUND(IF(CD167="ERROR", "ERROR", IF(AND($FZ$6=Y167, E167="Exterior"), IF(B167="Retrofit", IF(VLOOKUP(IF(V167="Custom", V167, W167), 'Lookup Tables'!$AI$6:$AM$102, 5, FALSE)*BP167&gt;GE167, GE167, VLOOKUP(IF(V167="Custom", V167, W167), 'Lookup Tables'!$AI$6:$AM$102, 5, FALSE)*BP167), IF(VLOOKUP(IF(V167="Custom", V167, W167), 'Lookup Tables'!$AI$114:$AM$154, 5, FALSE)*BP167&gt;GE167, GE167, VLOOKUP(IF(V167="Custom", V167, W167), 'Lookup Tables'!$AI$114:$AM$154, 5, FALSE)*BP167)), "")), 2),"")</f>
        <v/>
      </c>
      <c r="GB167" s="254" t="str">
        <f t="array" ref="GB167">IF(B167="","",IF(OR(V167="Custom",V167="No Change"),0,IF(B167="Retrofit", INDEX('Lookup Tables'!$AH$6:$AQ$102,MATCH(1,('Lookup Tables'!$AH$6:$AH$102='Lighting Inventory'!V167)*('Lookup Tables'!$AI$6:$AI$102='Lighting Inventory'!W167),FALSE),10),INDEX('Lookup Tables'!$AH$114:$AQ$154,MATCH(1,('Lookup Tables'!$AH$114:$AH$154='Lighting Inventory'!V167)*('Lookup Tables'!$AI$114:$AI$154='Lighting Inventory'!W167),FALSE),10))))</f>
        <v/>
      </c>
      <c r="GC167" s="255" t="str">
        <f t="shared" si="447"/>
        <v/>
      </c>
      <c r="GD167" s="250" t="str">
        <f t="shared" si="448"/>
        <v/>
      </c>
      <c r="GE167" s="253" t="str">
        <f>IFERROR(IF(AND(AF167="", 'General Information'!$F$18="No"),"", IF(AF167="", ((GD167/$CD$266)*$CF$266)*0.5, AF167*S167*0.5)), "")</f>
        <v/>
      </c>
      <c r="GF167" s="255" t="str">
        <f>IF(AND('General Information'!$F$19="", 'General Information'!$F$18="Yes",AF167="",BW167="Y"), "Y", "N")</f>
        <v>N</v>
      </c>
      <c r="GG167" s="255" t="s">
        <v>2946</v>
      </c>
      <c r="GH167" s="255" t="str">
        <f>IFERROR(IF(B167="", "", VLOOKUP(J167, 'Fixture Identities'!$A$6:$N$908, 14, FALSE)), "")</f>
        <v/>
      </c>
      <c r="GI167" s="389" t="str">
        <f>IF(OR(B167="", V167="", W167=""), "", IF(AND(OR(M167='Lookup Tables'!$R$18, M167='Lookup Tables'!$R$19, M167='Lookup Tables'!$R$20, M167='Lookup Tables'!$R$21, M167='Lookup Tables'!$R$22), OR(AN167='Lookup Tables'!$R$17, AN167='Lookup Tables'!$R$17, AN167="")), "Y", "N"))</f>
        <v/>
      </c>
      <c r="GJ167" s="255" t="str">
        <f t="shared" si="449"/>
        <v/>
      </c>
      <c r="GK167" s="255" t="str">
        <f t="shared" si="450"/>
        <v/>
      </c>
      <c r="GL167" s="255" t="str">
        <f t="shared" si="451"/>
        <v/>
      </c>
      <c r="GM167" s="255" t="str">
        <f>IF(AN167="", "", IF(AND(IF(ISNA(VLOOKUP(AN167,'Lookup Tables'!$R$18:$R$22,1,FALSE)), "N", "Y")="Y", E167="Exterior"), "Y", "N"))</f>
        <v/>
      </c>
      <c r="GN167" s="395"/>
      <c r="GO167" s="428">
        <f t="shared" si="497"/>
        <v>0</v>
      </c>
      <c r="GP167" s="428">
        <f t="shared" si="500"/>
        <v>0</v>
      </c>
      <c r="GQ167" s="428">
        <f t="shared" si="498"/>
        <v>0</v>
      </c>
      <c r="GR167" s="428">
        <f t="shared" si="499"/>
        <v>0</v>
      </c>
    </row>
    <row r="168" spans="1:200" s="103" customFormat="1" ht="13.5" customHeight="1" x14ac:dyDescent="0.2">
      <c r="A168" s="272">
        <v>158</v>
      </c>
      <c r="B168" s="110"/>
      <c r="C168" s="110"/>
      <c r="D168" s="110"/>
      <c r="E168" s="110"/>
      <c r="F168" s="110"/>
      <c r="G168" s="110"/>
      <c r="H168" s="110"/>
      <c r="I168" s="29"/>
      <c r="J168" s="29"/>
      <c r="K168" s="272" t="str">
        <f>IFERROR(IF(OR(VLOOKUP(J168, 'Fixture Identities'!$A$6:$L$1023, 3, FALSE)="T12 Linear Fluorescent", VLOOKUP(J168, 'Fixture Identities'!$A$6:$L$1023, 3, FALSE)="T12 U-Tube Fluorescent"), VLOOKUP(VLOOKUP(J168, 'Fixture Identities'!$A$6:$L$1023, 11, FALSE), 'Fixture Identities'!$A$6:$L$1023, 10, FALSE), VLOOKUP(J168, 'Fixture Identities'!$A$6:$L$1023, 10, FALSE)), "")</f>
        <v/>
      </c>
      <c r="L168" s="270" t="str">
        <f t="shared" si="502"/>
        <v/>
      </c>
      <c r="M168" s="110"/>
      <c r="N168" s="110"/>
      <c r="O168" s="110"/>
      <c r="P168" s="272" t="str">
        <f>IFERROR(IF(OR(B168="Retrofit",B168=""),"",IF('Lighting Inventory'!E168="Exterior",VLOOKUP('Lighting Inventory'!N168,'Lookup Tables'!$B$83:$F$103,5,FALSE),IF(N168="Other - Please Estimate EFLH and CFs","Contact Prog. Rep.","ft^2"))), "")</f>
        <v/>
      </c>
      <c r="Q168" s="270" t="str">
        <f>IFERROR(IF(AND(B168="New Construction",E168="Interior",$F$5="Space-by-Space"),VLOOKUP('Lighting Inventory'!N168,'Lookup Tables'!$N$6:$O$97,2,FALSE),IF(AND(B168="New Construction",E168="Exterior"),VLOOKUP(N168,'Lookup Tables'!$B$83:$F$103,2,FALSE),IF(AND(B168="New Construction",'Lighting Inventory'!E168="Interior", $F$5="Building Area"),VLOOKUP(F168,'Lookup Tables'!$A$6:$J$59,10,FALSE),""))), "")</f>
        <v/>
      </c>
      <c r="R168" s="270" t="str">
        <f>IFERROR(IF(P168="Contact Prog. Rep.", "ERROR", IF(OR(B168="",B168="Retrofit"),"",IF(N168="Automated teller machines", ('Lookup Tables'!$A$82:$E$100+('Lighting Inventory'!O168-1)*'Lookup Tables'!$A$82:$E$100)/1000, (Q168*O168)/1000))), "")</f>
        <v/>
      </c>
      <c r="S168" s="595"/>
      <c r="T168" s="105" t="str">
        <f t="shared" si="452"/>
        <v/>
      </c>
      <c r="U168" s="105" t="str">
        <f>IF(S168="","",COUNT($S$11:S168))</f>
        <v/>
      </c>
      <c r="V168" s="111"/>
      <c r="W168" s="112"/>
      <c r="X168" s="105" t="str">
        <f t="shared" si="453"/>
        <v/>
      </c>
      <c r="Y168" s="105" t="str">
        <f t="array" ref="Y168">IF(AND(OR(W168="Freezer Case Lighting", W168="Refrigerated Case Lighting with Doors"), 'General Information'!$X$18="LCI"),'Lookup Tables'!$Y$34, IF(V168="Custom", VLOOKUP(W168, 'Fixture Identities'!$A$974:$M$1023, 13, FALSE), IF(V168="No Change",'Lookup Tables'!$Y$29,IF(OR(V168="",W168=""),"",IF(AND(S168=0,S168&lt;I168,B168="Retrofit"),'Lookup Tables'!$Y$25, IF(B168="Retrofit", INDEX('Lookup Tables'!$AH$6:$AP$102, MATCH(1, ('Lookup Tables'!$AH$6:$AH$102=V168)*('Lookup Tables'!$AI$6:$AI$102=W168), 0), IF('Lighting Inventory'!E168="Interior", 4, 5)), INDEX('Lookup Tables'!$AH$114:$AP$154, MATCH(1, ('Lookup Tables'!$AH$114:$AH$154=V168)*('Lookup Tables'!$AI$114:$AI$154=W168), 0), IF('Lighting Inventory'!E168="Interior", 4, 5))))))))</f>
        <v/>
      </c>
      <c r="Z168" s="105" t="str">
        <f>IFERROR(INDEX('Lookup Tables'!$AH$158:$AH$172,MATCH('Lighting Inventory'!Y168,'Lookup Tables'!$AI$158:$AI$172,0)),"")</f>
        <v/>
      </c>
      <c r="AA168" s="105" t="str">
        <f>IF(AP168&gt;0,INDEX('Lookup Tables'!$AK$158:$AK$172,MATCH('Lighting Inventory'!Y168,'Lookup Tables'!$AI$158:$AI$172,0)),'Lighting Inventory'!Y168)</f>
        <v/>
      </c>
      <c r="AB168" s="105" t="str">
        <f t="array" ref="AB168">IF(V168="Custom", "Custom", IF(V168="", "", IF(V168="Not DLC or Energy Star", "General", IF(B168="New Construction", INDEX('Lookup Tables'!$AH$114:$AP$154,MATCH(1,('Lookup Tables'!$AH$114:$AH$154='Lighting Inventory'!V168)*('Lookup Tables'!$AI$114:$AI$154='Lighting Inventory'!W168),FALSE),8), INDEX('Lookup Tables'!$AH$6:$AP$102,MATCH(1,('Lookup Tables'!$AH$6:$AH$102='Lighting Inventory'!V168)*('Lookup Tables'!$AI$6:$AI$102='Lighting Inventory'!W168),FALSE),8)))))</f>
        <v/>
      </c>
      <c r="AC168" s="272" t="str">
        <f>IF(W168="","",IF(V168="Custom",CONCATENATE("$",'Lookup Tables'!$AM$101," ",'Lookup Tables'!$AN$101),CONCATENATE("$",INDEX('Lookup Tables'!$AM$6:$AM$102,MATCH('Lighting Inventory'!W168,'Lookup Tables'!$AI$6:$AI$102,0))," ",INDEX('Lookup Tables'!$AN$6:$AN$102,MATCH('Lighting Inventory'!W168,'Lookup Tables'!$AI$6:$AI$102,0)))))</f>
        <v/>
      </c>
      <c r="AD168" s="72"/>
      <c r="AE168" s="29"/>
      <c r="AF168" s="379"/>
      <c r="AG168" s="370" t="str">
        <f t="shared" si="401"/>
        <v/>
      </c>
      <c r="AH168" s="370" t="str">
        <f t="shared" si="454"/>
        <v/>
      </c>
      <c r="AI168" s="29"/>
      <c r="AJ168" s="29"/>
      <c r="AK168" s="110"/>
      <c r="AL168" s="375" t="str">
        <f>IF(OR(B168="", V168="", W168=""), "", IF(V168="No Change", K168, IF(V168="Remove Fixture", 0, IF(V168="Custom",VLOOKUP(W168,'Fixture Identities'!$A$6:$K$1023,10,FALSE),IF(AE168="", "← ENTER POST WATTS", 'Lighting Inventory'!AE168)))))</f>
        <v/>
      </c>
      <c r="AM168" s="376" t="str">
        <f t="shared" si="402"/>
        <v/>
      </c>
      <c r="AN168" s="29"/>
      <c r="AO168" s="671"/>
      <c r="AP168" s="29"/>
      <c r="AQ168" s="29"/>
      <c r="AR168" s="29"/>
      <c r="AS168" s="272" t="str">
        <f t="shared" si="455"/>
        <v/>
      </c>
      <c r="AT168" s="270" t="str">
        <f t="shared" si="403"/>
        <v/>
      </c>
      <c r="AU168" s="88" t="str">
        <f t="shared" si="503"/>
        <v/>
      </c>
      <c r="AV168" s="29"/>
      <c r="AW168" s="73"/>
      <c r="AX168" s="271" t="str">
        <f>IF(AND(AV168="Applicant",OR(AW168="", AW168="Use Default Facility Hours")),"← Choose Schedule",IF(F168="","",IF(W168="LED Exit Signs",8760,IF(OR(AV168="Prescribed",AV168=""),VLOOKUP(F168,'Lookup Tables'!$A$6:$G$59,IF(AB168="General", 6, 3),FALSE),VLOOKUP(AW168,'Lookup Tables'!$S$36:$U$43,2,FALSE)))))</f>
        <v/>
      </c>
      <c r="AY168" s="88" t="str">
        <f t="shared" si="404"/>
        <v/>
      </c>
      <c r="AZ168" s="270" t="str">
        <f>IFERROR(IF(F168="", "", IF(W168="LED Exit Signs", 1, IF(AV168="Applicant",VLOOKUP(AW168, 'Lookup Tables'!$S$36:$U$43,3, FALSE), VLOOKUP('Lighting Inventory'!F168, 'Lookup Tables'!$A$6:$H$59, IF('Lighting Inventory'!AB168="General",7,4), FALSE)))), "")</f>
        <v/>
      </c>
      <c r="BA168" s="522" t="str">
        <f>IFERROR(IF(F168="", "", IF(W168="LED Exit Signs", 1, VLOOKUP('Lighting Inventory'!F168, 'Lookup Tables'!$A$6:$H$59, IF('Lighting Inventory'!AB168="General",8,5), FALSE))), "")</f>
        <v/>
      </c>
      <c r="BB168" s="270" t="str">
        <f>IF(G168="", "", IF(E168="Exterior", 0, IF('Lighting Inventory'!G168="Air Conditioned", VLOOKUP(H168, 'Lookup Tables'!$R$6:$T$13, 2, FALSE), VLOOKUP('Lighting Inventory'!G168, 'Lookup Tables'!$R$6:$T$13, 2, FALSE))))</f>
        <v/>
      </c>
      <c r="BC168" s="522" t="str">
        <f>IF(G168="", "", IF(E168="Exterior", 0, IF('Lighting Inventory'!G168="Air Conditioned", VLOOKUP(H168, 'Lookup Tables'!$R$6:$T$13, 3, FALSE), VLOOKUP('Lighting Inventory'!G168, 'Lookup Tables'!$R$6:$T$13, 3, FALSE))))</f>
        <v/>
      </c>
      <c r="BD168" s="270" t="str">
        <f>IF(G168="", "", IF(E168="Exterior", 0, IF('Lighting Inventory'!G168="Air Conditioned", VLOOKUP(H168, 'Lookup Tables'!$R$6:$U$13, 4, FALSE), VLOOKUP('Lighting Inventory'!G168, 'Lookup Tables'!$R$6:$U$13, 4, FALSE))))</f>
        <v/>
      </c>
      <c r="BE168" s="270" t="str">
        <f>IFERROR(IF(B168="", "",  IF(B168="New Construction", VLOOKUP(F168, 'Lookup Tables'!$A$6:$K$59, 11, FALSE),IF(OR(AN168="", AN168="Light Switch"), 0, IF(OR(M168="",M168="None",V168= "LED Exit Signs"),0,_xlfn.XLOOKUP(M168,'Lookup Tables'!$R$91:$R$101,'Lookup Tables'!$V$91:$V$101))))), "")</f>
        <v/>
      </c>
      <c r="BF168" s="270" t="str">
        <f>IF(AND(OR(AN168="Light Switch",AN168=""),B168="New Construction"), VLOOKUP(F168, 'Lookup Tables'!$A$6:$K$59, 11, FALSE),IF(AN168="","",IF(B168="","",IF(OR(AN168="None",AN168="",V168="LED Exit Signs",AN168="Exterior Controls Not Eligible"),0,_xlfn.XLOOKUP(AN168,'Lookup Tables'!$R$91:$R$101,'Lookup Tables'!$V$91:$V$101)))))</f>
        <v/>
      </c>
      <c r="BG168" s="88" t="str">
        <f t="shared" si="456"/>
        <v/>
      </c>
      <c r="BH168" s="88" t="str">
        <f t="shared" si="457"/>
        <v/>
      </c>
      <c r="BI168" s="558" t="str">
        <f t="shared" si="501"/>
        <v/>
      </c>
      <c r="BJ168" s="82" t="str">
        <f t="shared" si="458"/>
        <v/>
      </c>
      <c r="BK168" s="82" t="str">
        <f t="shared" si="459"/>
        <v/>
      </c>
      <c r="BL168" s="559" t="str">
        <f t="shared" si="460"/>
        <v/>
      </c>
      <c r="BM168" s="521" t="str">
        <f t="shared" si="405"/>
        <v/>
      </c>
      <c r="BN168" s="521" t="str">
        <f t="shared" si="406"/>
        <v/>
      </c>
      <c r="BO168" s="522" t="str">
        <f t="shared" si="407"/>
        <v/>
      </c>
      <c r="BP168" s="83" t="str">
        <f t="shared" si="461"/>
        <v/>
      </c>
      <c r="BQ168" s="84" t="str">
        <f t="shared" si="462"/>
        <v/>
      </c>
      <c r="BR168" s="184" t="str">
        <f>IFERROR(IF(B168="", "", IF(OR(VLOOKUP(J168, 'Fixture Identities'!$A$6:$L$1023, 3, FALSE)="T12 Linear Fluorescent",VLOOKUP(J168, 'Fixture Identities'!$A$6:$L$1023, 3, FALSE)="T12 U-Tube Fluorescent"), "Y", "N")), "N")</f>
        <v/>
      </c>
      <c r="BS168" s="184" t="str">
        <f t="array" ref="BS168">IFERROR(IF(OR(B168="", V168="", W168=""), "", IF(V168="Custom", "N", IF(OR(W168="Freezer Case Lighting", W168="Refrigerated Case Lighting with Doors"), BT168, IF(B168="Retrofit", INDEX('Lookup Tables'!$AH$6:$AT$102,MATCH(1,('Lookup Tables'!$AH$6:$AH$102=V168)*('Lookup Tables'!$AI$6:$AI$102=W168),FALSE),IF(VLOOKUP(J168, 'Fixture Identities'!$A$6:$B$1023, 2, FALSE)="Incandescent",12, 13)), INDEX('Lookup Tables'!$AH$114:$AS$154,MATCH(1,('Lookup Tables'!$AH$114:$AH$154=V168)*('Lookup Tables'!$AI$114:$AI$154=W168),FALSE),12))))), "N")</f>
        <v/>
      </c>
      <c r="BT168" s="184" t="str">
        <f>IF(J168="", "", IF(AND(OR(W168="Freezer case Lighting", W168="Refrigerated Case Lighting with Doors"),'General Information'!$X$18="LCI"), "N", IF(OR(VLOOKUP(J168, 'Fixture Identities'!$A$6:$B$1023, 2, FALSE)="T12 EPACT/EISA Baseline", VLOOKUP(J168, 'Fixture Identities'!$A$6:$B$1023, 2, FALSE)="Linear Fluorescent", VLOOKUP(J168, 'Fixture Identities'!$A$6:$B$1023, 2, FALSE)="U-Tube Fluorescent"), "Y", "N")))</f>
        <v/>
      </c>
      <c r="BU168" s="184" t="str">
        <f>IFERROR(IF(B168="", "", IF(VLOOKUP(J168, 'Fixture Identities'!$A$6:$B$1023, 2, FALSE)="Exit Sign", "Y", "N")), "N")</f>
        <v/>
      </c>
      <c r="BV168" s="184" t="str">
        <f>IF(V168="Exit Signs", IF(VLOOKUP(J168, 'Fixture Identities'!$A$6:$B$1023, 2, FALSE)="Exit Sign", "N", "Y"), "")</f>
        <v/>
      </c>
      <c r="BW168" s="184" t="str">
        <f t="array" ref="BW168">IFERROR(IF(B168="", "", IF(B168="New Construction", "N", INDEX('Lookup Tables'!$AH$6:$AU$102, MATCH(1, ('Lookup Tables'!$AH$6:$AH$102='Lighting Inventory'!V168)*('Lookup Tables'!$AI$6:$AI$102='Lighting Inventory'!W168), 0), 14))), "N")</f>
        <v/>
      </c>
      <c r="BX168" s="598" t="str">
        <f t="shared" si="463"/>
        <v/>
      </c>
      <c r="BY168" s="598" t="str">
        <f t="shared" si="464"/>
        <v/>
      </c>
      <c r="BZ168" s="598" t="str">
        <f t="shared" si="465"/>
        <v/>
      </c>
      <c r="CA168" s="598" t="str">
        <f t="shared" si="466"/>
        <v/>
      </c>
      <c r="CB168" s="269" t="str">
        <f t="shared" si="467"/>
        <v/>
      </c>
      <c r="CC168" s="517" t="str">
        <f t="shared" si="468"/>
        <v/>
      </c>
      <c r="CD168" s="565" t="str">
        <f t="shared" si="408"/>
        <v/>
      </c>
      <c r="CE168" s="368">
        <v>0</v>
      </c>
      <c r="CF168" s="368" t="str" cm="1">
        <f t="array" ref="CF168">IFERROR(IF(V168="Custom", "$0.1 per kWh", IF(B168="New Construction", CONCATENATE("$",INDEX('Lookup Tables'!$AH$114:$AN$154,MATCH(1,('Lookup Tables'!$AH$114:$AH$154='Lighting Inventory'!V168)*('Lookup Tables'!$AI$114:$AI$154='Lighting Inventory'!W168),FALSE),6)," ",INDEX('Lookup Tables'!$AH$114:$AN$154,MATCH(1,('Lookup Tables'!$AH$114:$AH$154='Lighting Inventory'!V168)*('Lookup Tables'!$AI$114:$AI$154='Lighting Inventory'!W168),FALSE),7)), IF(AND(BU168="N", V168="Exit Signs"), "$0.025 per kWh", CONCATENATE("$",INDEX('Lookup Tables'!$AH$6:$AN$102,MATCH(1,('Lookup Tables'!$AH$6:$AH$102='Lighting Inventory'!V168)*('Lookup Tables'!$AI$6:$AI$102='Lighting Inventory'!W168),FALSE),6)," ",INDEX('Lookup Tables'!$AH$6:$AN$102,MATCH(1,('Lookup Tables'!$AH$6:$AH$102='Lighting Inventory'!V168)*('Lookup Tables'!$AI$6:$AI$102='Lighting Inventory'!W168),FALSE),7))))), "")</f>
        <v/>
      </c>
      <c r="CG168" s="366"/>
      <c r="CH168" s="248" t="str">
        <f t="shared" si="409"/>
        <v/>
      </c>
      <c r="CI168" s="248" t="str">
        <f t="shared" si="410"/>
        <v>Select_IE</v>
      </c>
      <c r="CJ168" s="248" t="str">
        <f t="shared" si="411"/>
        <v/>
      </c>
      <c r="CK168" s="248" t="str">
        <f t="shared" si="412"/>
        <v/>
      </c>
      <c r="CL168" s="248" t="str">
        <f t="shared" si="413"/>
        <v/>
      </c>
      <c r="CM168" s="248" t="str">
        <f>IFERROR(IF(B168="", "", IF(B168="New Construction", VLOOKUP(V168, 'Lookup Tables'!$AF$114:$AG$120, 2, FALSE), VLOOKUP(V168, 'Lookup Tables'!$AD$6:$AE$25, 2, FALSE))), "")</f>
        <v/>
      </c>
      <c r="CN168" s="248" t="str">
        <f t="shared" si="414"/>
        <v/>
      </c>
      <c r="CO168" s="248" t="str">
        <f t="shared" si="415"/>
        <v/>
      </c>
      <c r="CP168" s="592" t="str">
        <f t="shared" si="416"/>
        <v/>
      </c>
      <c r="CQ168" s="248" t="str">
        <f t="shared" si="469"/>
        <v/>
      </c>
      <c r="CR168" s="100"/>
      <c r="CS168" s="250" t="str">
        <f t="shared" si="417"/>
        <v/>
      </c>
      <c r="CT168" s="250" t="str">
        <f t="shared" si="470"/>
        <v/>
      </c>
      <c r="CU168" s="250" t="str">
        <f t="shared" si="471"/>
        <v/>
      </c>
      <c r="CV168" s="250" t="str">
        <f t="shared" si="472"/>
        <v/>
      </c>
      <c r="CW168" s="250" t="str">
        <f t="shared" si="473"/>
        <v/>
      </c>
      <c r="CX168" s="250" t="str">
        <f t="shared" si="418"/>
        <v/>
      </c>
      <c r="CY168" s="250" t="str">
        <f t="shared" si="419"/>
        <v/>
      </c>
      <c r="CZ168" s="250" t="str">
        <f t="shared" si="420"/>
        <v/>
      </c>
      <c r="DA168" s="250" t="str">
        <f t="shared" si="421"/>
        <v/>
      </c>
      <c r="DB168" s="250" t="str">
        <f t="shared" si="422"/>
        <v/>
      </c>
      <c r="DC168" s="250" t="str">
        <f t="shared" si="423"/>
        <v/>
      </c>
      <c r="DD168" s="250" t="str">
        <f t="shared" si="424"/>
        <v/>
      </c>
      <c r="DE168" s="250" t="str">
        <f t="shared" si="425"/>
        <v/>
      </c>
      <c r="DF168" s="250" t="str">
        <f t="shared" si="426"/>
        <v/>
      </c>
      <c r="DG168" s="250" t="str">
        <f t="shared" si="427"/>
        <v/>
      </c>
      <c r="DH168" s="250" t="str">
        <f t="shared" si="428"/>
        <v/>
      </c>
      <c r="DI168" s="250" t="str">
        <f t="shared" si="429"/>
        <v/>
      </c>
      <c r="DJ168" s="250" t="str">
        <f t="shared" si="430"/>
        <v/>
      </c>
      <c r="DK168" s="250" t="str">
        <f t="shared" si="431"/>
        <v/>
      </c>
      <c r="DL168" s="250" t="str">
        <f t="shared" si="432"/>
        <v/>
      </c>
      <c r="DM168" s="250" t="str">
        <f>IF(CD168="ERROR", "ERROR", IF(AND(OR(Y168=$DM$6, Y168='Lookup Tables'!$AD$21, Y168='Lookup Tables'!$AD$22), E168="Interior"), BJ168, ""))</f>
        <v/>
      </c>
      <c r="DN168" s="250" t="str">
        <f>IF(CD168="ERROR", "ERROR", IF(AND(OR(Y168=$DM$6, Y168='Lookup Tables'!$AD$21, Y168='Lookup Tables'!$AD$22), E168="Exterior"), BJ168, ""))</f>
        <v/>
      </c>
      <c r="DO168" s="100"/>
      <c r="DP168" s="250" t="str">
        <f t="shared" si="433"/>
        <v/>
      </c>
      <c r="DQ168" s="250" t="str">
        <f t="shared" si="474"/>
        <v/>
      </c>
      <c r="DR168" s="250" t="str">
        <f t="shared" si="475"/>
        <v/>
      </c>
      <c r="DS168" s="250" t="str">
        <f t="shared" si="476"/>
        <v/>
      </c>
      <c r="DT168" s="250" t="str">
        <f t="shared" si="477"/>
        <v/>
      </c>
      <c r="DU168" s="250" t="str">
        <f t="shared" si="434"/>
        <v/>
      </c>
      <c r="DV168" s="250" t="str">
        <f t="shared" si="435"/>
        <v/>
      </c>
      <c r="DW168" s="250" t="str">
        <f t="shared" si="436"/>
        <v/>
      </c>
      <c r="DX168" s="250" t="str">
        <f t="shared" si="437"/>
        <v/>
      </c>
      <c r="DY168" s="250" t="str">
        <f t="shared" si="438"/>
        <v/>
      </c>
      <c r="DZ168" s="250" t="str">
        <f t="shared" si="439"/>
        <v/>
      </c>
      <c r="EA168" s="250" t="str">
        <f t="shared" si="440"/>
        <v/>
      </c>
      <c r="EB168" s="250" t="str">
        <f t="shared" si="478"/>
        <v/>
      </c>
      <c r="EC168" s="250" t="str">
        <f t="shared" si="441"/>
        <v/>
      </c>
      <c r="ED168" s="250" t="str">
        <f t="shared" si="442"/>
        <v/>
      </c>
      <c r="EE168" s="250" t="str">
        <f t="shared" si="443"/>
        <v/>
      </c>
      <c r="EF168" s="250" t="str">
        <f t="shared" si="444"/>
        <v/>
      </c>
      <c r="EG168" s="250" t="str">
        <f t="shared" si="445"/>
        <v/>
      </c>
      <c r="EH168" s="250" t="str">
        <f>IF(CD168="ERROR", "ERROR", IF(AND(OR($EH$6=Y168, Y168='Lookup Tables'!$AD$21, Y168='Lookup Tables'!$AD$22),E168="Interior"), SUM(BP168:BP168), ""))</f>
        <v/>
      </c>
      <c r="EI168" s="250" t="str">
        <f>IF(CD168="ERROR", "ERROR", IF(AND(OR($EH$6=Y168, Y168='Lookup Tables'!$AD$21, Y168='Lookup Tables'!$AD$22),E168="Exterior"), SUM(BP168:BP168), ""))</f>
        <v/>
      </c>
      <c r="EJ168" s="109"/>
      <c r="EK168" s="485" t="str">
        <f t="shared" si="446"/>
        <v/>
      </c>
      <c r="EL168" s="252" t="str">
        <f t="shared" si="479"/>
        <v/>
      </c>
      <c r="EM168" s="252" t="str">
        <f t="shared" si="480"/>
        <v/>
      </c>
      <c r="EN168" s="252" t="str">
        <f t="shared" si="481"/>
        <v/>
      </c>
      <c r="EO168" s="252" t="str">
        <f t="shared" si="482"/>
        <v/>
      </c>
      <c r="EP168" s="252" t="str">
        <f t="shared" si="483"/>
        <v/>
      </c>
      <c r="EQ168" s="252" t="str">
        <f t="shared" si="484"/>
        <v/>
      </c>
      <c r="ER168" s="252" t="str">
        <f t="shared" si="485"/>
        <v/>
      </c>
      <c r="ES168" s="252" t="str">
        <f t="shared" si="486"/>
        <v/>
      </c>
      <c r="ET168" s="252" t="str">
        <f t="shared" si="487"/>
        <v/>
      </c>
      <c r="EU168" s="252" t="str">
        <f t="shared" si="488"/>
        <v/>
      </c>
      <c r="EV168" s="252" t="str">
        <f t="shared" si="489"/>
        <v/>
      </c>
      <c r="EW168" s="252" t="str">
        <f t="shared" si="490"/>
        <v/>
      </c>
      <c r="EX168" s="252" t="str">
        <f t="shared" si="491"/>
        <v/>
      </c>
      <c r="EY168" s="252" t="str">
        <f t="shared" si="492"/>
        <v/>
      </c>
      <c r="EZ168" s="252" t="str">
        <f t="shared" si="493"/>
        <v/>
      </c>
      <c r="FA168" s="252" t="str">
        <f t="shared" si="494"/>
        <v/>
      </c>
      <c r="FB168" s="252" t="str">
        <f t="shared" si="495"/>
        <v/>
      </c>
      <c r="FC168" s="252" t="str">
        <f>IF(CD168="ERROR", "ERROR", IF(OR(V168="No Change", V168="Not DLC or Energy Star"), "", IF(AND(OR($FC$6=Y168,Y168='Lookup Tables'!$AD$21, Y168='Lookup Tables'!$AD$22),E168="Interior"), S168, "")))</f>
        <v/>
      </c>
      <c r="FD168" s="252" t="str">
        <f t="shared" si="496"/>
        <v/>
      </c>
      <c r="FE168" s="101"/>
      <c r="FF168" s="579" t="str" cm="1">
        <f t="array" ref="FF168">IFERROR(IF(OR(BQ168&lt;=0,AQ168&lt;20,AND(V168="Exit Signs",AN168&gt;0)),"",IF(AND(AQ168&gt;=20,AN168='Lookup Tables'!$R$101),'Lookup Tables'!$U$101*BQ168,AP168*LOOKUP(2,1/((AN168='Lookup Tables'!$R$91:$R$111)*(AQ168&gt;='Lookup Tables'!$S$91:$S$111)*(AQ168&lt;='Lookup Tables'!$T$91:$T$111)),'Lookup Tables'!$U$91:$U$111))),"")</f>
        <v/>
      </c>
      <c r="FG168" s="579"/>
      <c r="FH168" s="579"/>
      <c r="FI168" s="253" t="str">
        <f>IFERROR(ROUND(IF(CD168="ERROR", "ERROR", IF(AND($FI$7=X168,E168="Interior"),VLOOKUP(W168, 'Lookup Tables'!$AI$6:$AM$102, 5, FALSE)*BP168, "")), 2), "")</f>
        <v/>
      </c>
      <c r="FJ168" s="253" t="str">
        <f>IFERROR(ROUND(IF(CD168="ERROR", "ERROR", IF(AND($FI$7=X168,E168="Exterior"),VLOOKUP(W168, 'Lookup Tables'!$AI$6:$AM$102, 5, FALSE)*BP168, "")), 2), "")</f>
        <v/>
      </c>
      <c r="FK168" s="253" t="str">
        <f>IFERROR(ROUND(IF(CD168="ERROR", "ERROR", IF(AND($FK$7=X168,E168="Interior"),VLOOKUP(W168, 'Lookup Tables'!$AI$6:$AM$102, 5, FALSE)*BP168, "")), 2), "")</f>
        <v/>
      </c>
      <c r="FL168" s="253" t="str">
        <f>IFERROR(ROUND(IF(CD168="ERROR", "ERROR", IF(AND($FK$7=X168,E168="Exterior"),VLOOKUP(W168, 'Lookup Tables'!$AI$6:$AM$102, 5, FALSE)*BP168, "")), 2), "")</f>
        <v/>
      </c>
      <c r="FM168" s="253" t="str">
        <f>IFERROR(ROUND(IF(CD168="ERROR", "ERROR", IF(AND($FM$6=Y168,E168="Interior"), IF(GB168=0, VLOOKUP(W168, 'Lookup Tables'!$AI$6:$AM$102, 5, FALSE)*BP168, IF(VLOOKUP(W168, 'Lookup Tables'!$AI$6:$AM$102, 5, FALSE)*BP168&gt;GB168*'Lighting Inventory'!S168, GB168*'Lighting Inventory'!S168,VLOOKUP(W168, 'Lookup Tables'!$AI$6:$AM$102, 5, FALSE)*BP168)), "")), 2), "")</f>
        <v/>
      </c>
      <c r="FN168" s="253" t="str">
        <f>IFERROR(ROUND(IF(CD168="ERROR", "ERROR", IF(AND($FM$6=Y168,E168="Exterior"), IF(GB168=0, VLOOKUP(W168, 'Lookup Tables'!$AI$6:$AM$102, 5, FALSE)*BP168, IF(VLOOKUP(W168, 'Lookup Tables'!$AI$6:$AM$102, 5, FALSE)*BP168&gt;GB168*'Lighting Inventory'!S168, GB168*'Lighting Inventory'!S168,VLOOKUP(W168, 'Lookup Tables'!$AI$6:$AM$102, 5, FALSE)*BP168)), "")), 2), "")</f>
        <v/>
      </c>
      <c r="FO168" s="253" t="str">
        <f>IFERROR(ROUND(IF(CD168="ERROR", "ERROR", IF(AND($FO$6=Y168,E168="Interior"),VLOOKUP(W168, 'Lookup Tables'!$AI$6:$AM$102, 5, FALSE)*'Lighting Inventory'!AI168, "")), 2), "")</f>
        <v/>
      </c>
      <c r="FP168" s="253" t="str">
        <f>IFERROR(ROUND(IF(CD168="ERROR", "ERROR", IF(AND($FO$6=Y168,E168="Exterior"),VLOOKUP(W168, 'Lookup Tables'!$AI$6:$AM$102, 5, FALSE)*'Lighting Inventory'!AI168, "")), 2), "")</f>
        <v/>
      </c>
      <c r="FQ168" s="253" t="str">
        <f>IFERROR(ROUND(IF(CD168="ERROR", "ERROR", IF(AND($FQ$6=Y168,E168="Interior", BU168="Y"), VLOOKUP('Lighting Inventory'!W168, 'Lookup Tables'!$AI$6:$AM$102, 5, FALSE)*'Lighting Inventory'!S168, IF(AND($FQ$7=Y168,E168="Interior", BU168="N"), 0.025*CD168, ""))), 2), "")</f>
        <v/>
      </c>
      <c r="FR168" s="253" t="str">
        <f>IFERROR(ROUND(IF(CD168="ERROR", "ERROR", IF(AND($FQ$6=Y168,E168="Exterior"), VLOOKUP('Lighting Inventory'!W168, 'Lookup Tables'!$AI$6:$AM$102, 5, FALSE)*'Lighting Inventory'!S168, "")), 2), "")</f>
        <v/>
      </c>
      <c r="FS168" s="253" t="str">
        <f>IFERROR(ROUND(IF(CD168="ERROR", "ERROR", IF(AND($FS$6=Y168,E168="Exterior"), IF(GB168=0, VLOOKUP(W168, 'Lookup Tables'!$AI$6:$AM$102, 5, FALSE)*BP168, IF(VLOOKUP(W168, 'Lookup Tables'!$AI$6:$AM$102, 5, FALSE)*BP168&gt;GB168*'Lighting Inventory'!S168, GB168*'Lighting Inventory'!S168,VLOOKUP(W168, 'Lookup Tables'!$AI$6:$AM$102, 5, FALSE)*BP168)), "")), 2), "")</f>
        <v/>
      </c>
      <c r="FT168" s="253" t="str">
        <f>IFERROR(ROUND(IF(CD168="ERROR", "ERROR", IF(AND($FT$6=Y168,E168="Interior"), IF(GB168=0, VLOOKUP(W168, 'Lookup Tables'!$AI$6:$AM$102, 5, FALSE)*BP168, IF(VLOOKUP(W168, 'Lookup Tables'!$AI$6:$AM$102, 5, FALSE)*BP168&gt;GB168*'Lighting Inventory'!S168, GB168*'Lighting Inventory'!S168,VLOOKUP(W168, 'Lookup Tables'!$AI$6:$AM$102, 5, FALSE)*BP168)), "")), 2), "")</f>
        <v/>
      </c>
      <c r="FU168" s="253" t="str">
        <f>IFERROR(ROUND(IF(CD168="ERROR", "ERROR", IF(AND(Y168=$FU$6, E168="Interior"), IF(BS168="N", 'Lookup Tables'!$AM$101*BP168, VLOOKUP(W168, 'Lookup Tables'!$AI$6:$AM$102, 5, FALSE)*S168*AD168), "")), 2), "")</f>
        <v/>
      </c>
      <c r="FV168" s="253" t="str">
        <f>IFERROR(ROUND(IF(CD168="ERROR", "ERROR", IF(AND(Y168=$FU$6, E168="Exterior"), IF(BS168="N", 'Lookup Tables'!$AM$101*BP168, VLOOKUP(W168, 'Lookup Tables'!$AI$6:$AM$102, 5, FALSE)*S168*AD168), "")), 2), "")</f>
        <v/>
      </c>
      <c r="FW168" s="253" t="str">
        <f>IFERROR(ROUND(IF(CD168="ERROR", "ERROR", IF($FW$6=Y168, IF(BS168="N", 'Lookup Tables'!$AM$101*BP168, MIN((VLOOKUP(W168, 'Lookup Tables'!$AI$6:$AM$102, 5, FALSE)*BP168),GB168*AJ168)), "")), 2), "")</f>
        <v/>
      </c>
      <c r="FX168" s="253" t="str">
        <f>IFERROR(ROUND(IF(CD168="ERROR", "ERROR", IF(AND($FX$6=Y168, E168="Interior"), IF(VLOOKUP(W168, 'Lookup Tables'!$AI$6:$AM$102, 5, FALSE)*BP168&gt;'Lookup Tables'!$AQ$97*'Lighting Inventory'!S168,'Lighting Inventory'!S168*'Lookup Tables'!$AQ$97,VLOOKUP(W168, 'Lookup Tables'!$AI$6:$AM$102, 5, FALSE)*BP168), "")), 2), "")</f>
        <v/>
      </c>
      <c r="FY168" s="253" t="str">
        <f>IFERROR(ROUND(IF(CD168="ERROR", "ERROR", IF(AND($FX$6=Y168, E168="Exterior"), IF(VLOOKUP(W168, 'Lookup Tables'!$AI$6:$AM$102, 5, FALSE)*BP168&gt;'Lookup Tables'!$AQ$97*'Lighting Inventory'!S168,'Lighting Inventory'!S168*'Lookup Tables'!$AQ$97,VLOOKUP(W168, 'Lookup Tables'!$AI$6:$AM$102, 5, FALSE)*BP168), "")), 2), "")</f>
        <v/>
      </c>
      <c r="FZ168" s="253" t="str">
        <f>IFERROR(ROUND(IF(CD168="ERROR", "ERROR", IF(AND($FZ$6=Y168, E168="Interior"), IF(AND(OR(W168="Refrigerated Case Lighting with Doors", W168="Freezer Case Lighting"),Y168="Custom - Process Improvement"),CD168*'Lookup Tables'!$AM$101, IF(B168="Retrofit", IF(VLOOKUP(IF(V168="Custom", V168, W168), 'Lookup Tables'!$AI$6:$AM$102, 5, FALSE)*BP168&gt;GE168, GE168, VLOOKUP(IF(V168="Custom", V168, W168), 'Lookup Tables'!$AI$6:$AM$102, 5, FALSE)*BP168), IF(VLOOKUP(IF(V168="Custom", V168, W168), 'Lookup Tables'!$AI$114:$AM$154, 5, FALSE)*BP168&gt;GE168, GE168, VLOOKUP(IF(V168="Custom", V168, W168), 'Lookup Tables'!$AI$114:$AM$154, 5, FALSE)*BP168))), "")), 2),"")</f>
        <v/>
      </c>
      <c r="GA168" s="253" t="str">
        <f>IFERROR(ROUND(IF(CD168="ERROR", "ERROR", IF(AND($FZ$6=Y168, E168="Exterior"), IF(B168="Retrofit", IF(VLOOKUP(IF(V168="Custom", V168, W168), 'Lookup Tables'!$AI$6:$AM$102, 5, FALSE)*BP168&gt;GE168, GE168, VLOOKUP(IF(V168="Custom", V168, W168), 'Lookup Tables'!$AI$6:$AM$102, 5, FALSE)*BP168), IF(VLOOKUP(IF(V168="Custom", V168, W168), 'Lookup Tables'!$AI$114:$AM$154, 5, FALSE)*BP168&gt;GE168, GE168, VLOOKUP(IF(V168="Custom", V168, W168), 'Lookup Tables'!$AI$114:$AM$154, 5, FALSE)*BP168)), "")), 2),"")</f>
        <v/>
      </c>
      <c r="GB168" s="254" t="str">
        <f t="array" ref="GB168">IF(B168="","",IF(OR(V168="Custom",V168="No Change"),0,IF(B168="Retrofit", INDEX('Lookup Tables'!$AH$6:$AQ$102,MATCH(1,('Lookup Tables'!$AH$6:$AH$102='Lighting Inventory'!V168)*('Lookup Tables'!$AI$6:$AI$102='Lighting Inventory'!W168),FALSE),10),INDEX('Lookup Tables'!$AH$114:$AQ$154,MATCH(1,('Lookup Tables'!$AH$114:$AH$154='Lighting Inventory'!V168)*('Lookup Tables'!$AI$114:$AI$154='Lighting Inventory'!W168),FALSE),10))))</f>
        <v/>
      </c>
      <c r="GC168" s="255" t="str">
        <f t="shared" si="447"/>
        <v/>
      </c>
      <c r="GD168" s="250" t="str">
        <f t="shared" si="448"/>
        <v/>
      </c>
      <c r="GE168" s="253" t="str">
        <f>IFERROR(IF(AND(AF168="", 'General Information'!$F$18="No"),"", IF(AF168="", ((GD168/$CD$266)*$CF$266)*0.5, AF168*S168*0.5)), "")</f>
        <v/>
      </c>
      <c r="GF168" s="255" t="str">
        <f>IF(AND('General Information'!$F$19="", 'General Information'!$F$18="Yes",AF168="",BW168="Y"), "Y", "N")</f>
        <v>N</v>
      </c>
      <c r="GG168" s="255" t="s">
        <v>2946</v>
      </c>
      <c r="GH168" s="255" t="str">
        <f>IFERROR(IF(B168="", "", VLOOKUP(J168, 'Fixture Identities'!$A$6:$N$908, 14, FALSE)), "")</f>
        <v/>
      </c>
      <c r="GI168" s="389" t="str">
        <f>IF(OR(B168="", V168="", W168=""), "", IF(AND(OR(M168='Lookup Tables'!$R$18, M168='Lookup Tables'!$R$19, M168='Lookup Tables'!$R$20, M168='Lookup Tables'!$R$21, M168='Lookup Tables'!$R$22), OR(AN168='Lookup Tables'!$R$17, AN168='Lookup Tables'!$R$17, AN168="")), "Y", "N"))</f>
        <v/>
      </c>
      <c r="GJ168" s="255" t="str">
        <f t="shared" si="449"/>
        <v/>
      </c>
      <c r="GK168" s="255" t="str">
        <f t="shared" si="450"/>
        <v/>
      </c>
      <c r="GL168" s="255" t="str">
        <f t="shared" si="451"/>
        <v/>
      </c>
      <c r="GM168" s="255" t="str">
        <f>IF(AN168="", "", IF(AND(IF(ISNA(VLOOKUP(AN168,'Lookup Tables'!$R$18:$R$22,1,FALSE)), "N", "Y")="Y", E168="Exterior"), "Y", "N"))</f>
        <v/>
      </c>
      <c r="GN168" s="395"/>
      <c r="GO168" s="428">
        <f t="shared" si="497"/>
        <v>0</v>
      </c>
      <c r="GP168" s="428">
        <f t="shared" si="500"/>
        <v>0</v>
      </c>
      <c r="GQ168" s="428">
        <f t="shared" si="498"/>
        <v>0</v>
      </c>
      <c r="GR168" s="428">
        <f t="shared" si="499"/>
        <v>0</v>
      </c>
    </row>
    <row r="169" spans="1:200" s="103" customFormat="1" ht="13.5" customHeight="1" x14ac:dyDescent="0.2">
      <c r="A169" s="272">
        <v>159</v>
      </c>
      <c r="B169" s="110"/>
      <c r="C169" s="110"/>
      <c r="D169" s="110"/>
      <c r="E169" s="110"/>
      <c r="F169" s="110"/>
      <c r="G169" s="110"/>
      <c r="H169" s="110"/>
      <c r="I169" s="29"/>
      <c r="J169" s="29"/>
      <c r="K169" s="272" t="str">
        <f>IFERROR(IF(OR(VLOOKUP(J169, 'Fixture Identities'!$A$6:$L$1023, 3, FALSE)="T12 Linear Fluorescent", VLOOKUP(J169, 'Fixture Identities'!$A$6:$L$1023, 3, FALSE)="T12 U-Tube Fluorescent"), VLOOKUP(VLOOKUP(J169, 'Fixture Identities'!$A$6:$L$1023, 11, FALSE), 'Fixture Identities'!$A$6:$L$1023, 10, FALSE), VLOOKUP(J169, 'Fixture Identities'!$A$6:$L$1023, 10, FALSE)), "")</f>
        <v/>
      </c>
      <c r="L169" s="270" t="str">
        <f t="shared" si="502"/>
        <v/>
      </c>
      <c r="M169" s="110"/>
      <c r="N169" s="110"/>
      <c r="O169" s="110"/>
      <c r="P169" s="272" t="str">
        <f>IFERROR(IF(OR(B169="Retrofit",B169=""),"",IF('Lighting Inventory'!E169="Exterior",VLOOKUP('Lighting Inventory'!N169,'Lookup Tables'!$B$83:$F$103,5,FALSE),IF(N169="Other - Please Estimate EFLH and CFs","Contact Prog. Rep.","ft^2"))), "")</f>
        <v/>
      </c>
      <c r="Q169" s="270" t="str">
        <f>IFERROR(IF(AND(B169="New Construction",E169="Interior",$F$5="Space-by-Space"),VLOOKUP('Lighting Inventory'!N169,'Lookup Tables'!$N$6:$O$97,2,FALSE),IF(AND(B169="New Construction",E169="Exterior"),VLOOKUP(N169,'Lookup Tables'!$B$83:$F$103,2,FALSE),IF(AND(B169="New Construction",'Lighting Inventory'!E169="Interior", $F$5="Building Area"),VLOOKUP(F169,'Lookup Tables'!$A$6:$J$59,10,FALSE),""))), "")</f>
        <v/>
      </c>
      <c r="R169" s="270" t="str">
        <f>IFERROR(IF(P169="Contact Prog. Rep.", "ERROR", IF(OR(B169="",B169="Retrofit"),"",IF(N169="Automated teller machines", ('Lookup Tables'!$A$82:$E$100+('Lighting Inventory'!O169-1)*'Lookup Tables'!$A$82:$E$100)/1000, (Q169*O169)/1000))), "")</f>
        <v/>
      </c>
      <c r="S169" s="595"/>
      <c r="T169" s="105" t="str">
        <f t="shared" si="452"/>
        <v/>
      </c>
      <c r="U169" s="105" t="str">
        <f>IF(S169="","",COUNT($S$11:S169))</f>
        <v/>
      </c>
      <c r="V169" s="111"/>
      <c r="W169" s="112"/>
      <c r="X169" s="105" t="str">
        <f t="shared" si="453"/>
        <v/>
      </c>
      <c r="Y169" s="105" t="str">
        <f t="array" ref="Y169">IF(AND(OR(W169="Freezer Case Lighting", W169="Refrigerated Case Lighting with Doors"), 'General Information'!$X$18="LCI"),'Lookup Tables'!$Y$34, IF(V169="Custom", VLOOKUP(W169, 'Fixture Identities'!$A$974:$M$1023, 13, FALSE), IF(V169="No Change",'Lookup Tables'!$Y$29,IF(OR(V169="",W169=""),"",IF(AND(S169=0,S169&lt;I169,B169="Retrofit"),'Lookup Tables'!$Y$25, IF(B169="Retrofit", INDEX('Lookup Tables'!$AH$6:$AP$102, MATCH(1, ('Lookup Tables'!$AH$6:$AH$102=V169)*('Lookup Tables'!$AI$6:$AI$102=W169), 0), IF('Lighting Inventory'!E169="Interior", 4, 5)), INDEX('Lookup Tables'!$AH$114:$AP$154, MATCH(1, ('Lookup Tables'!$AH$114:$AH$154=V169)*('Lookup Tables'!$AI$114:$AI$154=W169), 0), IF('Lighting Inventory'!E169="Interior", 4, 5))))))))</f>
        <v/>
      </c>
      <c r="Z169" s="105" t="str">
        <f>IFERROR(INDEX('Lookup Tables'!$AH$158:$AH$172,MATCH('Lighting Inventory'!Y169,'Lookup Tables'!$AI$158:$AI$172,0)),"")</f>
        <v/>
      </c>
      <c r="AA169" s="105" t="str">
        <f>IF(AP169&gt;0,INDEX('Lookup Tables'!$AK$158:$AK$172,MATCH('Lighting Inventory'!Y169,'Lookup Tables'!$AI$158:$AI$172,0)),'Lighting Inventory'!Y169)</f>
        <v/>
      </c>
      <c r="AB169" s="105" t="str">
        <f t="array" ref="AB169">IF(V169="Custom", "Custom", IF(V169="", "", IF(V169="Not DLC or Energy Star", "General", IF(B169="New Construction", INDEX('Lookup Tables'!$AH$114:$AP$154,MATCH(1,('Lookup Tables'!$AH$114:$AH$154='Lighting Inventory'!V169)*('Lookup Tables'!$AI$114:$AI$154='Lighting Inventory'!W169),FALSE),8), INDEX('Lookup Tables'!$AH$6:$AP$102,MATCH(1,('Lookup Tables'!$AH$6:$AH$102='Lighting Inventory'!V169)*('Lookup Tables'!$AI$6:$AI$102='Lighting Inventory'!W169),FALSE),8)))))</f>
        <v/>
      </c>
      <c r="AC169" s="272" t="str">
        <f>IF(W169="","",IF(V169="Custom",CONCATENATE("$",'Lookup Tables'!$AM$101," ",'Lookup Tables'!$AN$101),CONCATENATE("$",INDEX('Lookup Tables'!$AM$6:$AM$102,MATCH('Lighting Inventory'!W169,'Lookup Tables'!$AI$6:$AI$102,0))," ",INDEX('Lookup Tables'!$AN$6:$AN$102,MATCH('Lighting Inventory'!W169,'Lookup Tables'!$AI$6:$AI$102,0)))))</f>
        <v/>
      </c>
      <c r="AD169" s="72"/>
      <c r="AE169" s="29"/>
      <c r="AF169" s="379"/>
      <c r="AG169" s="370" t="str">
        <f t="shared" si="401"/>
        <v/>
      </c>
      <c r="AH169" s="370" t="str">
        <f t="shared" si="454"/>
        <v/>
      </c>
      <c r="AI169" s="29"/>
      <c r="AJ169" s="29"/>
      <c r="AK169" s="110"/>
      <c r="AL169" s="375" t="str">
        <f>IF(OR(B169="", V169="", W169=""), "", IF(V169="No Change", K169, IF(V169="Remove Fixture", 0, IF(V169="Custom",VLOOKUP(W169,'Fixture Identities'!$A$6:$K$1023,10,FALSE),IF(AE169="", "← ENTER POST WATTS", 'Lighting Inventory'!AE169)))))</f>
        <v/>
      </c>
      <c r="AM169" s="376" t="str">
        <f t="shared" si="402"/>
        <v/>
      </c>
      <c r="AN169" s="29"/>
      <c r="AO169" s="671"/>
      <c r="AP169" s="29"/>
      <c r="AQ169" s="29"/>
      <c r="AR169" s="29"/>
      <c r="AS169" s="272" t="str">
        <f t="shared" si="455"/>
        <v/>
      </c>
      <c r="AT169" s="270" t="str">
        <f t="shared" si="403"/>
        <v/>
      </c>
      <c r="AU169" s="88" t="str">
        <f t="shared" si="503"/>
        <v/>
      </c>
      <c r="AV169" s="29"/>
      <c r="AW169" s="73"/>
      <c r="AX169" s="271" t="str">
        <f>IF(AND(AV169="Applicant",OR(AW169="", AW169="Use Default Facility Hours")),"← Choose Schedule",IF(F169="","",IF(W169="LED Exit Signs",8760,IF(OR(AV169="Prescribed",AV169=""),VLOOKUP(F169,'Lookup Tables'!$A$6:$G$59,IF(AB169="General", 6, 3),FALSE),VLOOKUP(AW169,'Lookup Tables'!$S$36:$U$43,2,FALSE)))))</f>
        <v/>
      </c>
      <c r="AY169" s="88" t="str">
        <f t="shared" si="404"/>
        <v/>
      </c>
      <c r="AZ169" s="270" t="str">
        <f>IFERROR(IF(F169="", "", IF(W169="LED Exit Signs", 1, IF(AV169="Applicant",VLOOKUP(AW169, 'Lookup Tables'!$S$36:$U$43,3, FALSE), VLOOKUP('Lighting Inventory'!F169, 'Lookup Tables'!$A$6:$H$59, IF('Lighting Inventory'!AB169="General",7,4), FALSE)))), "")</f>
        <v/>
      </c>
      <c r="BA169" s="522" t="str">
        <f>IFERROR(IF(F169="", "", IF(W169="LED Exit Signs", 1, VLOOKUP('Lighting Inventory'!F169, 'Lookup Tables'!$A$6:$H$59, IF('Lighting Inventory'!AB169="General",8,5), FALSE))), "")</f>
        <v/>
      </c>
      <c r="BB169" s="270" t="str">
        <f>IF(G169="", "", IF(E169="Exterior", 0, IF('Lighting Inventory'!G169="Air Conditioned", VLOOKUP(H169, 'Lookup Tables'!$R$6:$T$13, 2, FALSE), VLOOKUP('Lighting Inventory'!G169, 'Lookup Tables'!$R$6:$T$13, 2, FALSE))))</f>
        <v/>
      </c>
      <c r="BC169" s="522" t="str">
        <f>IF(G169="", "", IF(E169="Exterior", 0, IF('Lighting Inventory'!G169="Air Conditioned", VLOOKUP(H169, 'Lookup Tables'!$R$6:$T$13, 3, FALSE), VLOOKUP('Lighting Inventory'!G169, 'Lookup Tables'!$R$6:$T$13, 3, FALSE))))</f>
        <v/>
      </c>
      <c r="BD169" s="270" t="str">
        <f>IF(G169="", "", IF(E169="Exterior", 0, IF('Lighting Inventory'!G169="Air Conditioned", VLOOKUP(H169, 'Lookup Tables'!$R$6:$U$13, 4, FALSE), VLOOKUP('Lighting Inventory'!G169, 'Lookup Tables'!$R$6:$U$13, 4, FALSE))))</f>
        <v/>
      </c>
      <c r="BE169" s="270" t="str">
        <f>IFERROR(IF(B169="", "",  IF(B169="New Construction", VLOOKUP(F169, 'Lookup Tables'!$A$6:$K$59, 11, FALSE),IF(OR(AN169="", AN169="Light Switch"), 0, IF(OR(M169="",M169="None",V169= "LED Exit Signs"),0,_xlfn.XLOOKUP(M169,'Lookup Tables'!$R$91:$R$101,'Lookup Tables'!$V$91:$V$101))))), "")</f>
        <v/>
      </c>
      <c r="BF169" s="270" t="str">
        <f>IF(AND(OR(AN169="Light Switch",AN169=""),B169="New Construction"), VLOOKUP(F169, 'Lookup Tables'!$A$6:$K$59, 11, FALSE),IF(AN169="","",IF(B169="","",IF(OR(AN169="None",AN169="",V169="LED Exit Signs",AN169="Exterior Controls Not Eligible"),0,_xlfn.XLOOKUP(AN169,'Lookup Tables'!$R$91:$R$101,'Lookup Tables'!$V$91:$V$101)))))</f>
        <v/>
      </c>
      <c r="BG169" s="88" t="str">
        <f t="shared" si="456"/>
        <v/>
      </c>
      <c r="BH169" s="88" t="str">
        <f t="shared" si="457"/>
        <v/>
      </c>
      <c r="BI169" s="558" t="str">
        <f t="shared" si="501"/>
        <v/>
      </c>
      <c r="BJ169" s="82" t="str">
        <f t="shared" si="458"/>
        <v/>
      </c>
      <c r="BK169" s="82" t="str">
        <f t="shared" si="459"/>
        <v/>
      </c>
      <c r="BL169" s="559" t="str">
        <f t="shared" si="460"/>
        <v/>
      </c>
      <c r="BM169" s="521" t="str">
        <f t="shared" si="405"/>
        <v/>
      </c>
      <c r="BN169" s="521" t="str">
        <f t="shared" si="406"/>
        <v/>
      </c>
      <c r="BO169" s="522" t="str">
        <f t="shared" si="407"/>
        <v/>
      </c>
      <c r="BP169" s="83" t="str">
        <f t="shared" si="461"/>
        <v/>
      </c>
      <c r="BQ169" s="84" t="str">
        <f t="shared" si="462"/>
        <v/>
      </c>
      <c r="BR169" s="184" t="str">
        <f>IFERROR(IF(B169="", "", IF(OR(VLOOKUP(J169, 'Fixture Identities'!$A$6:$L$1023, 3, FALSE)="T12 Linear Fluorescent",VLOOKUP(J169, 'Fixture Identities'!$A$6:$L$1023, 3, FALSE)="T12 U-Tube Fluorescent"), "Y", "N")), "N")</f>
        <v/>
      </c>
      <c r="BS169" s="184" t="str">
        <f t="array" ref="BS169">IFERROR(IF(OR(B169="", V169="", W169=""), "", IF(V169="Custom", "N", IF(OR(W169="Freezer Case Lighting", W169="Refrigerated Case Lighting with Doors"), BT169, IF(B169="Retrofit", INDEX('Lookup Tables'!$AH$6:$AT$102,MATCH(1,('Lookup Tables'!$AH$6:$AH$102=V169)*('Lookup Tables'!$AI$6:$AI$102=W169),FALSE),IF(VLOOKUP(J169, 'Fixture Identities'!$A$6:$B$1023, 2, FALSE)="Incandescent",12, 13)), INDEX('Lookup Tables'!$AH$114:$AS$154,MATCH(1,('Lookup Tables'!$AH$114:$AH$154=V169)*('Lookup Tables'!$AI$114:$AI$154=W169),FALSE),12))))), "N")</f>
        <v/>
      </c>
      <c r="BT169" s="184" t="str">
        <f>IF(J169="", "", IF(AND(OR(W169="Freezer case Lighting", W169="Refrigerated Case Lighting with Doors"),'General Information'!$X$18="LCI"), "N", IF(OR(VLOOKUP(J169, 'Fixture Identities'!$A$6:$B$1023, 2, FALSE)="T12 EPACT/EISA Baseline", VLOOKUP(J169, 'Fixture Identities'!$A$6:$B$1023, 2, FALSE)="Linear Fluorescent", VLOOKUP(J169, 'Fixture Identities'!$A$6:$B$1023, 2, FALSE)="U-Tube Fluorescent"), "Y", "N")))</f>
        <v/>
      </c>
      <c r="BU169" s="184" t="str">
        <f>IFERROR(IF(B169="", "", IF(VLOOKUP(J169, 'Fixture Identities'!$A$6:$B$1023, 2, FALSE)="Exit Sign", "Y", "N")), "N")</f>
        <v/>
      </c>
      <c r="BV169" s="184" t="str">
        <f>IF(V169="Exit Signs", IF(VLOOKUP(J169, 'Fixture Identities'!$A$6:$B$1023, 2, FALSE)="Exit Sign", "N", "Y"), "")</f>
        <v/>
      </c>
      <c r="BW169" s="184" t="str">
        <f t="array" ref="BW169">IFERROR(IF(B169="", "", IF(B169="New Construction", "N", INDEX('Lookup Tables'!$AH$6:$AU$102, MATCH(1, ('Lookup Tables'!$AH$6:$AH$102='Lighting Inventory'!V169)*('Lookup Tables'!$AI$6:$AI$102='Lighting Inventory'!W169), 0), 14))), "N")</f>
        <v/>
      </c>
      <c r="BX169" s="598" t="str">
        <f t="shared" si="463"/>
        <v/>
      </c>
      <c r="BY169" s="598" t="str">
        <f t="shared" si="464"/>
        <v/>
      </c>
      <c r="BZ169" s="598" t="str">
        <f t="shared" si="465"/>
        <v/>
      </c>
      <c r="CA169" s="598" t="str">
        <f t="shared" si="466"/>
        <v/>
      </c>
      <c r="CB169" s="269" t="str">
        <f t="shared" si="467"/>
        <v/>
      </c>
      <c r="CC169" s="517" t="str">
        <f t="shared" si="468"/>
        <v/>
      </c>
      <c r="CD169" s="565" t="str">
        <f t="shared" si="408"/>
        <v/>
      </c>
      <c r="CE169" s="368">
        <v>0</v>
      </c>
      <c r="CF169" s="368" t="str" cm="1">
        <f t="array" ref="CF169">IFERROR(IF(V169="Custom", "$0.1 per kWh", IF(B169="New Construction", CONCATENATE("$",INDEX('Lookup Tables'!$AH$114:$AN$154,MATCH(1,('Lookup Tables'!$AH$114:$AH$154='Lighting Inventory'!V169)*('Lookup Tables'!$AI$114:$AI$154='Lighting Inventory'!W169),FALSE),6)," ",INDEX('Lookup Tables'!$AH$114:$AN$154,MATCH(1,('Lookup Tables'!$AH$114:$AH$154='Lighting Inventory'!V169)*('Lookup Tables'!$AI$114:$AI$154='Lighting Inventory'!W169),FALSE),7)), IF(AND(BU169="N", V169="Exit Signs"), "$0.025 per kWh", CONCATENATE("$",INDEX('Lookup Tables'!$AH$6:$AN$102,MATCH(1,('Lookup Tables'!$AH$6:$AH$102='Lighting Inventory'!V169)*('Lookup Tables'!$AI$6:$AI$102='Lighting Inventory'!W169),FALSE),6)," ",INDEX('Lookup Tables'!$AH$6:$AN$102,MATCH(1,('Lookup Tables'!$AH$6:$AH$102='Lighting Inventory'!V169)*('Lookup Tables'!$AI$6:$AI$102='Lighting Inventory'!W169),FALSE),7))))), "")</f>
        <v/>
      </c>
      <c r="CG169" s="366"/>
      <c r="CH169" s="248" t="str">
        <f t="shared" si="409"/>
        <v/>
      </c>
      <c r="CI169" s="248" t="str">
        <f t="shared" si="410"/>
        <v>Select_IE</v>
      </c>
      <c r="CJ169" s="248" t="str">
        <f t="shared" si="411"/>
        <v/>
      </c>
      <c r="CK169" s="248" t="str">
        <f t="shared" si="412"/>
        <v/>
      </c>
      <c r="CL169" s="248" t="str">
        <f t="shared" si="413"/>
        <v/>
      </c>
      <c r="CM169" s="248" t="str">
        <f>IFERROR(IF(B169="", "", IF(B169="New Construction", VLOOKUP(V169, 'Lookup Tables'!$AF$114:$AG$120, 2, FALSE), VLOOKUP(V169, 'Lookup Tables'!$AD$6:$AE$25, 2, FALSE))), "")</f>
        <v/>
      </c>
      <c r="CN169" s="248" t="str">
        <f t="shared" si="414"/>
        <v/>
      </c>
      <c r="CO169" s="248" t="str">
        <f t="shared" si="415"/>
        <v/>
      </c>
      <c r="CP169" s="592" t="str">
        <f t="shared" si="416"/>
        <v/>
      </c>
      <c r="CQ169" s="248" t="str">
        <f t="shared" si="469"/>
        <v/>
      </c>
      <c r="CR169" s="100"/>
      <c r="CS169" s="250" t="str">
        <f t="shared" si="417"/>
        <v/>
      </c>
      <c r="CT169" s="250" t="str">
        <f t="shared" si="470"/>
        <v/>
      </c>
      <c r="CU169" s="250" t="str">
        <f t="shared" si="471"/>
        <v/>
      </c>
      <c r="CV169" s="250" t="str">
        <f t="shared" si="472"/>
        <v/>
      </c>
      <c r="CW169" s="250" t="str">
        <f t="shared" si="473"/>
        <v/>
      </c>
      <c r="CX169" s="250" t="str">
        <f t="shared" si="418"/>
        <v/>
      </c>
      <c r="CY169" s="250" t="str">
        <f t="shared" si="419"/>
        <v/>
      </c>
      <c r="CZ169" s="250" t="str">
        <f t="shared" si="420"/>
        <v/>
      </c>
      <c r="DA169" s="250" t="str">
        <f t="shared" si="421"/>
        <v/>
      </c>
      <c r="DB169" s="250" t="str">
        <f t="shared" si="422"/>
        <v/>
      </c>
      <c r="DC169" s="250" t="str">
        <f t="shared" si="423"/>
        <v/>
      </c>
      <c r="DD169" s="250" t="str">
        <f t="shared" si="424"/>
        <v/>
      </c>
      <c r="DE169" s="250" t="str">
        <f t="shared" si="425"/>
        <v/>
      </c>
      <c r="DF169" s="250" t="str">
        <f t="shared" si="426"/>
        <v/>
      </c>
      <c r="DG169" s="250" t="str">
        <f t="shared" si="427"/>
        <v/>
      </c>
      <c r="DH169" s="250" t="str">
        <f t="shared" si="428"/>
        <v/>
      </c>
      <c r="DI169" s="250" t="str">
        <f t="shared" si="429"/>
        <v/>
      </c>
      <c r="DJ169" s="250" t="str">
        <f t="shared" si="430"/>
        <v/>
      </c>
      <c r="DK169" s="250" t="str">
        <f t="shared" si="431"/>
        <v/>
      </c>
      <c r="DL169" s="250" t="str">
        <f t="shared" si="432"/>
        <v/>
      </c>
      <c r="DM169" s="250" t="str">
        <f>IF(CD169="ERROR", "ERROR", IF(AND(OR(Y169=$DM$6, Y169='Lookup Tables'!$AD$21, Y169='Lookup Tables'!$AD$22), E169="Interior"), BJ169, ""))</f>
        <v/>
      </c>
      <c r="DN169" s="250" t="str">
        <f>IF(CD169="ERROR", "ERROR", IF(AND(OR(Y169=$DM$6, Y169='Lookup Tables'!$AD$21, Y169='Lookup Tables'!$AD$22), E169="Exterior"), BJ169, ""))</f>
        <v/>
      </c>
      <c r="DO169" s="100"/>
      <c r="DP169" s="250" t="str">
        <f t="shared" si="433"/>
        <v/>
      </c>
      <c r="DQ169" s="250" t="str">
        <f t="shared" si="474"/>
        <v/>
      </c>
      <c r="DR169" s="250" t="str">
        <f t="shared" si="475"/>
        <v/>
      </c>
      <c r="DS169" s="250" t="str">
        <f t="shared" si="476"/>
        <v/>
      </c>
      <c r="DT169" s="250" t="str">
        <f t="shared" si="477"/>
        <v/>
      </c>
      <c r="DU169" s="250" t="str">
        <f t="shared" si="434"/>
        <v/>
      </c>
      <c r="DV169" s="250" t="str">
        <f t="shared" si="435"/>
        <v/>
      </c>
      <c r="DW169" s="250" t="str">
        <f t="shared" si="436"/>
        <v/>
      </c>
      <c r="DX169" s="250" t="str">
        <f t="shared" si="437"/>
        <v/>
      </c>
      <c r="DY169" s="250" t="str">
        <f t="shared" si="438"/>
        <v/>
      </c>
      <c r="DZ169" s="250" t="str">
        <f t="shared" si="439"/>
        <v/>
      </c>
      <c r="EA169" s="250" t="str">
        <f t="shared" si="440"/>
        <v/>
      </c>
      <c r="EB169" s="250" t="str">
        <f t="shared" si="478"/>
        <v/>
      </c>
      <c r="EC169" s="250" t="str">
        <f t="shared" si="441"/>
        <v/>
      </c>
      <c r="ED169" s="250" t="str">
        <f t="shared" si="442"/>
        <v/>
      </c>
      <c r="EE169" s="250" t="str">
        <f t="shared" si="443"/>
        <v/>
      </c>
      <c r="EF169" s="250" t="str">
        <f t="shared" si="444"/>
        <v/>
      </c>
      <c r="EG169" s="250" t="str">
        <f t="shared" si="445"/>
        <v/>
      </c>
      <c r="EH169" s="250" t="str">
        <f>IF(CD169="ERROR", "ERROR", IF(AND(OR($EH$6=Y169, Y169='Lookup Tables'!$AD$21, Y169='Lookup Tables'!$AD$22),E169="Interior"), SUM(BP169:BP169), ""))</f>
        <v/>
      </c>
      <c r="EI169" s="250" t="str">
        <f>IF(CD169="ERROR", "ERROR", IF(AND(OR($EH$6=Y169, Y169='Lookup Tables'!$AD$21, Y169='Lookup Tables'!$AD$22),E169="Exterior"), SUM(BP169:BP169), ""))</f>
        <v/>
      </c>
      <c r="EJ169" s="109"/>
      <c r="EK169" s="485" t="str">
        <f t="shared" si="446"/>
        <v/>
      </c>
      <c r="EL169" s="252" t="str">
        <f t="shared" si="479"/>
        <v/>
      </c>
      <c r="EM169" s="252" t="str">
        <f t="shared" si="480"/>
        <v/>
      </c>
      <c r="EN169" s="252" t="str">
        <f t="shared" si="481"/>
        <v/>
      </c>
      <c r="EO169" s="252" t="str">
        <f t="shared" si="482"/>
        <v/>
      </c>
      <c r="EP169" s="252" t="str">
        <f t="shared" si="483"/>
        <v/>
      </c>
      <c r="EQ169" s="252" t="str">
        <f t="shared" si="484"/>
        <v/>
      </c>
      <c r="ER169" s="252" t="str">
        <f t="shared" si="485"/>
        <v/>
      </c>
      <c r="ES169" s="252" t="str">
        <f t="shared" si="486"/>
        <v/>
      </c>
      <c r="ET169" s="252" t="str">
        <f t="shared" si="487"/>
        <v/>
      </c>
      <c r="EU169" s="252" t="str">
        <f t="shared" si="488"/>
        <v/>
      </c>
      <c r="EV169" s="252" t="str">
        <f t="shared" si="489"/>
        <v/>
      </c>
      <c r="EW169" s="252" t="str">
        <f t="shared" si="490"/>
        <v/>
      </c>
      <c r="EX169" s="252" t="str">
        <f t="shared" si="491"/>
        <v/>
      </c>
      <c r="EY169" s="252" t="str">
        <f t="shared" si="492"/>
        <v/>
      </c>
      <c r="EZ169" s="252" t="str">
        <f t="shared" si="493"/>
        <v/>
      </c>
      <c r="FA169" s="252" t="str">
        <f t="shared" si="494"/>
        <v/>
      </c>
      <c r="FB169" s="252" t="str">
        <f t="shared" si="495"/>
        <v/>
      </c>
      <c r="FC169" s="252" t="str">
        <f>IF(CD169="ERROR", "ERROR", IF(OR(V169="No Change", V169="Not DLC or Energy Star"), "", IF(AND(OR($FC$6=Y169,Y169='Lookup Tables'!$AD$21, Y169='Lookup Tables'!$AD$22),E169="Interior"), S169, "")))</f>
        <v/>
      </c>
      <c r="FD169" s="252" t="str">
        <f t="shared" si="496"/>
        <v/>
      </c>
      <c r="FE169" s="101"/>
      <c r="FF169" s="579" t="str" cm="1">
        <f t="array" ref="FF169">IFERROR(IF(OR(BQ169&lt;=0,AQ169&lt;20,AND(V169="Exit Signs",AN169&gt;0)),"",IF(AND(AQ169&gt;=20,AN169='Lookup Tables'!$R$101),'Lookup Tables'!$U$101*BQ169,AP169*LOOKUP(2,1/((AN169='Lookup Tables'!$R$91:$R$111)*(AQ169&gt;='Lookup Tables'!$S$91:$S$111)*(AQ169&lt;='Lookup Tables'!$T$91:$T$111)),'Lookup Tables'!$U$91:$U$111))),"")</f>
        <v/>
      </c>
      <c r="FG169" s="579"/>
      <c r="FH169" s="579"/>
      <c r="FI169" s="253" t="str">
        <f>IFERROR(ROUND(IF(CD169="ERROR", "ERROR", IF(AND($FI$7=X169,E169="Interior"),VLOOKUP(W169, 'Lookup Tables'!$AI$6:$AM$102, 5, FALSE)*BP169, "")), 2), "")</f>
        <v/>
      </c>
      <c r="FJ169" s="253" t="str">
        <f>IFERROR(ROUND(IF(CD169="ERROR", "ERROR", IF(AND($FI$7=X169,E169="Exterior"),VLOOKUP(W169, 'Lookup Tables'!$AI$6:$AM$102, 5, FALSE)*BP169, "")), 2), "")</f>
        <v/>
      </c>
      <c r="FK169" s="253" t="str">
        <f>IFERROR(ROUND(IF(CD169="ERROR", "ERROR", IF(AND($FK$7=X169,E169="Interior"),VLOOKUP(W169, 'Lookup Tables'!$AI$6:$AM$102, 5, FALSE)*BP169, "")), 2), "")</f>
        <v/>
      </c>
      <c r="FL169" s="253" t="str">
        <f>IFERROR(ROUND(IF(CD169="ERROR", "ERROR", IF(AND($FK$7=X169,E169="Exterior"),VLOOKUP(W169, 'Lookup Tables'!$AI$6:$AM$102, 5, FALSE)*BP169, "")), 2), "")</f>
        <v/>
      </c>
      <c r="FM169" s="253" t="str">
        <f>IFERROR(ROUND(IF(CD169="ERROR", "ERROR", IF(AND($FM$6=Y169,E169="Interior"), IF(GB169=0, VLOOKUP(W169, 'Lookup Tables'!$AI$6:$AM$102, 5, FALSE)*BP169, IF(VLOOKUP(W169, 'Lookup Tables'!$AI$6:$AM$102, 5, FALSE)*BP169&gt;GB169*'Lighting Inventory'!S169, GB169*'Lighting Inventory'!S169,VLOOKUP(W169, 'Lookup Tables'!$AI$6:$AM$102, 5, FALSE)*BP169)), "")), 2), "")</f>
        <v/>
      </c>
      <c r="FN169" s="253" t="str">
        <f>IFERROR(ROUND(IF(CD169="ERROR", "ERROR", IF(AND($FM$6=Y169,E169="Exterior"), IF(GB169=0, VLOOKUP(W169, 'Lookup Tables'!$AI$6:$AM$102, 5, FALSE)*BP169, IF(VLOOKUP(W169, 'Lookup Tables'!$AI$6:$AM$102, 5, FALSE)*BP169&gt;GB169*'Lighting Inventory'!S169, GB169*'Lighting Inventory'!S169,VLOOKUP(W169, 'Lookup Tables'!$AI$6:$AM$102, 5, FALSE)*BP169)), "")), 2), "")</f>
        <v/>
      </c>
      <c r="FO169" s="253" t="str">
        <f>IFERROR(ROUND(IF(CD169="ERROR", "ERROR", IF(AND($FO$6=Y169,E169="Interior"),VLOOKUP(W169, 'Lookup Tables'!$AI$6:$AM$102, 5, FALSE)*'Lighting Inventory'!AI169, "")), 2), "")</f>
        <v/>
      </c>
      <c r="FP169" s="253" t="str">
        <f>IFERROR(ROUND(IF(CD169="ERROR", "ERROR", IF(AND($FO$6=Y169,E169="Exterior"),VLOOKUP(W169, 'Lookup Tables'!$AI$6:$AM$102, 5, FALSE)*'Lighting Inventory'!AI169, "")), 2), "")</f>
        <v/>
      </c>
      <c r="FQ169" s="253" t="str">
        <f>IFERROR(ROUND(IF(CD169="ERROR", "ERROR", IF(AND($FQ$6=Y169,E169="Interior", BU169="Y"), VLOOKUP('Lighting Inventory'!W169, 'Lookup Tables'!$AI$6:$AM$102, 5, FALSE)*'Lighting Inventory'!S169, IF(AND($FQ$7=Y169,E169="Interior", BU169="N"), 0.025*CD169, ""))), 2), "")</f>
        <v/>
      </c>
      <c r="FR169" s="253" t="str">
        <f>IFERROR(ROUND(IF(CD169="ERROR", "ERROR", IF(AND($FQ$6=Y169,E169="Exterior"), VLOOKUP('Lighting Inventory'!W169, 'Lookup Tables'!$AI$6:$AM$102, 5, FALSE)*'Lighting Inventory'!S169, "")), 2), "")</f>
        <v/>
      </c>
      <c r="FS169" s="253" t="str">
        <f>IFERROR(ROUND(IF(CD169="ERROR", "ERROR", IF(AND($FS$6=Y169,E169="Exterior"), IF(GB169=0, VLOOKUP(W169, 'Lookup Tables'!$AI$6:$AM$102, 5, FALSE)*BP169, IF(VLOOKUP(W169, 'Lookup Tables'!$AI$6:$AM$102, 5, FALSE)*BP169&gt;GB169*'Lighting Inventory'!S169, GB169*'Lighting Inventory'!S169,VLOOKUP(W169, 'Lookup Tables'!$AI$6:$AM$102, 5, FALSE)*BP169)), "")), 2), "")</f>
        <v/>
      </c>
      <c r="FT169" s="253" t="str">
        <f>IFERROR(ROUND(IF(CD169="ERROR", "ERROR", IF(AND($FT$6=Y169,E169="Interior"), IF(GB169=0, VLOOKUP(W169, 'Lookup Tables'!$AI$6:$AM$102, 5, FALSE)*BP169, IF(VLOOKUP(W169, 'Lookup Tables'!$AI$6:$AM$102, 5, FALSE)*BP169&gt;GB169*'Lighting Inventory'!S169, GB169*'Lighting Inventory'!S169,VLOOKUP(W169, 'Lookup Tables'!$AI$6:$AM$102, 5, FALSE)*BP169)), "")), 2), "")</f>
        <v/>
      </c>
      <c r="FU169" s="253" t="str">
        <f>IFERROR(ROUND(IF(CD169="ERROR", "ERROR", IF(AND(Y169=$FU$6, E169="Interior"), IF(BS169="N", 'Lookup Tables'!$AM$101*BP169, VLOOKUP(W169, 'Lookup Tables'!$AI$6:$AM$102, 5, FALSE)*S169*AD169), "")), 2), "")</f>
        <v/>
      </c>
      <c r="FV169" s="253" t="str">
        <f>IFERROR(ROUND(IF(CD169="ERROR", "ERROR", IF(AND(Y169=$FU$6, E169="Exterior"), IF(BS169="N", 'Lookup Tables'!$AM$101*BP169, VLOOKUP(W169, 'Lookup Tables'!$AI$6:$AM$102, 5, FALSE)*S169*AD169), "")), 2), "")</f>
        <v/>
      </c>
      <c r="FW169" s="253" t="str">
        <f>IFERROR(ROUND(IF(CD169="ERROR", "ERROR", IF($FW$6=Y169, IF(BS169="N", 'Lookup Tables'!$AM$101*BP169, MIN((VLOOKUP(W169, 'Lookup Tables'!$AI$6:$AM$102, 5, FALSE)*BP169),GB169*AJ169)), "")), 2), "")</f>
        <v/>
      </c>
      <c r="FX169" s="253" t="str">
        <f>IFERROR(ROUND(IF(CD169="ERROR", "ERROR", IF(AND($FX$6=Y169, E169="Interior"), IF(VLOOKUP(W169, 'Lookup Tables'!$AI$6:$AM$102, 5, FALSE)*BP169&gt;'Lookup Tables'!$AQ$97*'Lighting Inventory'!S169,'Lighting Inventory'!S169*'Lookup Tables'!$AQ$97,VLOOKUP(W169, 'Lookup Tables'!$AI$6:$AM$102, 5, FALSE)*BP169), "")), 2), "")</f>
        <v/>
      </c>
      <c r="FY169" s="253" t="str">
        <f>IFERROR(ROUND(IF(CD169="ERROR", "ERROR", IF(AND($FX$6=Y169, E169="Exterior"), IF(VLOOKUP(W169, 'Lookup Tables'!$AI$6:$AM$102, 5, FALSE)*BP169&gt;'Lookup Tables'!$AQ$97*'Lighting Inventory'!S169,'Lighting Inventory'!S169*'Lookup Tables'!$AQ$97,VLOOKUP(W169, 'Lookup Tables'!$AI$6:$AM$102, 5, FALSE)*BP169), "")), 2), "")</f>
        <v/>
      </c>
      <c r="FZ169" s="253" t="str">
        <f>IFERROR(ROUND(IF(CD169="ERROR", "ERROR", IF(AND($FZ$6=Y169, E169="Interior"), IF(AND(OR(W169="Refrigerated Case Lighting with Doors", W169="Freezer Case Lighting"),Y169="Custom - Process Improvement"),CD169*'Lookup Tables'!$AM$101, IF(B169="Retrofit", IF(VLOOKUP(IF(V169="Custom", V169, W169), 'Lookup Tables'!$AI$6:$AM$102, 5, FALSE)*BP169&gt;GE169, GE169, VLOOKUP(IF(V169="Custom", V169, W169), 'Lookup Tables'!$AI$6:$AM$102, 5, FALSE)*BP169), IF(VLOOKUP(IF(V169="Custom", V169, W169), 'Lookup Tables'!$AI$114:$AM$154, 5, FALSE)*BP169&gt;GE169, GE169, VLOOKUP(IF(V169="Custom", V169, W169), 'Lookup Tables'!$AI$114:$AM$154, 5, FALSE)*BP169))), "")), 2),"")</f>
        <v/>
      </c>
      <c r="GA169" s="253" t="str">
        <f>IFERROR(ROUND(IF(CD169="ERROR", "ERROR", IF(AND($FZ$6=Y169, E169="Exterior"), IF(B169="Retrofit", IF(VLOOKUP(IF(V169="Custom", V169, W169), 'Lookup Tables'!$AI$6:$AM$102, 5, FALSE)*BP169&gt;GE169, GE169, VLOOKUP(IF(V169="Custom", V169, W169), 'Lookup Tables'!$AI$6:$AM$102, 5, FALSE)*BP169), IF(VLOOKUP(IF(V169="Custom", V169, W169), 'Lookup Tables'!$AI$114:$AM$154, 5, FALSE)*BP169&gt;GE169, GE169, VLOOKUP(IF(V169="Custom", V169, W169), 'Lookup Tables'!$AI$114:$AM$154, 5, FALSE)*BP169)), "")), 2),"")</f>
        <v/>
      </c>
      <c r="GB169" s="254" t="str">
        <f t="array" ref="GB169">IF(B169="","",IF(OR(V169="Custom",V169="No Change"),0,IF(B169="Retrofit", INDEX('Lookup Tables'!$AH$6:$AQ$102,MATCH(1,('Lookup Tables'!$AH$6:$AH$102='Lighting Inventory'!V169)*('Lookup Tables'!$AI$6:$AI$102='Lighting Inventory'!W169),FALSE),10),INDEX('Lookup Tables'!$AH$114:$AQ$154,MATCH(1,('Lookup Tables'!$AH$114:$AH$154='Lighting Inventory'!V169)*('Lookup Tables'!$AI$114:$AI$154='Lighting Inventory'!W169),FALSE),10))))</f>
        <v/>
      </c>
      <c r="GC169" s="255" t="str">
        <f t="shared" si="447"/>
        <v/>
      </c>
      <c r="GD169" s="250" t="str">
        <f t="shared" si="448"/>
        <v/>
      </c>
      <c r="GE169" s="253" t="str">
        <f>IFERROR(IF(AND(AF169="", 'General Information'!$F$18="No"),"", IF(AF169="", ((GD169/$CD$266)*$CF$266)*0.5, AF169*S169*0.5)), "")</f>
        <v/>
      </c>
      <c r="GF169" s="255" t="str">
        <f>IF(AND('General Information'!$F$19="", 'General Information'!$F$18="Yes",AF169="",BW169="Y"), "Y", "N")</f>
        <v>N</v>
      </c>
      <c r="GG169" s="255" t="s">
        <v>2946</v>
      </c>
      <c r="GH169" s="255" t="str">
        <f>IFERROR(IF(B169="", "", VLOOKUP(J169, 'Fixture Identities'!$A$6:$N$908, 14, FALSE)), "")</f>
        <v/>
      </c>
      <c r="GI169" s="389" t="str">
        <f>IF(OR(B169="", V169="", W169=""), "", IF(AND(OR(M169='Lookup Tables'!$R$18, M169='Lookup Tables'!$R$19, M169='Lookup Tables'!$R$20, M169='Lookup Tables'!$R$21, M169='Lookup Tables'!$R$22), OR(AN169='Lookup Tables'!$R$17, AN169='Lookup Tables'!$R$17, AN169="")), "Y", "N"))</f>
        <v/>
      </c>
      <c r="GJ169" s="255" t="str">
        <f t="shared" si="449"/>
        <v/>
      </c>
      <c r="GK169" s="255" t="str">
        <f t="shared" si="450"/>
        <v/>
      </c>
      <c r="GL169" s="255" t="str">
        <f t="shared" si="451"/>
        <v/>
      </c>
      <c r="GM169" s="255" t="str">
        <f>IF(AN169="", "", IF(AND(IF(ISNA(VLOOKUP(AN169,'Lookup Tables'!$R$18:$R$22,1,FALSE)), "N", "Y")="Y", E169="Exterior"), "Y", "N"))</f>
        <v/>
      </c>
      <c r="GN169" s="395"/>
      <c r="GO169" s="428">
        <f t="shared" si="497"/>
        <v>0</v>
      </c>
      <c r="GP169" s="428">
        <f t="shared" si="500"/>
        <v>0</v>
      </c>
      <c r="GQ169" s="428">
        <f t="shared" si="498"/>
        <v>0</v>
      </c>
      <c r="GR169" s="428">
        <f t="shared" si="499"/>
        <v>0</v>
      </c>
    </row>
    <row r="170" spans="1:200" s="103" customFormat="1" ht="13.5" customHeight="1" x14ac:dyDescent="0.2">
      <c r="A170" s="272">
        <v>160</v>
      </c>
      <c r="B170" s="110"/>
      <c r="C170" s="110"/>
      <c r="D170" s="110"/>
      <c r="E170" s="110"/>
      <c r="F170" s="110"/>
      <c r="G170" s="110"/>
      <c r="H170" s="110"/>
      <c r="I170" s="29"/>
      <c r="J170" s="29"/>
      <c r="K170" s="272" t="str">
        <f>IFERROR(IF(OR(VLOOKUP(J170, 'Fixture Identities'!$A$6:$L$1023, 3, FALSE)="T12 Linear Fluorescent", VLOOKUP(J170, 'Fixture Identities'!$A$6:$L$1023, 3, FALSE)="T12 U-Tube Fluorescent"), VLOOKUP(VLOOKUP(J170, 'Fixture Identities'!$A$6:$L$1023, 11, FALSE), 'Fixture Identities'!$A$6:$L$1023, 10, FALSE), VLOOKUP(J170, 'Fixture Identities'!$A$6:$L$1023, 10, FALSE)), "")</f>
        <v/>
      </c>
      <c r="L170" s="270" t="str">
        <f t="shared" si="502"/>
        <v/>
      </c>
      <c r="M170" s="110"/>
      <c r="N170" s="110"/>
      <c r="O170" s="110"/>
      <c r="P170" s="272" t="str">
        <f>IFERROR(IF(OR(B170="Retrofit",B170=""),"",IF('Lighting Inventory'!E170="Exterior",VLOOKUP('Lighting Inventory'!N170,'Lookup Tables'!$B$83:$F$103,5,FALSE),IF(N170="Other - Please Estimate EFLH and CFs","Contact Prog. Rep.","ft^2"))), "")</f>
        <v/>
      </c>
      <c r="Q170" s="270" t="str">
        <f>IFERROR(IF(AND(B170="New Construction",E170="Interior",$F$5="Space-by-Space"),VLOOKUP('Lighting Inventory'!N170,'Lookup Tables'!$N$6:$O$97,2,FALSE),IF(AND(B170="New Construction",E170="Exterior"),VLOOKUP(N170,'Lookup Tables'!$B$83:$F$103,2,FALSE),IF(AND(B170="New Construction",'Lighting Inventory'!E170="Interior", $F$5="Building Area"),VLOOKUP(F170,'Lookup Tables'!$A$6:$J$59,10,FALSE),""))), "")</f>
        <v/>
      </c>
      <c r="R170" s="270" t="str">
        <f>IFERROR(IF(P170="Contact Prog. Rep.", "ERROR", IF(OR(B170="",B170="Retrofit"),"",IF(N170="Automated teller machines", ('Lookup Tables'!$A$82:$E$100+('Lighting Inventory'!O170-1)*'Lookup Tables'!$A$82:$E$100)/1000, (Q170*O170)/1000))), "")</f>
        <v/>
      </c>
      <c r="S170" s="595"/>
      <c r="T170" s="105" t="str">
        <f t="shared" si="452"/>
        <v/>
      </c>
      <c r="U170" s="105" t="str">
        <f>IF(S170="","",COUNT($S$11:S170))</f>
        <v/>
      </c>
      <c r="V170" s="111"/>
      <c r="W170" s="112"/>
      <c r="X170" s="105" t="str">
        <f t="shared" si="453"/>
        <v/>
      </c>
      <c r="Y170" s="105" t="str">
        <f t="array" ref="Y170">IF(AND(OR(W170="Freezer Case Lighting", W170="Refrigerated Case Lighting with Doors"), 'General Information'!$X$18="LCI"),'Lookup Tables'!$Y$34, IF(V170="Custom", VLOOKUP(W170, 'Fixture Identities'!$A$974:$M$1023, 13, FALSE), IF(V170="No Change",'Lookup Tables'!$Y$29,IF(OR(V170="",W170=""),"",IF(AND(S170=0,S170&lt;I170,B170="Retrofit"),'Lookup Tables'!$Y$25, IF(B170="Retrofit", INDEX('Lookup Tables'!$AH$6:$AP$102, MATCH(1, ('Lookup Tables'!$AH$6:$AH$102=V170)*('Lookup Tables'!$AI$6:$AI$102=W170), 0), IF('Lighting Inventory'!E170="Interior", 4, 5)), INDEX('Lookup Tables'!$AH$114:$AP$154, MATCH(1, ('Lookup Tables'!$AH$114:$AH$154=V170)*('Lookup Tables'!$AI$114:$AI$154=W170), 0), IF('Lighting Inventory'!E170="Interior", 4, 5))))))))</f>
        <v/>
      </c>
      <c r="Z170" s="105" t="str">
        <f>IFERROR(INDEX('Lookup Tables'!$AH$158:$AH$172,MATCH('Lighting Inventory'!Y170,'Lookup Tables'!$AI$158:$AI$172,0)),"")</f>
        <v/>
      </c>
      <c r="AA170" s="105" t="str">
        <f>IF(AP170&gt;0,INDEX('Lookup Tables'!$AK$158:$AK$172,MATCH('Lighting Inventory'!Y170,'Lookup Tables'!$AI$158:$AI$172,0)),'Lighting Inventory'!Y170)</f>
        <v/>
      </c>
      <c r="AB170" s="105" t="str">
        <f t="array" ref="AB170">IF(V170="Custom", "Custom", IF(V170="", "", IF(V170="Not DLC or Energy Star", "General", IF(B170="New Construction", INDEX('Lookup Tables'!$AH$114:$AP$154,MATCH(1,('Lookup Tables'!$AH$114:$AH$154='Lighting Inventory'!V170)*('Lookup Tables'!$AI$114:$AI$154='Lighting Inventory'!W170),FALSE),8), INDEX('Lookup Tables'!$AH$6:$AP$102,MATCH(1,('Lookup Tables'!$AH$6:$AH$102='Lighting Inventory'!V170)*('Lookup Tables'!$AI$6:$AI$102='Lighting Inventory'!W170),FALSE),8)))))</f>
        <v/>
      </c>
      <c r="AC170" s="272" t="str">
        <f>IF(W170="","",IF(V170="Custom",CONCATENATE("$",'Lookup Tables'!$AM$101," ",'Lookup Tables'!$AN$101),CONCATENATE("$",INDEX('Lookup Tables'!$AM$6:$AM$102,MATCH('Lighting Inventory'!W170,'Lookup Tables'!$AI$6:$AI$102,0))," ",INDEX('Lookup Tables'!$AN$6:$AN$102,MATCH('Lighting Inventory'!W170,'Lookup Tables'!$AI$6:$AI$102,0)))))</f>
        <v/>
      </c>
      <c r="AD170" s="72"/>
      <c r="AE170" s="29"/>
      <c r="AF170" s="379"/>
      <c r="AG170" s="370" t="str">
        <f t="shared" si="401"/>
        <v/>
      </c>
      <c r="AH170" s="370" t="str">
        <f t="shared" si="454"/>
        <v/>
      </c>
      <c r="AI170" s="29"/>
      <c r="AJ170" s="29"/>
      <c r="AK170" s="110"/>
      <c r="AL170" s="375" t="str">
        <f>IF(OR(B170="", V170="", W170=""), "", IF(V170="No Change", K170, IF(V170="Remove Fixture", 0, IF(V170="Custom",VLOOKUP(W170,'Fixture Identities'!$A$6:$K$1023,10,FALSE),IF(AE170="", "← ENTER POST WATTS", 'Lighting Inventory'!AE170)))))</f>
        <v/>
      </c>
      <c r="AM170" s="376" t="str">
        <f t="shared" si="402"/>
        <v/>
      </c>
      <c r="AN170" s="29"/>
      <c r="AO170" s="671"/>
      <c r="AP170" s="29"/>
      <c r="AQ170" s="29"/>
      <c r="AR170" s="29"/>
      <c r="AS170" s="272" t="str">
        <f t="shared" si="455"/>
        <v/>
      </c>
      <c r="AT170" s="270" t="str">
        <f t="shared" si="403"/>
        <v/>
      </c>
      <c r="AU170" s="88" t="str">
        <f t="shared" si="503"/>
        <v/>
      </c>
      <c r="AV170" s="29"/>
      <c r="AW170" s="73"/>
      <c r="AX170" s="271" t="str">
        <f>IF(AND(AV170="Applicant",OR(AW170="", AW170="Use Default Facility Hours")),"← Choose Schedule",IF(F170="","",IF(W170="LED Exit Signs",8760,IF(OR(AV170="Prescribed",AV170=""),VLOOKUP(F170,'Lookup Tables'!$A$6:$G$59,IF(AB170="General", 6, 3),FALSE),VLOOKUP(AW170,'Lookup Tables'!$S$36:$U$43,2,FALSE)))))</f>
        <v/>
      </c>
      <c r="AY170" s="88" t="str">
        <f t="shared" si="404"/>
        <v/>
      </c>
      <c r="AZ170" s="270" t="str">
        <f>IFERROR(IF(F170="", "", IF(W170="LED Exit Signs", 1, IF(AV170="Applicant",VLOOKUP(AW170, 'Lookup Tables'!$S$36:$U$43,3, FALSE), VLOOKUP('Lighting Inventory'!F170, 'Lookup Tables'!$A$6:$H$59, IF('Lighting Inventory'!AB170="General",7,4), FALSE)))), "")</f>
        <v/>
      </c>
      <c r="BA170" s="522" t="str">
        <f>IFERROR(IF(F170="", "", IF(W170="LED Exit Signs", 1, VLOOKUP('Lighting Inventory'!F170, 'Lookup Tables'!$A$6:$H$59, IF('Lighting Inventory'!AB170="General",8,5), FALSE))), "")</f>
        <v/>
      </c>
      <c r="BB170" s="270" t="str">
        <f>IF(G170="", "", IF(E170="Exterior", 0, IF('Lighting Inventory'!G170="Air Conditioned", VLOOKUP(H170, 'Lookup Tables'!$R$6:$T$13, 2, FALSE), VLOOKUP('Lighting Inventory'!G170, 'Lookup Tables'!$R$6:$T$13, 2, FALSE))))</f>
        <v/>
      </c>
      <c r="BC170" s="522" t="str">
        <f>IF(G170="", "", IF(E170="Exterior", 0, IF('Lighting Inventory'!G170="Air Conditioned", VLOOKUP(H170, 'Lookup Tables'!$R$6:$T$13, 3, FALSE), VLOOKUP('Lighting Inventory'!G170, 'Lookup Tables'!$R$6:$T$13, 3, FALSE))))</f>
        <v/>
      </c>
      <c r="BD170" s="270" t="str">
        <f>IF(G170="", "", IF(E170="Exterior", 0, IF('Lighting Inventory'!G170="Air Conditioned", VLOOKUP(H170, 'Lookup Tables'!$R$6:$U$13, 4, FALSE), VLOOKUP('Lighting Inventory'!G170, 'Lookup Tables'!$R$6:$U$13, 4, FALSE))))</f>
        <v/>
      </c>
      <c r="BE170" s="270" t="str">
        <f>IFERROR(IF(B170="", "",  IF(B170="New Construction", VLOOKUP(F170, 'Lookup Tables'!$A$6:$K$59, 11, FALSE),IF(OR(AN170="", AN170="Light Switch"), 0, IF(OR(M170="",M170="None",V170= "LED Exit Signs"),0,_xlfn.XLOOKUP(M170,'Lookup Tables'!$R$91:$R$101,'Lookup Tables'!$V$91:$V$101))))), "")</f>
        <v/>
      </c>
      <c r="BF170" s="270" t="str">
        <f>IF(AND(OR(AN170="Light Switch",AN170=""),B170="New Construction"), VLOOKUP(F170, 'Lookup Tables'!$A$6:$K$59, 11, FALSE),IF(AN170="","",IF(B170="","",IF(OR(AN170="None",AN170="",V170="LED Exit Signs",AN170="Exterior Controls Not Eligible"),0,_xlfn.XLOOKUP(AN170,'Lookup Tables'!$R$91:$R$101,'Lookup Tables'!$V$91:$V$101)))))</f>
        <v/>
      </c>
      <c r="BG170" s="88" t="str">
        <f t="shared" si="456"/>
        <v/>
      </c>
      <c r="BH170" s="88" t="str">
        <f t="shared" si="457"/>
        <v/>
      </c>
      <c r="BI170" s="558" t="str">
        <f t="shared" si="501"/>
        <v/>
      </c>
      <c r="BJ170" s="82" t="str">
        <f t="shared" si="458"/>
        <v/>
      </c>
      <c r="BK170" s="82" t="str">
        <f t="shared" si="459"/>
        <v/>
      </c>
      <c r="BL170" s="559" t="str">
        <f t="shared" si="460"/>
        <v/>
      </c>
      <c r="BM170" s="521" t="str">
        <f t="shared" si="405"/>
        <v/>
      </c>
      <c r="BN170" s="521" t="str">
        <f t="shared" si="406"/>
        <v/>
      </c>
      <c r="BO170" s="522" t="str">
        <f t="shared" si="407"/>
        <v/>
      </c>
      <c r="BP170" s="83" t="str">
        <f t="shared" si="461"/>
        <v/>
      </c>
      <c r="BQ170" s="84" t="str">
        <f t="shared" si="462"/>
        <v/>
      </c>
      <c r="BR170" s="184" t="str">
        <f>IFERROR(IF(B170="", "", IF(OR(VLOOKUP(J170, 'Fixture Identities'!$A$6:$L$1023, 3, FALSE)="T12 Linear Fluorescent",VLOOKUP(J170, 'Fixture Identities'!$A$6:$L$1023, 3, FALSE)="T12 U-Tube Fluorescent"), "Y", "N")), "N")</f>
        <v/>
      </c>
      <c r="BS170" s="184" t="str">
        <f t="array" ref="BS170">IFERROR(IF(OR(B170="", V170="", W170=""), "", IF(V170="Custom", "N", IF(OR(W170="Freezer Case Lighting", W170="Refrigerated Case Lighting with Doors"), BT170, IF(B170="Retrofit", INDEX('Lookup Tables'!$AH$6:$AT$102,MATCH(1,('Lookup Tables'!$AH$6:$AH$102=V170)*('Lookup Tables'!$AI$6:$AI$102=W170),FALSE),IF(VLOOKUP(J170, 'Fixture Identities'!$A$6:$B$1023, 2, FALSE)="Incandescent",12, 13)), INDEX('Lookup Tables'!$AH$114:$AS$154,MATCH(1,('Lookup Tables'!$AH$114:$AH$154=V170)*('Lookup Tables'!$AI$114:$AI$154=W170),FALSE),12))))), "N")</f>
        <v/>
      </c>
      <c r="BT170" s="184" t="str">
        <f>IF(J170="", "", IF(AND(OR(W170="Freezer case Lighting", W170="Refrigerated Case Lighting with Doors"),'General Information'!$X$18="LCI"), "N", IF(OR(VLOOKUP(J170, 'Fixture Identities'!$A$6:$B$1023, 2, FALSE)="T12 EPACT/EISA Baseline", VLOOKUP(J170, 'Fixture Identities'!$A$6:$B$1023, 2, FALSE)="Linear Fluorescent", VLOOKUP(J170, 'Fixture Identities'!$A$6:$B$1023, 2, FALSE)="U-Tube Fluorescent"), "Y", "N")))</f>
        <v/>
      </c>
      <c r="BU170" s="184" t="str">
        <f>IFERROR(IF(B170="", "", IF(VLOOKUP(J170, 'Fixture Identities'!$A$6:$B$1023, 2, FALSE)="Exit Sign", "Y", "N")), "N")</f>
        <v/>
      </c>
      <c r="BV170" s="184" t="str">
        <f>IF(V170="Exit Signs", IF(VLOOKUP(J170, 'Fixture Identities'!$A$6:$B$1023, 2, FALSE)="Exit Sign", "N", "Y"), "")</f>
        <v/>
      </c>
      <c r="BW170" s="184" t="str">
        <f t="array" ref="BW170">IFERROR(IF(B170="", "", IF(B170="New Construction", "N", INDEX('Lookup Tables'!$AH$6:$AU$102, MATCH(1, ('Lookup Tables'!$AH$6:$AH$102='Lighting Inventory'!V170)*('Lookup Tables'!$AI$6:$AI$102='Lighting Inventory'!W170), 0), 14))), "N")</f>
        <v/>
      </c>
      <c r="BX170" s="598" t="str">
        <f t="shared" si="463"/>
        <v/>
      </c>
      <c r="BY170" s="598" t="str">
        <f t="shared" si="464"/>
        <v/>
      </c>
      <c r="BZ170" s="598" t="str">
        <f t="shared" si="465"/>
        <v/>
      </c>
      <c r="CA170" s="598" t="str">
        <f t="shared" si="466"/>
        <v/>
      </c>
      <c r="CB170" s="269" t="str">
        <f t="shared" si="467"/>
        <v/>
      </c>
      <c r="CC170" s="517" t="str">
        <f t="shared" si="468"/>
        <v/>
      </c>
      <c r="CD170" s="565" t="str">
        <f t="shared" si="408"/>
        <v/>
      </c>
      <c r="CE170" s="368">
        <v>0</v>
      </c>
      <c r="CF170" s="368" t="str" cm="1">
        <f t="array" ref="CF170">IFERROR(IF(V170="Custom", "$0.1 per kWh", IF(B170="New Construction", CONCATENATE("$",INDEX('Lookup Tables'!$AH$114:$AN$154,MATCH(1,('Lookup Tables'!$AH$114:$AH$154='Lighting Inventory'!V170)*('Lookup Tables'!$AI$114:$AI$154='Lighting Inventory'!W170),FALSE),6)," ",INDEX('Lookup Tables'!$AH$114:$AN$154,MATCH(1,('Lookup Tables'!$AH$114:$AH$154='Lighting Inventory'!V170)*('Lookup Tables'!$AI$114:$AI$154='Lighting Inventory'!W170),FALSE),7)), IF(AND(BU170="N", V170="Exit Signs"), "$0.025 per kWh", CONCATENATE("$",INDEX('Lookup Tables'!$AH$6:$AN$102,MATCH(1,('Lookup Tables'!$AH$6:$AH$102='Lighting Inventory'!V170)*('Lookup Tables'!$AI$6:$AI$102='Lighting Inventory'!W170),FALSE),6)," ",INDEX('Lookup Tables'!$AH$6:$AN$102,MATCH(1,('Lookup Tables'!$AH$6:$AH$102='Lighting Inventory'!V170)*('Lookup Tables'!$AI$6:$AI$102='Lighting Inventory'!W170),FALSE),7))))), "")</f>
        <v/>
      </c>
      <c r="CG170" s="366"/>
      <c r="CH170" s="248" t="str">
        <f t="shared" si="409"/>
        <v/>
      </c>
      <c r="CI170" s="248" t="str">
        <f t="shared" si="410"/>
        <v>Select_IE</v>
      </c>
      <c r="CJ170" s="248" t="str">
        <f t="shared" si="411"/>
        <v/>
      </c>
      <c r="CK170" s="248" t="str">
        <f t="shared" si="412"/>
        <v/>
      </c>
      <c r="CL170" s="248" t="str">
        <f t="shared" si="413"/>
        <v/>
      </c>
      <c r="CM170" s="248" t="str">
        <f>IFERROR(IF(B170="", "", IF(B170="New Construction", VLOOKUP(V170, 'Lookup Tables'!$AF$114:$AG$120, 2, FALSE), VLOOKUP(V170, 'Lookup Tables'!$AD$6:$AE$25, 2, FALSE))), "")</f>
        <v/>
      </c>
      <c r="CN170" s="248" t="str">
        <f t="shared" si="414"/>
        <v/>
      </c>
      <c r="CO170" s="248" t="str">
        <f t="shared" si="415"/>
        <v/>
      </c>
      <c r="CP170" s="592" t="str">
        <f t="shared" si="416"/>
        <v/>
      </c>
      <c r="CQ170" s="248" t="str">
        <f t="shared" si="469"/>
        <v/>
      </c>
      <c r="CR170" s="249"/>
      <c r="CS170" s="250" t="str">
        <f t="shared" si="417"/>
        <v/>
      </c>
      <c r="CT170" s="250" t="str">
        <f t="shared" si="470"/>
        <v/>
      </c>
      <c r="CU170" s="250" t="str">
        <f t="shared" si="471"/>
        <v/>
      </c>
      <c r="CV170" s="250" t="str">
        <f t="shared" si="472"/>
        <v/>
      </c>
      <c r="CW170" s="250" t="str">
        <f t="shared" si="473"/>
        <v/>
      </c>
      <c r="CX170" s="250" t="str">
        <f t="shared" si="418"/>
        <v/>
      </c>
      <c r="CY170" s="250" t="str">
        <f t="shared" si="419"/>
        <v/>
      </c>
      <c r="CZ170" s="250" t="str">
        <f t="shared" si="420"/>
        <v/>
      </c>
      <c r="DA170" s="250" t="str">
        <f t="shared" si="421"/>
        <v/>
      </c>
      <c r="DB170" s="250" t="str">
        <f t="shared" si="422"/>
        <v/>
      </c>
      <c r="DC170" s="250" t="str">
        <f t="shared" si="423"/>
        <v/>
      </c>
      <c r="DD170" s="250" t="str">
        <f t="shared" si="424"/>
        <v/>
      </c>
      <c r="DE170" s="250" t="str">
        <f t="shared" si="425"/>
        <v/>
      </c>
      <c r="DF170" s="250" t="str">
        <f t="shared" si="426"/>
        <v/>
      </c>
      <c r="DG170" s="250" t="str">
        <f t="shared" si="427"/>
        <v/>
      </c>
      <c r="DH170" s="250" t="str">
        <f t="shared" si="428"/>
        <v/>
      </c>
      <c r="DI170" s="250" t="str">
        <f t="shared" si="429"/>
        <v/>
      </c>
      <c r="DJ170" s="250" t="str">
        <f t="shared" si="430"/>
        <v/>
      </c>
      <c r="DK170" s="250" t="str">
        <f t="shared" si="431"/>
        <v/>
      </c>
      <c r="DL170" s="250" t="str">
        <f t="shared" si="432"/>
        <v/>
      </c>
      <c r="DM170" s="250" t="str">
        <f>IF(CD170="ERROR", "ERROR", IF(AND(OR(Y170=$DM$6, Y170='Lookup Tables'!$AD$21, Y170='Lookup Tables'!$AD$22), E170="Interior"), BJ170, ""))</f>
        <v/>
      </c>
      <c r="DN170" s="250" t="str">
        <f>IF(CD170="ERROR", "ERROR", IF(AND(OR(Y170=$DM$6, Y170='Lookup Tables'!$AD$21, Y170='Lookup Tables'!$AD$22), E170="Exterior"), BJ170, ""))</f>
        <v/>
      </c>
      <c r="DO170" s="249"/>
      <c r="DP170" s="250" t="str">
        <f t="shared" si="433"/>
        <v/>
      </c>
      <c r="DQ170" s="250" t="str">
        <f t="shared" si="474"/>
        <v/>
      </c>
      <c r="DR170" s="250" t="str">
        <f t="shared" si="475"/>
        <v/>
      </c>
      <c r="DS170" s="250" t="str">
        <f t="shared" si="476"/>
        <v/>
      </c>
      <c r="DT170" s="250" t="str">
        <f t="shared" si="477"/>
        <v/>
      </c>
      <c r="DU170" s="250" t="str">
        <f t="shared" si="434"/>
        <v/>
      </c>
      <c r="DV170" s="250" t="str">
        <f t="shared" si="435"/>
        <v/>
      </c>
      <c r="DW170" s="250" t="str">
        <f t="shared" si="436"/>
        <v/>
      </c>
      <c r="DX170" s="250" t="str">
        <f t="shared" si="437"/>
        <v/>
      </c>
      <c r="DY170" s="250" t="str">
        <f t="shared" si="438"/>
        <v/>
      </c>
      <c r="DZ170" s="250" t="str">
        <f t="shared" si="439"/>
        <v/>
      </c>
      <c r="EA170" s="250" t="str">
        <f t="shared" si="440"/>
        <v/>
      </c>
      <c r="EB170" s="250" t="str">
        <f t="shared" si="478"/>
        <v/>
      </c>
      <c r="EC170" s="250" t="str">
        <f t="shared" si="441"/>
        <v/>
      </c>
      <c r="ED170" s="250" t="str">
        <f t="shared" si="442"/>
        <v/>
      </c>
      <c r="EE170" s="250" t="str">
        <f t="shared" si="443"/>
        <v/>
      </c>
      <c r="EF170" s="250" t="str">
        <f t="shared" si="444"/>
        <v/>
      </c>
      <c r="EG170" s="250" t="str">
        <f t="shared" si="445"/>
        <v/>
      </c>
      <c r="EH170" s="250" t="str">
        <f>IF(CD170="ERROR", "ERROR", IF(AND(OR($EH$6=Y170, Y170='Lookup Tables'!$AD$21, Y170='Lookup Tables'!$AD$22),E170="Interior"), SUM(BP170:BP170), ""))</f>
        <v/>
      </c>
      <c r="EI170" s="250" t="str">
        <f>IF(CD170="ERROR", "ERROR", IF(AND(OR($EH$6=Y170, Y170='Lookup Tables'!$AD$21, Y170='Lookup Tables'!$AD$22),E170="Exterior"), SUM(BP170:BP170), ""))</f>
        <v/>
      </c>
      <c r="EJ170" s="109"/>
      <c r="EK170" s="485" t="str">
        <f t="shared" si="446"/>
        <v/>
      </c>
      <c r="EL170" s="252" t="str">
        <f t="shared" si="479"/>
        <v/>
      </c>
      <c r="EM170" s="252" t="str">
        <f t="shared" si="480"/>
        <v/>
      </c>
      <c r="EN170" s="252" t="str">
        <f t="shared" si="481"/>
        <v/>
      </c>
      <c r="EO170" s="252" t="str">
        <f t="shared" si="482"/>
        <v/>
      </c>
      <c r="EP170" s="252" t="str">
        <f t="shared" si="483"/>
        <v/>
      </c>
      <c r="EQ170" s="252" t="str">
        <f t="shared" si="484"/>
        <v/>
      </c>
      <c r="ER170" s="252" t="str">
        <f t="shared" si="485"/>
        <v/>
      </c>
      <c r="ES170" s="252" t="str">
        <f t="shared" si="486"/>
        <v/>
      </c>
      <c r="ET170" s="252" t="str">
        <f t="shared" si="487"/>
        <v/>
      </c>
      <c r="EU170" s="252" t="str">
        <f t="shared" si="488"/>
        <v/>
      </c>
      <c r="EV170" s="252" t="str">
        <f t="shared" si="489"/>
        <v/>
      </c>
      <c r="EW170" s="252" t="str">
        <f t="shared" si="490"/>
        <v/>
      </c>
      <c r="EX170" s="252" t="str">
        <f t="shared" si="491"/>
        <v/>
      </c>
      <c r="EY170" s="252" t="str">
        <f t="shared" si="492"/>
        <v/>
      </c>
      <c r="EZ170" s="252" t="str">
        <f t="shared" si="493"/>
        <v/>
      </c>
      <c r="FA170" s="252" t="str">
        <f t="shared" si="494"/>
        <v/>
      </c>
      <c r="FB170" s="252" t="str">
        <f t="shared" si="495"/>
        <v/>
      </c>
      <c r="FC170" s="252" t="str">
        <f>IF(CD170="ERROR", "ERROR", IF(OR(V170="No Change", V170="Not DLC or Energy Star"), "", IF(AND(OR($FC$6=Y170,Y170='Lookup Tables'!$AD$21, Y170='Lookup Tables'!$AD$22),E170="Interior"), S170, "")))</f>
        <v/>
      </c>
      <c r="FD170" s="252" t="str">
        <f t="shared" si="496"/>
        <v/>
      </c>
      <c r="FE170" s="1"/>
      <c r="FF170" s="579" t="str" cm="1">
        <f t="array" ref="FF170">IFERROR(IF(OR(BQ170&lt;=0,AQ170&lt;20,AND(V170="Exit Signs",AN170&gt;0)),"",IF(AND(AQ170&gt;=20,AN170='Lookup Tables'!$R$101),'Lookup Tables'!$U$101*BQ170,AP170*LOOKUP(2,1/((AN170='Lookup Tables'!$R$91:$R$111)*(AQ170&gt;='Lookup Tables'!$S$91:$S$111)*(AQ170&lt;='Lookup Tables'!$T$91:$T$111)),'Lookup Tables'!$U$91:$U$111))),"")</f>
        <v/>
      </c>
      <c r="FG170" s="579"/>
      <c r="FH170" s="579"/>
      <c r="FI170" s="253" t="str">
        <f>IFERROR(ROUND(IF(CD170="ERROR", "ERROR", IF(AND($FI$7=X170,E170="Interior"),VLOOKUP(W170, 'Lookup Tables'!$AI$6:$AM$102, 5, FALSE)*BP170, "")), 2), "")</f>
        <v/>
      </c>
      <c r="FJ170" s="253" t="str">
        <f>IFERROR(ROUND(IF(CD170="ERROR", "ERROR", IF(AND($FI$7=X170,E170="Exterior"),VLOOKUP(W170, 'Lookup Tables'!$AI$6:$AM$102, 5, FALSE)*BP170, "")), 2), "")</f>
        <v/>
      </c>
      <c r="FK170" s="253" t="str">
        <f>IFERROR(ROUND(IF(CD170="ERROR", "ERROR", IF(AND($FK$7=X170,E170="Interior"),VLOOKUP(W170, 'Lookup Tables'!$AI$6:$AM$102, 5, FALSE)*BP170, "")), 2), "")</f>
        <v/>
      </c>
      <c r="FL170" s="253" t="str">
        <f>IFERROR(ROUND(IF(CD170="ERROR", "ERROR", IF(AND($FK$7=X170,E170="Exterior"),VLOOKUP(W170, 'Lookup Tables'!$AI$6:$AM$102, 5, FALSE)*BP170, "")), 2), "")</f>
        <v/>
      </c>
      <c r="FM170" s="253" t="str">
        <f>IFERROR(ROUND(IF(CD170="ERROR", "ERROR", IF(AND($FM$6=Y170,E170="Interior"), IF(GB170=0, VLOOKUP(W170, 'Lookup Tables'!$AI$6:$AM$102, 5, FALSE)*BP170, IF(VLOOKUP(W170, 'Lookup Tables'!$AI$6:$AM$102, 5, FALSE)*BP170&gt;GB170*'Lighting Inventory'!S170, GB170*'Lighting Inventory'!S170,VLOOKUP(W170, 'Lookup Tables'!$AI$6:$AM$102, 5, FALSE)*BP170)), "")), 2), "")</f>
        <v/>
      </c>
      <c r="FN170" s="253" t="str">
        <f>IFERROR(ROUND(IF(CD170="ERROR", "ERROR", IF(AND($FM$6=Y170,E170="Exterior"), IF(GB170=0, VLOOKUP(W170, 'Lookup Tables'!$AI$6:$AM$102, 5, FALSE)*BP170, IF(VLOOKUP(W170, 'Lookup Tables'!$AI$6:$AM$102, 5, FALSE)*BP170&gt;GB170*'Lighting Inventory'!S170, GB170*'Lighting Inventory'!S170,VLOOKUP(W170, 'Lookup Tables'!$AI$6:$AM$102, 5, FALSE)*BP170)), "")), 2), "")</f>
        <v/>
      </c>
      <c r="FO170" s="253" t="str">
        <f>IFERROR(ROUND(IF(CD170="ERROR", "ERROR", IF(AND($FO$6=Y170,E170="Interior"),VLOOKUP(W170, 'Lookup Tables'!$AI$6:$AM$102, 5, FALSE)*'Lighting Inventory'!AI170, "")), 2), "")</f>
        <v/>
      </c>
      <c r="FP170" s="253" t="str">
        <f>IFERROR(ROUND(IF(CD170="ERROR", "ERROR", IF(AND($FO$6=Y170,E170="Exterior"),VLOOKUP(W170, 'Lookup Tables'!$AI$6:$AM$102, 5, FALSE)*'Lighting Inventory'!AI170, "")), 2), "")</f>
        <v/>
      </c>
      <c r="FQ170" s="253" t="str">
        <f>IFERROR(ROUND(IF(CD170="ERROR", "ERROR", IF(AND($FQ$6=Y170,E170="Interior", BU170="Y"), VLOOKUP('Lighting Inventory'!W170, 'Lookup Tables'!$AI$6:$AM$102, 5, FALSE)*'Lighting Inventory'!S170, IF(AND($FQ$7=Y170,E170="Interior", BU170="N"), 0.025*CD170, ""))), 2), "")</f>
        <v/>
      </c>
      <c r="FR170" s="253" t="str">
        <f>IFERROR(ROUND(IF(CD170="ERROR", "ERROR", IF(AND($FQ$6=Y170,E170="Exterior"), VLOOKUP('Lighting Inventory'!W170, 'Lookup Tables'!$AI$6:$AM$102, 5, FALSE)*'Lighting Inventory'!S170, "")), 2), "")</f>
        <v/>
      </c>
      <c r="FS170" s="253" t="str">
        <f>IFERROR(ROUND(IF(CD170="ERROR", "ERROR", IF(AND($FS$6=Y170,E170="Exterior"), IF(GB170=0, VLOOKUP(W170, 'Lookup Tables'!$AI$6:$AM$102, 5, FALSE)*BP170, IF(VLOOKUP(W170, 'Lookup Tables'!$AI$6:$AM$102, 5, FALSE)*BP170&gt;GB170*'Lighting Inventory'!S170, GB170*'Lighting Inventory'!S170,VLOOKUP(W170, 'Lookup Tables'!$AI$6:$AM$102, 5, FALSE)*BP170)), "")), 2), "")</f>
        <v/>
      </c>
      <c r="FT170" s="253" t="str">
        <f>IFERROR(ROUND(IF(CD170="ERROR", "ERROR", IF(AND($FT$6=Y170,E170="Interior"), IF(GB170=0, VLOOKUP(W170, 'Lookup Tables'!$AI$6:$AM$102, 5, FALSE)*BP170, IF(VLOOKUP(W170, 'Lookup Tables'!$AI$6:$AM$102, 5, FALSE)*BP170&gt;GB170*'Lighting Inventory'!S170, GB170*'Lighting Inventory'!S170,VLOOKUP(W170, 'Lookup Tables'!$AI$6:$AM$102, 5, FALSE)*BP170)), "")), 2), "")</f>
        <v/>
      </c>
      <c r="FU170" s="253" t="str">
        <f>IFERROR(ROUND(IF(CD170="ERROR", "ERROR", IF(AND(Y170=$FU$6, E170="Interior"), IF(BS170="N", 'Lookup Tables'!$AM$101*BP170, VLOOKUP(W170, 'Lookup Tables'!$AI$6:$AM$102, 5, FALSE)*S170*AD170), "")), 2), "")</f>
        <v/>
      </c>
      <c r="FV170" s="253" t="str">
        <f>IFERROR(ROUND(IF(CD170="ERROR", "ERROR", IF(AND(Y170=$FU$6, E170="Exterior"), IF(BS170="N", 'Lookup Tables'!$AM$101*BP170, VLOOKUP(W170, 'Lookup Tables'!$AI$6:$AM$102, 5, FALSE)*S170*AD170), "")), 2), "")</f>
        <v/>
      </c>
      <c r="FW170" s="253" t="str">
        <f>IFERROR(ROUND(IF(CD170="ERROR", "ERROR", IF($FW$6=Y170, IF(BS170="N", 'Lookup Tables'!$AM$101*BP170, MIN((VLOOKUP(W170, 'Lookup Tables'!$AI$6:$AM$102, 5, FALSE)*BP170),GB170*AJ170)), "")), 2), "")</f>
        <v/>
      </c>
      <c r="FX170" s="253" t="str">
        <f>IFERROR(ROUND(IF(CD170="ERROR", "ERROR", IF(AND($FX$6=Y170, E170="Interior"), IF(VLOOKUP(W170, 'Lookup Tables'!$AI$6:$AM$102, 5, FALSE)*BP170&gt;'Lookup Tables'!$AQ$97*'Lighting Inventory'!S170,'Lighting Inventory'!S170*'Lookup Tables'!$AQ$97,VLOOKUP(W170, 'Lookup Tables'!$AI$6:$AM$102, 5, FALSE)*BP170), "")), 2), "")</f>
        <v/>
      </c>
      <c r="FY170" s="253" t="str">
        <f>IFERROR(ROUND(IF(CD170="ERROR", "ERROR", IF(AND($FX$6=Y170, E170="Exterior"), IF(VLOOKUP(W170, 'Lookup Tables'!$AI$6:$AM$102, 5, FALSE)*BP170&gt;'Lookup Tables'!$AQ$97*'Lighting Inventory'!S170,'Lighting Inventory'!S170*'Lookup Tables'!$AQ$97,VLOOKUP(W170, 'Lookup Tables'!$AI$6:$AM$102, 5, FALSE)*BP170), "")), 2), "")</f>
        <v/>
      </c>
      <c r="FZ170" s="253" t="str">
        <f>IFERROR(ROUND(IF(CD170="ERROR", "ERROR", IF(AND($FZ$6=Y170, E170="Interior"), IF(AND(OR(W170="Refrigerated Case Lighting with Doors", W170="Freezer Case Lighting"),Y170="Custom - Process Improvement"),CD170*'Lookup Tables'!$AM$101, IF(B170="Retrofit", IF(VLOOKUP(IF(V170="Custom", V170, W170), 'Lookup Tables'!$AI$6:$AM$102, 5, FALSE)*BP170&gt;GE170, GE170, VLOOKUP(IF(V170="Custom", V170, W170), 'Lookup Tables'!$AI$6:$AM$102, 5, FALSE)*BP170), IF(VLOOKUP(IF(V170="Custom", V170, W170), 'Lookup Tables'!$AI$114:$AM$154, 5, FALSE)*BP170&gt;GE170, GE170, VLOOKUP(IF(V170="Custom", V170, W170), 'Lookup Tables'!$AI$114:$AM$154, 5, FALSE)*BP170))), "")), 2),"")</f>
        <v/>
      </c>
      <c r="GA170" s="253" t="str">
        <f>IFERROR(ROUND(IF(CD170="ERROR", "ERROR", IF(AND($FZ$6=Y170, E170="Exterior"), IF(B170="Retrofit", IF(VLOOKUP(IF(V170="Custom", V170, W170), 'Lookup Tables'!$AI$6:$AM$102, 5, FALSE)*BP170&gt;GE170, GE170, VLOOKUP(IF(V170="Custom", V170, W170), 'Lookup Tables'!$AI$6:$AM$102, 5, FALSE)*BP170), IF(VLOOKUP(IF(V170="Custom", V170, W170), 'Lookup Tables'!$AI$114:$AM$154, 5, FALSE)*BP170&gt;GE170, GE170, VLOOKUP(IF(V170="Custom", V170, W170), 'Lookup Tables'!$AI$114:$AM$154, 5, FALSE)*BP170)), "")), 2),"")</f>
        <v/>
      </c>
      <c r="GB170" s="254" t="str">
        <f t="array" ref="GB170">IF(B170="","",IF(OR(V170="Custom",V170="No Change"),0,IF(B170="Retrofit", INDEX('Lookup Tables'!$AH$6:$AQ$102,MATCH(1,('Lookup Tables'!$AH$6:$AH$102='Lighting Inventory'!V170)*('Lookup Tables'!$AI$6:$AI$102='Lighting Inventory'!W170),FALSE),10),INDEX('Lookup Tables'!$AH$114:$AQ$154,MATCH(1,('Lookup Tables'!$AH$114:$AH$154='Lighting Inventory'!V170)*('Lookup Tables'!$AI$114:$AI$154='Lighting Inventory'!W170),FALSE),10))))</f>
        <v/>
      </c>
      <c r="GC170" s="255" t="str">
        <f t="shared" si="447"/>
        <v/>
      </c>
      <c r="GD170" s="250" t="str">
        <f t="shared" si="448"/>
        <v/>
      </c>
      <c r="GE170" s="253" t="str">
        <f>IFERROR(IF(AND(AF170="", 'General Information'!$F$18="No"),"", IF(AF170="", ((GD170/$CD$266)*$CF$266)*0.5, AF170*S170*0.5)), "")</f>
        <v/>
      </c>
      <c r="GF170" s="255" t="str">
        <f>IF(AND('General Information'!$F$19="", 'General Information'!$F$18="Yes",AF170="",BW170="Y"), "Y", "N")</f>
        <v>N</v>
      </c>
      <c r="GG170" s="255" t="s">
        <v>2946</v>
      </c>
      <c r="GH170" s="255" t="str">
        <f>IFERROR(IF(B170="", "", VLOOKUP(J170, 'Fixture Identities'!$A$6:$N$908, 14, FALSE)), "")</f>
        <v/>
      </c>
      <c r="GI170" s="389" t="str">
        <f>IF(OR(B170="", V170="", W170=""), "", IF(AND(OR(M170='Lookup Tables'!$R$18, M170='Lookup Tables'!$R$19, M170='Lookup Tables'!$R$20, M170='Lookup Tables'!$R$21, M170='Lookup Tables'!$R$22), OR(AN170='Lookup Tables'!$R$17, AN170='Lookup Tables'!$R$17, AN170="")), "Y", "N"))</f>
        <v/>
      </c>
      <c r="GJ170" s="255" t="str">
        <f t="shared" si="449"/>
        <v/>
      </c>
      <c r="GK170" s="255" t="str">
        <f t="shared" si="450"/>
        <v/>
      </c>
      <c r="GL170" s="255" t="str">
        <f t="shared" si="451"/>
        <v/>
      </c>
      <c r="GM170" s="255" t="str">
        <f>IF(AN170="", "", IF(AND(IF(ISNA(VLOOKUP(AN170,'Lookup Tables'!$R$18:$R$22,1,FALSE)), "N", "Y")="Y", E170="Exterior"), "Y", "N"))</f>
        <v/>
      </c>
      <c r="GN170" s="395"/>
      <c r="GO170" s="428">
        <f t="shared" si="497"/>
        <v>0</v>
      </c>
      <c r="GP170" s="428">
        <f t="shared" si="500"/>
        <v>0</v>
      </c>
      <c r="GQ170" s="428">
        <f t="shared" si="498"/>
        <v>0</v>
      </c>
      <c r="GR170" s="428">
        <f t="shared" si="499"/>
        <v>0</v>
      </c>
    </row>
    <row r="171" spans="1:200" s="103" customFormat="1" ht="13.5" customHeight="1" x14ac:dyDescent="0.2">
      <c r="A171" s="272">
        <v>161</v>
      </c>
      <c r="B171" s="110"/>
      <c r="C171" s="110"/>
      <c r="D171" s="110"/>
      <c r="E171" s="110"/>
      <c r="F171" s="110"/>
      <c r="G171" s="110"/>
      <c r="H171" s="110"/>
      <c r="I171" s="29"/>
      <c r="J171" s="29"/>
      <c r="K171" s="272" t="str">
        <f>IFERROR(IF(OR(VLOOKUP(J171, 'Fixture Identities'!$A$6:$L$1023, 3, FALSE)="T12 Linear Fluorescent", VLOOKUP(J171, 'Fixture Identities'!$A$6:$L$1023, 3, FALSE)="T12 U-Tube Fluorescent"), VLOOKUP(VLOOKUP(J171, 'Fixture Identities'!$A$6:$L$1023, 11, FALSE), 'Fixture Identities'!$A$6:$L$1023, 10, FALSE), VLOOKUP(J171, 'Fixture Identities'!$A$6:$L$1023, 10, FALSE)), "")</f>
        <v/>
      </c>
      <c r="L171" s="270" t="str">
        <f t="shared" si="502"/>
        <v/>
      </c>
      <c r="M171" s="110"/>
      <c r="N171" s="110"/>
      <c r="O171" s="110"/>
      <c r="P171" s="272" t="str">
        <f>IFERROR(IF(OR(B171="Retrofit",B171=""),"",IF('Lighting Inventory'!E171="Exterior",VLOOKUP('Lighting Inventory'!N171,'Lookup Tables'!$B$83:$F$103,5,FALSE),IF(N171="Other - Please Estimate EFLH and CFs","Contact Prog. Rep.","ft^2"))), "")</f>
        <v/>
      </c>
      <c r="Q171" s="270" t="str">
        <f>IFERROR(IF(AND(B171="New Construction",E171="Interior",$F$5="Space-by-Space"),VLOOKUP('Lighting Inventory'!N171,'Lookup Tables'!$N$6:$O$97,2,FALSE),IF(AND(B171="New Construction",E171="Exterior"),VLOOKUP(N171,'Lookup Tables'!$B$83:$F$103,2,FALSE),IF(AND(B171="New Construction",'Lighting Inventory'!E171="Interior", $F$5="Building Area"),VLOOKUP(F171,'Lookup Tables'!$A$6:$J$59,10,FALSE),""))), "")</f>
        <v/>
      </c>
      <c r="R171" s="270" t="str">
        <f>IFERROR(IF(P171="Contact Prog. Rep.", "ERROR", IF(OR(B171="",B171="Retrofit"),"",IF(N171="Automated teller machines", ('Lookup Tables'!$A$82:$E$100+('Lighting Inventory'!O171-1)*'Lookup Tables'!$A$82:$E$100)/1000, (Q171*O171)/1000))), "")</f>
        <v/>
      </c>
      <c r="S171" s="595"/>
      <c r="T171" s="105" t="str">
        <f t="shared" si="452"/>
        <v/>
      </c>
      <c r="U171" s="105" t="str">
        <f>IF(S171="","",COUNT($S$11:S171))</f>
        <v/>
      </c>
      <c r="V171" s="111"/>
      <c r="W171" s="112"/>
      <c r="X171" s="105" t="str">
        <f t="shared" si="453"/>
        <v/>
      </c>
      <c r="Y171" s="105" t="str">
        <f t="array" ref="Y171">IF(AND(OR(W171="Freezer Case Lighting", W171="Refrigerated Case Lighting with Doors"), 'General Information'!$X$18="LCI"),'Lookup Tables'!$Y$34, IF(V171="Custom", VLOOKUP(W171, 'Fixture Identities'!$A$974:$M$1023, 13, FALSE), IF(V171="No Change",'Lookup Tables'!$Y$29,IF(OR(V171="",W171=""),"",IF(AND(S171=0,S171&lt;I171,B171="Retrofit"),'Lookup Tables'!$Y$25, IF(B171="Retrofit", INDEX('Lookup Tables'!$AH$6:$AP$102, MATCH(1, ('Lookup Tables'!$AH$6:$AH$102=V171)*('Lookup Tables'!$AI$6:$AI$102=W171), 0), IF('Lighting Inventory'!E171="Interior", 4, 5)), INDEX('Lookup Tables'!$AH$114:$AP$154, MATCH(1, ('Lookup Tables'!$AH$114:$AH$154=V171)*('Lookup Tables'!$AI$114:$AI$154=W171), 0), IF('Lighting Inventory'!E171="Interior", 4, 5))))))))</f>
        <v/>
      </c>
      <c r="Z171" s="105" t="str">
        <f>IFERROR(INDEX('Lookup Tables'!$AH$158:$AH$172,MATCH('Lighting Inventory'!Y171,'Lookup Tables'!$AI$158:$AI$172,0)),"")</f>
        <v/>
      </c>
      <c r="AA171" s="105" t="str">
        <f>IF(AP171&gt;0,INDEX('Lookup Tables'!$AK$158:$AK$172,MATCH('Lighting Inventory'!Y171,'Lookup Tables'!$AI$158:$AI$172,0)),'Lighting Inventory'!Y171)</f>
        <v/>
      </c>
      <c r="AB171" s="105" t="str">
        <f t="array" ref="AB171">IF(V171="Custom", "Custom", IF(V171="", "", IF(V171="Not DLC or Energy Star", "General", IF(B171="New Construction", INDEX('Lookup Tables'!$AH$114:$AP$154,MATCH(1,('Lookup Tables'!$AH$114:$AH$154='Lighting Inventory'!V171)*('Lookup Tables'!$AI$114:$AI$154='Lighting Inventory'!W171),FALSE),8), INDEX('Lookup Tables'!$AH$6:$AP$102,MATCH(1,('Lookup Tables'!$AH$6:$AH$102='Lighting Inventory'!V171)*('Lookup Tables'!$AI$6:$AI$102='Lighting Inventory'!W171),FALSE),8)))))</f>
        <v/>
      </c>
      <c r="AC171" s="272" t="str">
        <f>IF(W171="","",IF(V171="Custom",CONCATENATE("$",'Lookup Tables'!$AM$101," ",'Lookup Tables'!$AN$101),CONCATENATE("$",INDEX('Lookup Tables'!$AM$6:$AM$102,MATCH('Lighting Inventory'!W171,'Lookup Tables'!$AI$6:$AI$102,0))," ",INDEX('Lookup Tables'!$AN$6:$AN$102,MATCH('Lighting Inventory'!W171,'Lookup Tables'!$AI$6:$AI$102,0)))))</f>
        <v/>
      </c>
      <c r="AD171" s="72"/>
      <c r="AE171" s="29"/>
      <c r="AF171" s="379"/>
      <c r="AG171" s="370" t="str">
        <f t="shared" si="401"/>
        <v/>
      </c>
      <c r="AH171" s="370" t="str">
        <f t="shared" si="454"/>
        <v/>
      </c>
      <c r="AI171" s="29"/>
      <c r="AJ171" s="29"/>
      <c r="AK171" s="110"/>
      <c r="AL171" s="375" t="str">
        <f>IF(OR(B171="", V171="", W171=""), "", IF(V171="No Change", K171, IF(V171="Remove Fixture", 0, IF(V171="Custom",VLOOKUP(W171,'Fixture Identities'!$A$6:$K$1023,10,FALSE),IF(AE171="", "← ENTER POST WATTS", 'Lighting Inventory'!AE171)))))</f>
        <v/>
      </c>
      <c r="AM171" s="376" t="str">
        <f t="shared" si="402"/>
        <v/>
      </c>
      <c r="AN171" s="29"/>
      <c r="AO171" s="671"/>
      <c r="AP171" s="29"/>
      <c r="AQ171" s="29"/>
      <c r="AR171" s="29"/>
      <c r="AS171" s="272" t="str">
        <f t="shared" si="455"/>
        <v/>
      </c>
      <c r="AT171" s="270" t="str">
        <f t="shared" si="403"/>
        <v/>
      </c>
      <c r="AU171" s="88" t="str">
        <f t="shared" si="503"/>
        <v/>
      </c>
      <c r="AV171" s="29"/>
      <c r="AW171" s="73"/>
      <c r="AX171" s="271" t="str">
        <f>IF(AND(AV171="Applicant",OR(AW171="", AW171="Use Default Facility Hours")),"← Choose Schedule",IF(F171="","",IF(W171="LED Exit Signs",8760,IF(OR(AV171="Prescribed",AV171=""),VLOOKUP(F171,'Lookup Tables'!$A$6:$G$59,IF(AB171="General", 6, 3),FALSE),VLOOKUP(AW171,'Lookup Tables'!$S$36:$U$43,2,FALSE)))))</f>
        <v/>
      </c>
      <c r="AY171" s="88" t="str">
        <f t="shared" si="404"/>
        <v/>
      </c>
      <c r="AZ171" s="270" t="str">
        <f>IFERROR(IF(F171="", "", IF(W171="LED Exit Signs", 1, IF(AV171="Applicant",VLOOKUP(AW171, 'Lookup Tables'!$S$36:$U$43,3, FALSE), VLOOKUP('Lighting Inventory'!F171, 'Lookup Tables'!$A$6:$H$59, IF('Lighting Inventory'!AB171="General",7,4), FALSE)))), "")</f>
        <v/>
      </c>
      <c r="BA171" s="522" t="str">
        <f>IFERROR(IF(F171="", "", IF(W171="LED Exit Signs", 1, VLOOKUP('Lighting Inventory'!F171, 'Lookup Tables'!$A$6:$H$59, IF('Lighting Inventory'!AB171="General",8,5), FALSE))), "")</f>
        <v/>
      </c>
      <c r="BB171" s="270" t="str">
        <f>IF(G171="", "", IF(E171="Exterior", 0, IF('Lighting Inventory'!G171="Air Conditioned", VLOOKUP(H171, 'Lookup Tables'!$R$6:$T$13, 2, FALSE), VLOOKUP('Lighting Inventory'!G171, 'Lookup Tables'!$R$6:$T$13, 2, FALSE))))</f>
        <v/>
      </c>
      <c r="BC171" s="522" t="str">
        <f>IF(G171="", "", IF(E171="Exterior", 0, IF('Lighting Inventory'!G171="Air Conditioned", VLOOKUP(H171, 'Lookup Tables'!$R$6:$T$13, 3, FALSE), VLOOKUP('Lighting Inventory'!G171, 'Lookup Tables'!$R$6:$T$13, 3, FALSE))))</f>
        <v/>
      </c>
      <c r="BD171" s="270" t="str">
        <f>IF(G171="", "", IF(E171="Exterior", 0, IF('Lighting Inventory'!G171="Air Conditioned", VLOOKUP(H171, 'Lookup Tables'!$R$6:$U$13, 4, FALSE), VLOOKUP('Lighting Inventory'!G171, 'Lookup Tables'!$R$6:$U$13, 4, FALSE))))</f>
        <v/>
      </c>
      <c r="BE171" s="270" t="str">
        <f>IFERROR(IF(B171="", "",  IF(B171="New Construction", VLOOKUP(F171, 'Lookup Tables'!$A$6:$K$59, 11, FALSE),IF(OR(AN171="", AN171="Light Switch"), 0, IF(OR(M171="",M171="None",V171= "LED Exit Signs"),0,_xlfn.XLOOKUP(M171,'Lookup Tables'!$R$91:$R$101,'Lookup Tables'!$V$91:$V$101))))), "")</f>
        <v/>
      </c>
      <c r="BF171" s="270" t="str">
        <f>IF(AND(OR(AN171="Light Switch",AN171=""),B171="New Construction"), VLOOKUP(F171, 'Lookup Tables'!$A$6:$K$59, 11, FALSE),IF(AN171="","",IF(B171="","",IF(OR(AN171="None",AN171="",V171="LED Exit Signs",AN171="Exterior Controls Not Eligible"),0,_xlfn.XLOOKUP(AN171,'Lookup Tables'!$R$91:$R$101,'Lookup Tables'!$V$91:$V$101)))))</f>
        <v/>
      </c>
      <c r="BG171" s="88" t="str">
        <f t="shared" si="456"/>
        <v/>
      </c>
      <c r="BH171" s="88" t="str">
        <f t="shared" si="457"/>
        <v/>
      </c>
      <c r="BI171" s="558" t="str">
        <f t="shared" si="501"/>
        <v/>
      </c>
      <c r="BJ171" s="82" t="str">
        <f t="shared" si="458"/>
        <v/>
      </c>
      <c r="BK171" s="82" t="str">
        <f t="shared" si="459"/>
        <v/>
      </c>
      <c r="BL171" s="559" t="str">
        <f t="shared" si="460"/>
        <v/>
      </c>
      <c r="BM171" s="521" t="str">
        <f t="shared" si="405"/>
        <v/>
      </c>
      <c r="BN171" s="521" t="str">
        <f t="shared" si="406"/>
        <v/>
      </c>
      <c r="BO171" s="522" t="str">
        <f t="shared" si="407"/>
        <v/>
      </c>
      <c r="BP171" s="83" t="str">
        <f t="shared" si="461"/>
        <v/>
      </c>
      <c r="BQ171" s="84" t="str">
        <f t="shared" si="462"/>
        <v/>
      </c>
      <c r="BR171" s="184" t="str">
        <f>IFERROR(IF(B171="", "", IF(OR(VLOOKUP(J171, 'Fixture Identities'!$A$6:$L$1023, 3, FALSE)="T12 Linear Fluorescent",VLOOKUP(J171, 'Fixture Identities'!$A$6:$L$1023, 3, FALSE)="T12 U-Tube Fluorescent"), "Y", "N")), "N")</f>
        <v/>
      </c>
      <c r="BS171" s="184" t="str">
        <f t="array" ref="BS171">IFERROR(IF(OR(B171="", V171="", W171=""), "", IF(V171="Custom", "N", IF(OR(W171="Freezer Case Lighting", W171="Refrigerated Case Lighting with Doors"), BT171, IF(B171="Retrofit", INDEX('Lookup Tables'!$AH$6:$AT$102,MATCH(1,('Lookup Tables'!$AH$6:$AH$102=V171)*('Lookup Tables'!$AI$6:$AI$102=W171),FALSE),IF(VLOOKUP(J171, 'Fixture Identities'!$A$6:$B$1023, 2, FALSE)="Incandescent",12, 13)), INDEX('Lookup Tables'!$AH$114:$AS$154,MATCH(1,('Lookup Tables'!$AH$114:$AH$154=V171)*('Lookup Tables'!$AI$114:$AI$154=W171),FALSE),12))))), "N")</f>
        <v/>
      </c>
      <c r="BT171" s="184" t="str">
        <f>IF(J171="", "", IF(AND(OR(W171="Freezer case Lighting", W171="Refrigerated Case Lighting with Doors"),'General Information'!$X$18="LCI"), "N", IF(OR(VLOOKUP(J171, 'Fixture Identities'!$A$6:$B$1023, 2, FALSE)="T12 EPACT/EISA Baseline", VLOOKUP(J171, 'Fixture Identities'!$A$6:$B$1023, 2, FALSE)="Linear Fluorescent", VLOOKUP(J171, 'Fixture Identities'!$A$6:$B$1023, 2, FALSE)="U-Tube Fluorescent"), "Y", "N")))</f>
        <v/>
      </c>
      <c r="BU171" s="184" t="str">
        <f>IFERROR(IF(B171="", "", IF(VLOOKUP(J171, 'Fixture Identities'!$A$6:$B$1023, 2, FALSE)="Exit Sign", "Y", "N")), "N")</f>
        <v/>
      </c>
      <c r="BV171" s="184" t="str">
        <f>IF(V171="Exit Signs", IF(VLOOKUP(J171, 'Fixture Identities'!$A$6:$B$1023, 2, FALSE)="Exit Sign", "N", "Y"), "")</f>
        <v/>
      </c>
      <c r="BW171" s="184" t="str">
        <f t="array" ref="BW171">IFERROR(IF(B171="", "", IF(B171="New Construction", "N", INDEX('Lookup Tables'!$AH$6:$AU$102, MATCH(1, ('Lookup Tables'!$AH$6:$AH$102='Lighting Inventory'!V171)*('Lookup Tables'!$AI$6:$AI$102='Lighting Inventory'!W171), 0), 14))), "N")</f>
        <v/>
      </c>
      <c r="BX171" s="598" t="str">
        <f t="shared" si="463"/>
        <v/>
      </c>
      <c r="BY171" s="598" t="str">
        <f t="shared" si="464"/>
        <v/>
      </c>
      <c r="BZ171" s="598" t="str">
        <f t="shared" si="465"/>
        <v/>
      </c>
      <c r="CA171" s="598" t="str">
        <f t="shared" si="466"/>
        <v/>
      </c>
      <c r="CB171" s="269" t="str">
        <f t="shared" si="467"/>
        <v/>
      </c>
      <c r="CC171" s="517" t="str">
        <f t="shared" si="468"/>
        <v/>
      </c>
      <c r="CD171" s="565" t="str">
        <f t="shared" si="408"/>
        <v/>
      </c>
      <c r="CE171" s="368">
        <v>0</v>
      </c>
      <c r="CF171" s="368" t="str" cm="1">
        <f t="array" ref="CF171">IFERROR(IF(V171="Custom", "$0.1 per kWh", IF(B171="New Construction", CONCATENATE("$",INDEX('Lookup Tables'!$AH$114:$AN$154,MATCH(1,('Lookup Tables'!$AH$114:$AH$154='Lighting Inventory'!V171)*('Lookup Tables'!$AI$114:$AI$154='Lighting Inventory'!W171),FALSE),6)," ",INDEX('Lookup Tables'!$AH$114:$AN$154,MATCH(1,('Lookup Tables'!$AH$114:$AH$154='Lighting Inventory'!V171)*('Lookup Tables'!$AI$114:$AI$154='Lighting Inventory'!W171),FALSE),7)), IF(AND(BU171="N", V171="Exit Signs"), "$0.025 per kWh", CONCATENATE("$",INDEX('Lookup Tables'!$AH$6:$AN$102,MATCH(1,('Lookup Tables'!$AH$6:$AH$102='Lighting Inventory'!V171)*('Lookup Tables'!$AI$6:$AI$102='Lighting Inventory'!W171),FALSE),6)," ",INDEX('Lookup Tables'!$AH$6:$AN$102,MATCH(1,('Lookup Tables'!$AH$6:$AH$102='Lighting Inventory'!V171)*('Lookup Tables'!$AI$6:$AI$102='Lighting Inventory'!W171),FALSE),7))))), "")</f>
        <v/>
      </c>
      <c r="CG171" s="366"/>
      <c r="CH171" s="248" t="str">
        <f t="shared" si="409"/>
        <v/>
      </c>
      <c r="CI171" s="248" t="str">
        <f t="shared" si="410"/>
        <v>Select_IE</v>
      </c>
      <c r="CJ171" s="248" t="str">
        <f t="shared" si="411"/>
        <v/>
      </c>
      <c r="CK171" s="248" t="str">
        <f t="shared" si="412"/>
        <v/>
      </c>
      <c r="CL171" s="248" t="str">
        <f t="shared" si="413"/>
        <v/>
      </c>
      <c r="CM171" s="248" t="str">
        <f>IFERROR(IF(B171="", "", IF(B171="New Construction", VLOOKUP(V171, 'Lookup Tables'!$AF$114:$AG$120, 2, FALSE), VLOOKUP(V171, 'Lookup Tables'!$AD$6:$AE$25, 2, FALSE))), "")</f>
        <v/>
      </c>
      <c r="CN171" s="248" t="str">
        <f t="shared" si="414"/>
        <v/>
      </c>
      <c r="CO171" s="248" t="str">
        <f t="shared" si="415"/>
        <v/>
      </c>
      <c r="CP171" s="592" t="str">
        <f t="shared" si="416"/>
        <v/>
      </c>
      <c r="CQ171" s="248" t="str">
        <f t="shared" si="469"/>
        <v/>
      </c>
      <c r="CR171" s="100"/>
      <c r="CS171" s="250" t="str">
        <f t="shared" si="417"/>
        <v/>
      </c>
      <c r="CT171" s="250" t="str">
        <f t="shared" si="470"/>
        <v/>
      </c>
      <c r="CU171" s="250" t="str">
        <f t="shared" si="471"/>
        <v/>
      </c>
      <c r="CV171" s="250" t="str">
        <f t="shared" si="472"/>
        <v/>
      </c>
      <c r="CW171" s="250" t="str">
        <f t="shared" si="473"/>
        <v/>
      </c>
      <c r="CX171" s="250" t="str">
        <f t="shared" si="418"/>
        <v/>
      </c>
      <c r="CY171" s="250" t="str">
        <f t="shared" si="419"/>
        <v/>
      </c>
      <c r="CZ171" s="250" t="str">
        <f t="shared" si="420"/>
        <v/>
      </c>
      <c r="DA171" s="250" t="str">
        <f t="shared" si="421"/>
        <v/>
      </c>
      <c r="DB171" s="250" t="str">
        <f t="shared" si="422"/>
        <v/>
      </c>
      <c r="DC171" s="250" t="str">
        <f t="shared" si="423"/>
        <v/>
      </c>
      <c r="DD171" s="250" t="str">
        <f t="shared" si="424"/>
        <v/>
      </c>
      <c r="DE171" s="250" t="str">
        <f t="shared" si="425"/>
        <v/>
      </c>
      <c r="DF171" s="250" t="str">
        <f t="shared" si="426"/>
        <v/>
      </c>
      <c r="DG171" s="250" t="str">
        <f t="shared" si="427"/>
        <v/>
      </c>
      <c r="DH171" s="250" t="str">
        <f t="shared" si="428"/>
        <v/>
      </c>
      <c r="DI171" s="250" t="str">
        <f t="shared" si="429"/>
        <v/>
      </c>
      <c r="DJ171" s="250" t="str">
        <f t="shared" si="430"/>
        <v/>
      </c>
      <c r="DK171" s="250" t="str">
        <f t="shared" si="431"/>
        <v/>
      </c>
      <c r="DL171" s="250" t="str">
        <f t="shared" si="432"/>
        <v/>
      </c>
      <c r="DM171" s="250" t="str">
        <f>IF(CD171="ERROR", "ERROR", IF(AND(OR(Y171=$DM$6, Y171='Lookup Tables'!$AD$21, Y171='Lookup Tables'!$AD$22), E171="Interior"), BJ171, ""))</f>
        <v/>
      </c>
      <c r="DN171" s="250" t="str">
        <f>IF(CD171="ERROR", "ERROR", IF(AND(OR(Y171=$DM$6, Y171='Lookup Tables'!$AD$21, Y171='Lookup Tables'!$AD$22), E171="Exterior"), BJ171, ""))</f>
        <v/>
      </c>
      <c r="DO171" s="100"/>
      <c r="DP171" s="250" t="str">
        <f t="shared" si="433"/>
        <v/>
      </c>
      <c r="DQ171" s="250" t="str">
        <f t="shared" si="474"/>
        <v/>
      </c>
      <c r="DR171" s="250" t="str">
        <f t="shared" si="475"/>
        <v/>
      </c>
      <c r="DS171" s="250" t="str">
        <f t="shared" si="476"/>
        <v/>
      </c>
      <c r="DT171" s="250" t="str">
        <f t="shared" si="477"/>
        <v/>
      </c>
      <c r="DU171" s="250" t="str">
        <f t="shared" si="434"/>
        <v/>
      </c>
      <c r="DV171" s="250" t="str">
        <f t="shared" si="435"/>
        <v/>
      </c>
      <c r="DW171" s="250" t="str">
        <f t="shared" si="436"/>
        <v/>
      </c>
      <c r="DX171" s="250" t="str">
        <f t="shared" si="437"/>
        <v/>
      </c>
      <c r="DY171" s="250" t="str">
        <f t="shared" si="438"/>
        <v/>
      </c>
      <c r="DZ171" s="250" t="str">
        <f t="shared" si="439"/>
        <v/>
      </c>
      <c r="EA171" s="250" t="str">
        <f t="shared" si="440"/>
        <v/>
      </c>
      <c r="EB171" s="250" t="str">
        <f t="shared" si="478"/>
        <v/>
      </c>
      <c r="EC171" s="250" t="str">
        <f t="shared" si="441"/>
        <v/>
      </c>
      <c r="ED171" s="250" t="str">
        <f t="shared" si="442"/>
        <v/>
      </c>
      <c r="EE171" s="250" t="str">
        <f t="shared" si="443"/>
        <v/>
      </c>
      <c r="EF171" s="250" t="str">
        <f t="shared" si="444"/>
        <v/>
      </c>
      <c r="EG171" s="250" t="str">
        <f t="shared" si="445"/>
        <v/>
      </c>
      <c r="EH171" s="250" t="str">
        <f>IF(CD171="ERROR", "ERROR", IF(AND(OR($EH$6=Y171, Y171='Lookup Tables'!$AD$21, Y171='Lookup Tables'!$AD$22),E171="Interior"), SUM(BP171:BP171), ""))</f>
        <v/>
      </c>
      <c r="EI171" s="250" t="str">
        <f>IF(CD171="ERROR", "ERROR", IF(AND(OR($EH$6=Y171, Y171='Lookup Tables'!$AD$21, Y171='Lookup Tables'!$AD$22),E171="Exterior"), SUM(BP171:BP171), ""))</f>
        <v/>
      </c>
      <c r="EJ171" s="109"/>
      <c r="EK171" s="485" t="str">
        <f t="shared" si="446"/>
        <v/>
      </c>
      <c r="EL171" s="252" t="str">
        <f t="shared" si="479"/>
        <v/>
      </c>
      <c r="EM171" s="252" t="str">
        <f t="shared" si="480"/>
        <v/>
      </c>
      <c r="EN171" s="252" t="str">
        <f t="shared" si="481"/>
        <v/>
      </c>
      <c r="EO171" s="252" t="str">
        <f t="shared" si="482"/>
        <v/>
      </c>
      <c r="EP171" s="252" t="str">
        <f t="shared" si="483"/>
        <v/>
      </c>
      <c r="EQ171" s="252" t="str">
        <f t="shared" si="484"/>
        <v/>
      </c>
      <c r="ER171" s="252" t="str">
        <f t="shared" si="485"/>
        <v/>
      </c>
      <c r="ES171" s="252" t="str">
        <f t="shared" si="486"/>
        <v/>
      </c>
      <c r="ET171" s="252" t="str">
        <f t="shared" si="487"/>
        <v/>
      </c>
      <c r="EU171" s="252" t="str">
        <f t="shared" si="488"/>
        <v/>
      </c>
      <c r="EV171" s="252" t="str">
        <f t="shared" si="489"/>
        <v/>
      </c>
      <c r="EW171" s="252" t="str">
        <f t="shared" si="490"/>
        <v/>
      </c>
      <c r="EX171" s="252" t="str">
        <f t="shared" si="491"/>
        <v/>
      </c>
      <c r="EY171" s="252" t="str">
        <f t="shared" si="492"/>
        <v/>
      </c>
      <c r="EZ171" s="252" t="str">
        <f t="shared" si="493"/>
        <v/>
      </c>
      <c r="FA171" s="252" t="str">
        <f t="shared" si="494"/>
        <v/>
      </c>
      <c r="FB171" s="252" t="str">
        <f t="shared" si="495"/>
        <v/>
      </c>
      <c r="FC171" s="252" t="str">
        <f>IF(CD171="ERROR", "ERROR", IF(OR(V171="No Change", V171="Not DLC or Energy Star"), "", IF(AND(OR($FC$6=Y171,Y171='Lookup Tables'!$AD$21, Y171='Lookup Tables'!$AD$22),E171="Interior"), S171, "")))</f>
        <v/>
      </c>
      <c r="FD171" s="252" t="str">
        <f t="shared" si="496"/>
        <v/>
      </c>
      <c r="FE171" s="101"/>
      <c r="FF171" s="579" t="str" cm="1">
        <f t="array" ref="FF171">IFERROR(IF(OR(BQ171&lt;=0,AQ171&lt;20,AND(V171="Exit Signs",AN171&gt;0)),"",IF(AND(AQ171&gt;=20,AN171='Lookup Tables'!$R$101),'Lookup Tables'!$U$101*BQ171,AP171*LOOKUP(2,1/((AN171='Lookup Tables'!$R$91:$R$111)*(AQ171&gt;='Lookup Tables'!$S$91:$S$111)*(AQ171&lt;='Lookup Tables'!$T$91:$T$111)),'Lookup Tables'!$U$91:$U$111))),"")</f>
        <v/>
      </c>
      <c r="FG171" s="579"/>
      <c r="FH171" s="579"/>
      <c r="FI171" s="253" t="str">
        <f>IFERROR(ROUND(IF(CD171="ERROR", "ERROR", IF(AND($FI$7=X171,E171="Interior"),VLOOKUP(W171, 'Lookup Tables'!$AI$6:$AM$102, 5, FALSE)*BP171, "")), 2), "")</f>
        <v/>
      </c>
      <c r="FJ171" s="253" t="str">
        <f>IFERROR(ROUND(IF(CD171="ERROR", "ERROR", IF(AND($FI$7=X171,E171="Exterior"),VLOOKUP(W171, 'Lookup Tables'!$AI$6:$AM$102, 5, FALSE)*BP171, "")), 2), "")</f>
        <v/>
      </c>
      <c r="FK171" s="253" t="str">
        <f>IFERROR(ROUND(IF(CD171="ERROR", "ERROR", IF(AND($FK$7=X171,E171="Interior"),VLOOKUP(W171, 'Lookup Tables'!$AI$6:$AM$102, 5, FALSE)*BP171, "")), 2), "")</f>
        <v/>
      </c>
      <c r="FL171" s="253" t="str">
        <f>IFERROR(ROUND(IF(CD171="ERROR", "ERROR", IF(AND($FK$7=X171,E171="Exterior"),VLOOKUP(W171, 'Lookup Tables'!$AI$6:$AM$102, 5, FALSE)*BP171, "")), 2), "")</f>
        <v/>
      </c>
      <c r="FM171" s="253" t="str">
        <f>IFERROR(ROUND(IF(CD171="ERROR", "ERROR", IF(AND($FM$6=Y171,E171="Interior"), IF(GB171=0, VLOOKUP(W171, 'Lookup Tables'!$AI$6:$AM$102, 5, FALSE)*BP171, IF(VLOOKUP(W171, 'Lookup Tables'!$AI$6:$AM$102, 5, FALSE)*BP171&gt;GB171*'Lighting Inventory'!S171, GB171*'Lighting Inventory'!S171,VLOOKUP(W171, 'Lookup Tables'!$AI$6:$AM$102, 5, FALSE)*BP171)), "")), 2), "")</f>
        <v/>
      </c>
      <c r="FN171" s="253" t="str">
        <f>IFERROR(ROUND(IF(CD171="ERROR", "ERROR", IF(AND($FM$6=Y171,E171="Exterior"), IF(GB171=0, VLOOKUP(W171, 'Lookup Tables'!$AI$6:$AM$102, 5, FALSE)*BP171, IF(VLOOKUP(W171, 'Lookup Tables'!$AI$6:$AM$102, 5, FALSE)*BP171&gt;GB171*'Lighting Inventory'!S171, GB171*'Lighting Inventory'!S171,VLOOKUP(W171, 'Lookup Tables'!$AI$6:$AM$102, 5, FALSE)*BP171)), "")), 2), "")</f>
        <v/>
      </c>
      <c r="FO171" s="253" t="str">
        <f>IFERROR(ROUND(IF(CD171="ERROR", "ERROR", IF(AND($FO$6=Y171,E171="Interior"),VLOOKUP(W171, 'Lookup Tables'!$AI$6:$AM$102, 5, FALSE)*'Lighting Inventory'!AI171, "")), 2), "")</f>
        <v/>
      </c>
      <c r="FP171" s="253" t="str">
        <f>IFERROR(ROUND(IF(CD171="ERROR", "ERROR", IF(AND($FO$6=Y171,E171="Exterior"),VLOOKUP(W171, 'Lookup Tables'!$AI$6:$AM$102, 5, FALSE)*'Lighting Inventory'!AI171, "")), 2), "")</f>
        <v/>
      </c>
      <c r="FQ171" s="253" t="str">
        <f>IFERROR(ROUND(IF(CD171="ERROR", "ERROR", IF(AND($FQ$6=Y171,E171="Interior", BU171="Y"), VLOOKUP('Lighting Inventory'!W171, 'Lookup Tables'!$AI$6:$AM$102, 5, FALSE)*'Lighting Inventory'!S171, IF(AND($FQ$7=Y171,E171="Interior", BU171="N"), 0.025*CD171, ""))), 2), "")</f>
        <v/>
      </c>
      <c r="FR171" s="253" t="str">
        <f>IFERROR(ROUND(IF(CD171="ERROR", "ERROR", IF(AND($FQ$6=Y171,E171="Exterior"), VLOOKUP('Lighting Inventory'!W171, 'Lookup Tables'!$AI$6:$AM$102, 5, FALSE)*'Lighting Inventory'!S171, "")), 2), "")</f>
        <v/>
      </c>
      <c r="FS171" s="253" t="str">
        <f>IFERROR(ROUND(IF(CD171="ERROR", "ERROR", IF(AND($FS$6=Y171,E171="Exterior"), IF(GB171=0, VLOOKUP(W171, 'Lookup Tables'!$AI$6:$AM$102, 5, FALSE)*BP171, IF(VLOOKUP(W171, 'Lookup Tables'!$AI$6:$AM$102, 5, FALSE)*BP171&gt;GB171*'Lighting Inventory'!S171, GB171*'Lighting Inventory'!S171,VLOOKUP(W171, 'Lookup Tables'!$AI$6:$AM$102, 5, FALSE)*BP171)), "")), 2), "")</f>
        <v/>
      </c>
      <c r="FT171" s="253" t="str">
        <f>IFERROR(ROUND(IF(CD171="ERROR", "ERROR", IF(AND($FT$6=Y171,E171="Interior"), IF(GB171=0, VLOOKUP(W171, 'Lookup Tables'!$AI$6:$AM$102, 5, FALSE)*BP171, IF(VLOOKUP(W171, 'Lookup Tables'!$AI$6:$AM$102, 5, FALSE)*BP171&gt;GB171*'Lighting Inventory'!S171, GB171*'Lighting Inventory'!S171,VLOOKUP(W171, 'Lookup Tables'!$AI$6:$AM$102, 5, FALSE)*BP171)), "")), 2), "")</f>
        <v/>
      </c>
      <c r="FU171" s="253" t="str">
        <f>IFERROR(ROUND(IF(CD171="ERROR", "ERROR", IF(AND(Y171=$FU$6, E171="Interior"), IF(BS171="N", 'Lookup Tables'!$AM$101*BP171, VLOOKUP(W171, 'Lookup Tables'!$AI$6:$AM$102, 5, FALSE)*S171*AD171), "")), 2), "")</f>
        <v/>
      </c>
      <c r="FV171" s="253" t="str">
        <f>IFERROR(ROUND(IF(CD171="ERROR", "ERROR", IF(AND(Y171=$FU$6, E171="Exterior"), IF(BS171="N", 'Lookup Tables'!$AM$101*BP171, VLOOKUP(W171, 'Lookup Tables'!$AI$6:$AM$102, 5, FALSE)*S171*AD171), "")), 2), "")</f>
        <v/>
      </c>
      <c r="FW171" s="253" t="str">
        <f>IFERROR(ROUND(IF(CD171="ERROR", "ERROR", IF($FW$6=Y171, IF(BS171="N", 'Lookup Tables'!$AM$101*BP171, MIN((VLOOKUP(W171, 'Lookup Tables'!$AI$6:$AM$102, 5, FALSE)*BP171),GB171*AJ171)), "")), 2), "")</f>
        <v/>
      </c>
      <c r="FX171" s="253" t="str">
        <f>IFERROR(ROUND(IF(CD171="ERROR", "ERROR", IF(AND($FX$6=Y171, E171="Interior"), IF(VLOOKUP(W171, 'Lookup Tables'!$AI$6:$AM$102, 5, FALSE)*BP171&gt;'Lookup Tables'!$AQ$97*'Lighting Inventory'!S171,'Lighting Inventory'!S171*'Lookup Tables'!$AQ$97,VLOOKUP(W171, 'Lookup Tables'!$AI$6:$AM$102, 5, FALSE)*BP171), "")), 2), "")</f>
        <v/>
      </c>
      <c r="FY171" s="253" t="str">
        <f>IFERROR(ROUND(IF(CD171="ERROR", "ERROR", IF(AND($FX$6=Y171, E171="Exterior"), IF(VLOOKUP(W171, 'Lookup Tables'!$AI$6:$AM$102, 5, FALSE)*BP171&gt;'Lookup Tables'!$AQ$97*'Lighting Inventory'!S171,'Lighting Inventory'!S171*'Lookup Tables'!$AQ$97,VLOOKUP(W171, 'Lookup Tables'!$AI$6:$AM$102, 5, FALSE)*BP171), "")), 2), "")</f>
        <v/>
      </c>
      <c r="FZ171" s="253" t="str">
        <f>IFERROR(ROUND(IF(CD171="ERROR", "ERROR", IF(AND($FZ$6=Y171, E171="Interior"), IF(AND(OR(W171="Refrigerated Case Lighting with Doors", W171="Freezer Case Lighting"),Y171="Custom - Process Improvement"),CD171*'Lookup Tables'!$AM$101, IF(B171="Retrofit", IF(VLOOKUP(IF(V171="Custom", V171, W171), 'Lookup Tables'!$AI$6:$AM$102, 5, FALSE)*BP171&gt;GE171, GE171, VLOOKUP(IF(V171="Custom", V171, W171), 'Lookup Tables'!$AI$6:$AM$102, 5, FALSE)*BP171), IF(VLOOKUP(IF(V171="Custom", V171, W171), 'Lookup Tables'!$AI$114:$AM$154, 5, FALSE)*BP171&gt;GE171, GE171, VLOOKUP(IF(V171="Custom", V171, W171), 'Lookup Tables'!$AI$114:$AM$154, 5, FALSE)*BP171))), "")), 2),"")</f>
        <v/>
      </c>
      <c r="GA171" s="253" t="str">
        <f>IFERROR(ROUND(IF(CD171="ERROR", "ERROR", IF(AND($FZ$6=Y171, E171="Exterior"), IF(B171="Retrofit", IF(VLOOKUP(IF(V171="Custom", V171, W171), 'Lookup Tables'!$AI$6:$AM$102, 5, FALSE)*BP171&gt;GE171, GE171, VLOOKUP(IF(V171="Custom", V171, W171), 'Lookup Tables'!$AI$6:$AM$102, 5, FALSE)*BP171), IF(VLOOKUP(IF(V171="Custom", V171, W171), 'Lookup Tables'!$AI$114:$AM$154, 5, FALSE)*BP171&gt;GE171, GE171, VLOOKUP(IF(V171="Custom", V171, W171), 'Lookup Tables'!$AI$114:$AM$154, 5, FALSE)*BP171)), "")), 2),"")</f>
        <v/>
      </c>
      <c r="GB171" s="254" t="str">
        <f t="array" ref="GB171">IF(B171="","",IF(OR(V171="Custom",V171="No Change"),0,IF(B171="Retrofit", INDEX('Lookup Tables'!$AH$6:$AQ$102,MATCH(1,('Lookup Tables'!$AH$6:$AH$102='Lighting Inventory'!V171)*('Lookup Tables'!$AI$6:$AI$102='Lighting Inventory'!W171),FALSE),10),INDEX('Lookup Tables'!$AH$114:$AQ$154,MATCH(1,('Lookup Tables'!$AH$114:$AH$154='Lighting Inventory'!V171)*('Lookup Tables'!$AI$114:$AI$154='Lighting Inventory'!W171),FALSE),10))))</f>
        <v/>
      </c>
      <c r="GC171" s="255" t="str">
        <f t="shared" si="447"/>
        <v/>
      </c>
      <c r="GD171" s="250" t="str">
        <f t="shared" si="448"/>
        <v/>
      </c>
      <c r="GE171" s="253" t="str">
        <f>IFERROR(IF(AND(AF171="", 'General Information'!$F$18="No"),"", IF(AF171="", ((GD171/$CD$266)*$CF$266)*0.5, AF171*S171*0.5)), "")</f>
        <v/>
      </c>
      <c r="GF171" s="255" t="str">
        <f>IF(AND('General Information'!$F$19="", 'General Information'!$F$18="Yes",AF171="",BW171="Y"), "Y", "N")</f>
        <v>N</v>
      </c>
      <c r="GG171" s="255" t="s">
        <v>2946</v>
      </c>
      <c r="GH171" s="255" t="str">
        <f>IFERROR(IF(B171="", "", VLOOKUP(J171, 'Fixture Identities'!$A$6:$N$908, 14, FALSE)), "")</f>
        <v/>
      </c>
      <c r="GI171" s="389" t="str">
        <f>IF(OR(B171="", V171="", W171=""), "", IF(AND(OR(M171='Lookup Tables'!$R$18, M171='Lookup Tables'!$R$19, M171='Lookup Tables'!$R$20, M171='Lookup Tables'!$R$21, M171='Lookup Tables'!$R$22), OR(AN171='Lookup Tables'!$R$17, AN171='Lookup Tables'!$R$17, AN171="")), "Y", "N"))</f>
        <v/>
      </c>
      <c r="GJ171" s="255" t="str">
        <f t="shared" si="449"/>
        <v/>
      </c>
      <c r="GK171" s="255" t="str">
        <f t="shared" si="450"/>
        <v/>
      </c>
      <c r="GL171" s="255" t="str">
        <f t="shared" si="451"/>
        <v/>
      </c>
      <c r="GM171" s="255" t="str">
        <f>IF(AN171="", "", IF(AND(IF(ISNA(VLOOKUP(AN171,'Lookup Tables'!$R$18:$R$22,1,FALSE)), "N", "Y")="Y", E171="Exterior"), "Y", "N"))</f>
        <v/>
      </c>
      <c r="GN171" s="395"/>
      <c r="GO171" s="428">
        <f t="shared" si="497"/>
        <v>0</v>
      </c>
      <c r="GP171" s="428">
        <f t="shared" si="500"/>
        <v>0</v>
      </c>
      <c r="GQ171" s="428">
        <f t="shared" si="498"/>
        <v>0</v>
      </c>
      <c r="GR171" s="428">
        <f t="shared" si="499"/>
        <v>0</v>
      </c>
    </row>
    <row r="172" spans="1:200" s="103" customFormat="1" ht="13.5" customHeight="1" x14ac:dyDescent="0.2">
      <c r="A172" s="272">
        <v>162</v>
      </c>
      <c r="B172" s="110"/>
      <c r="C172" s="110"/>
      <c r="D172" s="110"/>
      <c r="E172" s="110"/>
      <c r="F172" s="110"/>
      <c r="G172" s="110"/>
      <c r="H172" s="110"/>
      <c r="I172" s="29"/>
      <c r="J172" s="29"/>
      <c r="K172" s="272" t="str">
        <f>IFERROR(IF(OR(VLOOKUP(J172, 'Fixture Identities'!$A$6:$L$1023, 3, FALSE)="T12 Linear Fluorescent", VLOOKUP(J172, 'Fixture Identities'!$A$6:$L$1023, 3, FALSE)="T12 U-Tube Fluorescent"), VLOOKUP(VLOOKUP(J172, 'Fixture Identities'!$A$6:$L$1023, 11, FALSE), 'Fixture Identities'!$A$6:$L$1023, 10, FALSE), VLOOKUP(J172, 'Fixture Identities'!$A$6:$L$1023, 10, FALSE)), "")</f>
        <v/>
      </c>
      <c r="L172" s="270" t="str">
        <f t="shared" si="502"/>
        <v/>
      </c>
      <c r="M172" s="110"/>
      <c r="N172" s="110"/>
      <c r="O172" s="110"/>
      <c r="P172" s="272" t="str">
        <f>IFERROR(IF(OR(B172="Retrofit",B172=""),"",IF('Lighting Inventory'!E172="Exterior",VLOOKUP('Lighting Inventory'!N172,'Lookup Tables'!$B$83:$F$103,5,FALSE),IF(N172="Other - Please Estimate EFLH and CFs","Contact Prog. Rep.","ft^2"))), "")</f>
        <v/>
      </c>
      <c r="Q172" s="270" t="str">
        <f>IFERROR(IF(AND(B172="New Construction",E172="Interior",$F$5="Space-by-Space"),VLOOKUP('Lighting Inventory'!N172,'Lookup Tables'!$N$6:$O$97,2,FALSE),IF(AND(B172="New Construction",E172="Exterior"),VLOOKUP(N172,'Lookup Tables'!$B$83:$F$103,2,FALSE),IF(AND(B172="New Construction",'Lighting Inventory'!E172="Interior", $F$5="Building Area"),VLOOKUP(F172,'Lookup Tables'!$A$6:$J$59,10,FALSE),""))), "")</f>
        <v/>
      </c>
      <c r="R172" s="270" t="str">
        <f>IFERROR(IF(P172="Contact Prog. Rep.", "ERROR", IF(OR(B172="",B172="Retrofit"),"",IF(N172="Automated teller machines", ('Lookup Tables'!$A$82:$E$100+('Lighting Inventory'!O172-1)*'Lookup Tables'!$A$82:$E$100)/1000, (Q172*O172)/1000))), "")</f>
        <v/>
      </c>
      <c r="S172" s="595"/>
      <c r="T172" s="105" t="str">
        <f t="shared" si="452"/>
        <v/>
      </c>
      <c r="U172" s="105" t="str">
        <f>IF(S172="","",COUNT($S$11:S172))</f>
        <v/>
      </c>
      <c r="V172" s="111"/>
      <c r="W172" s="112"/>
      <c r="X172" s="105" t="str">
        <f t="shared" si="453"/>
        <v/>
      </c>
      <c r="Y172" s="105" t="str">
        <f t="array" ref="Y172">IF(AND(OR(W172="Freezer Case Lighting", W172="Refrigerated Case Lighting with Doors"), 'General Information'!$X$18="LCI"),'Lookup Tables'!$Y$34, IF(V172="Custom", VLOOKUP(W172, 'Fixture Identities'!$A$974:$M$1023, 13, FALSE), IF(V172="No Change",'Lookup Tables'!$Y$29,IF(OR(V172="",W172=""),"",IF(AND(S172=0,S172&lt;I172,B172="Retrofit"),'Lookup Tables'!$Y$25, IF(B172="Retrofit", INDEX('Lookup Tables'!$AH$6:$AP$102, MATCH(1, ('Lookup Tables'!$AH$6:$AH$102=V172)*('Lookup Tables'!$AI$6:$AI$102=W172), 0), IF('Lighting Inventory'!E172="Interior", 4, 5)), INDEX('Lookup Tables'!$AH$114:$AP$154, MATCH(1, ('Lookup Tables'!$AH$114:$AH$154=V172)*('Lookup Tables'!$AI$114:$AI$154=W172), 0), IF('Lighting Inventory'!E172="Interior", 4, 5))))))))</f>
        <v/>
      </c>
      <c r="Z172" s="105" t="str">
        <f>IFERROR(INDEX('Lookup Tables'!$AH$158:$AH$172,MATCH('Lighting Inventory'!Y172,'Lookup Tables'!$AI$158:$AI$172,0)),"")</f>
        <v/>
      </c>
      <c r="AA172" s="105" t="str">
        <f>IF(AP172&gt;0,INDEX('Lookup Tables'!$AK$158:$AK$172,MATCH('Lighting Inventory'!Y172,'Lookup Tables'!$AI$158:$AI$172,0)),'Lighting Inventory'!Y172)</f>
        <v/>
      </c>
      <c r="AB172" s="105" t="str">
        <f t="array" ref="AB172">IF(V172="Custom", "Custom", IF(V172="", "", IF(V172="Not DLC or Energy Star", "General", IF(B172="New Construction", INDEX('Lookup Tables'!$AH$114:$AP$154,MATCH(1,('Lookup Tables'!$AH$114:$AH$154='Lighting Inventory'!V172)*('Lookup Tables'!$AI$114:$AI$154='Lighting Inventory'!W172),FALSE),8), INDEX('Lookup Tables'!$AH$6:$AP$102,MATCH(1,('Lookup Tables'!$AH$6:$AH$102='Lighting Inventory'!V172)*('Lookup Tables'!$AI$6:$AI$102='Lighting Inventory'!W172),FALSE),8)))))</f>
        <v/>
      </c>
      <c r="AC172" s="272" t="str">
        <f>IF(W172="","",IF(V172="Custom",CONCATENATE("$",'Lookup Tables'!$AM$101," ",'Lookup Tables'!$AN$101),CONCATENATE("$",INDEX('Lookup Tables'!$AM$6:$AM$102,MATCH('Lighting Inventory'!W172,'Lookup Tables'!$AI$6:$AI$102,0))," ",INDEX('Lookup Tables'!$AN$6:$AN$102,MATCH('Lighting Inventory'!W172,'Lookup Tables'!$AI$6:$AI$102,0)))))</f>
        <v/>
      </c>
      <c r="AD172" s="72"/>
      <c r="AE172" s="29"/>
      <c r="AF172" s="379"/>
      <c r="AG172" s="370" t="str">
        <f t="shared" si="401"/>
        <v/>
      </c>
      <c r="AH172" s="370" t="str">
        <f t="shared" si="454"/>
        <v/>
      </c>
      <c r="AI172" s="29"/>
      <c r="AJ172" s="29"/>
      <c r="AK172" s="110"/>
      <c r="AL172" s="375" t="str">
        <f>IF(OR(B172="", V172="", W172=""), "", IF(V172="No Change", K172, IF(V172="Remove Fixture", 0, IF(V172="Custom",VLOOKUP(W172,'Fixture Identities'!$A$6:$K$1023,10,FALSE),IF(AE172="", "← ENTER POST WATTS", 'Lighting Inventory'!AE172)))))</f>
        <v/>
      </c>
      <c r="AM172" s="376" t="str">
        <f t="shared" si="402"/>
        <v/>
      </c>
      <c r="AN172" s="29"/>
      <c r="AO172" s="671"/>
      <c r="AP172" s="29"/>
      <c r="AQ172" s="29"/>
      <c r="AR172" s="29"/>
      <c r="AS172" s="272" t="str">
        <f t="shared" si="455"/>
        <v/>
      </c>
      <c r="AT172" s="270" t="str">
        <f t="shared" si="403"/>
        <v/>
      </c>
      <c r="AU172" s="88" t="str">
        <f t="shared" si="503"/>
        <v/>
      </c>
      <c r="AV172" s="29"/>
      <c r="AW172" s="73"/>
      <c r="AX172" s="271" t="str">
        <f>IF(AND(AV172="Applicant",OR(AW172="", AW172="Use Default Facility Hours")),"← Choose Schedule",IF(F172="","",IF(W172="LED Exit Signs",8760,IF(OR(AV172="Prescribed",AV172=""),VLOOKUP(F172,'Lookup Tables'!$A$6:$G$59,IF(AB172="General", 6, 3),FALSE),VLOOKUP(AW172,'Lookup Tables'!$S$36:$U$43,2,FALSE)))))</f>
        <v/>
      </c>
      <c r="AY172" s="88" t="str">
        <f t="shared" si="404"/>
        <v/>
      </c>
      <c r="AZ172" s="270" t="str">
        <f>IFERROR(IF(F172="", "", IF(W172="LED Exit Signs", 1, IF(AV172="Applicant",VLOOKUP(AW172, 'Lookup Tables'!$S$36:$U$43,3, FALSE), VLOOKUP('Lighting Inventory'!F172, 'Lookup Tables'!$A$6:$H$59, IF('Lighting Inventory'!AB172="General",7,4), FALSE)))), "")</f>
        <v/>
      </c>
      <c r="BA172" s="522" t="str">
        <f>IFERROR(IF(F172="", "", IF(W172="LED Exit Signs", 1, VLOOKUP('Lighting Inventory'!F172, 'Lookup Tables'!$A$6:$H$59, IF('Lighting Inventory'!AB172="General",8,5), FALSE))), "")</f>
        <v/>
      </c>
      <c r="BB172" s="270" t="str">
        <f>IF(G172="", "", IF(E172="Exterior", 0, IF('Lighting Inventory'!G172="Air Conditioned", VLOOKUP(H172, 'Lookup Tables'!$R$6:$T$13, 2, FALSE), VLOOKUP('Lighting Inventory'!G172, 'Lookup Tables'!$R$6:$T$13, 2, FALSE))))</f>
        <v/>
      </c>
      <c r="BC172" s="522" t="str">
        <f>IF(G172="", "", IF(E172="Exterior", 0, IF('Lighting Inventory'!G172="Air Conditioned", VLOOKUP(H172, 'Lookup Tables'!$R$6:$T$13, 3, FALSE), VLOOKUP('Lighting Inventory'!G172, 'Lookup Tables'!$R$6:$T$13, 3, FALSE))))</f>
        <v/>
      </c>
      <c r="BD172" s="270" t="str">
        <f>IF(G172="", "", IF(E172="Exterior", 0, IF('Lighting Inventory'!G172="Air Conditioned", VLOOKUP(H172, 'Lookup Tables'!$R$6:$U$13, 4, FALSE), VLOOKUP('Lighting Inventory'!G172, 'Lookup Tables'!$R$6:$U$13, 4, FALSE))))</f>
        <v/>
      </c>
      <c r="BE172" s="270" t="str">
        <f>IFERROR(IF(B172="", "",  IF(B172="New Construction", VLOOKUP(F172, 'Lookup Tables'!$A$6:$K$59, 11, FALSE),IF(OR(AN172="", AN172="Light Switch"), 0, IF(OR(M172="",M172="None",V172= "LED Exit Signs"),0,_xlfn.XLOOKUP(M172,'Lookup Tables'!$R$91:$R$101,'Lookup Tables'!$V$91:$V$101))))), "")</f>
        <v/>
      </c>
      <c r="BF172" s="270" t="str">
        <f>IF(AND(OR(AN172="Light Switch",AN172=""),B172="New Construction"), VLOOKUP(F172, 'Lookup Tables'!$A$6:$K$59, 11, FALSE),IF(AN172="","",IF(B172="","",IF(OR(AN172="None",AN172="",V172="LED Exit Signs",AN172="Exterior Controls Not Eligible"),0,_xlfn.XLOOKUP(AN172,'Lookup Tables'!$R$91:$R$101,'Lookup Tables'!$V$91:$V$101)))))</f>
        <v/>
      </c>
      <c r="BG172" s="88" t="str">
        <f t="shared" si="456"/>
        <v/>
      </c>
      <c r="BH172" s="88" t="str">
        <f t="shared" si="457"/>
        <v/>
      </c>
      <c r="BI172" s="558" t="str">
        <f t="shared" si="501"/>
        <v/>
      </c>
      <c r="BJ172" s="82" t="str">
        <f t="shared" si="458"/>
        <v/>
      </c>
      <c r="BK172" s="82" t="str">
        <f t="shared" si="459"/>
        <v/>
      </c>
      <c r="BL172" s="559" t="str">
        <f t="shared" si="460"/>
        <v/>
      </c>
      <c r="BM172" s="521" t="str">
        <f t="shared" si="405"/>
        <v/>
      </c>
      <c r="BN172" s="521" t="str">
        <f t="shared" si="406"/>
        <v/>
      </c>
      <c r="BO172" s="522" t="str">
        <f t="shared" si="407"/>
        <v/>
      </c>
      <c r="BP172" s="83" t="str">
        <f t="shared" si="461"/>
        <v/>
      </c>
      <c r="BQ172" s="84" t="str">
        <f t="shared" si="462"/>
        <v/>
      </c>
      <c r="BR172" s="184" t="str">
        <f>IFERROR(IF(B172="", "", IF(OR(VLOOKUP(J172, 'Fixture Identities'!$A$6:$L$1023, 3, FALSE)="T12 Linear Fluorescent",VLOOKUP(J172, 'Fixture Identities'!$A$6:$L$1023, 3, FALSE)="T12 U-Tube Fluorescent"), "Y", "N")), "N")</f>
        <v/>
      </c>
      <c r="BS172" s="184" t="str">
        <f t="array" ref="BS172">IFERROR(IF(OR(B172="", V172="", W172=""), "", IF(V172="Custom", "N", IF(OR(W172="Freezer Case Lighting", W172="Refrigerated Case Lighting with Doors"), BT172, IF(B172="Retrofit", INDEX('Lookup Tables'!$AH$6:$AT$102,MATCH(1,('Lookup Tables'!$AH$6:$AH$102=V172)*('Lookup Tables'!$AI$6:$AI$102=W172),FALSE),IF(VLOOKUP(J172, 'Fixture Identities'!$A$6:$B$1023, 2, FALSE)="Incandescent",12, 13)), INDEX('Lookup Tables'!$AH$114:$AS$154,MATCH(1,('Lookup Tables'!$AH$114:$AH$154=V172)*('Lookup Tables'!$AI$114:$AI$154=W172),FALSE),12))))), "N")</f>
        <v/>
      </c>
      <c r="BT172" s="184" t="str">
        <f>IF(J172="", "", IF(AND(OR(W172="Freezer case Lighting", W172="Refrigerated Case Lighting with Doors"),'General Information'!$X$18="LCI"), "N", IF(OR(VLOOKUP(J172, 'Fixture Identities'!$A$6:$B$1023, 2, FALSE)="T12 EPACT/EISA Baseline", VLOOKUP(J172, 'Fixture Identities'!$A$6:$B$1023, 2, FALSE)="Linear Fluorescent", VLOOKUP(J172, 'Fixture Identities'!$A$6:$B$1023, 2, FALSE)="U-Tube Fluorescent"), "Y", "N")))</f>
        <v/>
      </c>
      <c r="BU172" s="184" t="str">
        <f>IFERROR(IF(B172="", "", IF(VLOOKUP(J172, 'Fixture Identities'!$A$6:$B$1023, 2, FALSE)="Exit Sign", "Y", "N")), "N")</f>
        <v/>
      </c>
      <c r="BV172" s="184" t="str">
        <f>IF(V172="Exit Signs", IF(VLOOKUP(J172, 'Fixture Identities'!$A$6:$B$1023, 2, FALSE)="Exit Sign", "N", "Y"), "")</f>
        <v/>
      </c>
      <c r="BW172" s="184" t="str">
        <f t="array" ref="BW172">IFERROR(IF(B172="", "", IF(B172="New Construction", "N", INDEX('Lookup Tables'!$AH$6:$AU$102, MATCH(1, ('Lookup Tables'!$AH$6:$AH$102='Lighting Inventory'!V172)*('Lookup Tables'!$AI$6:$AI$102='Lighting Inventory'!W172), 0), 14))), "N")</f>
        <v/>
      </c>
      <c r="BX172" s="598" t="str">
        <f t="shared" si="463"/>
        <v/>
      </c>
      <c r="BY172" s="598" t="str">
        <f t="shared" si="464"/>
        <v/>
      </c>
      <c r="BZ172" s="598" t="str">
        <f t="shared" si="465"/>
        <v/>
      </c>
      <c r="CA172" s="598" t="str">
        <f t="shared" si="466"/>
        <v/>
      </c>
      <c r="CB172" s="269" t="str">
        <f t="shared" si="467"/>
        <v/>
      </c>
      <c r="CC172" s="517" t="str">
        <f t="shared" si="468"/>
        <v/>
      </c>
      <c r="CD172" s="565" t="str">
        <f t="shared" si="408"/>
        <v/>
      </c>
      <c r="CE172" s="368">
        <v>0</v>
      </c>
      <c r="CF172" s="368" t="str" cm="1">
        <f t="array" ref="CF172">IFERROR(IF(V172="Custom", "$0.1 per kWh", IF(B172="New Construction", CONCATENATE("$",INDEX('Lookup Tables'!$AH$114:$AN$154,MATCH(1,('Lookup Tables'!$AH$114:$AH$154='Lighting Inventory'!V172)*('Lookup Tables'!$AI$114:$AI$154='Lighting Inventory'!W172),FALSE),6)," ",INDEX('Lookup Tables'!$AH$114:$AN$154,MATCH(1,('Lookup Tables'!$AH$114:$AH$154='Lighting Inventory'!V172)*('Lookup Tables'!$AI$114:$AI$154='Lighting Inventory'!W172),FALSE),7)), IF(AND(BU172="N", V172="Exit Signs"), "$0.025 per kWh", CONCATENATE("$",INDEX('Lookup Tables'!$AH$6:$AN$102,MATCH(1,('Lookup Tables'!$AH$6:$AH$102='Lighting Inventory'!V172)*('Lookup Tables'!$AI$6:$AI$102='Lighting Inventory'!W172),FALSE),6)," ",INDEX('Lookup Tables'!$AH$6:$AN$102,MATCH(1,('Lookup Tables'!$AH$6:$AH$102='Lighting Inventory'!V172)*('Lookup Tables'!$AI$6:$AI$102='Lighting Inventory'!W172),FALSE),7))))), "")</f>
        <v/>
      </c>
      <c r="CG172" s="366"/>
      <c r="CH172" s="248" t="str">
        <f t="shared" si="409"/>
        <v/>
      </c>
      <c r="CI172" s="248" t="str">
        <f t="shared" si="410"/>
        <v>Select_IE</v>
      </c>
      <c r="CJ172" s="248" t="str">
        <f t="shared" si="411"/>
        <v/>
      </c>
      <c r="CK172" s="248" t="str">
        <f t="shared" si="412"/>
        <v/>
      </c>
      <c r="CL172" s="248" t="str">
        <f t="shared" si="413"/>
        <v/>
      </c>
      <c r="CM172" s="248" t="str">
        <f>IFERROR(IF(B172="", "", IF(B172="New Construction", VLOOKUP(V172, 'Lookup Tables'!$AF$114:$AG$120, 2, FALSE), VLOOKUP(V172, 'Lookup Tables'!$AD$6:$AE$25, 2, FALSE))), "")</f>
        <v/>
      </c>
      <c r="CN172" s="248" t="str">
        <f t="shared" si="414"/>
        <v/>
      </c>
      <c r="CO172" s="248" t="str">
        <f t="shared" si="415"/>
        <v/>
      </c>
      <c r="CP172" s="592" t="str">
        <f t="shared" si="416"/>
        <v/>
      </c>
      <c r="CQ172" s="248" t="str">
        <f t="shared" si="469"/>
        <v/>
      </c>
      <c r="CR172" s="100"/>
      <c r="CS172" s="250" t="str">
        <f t="shared" si="417"/>
        <v/>
      </c>
      <c r="CT172" s="250" t="str">
        <f t="shared" si="470"/>
        <v/>
      </c>
      <c r="CU172" s="250" t="str">
        <f t="shared" si="471"/>
        <v/>
      </c>
      <c r="CV172" s="250" t="str">
        <f t="shared" si="472"/>
        <v/>
      </c>
      <c r="CW172" s="250" t="str">
        <f t="shared" si="473"/>
        <v/>
      </c>
      <c r="CX172" s="250" t="str">
        <f t="shared" si="418"/>
        <v/>
      </c>
      <c r="CY172" s="250" t="str">
        <f t="shared" si="419"/>
        <v/>
      </c>
      <c r="CZ172" s="250" t="str">
        <f t="shared" si="420"/>
        <v/>
      </c>
      <c r="DA172" s="250" t="str">
        <f t="shared" si="421"/>
        <v/>
      </c>
      <c r="DB172" s="250" t="str">
        <f t="shared" si="422"/>
        <v/>
      </c>
      <c r="DC172" s="250" t="str">
        <f t="shared" si="423"/>
        <v/>
      </c>
      <c r="DD172" s="250" t="str">
        <f t="shared" si="424"/>
        <v/>
      </c>
      <c r="DE172" s="250" t="str">
        <f t="shared" si="425"/>
        <v/>
      </c>
      <c r="DF172" s="250" t="str">
        <f t="shared" si="426"/>
        <v/>
      </c>
      <c r="DG172" s="250" t="str">
        <f t="shared" si="427"/>
        <v/>
      </c>
      <c r="DH172" s="250" t="str">
        <f t="shared" si="428"/>
        <v/>
      </c>
      <c r="DI172" s="250" t="str">
        <f t="shared" si="429"/>
        <v/>
      </c>
      <c r="DJ172" s="250" t="str">
        <f t="shared" si="430"/>
        <v/>
      </c>
      <c r="DK172" s="250" t="str">
        <f t="shared" si="431"/>
        <v/>
      </c>
      <c r="DL172" s="250" t="str">
        <f t="shared" si="432"/>
        <v/>
      </c>
      <c r="DM172" s="250" t="str">
        <f>IF(CD172="ERROR", "ERROR", IF(AND(OR(Y172=$DM$6, Y172='Lookup Tables'!$AD$21, Y172='Lookup Tables'!$AD$22), E172="Interior"), BJ172, ""))</f>
        <v/>
      </c>
      <c r="DN172" s="250" t="str">
        <f>IF(CD172="ERROR", "ERROR", IF(AND(OR(Y172=$DM$6, Y172='Lookup Tables'!$AD$21, Y172='Lookup Tables'!$AD$22), E172="Exterior"), BJ172, ""))</f>
        <v/>
      </c>
      <c r="DO172" s="100"/>
      <c r="DP172" s="250" t="str">
        <f t="shared" si="433"/>
        <v/>
      </c>
      <c r="DQ172" s="250" t="str">
        <f t="shared" si="474"/>
        <v/>
      </c>
      <c r="DR172" s="250" t="str">
        <f t="shared" si="475"/>
        <v/>
      </c>
      <c r="DS172" s="250" t="str">
        <f t="shared" si="476"/>
        <v/>
      </c>
      <c r="DT172" s="250" t="str">
        <f t="shared" si="477"/>
        <v/>
      </c>
      <c r="DU172" s="250" t="str">
        <f t="shared" si="434"/>
        <v/>
      </c>
      <c r="DV172" s="250" t="str">
        <f t="shared" si="435"/>
        <v/>
      </c>
      <c r="DW172" s="250" t="str">
        <f t="shared" si="436"/>
        <v/>
      </c>
      <c r="DX172" s="250" t="str">
        <f t="shared" si="437"/>
        <v/>
      </c>
      <c r="DY172" s="250" t="str">
        <f t="shared" si="438"/>
        <v/>
      </c>
      <c r="DZ172" s="250" t="str">
        <f t="shared" si="439"/>
        <v/>
      </c>
      <c r="EA172" s="250" t="str">
        <f t="shared" si="440"/>
        <v/>
      </c>
      <c r="EB172" s="250" t="str">
        <f t="shared" si="478"/>
        <v/>
      </c>
      <c r="EC172" s="250" t="str">
        <f t="shared" si="441"/>
        <v/>
      </c>
      <c r="ED172" s="250" t="str">
        <f t="shared" si="442"/>
        <v/>
      </c>
      <c r="EE172" s="250" t="str">
        <f t="shared" si="443"/>
        <v/>
      </c>
      <c r="EF172" s="250" t="str">
        <f t="shared" si="444"/>
        <v/>
      </c>
      <c r="EG172" s="250" t="str">
        <f t="shared" si="445"/>
        <v/>
      </c>
      <c r="EH172" s="250" t="str">
        <f>IF(CD172="ERROR", "ERROR", IF(AND(OR($EH$6=Y172, Y172='Lookup Tables'!$AD$21, Y172='Lookup Tables'!$AD$22),E172="Interior"), SUM(BP172:BP172), ""))</f>
        <v/>
      </c>
      <c r="EI172" s="250" t="str">
        <f>IF(CD172="ERROR", "ERROR", IF(AND(OR($EH$6=Y172, Y172='Lookup Tables'!$AD$21, Y172='Lookup Tables'!$AD$22),E172="Exterior"), SUM(BP172:BP172), ""))</f>
        <v/>
      </c>
      <c r="EJ172" s="109"/>
      <c r="EK172" s="485" t="str">
        <f t="shared" si="446"/>
        <v/>
      </c>
      <c r="EL172" s="252" t="str">
        <f t="shared" si="479"/>
        <v/>
      </c>
      <c r="EM172" s="252" t="str">
        <f t="shared" si="480"/>
        <v/>
      </c>
      <c r="EN172" s="252" t="str">
        <f t="shared" si="481"/>
        <v/>
      </c>
      <c r="EO172" s="252" t="str">
        <f t="shared" si="482"/>
        <v/>
      </c>
      <c r="EP172" s="252" t="str">
        <f t="shared" si="483"/>
        <v/>
      </c>
      <c r="EQ172" s="252" t="str">
        <f t="shared" si="484"/>
        <v/>
      </c>
      <c r="ER172" s="252" t="str">
        <f t="shared" si="485"/>
        <v/>
      </c>
      <c r="ES172" s="252" t="str">
        <f t="shared" si="486"/>
        <v/>
      </c>
      <c r="ET172" s="252" t="str">
        <f t="shared" si="487"/>
        <v/>
      </c>
      <c r="EU172" s="252" t="str">
        <f t="shared" si="488"/>
        <v/>
      </c>
      <c r="EV172" s="252" t="str">
        <f t="shared" si="489"/>
        <v/>
      </c>
      <c r="EW172" s="252" t="str">
        <f t="shared" si="490"/>
        <v/>
      </c>
      <c r="EX172" s="252" t="str">
        <f t="shared" si="491"/>
        <v/>
      </c>
      <c r="EY172" s="252" t="str">
        <f t="shared" si="492"/>
        <v/>
      </c>
      <c r="EZ172" s="252" t="str">
        <f t="shared" si="493"/>
        <v/>
      </c>
      <c r="FA172" s="252" t="str">
        <f t="shared" si="494"/>
        <v/>
      </c>
      <c r="FB172" s="252" t="str">
        <f t="shared" si="495"/>
        <v/>
      </c>
      <c r="FC172" s="252" t="str">
        <f>IF(CD172="ERROR", "ERROR", IF(OR(V172="No Change", V172="Not DLC or Energy Star"), "", IF(AND(OR($FC$6=Y172,Y172='Lookup Tables'!$AD$21, Y172='Lookup Tables'!$AD$22),E172="Interior"), S172, "")))</f>
        <v/>
      </c>
      <c r="FD172" s="252" t="str">
        <f t="shared" si="496"/>
        <v/>
      </c>
      <c r="FE172" s="101"/>
      <c r="FF172" s="579" t="str" cm="1">
        <f t="array" ref="FF172">IFERROR(IF(OR(BQ172&lt;=0,AQ172&lt;20,AND(V172="Exit Signs",AN172&gt;0)),"",IF(AND(AQ172&gt;=20,AN172='Lookup Tables'!$R$101),'Lookup Tables'!$U$101*BQ172,AP172*LOOKUP(2,1/((AN172='Lookup Tables'!$R$91:$R$111)*(AQ172&gt;='Lookup Tables'!$S$91:$S$111)*(AQ172&lt;='Lookup Tables'!$T$91:$T$111)),'Lookup Tables'!$U$91:$U$111))),"")</f>
        <v/>
      </c>
      <c r="FG172" s="579"/>
      <c r="FH172" s="579"/>
      <c r="FI172" s="253" t="str">
        <f>IFERROR(ROUND(IF(CD172="ERROR", "ERROR", IF(AND($FI$7=X172,E172="Interior"),VLOOKUP(W172, 'Lookup Tables'!$AI$6:$AM$102, 5, FALSE)*BP172, "")), 2), "")</f>
        <v/>
      </c>
      <c r="FJ172" s="253" t="str">
        <f>IFERROR(ROUND(IF(CD172="ERROR", "ERROR", IF(AND($FI$7=X172,E172="Exterior"),VLOOKUP(W172, 'Lookup Tables'!$AI$6:$AM$102, 5, FALSE)*BP172, "")), 2), "")</f>
        <v/>
      </c>
      <c r="FK172" s="253" t="str">
        <f>IFERROR(ROUND(IF(CD172="ERROR", "ERROR", IF(AND($FK$7=X172,E172="Interior"),VLOOKUP(W172, 'Lookup Tables'!$AI$6:$AM$102, 5, FALSE)*BP172, "")), 2), "")</f>
        <v/>
      </c>
      <c r="FL172" s="253" t="str">
        <f>IFERROR(ROUND(IF(CD172="ERROR", "ERROR", IF(AND($FK$7=X172,E172="Exterior"),VLOOKUP(W172, 'Lookup Tables'!$AI$6:$AM$102, 5, FALSE)*BP172, "")), 2), "")</f>
        <v/>
      </c>
      <c r="FM172" s="253" t="str">
        <f>IFERROR(ROUND(IF(CD172="ERROR", "ERROR", IF(AND($FM$6=Y172,E172="Interior"), IF(GB172=0, VLOOKUP(W172, 'Lookup Tables'!$AI$6:$AM$102, 5, FALSE)*BP172, IF(VLOOKUP(W172, 'Lookup Tables'!$AI$6:$AM$102, 5, FALSE)*BP172&gt;GB172*'Lighting Inventory'!S172, GB172*'Lighting Inventory'!S172,VLOOKUP(W172, 'Lookup Tables'!$AI$6:$AM$102, 5, FALSE)*BP172)), "")), 2), "")</f>
        <v/>
      </c>
      <c r="FN172" s="253" t="str">
        <f>IFERROR(ROUND(IF(CD172="ERROR", "ERROR", IF(AND($FM$6=Y172,E172="Exterior"), IF(GB172=0, VLOOKUP(W172, 'Lookup Tables'!$AI$6:$AM$102, 5, FALSE)*BP172, IF(VLOOKUP(W172, 'Lookup Tables'!$AI$6:$AM$102, 5, FALSE)*BP172&gt;GB172*'Lighting Inventory'!S172, GB172*'Lighting Inventory'!S172,VLOOKUP(W172, 'Lookup Tables'!$AI$6:$AM$102, 5, FALSE)*BP172)), "")), 2), "")</f>
        <v/>
      </c>
      <c r="FO172" s="253" t="str">
        <f>IFERROR(ROUND(IF(CD172="ERROR", "ERROR", IF(AND($FO$6=Y172,E172="Interior"),VLOOKUP(W172, 'Lookup Tables'!$AI$6:$AM$102, 5, FALSE)*'Lighting Inventory'!AI172, "")), 2), "")</f>
        <v/>
      </c>
      <c r="FP172" s="253" t="str">
        <f>IFERROR(ROUND(IF(CD172="ERROR", "ERROR", IF(AND($FO$6=Y172,E172="Exterior"),VLOOKUP(W172, 'Lookup Tables'!$AI$6:$AM$102, 5, FALSE)*'Lighting Inventory'!AI172, "")), 2), "")</f>
        <v/>
      </c>
      <c r="FQ172" s="253" t="str">
        <f>IFERROR(ROUND(IF(CD172="ERROR", "ERROR", IF(AND($FQ$6=Y172,E172="Interior", BU172="Y"), VLOOKUP('Lighting Inventory'!W172, 'Lookup Tables'!$AI$6:$AM$102, 5, FALSE)*'Lighting Inventory'!S172, IF(AND($FQ$7=Y172,E172="Interior", BU172="N"), 0.025*CD172, ""))), 2), "")</f>
        <v/>
      </c>
      <c r="FR172" s="253" t="str">
        <f>IFERROR(ROUND(IF(CD172="ERROR", "ERROR", IF(AND($FQ$6=Y172,E172="Exterior"), VLOOKUP('Lighting Inventory'!W172, 'Lookup Tables'!$AI$6:$AM$102, 5, FALSE)*'Lighting Inventory'!S172, "")), 2), "")</f>
        <v/>
      </c>
      <c r="FS172" s="253" t="str">
        <f>IFERROR(ROUND(IF(CD172="ERROR", "ERROR", IF(AND($FS$6=Y172,E172="Exterior"), IF(GB172=0, VLOOKUP(W172, 'Lookup Tables'!$AI$6:$AM$102, 5, FALSE)*BP172, IF(VLOOKUP(W172, 'Lookup Tables'!$AI$6:$AM$102, 5, FALSE)*BP172&gt;GB172*'Lighting Inventory'!S172, GB172*'Lighting Inventory'!S172,VLOOKUP(W172, 'Lookup Tables'!$AI$6:$AM$102, 5, FALSE)*BP172)), "")), 2), "")</f>
        <v/>
      </c>
      <c r="FT172" s="253" t="str">
        <f>IFERROR(ROUND(IF(CD172="ERROR", "ERROR", IF(AND($FT$6=Y172,E172="Interior"), IF(GB172=0, VLOOKUP(W172, 'Lookup Tables'!$AI$6:$AM$102, 5, FALSE)*BP172, IF(VLOOKUP(W172, 'Lookup Tables'!$AI$6:$AM$102, 5, FALSE)*BP172&gt;GB172*'Lighting Inventory'!S172, GB172*'Lighting Inventory'!S172,VLOOKUP(W172, 'Lookup Tables'!$AI$6:$AM$102, 5, FALSE)*BP172)), "")), 2), "")</f>
        <v/>
      </c>
      <c r="FU172" s="253" t="str">
        <f>IFERROR(ROUND(IF(CD172="ERROR", "ERROR", IF(AND(Y172=$FU$6, E172="Interior"), IF(BS172="N", 'Lookup Tables'!$AM$101*BP172, VLOOKUP(W172, 'Lookup Tables'!$AI$6:$AM$102, 5, FALSE)*S172*AD172), "")), 2), "")</f>
        <v/>
      </c>
      <c r="FV172" s="253" t="str">
        <f>IFERROR(ROUND(IF(CD172="ERROR", "ERROR", IF(AND(Y172=$FU$6, E172="Exterior"), IF(BS172="N", 'Lookup Tables'!$AM$101*BP172, VLOOKUP(W172, 'Lookup Tables'!$AI$6:$AM$102, 5, FALSE)*S172*AD172), "")), 2), "")</f>
        <v/>
      </c>
      <c r="FW172" s="253" t="str">
        <f>IFERROR(ROUND(IF(CD172="ERROR", "ERROR", IF($FW$6=Y172, IF(BS172="N", 'Lookup Tables'!$AM$101*BP172, MIN((VLOOKUP(W172, 'Lookup Tables'!$AI$6:$AM$102, 5, FALSE)*BP172),GB172*AJ172)), "")), 2), "")</f>
        <v/>
      </c>
      <c r="FX172" s="253" t="str">
        <f>IFERROR(ROUND(IF(CD172="ERROR", "ERROR", IF(AND($FX$6=Y172, E172="Interior"), IF(VLOOKUP(W172, 'Lookup Tables'!$AI$6:$AM$102, 5, FALSE)*BP172&gt;'Lookup Tables'!$AQ$97*'Lighting Inventory'!S172,'Lighting Inventory'!S172*'Lookup Tables'!$AQ$97,VLOOKUP(W172, 'Lookup Tables'!$AI$6:$AM$102, 5, FALSE)*BP172), "")), 2), "")</f>
        <v/>
      </c>
      <c r="FY172" s="253" t="str">
        <f>IFERROR(ROUND(IF(CD172="ERROR", "ERROR", IF(AND($FX$6=Y172, E172="Exterior"), IF(VLOOKUP(W172, 'Lookup Tables'!$AI$6:$AM$102, 5, FALSE)*BP172&gt;'Lookup Tables'!$AQ$97*'Lighting Inventory'!S172,'Lighting Inventory'!S172*'Lookup Tables'!$AQ$97,VLOOKUP(W172, 'Lookup Tables'!$AI$6:$AM$102, 5, FALSE)*BP172), "")), 2), "")</f>
        <v/>
      </c>
      <c r="FZ172" s="253" t="str">
        <f>IFERROR(ROUND(IF(CD172="ERROR", "ERROR", IF(AND($FZ$6=Y172, E172="Interior"), IF(AND(OR(W172="Refrigerated Case Lighting with Doors", W172="Freezer Case Lighting"),Y172="Custom - Process Improvement"),CD172*'Lookup Tables'!$AM$101, IF(B172="Retrofit", IF(VLOOKUP(IF(V172="Custom", V172, W172), 'Lookup Tables'!$AI$6:$AM$102, 5, FALSE)*BP172&gt;GE172, GE172, VLOOKUP(IF(V172="Custom", V172, W172), 'Lookup Tables'!$AI$6:$AM$102, 5, FALSE)*BP172), IF(VLOOKUP(IF(V172="Custom", V172, W172), 'Lookup Tables'!$AI$114:$AM$154, 5, FALSE)*BP172&gt;GE172, GE172, VLOOKUP(IF(V172="Custom", V172, W172), 'Lookup Tables'!$AI$114:$AM$154, 5, FALSE)*BP172))), "")), 2),"")</f>
        <v/>
      </c>
      <c r="GA172" s="253" t="str">
        <f>IFERROR(ROUND(IF(CD172="ERROR", "ERROR", IF(AND($FZ$6=Y172, E172="Exterior"), IF(B172="Retrofit", IF(VLOOKUP(IF(V172="Custom", V172, W172), 'Lookup Tables'!$AI$6:$AM$102, 5, FALSE)*BP172&gt;GE172, GE172, VLOOKUP(IF(V172="Custom", V172, W172), 'Lookup Tables'!$AI$6:$AM$102, 5, FALSE)*BP172), IF(VLOOKUP(IF(V172="Custom", V172, W172), 'Lookup Tables'!$AI$114:$AM$154, 5, FALSE)*BP172&gt;GE172, GE172, VLOOKUP(IF(V172="Custom", V172, W172), 'Lookup Tables'!$AI$114:$AM$154, 5, FALSE)*BP172)), "")), 2),"")</f>
        <v/>
      </c>
      <c r="GB172" s="254" t="str">
        <f t="array" ref="GB172">IF(B172="","",IF(OR(V172="Custom",V172="No Change"),0,IF(B172="Retrofit", INDEX('Lookup Tables'!$AH$6:$AQ$102,MATCH(1,('Lookup Tables'!$AH$6:$AH$102='Lighting Inventory'!V172)*('Lookup Tables'!$AI$6:$AI$102='Lighting Inventory'!W172),FALSE),10),INDEX('Lookup Tables'!$AH$114:$AQ$154,MATCH(1,('Lookup Tables'!$AH$114:$AH$154='Lighting Inventory'!V172)*('Lookup Tables'!$AI$114:$AI$154='Lighting Inventory'!W172),FALSE),10))))</f>
        <v/>
      </c>
      <c r="GC172" s="255" t="str">
        <f t="shared" si="447"/>
        <v/>
      </c>
      <c r="GD172" s="250" t="str">
        <f t="shared" si="448"/>
        <v/>
      </c>
      <c r="GE172" s="253" t="str">
        <f>IFERROR(IF(AND(AF172="", 'General Information'!$F$18="No"),"", IF(AF172="", ((GD172/$CD$266)*$CF$266)*0.5, AF172*S172*0.5)), "")</f>
        <v/>
      </c>
      <c r="GF172" s="255" t="str">
        <f>IF(AND('General Information'!$F$19="", 'General Information'!$F$18="Yes",AF172="",BW172="Y"), "Y", "N")</f>
        <v>N</v>
      </c>
      <c r="GG172" s="255" t="s">
        <v>2946</v>
      </c>
      <c r="GH172" s="255" t="str">
        <f>IFERROR(IF(B172="", "", VLOOKUP(J172, 'Fixture Identities'!$A$6:$N$908, 14, FALSE)), "")</f>
        <v/>
      </c>
      <c r="GI172" s="389" t="str">
        <f>IF(OR(B172="", V172="", W172=""), "", IF(AND(OR(M172='Lookup Tables'!$R$18, M172='Lookup Tables'!$R$19, M172='Lookup Tables'!$R$20, M172='Lookup Tables'!$R$21, M172='Lookup Tables'!$R$22), OR(AN172='Lookup Tables'!$R$17, AN172='Lookup Tables'!$R$17, AN172="")), "Y", "N"))</f>
        <v/>
      </c>
      <c r="GJ172" s="255" t="str">
        <f t="shared" si="449"/>
        <v/>
      </c>
      <c r="GK172" s="255" t="str">
        <f t="shared" si="450"/>
        <v/>
      </c>
      <c r="GL172" s="255" t="str">
        <f t="shared" si="451"/>
        <v/>
      </c>
      <c r="GM172" s="255" t="str">
        <f>IF(AN172="", "", IF(AND(IF(ISNA(VLOOKUP(AN172,'Lookup Tables'!$R$18:$R$22,1,FALSE)), "N", "Y")="Y", E172="Exterior"), "Y", "N"))</f>
        <v/>
      </c>
      <c r="GN172" s="395"/>
      <c r="GO172" s="428">
        <f t="shared" si="497"/>
        <v>0</v>
      </c>
      <c r="GP172" s="428">
        <f t="shared" si="500"/>
        <v>0</v>
      </c>
      <c r="GQ172" s="428">
        <f t="shared" si="498"/>
        <v>0</v>
      </c>
      <c r="GR172" s="428">
        <f t="shared" si="499"/>
        <v>0</v>
      </c>
    </row>
    <row r="173" spans="1:200" s="103" customFormat="1" ht="13.5" customHeight="1" x14ac:dyDescent="0.2">
      <c r="A173" s="272">
        <v>163</v>
      </c>
      <c r="B173" s="110"/>
      <c r="C173" s="110"/>
      <c r="D173" s="110"/>
      <c r="E173" s="110"/>
      <c r="F173" s="110"/>
      <c r="G173" s="110"/>
      <c r="H173" s="110"/>
      <c r="I173" s="29"/>
      <c r="J173" s="29"/>
      <c r="K173" s="272" t="str">
        <f>IFERROR(IF(OR(VLOOKUP(J173, 'Fixture Identities'!$A$6:$L$1023, 3, FALSE)="T12 Linear Fluorescent", VLOOKUP(J173, 'Fixture Identities'!$A$6:$L$1023, 3, FALSE)="T12 U-Tube Fluorescent"), VLOOKUP(VLOOKUP(J173, 'Fixture Identities'!$A$6:$L$1023, 11, FALSE), 'Fixture Identities'!$A$6:$L$1023, 10, FALSE), VLOOKUP(J173, 'Fixture Identities'!$A$6:$L$1023, 10, FALSE)), "")</f>
        <v/>
      </c>
      <c r="L173" s="270" t="str">
        <f t="shared" si="502"/>
        <v/>
      </c>
      <c r="M173" s="110"/>
      <c r="N173" s="110"/>
      <c r="O173" s="110"/>
      <c r="P173" s="272" t="str">
        <f>IFERROR(IF(OR(B173="Retrofit",B173=""),"",IF('Lighting Inventory'!E173="Exterior",VLOOKUP('Lighting Inventory'!N173,'Lookup Tables'!$B$83:$F$103,5,FALSE),IF(N173="Other - Please Estimate EFLH and CFs","Contact Prog. Rep.","ft^2"))), "")</f>
        <v/>
      </c>
      <c r="Q173" s="270" t="str">
        <f>IFERROR(IF(AND(B173="New Construction",E173="Interior",$F$5="Space-by-Space"),VLOOKUP('Lighting Inventory'!N173,'Lookup Tables'!$N$6:$O$97,2,FALSE),IF(AND(B173="New Construction",E173="Exterior"),VLOOKUP(N173,'Lookup Tables'!$B$83:$F$103,2,FALSE),IF(AND(B173="New Construction",'Lighting Inventory'!E173="Interior", $F$5="Building Area"),VLOOKUP(F173,'Lookup Tables'!$A$6:$J$59,10,FALSE),""))), "")</f>
        <v/>
      </c>
      <c r="R173" s="270" t="str">
        <f>IFERROR(IF(P173="Contact Prog. Rep.", "ERROR", IF(OR(B173="",B173="Retrofit"),"",IF(N173="Automated teller machines", ('Lookup Tables'!$A$82:$E$100+('Lighting Inventory'!O173-1)*'Lookup Tables'!$A$82:$E$100)/1000, (Q173*O173)/1000))), "")</f>
        <v/>
      </c>
      <c r="S173" s="595"/>
      <c r="T173" s="105" t="str">
        <f t="shared" si="452"/>
        <v/>
      </c>
      <c r="U173" s="105" t="str">
        <f>IF(S173="","",COUNT($S$11:S173))</f>
        <v/>
      </c>
      <c r="V173" s="111"/>
      <c r="W173" s="112"/>
      <c r="X173" s="105" t="str">
        <f t="shared" si="453"/>
        <v/>
      </c>
      <c r="Y173" s="105" t="str">
        <f t="array" ref="Y173">IF(AND(OR(W173="Freezer Case Lighting", W173="Refrigerated Case Lighting with Doors"), 'General Information'!$X$18="LCI"),'Lookup Tables'!$Y$34, IF(V173="Custom", VLOOKUP(W173, 'Fixture Identities'!$A$974:$M$1023, 13, FALSE), IF(V173="No Change",'Lookup Tables'!$Y$29,IF(OR(V173="",W173=""),"",IF(AND(S173=0,S173&lt;I173,B173="Retrofit"),'Lookup Tables'!$Y$25, IF(B173="Retrofit", INDEX('Lookup Tables'!$AH$6:$AP$102, MATCH(1, ('Lookup Tables'!$AH$6:$AH$102=V173)*('Lookup Tables'!$AI$6:$AI$102=W173), 0), IF('Lighting Inventory'!E173="Interior", 4, 5)), INDEX('Lookup Tables'!$AH$114:$AP$154, MATCH(1, ('Lookup Tables'!$AH$114:$AH$154=V173)*('Lookup Tables'!$AI$114:$AI$154=W173), 0), IF('Lighting Inventory'!E173="Interior", 4, 5))))))))</f>
        <v/>
      </c>
      <c r="Z173" s="105" t="str">
        <f>IFERROR(INDEX('Lookup Tables'!$AH$158:$AH$172,MATCH('Lighting Inventory'!Y173,'Lookup Tables'!$AI$158:$AI$172,0)),"")</f>
        <v/>
      </c>
      <c r="AA173" s="105" t="str">
        <f>IF(AP173&gt;0,INDEX('Lookup Tables'!$AK$158:$AK$172,MATCH('Lighting Inventory'!Y173,'Lookup Tables'!$AI$158:$AI$172,0)),'Lighting Inventory'!Y173)</f>
        <v/>
      </c>
      <c r="AB173" s="105" t="str">
        <f t="array" ref="AB173">IF(V173="Custom", "Custom", IF(V173="", "", IF(V173="Not DLC or Energy Star", "General", IF(B173="New Construction", INDEX('Lookup Tables'!$AH$114:$AP$154,MATCH(1,('Lookup Tables'!$AH$114:$AH$154='Lighting Inventory'!V173)*('Lookup Tables'!$AI$114:$AI$154='Lighting Inventory'!W173),FALSE),8), INDEX('Lookup Tables'!$AH$6:$AP$102,MATCH(1,('Lookup Tables'!$AH$6:$AH$102='Lighting Inventory'!V173)*('Lookup Tables'!$AI$6:$AI$102='Lighting Inventory'!W173),FALSE),8)))))</f>
        <v/>
      </c>
      <c r="AC173" s="272" t="str">
        <f>IF(W173="","",IF(V173="Custom",CONCATENATE("$",'Lookup Tables'!$AM$101," ",'Lookup Tables'!$AN$101),CONCATENATE("$",INDEX('Lookup Tables'!$AM$6:$AM$102,MATCH('Lighting Inventory'!W173,'Lookup Tables'!$AI$6:$AI$102,0))," ",INDEX('Lookup Tables'!$AN$6:$AN$102,MATCH('Lighting Inventory'!W173,'Lookup Tables'!$AI$6:$AI$102,0)))))</f>
        <v/>
      </c>
      <c r="AD173" s="72"/>
      <c r="AE173" s="29"/>
      <c r="AF173" s="379"/>
      <c r="AG173" s="370" t="str">
        <f t="shared" si="401"/>
        <v/>
      </c>
      <c r="AH173" s="370" t="str">
        <f t="shared" si="454"/>
        <v/>
      </c>
      <c r="AI173" s="29"/>
      <c r="AJ173" s="29"/>
      <c r="AK173" s="110"/>
      <c r="AL173" s="375" t="str">
        <f>IF(OR(B173="", V173="", W173=""), "", IF(V173="No Change", K173, IF(V173="Remove Fixture", 0, IF(V173="Custom",VLOOKUP(W173,'Fixture Identities'!$A$6:$K$1023,10,FALSE),IF(AE173="", "← ENTER POST WATTS", 'Lighting Inventory'!AE173)))))</f>
        <v/>
      </c>
      <c r="AM173" s="376" t="str">
        <f t="shared" si="402"/>
        <v/>
      </c>
      <c r="AN173" s="29"/>
      <c r="AO173" s="671"/>
      <c r="AP173" s="29"/>
      <c r="AQ173" s="29"/>
      <c r="AR173" s="29"/>
      <c r="AS173" s="272" t="str">
        <f t="shared" si="455"/>
        <v/>
      </c>
      <c r="AT173" s="270" t="str">
        <f t="shared" si="403"/>
        <v/>
      </c>
      <c r="AU173" s="88" t="str">
        <f t="shared" si="503"/>
        <v/>
      </c>
      <c r="AV173" s="29"/>
      <c r="AW173" s="73"/>
      <c r="AX173" s="271" t="str">
        <f>IF(AND(AV173="Applicant",OR(AW173="", AW173="Use Default Facility Hours")),"← Choose Schedule",IF(F173="","",IF(W173="LED Exit Signs",8760,IF(OR(AV173="Prescribed",AV173=""),VLOOKUP(F173,'Lookup Tables'!$A$6:$G$59,IF(AB173="General", 6, 3),FALSE),VLOOKUP(AW173,'Lookup Tables'!$S$36:$U$43,2,FALSE)))))</f>
        <v/>
      </c>
      <c r="AY173" s="88" t="str">
        <f t="shared" si="404"/>
        <v/>
      </c>
      <c r="AZ173" s="270" t="str">
        <f>IFERROR(IF(F173="", "", IF(W173="LED Exit Signs", 1, IF(AV173="Applicant",VLOOKUP(AW173, 'Lookup Tables'!$S$36:$U$43,3, FALSE), VLOOKUP('Lighting Inventory'!F173, 'Lookup Tables'!$A$6:$H$59, IF('Lighting Inventory'!AB173="General",7,4), FALSE)))), "")</f>
        <v/>
      </c>
      <c r="BA173" s="522" t="str">
        <f>IFERROR(IF(F173="", "", IF(W173="LED Exit Signs", 1, VLOOKUP('Lighting Inventory'!F173, 'Lookup Tables'!$A$6:$H$59, IF('Lighting Inventory'!AB173="General",8,5), FALSE))), "")</f>
        <v/>
      </c>
      <c r="BB173" s="270" t="str">
        <f>IF(G173="", "", IF(E173="Exterior", 0, IF('Lighting Inventory'!G173="Air Conditioned", VLOOKUP(H173, 'Lookup Tables'!$R$6:$T$13, 2, FALSE), VLOOKUP('Lighting Inventory'!G173, 'Lookup Tables'!$R$6:$T$13, 2, FALSE))))</f>
        <v/>
      </c>
      <c r="BC173" s="522" t="str">
        <f>IF(G173="", "", IF(E173="Exterior", 0, IF('Lighting Inventory'!G173="Air Conditioned", VLOOKUP(H173, 'Lookup Tables'!$R$6:$T$13, 3, FALSE), VLOOKUP('Lighting Inventory'!G173, 'Lookup Tables'!$R$6:$T$13, 3, FALSE))))</f>
        <v/>
      </c>
      <c r="BD173" s="270" t="str">
        <f>IF(G173="", "", IF(E173="Exterior", 0, IF('Lighting Inventory'!G173="Air Conditioned", VLOOKUP(H173, 'Lookup Tables'!$R$6:$U$13, 4, FALSE), VLOOKUP('Lighting Inventory'!G173, 'Lookup Tables'!$R$6:$U$13, 4, FALSE))))</f>
        <v/>
      </c>
      <c r="BE173" s="270" t="str">
        <f>IFERROR(IF(B173="", "",  IF(B173="New Construction", VLOOKUP(F173, 'Lookup Tables'!$A$6:$K$59, 11, FALSE),IF(OR(AN173="", AN173="Light Switch"), 0, IF(OR(M173="",M173="None",V173= "LED Exit Signs"),0,_xlfn.XLOOKUP(M173,'Lookup Tables'!$R$91:$R$101,'Lookup Tables'!$V$91:$V$101))))), "")</f>
        <v/>
      </c>
      <c r="BF173" s="270" t="str">
        <f>IF(AND(OR(AN173="Light Switch",AN173=""),B173="New Construction"), VLOOKUP(F173, 'Lookup Tables'!$A$6:$K$59, 11, FALSE),IF(AN173="","",IF(B173="","",IF(OR(AN173="None",AN173="",V173="LED Exit Signs",AN173="Exterior Controls Not Eligible"),0,_xlfn.XLOOKUP(AN173,'Lookup Tables'!$R$91:$R$101,'Lookup Tables'!$V$91:$V$101)))))</f>
        <v/>
      </c>
      <c r="BG173" s="88" t="str">
        <f t="shared" si="456"/>
        <v/>
      </c>
      <c r="BH173" s="88" t="str">
        <f t="shared" si="457"/>
        <v/>
      </c>
      <c r="BI173" s="558" t="str">
        <f t="shared" si="501"/>
        <v/>
      </c>
      <c r="BJ173" s="82" t="str">
        <f t="shared" si="458"/>
        <v/>
      </c>
      <c r="BK173" s="82" t="str">
        <f t="shared" si="459"/>
        <v/>
      </c>
      <c r="BL173" s="559" t="str">
        <f t="shared" si="460"/>
        <v/>
      </c>
      <c r="BM173" s="521" t="str">
        <f t="shared" si="405"/>
        <v/>
      </c>
      <c r="BN173" s="521" t="str">
        <f t="shared" si="406"/>
        <v/>
      </c>
      <c r="BO173" s="522" t="str">
        <f t="shared" si="407"/>
        <v/>
      </c>
      <c r="BP173" s="83" t="str">
        <f t="shared" si="461"/>
        <v/>
      </c>
      <c r="BQ173" s="84" t="str">
        <f t="shared" si="462"/>
        <v/>
      </c>
      <c r="BR173" s="184" t="str">
        <f>IFERROR(IF(B173="", "", IF(OR(VLOOKUP(J173, 'Fixture Identities'!$A$6:$L$1023, 3, FALSE)="T12 Linear Fluorescent",VLOOKUP(J173, 'Fixture Identities'!$A$6:$L$1023, 3, FALSE)="T12 U-Tube Fluorescent"), "Y", "N")), "N")</f>
        <v/>
      </c>
      <c r="BS173" s="184" t="str">
        <f t="array" ref="BS173">IFERROR(IF(OR(B173="", V173="", W173=""), "", IF(V173="Custom", "N", IF(OR(W173="Freezer Case Lighting", W173="Refrigerated Case Lighting with Doors"), BT173, IF(B173="Retrofit", INDEX('Lookup Tables'!$AH$6:$AT$102,MATCH(1,('Lookup Tables'!$AH$6:$AH$102=V173)*('Lookup Tables'!$AI$6:$AI$102=W173),FALSE),IF(VLOOKUP(J173, 'Fixture Identities'!$A$6:$B$1023, 2, FALSE)="Incandescent",12, 13)), INDEX('Lookup Tables'!$AH$114:$AS$154,MATCH(1,('Lookup Tables'!$AH$114:$AH$154=V173)*('Lookup Tables'!$AI$114:$AI$154=W173),FALSE),12))))), "N")</f>
        <v/>
      </c>
      <c r="BT173" s="184" t="str">
        <f>IF(J173="", "", IF(AND(OR(W173="Freezer case Lighting", W173="Refrigerated Case Lighting with Doors"),'General Information'!$X$18="LCI"), "N", IF(OR(VLOOKUP(J173, 'Fixture Identities'!$A$6:$B$1023, 2, FALSE)="T12 EPACT/EISA Baseline", VLOOKUP(J173, 'Fixture Identities'!$A$6:$B$1023, 2, FALSE)="Linear Fluorescent", VLOOKUP(J173, 'Fixture Identities'!$A$6:$B$1023, 2, FALSE)="U-Tube Fluorescent"), "Y", "N")))</f>
        <v/>
      </c>
      <c r="BU173" s="184" t="str">
        <f>IFERROR(IF(B173="", "", IF(VLOOKUP(J173, 'Fixture Identities'!$A$6:$B$1023, 2, FALSE)="Exit Sign", "Y", "N")), "N")</f>
        <v/>
      </c>
      <c r="BV173" s="184" t="str">
        <f>IF(V173="Exit Signs", IF(VLOOKUP(J173, 'Fixture Identities'!$A$6:$B$1023, 2, FALSE)="Exit Sign", "N", "Y"), "")</f>
        <v/>
      </c>
      <c r="BW173" s="184" t="str">
        <f t="array" ref="BW173">IFERROR(IF(B173="", "", IF(B173="New Construction", "N", INDEX('Lookup Tables'!$AH$6:$AU$102, MATCH(1, ('Lookup Tables'!$AH$6:$AH$102='Lighting Inventory'!V173)*('Lookup Tables'!$AI$6:$AI$102='Lighting Inventory'!W173), 0), 14))), "N")</f>
        <v/>
      </c>
      <c r="BX173" s="598" t="str">
        <f t="shared" si="463"/>
        <v/>
      </c>
      <c r="BY173" s="598" t="str">
        <f t="shared" si="464"/>
        <v/>
      </c>
      <c r="BZ173" s="598" t="str">
        <f t="shared" si="465"/>
        <v/>
      </c>
      <c r="CA173" s="598" t="str">
        <f t="shared" si="466"/>
        <v/>
      </c>
      <c r="CB173" s="269" t="str">
        <f t="shared" si="467"/>
        <v/>
      </c>
      <c r="CC173" s="517" t="str">
        <f t="shared" si="468"/>
        <v/>
      </c>
      <c r="CD173" s="565" t="str">
        <f t="shared" si="408"/>
        <v/>
      </c>
      <c r="CE173" s="368">
        <v>0</v>
      </c>
      <c r="CF173" s="368" t="str" cm="1">
        <f t="array" ref="CF173">IFERROR(IF(V173="Custom", "$0.1 per kWh", IF(B173="New Construction", CONCATENATE("$",INDEX('Lookup Tables'!$AH$114:$AN$154,MATCH(1,('Lookup Tables'!$AH$114:$AH$154='Lighting Inventory'!V173)*('Lookup Tables'!$AI$114:$AI$154='Lighting Inventory'!W173),FALSE),6)," ",INDEX('Lookup Tables'!$AH$114:$AN$154,MATCH(1,('Lookup Tables'!$AH$114:$AH$154='Lighting Inventory'!V173)*('Lookup Tables'!$AI$114:$AI$154='Lighting Inventory'!W173),FALSE),7)), IF(AND(BU173="N", V173="Exit Signs"), "$0.025 per kWh", CONCATENATE("$",INDEX('Lookup Tables'!$AH$6:$AN$102,MATCH(1,('Lookup Tables'!$AH$6:$AH$102='Lighting Inventory'!V173)*('Lookup Tables'!$AI$6:$AI$102='Lighting Inventory'!W173),FALSE),6)," ",INDEX('Lookup Tables'!$AH$6:$AN$102,MATCH(1,('Lookup Tables'!$AH$6:$AH$102='Lighting Inventory'!V173)*('Lookup Tables'!$AI$6:$AI$102='Lighting Inventory'!W173),FALSE),7))))), "")</f>
        <v/>
      </c>
      <c r="CG173" s="366"/>
      <c r="CH173" s="248" t="str">
        <f t="shared" si="409"/>
        <v/>
      </c>
      <c r="CI173" s="248" t="str">
        <f t="shared" si="410"/>
        <v>Select_IE</v>
      </c>
      <c r="CJ173" s="248" t="str">
        <f t="shared" si="411"/>
        <v/>
      </c>
      <c r="CK173" s="248" t="str">
        <f t="shared" si="412"/>
        <v/>
      </c>
      <c r="CL173" s="248" t="str">
        <f t="shared" si="413"/>
        <v/>
      </c>
      <c r="CM173" s="248" t="str">
        <f>IFERROR(IF(B173="", "", IF(B173="New Construction", VLOOKUP(V173, 'Lookup Tables'!$AF$114:$AG$120, 2, FALSE), VLOOKUP(V173, 'Lookup Tables'!$AD$6:$AE$25, 2, FALSE))), "")</f>
        <v/>
      </c>
      <c r="CN173" s="248" t="str">
        <f t="shared" si="414"/>
        <v/>
      </c>
      <c r="CO173" s="248" t="str">
        <f t="shared" si="415"/>
        <v/>
      </c>
      <c r="CP173" s="592" t="str">
        <f t="shared" si="416"/>
        <v/>
      </c>
      <c r="CQ173" s="248" t="str">
        <f t="shared" si="469"/>
        <v/>
      </c>
      <c r="CR173" s="100"/>
      <c r="CS173" s="250" t="str">
        <f t="shared" si="417"/>
        <v/>
      </c>
      <c r="CT173" s="250" t="str">
        <f t="shared" si="470"/>
        <v/>
      </c>
      <c r="CU173" s="250" t="str">
        <f t="shared" si="471"/>
        <v/>
      </c>
      <c r="CV173" s="250" t="str">
        <f t="shared" si="472"/>
        <v/>
      </c>
      <c r="CW173" s="250" t="str">
        <f t="shared" si="473"/>
        <v/>
      </c>
      <c r="CX173" s="250" t="str">
        <f t="shared" si="418"/>
        <v/>
      </c>
      <c r="CY173" s="250" t="str">
        <f t="shared" si="419"/>
        <v/>
      </c>
      <c r="CZ173" s="250" t="str">
        <f t="shared" si="420"/>
        <v/>
      </c>
      <c r="DA173" s="250" t="str">
        <f t="shared" si="421"/>
        <v/>
      </c>
      <c r="DB173" s="250" t="str">
        <f t="shared" si="422"/>
        <v/>
      </c>
      <c r="DC173" s="250" t="str">
        <f t="shared" si="423"/>
        <v/>
      </c>
      <c r="DD173" s="250" t="str">
        <f t="shared" si="424"/>
        <v/>
      </c>
      <c r="DE173" s="250" t="str">
        <f t="shared" si="425"/>
        <v/>
      </c>
      <c r="DF173" s="250" t="str">
        <f t="shared" si="426"/>
        <v/>
      </c>
      <c r="DG173" s="250" t="str">
        <f t="shared" si="427"/>
        <v/>
      </c>
      <c r="DH173" s="250" t="str">
        <f t="shared" si="428"/>
        <v/>
      </c>
      <c r="DI173" s="250" t="str">
        <f t="shared" si="429"/>
        <v/>
      </c>
      <c r="DJ173" s="250" t="str">
        <f t="shared" si="430"/>
        <v/>
      </c>
      <c r="DK173" s="250" t="str">
        <f t="shared" si="431"/>
        <v/>
      </c>
      <c r="DL173" s="250" t="str">
        <f t="shared" si="432"/>
        <v/>
      </c>
      <c r="DM173" s="250" t="str">
        <f>IF(CD173="ERROR", "ERROR", IF(AND(OR(Y173=$DM$6, Y173='Lookup Tables'!$AD$21, Y173='Lookup Tables'!$AD$22), E173="Interior"), BJ173, ""))</f>
        <v/>
      </c>
      <c r="DN173" s="250" t="str">
        <f>IF(CD173="ERROR", "ERROR", IF(AND(OR(Y173=$DM$6, Y173='Lookup Tables'!$AD$21, Y173='Lookup Tables'!$AD$22), E173="Exterior"), BJ173, ""))</f>
        <v/>
      </c>
      <c r="DO173" s="100"/>
      <c r="DP173" s="250" t="str">
        <f t="shared" si="433"/>
        <v/>
      </c>
      <c r="DQ173" s="250" t="str">
        <f t="shared" si="474"/>
        <v/>
      </c>
      <c r="DR173" s="250" t="str">
        <f t="shared" si="475"/>
        <v/>
      </c>
      <c r="DS173" s="250" t="str">
        <f t="shared" si="476"/>
        <v/>
      </c>
      <c r="DT173" s="250" t="str">
        <f t="shared" si="477"/>
        <v/>
      </c>
      <c r="DU173" s="250" t="str">
        <f t="shared" si="434"/>
        <v/>
      </c>
      <c r="DV173" s="250" t="str">
        <f t="shared" si="435"/>
        <v/>
      </c>
      <c r="DW173" s="250" t="str">
        <f t="shared" si="436"/>
        <v/>
      </c>
      <c r="DX173" s="250" t="str">
        <f t="shared" si="437"/>
        <v/>
      </c>
      <c r="DY173" s="250" t="str">
        <f t="shared" si="438"/>
        <v/>
      </c>
      <c r="DZ173" s="250" t="str">
        <f t="shared" si="439"/>
        <v/>
      </c>
      <c r="EA173" s="250" t="str">
        <f t="shared" si="440"/>
        <v/>
      </c>
      <c r="EB173" s="250" t="str">
        <f t="shared" si="478"/>
        <v/>
      </c>
      <c r="EC173" s="250" t="str">
        <f t="shared" si="441"/>
        <v/>
      </c>
      <c r="ED173" s="250" t="str">
        <f t="shared" si="442"/>
        <v/>
      </c>
      <c r="EE173" s="250" t="str">
        <f t="shared" si="443"/>
        <v/>
      </c>
      <c r="EF173" s="250" t="str">
        <f t="shared" si="444"/>
        <v/>
      </c>
      <c r="EG173" s="250" t="str">
        <f t="shared" si="445"/>
        <v/>
      </c>
      <c r="EH173" s="250" t="str">
        <f>IF(CD173="ERROR", "ERROR", IF(AND(OR($EH$6=Y173, Y173='Lookup Tables'!$AD$21, Y173='Lookup Tables'!$AD$22),E173="Interior"), SUM(BP173:BP173), ""))</f>
        <v/>
      </c>
      <c r="EI173" s="250" t="str">
        <f>IF(CD173="ERROR", "ERROR", IF(AND(OR($EH$6=Y173, Y173='Lookup Tables'!$AD$21, Y173='Lookup Tables'!$AD$22),E173="Exterior"), SUM(BP173:BP173), ""))</f>
        <v/>
      </c>
      <c r="EJ173" s="109"/>
      <c r="EK173" s="485" t="str">
        <f t="shared" si="446"/>
        <v/>
      </c>
      <c r="EL173" s="252" t="str">
        <f t="shared" si="479"/>
        <v/>
      </c>
      <c r="EM173" s="252" t="str">
        <f t="shared" si="480"/>
        <v/>
      </c>
      <c r="EN173" s="252" t="str">
        <f t="shared" si="481"/>
        <v/>
      </c>
      <c r="EO173" s="252" t="str">
        <f t="shared" si="482"/>
        <v/>
      </c>
      <c r="EP173" s="252" t="str">
        <f t="shared" si="483"/>
        <v/>
      </c>
      <c r="EQ173" s="252" t="str">
        <f t="shared" si="484"/>
        <v/>
      </c>
      <c r="ER173" s="252" t="str">
        <f t="shared" si="485"/>
        <v/>
      </c>
      <c r="ES173" s="252" t="str">
        <f t="shared" si="486"/>
        <v/>
      </c>
      <c r="ET173" s="252" t="str">
        <f t="shared" si="487"/>
        <v/>
      </c>
      <c r="EU173" s="252" t="str">
        <f t="shared" si="488"/>
        <v/>
      </c>
      <c r="EV173" s="252" t="str">
        <f t="shared" si="489"/>
        <v/>
      </c>
      <c r="EW173" s="252" t="str">
        <f t="shared" si="490"/>
        <v/>
      </c>
      <c r="EX173" s="252" t="str">
        <f t="shared" si="491"/>
        <v/>
      </c>
      <c r="EY173" s="252" t="str">
        <f t="shared" si="492"/>
        <v/>
      </c>
      <c r="EZ173" s="252" t="str">
        <f t="shared" si="493"/>
        <v/>
      </c>
      <c r="FA173" s="252" t="str">
        <f t="shared" si="494"/>
        <v/>
      </c>
      <c r="FB173" s="252" t="str">
        <f t="shared" si="495"/>
        <v/>
      </c>
      <c r="FC173" s="252" t="str">
        <f>IF(CD173="ERROR", "ERROR", IF(OR(V173="No Change", V173="Not DLC or Energy Star"), "", IF(AND(OR($FC$6=Y173,Y173='Lookup Tables'!$AD$21, Y173='Lookup Tables'!$AD$22),E173="Interior"), S173, "")))</f>
        <v/>
      </c>
      <c r="FD173" s="252" t="str">
        <f t="shared" si="496"/>
        <v/>
      </c>
      <c r="FE173" s="101"/>
      <c r="FF173" s="579" t="str" cm="1">
        <f t="array" ref="FF173">IFERROR(IF(OR(BQ173&lt;=0,AQ173&lt;20,AND(V173="Exit Signs",AN173&gt;0)),"",IF(AND(AQ173&gt;=20,AN173='Lookup Tables'!$R$101),'Lookup Tables'!$U$101*BQ173,AP173*LOOKUP(2,1/((AN173='Lookup Tables'!$R$91:$R$111)*(AQ173&gt;='Lookup Tables'!$S$91:$S$111)*(AQ173&lt;='Lookup Tables'!$T$91:$T$111)),'Lookup Tables'!$U$91:$U$111))),"")</f>
        <v/>
      </c>
      <c r="FG173" s="579"/>
      <c r="FH173" s="579"/>
      <c r="FI173" s="253" t="str">
        <f>IFERROR(ROUND(IF(CD173="ERROR", "ERROR", IF(AND($FI$7=X173,E173="Interior"),VLOOKUP(W173, 'Lookup Tables'!$AI$6:$AM$102, 5, FALSE)*BP173, "")), 2), "")</f>
        <v/>
      </c>
      <c r="FJ173" s="253" t="str">
        <f>IFERROR(ROUND(IF(CD173="ERROR", "ERROR", IF(AND($FI$7=X173,E173="Exterior"),VLOOKUP(W173, 'Lookup Tables'!$AI$6:$AM$102, 5, FALSE)*BP173, "")), 2), "")</f>
        <v/>
      </c>
      <c r="FK173" s="253" t="str">
        <f>IFERROR(ROUND(IF(CD173="ERROR", "ERROR", IF(AND($FK$7=X173,E173="Interior"),VLOOKUP(W173, 'Lookup Tables'!$AI$6:$AM$102, 5, FALSE)*BP173, "")), 2), "")</f>
        <v/>
      </c>
      <c r="FL173" s="253" t="str">
        <f>IFERROR(ROUND(IF(CD173="ERROR", "ERROR", IF(AND($FK$7=X173,E173="Exterior"),VLOOKUP(W173, 'Lookup Tables'!$AI$6:$AM$102, 5, FALSE)*BP173, "")), 2), "")</f>
        <v/>
      </c>
      <c r="FM173" s="253" t="str">
        <f>IFERROR(ROUND(IF(CD173="ERROR", "ERROR", IF(AND($FM$6=Y173,E173="Interior"), IF(GB173=0, VLOOKUP(W173, 'Lookup Tables'!$AI$6:$AM$102, 5, FALSE)*BP173, IF(VLOOKUP(W173, 'Lookup Tables'!$AI$6:$AM$102, 5, FALSE)*BP173&gt;GB173*'Lighting Inventory'!S173, GB173*'Lighting Inventory'!S173,VLOOKUP(W173, 'Lookup Tables'!$AI$6:$AM$102, 5, FALSE)*BP173)), "")), 2), "")</f>
        <v/>
      </c>
      <c r="FN173" s="253" t="str">
        <f>IFERROR(ROUND(IF(CD173="ERROR", "ERROR", IF(AND($FM$6=Y173,E173="Exterior"), IF(GB173=0, VLOOKUP(W173, 'Lookup Tables'!$AI$6:$AM$102, 5, FALSE)*BP173, IF(VLOOKUP(W173, 'Lookup Tables'!$AI$6:$AM$102, 5, FALSE)*BP173&gt;GB173*'Lighting Inventory'!S173, GB173*'Lighting Inventory'!S173,VLOOKUP(W173, 'Lookup Tables'!$AI$6:$AM$102, 5, FALSE)*BP173)), "")), 2), "")</f>
        <v/>
      </c>
      <c r="FO173" s="253" t="str">
        <f>IFERROR(ROUND(IF(CD173="ERROR", "ERROR", IF(AND($FO$6=Y173,E173="Interior"),VLOOKUP(W173, 'Lookup Tables'!$AI$6:$AM$102, 5, FALSE)*'Lighting Inventory'!AI173, "")), 2), "")</f>
        <v/>
      </c>
      <c r="FP173" s="253" t="str">
        <f>IFERROR(ROUND(IF(CD173="ERROR", "ERROR", IF(AND($FO$6=Y173,E173="Exterior"),VLOOKUP(W173, 'Lookup Tables'!$AI$6:$AM$102, 5, FALSE)*'Lighting Inventory'!AI173, "")), 2), "")</f>
        <v/>
      </c>
      <c r="FQ173" s="253" t="str">
        <f>IFERROR(ROUND(IF(CD173="ERROR", "ERROR", IF(AND($FQ$6=Y173,E173="Interior", BU173="Y"), VLOOKUP('Lighting Inventory'!W173, 'Lookup Tables'!$AI$6:$AM$102, 5, FALSE)*'Lighting Inventory'!S173, IF(AND($FQ$7=Y173,E173="Interior", BU173="N"), 0.025*CD173, ""))), 2), "")</f>
        <v/>
      </c>
      <c r="FR173" s="253" t="str">
        <f>IFERROR(ROUND(IF(CD173="ERROR", "ERROR", IF(AND($FQ$6=Y173,E173="Exterior"), VLOOKUP('Lighting Inventory'!W173, 'Lookup Tables'!$AI$6:$AM$102, 5, FALSE)*'Lighting Inventory'!S173, "")), 2), "")</f>
        <v/>
      </c>
      <c r="FS173" s="253" t="str">
        <f>IFERROR(ROUND(IF(CD173="ERROR", "ERROR", IF(AND($FS$6=Y173,E173="Exterior"), IF(GB173=0, VLOOKUP(W173, 'Lookup Tables'!$AI$6:$AM$102, 5, FALSE)*BP173, IF(VLOOKUP(W173, 'Lookup Tables'!$AI$6:$AM$102, 5, FALSE)*BP173&gt;GB173*'Lighting Inventory'!S173, GB173*'Lighting Inventory'!S173,VLOOKUP(W173, 'Lookup Tables'!$AI$6:$AM$102, 5, FALSE)*BP173)), "")), 2), "")</f>
        <v/>
      </c>
      <c r="FT173" s="253" t="str">
        <f>IFERROR(ROUND(IF(CD173="ERROR", "ERROR", IF(AND($FT$6=Y173,E173="Interior"), IF(GB173=0, VLOOKUP(W173, 'Lookup Tables'!$AI$6:$AM$102, 5, FALSE)*BP173, IF(VLOOKUP(W173, 'Lookup Tables'!$AI$6:$AM$102, 5, FALSE)*BP173&gt;GB173*'Lighting Inventory'!S173, GB173*'Lighting Inventory'!S173,VLOOKUP(W173, 'Lookup Tables'!$AI$6:$AM$102, 5, FALSE)*BP173)), "")), 2), "")</f>
        <v/>
      </c>
      <c r="FU173" s="253" t="str">
        <f>IFERROR(ROUND(IF(CD173="ERROR", "ERROR", IF(AND(Y173=$FU$6, E173="Interior"), IF(BS173="N", 'Lookup Tables'!$AM$101*BP173, VLOOKUP(W173, 'Lookup Tables'!$AI$6:$AM$102, 5, FALSE)*S173*AD173), "")), 2), "")</f>
        <v/>
      </c>
      <c r="FV173" s="253" t="str">
        <f>IFERROR(ROUND(IF(CD173="ERROR", "ERROR", IF(AND(Y173=$FU$6, E173="Exterior"), IF(BS173="N", 'Lookup Tables'!$AM$101*BP173, VLOOKUP(W173, 'Lookup Tables'!$AI$6:$AM$102, 5, FALSE)*S173*AD173), "")), 2), "")</f>
        <v/>
      </c>
      <c r="FW173" s="253" t="str">
        <f>IFERROR(ROUND(IF(CD173="ERROR", "ERROR", IF($FW$6=Y173, IF(BS173="N", 'Lookup Tables'!$AM$101*BP173, MIN((VLOOKUP(W173, 'Lookup Tables'!$AI$6:$AM$102, 5, FALSE)*BP173),GB173*AJ173)), "")), 2), "")</f>
        <v/>
      </c>
      <c r="FX173" s="253" t="str">
        <f>IFERROR(ROUND(IF(CD173="ERROR", "ERROR", IF(AND($FX$6=Y173, E173="Interior"), IF(VLOOKUP(W173, 'Lookup Tables'!$AI$6:$AM$102, 5, FALSE)*BP173&gt;'Lookup Tables'!$AQ$97*'Lighting Inventory'!S173,'Lighting Inventory'!S173*'Lookup Tables'!$AQ$97,VLOOKUP(W173, 'Lookup Tables'!$AI$6:$AM$102, 5, FALSE)*BP173), "")), 2), "")</f>
        <v/>
      </c>
      <c r="FY173" s="253" t="str">
        <f>IFERROR(ROUND(IF(CD173="ERROR", "ERROR", IF(AND($FX$6=Y173, E173="Exterior"), IF(VLOOKUP(W173, 'Lookup Tables'!$AI$6:$AM$102, 5, FALSE)*BP173&gt;'Lookup Tables'!$AQ$97*'Lighting Inventory'!S173,'Lighting Inventory'!S173*'Lookup Tables'!$AQ$97,VLOOKUP(W173, 'Lookup Tables'!$AI$6:$AM$102, 5, FALSE)*BP173), "")), 2), "")</f>
        <v/>
      </c>
      <c r="FZ173" s="253" t="str">
        <f>IFERROR(ROUND(IF(CD173="ERROR", "ERROR", IF(AND($FZ$6=Y173, E173="Interior"), IF(AND(OR(W173="Refrigerated Case Lighting with Doors", W173="Freezer Case Lighting"),Y173="Custom - Process Improvement"),CD173*'Lookup Tables'!$AM$101, IF(B173="Retrofit", IF(VLOOKUP(IF(V173="Custom", V173, W173), 'Lookup Tables'!$AI$6:$AM$102, 5, FALSE)*BP173&gt;GE173, GE173, VLOOKUP(IF(V173="Custom", V173, W173), 'Lookup Tables'!$AI$6:$AM$102, 5, FALSE)*BP173), IF(VLOOKUP(IF(V173="Custom", V173, W173), 'Lookup Tables'!$AI$114:$AM$154, 5, FALSE)*BP173&gt;GE173, GE173, VLOOKUP(IF(V173="Custom", V173, W173), 'Lookup Tables'!$AI$114:$AM$154, 5, FALSE)*BP173))), "")), 2),"")</f>
        <v/>
      </c>
      <c r="GA173" s="253" t="str">
        <f>IFERROR(ROUND(IF(CD173="ERROR", "ERROR", IF(AND($FZ$6=Y173, E173="Exterior"), IF(B173="Retrofit", IF(VLOOKUP(IF(V173="Custom", V173, W173), 'Lookup Tables'!$AI$6:$AM$102, 5, FALSE)*BP173&gt;GE173, GE173, VLOOKUP(IF(V173="Custom", V173, W173), 'Lookup Tables'!$AI$6:$AM$102, 5, FALSE)*BP173), IF(VLOOKUP(IF(V173="Custom", V173, W173), 'Lookup Tables'!$AI$114:$AM$154, 5, FALSE)*BP173&gt;GE173, GE173, VLOOKUP(IF(V173="Custom", V173, W173), 'Lookup Tables'!$AI$114:$AM$154, 5, FALSE)*BP173)), "")), 2),"")</f>
        <v/>
      </c>
      <c r="GB173" s="254" t="str">
        <f t="array" ref="GB173">IF(B173="","",IF(OR(V173="Custom",V173="No Change"),0,IF(B173="Retrofit", INDEX('Lookup Tables'!$AH$6:$AQ$102,MATCH(1,('Lookup Tables'!$AH$6:$AH$102='Lighting Inventory'!V173)*('Lookup Tables'!$AI$6:$AI$102='Lighting Inventory'!W173),FALSE),10),INDEX('Lookup Tables'!$AH$114:$AQ$154,MATCH(1,('Lookup Tables'!$AH$114:$AH$154='Lighting Inventory'!V173)*('Lookup Tables'!$AI$114:$AI$154='Lighting Inventory'!W173),FALSE),10))))</f>
        <v/>
      </c>
      <c r="GC173" s="255" t="str">
        <f t="shared" si="447"/>
        <v/>
      </c>
      <c r="GD173" s="250" t="str">
        <f t="shared" si="448"/>
        <v/>
      </c>
      <c r="GE173" s="253" t="str">
        <f>IFERROR(IF(AND(AF173="", 'General Information'!$F$18="No"),"", IF(AF173="", ((GD173/$CD$266)*$CF$266)*0.5, AF173*S173*0.5)), "")</f>
        <v/>
      </c>
      <c r="GF173" s="255" t="str">
        <f>IF(AND('General Information'!$F$19="", 'General Information'!$F$18="Yes",AF173="",BW173="Y"), "Y", "N")</f>
        <v>N</v>
      </c>
      <c r="GG173" s="255" t="s">
        <v>2946</v>
      </c>
      <c r="GH173" s="255" t="str">
        <f>IFERROR(IF(B173="", "", VLOOKUP(J173, 'Fixture Identities'!$A$6:$N$908, 14, FALSE)), "")</f>
        <v/>
      </c>
      <c r="GI173" s="389" t="str">
        <f>IF(OR(B173="", V173="", W173=""), "", IF(AND(OR(M173='Lookup Tables'!$R$18, M173='Lookup Tables'!$R$19, M173='Lookup Tables'!$R$20, M173='Lookup Tables'!$R$21, M173='Lookup Tables'!$R$22), OR(AN173='Lookup Tables'!$R$17, AN173='Lookup Tables'!$R$17, AN173="")), "Y", "N"))</f>
        <v/>
      </c>
      <c r="GJ173" s="255" t="str">
        <f t="shared" si="449"/>
        <v/>
      </c>
      <c r="GK173" s="255" t="str">
        <f t="shared" si="450"/>
        <v/>
      </c>
      <c r="GL173" s="255" t="str">
        <f t="shared" si="451"/>
        <v/>
      </c>
      <c r="GM173" s="255" t="str">
        <f>IF(AN173="", "", IF(AND(IF(ISNA(VLOOKUP(AN173,'Lookup Tables'!$R$18:$R$22,1,FALSE)), "N", "Y")="Y", E173="Exterior"), "Y", "N"))</f>
        <v/>
      </c>
      <c r="GN173" s="395"/>
      <c r="GO173" s="428">
        <f t="shared" si="497"/>
        <v>0</v>
      </c>
      <c r="GP173" s="428">
        <f t="shared" si="500"/>
        <v>0</v>
      </c>
      <c r="GQ173" s="428">
        <f t="shared" si="498"/>
        <v>0</v>
      </c>
      <c r="GR173" s="428">
        <f t="shared" si="499"/>
        <v>0</v>
      </c>
    </row>
    <row r="174" spans="1:200" s="103" customFormat="1" ht="13.5" customHeight="1" x14ac:dyDescent="0.2">
      <c r="A174" s="272">
        <v>164</v>
      </c>
      <c r="B174" s="110"/>
      <c r="C174" s="110"/>
      <c r="D174" s="110"/>
      <c r="E174" s="110"/>
      <c r="F174" s="110"/>
      <c r="G174" s="110"/>
      <c r="H174" s="110"/>
      <c r="I174" s="29"/>
      <c r="J174" s="29"/>
      <c r="K174" s="272" t="str">
        <f>IFERROR(IF(OR(VLOOKUP(J174, 'Fixture Identities'!$A$6:$L$1023, 3, FALSE)="T12 Linear Fluorescent", VLOOKUP(J174, 'Fixture Identities'!$A$6:$L$1023, 3, FALSE)="T12 U-Tube Fluorescent"), VLOOKUP(VLOOKUP(J174, 'Fixture Identities'!$A$6:$L$1023, 11, FALSE), 'Fixture Identities'!$A$6:$L$1023, 10, FALSE), VLOOKUP(J174, 'Fixture Identities'!$A$6:$L$1023, 10, FALSE)), "")</f>
        <v/>
      </c>
      <c r="L174" s="270" t="str">
        <f t="shared" si="502"/>
        <v/>
      </c>
      <c r="M174" s="110"/>
      <c r="N174" s="110"/>
      <c r="O174" s="110"/>
      <c r="P174" s="272" t="str">
        <f>IFERROR(IF(OR(B174="Retrofit",B174=""),"",IF('Lighting Inventory'!E174="Exterior",VLOOKUP('Lighting Inventory'!N174,'Lookup Tables'!$B$83:$F$103,5,FALSE),IF(N174="Other - Please Estimate EFLH and CFs","Contact Prog. Rep.","ft^2"))), "")</f>
        <v/>
      </c>
      <c r="Q174" s="270" t="str">
        <f>IFERROR(IF(AND(B174="New Construction",E174="Interior",$F$5="Space-by-Space"),VLOOKUP('Lighting Inventory'!N174,'Lookup Tables'!$N$6:$O$97,2,FALSE),IF(AND(B174="New Construction",E174="Exterior"),VLOOKUP(N174,'Lookup Tables'!$B$83:$F$103,2,FALSE),IF(AND(B174="New Construction",'Lighting Inventory'!E174="Interior", $F$5="Building Area"),VLOOKUP(F174,'Lookup Tables'!$A$6:$J$59,10,FALSE),""))), "")</f>
        <v/>
      </c>
      <c r="R174" s="270" t="str">
        <f>IFERROR(IF(P174="Contact Prog. Rep.", "ERROR", IF(OR(B174="",B174="Retrofit"),"",IF(N174="Automated teller machines", ('Lookup Tables'!$A$82:$E$100+('Lighting Inventory'!O174-1)*'Lookup Tables'!$A$82:$E$100)/1000, (Q174*O174)/1000))), "")</f>
        <v/>
      </c>
      <c r="S174" s="595"/>
      <c r="T174" s="105" t="str">
        <f t="shared" si="452"/>
        <v/>
      </c>
      <c r="U174" s="105" t="str">
        <f>IF(S174="","",COUNT($S$11:S174))</f>
        <v/>
      </c>
      <c r="V174" s="111"/>
      <c r="W174" s="112"/>
      <c r="X174" s="105" t="str">
        <f t="shared" si="453"/>
        <v/>
      </c>
      <c r="Y174" s="105" t="str">
        <f t="array" ref="Y174">IF(AND(OR(W174="Freezer Case Lighting", W174="Refrigerated Case Lighting with Doors"), 'General Information'!$X$18="LCI"),'Lookup Tables'!$Y$34, IF(V174="Custom", VLOOKUP(W174, 'Fixture Identities'!$A$974:$M$1023, 13, FALSE), IF(V174="No Change",'Lookup Tables'!$Y$29,IF(OR(V174="",W174=""),"",IF(AND(S174=0,S174&lt;I174,B174="Retrofit"),'Lookup Tables'!$Y$25, IF(B174="Retrofit", INDEX('Lookup Tables'!$AH$6:$AP$102, MATCH(1, ('Lookup Tables'!$AH$6:$AH$102=V174)*('Lookup Tables'!$AI$6:$AI$102=W174), 0), IF('Lighting Inventory'!E174="Interior", 4, 5)), INDEX('Lookup Tables'!$AH$114:$AP$154, MATCH(1, ('Lookup Tables'!$AH$114:$AH$154=V174)*('Lookup Tables'!$AI$114:$AI$154=W174), 0), IF('Lighting Inventory'!E174="Interior", 4, 5))))))))</f>
        <v/>
      </c>
      <c r="Z174" s="105" t="str">
        <f>IFERROR(INDEX('Lookup Tables'!$AH$158:$AH$172,MATCH('Lighting Inventory'!Y174,'Lookup Tables'!$AI$158:$AI$172,0)),"")</f>
        <v/>
      </c>
      <c r="AA174" s="105" t="str">
        <f>IF(AP174&gt;0,INDEX('Lookup Tables'!$AK$158:$AK$172,MATCH('Lighting Inventory'!Y174,'Lookup Tables'!$AI$158:$AI$172,0)),'Lighting Inventory'!Y174)</f>
        <v/>
      </c>
      <c r="AB174" s="105" t="str">
        <f t="array" ref="AB174">IF(V174="Custom", "Custom", IF(V174="", "", IF(V174="Not DLC or Energy Star", "General", IF(B174="New Construction", INDEX('Lookup Tables'!$AH$114:$AP$154,MATCH(1,('Lookup Tables'!$AH$114:$AH$154='Lighting Inventory'!V174)*('Lookup Tables'!$AI$114:$AI$154='Lighting Inventory'!W174),FALSE),8), INDEX('Lookup Tables'!$AH$6:$AP$102,MATCH(1,('Lookup Tables'!$AH$6:$AH$102='Lighting Inventory'!V174)*('Lookup Tables'!$AI$6:$AI$102='Lighting Inventory'!W174),FALSE),8)))))</f>
        <v/>
      </c>
      <c r="AC174" s="272" t="str">
        <f>IF(W174="","",IF(V174="Custom",CONCATENATE("$",'Lookup Tables'!$AM$101," ",'Lookup Tables'!$AN$101),CONCATENATE("$",INDEX('Lookup Tables'!$AM$6:$AM$102,MATCH('Lighting Inventory'!W174,'Lookup Tables'!$AI$6:$AI$102,0))," ",INDEX('Lookup Tables'!$AN$6:$AN$102,MATCH('Lighting Inventory'!W174,'Lookup Tables'!$AI$6:$AI$102,0)))))</f>
        <v/>
      </c>
      <c r="AD174" s="72"/>
      <c r="AE174" s="29"/>
      <c r="AF174" s="379"/>
      <c r="AG174" s="370" t="str">
        <f t="shared" si="401"/>
        <v/>
      </c>
      <c r="AH174" s="370" t="str">
        <f t="shared" si="454"/>
        <v/>
      </c>
      <c r="AI174" s="29"/>
      <c r="AJ174" s="29"/>
      <c r="AK174" s="110"/>
      <c r="AL174" s="375" t="str">
        <f>IF(OR(B174="", V174="", W174=""), "", IF(V174="No Change", K174, IF(V174="Remove Fixture", 0, IF(V174="Custom",VLOOKUP(W174,'Fixture Identities'!$A$6:$K$1023,10,FALSE),IF(AE174="", "← ENTER POST WATTS", 'Lighting Inventory'!AE174)))))</f>
        <v/>
      </c>
      <c r="AM174" s="376" t="str">
        <f t="shared" si="402"/>
        <v/>
      </c>
      <c r="AN174" s="29"/>
      <c r="AO174" s="671"/>
      <c r="AP174" s="29"/>
      <c r="AQ174" s="29"/>
      <c r="AR174" s="29"/>
      <c r="AS174" s="272" t="str">
        <f t="shared" si="455"/>
        <v/>
      </c>
      <c r="AT174" s="270" t="str">
        <f t="shared" si="403"/>
        <v/>
      </c>
      <c r="AU174" s="88" t="str">
        <f t="shared" si="503"/>
        <v/>
      </c>
      <c r="AV174" s="29"/>
      <c r="AW174" s="73"/>
      <c r="AX174" s="271" t="str">
        <f>IF(AND(AV174="Applicant",OR(AW174="", AW174="Use Default Facility Hours")),"← Choose Schedule",IF(F174="","",IF(W174="LED Exit Signs",8760,IF(OR(AV174="Prescribed",AV174=""),VLOOKUP(F174,'Lookup Tables'!$A$6:$G$59,IF(AB174="General", 6, 3),FALSE),VLOOKUP(AW174,'Lookup Tables'!$S$36:$U$43,2,FALSE)))))</f>
        <v/>
      </c>
      <c r="AY174" s="88" t="str">
        <f t="shared" si="404"/>
        <v/>
      </c>
      <c r="AZ174" s="270" t="str">
        <f>IFERROR(IF(F174="", "", IF(W174="LED Exit Signs", 1, IF(AV174="Applicant",VLOOKUP(AW174, 'Lookup Tables'!$S$36:$U$43,3, FALSE), VLOOKUP('Lighting Inventory'!F174, 'Lookup Tables'!$A$6:$H$59, IF('Lighting Inventory'!AB174="General",7,4), FALSE)))), "")</f>
        <v/>
      </c>
      <c r="BA174" s="522" t="str">
        <f>IFERROR(IF(F174="", "", IF(W174="LED Exit Signs", 1, VLOOKUP('Lighting Inventory'!F174, 'Lookup Tables'!$A$6:$H$59, IF('Lighting Inventory'!AB174="General",8,5), FALSE))), "")</f>
        <v/>
      </c>
      <c r="BB174" s="270" t="str">
        <f>IF(G174="", "", IF(E174="Exterior", 0, IF('Lighting Inventory'!G174="Air Conditioned", VLOOKUP(H174, 'Lookup Tables'!$R$6:$T$13, 2, FALSE), VLOOKUP('Lighting Inventory'!G174, 'Lookup Tables'!$R$6:$T$13, 2, FALSE))))</f>
        <v/>
      </c>
      <c r="BC174" s="522" t="str">
        <f>IF(G174="", "", IF(E174="Exterior", 0, IF('Lighting Inventory'!G174="Air Conditioned", VLOOKUP(H174, 'Lookup Tables'!$R$6:$T$13, 3, FALSE), VLOOKUP('Lighting Inventory'!G174, 'Lookup Tables'!$R$6:$T$13, 3, FALSE))))</f>
        <v/>
      </c>
      <c r="BD174" s="270" t="str">
        <f>IF(G174="", "", IF(E174="Exterior", 0, IF('Lighting Inventory'!G174="Air Conditioned", VLOOKUP(H174, 'Lookup Tables'!$R$6:$U$13, 4, FALSE), VLOOKUP('Lighting Inventory'!G174, 'Lookup Tables'!$R$6:$U$13, 4, FALSE))))</f>
        <v/>
      </c>
      <c r="BE174" s="270" t="str">
        <f>IFERROR(IF(B174="", "",  IF(B174="New Construction", VLOOKUP(F174, 'Lookup Tables'!$A$6:$K$59, 11, FALSE),IF(OR(AN174="", AN174="Light Switch"), 0, IF(OR(M174="",M174="None",V174= "LED Exit Signs"),0,_xlfn.XLOOKUP(M174,'Lookup Tables'!$R$91:$R$101,'Lookup Tables'!$V$91:$V$101))))), "")</f>
        <v/>
      </c>
      <c r="BF174" s="270" t="str">
        <f>IF(AND(OR(AN174="Light Switch",AN174=""),B174="New Construction"), VLOOKUP(F174, 'Lookup Tables'!$A$6:$K$59, 11, FALSE),IF(AN174="","",IF(B174="","",IF(OR(AN174="None",AN174="",V174="LED Exit Signs",AN174="Exterior Controls Not Eligible"),0,_xlfn.XLOOKUP(AN174,'Lookup Tables'!$R$91:$R$101,'Lookup Tables'!$V$91:$V$101)))))</f>
        <v/>
      </c>
      <c r="BG174" s="88" t="str">
        <f t="shared" si="456"/>
        <v/>
      </c>
      <c r="BH174" s="88" t="str">
        <f t="shared" si="457"/>
        <v/>
      </c>
      <c r="BI174" s="558" t="str">
        <f t="shared" si="501"/>
        <v/>
      </c>
      <c r="BJ174" s="82" t="str">
        <f t="shared" si="458"/>
        <v/>
      </c>
      <c r="BK174" s="82" t="str">
        <f t="shared" si="459"/>
        <v/>
      </c>
      <c r="BL174" s="559" t="str">
        <f t="shared" si="460"/>
        <v/>
      </c>
      <c r="BM174" s="521" t="str">
        <f t="shared" si="405"/>
        <v/>
      </c>
      <c r="BN174" s="521" t="str">
        <f t="shared" si="406"/>
        <v/>
      </c>
      <c r="BO174" s="522" t="str">
        <f t="shared" si="407"/>
        <v/>
      </c>
      <c r="BP174" s="83" t="str">
        <f t="shared" si="461"/>
        <v/>
      </c>
      <c r="BQ174" s="84" t="str">
        <f t="shared" si="462"/>
        <v/>
      </c>
      <c r="BR174" s="184" t="str">
        <f>IFERROR(IF(B174="", "", IF(OR(VLOOKUP(J174, 'Fixture Identities'!$A$6:$L$1023, 3, FALSE)="T12 Linear Fluorescent",VLOOKUP(J174, 'Fixture Identities'!$A$6:$L$1023, 3, FALSE)="T12 U-Tube Fluorescent"), "Y", "N")), "N")</f>
        <v/>
      </c>
      <c r="BS174" s="184" t="str">
        <f t="array" ref="BS174">IFERROR(IF(OR(B174="", V174="", W174=""), "", IF(V174="Custom", "N", IF(OR(W174="Freezer Case Lighting", W174="Refrigerated Case Lighting with Doors"), BT174, IF(B174="Retrofit", INDEX('Lookup Tables'!$AH$6:$AT$102,MATCH(1,('Lookup Tables'!$AH$6:$AH$102=V174)*('Lookup Tables'!$AI$6:$AI$102=W174),FALSE),IF(VLOOKUP(J174, 'Fixture Identities'!$A$6:$B$1023, 2, FALSE)="Incandescent",12, 13)), INDEX('Lookup Tables'!$AH$114:$AS$154,MATCH(1,('Lookup Tables'!$AH$114:$AH$154=V174)*('Lookup Tables'!$AI$114:$AI$154=W174),FALSE),12))))), "N")</f>
        <v/>
      </c>
      <c r="BT174" s="184" t="str">
        <f>IF(J174="", "", IF(AND(OR(W174="Freezer case Lighting", W174="Refrigerated Case Lighting with Doors"),'General Information'!$X$18="LCI"), "N", IF(OR(VLOOKUP(J174, 'Fixture Identities'!$A$6:$B$1023, 2, FALSE)="T12 EPACT/EISA Baseline", VLOOKUP(J174, 'Fixture Identities'!$A$6:$B$1023, 2, FALSE)="Linear Fluorescent", VLOOKUP(J174, 'Fixture Identities'!$A$6:$B$1023, 2, FALSE)="U-Tube Fluorescent"), "Y", "N")))</f>
        <v/>
      </c>
      <c r="BU174" s="184" t="str">
        <f>IFERROR(IF(B174="", "", IF(VLOOKUP(J174, 'Fixture Identities'!$A$6:$B$1023, 2, FALSE)="Exit Sign", "Y", "N")), "N")</f>
        <v/>
      </c>
      <c r="BV174" s="184" t="str">
        <f>IF(V174="Exit Signs", IF(VLOOKUP(J174, 'Fixture Identities'!$A$6:$B$1023, 2, FALSE)="Exit Sign", "N", "Y"), "")</f>
        <v/>
      </c>
      <c r="BW174" s="184" t="str">
        <f t="array" ref="BW174">IFERROR(IF(B174="", "", IF(B174="New Construction", "N", INDEX('Lookup Tables'!$AH$6:$AU$102, MATCH(1, ('Lookup Tables'!$AH$6:$AH$102='Lighting Inventory'!V174)*('Lookup Tables'!$AI$6:$AI$102='Lighting Inventory'!W174), 0), 14))), "N")</f>
        <v/>
      </c>
      <c r="BX174" s="598" t="str">
        <f t="shared" si="463"/>
        <v/>
      </c>
      <c r="BY174" s="598" t="str">
        <f t="shared" si="464"/>
        <v/>
      </c>
      <c r="BZ174" s="598" t="str">
        <f t="shared" si="465"/>
        <v/>
      </c>
      <c r="CA174" s="598" t="str">
        <f t="shared" si="466"/>
        <v/>
      </c>
      <c r="CB174" s="269" t="str">
        <f t="shared" si="467"/>
        <v/>
      </c>
      <c r="CC174" s="517" t="str">
        <f t="shared" si="468"/>
        <v/>
      </c>
      <c r="CD174" s="565" t="str">
        <f t="shared" si="408"/>
        <v/>
      </c>
      <c r="CE174" s="368">
        <v>0</v>
      </c>
      <c r="CF174" s="368" t="str" cm="1">
        <f t="array" ref="CF174">IFERROR(IF(V174="Custom", "$0.1 per kWh", IF(B174="New Construction", CONCATENATE("$",INDEX('Lookup Tables'!$AH$114:$AN$154,MATCH(1,('Lookup Tables'!$AH$114:$AH$154='Lighting Inventory'!V174)*('Lookup Tables'!$AI$114:$AI$154='Lighting Inventory'!W174),FALSE),6)," ",INDEX('Lookup Tables'!$AH$114:$AN$154,MATCH(1,('Lookup Tables'!$AH$114:$AH$154='Lighting Inventory'!V174)*('Lookup Tables'!$AI$114:$AI$154='Lighting Inventory'!W174),FALSE),7)), IF(AND(BU174="N", V174="Exit Signs"), "$0.025 per kWh", CONCATENATE("$",INDEX('Lookup Tables'!$AH$6:$AN$102,MATCH(1,('Lookup Tables'!$AH$6:$AH$102='Lighting Inventory'!V174)*('Lookup Tables'!$AI$6:$AI$102='Lighting Inventory'!W174),FALSE),6)," ",INDEX('Lookup Tables'!$AH$6:$AN$102,MATCH(1,('Lookup Tables'!$AH$6:$AH$102='Lighting Inventory'!V174)*('Lookup Tables'!$AI$6:$AI$102='Lighting Inventory'!W174),FALSE),7))))), "")</f>
        <v/>
      </c>
      <c r="CG174" s="366"/>
      <c r="CH174" s="248" t="str">
        <f t="shared" si="409"/>
        <v/>
      </c>
      <c r="CI174" s="248" t="str">
        <f t="shared" si="410"/>
        <v>Select_IE</v>
      </c>
      <c r="CJ174" s="248" t="str">
        <f t="shared" si="411"/>
        <v/>
      </c>
      <c r="CK174" s="248" t="str">
        <f t="shared" si="412"/>
        <v/>
      </c>
      <c r="CL174" s="248" t="str">
        <f t="shared" si="413"/>
        <v/>
      </c>
      <c r="CM174" s="248" t="str">
        <f>IFERROR(IF(B174="", "", IF(B174="New Construction", VLOOKUP(V174, 'Lookup Tables'!$AF$114:$AG$120, 2, FALSE), VLOOKUP(V174, 'Lookup Tables'!$AD$6:$AE$25, 2, FALSE))), "")</f>
        <v/>
      </c>
      <c r="CN174" s="248" t="str">
        <f t="shared" si="414"/>
        <v/>
      </c>
      <c r="CO174" s="248" t="str">
        <f t="shared" si="415"/>
        <v/>
      </c>
      <c r="CP174" s="592" t="str">
        <f t="shared" si="416"/>
        <v/>
      </c>
      <c r="CQ174" s="248" t="str">
        <f t="shared" si="469"/>
        <v/>
      </c>
      <c r="CR174" s="249"/>
      <c r="CS174" s="250" t="str">
        <f t="shared" si="417"/>
        <v/>
      </c>
      <c r="CT174" s="250" t="str">
        <f t="shared" si="470"/>
        <v/>
      </c>
      <c r="CU174" s="250" t="str">
        <f t="shared" si="471"/>
        <v/>
      </c>
      <c r="CV174" s="250" t="str">
        <f t="shared" si="472"/>
        <v/>
      </c>
      <c r="CW174" s="250" t="str">
        <f t="shared" si="473"/>
        <v/>
      </c>
      <c r="CX174" s="250" t="str">
        <f t="shared" si="418"/>
        <v/>
      </c>
      <c r="CY174" s="250" t="str">
        <f t="shared" si="419"/>
        <v/>
      </c>
      <c r="CZ174" s="250" t="str">
        <f t="shared" si="420"/>
        <v/>
      </c>
      <c r="DA174" s="250" t="str">
        <f t="shared" si="421"/>
        <v/>
      </c>
      <c r="DB174" s="250" t="str">
        <f t="shared" si="422"/>
        <v/>
      </c>
      <c r="DC174" s="250" t="str">
        <f t="shared" si="423"/>
        <v/>
      </c>
      <c r="DD174" s="250" t="str">
        <f t="shared" si="424"/>
        <v/>
      </c>
      <c r="DE174" s="250" t="str">
        <f t="shared" si="425"/>
        <v/>
      </c>
      <c r="DF174" s="250" t="str">
        <f t="shared" si="426"/>
        <v/>
      </c>
      <c r="DG174" s="250" t="str">
        <f t="shared" si="427"/>
        <v/>
      </c>
      <c r="DH174" s="250" t="str">
        <f t="shared" si="428"/>
        <v/>
      </c>
      <c r="DI174" s="250" t="str">
        <f t="shared" si="429"/>
        <v/>
      </c>
      <c r="DJ174" s="250" t="str">
        <f t="shared" si="430"/>
        <v/>
      </c>
      <c r="DK174" s="250" t="str">
        <f t="shared" si="431"/>
        <v/>
      </c>
      <c r="DL174" s="250" t="str">
        <f t="shared" si="432"/>
        <v/>
      </c>
      <c r="DM174" s="250" t="str">
        <f>IF(CD174="ERROR", "ERROR", IF(AND(OR(Y174=$DM$6, Y174='Lookup Tables'!$AD$21, Y174='Lookup Tables'!$AD$22), E174="Interior"), BJ174, ""))</f>
        <v/>
      </c>
      <c r="DN174" s="250" t="str">
        <f>IF(CD174="ERROR", "ERROR", IF(AND(OR(Y174=$DM$6, Y174='Lookup Tables'!$AD$21, Y174='Lookup Tables'!$AD$22), E174="Exterior"), BJ174, ""))</f>
        <v/>
      </c>
      <c r="DO174" s="249"/>
      <c r="DP174" s="250" t="str">
        <f t="shared" si="433"/>
        <v/>
      </c>
      <c r="DQ174" s="250" t="str">
        <f t="shared" si="474"/>
        <v/>
      </c>
      <c r="DR174" s="250" t="str">
        <f t="shared" si="475"/>
        <v/>
      </c>
      <c r="DS174" s="250" t="str">
        <f t="shared" si="476"/>
        <v/>
      </c>
      <c r="DT174" s="250" t="str">
        <f t="shared" si="477"/>
        <v/>
      </c>
      <c r="DU174" s="250" t="str">
        <f t="shared" si="434"/>
        <v/>
      </c>
      <c r="DV174" s="250" t="str">
        <f t="shared" si="435"/>
        <v/>
      </c>
      <c r="DW174" s="250" t="str">
        <f t="shared" si="436"/>
        <v/>
      </c>
      <c r="DX174" s="250" t="str">
        <f t="shared" si="437"/>
        <v/>
      </c>
      <c r="DY174" s="250" t="str">
        <f t="shared" si="438"/>
        <v/>
      </c>
      <c r="DZ174" s="250" t="str">
        <f t="shared" si="439"/>
        <v/>
      </c>
      <c r="EA174" s="250" t="str">
        <f t="shared" si="440"/>
        <v/>
      </c>
      <c r="EB174" s="250" t="str">
        <f t="shared" si="478"/>
        <v/>
      </c>
      <c r="EC174" s="250" t="str">
        <f t="shared" si="441"/>
        <v/>
      </c>
      <c r="ED174" s="250" t="str">
        <f t="shared" si="442"/>
        <v/>
      </c>
      <c r="EE174" s="250" t="str">
        <f t="shared" si="443"/>
        <v/>
      </c>
      <c r="EF174" s="250" t="str">
        <f t="shared" si="444"/>
        <v/>
      </c>
      <c r="EG174" s="250" t="str">
        <f t="shared" si="445"/>
        <v/>
      </c>
      <c r="EH174" s="250" t="str">
        <f>IF(CD174="ERROR", "ERROR", IF(AND(OR($EH$6=Y174, Y174='Lookup Tables'!$AD$21, Y174='Lookup Tables'!$AD$22),E174="Interior"), SUM(BP174:BP174), ""))</f>
        <v/>
      </c>
      <c r="EI174" s="250" t="str">
        <f>IF(CD174="ERROR", "ERROR", IF(AND(OR($EH$6=Y174, Y174='Lookup Tables'!$AD$21, Y174='Lookup Tables'!$AD$22),E174="Exterior"), SUM(BP174:BP174), ""))</f>
        <v/>
      </c>
      <c r="EJ174" s="109"/>
      <c r="EK174" s="485" t="str">
        <f t="shared" si="446"/>
        <v/>
      </c>
      <c r="EL174" s="252" t="str">
        <f t="shared" si="479"/>
        <v/>
      </c>
      <c r="EM174" s="252" t="str">
        <f t="shared" si="480"/>
        <v/>
      </c>
      <c r="EN174" s="252" t="str">
        <f t="shared" si="481"/>
        <v/>
      </c>
      <c r="EO174" s="252" t="str">
        <f t="shared" si="482"/>
        <v/>
      </c>
      <c r="EP174" s="252" t="str">
        <f t="shared" si="483"/>
        <v/>
      </c>
      <c r="EQ174" s="252" t="str">
        <f t="shared" si="484"/>
        <v/>
      </c>
      <c r="ER174" s="252" t="str">
        <f t="shared" si="485"/>
        <v/>
      </c>
      <c r="ES174" s="252" t="str">
        <f t="shared" si="486"/>
        <v/>
      </c>
      <c r="ET174" s="252" t="str">
        <f t="shared" si="487"/>
        <v/>
      </c>
      <c r="EU174" s="252" t="str">
        <f t="shared" si="488"/>
        <v/>
      </c>
      <c r="EV174" s="252" t="str">
        <f t="shared" si="489"/>
        <v/>
      </c>
      <c r="EW174" s="252" t="str">
        <f t="shared" si="490"/>
        <v/>
      </c>
      <c r="EX174" s="252" t="str">
        <f t="shared" si="491"/>
        <v/>
      </c>
      <c r="EY174" s="252" t="str">
        <f t="shared" si="492"/>
        <v/>
      </c>
      <c r="EZ174" s="252" t="str">
        <f t="shared" si="493"/>
        <v/>
      </c>
      <c r="FA174" s="252" t="str">
        <f t="shared" si="494"/>
        <v/>
      </c>
      <c r="FB174" s="252" t="str">
        <f t="shared" si="495"/>
        <v/>
      </c>
      <c r="FC174" s="252" t="str">
        <f>IF(CD174="ERROR", "ERROR", IF(OR(V174="No Change", V174="Not DLC or Energy Star"), "", IF(AND(OR($FC$6=Y174,Y174='Lookup Tables'!$AD$21, Y174='Lookup Tables'!$AD$22),E174="Interior"), S174, "")))</f>
        <v/>
      </c>
      <c r="FD174" s="252" t="str">
        <f t="shared" si="496"/>
        <v/>
      </c>
      <c r="FE174" s="1"/>
      <c r="FF174" s="579" t="str" cm="1">
        <f t="array" ref="FF174">IFERROR(IF(OR(BQ174&lt;=0,AQ174&lt;20,AND(V174="Exit Signs",AN174&gt;0)),"",IF(AND(AQ174&gt;=20,AN174='Lookup Tables'!$R$101),'Lookup Tables'!$U$101*BQ174,AP174*LOOKUP(2,1/((AN174='Lookup Tables'!$R$91:$R$111)*(AQ174&gt;='Lookup Tables'!$S$91:$S$111)*(AQ174&lt;='Lookup Tables'!$T$91:$T$111)),'Lookup Tables'!$U$91:$U$111))),"")</f>
        <v/>
      </c>
      <c r="FG174" s="579"/>
      <c r="FH174" s="579"/>
      <c r="FI174" s="253" t="str">
        <f>IFERROR(ROUND(IF(CD174="ERROR", "ERROR", IF(AND($FI$7=X174,E174="Interior"),VLOOKUP(W174, 'Lookup Tables'!$AI$6:$AM$102, 5, FALSE)*BP174, "")), 2), "")</f>
        <v/>
      </c>
      <c r="FJ174" s="253" t="str">
        <f>IFERROR(ROUND(IF(CD174="ERROR", "ERROR", IF(AND($FI$7=X174,E174="Exterior"),VLOOKUP(W174, 'Lookup Tables'!$AI$6:$AM$102, 5, FALSE)*BP174, "")), 2), "")</f>
        <v/>
      </c>
      <c r="FK174" s="253" t="str">
        <f>IFERROR(ROUND(IF(CD174="ERROR", "ERROR", IF(AND($FK$7=X174,E174="Interior"),VLOOKUP(W174, 'Lookup Tables'!$AI$6:$AM$102, 5, FALSE)*BP174, "")), 2), "")</f>
        <v/>
      </c>
      <c r="FL174" s="253" t="str">
        <f>IFERROR(ROUND(IF(CD174="ERROR", "ERROR", IF(AND($FK$7=X174,E174="Exterior"),VLOOKUP(W174, 'Lookup Tables'!$AI$6:$AM$102, 5, FALSE)*BP174, "")), 2), "")</f>
        <v/>
      </c>
      <c r="FM174" s="253" t="str">
        <f>IFERROR(ROUND(IF(CD174="ERROR", "ERROR", IF(AND($FM$6=Y174,E174="Interior"), IF(GB174=0, VLOOKUP(W174, 'Lookup Tables'!$AI$6:$AM$102, 5, FALSE)*BP174, IF(VLOOKUP(W174, 'Lookup Tables'!$AI$6:$AM$102, 5, FALSE)*BP174&gt;GB174*'Lighting Inventory'!S174, GB174*'Lighting Inventory'!S174,VLOOKUP(W174, 'Lookup Tables'!$AI$6:$AM$102, 5, FALSE)*BP174)), "")), 2), "")</f>
        <v/>
      </c>
      <c r="FN174" s="253" t="str">
        <f>IFERROR(ROUND(IF(CD174="ERROR", "ERROR", IF(AND($FM$6=Y174,E174="Exterior"), IF(GB174=0, VLOOKUP(W174, 'Lookup Tables'!$AI$6:$AM$102, 5, FALSE)*BP174, IF(VLOOKUP(W174, 'Lookup Tables'!$AI$6:$AM$102, 5, FALSE)*BP174&gt;GB174*'Lighting Inventory'!S174, GB174*'Lighting Inventory'!S174,VLOOKUP(W174, 'Lookup Tables'!$AI$6:$AM$102, 5, FALSE)*BP174)), "")), 2), "")</f>
        <v/>
      </c>
      <c r="FO174" s="253" t="str">
        <f>IFERROR(ROUND(IF(CD174="ERROR", "ERROR", IF(AND($FO$6=Y174,E174="Interior"),VLOOKUP(W174, 'Lookup Tables'!$AI$6:$AM$102, 5, FALSE)*'Lighting Inventory'!AI174, "")), 2), "")</f>
        <v/>
      </c>
      <c r="FP174" s="253" t="str">
        <f>IFERROR(ROUND(IF(CD174="ERROR", "ERROR", IF(AND($FO$6=Y174,E174="Exterior"),VLOOKUP(W174, 'Lookup Tables'!$AI$6:$AM$102, 5, FALSE)*'Lighting Inventory'!AI174, "")), 2), "")</f>
        <v/>
      </c>
      <c r="FQ174" s="253" t="str">
        <f>IFERROR(ROUND(IF(CD174="ERROR", "ERROR", IF(AND($FQ$6=Y174,E174="Interior", BU174="Y"), VLOOKUP('Lighting Inventory'!W174, 'Lookup Tables'!$AI$6:$AM$102, 5, FALSE)*'Lighting Inventory'!S174, IF(AND($FQ$7=Y174,E174="Interior", BU174="N"), 0.025*CD174, ""))), 2), "")</f>
        <v/>
      </c>
      <c r="FR174" s="253" t="str">
        <f>IFERROR(ROUND(IF(CD174="ERROR", "ERROR", IF(AND($FQ$6=Y174,E174="Exterior"), VLOOKUP('Lighting Inventory'!W174, 'Lookup Tables'!$AI$6:$AM$102, 5, FALSE)*'Lighting Inventory'!S174, "")), 2), "")</f>
        <v/>
      </c>
      <c r="FS174" s="253" t="str">
        <f>IFERROR(ROUND(IF(CD174="ERROR", "ERROR", IF(AND($FS$6=Y174,E174="Exterior"), IF(GB174=0, VLOOKUP(W174, 'Lookup Tables'!$AI$6:$AM$102, 5, FALSE)*BP174, IF(VLOOKUP(W174, 'Lookup Tables'!$AI$6:$AM$102, 5, FALSE)*BP174&gt;GB174*'Lighting Inventory'!S174, GB174*'Lighting Inventory'!S174,VLOOKUP(W174, 'Lookup Tables'!$AI$6:$AM$102, 5, FALSE)*BP174)), "")), 2), "")</f>
        <v/>
      </c>
      <c r="FT174" s="253" t="str">
        <f>IFERROR(ROUND(IF(CD174="ERROR", "ERROR", IF(AND($FT$6=Y174,E174="Interior"), IF(GB174=0, VLOOKUP(W174, 'Lookup Tables'!$AI$6:$AM$102, 5, FALSE)*BP174, IF(VLOOKUP(W174, 'Lookup Tables'!$AI$6:$AM$102, 5, FALSE)*BP174&gt;GB174*'Lighting Inventory'!S174, GB174*'Lighting Inventory'!S174,VLOOKUP(W174, 'Lookup Tables'!$AI$6:$AM$102, 5, FALSE)*BP174)), "")), 2), "")</f>
        <v/>
      </c>
      <c r="FU174" s="253" t="str">
        <f>IFERROR(ROUND(IF(CD174="ERROR", "ERROR", IF(AND(Y174=$FU$6, E174="Interior"), IF(BS174="N", 'Lookup Tables'!$AM$101*BP174, VLOOKUP(W174, 'Lookup Tables'!$AI$6:$AM$102, 5, FALSE)*S174*AD174), "")), 2), "")</f>
        <v/>
      </c>
      <c r="FV174" s="253" t="str">
        <f>IFERROR(ROUND(IF(CD174="ERROR", "ERROR", IF(AND(Y174=$FU$6, E174="Exterior"), IF(BS174="N", 'Lookup Tables'!$AM$101*BP174, VLOOKUP(W174, 'Lookup Tables'!$AI$6:$AM$102, 5, FALSE)*S174*AD174), "")), 2), "")</f>
        <v/>
      </c>
      <c r="FW174" s="253" t="str">
        <f>IFERROR(ROUND(IF(CD174="ERROR", "ERROR", IF($FW$6=Y174, IF(BS174="N", 'Lookup Tables'!$AM$101*BP174, MIN((VLOOKUP(W174, 'Lookup Tables'!$AI$6:$AM$102, 5, FALSE)*BP174),GB174*AJ174)), "")), 2), "")</f>
        <v/>
      </c>
      <c r="FX174" s="253" t="str">
        <f>IFERROR(ROUND(IF(CD174="ERROR", "ERROR", IF(AND($FX$6=Y174, E174="Interior"), IF(VLOOKUP(W174, 'Lookup Tables'!$AI$6:$AM$102, 5, FALSE)*BP174&gt;'Lookup Tables'!$AQ$97*'Lighting Inventory'!S174,'Lighting Inventory'!S174*'Lookup Tables'!$AQ$97,VLOOKUP(W174, 'Lookup Tables'!$AI$6:$AM$102, 5, FALSE)*BP174), "")), 2), "")</f>
        <v/>
      </c>
      <c r="FY174" s="253" t="str">
        <f>IFERROR(ROUND(IF(CD174="ERROR", "ERROR", IF(AND($FX$6=Y174, E174="Exterior"), IF(VLOOKUP(W174, 'Lookup Tables'!$AI$6:$AM$102, 5, FALSE)*BP174&gt;'Lookup Tables'!$AQ$97*'Lighting Inventory'!S174,'Lighting Inventory'!S174*'Lookup Tables'!$AQ$97,VLOOKUP(W174, 'Lookup Tables'!$AI$6:$AM$102, 5, FALSE)*BP174), "")), 2), "")</f>
        <v/>
      </c>
      <c r="FZ174" s="253" t="str">
        <f>IFERROR(ROUND(IF(CD174="ERROR", "ERROR", IF(AND($FZ$6=Y174, E174="Interior"), IF(AND(OR(W174="Refrigerated Case Lighting with Doors", W174="Freezer Case Lighting"),Y174="Custom - Process Improvement"),CD174*'Lookup Tables'!$AM$101, IF(B174="Retrofit", IF(VLOOKUP(IF(V174="Custom", V174, W174), 'Lookup Tables'!$AI$6:$AM$102, 5, FALSE)*BP174&gt;GE174, GE174, VLOOKUP(IF(V174="Custom", V174, W174), 'Lookup Tables'!$AI$6:$AM$102, 5, FALSE)*BP174), IF(VLOOKUP(IF(V174="Custom", V174, W174), 'Lookup Tables'!$AI$114:$AM$154, 5, FALSE)*BP174&gt;GE174, GE174, VLOOKUP(IF(V174="Custom", V174, W174), 'Lookup Tables'!$AI$114:$AM$154, 5, FALSE)*BP174))), "")), 2),"")</f>
        <v/>
      </c>
      <c r="GA174" s="253" t="str">
        <f>IFERROR(ROUND(IF(CD174="ERROR", "ERROR", IF(AND($FZ$6=Y174, E174="Exterior"), IF(B174="Retrofit", IF(VLOOKUP(IF(V174="Custom", V174, W174), 'Lookup Tables'!$AI$6:$AM$102, 5, FALSE)*BP174&gt;GE174, GE174, VLOOKUP(IF(V174="Custom", V174, W174), 'Lookup Tables'!$AI$6:$AM$102, 5, FALSE)*BP174), IF(VLOOKUP(IF(V174="Custom", V174, W174), 'Lookup Tables'!$AI$114:$AM$154, 5, FALSE)*BP174&gt;GE174, GE174, VLOOKUP(IF(V174="Custom", V174, W174), 'Lookup Tables'!$AI$114:$AM$154, 5, FALSE)*BP174)), "")), 2),"")</f>
        <v/>
      </c>
      <c r="GB174" s="254" t="str">
        <f t="array" ref="GB174">IF(B174="","",IF(OR(V174="Custom",V174="No Change"),0,IF(B174="Retrofit", INDEX('Lookup Tables'!$AH$6:$AQ$102,MATCH(1,('Lookup Tables'!$AH$6:$AH$102='Lighting Inventory'!V174)*('Lookup Tables'!$AI$6:$AI$102='Lighting Inventory'!W174),FALSE),10),INDEX('Lookup Tables'!$AH$114:$AQ$154,MATCH(1,('Lookup Tables'!$AH$114:$AH$154='Lighting Inventory'!V174)*('Lookup Tables'!$AI$114:$AI$154='Lighting Inventory'!W174),FALSE),10))))</f>
        <v/>
      </c>
      <c r="GC174" s="255" t="str">
        <f t="shared" si="447"/>
        <v/>
      </c>
      <c r="GD174" s="250" t="str">
        <f t="shared" si="448"/>
        <v/>
      </c>
      <c r="GE174" s="253" t="str">
        <f>IFERROR(IF(AND(AF174="", 'General Information'!$F$18="No"),"", IF(AF174="", ((GD174/$CD$266)*$CF$266)*0.5, AF174*S174*0.5)), "")</f>
        <v/>
      </c>
      <c r="GF174" s="255" t="str">
        <f>IF(AND('General Information'!$F$19="", 'General Information'!$F$18="Yes",AF174="",BW174="Y"), "Y", "N")</f>
        <v>N</v>
      </c>
      <c r="GG174" s="255" t="s">
        <v>2946</v>
      </c>
      <c r="GH174" s="255" t="str">
        <f>IFERROR(IF(B174="", "", VLOOKUP(J174, 'Fixture Identities'!$A$6:$N$908, 14, FALSE)), "")</f>
        <v/>
      </c>
      <c r="GI174" s="389" t="str">
        <f>IF(OR(B174="", V174="", W174=""), "", IF(AND(OR(M174='Lookup Tables'!$R$18, M174='Lookup Tables'!$R$19, M174='Lookup Tables'!$R$20, M174='Lookup Tables'!$R$21, M174='Lookup Tables'!$R$22), OR(AN174='Lookup Tables'!$R$17, AN174='Lookup Tables'!$R$17, AN174="")), "Y", "N"))</f>
        <v/>
      </c>
      <c r="GJ174" s="255" t="str">
        <f t="shared" si="449"/>
        <v/>
      </c>
      <c r="GK174" s="255" t="str">
        <f t="shared" si="450"/>
        <v/>
      </c>
      <c r="GL174" s="255" t="str">
        <f t="shared" si="451"/>
        <v/>
      </c>
      <c r="GM174" s="255" t="str">
        <f>IF(AN174="", "", IF(AND(IF(ISNA(VLOOKUP(AN174,'Lookup Tables'!$R$18:$R$22,1,FALSE)), "N", "Y")="Y", E174="Exterior"), "Y", "N"))</f>
        <v/>
      </c>
      <c r="GN174" s="395"/>
      <c r="GO174" s="428">
        <f t="shared" si="497"/>
        <v>0</v>
      </c>
      <c r="GP174" s="428">
        <f t="shared" si="500"/>
        <v>0</v>
      </c>
      <c r="GQ174" s="428">
        <f t="shared" si="498"/>
        <v>0</v>
      </c>
      <c r="GR174" s="428">
        <f t="shared" si="499"/>
        <v>0</v>
      </c>
    </row>
    <row r="175" spans="1:200" s="103" customFormat="1" ht="13.5" customHeight="1" x14ac:dyDescent="0.2">
      <c r="A175" s="272">
        <v>165</v>
      </c>
      <c r="B175" s="110"/>
      <c r="C175" s="110"/>
      <c r="D175" s="110"/>
      <c r="E175" s="110"/>
      <c r="F175" s="110"/>
      <c r="G175" s="110"/>
      <c r="H175" s="110"/>
      <c r="I175" s="29"/>
      <c r="J175" s="29"/>
      <c r="K175" s="272" t="str">
        <f>IFERROR(IF(OR(VLOOKUP(J175, 'Fixture Identities'!$A$6:$L$1023, 3, FALSE)="T12 Linear Fluorescent", VLOOKUP(J175, 'Fixture Identities'!$A$6:$L$1023, 3, FALSE)="T12 U-Tube Fluorescent"), VLOOKUP(VLOOKUP(J175, 'Fixture Identities'!$A$6:$L$1023, 11, FALSE), 'Fixture Identities'!$A$6:$L$1023, 10, FALSE), VLOOKUP(J175, 'Fixture Identities'!$A$6:$L$1023, 10, FALSE)), "")</f>
        <v/>
      </c>
      <c r="L175" s="270" t="str">
        <f t="shared" si="502"/>
        <v/>
      </c>
      <c r="M175" s="110"/>
      <c r="N175" s="110"/>
      <c r="O175" s="110"/>
      <c r="P175" s="272" t="str">
        <f>IFERROR(IF(OR(B175="Retrofit",B175=""),"",IF('Lighting Inventory'!E175="Exterior",VLOOKUP('Lighting Inventory'!N175,'Lookup Tables'!$B$83:$F$103,5,FALSE),IF(N175="Other - Please Estimate EFLH and CFs","Contact Prog. Rep.","ft^2"))), "")</f>
        <v/>
      </c>
      <c r="Q175" s="270" t="str">
        <f>IFERROR(IF(AND(B175="New Construction",E175="Interior",$F$5="Space-by-Space"),VLOOKUP('Lighting Inventory'!N175,'Lookup Tables'!$N$6:$O$97,2,FALSE),IF(AND(B175="New Construction",E175="Exterior"),VLOOKUP(N175,'Lookup Tables'!$B$83:$F$103,2,FALSE),IF(AND(B175="New Construction",'Lighting Inventory'!E175="Interior", $F$5="Building Area"),VLOOKUP(F175,'Lookup Tables'!$A$6:$J$59,10,FALSE),""))), "")</f>
        <v/>
      </c>
      <c r="R175" s="270" t="str">
        <f>IFERROR(IF(P175="Contact Prog. Rep.", "ERROR", IF(OR(B175="",B175="Retrofit"),"",IF(N175="Automated teller machines", ('Lookup Tables'!$A$82:$E$100+('Lighting Inventory'!O175-1)*'Lookup Tables'!$A$82:$E$100)/1000, (Q175*O175)/1000))), "")</f>
        <v/>
      </c>
      <c r="S175" s="595"/>
      <c r="T175" s="105" t="str">
        <f t="shared" si="452"/>
        <v/>
      </c>
      <c r="U175" s="105" t="str">
        <f>IF(S175="","",COUNT($S$11:S175))</f>
        <v/>
      </c>
      <c r="V175" s="111"/>
      <c r="W175" s="112"/>
      <c r="X175" s="105" t="str">
        <f t="shared" si="453"/>
        <v/>
      </c>
      <c r="Y175" s="105" t="str">
        <f t="array" ref="Y175">IF(AND(OR(W175="Freezer Case Lighting", W175="Refrigerated Case Lighting with Doors"), 'General Information'!$X$18="LCI"),'Lookup Tables'!$Y$34, IF(V175="Custom", VLOOKUP(W175, 'Fixture Identities'!$A$974:$M$1023, 13, FALSE), IF(V175="No Change",'Lookup Tables'!$Y$29,IF(OR(V175="",W175=""),"",IF(AND(S175=0,S175&lt;I175,B175="Retrofit"),'Lookup Tables'!$Y$25, IF(B175="Retrofit", INDEX('Lookup Tables'!$AH$6:$AP$102, MATCH(1, ('Lookup Tables'!$AH$6:$AH$102=V175)*('Lookup Tables'!$AI$6:$AI$102=W175), 0), IF('Lighting Inventory'!E175="Interior", 4, 5)), INDEX('Lookup Tables'!$AH$114:$AP$154, MATCH(1, ('Lookup Tables'!$AH$114:$AH$154=V175)*('Lookup Tables'!$AI$114:$AI$154=W175), 0), IF('Lighting Inventory'!E175="Interior", 4, 5))))))))</f>
        <v/>
      </c>
      <c r="Z175" s="105" t="str">
        <f>IFERROR(INDEX('Lookup Tables'!$AH$158:$AH$172,MATCH('Lighting Inventory'!Y175,'Lookup Tables'!$AI$158:$AI$172,0)),"")</f>
        <v/>
      </c>
      <c r="AA175" s="105" t="str">
        <f>IF(AP175&gt;0,INDEX('Lookup Tables'!$AK$158:$AK$172,MATCH('Lighting Inventory'!Y175,'Lookup Tables'!$AI$158:$AI$172,0)),'Lighting Inventory'!Y175)</f>
        <v/>
      </c>
      <c r="AB175" s="105" t="str">
        <f t="array" ref="AB175">IF(V175="Custom", "Custom", IF(V175="", "", IF(V175="Not DLC or Energy Star", "General", IF(B175="New Construction", INDEX('Lookup Tables'!$AH$114:$AP$154,MATCH(1,('Lookup Tables'!$AH$114:$AH$154='Lighting Inventory'!V175)*('Lookup Tables'!$AI$114:$AI$154='Lighting Inventory'!W175),FALSE),8), INDEX('Lookup Tables'!$AH$6:$AP$102,MATCH(1,('Lookup Tables'!$AH$6:$AH$102='Lighting Inventory'!V175)*('Lookup Tables'!$AI$6:$AI$102='Lighting Inventory'!W175),FALSE),8)))))</f>
        <v/>
      </c>
      <c r="AC175" s="272" t="str">
        <f>IF(W175="","",IF(V175="Custom",CONCATENATE("$",'Lookup Tables'!$AM$101," ",'Lookup Tables'!$AN$101),CONCATENATE("$",INDEX('Lookup Tables'!$AM$6:$AM$102,MATCH('Lighting Inventory'!W175,'Lookup Tables'!$AI$6:$AI$102,0))," ",INDEX('Lookup Tables'!$AN$6:$AN$102,MATCH('Lighting Inventory'!W175,'Lookup Tables'!$AI$6:$AI$102,0)))))</f>
        <v/>
      </c>
      <c r="AD175" s="72"/>
      <c r="AE175" s="29"/>
      <c r="AF175" s="379"/>
      <c r="AG175" s="370" t="str">
        <f t="shared" si="401"/>
        <v/>
      </c>
      <c r="AH175" s="370" t="str">
        <f t="shared" si="454"/>
        <v/>
      </c>
      <c r="AI175" s="29"/>
      <c r="AJ175" s="29"/>
      <c r="AK175" s="110"/>
      <c r="AL175" s="375" t="str">
        <f>IF(OR(B175="", V175="", W175=""), "", IF(V175="No Change", K175, IF(V175="Remove Fixture", 0, IF(V175="Custom",VLOOKUP(W175,'Fixture Identities'!$A$6:$K$1023,10,FALSE),IF(AE175="", "← ENTER POST WATTS", 'Lighting Inventory'!AE175)))))</f>
        <v/>
      </c>
      <c r="AM175" s="376" t="str">
        <f t="shared" si="402"/>
        <v/>
      </c>
      <c r="AN175" s="29"/>
      <c r="AO175" s="671"/>
      <c r="AP175" s="29"/>
      <c r="AQ175" s="29"/>
      <c r="AR175" s="29"/>
      <c r="AS175" s="272" t="str">
        <f t="shared" si="455"/>
        <v/>
      </c>
      <c r="AT175" s="270" t="str">
        <f t="shared" si="403"/>
        <v/>
      </c>
      <c r="AU175" s="88" t="str">
        <f t="shared" si="503"/>
        <v/>
      </c>
      <c r="AV175" s="29"/>
      <c r="AW175" s="73"/>
      <c r="AX175" s="271" t="str">
        <f>IF(AND(AV175="Applicant",OR(AW175="", AW175="Use Default Facility Hours")),"← Choose Schedule",IF(F175="","",IF(W175="LED Exit Signs",8760,IF(OR(AV175="Prescribed",AV175=""),VLOOKUP(F175,'Lookup Tables'!$A$6:$G$59,IF(AB175="General", 6, 3),FALSE),VLOOKUP(AW175,'Lookup Tables'!$S$36:$U$43,2,FALSE)))))</f>
        <v/>
      </c>
      <c r="AY175" s="88" t="str">
        <f t="shared" si="404"/>
        <v/>
      </c>
      <c r="AZ175" s="270" t="str">
        <f>IFERROR(IF(F175="", "", IF(W175="LED Exit Signs", 1, IF(AV175="Applicant",VLOOKUP(AW175, 'Lookup Tables'!$S$36:$U$43,3, FALSE), VLOOKUP('Lighting Inventory'!F175, 'Lookup Tables'!$A$6:$H$59, IF('Lighting Inventory'!AB175="General",7,4), FALSE)))), "")</f>
        <v/>
      </c>
      <c r="BA175" s="522" t="str">
        <f>IFERROR(IF(F175="", "", IF(W175="LED Exit Signs", 1, VLOOKUP('Lighting Inventory'!F175, 'Lookup Tables'!$A$6:$H$59, IF('Lighting Inventory'!AB175="General",8,5), FALSE))), "")</f>
        <v/>
      </c>
      <c r="BB175" s="270" t="str">
        <f>IF(G175="", "", IF(E175="Exterior", 0, IF('Lighting Inventory'!G175="Air Conditioned", VLOOKUP(H175, 'Lookup Tables'!$R$6:$T$13, 2, FALSE), VLOOKUP('Lighting Inventory'!G175, 'Lookup Tables'!$R$6:$T$13, 2, FALSE))))</f>
        <v/>
      </c>
      <c r="BC175" s="522" t="str">
        <f>IF(G175="", "", IF(E175="Exterior", 0, IF('Lighting Inventory'!G175="Air Conditioned", VLOOKUP(H175, 'Lookup Tables'!$R$6:$T$13, 3, FALSE), VLOOKUP('Lighting Inventory'!G175, 'Lookup Tables'!$R$6:$T$13, 3, FALSE))))</f>
        <v/>
      </c>
      <c r="BD175" s="270" t="str">
        <f>IF(G175="", "", IF(E175="Exterior", 0, IF('Lighting Inventory'!G175="Air Conditioned", VLOOKUP(H175, 'Lookup Tables'!$R$6:$U$13, 4, FALSE), VLOOKUP('Lighting Inventory'!G175, 'Lookup Tables'!$R$6:$U$13, 4, FALSE))))</f>
        <v/>
      </c>
      <c r="BE175" s="270" t="str">
        <f>IFERROR(IF(B175="", "",  IF(B175="New Construction", VLOOKUP(F175, 'Lookup Tables'!$A$6:$K$59, 11, FALSE),IF(OR(AN175="", AN175="Light Switch"), 0, IF(OR(M175="",M175="None",V175= "LED Exit Signs"),0,_xlfn.XLOOKUP(M175,'Lookup Tables'!$R$91:$R$101,'Lookup Tables'!$V$91:$V$101))))), "")</f>
        <v/>
      </c>
      <c r="BF175" s="270" t="str">
        <f>IF(AND(OR(AN175="Light Switch",AN175=""),B175="New Construction"), VLOOKUP(F175, 'Lookup Tables'!$A$6:$K$59, 11, FALSE),IF(AN175="","",IF(B175="","",IF(OR(AN175="None",AN175="",V175="LED Exit Signs",AN175="Exterior Controls Not Eligible"),0,_xlfn.XLOOKUP(AN175,'Lookup Tables'!$R$91:$R$101,'Lookup Tables'!$V$91:$V$101)))))</f>
        <v/>
      </c>
      <c r="BG175" s="88" t="str">
        <f t="shared" si="456"/>
        <v/>
      </c>
      <c r="BH175" s="88" t="str">
        <f t="shared" si="457"/>
        <v/>
      </c>
      <c r="BI175" s="558" t="str">
        <f t="shared" si="501"/>
        <v/>
      </c>
      <c r="BJ175" s="82" t="str">
        <f t="shared" si="458"/>
        <v/>
      </c>
      <c r="BK175" s="82" t="str">
        <f t="shared" si="459"/>
        <v/>
      </c>
      <c r="BL175" s="559" t="str">
        <f t="shared" si="460"/>
        <v/>
      </c>
      <c r="BM175" s="521" t="str">
        <f t="shared" si="405"/>
        <v/>
      </c>
      <c r="BN175" s="521" t="str">
        <f t="shared" si="406"/>
        <v/>
      </c>
      <c r="BO175" s="522" t="str">
        <f t="shared" si="407"/>
        <v/>
      </c>
      <c r="BP175" s="83" t="str">
        <f t="shared" si="461"/>
        <v/>
      </c>
      <c r="BQ175" s="84" t="str">
        <f t="shared" si="462"/>
        <v/>
      </c>
      <c r="BR175" s="184" t="str">
        <f>IFERROR(IF(B175="", "", IF(OR(VLOOKUP(J175, 'Fixture Identities'!$A$6:$L$1023, 3, FALSE)="T12 Linear Fluorescent",VLOOKUP(J175, 'Fixture Identities'!$A$6:$L$1023, 3, FALSE)="T12 U-Tube Fluorescent"), "Y", "N")), "N")</f>
        <v/>
      </c>
      <c r="BS175" s="184" t="str">
        <f t="array" ref="BS175">IFERROR(IF(OR(B175="", V175="", W175=""), "", IF(V175="Custom", "N", IF(OR(W175="Freezer Case Lighting", W175="Refrigerated Case Lighting with Doors"), BT175, IF(B175="Retrofit", INDEX('Lookup Tables'!$AH$6:$AT$102,MATCH(1,('Lookup Tables'!$AH$6:$AH$102=V175)*('Lookup Tables'!$AI$6:$AI$102=W175),FALSE),IF(VLOOKUP(J175, 'Fixture Identities'!$A$6:$B$1023, 2, FALSE)="Incandescent",12, 13)), INDEX('Lookup Tables'!$AH$114:$AS$154,MATCH(1,('Lookup Tables'!$AH$114:$AH$154=V175)*('Lookup Tables'!$AI$114:$AI$154=W175),FALSE),12))))), "N")</f>
        <v/>
      </c>
      <c r="BT175" s="184" t="str">
        <f>IF(J175="", "", IF(AND(OR(W175="Freezer case Lighting", W175="Refrigerated Case Lighting with Doors"),'General Information'!$X$18="LCI"), "N", IF(OR(VLOOKUP(J175, 'Fixture Identities'!$A$6:$B$1023, 2, FALSE)="T12 EPACT/EISA Baseline", VLOOKUP(J175, 'Fixture Identities'!$A$6:$B$1023, 2, FALSE)="Linear Fluorescent", VLOOKUP(J175, 'Fixture Identities'!$A$6:$B$1023, 2, FALSE)="U-Tube Fluorescent"), "Y", "N")))</f>
        <v/>
      </c>
      <c r="BU175" s="184" t="str">
        <f>IFERROR(IF(B175="", "", IF(VLOOKUP(J175, 'Fixture Identities'!$A$6:$B$1023, 2, FALSE)="Exit Sign", "Y", "N")), "N")</f>
        <v/>
      </c>
      <c r="BV175" s="184" t="str">
        <f>IF(V175="Exit Signs", IF(VLOOKUP(J175, 'Fixture Identities'!$A$6:$B$1023, 2, FALSE)="Exit Sign", "N", "Y"), "")</f>
        <v/>
      </c>
      <c r="BW175" s="184" t="str">
        <f t="array" ref="BW175">IFERROR(IF(B175="", "", IF(B175="New Construction", "N", INDEX('Lookup Tables'!$AH$6:$AU$102, MATCH(1, ('Lookup Tables'!$AH$6:$AH$102='Lighting Inventory'!V175)*('Lookup Tables'!$AI$6:$AI$102='Lighting Inventory'!W175), 0), 14))), "N")</f>
        <v/>
      </c>
      <c r="BX175" s="598" t="str">
        <f t="shared" si="463"/>
        <v/>
      </c>
      <c r="BY175" s="598" t="str">
        <f t="shared" si="464"/>
        <v/>
      </c>
      <c r="BZ175" s="598" t="str">
        <f t="shared" si="465"/>
        <v/>
      </c>
      <c r="CA175" s="598" t="str">
        <f t="shared" si="466"/>
        <v/>
      </c>
      <c r="CB175" s="269" t="str">
        <f t="shared" si="467"/>
        <v/>
      </c>
      <c r="CC175" s="517" t="str">
        <f t="shared" si="468"/>
        <v/>
      </c>
      <c r="CD175" s="565" t="str">
        <f t="shared" si="408"/>
        <v/>
      </c>
      <c r="CE175" s="368">
        <v>0</v>
      </c>
      <c r="CF175" s="368" t="str" cm="1">
        <f t="array" ref="CF175">IFERROR(IF(V175="Custom", "$0.1 per kWh", IF(B175="New Construction", CONCATENATE("$",INDEX('Lookup Tables'!$AH$114:$AN$154,MATCH(1,('Lookup Tables'!$AH$114:$AH$154='Lighting Inventory'!V175)*('Lookup Tables'!$AI$114:$AI$154='Lighting Inventory'!W175),FALSE),6)," ",INDEX('Lookup Tables'!$AH$114:$AN$154,MATCH(1,('Lookup Tables'!$AH$114:$AH$154='Lighting Inventory'!V175)*('Lookup Tables'!$AI$114:$AI$154='Lighting Inventory'!W175),FALSE),7)), IF(AND(BU175="N", V175="Exit Signs"), "$0.025 per kWh", CONCATENATE("$",INDEX('Lookup Tables'!$AH$6:$AN$102,MATCH(1,('Lookup Tables'!$AH$6:$AH$102='Lighting Inventory'!V175)*('Lookup Tables'!$AI$6:$AI$102='Lighting Inventory'!W175),FALSE),6)," ",INDEX('Lookup Tables'!$AH$6:$AN$102,MATCH(1,('Lookup Tables'!$AH$6:$AH$102='Lighting Inventory'!V175)*('Lookup Tables'!$AI$6:$AI$102='Lighting Inventory'!W175),FALSE),7))))), "")</f>
        <v/>
      </c>
      <c r="CG175" s="366"/>
      <c r="CH175" s="248" t="str">
        <f t="shared" si="409"/>
        <v/>
      </c>
      <c r="CI175" s="248" t="str">
        <f t="shared" si="410"/>
        <v>Select_IE</v>
      </c>
      <c r="CJ175" s="248" t="str">
        <f t="shared" si="411"/>
        <v/>
      </c>
      <c r="CK175" s="248" t="str">
        <f t="shared" si="412"/>
        <v/>
      </c>
      <c r="CL175" s="248" t="str">
        <f t="shared" si="413"/>
        <v/>
      </c>
      <c r="CM175" s="248" t="str">
        <f>IFERROR(IF(B175="", "", IF(B175="New Construction", VLOOKUP(V175, 'Lookup Tables'!$AF$114:$AG$120, 2, FALSE), VLOOKUP(V175, 'Lookup Tables'!$AD$6:$AE$25, 2, FALSE))), "")</f>
        <v/>
      </c>
      <c r="CN175" s="248" t="str">
        <f t="shared" si="414"/>
        <v/>
      </c>
      <c r="CO175" s="248" t="str">
        <f t="shared" si="415"/>
        <v/>
      </c>
      <c r="CP175" s="592" t="str">
        <f t="shared" si="416"/>
        <v/>
      </c>
      <c r="CQ175" s="248" t="str">
        <f t="shared" si="469"/>
        <v/>
      </c>
      <c r="CR175" s="100"/>
      <c r="CS175" s="250" t="str">
        <f t="shared" si="417"/>
        <v/>
      </c>
      <c r="CT175" s="250" t="str">
        <f t="shared" si="470"/>
        <v/>
      </c>
      <c r="CU175" s="250" t="str">
        <f t="shared" si="471"/>
        <v/>
      </c>
      <c r="CV175" s="250" t="str">
        <f t="shared" si="472"/>
        <v/>
      </c>
      <c r="CW175" s="250" t="str">
        <f t="shared" si="473"/>
        <v/>
      </c>
      <c r="CX175" s="250" t="str">
        <f t="shared" si="418"/>
        <v/>
      </c>
      <c r="CY175" s="250" t="str">
        <f t="shared" si="419"/>
        <v/>
      </c>
      <c r="CZ175" s="250" t="str">
        <f t="shared" si="420"/>
        <v/>
      </c>
      <c r="DA175" s="250" t="str">
        <f t="shared" si="421"/>
        <v/>
      </c>
      <c r="DB175" s="250" t="str">
        <f t="shared" si="422"/>
        <v/>
      </c>
      <c r="DC175" s="250" t="str">
        <f t="shared" si="423"/>
        <v/>
      </c>
      <c r="DD175" s="250" t="str">
        <f t="shared" si="424"/>
        <v/>
      </c>
      <c r="DE175" s="250" t="str">
        <f t="shared" si="425"/>
        <v/>
      </c>
      <c r="DF175" s="250" t="str">
        <f t="shared" si="426"/>
        <v/>
      </c>
      <c r="DG175" s="250" t="str">
        <f t="shared" si="427"/>
        <v/>
      </c>
      <c r="DH175" s="250" t="str">
        <f t="shared" si="428"/>
        <v/>
      </c>
      <c r="DI175" s="250" t="str">
        <f t="shared" si="429"/>
        <v/>
      </c>
      <c r="DJ175" s="250" t="str">
        <f t="shared" si="430"/>
        <v/>
      </c>
      <c r="DK175" s="250" t="str">
        <f t="shared" si="431"/>
        <v/>
      </c>
      <c r="DL175" s="250" t="str">
        <f t="shared" si="432"/>
        <v/>
      </c>
      <c r="DM175" s="250" t="str">
        <f>IF(CD175="ERROR", "ERROR", IF(AND(OR(Y175=$DM$6, Y175='Lookup Tables'!$AD$21, Y175='Lookup Tables'!$AD$22), E175="Interior"), BJ175, ""))</f>
        <v/>
      </c>
      <c r="DN175" s="250" t="str">
        <f>IF(CD175="ERROR", "ERROR", IF(AND(OR(Y175=$DM$6, Y175='Lookup Tables'!$AD$21, Y175='Lookup Tables'!$AD$22), E175="Exterior"), BJ175, ""))</f>
        <v/>
      </c>
      <c r="DO175" s="100"/>
      <c r="DP175" s="250" t="str">
        <f t="shared" si="433"/>
        <v/>
      </c>
      <c r="DQ175" s="250" t="str">
        <f t="shared" si="474"/>
        <v/>
      </c>
      <c r="DR175" s="250" t="str">
        <f t="shared" si="475"/>
        <v/>
      </c>
      <c r="DS175" s="250" t="str">
        <f t="shared" si="476"/>
        <v/>
      </c>
      <c r="DT175" s="250" t="str">
        <f t="shared" si="477"/>
        <v/>
      </c>
      <c r="DU175" s="250" t="str">
        <f t="shared" si="434"/>
        <v/>
      </c>
      <c r="DV175" s="250" t="str">
        <f t="shared" si="435"/>
        <v/>
      </c>
      <c r="DW175" s="250" t="str">
        <f t="shared" si="436"/>
        <v/>
      </c>
      <c r="DX175" s="250" t="str">
        <f t="shared" si="437"/>
        <v/>
      </c>
      <c r="DY175" s="250" t="str">
        <f t="shared" si="438"/>
        <v/>
      </c>
      <c r="DZ175" s="250" t="str">
        <f t="shared" si="439"/>
        <v/>
      </c>
      <c r="EA175" s="250" t="str">
        <f t="shared" si="440"/>
        <v/>
      </c>
      <c r="EB175" s="250" t="str">
        <f t="shared" si="478"/>
        <v/>
      </c>
      <c r="EC175" s="250" t="str">
        <f t="shared" si="441"/>
        <v/>
      </c>
      <c r="ED175" s="250" t="str">
        <f t="shared" si="442"/>
        <v/>
      </c>
      <c r="EE175" s="250" t="str">
        <f t="shared" si="443"/>
        <v/>
      </c>
      <c r="EF175" s="250" t="str">
        <f t="shared" si="444"/>
        <v/>
      </c>
      <c r="EG175" s="250" t="str">
        <f t="shared" si="445"/>
        <v/>
      </c>
      <c r="EH175" s="250" t="str">
        <f>IF(CD175="ERROR", "ERROR", IF(AND(OR($EH$6=Y175, Y175='Lookup Tables'!$AD$21, Y175='Lookup Tables'!$AD$22),E175="Interior"), SUM(BP175:BP175), ""))</f>
        <v/>
      </c>
      <c r="EI175" s="250" t="str">
        <f>IF(CD175="ERROR", "ERROR", IF(AND(OR($EH$6=Y175, Y175='Lookup Tables'!$AD$21, Y175='Lookup Tables'!$AD$22),E175="Exterior"), SUM(BP175:BP175), ""))</f>
        <v/>
      </c>
      <c r="EJ175" s="109"/>
      <c r="EK175" s="485" t="str">
        <f t="shared" si="446"/>
        <v/>
      </c>
      <c r="EL175" s="252" t="str">
        <f t="shared" si="479"/>
        <v/>
      </c>
      <c r="EM175" s="252" t="str">
        <f t="shared" si="480"/>
        <v/>
      </c>
      <c r="EN175" s="252" t="str">
        <f t="shared" si="481"/>
        <v/>
      </c>
      <c r="EO175" s="252" t="str">
        <f t="shared" si="482"/>
        <v/>
      </c>
      <c r="EP175" s="252" t="str">
        <f t="shared" si="483"/>
        <v/>
      </c>
      <c r="EQ175" s="252" t="str">
        <f t="shared" si="484"/>
        <v/>
      </c>
      <c r="ER175" s="252" t="str">
        <f t="shared" si="485"/>
        <v/>
      </c>
      <c r="ES175" s="252" t="str">
        <f t="shared" si="486"/>
        <v/>
      </c>
      <c r="ET175" s="252" t="str">
        <f t="shared" si="487"/>
        <v/>
      </c>
      <c r="EU175" s="252" t="str">
        <f t="shared" si="488"/>
        <v/>
      </c>
      <c r="EV175" s="252" t="str">
        <f t="shared" si="489"/>
        <v/>
      </c>
      <c r="EW175" s="252" t="str">
        <f t="shared" si="490"/>
        <v/>
      </c>
      <c r="EX175" s="252" t="str">
        <f t="shared" si="491"/>
        <v/>
      </c>
      <c r="EY175" s="252" t="str">
        <f t="shared" si="492"/>
        <v/>
      </c>
      <c r="EZ175" s="252" t="str">
        <f t="shared" si="493"/>
        <v/>
      </c>
      <c r="FA175" s="252" t="str">
        <f t="shared" si="494"/>
        <v/>
      </c>
      <c r="FB175" s="252" t="str">
        <f t="shared" si="495"/>
        <v/>
      </c>
      <c r="FC175" s="252" t="str">
        <f>IF(CD175="ERROR", "ERROR", IF(OR(V175="No Change", V175="Not DLC or Energy Star"), "", IF(AND(OR($FC$6=Y175,Y175='Lookup Tables'!$AD$21, Y175='Lookup Tables'!$AD$22),E175="Interior"), S175, "")))</f>
        <v/>
      </c>
      <c r="FD175" s="252" t="str">
        <f t="shared" si="496"/>
        <v/>
      </c>
      <c r="FE175" s="101"/>
      <c r="FF175" s="579" t="str" cm="1">
        <f t="array" ref="FF175">IFERROR(IF(OR(BQ175&lt;=0,AQ175&lt;20,AND(V175="Exit Signs",AN175&gt;0)),"",IF(AND(AQ175&gt;=20,AN175='Lookup Tables'!$R$101),'Lookup Tables'!$U$101*BQ175,AP175*LOOKUP(2,1/((AN175='Lookup Tables'!$R$91:$R$111)*(AQ175&gt;='Lookup Tables'!$S$91:$S$111)*(AQ175&lt;='Lookup Tables'!$T$91:$T$111)),'Lookup Tables'!$U$91:$U$111))),"")</f>
        <v/>
      </c>
      <c r="FG175" s="579"/>
      <c r="FH175" s="579"/>
      <c r="FI175" s="253" t="str">
        <f>IFERROR(ROUND(IF(CD175="ERROR", "ERROR", IF(AND($FI$7=X175,E175="Interior"),VLOOKUP(W175, 'Lookup Tables'!$AI$6:$AM$102, 5, FALSE)*BP175, "")), 2), "")</f>
        <v/>
      </c>
      <c r="FJ175" s="253" t="str">
        <f>IFERROR(ROUND(IF(CD175="ERROR", "ERROR", IF(AND($FI$7=X175,E175="Exterior"),VLOOKUP(W175, 'Lookup Tables'!$AI$6:$AM$102, 5, FALSE)*BP175, "")), 2), "")</f>
        <v/>
      </c>
      <c r="FK175" s="253" t="str">
        <f>IFERROR(ROUND(IF(CD175="ERROR", "ERROR", IF(AND($FK$7=X175,E175="Interior"),VLOOKUP(W175, 'Lookup Tables'!$AI$6:$AM$102, 5, FALSE)*BP175, "")), 2), "")</f>
        <v/>
      </c>
      <c r="FL175" s="253" t="str">
        <f>IFERROR(ROUND(IF(CD175="ERROR", "ERROR", IF(AND($FK$7=X175,E175="Exterior"),VLOOKUP(W175, 'Lookup Tables'!$AI$6:$AM$102, 5, FALSE)*BP175, "")), 2), "")</f>
        <v/>
      </c>
      <c r="FM175" s="253" t="str">
        <f>IFERROR(ROUND(IF(CD175="ERROR", "ERROR", IF(AND($FM$6=Y175,E175="Interior"), IF(GB175=0, VLOOKUP(W175, 'Lookup Tables'!$AI$6:$AM$102, 5, FALSE)*BP175, IF(VLOOKUP(W175, 'Lookup Tables'!$AI$6:$AM$102, 5, FALSE)*BP175&gt;GB175*'Lighting Inventory'!S175, GB175*'Lighting Inventory'!S175,VLOOKUP(W175, 'Lookup Tables'!$AI$6:$AM$102, 5, FALSE)*BP175)), "")), 2), "")</f>
        <v/>
      </c>
      <c r="FN175" s="253" t="str">
        <f>IFERROR(ROUND(IF(CD175="ERROR", "ERROR", IF(AND($FM$6=Y175,E175="Exterior"), IF(GB175=0, VLOOKUP(W175, 'Lookup Tables'!$AI$6:$AM$102, 5, FALSE)*BP175, IF(VLOOKUP(W175, 'Lookup Tables'!$AI$6:$AM$102, 5, FALSE)*BP175&gt;GB175*'Lighting Inventory'!S175, GB175*'Lighting Inventory'!S175,VLOOKUP(W175, 'Lookup Tables'!$AI$6:$AM$102, 5, FALSE)*BP175)), "")), 2), "")</f>
        <v/>
      </c>
      <c r="FO175" s="253" t="str">
        <f>IFERROR(ROUND(IF(CD175="ERROR", "ERROR", IF(AND($FO$6=Y175,E175="Interior"),VLOOKUP(W175, 'Lookup Tables'!$AI$6:$AM$102, 5, FALSE)*'Lighting Inventory'!AI175, "")), 2), "")</f>
        <v/>
      </c>
      <c r="FP175" s="253" t="str">
        <f>IFERROR(ROUND(IF(CD175="ERROR", "ERROR", IF(AND($FO$6=Y175,E175="Exterior"),VLOOKUP(W175, 'Lookup Tables'!$AI$6:$AM$102, 5, FALSE)*'Lighting Inventory'!AI175, "")), 2), "")</f>
        <v/>
      </c>
      <c r="FQ175" s="253" t="str">
        <f>IFERROR(ROUND(IF(CD175="ERROR", "ERROR", IF(AND($FQ$6=Y175,E175="Interior", BU175="Y"), VLOOKUP('Lighting Inventory'!W175, 'Lookup Tables'!$AI$6:$AM$102, 5, FALSE)*'Lighting Inventory'!S175, IF(AND($FQ$7=Y175,E175="Interior", BU175="N"), 0.025*CD175, ""))), 2), "")</f>
        <v/>
      </c>
      <c r="FR175" s="253" t="str">
        <f>IFERROR(ROUND(IF(CD175="ERROR", "ERROR", IF(AND($FQ$6=Y175,E175="Exterior"), VLOOKUP('Lighting Inventory'!W175, 'Lookup Tables'!$AI$6:$AM$102, 5, FALSE)*'Lighting Inventory'!S175, "")), 2), "")</f>
        <v/>
      </c>
      <c r="FS175" s="253" t="str">
        <f>IFERROR(ROUND(IF(CD175="ERROR", "ERROR", IF(AND($FS$6=Y175,E175="Exterior"), IF(GB175=0, VLOOKUP(W175, 'Lookup Tables'!$AI$6:$AM$102, 5, FALSE)*BP175, IF(VLOOKUP(W175, 'Lookup Tables'!$AI$6:$AM$102, 5, FALSE)*BP175&gt;GB175*'Lighting Inventory'!S175, GB175*'Lighting Inventory'!S175,VLOOKUP(W175, 'Lookup Tables'!$AI$6:$AM$102, 5, FALSE)*BP175)), "")), 2), "")</f>
        <v/>
      </c>
      <c r="FT175" s="253" t="str">
        <f>IFERROR(ROUND(IF(CD175="ERROR", "ERROR", IF(AND($FT$6=Y175,E175="Interior"), IF(GB175=0, VLOOKUP(W175, 'Lookup Tables'!$AI$6:$AM$102, 5, FALSE)*BP175, IF(VLOOKUP(W175, 'Lookup Tables'!$AI$6:$AM$102, 5, FALSE)*BP175&gt;GB175*'Lighting Inventory'!S175, GB175*'Lighting Inventory'!S175,VLOOKUP(W175, 'Lookup Tables'!$AI$6:$AM$102, 5, FALSE)*BP175)), "")), 2), "")</f>
        <v/>
      </c>
      <c r="FU175" s="253" t="str">
        <f>IFERROR(ROUND(IF(CD175="ERROR", "ERROR", IF(AND(Y175=$FU$6, E175="Interior"), IF(BS175="N", 'Lookup Tables'!$AM$101*BP175, VLOOKUP(W175, 'Lookup Tables'!$AI$6:$AM$102, 5, FALSE)*S175*AD175), "")), 2), "")</f>
        <v/>
      </c>
      <c r="FV175" s="253" t="str">
        <f>IFERROR(ROUND(IF(CD175="ERROR", "ERROR", IF(AND(Y175=$FU$6, E175="Exterior"), IF(BS175="N", 'Lookup Tables'!$AM$101*BP175, VLOOKUP(W175, 'Lookup Tables'!$AI$6:$AM$102, 5, FALSE)*S175*AD175), "")), 2), "")</f>
        <v/>
      </c>
      <c r="FW175" s="253" t="str">
        <f>IFERROR(ROUND(IF(CD175="ERROR", "ERROR", IF($FW$6=Y175, IF(BS175="N", 'Lookup Tables'!$AM$101*BP175, MIN((VLOOKUP(W175, 'Lookup Tables'!$AI$6:$AM$102, 5, FALSE)*BP175),GB175*AJ175)), "")), 2), "")</f>
        <v/>
      </c>
      <c r="FX175" s="253" t="str">
        <f>IFERROR(ROUND(IF(CD175="ERROR", "ERROR", IF(AND($FX$6=Y175, E175="Interior"), IF(VLOOKUP(W175, 'Lookup Tables'!$AI$6:$AM$102, 5, FALSE)*BP175&gt;'Lookup Tables'!$AQ$97*'Lighting Inventory'!S175,'Lighting Inventory'!S175*'Lookup Tables'!$AQ$97,VLOOKUP(W175, 'Lookup Tables'!$AI$6:$AM$102, 5, FALSE)*BP175), "")), 2), "")</f>
        <v/>
      </c>
      <c r="FY175" s="253" t="str">
        <f>IFERROR(ROUND(IF(CD175="ERROR", "ERROR", IF(AND($FX$6=Y175, E175="Exterior"), IF(VLOOKUP(W175, 'Lookup Tables'!$AI$6:$AM$102, 5, FALSE)*BP175&gt;'Lookup Tables'!$AQ$97*'Lighting Inventory'!S175,'Lighting Inventory'!S175*'Lookup Tables'!$AQ$97,VLOOKUP(W175, 'Lookup Tables'!$AI$6:$AM$102, 5, FALSE)*BP175), "")), 2), "")</f>
        <v/>
      </c>
      <c r="FZ175" s="253" t="str">
        <f>IFERROR(ROUND(IF(CD175="ERROR", "ERROR", IF(AND($FZ$6=Y175, E175="Interior"), IF(AND(OR(W175="Refrigerated Case Lighting with Doors", W175="Freezer Case Lighting"),Y175="Custom - Process Improvement"),CD175*'Lookup Tables'!$AM$101, IF(B175="Retrofit", IF(VLOOKUP(IF(V175="Custom", V175, W175), 'Lookup Tables'!$AI$6:$AM$102, 5, FALSE)*BP175&gt;GE175, GE175, VLOOKUP(IF(V175="Custom", V175, W175), 'Lookup Tables'!$AI$6:$AM$102, 5, FALSE)*BP175), IF(VLOOKUP(IF(V175="Custom", V175, W175), 'Lookup Tables'!$AI$114:$AM$154, 5, FALSE)*BP175&gt;GE175, GE175, VLOOKUP(IF(V175="Custom", V175, W175), 'Lookup Tables'!$AI$114:$AM$154, 5, FALSE)*BP175))), "")), 2),"")</f>
        <v/>
      </c>
      <c r="GA175" s="253" t="str">
        <f>IFERROR(ROUND(IF(CD175="ERROR", "ERROR", IF(AND($FZ$6=Y175, E175="Exterior"), IF(B175="Retrofit", IF(VLOOKUP(IF(V175="Custom", V175, W175), 'Lookup Tables'!$AI$6:$AM$102, 5, FALSE)*BP175&gt;GE175, GE175, VLOOKUP(IF(V175="Custom", V175, W175), 'Lookup Tables'!$AI$6:$AM$102, 5, FALSE)*BP175), IF(VLOOKUP(IF(V175="Custom", V175, W175), 'Lookup Tables'!$AI$114:$AM$154, 5, FALSE)*BP175&gt;GE175, GE175, VLOOKUP(IF(V175="Custom", V175, W175), 'Lookup Tables'!$AI$114:$AM$154, 5, FALSE)*BP175)), "")), 2),"")</f>
        <v/>
      </c>
      <c r="GB175" s="254" t="str">
        <f t="array" ref="GB175">IF(B175="","",IF(OR(V175="Custom",V175="No Change"),0,IF(B175="Retrofit", INDEX('Lookup Tables'!$AH$6:$AQ$102,MATCH(1,('Lookup Tables'!$AH$6:$AH$102='Lighting Inventory'!V175)*('Lookup Tables'!$AI$6:$AI$102='Lighting Inventory'!W175),FALSE),10),INDEX('Lookup Tables'!$AH$114:$AQ$154,MATCH(1,('Lookup Tables'!$AH$114:$AH$154='Lighting Inventory'!V175)*('Lookup Tables'!$AI$114:$AI$154='Lighting Inventory'!W175),FALSE),10))))</f>
        <v/>
      </c>
      <c r="GC175" s="255" t="str">
        <f t="shared" si="447"/>
        <v/>
      </c>
      <c r="GD175" s="250" t="str">
        <f t="shared" si="448"/>
        <v/>
      </c>
      <c r="GE175" s="253" t="str">
        <f>IFERROR(IF(AND(AF175="", 'General Information'!$F$18="No"),"", IF(AF175="", ((GD175/$CD$266)*$CF$266)*0.5, AF175*S175*0.5)), "")</f>
        <v/>
      </c>
      <c r="GF175" s="255" t="str">
        <f>IF(AND('General Information'!$F$19="", 'General Information'!$F$18="Yes",AF175="",BW175="Y"), "Y", "N")</f>
        <v>N</v>
      </c>
      <c r="GG175" s="255" t="s">
        <v>2946</v>
      </c>
      <c r="GH175" s="255" t="str">
        <f>IFERROR(IF(B175="", "", VLOOKUP(J175, 'Fixture Identities'!$A$6:$N$908, 14, FALSE)), "")</f>
        <v/>
      </c>
      <c r="GI175" s="389" t="str">
        <f>IF(OR(B175="", V175="", W175=""), "", IF(AND(OR(M175='Lookup Tables'!$R$18, M175='Lookup Tables'!$R$19, M175='Lookup Tables'!$R$20, M175='Lookup Tables'!$R$21, M175='Lookup Tables'!$R$22), OR(AN175='Lookup Tables'!$R$17, AN175='Lookup Tables'!$R$17, AN175="")), "Y", "N"))</f>
        <v/>
      </c>
      <c r="GJ175" s="255" t="str">
        <f t="shared" si="449"/>
        <v/>
      </c>
      <c r="GK175" s="255" t="str">
        <f t="shared" si="450"/>
        <v/>
      </c>
      <c r="GL175" s="255" t="str">
        <f t="shared" si="451"/>
        <v/>
      </c>
      <c r="GM175" s="255" t="str">
        <f>IF(AN175="", "", IF(AND(IF(ISNA(VLOOKUP(AN175,'Lookup Tables'!$R$18:$R$22,1,FALSE)), "N", "Y")="Y", E175="Exterior"), "Y", "N"))</f>
        <v/>
      </c>
      <c r="GN175" s="395"/>
      <c r="GO175" s="428">
        <f t="shared" si="497"/>
        <v>0</v>
      </c>
      <c r="GP175" s="428">
        <f t="shared" si="500"/>
        <v>0</v>
      </c>
      <c r="GQ175" s="428">
        <f t="shared" si="498"/>
        <v>0</v>
      </c>
      <c r="GR175" s="428">
        <f t="shared" si="499"/>
        <v>0</v>
      </c>
    </row>
    <row r="176" spans="1:200" s="103" customFormat="1" ht="13.5" customHeight="1" x14ac:dyDescent="0.2">
      <c r="A176" s="272">
        <v>166</v>
      </c>
      <c r="B176" s="110"/>
      <c r="C176" s="110"/>
      <c r="D176" s="110"/>
      <c r="E176" s="110"/>
      <c r="F176" s="110"/>
      <c r="G176" s="110"/>
      <c r="H176" s="110"/>
      <c r="I176" s="29"/>
      <c r="J176" s="29"/>
      <c r="K176" s="272" t="str">
        <f>IFERROR(IF(OR(VLOOKUP(J176, 'Fixture Identities'!$A$6:$L$1023, 3, FALSE)="T12 Linear Fluorescent", VLOOKUP(J176, 'Fixture Identities'!$A$6:$L$1023, 3, FALSE)="T12 U-Tube Fluorescent"), VLOOKUP(VLOOKUP(J176, 'Fixture Identities'!$A$6:$L$1023, 11, FALSE), 'Fixture Identities'!$A$6:$L$1023, 10, FALSE), VLOOKUP(J176, 'Fixture Identities'!$A$6:$L$1023, 10, FALSE)), "")</f>
        <v/>
      </c>
      <c r="L176" s="270" t="str">
        <f t="shared" si="502"/>
        <v/>
      </c>
      <c r="M176" s="110"/>
      <c r="N176" s="110"/>
      <c r="O176" s="110"/>
      <c r="P176" s="272" t="str">
        <f>IFERROR(IF(OR(B176="Retrofit",B176=""),"",IF('Lighting Inventory'!E176="Exterior",VLOOKUP('Lighting Inventory'!N176,'Lookup Tables'!$B$83:$F$103,5,FALSE),IF(N176="Other - Please Estimate EFLH and CFs","Contact Prog. Rep.","ft^2"))), "")</f>
        <v/>
      </c>
      <c r="Q176" s="270" t="str">
        <f>IFERROR(IF(AND(B176="New Construction",E176="Interior",$F$5="Space-by-Space"),VLOOKUP('Lighting Inventory'!N176,'Lookup Tables'!$N$6:$O$97,2,FALSE),IF(AND(B176="New Construction",E176="Exterior"),VLOOKUP(N176,'Lookup Tables'!$B$83:$F$103,2,FALSE),IF(AND(B176="New Construction",'Lighting Inventory'!E176="Interior", $F$5="Building Area"),VLOOKUP(F176,'Lookup Tables'!$A$6:$J$59,10,FALSE),""))), "")</f>
        <v/>
      </c>
      <c r="R176" s="270" t="str">
        <f>IFERROR(IF(P176="Contact Prog. Rep.", "ERROR", IF(OR(B176="",B176="Retrofit"),"",IF(N176="Automated teller machines", ('Lookup Tables'!$A$82:$E$100+('Lighting Inventory'!O176-1)*'Lookup Tables'!$A$82:$E$100)/1000, (Q176*O176)/1000))), "")</f>
        <v/>
      </c>
      <c r="S176" s="595"/>
      <c r="T176" s="105" t="str">
        <f t="shared" si="452"/>
        <v/>
      </c>
      <c r="U176" s="105" t="str">
        <f>IF(S176="","",COUNT($S$11:S176))</f>
        <v/>
      </c>
      <c r="V176" s="111"/>
      <c r="W176" s="112"/>
      <c r="X176" s="105" t="str">
        <f t="shared" si="453"/>
        <v/>
      </c>
      <c r="Y176" s="105" t="str">
        <f t="array" ref="Y176">IF(AND(OR(W176="Freezer Case Lighting", W176="Refrigerated Case Lighting with Doors"), 'General Information'!$X$18="LCI"),'Lookup Tables'!$Y$34, IF(V176="Custom", VLOOKUP(W176, 'Fixture Identities'!$A$974:$M$1023, 13, FALSE), IF(V176="No Change",'Lookup Tables'!$Y$29,IF(OR(V176="",W176=""),"",IF(AND(S176=0,S176&lt;I176,B176="Retrofit"),'Lookup Tables'!$Y$25, IF(B176="Retrofit", INDEX('Lookup Tables'!$AH$6:$AP$102, MATCH(1, ('Lookup Tables'!$AH$6:$AH$102=V176)*('Lookup Tables'!$AI$6:$AI$102=W176), 0), IF('Lighting Inventory'!E176="Interior", 4, 5)), INDEX('Lookup Tables'!$AH$114:$AP$154, MATCH(1, ('Lookup Tables'!$AH$114:$AH$154=V176)*('Lookup Tables'!$AI$114:$AI$154=W176), 0), IF('Lighting Inventory'!E176="Interior", 4, 5))))))))</f>
        <v/>
      </c>
      <c r="Z176" s="105" t="str">
        <f>IFERROR(INDEX('Lookup Tables'!$AH$158:$AH$172,MATCH('Lighting Inventory'!Y176,'Lookup Tables'!$AI$158:$AI$172,0)),"")</f>
        <v/>
      </c>
      <c r="AA176" s="105" t="str">
        <f>IF(AP176&gt;0,INDEX('Lookup Tables'!$AK$158:$AK$172,MATCH('Lighting Inventory'!Y176,'Lookup Tables'!$AI$158:$AI$172,0)),'Lighting Inventory'!Y176)</f>
        <v/>
      </c>
      <c r="AB176" s="105" t="str">
        <f t="array" ref="AB176">IF(V176="Custom", "Custom", IF(V176="", "", IF(V176="Not DLC or Energy Star", "General", IF(B176="New Construction", INDEX('Lookup Tables'!$AH$114:$AP$154,MATCH(1,('Lookup Tables'!$AH$114:$AH$154='Lighting Inventory'!V176)*('Lookup Tables'!$AI$114:$AI$154='Lighting Inventory'!W176),FALSE),8), INDEX('Lookup Tables'!$AH$6:$AP$102,MATCH(1,('Lookup Tables'!$AH$6:$AH$102='Lighting Inventory'!V176)*('Lookup Tables'!$AI$6:$AI$102='Lighting Inventory'!W176),FALSE),8)))))</f>
        <v/>
      </c>
      <c r="AC176" s="272" t="str">
        <f>IF(W176="","",IF(V176="Custom",CONCATENATE("$",'Lookup Tables'!$AM$101," ",'Lookup Tables'!$AN$101),CONCATENATE("$",INDEX('Lookup Tables'!$AM$6:$AM$102,MATCH('Lighting Inventory'!W176,'Lookup Tables'!$AI$6:$AI$102,0))," ",INDEX('Lookup Tables'!$AN$6:$AN$102,MATCH('Lighting Inventory'!W176,'Lookup Tables'!$AI$6:$AI$102,0)))))</f>
        <v/>
      </c>
      <c r="AD176" s="72"/>
      <c r="AE176" s="29"/>
      <c r="AF176" s="379"/>
      <c r="AG176" s="370" t="str">
        <f t="shared" si="401"/>
        <v/>
      </c>
      <c r="AH176" s="370" t="str">
        <f t="shared" si="454"/>
        <v/>
      </c>
      <c r="AI176" s="29"/>
      <c r="AJ176" s="29"/>
      <c r="AK176" s="110"/>
      <c r="AL176" s="375" t="str">
        <f>IF(OR(B176="", V176="", W176=""), "", IF(V176="No Change", K176, IF(V176="Remove Fixture", 0, IF(V176="Custom",VLOOKUP(W176,'Fixture Identities'!$A$6:$K$1023,10,FALSE),IF(AE176="", "← ENTER POST WATTS", 'Lighting Inventory'!AE176)))))</f>
        <v/>
      </c>
      <c r="AM176" s="376" t="str">
        <f t="shared" si="402"/>
        <v/>
      </c>
      <c r="AN176" s="29"/>
      <c r="AO176" s="671"/>
      <c r="AP176" s="29"/>
      <c r="AQ176" s="29"/>
      <c r="AR176" s="29"/>
      <c r="AS176" s="272" t="str">
        <f t="shared" si="455"/>
        <v/>
      </c>
      <c r="AT176" s="270" t="str">
        <f t="shared" si="403"/>
        <v/>
      </c>
      <c r="AU176" s="88" t="str">
        <f t="shared" si="503"/>
        <v/>
      </c>
      <c r="AV176" s="29"/>
      <c r="AW176" s="73"/>
      <c r="AX176" s="271" t="str">
        <f>IF(AND(AV176="Applicant",OR(AW176="", AW176="Use Default Facility Hours")),"← Choose Schedule",IF(F176="","",IF(W176="LED Exit Signs",8760,IF(OR(AV176="Prescribed",AV176=""),VLOOKUP(F176,'Lookup Tables'!$A$6:$G$59,IF(AB176="General", 6, 3),FALSE),VLOOKUP(AW176,'Lookup Tables'!$S$36:$U$43,2,FALSE)))))</f>
        <v/>
      </c>
      <c r="AY176" s="88" t="str">
        <f t="shared" si="404"/>
        <v/>
      </c>
      <c r="AZ176" s="270" t="str">
        <f>IFERROR(IF(F176="", "", IF(W176="LED Exit Signs", 1, IF(AV176="Applicant",VLOOKUP(AW176, 'Lookup Tables'!$S$36:$U$43,3, FALSE), VLOOKUP('Lighting Inventory'!F176, 'Lookup Tables'!$A$6:$H$59, IF('Lighting Inventory'!AB176="General",7,4), FALSE)))), "")</f>
        <v/>
      </c>
      <c r="BA176" s="522" t="str">
        <f>IFERROR(IF(F176="", "", IF(W176="LED Exit Signs", 1, VLOOKUP('Lighting Inventory'!F176, 'Lookup Tables'!$A$6:$H$59, IF('Lighting Inventory'!AB176="General",8,5), FALSE))), "")</f>
        <v/>
      </c>
      <c r="BB176" s="270" t="str">
        <f>IF(G176="", "", IF(E176="Exterior", 0, IF('Lighting Inventory'!G176="Air Conditioned", VLOOKUP(H176, 'Lookup Tables'!$R$6:$T$13, 2, FALSE), VLOOKUP('Lighting Inventory'!G176, 'Lookup Tables'!$R$6:$T$13, 2, FALSE))))</f>
        <v/>
      </c>
      <c r="BC176" s="522" t="str">
        <f>IF(G176="", "", IF(E176="Exterior", 0, IF('Lighting Inventory'!G176="Air Conditioned", VLOOKUP(H176, 'Lookup Tables'!$R$6:$T$13, 3, FALSE), VLOOKUP('Lighting Inventory'!G176, 'Lookup Tables'!$R$6:$T$13, 3, FALSE))))</f>
        <v/>
      </c>
      <c r="BD176" s="270" t="str">
        <f>IF(G176="", "", IF(E176="Exterior", 0, IF('Lighting Inventory'!G176="Air Conditioned", VLOOKUP(H176, 'Lookup Tables'!$R$6:$U$13, 4, FALSE), VLOOKUP('Lighting Inventory'!G176, 'Lookup Tables'!$R$6:$U$13, 4, FALSE))))</f>
        <v/>
      </c>
      <c r="BE176" s="270" t="str">
        <f>IFERROR(IF(B176="", "",  IF(B176="New Construction", VLOOKUP(F176, 'Lookup Tables'!$A$6:$K$59, 11, FALSE),IF(OR(AN176="", AN176="Light Switch"), 0, IF(OR(M176="",M176="None",V176= "LED Exit Signs"),0,_xlfn.XLOOKUP(M176,'Lookup Tables'!$R$91:$R$101,'Lookup Tables'!$V$91:$V$101))))), "")</f>
        <v/>
      </c>
      <c r="BF176" s="270" t="str">
        <f>IF(AND(OR(AN176="Light Switch",AN176=""),B176="New Construction"), VLOOKUP(F176, 'Lookup Tables'!$A$6:$K$59, 11, FALSE),IF(AN176="","",IF(B176="","",IF(OR(AN176="None",AN176="",V176="LED Exit Signs",AN176="Exterior Controls Not Eligible"),0,_xlfn.XLOOKUP(AN176,'Lookup Tables'!$R$91:$R$101,'Lookup Tables'!$V$91:$V$101)))))</f>
        <v/>
      </c>
      <c r="BG176" s="88" t="str">
        <f t="shared" si="456"/>
        <v/>
      </c>
      <c r="BH176" s="88" t="str">
        <f t="shared" si="457"/>
        <v/>
      </c>
      <c r="BI176" s="558" t="str">
        <f t="shared" si="501"/>
        <v/>
      </c>
      <c r="BJ176" s="82" t="str">
        <f t="shared" si="458"/>
        <v/>
      </c>
      <c r="BK176" s="82" t="str">
        <f t="shared" si="459"/>
        <v/>
      </c>
      <c r="BL176" s="559" t="str">
        <f t="shared" si="460"/>
        <v/>
      </c>
      <c r="BM176" s="521" t="str">
        <f t="shared" si="405"/>
        <v/>
      </c>
      <c r="BN176" s="521" t="str">
        <f t="shared" si="406"/>
        <v/>
      </c>
      <c r="BO176" s="522" t="str">
        <f t="shared" si="407"/>
        <v/>
      </c>
      <c r="BP176" s="83" t="str">
        <f t="shared" si="461"/>
        <v/>
      </c>
      <c r="BQ176" s="84" t="str">
        <f t="shared" si="462"/>
        <v/>
      </c>
      <c r="BR176" s="184" t="str">
        <f>IFERROR(IF(B176="", "", IF(OR(VLOOKUP(J176, 'Fixture Identities'!$A$6:$L$1023, 3, FALSE)="T12 Linear Fluorescent",VLOOKUP(J176, 'Fixture Identities'!$A$6:$L$1023, 3, FALSE)="T12 U-Tube Fluorescent"), "Y", "N")), "N")</f>
        <v/>
      </c>
      <c r="BS176" s="184" t="str">
        <f t="array" ref="BS176">IFERROR(IF(OR(B176="", V176="", W176=""), "", IF(V176="Custom", "N", IF(OR(W176="Freezer Case Lighting", W176="Refrigerated Case Lighting with Doors"), BT176, IF(B176="Retrofit", INDEX('Lookup Tables'!$AH$6:$AT$102,MATCH(1,('Lookup Tables'!$AH$6:$AH$102=V176)*('Lookup Tables'!$AI$6:$AI$102=W176),FALSE),IF(VLOOKUP(J176, 'Fixture Identities'!$A$6:$B$1023, 2, FALSE)="Incandescent",12, 13)), INDEX('Lookup Tables'!$AH$114:$AS$154,MATCH(1,('Lookup Tables'!$AH$114:$AH$154=V176)*('Lookup Tables'!$AI$114:$AI$154=W176),FALSE),12))))), "N")</f>
        <v/>
      </c>
      <c r="BT176" s="184" t="str">
        <f>IF(J176="", "", IF(AND(OR(W176="Freezer case Lighting", W176="Refrigerated Case Lighting with Doors"),'General Information'!$X$18="LCI"), "N", IF(OR(VLOOKUP(J176, 'Fixture Identities'!$A$6:$B$1023, 2, FALSE)="T12 EPACT/EISA Baseline", VLOOKUP(J176, 'Fixture Identities'!$A$6:$B$1023, 2, FALSE)="Linear Fluorescent", VLOOKUP(J176, 'Fixture Identities'!$A$6:$B$1023, 2, FALSE)="U-Tube Fluorescent"), "Y", "N")))</f>
        <v/>
      </c>
      <c r="BU176" s="184" t="str">
        <f>IFERROR(IF(B176="", "", IF(VLOOKUP(J176, 'Fixture Identities'!$A$6:$B$1023, 2, FALSE)="Exit Sign", "Y", "N")), "N")</f>
        <v/>
      </c>
      <c r="BV176" s="184" t="str">
        <f>IF(V176="Exit Signs", IF(VLOOKUP(J176, 'Fixture Identities'!$A$6:$B$1023, 2, FALSE)="Exit Sign", "N", "Y"), "")</f>
        <v/>
      </c>
      <c r="BW176" s="184" t="str">
        <f t="array" ref="BW176">IFERROR(IF(B176="", "", IF(B176="New Construction", "N", INDEX('Lookup Tables'!$AH$6:$AU$102, MATCH(1, ('Lookup Tables'!$AH$6:$AH$102='Lighting Inventory'!V176)*('Lookup Tables'!$AI$6:$AI$102='Lighting Inventory'!W176), 0), 14))), "N")</f>
        <v/>
      </c>
      <c r="BX176" s="598" t="str">
        <f t="shared" si="463"/>
        <v/>
      </c>
      <c r="BY176" s="598" t="str">
        <f t="shared" si="464"/>
        <v/>
      </c>
      <c r="BZ176" s="598" t="str">
        <f t="shared" si="465"/>
        <v/>
      </c>
      <c r="CA176" s="598" t="str">
        <f t="shared" si="466"/>
        <v/>
      </c>
      <c r="CB176" s="269" t="str">
        <f t="shared" si="467"/>
        <v/>
      </c>
      <c r="CC176" s="517" t="str">
        <f t="shared" si="468"/>
        <v/>
      </c>
      <c r="CD176" s="565" t="str">
        <f t="shared" si="408"/>
        <v/>
      </c>
      <c r="CE176" s="368">
        <v>0</v>
      </c>
      <c r="CF176" s="368" t="str" cm="1">
        <f t="array" ref="CF176">IFERROR(IF(V176="Custom", "$0.1 per kWh", IF(B176="New Construction", CONCATENATE("$",INDEX('Lookup Tables'!$AH$114:$AN$154,MATCH(1,('Lookup Tables'!$AH$114:$AH$154='Lighting Inventory'!V176)*('Lookup Tables'!$AI$114:$AI$154='Lighting Inventory'!W176),FALSE),6)," ",INDEX('Lookup Tables'!$AH$114:$AN$154,MATCH(1,('Lookup Tables'!$AH$114:$AH$154='Lighting Inventory'!V176)*('Lookup Tables'!$AI$114:$AI$154='Lighting Inventory'!W176),FALSE),7)), IF(AND(BU176="N", V176="Exit Signs"), "$0.025 per kWh", CONCATENATE("$",INDEX('Lookup Tables'!$AH$6:$AN$102,MATCH(1,('Lookup Tables'!$AH$6:$AH$102='Lighting Inventory'!V176)*('Lookup Tables'!$AI$6:$AI$102='Lighting Inventory'!W176),FALSE),6)," ",INDEX('Lookup Tables'!$AH$6:$AN$102,MATCH(1,('Lookup Tables'!$AH$6:$AH$102='Lighting Inventory'!V176)*('Lookup Tables'!$AI$6:$AI$102='Lighting Inventory'!W176),FALSE),7))))), "")</f>
        <v/>
      </c>
      <c r="CG176" s="366"/>
      <c r="CH176" s="248" t="str">
        <f t="shared" si="409"/>
        <v/>
      </c>
      <c r="CI176" s="248" t="str">
        <f t="shared" si="410"/>
        <v>Select_IE</v>
      </c>
      <c r="CJ176" s="248" t="str">
        <f t="shared" si="411"/>
        <v/>
      </c>
      <c r="CK176" s="248" t="str">
        <f t="shared" si="412"/>
        <v/>
      </c>
      <c r="CL176" s="248" t="str">
        <f t="shared" si="413"/>
        <v/>
      </c>
      <c r="CM176" s="248" t="str">
        <f>IFERROR(IF(B176="", "", IF(B176="New Construction", VLOOKUP(V176, 'Lookup Tables'!$AF$114:$AG$120, 2, FALSE), VLOOKUP(V176, 'Lookup Tables'!$AD$6:$AE$25, 2, FALSE))), "")</f>
        <v/>
      </c>
      <c r="CN176" s="248" t="str">
        <f t="shared" si="414"/>
        <v/>
      </c>
      <c r="CO176" s="248" t="str">
        <f t="shared" si="415"/>
        <v/>
      </c>
      <c r="CP176" s="592" t="str">
        <f t="shared" si="416"/>
        <v/>
      </c>
      <c r="CQ176" s="248" t="str">
        <f t="shared" si="469"/>
        <v/>
      </c>
      <c r="CR176" s="100"/>
      <c r="CS176" s="250" t="str">
        <f t="shared" si="417"/>
        <v/>
      </c>
      <c r="CT176" s="250" t="str">
        <f t="shared" si="470"/>
        <v/>
      </c>
      <c r="CU176" s="250" t="str">
        <f t="shared" si="471"/>
        <v/>
      </c>
      <c r="CV176" s="250" t="str">
        <f t="shared" si="472"/>
        <v/>
      </c>
      <c r="CW176" s="250" t="str">
        <f t="shared" si="473"/>
        <v/>
      </c>
      <c r="CX176" s="250" t="str">
        <f t="shared" si="418"/>
        <v/>
      </c>
      <c r="CY176" s="250" t="str">
        <f t="shared" si="419"/>
        <v/>
      </c>
      <c r="CZ176" s="250" t="str">
        <f t="shared" si="420"/>
        <v/>
      </c>
      <c r="DA176" s="250" t="str">
        <f t="shared" si="421"/>
        <v/>
      </c>
      <c r="DB176" s="250" t="str">
        <f t="shared" si="422"/>
        <v/>
      </c>
      <c r="DC176" s="250" t="str">
        <f t="shared" si="423"/>
        <v/>
      </c>
      <c r="DD176" s="250" t="str">
        <f t="shared" si="424"/>
        <v/>
      </c>
      <c r="DE176" s="250" t="str">
        <f t="shared" si="425"/>
        <v/>
      </c>
      <c r="DF176" s="250" t="str">
        <f t="shared" si="426"/>
        <v/>
      </c>
      <c r="DG176" s="250" t="str">
        <f t="shared" si="427"/>
        <v/>
      </c>
      <c r="DH176" s="250" t="str">
        <f t="shared" si="428"/>
        <v/>
      </c>
      <c r="DI176" s="250" t="str">
        <f t="shared" si="429"/>
        <v/>
      </c>
      <c r="DJ176" s="250" t="str">
        <f t="shared" si="430"/>
        <v/>
      </c>
      <c r="DK176" s="250" t="str">
        <f t="shared" si="431"/>
        <v/>
      </c>
      <c r="DL176" s="250" t="str">
        <f t="shared" si="432"/>
        <v/>
      </c>
      <c r="DM176" s="250" t="str">
        <f>IF(CD176="ERROR", "ERROR", IF(AND(OR(Y176=$DM$6, Y176='Lookup Tables'!$AD$21, Y176='Lookup Tables'!$AD$22), E176="Interior"), BJ176, ""))</f>
        <v/>
      </c>
      <c r="DN176" s="250" t="str">
        <f>IF(CD176="ERROR", "ERROR", IF(AND(OR(Y176=$DM$6, Y176='Lookup Tables'!$AD$21, Y176='Lookup Tables'!$AD$22), E176="Exterior"), BJ176, ""))</f>
        <v/>
      </c>
      <c r="DO176" s="100"/>
      <c r="DP176" s="250" t="str">
        <f t="shared" si="433"/>
        <v/>
      </c>
      <c r="DQ176" s="250" t="str">
        <f t="shared" si="474"/>
        <v/>
      </c>
      <c r="DR176" s="250" t="str">
        <f t="shared" si="475"/>
        <v/>
      </c>
      <c r="DS176" s="250" t="str">
        <f t="shared" si="476"/>
        <v/>
      </c>
      <c r="DT176" s="250" t="str">
        <f t="shared" si="477"/>
        <v/>
      </c>
      <c r="DU176" s="250" t="str">
        <f t="shared" si="434"/>
        <v/>
      </c>
      <c r="DV176" s="250" t="str">
        <f t="shared" si="435"/>
        <v/>
      </c>
      <c r="DW176" s="250" t="str">
        <f t="shared" si="436"/>
        <v/>
      </c>
      <c r="DX176" s="250" t="str">
        <f t="shared" si="437"/>
        <v/>
      </c>
      <c r="DY176" s="250" t="str">
        <f t="shared" si="438"/>
        <v/>
      </c>
      <c r="DZ176" s="250" t="str">
        <f t="shared" si="439"/>
        <v/>
      </c>
      <c r="EA176" s="250" t="str">
        <f t="shared" si="440"/>
        <v/>
      </c>
      <c r="EB176" s="250" t="str">
        <f t="shared" si="478"/>
        <v/>
      </c>
      <c r="EC176" s="250" t="str">
        <f t="shared" si="441"/>
        <v/>
      </c>
      <c r="ED176" s="250" t="str">
        <f t="shared" si="442"/>
        <v/>
      </c>
      <c r="EE176" s="250" t="str">
        <f t="shared" si="443"/>
        <v/>
      </c>
      <c r="EF176" s="250" t="str">
        <f t="shared" si="444"/>
        <v/>
      </c>
      <c r="EG176" s="250" t="str">
        <f t="shared" si="445"/>
        <v/>
      </c>
      <c r="EH176" s="250" t="str">
        <f>IF(CD176="ERROR", "ERROR", IF(AND(OR($EH$6=Y176, Y176='Lookup Tables'!$AD$21, Y176='Lookup Tables'!$AD$22),E176="Interior"), SUM(BP176:BP176), ""))</f>
        <v/>
      </c>
      <c r="EI176" s="250" t="str">
        <f>IF(CD176="ERROR", "ERROR", IF(AND(OR($EH$6=Y176, Y176='Lookup Tables'!$AD$21, Y176='Lookup Tables'!$AD$22),E176="Exterior"), SUM(BP176:BP176), ""))</f>
        <v/>
      </c>
      <c r="EJ176" s="109"/>
      <c r="EK176" s="485" t="str">
        <f t="shared" si="446"/>
        <v/>
      </c>
      <c r="EL176" s="252" t="str">
        <f t="shared" si="479"/>
        <v/>
      </c>
      <c r="EM176" s="252" t="str">
        <f t="shared" si="480"/>
        <v/>
      </c>
      <c r="EN176" s="252" t="str">
        <f t="shared" si="481"/>
        <v/>
      </c>
      <c r="EO176" s="252" t="str">
        <f t="shared" si="482"/>
        <v/>
      </c>
      <c r="EP176" s="252" t="str">
        <f t="shared" si="483"/>
        <v/>
      </c>
      <c r="EQ176" s="252" t="str">
        <f t="shared" si="484"/>
        <v/>
      </c>
      <c r="ER176" s="252" t="str">
        <f t="shared" si="485"/>
        <v/>
      </c>
      <c r="ES176" s="252" t="str">
        <f t="shared" si="486"/>
        <v/>
      </c>
      <c r="ET176" s="252" t="str">
        <f t="shared" si="487"/>
        <v/>
      </c>
      <c r="EU176" s="252" t="str">
        <f t="shared" si="488"/>
        <v/>
      </c>
      <c r="EV176" s="252" t="str">
        <f t="shared" si="489"/>
        <v/>
      </c>
      <c r="EW176" s="252" t="str">
        <f t="shared" si="490"/>
        <v/>
      </c>
      <c r="EX176" s="252" t="str">
        <f t="shared" si="491"/>
        <v/>
      </c>
      <c r="EY176" s="252" t="str">
        <f t="shared" si="492"/>
        <v/>
      </c>
      <c r="EZ176" s="252" t="str">
        <f t="shared" si="493"/>
        <v/>
      </c>
      <c r="FA176" s="252" t="str">
        <f t="shared" si="494"/>
        <v/>
      </c>
      <c r="FB176" s="252" t="str">
        <f t="shared" si="495"/>
        <v/>
      </c>
      <c r="FC176" s="252" t="str">
        <f>IF(CD176="ERROR", "ERROR", IF(OR(V176="No Change", V176="Not DLC or Energy Star"), "", IF(AND(OR($FC$6=Y176,Y176='Lookup Tables'!$AD$21, Y176='Lookup Tables'!$AD$22),E176="Interior"), S176, "")))</f>
        <v/>
      </c>
      <c r="FD176" s="252" t="str">
        <f t="shared" si="496"/>
        <v/>
      </c>
      <c r="FE176" s="101"/>
      <c r="FF176" s="579" t="str" cm="1">
        <f t="array" ref="FF176">IFERROR(IF(OR(BQ176&lt;=0,AQ176&lt;20,AND(V176="Exit Signs",AN176&gt;0)),"",IF(AND(AQ176&gt;=20,AN176='Lookup Tables'!$R$101),'Lookup Tables'!$U$101*BQ176,AP176*LOOKUP(2,1/((AN176='Lookup Tables'!$R$91:$R$111)*(AQ176&gt;='Lookup Tables'!$S$91:$S$111)*(AQ176&lt;='Lookup Tables'!$T$91:$T$111)),'Lookup Tables'!$U$91:$U$111))),"")</f>
        <v/>
      </c>
      <c r="FG176" s="579"/>
      <c r="FH176" s="579"/>
      <c r="FI176" s="253" t="str">
        <f>IFERROR(ROUND(IF(CD176="ERROR", "ERROR", IF(AND($FI$7=X176,E176="Interior"),VLOOKUP(W176, 'Lookup Tables'!$AI$6:$AM$102, 5, FALSE)*BP176, "")), 2), "")</f>
        <v/>
      </c>
      <c r="FJ176" s="253" t="str">
        <f>IFERROR(ROUND(IF(CD176="ERROR", "ERROR", IF(AND($FI$7=X176,E176="Exterior"),VLOOKUP(W176, 'Lookup Tables'!$AI$6:$AM$102, 5, FALSE)*BP176, "")), 2), "")</f>
        <v/>
      </c>
      <c r="FK176" s="253" t="str">
        <f>IFERROR(ROUND(IF(CD176="ERROR", "ERROR", IF(AND($FK$7=X176,E176="Interior"),VLOOKUP(W176, 'Lookup Tables'!$AI$6:$AM$102, 5, FALSE)*BP176, "")), 2), "")</f>
        <v/>
      </c>
      <c r="FL176" s="253" t="str">
        <f>IFERROR(ROUND(IF(CD176="ERROR", "ERROR", IF(AND($FK$7=X176,E176="Exterior"),VLOOKUP(W176, 'Lookup Tables'!$AI$6:$AM$102, 5, FALSE)*BP176, "")), 2), "")</f>
        <v/>
      </c>
      <c r="FM176" s="253" t="str">
        <f>IFERROR(ROUND(IF(CD176="ERROR", "ERROR", IF(AND($FM$6=Y176,E176="Interior"), IF(GB176=0, VLOOKUP(W176, 'Lookup Tables'!$AI$6:$AM$102, 5, FALSE)*BP176, IF(VLOOKUP(W176, 'Lookup Tables'!$AI$6:$AM$102, 5, FALSE)*BP176&gt;GB176*'Lighting Inventory'!S176, GB176*'Lighting Inventory'!S176,VLOOKUP(W176, 'Lookup Tables'!$AI$6:$AM$102, 5, FALSE)*BP176)), "")), 2), "")</f>
        <v/>
      </c>
      <c r="FN176" s="253" t="str">
        <f>IFERROR(ROUND(IF(CD176="ERROR", "ERROR", IF(AND($FM$6=Y176,E176="Exterior"), IF(GB176=0, VLOOKUP(W176, 'Lookup Tables'!$AI$6:$AM$102, 5, FALSE)*BP176, IF(VLOOKUP(W176, 'Lookup Tables'!$AI$6:$AM$102, 5, FALSE)*BP176&gt;GB176*'Lighting Inventory'!S176, GB176*'Lighting Inventory'!S176,VLOOKUP(W176, 'Lookup Tables'!$AI$6:$AM$102, 5, FALSE)*BP176)), "")), 2), "")</f>
        <v/>
      </c>
      <c r="FO176" s="253" t="str">
        <f>IFERROR(ROUND(IF(CD176="ERROR", "ERROR", IF(AND($FO$6=Y176,E176="Interior"),VLOOKUP(W176, 'Lookup Tables'!$AI$6:$AM$102, 5, FALSE)*'Lighting Inventory'!AI176, "")), 2), "")</f>
        <v/>
      </c>
      <c r="FP176" s="253" t="str">
        <f>IFERROR(ROUND(IF(CD176="ERROR", "ERROR", IF(AND($FO$6=Y176,E176="Exterior"),VLOOKUP(W176, 'Lookup Tables'!$AI$6:$AM$102, 5, FALSE)*'Lighting Inventory'!AI176, "")), 2), "")</f>
        <v/>
      </c>
      <c r="FQ176" s="253" t="str">
        <f>IFERROR(ROUND(IF(CD176="ERROR", "ERROR", IF(AND($FQ$6=Y176,E176="Interior", BU176="Y"), VLOOKUP('Lighting Inventory'!W176, 'Lookup Tables'!$AI$6:$AM$102, 5, FALSE)*'Lighting Inventory'!S176, IF(AND($FQ$7=Y176,E176="Interior", BU176="N"), 0.025*CD176, ""))), 2), "")</f>
        <v/>
      </c>
      <c r="FR176" s="253" t="str">
        <f>IFERROR(ROUND(IF(CD176="ERROR", "ERROR", IF(AND($FQ$6=Y176,E176="Exterior"), VLOOKUP('Lighting Inventory'!W176, 'Lookup Tables'!$AI$6:$AM$102, 5, FALSE)*'Lighting Inventory'!S176, "")), 2), "")</f>
        <v/>
      </c>
      <c r="FS176" s="253" t="str">
        <f>IFERROR(ROUND(IF(CD176="ERROR", "ERROR", IF(AND($FS$6=Y176,E176="Exterior"), IF(GB176=0, VLOOKUP(W176, 'Lookup Tables'!$AI$6:$AM$102, 5, FALSE)*BP176, IF(VLOOKUP(W176, 'Lookup Tables'!$AI$6:$AM$102, 5, FALSE)*BP176&gt;GB176*'Lighting Inventory'!S176, GB176*'Lighting Inventory'!S176,VLOOKUP(W176, 'Lookup Tables'!$AI$6:$AM$102, 5, FALSE)*BP176)), "")), 2), "")</f>
        <v/>
      </c>
      <c r="FT176" s="253" t="str">
        <f>IFERROR(ROUND(IF(CD176="ERROR", "ERROR", IF(AND($FT$6=Y176,E176="Interior"), IF(GB176=0, VLOOKUP(W176, 'Lookup Tables'!$AI$6:$AM$102, 5, FALSE)*BP176, IF(VLOOKUP(W176, 'Lookup Tables'!$AI$6:$AM$102, 5, FALSE)*BP176&gt;GB176*'Lighting Inventory'!S176, GB176*'Lighting Inventory'!S176,VLOOKUP(W176, 'Lookup Tables'!$AI$6:$AM$102, 5, FALSE)*BP176)), "")), 2), "")</f>
        <v/>
      </c>
      <c r="FU176" s="253" t="str">
        <f>IFERROR(ROUND(IF(CD176="ERROR", "ERROR", IF(AND(Y176=$FU$6, E176="Interior"), IF(BS176="N", 'Lookup Tables'!$AM$101*BP176, VLOOKUP(W176, 'Lookup Tables'!$AI$6:$AM$102, 5, FALSE)*S176*AD176), "")), 2), "")</f>
        <v/>
      </c>
      <c r="FV176" s="253" t="str">
        <f>IFERROR(ROUND(IF(CD176="ERROR", "ERROR", IF(AND(Y176=$FU$6, E176="Exterior"), IF(BS176="N", 'Lookup Tables'!$AM$101*BP176, VLOOKUP(W176, 'Lookup Tables'!$AI$6:$AM$102, 5, FALSE)*S176*AD176), "")), 2), "")</f>
        <v/>
      </c>
      <c r="FW176" s="253" t="str">
        <f>IFERROR(ROUND(IF(CD176="ERROR", "ERROR", IF($FW$6=Y176, IF(BS176="N", 'Lookup Tables'!$AM$101*BP176, MIN((VLOOKUP(W176, 'Lookup Tables'!$AI$6:$AM$102, 5, FALSE)*BP176),GB176*AJ176)), "")), 2), "")</f>
        <v/>
      </c>
      <c r="FX176" s="253" t="str">
        <f>IFERROR(ROUND(IF(CD176="ERROR", "ERROR", IF(AND($FX$6=Y176, E176="Interior"), IF(VLOOKUP(W176, 'Lookup Tables'!$AI$6:$AM$102, 5, FALSE)*BP176&gt;'Lookup Tables'!$AQ$97*'Lighting Inventory'!S176,'Lighting Inventory'!S176*'Lookup Tables'!$AQ$97,VLOOKUP(W176, 'Lookup Tables'!$AI$6:$AM$102, 5, FALSE)*BP176), "")), 2), "")</f>
        <v/>
      </c>
      <c r="FY176" s="253" t="str">
        <f>IFERROR(ROUND(IF(CD176="ERROR", "ERROR", IF(AND($FX$6=Y176, E176="Exterior"), IF(VLOOKUP(W176, 'Lookup Tables'!$AI$6:$AM$102, 5, FALSE)*BP176&gt;'Lookup Tables'!$AQ$97*'Lighting Inventory'!S176,'Lighting Inventory'!S176*'Lookup Tables'!$AQ$97,VLOOKUP(W176, 'Lookup Tables'!$AI$6:$AM$102, 5, FALSE)*BP176), "")), 2), "")</f>
        <v/>
      </c>
      <c r="FZ176" s="253" t="str">
        <f>IFERROR(ROUND(IF(CD176="ERROR", "ERROR", IF(AND($FZ$6=Y176, E176="Interior"), IF(AND(OR(W176="Refrigerated Case Lighting with Doors", W176="Freezer Case Lighting"),Y176="Custom - Process Improvement"),CD176*'Lookup Tables'!$AM$101, IF(B176="Retrofit", IF(VLOOKUP(IF(V176="Custom", V176, W176), 'Lookup Tables'!$AI$6:$AM$102, 5, FALSE)*BP176&gt;GE176, GE176, VLOOKUP(IF(V176="Custom", V176, W176), 'Lookup Tables'!$AI$6:$AM$102, 5, FALSE)*BP176), IF(VLOOKUP(IF(V176="Custom", V176, W176), 'Lookup Tables'!$AI$114:$AM$154, 5, FALSE)*BP176&gt;GE176, GE176, VLOOKUP(IF(V176="Custom", V176, W176), 'Lookup Tables'!$AI$114:$AM$154, 5, FALSE)*BP176))), "")), 2),"")</f>
        <v/>
      </c>
      <c r="GA176" s="253" t="str">
        <f>IFERROR(ROUND(IF(CD176="ERROR", "ERROR", IF(AND($FZ$6=Y176, E176="Exterior"), IF(B176="Retrofit", IF(VLOOKUP(IF(V176="Custom", V176, W176), 'Lookup Tables'!$AI$6:$AM$102, 5, FALSE)*BP176&gt;GE176, GE176, VLOOKUP(IF(V176="Custom", V176, W176), 'Lookup Tables'!$AI$6:$AM$102, 5, FALSE)*BP176), IF(VLOOKUP(IF(V176="Custom", V176, W176), 'Lookup Tables'!$AI$114:$AM$154, 5, FALSE)*BP176&gt;GE176, GE176, VLOOKUP(IF(V176="Custom", V176, W176), 'Lookup Tables'!$AI$114:$AM$154, 5, FALSE)*BP176)), "")), 2),"")</f>
        <v/>
      </c>
      <c r="GB176" s="254" t="str">
        <f t="array" ref="GB176">IF(B176="","",IF(OR(V176="Custom",V176="No Change"),0,IF(B176="Retrofit", INDEX('Lookup Tables'!$AH$6:$AQ$102,MATCH(1,('Lookup Tables'!$AH$6:$AH$102='Lighting Inventory'!V176)*('Lookup Tables'!$AI$6:$AI$102='Lighting Inventory'!W176),FALSE),10),INDEX('Lookup Tables'!$AH$114:$AQ$154,MATCH(1,('Lookup Tables'!$AH$114:$AH$154='Lighting Inventory'!V176)*('Lookup Tables'!$AI$114:$AI$154='Lighting Inventory'!W176),FALSE),10))))</f>
        <v/>
      </c>
      <c r="GC176" s="255" t="str">
        <f t="shared" si="447"/>
        <v/>
      </c>
      <c r="GD176" s="250" t="str">
        <f t="shared" si="448"/>
        <v/>
      </c>
      <c r="GE176" s="253" t="str">
        <f>IFERROR(IF(AND(AF176="", 'General Information'!$F$18="No"),"", IF(AF176="", ((GD176/$CD$266)*$CF$266)*0.5, AF176*S176*0.5)), "")</f>
        <v/>
      </c>
      <c r="GF176" s="255" t="str">
        <f>IF(AND('General Information'!$F$19="", 'General Information'!$F$18="Yes",AF176="",BW176="Y"), "Y", "N")</f>
        <v>N</v>
      </c>
      <c r="GG176" s="255" t="s">
        <v>2946</v>
      </c>
      <c r="GH176" s="255" t="str">
        <f>IFERROR(IF(B176="", "", VLOOKUP(J176, 'Fixture Identities'!$A$6:$N$908, 14, FALSE)), "")</f>
        <v/>
      </c>
      <c r="GI176" s="389" t="str">
        <f>IF(OR(B176="", V176="", W176=""), "", IF(AND(OR(M176='Lookup Tables'!$R$18, M176='Lookup Tables'!$R$19, M176='Lookup Tables'!$R$20, M176='Lookup Tables'!$R$21, M176='Lookup Tables'!$R$22), OR(AN176='Lookup Tables'!$R$17, AN176='Lookup Tables'!$R$17, AN176="")), "Y", "N"))</f>
        <v/>
      </c>
      <c r="GJ176" s="255" t="str">
        <f t="shared" si="449"/>
        <v/>
      </c>
      <c r="GK176" s="255" t="str">
        <f t="shared" si="450"/>
        <v/>
      </c>
      <c r="GL176" s="255" t="str">
        <f t="shared" si="451"/>
        <v/>
      </c>
      <c r="GM176" s="255" t="str">
        <f>IF(AN176="", "", IF(AND(IF(ISNA(VLOOKUP(AN176,'Lookup Tables'!$R$18:$R$22,1,FALSE)), "N", "Y")="Y", E176="Exterior"), "Y", "N"))</f>
        <v/>
      </c>
      <c r="GN176" s="395"/>
      <c r="GO176" s="428">
        <f t="shared" si="497"/>
        <v>0</v>
      </c>
      <c r="GP176" s="428">
        <f t="shared" si="500"/>
        <v>0</v>
      </c>
      <c r="GQ176" s="428">
        <f t="shared" si="498"/>
        <v>0</v>
      </c>
      <c r="GR176" s="428">
        <f t="shared" si="499"/>
        <v>0</v>
      </c>
    </row>
    <row r="177" spans="1:200" s="103" customFormat="1" ht="13.5" customHeight="1" x14ac:dyDescent="0.2">
      <c r="A177" s="272">
        <v>167</v>
      </c>
      <c r="B177" s="110"/>
      <c r="C177" s="110"/>
      <c r="D177" s="110"/>
      <c r="E177" s="110"/>
      <c r="F177" s="110"/>
      <c r="G177" s="110"/>
      <c r="H177" s="110"/>
      <c r="I177" s="29"/>
      <c r="J177" s="29"/>
      <c r="K177" s="272" t="str">
        <f>IFERROR(IF(OR(VLOOKUP(J177, 'Fixture Identities'!$A$6:$L$1023, 3, FALSE)="T12 Linear Fluorescent", VLOOKUP(J177, 'Fixture Identities'!$A$6:$L$1023, 3, FALSE)="T12 U-Tube Fluorescent"), VLOOKUP(VLOOKUP(J177, 'Fixture Identities'!$A$6:$L$1023, 11, FALSE), 'Fixture Identities'!$A$6:$L$1023, 10, FALSE), VLOOKUP(J177, 'Fixture Identities'!$A$6:$L$1023, 10, FALSE)), "")</f>
        <v/>
      </c>
      <c r="L177" s="270" t="str">
        <f t="shared" si="502"/>
        <v/>
      </c>
      <c r="M177" s="110"/>
      <c r="N177" s="110"/>
      <c r="O177" s="110"/>
      <c r="P177" s="272" t="str">
        <f>IFERROR(IF(OR(B177="Retrofit",B177=""),"",IF('Lighting Inventory'!E177="Exterior",VLOOKUP('Lighting Inventory'!N177,'Lookup Tables'!$B$83:$F$103,5,FALSE),IF(N177="Other - Please Estimate EFLH and CFs","Contact Prog. Rep.","ft^2"))), "")</f>
        <v/>
      </c>
      <c r="Q177" s="270" t="str">
        <f>IFERROR(IF(AND(B177="New Construction",E177="Interior",$F$5="Space-by-Space"),VLOOKUP('Lighting Inventory'!N177,'Lookup Tables'!$N$6:$O$97,2,FALSE),IF(AND(B177="New Construction",E177="Exterior"),VLOOKUP(N177,'Lookup Tables'!$B$83:$F$103,2,FALSE),IF(AND(B177="New Construction",'Lighting Inventory'!E177="Interior", $F$5="Building Area"),VLOOKUP(F177,'Lookup Tables'!$A$6:$J$59,10,FALSE),""))), "")</f>
        <v/>
      </c>
      <c r="R177" s="270" t="str">
        <f>IFERROR(IF(P177="Contact Prog. Rep.", "ERROR", IF(OR(B177="",B177="Retrofit"),"",IF(N177="Automated teller machines", ('Lookup Tables'!$A$82:$E$100+('Lighting Inventory'!O177-1)*'Lookup Tables'!$A$82:$E$100)/1000, (Q177*O177)/1000))), "")</f>
        <v/>
      </c>
      <c r="S177" s="595"/>
      <c r="T177" s="105" t="str">
        <f t="shared" si="452"/>
        <v/>
      </c>
      <c r="U177" s="105" t="str">
        <f>IF(S177="","",COUNT($S$11:S177))</f>
        <v/>
      </c>
      <c r="V177" s="111"/>
      <c r="W177" s="112"/>
      <c r="X177" s="105" t="str">
        <f t="shared" si="453"/>
        <v/>
      </c>
      <c r="Y177" s="105" t="str">
        <f t="array" ref="Y177">IF(AND(OR(W177="Freezer Case Lighting", W177="Refrigerated Case Lighting with Doors"), 'General Information'!$X$18="LCI"),'Lookup Tables'!$Y$34, IF(V177="Custom", VLOOKUP(W177, 'Fixture Identities'!$A$974:$M$1023, 13, FALSE), IF(V177="No Change",'Lookup Tables'!$Y$29,IF(OR(V177="",W177=""),"",IF(AND(S177=0,S177&lt;I177,B177="Retrofit"),'Lookup Tables'!$Y$25, IF(B177="Retrofit", INDEX('Lookup Tables'!$AH$6:$AP$102, MATCH(1, ('Lookup Tables'!$AH$6:$AH$102=V177)*('Lookup Tables'!$AI$6:$AI$102=W177), 0), IF('Lighting Inventory'!E177="Interior", 4, 5)), INDEX('Lookup Tables'!$AH$114:$AP$154, MATCH(1, ('Lookup Tables'!$AH$114:$AH$154=V177)*('Lookup Tables'!$AI$114:$AI$154=W177), 0), IF('Lighting Inventory'!E177="Interior", 4, 5))))))))</f>
        <v/>
      </c>
      <c r="Z177" s="105" t="str">
        <f>IFERROR(INDEX('Lookup Tables'!$AH$158:$AH$172,MATCH('Lighting Inventory'!Y177,'Lookup Tables'!$AI$158:$AI$172,0)),"")</f>
        <v/>
      </c>
      <c r="AA177" s="105" t="str">
        <f>IF(AP177&gt;0,INDEX('Lookup Tables'!$AK$158:$AK$172,MATCH('Lighting Inventory'!Y177,'Lookup Tables'!$AI$158:$AI$172,0)),'Lighting Inventory'!Y177)</f>
        <v/>
      </c>
      <c r="AB177" s="105" t="str">
        <f t="array" ref="AB177">IF(V177="Custom", "Custom", IF(V177="", "", IF(V177="Not DLC or Energy Star", "General", IF(B177="New Construction", INDEX('Lookup Tables'!$AH$114:$AP$154,MATCH(1,('Lookup Tables'!$AH$114:$AH$154='Lighting Inventory'!V177)*('Lookup Tables'!$AI$114:$AI$154='Lighting Inventory'!W177),FALSE),8), INDEX('Lookup Tables'!$AH$6:$AP$102,MATCH(1,('Lookup Tables'!$AH$6:$AH$102='Lighting Inventory'!V177)*('Lookup Tables'!$AI$6:$AI$102='Lighting Inventory'!W177),FALSE),8)))))</f>
        <v/>
      </c>
      <c r="AC177" s="272" t="str">
        <f>IF(W177="","",IF(V177="Custom",CONCATENATE("$",'Lookup Tables'!$AM$101," ",'Lookup Tables'!$AN$101),CONCATENATE("$",INDEX('Lookup Tables'!$AM$6:$AM$102,MATCH('Lighting Inventory'!W177,'Lookup Tables'!$AI$6:$AI$102,0))," ",INDEX('Lookup Tables'!$AN$6:$AN$102,MATCH('Lighting Inventory'!W177,'Lookup Tables'!$AI$6:$AI$102,0)))))</f>
        <v/>
      </c>
      <c r="AD177" s="72"/>
      <c r="AE177" s="29"/>
      <c r="AF177" s="379"/>
      <c r="AG177" s="370" t="str">
        <f t="shared" si="401"/>
        <v/>
      </c>
      <c r="AH177" s="370" t="str">
        <f t="shared" si="454"/>
        <v/>
      </c>
      <c r="AI177" s="29"/>
      <c r="AJ177" s="29"/>
      <c r="AK177" s="110"/>
      <c r="AL177" s="375" t="str">
        <f>IF(OR(B177="", V177="", W177=""), "", IF(V177="No Change", K177, IF(V177="Remove Fixture", 0, IF(V177="Custom",VLOOKUP(W177,'Fixture Identities'!$A$6:$K$1023,10,FALSE),IF(AE177="", "← ENTER POST WATTS", 'Lighting Inventory'!AE177)))))</f>
        <v/>
      </c>
      <c r="AM177" s="376" t="str">
        <f t="shared" si="402"/>
        <v/>
      </c>
      <c r="AN177" s="29"/>
      <c r="AO177" s="671"/>
      <c r="AP177" s="29"/>
      <c r="AQ177" s="29"/>
      <c r="AR177" s="29"/>
      <c r="AS177" s="272" t="str">
        <f t="shared" si="455"/>
        <v/>
      </c>
      <c r="AT177" s="270" t="str">
        <f t="shared" si="403"/>
        <v/>
      </c>
      <c r="AU177" s="88" t="str">
        <f t="shared" si="503"/>
        <v/>
      </c>
      <c r="AV177" s="29"/>
      <c r="AW177" s="73"/>
      <c r="AX177" s="271" t="str">
        <f>IF(AND(AV177="Applicant",OR(AW177="", AW177="Use Default Facility Hours")),"← Choose Schedule",IF(F177="","",IF(W177="LED Exit Signs",8760,IF(OR(AV177="Prescribed",AV177=""),VLOOKUP(F177,'Lookup Tables'!$A$6:$G$59,IF(AB177="General", 6, 3),FALSE),VLOOKUP(AW177,'Lookup Tables'!$S$36:$U$43,2,FALSE)))))</f>
        <v/>
      </c>
      <c r="AY177" s="88" t="str">
        <f t="shared" si="404"/>
        <v/>
      </c>
      <c r="AZ177" s="270" t="str">
        <f>IFERROR(IF(F177="", "", IF(W177="LED Exit Signs", 1, IF(AV177="Applicant",VLOOKUP(AW177, 'Lookup Tables'!$S$36:$U$43,3, FALSE), VLOOKUP('Lighting Inventory'!F177, 'Lookup Tables'!$A$6:$H$59, IF('Lighting Inventory'!AB177="General",7,4), FALSE)))), "")</f>
        <v/>
      </c>
      <c r="BA177" s="522" t="str">
        <f>IFERROR(IF(F177="", "", IF(W177="LED Exit Signs", 1, VLOOKUP('Lighting Inventory'!F177, 'Lookup Tables'!$A$6:$H$59, IF('Lighting Inventory'!AB177="General",8,5), FALSE))), "")</f>
        <v/>
      </c>
      <c r="BB177" s="270" t="str">
        <f>IF(G177="", "", IF(E177="Exterior", 0, IF('Lighting Inventory'!G177="Air Conditioned", VLOOKUP(H177, 'Lookup Tables'!$R$6:$T$13, 2, FALSE), VLOOKUP('Lighting Inventory'!G177, 'Lookup Tables'!$R$6:$T$13, 2, FALSE))))</f>
        <v/>
      </c>
      <c r="BC177" s="522" t="str">
        <f>IF(G177="", "", IF(E177="Exterior", 0, IF('Lighting Inventory'!G177="Air Conditioned", VLOOKUP(H177, 'Lookup Tables'!$R$6:$T$13, 3, FALSE), VLOOKUP('Lighting Inventory'!G177, 'Lookup Tables'!$R$6:$T$13, 3, FALSE))))</f>
        <v/>
      </c>
      <c r="BD177" s="270" t="str">
        <f>IF(G177="", "", IF(E177="Exterior", 0, IF('Lighting Inventory'!G177="Air Conditioned", VLOOKUP(H177, 'Lookup Tables'!$R$6:$U$13, 4, FALSE), VLOOKUP('Lighting Inventory'!G177, 'Lookup Tables'!$R$6:$U$13, 4, FALSE))))</f>
        <v/>
      </c>
      <c r="BE177" s="270" t="str">
        <f>IFERROR(IF(B177="", "",  IF(B177="New Construction", VLOOKUP(F177, 'Lookup Tables'!$A$6:$K$59, 11, FALSE),IF(OR(AN177="", AN177="Light Switch"), 0, IF(OR(M177="",M177="None",V177= "LED Exit Signs"),0,_xlfn.XLOOKUP(M177,'Lookup Tables'!$R$91:$R$101,'Lookup Tables'!$V$91:$V$101))))), "")</f>
        <v/>
      </c>
      <c r="BF177" s="270" t="str">
        <f>IF(AND(OR(AN177="Light Switch",AN177=""),B177="New Construction"), VLOOKUP(F177, 'Lookup Tables'!$A$6:$K$59, 11, FALSE),IF(AN177="","",IF(B177="","",IF(OR(AN177="None",AN177="",V177="LED Exit Signs",AN177="Exterior Controls Not Eligible"),0,_xlfn.XLOOKUP(AN177,'Lookup Tables'!$R$91:$R$101,'Lookup Tables'!$V$91:$V$101)))))</f>
        <v/>
      </c>
      <c r="BG177" s="88" t="str">
        <f t="shared" si="456"/>
        <v/>
      </c>
      <c r="BH177" s="88" t="str">
        <f t="shared" si="457"/>
        <v/>
      </c>
      <c r="BI177" s="558" t="str">
        <f t="shared" si="501"/>
        <v/>
      </c>
      <c r="BJ177" s="82" t="str">
        <f t="shared" si="458"/>
        <v/>
      </c>
      <c r="BK177" s="82" t="str">
        <f t="shared" si="459"/>
        <v/>
      </c>
      <c r="BL177" s="559" t="str">
        <f t="shared" si="460"/>
        <v/>
      </c>
      <c r="BM177" s="521" t="str">
        <f t="shared" si="405"/>
        <v/>
      </c>
      <c r="BN177" s="521" t="str">
        <f t="shared" si="406"/>
        <v/>
      </c>
      <c r="BO177" s="522" t="str">
        <f t="shared" si="407"/>
        <v/>
      </c>
      <c r="BP177" s="83" t="str">
        <f t="shared" si="461"/>
        <v/>
      </c>
      <c r="BQ177" s="84" t="str">
        <f t="shared" si="462"/>
        <v/>
      </c>
      <c r="BR177" s="184" t="str">
        <f>IFERROR(IF(B177="", "", IF(OR(VLOOKUP(J177, 'Fixture Identities'!$A$6:$L$1023, 3, FALSE)="T12 Linear Fluorescent",VLOOKUP(J177, 'Fixture Identities'!$A$6:$L$1023, 3, FALSE)="T12 U-Tube Fluorescent"), "Y", "N")), "N")</f>
        <v/>
      </c>
      <c r="BS177" s="184" t="str">
        <f t="array" ref="BS177">IFERROR(IF(OR(B177="", V177="", W177=""), "", IF(V177="Custom", "N", IF(OR(W177="Freezer Case Lighting", W177="Refrigerated Case Lighting with Doors"), BT177, IF(B177="Retrofit", INDEX('Lookup Tables'!$AH$6:$AT$102,MATCH(1,('Lookup Tables'!$AH$6:$AH$102=V177)*('Lookup Tables'!$AI$6:$AI$102=W177),FALSE),IF(VLOOKUP(J177, 'Fixture Identities'!$A$6:$B$1023, 2, FALSE)="Incandescent",12, 13)), INDEX('Lookup Tables'!$AH$114:$AS$154,MATCH(1,('Lookup Tables'!$AH$114:$AH$154=V177)*('Lookup Tables'!$AI$114:$AI$154=W177),FALSE),12))))), "N")</f>
        <v/>
      </c>
      <c r="BT177" s="184" t="str">
        <f>IF(J177="", "", IF(AND(OR(W177="Freezer case Lighting", W177="Refrigerated Case Lighting with Doors"),'General Information'!$X$18="LCI"), "N", IF(OR(VLOOKUP(J177, 'Fixture Identities'!$A$6:$B$1023, 2, FALSE)="T12 EPACT/EISA Baseline", VLOOKUP(J177, 'Fixture Identities'!$A$6:$B$1023, 2, FALSE)="Linear Fluorescent", VLOOKUP(J177, 'Fixture Identities'!$A$6:$B$1023, 2, FALSE)="U-Tube Fluorescent"), "Y", "N")))</f>
        <v/>
      </c>
      <c r="BU177" s="184" t="str">
        <f>IFERROR(IF(B177="", "", IF(VLOOKUP(J177, 'Fixture Identities'!$A$6:$B$1023, 2, FALSE)="Exit Sign", "Y", "N")), "N")</f>
        <v/>
      </c>
      <c r="BV177" s="184" t="str">
        <f>IF(V177="Exit Signs", IF(VLOOKUP(J177, 'Fixture Identities'!$A$6:$B$1023, 2, FALSE)="Exit Sign", "N", "Y"), "")</f>
        <v/>
      </c>
      <c r="BW177" s="184" t="str">
        <f t="array" ref="BW177">IFERROR(IF(B177="", "", IF(B177="New Construction", "N", INDEX('Lookup Tables'!$AH$6:$AU$102, MATCH(1, ('Lookup Tables'!$AH$6:$AH$102='Lighting Inventory'!V177)*('Lookup Tables'!$AI$6:$AI$102='Lighting Inventory'!W177), 0), 14))), "N")</f>
        <v/>
      </c>
      <c r="BX177" s="598" t="str">
        <f t="shared" si="463"/>
        <v/>
      </c>
      <c r="BY177" s="598" t="str">
        <f t="shared" si="464"/>
        <v/>
      </c>
      <c r="BZ177" s="598" t="str">
        <f t="shared" si="465"/>
        <v/>
      </c>
      <c r="CA177" s="598" t="str">
        <f t="shared" si="466"/>
        <v/>
      </c>
      <c r="CB177" s="269" t="str">
        <f t="shared" si="467"/>
        <v/>
      </c>
      <c r="CC177" s="517" t="str">
        <f t="shared" si="468"/>
        <v/>
      </c>
      <c r="CD177" s="565" t="str">
        <f t="shared" si="408"/>
        <v/>
      </c>
      <c r="CE177" s="368">
        <v>0</v>
      </c>
      <c r="CF177" s="368" t="str" cm="1">
        <f t="array" ref="CF177">IFERROR(IF(V177="Custom", "$0.1 per kWh", IF(B177="New Construction", CONCATENATE("$",INDEX('Lookup Tables'!$AH$114:$AN$154,MATCH(1,('Lookup Tables'!$AH$114:$AH$154='Lighting Inventory'!V177)*('Lookup Tables'!$AI$114:$AI$154='Lighting Inventory'!W177),FALSE),6)," ",INDEX('Lookup Tables'!$AH$114:$AN$154,MATCH(1,('Lookup Tables'!$AH$114:$AH$154='Lighting Inventory'!V177)*('Lookup Tables'!$AI$114:$AI$154='Lighting Inventory'!W177),FALSE),7)), IF(AND(BU177="N", V177="Exit Signs"), "$0.025 per kWh", CONCATENATE("$",INDEX('Lookup Tables'!$AH$6:$AN$102,MATCH(1,('Lookup Tables'!$AH$6:$AH$102='Lighting Inventory'!V177)*('Lookup Tables'!$AI$6:$AI$102='Lighting Inventory'!W177),FALSE),6)," ",INDEX('Lookup Tables'!$AH$6:$AN$102,MATCH(1,('Lookup Tables'!$AH$6:$AH$102='Lighting Inventory'!V177)*('Lookup Tables'!$AI$6:$AI$102='Lighting Inventory'!W177),FALSE),7))))), "")</f>
        <v/>
      </c>
      <c r="CG177" s="366"/>
      <c r="CH177" s="248" t="str">
        <f t="shared" si="409"/>
        <v/>
      </c>
      <c r="CI177" s="248" t="str">
        <f t="shared" si="410"/>
        <v>Select_IE</v>
      </c>
      <c r="CJ177" s="248" t="str">
        <f t="shared" si="411"/>
        <v/>
      </c>
      <c r="CK177" s="248" t="str">
        <f t="shared" si="412"/>
        <v/>
      </c>
      <c r="CL177" s="248" t="str">
        <f t="shared" si="413"/>
        <v/>
      </c>
      <c r="CM177" s="248" t="str">
        <f>IFERROR(IF(B177="", "", IF(B177="New Construction", VLOOKUP(V177, 'Lookup Tables'!$AF$114:$AG$120, 2, FALSE), VLOOKUP(V177, 'Lookup Tables'!$AD$6:$AE$25, 2, FALSE))), "")</f>
        <v/>
      </c>
      <c r="CN177" s="248" t="str">
        <f t="shared" si="414"/>
        <v/>
      </c>
      <c r="CO177" s="248" t="str">
        <f t="shared" si="415"/>
        <v/>
      </c>
      <c r="CP177" s="592" t="str">
        <f t="shared" si="416"/>
        <v/>
      </c>
      <c r="CQ177" s="248" t="str">
        <f t="shared" si="469"/>
        <v/>
      </c>
      <c r="CR177" s="100"/>
      <c r="CS177" s="250" t="str">
        <f t="shared" si="417"/>
        <v/>
      </c>
      <c r="CT177" s="250" t="str">
        <f t="shared" si="470"/>
        <v/>
      </c>
      <c r="CU177" s="250" t="str">
        <f t="shared" si="471"/>
        <v/>
      </c>
      <c r="CV177" s="250" t="str">
        <f t="shared" si="472"/>
        <v/>
      </c>
      <c r="CW177" s="250" t="str">
        <f t="shared" si="473"/>
        <v/>
      </c>
      <c r="CX177" s="250" t="str">
        <f t="shared" si="418"/>
        <v/>
      </c>
      <c r="CY177" s="250" t="str">
        <f t="shared" si="419"/>
        <v/>
      </c>
      <c r="CZ177" s="250" t="str">
        <f t="shared" si="420"/>
        <v/>
      </c>
      <c r="DA177" s="250" t="str">
        <f t="shared" si="421"/>
        <v/>
      </c>
      <c r="DB177" s="250" t="str">
        <f t="shared" si="422"/>
        <v/>
      </c>
      <c r="DC177" s="250" t="str">
        <f t="shared" si="423"/>
        <v/>
      </c>
      <c r="DD177" s="250" t="str">
        <f t="shared" si="424"/>
        <v/>
      </c>
      <c r="DE177" s="250" t="str">
        <f t="shared" si="425"/>
        <v/>
      </c>
      <c r="DF177" s="250" t="str">
        <f t="shared" si="426"/>
        <v/>
      </c>
      <c r="DG177" s="250" t="str">
        <f t="shared" si="427"/>
        <v/>
      </c>
      <c r="DH177" s="250" t="str">
        <f t="shared" si="428"/>
        <v/>
      </c>
      <c r="DI177" s="250" t="str">
        <f t="shared" si="429"/>
        <v/>
      </c>
      <c r="DJ177" s="250" t="str">
        <f t="shared" si="430"/>
        <v/>
      </c>
      <c r="DK177" s="250" t="str">
        <f t="shared" si="431"/>
        <v/>
      </c>
      <c r="DL177" s="250" t="str">
        <f t="shared" si="432"/>
        <v/>
      </c>
      <c r="DM177" s="250" t="str">
        <f>IF(CD177="ERROR", "ERROR", IF(AND(OR(Y177=$DM$6, Y177='Lookup Tables'!$AD$21, Y177='Lookup Tables'!$AD$22), E177="Interior"), BJ177, ""))</f>
        <v/>
      </c>
      <c r="DN177" s="250" t="str">
        <f>IF(CD177="ERROR", "ERROR", IF(AND(OR(Y177=$DM$6, Y177='Lookup Tables'!$AD$21, Y177='Lookup Tables'!$AD$22), E177="Exterior"), BJ177, ""))</f>
        <v/>
      </c>
      <c r="DO177" s="100"/>
      <c r="DP177" s="250" t="str">
        <f t="shared" si="433"/>
        <v/>
      </c>
      <c r="DQ177" s="250" t="str">
        <f t="shared" si="474"/>
        <v/>
      </c>
      <c r="DR177" s="250" t="str">
        <f t="shared" si="475"/>
        <v/>
      </c>
      <c r="DS177" s="250" t="str">
        <f t="shared" si="476"/>
        <v/>
      </c>
      <c r="DT177" s="250" t="str">
        <f t="shared" si="477"/>
        <v/>
      </c>
      <c r="DU177" s="250" t="str">
        <f t="shared" si="434"/>
        <v/>
      </c>
      <c r="DV177" s="250" t="str">
        <f t="shared" si="435"/>
        <v/>
      </c>
      <c r="DW177" s="250" t="str">
        <f t="shared" si="436"/>
        <v/>
      </c>
      <c r="DX177" s="250" t="str">
        <f t="shared" si="437"/>
        <v/>
      </c>
      <c r="DY177" s="250" t="str">
        <f t="shared" si="438"/>
        <v/>
      </c>
      <c r="DZ177" s="250" t="str">
        <f t="shared" si="439"/>
        <v/>
      </c>
      <c r="EA177" s="250" t="str">
        <f t="shared" si="440"/>
        <v/>
      </c>
      <c r="EB177" s="250" t="str">
        <f t="shared" si="478"/>
        <v/>
      </c>
      <c r="EC177" s="250" t="str">
        <f t="shared" si="441"/>
        <v/>
      </c>
      <c r="ED177" s="250" t="str">
        <f t="shared" si="442"/>
        <v/>
      </c>
      <c r="EE177" s="250" t="str">
        <f t="shared" si="443"/>
        <v/>
      </c>
      <c r="EF177" s="250" t="str">
        <f t="shared" si="444"/>
        <v/>
      </c>
      <c r="EG177" s="250" t="str">
        <f t="shared" si="445"/>
        <v/>
      </c>
      <c r="EH177" s="250" t="str">
        <f>IF(CD177="ERROR", "ERROR", IF(AND(OR($EH$6=Y177, Y177='Lookup Tables'!$AD$21, Y177='Lookup Tables'!$AD$22),E177="Interior"), SUM(BP177:BP177), ""))</f>
        <v/>
      </c>
      <c r="EI177" s="250" t="str">
        <f>IF(CD177="ERROR", "ERROR", IF(AND(OR($EH$6=Y177, Y177='Lookup Tables'!$AD$21, Y177='Lookup Tables'!$AD$22),E177="Exterior"), SUM(BP177:BP177), ""))</f>
        <v/>
      </c>
      <c r="EJ177" s="109"/>
      <c r="EK177" s="485" t="str">
        <f t="shared" si="446"/>
        <v/>
      </c>
      <c r="EL177" s="252" t="str">
        <f t="shared" si="479"/>
        <v/>
      </c>
      <c r="EM177" s="252" t="str">
        <f t="shared" si="480"/>
        <v/>
      </c>
      <c r="EN177" s="252" t="str">
        <f t="shared" si="481"/>
        <v/>
      </c>
      <c r="EO177" s="252" t="str">
        <f t="shared" si="482"/>
        <v/>
      </c>
      <c r="EP177" s="252" t="str">
        <f t="shared" si="483"/>
        <v/>
      </c>
      <c r="EQ177" s="252" t="str">
        <f t="shared" si="484"/>
        <v/>
      </c>
      <c r="ER177" s="252" t="str">
        <f t="shared" si="485"/>
        <v/>
      </c>
      <c r="ES177" s="252" t="str">
        <f t="shared" si="486"/>
        <v/>
      </c>
      <c r="ET177" s="252" t="str">
        <f t="shared" si="487"/>
        <v/>
      </c>
      <c r="EU177" s="252" t="str">
        <f t="shared" si="488"/>
        <v/>
      </c>
      <c r="EV177" s="252" t="str">
        <f t="shared" si="489"/>
        <v/>
      </c>
      <c r="EW177" s="252" t="str">
        <f t="shared" si="490"/>
        <v/>
      </c>
      <c r="EX177" s="252" t="str">
        <f t="shared" si="491"/>
        <v/>
      </c>
      <c r="EY177" s="252" t="str">
        <f t="shared" si="492"/>
        <v/>
      </c>
      <c r="EZ177" s="252" t="str">
        <f t="shared" si="493"/>
        <v/>
      </c>
      <c r="FA177" s="252" t="str">
        <f t="shared" si="494"/>
        <v/>
      </c>
      <c r="FB177" s="252" t="str">
        <f t="shared" si="495"/>
        <v/>
      </c>
      <c r="FC177" s="252" t="str">
        <f>IF(CD177="ERROR", "ERROR", IF(OR(V177="No Change", V177="Not DLC or Energy Star"), "", IF(AND(OR($FC$6=Y177,Y177='Lookup Tables'!$AD$21, Y177='Lookup Tables'!$AD$22),E177="Interior"), S177, "")))</f>
        <v/>
      </c>
      <c r="FD177" s="252" t="str">
        <f t="shared" si="496"/>
        <v/>
      </c>
      <c r="FE177" s="101"/>
      <c r="FF177" s="579" t="str" cm="1">
        <f t="array" ref="FF177">IFERROR(IF(OR(BQ177&lt;=0,AQ177&lt;20,AND(V177="Exit Signs",AN177&gt;0)),"",IF(AND(AQ177&gt;=20,AN177='Lookup Tables'!$R$101),'Lookup Tables'!$U$101*BQ177,AP177*LOOKUP(2,1/((AN177='Lookup Tables'!$R$91:$R$111)*(AQ177&gt;='Lookup Tables'!$S$91:$S$111)*(AQ177&lt;='Lookup Tables'!$T$91:$T$111)),'Lookup Tables'!$U$91:$U$111))),"")</f>
        <v/>
      </c>
      <c r="FG177" s="579"/>
      <c r="FH177" s="579"/>
      <c r="FI177" s="253" t="str">
        <f>IFERROR(ROUND(IF(CD177="ERROR", "ERROR", IF(AND($FI$7=X177,E177="Interior"),VLOOKUP(W177, 'Lookup Tables'!$AI$6:$AM$102, 5, FALSE)*BP177, "")), 2), "")</f>
        <v/>
      </c>
      <c r="FJ177" s="253" t="str">
        <f>IFERROR(ROUND(IF(CD177="ERROR", "ERROR", IF(AND($FI$7=X177,E177="Exterior"),VLOOKUP(W177, 'Lookup Tables'!$AI$6:$AM$102, 5, FALSE)*BP177, "")), 2), "")</f>
        <v/>
      </c>
      <c r="FK177" s="253" t="str">
        <f>IFERROR(ROUND(IF(CD177="ERROR", "ERROR", IF(AND($FK$7=X177,E177="Interior"),VLOOKUP(W177, 'Lookup Tables'!$AI$6:$AM$102, 5, FALSE)*BP177, "")), 2), "")</f>
        <v/>
      </c>
      <c r="FL177" s="253" t="str">
        <f>IFERROR(ROUND(IF(CD177="ERROR", "ERROR", IF(AND($FK$7=X177,E177="Exterior"),VLOOKUP(W177, 'Lookup Tables'!$AI$6:$AM$102, 5, FALSE)*BP177, "")), 2), "")</f>
        <v/>
      </c>
      <c r="FM177" s="253" t="str">
        <f>IFERROR(ROUND(IF(CD177="ERROR", "ERROR", IF(AND($FM$6=Y177,E177="Interior"), IF(GB177=0, VLOOKUP(W177, 'Lookup Tables'!$AI$6:$AM$102, 5, FALSE)*BP177, IF(VLOOKUP(W177, 'Lookup Tables'!$AI$6:$AM$102, 5, FALSE)*BP177&gt;GB177*'Lighting Inventory'!S177, GB177*'Lighting Inventory'!S177,VLOOKUP(W177, 'Lookup Tables'!$AI$6:$AM$102, 5, FALSE)*BP177)), "")), 2), "")</f>
        <v/>
      </c>
      <c r="FN177" s="253" t="str">
        <f>IFERROR(ROUND(IF(CD177="ERROR", "ERROR", IF(AND($FM$6=Y177,E177="Exterior"), IF(GB177=0, VLOOKUP(W177, 'Lookup Tables'!$AI$6:$AM$102, 5, FALSE)*BP177, IF(VLOOKUP(W177, 'Lookup Tables'!$AI$6:$AM$102, 5, FALSE)*BP177&gt;GB177*'Lighting Inventory'!S177, GB177*'Lighting Inventory'!S177,VLOOKUP(W177, 'Lookup Tables'!$AI$6:$AM$102, 5, FALSE)*BP177)), "")), 2), "")</f>
        <v/>
      </c>
      <c r="FO177" s="253" t="str">
        <f>IFERROR(ROUND(IF(CD177="ERROR", "ERROR", IF(AND($FO$6=Y177,E177="Interior"),VLOOKUP(W177, 'Lookup Tables'!$AI$6:$AM$102, 5, FALSE)*'Lighting Inventory'!AI177, "")), 2), "")</f>
        <v/>
      </c>
      <c r="FP177" s="253" t="str">
        <f>IFERROR(ROUND(IF(CD177="ERROR", "ERROR", IF(AND($FO$6=Y177,E177="Exterior"),VLOOKUP(W177, 'Lookup Tables'!$AI$6:$AM$102, 5, FALSE)*'Lighting Inventory'!AI177, "")), 2), "")</f>
        <v/>
      </c>
      <c r="FQ177" s="253" t="str">
        <f>IFERROR(ROUND(IF(CD177="ERROR", "ERROR", IF(AND($FQ$6=Y177,E177="Interior", BU177="Y"), VLOOKUP('Lighting Inventory'!W177, 'Lookup Tables'!$AI$6:$AM$102, 5, FALSE)*'Lighting Inventory'!S177, IF(AND($FQ$7=Y177,E177="Interior", BU177="N"), 0.025*CD177, ""))), 2), "")</f>
        <v/>
      </c>
      <c r="FR177" s="253" t="str">
        <f>IFERROR(ROUND(IF(CD177="ERROR", "ERROR", IF(AND($FQ$6=Y177,E177="Exterior"), VLOOKUP('Lighting Inventory'!W177, 'Lookup Tables'!$AI$6:$AM$102, 5, FALSE)*'Lighting Inventory'!S177, "")), 2), "")</f>
        <v/>
      </c>
      <c r="FS177" s="253" t="str">
        <f>IFERROR(ROUND(IF(CD177="ERROR", "ERROR", IF(AND($FS$6=Y177,E177="Exterior"), IF(GB177=0, VLOOKUP(W177, 'Lookup Tables'!$AI$6:$AM$102, 5, FALSE)*BP177, IF(VLOOKUP(W177, 'Lookup Tables'!$AI$6:$AM$102, 5, FALSE)*BP177&gt;GB177*'Lighting Inventory'!S177, GB177*'Lighting Inventory'!S177,VLOOKUP(W177, 'Lookup Tables'!$AI$6:$AM$102, 5, FALSE)*BP177)), "")), 2), "")</f>
        <v/>
      </c>
      <c r="FT177" s="253" t="str">
        <f>IFERROR(ROUND(IF(CD177="ERROR", "ERROR", IF(AND($FT$6=Y177,E177="Interior"), IF(GB177=0, VLOOKUP(W177, 'Lookup Tables'!$AI$6:$AM$102, 5, FALSE)*BP177, IF(VLOOKUP(W177, 'Lookup Tables'!$AI$6:$AM$102, 5, FALSE)*BP177&gt;GB177*'Lighting Inventory'!S177, GB177*'Lighting Inventory'!S177,VLOOKUP(W177, 'Lookup Tables'!$AI$6:$AM$102, 5, FALSE)*BP177)), "")), 2), "")</f>
        <v/>
      </c>
      <c r="FU177" s="253" t="str">
        <f>IFERROR(ROUND(IF(CD177="ERROR", "ERROR", IF(AND(Y177=$FU$6, E177="Interior"), IF(BS177="N", 'Lookup Tables'!$AM$101*BP177, VLOOKUP(W177, 'Lookup Tables'!$AI$6:$AM$102, 5, FALSE)*S177*AD177), "")), 2), "")</f>
        <v/>
      </c>
      <c r="FV177" s="253" t="str">
        <f>IFERROR(ROUND(IF(CD177="ERROR", "ERROR", IF(AND(Y177=$FU$6, E177="Exterior"), IF(BS177="N", 'Lookup Tables'!$AM$101*BP177, VLOOKUP(W177, 'Lookup Tables'!$AI$6:$AM$102, 5, FALSE)*S177*AD177), "")), 2), "")</f>
        <v/>
      </c>
      <c r="FW177" s="253" t="str">
        <f>IFERROR(ROUND(IF(CD177="ERROR", "ERROR", IF($FW$6=Y177, IF(BS177="N", 'Lookup Tables'!$AM$101*BP177, MIN((VLOOKUP(W177, 'Lookup Tables'!$AI$6:$AM$102, 5, FALSE)*BP177),GB177*AJ177)), "")), 2), "")</f>
        <v/>
      </c>
      <c r="FX177" s="253" t="str">
        <f>IFERROR(ROUND(IF(CD177="ERROR", "ERROR", IF(AND($FX$6=Y177, E177="Interior"), IF(VLOOKUP(W177, 'Lookup Tables'!$AI$6:$AM$102, 5, FALSE)*BP177&gt;'Lookup Tables'!$AQ$97*'Lighting Inventory'!S177,'Lighting Inventory'!S177*'Lookup Tables'!$AQ$97,VLOOKUP(W177, 'Lookup Tables'!$AI$6:$AM$102, 5, FALSE)*BP177), "")), 2), "")</f>
        <v/>
      </c>
      <c r="FY177" s="253" t="str">
        <f>IFERROR(ROUND(IF(CD177="ERROR", "ERROR", IF(AND($FX$6=Y177, E177="Exterior"), IF(VLOOKUP(W177, 'Lookup Tables'!$AI$6:$AM$102, 5, FALSE)*BP177&gt;'Lookup Tables'!$AQ$97*'Lighting Inventory'!S177,'Lighting Inventory'!S177*'Lookup Tables'!$AQ$97,VLOOKUP(W177, 'Lookup Tables'!$AI$6:$AM$102, 5, FALSE)*BP177), "")), 2), "")</f>
        <v/>
      </c>
      <c r="FZ177" s="253" t="str">
        <f>IFERROR(ROUND(IF(CD177="ERROR", "ERROR", IF(AND($FZ$6=Y177, E177="Interior"), IF(AND(OR(W177="Refrigerated Case Lighting with Doors", W177="Freezer Case Lighting"),Y177="Custom - Process Improvement"),CD177*'Lookup Tables'!$AM$101, IF(B177="Retrofit", IF(VLOOKUP(IF(V177="Custom", V177, W177), 'Lookup Tables'!$AI$6:$AM$102, 5, FALSE)*BP177&gt;GE177, GE177, VLOOKUP(IF(V177="Custom", V177, W177), 'Lookup Tables'!$AI$6:$AM$102, 5, FALSE)*BP177), IF(VLOOKUP(IF(V177="Custom", V177, W177), 'Lookup Tables'!$AI$114:$AM$154, 5, FALSE)*BP177&gt;GE177, GE177, VLOOKUP(IF(V177="Custom", V177, W177), 'Lookup Tables'!$AI$114:$AM$154, 5, FALSE)*BP177))), "")), 2),"")</f>
        <v/>
      </c>
      <c r="GA177" s="253" t="str">
        <f>IFERROR(ROUND(IF(CD177="ERROR", "ERROR", IF(AND($FZ$6=Y177, E177="Exterior"), IF(B177="Retrofit", IF(VLOOKUP(IF(V177="Custom", V177, W177), 'Lookup Tables'!$AI$6:$AM$102, 5, FALSE)*BP177&gt;GE177, GE177, VLOOKUP(IF(V177="Custom", V177, W177), 'Lookup Tables'!$AI$6:$AM$102, 5, FALSE)*BP177), IF(VLOOKUP(IF(V177="Custom", V177, W177), 'Lookup Tables'!$AI$114:$AM$154, 5, FALSE)*BP177&gt;GE177, GE177, VLOOKUP(IF(V177="Custom", V177, W177), 'Lookup Tables'!$AI$114:$AM$154, 5, FALSE)*BP177)), "")), 2),"")</f>
        <v/>
      </c>
      <c r="GB177" s="254" t="str">
        <f t="array" ref="GB177">IF(B177="","",IF(OR(V177="Custom",V177="No Change"),0,IF(B177="Retrofit", INDEX('Lookup Tables'!$AH$6:$AQ$102,MATCH(1,('Lookup Tables'!$AH$6:$AH$102='Lighting Inventory'!V177)*('Lookup Tables'!$AI$6:$AI$102='Lighting Inventory'!W177),FALSE),10),INDEX('Lookup Tables'!$AH$114:$AQ$154,MATCH(1,('Lookup Tables'!$AH$114:$AH$154='Lighting Inventory'!V177)*('Lookup Tables'!$AI$114:$AI$154='Lighting Inventory'!W177),FALSE),10))))</f>
        <v/>
      </c>
      <c r="GC177" s="255" t="str">
        <f t="shared" si="447"/>
        <v/>
      </c>
      <c r="GD177" s="250" t="str">
        <f t="shared" si="448"/>
        <v/>
      </c>
      <c r="GE177" s="253" t="str">
        <f>IFERROR(IF(AND(AF177="", 'General Information'!$F$18="No"),"", IF(AF177="", ((GD177/$CD$266)*$CF$266)*0.5, AF177*S177*0.5)), "")</f>
        <v/>
      </c>
      <c r="GF177" s="255" t="str">
        <f>IF(AND('General Information'!$F$19="", 'General Information'!$F$18="Yes",AF177="",BW177="Y"), "Y", "N")</f>
        <v>N</v>
      </c>
      <c r="GG177" s="255" t="s">
        <v>2946</v>
      </c>
      <c r="GH177" s="255" t="str">
        <f>IFERROR(IF(B177="", "", VLOOKUP(J177, 'Fixture Identities'!$A$6:$N$908, 14, FALSE)), "")</f>
        <v/>
      </c>
      <c r="GI177" s="389" t="str">
        <f>IF(OR(B177="", V177="", W177=""), "", IF(AND(OR(M177='Lookup Tables'!$R$18, M177='Lookup Tables'!$R$19, M177='Lookup Tables'!$R$20, M177='Lookup Tables'!$R$21, M177='Lookup Tables'!$R$22), OR(AN177='Lookup Tables'!$R$17, AN177='Lookup Tables'!$R$17, AN177="")), "Y", "N"))</f>
        <v/>
      </c>
      <c r="GJ177" s="255" t="str">
        <f t="shared" si="449"/>
        <v/>
      </c>
      <c r="GK177" s="255" t="str">
        <f t="shared" si="450"/>
        <v/>
      </c>
      <c r="GL177" s="255" t="str">
        <f t="shared" si="451"/>
        <v/>
      </c>
      <c r="GM177" s="255" t="str">
        <f>IF(AN177="", "", IF(AND(IF(ISNA(VLOOKUP(AN177,'Lookup Tables'!$R$18:$R$22,1,FALSE)), "N", "Y")="Y", E177="Exterior"), "Y", "N"))</f>
        <v/>
      </c>
      <c r="GN177" s="395"/>
      <c r="GO177" s="428">
        <f t="shared" si="497"/>
        <v>0</v>
      </c>
      <c r="GP177" s="428">
        <f t="shared" si="500"/>
        <v>0</v>
      </c>
      <c r="GQ177" s="428">
        <f t="shared" si="498"/>
        <v>0</v>
      </c>
      <c r="GR177" s="428">
        <f t="shared" si="499"/>
        <v>0</v>
      </c>
    </row>
    <row r="178" spans="1:200" s="103" customFormat="1" ht="13.5" customHeight="1" x14ac:dyDescent="0.2">
      <c r="A178" s="272">
        <v>168</v>
      </c>
      <c r="B178" s="110"/>
      <c r="C178" s="110"/>
      <c r="D178" s="110"/>
      <c r="E178" s="110"/>
      <c r="F178" s="110"/>
      <c r="G178" s="110"/>
      <c r="H178" s="110"/>
      <c r="I178" s="29"/>
      <c r="J178" s="29"/>
      <c r="K178" s="272" t="str">
        <f>IFERROR(IF(OR(VLOOKUP(J178, 'Fixture Identities'!$A$6:$L$1023, 3, FALSE)="T12 Linear Fluorescent", VLOOKUP(J178, 'Fixture Identities'!$A$6:$L$1023, 3, FALSE)="T12 U-Tube Fluorescent"), VLOOKUP(VLOOKUP(J178, 'Fixture Identities'!$A$6:$L$1023, 11, FALSE), 'Fixture Identities'!$A$6:$L$1023, 10, FALSE), VLOOKUP(J178, 'Fixture Identities'!$A$6:$L$1023, 10, FALSE)), "")</f>
        <v/>
      </c>
      <c r="L178" s="270" t="str">
        <f t="shared" si="502"/>
        <v/>
      </c>
      <c r="M178" s="110"/>
      <c r="N178" s="110"/>
      <c r="O178" s="110"/>
      <c r="P178" s="272" t="str">
        <f>IFERROR(IF(OR(B178="Retrofit",B178=""),"",IF('Lighting Inventory'!E178="Exterior",VLOOKUP('Lighting Inventory'!N178,'Lookup Tables'!$B$83:$F$103,5,FALSE),IF(N178="Other - Please Estimate EFLH and CFs","Contact Prog. Rep.","ft^2"))), "")</f>
        <v/>
      </c>
      <c r="Q178" s="270" t="str">
        <f>IFERROR(IF(AND(B178="New Construction",E178="Interior",$F$5="Space-by-Space"),VLOOKUP('Lighting Inventory'!N178,'Lookup Tables'!$N$6:$O$97,2,FALSE),IF(AND(B178="New Construction",E178="Exterior"),VLOOKUP(N178,'Lookup Tables'!$B$83:$F$103,2,FALSE),IF(AND(B178="New Construction",'Lighting Inventory'!E178="Interior", $F$5="Building Area"),VLOOKUP(F178,'Lookup Tables'!$A$6:$J$59,10,FALSE),""))), "")</f>
        <v/>
      </c>
      <c r="R178" s="270" t="str">
        <f>IFERROR(IF(P178="Contact Prog. Rep.", "ERROR", IF(OR(B178="",B178="Retrofit"),"",IF(N178="Automated teller machines", ('Lookup Tables'!$A$82:$E$100+('Lighting Inventory'!O178-1)*'Lookup Tables'!$A$82:$E$100)/1000, (Q178*O178)/1000))), "")</f>
        <v/>
      </c>
      <c r="S178" s="595"/>
      <c r="T178" s="105" t="str">
        <f t="shared" si="452"/>
        <v/>
      </c>
      <c r="U178" s="105" t="str">
        <f>IF(S178="","",COUNT($S$11:S178))</f>
        <v/>
      </c>
      <c r="V178" s="111"/>
      <c r="W178" s="112"/>
      <c r="X178" s="105" t="str">
        <f t="shared" si="453"/>
        <v/>
      </c>
      <c r="Y178" s="105" t="str">
        <f t="array" ref="Y178">IF(AND(OR(W178="Freezer Case Lighting", W178="Refrigerated Case Lighting with Doors"), 'General Information'!$X$18="LCI"),'Lookup Tables'!$Y$34, IF(V178="Custom", VLOOKUP(W178, 'Fixture Identities'!$A$974:$M$1023, 13, FALSE), IF(V178="No Change",'Lookup Tables'!$Y$29,IF(OR(V178="",W178=""),"",IF(AND(S178=0,S178&lt;I178,B178="Retrofit"),'Lookup Tables'!$Y$25, IF(B178="Retrofit", INDEX('Lookup Tables'!$AH$6:$AP$102, MATCH(1, ('Lookup Tables'!$AH$6:$AH$102=V178)*('Lookup Tables'!$AI$6:$AI$102=W178), 0), IF('Lighting Inventory'!E178="Interior", 4, 5)), INDEX('Lookup Tables'!$AH$114:$AP$154, MATCH(1, ('Lookup Tables'!$AH$114:$AH$154=V178)*('Lookup Tables'!$AI$114:$AI$154=W178), 0), IF('Lighting Inventory'!E178="Interior", 4, 5))))))))</f>
        <v/>
      </c>
      <c r="Z178" s="105" t="str">
        <f>IFERROR(INDEX('Lookup Tables'!$AH$158:$AH$172,MATCH('Lighting Inventory'!Y178,'Lookup Tables'!$AI$158:$AI$172,0)),"")</f>
        <v/>
      </c>
      <c r="AA178" s="105" t="str">
        <f>IF(AP178&gt;0,INDEX('Lookup Tables'!$AK$158:$AK$172,MATCH('Lighting Inventory'!Y178,'Lookup Tables'!$AI$158:$AI$172,0)),'Lighting Inventory'!Y178)</f>
        <v/>
      </c>
      <c r="AB178" s="105" t="str">
        <f t="array" ref="AB178">IF(V178="Custom", "Custom", IF(V178="", "", IF(V178="Not DLC or Energy Star", "General", IF(B178="New Construction", INDEX('Lookup Tables'!$AH$114:$AP$154,MATCH(1,('Lookup Tables'!$AH$114:$AH$154='Lighting Inventory'!V178)*('Lookup Tables'!$AI$114:$AI$154='Lighting Inventory'!W178),FALSE),8), INDEX('Lookup Tables'!$AH$6:$AP$102,MATCH(1,('Lookup Tables'!$AH$6:$AH$102='Lighting Inventory'!V178)*('Lookup Tables'!$AI$6:$AI$102='Lighting Inventory'!W178),FALSE),8)))))</f>
        <v/>
      </c>
      <c r="AC178" s="272" t="str">
        <f>IF(W178="","",IF(V178="Custom",CONCATENATE("$",'Lookup Tables'!$AM$101," ",'Lookup Tables'!$AN$101),CONCATENATE("$",INDEX('Lookup Tables'!$AM$6:$AM$102,MATCH('Lighting Inventory'!W178,'Lookup Tables'!$AI$6:$AI$102,0))," ",INDEX('Lookup Tables'!$AN$6:$AN$102,MATCH('Lighting Inventory'!W178,'Lookup Tables'!$AI$6:$AI$102,0)))))</f>
        <v/>
      </c>
      <c r="AD178" s="72"/>
      <c r="AE178" s="29"/>
      <c r="AF178" s="379"/>
      <c r="AG178" s="370" t="str">
        <f t="shared" si="401"/>
        <v/>
      </c>
      <c r="AH178" s="370" t="str">
        <f t="shared" si="454"/>
        <v/>
      </c>
      <c r="AI178" s="29"/>
      <c r="AJ178" s="29"/>
      <c r="AK178" s="110"/>
      <c r="AL178" s="375" t="str">
        <f>IF(OR(B178="", V178="", W178=""), "", IF(V178="No Change", K178, IF(V178="Remove Fixture", 0, IF(V178="Custom",VLOOKUP(W178,'Fixture Identities'!$A$6:$K$1023,10,FALSE),IF(AE178="", "← ENTER POST WATTS", 'Lighting Inventory'!AE178)))))</f>
        <v/>
      </c>
      <c r="AM178" s="376" t="str">
        <f t="shared" si="402"/>
        <v/>
      </c>
      <c r="AN178" s="29"/>
      <c r="AO178" s="671"/>
      <c r="AP178" s="29"/>
      <c r="AQ178" s="29"/>
      <c r="AR178" s="29"/>
      <c r="AS178" s="272" t="str">
        <f t="shared" si="455"/>
        <v/>
      </c>
      <c r="AT178" s="270" t="str">
        <f t="shared" si="403"/>
        <v/>
      </c>
      <c r="AU178" s="88" t="str">
        <f t="shared" si="503"/>
        <v/>
      </c>
      <c r="AV178" s="29"/>
      <c r="AW178" s="73"/>
      <c r="AX178" s="271" t="str">
        <f>IF(AND(AV178="Applicant",OR(AW178="", AW178="Use Default Facility Hours")),"← Choose Schedule",IF(F178="","",IF(W178="LED Exit Signs",8760,IF(OR(AV178="Prescribed",AV178=""),VLOOKUP(F178,'Lookup Tables'!$A$6:$G$59,IF(AB178="General", 6, 3),FALSE),VLOOKUP(AW178,'Lookup Tables'!$S$36:$U$43,2,FALSE)))))</f>
        <v/>
      </c>
      <c r="AY178" s="88" t="str">
        <f t="shared" si="404"/>
        <v/>
      </c>
      <c r="AZ178" s="270" t="str">
        <f>IFERROR(IF(F178="", "", IF(W178="LED Exit Signs", 1, IF(AV178="Applicant",VLOOKUP(AW178, 'Lookup Tables'!$S$36:$U$43,3, FALSE), VLOOKUP('Lighting Inventory'!F178, 'Lookup Tables'!$A$6:$H$59, IF('Lighting Inventory'!AB178="General",7,4), FALSE)))), "")</f>
        <v/>
      </c>
      <c r="BA178" s="522" t="str">
        <f>IFERROR(IF(F178="", "", IF(W178="LED Exit Signs", 1, VLOOKUP('Lighting Inventory'!F178, 'Lookup Tables'!$A$6:$H$59, IF('Lighting Inventory'!AB178="General",8,5), FALSE))), "")</f>
        <v/>
      </c>
      <c r="BB178" s="270" t="str">
        <f>IF(G178="", "", IF(E178="Exterior", 0, IF('Lighting Inventory'!G178="Air Conditioned", VLOOKUP(H178, 'Lookup Tables'!$R$6:$T$13, 2, FALSE), VLOOKUP('Lighting Inventory'!G178, 'Lookup Tables'!$R$6:$T$13, 2, FALSE))))</f>
        <v/>
      </c>
      <c r="BC178" s="522" t="str">
        <f>IF(G178="", "", IF(E178="Exterior", 0, IF('Lighting Inventory'!G178="Air Conditioned", VLOOKUP(H178, 'Lookup Tables'!$R$6:$T$13, 3, FALSE), VLOOKUP('Lighting Inventory'!G178, 'Lookup Tables'!$R$6:$T$13, 3, FALSE))))</f>
        <v/>
      </c>
      <c r="BD178" s="270" t="str">
        <f>IF(G178="", "", IF(E178="Exterior", 0, IF('Lighting Inventory'!G178="Air Conditioned", VLOOKUP(H178, 'Lookup Tables'!$R$6:$U$13, 4, FALSE), VLOOKUP('Lighting Inventory'!G178, 'Lookup Tables'!$R$6:$U$13, 4, FALSE))))</f>
        <v/>
      </c>
      <c r="BE178" s="270" t="str">
        <f>IFERROR(IF(B178="", "",  IF(B178="New Construction", VLOOKUP(F178, 'Lookup Tables'!$A$6:$K$59, 11, FALSE),IF(OR(AN178="", AN178="Light Switch"), 0, IF(OR(M178="",M178="None",V178= "LED Exit Signs"),0,_xlfn.XLOOKUP(M178,'Lookup Tables'!$R$91:$R$101,'Lookup Tables'!$V$91:$V$101))))), "")</f>
        <v/>
      </c>
      <c r="BF178" s="270" t="str">
        <f>IF(AND(OR(AN178="Light Switch",AN178=""),B178="New Construction"), VLOOKUP(F178, 'Lookup Tables'!$A$6:$K$59, 11, FALSE),IF(AN178="","",IF(B178="","",IF(OR(AN178="None",AN178="",V178="LED Exit Signs",AN178="Exterior Controls Not Eligible"),0,_xlfn.XLOOKUP(AN178,'Lookup Tables'!$R$91:$R$101,'Lookup Tables'!$V$91:$V$101)))))</f>
        <v/>
      </c>
      <c r="BG178" s="88" t="str">
        <f t="shared" si="456"/>
        <v/>
      </c>
      <c r="BH178" s="88" t="str">
        <f t="shared" si="457"/>
        <v/>
      </c>
      <c r="BI178" s="558" t="str">
        <f t="shared" si="501"/>
        <v/>
      </c>
      <c r="BJ178" s="82" t="str">
        <f t="shared" si="458"/>
        <v/>
      </c>
      <c r="BK178" s="82" t="str">
        <f t="shared" si="459"/>
        <v/>
      </c>
      <c r="BL178" s="559" t="str">
        <f t="shared" si="460"/>
        <v/>
      </c>
      <c r="BM178" s="521" t="str">
        <f t="shared" si="405"/>
        <v/>
      </c>
      <c r="BN178" s="521" t="str">
        <f t="shared" si="406"/>
        <v/>
      </c>
      <c r="BO178" s="522" t="str">
        <f t="shared" si="407"/>
        <v/>
      </c>
      <c r="BP178" s="83" t="str">
        <f t="shared" si="461"/>
        <v/>
      </c>
      <c r="BQ178" s="84" t="str">
        <f t="shared" si="462"/>
        <v/>
      </c>
      <c r="BR178" s="184" t="str">
        <f>IFERROR(IF(B178="", "", IF(OR(VLOOKUP(J178, 'Fixture Identities'!$A$6:$L$1023, 3, FALSE)="T12 Linear Fluorescent",VLOOKUP(J178, 'Fixture Identities'!$A$6:$L$1023, 3, FALSE)="T12 U-Tube Fluorescent"), "Y", "N")), "N")</f>
        <v/>
      </c>
      <c r="BS178" s="184" t="str">
        <f t="array" ref="BS178">IFERROR(IF(OR(B178="", V178="", W178=""), "", IF(V178="Custom", "N", IF(OR(W178="Freezer Case Lighting", W178="Refrigerated Case Lighting with Doors"), BT178, IF(B178="Retrofit", INDEX('Lookup Tables'!$AH$6:$AT$102,MATCH(1,('Lookup Tables'!$AH$6:$AH$102=V178)*('Lookup Tables'!$AI$6:$AI$102=W178),FALSE),IF(VLOOKUP(J178, 'Fixture Identities'!$A$6:$B$1023, 2, FALSE)="Incandescent",12, 13)), INDEX('Lookup Tables'!$AH$114:$AS$154,MATCH(1,('Lookup Tables'!$AH$114:$AH$154=V178)*('Lookup Tables'!$AI$114:$AI$154=W178),FALSE),12))))), "N")</f>
        <v/>
      </c>
      <c r="BT178" s="184" t="str">
        <f>IF(J178="", "", IF(AND(OR(W178="Freezer case Lighting", W178="Refrigerated Case Lighting with Doors"),'General Information'!$X$18="LCI"), "N", IF(OR(VLOOKUP(J178, 'Fixture Identities'!$A$6:$B$1023, 2, FALSE)="T12 EPACT/EISA Baseline", VLOOKUP(J178, 'Fixture Identities'!$A$6:$B$1023, 2, FALSE)="Linear Fluorescent", VLOOKUP(J178, 'Fixture Identities'!$A$6:$B$1023, 2, FALSE)="U-Tube Fluorescent"), "Y", "N")))</f>
        <v/>
      </c>
      <c r="BU178" s="184" t="str">
        <f>IFERROR(IF(B178="", "", IF(VLOOKUP(J178, 'Fixture Identities'!$A$6:$B$1023, 2, FALSE)="Exit Sign", "Y", "N")), "N")</f>
        <v/>
      </c>
      <c r="BV178" s="184" t="str">
        <f>IF(V178="Exit Signs", IF(VLOOKUP(J178, 'Fixture Identities'!$A$6:$B$1023, 2, FALSE)="Exit Sign", "N", "Y"), "")</f>
        <v/>
      </c>
      <c r="BW178" s="184" t="str">
        <f t="array" ref="BW178">IFERROR(IF(B178="", "", IF(B178="New Construction", "N", INDEX('Lookup Tables'!$AH$6:$AU$102, MATCH(1, ('Lookup Tables'!$AH$6:$AH$102='Lighting Inventory'!V178)*('Lookup Tables'!$AI$6:$AI$102='Lighting Inventory'!W178), 0), 14))), "N")</f>
        <v/>
      </c>
      <c r="BX178" s="598" t="str">
        <f t="shared" si="463"/>
        <v/>
      </c>
      <c r="BY178" s="598" t="str">
        <f t="shared" si="464"/>
        <v/>
      </c>
      <c r="BZ178" s="598" t="str">
        <f t="shared" si="465"/>
        <v/>
      </c>
      <c r="CA178" s="598" t="str">
        <f t="shared" si="466"/>
        <v/>
      </c>
      <c r="CB178" s="269" t="str">
        <f t="shared" si="467"/>
        <v/>
      </c>
      <c r="CC178" s="517" t="str">
        <f t="shared" si="468"/>
        <v/>
      </c>
      <c r="CD178" s="565" t="str">
        <f t="shared" si="408"/>
        <v/>
      </c>
      <c r="CE178" s="368">
        <v>0</v>
      </c>
      <c r="CF178" s="368" t="str" cm="1">
        <f t="array" ref="CF178">IFERROR(IF(V178="Custom", "$0.1 per kWh", IF(B178="New Construction", CONCATENATE("$",INDEX('Lookup Tables'!$AH$114:$AN$154,MATCH(1,('Lookup Tables'!$AH$114:$AH$154='Lighting Inventory'!V178)*('Lookup Tables'!$AI$114:$AI$154='Lighting Inventory'!W178),FALSE),6)," ",INDEX('Lookup Tables'!$AH$114:$AN$154,MATCH(1,('Lookup Tables'!$AH$114:$AH$154='Lighting Inventory'!V178)*('Lookup Tables'!$AI$114:$AI$154='Lighting Inventory'!W178),FALSE),7)), IF(AND(BU178="N", V178="Exit Signs"), "$0.025 per kWh", CONCATENATE("$",INDEX('Lookup Tables'!$AH$6:$AN$102,MATCH(1,('Lookup Tables'!$AH$6:$AH$102='Lighting Inventory'!V178)*('Lookup Tables'!$AI$6:$AI$102='Lighting Inventory'!W178),FALSE),6)," ",INDEX('Lookup Tables'!$AH$6:$AN$102,MATCH(1,('Lookup Tables'!$AH$6:$AH$102='Lighting Inventory'!V178)*('Lookup Tables'!$AI$6:$AI$102='Lighting Inventory'!W178),FALSE),7))))), "")</f>
        <v/>
      </c>
      <c r="CG178" s="366"/>
      <c r="CH178" s="248" t="str">
        <f t="shared" si="409"/>
        <v/>
      </c>
      <c r="CI178" s="248" t="str">
        <f t="shared" si="410"/>
        <v>Select_IE</v>
      </c>
      <c r="CJ178" s="248" t="str">
        <f t="shared" si="411"/>
        <v/>
      </c>
      <c r="CK178" s="248" t="str">
        <f t="shared" si="412"/>
        <v/>
      </c>
      <c r="CL178" s="248" t="str">
        <f t="shared" si="413"/>
        <v/>
      </c>
      <c r="CM178" s="248" t="str">
        <f>IFERROR(IF(B178="", "", IF(B178="New Construction", VLOOKUP(V178, 'Lookup Tables'!$AF$114:$AG$120, 2, FALSE), VLOOKUP(V178, 'Lookup Tables'!$AD$6:$AE$25, 2, FALSE))), "")</f>
        <v/>
      </c>
      <c r="CN178" s="248" t="str">
        <f t="shared" si="414"/>
        <v/>
      </c>
      <c r="CO178" s="248" t="str">
        <f t="shared" si="415"/>
        <v/>
      </c>
      <c r="CP178" s="592" t="str">
        <f t="shared" si="416"/>
        <v/>
      </c>
      <c r="CQ178" s="248" t="str">
        <f t="shared" si="469"/>
        <v/>
      </c>
      <c r="CR178" s="249"/>
      <c r="CS178" s="250" t="str">
        <f t="shared" si="417"/>
        <v/>
      </c>
      <c r="CT178" s="250" t="str">
        <f t="shared" si="470"/>
        <v/>
      </c>
      <c r="CU178" s="250" t="str">
        <f t="shared" si="471"/>
        <v/>
      </c>
      <c r="CV178" s="250" t="str">
        <f t="shared" si="472"/>
        <v/>
      </c>
      <c r="CW178" s="250" t="str">
        <f t="shared" si="473"/>
        <v/>
      </c>
      <c r="CX178" s="250" t="str">
        <f t="shared" si="418"/>
        <v/>
      </c>
      <c r="CY178" s="250" t="str">
        <f t="shared" si="419"/>
        <v/>
      </c>
      <c r="CZ178" s="250" t="str">
        <f t="shared" si="420"/>
        <v/>
      </c>
      <c r="DA178" s="250" t="str">
        <f t="shared" si="421"/>
        <v/>
      </c>
      <c r="DB178" s="250" t="str">
        <f t="shared" si="422"/>
        <v/>
      </c>
      <c r="DC178" s="250" t="str">
        <f t="shared" si="423"/>
        <v/>
      </c>
      <c r="DD178" s="250" t="str">
        <f t="shared" si="424"/>
        <v/>
      </c>
      <c r="DE178" s="250" t="str">
        <f t="shared" si="425"/>
        <v/>
      </c>
      <c r="DF178" s="250" t="str">
        <f t="shared" si="426"/>
        <v/>
      </c>
      <c r="DG178" s="250" t="str">
        <f t="shared" si="427"/>
        <v/>
      </c>
      <c r="DH178" s="250" t="str">
        <f t="shared" si="428"/>
        <v/>
      </c>
      <c r="DI178" s="250" t="str">
        <f t="shared" si="429"/>
        <v/>
      </c>
      <c r="DJ178" s="250" t="str">
        <f t="shared" si="430"/>
        <v/>
      </c>
      <c r="DK178" s="250" t="str">
        <f t="shared" si="431"/>
        <v/>
      </c>
      <c r="DL178" s="250" t="str">
        <f t="shared" si="432"/>
        <v/>
      </c>
      <c r="DM178" s="250" t="str">
        <f>IF(CD178="ERROR", "ERROR", IF(AND(OR(Y178=$DM$6, Y178='Lookup Tables'!$AD$21, Y178='Lookup Tables'!$AD$22), E178="Interior"), BJ178, ""))</f>
        <v/>
      </c>
      <c r="DN178" s="250" t="str">
        <f>IF(CD178="ERROR", "ERROR", IF(AND(OR(Y178=$DM$6, Y178='Lookup Tables'!$AD$21, Y178='Lookup Tables'!$AD$22), E178="Exterior"), BJ178, ""))</f>
        <v/>
      </c>
      <c r="DO178" s="249"/>
      <c r="DP178" s="250" t="str">
        <f t="shared" si="433"/>
        <v/>
      </c>
      <c r="DQ178" s="250" t="str">
        <f t="shared" si="474"/>
        <v/>
      </c>
      <c r="DR178" s="250" t="str">
        <f t="shared" si="475"/>
        <v/>
      </c>
      <c r="DS178" s="250" t="str">
        <f t="shared" si="476"/>
        <v/>
      </c>
      <c r="DT178" s="250" t="str">
        <f t="shared" si="477"/>
        <v/>
      </c>
      <c r="DU178" s="250" t="str">
        <f t="shared" si="434"/>
        <v/>
      </c>
      <c r="DV178" s="250" t="str">
        <f t="shared" si="435"/>
        <v/>
      </c>
      <c r="DW178" s="250" t="str">
        <f t="shared" si="436"/>
        <v/>
      </c>
      <c r="DX178" s="250" t="str">
        <f t="shared" si="437"/>
        <v/>
      </c>
      <c r="DY178" s="250" t="str">
        <f t="shared" si="438"/>
        <v/>
      </c>
      <c r="DZ178" s="250" t="str">
        <f t="shared" si="439"/>
        <v/>
      </c>
      <c r="EA178" s="250" t="str">
        <f t="shared" si="440"/>
        <v/>
      </c>
      <c r="EB178" s="250" t="str">
        <f t="shared" si="478"/>
        <v/>
      </c>
      <c r="EC178" s="250" t="str">
        <f t="shared" si="441"/>
        <v/>
      </c>
      <c r="ED178" s="250" t="str">
        <f t="shared" si="442"/>
        <v/>
      </c>
      <c r="EE178" s="250" t="str">
        <f t="shared" si="443"/>
        <v/>
      </c>
      <c r="EF178" s="250" t="str">
        <f t="shared" si="444"/>
        <v/>
      </c>
      <c r="EG178" s="250" t="str">
        <f t="shared" si="445"/>
        <v/>
      </c>
      <c r="EH178" s="250" t="str">
        <f>IF(CD178="ERROR", "ERROR", IF(AND(OR($EH$6=Y178, Y178='Lookup Tables'!$AD$21, Y178='Lookup Tables'!$AD$22),E178="Interior"), SUM(BP178:BP178), ""))</f>
        <v/>
      </c>
      <c r="EI178" s="250" t="str">
        <f>IF(CD178="ERROR", "ERROR", IF(AND(OR($EH$6=Y178, Y178='Lookup Tables'!$AD$21, Y178='Lookup Tables'!$AD$22),E178="Exterior"), SUM(BP178:BP178), ""))</f>
        <v/>
      </c>
      <c r="EJ178" s="109"/>
      <c r="EK178" s="485" t="str">
        <f t="shared" si="446"/>
        <v/>
      </c>
      <c r="EL178" s="252" t="str">
        <f t="shared" si="479"/>
        <v/>
      </c>
      <c r="EM178" s="252" t="str">
        <f t="shared" si="480"/>
        <v/>
      </c>
      <c r="EN178" s="252" t="str">
        <f t="shared" si="481"/>
        <v/>
      </c>
      <c r="EO178" s="252" t="str">
        <f t="shared" si="482"/>
        <v/>
      </c>
      <c r="EP178" s="252" t="str">
        <f t="shared" si="483"/>
        <v/>
      </c>
      <c r="EQ178" s="252" t="str">
        <f t="shared" si="484"/>
        <v/>
      </c>
      <c r="ER178" s="252" t="str">
        <f t="shared" si="485"/>
        <v/>
      </c>
      <c r="ES178" s="252" t="str">
        <f t="shared" si="486"/>
        <v/>
      </c>
      <c r="ET178" s="252" t="str">
        <f t="shared" si="487"/>
        <v/>
      </c>
      <c r="EU178" s="252" t="str">
        <f t="shared" si="488"/>
        <v/>
      </c>
      <c r="EV178" s="252" t="str">
        <f t="shared" si="489"/>
        <v/>
      </c>
      <c r="EW178" s="252" t="str">
        <f t="shared" si="490"/>
        <v/>
      </c>
      <c r="EX178" s="252" t="str">
        <f t="shared" si="491"/>
        <v/>
      </c>
      <c r="EY178" s="252" t="str">
        <f t="shared" si="492"/>
        <v/>
      </c>
      <c r="EZ178" s="252" t="str">
        <f t="shared" si="493"/>
        <v/>
      </c>
      <c r="FA178" s="252" t="str">
        <f t="shared" si="494"/>
        <v/>
      </c>
      <c r="FB178" s="252" t="str">
        <f t="shared" si="495"/>
        <v/>
      </c>
      <c r="FC178" s="252" t="str">
        <f>IF(CD178="ERROR", "ERROR", IF(OR(V178="No Change", V178="Not DLC or Energy Star"), "", IF(AND(OR($FC$6=Y178,Y178='Lookup Tables'!$AD$21, Y178='Lookup Tables'!$AD$22),E178="Interior"), S178, "")))</f>
        <v/>
      </c>
      <c r="FD178" s="252" t="str">
        <f t="shared" si="496"/>
        <v/>
      </c>
      <c r="FE178" s="1"/>
      <c r="FF178" s="579" t="str" cm="1">
        <f t="array" ref="FF178">IFERROR(IF(OR(BQ178&lt;=0,AQ178&lt;20,AND(V178="Exit Signs",AN178&gt;0)),"",IF(AND(AQ178&gt;=20,AN178='Lookup Tables'!$R$101),'Lookup Tables'!$U$101*BQ178,AP178*LOOKUP(2,1/((AN178='Lookup Tables'!$R$91:$R$111)*(AQ178&gt;='Lookup Tables'!$S$91:$S$111)*(AQ178&lt;='Lookup Tables'!$T$91:$T$111)),'Lookup Tables'!$U$91:$U$111))),"")</f>
        <v/>
      </c>
      <c r="FG178" s="579"/>
      <c r="FH178" s="579"/>
      <c r="FI178" s="253" t="str">
        <f>IFERROR(ROUND(IF(CD178="ERROR", "ERROR", IF(AND($FI$7=X178,E178="Interior"),VLOOKUP(W178, 'Lookup Tables'!$AI$6:$AM$102, 5, FALSE)*BP178, "")), 2), "")</f>
        <v/>
      </c>
      <c r="FJ178" s="253" t="str">
        <f>IFERROR(ROUND(IF(CD178="ERROR", "ERROR", IF(AND($FI$7=X178,E178="Exterior"),VLOOKUP(W178, 'Lookup Tables'!$AI$6:$AM$102, 5, FALSE)*BP178, "")), 2), "")</f>
        <v/>
      </c>
      <c r="FK178" s="253" t="str">
        <f>IFERROR(ROUND(IF(CD178="ERROR", "ERROR", IF(AND($FK$7=X178,E178="Interior"),VLOOKUP(W178, 'Lookup Tables'!$AI$6:$AM$102, 5, FALSE)*BP178, "")), 2), "")</f>
        <v/>
      </c>
      <c r="FL178" s="253" t="str">
        <f>IFERROR(ROUND(IF(CD178="ERROR", "ERROR", IF(AND($FK$7=X178,E178="Exterior"),VLOOKUP(W178, 'Lookup Tables'!$AI$6:$AM$102, 5, FALSE)*BP178, "")), 2), "")</f>
        <v/>
      </c>
      <c r="FM178" s="253" t="str">
        <f>IFERROR(ROUND(IF(CD178="ERROR", "ERROR", IF(AND($FM$6=Y178,E178="Interior"), IF(GB178=0, VLOOKUP(W178, 'Lookup Tables'!$AI$6:$AM$102, 5, FALSE)*BP178, IF(VLOOKUP(W178, 'Lookup Tables'!$AI$6:$AM$102, 5, FALSE)*BP178&gt;GB178*'Lighting Inventory'!S178, GB178*'Lighting Inventory'!S178,VLOOKUP(W178, 'Lookup Tables'!$AI$6:$AM$102, 5, FALSE)*BP178)), "")), 2), "")</f>
        <v/>
      </c>
      <c r="FN178" s="253" t="str">
        <f>IFERROR(ROUND(IF(CD178="ERROR", "ERROR", IF(AND($FM$6=Y178,E178="Exterior"), IF(GB178=0, VLOOKUP(W178, 'Lookup Tables'!$AI$6:$AM$102, 5, FALSE)*BP178, IF(VLOOKUP(W178, 'Lookup Tables'!$AI$6:$AM$102, 5, FALSE)*BP178&gt;GB178*'Lighting Inventory'!S178, GB178*'Lighting Inventory'!S178,VLOOKUP(W178, 'Lookup Tables'!$AI$6:$AM$102, 5, FALSE)*BP178)), "")), 2), "")</f>
        <v/>
      </c>
      <c r="FO178" s="253" t="str">
        <f>IFERROR(ROUND(IF(CD178="ERROR", "ERROR", IF(AND($FO$6=Y178,E178="Interior"),VLOOKUP(W178, 'Lookup Tables'!$AI$6:$AM$102, 5, FALSE)*'Lighting Inventory'!AI178, "")), 2), "")</f>
        <v/>
      </c>
      <c r="FP178" s="253" t="str">
        <f>IFERROR(ROUND(IF(CD178="ERROR", "ERROR", IF(AND($FO$6=Y178,E178="Exterior"),VLOOKUP(W178, 'Lookup Tables'!$AI$6:$AM$102, 5, FALSE)*'Lighting Inventory'!AI178, "")), 2), "")</f>
        <v/>
      </c>
      <c r="FQ178" s="253" t="str">
        <f>IFERROR(ROUND(IF(CD178="ERROR", "ERROR", IF(AND($FQ$6=Y178,E178="Interior", BU178="Y"), VLOOKUP('Lighting Inventory'!W178, 'Lookup Tables'!$AI$6:$AM$102, 5, FALSE)*'Lighting Inventory'!S178, IF(AND($FQ$7=Y178,E178="Interior", BU178="N"), 0.025*CD178, ""))), 2), "")</f>
        <v/>
      </c>
      <c r="FR178" s="253" t="str">
        <f>IFERROR(ROUND(IF(CD178="ERROR", "ERROR", IF(AND($FQ$6=Y178,E178="Exterior"), VLOOKUP('Lighting Inventory'!W178, 'Lookup Tables'!$AI$6:$AM$102, 5, FALSE)*'Lighting Inventory'!S178, "")), 2), "")</f>
        <v/>
      </c>
      <c r="FS178" s="253" t="str">
        <f>IFERROR(ROUND(IF(CD178="ERROR", "ERROR", IF(AND($FS$6=Y178,E178="Exterior"), IF(GB178=0, VLOOKUP(W178, 'Lookup Tables'!$AI$6:$AM$102, 5, FALSE)*BP178, IF(VLOOKUP(W178, 'Lookup Tables'!$AI$6:$AM$102, 5, FALSE)*BP178&gt;GB178*'Lighting Inventory'!S178, GB178*'Lighting Inventory'!S178,VLOOKUP(W178, 'Lookup Tables'!$AI$6:$AM$102, 5, FALSE)*BP178)), "")), 2), "")</f>
        <v/>
      </c>
      <c r="FT178" s="253" t="str">
        <f>IFERROR(ROUND(IF(CD178="ERROR", "ERROR", IF(AND($FT$6=Y178,E178="Interior"), IF(GB178=0, VLOOKUP(W178, 'Lookup Tables'!$AI$6:$AM$102, 5, FALSE)*BP178, IF(VLOOKUP(W178, 'Lookup Tables'!$AI$6:$AM$102, 5, FALSE)*BP178&gt;GB178*'Lighting Inventory'!S178, GB178*'Lighting Inventory'!S178,VLOOKUP(W178, 'Lookup Tables'!$AI$6:$AM$102, 5, FALSE)*BP178)), "")), 2), "")</f>
        <v/>
      </c>
      <c r="FU178" s="253" t="str">
        <f>IFERROR(ROUND(IF(CD178="ERROR", "ERROR", IF(AND(Y178=$FU$6, E178="Interior"), IF(BS178="N", 'Lookup Tables'!$AM$101*BP178, VLOOKUP(W178, 'Lookup Tables'!$AI$6:$AM$102, 5, FALSE)*S178*AD178), "")), 2), "")</f>
        <v/>
      </c>
      <c r="FV178" s="253" t="str">
        <f>IFERROR(ROUND(IF(CD178="ERROR", "ERROR", IF(AND(Y178=$FU$6, E178="Exterior"), IF(BS178="N", 'Lookup Tables'!$AM$101*BP178, VLOOKUP(W178, 'Lookup Tables'!$AI$6:$AM$102, 5, FALSE)*S178*AD178), "")), 2), "")</f>
        <v/>
      </c>
      <c r="FW178" s="253" t="str">
        <f>IFERROR(ROUND(IF(CD178="ERROR", "ERROR", IF($FW$6=Y178, IF(BS178="N", 'Lookup Tables'!$AM$101*BP178, MIN((VLOOKUP(W178, 'Lookup Tables'!$AI$6:$AM$102, 5, FALSE)*BP178),GB178*AJ178)), "")), 2), "")</f>
        <v/>
      </c>
      <c r="FX178" s="253" t="str">
        <f>IFERROR(ROUND(IF(CD178="ERROR", "ERROR", IF(AND($FX$6=Y178, E178="Interior"), IF(VLOOKUP(W178, 'Lookup Tables'!$AI$6:$AM$102, 5, FALSE)*BP178&gt;'Lookup Tables'!$AQ$97*'Lighting Inventory'!S178,'Lighting Inventory'!S178*'Lookup Tables'!$AQ$97,VLOOKUP(W178, 'Lookup Tables'!$AI$6:$AM$102, 5, FALSE)*BP178), "")), 2), "")</f>
        <v/>
      </c>
      <c r="FY178" s="253" t="str">
        <f>IFERROR(ROUND(IF(CD178="ERROR", "ERROR", IF(AND($FX$6=Y178, E178="Exterior"), IF(VLOOKUP(W178, 'Lookup Tables'!$AI$6:$AM$102, 5, FALSE)*BP178&gt;'Lookup Tables'!$AQ$97*'Lighting Inventory'!S178,'Lighting Inventory'!S178*'Lookup Tables'!$AQ$97,VLOOKUP(W178, 'Lookup Tables'!$AI$6:$AM$102, 5, FALSE)*BP178), "")), 2), "")</f>
        <v/>
      </c>
      <c r="FZ178" s="253" t="str">
        <f>IFERROR(ROUND(IF(CD178="ERROR", "ERROR", IF(AND($FZ$6=Y178, E178="Interior"), IF(AND(OR(W178="Refrigerated Case Lighting with Doors", W178="Freezer Case Lighting"),Y178="Custom - Process Improvement"),CD178*'Lookup Tables'!$AM$101, IF(B178="Retrofit", IF(VLOOKUP(IF(V178="Custom", V178, W178), 'Lookup Tables'!$AI$6:$AM$102, 5, FALSE)*BP178&gt;GE178, GE178, VLOOKUP(IF(V178="Custom", V178, W178), 'Lookup Tables'!$AI$6:$AM$102, 5, FALSE)*BP178), IF(VLOOKUP(IF(V178="Custom", V178, W178), 'Lookup Tables'!$AI$114:$AM$154, 5, FALSE)*BP178&gt;GE178, GE178, VLOOKUP(IF(V178="Custom", V178, W178), 'Lookup Tables'!$AI$114:$AM$154, 5, FALSE)*BP178))), "")), 2),"")</f>
        <v/>
      </c>
      <c r="GA178" s="253" t="str">
        <f>IFERROR(ROUND(IF(CD178="ERROR", "ERROR", IF(AND($FZ$6=Y178, E178="Exterior"), IF(B178="Retrofit", IF(VLOOKUP(IF(V178="Custom", V178, W178), 'Lookup Tables'!$AI$6:$AM$102, 5, FALSE)*BP178&gt;GE178, GE178, VLOOKUP(IF(V178="Custom", V178, W178), 'Lookup Tables'!$AI$6:$AM$102, 5, FALSE)*BP178), IF(VLOOKUP(IF(V178="Custom", V178, W178), 'Lookup Tables'!$AI$114:$AM$154, 5, FALSE)*BP178&gt;GE178, GE178, VLOOKUP(IF(V178="Custom", V178, W178), 'Lookup Tables'!$AI$114:$AM$154, 5, FALSE)*BP178)), "")), 2),"")</f>
        <v/>
      </c>
      <c r="GB178" s="254" t="str">
        <f t="array" ref="GB178">IF(B178="","",IF(OR(V178="Custom",V178="No Change"),0,IF(B178="Retrofit", INDEX('Lookup Tables'!$AH$6:$AQ$102,MATCH(1,('Lookup Tables'!$AH$6:$AH$102='Lighting Inventory'!V178)*('Lookup Tables'!$AI$6:$AI$102='Lighting Inventory'!W178),FALSE),10),INDEX('Lookup Tables'!$AH$114:$AQ$154,MATCH(1,('Lookup Tables'!$AH$114:$AH$154='Lighting Inventory'!V178)*('Lookup Tables'!$AI$114:$AI$154='Lighting Inventory'!W178),FALSE),10))))</f>
        <v/>
      </c>
      <c r="GC178" s="255" t="str">
        <f t="shared" si="447"/>
        <v/>
      </c>
      <c r="GD178" s="250" t="str">
        <f t="shared" si="448"/>
        <v/>
      </c>
      <c r="GE178" s="253" t="str">
        <f>IFERROR(IF(AND(AF178="", 'General Information'!$F$18="No"),"", IF(AF178="", ((GD178/$CD$266)*$CF$266)*0.5, AF178*S178*0.5)), "")</f>
        <v/>
      </c>
      <c r="GF178" s="255" t="str">
        <f>IF(AND('General Information'!$F$19="", 'General Information'!$F$18="Yes",AF178="",BW178="Y"), "Y", "N")</f>
        <v>N</v>
      </c>
      <c r="GG178" s="255" t="s">
        <v>2946</v>
      </c>
      <c r="GH178" s="255" t="str">
        <f>IFERROR(IF(B178="", "", VLOOKUP(J178, 'Fixture Identities'!$A$6:$N$908, 14, FALSE)), "")</f>
        <v/>
      </c>
      <c r="GI178" s="389" t="str">
        <f>IF(OR(B178="", V178="", W178=""), "", IF(AND(OR(M178='Lookup Tables'!$R$18, M178='Lookup Tables'!$R$19, M178='Lookup Tables'!$R$20, M178='Lookup Tables'!$R$21, M178='Lookup Tables'!$R$22), OR(AN178='Lookup Tables'!$R$17, AN178='Lookup Tables'!$R$17, AN178="")), "Y", "N"))</f>
        <v/>
      </c>
      <c r="GJ178" s="255" t="str">
        <f t="shared" si="449"/>
        <v/>
      </c>
      <c r="GK178" s="255" t="str">
        <f t="shared" si="450"/>
        <v/>
      </c>
      <c r="GL178" s="255" t="str">
        <f t="shared" si="451"/>
        <v/>
      </c>
      <c r="GM178" s="255" t="str">
        <f>IF(AN178="", "", IF(AND(IF(ISNA(VLOOKUP(AN178,'Lookup Tables'!$R$18:$R$22,1,FALSE)), "N", "Y")="Y", E178="Exterior"), "Y", "N"))</f>
        <v/>
      </c>
      <c r="GN178" s="395"/>
      <c r="GO178" s="428">
        <f t="shared" si="497"/>
        <v>0</v>
      </c>
      <c r="GP178" s="428">
        <f t="shared" si="500"/>
        <v>0</v>
      </c>
      <c r="GQ178" s="428">
        <f t="shared" si="498"/>
        <v>0</v>
      </c>
      <c r="GR178" s="428">
        <f t="shared" si="499"/>
        <v>0</v>
      </c>
    </row>
    <row r="179" spans="1:200" s="103" customFormat="1" ht="13.5" customHeight="1" x14ac:dyDescent="0.2">
      <c r="A179" s="272">
        <v>169</v>
      </c>
      <c r="B179" s="110"/>
      <c r="C179" s="110"/>
      <c r="D179" s="110"/>
      <c r="E179" s="110"/>
      <c r="F179" s="110"/>
      <c r="G179" s="110"/>
      <c r="H179" s="110"/>
      <c r="I179" s="29"/>
      <c r="J179" s="29"/>
      <c r="K179" s="272" t="str">
        <f>IFERROR(IF(OR(VLOOKUP(J179, 'Fixture Identities'!$A$6:$L$1023, 3, FALSE)="T12 Linear Fluorescent", VLOOKUP(J179, 'Fixture Identities'!$A$6:$L$1023, 3, FALSE)="T12 U-Tube Fluorescent"), VLOOKUP(VLOOKUP(J179, 'Fixture Identities'!$A$6:$L$1023, 11, FALSE), 'Fixture Identities'!$A$6:$L$1023, 10, FALSE), VLOOKUP(J179, 'Fixture Identities'!$A$6:$L$1023, 10, FALSE)), "")</f>
        <v/>
      </c>
      <c r="L179" s="270" t="str">
        <f t="shared" si="502"/>
        <v/>
      </c>
      <c r="M179" s="110"/>
      <c r="N179" s="110"/>
      <c r="O179" s="110"/>
      <c r="P179" s="272" t="str">
        <f>IFERROR(IF(OR(B179="Retrofit",B179=""),"",IF('Lighting Inventory'!E179="Exterior",VLOOKUP('Lighting Inventory'!N179,'Lookup Tables'!$B$83:$F$103,5,FALSE),IF(N179="Other - Please Estimate EFLH and CFs","Contact Prog. Rep.","ft^2"))), "")</f>
        <v/>
      </c>
      <c r="Q179" s="270" t="str">
        <f>IFERROR(IF(AND(B179="New Construction",E179="Interior",$F$5="Space-by-Space"),VLOOKUP('Lighting Inventory'!N179,'Lookup Tables'!$N$6:$O$97,2,FALSE),IF(AND(B179="New Construction",E179="Exterior"),VLOOKUP(N179,'Lookup Tables'!$B$83:$F$103,2,FALSE),IF(AND(B179="New Construction",'Lighting Inventory'!E179="Interior", $F$5="Building Area"),VLOOKUP(F179,'Lookup Tables'!$A$6:$J$59,10,FALSE),""))), "")</f>
        <v/>
      </c>
      <c r="R179" s="270" t="str">
        <f>IFERROR(IF(P179="Contact Prog. Rep.", "ERROR", IF(OR(B179="",B179="Retrofit"),"",IF(N179="Automated teller machines", ('Lookup Tables'!$A$82:$E$100+('Lighting Inventory'!O179-1)*'Lookup Tables'!$A$82:$E$100)/1000, (Q179*O179)/1000))), "")</f>
        <v/>
      </c>
      <c r="S179" s="595"/>
      <c r="T179" s="105" t="str">
        <f t="shared" si="452"/>
        <v/>
      </c>
      <c r="U179" s="105" t="str">
        <f>IF(S179="","",COUNT($S$11:S179))</f>
        <v/>
      </c>
      <c r="V179" s="111"/>
      <c r="W179" s="112"/>
      <c r="X179" s="105" t="str">
        <f t="shared" si="453"/>
        <v/>
      </c>
      <c r="Y179" s="105" t="str">
        <f t="array" ref="Y179">IF(AND(OR(W179="Freezer Case Lighting", W179="Refrigerated Case Lighting with Doors"), 'General Information'!$X$18="LCI"),'Lookup Tables'!$Y$34, IF(V179="Custom", VLOOKUP(W179, 'Fixture Identities'!$A$974:$M$1023, 13, FALSE), IF(V179="No Change",'Lookup Tables'!$Y$29,IF(OR(V179="",W179=""),"",IF(AND(S179=0,S179&lt;I179,B179="Retrofit"),'Lookup Tables'!$Y$25, IF(B179="Retrofit", INDEX('Lookup Tables'!$AH$6:$AP$102, MATCH(1, ('Lookup Tables'!$AH$6:$AH$102=V179)*('Lookup Tables'!$AI$6:$AI$102=W179), 0), IF('Lighting Inventory'!E179="Interior", 4, 5)), INDEX('Lookup Tables'!$AH$114:$AP$154, MATCH(1, ('Lookup Tables'!$AH$114:$AH$154=V179)*('Lookup Tables'!$AI$114:$AI$154=W179), 0), IF('Lighting Inventory'!E179="Interior", 4, 5))))))))</f>
        <v/>
      </c>
      <c r="Z179" s="105" t="str">
        <f>IFERROR(INDEX('Lookup Tables'!$AH$158:$AH$172,MATCH('Lighting Inventory'!Y179,'Lookup Tables'!$AI$158:$AI$172,0)),"")</f>
        <v/>
      </c>
      <c r="AA179" s="105" t="str">
        <f>IF(AP179&gt;0,INDEX('Lookup Tables'!$AK$158:$AK$172,MATCH('Lighting Inventory'!Y179,'Lookup Tables'!$AI$158:$AI$172,0)),'Lighting Inventory'!Y179)</f>
        <v/>
      </c>
      <c r="AB179" s="105" t="str">
        <f t="array" ref="AB179">IF(V179="Custom", "Custom", IF(V179="", "", IF(V179="Not DLC or Energy Star", "General", IF(B179="New Construction", INDEX('Lookup Tables'!$AH$114:$AP$154,MATCH(1,('Lookup Tables'!$AH$114:$AH$154='Lighting Inventory'!V179)*('Lookup Tables'!$AI$114:$AI$154='Lighting Inventory'!W179),FALSE),8), INDEX('Lookup Tables'!$AH$6:$AP$102,MATCH(1,('Lookup Tables'!$AH$6:$AH$102='Lighting Inventory'!V179)*('Lookup Tables'!$AI$6:$AI$102='Lighting Inventory'!W179),FALSE),8)))))</f>
        <v/>
      </c>
      <c r="AC179" s="272" t="str">
        <f>IF(W179="","",IF(V179="Custom",CONCATENATE("$",'Lookup Tables'!$AM$101," ",'Lookup Tables'!$AN$101),CONCATENATE("$",INDEX('Lookup Tables'!$AM$6:$AM$102,MATCH('Lighting Inventory'!W179,'Lookup Tables'!$AI$6:$AI$102,0))," ",INDEX('Lookup Tables'!$AN$6:$AN$102,MATCH('Lighting Inventory'!W179,'Lookup Tables'!$AI$6:$AI$102,0)))))</f>
        <v/>
      </c>
      <c r="AD179" s="72"/>
      <c r="AE179" s="29"/>
      <c r="AF179" s="379"/>
      <c r="AG179" s="370" t="str">
        <f t="shared" si="401"/>
        <v/>
      </c>
      <c r="AH179" s="370" t="str">
        <f t="shared" si="454"/>
        <v/>
      </c>
      <c r="AI179" s="29"/>
      <c r="AJ179" s="29"/>
      <c r="AK179" s="110"/>
      <c r="AL179" s="375" t="str">
        <f>IF(OR(B179="", V179="", W179=""), "", IF(V179="No Change", K179, IF(V179="Remove Fixture", 0, IF(V179="Custom",VLOOKUP(W179,'Fixture Identities'!$A$6:$K$1023,10,FALSE),IF(AE179="", "← ENTER POST WATTS", 'Lighting Inventory'!AE179)))))</f>
        <v/>
      </c>
      <c r="AM179" s="376" t="str">
        <f t="shared" si="402"/>
        <v/>
      </c>
      <c r="AN179" s="29"/>
      <c r="AO179" s="671"/>
      <c r="AP179" s="29"/>
      <c r="AQ179" s="29"/>
      <c r="AR179" s="29"/>
      <c r="AS179" s="272" t="str">
        <f t="shared" si="455"/>
        <v/>
      </c>
      <c r="AT179" s="270" t="str">
        <f t="shared" si="403"/>
        <v/>
      </c>
      <c r="AU179" s="88" t="str">
        <f t="shared" si="503"/>
        <v/>
      </c>
      <c r="AV179" s="29"/>
      <c r="AW179" s="73"/>
      <c r="AX179" s="271" t="str">
        <f>IF(AND(AV179="Applicant",OR(AW179="", AW179="Use Default Facility Hours")),"← Choose Schedule",IF(F179="","",IF(W179="LED Exit Signs",8760,IF(OR(AV179="Prescribed",AV179=""),VLOOKUP(F179,'Lookup Tables'!$A$6:$G$59,IF(AB179="General", 6, 3),FALSE),VLOOKUP(AW179,'Lookup Tables'!$S$36:$U$43,2,FALSE)))))</f>
        <v/>
      </c>
      <c r="AY179" s="88" t="str">
        <f t="shared" si="404"/>
        <v/>
      </c>
      <c r="AZ179" s="270" t="str">
        <f>IFERROR(IF(F179="", "", IF(W179="LED Exit Signs", 1, IF(AV179="Applicant",VLOOKUP(AW179, 'Lookup Tables'!$S$36:$U$43,3, FALSE), VLOOKUP('Lighting Inventory'!F179, 'Lookup Tables'!$A$6:$H$59, IF('Lighting Inventory'!AB179="General",7,4), FALSE)))), "")</f>
        <v/>
      </c>
      <c r="BA179" s="522" t="str">
        <f>IFERROR(IF(F179="", "", IF(W179="LED Exit Signs", 1, VLOOKUP('Lighting Inventory'!F179, 'Lookup Tables'!$A$6:$H$59, IF('Lighting Inventory'!AB179="General",8,5), FALSE))), "")</f>
        <v/>
      </c>
      <c r="BB179" s="270" t="str">
        <f>IF(G179="", "", IF(E179="Exterior", 0, IF('Lighting Inventory'!G179="Air Conditioned", VLOOKUP(H179, 'Lookup Tables'!$R$6:$T$13, 2, FALSE), VLOOKUP('Lighting Inventory'!G179, 'Lookup Tables'!$R$6:$T$13, 2, FALSE))))</f>
        <v/>
      </c>
      <c r="BC179" s="522" t="str">
        <f>IF(G179="", "", IF(E179="Exterior", 0, IF('Lighting Inventory'!G179="Air Conditioned", VLOOKUP(H179, 'Lookup Tables'!$R$6:$T$13, 3, FALSE), VLOOKUP('Lighting Inventory'!G179, 'Lookup Tables'!$R$6:$T$13, 3, FALSE))))</f>
        <v/>
      </c>
      <c r="BD179" s="270" t="str">
        <f>IF(G179="", "", IF(E179="Exterior", 0, IF('Lighting Inventory'!G179="Air Conditioned", VLOOKUP(H179, 'Lookup Tables'!$R$6:$U$13, 4, FALSE), VLOOKUP('Lighting Inventory'!G179, 'Lookup Tables'!$R$6:$U$13, 4, FALSE))))</f>
        <v/>
      </c>
      <c r="BE179" s="270" t="str">
        <f>IFERROR(IF(B179="", "",  IF(B179="New Construction", VLOOKUP(F179, 'Lookup Tables'!$A$6:$K$59, 11, FALSE),IF(OR(AN179="", AN179="Light Switch"), 0, IF(OR(M179="",M179="None",V179= "LED Exit Signs"),0,_xlfn.XLOOKUP(M179,'Lookup Tables'!$R$91:$R$101,'Lookup Tables'!$V$91:$V$101))))), "")</f>
        <v/>
      </c>
      <c r="BF179" s="270" t="str">
        <f>IF(AND(OR(AN179="Light Switch",AN179=""),B179="New Construction"), VLOOKUP(F179, 'Lookup Tables'!$A$6:$K$59, 11, FALSE),IF(AN179="","",IF(B179="","",IF(OR(AN179="None",AN179="",V179="LED Exit Signs",AN179="Exterior Controls Not Eligible"),0,_xlfn.XLOOKUP(AN179,'Lookup Tables'!$R$91:$R$101,'Lookup Tables'!$V$91:$V$101)))))</f>
        <v/>
      </c>
      <c r="BG179" s="88" t="str">
        <f t="shared" si="456"/>
        <v/>
      </c>
      <c r="BH179" s="88" t="str">
        <f t="shared" si="457"/>
        <v/>
      </c>
      <c r="BI179" s="558" t="str">
        <f t="shared" si="501"/>
        <v/>
      </c>
      <c r="BJ179" s="82" t="str">
        <f t="shared" si="458"/>
        <v/>
      </c>
      <c r="BK179" s="82" t="str">
        <f t="shared" si="459"/>
        <v/>
      </c>
      <c r="BL179" s="559" t="str">
        <f t="shared" si="460"/>
        <v/>
      </c>
      <c r="BM179" s="521" t="str">
        <f t="shared" si="405"/>
        <v/>
      </c>
      <c r="BN179" s="521" t="str">
        <f t="shared" si="406"/>
        <v/>
      </c>
      <c r="BO179" s="522" t="str">
        <f t="shared" si="407"/>
        <v/>
      </c>
      <c r="BP179" s="83" t="str">
        <f t="shared" si="461"/>
        <v/>
      </c>
      <c r="BQ179" s="84" t="str">
        <f t="shared" si="462"/>
        <v/>
      </c>
      <c r="BR179" s="184" t="str">
        <f>IFERROR(IF(B179="", "", IF(OR(VLOOKUP(J179, 'Fixture Identities'!$A$6:$L$1023, 3, FALSE)="T12 Linear Fluorescent",VLOOKUP(J179, 'Fixture Identities'!$A$6:$L$1023, 3, FALSE)="T12 U-Tube Fluorescent"), "Y", "N")), "N")</f>
        <v/>
      </c>
      <c r="BS179" s="184" t="str">
        <f t="array" ref="BS179">IFERROR(IF(OR(B179="", V179="", W179=""), "", IF(V179="Custom", "N", IF(OR(W179="Freezer Case Lighting", W179="Refrigerated Case Lighting with Doors"), BT179, IF(B179="Retrofit", INDEX('Lookup Tables'!$AH$6:$AT$102,MATCH(1,('Lookup Tables'!$AH$6:$AH$102=V179)*('Lookup Tables'!$AI$6:$AI$102=W179),FALSE),IF(VLOOKUP(J179, 'Fixture Identities'!$A$6:$B$1023, 2, FALSE)="Incandescent",12, 13)), INDEX('Lookup Tables'!$AH$114:$AS$154,MATCH(1,('Lookup Tables'!$AH$114:$AH$154=V179)*('Lookup Tables'!$AI$114:$AI$154=W179),FALSE),12))))), "N")</f>
        <v/>
      </c>
      <c r="BT179" s="184" t="str">
        <f>IF(J179="", "", IF(AND(OR(W179="Freezer case Lighting", W179="Refrigerated Case Lighting with Doors"),'General Information'!$X$18="LCI"), "N", IF(OR(VLOOKUP(J179, 'Fixture Identities'!$A$6:$B$1023, 2, FALSE)="T12 EPACT/EISA Baseline", VLOOKUP(J179, 'Fixture Identities'!$A$6:$B$1023, 2, FALSE)="Linear Fluorescent", VLOOKUP(J179, 'Fixture Identities'!$A$6:$B$1023, 2, FALSE)="U-Tube Fluorescent"), "Y", "N")))</f>
        <v/>
      </c>
      <c r="BU179" s="184" t="str">
        <f>IFERROR(IF(B179="", "", IF(VLOOKUP(J179, 'Fixture Identities'!$A$6:$B$1023, 2, FALSE)="Exit Sign", "Y", "N")), "N")</f>
        <v/>
      </c>
      <c r="BV179" s="184" t="str">
        <f>IF(V179="Exit Signs", IF(VLOOKUP(J179, 'Fixture Identities'!$A$6:$B$1023, 2, FALSE)="Exit Sign", "N", "Y"), "")</f>
        <v/>
      </c>
      <c r="BW179" s="184" t="str">
        <f t="array" ref="BW179">IFERROR(IF(B179="", "", IF(B179="New Construction", "N", INDEX('Lookup Tables'!$AH$6:$AU$102, MATCH(1, ('Lookup Tables'!$AH$6:$AH$102='Lighting Inventory'!V179)*('Lookup Tables'!$AI$6:$AI$102='Lighting Inventory'!W179), 0), 14))), "N")</f>
        <v/>
      </c>
      <c r="BX179" s="598" t="str">
        <f t="shared" si="463"/>
        <v/>
      </c>
      <c r="BY179" s="598" t="str">
        <f t="shared" si="464"/>
        <v/>
      </c>
      <c r="BZ179" s="598" t="str">
        <f t="shared" si="465"/>
        <v/>
      </c>
      <c r="CA179" s="598" t="str">
        <f t="shared" si="466"/>
        <v/>
      </c>
      <c r="CB179" s="269" t="str">
        <f t="shared" si="467"/>
        <v/>
      </c>
      <c r="CC179" s="517" t="str">
        <f t="shared" si="468"/>
        <v/>
      </c>
      <c r="CD179" s="565" t="str">
        <f t="shared" si="408"/>
        <v/>
      </c>
      <c r="CE179" s="368">
        <v>0</v>
      </c>
      <c r="CF179" s="368" t="str" cm="1">
        <f t="array" ref="CF179">IFERROR(IF(V179="Custom", "$0.1 per kWh", IF(B179="New Construction", CONCATENATE("$",INDEX('Lookup Tables'!$AH$114:$AN$154,MATCH(1,('Lookup Tables'!$AH$114:$AH$154='Lighting Inventory'!V179)*('Lookup Tables'!$AI$114:$AI$154='Lighting Inventory'!W179),FALSE),6)," ",INDEX('Lookup Tables'!$AH$114:$AN$154,MATCH(1,('Lookup Tables'!$AH$114:$AH$154='Lighting Inventory'!V179)*('Lookup Tables'!$AI$114:$AI$154='Lighting Inventory'!W179),FALSE),7)), IF(AND(BU179="N", V179="Exit Signs"), "$0.025 per kWh", CONCATENATE("$",INDEX('Lookup Tables'!$AH$6:$AN$102,MATCH(1,('Lookup Tables'!$AH$6:$AH$102='Lighting Inventory'!V179)*('Lookup Tables'!$AI$6:$AI$102='Lighting Inventory'!W179),FALSE),6)," ",INDEX('Lookup Tables'!$AH$6:$AN$102,MATCH(1,('Lookup Tables'!$AH$6:$AH$102='Lighting Inventory'!V179)*('Lookup Tables'!$AI$6:$AI$102='Lighting Inventory'!W179),FALSE),7))))), "")</f>
        <v/>
      </c>
      <c r="CG179" s="366"/>
      <c r="CH179" s="248" t="str">
        <f t="shared" si="409"/>
        <v/>
      </c>
      <c r="CI179" s="248" t="str">
        <f t="shared" si="410"/>
        <v>Select_IE</v>
      </c>
      <c r="CJ179" s="248" t="str">
        <f t="shared" si="411"/>
        <v/>
      </c>
      <c r="CK179" s="248" t="str">
        <f t="shared" si="412"/>
        <v/>
      </c>
      <c r="CL179" s="248" t="str">
        <f t="shared" si="413"/>
        <v/>
      </c>
      <c r="CM179" s="248" t="str">
        <f>IFERROR(IF(B179="", "", IF(B179="New Construction", VLOOKUP(V179, 'Lookup Tables'!$AF$114:$AG$120, 2, FALSE), VLOOKUP(V179, 'Lookup Tables'!$AD$6:$AE$25, 2, FALSE))), "")</f>
        <v/>
      </c>
      <c r="CN179" s="248" t="str">
        <f t="shared" si="414"/>
        <v/>
      </c>
      <c r="CO179" s="248" t="str">
        <f t="shared" si="415"/>
        <v/>
      </c>
      <c r="CP179" s="592" t="str">
        <f t="shared" si="416"/>
        <v/>
      </c>
      <c r="CQ179" s="248" t="str">
        <f t="shared" si="469"/>
        <v/>
      </c>
      <c r="CR179" s="100"/>
      <c r="CS179" s="250" t="str">
        <f t="shared" si="417"/>
        <v/>
      </c>
      <c r="CT179" s="250" t="str">
        <f t="shared" si="470"/>
        <v/>
      </c>
      <c r="CU179" s="250" t="str">
        <f t="shared" si="471"/>
        <v/>
      </c>
      <c r="CV179" s="250" t="str">
        <f t="shared" si="472"/>
        <v/>
      </c>
      <c r="CW179" s="250" t="str">
        <f t="shared" si="473"/>
        <v/>
      </c>
      <c r="CX179" s="250" t="str">
        <f t="shared" si="418"/>
        <v/>
      </c>
      <c r="CY179" s="250" t="str">
        <f t="shared" si="419"/>
        <v/>
      </c>
      <c r="CZ179" s="250" t="str">
        <f t="shared" si="420"/>
        <v/>
      </c>
      <c r="DA179" s="250" t="str">
        <f t="shared" si="421"/>
        <v/>
      </c>
      <c r="DB179" s="250" t="str">
        <f t="shared" si="422"/>
        <v/>
      </c>
      <c r="DC179" s="250" t="str">
        <f t="shared" si="423"/>
        <v/>
      </c>
      <c r="DD179" s="250" t="str">
        <f t="shared" si="424"/>
        <v/>
      </c>
      <c r="DE179" s="250" t="str">
        <f t="shared" si="425"/>
        <v/>
      </c>
      <c r="DF179" s="250" t="str">
        <f t="shared" si="426"/>
        <v/>
      </c>
      <c r="DG179" s="250" t="str">
        <f t="shared" si="427"/>
        <v/>
      </c>
      <c r="DH179" s="250" t="str">
        <f t="shared" si="428"/>
        <v/>
      </c>
      <c r="DI179" s="250" t="str">
        <f t="shared" si="429"/>
        <v/>
      </c>
      <c r="DJ179" s="250" t="str">
        <f t="shared" si="430"/>
        <v/>
      </c>
      <c r="DK179" s="250" t="str">
        <f t="shared" si="431"/>
        <v/>
      </c>
      <c r="DL179" s="250" t="str">
        <f t="shared" si="432"/>
        <v/>
      </c>
      <c r="DM179" s="250" t="str">
        <f>IF(CD179="ERROR", "ERROR", IF(AND(OR(Y179=$DM$6, Y179='Lookup Tables'!$AD$21, Y179='Lookup Tables'!$AD$22), E179="Interior"), BJ179, ""))</f>
        <v/>
      </c>
      <c r="DN179" s="250" t="str">
        <f>IF(CD179="ERROR", "ERROR", IF(AND(OR(Y179=$DM$6, Y179='Lookup Tables'!$AD$21, Y179='Lookup Tables'!$AD$22), E179="Exterior"), BJ179, ""))</f>
        <v/>
      </c>
      <c r="DO179" s="100"/>
      <c r="DP179" s="250" t="str">
        <f t="shared" si="433"/>
        <v/>
      </c>
      <c r="DQ179" s="250" t="str">
        <f t="shared" si="474"/>
        <v/>
      </c>
      <c r="DR179" s="250" t="str">
        <f t="shared" si="475"/>
        <v/>
      </c>
      <c r="DS179" s="250" t="str">
        <f t="shared" si="476"/>
        <v/>
      </c>
      <c r="DT179" s="250" t="str">
        <f t="shared" si="477"/>
        <v/>
      </c>
      <c r="DU179" s="250" t="str">
        <f t="shared" si="434"/>
        <v/>
      </c>
      <c r="DV179" s="250" t="str">
        <f t="shared" si="435"/>
        <v/>
      </c>
      <c r="DW179" s="250" t="str">
        <f t="shared" si="436"/>
        <v/>
      </c>
      <c r="DX179" s="250" t="str">
        <f t="shared" si="437"/>
        <v/>
      </c>
      <c r="DY179" s="250" t="str">
        <f t="shared" si="438"/>
        <v/>
      </c>
      <c r="DZ179" s="250" t="str">
        <f t="shared" si="439"/>
        <v/>
      </c>
      <c r="EA179" s="250" t="str">
        <f t="shared" si="440"/>
        <v/>
      </c>
      <c r="EB179" s="250" t="str">
        <f t="shared" si="478"/>
        <v/>
      </c>
      <c r="EC179" s="250" t="str">
        <f t="shared" si="441"/>
        <v/>
      </c>
      <c r="ED179" s="250" t="str">
        <f t="shared" si="442"/>
        <v/>
      </c>
      <c r="EE179" s="250" t="str">
        <f t="shared" si="443"/>
        <v/>
      </c>
      <c r="EF179" s="250" t="str">
        <f t="shared" si="444"/>
        <v/>
      </c>
      <c r="EG179" s="250" t="str">
        <f t="shared" si="445"/>
        <v/>
      </c>
      <c r="EH179" s="250" t="str">
        <f>IF(CD179="ERROR", "ERROR", IF(AND(OR($EH$6=Y179, Y179='Lookup Tables'!$AD$21, Y179='Lookup Tables'!$AD$22),E179="Interior"), SUM(BP179:BP179), ""))</f>
        <v/>
      </c>
      <c r="EI179" s="250" t="str">
        <f>IF(CD179="ERROR", "ERROR", IF(AND(OR($EH$6=Y179, Y179='Lookup Tables'!$AD$21, Y179='Lookup Tables'!$AD$22),E179="Exterior"), SUM(BP179:BP179), ""))</f>
        <v/>
      </c>
      <c r="EJ179" s="109"/>
      <c r="EK179" s="485" t="str">
        <f t="shared" si="446"/>
        <v/>
      </c>
      <c r="EL179" s="252" t="str">
        <f t="shared" si="479"/>
        <v/>
      </c>
      <c r="EM179" s="252" t="str">
        <f t="shared" si="480"/>
        <v/>
      </c>
      <c r="EN179" s="252" t="str">
        <f t="shared" si="481"/>
        <v/>
      </c>
      <c r="EO179" s="252" t="str">
        <f t="shared" si="482"/>
        <v/>
      </c>
      <c r="EP179" s="252" t="str">
        <f t="shared" si="483"/>
        <v/>
      </c>
      <c r="EQ179" s="252" t="str">
        <f t="shared" si="484"/>
        <v/>
      </c>
      <c r="ER179" s="252" t="str">
        <f t="shared" si="485"/>
        <v/>
      </c>
      <c r="ES179" s="252" t="str">
        <f t="shared" si="486"/>
        <v/>
      </c>
      <c r="ET179" s="252" t="str">
        <f t="shared" si="487"/>
        <v/>
      </c>
      <c r="EU179" s="252" t="str">
        <f t="shared" si="488"/>
        <v/>
      </c>
      <c r="EV179" s="252" t="str">
        <f t="shared" si="489"/>
        <v/>
      </c>
      <c r="EW179" s="252" t="str">
        <f t="shared" si="490"/>
        <v/>
      </c>
      <c r="EX179" s="252" t="str">
        <f t="shared" si="491"/>
        <v/>
      </c>
      <c r="EY179" s="252" t="str">
        <f t="shared" si="492"/>
        <v/>
      </c>
      <c r="EZ179" s="252" t="str">
        <f t="shared" si="493"/>
        <v/>
      </c>
      <c r="FA179" s="252" t="str">
        <f t="shared" si="494"/>
        <v/>
      </c>
      <c r="FB179" s="252" t="str">
        <f t="shared" si="495"/>
        <v/>
      </c>
      <c r="FC179" s="252" t="str">
        <f>IF(CD179="ERROR", "ERROR", IF(OR(V179="No Change", V179="Not DLC or Energy Star"), "", IF(AND(OR($FC$6=Y179,Y179='Lookup Tables'!$AD$21, Y179='Lookup Tables'!$AD$22),E179="Interior"), S179, "")))</f>
        <v/>
      </c>
      <c r="FD179" s="252" t="str">
        <f t="shared" si="496"/>
        <v/>
      </c>
      <c r="FE179" s="101"/>
      <c r="FF179" s="579" t="str" cm="1">
        <f t="array" ref="FF179">IFERROR(IF(OR(BQ179&lt;=0,AQ179&lt;20,AND(V179="Exit Signs",AN179&gt;0)),"",IF(AND(AQ179&gt;=20,AN179='Lookup Tables'!$R$101),'Lookup Tables'!$U$101*BQ179,AP179*LOOKUP(2,1/((AN179='Lookup Tables'!$R$91:$R$111)*(AQ179&gt;='Lookup Tables'!$S$91:$S$111)*(AQ179&lt;='Lookup Tables'!$T$91:$T$111)),'Lookup Tables'!$U$91:$U$111))),"")</f>
        <v/>
      </c>
      <c r="FG179" s="579"/>
      <c r="FH179" s="579"/>
      <c r="FI179" s="253" t="str">
        <f>IFERROR(ROUND(IF(CD179="ERROR", "ERROR", IF(AND($FI$7=X179,E179="Interior"),VLOOKUP(W179, 'Lookup Tables'!$AI$6:$AM$102, 5, FALSE)*BP179, "")), 2), "")</f>
        <v/>
      </c>
      <c r="FJ179" s="253" t="str">
        <f>IFERROR(ROUND(IF(CD179="ERROR", "ERROR", IF(AND($FI$7=X179,E179="Exterior"),VLOOKUP(W179, 'Lookup Tables'!$AI$6:$AM$102, 5, FALSE)*BP179, "")), 2), "")</f>
        <v/>
      </c>
      <c r="FK179" s="253" t="str">
        <f>IFERROR(ROUND(IF(CD179="ERROR", "ERROR", IF(AND($FK$7=X179,E179="Interior"),VLOOKUP(W179, 'Lookup Tables'!$AI$6:$AM$102, 5, FALSE)*BP179, "")), 2), "")</f>
        <v/>
      </c>
      <c r="FL179" s="253" t="str">
        <f>IFERROR(ROUND(IF(CD179="ERROR", "ERROR", IF(AND($FK$7=X179,E179="Exterior"),VLOOKUP(W179, 'Lookup Tables'!$AI$6:$AM$102, 5, FALSE)*BP179, "")), 2), "")</f>
        <v/>
      </c>
      <c r="FM179" s="253" t="str">
        <f>IFERROR(ROUND(IF(CD179="ERROR", "ERROR", IF(AND($FM$6=Y179,E179="Interior"), IF(GB179=0, VLOOKUP(W179, 'Lookup Tables'!$AI$6:$AM$102, 5, FALSE)*BP179, IF(VLOOKUP(W179, 'Lookup Tables'!$AI$6:$AM$102, 5, FALSE)*BP179&gt;GB179*'Lighting Inventory'!S179, GB179*'Lighting Inventory'!S179,VLOOKUP(W179, 'Lookup Tables'!$AI$6:$AM$102, 5, FALSE)*BP179)), "")), 2), "")</f>
        <v/>
      </c>
      <c r="FN179" s="253" t="str">
        <f>IFERROR(ROUND(IF(CD179="ERROR", "ERROR", IF(AND($FM$6=Y179,E179="Exterior"), IF(GB179=0, VLOOKUP(W179, 'Lookup Tables'!$AI$6:$AM$102, 5, FALSE)*BP179, IF(VLOOKUP(W179, 'Lookup Tables'!$AI$6:$AM$102, 5, FALSE)*BP179&gt;GB179*'Lighting Inventory'!S179, GB179*'Lighting Inventory'!S179,VLOOKUP(W179, 'Lookup Tables'!$AI$6:$AM$102, 5, FALSE)*BP179)), "")), 2), "")</f>
        <v/>
      </c>
      <c r="FO179" s="253" t="str">
        <f>IFERROR(ROUND(IF(CD179="ERROR", "ERROR", IF(AND($FO$6=Y179,E179="Interior"),VLOOKUP(W179, 'Lookup Tables'!$AI$6:$AM$102, 5, FALSE)*'Lighting Inventory'!AI179, "")), 2), "")</f>
        <v/>
      </c>
      <c r="FP179" s="253" t="str">
        <f>IFERROR(ROUND(IF(CD179="ERROR", "ERROR", IF(AND($FO$6=Y179,E179="Exterior"),VLOOKUP(W179, 'Lookup Tables'!$AI$6:$AM$102, 5, FALSE)*'Lighting Inventory'!AI179, "")), 2), "")</f>
        <v/>
      </c>
      <c r="FQ179" s="253" t="str">
        <f>IFERROR(ROUND(IF(CD179="ERROR", "ERROR", IF(AND($FQ$6=Y179,E179="Interior", BU179="Y"), VLOOKUP('Lighting Inventory'!W179, 'Lookup Tables'!$AI$6:$AM$102, 5, FALSE)*'Lighting Inventory'!S179, IF(AND($FQ$7=Y179,E179="Interior", BU179="N"), 0.025*CD179, ""))), 2), "")</f>
        <v/>
      </c>
      <c r="FR179" s="253" t="str">
        <f>IFERROR(ROUND(IF(CD179="ERROR", "ERROR", IF(AND($FQ$6=Y179,E179="Exterior"), VLOOKUP('Lighting Inventory'!W179, 'Lookup Tables'!$AI$6:$AM$102, 5, FALSE)*'Lighting Inventory'!S179, "")), 2), "")</f>
        <v/>
      </c>
      <c r="FS179" s="253" t="str">
        <f>IFERROR(ROUND(IF(CD179="ERROR", "ERROR", IF(AND($FS$6=Y179,E179="Exterior"), IF(GB179=0, VLOOKUP(W179, 'Lookup Tables'!$AI$6:$AM$102, 5, FALSE)*BP179, IF(VLOOKUP(W179, 'Lookup Tables'!$AI$6:$AM$102, 5, FALSE)*BP179&gt;GB179*'Lighting Inventory'!S179, GB179*'Lighting Inventory'!S179,VLOOKUP(W179, 'Lookup Tables'!$AI$6:$AM$102, 5, FALSE)*BP179)), "")), 2), "")</f>
        <v/>
      </c>
      <c r="FT179" s="253" t="str">
        <f>IFERROR(ROUND(IF(CD179="ERROR", "ERROR", IF(AND($FT$6=Y179,E179="Interior"), IF(GB179=0, VLOOKUP(W179, 'Lookup Tables'!$AI$6:$AM$102, 5, FALSE)*BP179, IF(VLOOKUP(W179, 'Lookup Tables'!$AI$6:$AM$102, 5, FALSE)*BP179&gt;GB179*'Lighting Inventory'!S179, GB179*'Lighting Inventory'!S179,VLOOKUP(W179, 'Lookup Tables'!$AI$6:$AM$102, 5, FALSE)*BP179)), "")), 2), "")</f>
        <v/>
      </c>
      <c r="FU179" s="253" t="str">
        <f>IFERROR(ROUND(IF(CD179="ERROR", "ERROR", IF(AND(Y179=$FU$6, E179="Interior"), IF(BS179="N", 'Lookup Tables'!$AM$101*BP179, VLOOKUP(W179, 'Lookup Tables'!$AI$6:$AM$102, 5, FALSE)*S179*AD179), "")), 2), "")</f>
        <v/>
      </c>
      <c r="FV179" s="253" t="str">
        <f>IFERROR(ROUND(IF(CD179="ERROR", "ERROR", IF(AND(Y179=$FU$6, E179="Exterior"), IF(BS179="N", 'Lookup Tables'!$AM$101*BP179, VLOOKUP(W179, 'Lookup Tables'!$AI$6:$AM$102, 5, FALSE)*S179*AD179), "")), 2), "")</f>
        <v/>
      </c>
      <c r="FW179" s="253" t="str">
        <f>IFERROR(ROUND(IF(CD179="ERROR", "ERROR", IF($FW$6=Y179, IF(BS179="N", 'Lookup Tables'!$AM$101*BP179, MIN((VLOOKUP(W179, 'Lookup Tables'!$AI$6:$AM$102, 5, FALSE)*BP179),GB179*AJ179)), "")), 2), "")</f>
        <v/>
      </c>
      <c r="FX179" s="253" t="str">
        <f>IFERROR(ROUND(IF(CD179="ERROR", "ERROR", IF(AND($FX$6=Y179, E179="Interior"), IF(VLOOKUP(W179, 'Lookup Tables'!$AI$6:$AM$102, 5, FALSE)*BP179&gt;'Lookup Tables'!$AQ$97*'Lighting Inventory'!S179,'Lighting Inventory'!S179*'Lookup Tables'!$AQ$97,VLOOKUP(W179, 'Lookup Tables'!$AI$6:$AM$102, 5, FALSE)*BP179), "")), 2), "")</f>
        <v/>
      </c>
      <c r="FY179" s="253" t="str">
        <f>IFERROR(ROUND(IF(CD179="ERROR", "ERROR", IF(AND($FX$6=Y179, E179="Exterior"), IF(VLOOKUP(W179, 'Lookup Tables'!$AI$6:$AM$102, 5, FALSE)*BP179&gt;'Lookup Tables'!$AQ$97*'Lighting Inventory'!S179,'Lighting Inventory'!S179*'Lookup Tables'!$AQ$97,VLOOKUP(W179, 'Lookup Tables'!$AI$6:$AM$102, 5, FALSE)*BP179), "")), 2), "")</f>
        <v/>
      </c>
      <c r="FZ179" s="253" t="str">
        <f>IFERROR(ROUND(IF(CD179="ERROR", "ERROR", IF(AND($FZ$6=Y179, E179="Interior"), IF(AND(OR(W179="Refrigerated Case Lighting with Doors", W179="Freezer Case Lighting"),Y179="Custom - Process Improvement"),CD179*'Lookup Tables'!$AM$101, IF(B179="Retrofit", IF(VLOOKUP(IF(V179="Custom", V179, W179), 'Lookup Tables'!$AI$6:$AM$102, 5, FALSE)*BP179&gt;GE179, GE179, VLOOKUP(IF(V179="Custom", V179, W179), 'Lookup Tables'!$AI$6:$AM$102, 5, FALSE)*BP179), IF(VLOOKUP(IF(V179="Custom", V179, W179), 'Lookup Tables'!$AI$114:$AM$154, 5, FALSE)*BP179&gt;GE179, GE179, VLOOKUP(IF(V179="Custom", V179, W179), 'Lookup Tables'!$AI$114:$AM$154, 5, FALSE)*BP179))), "")), 2),"")</f>
        <v/>
      </c>
      <c r="GA179" s="253" t="str">
        <f>IFERROR(ROUND(IF(CD179="ERROR", "ERROR", IF(AND($FZ$6=Y179, E179="Exterior"), IF(B179="Retrofit", IF(VLOOKUP(IF(V179="Custom", V179, W179), 'Lookup Tables'!$AI$6:$AM$102, 5, FALSE)*BP179&gt;GE179, GE179, VLOOKUP(IF(V179="Custom", V179, W179), 'Lookup Tables'!$AI$6:$AM$102, 5, FALSE)*BP179), IF(VLOOKUP(IF(V179="Custom", V179, W179), 'Lookup Tables'!$AI$114:$AM$154, 5, FALSE)*BP179&gt;GE179, GE179, VLOOKUP(IF(V179="Custom", V179, W179), 'Lookup Tables'!$AI$114:$AM$154, 5, FALSE)*BP179)), "")), 2),"")</f>
        <v/>
      </c>
      <c r="GB179" s="254" t="str">
        <f t="array" ref="GB179">IF(B179="","",IF(OR(V179="Custom",V179="No Change"),0,IF(B179="Retrofit", INDEX('Lookup Tables'!$AH$6:$AQ$102,MATCH(1,('Lookup Tables'!$AH$6:$AH$102='Lighting Inventory'!V179)*('Lookup Tables'!$AI$6:$AI$102='Lighting Inventory'!W179),FALSE),10),INDEX('Lookup Tables'!$AH$114:$AQ$154,MATCH(1,('Lookup Tables'!$AH$114:$AH$154='Lighting Inventory'!V179)*('Lookup Tables'!$AI$114:$AI$154='Lighting Inventory'!W179),FALSE),10))))</f>
        <v/>
      </c>
      <c r="GC179" s="255" t="str">
        <f t="shared" si="447"/>
        <v/>
      </c>
      <c r="GD179" s="250" t="str">
        <f t="shared" si="448"/>
        <v/>
      </c>
      <c r="GE179" s="253" t="str">
        <f>IFERROR(IF(AND(AF179="", 'General Information'!$F$18="No"),"", IF(AF179="", ((GD179/$CD$266)*$CF$266)*0.5, AF179*S179*0.5)), "")</f>
        <v/>
      </c>
      <c r="GF179" s="255" t="str">
        <f>IF(AND('General Information'!$F$19="", 'General Information'!$F$18="Yes",AF179="",BW179="Y"), "Y", "N")</f>
        <v>N</v>
      </c>
      <c r="GG179" s="255" t="s">
        <v>2946</v>
      </c>
      <c r="GH179" s="255" t="str">
        <f>IFERROR(IF(B179="", "", VLOOKUP(J179, 'Fixture Identities'!$A$6:$N$908, 14, FALSE)), "")</f>
        <v/>
      </c>
      <c r="GI179" s="389" t="str">
        <f>IF(OR(B179="", V179="", W179=""), "", IF(AND(OR(M179='Lookup Tables'!$R$18, M179='Lookup Tables'!$R$19, M179='Lookup Tables'!$R$20, M179='Lookup Tables'!$R$21, M179='Lookup Tables'!$R$22), OR(AN179='Lookup Tables'!$R$17, AN179='Lookup Tables'!$R$17, AN179="")), "Y", "N"))</f>
        <v/>
      </c>
      <c r="GJ179" s="255" t="str">
        <f t="shared" si="449"/>
        <v/>
      </c>
      <c r="GK179" s="255" t="str">
        <f t="shared" si="450"/>
        <v/>
      </c>
      <c r="GL179" s="255" t="str">
        <f t="shared" si="451"/>
        <v/>
      </c>
      <c r="GM179" s="255" t="str">
        <f>IF(AN179="", "", IF(AND(IF(ISNA(VLOOKUP(AN179,'Lookup Tables'!$R$18:$R$22,1,FALSE)), "N", "Y")="Y", E179="Exterior"), "Y", "N"))</f>
        <v/>
      </c>
      <c r="GN179" s="395"/>
      <c r="GO179" s="428">
        <f t="shared" si="497"/>
        <v>0</v>
      </c>
      <c r="GP179" s="428">
        <f t="shared" si="500"/>
        <v>0</v>
      </c>
      <c r="GQ179" s="428">
        <f t="shared" si="498"/>
        <v>0</v>
      </c>
      <c r="GR179" s="428">
        <f t="shared" si="499"/>
        <v>0</v>
      </c>
    </row>
    <row r="180" spans="1:200" s="103" customFormat="1" ht="13.5" customHeight="1" x14ac:dyDescent="0.2">
      <c r="A180" s="272">
        <v>170</v>
      </c>
      <c r="B180" s="110"/>
      <c r="C180" s="110"/>
      <c r="D180" s="110"/>
      <c r="E180" s="110"/>
      <c r="F180" s="110"/>
      <c r="G180" s="110"/>
      <c r="H180" s="110"/>
      <c r="I180" s="29"/>
      <c r="J180" s="29"/>
      <c r="K180" s="272" t="str">
        <f>IFERROR(IF(OR(VLOOKUP(J180, 'Fixture Identities'!$A$6:$L$1023, 3, FALSE)="T12 Linear Fluorescent", VLOOKUP(J180, 'Fixture Identities'!$A$6:$L$1023, 3, FALSE)="T12 U-Tube Fluorescent"), VLOOKUP(VLOOKUP(J180, 'Fixture Identities'!$A$6:$L$1023, 11, FALSE), 'Fixture Identities'!$A$6:$L$1023, 10, FALSE), VLOOKUP(J180, 'Fixture Identities'!$A$6:$L$1023, 10, FALSE)), "")</f>
        <v/>
      </c>
      <c r="L180" s="270" t="str">
        <f t="shared" si="502"/>
        <v/>
      </c>
      <c r="M180" s="110"/>
      <c r="N180" s="110"/>
      <c r="O180" s="110"/>
      <c r="P180" s="272" t="str">
        <f>IFERROR(IF(OR(B180="Retrofit",B180=""),"",IF('Lighting Inventory'!E180="Exterior",VLOOKUP('Lighting Inventory'!N180,'Lookup Tables'!$B$83:$F$103,5,FALSE),IF(N180="Other - Please Estimate EFLH and CFs","Contact Prog. Rep.","ft^2"))), "")</f>
        <v/>
      </c>
      <c r="Q180" s="270" t="str">
        <f>IFERROR(IF(AND(B180="New Construction",E180="Interior",$F$5="Space-by-Space"),VLOOKUP('Lighting Inventory'!N180,'Lookup Tables'!$N$6:$O$97,2,FALSE),IF(AND(B180="New Construction",E180="Exterior"),VLOOKUP(N180,'Lookup Tables'!$B$83:$F$103,2,FALSE),IF(AND(B180="New Construction",'Lighting Inventory'!E180="Interior", $F$5="Building Area"),VLOOKUP(F180,'Lookup Tables'!$A$6:$J$59,10,FALSE),""))), "")</f>
        <v/>
      </c>
      <c r="R180" s="270" t="str">
        <f>IFERROR(IF(P180="Contact Prog. Rep.", "ERROR", IF(OR(B180="",B180="Retrofit"),"",IF(N180="Automated teller machines", ('Lookup Tables'!$A$82:$E$100+('Lighting Inventory'!O180-1)*'Lookup Tables'!$A$82:$E$100)/1000, (Q180*O180)/1000))), "")</f>
        <v/>
      </c>
      <c r="S180" s="595"/>
      <c r="T180" s="105" t="str">
        <f t="shared" si="452"/>
        <v/>
      </c>
      <c r="U180" s="105" t="str">
        <f>IF(S180="","",COUNT($S$11:S180))</f>
        <v/>
      </c>
      <c r="V180" s="111"/>
      <c r="W180" s="112"/>
      <c r="X180" s="105" t="str">
        <f t="shared" si="453"/>
        <v/>
      </c>
      <c r="Y180" s="105" t="str">
        <f t="array" ref="Y180">IF(AND(OR(W180="Freezer Case Lighting", W180="Refrigerated Case Lighting with Doors"), 'General Information'!$X$18="LCI"),'Lookup Tables'!$Y$34, IF(V180="Custom", VLOOKUP(W180, 'Fixture Identities'!$A$974:$M$1023, 13, FALSE), IF(V180="No Change",'Lookup Tables'!$Y$29,IF(OR(V180="",W180=""),"",IF(AND(S180=0,S180&lt;I180,B180="Retrofit"),'Lookup Tables'!$Y$25, IF(B180="Retrofit", INDEX('Lookup Tables'!$AH$6:$AP$102, MATCH(1, ('Lookup Tables'!$AH$6:$AH$102=V180)*('Lookup Tables'!$AI$6:$AI$102=W180), 0), IF('Lighting Inventory'!E180="Interior", 4, 5)), INDEX('Lookup Tables'!$AH$114:$AP$154, MATCH(1, ('Lookup Tables'!$AH$114:$AH$154=V180)*('Lookup Tables'!$AI$114:$AI$154=W180), 0), IF('Lighting Inventory'!E180="Interior", 4, 5))))))))</f>
        <v/>
      </c>
      <c r="Z180" s="105" t="str">
        <f>IFERROR(INDEX('Lookup Tables'!$AH$158:$AH$172,MATCH('Lighting Inventory'!Y180,'Lookup Tables'!$AI$158:$AI$172,0)),"")</f>
        <v/>
      </c>
      <c r="AA180" s="105" t="str">
        <f>IF(AP180&gt;0,INDEX('Lookup Tables'!$AK$158:$AK$172,MATCH('Lighting Inventory'!Y180,'Lookup Tables'!$AI$158:$AI$172,0)),'Lighting Inventory'!Y180)</f>
        <v/>
      </c>
      <c r="AB180" s="105" t="str">
        <f t="array" ref="AB180">IF(V180="Custom", "Custom", IF(V180="", "", IF(V180="Not DLC or Energy Star", "General", IF(B180="New Construction", INDEX('Lookup Tables'!$AH$114:$AP$154,MATCH(1,('Lookup Tables'!$AH$114:$AH$154='Lighting Inventory'!V180)*('Lookup Tables'!$AI$114:$AI$154='Lighting Inventory'!W180),FALSE),8), INDEX('Lookup Tables'!$AH$6:$AP$102,MATCH(1,('Lookup Tables'!$AH$6:$AH$102='Lighting Inventory'!V180)*('Lookup Tables'!$AI$6:$AI$102='Lighting Inventory'!W180),FALSE),8)))))</f>
        <v/>
      </c>
      <c r="AC180" s="272" t="str">
        <f>IF(W180="","",IF(V180="Custom",CONCATENATE("$",'Lookup Tables'!$AM$101," ",'Lookup Tables'!$AN$101),CONCATENATE("$",INDEX('Lookup Tables'!$AM$6:$AM$102,MATCH('Lighting Inventory'!W180,'Lookup Tables'!$AI$6:$AI$102,0))," ",INDEX('Lookup Tables'!$AN$6:$AN$102,MATCH('Lighting Inventory'!W180,'Lookup Tables'!$AI$6:$AI$102,0)))))</f>
        <v/>
      </c>
      <c r="AD180" s="72"/>
      <c r="AE180" s="29"/>
      <c r="AF180" s="379"/>
      <c r="AG180" s="370" t="str">
        <f t="shared" si="401"/>
        <v/>
      </c>
      <c r="AH180" s="370" t="str">
        <f t="shared" si="454"/>
        <v/>
      </c>
      <c r="AI180" s="29"/>
      <c r="AJ180" s="29"/>
      <c r="AK180" s="110"/>
      <c r="AL180" s="375" t="str">
        <f>IF(OR(B180="", V180="", W180=""), "", IF(V180="No Change", K180, IF(V180="Remove Fixture", 0, IF(V180="Custom",VLOOKUP(W180,'Fixture Identities'!$A$6:$K$1023,10,FALSE),IF(AE180="", "← ENTER POST WATTS", 'Lighting Inventory'!AE180)))))</f>
        <v/>
      </c>
      <c r="AM180" s="376" t="str">
        <f t="shared" si="402"/>
        <v/>
      </c>
      <c r="AN180" s="29"/>
      <c r="AO180" s="671"/>
      <c r="AP180" s="29"/>
      <c r="AQ180" s="29"/>
      <c r="AR180" s="29"/>
      <c r="AS180" s="272" t="str">
        <f t="shared" si="455"/>
        <v/>
      </c>
      <c r="AT180" s="270" t="str">
        <f t="shared" si="403"/>
        <v/>
      </c>
      <c r="AU180" s="88" t="str">
        <f t="shared" si="503"/>
        <v/>
      </c>
      <c r="AV180" s="29"/>
      <c r="AW180" s="73"/>
      <c r="AX180" s="271" t="str">
        <f>IF(AND(AV180="Applicant",OR(AW180="", AW180="Use Default Facility Hours")),"← Choose Schedule",IF(F180="","",IF(W180="LED Exit Signs",8760,IF(OR(AV180="Prescribed",AV180=""),VLOOKUP(F180,'Lookup Tables'!$A$6:$G$59,IF(AB180="General", 6, 3),FALSE),VLOOKUP(AW180,'Lookup Tables'!$S$36:$U$43,2,FALSE)))))</f>
        <v/>
      </c>
      <c r="AY180" s="88" t="str">
        <f t="shared" si="404"/>
        <v/>
      </c>
      <c r="AZ180" s="270" t="str">
        <f>IFERROR(IF(F180="", "", IF(W180="LED Exit Signs", 1, IF(AV180="Applicant",VLOOKUP(AW180, 'Lookup Tables'!$S$36:$U$43,3, FALSE), VLOOKUP('Lighting Inventory'!F180, 'Lookup Tables'!$A$6:$H$59, IF('Lighting Inventory'!AB180="General",7,4), FALSE)))), "")</f>
        <v/>
      </c>
      <c r="BA180" s="522" t="str">
        <f>IFERROR(IF(F180="", "", IF(W180="LED Exit Signs", 1, VLOOKUP('Lighting Inventory'!F180, 'Lookup Tables'!$A$6:$H$59, IF('Lighting Inventory'!AB180="General",8,5), FALSE))), "")</f>
        <v/>
      </c>
      <c r="BB180" s="270" t="str">
        <f>IF(G180="", "", IF(E180="Exterior", 0, IF('Lighting Inventory'!G180="Air Conditioned", VLOOKUP(H180, 'Lookup Tables'!$R$6:$T$13, 2, FALSE), VLOOKUP('Lighting Inventory'!G180, 'Lookup Tables'!$R$6:$T$13, 2, FALSE))))</f>
        <v/>
      </c>
      <c r="BC180" s="522" t="str">
        <f>IF(G180="", "", IF(E180="Exterior", 0, IF('Lighting Inventory'!G180="Air Conditioned", VLOOKUP(H180, 'Lookup Tables'!$R$6:$T$13, 3, FALSE), VLOOKUP('Lighting Inventory'!G180, 'Lookup Tables'!$R$6:$T$13, 3, FALSE))))</f>
        <v/>
      </c>
      <c r="BD180" s="270" t="str">
        <f>IF(G180="", "", IF(E180="Exterior", 0, IF('Lighting Inventory'!G180="Air Conditioned", VLOOKUP(H180, 'Lookup Tables'!$R$6:$U$13, 4, FALSE), VLOOKUP('Lighting Inventory'!G180, 'Lookup Tables'!$R$6:$U$13, 4, FALSE))))</f>
        <v/>
      </c>
      <c r="BE180" s="270" t="str">
        <f>IFERROR(IF(B180="", "",  IF(B180="New Construction", VLOOKUP(F180, 'Lookup Tables'!$A$6:$K$59, 11, FALSE),IF(OR(AN180="", AN180="Light Switch"), 0, IF(OR(M180="",M180="None",V180= "LED Exit Signs"),0,_xlfn.XLOOKUP(M180,'Lookup Tables'!$R$91:$R$101,'Lookup Tables'!$V$91:$V$101))))), "")</f>
        <v/>
      </c>
      <c r="BF180" s="270" t="str">
        <f>IF(AND(OR(AN180="Light Switch",AN180=""),B180="New Construction"), VLOOKUP(F180, 'Lookup Tables'!$A$6:$K$59, 11, FALSE),IF(AN180="","",IF(B180="","",IF(OR(AN180="None",AN180="",V180="LED Exit Signs",AN180="Exterior Controls Not Eligible"),0,_xlfn.XLOOKUP(AN180,'Lookup Tables'!$R$91:$R$101,'Lookup Tables'!$V$91:$V$101)))))</f>
        <v/>
      </c>
      <c r="BG180" s="88" t="str">
        <f t="shared" si="456"/>
        <v/>
      </c>
      <c r="BH180" s="88" t="str">
        <f t="shared" si="457"/>
        <v/>
      </c>
      <c r="BI180" s="558" t="str">
        <f t="shared" si="501"/>
        <v/>
      </c>
      <c r="BJ180" s="82" t="str">
        <f t="shared" si="458"/>
        <v/>
      </c>
      <c r="BK180" s="82" t="str">
        <f t="shared" si="459"/>
        <v/>
      </c>
      <c r="BL180" s="559" t="str">
        <f t="shared" si="460"/>
        <v/>
      </c>
      <c r="BM180" s="521" t="str">
        <f t="shared" si="405"/>
        <v/>
      </c>
      <c r="BN180" s="521" t="str">
        <f t="shared" si="406"/>
        <v/>
      </c>
      <c r="BO180" s="522" t="str">
        <f t="shared" si="407"/>
        <v/>
      </c>
      <c r="BP180" s="83" t="str">
        <f t="shared" si="461"/>
        <v/>
      </c>
      <c r="BQ180" s="84" t="str">
        <f t="shared" si="462"/>
        <v/>
      </c>
      <c r="BR180" s="184" t="str">
        <f>IFERROR(IF(B180="", "", IF(OR(VLOOKUP(J180, 'Fixture Identities'!$A$6:$L$1023, 3, FALSE)="T12 Linear Fluorescent",VLOOKUP(J180, 'Fixture Identities'!$A$6:$L$1023, 3, FALSE)="T12 U-Tube Fluorescent"), "Y", "N")), "N")</f>
        <v/>
      </c>
      <c r="BS180" s="184" t="str">
        <f t="array" ref="BS180">IFERROR(IF(OR(B180="", V180="", W180=""), "", IF(V180="Custom", "N", IF(OR(W180="Freezer Case Lighting", W180="Refrigerated Case Lighting with Doors"), BT180, IF(B180="Retrofit", INDEX('Lookup Tables'!$AH$6:$AT$102,MATCH(1,('Lookup Tables'!$AH$6:$AH$102=V180)*('Lookup Tables'!$AI$6:$AI$102=W180),FALSE),IF(VLOOKUP(J180, 'Fixture Identities'!$A$6:$B$1023, 2, FALSE)="Incandescent",12, 13)), INDEX('Lookup Tables'!$AH$114:$AS$154,MATCH(1,('Lookup Tables'!$AH$114:$AH$154=V180)*('Lookup Tables'!$AI$114:$AI$154=W180),FALSE),12))))), "N")</f>
        <v/>
      </c>
      <c r="BT180" s="184" t="str">
        <f>IF(J180="", "", IF(AND(OR(W180="Freezer case Lighting", W180="Refrigerated Case Lighting with Doors"),'General Information'!$X$18="LCI"), "N", IF(OR(VLOOKUP(J180, 'Fixture Identities'!$A$6:$B$1023, 2, FALSE)="T12 EPACT/EISA Baseline", VLOOKUP(J180, 'Fixture Identities'!$A$6:$B$1023, 2, FALSE)="Linear Fluorescent", VLOOKUP(J180, 'Fixture Identities'!$A$6:$B$1023, 2, FALSE)="U-Tube Fluorescent"), "Y", "N")))</f>
        <v/>
      </c>
      <c r="BU180" s="184" t="str">
        <f>IFERROR(IF(B180="", "", IF(VLOOKUP(J180, 'Fixture Identities'!$A$6:$B$1023, 2, FALSE)="Exit Sign", "Y", "N")), "N")</f>
        <v/>
      </c>
      <c r="BV180" s="184" t="str">
        <f>IF(V180="Exit Signs", IF(VLOOKUP(J180, 'Fixture Identities'!$A$6:$B$1023, 2, FALSE)="Exit Sign", "N", "Y"), "")</f>
        <v/>
      </c>
      <c r="BW180" s="184" t="str">
        <f t="array" ref="BW180">IFERROR(IF(B180="", "", IF(B180="New Construction", "N", INDEX('Lookup Tables'!$AH$6:$AU$102, MATCH(1, ('Lookup Tables'!$AH$6:$AH$102='Lighting Inventory'!V180)*('Lookup Tables'!$AI$6:$AI$102='Lighting Inventory'!W180), 0), 14))), "N")</f>
        <v/>
      </c>
      <c r="BX180" s="598" t="str">
        <f t="shared" si="463"/>
        <v/>
      </c>
      <c r="BY180" s="598" t="str">
        <f t="shared" si="464"/>
        <v/>
      </c>
      <c r="BZ180" s="598" t="str">
        <f t="shared" si="465"/>
        <v/>
      </c>
      <c r="CA180" s="598" t="str">
        <f t="shared" si="466"/>
        <v/>
      </c>
      <c r="CB180" s="269" t="str">
        <f t="shared" si="467"/>
        <v/>
      </c>
      <c r="CC180" s="517" t="str">
        <f t="shared" si="468"/>
        <v/>
      </c>
      <c r="CD180" s="565" t="str">
        <f t="shared" si="408"/>
        <v/>
      </c>
      <c r="CE180" s="368">
        <v>0</v>
      </c>
      <c r="CF180" s="368" t="str" cm="1">
        <f t="array" ref="CF180">IFERROR(IF(V180="Custom", "$0.1 per kWh", IF(B180="New Construction", CONCATENATE("$",INDEX('Lookup Tables'!$AH$114:$AN$154,MATCH(1,('Lookup Tables'!$AH$114:$AH$154='Lighting Inventory'!V180)*('Lookup Tables'!$AI$114:$AI$154='Lighting Inventory'!W180),FALSE),6)," ",INDEX('Lookup Tables'!$AH$114:$AN$154,MATCH(1,('Lookup Tables'!$AH$114:$AH$154='Lighting Inventory'!V180)*('Lookup Tables'!$AI$114:$AI$154='Lighting Inventory'!W180),FALSE),7)), IF(AND(BU180="N", V180="Exit Signs"), "$0.025 per kWh", CONCATENATE("$",INDEX('Lookup Tables'!$AH$6:$AN$102,MATCH(1,('Lookup Tables'!$AH$6:$AH$102='Lighting Inventory'!V180)*('Lookup Tables'!$AI$6:$AI$102='Lighting Inventory'!W180),FALSE),6)," ",INDEX('Lookup Tables'!$AH$6:$AN$102,MATCH(1,('Lookup Tables'!$AH$6:$AH$102='Lighting Inventory'!V180)*('Lookup Tables'!$AI$6:$AI$102='Lighting Inventory'!W180),FALSE),7))))), "")</f>
        <v/>
      </c>
      <c r="CG180" s="366"/>
      <c r="CH180" s="248" t="str">
        <f t="shared" si="409"/>
        <v/>
      </c>
      <c r="CI180" s="248" t="str">
        <f t="shared" si="410"/>
        <v>Select_IE</v>
      </c>
      <c r="CJ180" s="248" t="str">
        <f t="shared" si="411"/>
        <v/>
      </c>
      <c r="CK180" s="248" t="str">
        <f t="shared" si="412"/>
        <v/>
      </c>
      <c r="CL180" s="248" t="str">
        <f t="shared" si="413"/>
        <v/>
      </c>
      <c r="CM180" s="248" t="str">
        <f>IFERROR(IF(B180="", "", IF(B180="New Construction", VLOOKUP(V180, 'Lookup Tables'!$AF$114:$AG$120, 2, FALSE), VLOOKUP(V180, 'Lookup Tables'!$AD$6:$AE$25, 2, FALSE))), "")</f>
        <v/>
      </c>
      <c r="CN180" s="248" t="str">
        <f t="shared" si="414"/>
        <v/>
      </c>
      <c r="CO180" s="248" t="str">
        <f t="shared" si="415"/>
        <v/>
      </c>
      <c r="CP180" s="592" t="str">
        <f t="shared" si="416"/>
        <v/>
      </c>
      <c r="CQ180" s="248" t="str">
        <f t="shared" si="469"/>
        <v/>
      </c>
      <c r="CR180" s="100"/>
      <c r="CS180" s="250" t="str">
        <f t="shared" si="417"/>
        <v/>
      </c>
      <c r="CT180" s="250" t="str">
        <f t="shared" si="470"/>
        <v/>
      </c>
      <c r="CU180" s="250" t="str">
        <f t="shared" si="471"/>
        <v/>
      </c>
      <c r="CV180" s="250" t="str">
        <f t="shared" si="472"/>
        <v/>
      </c>
      <c r="CW180" s="250" t="str">
        <f t="shared" si="473"/>
        <v/>
      </c>
      <c r="CX180" s="250" t="str">
        <f t="shared" si="418"/>
        <v/>
      </c>
      <c r="CY180" s="250" t="str">
        <f t="shared" si="419"/>
        <v/>
      </c>
      <c r="CZ180" s="250" t="str">
        <f t="shared" si="420"/>
        <v/>
      </c>
      <c r="DA180" s="250" t="str">
        <f t="shared" si="421"/>
        <v/>
      </c>
      <c r="DB180" s="250" t="str">
        <f t="shared" si="422"/>
        <v/>
      </c>
      <c r="DC180" s="250" t="str">
        <f t="shared" si="423"/>
        <v/>
      </c>
      <c r="DD180" s="250" t="str">
        <f t="shared" si="424"/>
        <v/>
      </c>
      <c r="DE180" s="250" t="str">
        <f t="shared" si="425"/>
        <v/>
      </c>
      <c r="DF180" s="250" t="str">
        <f t="shared" si="426"/>
        <v/>
      </c>
      <c r="DG180" s="250" t="str">
        <f t="shared" si="427"/>
        <v/>
      </c>
      <c r="DH180" s="250" t="str">
        <f t="shared" si="428"/>
        <v/>
      </c>
      <c r="DI180" s="250" t="str">
        <f t="shared" si="429"/>
        <v/>
      </c>
      <c r="DJ180" s="250" t="str">
        <f t="shared" si="430"/>
        <v/>
      </c>
      <c r="DK180" s="250" t="str">
        <f t="shared" si="431"/>
        <v/>
      </c>
      <c r="DL180" s="250" t="str">
        <f t="shared" si="432"/>
        <v/>
      </c>
      <c r="DM180" s="250" t="str">
        <f>IF(CD180="ERROR", "ERROR", IF(AND(OR(Y180=$DM$6, Y180='Lookup Tables'!$AD$21, Y180='Lookup Tables'!$AD$22), E180="Interior"), BJ180, ""))</f>
        <v/>
      </c>
      <c r="DN180" s="250" t="str">
        <f>IF(CD180="ERROR", "ERROR", IF(AND(OR(Y180=$DM$6, Y180='Lookup Tables'!$AD$21, Y180='Lookup Tables'!$AD$22), E180="Exterior"), BJ180, ""))</f>
        <v/>
      </c>
      <c r="DO180" s="100"/>
      <c r="DP180" s="250" t="str">
        <f t="shared" si="433"/>
        <v/>
      </c>
      <c r="DQ180" s="250" t="str">
        <f t="shared" si="474"/>
        <v/>
      </c>
      <c r="DR180" s="250" t="str">
        <f t="shared" si="475"/>
        <v/>
      </c>
      <c r="DS180" s="250" t="str">
        <f t="shared" si="476"/>
        <v/>
      </c>
      <c r="DT180" s="250" t="str">
        <f t="shared" si="477"/>
        <v/>
      </c>
      <c r="DU180" s="250" t="str">
        <f t="shared" si="434"/>
        <v/>
      </c>
      <c r="DV180" s="250" t="str">
        <f t="shared" si="435"/>
        <v/>
      </c>
      <c r="DW180" s="250" t="str">
        <f t="shared" si="436"/>
        <v/>
      </c>
      <c r="DX180" s="250" t="str">
        <f t="shared" si="437"/>
        <v/>
      </c>
      <c r="DY180" s="250" t="str">
        <f t="shared" si="438"/>
        <v/>
      </c>
      <c r="DZ180" s="250" t="str">
        <f t="shared" si="439"/>
        <v/>
      </c>
      <c r="EA180" s="250" t="str">
        <f t="shared" si="440"/>
        <v/>
      </c>
      <c r="EB180" s="250" t="str">
        <f t="shared" si="478"/>
        <v/>
      </c>
      <c r="EC180" s="250" t="str">
        <f t="shared" si="441"/>
        <v/>
      </c>
      <c r="ED180" s="250" t="str">
        <f t="shared" si="442"/>
        <v/>
      </c>
      <c r="EE180" s="250" t="str">
        <f t="shared" si="443"/>
        <v/>
      </c>
      <c r="EF180" s="250" t="str">
        <f t="shared" si="444"/>
        <v/>
      </c>
      <c r="EG180" s="250" t="str">
        <f t="shared" si="445"/>
        <v/>
      </c>
      <c r="EH180" s="250" t="str">
        <f>IF(CD180="ERROR", "ERROR", IF(AND(OR($EH$6=Y180, Y180='Lookup Tables'!$AD$21, Y180='Lookup Tables'!$AD$22),E180="Interior"), SUM(BP180:BP180), ""))</f>
        <v/>
      </c>
      <c r="EI180" s="250" t="str">
        <f>IF(CD180="ERROR", "ERROR", IF(AND(OR($EH$6=Y180, Y180='Lookup Tables'!$AD$21, Y180='Lookup Tables'!$AD$22),E180="Exterior"), SUM(BP180:BP180), ""))</f>
        <v/>
      </c>
      <c r="EJ180" s="109"/>
      <c r="EK180" s="485" t="str">
        <f t="shared" si="446"/>
        <v/>
      </c>
      <c r="EL180" s="252" t="str">
        <f t="shared" si="479"/>
        <v/>
      </c>
      <c r="EM180" s="252" t="str">
        <f t="shared" si="480"/>
        <v/>
      </c>
      <c r="EN180" s="252" t="str">
        <f t="shared" si="481"/>
        <v/>
      </c>
      <c r="EO180" s="252" t="str">
        <f t="shared" si="482"/>
        <v/>
      </c>
      <c r="EP180" s="252" t="str">
        <f t="shared" si="483"/>
        <v/>
      </c>
      <c r="EQ180" s="252" t="str">
        <f t="shared" si="484"/>
        <v/>
      </c>
      <c r="ER180" s="252" t="str">
        <f t="shared" si="485"/>
        <v/>
      </c>
      <c r="ES180" s="252" t="str">
        <f t="shared" si="486"/>
        <v/>
      </c>
      <c r="ET180" s="252" t="str">
        <f t="shared" si="487"/>
        <v/>
      </c>
      <c r="EU180" s="252" t="str">
        <f t="shared" si="488"/>
        <v/>
      </c>
      <c r="EV180" s="252" t="str">
        <f t="shared" si="489"/>
        <v/>
      </c>
      <c r="EW180" s="252" t="str">
        <f t="shared" si="490"/>
        <v/>
      </c>
      <c r="EX180" s="252" t="str">
        <f t="shared" si="491"/>
        <v/>
      </c>
      <c r="EY180" s="252" t="str">
        <f t="shared" si="492"/>
        <v/>
      </c>
      <c r="EZ180" s="252" t="str">
        <f t="shared" si="493"/>
        <v/>
      </c>
      <c r="FA180" s="252" t="str">
        <f t="shared" si="494"/>
        <v/>
      </c>
      <c r="FB180" s="252" t="str">
        <f t="shared" si="495"/>
        <v/>
      </c>
      <c r="FC180" s="252" t="str">
        <f>IF(CD180="ERROR", "ERROR", IF(OR(V180="No Change", V180="Not DLC or Energy Star"), "", IF(AND(OR($FC$6=Y180,Y180='Lookup Tables'!$AD$21, Y180='Lookup Tables'!$AD$22),E180="Interior"), S180, "")))</f>
        <v/>
      </c>
      <c r="FD180" s="252" t="str">
        <f t="shared" si="496"/>
        <v/>
      </c>
      <c r="FE180" s="101"/>
      <c r="FF180" s="579" t="str" cm="1">
        <f t="array" ref="FF180">IFERROR(IF(OR(BQ180&lt;=0,AQ180&lt;20,AND(V180="Exit Signs",AN180&gt;0)),"",IF(AND(AQ180&gt;=20,AN180='Lookup Tables'!$R$101),'Lookup Tables'!$U$101*BQ180,AP180*LOOKUP(2,1/((AN180='Lookup Tables'!$R$91:$R$111)*(AQ180&gt;='Lookup Tables'!$S$91:$S$111)*(AQ180&lt;='Lookup Tables'!$T$91:$T$111)),'Lookup Tables'!$U$91:$U$111))),"")</f>
        <v/>
      </c>
      <c r="FG180" s="579"/>
      <c r="FH180" s="579"/>
      <c r="FI180" s="253" t="str">
        <f>IFERROR(ROUND(IF(CD180="ERROR", "ERROR", IF(AND($FI$7=X180,E180="Interior"),VLOOKUP(W180, 'Lookup Tables'!$AI$6:$AM$102, 5, FALSE)*BP180, "")), 2), "")</f>
        <v/>
      </c>
      <c r="FJ180" s="253" t="str">
        <f>IFERROR(ROUND(IF(CD180="ERROR", "ERROR", IF(AND($FI$7=X180,E180="Exterior"),VLOOKUP(W180, 'Lookup Tables'!$AI$6:$AM$102, 5, FALSE)*BP180, "")), 2), "")</f>
        <v/>
      </c>
      <c r="FK180" s="253" t="str">
        <f>IFERROR(ROUND(IF(CD180="ERROR", "ERROR", IF(AND($FK$7=X180,E180="Interior"),VLOOKUP(W180, 'Lookup Tables'!$AI$6:$AM$102, 5, FALSE)*BP180, "")), 2), "")</f>
        <v/>
      </c>
      <c r="FL180" s="253" t="str">
        <f>IFERROR(ROUND(IF(CD180="ERROR", "ERROR", IF(AND($FK$7=X180,E180="Exterior"),VLOOKUP(W180, 'Lookup Tables'!$AI$6:$AM$102, 5, FALSE)*BP180, "")), 2), "")</f>
        <v/>
      </c>
      <c r="FM180" s="253" t="str">
        <f>IFERROR(ROUND(IF(CD180="ERROR", "ERROR", IF(AND($FM$6=Y180,E180="Interior"), IF(GB180=0, VLOOKUP(W180, 'Lookup Tables'!$AI$6:$AM$102, 5, FALSE)*BP180, IF(VLOOKUP(W180, 'Lookup Tables'!$AI$6:$AM$102, 5, FALSE)*BP180&gt;GB180*'Lighting Inventory'!S180, GB180*'Lighting Inventory'!S180,VLOOKUP(W180, 'Lookup Tables'!$AI$6:$AM$102, 5, FALSE)*BP180)), "")), 2), "")</f>
        <v/>
      </c>
      <c r="FN180" s="253" t="str">
        <f>IFERROR(ROUND(IF(CD180="ERROR", "ERROR", IF(AND($FM$6=Y180,E180="Exterior"), IF(GB180=0, VLOOKUP(W180, 'Lookup Tables'!$AI$6:$AM$102, 5, FALSE)*BP180, IF(VLOOKUP(W180, 'Lookup Tables'!$AI$6:$AM$102, 5, FALSE)*BP180&gt;GB180*'Lighting Inventory'!S180, GB180*'Lighting Inventory'!S180,VLOOKUP(W180, 'Lookup Tables'!$AI$6:$AM$102, 5, FALSE)*BP180)), "")), 2), "")</f>
        <v/>
      </c>
      <c r="FO180" s="253" t="str">
        <f>IFERROR(ROUND(IF(CD180="ERROR", "ERROR", IF(AND($FO$6=Y180,E180="Interior"),VLOOKUP(W180, 'Lookup Tables'!$AI$6:$AM$102, 5, FALSE)*'Lighting Inventory'!AI180, "")), 2), "")</f>
        <v/>
      </c>
      <c r="FP180" s="253" t="str">
        <f>IFERROR(ROUND(IF(CD180="ERROR", "ERROR", IF(AND($FO$6=Y180,E180="Exterior"),VLOOKUP(W180, 'Lookup Tables'!$AI$6:$AM$102, 5, FALSE)*'Lighting Inventory'!AI180, "")), 2), "")</f>
        <v/>
      </c>
      <c r="FQ180" s="253" t="str">
        <f>IFERROR(ROUND(IF(CD180="ERROR", "ERROR", IF(AND($FQ$6=Y180,E180="Interior", BU180="Y"), VLOOKUP('Lighting Inventory'!W180, 'Lookup Tables'!$AI$6:$AM$102, 5, FALSE)*'Lighting Inventory'!S180, IF(AND($FQ$7=Y180,E180="Interior", BU180="N"), 0.025*CD180, ""))), 2), "")</f>
        <v/>
      </c>
      <c r="FR180" s="253" t="str">
        <f>IFERROR(ROUND(IF(CD180="ERROR", "ERROR", IF(AND($FQ$6=Y180,E180="Exterior"), VLOOKUP('Lighting Inventory'!W180, 'Lookup Tables'!$AI$6:$AM$102, 5, FALSE)*'Lighting Inventory'!S180, "")), 2), "")</f>
        <v/>
      </c>
      <c r="FS180" s="253" t="str">
        <f>IFERROR(ROUND(IF(CD180="ERROR", "ERROR", IF(AND($FS$6=Y180,E180="Exterior"), IF(GB180=0, VLOOKUP(W180, 'Lookup Tables'!$AI$6:$AM$102, 5, FALSE)*BP180, IF(VLOOKUP(W180, 'Lookup Tables'!$AI$6:$AM$102, 5, FALSE)*BP180&gt;GB180*'Lighting Inventory'!S180, GB180*'Lighting Inventory'!S180,VLOOKUP(W180, 'Lookup Tables'!$AI$6:$AM$102, 5, FALSE)*BP180)), "")), 2), "")</f>
        <v/>
      </c>
      <c r="FT180" s="253" t="str">
        <f>IFERROR(ROUND(IF(CD180="ERROR", "ERROR", IF(AND($FT$6=Y180,E180="Interior"), IF(GB180=0, VLOOKUP(W180, 'Lookup Tables'!$AI$6:$AM$102, 5, FALSE)*BP180, IF(VLOOKUP(W180, 'Lookup Tables'!$AI$6:$AM$102, 5, FALSE)*BP180&gt;GB180*'Lighting Inventory'!S180, GB180*'Lighting Inventory'!S180,VLOOKUP(W180, 'Lookup Tables'!$AI$6:$AM$102, 5, FALSE)*BP180)), "")), 2), "")</f>
        <v/>
      </c>
      <c r="FU180" s="253" t="str">
        <f>IFERROR(ROUND(IF(CD180="ERROR", "ERROR", IF(AND(Y180=$FU$6, E180="Interior"), IF(BS180="N", 'Lookup Tables'!$AM$101*BP180, VLOOKUP(W180, 'Lookup Tables'!$AI$6:$AM$102, 5, FALSE)*S180*AD180), "")), 2), "")</f>
        <v/>
      </c>
      <c r="FV180" s="253" t="str">
        <f>IFERROR(ROUND(IF(CD180="ERROR", "ERROR", IF(AND(Y180=$FU$6, E180="Exterior"), IF(BS180="N", 'Lookup Tables'!$AM$101*BP180, VLOOKUP(W180, 'Lookup Tables'!$AI$6:$AM$102, 5, FALSE)*S180*AD180), "")), 2), "")</f>
        <v/>
      </c>
      <c r="FW180" s="253" t="str">
        <f>IFERROR(ROUND(IF(CD180="ERROR", "ERROR", IF($FW$6=Y180, IF(BS180="N", 'Lookup Tables'!$AM$101*BP180, MIN((VLOOKUP(W180, 'Lookup Tables'!$AI$6:$AM$102, 5, FALSE)*BP180),GB180*AJ180)), "")), 2), "")</f>
        <v/>
      </c>
      <c r="FX180" s="253" t="str">
        <f>IFERROR(ROUND(IF(CD180="ERROR", "ERROR", IF(AND($FX$6=Y180, E180="Interior"), IF(VLOOKUP(W180, 'Lookup Tables'!$AI$6:$AM$102, 5, FALSE)*BP180&gt;'Lookup Tables'!$AQ$97*'Lighting Inventory'!S180,'Lighting Inventory'!S180*'Lookup Tables'!$AQ$97,VLOOKUP(W180, 'Lookup Tables'!$AI$6:$AM$102, 5, FALSE)*BP180), "")), 2), "")</f>
        <v/>
      </c>
      <c r="FY180" s="253" t="str">
        <f>IFERROR(ROUND(IF(CD180="ERROR", "ERROR", IF(AND($FX$6=Y180, E180="Exterior"), IF(VLOOKUP(W180, 'Lookup Tables'!$AI$6:$AM$102, 5, FALSE)*BP180&gt;'Lookup Tables'!$AQ$97*'Lighting Inventory'!S180,'Lighting Inventory'!S180*'Lookup Tables'!$AQ$97,VLOOKUP(W180, 'Lookup Tables'!$AI$6:$AM$102, 5, FALSE)*BP180), "")), 2), "")</f>
        <v/>
      </c>
      <c r="FZ180" s="253" t="str">
        <f>IFERROR(ROUND(IF(CD180="ERROR", "ERROR", IF(AND($FZ$6=Y180, E180="Interior"), IF(AND(OR(W180="Refrigerated Case Lighting with Doors", W180="Freezer Case Lighting"),Y180="Custom - Process Improvement"),CD180*'Lookup Tables'!$AM$101, IF(B180="Retrofit", IF(VLOOKUP(IF(V180="Custom", V180, W180), 'Lookup Tables'!$AI$6:$AM$102, 5, FALSE)*BP180&gt;GE180, GE180, VLOOKUP(IF(V180="Custom", V180, W180), 'Lookup Tables'!$AI$6:$AM$102, 5, FALSE)*BP180), IF(VLOOKUP(IF(V180="Custom", V180, W180), 'Lookup Tables'!$AI$114:$AM$154, 5, FALSE)*BP180&gt;GE180, GE180, VLOOKUP(IF(V180="Custom", V180, W180), 'Lookup Tables'!$AI$114:$AM$154, 5, FALSE)*BP180))), "")), 2),"")</f>
        <v/>
      </c>
      <c r="GA180" s="253" t="str">
        <f>IFERROR(ROUND(IF(CD180="ERROR", "ERROR", IF(AND($FZ$6=Y180, E180="Exterior"), IF(B180="Retrofit", IF(VLOOKUP(IF(V180="Custom", V180, W180), 'Lookup Tables'!$AI$6:$AM$102, 5, FALSE)*BP180&gt;GE180, GE180, VLOOKUP(IF(V180="Custom", V180, W180), 'Lookup Tables'!$AI$6:$AM$102, 5, FALSE)*BP180), IF(VLOOKUP(IF(V180="Custom", V180, W180), 'Lookup Tables'!$AI$114:$AM$154, 5, FALSE)*BP180&gt;GE180, GE180, VLOOKUP(IF(V180="Custom", V180, W180), 'Lookup Tables'!$AI$114:$AM$154, 5, FALSE)*BP180)), "")), 2),"")</f>
        <v/>
      </c>
      <c r="GB180" s="254" t="str">
        <f t="array" ref="GB180">IF(B180="","",IF(OR(V180="Custom",V180="No Change"),0,IF(B180="Retrofit", INDEX('Lookup Tables'!$AH$6:$AQ$102,MATCH(1,('Lookup Tables'!$AH$6:$AH$102='Lighting Inventory'!V180)*('Lookup Tables'!$AI$6:$AI$102='Lighting Inventory'!W180),FALSE),10),INDEX('Lookup Tables'!$AH$114:$AQ$154,MATCH(1,('Lookup Tables'!$AH$114:$AH$154='Lighting Inventory'!V180)*('Lookup Tables'!$AI$114:$AI$154='Lighting Inventory'!W180),FALSE),10))))</f>
        <v/>
      </c>
      <c r="GC180" s="255" t="str">
        <f t="shared" si="447"/>
        <v/>
      </c>
      <c r="GD180" s="250" t="str">
        <f t="shared" si="448"/>
        <v/>
      </c>
      <c r="GE180" s="253" t="str">
        <f>IFERROR(IF(AND(AF180="", 'General Information'!$F$18="No"),"", IF(AF180="", ((GD180/$CD$266)*$CF$266)*0.5, AF180*S180*0.5)), "")</f>
        <v/>
      </c>
      <c r="GF180" s="255" t="str">
        <f>IF(AND('General Information'!$F$19="", 'General Information'!$F$18="Yes",AF180="",BW180="Y"), "Y", "N")</f>
        <v>N</v>
      </c>
      <c r="GG180" s="255" t="s">
        <v>2946</v>
      </c>
      <c r="GH180" s="255" t="str">
        <f>IFERROR(IF(B180="", "", VLOOKUP(J180, 'Fixture Identities'!$A$6:$N$908, 14, FALSE)), "")</f>
        <v/>
      </c>
      <c r="GI180" s="389" t="str">
        <f>IF(OR(B180="", V180="", W180=""), "", IF(AND(OR(M180='Lookup Tables'!$R$18, M180='Lookup Tables'!$R$19, M180='Lookup Tables'!$R$20, M180='Lookup Tables'!$R$21, M180='Lookup Tables'!$R$22), OR(AN180='Lookup Tables'!$R$17, AN180='Lookup Tables'!$R$17, AN180="")), "Y", "N"))</f>
        <v/>
      </c>
      <c r="GJ180" s="255" t="str">
        <f t="shared" si="449"/>
        <v/>
      </c>
      <c r="GK180" s="255" t="str">
        <f t="shared" si="450"/>
        <v/>
      </c>
      <c r="GL180" s="255" t="str">
        <f t="shared" si="451"/>
        <v/>
      </c>
      <c r="GM180" s="255" t="str">
        <f>IF(AN180="", "", IF(AND(IF(ISNA(VLOOKUP(AN180,'Lookup Tables'!$R$18:$R$22,1,FALSE)), "N", "Y")="Y", E180="Exterior"), "Y", "N"))</f>
        <v/>
      </c>
      <c r="GN180" s="395"/>
      <c r="GO180" s="428">
        <f t="shared" si="497"/>
        <v>0</v>
      </c>
      <c r="GP180" s="428">
        <f t="shared" si="500"/>
        <v>0</v>
      </c>
      <c r="GQ180" s="428">
        <f t="shared" si="498"/>
        <v>0</v>
      </c>
      <c r="GR180" s="428">
        <f t="shared" si="499"/>
        <v>0</v>
      </c>
    </row>
    <row r="181" spans="1:200" s="103" customFormat="1" ht="13.5" customHeight="1" x14ac:dyDescent="0.2">
      <c r="A181" s="272">
        <v>171</v>
      </c>
      <c r="B181" s="110"/>
      <c r="C181" s="110"/>
      <c r="D181" s="110"/>
      <c r="E181" s="110"/>
      <c r="F181" s="110"/>
      <c r="G181" s="110"/>
      <c r="H181" s="110"/>
      <c r="I181" s="29"/>
      <c r="J181" s="29"/>
      <c r="K181" s="272" t="str">
        <f>IFERROR(IF(OR(VLOOKUP(J181, 'Fixture Identities'!$A$6:$L$1023, 3, FALSE)="T12 Linear Fluorescent", VLOOKUP(J181, 'Fixture Identities'!$A$6:$L$1023, 3, FALSE)="T12 U-Tube Fluorescent"), VLOOKUP(VLOOKUP(J181, 'Fixture Identities'!$A$6:$L$1023, 11, FALSE), 'Fixture Identities'!$A$6:$L$1023, 10, FALSE), VLOOKUP(J181, 'Fixture Identities'!$A$6:$L$1023, 10, FALSE)), "")</f>
        <v/>
      </c>
      <c r="L181" s="270" t="str">
        <f t="shared" si="502"/>
        <v/>
      </c>
      <c r="M181" s="110"/>
      <c r="N181" s="110"/>
      <c r="O181" s="110"/>
      <c r="P181" s="272" t="str">
        <f>IFERROR(IF(OR(B181="Retrofit",B181=""),"",IF('Lighting Inventory'!E181="Exterior",VLOOKUP('Lighting Inventory'!N181,'Lookup Tables'!$B$83:$F$103,5,FALSE),IF(N181="Other - Please Estimate EFLH and CFs","Contact Prog. Rep.","ft^2"))), "")</f>
        <v/>
      </c>
      <c r="Q181" s="270" t="str">
        <f>IFERROR(IF(AND(B181="New Construction",E181="Interior",$F$5="Space-by-Space"),VLOOKUP('Lighting Inventory'!N181,'Lookup Tables'!$N$6:$O$97,2,FALSE),IF(AND(B181="New Construction",E181="Exterior"),VLOOKUP(N181,'Lookup Tables'!$B$83:$F$103,2,FALSE),IF(AND(B181="New Construction",'Lighting Inventory'!E181="Interior", $F$5="Building Area"),VLOOKUP(F181,'Lookup Tables'!$A$6:$J$59,10,FALSE),""))), "")</f>
        <v/>
      </c>
      <c r="R181" s="270" t="str">
        <f>IFERROR(IF(P181="Contact Prog. Rep.", "ERROR", IF(OR(B181="",B181="Retrofit"),"",IF(N181="Automated teller machines", ('Lookup Tables'!$A$82:$E$100+('Lighting Inventory'!O181-1)*'Lookup Tables'!$A$82:$E$100)/1000, (Q181*O181)/1000))), "")</f>
        <v/>
      </c>
      <c r="S181" s="595"/>
      <c r="T181" s="105" t="str">
        <f t="shared" si="452"/>
        <v/>
      </c>
      <c r="U181" s="105" t="str">
        <f>IF(S181="","",COUNT($S$11:S181))</f>
        <v/>
      </c>
      <c r="V181" s="111"/>
      <c r="W181" s="112"/>
      <c r="X181" s="105" t="str">
        <f t="shared" si="453"/>
        <v/>
      </c>
      <c r="Y181" s="105" t="str">
        <f t="array" ref="Y181">IF(AND(OR(W181="Freezer Case Lighting", W181="Refrigerated Case Lighting with Doors"), 'General Information'!$X$18="LCI"),'Lookup Tables'!$Y$34, IF(V181="Custom", VLOOKUP(W181, 'Fixture Identities'!$A$974:$M$1023, 13, FALSE), IF(V181="No Change",'Lookup Tables'!$Y$29,IF(OR(V181="",W181=""),"",IF(AND(S181=0,S181&lt;I181,B181="Retrofit"),'Lookup Tables'!$Y$25, IF(B181="Retrofit", INDEX('Lookup Tables'!$AH$6:$AP$102, MATCH(1, ('Lookup Tables'!$AH$6:$AH$102=V181)*('Lookup Tables'!$AI$6:$AI$102=W181), 0), IF('Lighting Inventory'!E181="Interior", 4, 5)), INDEX('Lookup Tables'!$AH$114:$AP$154, MATCH(1, ('Lookup Tables'!$AH$114:$AH$154=V181)*('Lookup Tables'!$AI$114:$AI$154=W181), 0), IF('Lighting Inventory'!E181="Interior", 4, 5))))))))</f>
        <v/>
      </c>
      <c r="Z181" s="105" t="str">
        <f>IFERROR(INDEX('Lookup Tables'!$AH$158:$AH$172,MATCH('Lighting Inventory'!Y181,'Lookup Tables'!$AI$158:$AI$172,0)),"")</f>
        <v/>
      </c>
      <c r="AA181" s="105" t="str">
        <f>IF(AP181&gt;0,INDEX('Lookup Tables'!$AK$158:$AK$172,MATCH('Lighting Inventory'!Y181,'Lookup Tables'!$AI$158:$AI$172,0)),'Lighting Inventory'!Y181)</f>
        <v/>
      </c>
      <c r="AB181" s="105" t="str">
        <f t="array" ref="AB181">IF(V181="Custom", "Custom", IF(V181="", "", IF(V181="Not DLC or Energy Star", "General", IF(B181="New Construction", INDEX('Lookup Tables'!$AH$114:$AP$154,MATCH(1,('Lookup Tables'!$AH$114:$AH$154='Lighting Inventory'!V181)*('Lookup Tables'!$AI$114:$AI$154='Lighting Inventory'!W181),FALSE),8), INDEX('Lookup Tables'!$AH$6:$AP$102,MATCH(1,('Lookup Tables'!$AH$6:$AH$102='Lighting Inventory'!V181)*('Lookup Tables'!$AI$6:$AI$102='Lighting Inventory'!W181),FALSE),8)))))</f>
        <v/>
      </c>
      <c r="AC181" s="272" t="str">
        <f>IF(W181="","",IF(V181="Custom",CONCATENATE("$",'Lookup Tables'!$AM$101," ",'Lookup Tables'!$AN$101),CONCATENATE("$",INDEX('Lookup Tables'!$AM$6:$AM$102,MATCH('Lighting Inventory'!W181,'Lookup Tables'!$AI$6:$AI$102,0))," ",INDEX('Lookup Tables'!$AN$6:$AN$102,MATCH('Lighting Inventory'!W181,'Lookup Tables'!$AI$6:$AI$102,0)))))</f>
        <v/>
      </c>
      <c r="AD181" s="72"/>
      <c r="AE181" s="29"/>
      <c r="AF181" s="379"/>
      <c r="AG181" s="370" t="str">
        <f t="shared" si="401"/>
        <v/>
      </c>
      <c r="AH181" s="370" t="str">
        <f t="shared" si="454"/>
        <v/>
      </c>
      <c r="AI181" s="29"/>
      <c r="AJ181" s="29"/>
      <c r="AK181" s="110"/>
      <c r="AL181" s="375" t="str">
        <f>IF(OR(B181="", V181="", W181=""), "", IF(V181="No Change", K181, IF(V181="Remove Fixture", 0, IF(V181="Custom",VLOOKUP(W181,'Fixture Identities'!$A$6:$K$1023,10,FALSE),IF(AE181="", "← ENTER POST WATTS", 'Lighting Inventory'!AE181)))))</f>
        <v/>
      </c>
      <c r="AM181" s="376" t="str">
        <f t="shared" si="402"/>
        <v/>
      </c>
      <c r="AN181" s="29"/>
      <c r="AO181" s="671"/>
      <c r="AP181" s="29"/>
      <c r="AQ181" s="29"/>
      <c r="AR181" s="29"/>
      <c r="AS181" s="272" t="str">
        <f t="shared" si="455"/>
        <v/>
      </c>
      <c r="AT181" s="270" t="str">
        <f t="shared" si="403"/>
        <v/>
      </c>
      <c r="AU181" s="88" t="str">
        <f t="shared" si="503"/>
        <v/>
      </c>
      <c r="AV181" s="29"/>
      <c r="AW181" s="73"/>
      <c r="AX181" s="271" t="str">
        <f>IF(AND(AV181="Applicant",OR(AW181="", AW181="Use Default Facility Hours")),"← Choose Schedule",IF(F181="","",IF(W181="LED Exit Signs",8760,IF(OR(AV181="Prescribed",AV181=""),VLOOKUP(F181,'Lookup Tables'!$A$6:$G$59,IF(AB181="General", 6, 3),FALSE),VLOOKUP(AW181,'Lookup Tables'!$S$36:$U$43,2,FALSE)))))</f>
        <v/>
      </c>
      <c r="AY181" s="88" t="str">
        <f t="shared" si="404"/>
        <v/>
      </c>
      <c r="AZ181" s="270" t="str">
        <f>IFERROR(IF(F181="", "", IF(W181="LED Exit Signs", 1, IF(AV181="Applicant",VLOOKUP(AW181, 'Lookup Tables'!$S$36:$U$43,3, FALSE), VLOOKUP('Lighting Inventory'!F181, 'Lookup Tables'!$A$6:$H$59, IF('Lighting Inventory'!AB181="General",7,4), FALSE)))), "")</f>
        <v/>
      </c>
      <c r="BA181" s="522" t="str">
        <f>IFERROR(IF(F181="", "", IF(W181="LED Exit Signs", 1, VLOOKUP('Lighting Inventory'!F181, 'Lookup Tables'!$A$6:$H$59, IF('Lighting Inventory'!AB181="General",8,5), FALSE))), "")</f>
        <v/>
      </c>
      <c r="BB181" s="270" t="str">
        <f>IF(G181="", "", IF(E181="Exterior", 0, IF('Lighting Inventory'!G181="Air Conditioned", VLOOKUP(H181, 'Lookup Tables'!$R$6:$T$13, 2, FALSE), VLOOKUP('Lighting Inventory'!G181, 'Lookup Tables'!$R$6:$T$13, 2, FALSE))))</f>
        <v/>
      </c>
      <c r="BC181" s="522" t="str">
        <f>IF(G181="", "", IF(E181="Exterior", 0, IF('Lighting Inventory'!G181="Air Conditioned", VLOOKUP(H181, 'Lookup Tables'!$R$6:$T$13, 3, FALSE), VLOOKUP('Lighting Inventory'!G181, 'Lookup Tables'!$R$6:$T$13, 3, FALSE))))</f>
        <v/>
      </c>
      <c r="BD181" s="270" t="str">
        <f>IF(G181="", "", IF(E181="Exterior", 0, IF('Lighting Inventory'!G181="Air Conditioned", VLOOKUP(H181, 'Lookup Tables'!$R$6:$U$13, 4, FALSE), VLOOKUP('Lighting Inventory'!G181, 'Lookup Tables'!$R$6:$U$13, 4, FALSE))))</f>
        <v/>
      </c>
      <c r="BE181" s="270" t="str">
        <f>IFERROR(IF(B181="", "",  IF(B181="New Construction", VLOOKUP(F181, 'Lookup Tables'!$A$6:$K$59, 11, FALSE),IF(OR(AN181="", AN181="Light Switch"), 0, IF(OR(M181="",M181="None",V181= "LED Exit Signs"),0,_xlfn.XLOOKUP(M181,'Lookup Tables'!$R$91:$R$101,'Lookup Tables'!$V$91:$V$101))))), "")</f>
        <v/>
      </c>
      <c r="BF181" s="270" t="str">
        <f>IF(AND(OR(AN181="Light Switch",AN181=""),B181="New Construction"), VLOOKUP(F181, 'Lookup Tables'!$A$6:$K$59, 11, FALSE),IF(AN181="","",IF(B181="","",IF(OR(AN181="None",AN181="",V181="LED Exit Signs",AN181="Exterior Controls Not Eligible"),0,_xlfn.XLOOKUP(AN181,'Lookup Tables'!$R$91:$R$101,'Lookup Tables'!$V$91:$V$101)))))</f>
        <v/>
      </c>
      <c r="BG181" s="88" t="str">
        <f t="shared" si="456"/>
        <v/>
      </c>
      <c r="BH181" s="88" t="str">
        <f t="shared" si="457"/>
        <v/>
      </c>
      <c r="BI181" s="558" t="str">
        <f t="shared" si="501"/>
        <v/>
      </c>
      <c r="BJ181" s="82" t="str">
        <f t="shared" si="458"/>
        <v/>
      </c>
      <c r="BK181" s="82" t="str">
        <f t="shared" si="459"/>
        <v/>
      </c>
      <c r="BL181" s="559" t="str">
        <f t="shared" si="460"/>
        <v/>
      </c>
      <c r="BM181" s="521" t="str">
        <f t="shared" si="405"/>
        <v/>
      </c>
      <c r="BN181" s="521" t="str">
        <f t="shared" si="406"/>
        <v/>
      </c>
      <c r="BO181" s="522" t="str">
        <f t="shared" si="407"/>
        <v/>
      </c>
      <c r="BP181" s="83" t="str">
        <f t="shared" si="461"/>
        <v/>
      </c>
      <c r="BQ181" s="84" t="str">
        <f t="shared" si="462"/>
        <v/>
      </c>
      <c r="BR181" s="184" t="str">
        <f>IFERROR(IF(B181="", "", IF(OR(VLOOKUP(J181, 'Fixture Identities'!$A$6:$L$1023, 3, FALSE)="T12 Linear Fluorescent",VLOOKUP(J181, 'Fixture Identities'!$A$6:$L$1023, 3, FALSE)="T12 U-Tube Fluorescent"), "Y", "N")), "N")</f>
        <v/>
      </c>
      <c r="BS181" s="184" t="str">
        <f t="array" ref="BS181">IFERROR(IF(OR(B181="", V181="", W181=""), "", IF(V181="Custom", "N", IF(OR(W181="Freezer Case Lighting", W181="Refrigerated Case Lighting with Doors"), BT181, IF(B181="Retrofit", INDEX('Lookup Tables'!$AH$6:$AT$102,MATCH(1,('Lookup Tables'!$AH$6:$AH$102=V181)*('Lookup Tables'!$AI$6:$AI$102=W181),FALSE),IF(VLOOKUP(J181, 'Fixture Identities'!$A$6:$B$1023, 2, FALSE)="Incandescent",12, 13)), INDEX('Lookup Tables'!$AH$114:$AS$154,MATCH(1,('Lookup Tables'!$AH$114:$AH$154=V181)*('Lookup Tables'!$AI$114:$AI$154=W181),FALSE),12))))), "N")</f>
        <v/>
      </c>
      <c r="BT181" s="184" t="str">
        <f>IF(J181="", "", IF(AND(OR(W181="Freezer case Lighting", W181="Refrigerated Case Lighting with Doors"),'General Information'!$X$18="LCI"), "N", IF(OR(VLOOKUP(J181, 'Fixture Identities'!$A$6:$B$1023, 2, FALSE)="T12 EPACT/EISA Baseline", VLOOKUP(J181, 'Fixture Identities'!$A$6:$B$1023, 2, FALSE)="Linear Fluorescent", VLOOKUP(J181, 'Fixture Identities'!$A$6:$B$1023, 2, FALSE)="U-Tube Fluorescent"), "Y", "N")))</f>
        <v/>
      </c>
      <c r="BU181" s="184" t="str">
        <f>IFERROR(IF(B181="", "", IF(VLOOKUP(J181, 'Fixture Identities'!$A$6:$B$1023, 2, FALSE)="Exit Sign", "Y", "N")), "N")</f>
        <v/>
      </c>
      <c r="BV181" s="184" t="str">
        <f>IF(V181="Exit Signs", IF(VLOOKUP(J181, 'Fixture Identities'!$A$6:$B$1023, 2, FALSE)="Exit Sign", "N", "Y"), "")</f>
        <v/>
      </c>
      <c r="BW181" s="184" t="str">
        <f t="array" ref="BW181">IFERROR(IF(B181="", "", IF(B181="New Construction", "N", INDEX('Lookup Tables'!$AH$6:$AU$102, MATCH(1, ('Lookup Tables'!$AH$6:$AH$102='Lighting Inventory'!V181)*('Lookup Tables'!$AI$6:$AI$102='Lighting Inventory'!W181), 0), 14))), "N")</f>
        <v/>
      </c>
      <c r="BX181" s="598" t="str">
        <f t="shared" si="463"/>
        <v/>
      </c>
      <c r="BY181" s="598" t="str">
        <f t="shared" si="464"/>
        <v/>
      </c>
      <c r="BZ181" s="598" t="str">
        <f t="shared" si="465"/>
        <v/>
      </c>
      <c r="CA181" s="598" t="str">
        <f t="shared" si="466"/>
        <v/>
      </c>
      <c r="CB181" s="269" t="str">
        <f t="shared" si="467"/>
        <v/>
      </c>
      <c r="CC181" s="517" t="str">
        <f t="shared" si="468"/>
        <v/>
      </c>
      <c r="CD181" s="565" t="str">
        <f t="shared" si="408"/>
        <v/>
      </c>
      <c r="CE181" s="368">
        <v>0</v>
      </c>
      <c r="CF181" s="368" t="str" cm="1">
        <f t="array" ref="CF181">IFERROR(IF(V181="Custom", "$0.1 per kWh", IF(B181="New Construction", CONCATENATE("$",INDEX('Lookup Tables'!$AH$114:$AN$154,MATCH(1,('Lookup Tables'!$AH$114:$AH$154='Lighting Inventory'!V181)*('Lookup Tables'!$AI$114:$AI$154='Lighting Inventory'!W181),FALSE),6)," ",INDEX('Lookup Tables'!$AH$114:$AN$154,MATCH(1,('Lookup Tables'!$AH$114:$AH$154='Lighting Inventory'!V181)*('Lookup Tables'!$AI$114:$AI$154='Lighting Inventory'!W181),FALSE),7)), IF(AND(BU181="N", V181="Exit Signs"), "$0.025 per kWh", CONCATENATE("$",INDEX('Lookup Tables'!$AH$6:$AN$102,MATCH(1,('Lookup Tables'!$AH$6:$AH$102='Lighting Inventory'!V181)*('Lookup Tables'!$AI$6:$AI$102='Lighting Inventory'!W181),FALSE),6)," ",INDEX('Lookup Tables'!$AH$6:$AN$102,MATCH(1,('Lookup Tables'!$AH$6:$AH$102='Lighting Inventory'!V181)*('Lookup Tables'!$AI$6:$AI$102='Lighting Inventory'!W181),FALSE),7))))), "")</f>
        <v/>
      </c>
      <c r="CG181" s="366"/>
      <c r="CH181" s="248" t="str">
        <f t="shared" si="409"/>
        <v/>
      </c>
      <c r="CI181" s="248" t="str">
        <f t="shared" si="410"/>
        <v>Select_IE</v>
      </c>
      <c r="CJ181" s="248" t="str">
        <f t="shared" si="411"/>
        <v/>
      </c>
      <c r="CK181" s="248" t="str">
        <f t="shared" si="412"/>
        <v/>
      </c>
      <c r="CL181" s="248" t="str">
        <f t="shared" si="413"/>
        <v/>
      </c>
      <c r="CM181" s="248" t="str">
        <f>IFERROR(IF(B181="", "", IF(B181="New Construction", VLOOKUP(V181, 'Lookup Tables'!$AF$114:$AG$120, 2, FALSE), VLOOKUP(V181, 'Lookup Tables'!$AD$6:$AE$25, 2, FALSE))), "")</f>
        <v/>
      </c>
      <c r="CN181" s="248" t="str">
        <f t="shared" si="414"/>
        <v/>
      </c>
      <c r="CO181" s="248" t="str">
        <f t="shared" si="415"/>
        <v/>
      </c>
      <c r="CP181" s="592" t="str">
        <f t="shared" si="416"/>
        <v/>
      </c>
      <c r="CQ181" s="248" t="str">
        <f t="shared" si="469"/>
        <v/>
      </c>
      <c r="CR181" s="100"/>
      <c r="CS181" s="250" t="str">
        <f t="shared" si="417"/>
        <v/>
      </c>
      <c r="CT181" s="250" t="str">
        <f t="shared" si="470"/>
        <v/>
      </c>
      <c r="CU181" s="250" t="str">
        <f t="shared" si="471"/>
        <v/>
      </c>
      <c r="CV181" s="250" t="str">
        <f t="shared" si="472"/>
        <v/>
      </c>
      <c r="CW181" s="250" t="str">
        <f t="shared" si="473"/>
        <v/>
      </c>
      <c r="CX181" s="250" t="str">
        <f t="shared" si="418"/>
        <v/>
      </c>
      <c r="CY181" s="250" t="str">
        <f t="shared" si="419"/>
        <v/>
      </c>
      <c r="CZ181" s="250" t="str">
        <f t="shared" si="420"/>
        <v/>
      </c>
      <c r="DA181" s="250" t="str">
        <f t="shared" si="421"/>
        <v/>
      </c>
      <c r="DB181" s="250" t="str">
        <f t="shared" si="422"/>
        <v/>
      </c>
      <c r="DC181" s="250" t="str">
        <f t="shared" si="423"/>
        <v/>
      </c>
      <c r="DD181" s="250" t="str">
        <f t="shared" si="424"/>
        <v/>
      </c>
      <c r="DE181" s="250" t="str">
        <f t="shared" si="425"/>
        <v/>
      </c>
      <c r="DF181" s="250" t="str">
        <f t="shared" si="426"/>
        <v/>
      </c>
      <c r="DG181" s="250" t="str">
        <f t="shared" si="427"/>
        <v/>
      </c>
      <c r="DH181" s="250" t="str">
        <f t="shared" si="428"/>
        <v/>
      </c>
      <c r="DI181" s="250" t="str">
        <f t="shared" si="429"/>
        <v/>
      </c>
      <c r="DJ181" s="250" t="str">
        <f t="shared" si="430"/>
        <v/>
      </c>
      <c r="DK181" s="250" t="str">
        <f t="shared" si="431"/>
        <v/>
      </c>
      <c r="DL181" s="250" t="str">
        <f t="shared" si="432"/>
        <v/>
      </c>
      <c r="DM181" s="250" t="str">
        <f>IF(CD181="ERROR", "ERROR", IF(AND(OR(Y181=$DM$6, Y181='Lookup Tables'!$AD$21, Y181='Lookup Tables'!$AD$22), E181="Interior"), BJ181, ""))</f>
        <v/>
      </c>
      <c r="DN181" s="250" t="str">
        <f>IF(CD181="ERROR", "ERROR", IF(AND(OR(Y181=$DM$6, Y181='Lookup Tables'!$AD$21, Y181='Lookup Tables'!$AD$22), E181="Exterior"), BJ181, ""))</f>
        <v/>
      </c>
      <c r="DO181" s="100"/>
      <c r="DP181" s="250" t="str">
        <f t="shared" si="433"/>
        <v/>
      </c>
      <c r="DQ181" s="250" t="str">
        <f t="shared" si="474"/>
        <v/>
      </c>
      <c r="DR181" s="250" t="str">
        <f t="shared" si="475"/>
        <v/>
      </c>
      <c r="DS181" s="250" t="str">
        <f t="shared" si="476"/>
        <v/>
      </c>
      <c r="DT181" s="250" t="str">
        <f t="shared" si="477"/>
        <v/>
      </c>
      <c r="DU181" s="250" t="str">
        <f t="shared" si="434"/>
        <v/>
      </c>
      <c r="DV181" s="250" t="str">
        <f t="shared" si="435"/>
        <v/>
      </c>
      <c r="DW181" s="250" t="str">
        <f t="shared" si="436"/>
        <v/>
      </c>
      <c r="DX181" s="250" t="str">
        <f t="shared" si="437"/>
        <v/>
      </c>
      <c r="DY181" s="250" t="str">
        <f t="shared" si="438"/>
        <v/>
      </c>
      <c r="DZ181" s="250" t="str">
        <f t="shared" si="439"/>
        <v/>
      </c>
      <c r="EA181" s="250" t="str">
        <f t="shared" si="440"/>
        <v/>
      </c>
      <c r="EB181" s="250" t="str">
        <f t="shared" si="478"/>
        <v/>
      </c>
      <c r="EC181" s="250" t="str">
        <f t="shared" si="441"/>
        <v/>
      </c>
      <c r="ED181" s="250" t="str">
        <f t="shared" si="442"/>
        <v/>
      </c>
      <c r="EE181" s="250" t="str">
        <f t="shared" si="443"/>
        <v/>
      </c>
      <c r="EF181" s="250" t="str">
        <f t="shared" si="444"/>
        <v/>
      </c>
      <c r="EG181" s="250" t="str">
        <f t="shared" si="445"/>
        <v/>
      </c>
      <c r="EH181" s="250" t="str">
        <f>IF(CD181="ERROR", "ERROR", IF(AND(OR($EH$6=Y181, Y181='Lookup Tables'!$AD$21, Y181='Lookup Tables'!$AD$22),E181="Interior"), SUM(BP181:BP181), ""))</f>
        <v/>
      </c>
      <c r="EI181" s="250" t="str">
        <f>IF(CD181="ERROR", "ERROR", IF(AND(OR($EH$6=Y181, Y181='Lookup Tables'!$AD$21, Y181='Lookup Tables'!$AD$22),E181="Exterior"), SUM(BP181:BP181), ""))</f>
        <v/>
      </c>
      <c r="EJ181" s="109"/>
      <c r="EK181" s="485" t="str">
        <f t="shared" si="446"/>
        <v/>
      </c>
      <c r="EL181" s="252" t="str">
        <f t="shared" si="479"/>
        <v/>
      </c>
      <c r="EM181" s="252" t="str">
        <f t="shared" si="480"/>
        <v/>
      </c>
      <c r="EN181" s="252" t="str">
        <f t="shared" si="481"/>
        <v/>
      </c>
      <c r="EO181" s="252" t="str">
        <f t="shared" si="482"/>
        <v/>
      </c>
      <c r="EP181" s="252" t="str">
        <f t="shared" si="483"/>
        <v/>
      </c>
      <c r="EQ181" s="252" t="str">
        <f t="shared" si="484"/>
        <v/>
      </c>
      <c r="ER181" s="252" t="str">
        <f t="shared" si="485"/>
        <v/>
      </c>
      <c r="ES181" s="252" t="str">
        <f t="shared" si="486"/>
        <v/>
      </c>
      <c r="ET181" s="252" t="str">
        <f t="shared" si="487"/>
        <v/>
      </c>
      <c r="EU181" s="252" t="str">
        <f t="shared" si="488"/>
        <v/>
      </c>
      <c r="EV181" s="252" t="str">
        <f t="shared" si="489"/>
        <v/>
      </c>
      <c r="EW181" s="252" t="str">
        <f t="shared" si="490"/>
        <v/>
      </c>
      <c r="EX181" s="252" t="str">
        <f t="shared" si="491"/>
        <v/>
      </c>
      <c r="EY181" s="252" t="str">
        <f t="shared" si="492"/>
        <v/>
      </c>
      <c r="EZ181" s="252" t="str">
        <f t="shared" si="493"/>
        <v/>
      </c>
      <c r="FA181" s="252" t="str">
        <f t="shared" si="494"/>
        <v/>
      </c>
      <c r="FB181" s="252" t="str">
        <f t="shared" si="495"/>
        <v/>
      </c>
      <c r="FC181" s="252" t="str">
        <f>IF(CD181="ERROR", "ERROR", IF(OR(V181="No Change", V181="Not DLC or Energy Star"), "", IF(AND(OR($FC$6=Y181,Y181='Lookup Tables'!$AD$21, Y181='Lookup Tables'!$AD$22),E181="Interior"), S181, "")))</f>
        <v/>
      </c>
      <c r="FD181" s="252" t="str">
        <f t="shared" si="496"/>
        <v/>
      </c>
      <c r="FE181" s="101"/>
      <c r="FF181" s="579" t="str" cm="1">
        <f t="array" ref="FF181">IFERROR(IF(OR(BQ181&lt;=0,AQ181&lt;20,AND(V181="Exit Signs",AN181&gt;0)),"",IF(AND(AQ181&gt;=20,AN181='Lookup Tables'!$R$101),'Lookup Tables'!$U$101*BQ181,AP181*LOOKUP(2,1/((AN181='Lookup Tables'!$R$91:$R$111)*(AQ181&gt;='Lookup Tables'!$S$91:$S$111)*(AQ181&lt;='Lookup Tables'!$T$91:$T$111)),'Lookup Tables'!$U$91:$U$111))),"")</f>
        <v/>
      </c>
      <c r="FG181" s="579"/>
      <c r="FH181" s="579"/>
      <c r="FI181" s="253" t="str">
        <f>IFERROR(ROUND(IF(CD181="ERROR", "ERROR", IF(AND($FI$7=X181,E181="Interior"),VLOOKUP(W181, 'Lookup Tables'!$AI$6:$AM$102, 5, FALSE)*BP181, "")), 2), "")</f>
        <v/>
      </c>
      <c r="FJ181" s="253" t="str">
        <f>IFERROR(ROUND(IF(CD181="ERROR", "ERROR", IF(AND($FI$7=X181,E181="Exterior"),VLOOKUP(W181, 'Lookup Tables'!$AI$6:$AM$102, 5, FALSE)*BP181, "")), 2), "")</f>
        <v/>
      </c>
      <c r="FK181" s="253" t="str">
        <f>IFERROR(ROUND(IF(CD181="ERROR", "ERROR", IF(AND($FK$7=X181,E181="Interior"),VLOOKUP(W181, 'Lookup Tables'!$AI$6:$AM$102, 5, FALSE)*BP181, "")), 2), "")</f>
        <v/>
      </c>
      <c r="FL181" s="253" t="str">
        <f>IFERROR(ROUND(IF(CD181="ERROR", "ERROR", IF(AND($FK$7=X181,E181="Exterior"),VLOOKUP(W181, 'Lookup Tables'!$AI$6:$AM$102, 5, FALSE)*BP181, "")), 2), "")</f>
        <v/>
      </c>
      <c r="FM181" s="253" t="str">
        <f>IFERROR(ROUND(IF(CD181="ERROR", "ERROR", IF(AND($FM$6=Y181,E181="Interior"), IF(GB181=0, VLOOKUP(W181, 'Lookup Tables'!$AI$6:$AM$102, 5, FALSE)*BP181, IF(VLOOKUP(W181, 'Lookup Tables'!$AI$6:$AM$102, 5, FALSE)*BP181&gt;GB181*'Lighting Inventory'!S181, GB181*'Lighting Inventory'!S181,VLOOKUP(W181, 'Lookup Tables'!$AI$6:$AM$102, 5, FALSE)*BP181)), "")), 2), "")</f>
        <v/>
      </c>
      <c r="FN181" s="253" t="str">
        <f>IFERROR(ROUND(IF(CD181="ERROR", "ERROR", IF(AND($FM$6=Y181,E181="Exterior"), IF(GB181=0, VLOOKUP(W181, 'Lookup Tables'!$AI$6:$AM$102, 5, FALSE)*BP181, IF(VLOOKUP(W181, 'Lookup Tables'!$AI$6:$AM$102, 5, FALSE)*BP181&gt;GB181*'Lighting Inventory'!S181, GB181*'Lighting Inventory'!S181,VLOOKUP(W181, 'Lookup Tables'!$AI$6:$AM$102, 5, FALSE)*BP181)), "")), 2), "")</f>
        <v/>
      </c>
      <c r="FO181" s="253" t="str">
        <f>IFERROR(ROUND(IF(CD181="ERROR", "ERROR", IF(AND($FO$6=Y181,E181="Interior"),VLOOKUP(W181, 'Lookup Tables'!$AI$6:$AM$102, 5, FALSE)*'Lighting Inventory'!AI181, "")), 2), "")</f>
        <v/>
      </c>
      <c r="FP181" s="253" t="str">
        <f>IFERROR(ROUND(IF(CD181="ERROR", "ERROR", IF(AND($FO$6=Y181,E181="Exterior"),VLOOKUP(W181, 'Lookup Tables'!$AI$6:$AM$102, 5, FALSE)*'Lighting Inventory'!AI181, "")), 2), "")</f>
        <v/>
      </c>
      <c r="FQ181" s="253" t="str">
        <f>IFERROR(ROUND(IF(CD181="ERROR", "ERROR", IF(AND($FQ$6=Y181,E181="Interior", BU181="Y"), VLOOKUP('Lighting Inventory'!W181, 'Lookup Tables'!$AI$6:$AM$102, 5, FALSE)*'Lighting Inventory'!S181, IF(AND($FQ$7=Y181,E181="Interior", BU181="N"), 0.025*CD181, ""))), 2), "")</f>
        <v/>
      </c>
      <c r="FR181" s="253" t="str">
        <f>IFERROR(ROUND(IF(CD181="ERROR", "ERROR", IF(AND($FQ$6=Y181,E181="Exterior"), VLOOKUP('Lighting Inventory'!W181, 'Lookup Tables'!$AI$6:$AM$102, 5, FALSE)*'Lighting Inventory'!S181, "")), 2), "")</f>
        <v/>
      </c>
      <c r="FS181" s="253" t="str">
        <f>IFERROR(ROUND(IF(CD181="ERROR", "ERROR", IF(AND($FS$6=Y181,E181="Exterior"), IF(GB181=0, VLOOKUP(W181, 'Lookup Tables'!$AI$6:$AM$102, 5, FALSE)*BP181, IF(VLOOKUP(W181, 'Lookup Tables'!$AI$6:$AM$102, 5, FALSE)*BP181&gt;GB181*'Lighting Inventory'!S181, GB181*'Lighting Inventory'!S181,VLOOKUP(W181, 'Lookup Tables'!$AI$6:$AM$102, 5, FALSE)*BP181)), "")), 2), "")</f>
        <v/>
      </c>
      <c r="FT181" s="253" t="str">
        <f>IFERROR(ROUND(IF(CD181="ERROR", "ERROR", IF(AND($FT$6=Y181,E181="Interior"), IF(GB181=0, VLOOKUP(W181, 'Lookup Tables'!$AI$6:$AM$102, 5, FALSE)*BP181, IF(VLOOKUP(W181, 'Lookup Tables'!$AI$6:$AM$102, 5, FALSE)*BP181&gt;GB181*'Lighting Inventory'!S181, GB181*'Lighting Inventory'!S181,VLOOKUP(W181, 'Lookup Tables'!$AI$6:$AM$102, 5, FALSE)*BP181)), "")), 2), "")</f>
        <v/>
      </c>
      <c r="FU181" s="253" t="str">
        <f>IFERROR(ROUND(IF(CD181="ERROR", "ERROR", IF(AND(Y181=$FU$6, E181="Interior"), IF(BS181="N", 'Lookup Tables'!$AM$101*BP181, VLOOKUP(W181, 'Lookup Tables'!$AI$6:$AM$102, 5, FALSE)*S181*AD181), "")), 2), "")</f>
        <v/>
      </c>
      <c r="FV181" s="253" t="str">
        <f>IFERROR(ROUND(IF(CD181="ERROR", "ERROR", IF(AND(Y181=$FU$6, E181="Exterior"), IF(BS181="N", 'Lookup Tables'!$AM$101*BP181, VLOOKUP(W181, 'Lookup Tables'!$AI$6:$AM$102, 5, FALSE)*S181*AD181), "")), 2), "")</f>
        <v/>
      </c>
      <c r="FW181" s="253" t="str">
        <f>IFERROR(ROUND(IF(CD181="ERROR", "ERROR", IF($FW$6=Y181, IF(BS181="N", 'Lookup Tables'!$AM$101*BP181, MIN((VLOOKUP(W181, 'Lookup Tables'!$AI$6:$AM$102, 5, FALSE)*BP181),GB181*AJ181)), "")), 2), "")</f>
        <v/>
      </c>
      <c r="FX181" s="253" t="str">
        <f>IFERROR(ROUND(IF(CD181="ERROR", "ERROR", IF(AND($FX$6=Y181, E181="Interior"), IF(VLOOKUP(W181, 'Lookup Tables'!$AI$6:$AM$102, 5, FALSE)*BP181&gt;'Lookup Tables'!$AQ$97*'Lighting Inventory'!S181,'Lighting Inventory'!S181*'Lookup Tables'!$AQ$97,VLOOKUP(W181, 'Lookup Tables'!$AI$6:$AM$102, 5, FALSE)*BP181), "")), 2), "")</f>
        <v/>
      </c>
      <c r="FY181" s="253" t="str">
        <f>IFERROR(ROUND(IF(CD181="ERROR", "ERROR", IF(AND($FX$6=Y181, E181="Exterior"), IF(VLOOKUP(W181, 'Lookup Tables'!$AI$6:$AM$102, 5, FALSE)*BP181&gt;'Lookup Tables'!$AQ$97*'Lighting Inventory'!S181,'Lighting Inventory'!S181*'Lookup Tables'!$AQ$97,VLOOKUP(W181, 'Lookup Tables'!$AI$6:$AM$102, 5, FALSE)*BP181), "")), 2), "")</f>
        <v/>
      </c>
      <c r="FZ181" s="253" t="str">
        <f>IFERROR(ROUND(IF(CD181="ERROR", "ERROR", IF(AND($FZ$6=Y181, E181="Interior"), IF(AND(OR(W181="Refrigerated Case Lighting with Doors", W181="Freezer Case Lighting"),Y181="Custom - Process Improvement"),CD181*'Lookup Tables'!$AM$101, IF(B181="Retrofit", IF(VLOOKUP(IF(V181="Custom", V181, W181), 'Lookup Tables'!$AI$6:$AM$102, 5, FALSE)*BP181&gt;GE181, GE181, VLOOKUP(IF(V181="Custom", V181, W181), 'Lookup Tables'!$AI$6:$AM$102, 5, FALSE)*BP181), IF(VLOOKUP(IF(V181="Custom", V181, W181), 'Lookup Tables'!$AI$114:$AM$154, 5, FALSE)*BP181&gt;GE181, GE181, VLOOKUP(IF(V181="Custom", V181, W181), 'Lookup Tables'!$AI$114:$AM$154, 5, FALSE)*BP181))), "")), 2),"")</f>
        <v/>
      </c>
      <c r="GA181" s="253" t="str">
        <f>IFERROR(ROUND(IF(CD181="ERROR", "ERROR", IF(AND($FZ$6=Y181, E181="Exterior"), IF(B181="Retrofit", IF(VLOOKUP(IF(V181="Custom", V181, W181), 'Lookup Tables'!$AI$6:$AM$102, 5, FALSE)*BP181&gt;GE181, GE181, VLOOKUP(IF(V181="Custom", V181, W181), 'Lookup Tables'!$AI$6:$AM$102, 5, FALSE)*BP181), IF(VLOOKUP(IF(V181="Custom", V181, W181), 'Lookup Tables'!$AI$114:$AM$154, 5, FALSE)*BP181&gt;GE181, GE181, VLOOKUP(IF(V181="Custom", V181, W181), 'Lookup Tables'!$AI$114:$AM$154, 5, FALSE)*BP181)), "")), 2),"")</f>
        <v/>
      </c>
      <c r="GB181" s="254" t="str">
        <f t="array" ref="GB181">IF(B181="","",IF(OR(V181="Custom",V181="No Change"),0,IF(B181="Retrofit", INDEX('Lookup Tables'!$AH$6:$AQ$102,MATCH(1,('Lookup Tables'!$AH$6:$AH$102='Lighting Inventory'!V181)*('Lookup Tables'!$AI$6:$AI$102='Lighting Inventory'!W181),FALSE),10),INDEX('Lookup Tables'!$AH$114:$AQ$154,MATCH(1,('Lookup Tables'!$AH$114:$AH$154='Lighting Inventory'!V181)*('Lookup Tables'!$AI$114:$AI$154='Lighting Inventory'!W181),FALSE),10))))</f>
        <v/>
      </c>
      <c r="GC181" s="255" t="str">
        <f t="shared" si="447"/>
        <v/>
      </c>
      <c r="GD181" s="250" t="str">
        <f t="shared" si="448"/>
        <v/>
      </c>
      <c r="GE181" s="253" t="str">
        <f>IFERROR(IF(AND(AF181="", 'General Information'!$F$18="No"),"", IF(AF181="", ((GD181/$CD$266)*$CF$266)*0.5, AF181*S181*0.5)), "")</f>
        <v/>
      </c>
      <c r="GF181" s="255" t="str">
        <f>IF(AND('General Information'!$F$19="", 'General Information'!$F$18="Yes",AF181="",BW181="Y"), "Y", "N")</f>
        <v>N</v>
      </c>
      <c r="GG181" s="255" t="s">
        <v>2946</v>
      </c>
      <c r="GH181" s="255" t="str">
        <f>IFERROR(IF(B181="", "", VLOOKUP(J181, 'Fixture Identities'!$A$6:$N$908, 14, FALSE)), "")</f>
        <v/>
      </c>
      <c r="GI181" s="389" t="str">
        <f>IF(OR(B181="", V181="", W181=""), "", IF(AND(OR(M181='Lookup Tables'!$R$18, M181='Lookup Tables'!$R$19, M181='Lookup Tables'!$R$20, M181='Lookup Tables'!$R$21, M181='Lookup Tables'!$R$22), OR(AN181='Lookup Tables'!$R$17, AN181='Lookup Tables'!$R$17, AN181="")), "Y", "N"))</f>
        <v/>
      </c>
      <c r="GJ181" s="255" t="str">
        <f t="shared" si="449"/>
        <v/>
      </c>
      <c r="GK181" s="255" t="str">
        <f t="shared" si="450"/>
        <v/>
      </c>
      <c r="GL181" s="255" t="str">
        <f t="shared" si="451"/>
        <v/>
      </c>
      <c r="GM181" s="255" t="str">
        <f>IF(AN181="", "", IF(AND(IF(ISNA(VLOOKUP(AN181,'Lookup Tables'!$R$18:$R$22,1,FALSE)), "N", "Y")="Y", E181="Exterior"), "Y", "N"))</f>
        <v/>
      </c>
      <c r="GN181" s="395"/>
      <c r="GO181" s="428">
        <f t="shared" si="497"/>
        <v>0</v>
      </c>
      <c r="GP181" s="428">
        <f t="shared" si="500"/>
        <v>0</v>
      </c>
      <c r="GQ181" s="428">
        <f t="shared" si="498"/>
        <v>0</v>
      </c>
      <c r="GR181" s="428">
        <f t="shared" si="499"/>
        <v>0</v>
      </c>
    </row>
    <row r="182" spans="1:200" s="103" customFormat="1" ht="13.5" customHeight="1" x14ac:dyDescent="0.2">
      <c r="A182" s="272">
        <v>172</v>
      </c>
      <c r="B182" s="110"/>
      <c r="C182" s="110"/>
      <c r="D182" s="110"/>
      <c r="E182" s="110"/>
      <c r="F182" s="110"/>
      <c r="G182" s="110"/>
      <c r="H182" s="110"/>
      <c r="I182" s="29"/>
      <c r="J182" s="29"/>
      <c r="K182" s="272" t="str">
        <f>IFERROR(IF(OR(VLOOKUP(J182, 'Fixture Identities'!$A$6:$L$1023, 3, FALSE)="T12 Linear Fluorescent", VLOOKUP(J182, 'Fixture Identities'!$A$6:$L$1023, 3, FALSE)="T12 U-Tube Fluorescent"), VLOOKUP(VLOOKUP(J182, 'Fixture Identities'!$A$6:$L$1023, 11, FALSE), 'Fixture Identities'!$A$6:$L$1023, 10, FALSE), VLOOKUP(J182, 'Fixture Identities'!$A$6:$L$1023, 10, FALSE)), "")</f>
        <v/>
      </c>
      <c r="L182" s="270" t="str">
        <f t="shared" si="502"/>
        <v/>
      </c>
      <c r="M182" s="110"/>
      <c r="N182" s="110"/>
      <c r="O182" s="110"/>
      <c r="P182" s="272" t="str">
        <f>IFERROR(IF(OR(B182="Retrofit",B182=""),"",IF('Lighting Inventory'!E182="Exterior",VLOOKUP('Lighting Inventory'!N182,'Lookup Tables'!$B$83:$F$103,5,FALSE),IF(N182="Other - Please Estimate EFLH and CFs","Contact Prog. Rep.","ft^2"))), "")</f>
        <v/>
      </c>
      <c r="Q182" s="270" t="str">
        <f>IFERROR(IF(AND(B182="New Construction",E182="Interior",$F$5="Space-by-Space"),VLOOKUP('Lighting Inventory'!N182,'Lookup Tables'!$N$6:$O$97,2,FALSE),IF(AND(B182="New Construction",E182="Exterior"),VLOOKUP(N182,'Lookup Tables'!$B$83:$F$103,2,FALSE),IF(AND(B182="New Construction",'Lighting Inventory'!E182="Interior", $F$5="Building Area"),VLOOKUP(F182,'Lookup Tables'!$A$6:$J$59,10,FALSE),""))), "")</f>
        <v/>
      </c>
      <c r="R182" s="270" t="str">
        <f>IFERROR(IF(P182="Contact Prog. Rep.", "ERROR", IF(OR(B182="",B182="Retrofit"),"",IF(N182="Automated teller machines", ('Lookup Tables'!$A$82:$E$100+('Lighting Inventory'!O182-1)*'Lookup Tables'!$A$82:$E$100)/1000, (Q182*O182)/1000))), "")</f>
        <v/>
      </c>
      <c r="S182" s="595"/>
      <c r="T182" s="105" t="str">
        <f t="shared" si="452"/>
        <v/>
      </c>
      <c r="U182" s="105" t="str">
        <f>IF(S182="","",COUNT($S$11:S182))</f>
        <v/>
      </c>
      <c r="V182" s="111"/>
      <c r="W182" s="112"/>
      <c r="X182" s="105" t="str">
        <f t="shared" si="453"/>
        <v/>
      </c>
      <c r="Y182" s="105" t="str">
        <f t="array" ref="Y182">IF(AND(OR(W182="Freezer Case Lighting", W182="Refrigerated Case Lighting with Doors"), 'General Information'!$X$18="LCI"),'Lookup Tables'!$Y$34, IF(V182="Custom", VLOOKUP(W182, 'Fixture Identities'!$A$974:$M$1023, 13, FALSE), IF(V182="No Change",'Lookup Tables'!$Y$29,IF(OR(V182="",W182=""),"",IF(AND(S182=0,S182&lt;I182,B182="Retrofit"),'Lookup Tables'!$Y$25, IF(B182="Retrofit", INDEX('Lookup Tables'!$AH$6:$AP$102, MATCH(1, ('Lookup Tables'!$AH$6:$AH$102=V182)*('Lookup Tables'!$AI$6:$AI$102=W182), 0), IF('Lighting Inventory'!E182="Interior", 4, 5)), INDEX('Lookup Tables'!$AH$114:$AP$154, MATCH(1, ('Lookup Tables'!$AH$114:$AH$154=V182)*('Lookup Tables'!$AI$114:$AI$154=W182), 0), IF('Lighting Inventory'!E182="Interior", 4, 5))))))))</f>
        <v/>
      </c>
      <c r="Z182" s="105" t="str">
        <f>IFERROR(INDEX('Lookup Tables'!$AH$158:$AH$172,MATCH('Lighting Inventory'!Y182,'Lookup Tables'!$AI$158:$AI$172,0)),"")</f>
        <v/>
      </c>
      <c r="AA182" s="105" t="str">
        <f>IF(AP182&gt;0,INDEX('Lookup Tables'!$AK$158:$AK$172,MATCH('Lighting Inventory'!Y182,'Lookup Tables'!$AI$158:$AI$172,0)),'Lighting Inventory'!Y182)</f>
        <v/>
      </c>
      <c r="AB182" s="105" t="str">
        <f t="array" ref="AB182">IF(V182="Custom", "Custom", IF(V182="", "", IF(V182="Not DLC or Energy Star", "General", IF(B182="New Construction", INDEX('Lookup Tables'!$AH$114:$AP$154,MATCH(1,('Lookup Tables'!$AH$114:$AH$154='Lighting Inventory'!V182)*('Lookup Tables'!$AI$114:$AI$154='Lighting Inventory'!W182),FALSE),8), INDEX('Lookup Tables'!$AH$6:$AP$102,MATCH(1,('Lookup Tables'!$AH$6:$AH$102='Lighting Inventory'!V182)*('Lookup Tables'!$AI$6:$AI$102='Lighting Inventory'!W182),FALSE),8)))))</f>
        <v/>
      </c>
      <c r="AC182" s="272" t="str">
        <f>IF(W182="","",IF(V182="Custom",CONCATENATE("$",'Lookup Tables'!$AM$101," ",'Lookup Tables'!$AN$101),CONCATENATE("$",INDEX('Lookup Tables'!$AM$6:$AM$102,MATCH('Lighting Inventory'!W182,'Lookup Tables'!$AI$6:$AI$102,0))," ",INDEX('Lookup Tables'!$AN$6:$AN$102,MATCH('Lighting Inventory'!W182,'Lookup Tables'!$AI$6:$AI$102,0)))))</f>
        <v/>
      </c>
      <c r="AD182" s="72"/>
      <c r="AE182" s="29"/>
      <c r="AF182" s="379"/>
      <c r="AG182" s="370" t="str">
        <f t="shared" si="401"/>
        <v/>
      </c>
      <c r="AH182" s="370" t="str">
        <f t="shared" si="454"/>
        <v/>
      </c>
      <c r="AI182" s="29"/>
      <c r="AJ182" s="29"/>
      <c r="AK182" s="110"/>
      <c r="AL182" s="375" t="str">
        <f>IF(OR(B182="", V182="", W182=""), "", IF(V182="No Change", K182, IF(V182="Remove Fixture", 0, IF(V182="Custom",VLOOKUP(W182,'Fixture Identities'!$A$6:$K$1023,10,FALSE),IF(AE182="", "← ENTER POST WATTS", 'Lighting Inventory'!AE182)))))</f>
        <v/>
      </c>
      <c r="AM182" s="376" t="str">
        <f t="shared" si="402"/>
        <v/>
      </c>
      <c r="AN182" s="29"/>
      <c r="AO182" s="671"/>
      <c r="AP182" s="29"/>
      <c r="AQ182" s="29"/>
      <c r="AR182" s="29"/>
      <c r="AS182" s="272" t="str">
        <f t="shared" si="455"/>
        <v/>
      </c>
      <c r="AT182" s="270" t="str">
        <f t="shared" si="403"/>
        <v/>
      </c>
      <c r="AU182" s="88" t="str">
        <f t="shared" si="503"/>
        <v/>
      </c>
      <c r="AV182" s="29"/>
      <c r="AW182" s="73"/>
      <c r="AX182" s="271" t="str">
        <f>IF(AND(AV182="Applicant",OR(AW182="", AW182="Use Default Facility Hours")),"← Choose Schedule",IF(F182="","",IF(W182="LED Exit Signs",8760,IF(OR(AV182="Prescribed",AV182=""),VLOOKUP(F182,'Lookup Tables'!$A$6:$G$59,IF(AB182="General", 6, 3),FALSE),VLOOKUP(AW182,'Lookup Tables'!$S$36:$U$43,2,FALSE)))))</f>
        <v/>
      </c>
      <c r="AY182" s="88" t="str">
        <f t="shared" si="404"/>
        <v/>
      </c>
      <c r="AZ182" s="270" t="str">
        <f>IFERROR(IF(F182="", "", IF(W182="LED Exit Signs", 1, IF(AV182="Applicant",VLOOKUP(AW182, 'Lookup Tables'!$S$36:$U$43,3, FALSE), VLOOKUP('Lighting Inventory'!F182, 'Lookup Tables'!$A$6:$H$59, IF('Lighting Inventory'!AB182="General",7,4), FALSE)))), "")</f>
        <v/>
      </c>
      <c r="BA182" s="522" t="str">
        <f>IFERROR(IF(F182="", "", IF(W182="LED Exit Signs", 1, VLOOKUP('Lighting Inventory'!F182, 'Lookup Tables'!$A$6:$H$59, IF('Lighting Inventory'!AB182="General",8,5), FALSE))), "")</f>
        <v/>
      </c>
      <c r="BB182" s="270" t="str">
        <f>IF(G182="", "", IF(E182="Exterior", 0, IF('Lighting Inventory'!G182="Air Conditioned", VLOOKUP(H182, 'Lookup Tables'!$R$6:$T$13, 2, FALSE), VLOOKUP('Lighting Inventory'!G182, 'Lookup Tables'!$R$6:$T$13, 2, FALSE))))</f>
        <v/>
      </c>
      <c r="BC182" s="522" t="str">
        <f>IF(G182="", "", IF(E182="Exterior", 0, IF('Lighting Inventory'!G182="Air Conditioned", VLOOKUP(H182, 'Lookup Tables'!$R$6:$T$13, 3, FALSE), VLOOKUP('Lighting Inventory'!G182, 'Lookup Tables'!$R$6:$T$13, 3, FALSE))))</f>
        <v/>
      </c>
      <c r="BD182" s="270" t="str">
        <f>IF(G182="", "", IF(E182="Exterior", 0, IF('Lighting Inventory'!G182="Air Conditioned", VLOOKUP(H182, 'Lookup Tables'!$R$6:$U$13, 4, FALSE), VLOOKUP('Lighting Inventory'!G182, 'Lookup Tables'!$R$6:$U$13, 4, FALSE))))</f>
        <v/>
      </c>
      <c r="BE182" s="270" t="str">
        <f>IFERROR(IF(B182="", "",  IF(B182="New Construction", VLOOKUP(F182, 'Lookup Tables'!$A$6:$K$59, 11, FALSE),IF(OR(AN182="", AN182="Light Switch"), 0, IF(OR(M182="",M182="None",V182= "LED Exit Signs"),0,_xlfn.XLOOKUP(M182,'Lookup Tables'!$R$91:$R$101,'Lookup Tables'!$V$91:$V$101))))), "")</f>
        <v/>
      </c>
      <c r="BF182" s="270" t="str">
        <f>IF(AND(OR(AN182="Light Switch",AN182=""),B182="New Construction"), VLOOKUP(F182, 'Lookup Tables'!$A$6:$K$59, 11, FALSE),IF(AN182="","",IF(B182="","",IF(OR(AN182="None",AN182="",V182="LED Exit Signs",AN182="Exterior Controls Not Eligible"),0,_xlfn.XLOOKUP(AN182,'Lookup Tables'!$R$91:$R$101,'Lookup Tables'!$V$91:$V$101)))))</f>
        <v/>
      </c>
      <c r="BG182" s="88" t="str">
        <f t="shared" si="456"/>
        <v/>
      </c>
      <c r="BH182" s="88" t="str">
        <f t="shared" si="457"/>
        <v/>
      </c>
      <c r="BI182" s="558" t="str">
        <f t="shared" si="501"/>
        <v/>
      </c>
      <c r="BJ182" s="82" t="str">
        <f t="shared" si="458"/>
        <v/>
      </c>
      <c r="BK182" s="82" t="str">
        <f t="shared" si="459"/>
        <v/>
      </c>
      <c r="BL182" s="559" t="str">
        <f t="shared" si="460"/>
        <v/>
      </c>
      <c r="BM182" s="521" t="str">
        <f t="shared" si="405"/>
        <v/>
      </c>
      <c r="BN182" s="521" t="str">
        <f t="shared" si="406"/>
        <v/>
      </c>
      <c r="BO182" s="522" t="str">
        <f t="shared" si="407"/>
        <v/>
      </c>
      <c r="BP182" s="83" t="str">
        <f t="shared" si="461"/>
        <v/>
      </c>
      <c r="BQ182" s="84" t="str">
        <f t="shared" si="462"/>
        <v/>
      </c>
      <c r="BR182" s="184" t="str">
        <f>IFERROR(IF(B182="", "", IF(OR(VLOOKUP(J182, 'Fixture Identities'!$A$6:$L$1023, 3, FALSE)="T12 Linear Fluorescent",VLOOKUP(J182, 'Fixture Identities'!$A$6:$L$1023, 3, FALSE)="T12 U-Tube Fluorescent"), "Y", "N")), "N")</f>
        <v/>
      </c>
      <c r="BS182" s="184" t="str">
        <f t="array" ref="BS182">IFERROR(IF(OR(B182="", V182="", W182=""), "", IF(V182="Custom", "N", IF(OR(W182="Freezer Case Lighting", W182="Refrigerated Case Lighting with Doors"), BT182, IF(B182="Retrofit", INDEX('Lookup Tables'!$AH$6:$AT$102,MATCH(1,('Lookup Tables'!$AH$6:$AH$102=V182)*('Lookup Tables'!$AI$6:$AI$102=W182),FALSE),IF(VLOOKUP(J182, 'Fixture Identities'!$A$6:$B$1023, 2, FALSE)="Incandescent",12, 13)), INDEX('Lookup Tables'!$AH$114:$AS$154,MATCH(1,('Lookup Tables'!$AH$114:$AH$154=V182)*('Lookup Tables'!$AI$114:$AI$154=W182),FALSE),12))))), "N")</f>
        <v/>
      </c>
      <c r="BT182" s="184" t="str">
        <f>IF(J182="", "", IF(AND(OR(W182="Freezer case Lighting", W182="Refrigerated Case Lighting with Doors"),'General Information'!$X$18="LCI"), "N", IF(OR(VLOOKUP(J182, 'Fixture Identities'!$A$6:$B$1023, 2, FALSE)="T12 EPACT/EISA Baseline", VLOOKUP(J182, 'Fixture Identities'!$A$6:$B$1023, 2, FALSE)="Linear Fluorescent", VLOOKUP(J182, 'Fixture Identities'!$A$6:$B$1023, 2, FALSE)="U-Tube Fluorescent"), "Y", "N")))</f>
        <v/>
      </c>
      <c r="BU182" s="184" t="str">
        <f>IFERROR(IF(B182="", "", IF(VLOOKUP(J182, 'Fixture Identities'!$A$6:$B$1023, 2, FALSE)="Exit Sign", "Y", "N")), "N")</f>
        <v/>
      </c>
      <c r="BV182" s="184" t="str">
        <f>IF(V182="Exit Signs", IF(VLOOKUP(J182, 'Fixture Identities'!$A$6:$B$1023, 2, FALSE)="Exit Sign", "N", "Y"), "")</f>
        <v/>
      </c>
      <c r="BW182" s="184" t="str">
        <f t="array" ref="BW182">IFERROR(IF(B182="", "", IF(B182="New Construction", "N", INDEX('Lookup Tables'!$AH$6:$AU$102, MATCH(1, ('Lookup Tables'!$AH$6:$AH$102='Lighting Inventory'!V182)*('Lookup Tables'!$AI$6:$AI$102='Lighting Inventory'!W182), 0), 14))), "N")</f>
        <v/>
      </c>
      <c r="BX182" s="598" t="str">
        <f t="shared" si="463"/>
        <v/>
      </c>
      <c r="BY182" s="598" t="str">
        <f t="shared" si="464"/>
        <v/>
      </c>
      <c r="BZ182" s="598" t="str">
        <f t="shared" si="465"/>
        <v/>
      </c>
      <c r="CA182" s="598" t="str">
        <f t="shared" si="466"/>
        <v/>
      </c>
      <c r="CB182" s="269" t="str">
        <f t="shared" si="467"/>
        <v/>
      </c>
      <c r="CC182" s="517" t="str">
        <f t="shared" si="468"/>
        <v/>
      </c>
      <c r="CD182" s="565" t="str">
        <f t="shared" si="408"/>
        <v/>
      </c>
      <c r="CE182" s="368">
        <v>0</v>
      </c>
      <c r="CF182" s="368" t="str" cm="1">
        <f t="array" ref="CF182">IFERROR(IF(V182="Custom", "$0.1 per kWh", IF(B182="New Construction", CONCATENATE("$",INDEX('Lookup Tables'!$AH$114:$AN$154,MATCH(1,('Lookup Tables'!$AH$114:$AH$154='Lighting Inventory'!V182)*('Lookup Tables'!$AI$114:$AI$154='Lighting Inventory'!W182),FALSE),6)," ",INDEX('Lookup Tables'!$AH$114:$AN$154,MATCH(1,('Lookup Tables'!$AH$114:$AH$154='Lighting Inventory'!V182)*('Lookup Tables'!$AI$114:$AI$154='Lighting Inventory'!W182),FALSE),7)), IF(AND(BU182="N", V182="Exit Signs"), "$0.025 per kWh", CONCATENATE("$",INDEX('Lookup Tables'!$AH$6:$AN$102,MATCH(1,('Lookup Tables'!$AH$6:$AH$102='Lighting Inventory'!V182)*('Lookup Tables'!$AI$6:$AI$102='Lighting Inventory'!W182),FALSE),6)," ",INDEX('Lookup Tables'!$AH$6:$AN$102,MATCH(1,('Lookup Tables'!$AH$6:$AH$102='Lighting Inventory'!V182)*('Lookup Tables'!$AI$6:$AI$102='Lighting Inventory'!W182),FALSE),7))))), "")</f>
        <v/>
      </c>
      <c r="CG182" s="366"/>
      <c r="CH182" s="248" t="str">
        <f t="shared" si="409"/>
        <v/>
      </c>
      <c r="CI182" s="248" t="str">
        <f t="shared" si="410"/>
        <v>Select_IE</v>
      </c>
      <c r="CJ182" s="248" t="str">
        <f t="shared" si="411"/>
        <v/>
      </c>
      <c r="CK182" s="248" t="str">
        <f t="shared" si="412"/>
        <v/>
      </c>
      <c r="CL182" s="248" t="str">
        <f t="shared" si="413"/>
        <v/>
      </c>
      <c r="CM182" s="248" t="str">
        <f>IFERROR(IF(B182="", "", IF(B182="New Construction", VLOOKUP(V182, 'Lookup Tables'!$AF$114:$AG$120, 2, FALSE), VLOOKUP(V182, 'Lookup Tables'!$AD$6:$AE$25, 2, FALSE))), "")</f>
        <v/>
      </c>
      <c r="CN182" s="248" t="str">
        <f t="shared" si="414"/>
        <v/>
      </c>
      <c r="CO182" s="248" t="str">
        <f t="shared" si="415"/>
        <v/>
      </c>
      <c r="CP182" s="592" t="str">
        <f t="shared" si="416"/>
        <v/>
      </c>
      <c r="CQ182" s="248" t="str">
        <f t="shared" si="469"/>
        <v/>
      </c>
      <c r="CR182" s="249"/>
      <c r="CS182" s="250" t="str">
        <f t="shared" si="417"/>
        <v/>
      </c>
      <c r="CT182" s="250" t="str">
        <f t="shared" si="470"/>
        <v/>
      </c>
      <c r="CU182" s="250" t="str">
        <f t="shared" si="471"/>
        <v/>
      </c>
      <c r="CV182" s="250" t="str">
        <f t="shared" si="472"/>
        <v/>
      </c>
      <c r="CW182" s="250" t="str">
        <f t="shared" si="473"/>
        <v/>
      </c>
      <c r="CX182" s="250" t="str">
        <f t="shared" si="418"/>
        <v/>
      </c>
      <c r="CY182" s="250" t="str">
        <f t="shared" si="419"/>
        <v/>
      </c>
      <c r="CZ182" s="250" t="str">
        <f t="shared" si="420"/>
        <v/>
      </c>
      <c r="DA182" s="250" t="str">
        <f t="shared" si="421"/>
        <v/>
      </c>
      <c r="DB182" s="250" t="str">
        <f t="shared" si="422"/>
        <v/>
      </c>
      <c r="DC182" s="250" t="str">
        <f t="shared" si="423"/>
        <v/>
      </c>
      <c r="DD182" s="250" t="str">
        <f t="shared" si="424"/>
        <v/>
      </c>
      <c r="DE182" s="250" t="str">
        <f t="shared" si="425"/>
        <v/>
      </c>
      <c r="DF182" s="250" t="str">
        <f t="shared" si="426"/>
        <v/>
      </c>
      <c r="DG182" s="250" t="str">
        <f t="shared" si="427"/>
        <v/>
      </c>
      <c r="DH182" s="250" t="str">
        <f t="shared" si="428"/>
        <v/>
      </c>
      <c r="DI182" s="250" t="str">
        <f t="shared" si="429"/>
        <v/>
      </c>
      <c r="DJ182" s="250" t="str">
        <f t="shared" si="430"/>
        <v/>
      </c>
      <c r="DK182" s="250" t="str">
        <f t="shared" si="431"/>
        <v/>
      </c>
      <c r="DL182" s="250" t="str">
        <f t="shared" si="432"/>
        <v/>
      </c>
      <c r="DM182" s="250" t="str">
        <f>IF(CD182="ERROR", "ERROR", IF(AND(OR(Y182=$DM$6, Y182='Lookup Tables'!$AD$21, Y182='Lookup Tables'!$AD$22), E182="Interior"), BJ182, ""))</f>
        <v/>
      </c>
      <c r="DN182" s="250" t="str">
        <f>IF(CD182="ERROR", "ERROR", IF(AND(OR(Y182=$DM$6, Y182='Lookup Tables'!$AD$21, Y182='Lookup Tables'!$AD$22), E182="Exterior"), BJ182, ""))</f>
        <v/>
      </c>
      <c r="DO182" s="249"/>
      <c r="DP182" s="250" t="str">
        <f t="shared" si="433"/>
        <v/>
      </c>
      <c r="DQ182" s="250" t="str">
        <f t="shared" si="474"/>
        <v/>
      </c>
      <c r="DR182" s="250" t="str">
        <f t="shared" si="475"/>
        <v/>
      </c>
      <c r="DS182" s="250" t="str">
        <f t="shared" si="476"/>
        <v/>
      </c>
      <c r="DT182" s="250" t="str">
        <f t="shared" si="477"/>
        <v/>
      </c>
      <c r="DU182" s="250" t="str">
        <f t="shared" si="434"/>
        <v/>
      </c>
      <c r="DV182" s="250" t="str">
        <f t="shared" si="435"/>
        <v/>
      </c>
      <c r="DW182" s="250" t="str">
        <f t="shared" si="436"/>
        <v/>
      </c>
      <c r="DX182" s="250" t="str">
        <f t="shared" si="437"/>
        <v/>
      </c>
      <c r="DY182" s="250" t="str">
        <f t="shared" si="438"/>
        <v/>
      </c>
      <c r="DZ182" s="250" t="str">
        <f t="shared" si="439"/>
        <v/>
      </c>
      <c r="EA182" s="250" t="str">
        <f t="shared" si="440"/>
        <v/>
      </c>
      <c r="EB182" s="250" t="str">
        <f t="shared" si="478"/>
        <v/>
      </c>
      <c r="EC182" s="250" t="str">
        <f t="shared" si="441"/>
        <v/>
      </c>
      <c r="ED182" s="250" t="str">
        <f t="shared" si="442"/>
        <v/>
      </c>
      <c r="EE182" s="250" t="str">
        <f t="shared" si="443"/>
        <v/>
      </c>
      <c r="EF182" s="250" t="str">
        <f t="shared" si="444"/>
        <v/>
      </c>
      <c r="EG182" s="250" t="str">
        <f t="shared" si="445"/>
        <v/>
      </c>
      <c r="EH182" s="250" t="str">
        <f>IF(CD182="ERROR", "ERROR", IF(AND(OR($EH$6=Y182, Y182='Lookup Tables'!$AD$21, Y182='Lookup Tables'!$AD$22),E182="Interior"), SUM(BP182:BP182), ""))</f>
        <v/>
      </c>
      <c r="EI182" s="250" t="str">
        <f>IF(CD182="ERROR", "ERROR", IF(AND(OR($EH$6=Y182, Y182='Lookup Tables'!$AD$21, Y182='Lookup Tables'!$AD$22),E182="Exterior"), SUM(BP182:BP182), ""))</f>
        <v/>
      </c>
      <c r="EJ182" s="109"/>
      <c r="EK182" s="485" t="str">
        <f t="shared" si="446"/>
        <v/>
      </c>
      <c r="EL182" s="252" t="str">
        <f t="shared" si="479"/>
        <v/>
      </c>
      <c r="EM182" s="252" t="str">
        <f t="shared" si="480"/>
        <v/>
      </c>
      <c r="EN182" s="252" t="str">
        <f t="shared" si="481"/>
        <v/>
      </c>
      <c r="EO182" s="252" t="str">
        <f t="shared" si="482"/>
        <v/>
      </c>
      <c r="EP182" s="252" t="str">
        <f t="shared" si="483"/>
        <v/>
      </c>
      <c r="EQ182" s="252" t="str">
        <f t="shared" si="484"/>
        <v/>
      </c>
      <c r="ER182" s="252" t="str">
        <f t="shared" si="485"/>
        <v/>
      </c>
      <c r="ES182" s="252" t="str">
        <f t="shared" si="486"/>
        <v/>
      </c>
      <c r="ET182" s="252" t="str">
        <f t="shared" si="487"/>
        <v/>
      </c>
      <c r="EU182" s="252" t="str">
        <f t="shared" si="488"/>
        <v/>
      </c>
      <c r="EV182" s="252" t="str">
        <f t="shared" si="489"/>
        <v/>
      </c>
      <c r="EW182" s="252" t="str">
        <f t="shared" si="490"/>
        <v/>
      </c>
      <c r="EX182" s="252" t="str">
        <f t="shared" si="491"/>
        <v/>
      </c>
      <c r="EY182" s="252" t="str">
        <f t="shared" si="492"/>
        <v/>
      </c>
      <c r="EZ182" s="252" t="str">
        <f t="shared" si="493"/>
        <v/>
      </c>
      <c r="FA182" s="252" t="str">
        <f t="shared" si="494"/>
        <v/>
      </c>
      <c r="FB182" s="252" t="str">
        <f t="shared" si="495"/>
        <v/>
      </c>
      <c r="FC182" s="252" t="str">
        <f>IF(CD182="ERROR", "ERROR", IF(OR(V182="No Change", V182="Not DLC or Energy Star"), "", IF(AND(OR($FC$6=Y182,Y182='Lookup Tables'!$AD$21, Y182='Lookup Tables'!$AD$22),E182="Interior"), S182, "")))</f>
        <v/>
      </c>
      <c r="FD182" s="252" t="str">
        <f t="shared" si="496"/>
        <v/>
      </c>
      <c r="FE182" s="1"/>
      <c r="FF182" s="579" t="str" cm="1">
        <f t="array" ref="FF182">IFERROR(IF(OR(BQ182&lt;=0,AQ182&lt;20,AND(V182="Exit Signs",AN182&gt;0)),"",IF(AND(AQ182&gt;=20,AN182='Lookup Tables'!$R$101),'Lookup Tables'!$U$101*BQ182,AP182*LOOKUP(2,1/((AN182='Lookup Tables'!$R$91:$R$111)*(AQ182&gt;='Lookup Tables'!$S$91:$S$111)*(AQ182&lt;='Lookup Tables'!$T$91:$T$111)),'Lookup Tables'!$U$91:$U$111))),"")</f>
        <v/>
      </c>
      <c r="FG182" s="579"/>
      <c r="FH182" s="579"/>
      <c r="FI182" s="253" t="str">
        <f>IFERROR(ROUND(IF(CD182="ERROR", "ERROR", IF(AND($FI$7=X182,E182="Interior"),VLOOKUP(W182, 'Lookup Tables'!$AI$6:$AM$102, 5, FALSE)*BP182, "")), 2), "")</f>
        <v/>
      </c>
      <c r="FJ182" s="253" t="str">
        <f>IFERROR(ROUND(IF(CD182="ERROR", "ERROR", IF(AND($FI$7=X182,E182="Exterior"),VLOOKUP(W182, 'Lookup Tables'!$AI$6:$AM$102, 5, FALSE)*BP182, "")), 2), "")</f>
        <v/>
      </c>
      <c r="FK182" s="253" t="str">
        <f>IFERROR(ROUND(IF(CD182="ERROR", "ERROR", IF(AND($FK$7=X182,E182="Interior"),VLOOKUP(W182, 'Lookup Tables'!$AI$6:$AM$102, 5, FALSE)*BP182, "")), 2), "")</f>
        <v/>
      </c>
      <c r="FL182" s="253" t="str">
        <f>IFERROR(ROUND(IF(CD182="ERROR", "ERROR", IF(AND($FK$7=X182,E182="Exterior"),VLOOKUP(W182, 'Lookup Tables'!$AI$6:$AM$102, 5, FALSE)*BP182, "")), 2), "")</f>
        <v/>
      </c>
      <c r="FM182" s="253" t="str">
        <f>IFERROR(ROUND(IF(CD182="ERROR", "ERROR", IF(AND($FM$6=Y182,E182="Interior"), IF(GB182=0, VLOOKUP(W182, 'Lookup Tables'!$AI$6:$AM$102, 5, FALSE)*BP182, IF(VLOOKUP(W182, 'Lookup Tables'!$AI$6:$AM$102, 5, FALSE)*BP182&gt;GB182*'Lighting Inventory'!S182, GB182*'Lighting Inventory'!S182,VLOOKUP(W182, 'Lookup Tables'!$AI$6:$AM$102, 5, FALSE)*BP182)), "")), 2), "")</f>
        <v/>
      </c>
      <c r="FN182" s="253" t="str">
        <f>IFERROR(ROUND(IF(CD182="ERROR", "ERROR", IF(AND($FM$6=Y182,E182="Exterior"), IF(GB182=0, VLOOKUP(W182, 'Lookup Tables'!$AI$6:$AM$102, 5, FALSE)*BP182, IF(VLOOKUP(W182, 'Lookup Tables'!$AI$6:$AM$102, 5, FALSE)*BP182&gt;GB182*'Lighting Inventory'!S182, GB182*'Lighting Inventory'!S182,VLOOKUP(W182, 'Lookup Tables'!$AI$6:$AM$102, 5, FALSE)*BP182)), "")), 2), "")</f>
        <v/>
      </c>
      <c r="FO182" s="253" t="str">
        <f>IFERROR(ROUND(IF(CD182="ERROR", "ERROR", IF(AND($FO$6=Y182,E182="Interior"),VLOOKUP(W182, 'Lookup Tables'!$AI$6:$AM$102, 5, FALSE)*'Lighting Inventory'!AI182, "")), 2), "")</f>
        <v/>
      </c>
      <c r="FP182" s="253" t="str">
        <f>IFERROR(ROUND(IF(CD182="ERROR", "ERROR", IF(AND($FO$6=Y182,E182="Exterior"),VLOOKUP(W182, 'Lookup Tables'!$AI$6:$AM$102, 5, FALSE)*'Lighting Inventory'!AI182, "")), 2), "")</f>
        <v/>
      </c>
      <c r="FQ182" s="253" t="str">
        <f>IFERROR(ROUND(IF(CD182="ERROR", "ERROR", IF(AND($FQ$6=Y182,E182="Interior", BU182="Y"), VLOOKUP('Lighting Inventory'!W182, 'Lookup Tables'!$AI$6:$AM$102, 5, FALSE)*'Lighting Inventory'!S182, IF(AND($FQ$7=Y182,E182="Interior", BU182="N"), 0.025*CD182, ""))), 2), "")</f>
        <v/>
      </c>
      <c r="FR182" s="253" t="str">
        <f>IFERROR(ROUND(IF(CD182="ERROR", "ERROR", IF(AND($FQ$6=Y182,E182="Exterior"), VLOOKUP('Lighting Inventory'!W182, 'Lookup Tables'!$AI$6:$AM$102, 5, FALSE)*'Lighting Inventory'!S182, "")), 2), "")</f>
        <v/>
      </c>
      <c r="FS182" s="253" t="str">
        <f>IFERROR(ROUND(IF(CD182="ERROR", "ERROR", IF(AND($FS$6=Y182,E182="Exterior"), IF(GB182=0, VLOOKUP(W182, 'Lookup Tables'!$AI$6:$AM$102, 5, FALSE)*BP182, IF(VLOOKUP(W182, 'Lookup Tables'!$AI$6:$AM$102, 5, FALSE)*BP182&gt;GB182*'Lighting Inventory'!S182, GB182*'Lighting Inventory'!S182,VLOOKUP(W182, 'Lookup Tables'!$AI$6:$AM$102, 5, FALSE)*BP182)), "")), 2), "")</f>
        <v/>
      </c>
      <c r="FT182" s="253" t="str">
        <f>IFERROR(ROUND(IF(CD182="ERROR", "ERROR", IF(AND($FT$6=Y182,E182="Interior"), IF(GB182=0, VLOOKUP(W182, 'Lookup Tables'!$AI$6:$AM$102, 5, FALSE)*BP182, IF(VLOOKUP(W182, 'Lookup Tables'!$AI$6:$AM$102, 5, FALSE)*BP182&gt;GB182*'Lighting Inventory'!S182, GB182*'Lighting Inventory'!S182,VLOOKUP(W182, 'Lookup Tables'!$AI$6:$AM$102, 5, FALSE)*BP182)), "")), 2), "")</f>
        <v/>
      </c>
      <c r="FU182" s="253" t="str">
        <f>IFERROR(ROUND(IF(CD182="ERROR", "ERROR", IF(AND(Y182=$FU$6, E182="Interior"), IF(BS182="N", 'Lookup Tables'!$AM$101*BP182, VLOOKUP(W182, 'Lookup Tables'!$AI$6:$AM$102, 5, FALSE)*S182*AD182), "")), 2), "")</f>
        <v/>
      </c>
      <c r="FV182" s="253" t="str">
        <f>IFERROR(ROUND(IF(CD182="ERROR", "ERROR", IF(AND(Y182=$FU$6, E182="Exterior"), IF(BS182="N", 'Lookup Tables'!$AM$101*BP182, VLOOKUP(W182, 'Lookup Tables'!$AI$6:$AM$102, 5, FALSE)*S182*AD182), "")), 2), "")</f>
        <v/>
      </c>
      <c r="FW182" s="253" t="str">
        <f>IFERROR(ROUND(IF(CD182="ERROR", "ERROR", IF($FW$6=Y182, IF(BS182="N", 'Lookup Tables'!$AM$101*BP182, MIN((VLOOKUP(W182, 'Lookup Tables'!$AI$6:$AM$102, 5, FALSE)*BP182),GB182*AJ182)), "")), 2), "")</f>
        <v/>
      </c>
      <c r="FX182" s="253" t="str">
        <f>IFERROR(ROUND(IF(CD182="ERROR", "ERROR", IF(AND($FX$6=Y182, E182="Interior"), IF(VLOOKUP(W182, 'Lookup Tables'!$AI$6:$AM$102, 5, FALSE)*BP182&gt;'Lookup Tables'!$AQ$97*'Lighting Inventory'!S182,'Lighting Inventory'!S182*'Lookup Tables'!$AQ$97,VLOOKUP(W182, 'Lookup Tables'!$AI$6:$AM$102, 5, FALSE)*BP182), "")), 2), "")</f>
        <v/>
      </c>
      <c r="FY182" s="253" t="str">
        <f>IFERROR(ROUND(IF(CD182="ERROR", "ERROR", IF(AND($FX$6=Y182, E182="Exterior"), IF(VLOOKUP(W182, 'Lookup Tables'!$AI$6:$AM$102, 5, FALSE)*BP182&gt;'Lookup Tables'!$AQ$97*'Lighting Inventory'!S182,'Lighting Inventory'!S182*'Lookup Tables'!$AQ$97,VLOOKUP(W182, 'Lookup Tables'!$AI$6:$AM$102, 5, FALSE)*BP182), "")), 2), "")</f>
        <v/>
      </c>
      <c r="FZ182" s="253" t="str">
        <f>IFERROR(ROUND(IF(CD182="ERROR", "ERROR", IF(AND($FZ$6=Y182, E182="Interior"), IF(AND(OR(W182="Refrigerated Case Lighting with Doors", W182="Freezer Case Lighting"),Y182="Custom - Process Improvement"),CD182*'Lookup Tables'!$AM$101, IF(B182="Retrofit", IF(VLOOKUP(IF(V182="Custom", V182, W182), 'Lookup Tables'!$AI$6:$AM$102, 5, FALSE)*BP182&gt;GE182, GE182, VLOOKUP(IF(V182="Custom", V182, W182), 'Lookup Tables'!$AI$6:$AM$102, 5, FALSE)*BP182), IF(VLOOKUP(IF(V182="Custom", V182, W182), 'Lookup Tables'!$AI$114:$AM$154, 5, FALSE)*BP182&gt;GE182, GE182, VLOOKUP(IF(V182="Custom", V182, W182), 'Lookup Tables'!$AI$114:$AM$154, 5, FALSE)*BP182))), "")), 2),"")</f>
        <v/>
      </c>
      <c r="GA182" s="253" t="str">
        <f>IFERROR(ROUND(IF(CD182="ERROR", "ERROR", IF(AND($FZ$6=Y182, E182="Exterior"), IF(B182="Retrofit", IF(VLOOKUP(IF(V182="Custom", V182, W182), 'Lookup Tables'!$AI$6:$AM$102, 5, FALSE)*BP182&gt;GE182, GE182, VLOOKUP(IF(V182="Custom", V182, W182), 'Lookup Tables'!$AI$6:$AM$102, 5, FALSE)*BP182), IF(VLOOKUP(IF(V182="Custom", V182, W182), 'Lookup Tables'!$AI$114:$AM$154, 5, FALSE)*BP182&gt;GE182, GE182, VLOOKUP(IF(V182="Custom", V182, W182), 'Lookup Tables'!$AI$114:$AM$154, 5, FALSE)*BP182)), "")), 2),"")</f>
        <v/>
      </c>
      <c r="GB182" s="254" t="str">
        <f t="array" ref="GB182">IF(B182="","",IF(OR(V182="Custom",V182="No Change"),0,IF(B182="Retrofit", INDEX('Lookup Tables'!$AH$6:$AQ$102,MATCH(1,('Lookup Tables'!$AH$6:$AH$102='Lighting Inventory'!V182)*('Lookup Tables'!$AI$6:$AI$102='Lighting Inventory'!W182),FALSE),10),INDEX('Lookup Tables'!$AH$114:$AQ$154,MATCH(1,('Lookup Tables'!$AH$114:$AH$154='Lighting Inventory'!V182)*('Lookup Tables'!$AI$114:$AI$154='Lighting Inventory'!W182),FALSE),10))))</f>
        <v/>
      </c>
      <c r="GC182" s="255" t="str">
        <f t="shared" si="447"/>
        <v/>
      </c>
      <c r="GD182" s="250" t="str">
        <f t="shared" si="448"/>
        <v/>
      </c>
      <c r="GE182" s="253" t="str">
        <f>IFERROR(IF(AND(AF182="", 'General Information'!$F$18="No"),"", IF(AF182="", ((GD182/$CD$266)*$CF$266)*0.5, AF182*S182*0.5)), "")</f>
        <v/>
      </c>
      <c r="GF182" s="255" t="str">
        <f>IF(AND('General Information'!$F$19="", 'General Information'!$F$18="Yes",AF182="",BW182="Y"), "Y", "N")</f>
        <v>N</v>
      </c>
      <c r="GG182" s="255" t="s">
        <v>2946</v>
      </c>
      <c r="GH182" s="255" t="str">
        <f>IFERROR(IF(B182="", "", VLOOKUP(J182, 'Fixture Identities'!$A$6:$N$908, 14, FALSE)), "")</f>
        <v/>
      </c>
      <c r="GI182" s="389" t="str">
        <f>IF(OR(B182="", V182="", W182=""), "", IF(AND(OR(M182='Lookup Tables'!$R$18, M182='Lookup Tables'!$R$19, M182='Lookup Tables'!$R$20, M182='Lookup Tables'!$R$21, M182='Lookup Tables'!$R$22), OR(AN182='Lookup Tables'!$R$17, AN182='Lookup Tables'!$R$17, AN182="")), "Y", "N"))</f>
        <v/>
      </c>
      <c r="GJ182" s="255" t="str">
        <f t="shared" si="449"/>
        <v/>
      </c>
      <c r="GK182" s="255" t="str">
        <f t="shared" si="450"/>
        <v/>
      </c>
      <c r="GL182" s="255" t="str">
        <f t="shared" si="451"/>
        <v/>
      </c>
      <c r="GM182" s="255" t="str">
        <f>IF(AN182="", "", IF(AND(IF(ISNA(VLOOKUP(AN182,'Lookup Tables'!$R$18:$R$22,1,FALSE)), "N", "Y")="Y", E182="Exterior"), "Y", "N"))</f>
        <v/>
      </c>
      <c r="GN182" s="395"/>
      <c r="GO182" s="428">
        <f t="shared" si="497"/>
        <v>0</v>
      </c>
      <c r="GP182" s="428">
        <f t="shared" si="500"/>
        <v>0</v>
      </c>
      <c r="GQ182" s="428">
        <f t="shared" si="498"/>
        <v>0</v>
      </c>
      <c r="GR182" s="428">
        <f t="shared" si="499"/>
        <v>0</v>
      </c>
    </row>
    <row r="183" spans="1:200" s="103" customFormat="1" ht="13.5" customHeight="1" x14ac:dyDescent="0.2">
      <c r="A183" s="272">
        <v>173</v>
      </c>
      <c r="B183" s="110"/>
      <c r="C183" s="110"/>
      <c r="D183" s="110"/>
      <c r="E183" s="110"/>
      <c r="F183" s="110"/>
      <c r="G183" s="110"/>
      <c r="H183" s="110"/>
      <c r="I183" s="29"/>
      <c r="J183" s="29"/>
      <c r="K183" s="272" t="str">
        <f>IFERROR(IF(OR(VLOOKUP(J183, 'Fixture Identities'!$A$6:$L$1023, 3, FALSE)="T12 Linear Fluorescent", VLOOKUP(J183, 'Fixture Identities'!$A$6:$L$1023, 3, FALSE)="T12 U-Tube Fluorescent"), VLOOKUP(VLOOKUP(J183, 'Fixture Identities'!$A$6:$L$1023, 11, FALSE), 'Fixture Identities'!$A$6:$L$1023, 10, FALSE), VLOOKUP(J183, 'Fixture Identities'!$A$6:$L$1023, 10, FALSE)), "")</f>
        <v/>
      </c>
      <c r="L183" s="270" t="str">
        <f t="shared" si="502"/>
        <v/>
      </c>
      <c r="M183" s="110"/>
      <c r="N183" s="110"/>
      <c r="O183" s="110"/>
      <c r="P183" s="272" t="str">
        <f>IFERROR(IF(OR(B183="Retrofit",B183=""),"",IF('Lighting Inventory'!E183="Exterior",VLOOKUP('Lighting Inventory'!N183,'Lookup Tables'!$B$83:$F$103,5,FALSE),IF(N183="Other - Please Estimate EFLH and CFs","Contact Prog. Rep.","ft^2"))), "")</f>
        <v/>
      </c>
      <c r="Q183" s="270" t="str">
        <f>IFERROR(IF(AND(B183="New Construction",E183="Interior",$F$5="Space-by-Space"),VLOOKUP('Lighting Inventory'!N183,'Lookup Tables'!$N$6:$O$97,2,FALSE),IF(AND(B183="New Construction",E183="Exterior"),VLOOKUP(N183,'Lookup Tables'!$B$83:$F$103,2,FALSE),IF(AND(B183="New Construction",'Lighting Inventory'!E183="Interior", $F$5="Building Area"),VLOOKUP(F183,'Lookup Tables'!$A$6:$J$59,10,FALSE),""))), "")</f>
        <v/>
      </c>
      <c r="R183" s="270" t="str">
        <f>IFERROR(IF(P183="Contact Prog. Rep.", "ERROR", IF(OR(B183="",B183="Retrofit"),"",IF(N183="Automated teller machines", ('Lookup Tables'!$A$82:$E$100+('Lighting Inventory'!O183-1)*'Lookup Tables'!$A$82:$E$100)/1000, (Q183*O183)/1000))), "")</f>
        <v/>
      </c>
      <c r="S183" s="595"/>
      <c r="T183" s="105" t="str">
        <f t="shared" si="452"/>
        <v/>
      </c>
      <c r="U183" s="105" t="str">
        <f>IF(S183="","",COUNT($S$11:S183))</f>
        <v/>
      </c>
      <c r="V183" s="111"/>
      <c r="W183" s="112"/>
      <c r="X183" s="105" t="str">
        <f t="shared" si="453"/>
        <v/>
      </c>
      <c r="Y183" s="105" t="str">
        <f t="array" ref="Y183">IF(AND(OR(W183="Freezer Case Lighting", W183="Refrigerated Case Lighting with Doors"), 'General Information'!$X$18="LCI"),'Lookup Tables'!$Y$34, IF(V183="Custom", VLOOKUP(W183, 'Fixture Identities'!$A$974:$M$1023, 13, FALSE), IF(V183="No Change",'Lookup Tables'!$Y$29,IF(OR(V183="",W183=""),"",IF(AND(S183=0,S183&lt;I183,B183="Retrofit"),'Lookup Tables'!$Y$25, IF(B183="Retrofit", INDEX('Lookup Tables'!$AH$6:$AP$102, MATCH(1, ('Lookup Tables'!$AH$6:$AH$102=V183)*('Lookup Tables'!$AI$6:$AI$102=W183), 0), IF('Lighting Inventory'!E183="Interior", 4, 5)), INDEX('Lookup Tables'!$AH$114:$AP$154, MATCH(1, ('Lookup Tables'!$AH$114:$AH$154=V183)*('Lookup Tables'!$AI$114:$AI$154=W183), 0), IF('Lighting Inventory'!E183="Interior", 4, 5))))))))</f>
        <v/>
      </c>
      <c r="Z183" s="105" t="str">
        <f>IFERROR(INDEX('Lookup Tables'!$AH$158:$AH$172,MATCH('Lighting Inventory'!Y183,'Lookup Tables'!$AI$158:$AI$172,0)),"")</f>
        <v/>
      </c>
      <c r="AA183" s="105" t="str">
        <f>IF(AP183&gt;0,INDEX('Lookup Tables'!$AK$158:$AK$172,MATCH('Lighting Inventory'!Y183,'Lookup Tables'!$AI$158:$AI$172,0)),'Lighting Inventory'!Y183)</f>
        <v/>
      </c>
      <c r="AB183" s="105" t="str">
        <f t="array" ref="AB183">IF(V183="Custom", "Custom", IF(V183="", "", IF(V183="Not DLC or Energy Star", "General", IF(B183="New Construction", INDEX('Lookup Tables'!$AH$114:$AP$154,MATCH(1,('Lookup Tables'!$AH$114:$AH$154='Lighting Inventory'!V183)*('Lookup Tables'!$AI$114:$AI$154='Lighting Inventory'!W183),FALSE),8), INDEX('Lookup Tables'!$AH$6:$AP$102,MATCH(1,('Lookup Tables'!$AH$6:$AH$102='Lighting Inventory'!V183)*('Lookup Tables'!$AI$6:$AI$102='Lighting Inventory'!W183),FALSE),8)))))</f>
        <v/>
      </c>
      <c r="AC183" s="272" t="str">
        <f>IF(W183="","",IF(V183="Custom",CONCATENATE("$",'Lookup Tables'!$AM$101," ",'Lookup Tables'!$AN$101),CONCATENATE("$",INDEX('Lookup Tables'!$AM$6:$AM$102,MATCH('Lighting Inventory'!W183,'Lookup Tables'!$AI$6:$AI$102,0))," ",INDEX('Lookup Tables'!$AN$6:$AN$102,MATCH('Lighting Inventory'!W183,'Lookup Tables'!$AI$6:$AI$102,0)))))</f>
        <v/>
      </c>
      <c r="AD183" s="72"/>
      <c r="AE183" s="29"/>
      <c r="AF183" s="379"/>
      <c r="AG183" s="370" t="str">
        <f t="shared" si="401"/>
        <v/>
      </c>
      <c r="AH183" s="370" t="str">
        <f t="shared" si="454"/>
        <v/>
      </c>
      <c r="AI183" s="29"/>
      <c r="AJ183" s="29"/>
      <c r="AK183" s="110"/>
      <c r="AL183" s="375" t="str">
        <f>IF(OR(B183="", V183="", W183=""), "", IF(V183="No Change", K183, IF(V183="Remove Fixture", 0, IF(V183="Custom",VLOOKUP(W183,'Fixture Identities'!$A$6:$K$1023,10,FALSE),IF(AE183="", "← ENTER POST WATTS", 'Lighting Inventory'!AE183)))))</f>
        <v/>
      </c>
      <c r="AM183" s="376" t="str">
        <f t="shared" si="402"/>
        <v/>
      </c>
      <c r="AN183" s="29"/>
      <c r="AO183" s="671"/>
      <c r="AP183" s="29"/>
      <c r="AQ183" s="29"/>
      <c r="AR183" s="29"/>
      <c r="AS183" s="272" t="str">
        <f t="shared" si="455"/>
        <v/>
      </c>
      <c r="AT183" s="270" t="str">
        <f t="shared" si="403"/>
        <v/>
      </c>
      <c r="AU183" s="88" t="str">
        <f t="shared" si="503"/>
        <v/>
      </c>
      <c r="AV183" s="29"/>
      <c r="AW183" s="73"/>
      <c r="AX183" s="271" t="str">
        <f>IF(AND(AV183="Applicant",OR(AW183="", AW183="Use Default Facility Hours")),"← Choose Schedule",IF(F183="","",IF(W183="LED Exit Signs",8760,IF(OR(AV183="Prescribed",AV183=""),VLOOKUP(F183,'Lookup Tables'!$A$6:$G$59,IF(AB183="General", 6, 3),FALSE),VLOOKUP(AW183,'Lookup Tables'!$S$36:$U$43,2,FALSE)))))</f>
        <v/>
      </c>
      <c r="AY183" s="88" t="str">
        <f t="shared" si="404"/>
        <v/>
      </c>
      <c r="AZ183" s="270" t="str">
        <f>IFERROR(IF(F183="", "", IF(W183="LED Exit Signs", 1, IF(AV183="Applicant",VLOOKUP(AW183, 'Lookup Tables'!$S$36:$U$43,3, FALSE), VLOOKUP('Lighting Inventory'!F183, 'Lookup Tables'!$A$6:$H$59, IF('Lighting Inventory'!AB183="General",7,4), FALSE)))), "")</f>
        <v/>
      </c>
      <c r="BA183" s="522" t="str">
        <f>IFERROR(IF(F183="", "", IF(W183="LED Exit Signs", 1, VLOOKUP('Lighting Inventory'!F183, 'Lookup Tables'!$A$6:$H$59, IF('Lighting Inventory'!AB183="General",8,5), FALSE))), "")</f>
        <v/>
      </c>
      <c r="BB183" s="270" t="str">
        <f>IF(G183="", "", IF(E183="Exterior", 0, IF('Lighting Inventory'!G183="Air Conditioned", VLOOKUP(H183, 'Lookup Tables'!$R$6:$T$13, 2, FALSE), VLOOKUP('Lighting Inventory'!G183, 'Lookup Tables'!$R$6:$T$13, 2, FALSE))))</f>
        <v/>
      </c>
      <c r="BC183" s="522" t="str">
        <f>IF(G183="", "", IF(E183="Exterior", 0, IF('Lighting Inventory'!G183="Air Conditioned", VLOOKUP(H183, 'Lookup Tables'!$R$6:$T$13, 3, FALSE), VLOOKUP('Lighting Inventory'!G183, 'Lookup Tables'!$R$6:$T$13, 3, FALSE))))</f>
        <v/>
      </c>
      <c r="BD183" s="270" t="str">
        <f>IF(G183="", "", IF(E183="Exterior", 0, IF('Lighting Inventory'!G183="Air Conditioned", VLOOKUP(H183, 'Lookup Tables'!$R$6:$U$13, 4, FALSE), VLOOKUP('Lighting Inventory'!G183, 'Lookup Tables'!$R$6:$U$13, 4, FALSE))))</f>
        <v/>
      </c>
      <c r="BE183" s="270" t="str">
        <f>IFERROR(IF(B183="", "",  IF(B183="New Construction", VLOOKUP(F183, 'Lookup Tables'!$A$6:$K$59, 11, FALSE),IF(OR(AN183="", AN183="Light Switch"), 0, IF(OR(M183="",M183="None",V183= "LED Exit Signs"),0,_xlfn.XLOOKUP(M183,'Lookup Tables'!$R$91:$R$101,'Lookup Tables'!$V$91:$V$101))))), "")</f>
        <v/>
      </c>
      <c r="BF183" s="270" t="str">
        <f>IF(AND(OR(AN183="Light Switch",AN183=""),B183="New Construction"), VLOOKUP(F183, 'Lookup Tables'!$A$6:$K$59, 11, FALSE),IF(AN183="","",IF(B183="","",IF(OR(AN183="None",AN183="",V183="LED Exit Signs",AN183="Exterior Controls Not Eligible"),0,_xlfn.XLOOKUP(AN183,'Lookup Tables'!$R$91:$R$101,'Lookup Tables'!$V$91:$V$101)))))</f>
        <v/>
      </c>
      <c r="BG183" s="88" t="str">
        <f t="shared" si="456"/>
        <v/>
      </c>
      <c r="BH183" s="88" t="str">
        <f t="shared" si="457"/>
        <v/>
      </c>
      <c r="BI183" s="558" t="str">
        <f t="shared" si="501"/>
        <v/>
      </c>
      <c r="BJ183" s="82" t="str">
        <f t="shared" si="458"/>
        <v/>
      </c>
      <c r="BK183" s="82" t="str">
        <f t="shared" si="459"/>
        <v/>
      </c>
      <c r="BL183" s="559" t="str">
        <f t="shared" si="460"/>
        <v/>
      </c>
      <c r="BM183" s="521" t="str">
        <f t="shared" si="405"/>
        <v/>
      </c>
      <c r="BN183" s="521" t="str">
        <f t="shared" si="406"/>
        <v/>
      </c>
      <c r="BO183" s="522" t="str">
        <f t="shared" si="407"/>
        <v/>
      </c>
      <c r="BP183" s="83" t="str">
        <f t="shared" si="461"/>
        <v/>
      </c>
      <c r="BQ183" s="84" t="str">
        <f t="shared" si="462"/>
        <v/>
      </c>
      <c r="BR183" s="184" t="str">
        <f>IFERROR(IF(B183="", "", IF(OR(VLOOKUP(J183, 'Fixture Identities'!$A$6:$L$1023, 3, FALSE)="T12 Linear Fluorescent",VLOOKUP(J183, 'Fixture Identities'!$A$6:$L$1023, 3, FALSE)="T12 U-Tube Fluorescent"), "Y", "N")), "N")</f>
        <v/>
      </c>
      <c r="BS183" s="184" t="str">
        <f t="array" ref="BS183">IFERROR(IF(OR(B183="", V183="", W183=""), "", IF(V183="Custom", "N", IF(OR(W183="Freezer Case Lighting", W183="Refrigerated Case Lighting with Doors"), BT183, IF(B183="Retrofit", INDEX('Lookup Tables'!$AH$6:$AT$102,MATCH(1,('Lookup Tables'!$AH$6:$AH$102=V183)*('Lookup Tables'!$AI$6:$AI$102=W183),FALSE),IF(VLOOKUP(J183, 'Fixture Identities'!$A$6:$B$1023, 2, FALSE)="Incandescent",12, 13)), INDEX('Lookup Tables'!$AH$114:$AS$154,MATCH(1,('Lookup Tables'!$AH$114:$AH$154=V183)*('Lookup Tables'!$AI$114:$AI$154=W183),FALSE),12))))), "N")</f>
        <v/>
      </c>
      <c r="BT183" s="184" t="str">
        <f>IF(J183="", "", IF(AND(OR(W183="Freezer case Lighting", W183="Refrigerated Case Lighting with Doors"),'General Information'!$X$18="LCI"), "N", IF(OR(VLOOKUP(J183, 'Fixture Identities'!$A$6:$B$1023, 2, FALSE)="T12 EPACT/EISA Baseline", VLOOKUP(J183, 'Fixture Identities'!$A$6:$B$1023, 2, FALSE)="Linear Fluorescent", VLOOKUP(J183, 'Fixture Identities'!$A$6:$B$1023, 2, FALSE)="U-Tube Fluorescent"), "Y", "N")))</f>
        <v/>
      </c>
      <c r="BU183" s="184" t="str">
        <f>IFERROR(IF(B183="", "", IF(VLOOKUP(J183, 'Fixture Identities'!$A$6:$B$1023, 2, FALSE)="Exit Sign", "Y", "N")), "N")</f>
        <v/>
      </c>
      <c r="BV183" s="184" t="str">
        <f>IF(V183="Exit Signs", IF(VLOOKUP(J183, 'Fixture Identities'!$A$6:$B$1023, 2, FALSE)="Exit Sign", "N", "Y"), "")</f>
        <v/>
      </c>
      <c r="BW183" s="184" t="str">
        <f t="array" ref="BW183">IFERROR(IF(B183="", "", IF(B183="New Construction", "N", INDEX('Lookup Tables'!$AH$6:$AU$102, MATCH(1, ('Lookup Tables'!$AH$6:$AH$102='Lighting Inventory'!V183)*('Lookup Tables'!$AI$6:$AI$102='Lighting Inventory'!W183), 0), 14))), "N")</f>
        <v/>
      </c>
      <c r="BX183" s="598" t="str">
        <f t="shared" si="463"/>
        <v/>
      </c>
      <c r="BY183" s="598" t="str">
        <f t="shared" si="464"/>
        <v/>
      </c>
      <c r="BZ183" s="598" t="str">
        <f t="shared" si="465"/>
        <v/>
      </c>
      <c r="CA183" s="598" t="str">
        <f t="shared" si="466"/>
        <v/>
      </c>
      <c r="CB183" s="269" t="str">
        <f t="shared" si="467"/>
        <v/>
      </c>
      <c r="CC183" s="517" t="str">
        <f t="shared" si="468"/>
        <v/>
      </c>
      <c r="CD183" s="565" t="str">
        <f t="shared" si="408"/>
        <v/>
      </c>
      <c r="CE183" s="368">
        <v>0</v>
      </c>
      <c r="CF183" s="368" t="str" cm="1">
        <f t="array" ref="CF183">IFERROR(IF(V183="Custom", "$0.1 per kWh", IF(B183="New Construction", CONCATENATE("$",INDEX('Lookup Tables'!$AH$114:$AN$154,MATCH(1,('Lookup Tables'!$AH$114:$AH$154='Lighting Inventory'!V183)*('Lookup Tables'!$AI$114:$AI$154='Lighting Inventory'!W183),FALSE),6)," ",INDEX('Lookup Tables'!$AH$114:$AN$154,MATCH(1,('Lookup Tables'!$AH$114:$AH$154='Lighting Inventory'!V183)*('Lookup Tables'!$AI$114:$AI$154='Lighting Inventory'!W183),FALSE),7)), IF(AND(BU183="N", V183="Exit Signs"), "$0.025 per kWh", CONCATENATE("$",INDEX('Lookup Tables'!$AH$6:$AN$102,MATCH(1,('Lookup Tables'!$AH$6:$AH$102='Lighting Inventory'!V183)*('Lookup Tables'!$AI$6:$AI$102='Lighting Inventory'!W183),FALSE),6)," ",INDEX('Lookup Tables'!$AH$6:$AN$102,MATCH(1,('Lookup Tables'!$AH$6:$AH$102='Lighting Inventory'!V183)*('Lookup Tables'!$AI$6:$AI$102='Lighting Inventory'!W183),FALSE),7))))), "")</f>
        <v/>
      </c>
      <c r="CG183" s="366"/>
      <c r="CH183" s="248" t="str">
        <f t="shared" si="409"/>
        <v/>
      </c>
      <c r="CI183" s="248" t="str">
        <f t="shared" si="410"/>
        <v>Select_IE</v>
      </c>
      <c r="CJ183" s="248" t="str">
        <f t="shared" si="411"/>
        <v/>
      </c>
      <c r="CK183" s="248" t="str">
        <f t="shared" si="412"/>
        <v/>
      </c>
      <c r="CL183" s="248" t="str">
        <f t="shared" si="413"/>
        <v/>
      </c>
      <c r="CM183" s="248" t="str">
        <f>IFERROR(IF(B183="", "", IF(B183="New Construction", VLOOKUP(V183, 'Lookup Tables'!$AF$114:$AG$120, 2, FALSE), VLOOKUP(V183, 'Lookup Tables'!$AD$6:$AE$25, 2, FALSE))), "")</f>
        <v/>
      </c>
      <c r="CN183" s="248" t="str">
        <f t="shared" si="414"/>
        <v/>
      </c>
      <c r="CO183" s="248" t="str">
        <f t="shared" si="415"/>
        <v/>
      </c>
      <c r="CP183" s="592" t="str">
        <f t="shared" si="416"/>
        <v/>
      </c>
      <c r="CQ183" s="248" t="str">
        <f t="shared" si="469"/>
        <v/>
      </c>
      <c r="CR183" s="100"/>
      <c r="CS183" s="250" t="str">
        <f t="shared" si="417"/>
        <v/>
      </c>
      <c r="CT183" s="250" t="str">
        <f t="shared" si="470"/>
        <v/>
      </c>
      <c r="CU183" s="250" t="str">
        <f t="shared" si="471"/>
        <v/>
      </c>
      <c r="CV183" s="250" t="str">
        <f t="shared" si="472"/>
        <v/>
      </c>
      <c r="CW183" s="250" t="str">
        <f t="shared" si="473"/>
        <v/>
      </c>
      <c r="CX183" s="250" t="str">
        <f t="shared" si="418"/>
        <v/>
      </c>
      <c r="CY183" s="250" t="str">
        <f t="shared" si="419"/>
        <v/>
      </c>
      <c r="CZ183" s="250" t="str">
        <f t="shared" si="420"/>
        <v/>
      </c>
      <c r="DA183" s="250" t="str">
        <f t="shared" si="421"/>
        <v/>
      </c>
      <c r="DB183" s="250" t="str">
        <f t="shared" si="422"/>
        <v/>
      </c>
      <c r="DC183" s="250" t="str">
        <f t="shared" si="423"/>
        <v/>
      </c>
      <c r="DD183" s="250" t="str">
        <f t="shared" si="424"/>
        <v/>
      </c>
      <c r="DE183" s="250" t="str">
        <f t="shared" si="425"/>
        <v/>
      </c>
      <c r="DF183" s="250" t="str">
        <f t="shared" si="426"/>
        <v/>
      </c>
      <c r="DG183" s="250" t="str">
        <f t="shared" si="427"/>
        <v/>
      </c>
      <c r="DH183" s="250" t="str">
        <f t="shared" si="428"/>
        <v/>
      </c>
      <c r="DI183" s="250" t="str">
        <f t="shared" si="429"/>
        <v/>
      </c>
      <c r="DJ183" s="250" t="str">
        <f t="shared" si="430"/>
        <v/>
      </c>
      <c r="DK183" s="250" t="str">
        <f t="shared" si="431"/>
        <v/>
      </c>
      <c r="DL183" s="250" t="str">
        <f t="shared" si="432"/>
        <v/>
      </c>
      <c r="DM183" s="250" t="str">
        <f>IF(CD183="ERROR", "ERROR", IF(AND(OR(Y183=$DM$6, Y183='Lookup Tables'!$AD$21, Y183='Lookup Tables'!$AD$22), E183="Interior"), BJ183, ""))</f>
        <v/>
      </c>
      <c r="DN183" s="250" t="str">
        <f>IF(CD183="ERROR", "ERROR", IF(AND(OR(Y183=$DM$6, Y183='Lookup Tables'!$AD$21, Y183='Lookup Tables'!$AD$22), E183="Exterior"), BJ183, ""))</f>
        <v/>
      </c>
      <c r="DO183" s="100"/>
      <c r="DP183" s="250" t="str">
        <f t="shared" si="433"/>
        <v/>
      </c>
      <c r="DQ183" s="250" t="str">
        <f t="shared" si="474"/>
        <v/>
      </c>
      <c r="DR183" s="250" t="str">
        <f t="shared" si="475"/>
        <v/>
      </c>
      <c r="DS183" s="250" t="str">
        <f t="shared" si="476"/>
        <v/>
      </c>
      <c r="DT183" s="250" t="str">
        <f t="shared" si="477"/>
        <v/>
      </c>
      <c r="DU183" s="250" t="str">
        <f t="shared" si="434"/>
        <v/>
      </c>
      <c r="DV183" s="250" t="str">
        <f t="shared" si="435"/>
        <v/>
      </c>
      <c r="DW183" s="250" t="str">
        <f t="shared" si="436"/>
        <v/>
      </c>
      <c r="DX183" s="250" t="str">
        <f t="shared" si="437"/>
        <v/>
      </c>
      <c r="DY183" s="250" t="str">
        <f t="shared" si="438"/>
        <v/>
      </c>
      <c r="DZ183" s="250" t="str">
        <f t="shared" si="439"/>
        <v/>
      </c>
      <c r="EA183" s="250" t="str">
        <f t="shared" si="440"/>
        <v/>
      </c>
      <c r="EB183" s="250" t="str">
        <f t="shared" si="478"/>
        <v/>
      </c>
      <c r="EC183" s="250" t="str">
        <f t="shared" si="441"/>
        <v/>
      </c>
      <c r="ED183" s="250" t="str">
        <f t="shared" si="442"/>
        <v/>
      </c>
      <c r="EE183" s="250" t="str">
        <f t="shared" si="443"/>
        <v/>
      </c>
      <c r="EF183" s="250" t="str">
        <f t="shared" si="444"/>
        <v/>
      </c>
      <c r="EG183" s="250" t="str">
        <f t="shared" si="445"/>
        <v/>
      </c>
      <c r="EH183" s="250" t="str">
        <f>IF(CD183="ERROR", "ERROR", IF(AND(OR($EH$6=Y183, Y183='Lookup Tables'!$AD$21, Y183='Lookup Tables'!$AD$22),E183="Interior"), SUM(BP183:BP183), ""))</f>
        <v/>
      </c>
      <c r="EI183" s="250" t="str">
        <f>IF(CD183="ERROR", "ERROR", IF(AND(OR($EH$6=Y183, Y183='Lookup Tables'!$AD$21, Y183='Lookup Tables'!$AD$22),E183="Exterior"), SUM(BP183:BP183), ""))</f>
        <v/>
      </c>
      <c r="EJ183" s="109"/>
      <c r="EK183" s="485" t="str">
        <f t="shared" si="446"/>
        <v/>
      </c>
      <c r="EL183" s="252" t="str">
        <f t="shared" si="479"/>
        <v/>
      </c>
      <c r="EM183" s="252" t="str">
        <f t="shared" si="480"/>
        <v/>
      </c>
      <c r="EN183" s="252" t="str">
        <f t="shared" si="481"/>
        <v/>
      </c>
      <c r="EO183" s="252" t="str">
        <f t="shared" si="482"/>
        <v/>
      </c>
      <c r="EP183" s="252" t="str">
        <f t="shared" si="483"/>
        <v/>
      </c>
      <c r="EQ183" s="252" t="str">
        <f t="shared" si="484"/>
        <v/>
      </c>
      <c r="ER183" s="252" t="str">
        <f t="shared" si="485"/>
        <v/>
      </c>
      <c r="ES183" s="252" t="str">
        <f t="shared" si="486"/>
        <v/>
      </c>
      <c r="ET183" s="252" t="str">
        <f t="shared" si="487"/>
        <v/>
      </c>
      <c r="EU183" s="252" t="str">
        <f t="shared" si="488"/>
        <v/>
      </c>
      <c r="EV183" s="252" t="str">
        <f t="shared" si="489"/>
        <v/>
      </c>
      <c r="EW183" s="252" t="str">
        <f t="shared" si="490"/>
        <v/>
      </c>
      <c r="EX183" s="252" t="str">
        <f t="shared" si="491"/>
        <v/>
      </c>
      <c r="EY183" s="252" t="str">
        <f t="shared" si="492"/>
        <v/>
      </c>
      <c r="EZ183" s="252" t="str">
        <f t="shared" si="493"/>
        <v/>
      </c>
      <c r="FA183" s="252" t="str">
        <f t="shared" si="494"/>
        <v/>
      </c>
      <c r="FB183" s="252" t="str">
        <f t="shared" si="495"/>
        <v/>
      </c>
      <c r="FC183" s="252" t="str">
        <f>IF(CD183="ERROR", "ERROR", IF(OR(V183="No Change", V183="Not DLC or Energy Star"), "", IF(AND(OR($FC$6=Y183,Y183='Lookup Tables'!$AD$21, Y183='Lookup Tables'!$AD$22),E183="Interior"), S183, "")))</f>
        <v/>
      </c>
      <c r="FD183" s="252" t="str">
        <f t="shared" si="496"/>
        <v/>
      </c>
      <c r="FE183" s="101"/>
      <c r="FF183" s="579" t="str" cm="1">
        <f t="array" ref="FF183">IFERROR(IF(OR(BQ183&lt;=0,AQ183&lt;20,AND(V183="Exit Signs",AN183&gt;0)),"",IF(AND(AQ183&gt;=20,AN183='Lookup Tables'!$R$101),'Lookup Tables'!$U$101*BQ183,AP183*LOOKUP(2,1/((AN183='Lookup Tables'!$R$91:$R$111)*(AQ183&gt;='Lookup Tables'!$S$91:$S$111)*(AQ183&lt;='Lookup Tables'!$T$91:$T$111)),'Lookup Tables'!$U$91:$U$111))),"")</f>
        <v/>
      </c>
      <c r="FG183" s="579"/>
      <c r="FH183" s="579"/>
      <c r="FI183" s="253" t="str">
        <f>IFERROR(ROUND(IF(CD183="ERROR", "ERROR", IF(AND($FI$7=X183,E183="Interior"),VLOOKUP(W183, 'Lookup Tables'!$AI$6:$AM$102, 5, FALSE)*BP183, "")), 2), "")</f>
        <v/>
      </c>
      <c r="FJ183" s="253" t="str">
        <f>IFERROR(ROUND(IF(CD183="ERROR", "ERROR", IF(AND($FI$7=X183,E183="Exterior"),VLOOKUP(W183, 'Lookup Tables'!$AI$6:$AM$102, 5, FALSE)*BP183, "")), 2), "")</f>
        <v/>
      </c>
      <c r="FK183" s="253" t="str">
        <f>IFERROR(ROUND(IF(CD183="ERROR", "ERROR", IF(AND($FK$7=X183,E183="Interior"),VLOOKUP(W183, 'Lookup Tables'!$AI$6:$AM$102, 5, FALSE)*BP183, "")), 2), "")</f>
        <v/>
      </c>
      <c r="FL183" s="253" t="str">
        <f>IFERROR(ROUND(IF(CD183="ERROR", "ERROR", IF(AND($FK$7=X183,E183="Exterior"),VLOOKUP(W183, 'Lookup Tables'!$AI$6:$AM$102, 5, FALSE)*BP183, "")), 2), "")</f>
        <v/>
      </c>
      <c r="FM183" s="253" t="str">
        <f>IFERROR(ROUND(IF(CD183="ERROR", "ERROR", IF(AND($FM$6=Y183,E183="Interior"), IF(GB183=0, VLOOKUP(W183, 'Lookup Tables'!$AI$6:$AM$102, 5, FALSE)*BP183, IF(VLOOKUP(W183, 'Lookup Tables'!$AI$6:$AM$102, 5, FALSE)*BP183&gt;GB183*'Lighting Inventory'!S183, GB183*'Lighting Inventory'!S183,VLOOKUP(W183, 'Lookup Tables'!$AI$6:$AM$102, 5, FALSE)*BP183)), "")), 2), "")</f>
        <v/>
      </c>
      <c r="FN183" s="253" t="str">
        <f>IFERROR(ROUND(IF(CD183="ERROR", "ERROR", IF(AND($FM$6=Y183,E183="Exterior"), IF(GB183=0, VLOOKUP(W183, 'Lookup Tables'!$AI$6:$AM$102, 5, FALSE)*BP183, IF(VLOOKUP(W183, 'Lookup Tables'!$AI$6:$AM$102, 5, FALSE)*BP183&gt;GB183*'Lighting Inventory'!S183, GB183*'Lighting Inventory'!S183,VLOOKUP(W183, 'Lookup Tables'!$AI$6:$AM$102, 5, FALSE)*BP183)), "")), 2), "")</f>
        <v/>
      </c>
      <c r="FO183" s="253" t="str">
        <f>IFERROR(ROUND(IF(CD183="ERROR", "ERROR", IF(AND($FO$6=Y183,E183="Interior"),VLOOKUP(W183, 'Lookup Tables'!$AI$6:$AM$102, 5, FALSE)*'Lighting Inventory'!AI183, "")), 2), "")</f>
        <v/>
      </c>
      <c r="FP183" s="253" t="str">
        <f>IFERROR(ROUND(IF(CD183="ERROR", "ERROR", IF(AND($FO$6=Y183,E183="Exterior"),VLOOKUP(W183, 'Lookup Tables'!$AI$6:$AM$102, 5, FALSE)*'Lighting Inventory'!AI183, "")), 2), "")</f>
        <v/>
      </c>
      <c r="FQ183" s="253" t="str">
        <f>IFERROR(ROUND(IF(CD183="ERROR", "ERROR", IF(AND($FQ$6=Y183,E183="Interior", BU183="Y"), VLOOKUP('Lighting Inventory'!W183, 'Lookup Tables'!$AI$6:$AM$102, 5, FALSE)*'Lighting Inventory'!S183, IF(AND($FQ$7=Y183,E183="Interior", BU183="N"), 0.025*CD183, ""))), 2), "")</f>
        <v/>
      </c>
      <c r="FR183" s="253" t="str">
        <f>IFERROR(ROUND(IF(CD183="ERROR", "ERROR", IF(AND($FQ$6=Y183,E183="Exterior"), VLOOKUP('Lighting Inventory'!W183, 'Lookup Tables'!$AI$6:$AM$102, 5, FALSE)*'Lighting Inventory'!S183, "")), 2), "")</f>
        <v/>
      </c>
      <c r="FS183" s="253" t="str">
        <f>IFERROR(ROUND(IF(CD183="ERROR", "ERROR", IF(AND($FS$6=Y183,E183="Exterior"), IF(GB183=0, VLOOKUP(W183, 'Lookup Tables'!$AI$6:$AM$102, 5, FALSE)*BP183, IF(VLOOKUP(W183, 'Lookup Tables'!$AI$6:$AM$102, 5, FALSE)*BP183&gt;GB183*'Lighting Inventory'!S183, GB183*'Lighting Inventory'!S183,VLOOKUP(W183, 'Lookup Tables'!$AI$6:$AM$102, 5, FALSE)*BP183)), "")), 2), "")</f>
        <v/>
      </c>
      <c r="FT183" s="253" t="str">
        <f>IFERROR(ROUND(IF(CD183="ERROR", "ERROR", IF(AND($FT$6=Y183,E183="Interior"), IF(GB183=0, VLOOKUP(W183, 'Lookup Tables'!$AI$6:$AM$102, 5, FALSE)*BP183, IF(VLOOKUP(W183, 'Lookup Tables'!$AI$6:$AM$102, 5, FALSE)*BP183&gt;GB183*'Lighting Inventory'!S183, GB183*'Lighting Inventory'!S183,VLOOKUP(W183, 'Lookup Tables'!$AI$6:$AM$102, 5, FALSE)*BP183)), "")), 2), "")</f>
        <v/>
      </c>
      <c r="FU183" s="253" t="str">
        <f>IFERROR(ROUND(IF(CD183="ERROR", "ERROR", IF(AND(Y183=$FU$6, E183="Interior"), IF(BS183="N", 'Lookup Tables'!$AM$101*BP183, VLOOKUP(W183, 'Lookup Tables'!$AI$6:$AM$102, 5, FALSE)*S183*AD183), "")), 2), "")</f>
        <v/>
      </c>
      <c r="FV183" s="253" t="str">
        <f>IFERROR(ROUND(IF(CD183="ERROR", "ERROR", IF(AND(Y183=$FU$6, E183="Exterior"), IF(BS183="N", 'Lookup Tables'!$AM$101*BP183, VLOOKUP(W183, 'Lookup Tables'!$AI$6:$AM$102, 5, FALSE)*S183*AD183), "")), 2), "")</f>
        <v/>
      </c>
      <c r="FW183" s="253" t="str">
        <f>IFERROR(ROUND(IF(CD183="ERROR", "ERROR", IF($FW$6=Y183, IF(BS183="N", 'Lookup Tables'!$AM$101*BP183, MIN((VLOOKUP(W183, 'Lookup Tables'!$AI$6:$AM$102, 5, FALSE)*BP183),GB183*AJ183)), "")), 2), "")</f>
        <v/>
      </c>
      <c r="FX183" s="253" t="str">
        <f>IFERROR(ROUND(IF(CD183="ERROR", "ERROR", IF(AND($FX$6=Y183, E183="Interior"), IF(VLOOKUP(W183, 'Lookup Tables'!$AI$6:$AM$102, 5, FALSE)*BP183&gt;'Lookup Tables'!$AQ$97*'Lighting Inventory'!S183,'Lighting Inventory'!S183*'Lookup Tables'!$AQ$97,VLOOKUP(W183, 'Lookup Tables'!$AI$6:$AM$102, 5, FALSE)*BP183), "")), 2), "")</f>
        <v/>
      </c>
      <c r="FY183" s="253" t="str">
        <f>IFERROR(ROUND(IF(CD183="ERROR", "ERROR", IF(AND($FX$6=Y183, E183="Exterior"), IF(VLOOKUP(W183, 'Lookup Tables'!$AI$6:$AM$102, 5, FALSE)*BP183&gt;'Lookup Tables'!$AQ$97*'Lighting Inventory'!S183,'Lighting Inventory'!S183*'Lookup Tables'!$AQ$97,VLOOKUP(W183, 'Lookup Tables'!$AI$6:$AM$102, 5, FALSE)*BP183), "")), 2), "")</f>
        <v/>
      </c>
      <c r="FZ183" s="253" t="str">
        <f>IFERROR(ROUND(IF(CD183="ERROR", "ERROR", IF(AND($FZ$6=Y183, E183="Interior"), IF(AND(OR(W183="Refrigerated Case Lighting with Doors", W183="Freezer Case Lighting"),Y183="Custom - Process Improvement"),CD183*'Lookup Tables'!$AM$101, IF(B183="Retrofit", IF(VLOOKUP(IF(V183="Custom", V183, W183), 'Lookup Tables'!$AI$6:$AM$102, 5, FALSE)*BP183&gt;GE183, GE183, VLOOKUP(IF(V183="Custom", V183, W183), 'Lookup Tables'!$AI$6:$AM$102, 5, FALSE)*BP183), IF(VLOOKUP(IF(V183="Custom", V183, W183), 'Lookup Tables'!$AI$114:$AM$154, 5, FALSE)*BP183&gt;GE183, GE183, VLOOKUP(IF(V183="Custom", V183, W183), 'Lookup Tables'!$AI$114:$AM$154, 5, FALSE)*BP183))), "")), 2),"")</f>
        <v/>
      </c>
      <c r="GA183" s="253" t="str">
        <f>IFERROR(ROUND(IF(CD183="ERROR", "ERROR", IF(AND($FZ$6=Y183, E183="Exterior"), IF(B183="Retrofit", IF(VLOOKUP(IF(V183="Custom", V183, W183), 'Lookup Tables'!$AI$6:$AM$102, 5, FALSE)*BP183&gt;GE183, GE183, VLOOKUP(IF(V183="Custom", V183, W183), 'Lookup Tables'!$AI$6:$AM$102, 5, FALSE)*BP183), IF(VLOOKUP(IF(V183="Custom", V183, W183), 'Lookup Tables'!$AI$114:$AM$154, 5, FALSE)*BP183&gt;GE183, GE183, VLOOKUP(IF(V183="Custom", V183, W183), 'Lookup Tables'!$AI$114:$AM$154, 5, FALSE)*BP183)), "")), 2),"")</f>
        <v/>
      </c>
      <c r="GB183" s="254" t="str">
        <f t="array" ref="GB183">IF(B183="","",IF(OR(V183="Custom",V183="No Change"),0,IF(B183="Retrofit", INDEX('Lookup Tables'!$AH$6:$AQ$102,MATCH(1,('Lookup Tables'!$AH$6:$AH$102='Lighting Inventory'!V183)*('Lookup Tables'!$AI$6:$AI$102='Lighting Inventory'!W183),FALSE),10),INDEX('Lookup Tables'!$AH$114:$AQ$154,MATCH(1,('Lookup Tables'!$AH$114:$AH$154='Lighting Inventory'!V183)*('Lookup Tables'!$AI$114:$AI$154='Lighting Inventory'!W183),FALSE),10))))</f>
        <v/>
      </c>
      <c r="GC183" s="255" t="str">
        <f t="shared" si="447"/>
        <v/>
      </c>
      <c r="GD183" s="250" t="str">
        <f t="shared" si="448"/>
        <v/>
      </c>
      <c r="GE183" s="253" t="str">
        <f>IFERROR(IF(AND(AF183="", 'General Information'!$F$18="No"),"", IF(AF183="", ((GD183/$CD$266)*$CF$266)*0.5, AF183*S183*0.5)), "")</f>
        <v/>
      </c>
      <c r="GF183" s="255" t="str">
        <f>IF(AND('General Information'!$F$19="", 'General Information'!$F$18="Yes",AF183="",BW183="Y"), "Y", "N")</f>
        <v>N</v>
      </c>
      <c r="GG183" s="255" t="s">
        <v>2946</v>
      </c>
      <c r="GH183" s="255" t="str">
        <f>IFERROR(IF(B183="", "", VLOOKUP(J183, 'Fixture Identities'!$A$6:$N$908, 14, FALSE)), "")</f>
        <v/>
      </c>
      <c r="GI183" s="389" t="str">
        <f>IF(OR(B183="", V183="", W183=""), "", IF(AND(OR(M183='Lookup Tables'!$R$18, M183='Lookup Tables'!$R$19, M183='Lookup Tables'!$R$20, M183='Lookup Tables'!$R$21, M183='Lookup Tables'!$R$22), OR(AN183='Lookup Tables'!$R$17, AN183='Lookup Tables'!$R$17, AN183="")), "Y", "N"))</f>
        <v/>
      </c>
      <c r="GJ183" s="255" t="str">
        <f t="shared" si="449"/>
        <v/>
      </c>
      <c r="GK183" s="255" t="str">
        <f t="shared" si="450"/>
        <v/>
      </c>
      <c r="GL183" s="255" t="str">
        <f t="shared" si="451"/>
        <v/>
      </c>
      <c r="GM183" s="255" t="str">
        <f>IF(AN183="", "", IF(AND(IF(ISNA(VLOOKUP(AN183,'Lookup Tables'!$R$18:$R$22,1,FALSE)), "N", "Y")="Y", E183="Exterior"), "Y", "N"))</f>
        <v/>
      </c>
      <c r="GN183" s="395"/>
      <c r="GO183" s="428">
        <f t="shared" si="497"/>
        <v>0</v>
      </c>
      <c r="GP183" s="428">
        <f t="shared" si="500"/>
        <v>0</v>
      </c>
      <c r="GQ183" s="428">
        <f t="shared" si="498"/>
        <v>0</v>
      </c>
      <c r="GR183" s="428">
        <f t="shared" si="499"/>
        <v>0</v>
      </c>
    </row>
    <row r="184" spans="1:200" s="103" customFormat="1" ht="13.5" customHeight="1" x14ac:dyDescent="0.2">
      <c r="A184" s="272">
        <v>174</v>
      </c>
      <c r="B184" s="110"/>
      <c r="C184" s="110"/>
      <c r="D184" s="110"/>
      <c r="E184" s="110"/>
      <c r="F184" s="110"/>
      <c r="G184" s="110"/>
      <c r="H184" s="110"/>
      <c r="I184" s="29"/>
      <c r="J184" s="29"/>
      <c r="K184" s="272" t="str">
        <f>IFERROR(IF(OR(VLOOKUP(J184, 'Fixture Identities'!$A$6:$L$1023, 3, FALSE)="T12 Linear Fluorescent", VLOOKUP(J184, 'Fixture Identities'!$A$6:$L$1023, 3, FALSE)="T12 U-Tube Fluorescent"), VLOOKUP(VLOOKUP(J184, 'Fixture Identities'!$A$6:$L$1023, 11, FALSE), 'Fixture Identities'!$A$6:$L$1023, 10, FALSE), VLOOKUP(J184, 'Fixture Identities'!$A$6:$L$1023, 10, FALSE)), "")</f>
        <v/>
      </c>
      <c r="L184" s="270" t="str">
        <f t="shared" si="502"/>
        <v/>
      </c>
      <c r="M184" s="110"/>
      <c r="N184" s="110"/>
      <c r="O184" s="110"/>
      <c r="P184" s="272" t="str">
        <f>IFERROR(IF(OR(B184="Retrofit",B184=""),"",IF('Lighting Inventory'!E184="Exterior",VLOOKUP('Lighting Inventory'!N184,'Lookup Tables'!$B$83:$F$103,5,FALSE),IF(N184="Other - Please Estimate EFLH and CFs","Contact Prog. Rep.","ft^2"))), "")</f>
        <v/>
      </c>
      <c r="Q184" s="270" t="str">
        <f>IFERROR(IF(AND(B184="New Construction",E184="Interior",$F$5="Space-by-Space"),VLOOKUP('Lighting Inventory'!N184,'Lookup Tables'!$N$6:$O$97,2,FALSE),IF(AND(B184="New Construction",E184="Exterior"),VLOOKUP(N184,'Lookup Tables'!$B$83:$F$103,2,FALSE),IF(AND(B184="New Construction",'Lighting Inventory'!E184="Interior", $F$5="Building Area"),VLOOKUP(F184,'Lookup Tables'!$A$6:$J$59,10,FALSE),""))), "")</f>
        <v/>
      </c>
      <c r="R184" s="270" t="str">
        <f>IFERROR(IF(P184="Contact Prog. Rep.", "ERROR", IF(OR(B184="",B184="Retrofit"),"",IF(N184="Automated teller machines", ('Lookup Tables'!$A$82:$E$100+('Lighting Inventory'!O184-1)*'Lookup Tables'!$A$82:$E$100)/1000, (Q184*O184)/1000))), "")</f>
        <v/>
      </c>
      <c r="S184" s="595"/>
      <c r="T184" s="105" t="str">
        <f t="shared" si="452"/>
        <v/>
      </c>
      <c r="U184" s="105" t="str">
        <f>IF(S184="","",COUNT($S$11:S184))</f>
        <v/>
      </c>
      <c r="V184" s="111"/>
      <c r="W184" s="112"/>
      <c r="X184" s="105" t="str">
        <f t="shared" si="453"/>
        <v/>
      </c>
      <c r="Y184" s="105" t="str">
        <f t="array" ref="Y184">IF(AND(OR(W184="Freezer Case Lighting", W184="Refrigerated Case Lighting with Doors"), 'General Information'!$X$18="LCI"),'Lookup Tables'!$Y$34, IF(V184="Custom", VLOOKUP(W184, 'Fixture Identities'!$A$974:$M$1023, 13, FALSE), IF(V184="No Change",'Lookup Tables'!$Y$29,IF(OR(V184="",W184=""),"",IF(AND(S184=0,S184&lt;I184,B184="Retrofit"),'Lookup Tables'!$Y$25, IF(B184="Retrofit", INDEX('Lookup Tables'!$AH$6:$AP$102, MATCH(1, ('Lookup Tables'!$AH$6:$AH$102=V184)*('Lookup Tables'!$AI$6:$AI$102=W184), 0), IF('Lighting Inventory'!E184="Interior", 4, 5)), INDEX('Lookup Tables'!$AH$114:$AP$154, MATCH(1, ('Lookup Tables'!$AH$114:$AH$154=V184)*('Lookup Tables'!$AI$114:$AI$154=W184), 0), IF('Lighting Inventory'!E184="Interior", 4, 5))))))))</f>
        <v/>
      </c>
      <c r="Z184" s="105" t="str">
        <f>IFERROR(INDEX('Lookup Tables'!$AH$158:$AH$172,MATCH('Lighting Inventory'!Y184,'Lookup Tables'!$AI$158:$AI$172,0)),"")</f>
        <v/>
      </c>
      <c r="AA184" s="105" t="str">
        <f>IF(AP184&gt;0,INDEX('Lookup Tables'!$AK$158:$AK$172,MATCH('Lighting Inventory'!Y184,'Lookup Tables'!$AI$158:$AI$172,0)),'Lighting Inventory'!Y184)</f>
        <v/>
      </c>
      <c r="AB184" s="105" t="str">
        <f t="array" ref="AB184">IF(V184="Custom", "Custom", IF(V184="", "", IF(V184="Not DLC or Energy Star", "General", IF(B184="New Construction", INDEX('Lookup Tables'!$AH$114:$AP$154,MATCH(1,('Lookup Tables'!$AH$114:$AH$154='Lighting Inventory'!V184)*('Lookup Tables'!$AI$114:$AI$154='Lighting Inventory'!W184),FALSE),8), INDEX('Lookup Tables'!$AH$6:$AP$102,MATCH(1,('Lookup Tables'!$AH$6:$AH$102='Lighting Inventory'!V184)*('Lookup Tables'!$AI$6:$AI$102='Lighting Inventory'!W184),FALSE),8)))))</f>
        <v/>
      </c>
      <c r="AC184" s="272" t="str">
        <f>IF(W184="","",IF(V184="Custom",CONCATENATE("$",'Lookup Tables'!$AM$101," ",'Lookup Tables'!$AN$101),CONCATENATE("$",INDEX('Lookup Tables'!$AM$6:$AM$102,MATCH('Lighting Inventory'!W184,'Lookup Tables'!$AI$6:$AI$102,0))," ",INDEX('Lookup Tables'!$AN$6:$AN$102,MATCH('Lighting Inventory'!W184,'Lookup Tables'!$AI$6:$AI$102,0)))))</f>
        <v/>
      </c>
      <c r="AD184" s="72"/>
      <c r="AE184" s="29"/>
      <c r="AF184" s="379"/>
      <c r="AG184" s="370" t="str">
        <f t="shared" si="401"/>
        <v/>
      </c>
      <c r="AH184" s="370" t="str">
        <f t="shared" si="454"/>
        <v/>
      </c>
      <c r="AI184" s="29"/>
      <c r="AJ184" s="29"/>
      <c r="AK184" s="110"/>
      <c r="AL184" s="375" t="str">
        <f>IF(OR(B184="", V184="", W184=""), "", IF(V184="No Change", K184, IF(V184="Remove Fixture", 0, IF(V184="Custom",VLOOKUP(W184,'Fixture Identities'!$A$6:$K$1023,10,FALSE),IF(AE184="", "← ENTER POST WATTS", 'Lighting Inventory'!AE184)))))</f>
        <v/>
      </c>
      <c r="AM184" s="376" t="str">
        <f t="shared" si="402"/>
        <v/>
      </c>
      <c r="AN184" s="29"/>
      <c r="AO184" s="671"/>
      <c r="AP184" s="29"/>
      <c r="AQ184" s="29"/>
      <c r="AR184" s="29"/>
      <c r="AS184" s="272" t="str">
        <f t="shared" si="455"/>
        <v/>
      </c>
      <c r="AT184" s="270" t="str">
        <f t="shared" si="403"/>
        <v/>
      </c>
      <c r="AU184" s="88" t="str">
        <f t="shared" si="503"/>
        <v/>
      </c>
      <c r="AV184" s="29"/>
      <c r="AW184" s="73"/>
      <c r="AX184" s="271" t="str">
        <f>IF(AND(AV184="Applicant",OR(AW184="", AW184="Use Default Facility Hours")),"← Choose Schedule",IF(F184="","",IF(W184="LED Exit Signs",8760,IF(OR(AV184="Prescribed",AV184=""),VLOOKUP(F184,'Lookup Tables'!$A$6:$G$59,IF(AB184="General", 6, 3),FALSE),VLOOKUP(AW184,'Lookup Tables'!$S$36:$U$43,2,FALSE)))))</f>
        <v/>
      </c>
      <c r="AY184" s="88" t="str">
        <f t="shared" si="404"/>
        <v/>
      </c>
      <c r="AZ184" s="270" t="str">
        <f>IFERROR(IF(F184="", "", IF(W184="LED Exit Signs", 1, IF(AV184="Applicant",VLOOKUP(AW184, 'Lookup Tables'!$S$36:$U$43,3, FALSE), VLOOKUP('Lighting Inventory'!F184, 'Lookup Tables'!$A$6:$H$59, IF('Lighting Inventory'!AB184="General",7,4), FALSE)))), "")</f>
        <v/>
      </c>
      <c r="BA184" s="522" t="str">
        <f>IFERROR(IF(F184="", "", IF(W184="LED Exit Signs", 1, VLOOKUP('Lighting Inventory'!F184, 'Lookup Tables'!$A$6:$H$59, IF('Lighting Inventory'!AB184="General",8,5), FALSE))), "")</f>
        <v/>
      </c>
      <c r="BB184" s="270" t="str">
        <f>IF(G184="", "", IF(E184="Exterior", 0, IF('Lighting Inventory'!G184="Air Conditioned", VLOOKUP(H184, 'Lookup Tables'!$R$6:$T$13, 2, FALSE), VLOOKUP('Lighting Inventory'!G184, 'Lookup Tables'!$R$6:$T$13, 2, FALSE))))</f>
        <v/>
      </c>
      <c r="BC184" s="522" t="str">
        <f>IF(G184="", "", IF(E184="Exterior", 0, IF('Lighting Inventory'!G184="Air Conditioned", VLOOKUP(H184, 'Lookup Tables'!$R$6:$T$13, 3, FALSE), VLOOKUP('Lighting Inventory'!G184, 'Lookup Tables'!$R$6:$T$13, 3, FALSE))))</f>
        <v/>
      </c>
      <c r="BD184" s="270" t="str">
        <f>IF(G184="", "", IF(E184="Exterior", 0, IF('Lighting Inventory'!G184="Air Conditioned", VLOOKUP(H184, 'Lookup Tables'!$R$6:$U$13, 4, FALSE), VLOOKUP('Lighting Inventory'!G184, 'Lookup Tables'!$R$6:$U$13, 4, FALSE))))</f>
        <v/>
      </c>
      <c r="BE184" s="270" t="str">
        <f>IFERROR(IF(B184="", "",  IF(B184="New Construction", VLOOKUP(F184, 'Lookup Tables'!$A$6:$K$59, 11, FALSE),IF(OR(AN184="", AN184="Light Switch"), 0, IF(OR(M184="",M184="None",V184= "LED Exit Signs"),0,_xlfn.XLOOKUP(M184,'Lookup Tables'!$R$91:$R$101,'Lookup Tables'!$V$91:$V$101))))), "")</f>
        <v/>
      </c>
      <c r="BF184" s="270" t="str">
        <f>IF(AND(OR(AN184="Light Switch",AN184=""),B184="New Construction"), VLOOKUP(F184, 'Lookup Tables'!$A$6:$K$59, 11, FALSE),IF(AN184="","",IF(B184="","",IF(OR(AN184="None",AN184="",V184="LED Exit Signs",AN184="Exterior Controls Not Eligible"),0,_xlfn.XLOOKUP(AN184,'Lookup Tables'!$R$91:$R$101,'Lookup Tables'!$V$91:$V$101)))))</f>
        <v/>
      </c>
      <c r="BG184" s="88" t="str">
        <f t="shared" si="456"/>
        <v/>
      </c>
      <c r="BH184" s="88" t="str">
        <f t="shared" si="457"/>
        <v/>
      </c>
      <c r="BI184" s="558" t="str">
        <f t="shared" si="501"/>
        <v/>
      </c>
      <c r="BJ184" s="82" t="str">
        <f t="shared" si="458"/>
        <v/>
      </c>
      <c r="BK184" s="82" t="str">
        <f t="shared" si="459"/>
        <v/>
      </c>
      <c r="BL184" s="559" t="str">
        <f t="shared" si="460"/>
        <v/>
      </c>
      <c r="BM184" s="521" t="str">
        <f t="shared" si="405"/>
        <v/>
      </c>
      <c r="BN184" s="521" t="str">
        <f t="shared" si="406"/>
        <v/>
      </c>
      <c r="BO184" s="522" t="str">
        <f t="shared" si="407"/>
        <v/>
      </c>
      <c r="BP184" s="83" t="str">
        <f t="shared" si="461"/>
        <v/>
      </c>
      <c r="BQ184" s="84" t="str">
        <f t="shared" si="462"/>
        <v/>
      </c>
      <c r="BR184" s="184" t="str">
        <f>IFERROR(IF(B184="", "", IF(OR(VLOOKUP(J184, 'Fixture Identities'!$A$6:$L$1023, 3, FALSE)="T12 Linear Fluorescent",VLOOKUP(J184, 'Fixture Identities'!$A$6:$L$1023, 3, FALSE)="T12 U-Tube Fluorescent"), "Y", "N")), "N")</f>
        <v/>
      </c>
      <c r="BS184" s="184" t="str">
        <f t="array" ref="BS184">IFERROR(IF(OR(B184="", V184="", W184=""), "", IF(V184="Custom", "N", IF(OR(W184="Freezer Case Lighting", W184="Refrigerated Case Lighting with Doors"), BT184, IF(B184="Retrofit", INDEX('Lookup Tables'!$AH$6:$AT$102,MATCH(1,('Lookup Tables'!$AH$6:$AH$102=V184)*('Lookup Tables'!$AI$6:$AI$102=W184),FALSE),IF(VLOOKUP(J184, 'Fixture Identities'!$A$6:$B$1023, 2, FALSE)="Incandescent",12, 13)), INDEX('Lookup Tables'!$AH$114:$AS$154,MATCH(1,('Lookup Tables'!$AH$114:$AH$154=V184)*('Lookup Tables'!$AI$114:$AI$154=W184),FALSE),12))))), "N")</f>
        <v/>
      </c>
      <c r="BT184" s="184" t="str">
        <f>IF(J184="", "", IF(AND(OR(W184="Freezer case Lighting", W184="Refrigerated Case Lighting with Doors"),'General Information'!$X$18="LCI"), "N", IF(OR(VLOOKUP(J184, 'Fixture Identities'!$A$6:$B$1023, 2, FALSE)="T12 EPACT/EISA Baseline", VLOOKUP(J184, 'Fixture Identities'!$A$6:$B$1023, 2, FALSE)="Linear Fluorescent", VLOOKUP(J184, 'Fixture Identities'!$A$6:$B$1023, 2, FALSE)="U-Tube Fluorescent"), "Y", "N")))</f>
        <v/>
      </c>
      <c r="BU184" s="184" t="str">
        <f>IFERROR(IF(B184="", "", IF(VLOOKUP(J184, 'Fixture Identities'!$A$6:$B$1023, 2, FALSE)="Exit Sign", "Y", "N")), "N")</f>
        <v/>
      </c>
      <c r="BV184" s="184" t="str">
        <f>IF(V184="Exit Signs", IF(VLOOKUP(J184, 'Fixture Identities'!$A$6:$B$1023, 2, FALSE)="Exit Sign", "N", "Y"), "")</f>
        <v/>
      </c>
      <c r="BW184" s="184" t="str">
        <f t="array" ref="BW184">IFERROR(IF(B184="", "", IF(B184="New Construction", "N", INDEX('Lookup Tables'!$AH$6:$AU$102, MATCH(1, ('Lookup Tables'!$AH$6:$AH$102='Lighting Inventory'!V184)*('Lookup Tables'!$AI$6:$AI$102='Lighting Inventory'!W184), 0), 14))), "N")</f>
        <v/>
      </c>
      <c r="BX184" s="598" t="str">
        <f t="shared" si="463"/>
        <v/>
      </c>
      <c r="BY184" s="598" t="str">
        <f t="shared" si="464"/>
        <v/>
      </c>
      <c r="BZ184" s="598" t="str">
        <f t="shared" si="465"/>
        <v/>
      </c>
      <c r="CA184" s="598" t="str">
        <f t="shared" si="466"/>
        <v/>
      </c>
      <c r="CB184" s="269" t="str">
        <f t="shared" si="467"/>
        <v/>
      </c>
      <c r="CC184" s="517" t="str">
        <f t="shared" si="468"/>
        <v/>
      </c>
      <c r="CD184" s="565" t="str">
        <f t="shared" si="408"/>
        <v/>
      </c>
      <c r="CE184" s="368">
        <v>0</v>
      </c>
      <c r="CF184" s="368" t="str" cm="1">
        <f t="array" ref="CF184">IFERROR(IF(V184="Custom", "$0.1 per kWh", IF(B184="New Construction", CONCATENATE("$",INDEX('Lookup Tables'!$AH$114:$AN$154,MATCH(1,('Lookup Tables'!$AH$114:$AH$154='Lighting Inventory'!V184)*('Lookup Tables'!$AI$114:$AI$154='Lighting Inventory'!W184),FALSE),6)," ",INDEX('Lookup Tables'!$AH$114:$AN$154,MATCH(1,('Lookup Tables'!$AH$114:$AH$154='Lighting Inventory'!V184)*('Lookup Tables'!$AI$114:$AI$154='Lighting Inventory'!W184),FALSE),7)), IF(AND(BU184="N", V184="Exit Signs"), "$0.025 per kWh", CONCATENATE("$",INDEX('Lookup Tables'!$AH$6:$AN$102,MATCH(1,('Lookup Tables'!$AH$6:$AH$102='Lighting Inventory'!V184)*('Lookup Tables'!$AI$6:$AI$102='Lighting Inventory'!W184),FALSE),6)," ",INDEX('Lookup Tables'!$AH$6:$AN$102,MATCH(1,('Lookup Tables'!$AH$6:$AH$102='Lighting Inventory'!V184)*('Lookup Tables'!$AI$6:$AI$102='Lighting Inventory'!W184),FALSE),7))))), "")</f>
        <v/>
      </c>
      <c r="CG184" s="366"/>
      <c r="CH184" s="248" t="str">
        <f t="shared" si="409"/>
        <v/>
      </c>
      <c r="CI184" s="248" t="str">
        <f t="shared" si="410"/>
        <v>Select_IE</v>
      </c>
      <c r="CJ184" s="248" t="str">
        <f t="shared" si="411"/>
        <v/>
      </c>
      <c r="CK184" s="248" t="str">
        <f t="shared" si="412"/>
        <v/>
      </c>
      <c r="CL184" s="248" t="str">
        <f t="shared" si="413"/>
        <v/>
      </c>
      <c r="CM184" s="248" t="str">
        <f>IFERROR(IF(B184="", "", IF(B184="New Construction", VLOOKUP(V184, 'Lookup Tables'!$AF$114:$AG$120, 2, FALSE), VLOOKUP(V184, 'Lookup Tables'!$AD$6:$AE$25, 2, FALSE))), "")</f>
        <v/>
      </c>
      <c r="CN184" s="248" t="str">
        <f t="shared" si="414"/>
        <v/>
      </c>
      <c r="CO184" s="248" t="str">
        <f t="shared" si="415"/>
        <v/>
      </c>
      <c r="CP184" s="592" t="str">
        <f t="shared" si="416"/>
        <v/>
      </c>
      <c r="CQ184" s="248" t="str">
        <f t="shared" si="469"/>
        <v/>
      </c>
      <c r="CR184" s="100"/>
      <c r="CS184" s="250" t="str">
        <f t="shared" si="417"/>
        <v/>
      </c>
      <c r="CT184" s="250" t="str">
        <f t="shared" si="470"/>
        <v/>
      </c>
      <c r="CU184" s="250" t="str">
        <f t="shared" si="471"/>
        <v/>
      </c>
      <c r="CV184" s="250" t="str">
        <f t="shared" si="472"/>
        <v/>
      </c>
      <c r="CW184" s="250" t="str">
        <f t="shared" si="473"/>
        <v/>
      </c>
      <c r="CX184" s="250" t="str">
        <f t="shared" si="418"/>
        <v/>
      </c>
      <c r="CY184" s="250" t="str">
        <f t="shared" si="419"/>
        <v/>
      </c>
      <c r="CZ184" s="250" t="str">
        <f t="shared" si="420"/>
        <v/>
      </c>
      <c r="DA184" s="250" t="str">
        <f t="shared" si="421"/>
        <v/>
      </c>
      <c r="DB184" s="250" t="str">
        <f t="shared" si="422"/>
        <v/>
      </c>
      <c r="DC184" s="250" t="str">
        <f t="shared" si="423"/>
        <v/>
      </c>
      <c r="DD184" s="250" t="str">
        <f t="shared" si="424"/>
        <v/>
      </c>
      <c r="DE184" s="250" t="str">
        <f t="shared" si="425"/>
        <v/>
      </c>
      <c r="DF184" s="250" t="str">
        <f t="shared" si="426"/>
        <v/>
      </c>
      <c r="DG184" s="250" t="str">
        <f t="shared" si="427"/>
        <v/>
      </c>
      <c r="DH184" s="250" t="str">
        <f t="shared" si="428"/>
        <v/>
      </c>
      <c r="DI184" s="250" t="str">
        <f t="shared" si="429"/>
        <v/>
      </c>
      <c r="DJ184" s="250" t="str">
        <f t="shared" si="430"/>
        <v/>
      </c>
      <c r="DK184" s="250" t="str">
        <f t="shared" si="431"/>
        <v/>
      </c>
      <c r="DL184" s="250" t="str">
        <f t="shared" si="432"/>
        <v/>
      </c>
      <c r="DM184" s="250" t="str">
        <f>IF(CD184="ERROR", "ERROR", IF(AND(OR(Y184=$DM$6, Y184='Lookup Tables'!$AD$21, Y184='Lookup Tables'!$AD$22), E184="Interior"), BJ184, ""))</f>
        <v/>
      </c>
      <c r="DN184" s="250" t="str">
        <f>IF(CD184="ERROR", "ERROR", IF(AND(OR(Y184=$DM$6, Y184='Lookup Tables'!$AD$21, Y184='Lookup Tables'!$AD$22), E184="Exterior"), BJ184, ""))</f>
        <v/>
      </c>
      <c r="DO184" s="100"/>
      <c r="DP184" s="250" t="str">
        <f t="shared" si="433"/>
        <v/>
      </c>
      <c r="DQ184" s="250" t="str">
        <f t="shared" si="474"/>
        <v/>
      </c>
      <c r="DR184" s="250" t="str">
        <f t="shared" si="475"/>
        <v/>
      </c>
      <c r="DS184" s="250" t="str">
        <f t="shared" si="476"/>
        <v/>
      </c>
      <c r="DT184" s="250" t="str">
        <f t="shared" si="477"/>
        <v/>
      </c>
      <c r="DU184" s="250" t="str">
        <f t="shared" si="434"/>
        <v/>
      </c>
      <c r="DV184" s="250" t="str">
        <f t="shared" si="435"/>
        <v/>
      </c>
      <c r="DW184" s="250" t="str">
        <f t="shared" si="436"/>
        <v/>
      </c>
      <c r="DX184" s="250" t="str">
        <f t="shared" si="437"/>
        <v/>
      </c>
      <c r="DY184" s="250" t="str">
        <f t="shared" si="438"/>
        <v/>
      </c>
      <c r="DZ184" s="250" t="str">
        <f t="shared" si="439"/>
        <v/>
      </c>
      <c r="EA184" s="250" t="str">
        <f t="shared" si="440"/>
        <v/>
      </c>
      <c r="EB184" s="250" t="str">
        <f t="shared" si="478"/>
        <v/>
      </c>
      <c r="EC184" s="250" t="str">
        <f t="shared" si="441"/>
        <v/>
      </c>
      <c r="ED184" s="250" t="str">
        <f t="shared" si="442"/>
        <v/>
      </c>
      <c r="EE184" s="250" t="str">
        <f t="shared" si="443"/>
        <v/>
      </c>
      <c r="EF184" s="250" t="str">
        <f t="shared" si="444"/>
        <v/>
      </c>
      <c r="EG184" s="250" t="str">
        <f t="shared" si="445"/>
        <v/>
      </c>
      <c r="EH184" s="250" t="str">
        <f>IF(CD184="ERROR", "ERROR", IF(AND(OR($EH$6=Y184, Y184='Lookup Tables'!$AD$21, Y184='Lookup Tables'!$AD$22),E184="Interior"), SUM(BP184:BP184), ""))</f>
        <v/>
      </c>
      <c r="EI184" s="250" t="str">
        <f>IF(CD184="ERROR", "ERROR", IF(AND(OR($EH$6=Y184, Y184='Lookup Tables'!$AD$21, Y184='Lookup Tables'!$AD$22),E184="Exterior"), SUM(BP184:BP184), ""))</f>
        <v/>
      </c>
      <c r="EJ184" s="109"/>
      <c r="EK184" s="485" t="str">
        <f t="shared" si="446"/>
        <v/>
      </c>
      <c r="EL184" s="252" t="str">
        <f t="shared" si="479"/>
        <v/>
      </c>
      <c r="EM184" s="252" t="str">
        <f t="shared" si="480"/>
        <v/>
      </c>
      <c r="EN184" s="252" t="str">
        <f t="shared" si="481"/>
        <v/>
      </c>
      <c r="EO184" s="252" t="str">
        <f t="shared" si="482"/>
        <v/>
      </c>
      <c r="EP184" s="252" t="str">
        <f t="shared" si="483"/>
        <v/>
      </c>
      <c r="EQ184" s="252" t="str">
        <f t="shared" si="484"/>
        <v/>
      </c>
      <c r="ER184" s="252" t="str">
        <f t="shared" si="485"/>
        <v/>
      </c>
      <c r="ES184" s="252" t="str">
        <f t="shared" si="486"/>
        <v/>
      </c>
      <c r="ET184" s="252" t="str">
        <f t="shared" si="487"/>
        <v/>
      </c>
      <c r="EU184" s="252" t="str">
        <f t="shared" si="488"/>
        <v/>
      </c>
      <c r="EV184" s="252" t="str">
        <f t="shared" si="489"/>
        <v/>
      </c>
      <c r="EW184" s="252" t="str">
        <f t="shared" si="490"/>
        <v/>
      </c>
      <c r="EX184" s="252" t="str">
        <f t="shared" si="491"/>
        <v/>
      </c>
      <c r="EY184" s="252" t="str">
        <f t="shared" si="492"/>
        <v/>
      </c>
      <c r="EZ184" s="252" t="str">
        <f t="shared" si="493"/>
        <v/>
      </c>
      <c r="FA184" s="252" t="str">
        <f t="shared" si="494"/>
        <v/>
      </c>
      <c r="FB184" s="252" t="str">
        <f t="shared" si="495"/>
        <v/>
      </c>
      <c r="FC184" s="252" t="str">
        <f>IF(CD184="ERROR", "ERROR", IF(OR(V184="No Change", V184="Not DLC or Energy Star"), "", IF(AND(OR($FC$6=Y184,Y184='Lookup Tables'!$AD$21, Y184='Lookup Tables'!$AD$22),E184="Interior"), S184, "")))</f>
        <v/>
      </c>
      <c r="FD184" s="252" t="str">
        <f t="shared" si="496"/>
        <v/>
      </c>
      <c r="FE184" s="101"/>
      <c r="FF184" s="579" t="str" cm="1">
        <f t="array" ref="FF184">IFERROR(IF(OR(BQ184&lt;=0,AQ184&lt;20,AND(V184="Exit Signs",AN184&gt;0)),"",IF(AND(AQ184&gt;=20,AN184='Lookup Tables'!$R$101),'Lookup Tables'!$U$101*BQ184,AP184*LOOKUP(2,1/((AN184='Lookup Tables'!$R$91:$R$111)*(AQ184&gt;='Lookup Tables'!$S$91:$S$111)*(AQ184&lt;='Lookup Tables'!$T$91:$T$111)),'Lookup Tables'!$U$91:$U$111))),"")</f>
        <v/>
      </c>
      <c r="FG184" s="579"/>
      <c r="FH184" s="579"/>
      <c r="FI184" s="253" t="str">
        <f>IFERROR(ROUND(IF(CD184="ERROR", "ERROR", IF(AND($FI$7=X184,E184="Interior"),VLOOKUP(W184, 'Lookup Tables'!$AI$6:$AM$102, 5, FALSE)*BP184, "")), 2), "")</f>
        <v/>
      </c>
      <c r="FJ184" s="253" t="str">
        <f>IFERROR(ROUND(IF(CD184="ERROR", "ERROR", IF(AND($FI$7=X184,E184="Exterior"),VLOOKUP(W184, 'Lookup Tables'!$AI$6:$AM$102, 5, FALSE)*BP184, "")), 2), "")</f>
        <v/>
      </c>
      <c r="FK184" s="253" t="str">
        <f>IFERROR(ROUND(IF(CD184="ERROR", "ERROR", IF(AND($FK$7=X184,E184="Interior"),VLOOKUP(W184, 'Lookup Tables'!$AI$6:$AM$102, 5, FALSE)*BP184, "")), 2), "")</f>
        <v/>
      </c>
      <c r="FL184" s="253" t="str">
        <f>IFERROR(ROUND(IF(CD184="ERROR", "ERROR", IF(AND($FK$7=X184,E184="Exterior"),VLOOKUP(W184, 'Lookup Tables'!$AI$6:$AM$102, 5, FALSE)*BP184, "")), 2), "")</f>
        <v/>
      </c>
      <c r="FM184" s="253" t="str">
        <f>IFERROR(ROUND(IF(CD184="ERROR", "ERROR", IF(AND($FM$6=Y184,E184="Interior"), IF(GB184=0, VLOOKUP(W184, 'Lookup Tables'!$AI$6:$AM$102, 5, FALSE)*BP184, IF(VLOOKUP(W184, 'Lookup Tables'!$AI$6:$AM$102, 5, FALSE)*BP184&gt;GB184*'Lighting Inventory'!S184, GB184*'Lighting Inventory'!S184,VLOOKUP(W184, 'Lookup Tables'!$AI$6:$AM$102, 5, FALSE)*BP184)), "")), 2), "")</f>
        <v/>
      </c>
      <c r="FN184" s="253" t="str">
        <f>IFERROR(ROUND(IF(CD184="ERROR", "ERROR", IF(AND($FM$6=Y184,E184="Exterior"), IF(GB184=0, VLOOKUP(W184, 'Lookup Tables'!$AI$6:$AM$102, 5, FALSE)*BP184, IF(VLOOKUP(W184, 'Lookup Tables'!$AI$6:$AM$102, 5, FALSE)*BP184&gt;GB184*'Lighting Inventory'!S184, GB184*'Lighting Inventory'!S184,VLOOKUP(W184, 'Lookup Tables'!$AI$6:$AM$102, 5, FALSE)*BP184)), "")), 2), "")</f>
        <v/>
      </c>
      <c r="FO184" s="253" t="str">
        <f>IFERROR(ROUND(IF(CD184="ERROR", "ERROR", IF(AND($FO$6=Y184,E184="Interior"),VLOOKUP(W184, 'Lookup Tables'!$AI$6:$AM$102, 5, FALSE)*'Lighting Inventory'!AI184, "")), 2), "")</f>
        <v/>
      </c>
      <c r="FP184" s="253" t="str">
        <f>IFERROR(ROUND(IF(CD184="ERROR", "ERROR", IF(AND($FO$6=Y184,E184="Exterior"),VLOOKUP(W184, 'Lookup Tables'!$AI$6:$AM$102, 5, FALSE)*'Lighting Inventory'!AI184, "")), 2), "")</f>
        <v/>
      </c>
      <c r="FQ184" s="253" t="str">
        <f>IFERROR(ROUND(IF(CD184="ERROR", "ERROR", IF(AND($FQ$6=Y184,E184="Interior", BU184="Y"), VLOOKUP('Lighting Inventory'!W184, 'Lookup Tables'!$AI$6:$AM$102, 5, FALSE)*'Lighting Inventory'!S184, IF(AND($FQ$7=Y184,E184="Interior", BU184="N"), 0.025*CD184, ""))), 2), "")</f>
        <v/>
      </c>
      <c r="FR184" s="253" t="str">
        <f>IFERROR(ROUND(IF(CD184="ERROR", "ERROR", IF(AND($FQ$6=Y184,E184="Exterior"), VLOOKUP('Lighting Inventory'!W184, 'Lookup Tables'!$AI$6:$AM$102, 5, FALSE)*'Lighting Inventory'!S184, "")), 2), "")</f>
        <v/>
      </c>
      <c r="FS184" s="253" t="str">
        <f>IFERROR(ROUND(IF(CD184="ERROR", "ERROR", IF(AND($FS$6=Y184,E184="Exterior"), IF(GB184=0, VLOOKUP(W184, 'Lookup Tables'!$AI$6:$AM$102, 5, FALSE)*BP184, IF(VLOOKUP(W184, 'Lookup Tables'!$AI$6:$AM$102, 5, FALSE)*BP184&gt;GB184*'Lighting Inventory'!S184, GB184*'Lighting Inventory'!S184,VLOOKUP(W184, 'Lookup Tables'!$AI$6:$AM$102, 5, FALSE)*BP184)), "")), 2), "")</f>
        <v/>
      </c>
      <c r="FT184" s="253" t="str">
        <f>IFERROR(ROUND(IF(CD184="ERROR", "ERROR", IF(AND($FT$6=Y184,E184="Interior"), IF(GB184=0, VLOOKUP(W184, 'Lookup Tables'!$AI$6:$AM$102, 5, FALSE)*BP184, IF(VLOOKUP(W184, 'Lookup Tables'!$AI$6:$AM$102, 5, FALSE)*BP184&gt;GB184*'Lighting Inventory'!S184, GB184*'Lighting Inventory'!S184,VLOOKUP(W184, 'Lookup Tables'!$AI$6:$AM$102, 5, FALSE)*BP184)), "")), 2), "")</f>
        <v/>
      </c>
      <c r="FU184" s="253" t="str">
        <f>IFERROR(ROUND(IF(CD184="ERROR", "ERROR", IF(AND(Y184=$FU$6, E184="Interior"), IF(BS184="N", 'Lookup Tables'!$AM$101*BP184, VLOOKUP(W184, 'Lookup Tables'!$AI$6:$AM$102, 5, FALSE)*S184*AD184), "")), 2), "")</f>
        <v/>
      </c>
      <c r="FV184" s="253" t="str">
        <f>IFERROR(ROUND(IF(CD184="ERROR", "ERROR", IF(AND(Y184=$FU$6, E184="Exterior"), IF(BS184="N", 'Lookup Tables'!$AM$101*BP184, VLOOKUP(W184, 'Lookup Tables'!$AI$6:$AM$102, 5, FALSE)*S184*AD184), "")), 2), "")</f>
        <v/>
      </c>
      <c r="FW184" s="253" t="str">
        <f>IFERROR(ROUND(IF(CD184="ERROR", "ERROR", IF($FW$6=Y184, IF(BS184="N", 'Lookup Tables'!$AM$101*BP184, MIN((VLOOKUP(W184, 'Lookup Tables'!$AI$6:$AM$102, 5, FALSE)*BP184),GB184*AJ184)), "")), 2), "")</f>
        <v/>
      </c>
      <c r="FX184" s="253" t="str">
        <f>IFERROR(ROUND(IF(CD184="ERROR", "ERROR", IF(AND($FX$6=Y184, E184="Interior"), IF(VLOOKUP(W184, 'Lookup Tables'!$AI$6:$AM$102, 5, FALSE)*BP184&gt;'Lookup Tables'!$AQ$97*'Lighting Inventory'!S184,'Lighting Inventory'!S184*'Lookup Tables'!$AQ$97,VLOOKUP(W184, 'Lookup Tables'!$AI$6:$AM$102, 5, FALSE)*BP184), "")), 2), "")</f>
        <v/>
      </c>
      <c r="FY184" s="253" t="str">
        <f>IFERROR(ROUND(IF(CD184="ERROR", "ERROR", IF(AND($FX$6=Y184, E184="Exterior"), IF(VLOOKUP(W184, 'Lookup Tables'!$AI$6:$AM$102, 5, FALSE)*BP184&gt;'Lookup Tables'!$AQ$97*'Lighting Inventory'!S184,'Lighting Inventory'!S184*'Lookup Tables'!$AQ$97,VLOOKUP(W184, 'Lookup Tables'!$AI$6:$AM$102, 5, FALSE)*BP184), "")), 2), "")</f>
        <v/>
      </c>
      <c r="FZ184" s="253" t="str">
        <f>IFERROR(ROUND(IF(CD184="ERROR", "ERROR", IF(AND($FZ$6=Y184, E184="Interior"), IF(AND(OR(W184="Refrigerated Case Lighting with Doors", W184="Freezer Case Lighting"),Y184="Custom - Process Improvement"),CD184*'Lookup Tables'!$AM$101, IF(B184="Retrofit", IF(VLOOKUP(IF(V184="Custom", V184, W184), 'Lookup Tables'!$AI$6:$AM$102, 5, FALSE)*BP184&gt;GE184, GE184, VLOOKUP(IF(V184="Custom", V184, W184), 'Lookup Tables'!$AI$6:$AM$102, 5, FALSE)*BP184), IF(VLOOKUP(IF(V184="Custom", V184, W184), 'Lookup Tables'!$AI$114:$AM$154, 5, FALSE)*BP184&gt;GE184, GE184, VLOOKUP(IF(V184="Custom", V184, W184), 'Lookup Tables'!$AI$114:$AM$154, 5, FALSE)*BP184))), "")), 2),"")</f>
        <v/>
      </c>
      <c r="GA184" s="253" t="str">
        <f>IFERROR(ROUND(IF(CD184="ERROR", "ERROR", IF(AND($FZ$6=Y184, E184="Exterior"), IF(B184="Retrofit", IF(VLOOKUP(IF(V184="Custom", V184, W184), 'Lookup Tables'!$AI$6:$AM$102, 5, FALSE)*BP184&gt;GE184, GE184, VLOOKUP(IF(V184="Custom", V184, W184), 'Lookup Tables'!$AI$6:$AM$102, 5, FALSE)*BP184), IF(VLOOKUP(IF(V184="Custom", V184, W184), 'Lookup Tables'!$AI$114:$AM$154, 5, FALSE)*BP184&gt;GE184, GE184, VLOOKUP(IF(V184="Custom", V184, W184), 'Lookup Tables'!$AI$114:$AM$154, 5, FALSE)*BP184)), "")), 2),"")</f>
        <v/>
      </c>
      <c r="GB184" s="254" t="str">
        <f t="array" ref="GB184">IF(B184="","",IF(OR(V184="Custom",V184="No Change"),0,IF(B184="Retrofit", INDEX('Lookup Tables'!$AH$6:$AQ$102,MATCH(1,('Lookup Tables'!$AH$6:$AH$102='Lighting Inventory'!V184)*('Lookup Tables'!$AI$6:$AI$102='Lighting Inventory'!W184),FALSE),10),INDEX('Lookup Tables'!$AH$114:$AQ$154,MATCH(1,('Lookup Tables'!$AH$114:$AH$154='Lighting Inventory'!V184)*('Lookup Tables'!$AI$114:$AI$154='Lighting Inventory'!W184),FALSE),10))))</f>
        <v/>
      </c>
      <c r="GC184" s="255" t="str">
        <f t="shared" si="447"/>
        <v/>
      </c>
      <c r="GD184" s="250" t="str">
        <f t="shared" si="448"/>
        <v/>
      </c>
      <c r="GE184" s="253" t="str">
        <f>IFERROR(IF(AND(AF184="", 'General Information'!$F$18="No"),"", IF(AF184="", ((GD184/$CD$266)*$CF$266)*0.5, AF184*S184*0.5)), "")</f>
        <v/>
      </c>
      <c r="GF184" s="255" t="str">
        <f>IF(AND('General Information'!$F$19="", 'General Information'!$F$18="Yes",AF184="",BW184="Y"), "Y", "N")</f>
        <v>N</v>
      </c>
      <c r="GG184" s="255" t="s">
        <v>2946</v>
      </c>
      <c r="GH184" s="255" t="str">
        <f>IFERROR(IF(B184="", "", VLOOKUP(J184, 'Fixture Identities'!$A$6:$N$908, 14, FALSE)), "")</f>
        <v/>
      </c>
      <c r="GI184" s="389" t="str">
        <f>IF(OR(B184="", V184="", W184=""), "", IF(AND(OR(M184='Lookup Tables'!$R$18, M184='Lookup Tables'!$R$19, M184='Lookup Tables'!$R$20, M184='Lookup Tables'!$R$21, M184='Lookup Tables'!$R$22), OR(AN184='Lookup Tables'!$R$17, AN184='Lookup Tables'!$R$17, AN184="")), "Y", "N"))</f>
        <v/>
      </c>
      <c r="GJ184" s="255" t="str">
        <f t="shared" si="449"/>
        <v/>
      </c>
      <c r="GK184" s="255" t="str">
        <f t="shared" si="450"/>
        <v/>
      </c>
      <c r="GL184" s="255" t="str">
        <f t="shared" si="451"/>
        <v/>
      </c>
      <c r="GM184" s="255" t="str">
        <f>IF(AN184="", "", IF(AND(IF(ISNA(VLOOKUP(AN184,'Lookup Tables'!$R$18:$R$22,1,FALSE)), "N", "Y")="Y", E184="Exterior"), "Y", "N"))</f>
        <v/>
      </c>
      <c r="GN184" s="395"/>
      <c r="GO184" s="428">
        <f t="shared" si="497"/>
        <v>0</v>
      </c>
      <c r="GP184" s="428">
        <f t="shared" si="500"/>
        <v>0</v>
      </c>
      <c r="GQ184" s="428">
        <f t="shared" si="498"/>
        <v>0</v>
      </c>
      <c r="GR184" s="428">
        <f t="shared" si="499"/>
        <v>0</v>
      </c>
    </row>
    <row r="185" spans="1:200" s="103" customFormat="1" ht="13.5" customHeight="1" x14ac:dyDescent="0.2">
      <c r="A185" s="272">
        <v>175</v>
      </c>
      <c r="B185" s="110"/>
      <c r="C185" s="110"/>
      <c r="D185" s="110"/>
      <c r="E185" s="110"/>
      <c r="F185" s="110"/>
      <c r="G185" s="110"/>
      <c r="H185" s="110"/>
      <c r="I185" s="29"/>
      <c r="J185" s="29"/>
      <c r="K185" s="272" t="str">
        <f>IFERROR(IF(OR(VLOOKUP(J185, 'Fixture Identities'!$A$6:$L$1023, 3, FALSE)="T12 Linear Fluorescent", VLOOKUP(J185, 'Fixture Identities'!$A$6:$L$1023, 3, FALSE)="T12 U-Tube Fluorescent"), VLOOKUP(VLOOKUP(J185, 'Fixture Identities'!$A$6:$L$1023, 11, FALSE), 'Fixture Identities'!$A$6:$L$1023, 10, FALSE), VLOOKUP(J185, 'Fixture Identities'!$A$6:$L$1023, 10, FALSE)), "")</f>
        <v/>
      </c>
      <c r="L185" s="270" t="str">
        <f t="shared" si="502"/>
        <v/>
      </c>
      <c r="M185" s="110"/>
      <c r="N185" s="110"/>
      <c r="O185" s="110"/>
      <c r="P185" s="272" t="str">
        <f>IFERROR(IF(OR(B185="Retrofit",B185=""),"",IF('Lighting Inventory'!E185="Exterior",VLOOKUP('Lighting Inventory'!N185,'Lookup Tables'!$B$83:$F$103,5,FALSE),IF(N185="Other - Please Estimate EFLH and CFs","Contact Prog. Rep.","ft^2"))), "")</f>
        <v/>
      </c>
      <c r="Q185" s="270" t="str">
        <f>IFERROR(IF(AND(B185="New Construction",E185="Interior",$F$5="Space-by-Space"),VLOOKUP('Lighting Inventory'!N185,'Lookup Tables'!$N$6:$O$97,2,FALSE),IF(AND(B185="New Construction",E185="Exterior"),VLOOKUP(N185,'Lookup Tables'!$B$83:$F$103,2,FALSE),IF(AND(B185="New Construction",'Lighting Inventory'!E185="Interior", $F$5="Building Area"),VLOOKUP(F185,'Lookup Tables'!$A$6:$J$59,10,FALSE),""))), "")</f>
        <v/>
      </c>
      <c r="R185" s="270" t="str">
        <f>IFERROR(IF(P185="Contact Prog. Rep.", "ERROR", IF(OR(B185="",B185="Retrofit"),"",IF(N185="Automated teller machines", ('Lookup Tables'!$A$82:$E$100+('Lighting Inventory'!O185-1)*'Lookup Tables'!$A$82:$E$100)/1000, (Q185*O185)/1000))), "")</f>
        <v/>
      </c>
      <c r="S185" s="595"/>
      <c r="T185" s="105" t="str">
        <f t="shared" si="452"/>
        <v/>
      </c>
      <c r="U185" s="105" t="str">
        <f>IF(S185="","",COUNT($S$11:S185))</f>
        <v/>
      </c>
      <c r="V185" s="111"/>
      <c r="W185" s="112"/>
      <c r="X185" s="105" t="str">
        <f t="shared" si="453"/>
        <v/>
      </c>
      <c r="Y185" s="105" t="str">
        <f t="array" ref="Y185">IF(AND(OR(W185="Freezer Case Lighting", W185="Refrigerated Case Lighting with Doors"), 'General Information'!$X$18="LCI"),'Lookup Tables'!$Y$34, IF(V185="Custom", VLOOKUP(W185, 'Fixture Identities'!$A$974:$M$1023, 13, FALSE), IF(V185="No Change",'Lookup Tables'!$Y$29,IF(OR(V185="",W185=""),"",IF(AND(S185=0,S185&lt;I185,B185="Retrofit"),'Lookup Tables'!$Y$25, IF(B185="Retrofit", INDEX('Lookup Tables'!$AH$6:$AP$102, MATCH(1, ('Lookup Tables'!$AH$6:$AH$102=V185)*('Lookup Tables'!$AI$6:$AI$102=W185), 0), IF('Lighting Inventory'!E185="Interior", 4, 5)), INDEX('Lookup Tables'!$AH$114:$AP$154, MATCH(1, ('Lookup Tables'!$AH$114:$AH$154=V185)*('Lookup Tables'!$AI$114:$AI$154=W185), 0), IF('Lighting Inventory'!E185="Interior", 4, 5))))))))</f>
        <v/>
      </c>
      <c r="Z185" s="105" t="str">
        <f>IFERROR(INDEX('Lookup Tables'!$AH$158:$AH$172,MATCH('Lighting Inventory'!Y185,'Lookup Tables'!$AI$158:$AI$172,0)),"")</f>
        <v/>
      </c>
      <c r="AA185" s="105" t="str">
        <f>IF(AP185&gt;0,INDEX('Lookup Tables'!$AK$158:$AK$172,MATCH('Lighting Inventory'!Y185,'Lookup Tables'!$AI$158:$AI$172,0)),'Lighting Inventory'!Y185)</f>
        <v/>
      </c>
      <c r="AB185" s="105" t="str">
        <f t="array" ref="AB185">IF(V185="Custom", "Custom", IF(V185="", "", IF(V185="Not DLC or Energy Star", "General", IF(B185="New Construction", INDEX('Lookup Tables'!$AH$114:$AP$154,MATCH(1,('Lookup Tables'!$AH$114:$AH$154='Lighting Inventory'!V185)*('Lookup Tables'!$AI$114:$AI$154='Lighting Inventory'!W185),FALSE),8), INDEX('Lookup Tables'!$AH$6:$AP$102,MATCH(1,('Lookup Tables'!$AH$6:$AH$102='Lighting Inventory'!V185)*('Lookup Tables'!$AI$6:$AI$102='Lighting Inventory'!W185),FALSE),8)))))</f>
        <v/>
      </c>
      <c r="AC185" s="272" t="str">
        <f>IF(W185="","",IF(V185="Custom",CONCATENATE("$",'Lookup Tables'!$AM$101," ",'Lookup Tables'!$AN$101),CONCATENATE("$",INDEX('Lookup Tables'!$AM$6:$AM$102,MATCH('Lighting Inventory'!W185,'Lookup Tables'!$AI$6:$AI$102,0))," ",INDEX('Lookup Tables'!$AN$6:$AN$102,MATCH('Lighting Inventory'!W185,'Lookup Tables'!$AI$6:$AI$102,0)))))</f>
        <v/>
      </c>
      <c r="AD185" s="72"/>
      <c r="AE185" s="29"/>
      <c r="AF185" s="379"/>
      <c r="AG185" s="370" t="str">
        <f t="shared" si="401"/>
        <v/>
      </c>
      <c r="AH185" s="370" t="str">
        <f t="shared" si="454"/>
        <v/>
      </c>
      <c r="AI185" s="29"/>
      <c r="AJ185" s="29"/>
      <c r="AK185" s="110"/>
      <c r="AL185" s="375" t="str">
        <f>IF(OR(B185="", V185="", W185=""), "", IF(V185="No Change", K185, IF(V185="Remove Fixture", 0, IF(V185="Custom",VLOOKUP(W185,'Fixture Identities'!$A$6:$K$1023,10,FALSE),IF(AE185="", "← ENTER POST WATTS", 'Lighting Inventory'!AE185)))))</f>
        <v/>
      </c>
      <c r="AM185" s="376" t="str">
        <f t="shared" si="402"/>
        <v/>
      </c>
      <c r="AN185" s="29"/>
      <c r="AO185" s="671"/>
      <c r="AP185" s="29"/>
      <c r="AQ185" s="29"/>
      <c r="AR185" s="29"/>
      <c r="AS185" s="272" t="str">
        <f t="shared" si="455"/>
        <v/>
      </c>
      <c r="AT185" s="270" t="str">
        <f t="shared" si="403"/>
        <v/>
      </c>
      <c r="AU185" s="88" t="str">
        <f t="shared" si="503"/>
        <v/>
      </c>
      <c r="AV185" s="29"/>
      <c r="AW185" s="73"/>
      <c r="AX185" s="271" t="str">
        <f>IF(AND(AV185="Applicant",OR(AW185="", AW185="Use Default Facility Hours")),"← Choose Schedule",IF(F185="","",IF(W185="LED Exit Signs",8760,IF(OR(AV185="Prescribed",AV185=""),VLOOKUP(F185,'Lookup Tables'!$A$6:$G$59,IF(AB185="General", 6, 3),FALSE),VLOOKUP(AW185,'Lookup Tables'!$S$36:$U$43,2,FALSE)))))</f>
        <v/>
      </c>
      <c r="AY185" s="88" t="str">
        <f t="shared" si="404"/>
        <v/>
      </c>
      <c r="AZ185" s="270" t="str">
        <f>IFERROR(IF(F185="", "", IF(W185="LED Exit Signs", 1, IF(AV185="Applicant",VLOOKUP(AW185, 'Lookup Tables'!$S$36:$U$43,3, FALSE), VLOOKUP('Lighting Inventory'!F185, 'Lookup Tables'!$A$6:$H$59, IF('Lighting Inventory'!AB185="General",7,4), FALSE)))), "")</f>
        <v/>
      </c>
      <c r="BA185" s="522" t="str">
        <f>IFERROR(IF(F185="", "", IF(W185="LED Exit Signs", 1, VLOOKUP('Lighting Inventory'!F185, 'Lookup Tables'!$A$6:$H$59, IF('Lighting Inventory'!AB185="General",8,5), FALSE))), "")</f>
        <v/>
      </c>
      <c r="BB185" s="270" t="str">
        <f>IF(G185="", "", IF(E185="Exterior", 0, IF('Lighting Inventory'!G185="Air Conditioned", VLOOKUP(H185, 'Lookup Tables'!$R$6:$T$13, 2, FALSE), VLOOKUP('Lighting Inventory'!G185, 'Lookup Tables'!$R$6:$T$13, 2, FALSE))))</f>
        <v/>
      </c>
      <c r="BC185" s="522" t="str">
        <f>IF(G185="", "", IF(E185="Exterior", 0, IF('Lighting Inventory'!G185="Air Conditioned", VLOOKUP(H185, 'Lookup Tables'!$R$6:$T$13, 3, FALSE), VLOOKUP('Lighting Inventory'!G185, 'Lookup Tables'!$R$6:$T$13, 3, FALSE))))</f>
        <v/>
      </c>
      <c r="BD185" s="270" t="str">
        <f>IF(G185="", "", IF(E185="Exterior", 0, IF('Lighting Inventory'!G185="Air Conditioned", VLOOKUP(H185, 'Lookup Tables'!$R$6:$U$13, 4, FALSE), VLOOKUP('Lighting Inventory'!G185, 'Lookup Tables'!$R$6:$U$13, 4, FALSE))))</f>
        <v/>
      </c>
      <c r="BE185" s="270" t="str">
        <f>IFERROR(IF(B185="", "",  IF(B185="New Construction", VLOOKUP(F185, 'Lookup Tables'!$A$6:$K$59, 11, FALSE),IF(OR(AN185="", AN185="Light Switch"), 0, IF(OR(M185="",M185="None",V185= "LED Exit Signs"),0,_xlfn.XLOOKUP(M185,'Lookup Tables'!$R$91:$R$101,'Lookup Tables'!$V$91:$V$101))))), "")</f>
        <v/>
      </c>
      <c r="BF185" s="270" t="str">
        <f>IF(AND(OR(AN185="Light Switch",AN185=""),B185="New Construction"), VLOOKUP(F185, 'Lookup Tables'!$A$6:$K$59, 11, FALSE),IF(AN185="","",IF(B185="","",IF(OR(AN185="None",AN185="",V185="LED Exit Signs",AN185="Exterior Controls Not Eligible"),0,_xlfn.XLOOKUP(AN185,'Lookup Tables'!$R$91:$R$101,'Lookup Tables'!$V$91:$V$101)))))</f>
        <v/>
      </c>
      <c r="BG185" s="88" t="str">
        <f t="shared" si="456"/>
        <v/>
      </c>
      <c r="BH185" s="88" t="str">
        <f t="shared" si="457"/>
        <v/>
      </c>
      <c r="BI185" s="558" t="str">
        <f t="shared" si="501"/>
        <v/>
      </c>
      <c r="BJ185" s="82" t="str">
        <f t="shared" si="458"/>
        <v/>
      </c>
      <c r="BK185" s="82" t="str">
        <f t="shared" si="459"/>
        <v/>
      </c>
      <c r="BL185" s="559" t="str">
        <f t="shared" si="460"/>
        <v/>
      </c>
      <c r="BM185" s="521" t="str">
        <f t="shared" si="405"/>
        <v/>
      </c>
      <c r="BN185" s="521" t="str">
        <f t="shared" si="406"/>
        <v/>
      </c>
      <c r="BO185" s="522" t="str">
        <f t="shared" si="407"/>
        <v/>
      </c>
      <c r="BP185" s="83" t="str">
        <f t="shared" si="461"/>
        <v/>
      </c>
      <c r="BQ185" s="84" t="str">
        <f t="shared" si="462"/>
        <v/>
      </c>
      <c r="BR185" s="184" t="str">
        <f>IFERROR(IF(B185="", "", IF(OR(VLOOKUP(J185, 'Fixture Identities'!$A$6:$L$1023, 3, FALSE)="T12 Linear Fluorescent",VLOOKUP(J185, 'Fixture Identities'!$A$6:$L$1023, 3, FALSE)="T12 U-Tube Fluorescent"), "Y", "N")), "N")</f>
        <v/>
      </c>
      <c r="BS185" s="184" t="str">
        <f t="array" ref="BS185">IFERROR(IF(OR(B185="", V185="", W185=""), "", IF(V185="Custom", "N", IF(OR(W185="Freezer Case Lighting", W185="Refrigerated Case Lighting with Doors"), BT185, IF(B185="Retrofit", INDEX('Lookup Tables'!$AH$6:$AT$102,MATCH(1,('Lookup Tables'!$AH$6:$AH$102=V185)*('Lookup Tables'!$AI$6:$AI$102=W185),FALSE),IF(VLOOKUP(J185, 'Fixture Identities'!$A$6:$B$1023, 2, FALSE)="Incandescent",12, 13)), INDEX('Lookup Tables'!$AH$114:$AS$154,MATCH(1,('Lookup Tables'!$AH$114:$AH$154=V185)*('Lookup Tables'!$AI$114:$AI$154=W185),FALSE),12))))), "N")</f>
        <v/>
      </c>
      <c r="BT185" s="184" t="str">
        <f>IF(J185="", "", IF(AND(OR(W185="Freezer case Lighting", W185="Refrigerated Case Lighting with Doors"),'General Information'!$X$18="LCI"), "N", IF(OR(VLOOKUP(J185, 'Fixture Identities'!$A$6:$B$1023, 2, FALSE)="T12 EPACT/EISA Baseline", VLOOKUP(J185, 'Fixture Identities'!$A$6:$B$1023, 2, FALSE)="Linear Fluorescent", VLOOKUP(J185, 'Fixture Identities'!$A$6:$B$1023, 2, FALSE)="U-Tube Fluorescent"), "Y", "N")))</f>
        <v/>
      </c>
      <c r="BU185" s="184" t="str">
        <f>IFERROR(IF(B185="", "", IF(VLOOKUP(J185, 'Fixture Identities'!$A$6:$B$1023, 2, FALSE)="Exit Sign", "Y", "N")), "N")</f>
        <v/>
      </c>
      <c r="BV185" s="184" t="str">
        <f>IF(V185="Exit Signs", IF(VLOOKUP(J185, 'Fixture Identities'!$A$6:$B$1023, 2, FALSE)="Exit Sign", "N", "Y"), "")</f>
        <v/>
      </c>
      <c r="BW185" s="184" t="str">
        <f t="array" ref="BW185">IFERROR(IF(B185="", "", IF(B185="New Construction", "N", INDEX('Lookup Tables'!$AH$6:$AU$102, MATCH(1, ('Lookup Tables'!$AH$6:$AH$102='Lighting Inventory'!V185)*('Lookup Tables'!$AI$6:$AI$102='Lighting Inventory'!W185), 0), 14))), "N")</f>
        <v/>
      </c>
      <c r="BX185" s="598" t="str">
        <f t="shared" si="463"/>
        <v/>
      </c>
      <c r="BY185" s="598" t="str">
        <f t="shared" si="464"/>
        <v/>
      </c>
      <c r="BZ185" s="598" t="str">
        <f t="shared" si="465"/>
        <v/>
      </c>
      <c r="CA185" s="598" t="str">
        <f t="shared" si="466"/>
        <v/>
      </c>
      <c r="CB185" s="269" t="str">
        <f t="shared" si="467"/>
        <v/>
      </c>
      <c r="CC185" s="517" t="str">
        <f t="shared" si="468"/>
        <v/>
      </c>
      <c r="CD185" s="565" t="str">
        <f t="shared" si="408"/>
        <v/>
      </c>
      <c r="CE185" s="368">
        <v>0</v>
      </c>
      <c r="CF185" s="368" t="str" cm="1">
        <f t="array" ref="CF185">IFERROR(IF(V185="Custom", "$0.1 per kWh", IF(B185="New Construction", CONCATENATE("$",INDEX('Lookup Tables'!$AH$114:$AN$154,MATCH(1,('Lookup Tables'!$AH$114:$AH$154='Lighting Inventory'!V185)*('Lookup Tables'!$AI$114:$AI$154='Lighting Inventory'!W185),FALSE),6)," ",INDEX('Lookup Tables'!$AH$114:$AN$154,MATCH(1,('Lookup Tables'!$AH$114:$AH$154='Lighting Inventory'!V185)*('Lookup Tables'!$AI$114:$AI$154='Lighting Inventory'!W185),FALSE),7)), IF(AND(BU185="N", V185="Exit Signs"), "$0.025 per kWh", CONCATENATE("$",INDEX('Lookup Tables'!$AH$6:$AN$102,MATCH(1,('Lookup Tables'!$AH$6:$AH$102='Lighting Inventory'!V185)*('Lookup Tables'!$AI$6:$AI$102='Lighting Inventory'!W185),FALSE),6)," ",INDEX('Lookup Tables'!$AH$6:$AN$102,MATCH(1,('Lookup Tables'!$AH$6:$AH$102='Lighting Inventory'!V185)*('Lookup Tables'!$AI$6:$AI$102='Lighting Inventory'!W185),FALSE),7))))), "")</f>
        <v/>
      </c>
      <c r="CG185" s="366"/>
      <c r="CH185" s="248" t="str">
        <f t="shared" si="409"/>
        <v/>
      </c>
      <c r="CI185" s="248" t="str">
        <f t="shared" si="410"/>
        <v>Select_IE</v>
      </c>
      <c r="CJ185" s="248" t="str">
        <f t="shared" si="411"/>
        <v/>
      </c>
      <c r="CK185" s="248" t="str">
        <f t="shared" si="412"/>
        <v/>
      </c>
      <c r="CL185" s="248" t="str">
        <f t="shared" si="413"/>
        <v/>
      </c>
      <c r="CM185" s="248" t="str">
        <f>IFERROR(IF(B185="", "", IF(B185="New Construction", VLOOKUP(V185, 'Lookup Tables'!$AF$114:$AG$120, 2, FALSE), VLOOKUP(V185, 'Lookup Tables'!$AD$6:$AE$25, 2, FALSE))), "")</f>
        <v/>
      </c>
      <c r="CN185" s="248" t="str">
        <f t="shared" si="414"/>
        <v/>
      </c>
      <c r="CO185" s="248" t="str">
        <f t="shared" si="415"/>
        <v/>
      </c>
      <c r="CP185" s="592" t="str">
        <f t="shared" si="416"/>
        <v/>
      </c>
      <c r="CQ185" s="248" t="str">
        <f t="shared" si="469"/>
        <v/>
      </c>
      <c r="CR185" s="100"/>
      <c r="CS185" s="250" t="str">
        <f t="shared" si="417"/>
        <v/>
      </c>
      <c r="CT185" s="250" t="str">
        <f t="shared" si="470"/>
        <v/>
      </c>
      <c r="CU185" s="250" t="str">
        <f t="shared" si="471"/>
        <v/>
      </c>
      <c r="CV185" s="250" t="str">
        <f t="shared" si="472"/>
        <v/>
      </c>
      <c r="CW185" s="250" t="str">
        <f t="shared" si="473"/>
        <v/>
      </c>
      <c r="CX185" s="250" t="str">
        <f t="shared" si="418"/>
        <v/>
      </c>
      <c r="CY185" s="250" t="str">
        <f t="shared" si="419"/>
        <v/>
      </c>
      <c r="CZ185" s="250" t="str">
        <f t="shared" si="420"/>
        <v/>
      </c>
      <c r="DA185" s="250" t="str">
        <f t="shared" si="421"/>
        <v/>
      </c>
      <c r="DB185" s="250" t="str">
        <f t="shared" si="422"/>
        <v/>
      </c>
      <c r="DC185" s="250" t="str">
        <f t="shared" si="423"/>
        <v/>
      </c>
      <c r="DD185" s="250" t="str">
        <f t="shared" si="424"/>
        <v/>
      </c>
      <c r="DE185" s="250" t="str">
        <f t="shared" si="425"/>
        <v/>
      </c>
      <c r="DF185" s="250" t="str">
        <f t="shared" si="426"/>
        <v/>
      </c>
      <c r="DG185" s="250" t="str">
        <f t="shared" si="427"/>
        <v/>
      </c>
      <c r="DH185" s="250" t="str">
        <f t="shared" si="428"/>
        <v/>
      </c>
      <c r="DI185" s="250" t="str">
        <f t="shared" si="429"/>
        <v/>
      </c>
      <c r="DJ185" s="250" t="str">
        <f t="shared" si="430"/>
        <v/>
      </c>
      <c r="DK185" s="250" t="str">
        <f t="shared" si="431"/>
        <v/>
      </c>
      <c r="DL185" s="250" t="str">
        <f t="shared" si="432"/>
        <v/>
      </c>
      <c r="DM185" s="250" t="str">
        <f>IF(CD185="ERROR", "ERROR", IF(AND(OR(Y185=$DM$6, Y185='Lookup Tables'!$AD$21, Y185='Lookup Tables'!$AD$22), E185="Interior"), BJ185, ""))</f>
        <v/>
      </c>
      <c r="DN185" s="250" t="str">
        <f>IF(CD185="ERROR", "ERROR", IF(AND(OR(Y185=$DM$6, Y185='Lookup Tables'!$AD$21, Y185='Lookup Tables'!$AD$22), E185="Exterior"), BJ185, ""))</f>
        <v/>
      </c>
      <c r="DO185" s="100"/>
      <c r="DP185" s="250" t="str">
        <f t="shared" si="433"/>
        <v/>
      </c>
      <c r="DQ185" s="250" t="str">
        <f t="shared" si="474"/>
        <v/>
      </c>
      <c r="DR185" s="250" t="str">
        <f t="shared" si="475"/>
        <v/>
      </c>
      <c r="DS185" s="250" t="str">
        <f t="shared" si="476"/>
        <v/>
      </c>
      <c r="DT185" s="250" t="str">
        <f t="shared" si="477"/>
        <v/>
      </c>
      <c r="DU185" s="250" t="str">
        <f t="shared" si="434"/>
        <v/>
      </c>
      <c r="DV185" s="250" t="str">
        <f t="shared" si="435"/>
        <v/>
      </c>
      <c r="DW185" s="250" t="str">
        <f t="shared" si="436"/>
        <v/>
      </c>
      <c r="DX185" s="250" t="str">
        <f t="shared" si="437"/>
        <v/>
      </c>
      <c r="DY185" s="250" t="str">
        <f t="shared" si="438"/>
        <v/>
      </c>
      <c r="DZ185" s="250" t="str">
        <f t="shared" si="439"/>
        <v/>
      </c>
      <c r="EA185" s="250" t="str">
        <f t="shared" si="440"/>
        <v/>
      </c>
      <c r="EB185" s="250" t="str">
        <f t="shared" si="478"/>
        <v/>
      </c>
      <c r="EC185" s="250" t="str">
        <f t="shared" si="441"/>
        <v/>
      </c>
      <c r="ED185" s="250" t="str">
        <f t="shared" si="442"/>
        <v/>
      </c>
      <c r="EE185" s="250" t="str">
        <f t="shared" si="443"/>
        <v/>
      </c>
      <c r="EF185" s="250" t="str">
        <f t="shared" si="444"/>
        <v/>
      </c>
      <c r="EG185" s="250" t="str">
        <f t="shared" si="445"/>
        <v/>
      </c>
      <c r="EH185" s="250" t="str">
        <f>IF(CD185="ERROR", "ERROR", IF(AND(OR($EH$6=Y185, Y185='Lookup Tables'!$AD$21, Y185='Lookup Tables'!$AD$22),E185="Interior"), SUM(BP185:BP185), ""))</f>
        <v/>
      </c>
      <c r="EI185" s="250" t="str">
        <f>IF(CD185="ERROR", "ERROR", IF(AND(OR($EH$6=Y185, Y185='Lookup Tables'!$AD$21, Y185='Lookup Tables'!$AD$22),E185="Exterior"), SUM(BP185:BP185), ""))</f>
        <v/>
      </c>
      <c r="EJ185" s="109"/>
      <c r="EK185" s="485" t="str">
        <f t="shared" si="446"/>
        <v/>
      </c>
      <c r="EL185" s="252" t="str">
        <f t="shared" si="479"/>
        <v/>
      </c>
      <c r="EM185" s="252" t="str">
        <f t="shared" si="480"/>
        <v/>
      </c>
      <c r="EN185" s="252" t="str">
        <f t="shared" si="481"/>
        <v/>
      </c>
      <c r="EO185" s="252" t="str">
        <f t="shared" si="482"/>
        <v/>
      </c>
      <c r="EP185" s="252" t="str">
        <f t="shared" si="483"/>
        <v/>
      </c>
      <c r="EQ185" s="252" t="str">
        <f t="shared" si="484"/>
        <v/>
      </c>
      <c r="ER185" s="252" t="str">
        <f t="shared" si="485"/>
        <v/>
      </c>
      <c r="ES185" s="252" t="str">
        <f t="shared" si="486"/>
        <v/>
      </c>
      <c r="ET185" s="252" t="str">
        <f t="shared" si="487"/>
        <v/>
      </c>
      <c r="EU185" s="252" t="str">
        <f t="shared" si="488"/>
        <v/>
      </c>
      <c r="EV185" s="252" t="str">
        <f t="shared" si="489"/>
        <v/>
      </c>
      <c r="EW185" s="252" t="str">
        <f t="shared" si="490"/>
        <v/>
      </c>
      <c r="EX185" s="252" t="str">
        <f t="shared" si="491"/>
        <v/>
      </c>
      <c r="EY185" s="252" t="str">
        <f t="shared" si="492"/>
        <v/>
      </c>
      <c r="EZ185" s="252" t="str">
        <f t="shared" si="493"/>
        <v/>
      </c>
      <c r="FA185" s="252" t="str">
        <f t="shared" si="494"/>
        <v/>
      </c>
      <c r="FB185" s="252" t="str">
        <f t="shared" si="495"/>
        <v/>
      </c>
      <c r="FC185" s="252" t="str">
        <f>IF(CD185="ERROR", "ERROR", IF(OR(V185="No Change", V185="Not DLC or Energy Star"), "", IF(AND(OR($FC$6=Y185,Y185='Lookup Tables'!$AD$21, Y185='Lookup Tables'!$AD$22),E185="Interior"), S185, "")))</f>
        <v/>
      </c>
      <c r="FD185" s="252" t="str">
        <f t="shared" si="496"/>
        <v/>
      </c>
      <c r="FE185" s="101"/>
      <c r="FF185" s="579" t="str" cm="1">
        <f t="array" ref="FF185">IFERROR(IF(OR(BQ185&lt;=0,AQ185&lt;20,AND(V185="Exit Signs",AN185&gt;0)),"",IF(AND(AQ185&gt;=20,AN185='Lookup Tables'!$R$101),'Lookup Tables'!$U$101*BQ185,AP185*LOOKUP(2,1/((AN185='Lookup Tables'!$R$91:$R$111)*(AQ185&gt;='Lookup Tables'!$S$91:$S$111)*(AQ185&lt;='Lookup Tables'!$T$91:$T$111)),'Lookup Tables'!$U$91:$U$111))),"")</f>
        <v/>
      </c>
      <c r="FG185" s="579"/>
      <c r="FH185" s="579"/>
      <c r="FI185" s="253" t="str">
        <f>IFERROR(ROUND(IF(CD185="ERROR", "ERROR", IF(AND($FI$7=X185,E185="Interior"),VLOOKUP(W185, 'Lookup Tables'!$AI$6:$AM$102, 5, FALSE)*BP185, "")), 2), "")</f>
        <v/>
      </c>
      <c r="FJ185" s="253" t="str">
        <f>IFERROR(ROUND(IF(CD185="ERROR", "ERROR", IF(AND($FI$7=X185,E185="Exterior"),VLOOKUP(W185, 'Lookup Tables'!$AI$6:$AM$102, 5, FALSE)*BP185, "")), 2), "")</f>
        <v/>
      </c>
      <c r="FK185" s="253" t="str">
        <f>IFERROR(ROUND(IF(CD185="ERROR", "ERROR", IF(AND($FK$7=X185,E185="Interior"),VLOOKUP(W185, 'Lookup Tables'!$AI$6:$AM$102, 5, FALSE)*BP185, "")), 2), "")</f>
        <v/>
      </c>
      <c r="FL185" s="253" t="str">
        <f>IFERROR(ROUND(IF(CD185="ERROR", "ERROR", IF(AND($FK$7=X185,E185="Exterior"),VLOOKUP(W185, 'Lookup Tables'!$AI$6:$AM$102, 5, FALSE)*BP185, "")), 2), "")</f>
        <v/>
      </c>
      <c r="FM185" s="253" t="str">
        <f>IFERROR(ROUND(IF(CD185="ERROR", "ERROR", IF(AND($FM$6=Y185,E185="Interior"), IF(GB185=0, VLOOKUP(W185, 'Lookup Tables'!$AI$6:$AM$102, 5, FALSE)*BP185, IF(VLOOKUP(W185, 'Lookup Tables'!$AI$6:$AM$102, 5, FALSE)*BP185&gt;GB185*'Lighting Inventory'!S185, GB185*'Lighting Inventory'!S185,VLOOKUP(W185, 'Lookup Tables'!$AI$6:$AM$102, 5, FALSE)*BP185)), "")), 2), "")</f>
        <v/>
      </c>
      <c r="FN185" s="253" t="str">
        <f>IFERROR(ROUND(IF(CD185="ERROR", "ERROR", IF(AND($FM$6=Y185,E185="Exterior"), IF(GB185=0, VLOOKUP(W185, 'Lookup Tables'!$AI$6:$AM$102, 5, FALSE)*BP185, IF(VLOOKUP(W185, 'Lookup Tables'!$AI$6:$AM$102, 5, FALSE)*BP185&gt;GB185*'Lighting Inventory'!S185, GB185*'Lighting Inventory'!S185,VLOOKUP(W185, 'Lookup Tables'!$AI$6:$AM$102, 5, FALSE)*BP185)), "")), 2), "")</f>
        <v/>
      </c>
      <c r="FO185" s="253" t="str">
        <f>IFERROR(ROUND(IF(CD185="ERROR", "ERROR", IF(AND($FO$6=Y185,E185="Interior"),VLOOKUP(W185, 'Lookup Tables'!$AI$6:$AM$102, 5, FALSE)*'Lighting Inventory'!AI185, "")), 2), "")</f>
        <v/>
      </c>
      <c r="FP185" s="253" t="str">
        <f>IFERROR(ROUND(IF(CD185="ERROR", "ERROR", IF(AND($FO$6=Y185,E185="Exterior"),VLOOKUP(W185, 'Lookup Tables'!$AI$6:$AM$102, 5, FALSE)*'Lighting Inventory'!AI185, "")), 2), "")</f>
        <v/>
      </c>
      <c r="FQ185" s="253" t="str">
        <f>IFERROR(ROUND(IF(CD185="ERROR", "ERROR", IF(AND($FQ$6=Y185,E185="Interior", BU185="Y"), VLOOKUP('Lighting Inventory'!W185, 'Lookup Tables'!$AI$6:$AM$102, 5, FALSE)*'Lighting Inventory'!S185, IF(AND($FQ$7=Y185,E185="Interior", BU185="N"), 0.025*CD185, ""))), 2), "")</f>
        <v/>
      </c>
      <c r="FR185" s="253" t="str">
        <f>IFERROR(ROUND(IF(CD185="ERROR", "ERROR", IF(AND($FQ$6=Y185,E185="Exterior"), VLOOKUP('Lighting Inventory'!W185, 'Lookup Tables'!$AI$6:$AM$102, 5, FALSE)*'Lighting Inventory'!S185, "")), 2), "")</f>
        <v/>
      </c>
      <c r="FS185" s="253" t="str">
        <f>IFERROR(ROUND(IF(CD185="ERROR", "ERROR", IF(AND($FS$6=Y185,E185="Exterior"), IF(GB185=0, VLOOKUP(W185, 'Lookup Tables'!$AI$6:$AM$102, 5, FALSE)*BP185, IF(VLOOKUP(W185, 'Lookup Tables'!$AI$6:$AM$102, 5, FALSE)*BP185&gt;GB185*'Lighting Inventory'!S185, GB185*'Lighting Inventory'!S185,VLOOKUP(W185, 'Lookup Tables'!$AI$6:$AM$102, 5, FALSE)*BP185)), "")), 2), "")</f>
        <v/>
      </c>
      <c r="FT185" s="253" t="str">
        <f>IFERROR(ROUND(IF(CD185="ERROR", "ERROR", IF(AND($FT$6=Y185,E185="Interior"), IF(GB185=0, VLOOKUP(W185, 'Lookup Tables'!$AI$6:$AM$102, 5, FALSE)*BP185, IF(VLOOKUP(W185, 'Lookup Tables'!$AI$6:$AM$102, 5, FALSE)*BP185&gt;GB185*'Lighting Inventory'!S185, GB185*'Lighting Inventory'!S185,VLOOKUP(W185, 'Lookup Tables'!$AI$6:$AM$102, 5, FALSE)*BP185)), "")), 2), "")</f>
        <v/>
      </c>
      <c r="FU185" s="253" t="str">
        <f>IFERROR(ROUND(IF(CD185="ERROR", "ERROR", IF(AND(Y185=$FU$6, E185="Interior"), IF(BS185="N", 'Lookup Tables'!$AM$101*BP185, VLOOKUP(W185, 'Lookup Tables'!$AI$6:$AM$102, 5, FALSE)*S185*AD185), "")), 2), "")</f>
        <v/>
      </c>
      <c r="FV185" s="253" t="str">
        <f>IFERROR(ROUND(IF(CD185="ERROR", "ERROR", IF(AND(Y185=$FU$6, E185="Exterior"), IF(BS185="N", 'Lookup Tables'!$AM$101*BP185, VLOOKUP(W185, 'Lookup Tables'!$AI$6:$AM$102, 5, FALSE)*S185*AD185), "")), 2), "")</f>
        <v/>
      </c>
      <c r="FW185" s="253" t="str">
        <f>IFERROR(ROUND(IF(CD185="ERROR", "ERROR", IF($FW$6=Y185, IF(BS185="N", 'Lookup Tables'!$AM$101*BP185, MIN((VLOOKUP(W185, 'Lookup Tables'!$AI$6:$AM$102, 5, FALSE)*BP185),GB185*AJ185)), "")), 2), "")</f>
        <v/>
      </c>
      <c r="FX185" s="253" t="str">
        <f>IFERROR(ROUND(IF(CD185="ERROR", "ERROR", IF(AND($FX$6=Y185, E185="Interior"), IF(VLOOKUP(W185, 'Lookup Tables'!$AI$6:$AM$102, 5, FALSE)*BP185&gt;'Lookup Tables'!$AQ$97*'Lighting Inventory'!S185,'Lighting Inventory'!S185*'Lookup Tables'!$AQ$97,VLOOKUP(W185, 'Lookup Tables'!$AI$6:$AM$102, 5, FALSE)*BP185), "")), 2), "")</f>
        <v/>
      </c>
      <c r="FY185" s="253" t="str">
        <f>IFERROR(ROUND(IF(CD185="ERROR", "ERROR", IF(AND($FX$6=Y185, E185="Exterior"), IF(VLOOKUP(W185, 'Lookup Tables'!$AI$6:$AM$102, 5, FALSE)*BP185&gt;'Lookup Tables'!$AQ$97*'Lighting Inventory'!S185,'Lighting Inventory'!S185*'Lookup Tables'!$AQ$97,VLOOKUP(W185, 'Lookup Tables'!$AI$6:$AM$102, 5, FALSE)*BP185), "")), 2), "")</f>
        <v/>
      </c>
      <c r="FZ185" s="253" t="str">
        <f>IFERROR(ROUND(IF(CD185="ERROR", "ERROR", IF(AND($FZ$6=Y185, E185="Interior"), IF(AND(OR(W185="Refrigerated Case Lighting with Doors", W185="Freezer Case Lighting"),Y185="Custom - Process Improvement"),CD185*'Lookup Tables'!$AM$101, IF(B185="Retrofit", IF(VLOOKUP(IF(V185="Custom", V185, W185), 'Lookup Tables'!$AI$6:$AM$102, 5, FALSE)*BP185&gt;GE185, GE185, VLOOKUP(IF(V185="Custom", V185, W185), 'Lookup Tables'!$AI$6:$AM$102, 5, FALSE)*BP185), IF(VLOOKUP(IF(V185="Custom", V185, W185), 'Lookup Tables'!$AI$114:$AM$154, 5, FALSE)*BP185&gt;GE185, GE185, VLOOKUP(IF(V185="Custom", V185, W185), 'Lookup Tables'!$AI$114:$AM$154, 5, FALSE)*BP185))), "")), 2),"")</f>
        <v/>
      </c>
      <c r="GA185" s="253" t="str">
        <f>IFERROR(ROUND(IF(CD185="ERROR", "ERROR", IF(AND($FZ$6=Y185, E185="Exterior"), IF(B185="Retrofit", IF(VLOOKUP(IF(V185="Custom", V185, W185), 'Lookup Tables'!$AI$6:$AM$102, 5, FALSE)*BP185&gt;GE185, GE185, VLOOKUP(IF(V185="Custom", V185, W185), 'Lookup Tables'!$AI$6:$AM$102, 5, FALSE)*BP185), IF(VLOOKUP(IF(V185="Custom", V185, W185), 'Lookup Tables'!$AI$114:$AM$154, 5, FALSE)*BP185&gt;GE185, GE185, VLOOKUP(IF(V185="Custom", V185, W185), 'Lookup Tables'!$AI$114:$AM$154, 5, FALSE)*BP185)), "")), 2),"")</f>
        <v/>
      </c>
      <c r="GB185" s="254" t="str">
        <f t="array" ref="GB185">IF(B185="","",IF(OR(V185="Custom",V185="No Change"),0,IF(B185="Retrofit", INDEX('Lookup Tables'!$AH$6:$AQ$102,MATCH(1,('Lookup Tables'!$AH$6:$AH$102='Lighting Inventory'!V185)*('Lookup Tables'!$AI$6:$AI$102='Lighting Inventory'!W185),FALSE),10),INDEX('Lookup Tables'!$AH$114:$AQ$154,MATCH(1,('Lookup Tables'!$AH$114:$AH$154='Lighting Inventory'!V185)*('Lookup Tables'!$AI$114:$AI$154='Lighting Inventory'!W185),FALSE),10))))</f>
        <v/>
      </c>
      <c r="GC185" s="255" t="str">
        <f t="shared" si="447"/>
        <v/>
      </c>
      <c r="GD185" s="250" t="str">
        <f t="shared" si="448"/>
        <v/>
      </c>
      <c r="GE185" s="253" t="str">
        <f>IFERROR(IF(AND(AF185="", 'General Information'!$F$18="No"),"", IF(AF185="", ((GD185/$CD$266)*$CF$266)*0.5, AF185*S185*0.5)), "")</f>
        <v/>
      </c>
      <c r="GF185" s="255" t="str">
        <f>IF(AND('General Information'!$F$19="", 'General Information'!$F$18="Yes",AF185="",BW185="Y"), "Y", "N")</f>
        <v>N</v>
      </c>
      <c r="GG185" s="255" t="s">
        <v>2946</v>
      </c>
      <c r="GH185" s="255" t="str">
        <f>IFERROR(IF(B185="", "", VLOOKUP(J185, 'Fixture Identities'!$A$6:$N$908, 14, FALSE)), "")</f>
        <v/>
      </c>
      <c r="GI185" s="389" t="str">
        <f>IF(OR(B185="", V185="", W185=""), "", IF(AND(OR(M185='Lookup Tables'!$R$18, M185='Lookup Tables'!$R$19, M185='Lookup Tables'!$R$20, M185='Lookup Tables'!$R$21, M185='Lookup Tables'!$R$22), OR(AN185='Lookup Tables'!$R$17, AN185='Lookup Tables'!$R$17, AN185="")), "Y", "N"))</f>
        <v/>
      </c>
      <c r="GJ185" s="255" t="str">
        <f t="shared" si="449"/>
        <v/>
      </c>
      <c r="GK185" s="255" t="str">
        <f t="shared" si="450"/>
        <v/>
      </c>
      <c r="GL185" s="255" t="str">
        <f t="shared" si="451"/>
        <v/>
      </c>
      <c r="GM185" s="255" t="str">
        <f>IF(AN185="", "", IF(AND(IF(ISNA(VLOOKUP(AN185,'Lookup Tables'!$R$18:$R$22,1,FALSE)), "N", "Y")="Y", E185="Exterior"), "Y", "N"))</f>
        <v/>
      </c>
      <c r="GN185" s="395"/>
      <c r="GO185" s="428">
        <f t="shared" si="497"/>
        <v>0</v>
      </c>
      <c r="GP185" s="428">
        <f t="shared" si="500"/>
        <v>0</v>
      </c>
      <c r="GQ185" s="428">
        <f t="shared" si="498"/>
        <v>0</v>
      </c>
      <c r="GR185" s="428">
        <f t="shared" si="499"/>
        <v>0</v>
      </c>
    </row>
    <row r="186" spans="1:200" s="103" customFormat="1" ht="13.5" customHeight="1" x14ac:dyDescent="0.2">
      <c r="A186" s="272">
        <v>176</v>
      </c>
      <c r="B186" s="110"/>
      <c r="C186" s="110"/>
      <c r="D186" s="110"/>
      <c r="E186" s="110"/>
      <c r="F186" s="110"/>
      <c r="G186" s="110"/>
      <c r="H186" s="110"/>
      <c r="I186" s="29"/>
      <c r="J186" s="29"/>
      <c r="K186" s="272" t="str">
        <f>IFERROR(IF(OR(VLOOKUP(J186, 'Fixture Identities'!$A$6:$L$1023, 3, FALSE)="T12 Linear Fluorescent", VLOOKUP(J186, 'Fixture Identities'!$A$6:$L$1023, 3, FALSE)="T12 U-Tube Fluorescent"), VLOOKUP(VLOOKUP(J186, 'Fixture Identities'!$A$6:$L$1023, 11, FALSE), 'Fixture Identities'!$A$6:$L$1023, 10, FALSE), VLOOKUP(J186, 'Fixture Identities'!$A$6:$L$1023, 10, FALSE)), "")</f>
        <v/>
      </c>
      <c r="L186" s="270" t="str">
        <f t="shared" si="502"/>
        <v/>
      </c>
      <c r="M186" s="110"/>
      <c r="N186" s="110"/>
      <c r="O186" s="110"/>
      <c r="P186" s="272" t="str">
        <f>IFERROR(IF(OR(B186="Retrofit",B186=""),"",IF('Lighting Inventory'!E186="Exterior",VLOOKUP('Lighting Inventory'!N186,'Lookup Tables'!$B$83:$F$103,5,FALSE),IF(N186="Other - Please Estimate EFLH and CFs","Contact Prog. Rep.","ft^2"))), "")</f>
        <v/>
      </c>
      <c r="Q186" s="270" t="str">
        <f>IFERROR(IF(AND(B186="New Construction",E186="Interior",$F$5="Space-by-Space"),VLOOKUP('Lighting Inventory'!N186,'Lookup Tables'!$N$6:$O$97,2,FALSE),IF(AND(B186="New Construction",E186="Exterior"),VLOOKUP(N186,'Lookup Tables'!$B$83:$F$103,2,FALSE),IF(AND(B186="New Construction",'Lighting Inventory'!E186="Interior", $F$5="Building Area"),VLOOKUP(F186,'Lookup Tables'!$A$6:$J$59,10,FALSE),""))), "")</f>
        <v/>
      </c>
      <c r="R186" s="270" t="str">
        <f>IFERROR(IF(P186="Contact Prog. Rep.", "ERROR", IF(OR(B186="",B186="Retrofit"),"",IF(N186="Automated teller machines", ('Lookup Tables'!$A$82:$E$100+('Lighting Inventory'!O186-1)*'Lookup Tables'!$A$82:$E$100)/1000, (Q186*O186)/1000))), "")</f>
        <v/>
      </c>
      <c r="S186" s="595"/>
      <c r="T186" s="105" t="str">
        <f t="shared" si="452"/>
        <v/>
      </c>
      <c r="U186" s="105" t="str">
        <f>IF(S186="","",COUNT($S$11:S186))</f>
        <v/>
      </c>
      <c r="V186" s="111"/>
      <c r="W186" s="112"/>
      <c r="X186" s="105" t="str">
        <f t="shared" si="453"/>
        <v/>
      </c>
      <c r="Y186" s="105" t="str">
        <f t="array" ref="Y186">IF(AND(OR(W186="Freezer Case Lighting", W186="Refrigerated Case Lighting with Doors"), 'General Information'!$X$18="LCI"),'Lookup Tables'!$Y$34, IF(V186="Custom", VLOOKUP(W186, 'Fixture Identities'!$A$974:$M$1023, 13, FALSE), IF(V186="No Change",'Lookup Tables'!$Y$29,IF(OR(V186="",W186=""),"",IF(AND(S186=0,S186&lt;I186,B186="Retrofit"),'Lookup Tables'!$Y$25, IF(B186="Retrofit", INDEX('Lookup Tables'!$AH$6:$AP$102, MATCH(1, ('Lookup Tables'!$AH$6:$AH$102=V186)*('Lookup Tables'!$AI$6:$AI$102=W186), 0), IF('Lighting Inventory'!E186="Interior", 4, 5)), INDEX('Lookup Tables'!$AH$114:$AP$154, MATCH(1, ('Lookup Tables'!$AH$114:$AH$154=V186)*('Lookup Tables'!$AI$114:$AI$154=W186), 0), IF('Lighting Inventory'!E186="Interior", 4, 5))))))))</f>
        <v/>
      </c>
      <c r="Z186" s="105" t="str">
        <f>IFERROR(INDEX('Lookup Tables'!$AH$158:$AH$172,MATCH('Lighting Inventory'!Y186,'Lookup Tables'!$AI$158:$AI$172,0)),"")</f>
        <v/>
      </c>
      <c r="AA186" s="105" t="str">
        <f>IF(AP186&gt;0,INDEX('Lookup Tables'!$AK$158:$AK$172,MATCH('Lighting Inventory'!Y186,'Lookup Tables'!$AI$158:$AI$172,0)),'Lighting Inventory'!Y186)</f>
        <v/>
      </c>
      <c r="AB186" s="105" t="str">
        <f t="array" ref="AB186">IF(V186="Custom", "Custom", IF(V186="", "", IF(V186="Not DLC or Energy Star", "General", IF(B186="New Construction", INDEX('Lookup Tables'!$AH$114:$AP$154,MATCH(1,('Lookup Tables'!$AH$114:$AH$154='Lighting Inventory'!V186)*('Lookup Tables'!$AI$114:$AI$154='Lighting Inventory'!W186),FALSE),8), INDEX('Lookup Tables'!$AH$6:$AP$102,MATCH(1,('Lookup Tables'!$AH$6:$AH$102='Lighting Inventory'!V186)*('Lookup Tables'!$AI$6:$AI$102='Lighting Inventory'!W186),FALSE),8)))))</f>
        <v/>
      </c>
      <c r="AC186" s="272" t="str">
        <f>IF(W186="","",IF(V186="Custom",CONCATENATE("$",'Lookup Tables'!$AM$101," ",'Lookup Tables'!$AN$101),CONCATENATE("$",INDEX('Lookup Tables'!$AM$6:$AM$102,MATCH('Lighting Inventory'!W186,'Lookup Tables'!$AI$6:$AI$102,0))," ",INDEX('Lookup Tables'!$AN$6:$AN$102,MATCH('Lighting Inventory'!W186,'Lookup Tables'!$AI$6:$AI$102,0)))))</f>
        <v/>
      </c>
      <c r="AD186" s="72"/>
      <c r="AE186" s="29"/>
      <c r="AF186" s="379"/>
      <c r="AG186" s="370" t="str">
        <f t="shared" si="401"/>
        <v/>
      </c>
      <c r="AH186" s="370" t="str">
        <f t="shared" si="454"/>
        <v/>
      </c>
      <c r="AI186" s="29"/>
      <c r="AJ186" s="29"/>
      <c r="AK186" s="110"/>
      <c r="AL186" s="375" t="str">
        <f>IF(OR(B186="", V186="", W186=""), "", IF(V186="No Change", K186, IF(V186="Remove Fixture", 0, IF(V186="Custom",VLOOKUP(W186,'Fixture Identities'!$A$6:$K$1023,10,FALSE),IF(AE186="", "← ENTER POST WATTS", 'Lighting Inventory'!AE186)))))</f>
        <v/>
      </c>
      <c r="AM186" s="376" t="str">
        <f t="shared" si="402"/>
        <v/>
      </c>
      <c r="AN186" s="29"/>
      <c r="AO186" s="671"/>
      <c r="AP186" s="29"/>
      <c r="AQ186" s="29"/>
      <c r="AR186" s="29"/>
      <c r="AS186" s="272" t="str">
        <f t="shared" si="455"/>
        <v/>
      </c>
      <c r="AT186" s="270" t="str">
        <f t="shared" si="403"/>
        <v/>
      </c>
      <c r="AU186" s="88" t="str">
        <f t="shared" si="503"/>
        <v/>
      </c>
      <c r="AV186" s="29"/>
      <c r="AW186" s="73"/>
      <c r="AX186" s="271" t="str">
        <f>IF(AND(AV186="Applicant",OR(AW186="", AW186="Use Default Facility Hours")),"← Choose Schedule",IF(F186="","",IF(W186="LED Exit Signs",8760,IF(OR(AV186="Prescribed",AV186=""),VLOOKUP(F186,'Lookup Tables'!$A$6:$G$59,IF(AB186="General", 6, 3),FALSE),VLOOKUP(AW186,'Lookup Tables'!$S$36:$U$43,2,FALSE)))))</f>
        <v/>
      </c>
      <c r="AY186" s="88" t="str">
        <f t="shared" si="404"/>
        <v/>
      </c>
      <c r="AZ186" s="270" t="str">
        <f>IFERROR(IF(F186="", "", IF(W186="LED Exit Signs", 1, IF(AV186="Applicant",VLOOKUP(AW186, 'Lookup Tables'!$S$36:$U$43,3, FALSE), VLOOKUP('Lighting Inventory'!F186, 'Lookup Tables'!$A$6:$H$59, IF('Lighting Inventory'!AB186="General",7,4), FALSE)))), "")</f>
        <v/>
      </c>
      <c r="BA186" s="522" t="str">
        <f>IFERROR(IF(F186="", "", IF(W186="LED Exit Signs", 1, VLOOKUP('Lighting Inventory'!F186, 'Lookup Tables'!$A$6:$H$59, IF('Lighting Inventory'!AB186="General",8,5), FALSE))), "")</f>
        <v/>
      </c>
      <c r="BB186" s="270" t="str">
        <f>IF(G186="", "", IF(E186="Exterior", 0, IF('Lighting Inventory'!G186="Air Conditioned", VLOOKUP(H186, 'Lookup Tables'!$R$6:$T$13, 2, FALSE), VLOOKUP('Lighting Inventory'!G186, 'Lookup Tables'!$R$6:$T$13, 2, FALSE))))</f>
        <v/>
      </c>
      <c r="BC186" s="522" t="str">
        <f>IF(G186="", "", IF(E186="Exterior", 0, IF('Lighting Inventory'!G186="Air Conditioned", VLOOKUP(H186, 'Lookup Tables'!$R$6:$T$13, 3, FALSE), VLOOKUP('Lighting Inventory'!G186, 'Lookup Tables'!$R$6:$T$13, 3, FALSE))))</f>
        <v/>
      </c>
      <c r="BD186" s="270" t="str">
        <f>IF(G186="", "", IF(E186="Exterior", 0, IF('Lighting Inventory'!G186="Air Conditioned", VLOOKUP(H186, 'Lookup Tables'!$R$6:$U$13, 4, FALSE), VLOOKUP('Lighting Inventory'!G186, 'Lookup Tables'!$R$6:$U$13, 4, FALSE))))</f>
        <v/>
      </c>
      <c r="BE186" s="270" t="str">
        <f>IFERROR(IF(B186="", "",  IF(B186="New Construction", VLOOKUP(F186, 'Lookup Tables'!$A$6:$K$59, 11, FALSE),IF(OR(AN186="", AN186="Light Switch"), 0, IF(OR(M186="",M186="None",V186= "LED Exit Signs"),0,_xlfn.XLOOKUP(M186,'Lookup Tables'!$R$91:$R$101,'Lookup Tables'!$V$91:$V$101))))), "")</f>
        <v/>
      </c>
      <c r="BF186" s="270" t="str">
        <f>IF(AND(OR(AN186="Light Switch",AN186=""),B186="New Construction"), VLOOKUP(F186, 'Lookup Tables'!$A$6:$K$59, 11, FALSE),IF(AN186="","",IF(B186="","",IF(OR(AN186="None",AN186="",V186="LED Exit Signs",AN186="Exterior Controls Not Eligible"),0,_xlfn.XLOOKUP(AN186,'Lookup Tables'!$R$91:$R$101,'Lookup Tables'!$V$91:$V$101)))))</f>
        <v/>
      </c>
      <c r="BG186" s="88" t="str">
        <f t="shared" si="456"/>
        <v/>
      </c>
      <c r="BH186" s="88" t="str">
        <f t="shared" si="457"/>
        <v/>
      </c>
      <c r="BI186" s="558" t="str">
        <f t="shared" si="501"/>
        <v/>
      </c>
      <c r="BJ186" s="82" t="str">
        <f t="shared" si="458"/>
        <v/>
      </c>
      <c r="BK186" s="82" t="str">
        <f t="shared" si="459"/>
        <v/>
      </c>
      <c r="BL186" s="559" t="str">
        <f t="shared" si="460"/>
        <v/>
      </c>
      <c r="BM186" s="521" t="str">
        <f t="shared" si="405"/>
        <v/>
      </c>
      <c r="BN186" s="521" t="str">
        <f t="shared" si="406"/>
        <v/>
      </c>
      <c r="BO186" s="522" t="str">
        <f t="shared" si="407"/>
        <v/>
      </c>
      <c r="BP186" s="83" t="str">
        <f t="shared" si="461"/>
        <v/>
      </c>
      <c r="BQ186" s="84" t="str">
        <f t="shared" si="462"/>
        <v/>
      </c>
      <c r="BR186" s="184" t="str">
        <f>IFERROR(IF(B186="", "", IF(OR(VLOOKUP(J186, 'Fixture Identities'!$A$6:$L$1023, 3, FALSE)="T12 Linear Fluorescent",VLOOKUP(J186, 'Fixture Identities'!$A$6:$L$1023, 3, FALSE)="T12 U-Tube Fluorescent"), "Y", "N")), "N")</f>
        <v/>
      </c>
      <c r="BS186" s="184" t="str">
        <f t="array" ref="BS186">IFERROR(IF(OR(B186="", V186="", W186=""), "", IF(V186="Custom", "N", IF(OR(W186="Freezer Case Lighting", W186="Refrigerated Case Lighting with Doors"), BT186, IF(B186="Retrofit", INDEX('Lookup Tables'!$AH$6:$AT$102,MATCH(1,('Lookup Tables'!$AH$6:$AH$102=V186)*('Lookup Tables'!$AI$6:$AI$102=W186),FALSE),IF(VLOOKUP(J186, 'Fixture Identities'!$A$6:$B$1023, 2, FALSE)="Incandescent",12, 13)), INDEX('Lookup Tables'!$AH$114:$AS$154,MATCH(1,('Lookup Tables'!$AH$114:$AH$154=V186)*('Lookup Tables'!$AI$114:$AI$154=W186),FALSE),12))))), "N")</f>
        <v/>
      </c>
      <c r="BT186" s="184" t="str">
        <f>IF(J186="", "", IF(AND(OR(W186="Freezer case Lighting", W186="Refrigerated Case Lighting with Doors"),'General Information'!$X$18="LCI"), "N", IF(OR(VLOOKUP(J186, 'Fixture Identities'!$A$6:$B$1023, 2, FALSE)="T12 EPACT/EISA Baseline", VLOOKUP(J186, 'Fixture Identities'!$A$6:$B$1023, 2, FALSE)="Linear Fluorescent", VLOOKUP(J186, 'Fixture Identities'!$A$6:$B$1023, 2, FALSE)="U-Tube Fluorescent"), "Y", "N")))</f>
        <v/>
      </c>
      <c r="BU186" s="184" t="str">
        <f>IFERROR(IF(B186="", "", IF(VLOOKUP(J186, 'Fixture Identities'!$A$6:$B$1023, 2, FALSE)="Exit Sign", "Y", "N")), "N")</f>
        <v/>
      </c>
      <c r="BV186" s="184" t="str">
        <f>IF(V186="Exit Signs", IF(VLOOKUP(J186, 'Fixture Identities'!$A$6:$B$1023, 2, FALSE)="Exit Sign", "N", "Y"), "")</f>
        <v/>
      </c>
      <c r="BW186" s="184" t="str">
        <f t="array" ref="BW186">IFERROR(IF(B186="", "", IF(B186="New Construction", "N", INDEX('Lookup Tables'!$AH$6:$AU$102, MATCH(1, ('Lookup Tables'!$AH$6:$AH$102='Lighting Inventory'!V186)*('Lookup Tables'!$AI$6:$AI$102='Lighting Inventory'!W186), 0), 14))), "N")</f>
        <v/>
      </c>
      <c r="BX186" s="598" t="str">
        <f t="shared" si="463"/>
        <v/>
      </c>
      <c r="BY186" s="598" t="str">
        <f t="shared" si="464"/>
        <v/>
      </c>
      <c r="BZ186" s="598" t="str">
        <f t="shared" si="465"/>
        <v/>
      </c>
      <c r="CA186" s="598" t="str">
        <f t="shared" si="466"/>
        <v/>
      </c>
      <c r="CB186" s="269" t="str">
        <f t="shared" si="467"/>
        <v/>
      </c>
      <c r="CC186" s="517" t="str">
        <f t="shared" si="468"/>
        <v/>
      </c>
      <c r="CD186" s="565" t="str">
        <f t="shared" si="408"/>
        <v/>
      </c>
      <c r="CE186" s="368">
        <v>0</v>
      </c>
      <c r="CF186" s="368" t="str" cm="1">
        <f t="array" ref="CF186">IFERROR(IF(V186="Custom", "$0.1 per kWh", IF(B186="New Construction", CONCATENATE("$",INDEX('Lookup Tables'!$AH$114:$AN$154,MATCH(1,('Lookup Tables'!$AH$114:$AH$154='Lighting Inventory'!V186)*('Lookup Tables'!$AI$114:$AI$154='Lighting Inventory'!W186),FALSE),6)," ",INDEX('Lookup Tables'!$AH$114:$AN$154,MATCH(1,('Lookup Tables'!$AH$114:$AH$154='Lighting Inventory'!V186)*('Lookup Tables'!$AI$114:$AI$154='Lighting Inventory'!W186),FALSE),7)), IF(AND(BU186="N", V186="Exit Signs"), "$0.025 per kWh", CONCATENATE("$",INDEX('Lookup Tables'!$AH$6:$AN$102,MATCH(1,('Lookup Tables'!$AH$6:$AH$102='Lighting Inventory'!V186)*('Lookup Tables'!$AI$6:$AI$102='Lighting Inventory'!W186),FALSE),6)," ",INDEX('Lookup Tables'!$AH$6:$AN$102,MATCH(1,('Lookup Tables'!$AH$6:$AH$102='Lighting Inventory'!V186)*('Lookup Tables'!$AI$6:$AI$102='Lighting Inventory'!W186),FALSE),7))))), "")</f>
        <v/>
      </c>
      <c r="CG186" s="366"/>
      <c r="CH186" s="248" t="str">
        <f t="shared" si="409"/>
        <v/>
      </c>
      <c r="CI186" s="248" t="str">
        <f t="shared" si="410"/>
        <v>Select_IE</v>
      </c>
      <c r="CJ186" s="248" t="str">
        <f t="shared" si="411"/>
        <v/>
      </c>
      <c r="CK186" s="248" t="str">
        <f t="shared" si="412"/>
        <v/>
      </c>
      <c r="CL186" s="248" t="str">
        <f t="shared" si="413"/>
        <v/>
      </c>
      <c r="CM186" s="248" t="str">
        <f>IFERROR(IF(B186="", "", IF(B186="New Construction", VLOOKUP(V186, 'Lookup Tables'!$AF$114:$AG$120, 2, FALSE), VLOOKUP(V186, 'Lookup Tables'!$AD$6:$AE$25, 2, FALSE))), "")</f>
        <v/>
      </c>
      <c r="CN186" s="248" t="str">
        <f t="shared" si="414"/>
        <v/>
      </c>
      <c r="CO186" s="248" t="str">
        <f t="shared" si="415"/>
        <v/>
      </c>
      <c r="CP186" s="592" t="str">
        <f t="shared" si="416"/>
        <v/>
      </c>
      <c r="CQ186" s="248" t="str">
        <f t="shared" si="469"/>
        <v/>
      </c>
      <c r="CR186" s="249"/>
      <c r="CS186" s="250" t="str">
        <f t="shared" si="417"/>
        <v/>
      </c>
      <c r="CT186" s="250" t="str">
        <f t="shared" si="470"/>
        <v/>
      </c>
      <c r="CU186" s="250" t="str">
        <f t="shared" si="471"/>
        <v/>
      </c>
      <c r="CV186" s="250" t="str">
        <f t="shared" si="472"/>
        <v/>
      </c>
      <c r="CW186" s="250" t="str">
        <f t="shared" si="473"/>
        <v/>
      </c>
      <c r="CX186" s="250" t="str">
        <f t="shared" si="418"/>
        <v/>
      </c>
      <c r="CY186" s="250" t="str">
        <f t="shared" si="419"/>
        <v/>
      </c>
      <c r="CZ186" s="250" t="str">
        <f t="shared" si="420"/>
        <v/>
      </c>
      <c r="DA186" s="250" t="str">
        <f t="shared" si="421"/>
        <v/>
      </c>
      <c r="DB186" s="250" t="str">
        <f t="shared" si="422"/>
        <v/>
      </c>
      <c r="DC186" s="250" t="str">
        <f t="shared" si="423"/>
        <v/>
      </c>
      <c r="DD186" s="250" t="str">
        <f t="shared" si="424"/>
        <v/>
      </c>
      <c r="DE186" s="250" t="str">
        <f t="shared" si="425"/>
        <v/>
      </c>
      <c r="DF186" s="250" t="str">
        <f t="shared" si="426"/>
        <v/>
      </c>
      <c r="DG186" s="250" t="str">
        <f t="shared" si="427"/>
        <v/>
      </c>
      <c r="DH186" s="250" t="str">
        <f t="shared" si="428"/>
        <v/>
      </c>
      <c r="DI186" s="250" t="str">
        <f t="shared" si="429"/>
        <v/>
      </c>
      <c r="DJ186" s="250" t="str">
        <f t="shared" si="430"/>
        <v/>
      </c>
      <c r="DK186" s="250" t="str">
        <f t="shared" si="431"/>
        <v/>
      </c>
      <c r="DL186" s="250" t="str">
        <f t="shared" si="432"/>
        <v/>
      </c>
      <c r="DM186" s="250" t="str">
        <f>IF(CD186="ERROR", "ERROR", IF(AND(OR(Y186=$DM$6, Y186='Lookup Tables'!$AD$21, Y186='Lookup Tables'!$AD$22), E186="Interior"), BJ186, ""))</f>
        <v/>
      </c>
      <c r="DN186" s="250" t="str">
        <f>IF(CD186="ERROR", "ERROR", IF(AND(OR(Y186=$DM$6, Y186='Lookup Tables'!$AD$21, Y186='Lookup Tables'!$AD$22), E186="Exterior"), BJ186, ""))</f>
        <v/>
      </c>
      <c r="DO186" s="249"/>
      <c r="DP186" s="250" t="str">
        <f t="shared" si="433"/>
        <v/>
      </c>
      <c r="DQ186" s="250" t="str">
        <f t="shared" si="474"/>
        <v/>
      </c>
      <c r="DR186" s="250" t="str">
        <f t="shared" si="475"/>
        <v/>
      </c>
      <c r="DS186" s="250" t="str">
        <f t="shared" si="476"/>
        <v/>
      </c>
      <c r="DT186" s="250" t="str">
        <f t="shared" si="477"/>
        <v/>
      </c>
      <c r="DU186" s="250" t="str">
        <f t="shared" si="434"/>
        <v/>
      </c>
      <c r="DV186" s="250" t="str">
        <f t="shared" si="435"/>
        <v/>
      </c>
      <c r="DW186" s="250" t="str">
        <f t="shared" si="436"/>
        <v/>
      </c>
      <c r="DX186" s="250" t="str">
        <f t="shared" si="437"/>
        <v/>
      </c>
      <c r="DY186" s="250" t="str">
        <f t="shared" si="438"/>
        <v/>
      </c>
      <c r="DZ186" s="250" t="str">
        <f t="shared" si="439"/>
        <v/>
      </c>
      <c r="EA186" s="250" t="str">
        <f t="shared" si="440"/>
        <v/>
      </c>
      <c r="EB186" s="250" t="str">
        <f t="shared" si="478"/>
        <v/>
      </c>
      <c r="EC186" s="250" t="str">
        <f t="shared" si="441"/>
        <v/>
      </c>
      <c r="ED186" s="250" t="str">
        <f t="shared" si="442"/>
        <v/>
      </c>
      <c r="EE186" s="250" t="str">
        <f t="shared" si="443"/>
        <v/>
      </c>
      <c r="EF186" s="250" t="str">
        <f t="shared" si="444"/>
        <v/>
      </c>
      <c r="EG186" s="250" t="str">
        <f t="shared" si="445"/>
        <v/>
      </c>
      <c r="EH186" s="250" t="str">
        <f>IF(CD186="ERROR", "ERROR", IF(AND(OR($EH$6=Y186, Y186='Lookup Tables'!$AD$21, Y186='Lookup Tables'!$AD$22),E186="Interior"), SUM(BP186:BP186), ""))</f>
        <v/>
      </c>
      <c r="EI186" s="250" t="str">
        <f>IF(CD186="ERROR", "ERROR", IF(AND(OR($EH$6=Y186, Y186='Lookup Tables'!$AD$21, Y186='Lookup Tables'!$AD$22),E186="Exterior"), SUM(BP186:BP186), ""))</f>
        <v/>
      </c>
      <c r="EJ186" s="109"/>
      <c r="EK186" s="485" t="str">
        <f t="shared" si="446"/>
        <v/>
      </c>
      <c r="EL186" s="252" t="str">
        <f t="shared" si="479"/>
        <v/>
      </c>
      <c r="EM186" s="252" t="str">
        <f t="shared" si="480"/>
        <v/>
      </c>
      <c r="EN186" s="252" t="str">
        <f t="shared" si="481"/>
        <v/>
      </c>
      <c r="EO186" s="252" t="str">
        <f t="shared" si="482"/>
        <v/>
      </c>
      <c r="EP186" s="252" t="str">
        <f t="shared" si="483"/>
        <v/>
      </c>
      <c r="EQ186" s="252" t="str">
        <f t="shared" si="484"/>
        <v/>
      </c>
      <c r="ER186" s="252" t="str">
        <f t="shared" si="485"/>
        <v/>
      </c>
      <c r="ES186" s="252" t="str">
        <f t="shared" si="486"/>
        <v/>
      </c>
      <c r="ET186" s="252" t="str">
        <f t="shared" si="487"/>
        <v/>
      </c>
      <c r="EU186" s="252" t="str">
        <f t="shared" si="488"/>
        <v/>
      </c>
      <c r="EV186" s="252" t="str">
        <f t="shared" si="489"/>
        <v/>
      </c>
      <c r="EW186" s="252" t="str">
        <f t="shared" si="490"/>
        <v/>
      </c>
      <c r="EX186" s="252" t="str">
        <f t="shared" si="491"/>
        <v/>
      </c>
      <c r="EY186" s="252" t="str">
        <f t="shared" si="492"/>
        <v/>
      </c>
      <c r="EZ186" s="252" t="str">
        <f t="shared" si="493"/>
        <v/>
      </c>
      <c r="FA186" s="252" t="str">
        <f t="shared" si="494"/>
        <v/>
      </c>
      <c r="FB186" s="252" t="str">
        <f t="shared" si="495"/>
        <v/>
      </c>
      <c r="FC186" s="252" t="str">
        <f>IF(CD186="ERROR", "ERROR", IF(OR(V186="No Change", V186="Not DLC or Energy Star"), "", IF(AND(OR($FC$6=Y186,Y186='Lookup Tables'!$AD$21, Y186='Lookup Tables'!$AD$22),E186="Interior"), S186, "")))</f>
        <v/>
      </c>
      <c r="FD186" s="252" t="str">
        <f t="shared" si="496"/>
        <v/>
      </c>
      <c r="FE186" s="1"/>
      <c r="FF186" s="579" t="str" cm="1">
        <f t="array" ref="FF186">IFERROR(IF(OR(BQ186&lt;=0,AQ186&lt;20,AND(V186="Exit Signs",AN186&gt;0)),"",IF(AND(AQ186&gt;=20,AN186='Lookup Tables'!$R$101),'Lookup Tables'!$U$101*BQ186,AP186*LOOKUP(2,1/((AN186='Lookup Tables'!$R$91:$R$111)*(AQ186&gt;='Lookup Tables'!$S$91:$S$111)*(AQ186&lt;='Lookup Tables'!$T$91:$T$111)),'Lookup Tables'!$U$91:$U$111))),"")</f>
        <v/>
      </c>
      <c r="FG186" s="579"/>
      <c r="FH186" s="579"/>
      <c r="FI186" s="253" t="str">
        <f>IFERROR(ROUND(IF(CD186="ERROR", "ERROR", IF(AND($FI$7=X186,E186="Interior"),VLOOKUP(W186, 'Lookup Tables'!$AI$6:$AM$102, 5, FALSE)*BP186, "")), 2), "")</f>
        <v/>
      </c>
      <c r="FJ186" s="253" t="str">
        <f>IFERROR(ROUND(IF(CD186="ERROR", "ERROR", IF(AND($FI$7=X186,E186="Exterior"),VLOOKUP(W186, 'Lookup Tables'!$AI$6:$AM$102, 5, FALSE)*BP186, "")), 2), "")</f>
        <v/>
      </c>
      <c r="FK186" s="253" t="str">
        <f>IFERROR(ROUND(IF(CD186="ERROR", "ERROR", IF(AND($FK$7=X186,E186="Interior"),VLOOKUP(W186, 'Lookup Tables'!$AI$6:$AM$102, 5, FALSE)*BP186, "")), 2), "")</f>
        <v/>
      </c>
      <c r="FL186" s="253" t="str">
        <f>IFERROR(ROUND(IF(CD186="ERROR", "ERROR", IF(AND($FK$7=X186,E186="Exterior"),VLOOKUP(W186, 'Lookup Tables'!$AI$6:$AM$102, 5, FALSE)*BP186, "")), 2), "")</f>
        <v/>
      </c>
      <c r="FM186" s="253" t="str">
        <f>IFERROR(ROUND(IF(CD186="ERROR", "ERROR", IF(AND($FM$6=Y186,E186="Interior"), IF(GB186=0, VLOOKUP(W186, 'Lookup Tables'!$AI$6:$AM$102, 5, FALSE)*BP186, IF(VLOOKUP(W186, 'Lookup Tables'!$AI$6:$AM$102, 5, FALSE)*BP186&gt;GB186*'Lighting Inventory'!S186, GB186*'Lighting Inventory'!S186,VLOOKUP(W186, 'Lookup Tables'!$AI$6:$AM$102, 5, FALSE)*BP186)), "")), 2), "")</f>
        <v/>
      </c>
      <c r="FN186" s="253" t="str">
        <f>IFERROR(ROUND(IF(CD186="ERROR", "ERROR", IF(AND($FM$6=Y186,E186="Exterior"), IF(GB186=0, VLOOKUP(W186, 'Lookup Tables'!$AI$6:$AM$102, 5, FALSE)*BP186, IF(VLOOKUP(W186, 'Lookup Tables'!$AI$6:$AM$102, 5, FALSE)*BP186&gt;GB186*'Lighting Inventory'!S186, GB186*'Lighting Inventory'!S186,VLOOKUP(W186, 'Lookup Tables'!$AI$6:$AM$102, 5, FALSE)*BP186)), "")), 2), "")</f>
        <v/>
      </c>
      <c r="FO186" s="253" t="str">
        <f>IFERROR(ROUND(IF(CD186="ERROR", "ERROR", IF(AND($FO$6=Y186,E186="Interior"),VLOOKUP(W186, 'Lookup Tables'!$AI$6:$AM$102, 5, FALSE)*'Lighting Inventory'!AI186, "")), 2), "")</f>
        <v/>
      </c>
      <c r="FP186" s="253" t="str">
        <f>IFERROR(ROUND(IF(CD186="ERROR", "ERROR", IF(AND($FO$6=Y186,E186="Exterior"),VLOOKUP(W186, 'Lookup Tables'!$AI$6:$AM$102, 5, FALSE)*'Lighting Inventory'!AI186, "")), 2), "")</f>
        <v/>
      </c>
      <c r="FQ186" s="253" t="str">
        <f>IFERROR(ROUND(IF(CD186="ERROR", "ERROR", IF(AND($FQ$6=Y186,E186="Interior", BU186="Y"), VLOOKUP('Lighting Inventory'!W186, 'Lookup Tables'!$AI$6:$AM$102, 5, FALSE)*'Lighting Inventory'!S186, IF(AND($FQ$7=Y186,E186="Interior", BU186="N"), 0.025*CD186, ""))), 2), "")</f>
        <v/>
      </c>
      <c r="FR186" s="253" t="str">
        <f>IFERROR(ROUND(IF(CD186="ERROR", "ERROR", IF(AND($FQ$6=Y186,E186="Exterior"), VLOOKUP('Lighting Inventory'!W186, 'Lookup Tables'!$AI$6:$AM$102, 5, FALSE)*'Lighting Inventory'!S186, "")), 2), "")</f>
        <v/>
      </c>
      <c r="FS186" s="253" t="str">
        <f>IFERROR(ROUND(IF(CD186="ERROR", "ERROR", IF(AND($FS$6=Y186,E186="Exterior"), IF(GB186=0, VLOOKUP(W186, 'Lookup Tables'!$AI$6:$AM$102, 5, FALSE)*BP186, IF(VLOOKUP(W186, 'Lookup Tables'!$AI$6:$AM$102, 5, FALSE)*BP186&gt;GB186*'Lighting Inventory'!S186, GB186*'Lighting Inventory'!S186,VLOOKUP(W186, 'Lookup Tables'!$AI$6:$AM$102, 5, FALSE)*BP186)), "")), 2), "")</f>
        <v/>
      </c>
      <c r="FT186" s="253" t="str">
        <f>IFERROR(ROUND(IF(CD186="ERROR", "ERROR", IF(AND($FT$6=Y186,E186="Interior"), IF(GB186=0, VLOOKUP(W186, 'Lookup Tables'!$AI$6:$AM$102, 5, FALSE)*BP186, IF(VLOOKUP(W186, 'Lookup Tables'!$AI$6:$AM$102, 5, FALSE)*BP186&gt;GB186*'Lighting Inventory'!S186, GB186*'Lighting Inventory'!S186,VLOOKUP(W186, 'Lookup Tables'!$AI$6:$AM$102, 5, FALSE)*BP186)), "")), 2), "")</f>
        <v/>
      </c>
      <c r="FU186" s="253" t="str">
        <f>IFERROR(ROUND(IF(CD186="ERROR", "ERROR", IF(AND(Y186=$FU$6, E186="Interior"), IF(BS186="N", 'Lookup Tables'!$AM$101*BP186, VLOOKUP(W186, 'Lookup Tables'!$AI$6:$AM$102, 5, FALSE)*S186*AD186), "")), 2), "")</f>
        <v/>
      </c>
      <c r="FV186" s="253" t="str">
        <f>IFERROR(ROUND(IF(CD186="ERROR", "ERROR", IF(AND(Y186=$FU$6, E186="Exterior"), IF(BS186="N", 'Lookup Tables'!$AM$101*BP186, VLOOKUP(W186, 'Lookup Tables'!$AI$6:$AM$102, 5, FALSE)*S186*AD186), "")), 2), "")</f>
        <v/>
      </c>
      <c r="FW186" s="253" t="str">
        <f>IFERROR(ROUND(IF(CD186="ERROR", "ERROR", IF($FW$6=Y186, IF(BS186="N", 'Lookup Tables'!$AM$101*BP186, MIN((VLOOKUP(W186, 'Lookup Tables'!$AI$6:$AM$102, 5, FALSE)*BP186),GB186*AJ186)), "")), 2), "")</f>
        <v/>
      </c>
      <c r="FX186" s="253" t="str">
        <f>IFERROR(ROUND(IF(CD186="ERROR", "ERROR", IF(AND($FX$6=Y186, E186="Interior"), IF(VLOOKUP(W186, 'Lookup Tables'!$AI$6:$AM$102, 5, FALSE)*BP186&gt;'Lookup Tables'!$AQ$97*'Lighting Inventory'!S186,'Lighting Inventory'!S186*'Lookup Tables'!$AQ$97,VLOOKUP(W186, 'Lookup Tables'!$AI$6:$AM$102, 5, FALSE)*BP186), "")), 2), "")</f>
        <v/>
      </c>
      <c r="FY186" s="253" t="str">
        <f>IFERROR(ROUND(IF(CD186="ERROR", "ERROR", IF(AND($FX$6=Y186, E186="Exterior"), IF(VLOOKUP(W186, 'Lookup Tables'!$AI$6:$AM$102, 5, FALSE)*BP186&gt;'Lookup Tables'!$AQ$97*'Lighting Inventory'!S186,'Lighting Inventory'!S186*'Lookup Tables'!$AQ$97,VLOOKUP(W186, 'Lookup Tables'!$AI$6:$AM$102, 5, FALSE)*BP186), "")), 2), "")</f>
        <v/>
      </c>
      <c r="FZ186" s="253" t="str">
        <f>IFERROR(ROUND(IF(CD186="ERROR", "ERROR", IF(AND($FZ$6=Y186, E186="Interior"), IF(AND(OR(W186="Refrigerated Case Lighting with Doors", W186="Freezer Case Lighting"),Y186="Custom - Process Improvement"),CD186*'Lookup Tables'!$AM$101, IF(B186="Retrofit", IF(VLOOKUP(IF(V186="Custom", V186, W186), 'Lookup Tables'!$AI$6:$AM$102, 5, FALSE)*BP186&gt;GE186, GE186, VLOOKUP(IF(V186="Custom", V186, W186), 'Lookup Tables'!$AI$6:$AM$102, 5, FALSE)*BP186), IF(VLOOKUP(IF(V186="Custom", V186, W186), 'Lookup Tables'!$AI$114:$AM$154, 5, FALSE)*BP186&gt;GE186, GE186, VLOOKUP(IF(V186="Custom", V186, W186), 'Lookup Tables'!$AI$114:$AM$154, 5, FALSE)*BP186))), "")), 2),"")</f>
        <v/>
      </c>
      <c r="GA186" s="253" t="str">
        <f>IFERROR(ROUND(IF(CD186="ERROR", "ERROR", IF(AND($FZ$6=Y186, E186="Exterior"), IF(B186="Retrofit", IF(VLOOKUP(IF(V186="Custom", V186, W186), 'Lookup Tables'!$AI$6:$AM$102, 5, FALSE)*BP186&gt;GE186, GE186, VLOOKUP(IF(V186="Custom", V186, W186), 'Lookup Tables'!$AI$6:$AM$102, 5, FALSE)*BP186), IF(VLOOKUP(IF(V186="Custom", V186, W186), 'Lookup Tables'!$AI$114:$AM$154, 5, FALSE)*BP186&gt;GE186, GE186, VLOOKUP(IF(V186="Custom", V186, W186), 'Lookup Tables'!$AI$114:$AM$154, 5, FALSE)*BP186)), "")), 2),"")</f>
        <v/>
      </c>
      <c r="GB186" s="254" t="str">
        <f t="array" ref="GB186">IF(B186="","",IF(OR(V186="Custom",V186="No Change"),0,IF(B186="Retrofit", INDEX('Lookup Tables'!$AH$6:$AQ$102,MATCH(1,('Lookup Tables'!$AH$6:$AH$102='Lighting Inventory'!V186)*('Lookup Tables'!$AI$6:$AI$102='Lighting Inventory'!W186),FALSE),10),INDEX('Lookup Tables'!$AH$114:$AQ$154,MATCH(1,('Lookup Tables'!$AH$114:$AH$154='Lighting Inventory'!V186)*('Lookup Tables'!$AI$114:$AI$154='Lighting Inventory'!W186),FALSE),10))))</f>
        <v/>
      </c>
      <c r="GC186" s="255" t="str">
        <f t="shared" si="447"/>
        <v/>
      </c>
      <c r="GD186" s="250" t="str">
        <f t="shared" si="448"/>
        <v/>
      </c>
      <c r="GE186" s="253" t="str">
        <f>IFERROR(IF(AND(AF186="", 'General Information'!$F$18="No"),"", IF(AF186="", ((GD186/$CD$266)*$CF$266)*0.5, AF186*S186*0.5)), "")</f>
        <v/>
      </c>
      <c r="GF186" s="255" t="str">
        <f>IF(AND('General Information'!$F$19="", 'General Information'!$F$18="Yes",AF186="",BW186="Y"), "Y", "N")</f>
        <v>N</v>
      </c>
      <c r="GG186" s="255" t="s">
        <v>2946</v>
      </c>
      <c r="GH186" s="255" t="str">
        <f>IFERROR(IF(B186="", "", VLOOKUP(J186, 'Fixture Identities'!$A$6:$N$908, 14, FALSE)), "")</f>
        <v/>
      </c>
      <c r="GI186" s="389" t="str">
        <f>IF(OR(B186="", V186="", W186=""), "", IF(AND(OR(M186='Lookup Tables'!$R$18, M186='Lookup Tables'!$R$19, M186='Lookup Tables'!$R$20, M186='Lookup Tables'!$R$21, M186='Lookup Tables'!$R$22), OR(AN186='Lookup Tables'!$R$17, AN186='Lookup Tables'!$R$17, AN186="")), "Y", "N"))</f>
        <v/>
      </c>
      <c r="GJ186" s="255" t="str">
        <f t="shared" si="449"/>
        <v/>
      </c>
      <c r="GK186" s="255" t="str">
        <f t="shared" si="450"/>
        <v/>
      </c>
      <c r="GL186" s="255" t="str">
        <f t="shared" si="451"/>
        <v/>
      </c>
      <c r="GM186" s="255" t="str">
        <f>IF(AN186="", "", IF(AND(IF(ISNA(VLOOKUP(AN186,'Lookup Tables'!$R$18:$R$22,1,FALSE)), "N", "Y")="Y", E186="Exterior"), "Y", "N"))</f>
        <v/>
      </c>
      <c r="GN186" s="395"/>
      <c r="GO186" s="428">
        <f t="shared" si="497"/>
        <v>0</v>
      </c>
      <c r="GP186" s="428">
        <f t="shared" si="500"/>
        <v>0</v>
      </c>
      <c r="GQ186" s="428">
        <f t="shared" si="498"/>
        <v>0</v>
      </c>
      <c r="GR186" s="428">
        <f t="shared" si="499"/>
        <v>0</v>
      </c>
    </row>
    <row r="187" spans="1:200" s="103" customFormat="1" ht="13.5" customHeight="1" x14ac:dyDescent="0.2">
      <c r="A187" s="272">
        <v>177</v>
      </c>
      <c r="B187" s="110"/>
      <c r="C187" s="110"/>
      <c r="D187" s="110"/>
      <c r="E187" s="110"/>
      <c r="F187" s="110"/>
      <c r="G187" s="110"/>
      <c r="H187" s="110"/>
      <c r="I187" s="29"/>
      <c r="J187" s="29"/>
      <c r="K187" s="272" t="str">
        <f>IFERROR(IF(OR(VLOOKUP(J187, 'Fixture Identities'!$A$6:$L$1023, 3, FALSE)="T12 Linear Fluorescent", VLOOKUP(J187, 'Fixture Identities'!$A$6:$L$1023, 3, FALSE)="T12 U-Tube Fluorescent"), VLOOKUP(VLOOKUP(J187, 'Fixture Identities'!$A$6:$L$1023, 11, FALSE), 'Fixture Identities'!$A$6:$L$1023, 10, FALSE), VLOOKUP(J187, 'Fixture Identities'!$A$6:$L$1023, 10, FALSE)), "")</f>
        <v/>
      </c>
      <c r="L187" s="270" t="str">
        <f t="shared" si="502"/>
        <v/>
      </c>
      <c r="M187" s="110"/>
      <c r="N187" s="110"/>
      <c r="O187" s="110"/>
      <c r="P187" s="272" t="str">
        <f>IFERROR(IF(OR(B187="Retrofit",B187=""),"",IF('Lighting Inventory'!E187="Exterior",VLOOKUP('Lighting Inventory'!N187,'Lookup Tables'!$B$83:$F$103,5,FALSE),IF(N187="Other - Please Estimate EFLH and CFs","Contact Prog. Rep.","ft^2"))), "")</f>
        <v/>
      </c>
      <c r="Q187" s="270" t="str">
        <f>IFERROR(IF(AND(B187="New Construction",E187="Interior",$F$5="Space-by-Space"),VLOOKUP('Lighting Inventory'!N187,'Lookup Tables'!$N$6:$O$97,2,FALSE),IF(AND(B187="New Construction",E187="Exterior"),VLOOKUP(N187,'Lookup Tables'!$B$83:$F$103,2,FALSE),IF(AND(B187="New Construction",'Lighting Inventory'!E187="Interior", $F$5="Building Area"),VLOOKUP(F187,'Lookup Tables'!$A$6:$J$59,10,FALSE),""))), "")</f>
        <v/>
      </c>
      <c r="R187" s="270" t="str">
        <f>IFERROR(IF(P187="Contact Prog. Rep.", "ERROR", IF(OR(B187="",B187="Retrofit"),"",IF(N187="Automated teller machines", ('Lookup Tables'!$A$82:$E$100+('Lighting Inventory'!O187-1)*'Lookup Tables'!$A$82:$E$100)/1000, (Q187*O187)/1000))), "")</f>
        <v/>
      </c>
      <c r="S187" s="595"/>
      <c r="T187" s="105" t="str">
        <f t="shared" si="452"/>
        <v/>
      </c>
      <c r="U187" s="105" t="str">
        <f>IF(S187="","",COUNT($S$11:S187))</f>
        <v/>
      </c>
      <c r="V187" s="111"/>
      <c r="W187" s="112"/>
      <c r="X187" s="105" t="str">
        <f t="shared" si="453"/>
        <v/>
      </c>
      <c r="Y187" s="105" t="str">
        <f t="array" ref="Y187">IF(AND(OR(W187="Freezer Case Lighting", W187="Refrigerated Case Lighting with Doors"), 'General Information'!$X$18="LCI"),'Lookup Tables'!$Y$34, IF(V187="Custom", VLOOKUP(W187, 'Fixture Identities'!$A$974:$M$1023, 13, FALSE), IF(V187="No Change",'Lookup Tables'!$Y$29,IF(OR(V187="",W187=""),"",IF(AND(S187=0,S187&lt;I187,B187="Retrofit"),'Lookup Tables'!$Y$25, IF(B187="Retrofit", INDEX('Lookup Tables'!$AH$6:$AP$102, MATCH(1, ('Lookup Tables'!$AH$6:$AH$102=V187)*('Lookup Tables'!$AI$6:$AI$102=W187), 0), IF('Lighting Inventory'!E187="Interior", 4, 5)), INDEX('Lookup Tables'!$AH$114:$AP$154, MATCH(1, ('Lookup Tables'!$AH$114:$AH$154=V187)*('Lookup Tables'!$AI$114:$AI$154=W187), 0), IF('Lighting Inventory'!E187="Interior", 4, 5))))))))</f>
        <v/>
      </c>
      <c r="Z187" s="105" t="str">
        <f>IFERROR(INDEX('Lookup Tables'!$AH$158:$AH$172,MATCH('Lighting Inventory'!Y187,'Lookup Tables'!$AI$158:$AI$172,0)),"")</f>
        <v/>
      </c>
      <c r="AA187" s="105" t="str">
        <f>IF(AP187&gt;0,INDEX('Lookup Tables'!$AK$158:$AK$172,MATCH('Lighting Inventory'!Y187,'Lookup Tables'!$AI$158:$AI$172,0)),'Lighting Inventory'!Y187)</f>
        <v/>
      </c>
      <c r="AB187" s="105" t="str">
        <f t="array" ref="AB187">IF(V187="Custom", "Custom", IF(V187="", "", IF(V187="Not DLC or Energy Star", "General", IF(B187="New Construction", INDEX('Lookup Tables'!$AH$114:$AP$154,MATCH(1,('Lookup Tables'!$AH$114:$AH$154='Lighting Inventory'!V187)*('Lookup Tables'!$AI$114:$AI$154='Lighting Inventory'!W187),FALSE),8), INDEX('Lookup Tables'!$AH$6:$AP$102,MATCH(1,('Lookup Tables'!$AH$6:$AH$102='Lighting Inventory'!V187)*('Lookup Tables'!$AI$6:$AI$102='Lighting Inventory'!W187),FALSE),8)))))</f>
        <v/>
      </c>
      <c r="AC187" s="272" t="str">
        <f>IF(W187="","",IF(V187="Custom",CONCATENATE("$",'Lookup Tables'!$AM$101," ",'Lookup Tables'!$AN$101),CONCATENATE("$",INDEX('Lookup Tables'!$AM$6:$AM$102,MATCH('Lighting Inventory'!W187,'Lookup Tables'!$AI$6:$AI$102,0))," ",INDEX('Lookup Tables'!$AN$6:$AN$102,MATCH('Lighting Inventory'!W187,'Lookup Tables'!$AI$6:$AI$102,0)))))</f>
        <v/>
      </c>
      <c r="AD187" s="72"/>
      <c r="AE187" s="29"/>
      <c r="AF187" s="379"/>
      <c r="AG187" s="370" t="str">
        <f t="shared" si="401"/>
        <v/>
      </c>
      <c r="AH187" s="370" t="str">
        <f t="shared" si="454"/>
        <v/>
      </c>
      <c r="AI187" s="29"/>
      <c r="AJ187" s="29"/>
      <c r="AK187" s="110"/>
      <c r="AL187" s="375" t="str">
        <f>IF(OR(B187="", V187="", W187=""), "", IF(V187="No Change", K187, IF(V187="Remove Fixture", 0, IF(V187="Custom",VLOOKUP(W187,'Fixture Identities'!$A$6:$K$1023,10,FALSE),IF(AE187="", "← ENTER POST WATTS", 'Lighting Inventory'!AE187)))))</f>
        <v/>
      </c>
      <c r="AM187" s="376" t="str">
        <f t="shared" si="402"/>
        <v/>
      </c>
      <c r="AN187" s="29"/>
      <c r="AO187" s="671"/>
      <c r="AP187" s="29"/>
      <c r="AQ187" s="29"/>
      <c r="AR187" s="29"/>
      <c r="AS187" s="272" t="str">
        <f t="shared" si="455"/>
        <v/>
      </c>
      <c r="AT187" s="270" t="str">
        <f t="shared" si="403"/>
        <v/>
      </c>
      <c r="AU187" s="88" t="str">
        <f t="shared" si="503"/>
        <v/>
      </c>
      <c r="AV187" s="29"/>
      <c r="AW187" s="73"/>
      <c r="AX187" s="271" t="str">
        <f>IF(AND(AV187="Applicant",OR(AW187="", AW187="Use Default Facility Hours")),"← Choose Schedule",IF(F187="","",IF(W187="LED Exit Signs",8760,IF(OR(AV187="Prescribed",AV187=""),VLOOKUP(F187,'Lookup Tables'!$A$6:$G$59,IF(AB187="General", 6, 3),FALSE),VLOOKUP(AW187,'Lookup Tables'!$S$36:$U$43,2,FALSE)))))</f>
        <v/>
      </c>
      <c r="AY187" s="88" t="str">
        <f t="shared" si="404"/>
        <v/>
      </c>
      <c r="AZ187" s="270" t="str">
        <f>IFERROR(IF(F187="", "", IF(W187="LED Exit Signs", 1, IF(AV187="Applicant",VLOOKUP(AW187, 'Lookup Tables'!$S$36:$U$43,3, FALSE), VLOOKUP('Lighting Inventory'!F187, 'Lookup Tables'!$A$6:$H$59, IF('Lighting Inventory'!AB187="General",7,4), FALSE)))), "")</f>
        <v/>
      </c>
      <c r="BA187" s="522" t="str">
        <f>IFERROR(IF(F187="", "", IF(W187="LED Exit Signs", 1, VLOOKUP('Lighting Inventory'!F187, 'Lookup Tables'!$A$6:$H$59, IF('Lighting Inventory'!AB187="General",8,5), FALSE))), "")</f>
        <v/>
      </c>
      <c r="BB187" s="270" t="str">
        <f>IF(G187="", "", IF(E187="Exterior", 0, IF('Lighting Inventory'!G187="Air Conditioned", VLOOKUP(H187, 'Lookup Tables'!$R$6:$T$13, 2, FALSE), VLOOKUP('Lighting Inventory'!G187, 'Lookup Tables'!$R$6:$T$13, 2, FALSE))))</f>
        <v/>
      </c>
      <c r="BC187" s="522" t="str">
        <f>IF(G187="", "", IF(E187="Exterior", 0, IF('Lighting Inventory'!G187="Air Conditioned", VLOOKUP(H187, 'Lookup Tables'!$R$6:$T$13, 3, FALSE), VLOOKUP('Lighting Inventory'!G187, 'Lookup Tables'!$R$6:$T$13, 3, FALSE))))</f>
        <v/>
      </c>
      <c r="BD187" s="270" t="str">
        <f>IF(G187="", "", IF(E187="Exterior", 0, IF('Lighting Inventory'!G187="Air Conditioned", VLOOKUP(H187, 'Lookup Tables'!$R$6:$U$13, 4, FALSE), VLOOKUP('Lighting Inventory'!G187, 'Lookup Tables'!$R$6:$U$13, 4, FALSE))))</f>
        <v/>
      </c>
      <c r="BE187" s="270" t="str">
        <f>IFERROR(IF(B187="", "",  IF(B187="New Construction", VLOOKUP(F187, 'Lookup Tables'!$A$6:$K$59, 11, FALSE),IF(OR(AN187="", AN187="Light Switch"), 0, IF(OR(M187="",M187="None",V187= "LED Exit Signs"),0,_xlfn.XLOOKUP(M187,'Lookup Tables'!$R$91:$R$101,'Lookup Tables'!$V$91:$V$101))))), "")</f>
        <v/>
      </c>
      <c r="BF187" s="270" t="str">
        <f>IF(AND(OR(AN187="Light Switch",AN187=""),B187="New Construction"), VLOOKUP(F187, 'Lookup Tables'!$A$6:$K$59, 11, FALSE),IF(AN187="","",IF(B187="","",IF(OR(AN187="None",AN187="",V187="LED Exit Signs",AN187="Exterior Controls Not Eligible"),0,_xlfn.XLOOKUP(AN187,'Lookup Tables'!$R$91:$R$101,'Lookup Tables'!$V$91:$V$101)))))</f>
        <v/>
      </c>
      <c r="BG187" s="88" t="str">
        <f t="shared" si="456"/>
        <v/>
      </c>
      <c r="BH187" s="88" t="str">
        <f t="shared" si="457"/>
        <v/>
      </c>
      <c r="BI187" s="558" t="str">
        <f t="shared" si="501"/>
        <v/>
      </c>
      <c r="BJ187" s="82" t="str">
        <f t="shared" si="458"/>
        <v/>
      </c>
      <c r="BK187" s="82" t="str">
        <f t="shared" si="459"/>
        <v/>
      </c>
      <c r="BL187" s="559" t="str">
        <f t="shared" si="460"/>
        <v/>
      </c>
      <c r="BM187" s="521" t="str">
        <f t="shared" si="405"/>
        <v/>
      </c>
      <c r="BN187" s="521" t="str">
        <f t="shared" si="406"/>
        <v/>
      </c>
      <c r="BO187" s="522" t="str">
        <f t="shared" si="407"/>
        <v/>
      </c>
      <c r="BP187" s="83" t="str">
        <f t="shared" si="461"/>
        <v/>
      </c>
      <c r="BQ187" s="84" t="str">
        <f t="shared" si="462"/>
        <v/>
      </c>
      <c r="BR187" s="184" t="str">
        <f>IFERROR(IF(B187="", "", IF(OR(VLOOKUP(J187, 'Fixture Identities'!$A$6:$L$1023, 3, FALSE)="T12 Linear Fluorescent",VLOOKUP(J187, 'Fixture Identities'!$A$6:$L$1023, 3, FALSE)="T12 U-Tube Fluorescent"), "Y", "N")), "N")</f>
        <v/>
      </c>
      <c r="BS187" s="184" t="str">
        <f t="array" ref="BS187">IFERROR(IF(OR(B187="", V187="", W187=""), "", IF(V187="Custom", "N", IF(OR(W187="Freezer Case Lighting", W187="Refrigerated Case Lighting with Doors"), BT187, IF(B187="Retrofit", INDEX('Lookup Tables'!$AH$6:$AT$102,MATCH(1,('Lookup Tables'!$AH$6:$AH$102=V187)*('Lookup Tables'!$AI$6:$AI$102=W187),FALSE),IF(VLOOKUP(J187, 'Fixture Identities'!$A$6:$B$1023, 2, FALSE)="Incandescent",12, 13)), INDEX('Lookup Tables'!$AH$114:$AS$154,MATCH(1,('Lookup Tables'!$AH$114:$AH$154=V187)*('Lookup Tables'!$AI$114:$AI$154=W187),FALSE),12))))), "N")</f>
        <v/>
      </c>
      <c r="BT187" s="184" t="str">
        <f>IF(J187="", "", IF(AND(OR(W187="Freezer case Lighting", W187="Refrigerated Case Lighting with Doors"),'General Information'!$X$18="LCI"), "N", IF(OR(VLOOKUP(J187, 'Fixture Identities'!$A$6:$B$1023, 2, FALSE)="T12 EPACT/EISA Baseline", VLOOKUP(J187, 'Fixture Identities'!$A$6:$B$1023, 2, FALSE)="Linear Fluorescent", VLOOKUP(J187, 'Fixture Identities'!$A$6:$B$1023, 2, FALSE)="U-Tube Fluorescent"), "Y", "N")))</f>
        <v/>
      </c>
      <c r="BU187" s="184" t="str">
        <f>IFERROR(IF(B187="", "", IF(VLOOKUP(J187, 'Fixture Identities'!$A$6:$B$1023, 2, FALSE)="Exit Sign", "Y", "N")), "N")</f>
        <v/>
      </c>
      <c r="BV187" s="184" t="str">
        <f>IF(V187="Exit Signs", IF(VLOOKUP(J187, 'Fixture Identities'!$A$6:$B$1023, 2, FALSE)="Exit Sign", "N", "Y"), "")</f>
        <v/>
      </c>
      <c r="BW187" s="184" t="str">
        <f t="array" ref="BW187">IFERROR(IF(B187="", "", IF(B187="New Construction", "N", INDEX('Lookup Tables'!$AH$6:$AU$102, MATCH(1, ('Lookup Tables'!$AH$6:$AH$102='Lighting Inventory'!V187)*('Lookup Tables'!$AI$6:$AI$102='Lighting Inventory'!W187), 0), 14))), "N")</f>
        <v/>
      </c>
      <c r="BX187" s="598" t="str">
        <f t="shared" si="463"/>
        <v/>
      </c>
      <c r="BY187" s="598" t="str">
        <f t="shared" si="464"/>
        <v/>
      </c>
      <c r="BZ187" s="598" t="str">
        <f t="shared" si="465"/>
        <v/>
      </c>
      <c r="CA187" s="598" t="str">
        <f t="shared" si="466"/>
        <v/>
      </c>
      <c r="CB187" s="269" t="str">
        <f t="shared" si="467"/>
        <v/>
      </c>
      <c r="CC187" s="517" t="str">
        <f t="shared" si="468"/>
        <v/>
      </c>
      <c r="CD187" s="565" t="str">
        <f t="shared" si="408"/>
        <v/>
      </c>
      <c r="CE187" s="368">
        <v>0</v>
      </c>
      <c r="CF187" s="368" t="str" cm="1">
        <f t="array" ref="CF187">IFERROR(IF(V187="Custom", "$0.1 per kWh", IF(B187="New Construction", CONCATENATE("$",INDEX('Lookup Tables'!$AH$114:$AN$154,MATCH(1,('Lookup Tables'!$AH$114:$AH$154='Lighting Inventory'!V187)*('Lookup Tables'!$AI$114:$AI$154='Lighting Inventory'!W187),FALSE),6)," ",INDEX('Lookup Tables'!$AH$114:$AN$154,MATCH(1,('Lookup Tables'!$AH$114:$AH$154='Lighting Inventory'!V187)*('Lookup Tables'!$AI$114:$AI$154='Lighting Inventory'!W187),FALSE),7)), IF(AND(BU187="N", V187="Exit Signs"), "$0.025 per kWh", CONCATENATE("$",INDEX('Lookup Tables'!$AH$6:$AN$102,MATCH(1,('Lookup Tables'!$AH$6:$AH$102='Lighting Inventory'!V187)*('Lookup Tables'!$AI$6:$AI$102='Lighting Inventory'!W187),FALSE),6)," ",INDEX('Lookup Tables'!$AH$6:$AN$102,MATCH(1,('Lookup Tables'!$AH$6:$AH$102='Lighting Inventory'!V187)*('Lookup Tables'!$AI$6:$AI$102='Lighting Inventory'!W187),FALSE),7))))), "")</f>
        <v/>
      </c>
      <c r="CG187" s="366"/>
      <c r="CH187" s="248" t="str">
        <f t="shared" si="409"/>
        <v/>
      </c>
      <c r="CI187" s="248" t="str">
        <f t="shared" si="410"/>
        <v>Select_IE</v>
      </c>
      <c r="CJ187" s="248" t="str">
        <f t="shared" si="411"/>
        <v/>
      </c>
      <c r="CK187" s="248" t="str">
        <f t="shared" si="412"/>
        <v/>
      </c>
      <c r="CL187" s="248" t="str">
        <f t="shared" si="413"/>
        <v/>
      </c>
      <c r="CM187" s="248" t="str">
        <f>IFERROR(IF(B187="", "", IF(B187="New Construction", VLOOKUP(V187, 'Lookup Tables'!$AF$114:$AG$120, 2, FALSE), VLOOKUP(V187, 'Lookup Tables'!$AD$6:$AE$25, 2, FALSE))), "")</f>
        <v/>
      </c>
      <c r="CN187" s="248" t="str">
        <f t="shared" si="414"/>
        <v/>
      </c>
      <c r="CO187" s="248" t="str">
        <f t="shared" si="415"/>
        <v/>
      </c>
      <c r="CP187" s="592" t="str">
        <f t="shared" si="416"/>
        <v/>
      </c>
      <c r="CQ187" s="248" t="str">
        <f t="shared" si="469"/>
        <v/>
      </c>
      <c r="CR187" s="100"/>
      <c r="CS187" s="250" t="str">
        <f t="shared" si="417"/>
        <v/>
      </c>
      <c r="CT187" s="250" t="str">
        <f t="shared" si="470"/>
        <v/>
      </c>
      <c r="CU187" s="250" t="str">
        <f t="shared" si="471"/>
        <v/>
      </c>
      <c r="CV187" s="250" t="str">
        <f t="shared" si="472"/>
        <v/>
      </c>
      <c r="CW187" s="250" t="str">
        <f t="shared" si="473"/>
        <v/>
      </c>
      <c r="CX187" s="250" t="str">
        <f t="shared" si="418"/>
        <v/>
      </c>
      <c r="CY187" s="250" t="str">
        <f t="shared" si="419"/>
        <v/>
      </c>
      <c r="CZ187" s="250" t="str">
        <f t="shared" si="420"/>
        <v/>
      </c>
      <c r="DA187" s="250" t="str">
        <f t="shared" si="421"/>
        <v/>
      </c>
      <c r="DB187" s="250" t="str">
        <f t="shared" si="422"/>
        <v/>
      </c>
      <c r="DC187" s="250" t="str">
        <f t="shared" si="423"/>
        <v/>
      </c>
      <c r="DD187" s="250" t="str">
        <f t="shared" si="424"/>
        <v/>
      </c>
      <c r="DE187" s="250" t="str">
        <f t="shared" si="425"/>
        <v/>
      </c>
      <c r="DF187" s="250" t="str">
        <f t="shared" si="426"/>
        <v/>
      </c>
      <c r="DG187" s="250" t="str">
        <f t="shared" si="427"/>
        <v/>
      </c>
      <c r="DH187" s="250" t="str">
        <f t="shared" si="428"/>
        <v/>
      </c>
      <c r="DI187" s="250" t="str">
        <f t="shared" si="429"/>
        <v/>
      </c>
      <c r="DJ187" s="250" t="str">
        <f t="shared" si="430"/>
        <v/>
      </c>
      <c r="DK187" s="250" t="str">
        <f t="shared" si="431"/>
        <v/>
      </c>
      <c r="DL187" s="250" t="str">
        <f t="shared" si="432"/>
        <v/>
      </c>
      <c r="DM187" s="250" t="str">
        <f>IF(CD187="ERROR", "ERROR", IF(AND(OR(Y187=$DM$6, Y187='Lookup Tables'!$AD$21, Y187='Lookup Tables'!$AD$22), E187="Interior"), BJ187, ""))</f>
        <v/>
      </c>
      <c r="DN187" s="250" t="str">
        <f>IF(CD187="ERROR", "ERROR", IF(AND(OR(Y187=$DM$6, Y187='Lookup Tables'!$AD$21, Y187='Lookup Tables'!$AD$22), E187="Exterior"), BJ187, ""))</f>
        <v/>
      </c>
      <c r="DO187" s="100"/>
      <c r="DP187" s="250" t="str">
        <f t="shared" si="433"/>
        <v/>
      </c>
      <c r="DQ187" s="250" t="str">
        <f t="shared" si="474"/>
        <v/>
      </c>
      <c r="DR187" s="250" t="str">
        <f t="shared" si="475"/>
        <v/>
      </c>
      <c r="DS187" s="250" t="str">
        <f t="shared" si="476"/>
        <v/>
      </c>
      <c r="DT187" s="250" t="str">
        <f t="shared" si="477"/>
        <v/>
      </c>
      <c r="DU187" s="250" t="str">
        <f t="shared" si="434"/>
        <v/>
      </c>
      <c r="DV187" s="250" t="str">
        <f t="shared" si="435"/>
        <v/>
      </c>
      <c r="DW187" s="250" t="str">
        <f t="shared" si="436"/>
        <v/>
      </c>
      <c r="DX187" s="250" t="str">
        <f t="shared" si="437"/>
        <v/>
      </c>
      <c r="DY187" s="250" t="str">
        <f t="shared" si="438"/>
        <v/>
      </c>
      <c r="DZ187" s="250" t="str">
        <f t="shared" si="439"/>
        <v/>
      </c>
      <c r="EA187" s="250" t="str">
        <f t="shared" si="440"/>
        <v/>
      </c>
      <c r="EB187" s="250" t="str">
        <f t="shared" si="478"/>
        <v/>
      </c>
      <c r="EC187" s="250" t="str">
        <f t="shared" si="441"/>
        <v/>
      </c>
      <c r="ED187" s="250" t="str">
        <f t="shared" si="442"/>
        <v/>
      </c>
      <c r="EE187" s="250" t="str">
        <f t="shared" si="443"/>
        <v/>
      </c>
      <c r="EF187" s="250" t="str">
        <f t="shared" si="444"/>
        <v/>
      </c>
      <c r="EG187" s="250" t="str">
        <f t="shared" si="445"/>
        <v/>
      </c>
      <c r="EH187" s="250" t="str">
        <f>IF(CD187="ERROR", "ERROR", IF(AND(OR($EH$6=Y187, Y187='Lookup Tables'!$AD$21, Y187='Lookup Tables'!$AD$22),E187="Interior"), SUM(BP187:BP187), ""))</f>
        <v/>
      </c>
      <c r="EI187" s="250" t="str">
        <f>IF(CD187="ERROR", "ERROR", IF(AND(OR($EH$6=Y187, Y187='Lookup Tables'!$AD$21, Y187='Lookup Tables'!$AD$22),E187="Exterior"), SUM(BP187:BP187), ""))</f>
        <v/>
      </c>
      <c r="EJ187" s="109"/>
      <c r="EK187" s="485" t="str">
        <f t="shared" si="446"/>
        <v/>
      </c>
      <c r="EL187" s="252" t="str">
        <f t="shared" si="479"/>
        <v/>
      </c>
      <c r="EM187" s="252" t="str">
        <f t="shared" si="480"/>
        <v/>
      </c>
      <c r="EN187" s="252" t="str">
        <f t="shared" si="481"/>
        <v/>
      </c>
      <c r="EO187" s="252" t="str">
        <f t="shared" si="482"/>
        <v/>
      </c>
      <c r="EP187" s="252" t="str">
        <f t="shared" si="483"/>
        <v/>
      </c>
      <c r="EQ187" s="252" t="str">
        <f t="shared" si="484"/>
        <v/>
      </c>
      <c r="ER187" s="252" t="str">
        <f t="shared" si="485"/>
        <v/>
      </c>
      <c r="ES187" s="252" t="str">
        <f t="shared" si="486"/>
        <v/>
      </c>
      <c r="ET187" s="252" t="str">
        <f t="shared" si="487"/>
        <v/>
      </c>
      <c r="EU187" s="252" t="str">
        <f t="shared" si="488"/>
        <v/>
      </c>
      <c r="EV187" s="252" t="str">
        <f t="shared" si="489"/>
        <v/>
      </c>
      <c r="EW187" s="252" t="str">
        <f t="shared" si="490"/>
        <v/>
      </c>
      <c r="EX187" s="252" t="str">
        <f t="shared" si="491"/>
        <v/>
      </c>
      <c r="EY187" s="252" t="str">
        <f t="shared" si="492"/>
        <v/>
      </c>
      <c r="EZ187" s="252" t="str">
        <f t="shared" si="493"/>
        <v/>
      </c>
      <c r="FA187" s="252" t="str">
        <f t="shared" si="494"/>
        <v/>
      </c>
      <c r="FB187" s="252" t="str">
        <f t="shared" si="495"/>
        <v/>
      </c>
      <c r="FC187" s="252" t="str">
        <f>IF(CD187="ERROR", "ERROR", IF(OR(V187="No Change", V187="Not DLC or Energy Star"), "", IF(AND(OR($FC$6=Y187,Y187='Lookup Tables'!$AD$21, Y187='Lookup Tables'!$AD$22),E187="Interior"), S187, "")))</f>
        <v/>
      </c>
      <c r="FD187" s="252" t="str">
        <f t="shared" si="496"/>
        <v/>
      </c>
      <c r="FE187" s="101"/>
      <c r="FF187" s="579" t="str" cm="1">
        <f t="array" ref="FF187">IFERROR(IF(OR(BQ187&lt;=0,AQ187&lt;20,AND(V187="Exit Signs",AN187&gt;0)),"",IF(AND(AQ187&gt;=20,AN187='Lookup Tables'!$R$101),'Lookup Tables'!$U$101*BQ187,AP187*LOOKUP(2,1/((AN187='Lookup Tables'!$R$91:$R$111)*(AQ187&gt;='Lookup Tables'!$S$91:$S$111)*(AQ187&lt;='Lookup Tables'!$T$91:$T$111)),'Lookup Tables'!$U$91:$U$111))),"")</f>
        <v/>
      </c>
      <c r="FG187" s="579"/>
      <c r="FH187" s="579"/>
      <c r="FI187" s="253" t="str">
        <f>IFERROR(ROUND(IF(CD187="ERROR", "ERROR", IF(AND($FI$7=X187,E187="Interior"),VLOOKUP(W187, 'Lookup Tables'!$AI$6:$AM$102, 5, FALSE)*BP187, "")), 2), "")</f>
        <v/>
      </c>
      <c r="FJ187" s="253" t="str">
        <f>IFERROR(ROUND(IF(CD187="ERROR", "ERROR", IF(AND($FI$7=X187,E187="Exterior"),VLOOKUP(W187, 'Lookup Tables'!$AI$6:$AM$102, 5, FALSE)*BP187, "")), 2), "")</f>
        <v/>
      </c>
      <c r="FK187" s="253" t="str">
        <f>IFERROR(ROUND(IF(CD187="ERROR", "ERROR", IF(AND($FK$7=X187,E187="Interior"),VLOOKUP(W187, 'Lookup Tables'!$AI$6:$AM$102, 5, FALSE)*BP187, "")), 2), "")</f>
        <v/>
      </c>
      <c r="FL187" s="253" t="str">
        <f>IFERROR(ROUND(IF(CD187="ERROR", "ERROR", IF(AND($FK$7=X187,E187="Exterior"),VLOOKUP(W187, 'Lookup Tables'!$AI$6:$AM$102, 5, FALSE)*BP187, "")), 2), "")</f>
        <v/>
      </c>
      <c r="FM187" s="253" t="str">
        <f>IFERROR(ROUND(IF(CD187="ERROR", "ERROR", IF(AND($FM$6=Y187,E187="Interior"), IF(GB187=0, VLOOKUP(W187, 'Lookup Tables'!$AI$6:$AM$102, 5, FALSE)*BP187, IF(VLOOKUP(W187, 'Lookup Tables'!$AI$6:$AM$102, 5, FALSE)*BP187&gt;GB187*'Lighting Inventory'!S187, GB187*'Lighting Inventory'!S187,VLOOKUP(W187, 'Lookup Tables'!$AI$6:$AM$102, 5, FALSE)*BP187)), "")), 2), "")</f>
        <v/>
      </c>
      <c r="FN187" s="253" t="str">
        <f>IFERROR(ROUND(IF(CD187="ERROR", "ERROR", IF(AND($FM$6=Y187,E187="Exterior"), IF(GB187=0, VLOOKUP(W187, 'Lookup Tables'!$AI$6:$AM$102, 5, FALSE)*BP187, IF(VLOOKUP(W187, 'Lookup Tables'!$AI$6:$AM$102, 5, FALSE)*BP187&gt;GB187*'Lighting Inventory'!S187, GB187*'Lighting Inventory'!S187,VLOOKUP(W187, 'Lookup Tables'!$AI$6:$AM$102, 5, FALSE)*BP187)), "")), 2), "")</f>
        <v/>
      </c>
      <c r="FO187" s="253" t="str">
        <f>IFERROR(ROUND(IF(CD187="ERROR", "ERROR", IF(AND($FO$6=Y187,E187="Interior"),VLOOKUP(W187, 'Lookup Tables'!$AI$6:$AM$102, 5, FALSE)*'Lighting Inventory'!AI187, "")), 2), "")</f>
        <v/>
      </c>
      <c r="FP187" s="253" t="str">
        <f>IFERROR(ROUND(IF(CD187="ERROR", "ERROR", IF(AND($FO$6=Y187,E187="Exterior"),VLOOKUP(W187, 'Lookup Tables'!$AI$6:$AM$102, 5, FALSE)*'Lighting Inventory'!AI187, "")), 2), "")</f>
        <v/>
      </c>
      <c r="FQ187" s="253" t="str">
        <f>IFERROR(ROUND(IF(CD187="ERROR", "ERROR", IF(AND($FQ$6=Y187,E187="Interior", BU187="Y"), VLOOKUP('Lighting Inventory'!W187, 'Lookup Tables'!$AI$6:$AM$102, 5, FALSE)*'Lighting Inventory'!S187, IF(AND($FQ$7=Y187,E187="Interior", BU187="N"), 0.025*CD187, ""))), 2), "")</f>
        <v/>
      </c>
      <c r="FR187" s="253" t="str">
        <f>IFERROR(ROUND(IF(CD187="ERROR", "ERROR", IF(AND($FQ$6=Y187,E187="Exterior"), VLOOKUP('Lighting Inventory'!W187, 'Lookup Tables'!$AI$6:$AM$102, 5, FALSE)*'Lighting Inventory'!S187, "")), 2), "")</f>
        <v/>
      </c>
      <c r="FS187" s="253" t="str">
        <f>IFERROR(ROUND(IF(CD187="ERROR", "ERROR", IF(AND($FS$6=Y187,E187="Exterior"), IF(GB187=0, VLOOKUP(W187, 'Lookup Tables'!$AI$6:$AM$102, 5, FALSE)*BP187, IF(VLOOKUP(W187, 'Lookup Tables'!$AI$6:$AM$102, 5, FALSE)*BP187&gt;GB187*'Lighting Inventory'!S187, GB187*'Lighting Inventory'!S187,VLOOKUP(W187, 'Lookup Tables'!$AI$6:$AM$102, 5, FALSE)*BP187)), "")), 2), "")</f>
        <v/>
      </c>
      <c r="FT187" s="253" t="str">
        <f>IFERROR(ROUND(IF(CD187="ERROR", "ERROR", IF(AND($FT$6=Y187,E187="Interior"), IF(GB187=0, VLOOKUP(W187, 'Lookup Tables'!$AI$6:$AM$102, 5, FALSE)*BP187, IF(VLOOKUP(W187, 'Lookup Tables'!$AI$6:$AM$102, 5, FALSE)*BP187&gt;GB187*'Lighting Inventory'!S187, GB187*'Lighting Inventory'!S187,VLOOKUP(W187, 'Lookup Tables'!$AI$6:$AM$102, 5, FALSE)*BP187)), "")), 2), "")</f>
        <v/>
      </c>
      <c r="FU187" s="253" t="str">
        <f>IFERROR(ROUND(IF(CD187="ERROR", "ERROR", IF(AND(Y187=$FU$6, E187="Interior"), IF(BS187="N", 'Lookup Tables'!$AM$101*BP187, VLOOKUP(W187, 'Lookup Tables'!$AI$6:$AM$102, 5, FALSE)*S187*AD187), "")), 2), "")</f>
        <v/>
      </c>
      <c r="FV187" s="253" t="str">
        <f>IFERROR(ROUND(IF(CD187="ERROR", "ERROR", IF(AND(Y187=$FU$6, E187="Exterior"), IF(BS187="N", 'Lookup Tables'!$AM$101*BP187, VLOOKUP(W187, 'Lookup Tables'!$AI$6:$AM$102, 5, FALSE)*S187*AD187), "")), 2), "")</f>
        <v/>
      </c>
      <c r="FW187" s="253" t="str">
        <f>IFERROR(ROUND(IF(CD187="ERROR", "ERROR", IF($FW$6=Y187, IF(BS187="N", 'Lookup Tables'!$AM$101*BP187, MIN((VLOOKUP(W187, 'Lookup Tables'!$AI$6:$AM$102, 5, FALSE)*BP187),GB187*AJ187)), "")), 2), "")</f>
        <v/>
      </c>
      <c r="FX187" s="253" t="str">
        <f>IFERROR(ROUND(IF(CD187="ERROR", "ERROR", IF(AND($FX$6=Y187, E187="Interior"), IF(VLOOKUP(W187, 'Lookup Tables'!$AI$6:$AM$102, 5, FALSE)*BP187&gt;'Lookup Tables'!$AQ$97*'Lighting Inventory'!S187,'Lighting Inventory'!S187*'Lookup Tables'!$AQ$97,VLOOKUP(W187, 'Lookup Tables'!$AI$6:$AM$102, 5, FALSE)*BP187), "")), 2), "")</f>
        <v/>
      </c>
      <c r="FY187" s="253" t="str">
        <f>IFERROR(ROUND(IF(CD187="ERROR", "ERROR", IF(AND($FX$6=Y187, E187="Exterior"), IF(VLOOKUP(W187, 'Lookup Tables'!$AI$6:$AM$102, 5, FALSE)*BP187&gt;'Lookup Tables'!$AQ$97*'Lighting Inventory'!S187,'Lighting Inventory'!S187*'Lookup Tables'!$AQ$97,VLOOKUP(W187, 'Lookup Tables'!$AI$6:$AM$102, 5, FALSE)*BP187), "")), 2), "")</f>
        <v/>
      </c>
      <c r="FZ187" s="253" t="str">
        <f>IFERROR(ROUND(IF(CD187="ERROR", "ERROR", IF(AND($FZ$6=Y187, E187="Interior"), IF(AND(OR(W187="Refrigerated Case Lighting with Doors", W187="Freezer Case Lighting"),Y187="Custom - Process Improvement"),CD187*'Lookup Tables'!$AM$101, IF(B187="Retrofit", IF(VLOOKUP(IF(V187="Custom", V187, W187), 'Lookup Tables'!$AI$6:$AM$102, 5, FALSE)*BP187&gt;GE187, GE187, VLOOKUP(IF(V187="Custom", V187, W187), 'Lookup Tables'!$AI$6:$AM$102, 5, FALSE)*BP187), IF(VLOOKUP(IF(V187="Custom", V187, W187), 'Lookup Tables'!$AI$114:$AM$154, 5, FALSE)*BP187&gt;GE187, GE187, VLOOKUP(IF(V187="Custom", V187, W187), 'Lookup Tables'!$AI$114:$AM$154, 5, FALSE)*BP187))), "")), 2),"")</f>
        <v/>
      </c>
      <c r="GA187" s="253" t="str">
        <f>IFERROR(ROUND(IF(CD187="ERROR", "ERROR", IF(AND($FZ$6=Y187, E187="Exterior"), IF(B187="Retrofit", IF(VLOOKUP(IF(V187="Custom", V187, W187), 'Lookup Tables'!$AI$6:$AM$102, 5, FALSE)*BP187&gt;GE187, GE187, VLOOKUP(IF(V187="Custom", V187, W187), 'Lookup Tables'!$AI$6:$AM$102, 5, FALSE)*BP187), IF(VLOOKUP(IF(V187="Custom", V187, W187), 'Lookup Tables'!$AI$114:$AM$154, 5, FALSE)*BP187&gt;GE187, GE187, VLOOKUP(IF(V187="Custom", V187, W187), 'Lookup Tables'!$AI$114:$AM$154, 5, FALSE)*BP187)), "")), 2),"")</f>
        <v/>
      </c>
      <c r="GB187" s="254" t="str">
        <f t="array" ref="GB187">IF(B187="","",IF(OR(V187="Custom",V187="No Change"),0,IF(B187="Retrofit", INDEX('Lookup Tables'!$AH$6:$AQ$102,MATCH(1,('Lookup Tables'!$AH$6:$AH$102='Lighting Inventory'!V187)*('Lookup Tables'!$AI$6:$AI$102='Lighting Inventory'!W187),FALSE),10),INDEX('Lookup Tables'!$AH$114:$AQ$154,MATCH(1,('Lookup Tables'!$AH$114:$AH$154='Lighting Inventory'!V187)*('Lookup Tables'!$AI$114:$AI$154='Lighting Inventory'!W187),FALSE),10))))</f>
        <v/>
      </c>
      <c r="GC187" s="255" t="str">
        <f t="shared" si="447"/>
        <v/>
      </c>
      <c r="GD187" s="250" t="str">
        <f t="shared" si="448"/>
        <v/>
      </c>
      <c r="GE187" s="253" t="str">
        <f>IFERROR(IF(AND(AF187="", 'General Information'!$F$18="No"),"", IF(AF187="", ((GD187/$CD$266)*$CF$266)*0.5, AF187*S187*0.5)), "")</f>
        <v/>
      </c>
      <c r="GF187" s="255" t="str">
        <f>IF(AND('General Information'!$F$19="", 'General Information'!$F$18="Yes",AF187="",BW187="Y"), "Y", "N")</f>
        <v>N</v>
      </c>
      <c r="GG187" s="255" t="s">
        <v>2946</v>
      </c>
      <c r="GH187" s="255" t="str">
        <f>IFERROR(IF(B187="", "", VLOOKUP(J187, 'Fixture Identities'!$A$6:$N$908, 14, FALSE)), "")</f>
        <v/>
      </c>
      <c r="GI187" s="389" t="str">
        <f>IF(OR(B187="", V187="", W187=""), "", IF(AND(OR(M187='Lookup Tables'!$R$18, M187='Lookup Tables'!$R$19, M187='Lookup Tables'!$R$20, M187='Lookup Tables'!$R$21, M187='Lookup Tables'!$R$22), OR(AN187='Lookup Tables'!$R$17, AN187='Lookup Tables'!$R$17, AN187="")), "Y", "N"))</f>
        <v/>
      </c>
      <c r="GJ187" s="255" t="str">
        <f t="shared" si="449"/>
        <v/>
      </c>
      <c r="GK187" s="255" t="str">
        <f t="shared" si="450"/>
        <v/>
      </c>
      <c r="GL187" s="255" t="str">
        <f t="shared" si="451"/>
        <v/>
      </c>
      <c r="GM187" s="255" t="str">
        <f>IF(AN187="", "", IF(AND(IF(ISNA(VLOOKUP(AN187,'Lookup Tables'!$R$18:$R$22,1,FALSE)), "N", "Y")="Y", E187="Exterior"), "Y", "N"))</f>
        <v/>
      </c>
      <c r="GN187" s="395"/>
      <c r="GO187" s="428">
        <f t="shared" si="497"/>
        <v>0</v>
      </c>
      <c r="GP187" s="428">
        <f t="shared" si="500"/>
        <v>0</v>
      </c>
      <c r="GQ187" s="428">
        <f t="shared" si="498"/>
        <v>0</v>
      </c>
      <c r="GR187" s="428">
        <f t="shared" si="499"/>
        <v>0</v>
      </c>
    </row>
    <row r="188" spans="1:200" s="103" customFormat="1" ht="13.5" customHeight="1" x14ac:dyDescent="0.2">
      <c r="A188" s="272">
        <v>178</v>
      </c>
      <c r="B188" s="110"/>
      <c r="C188" s="110"/>
      <c r="D188" s="110"/>
      <c r="E188" s="110"/>
      <c r="F188" s="110"/>
      <c r="G188" s="110"/>
      <c r="H188" s="110"/>
      <c r="I188" s="29"/>
      <c r="J188" s="29"/>
      <c r="K188" s="272" t="str">
        <f>IFERROR(IF(OR(VLOOKUP(J188, 'Fixture Identities'!$A$6:$L$1023, 3, FALSE)="T12 Linear Fluorescent", VLOOKUP(J188, 'Fixture Identities'!$A$6:$L$1023, 3, FALSE)="T12 U-Tube Fluorescent"), VLOOKUP(VLOOKUP(J188, 'Fixture Identities'!$A$6:$L$1023, 11, FALSE), 'Fixture Identities'!$A$6:$L$1023, 10, FALSE), VLOOKUP(J188, 'Fixture Identities'!$A$6:$L$1023, 10, FALSE)), "")</f>
        <v/>
      </c>
      <c r="L188" s="270" t="str">
        <f t="shared" si="502"/>
        <v/>
      </c>
      <c r="M188" s="110"/>
      <c r="N188" s="110"/>
      <c r="O188" s="110"/>
      <c r="P188" s="272" t="str">
        <f>IFERROR(IF(OR(B188="Retrofit",B188=""),"",IF('Lighting Inventory'!E188="Exterior",VLOOKUP('Lighting Inventory'!N188,'Lookup Tables'!$B$83:$F$103,5,FALSE),IF(N188="Other - Please Estimate EFLH and CFs","Contact Prog. Rep.","ft^2"))), "")</f>
        <v/>
      </c>
      <c r="Q188" s="270" t="str">
        <f>IFERROR(IF(AND(B188="New Construction",E188="Interior",$F$5="Space-by-Space"),VLOOKUP('Lighting Inventory'!N188,'Lookup Tables'!$N$6:$O$97,2,FALSE),IF(AND(B188="New Construction",E188="Exterior"),VLOOKUP(N188,'Lookup Tables'!$B$83:$F$103,2,FALSE),IF(AND(B188="New Construction",'Lighting Inventory'!E188="Interior", $F$5="Building Area"),VLOOKUP(F188,'Lookup Tables'!$A$6:$J$59,10,FALSE),""))), "")</f>
        <v/>
      </c>
      <c r="R188" s="270" t="str">
        <f>IFERROR(IF(P188="Contact Prog. Rep.", "ERROR", IF(OR(B188="",B188="Retrofit"),"",IF(N188="Automated teller machines", ('Lookup Tables'!$A$82:$E$100+('Lighting Inventory'!O188-1)*'Lookup Tables'!$A$82:$E$100)/1000, (Q188*O188)/1000))), "")</f>
        <v/>
      </c>
      <c r="S188" s="595"/>
      <c r="T188" s="105" t="str">
        <f t="shared" si="452"/>
        <v/>
      </c>
      <c r="U188" s="105" t="str">
        <f>IF(S188="","",COUNT($S$11:S188))</f>
        <v/>
      </c>
      <c r="V188" s="111"/>
      <c r="W188" s="112"/>
      <c r="X188" s="105" t="str">
        <f t="shared" si="453"/>
        <v/>
      </c>
      <c r="Y188" s="105" t="str">
        <f t="array" ref="Y188">IF(AND(OR(W188="Freezer Case Lighting", W188="Refrigerated Case Lighting with Doors"), 'General Information'!$X$18="LCI"),'Lookup Tables'!$Y$34, IF(V188="Custom", VLOOKUP(W188, 'Fixture Identities'!$A$974:$M$1023, 13, FALSE), IF(V188="No Change",'Lookup Tables'!$Y$29,IF(OR(V188="",W188=""),"",IF(AND(S188=0,S188&lt;I188,B188="Retrofit"),'Lookup Tables'!$Y$25, IF(B188="Retrofit", INDEX('Lookup Tables'!$AH$6:$AP$102, MATCH(1, ('Lookup Tables'!$AH$6:$AH$102=V188)*('Lookup Tables'!$AI$6:$AI$102=W188), 0), IF('Lighting Inventory'!E188="Interior", 4, 5)), INDEX('Lookup Tables'!$AH$114:$AP$154, MATCH(1, ('Lookup Tables'!$AH$114:$AH$154=V188)*('Lookup Tables'!$AI$114:$AI$154=W188), 0), IF('Lighting Inventory'!E188="Interior", 4, 5))))))))</f>
        <v/>
      </c>
      <c r="Z188" s="105" t="str">
        <f>IFERROR(INDEX('Lookup Tables'!$AH$158:$AH$172,MATCH('Lighting Inventory'!Y188,'Lookup Tables'!$AI$158:$AI$172,0)),"")</f>
        <v/>
      </c>
      <c r="AA188" s="105" t="str">
        <f>IF(AP188&gt;0,INDEX('Lookup Tables'!$AK$158:$AK$172,MATCH('Lighting Inventory'!Y188,'Lookup Tables'!$AI$158:$AI$172,0)),'Lighting Inventory'!Y188)</f>
        <v/>
      </c>
      <c r="AB188" s="105" t="str">
        <f t="array" ref="AB188">IF(V188="Custom", "Custom", IF(V188="", "", IF(V188="Not DLC or Energy Star", "General", IF(B188="New Construction", INDEX('Lookup Tables'!$AH$114:$AP$154,MATCH(1,('Lookup Tables'!$AH$114:$AH$154='Lighting Inventory'!V188)*('Lookup Tables'!$AI$114:$AI$154='Lighting Inventory'!W188),FALSE),8), INDEX('Lookup Tables'!$AH$6:$AP$102,MATCH(1,('Lookup Tables'!$AH$6:$AH$102='Lighting Inventory'!V188)*('Lookup Tables'!$AI$6:$AI$102='Lighting Inventory'!W188),FALSE),8)))))</f>
        <v/>
      </c>
      <c r="AC188" s="272" t="str">
        <f>IF(W188="","",IF(V188="Custom",CONCATENATE("$",'Lookup Tables'!$AM$101," ",'Lookup Tables'!$AN$101),CONCATENATE("$",INDEX('Lookup Tables'!$AM$6:$AM$102,MATCH('Lighting Inventory'!W188,'Lookup Tables'!$AI$6:$AI$102,0))," ",INDEX('Lookup Tables'!$AN$6:$AN$102,MATCH('Lighting Inventory'!W188,'Lookup Tables'!$AI$6:$AI$102,0)))))</f>
        <v/>
      </c>
      <c r="AD188" s="72"/>
      <c r="AE188" s="29"/>
      <c r="AF188" s="379"/>
      <c r="AG188" s="370" t="str">
        <f t="shared" si="401"/>
        <v/>
      </c>
      <c r="AH188" s="370" t="str">
        <f t="shared" si="454"/>
        <v/>
      </c>
      <c r="AI188" s="29"/>
      <c r="AJ188" s="29"/>
      <c r="AK188" s="110"/>
      <c r="AL188" s="375" t="str">
        <f>IF(OR(B188="", V188="", W188=""), "", IF(V188="No Change", K188, IF(V188="Remove Fixture", 0, IF(V188="Custom",VLOOKUP(W188,'Fixture Identities'!$A$6:$K$1023,10,FALSE),IF(AE188="", "← ENTER POST WATTS", 'Lighting Inventory'!AE188)))))</f>
        <v/>
      </c>
      <c r="AM188" s="376" t="str">
        <f t="shared" si="402"/>
        <v/>
      </c>
      <c r="AN188" s="29"/>
      <c r="AO188" s="671"/>
      <c r="AP188" s="29"/>
      <c r="AQ188" s="29"/>
      <c r="AR188" s="29"/>
      <c r="AS188" s="272" t="str">
        <f t="shared" si="455"/>
        <v/>
      </c>
      <c r="AT188" s="270" t="str">
        <f t="shared" si="403"/>
        <v/>
      </c>
      <c r="AU188" s="88" t="str">
        <f t="shared" si="503"/>
        <v/>
      </c>
      <c r="AV188" s="29"/>
      <c r="AW188" s="73"/>
      <c r="AX188" s="271" t="str">
        <f>IF(AND(AV188="Applicant",OR(AW188="", AW188="Use Default Facility Hours")),"← Choose Schedule",IF(F188="","",IF(W188="LED Exit Signs",8760,IF(OR(AV188="Prescribed",AV188=""),VLOOKUP(F188,'Lookup Tables'!$A$6:$G$59,IF(AB188="General", 6, 3),FALSE),VLOOKUP(AW188,'Lookup Tables'!$S$36:$U$43,2,FALSE)))))</f>
        <v/>
      </c>
      <c r="AY188" s="88" t="str">
        <f t="shared" si="404"/>
        <v/>
      </c>
      <c r="AZ188" s="270" t="str">
        <f>IFERROR(IF(F188="", "", IF(W188="LED Exit Signs", 1, IF(AV188="Applicant",VLOOKUP(AW188, 'Lookup Tables'!$S$36:$U$43,3, FALSE), VLOOKUP('Lighting Inventory'!F188, 'Lookup Tables'!$A$6:$H$59, IF('Lighting Inventory'!AB188="General",7,4), FALSE)))), "")</f>
        <v/>
      </c>
      <c r="BA188" s="522" t="str">
        <f>IFERROR(IF(F188="", "", IF(W188="LED Exit Signs", 1, VLOOKUP('Lighting Inventory'!F188, 'Lookup Tables'!$A$6:$H$59, IF('Lighting Inventory'!AB188="General",8,5), FALSE))), "")</f>
        <v/>
      </c>
      <c r="BB188" s="270" t="str">
        <f>IF(G188="", "", IF(E188="Exterior", 0, IF('Lighting Inventory'!G188="Air Conditioned", VLOOKUP(H188, 'Lookup Tables'!$R$6:$T$13, 2, FALSE), VLOOKUP('Lighting Inventory'!G188, 'Lookup Tables'!$R$6:$T$13, 2, FALSE))))</f>
        <v/>
      </c>
      <c r="BC188" s="522" t="str">
        <f>IF(G188="", "", IF(E188="Exterior", 0, IF('Lighting Inventory'!G188="Air Conditioned", VLOOKUP(H188, 'Lookup Tables'!$R$6:$T$13, 3, FALSE), VLOOKUP('Lighting Inventory'!G188, 'Lookup Tables'!$R$6:$T$13, 3, FALSE))))</f>
        <v/>
      </c>
      <c r="BD188" s="270" t="str">
        <f>IF(G188="", "", IF(E188="Exterior", 0, IF('Lighting Inventory'!G188="Air Conditioned", VLOOKUP(H188, 'Lookup Tables'!$R$6:$U$13, 4, FALSE), VLOOKUP('Lighting Inventory'!G188, 'Lookup Tables'!$R$6:$U$13, 4, FALSE))))</f>
        <v/>
      </c>
      <c r="BE188" s="270" t="str">
        <f>IFERROR(IF(B188="", "",  IF(B188="New Construction", VLOOKUP(F188, 'Lookup Tables'!$A$6:$K$59, 11, FALSE),IF(OR(AN188="", AN188="Light Switch"), 0, IF(OR(M188="",M188="None",V188= "LED Exit Signs"),0,_xlfn.XLOOKUP(M188,'Lookup Tables'!$R$91:$R$101,'Lookup Tables'!$V$91:$V$101))))), "")</f>
        <v/>
      </c>
      <c r="BF188" s="270" t="str">
        <f>IF(AND(OR(AN188="Light Switch",AN188=""),B188="New Construction"), VLOOKUP(F188, 'Lookup Tables'!$A$6:$K$59, 11, FALSE),IF(AN188="","",IF(B188="","",IF(OR(AN188="None",AN188="",V188="LED Exit Signs",AN188="Exterior Controls Not Eligible"),0,_xlfn.XLOOKUP(AN188,'Lookup Tables'!$R$91:$R$101,'Lookup Tables'!$V$91:$V$101)))))</f>
        <v/>
      </c>
      <c r="BG188" s="88" t="str">
        <f t="shared" si="456"/>
        <v/>
      </c>
      <c r="BH188" s="88" t="str">
        <f t="shared" si="457"/>
        <v/>
      </c>
      <c r="BI188" s="558" t="str">
        <f t="shared" si="501"/>
        <v/>
      </c>
      <c r="BJ188" s="82" t="str">
        <f t="shared" si="458"/>
        <v/>
      </c>
      <c r="BK188" s="82" t="str">
        <f t="shared" si="459"/>
        <v/>
      </c>
      <c r="BL188" s="559" t="str">
        <f t="shared" si="460"/>
        <v/>
      </c>
      <c r="BM188" s="521" t="str">
        <f t="shared" si="405"/>
        <v/>
      </c>
      <c r="BN188" s="521" t="str">
        <f t="shared" si="406"/>
        <v/>
      </c>
      <c r="BO188" s="522" t="str">
        <f t="shared" si="407"/>
        <v/>
      </c>
      <c r="BP188" s="83" t="str">
        <f t="shared" si="461"/>
        <v/>
      </c>
      <c r="BQ188" s="84" t="str">
        <f t="shared" si="462"/>
        <v/>
      </c>
      <c r="BR188" s="184" t="str">
        <f>IFERROR(IF(B188="", "", IF(OR(VLOOKUP(J188, 'Fixture Identities'!$A$6:$L$1023, 3, FALSE)="T12 Linear Fluorescent",VLOOKUP(J188, 'Fixture Identities'!$A$6:$L$1023, 3, FALSE)="T12 U-Tube Fluorescent"), "Y", "N")), "N")</f>
        <v/>
      </c>
      <c r="BS188" s="184" t="str">
        <f t="array" ref="BS188">IFERROR(IF(OR(B188="", V188="", W188=""), "", IF(V188="Custom", "N", IF(OR(W188="Freezer Case Lighting", W188="Refrigerated Case Lighting with Doors"), BT188, IF(B188="Retrofit", INDEX('Lookup Tables'!$AH$6:$AT$102,MATCH(1,('Lookup Tables'!$AH$6:$AH$102=V188)*('Lookup Tables'!$AI$6:$AI$102=W188),FALSE),IF(VLOOKUP(J188, 'Fixture Identities'!$A$6:$B$1023, 2, FALSE)="Incandescent",12, 13)), INDEX('Lookup Tables'!$AH$114:$AS$154,MATCH(1,('Lookup Tables'!$AH$114:$AH$154=V188)*('Lookup Tables'!$AI$114:$AI$154=W188),FALSE),12))))), "N")</f>
        <v/>
      </c>
      <c r="BT188" s="184" t="str">
        <f>IF(J188="", "", IF(AND(OR(W188="Freezer case Lighting", W188="Refrigerated Case Lighting with Doors"),'General Information'!$X$18="LCI"), "N", IF(OR(VLOOKUP(J188, 'Fixture Identities'!$A$6:$B$1023, 2, FALSE)="T12 EPACT/EISA Baseline", VLOOKUP(J188, 'Fixture Identities'!$A$6:$B$1023, 2, FALSE)="Linear Fluorescent", VLOOKUP(J188, 'Fixture Identities'!$A$6:$B$1023, 2, FALSE)="U-Tube Fluorescent"), "Y", "N")))</f>
        <v/>
      </c>
      <c r="BU188" s="184" t="str">
        <f>IFERROR(IF(B188="", "", IF(VLOOKUP(J188, 'Fixture Identities'!$A$6:$B$1023, 2, FALSE)="Exit Sign", "Y", "N")), "N")</f>
        <v/>
      </c>
      <c r="BV188" s="184" t="str">
        <f>IF(V188="Exit Signs", IF(VLOOKUP(J188, 'Fixture Identities'!$A$6:$B$1023, 2, FALSE)="Exit Sign", "N", "Y"), "")</f>
        <v/>
      </c>
      <c r="BW188" s="184" t="str">
        <f t="array" ref="BW188">IFERROR(IF(B188="", "", IF(B188="New Construction", "N", INDEX('Lookup Tables'!$AH$6:$AU$102, MATCH(1, ('Lookup Tables'!$AH$6:$AH$102='Lighting Inventory'!V188)*('Lookup Tables'!$AI$6:$AI$102='Lighting Inventory'!W188), 0), 14))), "N")</f>
        <v/>
      </c>
      <c r="BX188" s="598" t="str">
        <f t="shared" si="463"/>
        <v/>
      </c>
      <c r="BY188" s="598" t="str">
        <f t="shared" si="464"/>
        <v/>
      </c>
      <c r="BZ188" s="598" t="str">
        <f t="shared" si="465"/>
        <v/>
      </c>
      <c r="CA188" s="598" t="str">
        <f t="shared" si="466"/>
        <v/>
      </c>
      <c r="CB188" s="269" t="str">
        <f t="shared" si="467"/>
        <v/>
      </c>
      <c r="CC188" s="517" t="str">
        <f t="shared" si="468"/>
        <v/>
      </c>
      <c r="CD188" s="565" t="str">
        <f t="shared" si="408"/>
        <v/>
      </c>
      <c r="CE188" s="368">
        <v>0</v>
      </c>
      <c r="CF188" s="368" t="str" cm="1">
        <f t="array" ref="CF188">IFERROR(IF(V188="Custom", "$0.1 per kWh", IF(B188="New Construction", CONCATENATE("$",INDEX('Lookup Tables'!$AH$114:$AN$154,MATCH(1,('Lookup Tables'!$AH$114:$AH$154='Lighting Inventory'!V188)*('Lookup Tables'!$AI$114:$AI$154='Lighting Inventory'!W188),FALSE),6)," ",INDEX('Lookup Tables'!$AH$114:$AN$154,MATCH(1,('Lookup Tables'!$AH$114:$AH$154='Lighting Inventory'!V188)*('Lookup Tables'!$AI$114:$AI$154='Lighting Inventory'!W188),FALSE),7)), IF(AND(BU188="N", V188="Exit Signs"), "$0.025 per kWh", CONCATENATE("$",INDEX('Lookup Tables'!$AH$6:$AN$102,MATCH(1,('Lookup Tables'!$AH$6:$AH$102='Lighting Inventory'!V188)*('Lookup Tables'!$AI$6:$AI$102='Lighting Inventory'!W188),FALSE),6)," ",INDEX('Lookup Tables'!$AH$6:$AN$102,MATCH(1,('Lookup Tables'!$AH$6:$AH$102='Lighting Inventory'!V188)*('Lookup Tables'!$AI$6:$AI$102='Lighting Inventory'!W188),FALSE),7))))), "")</f>
        <v/>
      </c>
      <c r="CG188" s="366"/>
      <c r="CH188" s="248" t="str">
        <f t="shared" si="409"/>
        <v/>
      </c>
      <c r="CI188" s="248" t="str">
        <f t="shared" si="410"/>
        <v>Select_IE</v>
      </c>
      <c r="CJ188" s="248" t="str">
        <f t="shared" si="411"/>
        <v/>
      </c>
      <c r="CK188" s="248" t="str">
        <f t="shared" si="412"/>
        <v/>
      </c>
      <c r="CL188" s="248" t="str">
        <f t="shared" si="413"/>
        <v/>
      </c>
      <c r="CM188" s="248" t="str">
        <f>IFERROR(IF(B188="", "", IF(B188="New Construction", VLOOKUP(V188, 'Lookup Tables'!$AF$114:$AG$120, 2, FALSE), VLOOKUP(V188, 'Lookup Tables'!$AD$6:$AE$25, 2, FALSE))), "")</f>
        <v/>
      </c>
      <c r="CN188" s="248" t="str">
        <f t="shared" si="414"/>
        <v/>
      </c>
      <c r="CO188" s="248" t="str">
        <f t="shared" si="415"/>
        <v/>
      </c>
      <c r="CP188" s="592" t="str">
        <f t="shared" si="416"/>
        <v/>
      </c>
      <c r="CQ188" s="248" t="str">
        <f t="shared" si="469"/>
        <v/>
      </c>
      <c r="CR188" s="100"/>
      <c r="CS188" s="250" t="str">
        <f t="shared" si="417"/>
        <v/>
      </c>
      <c r="CT188" s="250" t="str">
        <f t="shared" si="470"/>
        <v/>
      </c>
      <c r="CU188" s="250" t="str">
        <f t="shared" si="471"/>
        <v/>
      </c>
      <c r="CV188" s="250" t="str">
        <f t="shared" si="472"/>
        <v/>
      </c>
      <c r="CW188" s="250" t="str">
        <f t="shared" si="473"/>
        <v/>
      </c>
      <c r="CX188" s="250" t="str">
        <f t="shared" si="418"/>
        <v/>
      </c>
      <c r="CY188" s="250" t="str">
        <f t="shared" si="419"/>
        <v/>
      </c>
      <c r="CZ188" s="250" t="str">
        <f t="shared" si="420"/>
        <v/>
      </c>
      <c r="DA188" s="250" t="str">
        <f t="shared" si="421"/>
        <v/>
      </c>
      <c r="DB188" s="250" t="str">
        <f t="shared" si="422"/>
        <v/>
      </c>
      <c r="DC188" s="250" t="str">
        <f t="shared" si="423"/>
        <v/>
      </c>
      <c r="DD188" s="250" t="str">
        <f t="shared" si="424"/>
        <v/>
      </c>
      <c r="DE188" s="250" t="str">
        <f t="shared" si="425"/>
        <v/>
      </c>
      <c r="DF188" s="250" t="str">
        <f t="shared" si="426"/>
        <v/>
      </c>
      <c r="DG188" s="250" t="str">
        <f t="shared" si="427"/>
        <v/>
      </c>
      <c r="DH188" s="250" t="str">
        <f t="shared" si="428"/>
        <v/>
      </c>
      <c r="DI188" s="250" t="str">
        <f t="shared" si="429"/>
        <v/>
      </c>
      <c r="DJ188" s="250" t="str">
        <f t="shared" si="430"/>
        <v/>
      </c>
      <c r="DK188" s="250" t="str">
        <f t="shared" si="431"/>
        <v/>
      </c>
      <c r="DL188" s="250" t="str">
        <f t="shared" si="432"/>
        <v/>
      </c>
      <c r="DM188" s="250" t="str">
        <f>IF(CD188="ERROR", "ERROR", IF(AND(OR(Y188=$DM$6, Y188='Lookup Tables'!$AD$21, Y188='Lookup Tables'!$AD$22), E188="Interior"), BJ188, ""))</f>
        <v/>
      </c>
      <c r="DN188" s="250" t="str">
        <f>IF(CD188="ERROR", "ERROR", IF(AND(OR(Y188=$DM$6, Y188='Lookup Tables'!$AD$21, Y188='Lookup Tables'!$AD$22), E188="Exterior"), BJ188, ""))</f>
        <v/>
      </c>
      <c r="DO188" s="100"/>
      <c r="DP188" s="250" t="str">
        <f t="shared" si="433"/>
        <v/>
      </c>
      <c r="DQ188" s="250" t="str">
        <f t="shared" si="474"/>
        <v/>
      </c>
      <c r="DR188" s="250" t="str">
        <f t="shared" si="475"/>
        <v/>
      </c>
      <c r="DS188" s="250" t="str">
        <f t="shared" si="476"/>
        <v/>
      </c>
      <c r="DT188" s="250" t="str">
        <f t="shared" si="477"/>
        <v/>
      </c>
      <c r="DU188" s="250" t="str">
        <f t="shared" si="434"/>
        <v/>
      </c>
      <c r="DV188" s="250" t="str">
        <f t="shared" si="435"/>
        <v/>
      </c>
      <c r="DW188" s="250" t="str">
        <f t="shared" si="436"/>
        <v/>
      </c>
      <c r="DX188" s="250" t="str">
        <f t="shared" si="437"/>
        <v/>
      </c>
      <c r="DY188" s="250" t="str">
        <f t="shared" si="438"/>
        <v/>
      </c>
      <c r="DZ188" s="250" t="str">
        <f t="shared" si="439"/>
        <v/>
      </c>
      <c r="EA188" s="250" t="str">
        <f t="shared" si="440"/>
        <v/>
      </c>
      <c r="EB188" s="250" t="str">
        <f t="shared" si="478"/>
        <v/>
      </c>
      <c r="EC188" s="250" t="str">
        <f t="shared" si="441"/>
        <v/>
      </c>
      <c r="ED188" s="250" t="str">
        <f t="shared" si="442"/>
        <v/>
      </c>
      <c r="EE188" s="250" t="str">
        <f t="shared" si="443"/>
        <v/>
      </c>
      <c r="EF188" s="250" t="str">
        <f t="shared" si="444"/>
        <v/>
      </c>
      <c r="EG188" s="250" t="str">
        <f t="shared" si="445"/>
        <v/>
      </c>
      <c r="EH188" s="250" t="str">
        <f>IF(CD188="ERROR", "ERROR", IF(AND(OR($EH$6=Y188, Y188='Lookup Tables'!$AD$21, Y188='Lookup Tables'!$AD$22),E188="Interior"), SUM(BP188:BP188), ""))</f>
        <v/>
      </c>
      <c r="EI188" s="250" t="str">
        <f>IF(CD188="ERROR", "ERROR", IF(AND(OR($EH$6=Y188, Y188='Lookup Tables'!$AD$21, Y188='Lookup Tables'!$AD$22),E188="Exterior"), SUM(BP188:BP188), ""))</f>
        <v/>
      </c>
      <c r="EJ188" s="109"/>
      <c r="EK188" s="485" t="str">
        <f t="shared" si="446"/>
        <v/>
      </c>
      <c r="EL188" s="252" t="str">
        <f t="shared" si="479"/>
        <v/>
      </c>
      <c r="EM188" s="252" t="str">
        <f t="shared" si="480"/>
        <v/>
      </c>
      <c r="EN188" s="252" t="str">
        <f t="shared" si="481"/>
        <v/>
      </c>
      <c r="EO188" s="252" t="str">
        <f t="shared" si="482"/>
        <v/>
      </c>
      <c r="EP188" s="252" t="str">
        <f t="shared" si="483"/>
        <v/>
      </c>
      <c r="EQ188" s="252" t="str">
        <f t="shared" si="484"/>
        <v/>
      </c>
      <c r="ER188" s="252" t="str">
        <f t="shared" si="485"/>
        <v/>
      </c>
      <c r="ES188" s="252" t="str">
        <f t="shared" si="486"/>
        <v/>
      </c>
      <c r="ET188" s="252" t="str">
        <f t="shared" si="487"/>
        <v/>
      </c>
      <c r="EU188" s="252" t="str">
        <f t="shared" si="488"/>
        <v/>
      </c>
      <c r="EV188" s="252" t="str">
        <f t="shared" si="489"/>
        <v/>
      </c>
      <c r="EW188" s="252" t="str">
        <f t="shared" si="490"/>
        <v/>
      </c>
      <c r="EX188" s="252" t="str">
        <f t="shared" si="491"/>
        <v/>
      </c>
      <c r="EY188" s="252" t="str">
        <f t="shared" si="492"/>
        <v/>
      </c>
      <c r="EZ188" s="252" t="str">
        <f t="shared" si="493"/>
        <v/>
      </c>
      <c r="FA188" s="252" t="str">
        <f t="shared" si="494"/>
        <v/>
      </c>
      <c r="FB188" s="252" t="str">
        <f t="shared" si="495"/>
        <v/>
      </c>
      <c r="FC188" s="252" t="str">
        <f>IF(CD188="ERROR", "ERROR", IF(OR(V188="No Change", V188="Not DLC or Energy Star"), "", IF(AND(OR($FC$6=Y188,Y188='Lookup Tables'!$AD$21, Y188='Lookup Tables'!$AD$22),E188="Interior"), S188, "")))</f>
        <v/>
      </c>
      <c r="FD188" s="252" t="str">
        <f t="shared" si="496"/>
        <v/>
      </c>
      <c r="FE188" s="101"/>
      <c r="FF188" s="579" t="str" cm="1">
        <f t="array" ref="FF188">IFERROR(IF(OR(BQ188&lt;=0,AQ188&lt;20,AND(V188="Exit Signs",AN188&gt;0)),"",IF(AND(AQ188&gt;=20,AN188='Lookup Tables'!$R$101),'Lookup Tables'!$U$101*BQ188,AP188*LOOKUP(2,1/((AN188='Lookup Tables'!$R$91:$R$111)*(AQ188&gt;='Lookup Tables'!$S$91:$S$111)*(AQ188&lt;='Lookup Tables'!$T$91:$T$111)),'Lookup Tables'!$U$91:$U$111))),"")</f>
        <v/>
      </c>
      <c r="FG188" s="579"/>
      <c r="FH188" s="579"/>
      <c r="FI188" s="253" t="str">
        <f>IFERROR(ROUND(IF(CD188="ERROR", "ERROR", IF(AND($FI$7=X188,E188="Interior"),VLOOKUP(W188, 'Lookup Tables'!$AI$6:$AM$102, 5, FALSE)*BP188, "")), 2), "")</f>
        <v/>
      </c>
      <c r="FJ188" s="253" t="str">
        <f>IFERROR(ROUND(IF(CD188="ERROR", "ERROR", IF(AND($FI$7=X188,E188="Exterior"),VLOOKUP(W188, 'Lookup Tables'!$AI$6:$AM$102, 5, FALSE)*BP188, "")), 2), "")</f>
        <v/>
      </c>
      <c r="FK188" s="253" t="str">
        <f>IFERROR(ROUND(IF(CD188="ERROR", "ERROR", IF(AND($FK$7=X188,E188="Interior"),VLOOKUP(W188, 'Lookup Tables'!$AI$6:$AM$102, 5, FALSE)*BP188, "")), 2), "")</f>
        <v/>
      </c>
      <c r="FL188" s="253" t="str">
        <f>IFERROR(ROUND(IF(CD188="ERROR", "ERROR", IF(AND($FK$7=X188,E188="Exterior"),VLOOKUP(W188, 'Lookup Tables'!$AI$6:$AM$102, 5, FALSE)*BP188, "")), 2), "")</f>
        <v/>
      </c>
      <c r="FM188" s="253" t="str">
        <f>IFERROR(ROUND(IF(CD188="ERROR", "ERROR", IF(AND($FM$6=Y188,E188="Interior"), IF(GB188=0, VLOOKUP(W188, 'Lookup Tables'!$AI$6:$AM$102, 5, FALSE)*BP188, IF(VLOOKUP(W188, 'Lookup Tables'!$AI$6:$AM$102, 5, FALSE)*BP188&gt;GB188*'Lighting Inventory'!S188, GB188*'Lighting Inventory'!S188,VLOOKUP(W188, 'Lookup Tables'!$AI$6:$AM$102, 5, FALSE)*BP188)), "")), 2), "")</f>
        <v/>
      </c>
      <c r="FN188" s="253" t="str">
        <f>IFERROR(ROUND(IF(CD188="ERROR", "ERROR", IF(AND($FM$6=Y188,E188="Exterior"), IF(GB188=0, VLOOKUP(W188, 'Lookup Tables'!$AI$6:$AM$102, 5, FALSE)*BP188, IF(VLOOKUP(W188, 'Lookup Tables'!$AI$6:$AM$102, 5, FALSE)*BP188&gt;GB188*'Lighting Inventory'!S188, GB188*'Lighting Inventory'!S188,VLOOKUP(W188, 'Lookup Tables'!$AI$6:$AM$102, 5, FALSE)*BP188)), "")), 2), "")</f>
        <v/>
      </c>
      <c r="FO188" s="253" t="str">
        <f>IFERROR(ROUND(IF(CD188="ERROR", "ERROR", IF(AND($FO$6=Y188,E188="Interior"),VLOOKUP(W188, 'Lookup Tables'!$AI$6:$AM$102, 5, FALSE)*'Lighting Inventory'!AI188, "")), 2), "")</f>
        <v/>
      </c>
      <c r="FP188" s="253" t="str">
        <f>IFERROR(ROUND(IF(CD188="ERROR", "ERROR", IF(AND($FO$6=Y188,E188="Exterior"),VLOOKUP(W188, 'Lookup Tables'!$AI$6:$AM$102, 5, FALSE)*'Lighting Inventory'!AI188, "")), 2), "")</f>
        <v/>
      </c>
      <c r="FQ188" s="253" t="str">
        <f>IFERROR(ROUND(IF(CD188="ERROR", "ERROR", IF(AND($FQ$6=Y188,E188="Interior", BU188="Y"), VLOOKUP('Lighting Inventory'!W188, 'Lookup Tables'!$AI$6:$AM$102, 5, FALSE)*'Lighting Inventory'!S188, IF(AND($FQ$7=Y188,E188="Interior", BU188="N"), 0.025*CD188, ""))), 2), "")</f>
        <v/>
      </c>
      <c r="FR188" s="253" t="str">
        <f>IFERROR(ROUND(IF(CD188="ERROR", "ERROR", IF(AND($FQ$6=Y188,E188="Exterior"), VLOOKUP('Lighting Inventory'!W188, 'Lookup Tables'!$AI$6:$AM$102, 5, FALSE)*'Lighting Inventory'!S188, "")), 2), "")</f>
        <v/>
      </c>
      <c r="FS188" s="253" t="str">
        <f>IFERROR(ROUND(IF(CD188="ERROR", "ERROR", IF(AND($FS$6=Y188,E188="Exterior"), IF(GB188=0, VLOOKUP(W188, 'Lookup Tables'!$AI$6:$AM$102, 5, FALSE)*BP188, IF(VLOOKUP(W188, 'Lookup Tables'!$AI$6:$AM$102, 5, FALSE)*BP188&gt;GB188*'Lighting Inventory'!S188, GB188*'Lighting Inventory'!S188,VLOOKUP(W188, 'Lookup Tables'!$AI$6:$AM$102, 5, FALSE)*BP188)), "")), 2), "")</f>
        <v/>
      </c>
      <c r="FT188" s="253" t="str">
        <f>IFERROR(ROUND(IF(CD188="ERROR", "ERROR", IF(AND($FT$6=Y188,E188="Interior"), IF(GB188=0, VLOOKUP(W188, 'Lookup Tables'!$AI$6:$AM$102, 5, FALSE)*BP188, IF(VLOOKUP(W188, 'Lookup Tables'!$AI$6:$AM$102, 5, FALSE)*BP188&gt;GB188*'Lighting Inventory'!S188, GB188*'Lighting Inventory'!S188,VLOOKUP(W188, 'Lookup Tables'!$AI$6:$AM$102, 5, FALSE)*BP188)), "")), 2), "")</f>
        <v/>
      </c>
      <c r="FU188" s="253" t="str">
        <f>IFERROR(ROUND(IF(CD188="ERROR", "ERROR", IF(AND(Y188=$FU$6, E188="Interior"), IF(BS188="N", 'Lookup Tables'!$AM$101*BP188, VLOOKUP(W188, 'Lookup Tables'!$AI$6:$AM$102, 5, FALSE)*S188*AD188), "")), 2), "")</f>
        <v/>
      </c>
      <c r="FV188" s="253" t="str">
        <f>IFERROR(ROUND(IF(CD188="ERROR", "ERROR", IF(AND(Y188=$FU$6, E188="Exterior"), IF(BS188="N", 'Lookup Tables'!$AM$101*BP188, VLOOKUP(W188, 'Lookup Tables'!$AI$6:$AM$102, 5, FALSE)*S188*AD188), "")), 2), "")</f>
        <v/>
      </c>
      <c r="FW188" s="253" t="str">
        <f>IFERROR(ROUND(IF(CD188="ERROR", "ERROR", IF($FW$6=Y188, IF(BS188="N", 'Lookup Tables'!$AM$101*BP188, MIN((VLOOKUP(W188, 'Lookup Tables'!$AI$6:$AM$102, 5, FALSE)*BP188),GB188*AJ188)), "")), 2), "")</f>
        <v/>
      </c>
      <c r="FX188" s="253" t="str">
        <f>IFERROR(ROUND(IF(CD188="ERROR", "ERROR", IF(AND($FX$6=Y188, E188="Interior"), IF(VLOOKUP(W188, 'Lookup Tables'!$AI$6:$AM$102, 5, FALSE)*BP188&gt;'Lookup Tables'!$AQ$97*'Lighting Inventory'!S188,'Lighting Inventory'!S188*'Lookup Tables'!$AQ$97,VLOOKUP(W188, 'Lookup Tables'!$AI$6:$AM$102, 5, FALSE)*BP188), "")), 2), "")</f>
        <v/>
      </c>
      <c r="FY188" s="253" t="str">
        <f>IFERROR(ROUND(IF(CD188="ERROR", "ERROR", IF(AND($FX$6=Y188, E188="Exterior"), IF(VLOOKUP(W188, 'Lookup Tables'!$AI$6:$AM$102, 5, FALSE)*BP188&gt;'Lookup Tables'!$AQ$97*'Lighting Inventory'!S188,'Lighting Inventory'!S188*'Lookup Tables'!$AQ$97,VLOOKUP(W188, 'Lookup Tables'!$AI$6:$AM$102, 5, FALSE)*BP188), "")), 2), "")</f>
        <v/>
      </c>
      <c r="FZ188" s="253" t="str">
        <f>IFERROR(ROUND(IF(CD188="ERROR", "ERROR", IF(AND($FZ$6=Y188, E188="Interior"), IF(AND(OR(W188="Refrigerated Case Lighting with Doors", W188="Freezer Case Lighting"),Y188="Custom - Process Improvement"),CD188*'Lookup Tables'!$AM$101, IF(B188="Retrofit", IF(VLOOKUP(IF(V188="Custom", V188, W188), 'Lookup Tables'!$AI$6:$AM$102, 5, FALSE)*BP188&gt;GE188, GE188, VLOOKUP(IF(V188="Custom", V188, W188), 'Lookup Tables'!$AI$6:$AM$102, 5, FALSE)*BP188), IF(VLOOKUP(IF(V188="Custom", V188, W188), 'Lookup Tables'!$AI$114:$AM$154, 5, FALSE)*BP188&gt;GE188, GE188, VLOOKUP(IF(V188="Custom", V188, W188), 'Lookup Tables'!$AI$114:$AM$154, 5, FALSE)*BP188))), "")), 2),"")</f>
        <v/>
      </c>
      <c r="GA188" s="253" t="str">
        <f>IFERROR(ROUND(IF(CD188="ERROR", "ERROR", IF(AND($FZ$6=Y188, E188="Exterior"), IF(B188="Retrofit", IF(VLOOKUP(IF(V188="Custom", V188, W188), 'Lookup Tables'!$AI$6:$AM$102, 5, FALSE)*BP188&gt;GE188, GE188, VLOOKUP(IF(V188="Custom", V188, W188), 'Lookup Tables'!$AI$6:$AM$102, 5, FALSE)*BP188), IF(VLOOKUP(IF(V188="Custom", V188, W188), 'Lookup Tables'!$AI$114:$AM$154, 5, FALSE)*BP188&gt;GE188, GE188, VLOOKUP(IF(V188="Custom", V188, W188), 'Lookup Tables'!$AI$114:$AM$154, 5, FALSE)*BP188)), "")), 2),"")</f>
        <v/>
      </c>
      <c r="GB188" s="254" t="str">
        <f t="array" ref="GB188">IF(B188="","",IF(OR(V188="Custom",V188="No Change"),0,IF(B188="Retrofit", INDEX('Lookup Tables'!$AH$6:$AQ$102,MATCH(1,('Lookup Tables'!$AH$6:$AH$102='Lighting Inventory'!V188)*('Lookup Tables'!$AI$6:$AI$102='Lighting Inventory'!W188),FALSE),10),INDEX('Lookup Tables'!$AH$114:$AQ$154,MATCH(1,('Lookup Tables'!$AH$114:$AH$154='Lighting Inventory'!V188)*('Lookup Tables'!$AI$114:$AI$154='Lighting Inventory'!W188),FALSE),10))))</f>
        <v/>
      </c>
      <c r="GC188" s="255" t="str">
        <f t="shared" si="447"/>
        <v/>
      </c>
      <c r="GD188" s="250" t="str">
        <f t="shared" si="448"/>
        <v/>
      </c>
      <c r="GE188" s="253" t="str">
        <f>IFERROR(IF(AND(AF188="", 'General Information'!$F$18="No"),"", IF(AF188="", ((GD188/$CD$266)*$CF$266)*0.5, AF188*S188*0.5)), "")</f>
        <v/>
      </c>
      <c r="GF188" s="255" t="str">
        <f>IF(AND('General Information'!$F$19="", 'General Information'!$F$18="Yes",AF188="",BW188="Y"), "Y", "N")</f>
        <v>N</v>
      </c>
      <c r="GG188" s="255" t="s">
        <v>2946</v>
      </c>
      <c r="GH188" s="255" t="str">
        <f>IFERROR(IF(B188="", "", VLOOKUP(J188, 'Fixture Identities'!$A$6:$N$908, 14, FALSE)), "")</f>
        <v/>
      </c>
      <c r="GI188" s="389" t="str">
        <f>IF(OR(B188="", V188="", W188=""), "", IF(AND(OR(M188='Lookup Tables'!$R$18, M188='Lookup Tables'!$R$19, M188='Lookup Tables'!$R$20, M188='Lookup Tables'!$R$21, M188='Lookup Tables'!$R$22), OR(AN188='Lookup Tables'!$R$17, AN188='Lookup Tables'!$R$17, AN188="")), "Y", "N"))</f>
        <v/>
      </c>
      <c r="GJ188" s="255" t="str">
        <f t="shared" si="449"/>
        <v/>
      </c>
      <c r="GK188" s="255" t="str">
        <f t="shared" si="450"/>
        <v/>
      </c>
      <c r="GL188" s="255" t="str">
        <f t="shared" si="451"/>
        <v/>
      </c>
      <c r="GM188" s="255" t="str">
        <f>IF(AN188="", "", IF(AND(IF(ISNA(VLOOKUP(AN188,'Lookup Tables'!$R$18:$R$22,1,FALSE)), "N", "Y")="Y", E188="Exterior"), "Y", "N"))</f>
        <v/>
      </c>
      <c r="GN188" s="395"/>
      <c r="GO188" s="428">
        <f t="shared" si="497"/>
        <v>0</v>
      </c>
      <c r="GP188" s="428">
        <f t="shared" si="500"/>
        <v>0</v>
      </c>
      <c r="GQ188" s="428">
        <f t="shared" si="498"/>
        <v>0</v>
      </c>
      <c r="GR188" s="428">
        <f t="shared" si="499"/>
        <v>0</v>
      </c>
    </row>
    <row r="189" spans="1:200" s="103" customFormat="1" ht="13.5" customHeight="1" x14ac:dyDescent="0.2">
      <c r="A189" s="272">
        <v>179</v>
      </c>
      <c r="B189" s="110"/>
      <c r="C189" s="110"/>
      <c r="D189" s="110"/>
      <c r="E189" s="110"/>
      <c r="F189" s="110"/>
      <c r="G189" s="110"/>
      <c r="H189" s="110"/>
      <c r="I189" s="29"/>
      <c r="J189" s="29"/>
      <c r="K189" s="272" t="str">
        <f>IFERROR(IF(OR(VLOOKUP(J189, 'Fixture Identities'!$A$6:$L$1023, 3, FALSE)="T12 Linear Fluorescent", VLOOKUP(J189, 'Fixture Identities'!$A$6:$L$1023, 3, FALSE)="T12 U-Tube Fluorescent"), VLOOKUP(VLOOKUP(J189, 'Fixture Identities'!$A$6:$L$1023, 11, FALSE), 'Fixture Identities'!$A$6:$L$1023, 10, FALSE), VLOOKUP(J189, 'Fixture Identities'!$A$6:$L$1023, 10, FALSE)), "")</f>
        <v/>
      </c>
      <c r="L189" s="270" t="str">
        <f t="shared" si="502"/>
        <v/>
      </c>
      <c r="M189" s="110"/>
      <c r="N189" s="110"/>
      <c r="O189" s="110"/>
      <c r="P189" s="272" t="str">
        <f>IFERROR(IF(OR(B189="Retrofit",B189=""),"",IF('Lighting Inventory'!E189="Exterior",VLOOKUP('Lighting Inventory'!N189,'Lookup Tables'!$B$83:$F$103,5,FALSE),IF(N189="Other - Please Estimate EFLH and CFs","Contact Prog. Rep.","ft^2"))), "")</f>
        <v/>
      </c>
      <c r="Q189" s="270" t="str">
        <f>IFERROR(IF(AND(B189="New Construction",E189="Interior",$F$5="Space-by-Space"),VLOOKUP('Lighting Inventory'!N189,'Lookup Tables'!$N$6:$O$97,2,FALSE),IF(AND(B189="New Construction",E189="Exterior"),VLOOKUP(N189,'Lookup Tables'!$B$83:$F$103,2,FALSE),IF(AND(B189="New Construction",'Lighting Inventory'!E189="Interior", $F$5="Building Area"),VLOOKUP(F189,'Lookup Tables'!$A$6:$J$59,10,FALSE),""))), "")</f>
        <v/>
      </c>
      <c r="R189" s="270" t="str">
        <f>IFERROR(IF(P189="Contact Prog. Rep.", "ERROR", IF(OR(B189="",B189="Retrofit"),"",IF(N189="Automated teller machines", ('Lookup Tables'!$A$82:$E$100+('Lighting Inventory'!O189-1)*'Lookup Tables'!$A$82:$E$100)/1000, (Q189*O189)/1000))), "")</f>
        <v/>
      </c>
      <c r="S189" s="595"/>
      <c r="T189" s="105" t="str">
        <f t="shared" si="452"/>
        <v/>
      </c>
      <c r="U189" s="105" t="str">
        <f>IF(S189="","",COUNT($S$11:S189))</f>
        <v/>
      </c>
      <c r="V189" s="111"/>
      <c r="W189" s="112"/>
      <c r="X189" s="105" t="str">
        <f t="shared" si="453"/>
        <v/>
      </c>
      <c r="Y189" s="105" t="str">
        <f t="array" ref="Y189">IF(AND(OR(W189="Freezer Case Lighting", W189="Refrigerated Case Lighting with Doors"), 'General Information'!$X$18="LCI"),'Lookup Tables'!$Y$34, IF(V189="Custom", VLOOKUP(W189, 'Fixture Identities'!$A$974:$M$1023, 13, FALSE), IF(V189="No Change",'Lookup Tables'!$Y$29,IF(OR(V189="",W189=""),"",IF(AND(S189=0,S189&lt;I189,B189="Retrofit"),'Lookup Tables'!$Y$25, IF(B189="Retrofit", INDEX('Lookup Tables'!$AH$6:$AP$102, MATCH(1, ('Lookup Tables'!$AH$6:$AH$102=V189)*('Lookup Tables'!$AI$6:$AI$102=W189), 0), IF('Lighting Inventory'!E189="Interior", 4, 5)), INDEX('Lookup Tables'!$AH$114:$AP$154, MATCH(1, ('Lookup Tables'!$AH$114:$AH$154=V189)*('Lookup Tables'!$AI$114:$AI$154=W189), 0), IF('Lighting Inventory'!E189="Interior", 4, 5))))))))</f>
        <v/>
      </c>
      <c r="Z189" s="105" t="str">
        <f>IFERROR(INDEX('Lookup Tables'!$AH$158:$AH$172,MATCH('Lighting Inventory'!Y189,'Lookup Tables'!$AI$158:$AI$172,0)),"")</f>
        <v/>
      </c>
      <c r="AA189" s="105" t="str">
        <f>IF(AP189&gt;0,INDEX('Lookup Tables'!$AK$158:$AK$172,MATCH('Lighting Inventory'!Y189,'Lookup Tables'!$AI$158:$AI$172,0)),'Lighting Inventory'!Y189)</f>
        <v/>
      </c>
      <c r="AB189" s="105" t="str">
        <f t="array" ref="AB189">IF(V189="Custom", "Custom", IF(V189="", "", IF(V189="Not DLC or Energy Star", "General", IF(B189="New Construction", INDEX('Lookup Tables'!$AH$114:$AP$154,MATCH(1,('Lookup Tables'!$AH$114:$AH$154='Lighting Inventory'!V189)*('Lookup Tables'!$AI$114:$AI$154='Lighting Inventory'!W189),FALSE),8), INDEX('Lookup Tables'!$AH$6:$AP$102,MATCH(1,('Lookup Tables'!$AH$6:$AH$102='Lighting Inventory'!V189)*('Lookup Tables'!$AI$6:$AI$102='Lighting Inventory'!W189),FALSE),8)))))</f>
        <v/>
      </c>
      <c r="AC189" s="272" t="str">
        <f>IF(W189="","",IF(V189="Custom",CONCATENATE("$",'Lookup Tables'!$AM$101," ",'Lookup Tables'!$AN$101),CONCATENATE("$",INDEX('Lookup Tables'!$AM$6:$AM$102,MATCH('Lighting Inventory'!W189,'Lookup Tables'!$AI$6:$AI$102,0))," ",INDEX('Lookup Tables'!$AN$6:$AN$102,MATCH('Lighting Inventory'!W189,'Lookup Tables'!$AI$6:$AI$102,0)))))</f>
        <v/>
      </c>
      <c r="AD189" s="72"/>
      <c r="AE189" s="29"/>
      <c r="AF189" s="379"/>
      <c r="AG189" s="370" t="str">
        <f t="shared" si="401"/>
        <v/>
      </c>
      <c r="AH189" s="370" t="str">
        <f t="shared" si="454"/>
        <v/>
      </c>
      <c r="AI189" s="29"/>
      <c r="AJ189" s="29"/>
      <c r="AK189" s="110"/>
      <c r="AL189" s="375" t="str">
        <f>IF(OR(B189="", V189="", W189=""), "", IF(V189="No Change", K189, IF(V189="Remove Fixture", 0, IF(V189="Custom",VLOOKUP(W189,'Fixture Identities'!$A$6:$K$1023,10,FALSE),IF(AE189="", "← ENTER POST WATTS", 'Lighting Inventory'!AE189)))))</f>
        <v/>
      </c>
      <c r="AM189" s="376" t="str">
        <f t="shared" si="402"/>
        <v/>
      </c>
      <c r="AN189" s="29"/>
      <c r="AO189" s="671"/>
      <c r="AP189" s="29"/>
      <c r="AQ189" s="29"/>
      <c r="AR189" s="29"/>
      <c r="AS189" s="272" t="str">
        <f t="shared" si="455"/>
        <v/>
      </c>
      <c r="AT189" s="270" t="str">
        <f t="shared" si="403"/>
        <v/>
      </c>
      <c r="AU189" s="88" t="str">
        <f t="shared" si="503"/>
        <v/>
      </c>
      <c r="AV189" s="29"/>
      <c r="AW189" s="73"/>
      <c r="AX189" s="271" t="str">
        <f>IF(AND(AV189="Applicant",OR(AW189="", AW189="Use Default Facility Hours")),"← Choose Schedule",IF(F189="","",IF(W189="LED Exit Signs",8760,IF(OR(AV189="Prescribed",AV189=""),VLOOKUP(F189,'Lookup Tables'!$A$6:$G$59,IF(AB189="General", 6, 3),FALSE),VLOOKUP(AW189,'Lookup Tables'!$S$36:$U$43,2,FALSE)))))</f>
        <v/>
      </c>
      <c r="AY189" s="88" t="str">
        <f t="shared" si="404"/>
        <v/>
      </c>
      <c r="AZ189" s="270" t="str">
        <f>IFERROR(IF(F189="", "", IF(W189="LED Exit Signs", 1, IF(AV189="Applicant",VLOOKUP(AW189, 'Lookup Tables'!$S$36:$U$43,3, FALSE), VLOOKUP('Lighting Inventory'!F189, 'Lookup Tables'!$A$6:$H$59, IF('Lighting Inventory'!AB189="General",7,4), FALSE)))), "")</f>
        <v/>
      </c>
      <c r="BA189" s="522" t="str">
        <f>IFERROR(IF(F189="", "", IF(W189="LED Exit Signs", 1, VLOOKUP('Lighting Inventory'!F189, 'Lookup Tables'!$A$6:$H$59, IF('Lighting Inventory'!AB189="General",8,5), FALSE))), "")</f>
        <v/>
      </c>
      <c r="BB189" s="270" t="str">
        <f>IF(G189="", "", IF(E189="Exterior", 0, IF('Lighting Inventory'!G189="Air Conditioned", VLOOKUP(H189, 'Lookup Tables'!$R$6:$T$13, 2, FALSE), VLOOKUP('Lighting Inventory'!G189, 'Lookup Tables'!$R$6:$T$13, 2, FALSE))))</f>
        <v/>
      </c>
      <c r="BC189" s="522" t="str">
        <f>IF(G189="", "", IF(E189="Exterior", 0, IF('Lighting Inventory'!G189="Air Conditioned", VLOOKUP(H189, 'Lookup Tables'!$R$6:$T$13, 3, FALSE), VLOOKUP('Lighting Inventory'!G189, 'Lookup Tables'!$R$6:$T$13, 3, FALSE))))</f>
        <v/>
      </c>
      <c r="BD189" s="270" t="str">
        <f>IF(G189="", "", IF(E189="Exterior", 0, IF('Lighting Inventory'!G189="Air Conditioned", VLOOKUP(H189, 'Lookup Tables'!$R$6:$U$13, 4, FALSE), VLOOKUP('Lighting Inventory'!G189, 'Lookup Tables'!$R$6:$U$13, 4, FALSE))))</f>
        <v/>
      </c>
      <c r="BE189" s="270" t="str">
        <f>IFERROR(IF(B189="", "",  IF(B189="New Construction", VLOOKUP(F189, 'Lookup Tables'!$A$6:$K$59, 11, FALSE),IF(OR(AN189="", AN189="Light Switch"), 0, IF(OR(M189="",M189="None",V189= "LED Exit Signs"),0,_xlfn.XLOOKUP(M189,'Lookup Tables'!$R$91:$R$101,'Lookup Tables'!$V$91:$V$101))))), "")</f>
        <v/>
      </c>
      <c r="BF189" s="270" t="str">
        <f>IF(AND(OR(AN189="Light Switch",AN189=""),B189="New Construction"), VLOOKUP(F189, 'Lookup Tables'!$A$6:$K$59, 11, FALSE),IF(AN189="","",IF(B189="","",IF(OR(AN189="None",AN189="",V189="LED Exit Signs",AN189="Exterior Controls Not Eligible"),0,_xlfn.XLOOKUP(AN189,'Lookup Tables'!$R$91:$R$101,'Lookup Tables'!$V$91:$V$101)))))</f>
        <v/>
      </c>
      <c r="BG189" s="88" t="str">
        <f t="shared" si="456"/>
        <v/>
      </c>
      <c r="BH189" s="88" t="str">
        <f t="shared" si="457"/>
        <v/>
      </c>
      <c r="BI189" s="558" t="str">
        <f t="shared" si="501"/>
        <v/>
      </c>
      <c r="BJ189" s="82" t="str">
        <f t="shared" si="458"/>
        <v/>
      </c>
      <c r="BK189" s="82" t="str">
        <f t="shared" si="459"/>
        <v/>
      </c>
      <c r="BL189" s="559" t="str">
        <f t="shared" si="460"/>
        <v/>
      </c>
      <c r="BM189" s="521" t="str">
        <f t="shared" si="405"/>
        <v/>
      </c>
      <c r="BN189" s="521" t="str">
        <f t="shared" si="406"/>
        <v/>
      </c>
      <c r="BO189" s="522" t="str">
        <f t="shared" si="407"/>
        <v/>
      </c>
      <c r="BP189" s="83" t="str">
        <f t="shared" si="461"/>
        <v/>
      </c>
      <c r="BQ189" s="84" t="str">
        <f t="shared" si="462"/>
        <v/>
      </c>
      <c r="BR189" s="184" t="str">
        <f>IFERROR(IF(B189="", "", IF(OR(VLOOKUP(J189, 'Fixture Identities'!$A$6:$L$1023, 3, FALSE)="T12 Linear Fluorescent",VLOOKUP(J189, 'Fixture Identities'!$A$6:$L$1023, 3, FALSE)="T12 U-Tube Fluorescent"), "Y", "N")), "N")</f>
        <v/>
      </c>
      <c r="BS189" s="184" t="str">
        <f t="array" ref="BS189">IFERROR(IF(OR(B189="", V189="", W189=""), "", IF(V189="Custom", "N", IF(OR(W189="Freezer Case Lighting", W189="Refrigerated Case Lighting with Doors"), BT189, IF(B189="Retrofit", INDEX('Lookup Tables'!$AH$6:$AT$102,MATCH(1,('Lookup Tables'!$AH$6:$AH$102=V189)*('Lookup Tables'!$AI$6:$AI$102=W189),FALSE),IF(VLOOKUP(J189, 'Fixture Identities'!$A$6:$B$1023, 2, FALSE)="Incandescent",12, 13)), INDEX('Lookup Tables'!$AH$114:$AS$154,MATCH(1,('Lookup Tables'!$AH$114:$AH$154=V189)*('Lookup Tables'!$AI$114:$AI$154=W189),FALSE),12))))), "N")</f>
        <v/>
      </c>
      <c r="BT189" s="184" t="str">
        <f>IF(J189="", "", IF(AND(OR(W189="Freezer case Lighting", W189="Refrigerated Case Lighting with Doors"),'General Information'!$X$18="LCI"), "N", IF(OR(VLOOKUP(J189, 'Fixture Identities'!$A$6:$B$1023, 2, FALSE)="T12 EPACT/EISA Baseline", VLOOKUP(J189, 'Fixture Identities'!$A$6:$B$1023, 2, FALSE)="Linear Fluorescent", VLOOKUP(J189, 'Fixture Identities'!$A$6:$B$1023, 2, FALSE)="U-Tube Fluorescent"), "Y", "N")))</f>
        <v/>
      </c>
      <c r="BU189" s="184" t="str">
        <f>IFERROR(IF(B189="", "", IF(VLOOKUP(J189, 'Fixture Identities'!$A$6:$B$1023, 2, FALSE)="Exit Sign", "Y", "N")), "N")</f>
        <v/>
      </c>
      <c r="BV189" s="184" t="str">
        <f>IF(V189="Exit Signs", IF(VLOOKUP(J189, 'Fixture Identities'!$A$6:$B$1023, 2, FALSE)="Exit Sign", "N", "Y"), "")</f>
        <v/>
      </c>
      <c r="BW189" s="184" t="str">
        <f t="array" ref="BW189">IFERROR(IF(B189="", "", IF(B189="New Construction", "N", INDEX('Lookup Tables'!$AH$6:$AU$102, MATCH(1, ('Lookup Tables'!$AH$6:$AH$102='Lighting Inventory'!V189)*('Lookup Tables'!$AI$6:$AI$102='Lighting Inventory'!W189), 0), 14))), "N")</f>
        <v/>
      </c>
      <c r="BX189" s="598" t="str">
        <f t="shared" si="463"/>
        <v/>
      </c>
      <c r="BY189" s="598" t="str">
        <f t="shared" si="464"/>
        <v/>
      </c>
      <c r="BZ189" s="598" t="str">
        <f t="shared" si="465"/>
        <v/>
      </c>
      <c r="CA189" s="598" t="str">
        <f t="shared" si="466"/>
        <v/>
      </c>
      <c r="CB189" s="269" t="str">
        <f t="shared" si="467"/>
        <v/>
      </c>
      <c r="CC189" s="517" t="str">
        <f t="shared" si="468"/>
        <v/>
      </c>
      <c r="CD189" s="565" t="str">
        <f t="shared" si="408"/>
        <v/>
      </c>
      <c r="CE189" s="368">
        <v>0</v>
      </c>
      <c r="CF189" s="368" t="str" cm="1">
        <f t="array" ref="CF189">IFERROR(IF(V189="Custom", "$0.1 per kWh", IF(B189="New Construction", CONCATENATE("$",INDEX('Lookup Tables'!$AH$114:$AN$154,MATCH(1,('Lookup Tables'!$AH$114:$AH$154='Lighting Inventory'!V189)*('Lookup Tables'!$AI$114:$AI$154='Lighting Inventory'!W189),FALSE),6)," ",INDEX('Lookup Tables'!$AH$114:$AN$154,MATCH(1,('Lookup Tables'!$AH$114:$AH$154='Lighting Inventory'!V189)*('Lookup Tables'!$AI$114:$AI$154='Lighting Inventory'!W189),FALSE),7)), IF(AND(BU189="N", V189="Exit Signs"), "$0.025 per kWh", CONCATENATE("$",INDEX('Lookup Tables'!$AH$6:$AN$102,MATCH(1,('Lookup Tables'!$AH$6:$AH$102='Lighting Inventory'!V189)*('Lookup Tables'!$AI$6:$AI$102='Lighting Inventory'!W189),FALSE),6)," ",INDEX('Lookup Tables'!$AH$6:$AN$102,MATCH(1,('Lookup Tables'!$AH$6:$AH$102='Lighting Inventory'!V189)*('Lookup Tables'!$AI$6:$AI$102='Lighting Inventory'!W189),FALSE),7))))), "")</f>
        <v/>
      </c>
      <c r="CG189" s="366"/>
      <c r="CH189" s="248" t="str">
        <f t="shared" si="409"/>
        <v/>
      </c>
      <c r="CI189" s="248" t="str">
        <f t="shared" si="410"/>
        <v>Select_IE</v>
      </c>
      <c r="CJ189" s="248" t="str">
        <f t="shared" si="411"/>
        <v/>
      </c>
      <c r="CK189" s="248" t="str">
        <f t="shared" si="412"/>
        <v/>
      </c>
      <c r="CL189" s="248" t="str">
        <f t="shared" si="413"/>
        <v/>
      </c>
      <c r="CM189" s="248" t="str">
        <f>IFERROR(IF(B189="", "", IF(B189="New Construction", VLOOKUP(V189, 'Lookup Tables'!$AF$114:$AG$120, 2, FALSE), VLOOKUP(V189, 'Lookup Tables'!$AD$6:$AE$25, 2, FALSE))), "")</f>
        <v/>
      </c>
      <c r="CN189" s="248" t="str">
        <f t="shared" si="414"/>
        <v/>
      </c>
      <c r="CO189" s="248" t="str">
        <f t="shared" si="415"/>
        <v/>
      </c>
      <c r="CP189" s="592" t="str">
        <f t="shared" si="416"/>
        <v/>
      </c>
      <c r="CQ189" s="248" t="str">
        <f t="shared" si="469"/>
        <v/>
      </c>
      <c r="CR189" s="100"/>
      <c r="CS189" s="250" t="str">
        <f t="shared" si="417"/>
        <v/>
      </c>
      <c r="CT189" s="250" t="str">
        <f t="shared" si="470"/>
        <v/>
      </c>
      <c r="CU189" s="250" t="str">
        <f t="shared" si="471"/>
        <v/>
      </c>
      <c r="CV189" s="250" t="str">
        <f t="shared" si="472"/>
        <v/>
      </c>
      <c r="CW189" s="250" t="str">
        <f t="shared" si="473"/>
        <v/>
      </c>
      <c r="CX189" s="250" t="str">
        <f t="shared" si="418"/>
        <v/>
      </c>
      <c r="CY189" s="250" t="str">
        <f t="shared" si="419"/>
        <v/>
      </c>
      <c r="CZ189" s="250" t="str">
        <f t="shared" si="420"/>
        <v/>
      </c>
      <c r="DA189" s="250" t="str">
        <f t="shared" si="421"/>
        <v/>
      </c>
      <c r="DB189" s="250" t="str">
        <f t="shared" si="422"/>
        <v/>
      </c>
      <c r="DC189" s="250" t="str">
        <f t="shared" si="423"/>
        <v/>
      </c>
      <c r="DD189" s="250" t="str">
        <f t="shared" si="424"/>
        <v/>
      </c>
      <c r="DE189" s="250" t="str">
        <f t="shared" si="425"/>
        <v/>
      </c>
      <c r="DF189" s="250" t="str">
        <f t="shared" si="426"/>
        <v/>
      </c>
      <c r="DG189" s="250" t="str">
        <f t="shared" si="427"/>
        <v/>
      </c>
      <c r="DH189" s="250" t="str">
        <f t="shared" si="428"/>
        <v/>
      </c>
      <c r="DI189" s="250" t="str">
        <f t="shared" si="429"/>
        <v/>
      </c>
      <c r="DJ189" s="250" t="str">
        <f t="shared" si="430"/>
        <v/>
      </c>
      <c r="DK189" s="250" t="str">
        <f t="shared" si="431"/>
        <v/>
      </c>
      <c r="DL189" s="250" t="str">
        <f t="shared" si="432"/>
        <v/>
      </c>
      <c r="DM189" s="250" t="str">
        <f>IF(CD189="ERROR", "ERROR", IF(AND(OR(Y189=$DM$6, Y189='Lookup Tables'!$AD$21, Y189='Lookup Tables'!$AD$22), E189="Interior"), BJ189, ""))</f>
        <v/>
      </c>
      <c r="DN189" s="250" t="str">
        <f>IF(CD189="ERROR", "ERROR", IF(AND(OR(Y189=$DM$6, Y189='Lookup Tables'!$AD$21, Y189='Lookup Tables'!$AD$22), E189="Exterior"), BJ189, ""))</f>
        <v/>
      </c>
      <c r="DO189" s="100"/>
      <c r="DP189" s="250" t="str">
        <f t="shared" si="433"/>
        <v/>
      </c>
      <c r="DQ189" s="250" t="str">
        <f t="shared" si="474"/>
        <v/>
      </c>
      <c r="DR189" s="250" t="str">
        <f t="shared" si="475"/>
        <v/>
      </c>
      <c r="DS189" s="250" t="str">
        <f t="shared" si="476"/>
        <v/>
      </c>
      <c r="DT189" s="250" t="str">
        <f t="shared" si="477"/>
        <v/>
      </c>
      <c r="DU189" s="250" t="str">
        <f t="shared" si="434"/>
        <v/>
      </c>
      <c r="DV189" s="250" t="str">
        <f t="shared" si="435"/>
        <v/>
      </c>
      <c r="DW189" s="250" t="str">
        <f t="shared" si="436"/>
        <v/>
      </c>
      <c r="DX189" s="250" t="str">
        <f t="shared" si="437"/>
        <v/>
      </c>
      <c r="DY189" s="250" t="str">
        <f t="shared" si="438"/>
        <v/>
      </c>
      <c r="DZ189" s="250" t="str">
        <f t="shared" si="439"/>
        <v/>
      </c>
      <c r="EA189" s="250" t="str">
        <f t="shared" si="440"/>
        <v/>
      </c>
      <c r="EB189" s="250" t="str">
        <f t="shared" si="478"/>
        <v/>
      </c>
      <c r="EC189" s="250" t="str">
        <f t="shared" si="441"/>
        <v/>
      </c>
      <c r="ED189" s="250" t="str">
        <f t="shared" si="442"/>
        <v/>
      </c>
      <c r="EE189" s="250" t="str">
        <f t="shared" si="443"/>
        <v/>
      </c>
      <c r="EF189" s="250" t="str">
        <f t="shared" si="444"/>
        <v/>
      </c>
      <c r="EG189" s="250" t="str">
        <f t="shared" si="445"/>
        <v/>
      </c>
      <c r="EH189" s="250" t="str">
        <f>IF(CD189="ERROR", "ERROR", IF(AND(OR($EH$6=Y189, Y189='Lookup Tables'!$AD$21, Y189='Lookup Tables'!$AD$22),E189="Interior"), SUM(BP189:BP189), ""))</f>
        <v/>
      </c>
      <c r="EI189" s="250" t="str">
        <f>IF(CD189="ERROR", "ERROR", IF(AND(OR($EH$6=Y189, Y189='Lookup Tables'!$AD$21, Y189='Lookup Tables'!$AD$22),E189="Exterior"), SUM(BP189:BP189), ""))</f>
        <v/>
      </c>
      <c r="EJ189" s="109"/>
      <c r="EK189" s="485" t="str">
        <f t="shared" si="446"/>
        <v/>
      </c>
      <c r="EL189" s="252" t="str">
        <f t="shared" si="479"/>
        <v/>
      </c>
      <c r="EM189" s="252" t="str">
        <f t="shared" si="480"/>
        <v/>
      </c>
      <c r="EN189" s="252" t="str">
        <f t="shared" si="481"/>
        <v/>
      </c>
      <c r="EO189" s="252" t="str">
        <f t="shared" si="482"/>
        <v/>
      </c>
      <c r="EP189" s="252" t="str">
        <f t="shared" si="483"/>
        <v/>
      </c>
      <c r="EQ189" s="252" t="str">
        <f t="shared" si="484"/>
        <v/>
      </c>
      <c r="ER189" s="252" t="str">
        <f t="shared" si="485"/>
        <v/>
      </c>
      <c r="ES189" s="252" t="str">
        <f t="shared" si="486"/>
        <v/>
      </c>
      <c r="ET189" s="252" t="str">
        <f t="shared" si="487"/>
        <v/>
      </c>
      <c r="EU189" s="252" t="str">
        <f t="shared" si="488"/>
        <v/>
      </c>
      <c r="EV189" s="252" t="str">
        <f t="shared" si="489"/>
        <v/>
      </c>
      <c r="EW189" s="252" t="str">
        <f t="shared" si="490"/>
        <v/>
      </c>
      <c r="EX189" s="252" t="str">
        <f t="shared" si="491"/>
        <v/>
      </c>
      <c r="EY189" s="252" t="str">
        <f t="shared" si="492"/>
        <v/>
      </c>
      <c r="EZ189" s="252" t="str">
        <f t="shared" si="493"/>
        <v/>
      </c>
      <c r="FA189" s="252" t="str">
        <f t="shared" si="494"/>
        <v/>
      </c>
      <c r="FB189" s="252" t="str">
        <f t="shared" si="495"/>
        <v/>
      </c>
      <c r="FC189" s="252" t="str">
        <f>IF(CD189="ERROR", "ERROR", IF(OR(V189="No Change", V189="Not DLC or Energy Star"), "", IF(AND(OR($FC$6=Y189,Y189='Lookup Tables'!$AD$21, Y189='Lookup Tables'!$AD$22),E189="Interior"), S189, "")))</f>
        <v/>
      </c>
      <c r="FD189" s="252" t="str">
        <f t="shared" si="496"/>
        <v/>
      </c>
      <c r="FE189" s="101"/>
      <c r="FF189" s="579" t="str" cm="1">
        <f t="array" ref="FF189">IFERROR(IF(OR(BQ189&lt;=0,AQ189&lt;20,AND(V189="Exit Signs",AN189&gt;0)),"",IF(AND(AQ189&gt;=20,AN189='Lookup Tables'!$R$101),'Lookup Tables'!$U$101*BQ189,AP189*LOOKUP(2,1/((AN189='Lookup Tables'!$R$91:$R$111)*(AQ189&gt;='Lookup Tables'!$S$91:$S$111)*(AQ189&lt;='Lookup Tables'!$T$91:$T$111)),'Lookup Tables'!$U$91:$U$111))),"")</f>
        <v/>
      </c>
      <c r="FG189" s="579"/>
      <c r="FH189" s="579"/>
      <c r="FI189" s="253" t="str">
        <f>IFERROR(ROUND(IF(CD189="ERROR", "ERROR", IF(AND($FI$7=X189,E189="Interior"),VLOOKUP(W189, 'Lookup Tables'!$AI$6:$AM$102, 5, FALSE)*BP189, "")), 2), "")</f>
        <v/>
      </c>
      <c r="FJ189" s="253" t="str">
        <f>IFERROR(ROUND(IF(CD189="ERROR", "ERROR", IF(AND($FI$7=X189,E189="Exterior"),VLOOKUP(W189, 'Lookup Tables'!$AI$6:$AM$102, 5, FALSE)*BP189, "")), 2), "")</f>
        <v/>
      </c>
      <c r="FK189" s="253" t="str">
        <f>IFERROR(ROUND(IF(CD189="ERROR", "ERROR", IF(AND($FK$7=X189,E189="Interior"),VLOOKUP(W189, 'Lookup Tables'!$AI$6:$AM$102, 5, FALSE)*BP189, "")), 2), "")</f>
        <v/>
      </c>
      <c r="FL189" s="253" t="str">
        <f>IFERROR(ROUND(IF(CD189="ERROR", "ERROR", IF(AND($FK$7=X189,E189="Exterior"),VLOOKUP(W189, 'Lookup Tables'!$AI$6:$AM$102, 5, FALSE)*BP189, "")), 2), "")</f>
        <v/>
      </c>
      <c r="FM189" s="253" t="str">
        <f>IFERROR(ROUND(IF(CD189="ERROR", "ERROR", IF(AND($FM$6=Y189,E189="Interior"), IF(GB189=0, VLOOKUP(W189, 'Lookup Tables'!$AI$6:$AM$102, 5, FALSE)*BP189, IF(VLOOKUP(W189, 'Lookup Tables'!$AI$6:$AM$102, 5, FALSE)*BP189&gt;GB189*'Lighting Inventory'!S189, GB189*'Lighting Inventory'!S189,VLOOKUP(W189, 'Lookup Tables'!$AI$6:$AM$102, 5, FALSE)*BP189)), "")), 2), "")</f>
        <v/>
      </c>
      <c r="FN189" s="253" t="str">
        <f>IFERROR(ROUND(IF(CD189="ERROR", "ERROR", IF(AND($FM$6=Y189,E189="Exterior"), IF(GB189=0, VLOOKUP(W189, 'Lookup Tables'!$AI$6:$AM$102, 5, FALSE)*BP189, IF(VLOOKUP(W189, 'Lookup Tables'!$AI$6:$AM$102, 5, FALSE)*BP189&gt;GB189*'Lighting Inventory'!S189, GB189*'Lighting Inventory'!S189,VLOOKUP(W189, 'Lookup Tables'!$AI$6:$AM$102, 5, FALSE)*BP189)), "")), 2), "")</f>
        <v/>
      </c>
      <c r="FO189" s="253" t="str">
        <f>IFERROR(ROUND(IF(CD189="ERROR", "ERROR", IF(AND($FO$6=Y189,E189="Interior"),VLOOKUP(W189, 'Lookup Tables'!$AI$6:$AM$102, 5, FALSE)*'Lighting Inventory'!AI189, "")), 2), "")</f>
        <v/>
      </c>
      <c r="FP189" s="253" t="str">
        <f>IFERROR(ROUND(IF(CD189="ERROR", "ERROR", IF(AND($FO$6=Y189,E189="Exterior"),VLOOKUP(W189, 'Lookup Tables'!$AI$6:$AM$102, 5, FALSE)*'Lighting Inventory'!AI189, "")), 2), "")</f>
        <v/>
      </c>
      <c r="FQ189" s="253" t="str">
        <f>IFERROR(ROUND(IF(CD189="ERROR", "ERROR", IF(AND($FQ$6=Y189,E189="Interior", BU189="Y"), VLOOKUP('Lighting Inventory'!W189, 'Lookup Tables'!$AI$6:$AM$102, 5, FALSE)*'Lighting Inventory'!S189, IF(AND($FQ$7=Y189,E189="Interior", BU189="N"), 0.025*CD189, ""))), 2), "")</f>
        <v/>
      </c>
      <c r="FR189" s="253" t="str">
        <f>IFERROR(ROUND(IF(CD189="ERROR", "ERROR", IF(AND($FQ$6=Y189,E189="Exterior"), VLOOKUP('Lighting Inventory'!W189, 'Lookup Tables'!$AI$6:$AM$102, 5, FALSE)*'Lighting Inventory'!S189, "")), 2), "")</f>
        <v/>
      </c>
      <c r="FS189" s="253" t="str">
        <f>IFERROR(ROUND(IF(CD189="ERROR", "ERROR", IF(AND($FS$6=Y189,E189="Exterior"), IF(GB189=0, VLOOKUP(W189, 'Lookup Tables'!$AI$6:$AM$102, 5, FALSE)*BP189, IF(VLOOKUP(W189, 'Lookup Tables'!$AI$6:$AM$102, 5, FALSE)*BP189&gt;GB189*'Lighting Inventory'!S189, GB189*'Lighting Inventory'!S189,VLOOKUP(W189, 'Lookup Tables'!$AI$6:$AM$102, 5, FALSE)*BP189)), "")), 2), "")</f>
        <v/>
      </c>
      <c r="FT189" s="253" t="str">
        <f>IFERROR(ROUND(IF(CD189="ERROR", "ERROR", IF(AND($FT$6=Y189,E189="Interior"), IF(GB189=0, VLOOKUP(W189, 'Lookup Tables'!$AI$6:$AM$102, 5, FALSE)*BP189, IF(VLOOKUP(W189, 'Lookup Tables'!$AI$6:$AM$102, 5, FALSE)*BP189&gt;GB189*'Lighting Inventory'!S189, GB189*'Lighting Inventory'!S189,VLOOKUP(W189, 'Lookup Tables'!$AI$6:$AM$102, 5, FALSE)*BP189)), "")), 2), "")</f>
        <v/>
      </c>
      <c r="FU189" s="253" t="str">
        <f>IFERROR(ROUND(IF(CD189="ERROR", "ERROR", IF(AND(Y189=$FU$6, E189="Interior"), IF(BS189="N", 'Lookup Tables'!$AM$101*BP189, VLOOKUP(W189, 'Lookup Tables'!$AI$6:$AM$102, 5, FALSE)*S189*AD189), "")), 2), "")</f>
        <v/>
      </c>
      <c r="FV189" s="253" t="str">
        <f>IFERROR(ROUND(IF(CD189="ERROR", "ERROR", IF(AND(Y189=$FU$6, E189="Exterior"), IF(BS189="N", 'Lookup Tables'!$AM$101*BP189, VLOOKUP(W189, 'Lookup Tables'!$AI$6:$AM$102, 5, FALSE)*S189*AD189), "")), 2), "")</f>
        <v/>
      </c>
      <c r="FW189" s="253" t="str">
        <f>IFERROR(ROUND(IF(CD189="ERROR", "ERROR", IF($FW$6=Y189, IF(BS189="N", 'Lookup Tables'!$AM$101*BP189, MIN((VLOOKUP(W189, 'Lookup Tables'!$AI$6:$AM$102, 5, FALSE)*BP189),GB189*AJ189)), "")), 2), "")</f>
        <v/>
      </c>
      <c r="FX189" s="253" t="str">
        <f>IFERROR(ROUND(IF(CD189="ERROR", "ERROR", IF(AND($FX$6=Y189, E189="Interior"), IF(VLOOKUP(W189, 'Lookup Tables'!$AI$6:$AM$102, 5, FALSE)*BP189&gt;'Lookup Tables'!$AQ$97*'Lighting Inventory'!S189,'Lighting Inventory'!S189*'Lookup Tables'!$AQ$97,VLOOKUP(W189, 'Lookup Tables'!$AI$6:$AM$102, 5, FALSE)*BP189), "")), 2), "")</f>
        <v/>
      </c>
      <c r="FY189" s="253" t="str">
        <f>IFERROR(ROUND(IF(CD189="ERROR", "ERROR", IF(AND($FX$6=Y189, E189="Exterior"), IF(VLOOKUP(W189, 'Lookup Tables'!$AI$6:$AM$102, 5, FALSE)*BP189&gt;'Lookup Tables'!$AQ$97*'Lighting Inventory'!S189,'Lighting Inventory'!S189*'Lookup Tables'!$AQ$97,VLOOKUP(W189, 'Lookup Tables'!$AI$6:$AM$102, 5, FALSE)*BP189), "")), 2), "")</f>
        <v/>
      </c>
      <c r="FZ189" s="253" t="str">
        <f>IFERROR(ROUND(IF(CD189="ERROR", "ERROR", IF(AND($FZ$6=Y189, E189="Interior"), IF(AND(OR(W189="Refrigerated Case Lighting with Doors", W189="Freezer Case Lighting"),Y189="Custom - Process Improvement"),CD189*'Lookup Tables'!$AM$101, IF(B189="Retrofit", IF(VLOOKUP(IF(V189="Custom", V189, W189), 'Lookup Tables'!$AI$6:$AM$102, 5, FALSE)*BP189&gt;GE189, GE189, VLOOKUP(IF(V189="Custom", V189, W189), 'Lookup Tables'!$AI$6:$AM$102, 5, FALSE)*BP189), IF(VLOOKUP(IF(V189="Custom", V189, W189), 'Lookup Tables'!$AI$114:$AM$154, 5, FALSE)*BP189&gt;GE189, GE189, VLOOKUP(IF(V189="Custom", V189, W189), 'Lookup Tables'!$AI$114:$AM$154, 5, FALSE)*BP189))), "")), 2),"")</f>
        <v/>
      </c>
      <c r="GA189" s="253" t="str">
        <f>IFERROR(ROUND(IF(CD189="ERROR", "ERROR", IF(AND($FZ$6=Y189, E189="Exterior"), IF(B189="Retrofit", IF(VLOOKUP(IF(V189="Custom", V189, W189), 'Lookup Tables'!$AI$6:$AM$102, 5, FALSE)*BP189&gt;GE189, GE189, VLOOKUP(IF(V189="Custom", V189, W189), 'Lookup Tables'!$AI$6:$AM$102, 5, FALSE)*BP189), IF(VLOOKUP(IF(V189="Custom", V189, W189), 'Lookup Tables'!$AI$114:$AM$154, 5, FALSE)*BP189&gt;GE189, GE189, VLOOKUP(IF(V189="Custom", V189, W189), 'Lookup Tables'!$AI$114:$AM$154, 5, FALSE)*BP189)), "")), 2),"")</f>
        <v/>
      </c>
      <c r="GB189" s="254" t="str">
        <f t="array" ref="GB189">IF(B189="","",IF(OR(V189="Custom",V189="No Change"),0,IF(B189="Retrofit", INDEX('Lookup Tables'!$AH$6:$AQ$102,MATCH(1,('Lookup Tables'!$AH$6:$AH$102='Lighting Inventory'!V189)*('Lookup Tables'!$AI$6:$AI$102='Lighting Inventory'!W189),FALSE),10),INDEX('Lookup Tables'!$AH$114:$AQ$154,MATCH(1,('Lookup Tables'!$AH$114:$AH$154='Lighting Inventory'!V189)*('Lookup Tables'!$AI$114:$AI$154='Lighting Inventory'!W189),FALSE),10))))</f>
        <v/>
      </c>
      <c r="GC189" s="255" t="str">
        <f t="shared" si="447"/>
        <v/>
      </c>
      <c r="GD189" s="250" t="str">
        <f t="shared" si="448"/>
        <v/>
      </c>
      <c r="GE189" s="253" t="str">
        <f>IFERROR(IF(AND(AF189="", 'General Information'!$F$18="No"),"", IF(AF189="", ((GD189/$CD$266)*$CF$266)*0.5, AF189*S189*0.5)), "")</f>
        <v/>
      </c>
      <c r="GF189" s="255" t="str">
        <f>IF(AND('General Information'!$F$19="", 'General Information'!$F$18="Yes",AF189="",BW189="Y"), "Y", "N")</f>
        <v>N</v>
      </c>
      <c r="GG189" s="255" t="s">
        <v>2946</v>
      </c>
      <c r="GH189" s="255" t="str">
        <f>IFERROR(IF(B189="", "", VLOOKUP(J189, 'Fixture Identities'!$A$6:$N$908, 14, FALSE)), "")</f>
        <v/>
      </c>
      <c r="GI189" s="389" t="str">
        <f>IF(OR(B189="", V189="", W189=""), "", IF(AND(OR(M189='Lookup Tables'!$R$18, M189='Lookup Tables'!$R$19, M189='Lookup Tables'!$R$20, M189='Lookup Tables'!$R$21, M189='Lookup Tables'!$R$22), OR(AN189='Lookup Tables'!$R$17, AN189='Lookup Tables'!$R$17, AN189="")), "Y", "N"))</f>
        <v/>
      </c>
      <c r="GJ189" s="255" t="str">
        <f t="shared" si="449"/>
        <v/>
      </c>
      <c r="GK189" s="255" t="str">
        <f t="shared" si="450"/>
        <v/>
      </c>
      <c r="GL189" s="255" t="str">
        <f t="shared" si="451"/>
        <v/>
      </c>
      <c r="GM189" s="255" t="str">
        <f>IF(AN189="", "", IF(AND(IF(ISNA(VLOOKUP(AN189,'Lookup Tables'!$R$18:$R$22,1,FALSE)), "N", "Y")="Y", E189="Exterior"), "Y", "N"))</f>
        <v/>
      </c>
      <c r="GN189" s="395"/>
      <c r="GO189" s="428">
        <f t="shared" si="497"/>
        <v>0</v>
      </c>
      <c r="GP189" s="428">
        <f t="shared" si="500"/>
        <v>0</v>
      </c>
      <c r="GQ189" s="428">
        <f t="shared" si="498"/>
        <v>0</v>
      </c>
      <c r="GR189" s="428">
        <f t="shared" si="499"/>
        <v>0</v>
      </c>
    </row>
    <row r="190" spans="1:200" s="103" customFormat="1" ht="13.5" customHeight="1" x14ac:dyDescent="0.2">
      <c r="A190" s="272">
        <v>180</v>
      </c>
      <c r="B190" s="110"/>
      <c r="C190" s="110"/>
      <c r="D190" s="110"/>
      <c r="E190" s="110"/>
      <c r="F190" s="110"/>
      <c r="G190" s="110"/>
      <c r="H190" s="110"/>
      <c r="I190" s="29"/>
      <c r="J190" s="29"/>
      <c r="K190" s="272" t="str">
        <f>IFERROR(IF(OR(VLOOKUP(J190, 'Fixture Identities'!$A$6:$L$1023, 3, FALSE)="T12 Linear Fluorescent", VLOOKUP(J190, 'Fixture Identities'!$A$6:$L$1023, 3, FALSE)="T12 U-Tube Fluorescent"), VLOOKUP(VLOOKUP(J190, 'Fixture Identities'!$A$6:$L$1023, 11, FALSE), 'Fixture Identities'!$A$6:$L$1023, 10, FALSE), VLOOKUP(J190, 'Fixture Identities'!$A$6:$L$1023, 10, FALSE)), "")</f>
        <v/>
      </c>
      <c r="L190" s="270" t="str">
        <f t="shared" si="502"/>
        <v/>
      </c>
      <c r="M190" s="110"/>
      <c r="N190" s="110"/>
      <c r="O190" s="110"/>
      <c r="P190" s="272" t="str">
        <f>IFERROR(IF(OR(B190="Retrofit",B190=""),"",IF('Lighting Inventory'!E190="Exterior",VLOOKUP('Lighting Inventory'!N190,'Lookup Tables'!$B$83:$F$103,5,FALSE),IF(N190="Other - Please Estimate EFLH and CFs","Contact Prog. Rep.","ft^2"))), "")</f>
        <v/>
      </c>
      <c r="Q190" s="270" t="str">
        <f>IFERROR(IF(AND(B190="New Construction",E190="Interior",$F$5="Space-by-Space"),VLOOKUP('Lighting Inventory'!N190,'Lookup Tables'!$N$6:$O$97,2,FALSE),IF(AND(B190="New Construction",E190="Exterior"),VLOOKUP(N190,'Lookup Tables'!$B$83:$F$103,2,FALSE),IF(AND(B190="New Construction",'Lighting Inventory'!E190="Interior", $F$5="Building Area"),VLOOKUP(F190,'Lookup Tables'!$A$6:$J$59,10,FALSE),""))), "")</f>
        <v/>
      </c>
      <c r="R190" s="270" t="str">
        <f>IFERROR(IF(P190="Contact Prog. Rep.", "ERROR", IF(OR(B190="",B190="Retrofit"),"",IF(N190="Automated teller machines", ('Lookup Tables'!$A$82:$E$100+('Lighting Inventory'!O190-1)*'Lookup Tables'!$A$82:$E$100)/1000, (Q190*O190)/1000))), "")</f>
        <v/>
      </c>
      <c r="S190" s="595"/>
      <c r="T190" s="105" t="str">
        <f t="shared" si="452"/>
        <v/>
      </c>
      <c r="U190" s="105" t="str">
        <f>IF(S190="","",COUNT($S$11:S190))</f>
        <v/>
      </c>
      <c r="V190" s="111"/>
      <c r="W190" s="112"/>
      <c r="X190" s="105" t="str">
        <f t="shared" si="453"/>
        <v/>
      </c>
      <c r="Y190" s="105" t="str">
        <f t="array" ref="Y190">IF(AND(OR(W190="Freezer Case Lighting", W190="Refrigerated Case Lighting with Doors"), 'General Information'!$X$18="LCI"),'Lookup Tables'!$Y$34, IF(V190="Custom", VLOOKUP(W190, 'Fixture Identities'!$A$974:$M$1023, 13, FALSE), IF(V190="No Change",'Lookup Tables'!$Y$29,IF(OR(V190="",W190=""),"",IF(AND(S190=0,S190&lt;I190,B190="Retrofit"),'Lookup Tables'!$Y$25, IF(B190="Retrofit", INDEX('Lookup Tables'!$AH$6:$AP$102, MATCH(1, ('Lookup Tables'!$AH$6:$AH$102=V190)*('Lookup Tables'!$AI$6:$AI$102=W190), 0), IF('Lighting Inventory'!E190="Interior", 4, 5)), INDEX('Lookup Tables'!$AH$114:$AP$154, MATCH(1, ('Lookup Tables'!$AH$114:$AH$154=V190)*('Lookup Tables'!$AI$114:$AI$154=W190), 0), IF('Lighting Inventory'!E190="Interior", 4, 5))))))))</f>
        <v/>
      </c>
      <c r="Z190" s="105" t="str">
        <f>IFERROR(INDEX('Lookup Tables'!$AH$158:$AH$172,MATCH('Lighting Inventory'!Y190,'Lookup Tables'!$AI$158:$AI$172,0)),"")</f>
        <v/>
      </c>
      <c r="AA190" s="105" t="str">
        <f>IF(AP190&gt;0,INDEX('Lookup Tables'!$AK$158:$AK$172,MATCH('Lighting Inventory'!Y190,'Lookup Tables'!$AI$158:$AI$172,0)),'Lighting Inventory'!Y190)</f>
        <v/>
      </c>
      <c r="AB190" s="105" t="str">
        <f t="array" ref="AB190">IF(V190="Custom", "Custom", IF(V190="", "", IF(V190="Not DLC or Energy Star", "General", IF(B190="New Construction", INDEX('Lookup Tables'!$AH$114:$AP$154,MATCH(1,('Lookup Tables'!$AH$114:$AH$154='Lighting Inventory'!V190)*('Lookup Tables'!$AI$114:$AI$154='Lighting Inventory'!W190),FALSE),8), INDEX('Lookup Tables'!$AH$6:$AP$102,MATCH(1,('Lookup Tables'!$AH$6:$AH$102='Lighting Inventory'!V190)*('Lookup Tables'!$AI$6:$AI$102='Lighting Inventory'!W190),FALSE),8)))))</f>
        <v/>
      </c>
      <c r="AC190" s="272" t="str">
        <f>IF(W190="","",IF(V190="Custom",CONCATENATE("$",'Lookup Tables'!$AM$101," ",'Lookup Tables'!$AN$101),CONCATENATE("$",INDEX('Lookup Tables'!$AM$6:$AM$102,MATCH('Lighting Inventory'!W190,'Lookup Tables'!$AI$6:$AI$102,0))," ",INDEX('Lookup Tables'!$AN$6:$AN$102,MATCH('Lighting Inventory'!W190,'Lookup Tables'!$AI$6:$AI$102,0)))))</f>
        <v/>
      </c>
      <c r="AD190" s="72"/>
      <c r="AE190" s="29"/>
      <c r="AF190" s="379"/>
      <c r="AG190" s="370" t="str">
        <f t="shared" si="401"/>
        <v/>
      </c>
      <c r="AH190" s="370" t="str">
        <f t="shared" si="454"/>
        <v/>
      </c>
      <c r="AI190" s="29"/>
      <c r="AJ190" s="29"/>
      <c r="AK190" s="110"/>
      <c r="AL190" s="375" t="str">
        <f>IF(OR(B190="", V190="", W190=""), "", IF(V190="No Change", K190, IF(V190="Remove Fixture", 0, IF(V190="Custom",VLOOKUP(W190,'Fixture Identities'!$A$6:$K$1023,10,FALSE),IF(AE190="", "← ENTER POST WATTS", 'Lighting Inventory'!AE190)))))</f>
        <v/>
      </c>
      <c r="AM190" s="376" t="str">
        <f t="shared" si="402"/>
        <v/>
      </c>
      <c r="AN190" s="29"/>
      <c r="AO190" s="671"/>
      <c r="AP190" s="29"/>
      <c r="AQ190" s="29"/>
      <c r="AR190" s="29"/>
      <c r="AS190" s="272" t="str">
        <f t="shared" si="455"/>
        <v/>
      </c>
      <c r="AT190" s="270" t="str">
        <f t="shared" si="403"/>
        <v/>
      </c>
      <c r="AU190" s="88" t="str">
        <f t="shared" si="503"/>
        <v/>
      </c>
      <c r="AV190" s="29"/>
      <c r="AW190" s="73"/>
      <c r="AX190" s="271" t="str">
        <f>IF(AND(AV190="Applicant",OR(AW190="", AW190="Use Default Facility Hours")),"← Choose Schedule",IF(F190="","",IF(W190="LED Exit Signs",8760,IF(OR(AV190="Prescribed",AV190=""),VLOOKUP(F190,'Lookup Tables'!$A$6:$G$59,IF(AB190="General", 6, 3),FALSE),VLOOKUP(AW190,'Lookup Tables'!$S$36:$U$43,2,FALSE)))))</f>
        <v/>
      </c>
      <c r="AY190" s="88" t="str">
        <f t="shared" si="404"/>
        <v/>
      </c>
      <c r="AZ190" s="270" t="str">
        <f>IFERROR(IF(F190="", "", IF(W190="LED Exit Signs", 1, IF(AV190="Applicant",VLOOKUP(AW190, 'Lookup Tables'!$S$36:$U$43,3, FALSE), VLOOKUP('Lighting Inventory'!F190, 'Lookup Tables'!$A$6:$H$59, IF('Lighting Inventory'!AB190="General",7,4), FALSE)))), "")</f>
        <v/>
      </c>
      <c r="BA190" s="522" t="str">
        <f>IFERROR(IF(F190="", "", IF(W190="LED Exit Signs", 1, VLOOKUP('Lighting Inventory'!F190, 'Lookup Tables'!$A$6:$H$59, IF('Lighting Inventory'!AB190="General",8,5), FALSE))), "")</f>
        <v/>
      </c>
      <c r="BB190" s="270" t="str">
        <f>IF(G190="", "", IF(E190="Exterior", 0, IF('Lighting Inventory'!G190="Air Conditioned", VLOOKUP(H190, 'Lookup Tables'!$R$6:$T$13, 2, FALSE), VLOOKUP('Lighting Inventory'!G190, 'Lookup Tables'!$R$6:$T$13, 2, FALSE))))</f>
        <v/>
      </c>
      <c r="BC190" s="522" t="str">
        <f>IF(G190="", "", IF(E190="Exterior", 0, IF('Lighting Inventory'!G190="Air Conditioned", VLOOKUP(H190, 'Lookup Tables'!$R$6:$T$13, 3, FALSE), VLOOKUP('Lighting Inventory'!G190, 'Lookup Tables'!$R$6:$T$13, 3, FALSE))))</f>
        <v/>
      </c>
      <c r="BD190" s="270" t="str">
        <f>IF(G190="", "", IF(E190="Exterior", 0, IF('Lighting Inventory'!G190="Air Conditioned", VLOOKUP(H190, 'Lookup Tables'!$R$6:$U$13, 4, FALSE), VLOOKUP('Lighting Inventory'!G190, 'Lookup Tables'!$R$6:$U$13, 4, FALSE))))</f>
        <v/>
      </c>
      <c r="BE190" s="270" t="str">
        <f>IFERROR(IF(B190="", "",  IF(B190="New Construction", VLOOKUP(F190, 'Lookup Tables'!$A$6:$K$59, 11, FALSE),IF(OR(AN190="", AN190="Light Switch"), 0, IF(OR(M190="",M190="None",V190= "LED Exit Signs"),0,_xlfn.XLOOKUP(M190,'Lookup Tables'!$R$91:$R$101,'Lookup Tables'!$V$91:$V$101))))), "")</f>
        <v/>
      </c>
      <c r="BF190" s="270" t="str">
        <f>IF(AND(OR(AN190="Light Switch",AN190=""),B190="New Construction"), VLOOKUP(F190, 'Lookup Tables'!$A$6:$K$59, 11, FALSE),IF(AN190="","",IF(B190="","",IF(OR(AN190="None",AN190="",V190="LED Exit Signs",AN190="Exterior Controls Not Eligible"),0,_xlfn.XLOOKUP(AN190,'Lookup Tables'!$R$91:$R$101,'Lookup Tables'!$V$91:$V$101)))))</f>
        <v/>
      </c>
      <c r="BG190" s="88" t="str">
        <f t="shared" si="456"/>
        <v/>
      </c>
      <c r="BH190" s="88" t="str">
        <f t="shared" si="457"/>
        <v/>
      </c>
      <c r="BI190" s="558" t="str">
        <f t="shared" si="501"/>
        <v/>
      </c>
      <c r="BJ190" s="82" t="str">
        <f t="shared" si="458"/>
        <v/>
      </c>
      <c r="BK190" s="82" t="str">
        <f t="shared" si="459"/>
        <v/>
      </c>
      <c r="BL190" s="559" t="str">
        <f t="shared" si="460"/>
        <v/>
      </c>
      <c r="BM190" s="521" t="str">
        <f t="shared" si="405"/>
        <v/>
      </c>
      <c r="BN190" s="521" t="str">
        <f t="shared" si="406"/>
        <v/>
      </c>
      <c r="BO190" s="522" t="str">
        <f t="shared" si="407"/>
        <v/>
      </c>
      <c r="BP190" s="83" t="str">
        <f t="shared" si="461"/>
        <v/>
      </c>
      <c r="BQ190" s="84" t="str">
        <f t="shared" si="462"/>
        <v/>
      </c>
      <c r="BR190" s="184" t="str">
        <f>IFERROR(IF(B190="", "", IF(OR(VLOOKUP(J190, 'Fixture Identities'!$A$6:$L$1023, 3, FALSE)="T12 Linear Fluorescent",VLOOKUP(J190, 'Fixture Identities'!$A$6:$L$1023, 3, FALSE)="T12 U-Tube Fluorescent"), "Y", "N")), "N")</f>
        <v/>
      </c>
      <c r="BS190" s="184" t="str">
        <f t="array" ref="BS190">IFERROR(IF(OR(B190="", V190="", W190=""), "", IF(V190="Custom", "N", IF(OR(W190="Freezer Case Lighting", W190="Refrigerated Case Lighting with Doors"), BT190, IF(B190="Retrofit", INDEX('Lookup Tables'!$AH$6:$AT$102,MATCH(1,('Lookup Tables'!$AH$6:$AH$102=V190)*('Lookup Tables'!$AI$6:$AI$102=W190),FALSE),IF(VLOOKUP(J190, 'Fixture Identities'!$A$6:$B$1023, 2, FALSE)="Incandescent",12, 13)), INDEX('Lookup Tables'!$AH$114:$AS$154,MATCH(1,('Lookup Tables'!$AH$114:$AH$154=V190)*('Lookup Tables'!$AI$114:$AI$154=W190),FALSE),12))))), "N")</f>
        <v/>
      </c>
      <c r="BT190" s="184" t="str">
        <f>IF(J190="", "", IF(AND(OR(W190="Freezer case Lighting", W190="Refrigerated Case Lighting with Doors"),'General Information'!$X$18="LCI"), "N", IF(OR(VLOOKUP(J190, 'Fixture Identities'!$A$6:$B$1023, 2, FALSE)="T12 EPACT/EISA Baseline", VLOOKUP(J190, 'Fixture Identities'!$A$6:$B$1023, 2, FALSE)="Linear Fluorescent", VLOOKUP(J190, 'Fixture Identities'!$A$6:$B$1023, 2, FALSE)="U-Tube Fluorescent"), "Y", "N")))</f>
        <v/>
      </c>
      <c r="BU190" s="184" t="str">
        <f>IFERROR(IF(B190="", "", IF(VLOOKUP(J190, 'Fixture Identities'!$A$6:$B$1023, 2, FALSE)="Exit Sign", "Y", "N")), "N")</f>
        <v/>
      </c>
      <c r="BV190" s="184" t="str">
        <f>IF(V190="Exit Signs", IF(VLOOKUP(J190, 'Fixture Identities'!$A$6:$B$1023, 2, FALSE)="Exit Sign", "N", "Y"), "")</f>
        <v/>
      </c>
      <c r="BW190" s="184" t="str">
        <f t="array" ref="BW190">IFERROR(IF(B190="", "", IF(B190="New Construction", "N", INDEX('Lookup Tables'!$AH$6:$AU$102, MATCH(1, ('Lookup Tables'!$AH$6:$AH$102='Lighting Inventory'!V190)*('Lookup Tables'!$AI$6:$AI$102='Lighting Inventory'!W190), 0), 14))), "N")</f>
        <v/>
      </c>
      <c r="BX190" s="598" t="str">
        <f t="shared" si="463"/>
        <v/>
      </c>
      <c r="BY190" s="598" t="str">
        <f t="shared" si="464"/>
        <v/>
      </c>
      <c r="BZ190" s="598" t="str">
        <f t="shared" si="465"/>
        <v/>
      </c>
      <c r="CA190" s="598" t="str">
        <f t="shared" si="466"/>
        <v/>
      </c>
      <c r="CB190" s="269" t="str">
        <f t="shared" si="467"/>
        <v/>
      </c>
      <c r="CC190" s="517" t="str">
        <f t="shared" si="468"/>
        <v/>
      </c>
      <c r="CD190" s="565" t="str">
        <f t="shared" si="408"/>
        <v/>
      </c>
      <c r="CE190" s="368">
        <v>0</v>
      </c>
      <c r="CF190" s="368" t="str" cm="1">
        <f t="array" ref="CF190">IFERROR(IF(V190="Custom", "$0.1 per kWh", IF(B190="New Construction", CONCATENATE("$",INDEX('Lookup Tables'!$AH$114:$AN$154,MATCH(1,('Lookup Tables'!$AH$114:$AH$154='Lighting Inventory'!V190)*('Lookup Tables'!$AI$114:$AI$154='Lighting Inventory'!W190),FALSE),6)," ",INDEX('Lookup Tables'!$AH$114:$AN$154,MATCH(1,('Lookup Tables'!$AH$114:$AH$154='Lighting Inventory'!V190)*('Lookup Tables'!$AI$114:$AI$154='Lighting Inventory'!W190),FALSE),7)), IF(AND(BU190="N", V190="Exit Signs"), "$0.025 per kWh", CONCATENATE("$",INDEX('Lookup Tables'!$AH$6:$AN$102,MATCH(1,('Lookup Tables'!$AH$6:$AH$102='Lighting Inventory'!V190)*('Lookup Tables'!$AI$6:$AI$102='Lighting Inventory'!W190),FALSE),6)," ",INDEX('Lookup Tables'!$AH$6:$AN$102,MATCH(1,('Lookup Tables'!$AH$6:$AH$102='Lighting Inventory'!V190)*('Lookup Tables'!$AI$6:$AI$102='Lighting Inventory'!W190),FALSE),7))))), "")</f>
        <v/>
      </c>
      <c r="CG190" s="366"/>
      <c r="CH190" s="248" t="str">
        <f t="shared" si="409"/>
        <v/>
      </c>
      <c r="CI190" s="248" t="str">
        <f t="shared" si="410"/>
        <v>Select_IE</v>
      </c>
      <c r="CJ190" s="248" t="str">
        <f t="shared" si="411"/>
        <v/>
      </c>
      <c r="CK190" s="248" t="str">
        <f t="shared" si="412"/>
        <v/>
      </c>
      <c r="CL190" s="248" t="str">
        <f t="shared" si="413"/>
        <v/>
      </c>
      <c r="CM190" s="248" t="str">
        <f>IFERROR(IF(B190="", "", IF(B190="New Construction", VLOOKUP(V190, 'Lookup Tables'!$AF$114:$AG$120, 2, FALSE), VLOOKUP(V190, 'Lookup Tables'!$AD$6:$AE$25, 2, FALSE))), "")</f>
        <v/>
      </c>
      <c r="CN190" s="248" t="str">
        <f t="shared" si="414"/>
        <v/>
      </c>
      <c r="CO190" s="248" t="str">
        <f t="shared" si="415"/>
        <v/>
      </c>
      <c r="CP190" s="592" t="str">
        <f t="shared" si="416"/>
        <v/>
      </c>
      <c r="CQ190" s="248" t="str">
        <f t="shared" si="469"/>
        <v/>
      </c>
      <c r="CR190" s="249"/>
      <c r="CS190" s="250" t="str">
        <f t="shared" si="417"/>
        <v/>
      </c>
      <c r="CT190" s="250" t="str">
        <f t="shared" si="470"/>
        <v/>
      </c>
      <c r="CU190" s="250" t="str">
        <f t="shared" si="471"/>
        <v/>
      </c>
      <c r="CV190" s="250" t="str">
        <f t="shared" si="472"/>
        <v/>
      </c>
      <c r="CW190" s="250" t="str">
        <f t="shared" si="473"/>
        <v/>
      </c>
      <c r="CX190" s="250" t="str">
        <f t="shared" si="418"/>
        <v/>
      </c>
      <c r="CY190" s="250" t="str">
        <f t="shared" si="419"/>
        <v/>
      </c>
      <c r="CZ190" s="250" t="str">
        <f t="shared" si="420"/>
        <v/>
      </c>
      <c r="DA190" s="250" t="str">
        <f t="shared" si="421"/>
        <v/>
      </c>
      <c r="DB190" s="250" t="str">
        <f t="shared" si="422"/>
        <v/>
      </c>
      <c r="DC190" s="250" t="str">
        <f t="shared" si="423"/>
        <v/>
      </c>
      <c r="DD190" s="250" t="str">
        <f t="shared" si="424"/>
        <v/>
      </c>
      <c r="DE190" s="250" t="str">
        <f t="shared" si="425"/>
        <v/>
      </c>
      <c r="DF190" s="250" t="str">
        <f t="shared" si="426"/>
        <v/>
      </c>
      <c r="DG190" s="250" t="str">
        <f t="shared" si="427"/>
        <v/>
      </c>
      <c r="DH190" s="250" t="str">
        <f t="shared" si="428"/>
        <v/>
      </c>
      <c r="DI190" s="250" t="str">
        <f t="shared" si="429"/>
        <v/>
      </c>
      <c r="DJ190" s="250" t="str">
        <f t="shared" si="430"/>
        <v/>
      </c>
      <c r="DK190" s="250" t="str">
        <f t="shared" si="431"/>
        <v/>
      </c>
      <c r="DL190" s="250" t="str">
        <f t="shared" si="432"/>
        <v/>
      </c>
      <c r="DM190" s="250" t="str">
        <f>IF(CD190="ERROR", "ERROR", IF(AND(OR(Y190=$DM$6, Y190='Lookup Tables'!$AD$21, Y190='Lookup Tables'!$AD$22), E190="Interior"), BJ190, ""))</f>
        <v/>
      </c>
      <c r="DN190" s="250" t="str">
        <f>IF(CD190="ERROR", "ERROR", IF(AND(OR(Y190=$DM$6, Y190='Lookup Tables'!$AD$21, Y190='Lookup Tables'!$AD$22), E190="Exterior"), BJ190, ""))</f>
        <v/>
      </c>
      <c r="DO190" s="249"/>
      <c r="DP190" s="250" t="str">
        <f t="shared" si="433"/>
        <v/>
      </c>
      <c r="DQ190" s="250" t="str">
        <f t="shared" si="474"/>
        <v/>
      </c>
      <c r="DR190" s="250" t="str">
        <f t="shared" si="475"/>
        <v/>
      </c>
      <c r="DS190" s="250" t="str">
        <f t="shared" si="476"/>
        <v/>
      </c>
      <c r="DT190" s="250" t="str">
        <f t="shared" si="477"/>
        <v/>
      </c>
      <c r="DU190" s="250" t="str">
        <f t="shared" si="434"/>
        <v/>
      </c>
      <c r="DV190" s="250" t="str">
        <f t="shared" si="435"/>
        <v/>
      </c>
      <c r="DW190" s="250" t="str">
        <f t="shared" si="436"/>
        <v/>
      </c>
      <c r="DX190" s="250" t="str">
        <f t="shared" si="437"/>
        <v/>
      </c>
      <c r="DY190" s="250" t="str">
        <f t="shared" si="438"/>
        <v/>
      </c>
      <c r="DZ190" s="250" t="str">
        <f t="shared" si="439"/>
        <v/>
      </c>
      <c r="EA190" s="250" t="str">
        <f t="shared" si="440"/>
        <v/>
      </c>
      <c r="EB190" s="250" t="str">
        <f t="shared" si="478"/>
        <v/>
      </c>
      <c r="EC190" s="250" t="str">
        <f t="shared" si="441"/>
        <v/>
      </c>
      <c r="ED190" s="250" t="str">
        <f t="shared" si="442"/>
        <v/>
      </c>
      <c r="EE190" s="250" t="str">
        <f t="shared" si="443"/>
        <v/>
      </c>
      <c r="EF190" s="250" t="str">
        <f t="shared" si="444"/>
        <v/>
      </c>
      <c r="EG190" s="250" t="str">
        <f t="shared" si="445"/>
        <v/>
      </c>
      <c r="EH190" s="250" t="str">
        <f>IF(CD190="ERROR", "ERROR", IF(AND(OR($EH$6=Y190, Y190='Lookup Tables'!$AD$21, Y190='Lookup Tables'!$AD$22),E190="Interior"), SUM(BP190:BP190), ""))</f>
        <v/>
      </c>
      <c r="EI190" s="250" t="str">
        <f>IF(CD190="ERROR", "ERROR", IF(AND(OR($EH$6=Y190, Y190='Lookup Tables'!$AD$21, Y190='Lookup Tables'!$AD$22),E190="Exterior"), SUM(BP190:BP190), ""))</f>
        <v/>
      </c>
      <c r="EJ190" s="109"/>
      <c r="EK190" s="485" t="str">
        <f t="shared" si="446"/>
        <v/>
      </c>
      <c r="EL190" s="252" t="str">
        <f t="shared" si="479"/>
        <v/>
      </c>
      <c r="EM190" s="252" t="str">
        <f t="shared" si="480"/>
        <v/>
      </c>
      <c r="EN190" s="252" t="str">
        <f t="shared" si="481"/>
        <v/>
      </c>
      <c r="EO190" s="252" t="str">
        <f t="shared" si="482"/>
        <v/>
      </c>
      <c r="EP190" s="252" t="str">
        <f t="shared" si="483"/>
        <v/>
      </c>
      <c r="EQ190" s="252" t="str">
        <f t="shared" si="484"/>
        <v/>
      </c>
      <c r="ER190" s="252" t="str">
        <f t="shared" si="485"/>
        <v/>
      </c>
      <c r="ES190" s="252" t="str">
        <f t="shared" si="486"/>
        <v/>
      </c>
      <c r="ET190" s="252" t="str">
        <f t="shared" si="487"/>
        <v/>
      </c>
      <c r="EU190" s="252" t="str">
        <f t="shared" si="488"/>
        <v/>
      </c>
      <c r="EV190" s="252" t="str">
        <f t="shared" si="489"/>
        <v/>
      </c>
      <c r="EW190" s="252" t="str">
        <f t="shared" si="490"/>
        <v/>
      </c>
      <c r="EX190" s="252" t="str">
        <f t="shared" si="491"/>
        <v/>
      </c>
      <c r="EY190" s="252" t="str">
        <f t="shared" si="492"/>
        <v/>
      </c>
      <c r="EZ190" s="252" t="str">
        <f t="shared" si="493"/>
        <v/>
      </c>
      <c r="FA190" s="252" t="str">
        <f t="shared" si="494"/>
        <v/>
      </c>
      <c r="FB190" s="252" t="str">
        <f t="shared" si="495"/>
        <v/>
      </c>
      <c r="FC190" s="252" t="str">
        <f>IF(CD190="ERROR", "ERROR", IF(OR(V190="No Change", V190="Not DLC or Energy Star"), "", IF(AND(OR($FC$6=Y190,Y190='Lookup Tables'!$AD$21, Y190='Lookup Tables'!$AD$22),E190="Interior"), S190, "")))</f>
        <v/>
      </c>
      <c r="FD190" s="252" t="str">
        <f t="shared" si="496"/>
        <v/>
      </c>
      <c r="FE190" s="1"/>
      <c r="FF190" s="579" t="str" cm="1">
        <f t="array" ref="FF190">IFERROR(IF(OR(BQ190&lt;=0,AQ190&lt;20,AND(V190="Exit Signs",AN190&gt;0)),"",IF(AND(AQ190&gt;=20,AN190='Lookup Tables'!$R$101),'Lookup Tables'!$U$101*BQ190,AP190*LOOKUP(2,1/((AN190='Lookup Tables'!$R$91:$R$111)*(AQ190&gt;='Lookup Tables'!$S$91:$S$111)*(AQ190&lt;='Lookup Tables'!$T$91:$T$111)),'Lookup Tables'!$U$91:$U$111))),"")</f>
        <v/>
      </c>
      <c r="FG190" s="579"/>
      <c r="FH190" s="579"/>
      <c r="FI190" s="253" t="str">
        <f>IFERROR(ROUND(IF(CD190="ERROR", "ERROR", IF(AND($FI$7=X190,E190="Interior"),VLOOKUP(W190, 'Lookup Tables'!$AI$6:$AM$102, 5, FALSE)*BP190, "")), 2), "")</f>
        <v/>
      </c>
      <c r="FJ190" s="253" t="str">
        <f>IFERROR(ROUND(IF(CD190="ERROR", "ERROR", IF(AND($FI$7=X190,E190="Exterior"),VLOOKUP(W190, 'Lookup Tables'!$AI$6:$AM$102, 5, FALSE)*BP190, "")), 2), "")</f>
        <v/>
      </c>
      <c r="FK190" s="253" t="str">
        <f>IFERROR(ROUND(IF(CD190="ERROR", "ERROR", IF(AND($FK$7=X190,E190="Interior"),VLOOKUP(W190, 'Lookup Tables'!$AI$6:$AM$102, 5, FALSE)*BP190, "")), 2), "")</f>
        <v/>
      </c>
      <c r="FL190" s="253" t="str">
        <f>IFERROR(ROUND(IF(CD190="ERROR", "ERROR", IF(AND($FK$7=X190,E190="Exterior"),VLOOKUP(W190, 'Lookup Tables'!$AI$6:$AM$102, 5, FALSE)*BP190, "")), 2), "")</f>
        <v/>
      </c>
      <c r="FM190" s="253" t="str">
        <f>IFERROR(ROUND(IF(CD190="ERROR", "ERROR", IF(AND($FM$6=Y190,E190="Interior"), IF(GB190=0, VLOOKUP(W190, 'Lookup Tables'!$AI$6:$AM$102, 5, FALSE)*BP190, IF(VLOOKUP(W190, 'Lookup Tables'!$AI$6:$AM$102, 5, FALSE)*BP190&gt;GB190*'Lighting Inventory'!S190, GB190*'Lighting Inventory'!S190,VLOOKUP(W190, 'Lookup Tables'!$AI$6:$AM$102, 5, FALSE)*BP190)), "")), 2), "")</f>
        <v/>
      </c>
      <c r="FN190" s="253" t="str">
        <f>IFERROR(ROUND(IF(CD190="ERROR", "ERROR", IF(AND($FM$6=Y190,E190="Exterior"), IF(GB190=0, VLOOKUP(W190, 'Lookup Tables'!$AI$6:$AM$102, 5, FALSE)*BP190, IF(VLOOKUP(W190, 'Lookup Tables'!$AI$6:$AM$102, 5, FALSE)*BP190&gt;GB190*'Lighting Inventory'!S190, GB190*'Lighting Inventory'!S190,VLOOKUP(W190, 'Lookup Tables'!$AI$6:$AM$102, 5, FALSE)*BP190)), "")), 2), "")</f>
        <v/>
      </c>
      <c r="FO190" s="253" t="str">
        <f>IFERROR(ROUND(IF(CD190="ERROR", "ERROR", IF(AND($FO$6=Y190,E190="Interior"),VLOOKUP(W190, 'Lookup Tables'!$AI$6:$AM$102, 5, FALSE)*'Lighting Inventory'!AI190, "")), 2), "")</f>
        <v/>
      </c>
      <c r="FP190" s="253" t="str">
        <f>IFERROR(ROUND(IF(CD190="ERROR", "ERROR", IF(AND($FO$6=Y190,E190="Exterior"),VLOOKUP(W190, 'Lookup Tables'!$AI$6:$AM$102, 5, FALSE)*'Lighting Inventory'!AI190, "")), 2), "")</f>
        <v/>
      </c>
      <c r="FQ190" s="253" t="str">
        <f>IFERROR(ROUND(IF(CD190="ERROR", "ERROR", IF(AND($FQ$6=Y190,E190="Interior", BU190="Y"), VLOOKUP('Lighting Inventory'!W190, 'Lookup Tables'!$AI$6:$AM$102, 5, FALSE)*'Lighting Inventory'!S190, IF(AND($FQ$7=Y190,E190="Interior", BU190="N"), 0.025*CD190, ""))), 2), "")</f>
        <v/>
      </c>
      <c r="FR190" s="253" t="str">
        <f>IFERROR(ROUND(IF(CD190="ERROR", "ERROR", IF(AND($FQ$6=Y190,E190="Exterior"), VLOOKUP('Lighting Inventory'!W190, 'Lookup Tables'!$AI$6:$AM$102, 5, FALSE)*'Lighting Inventory'!S190, "")), 2), "")</f>
        <v/>
      </c>
      <c r="FS190" s="253" t="str">
        <f>IFERROR(ROUND(IF(CD190="ERROR", "ERROR", IF(AND($FS$6=Y190,E190="Exterior"), IF(GB190=0, VLOOKUP(W190, 'Lookup Tables'!$AI$6:$AM$102, 5, FALSE)*BP190, IF(VLOOKUP(W190, 'Lookup Tables'!$AI$6:$AM$102, 5, FALSE)*BP190&gt;GB190*'Lighting Inventory'!S190, GB190*'Lighting Inventory'!S190,VLOOKUP(W190, 'Lookup Tables'!$AI$6:$AM$102, 5, FALSE)*BP190)), "")), 2), "")</f>
        <v/>
      </c>
      <c r="FT190" s="253" t="str">
        <f>IFERROR(ROUND(IF(CD190="ERROR", "ERROR", IF(AND($FT$6=Y190,E190="Interior"), IF(GB190=0, VLOOKUP(W190, 'Lookup Tables'!$AI$6:$AM$102, 5, FALSE)*BP190, IF(VLOOKUP(W190, 'Lookup Tables'!$AI$6:$AM$102, 5, FALSE)*BP190&gt;GB190*'Lighting Inventory'!S190, GB190*'Lighting Inventory'!S190,VLOOKUP(W190, 'Lookup Tables'!$AI$6:$AM$102, 5, FALSE)*BP190)), "")), 2), "")</f>
        <v/>
      </c>
      <c r="FU190" s="253" t="str">
        <f>IFERROR(ROUND(IF(CD190="ERROR", "ERROR", IF(AND(Y190=$FU$6, E190="Interior"), IF(BS190="N", 'Lookup Tables'!$AM$101*BP190, VLOOKUP(W190, 'Lookup Tables'!$AI$6:$AM$102, 5, FALSE)*S190*AD190), "")), 2), "")</f>
        <v/>
      </c>
      <c r="FV190" s="253" t="str">
        <f>IFERROR(ROUND(IF(CD190="ERROR", "ERROR", IF(AND(Y190=$FU$6, E190="Exterior"), IF(BS190="N", 'Lookup Tables'!$AM$101*BP190, VLOOKUP(W190, 'Lookup Tables'!$AI$6:$AM$102, 5, FALSE)*S190*AD190), "")), 2), "")</f>
        <v/>
      </c>
      <c r="FW190" s="253" t="str">
        <f>IFERROR(ROUND(IF(CD190="ERROR", "ERROR", IF($FW$6=Y190, IF(BS190="N", 'Lookup Tables'!$AM$101*BP190, MIN((VLOOKUP(W190, 'Lookup Tables'!$AI$6:$AM$102, 5, FALSE)*BP190),GB190*AJ190)), "")), 2), "")</f>
        <v/>
      </c>
      <c r="FX190" s="253" t="str">
        <f>IFERROR(ROUND(IF(CD190="ERROR", "ERROR", IF(AND($FX$6=Y190, E190="Interior"), IF(VLOOKUP(W190, 'Lookup Tables'!$AI$6:$AM$102, 5, FALSE)*BP190&gt;'Lookup Tables'!$AQ$97*'Lighting Inventory'!S190,'Lighting Inventory'!S190*'Lookup Tables'!$AQ$97,VLOOKUP(W190, 'Lookup Tables'!$AI$6:$AM$102, 5, FALSE)*BP190), "")), 2), "")</f>
        <v/>
      </c>
      <c r="FY190" s="253" t="str">
        <f>IFERROR(ROUND(IF(CD190="ERROR", "ERROR", IF(AND($FX$6=Y190, E190="Exterior"), IF(VLOOKUP(W190, 'Lookup Tables'!$AI$6:$AM$102, 5, FALSE)*BP190&gt;'Lookup Tables'!$AQ$97*'Lighting Inventory'!S190,'Lighting Inventory'!S190*'Lookup Tables'!$AQ$97,VLOOKUP(W190, 'Lookup Tables'!$AI$6:$AM$102, 5, FALSE)*BP190), "")), 2), "")</f>
        <v/>
      </c>
      <c r="FZ190" s="253" t="str">
        <f>IFERROR(ROUND(IF(CD190="ERROR", "ERROR", IF(AND($FZ$6=Y190, E190="Interior"), IF(AND(OR(W190="Refrigerated Case Lighting with Doors", W190="Freezer Case Lighting"),Y190="Custom - Process Improvement"),CD190*'Lookup Tables'!$AM$101, IF(B190="Retrofit", IF(VLOOKUP(IF(V190="Custom", V190, W190), 'Lookup Tables'!$AI$6:$AM$102, 5, FALSE)*BP190&gt;GE190, GE190, VLOOKUP(IF(V190="Custom", V190, W190), 'Lookup Tables'!$AI$6:$AM$102, 5, FALSE)*BP190), IF(VLOOKUP(IF(V190="Custom", V190, W190), 'Lookup Tables'!$AI$114:$AM$154, 5, FALSE)*BP190&gt;GE190, GE190, VLOOKUP(IF(V190="Custom", V190, W190), 'Lookup Tables'!$AI$114:$AM$154, 5, FALSE)*BP190))), "")), 2),"")</f>
        <v/>
      </c>
      <c r="GA190" s="253" t="str">
        <f>IFERROR(ROUND(IF(CD190="ERROR", "ERROR", IF(AND($FZ$6=Y190, E190="Exterior"), IF(B190="Retrofit", IF(VLOOKUP(IF(V190="Custom", V190, W190), 'Lookup Tables'!$AI$6:$AM$102, 5, FALSE)*BP190&gt;GE190, GE190, VLOOKUP(IF(V190="Custom", V190, W190), 'Lookup Tables'!$AI$6:$AM$102, 5, FALSE)*BP190), IF(VLOOKUP(IF(V190="Custom", V190, W190), 'Lookup Tables'!$AI$114:$AM$154, 5, FALSE)*BP190&gt;GE190, GE190, VLOOKUP(IF(V190="Custom", V190, W190), 'Lookup Tables'!$AI$114:$AM$154, 5, FALSE)*BP190)), "")), 2),"")</f>
        <v/>
      </c>
      <c r="GB190" s="254" t="str">
        <f t="array" ref="GB190">IF(B190="","",IF(OR(V190="Custom",V190="No Change"),0,IF(B190="Retrofit", INDEX('Lookup Tables'!$AH$6:$AQ$102,MATCH(1,('Lookup Tables'!$AH$6:$AH$102='Lighting Inventory'!V190)*('Lookup Tables'!$AI$6:$AI$102='Lighting Inventory'!W190),FALSE),10),INDEX('Lookup Tables'!$AH$114:$AQ$154,MATCH(1,('Lookup Tables'!$AH$114:$AH$154='Lighting Inventory'!V190)*('Lookup Tables'!$AI$114:$AI$154='Lighting Inventory'!W190),FALSE),10))))</f>
        <v/>
      </c>
      <c r="GC190" s="255" t="str">
        <f t="shared" si="447"/>
        <v/>
      </c>
      <c r="GD190" s="250" t="str">
        <f t="shared" si="448"/>
        <v/>
      </c>
      <c r="GE190" s="253" t="str">
        <f>IFERROR(IF(AND(AF190="", 'General Information'!$F$18="No"),"", IF(AF190="", ((GD190/$CD$266)*$CF$266)*0.5, AF190*S190*0.5)), "")</f>
        <v/>
      </c>
      <c r="GF190" s="255" t="str">
        <f>IF(AND('General Information'!$F$19="", 'General Information'!$F$18="Yes",AF190="",BW190="Y"), "Y", "N")</f>
        <v>N</v>
      </c>
      <c r="GG190" s="255" t="s">
        <v>2946</v>
      </c>
      <c r="GH190" s="255" t="str">
        <f>IFERROR(IF(B190="", "", VLOOKUP(J190, 'Fixture Identities'!$A$6:$N$908, 14, FALSE)), "")</f>
        <v/>
      </c>
      <c r="GI190" s="389" t="str">
        <f>IF(OR(B190="", V190="", W190=""), "", IF(AND(OR(M190='Lookup Tables'!$R$18, M190='Lookup Tables'!$R$19, M190='Lookup Tables'!$R$20, M190='Lookup Tables'!$R$21, M190='Lookup Tables'!$R$22), OR(AN190='Lookup Tables'!$R$17, AN190='Lookup Tables'!$R$17, AN190="")), "Y", "N"))</f>
        <v/>
      </c>
      <c r="GJ190" s="255" t="str">
        <f t="shared" si="449"/>
        <v/>
      </c>
      <c r="GK190" s="255" t="str">
        <f t="shared" si="450"/>
        <v/>
      </c>
      <c r="GL190" s="255" t="str">
        <f t="shared" si="451"/>
        <v/>
      </c>
      <c r="GM190" s="255" t="str">
        <f>IF(AN190="", "", IF(AND(IF(ISNA(VLOOKUP(AN190,'Lookup Tables'!$R$18:$R$22,1,FALSE)), "N", "Y")="Y", E190="Exterior"), "Y", "N"))</f>
        <v/>
      </c>
      <c r="GN190" s="395"/>
      <c r="GO190" s="428">
        <f t="shared" si="497"/>
        <v>0</v>
      </c>
      <c r="GP190" s="428">
        <f t="shared" si="500"/>
        <v>0</v>
      </c>
      <c r="GQ190" s="428">
        <f t="shared" si="498"/>
        <v>0</v>
      </c>
      <c r="GR190" s="428">
        <f t="shared" si="499"/>
        <v>0</v>
      </c>
    </row>
    <row r="191" spans="1:200" s="103" customFormat="1" ht="13.5" customHeight="1" x14ac:dyDescent="0.2">
      <c r="A191" s="272">
        <v>181</v>
      </c>
      <c r="B191" s="110"/>
      <c r="C191" s="110"/>
      <c r="D191" s="110"/>
      <c r="E191" s="110"/>
      <c r="F191" s="110"/>
      <c r="G191" s="110"/>
      <c r="H191" s="110"/>
      <c r="I191" s="29"/>
      <c r="J191" s="29"/>
      <c r="K191" s="272" t="str">
        <f>IFERROR(IF(OR(VLOOKUP(J191, 'Fixture Identities'!$A$6:$L$1023, 3, FALSE)="T12 Linear Fluorescent", VLOOKUP(J191, 'Fixture Identities'!$A$6:$L$1023, 3, FALSE)="T12 U-Tube Fluorescent"), VLOOKUP(VLOOKUP(J191, 'Fixture Identities'!$A$6:$L$1023, 11, FALSE), 'Fixture Identities'!$A$6:$L$1023, 10, FALSE), VLOOKUP(J191, 'Fixture Identities'!$A$6:$L$1023, 10, FALSE)), "")</f>
        <v/>
      </c>
      <c r="L191" s="270" t="str">
        <f t="shared" si="502"/>
        <v/>
      </c>
      <c r="M191" s="110"/>
      <c r="N191" s="110"/>
      <c r="O191" s="110"/>
      <c r="P191" s="272" t="str">
        <f>IFERROR(IF(OR(B191="Retrofit",B191=""),"",IF('Lighting Inventory'!E191="Exterior",VLOOKUP('Lighting Inventory'!N191,'Lookup Tables'!$B$83:$F$103,5,FALSE),IF(N191="Other - Please Estimate EFLH and CFs","Contact Prog. Rep.","ft^2"))), "")</f>
        <v/>
      </c>
      <c r="Q191" s="270" t="str">
        <f>IFERROR(IF(AND(B191="New Construction",E191="Interior",$F$5="Space-by-Space"),VLOOKUP('Lighting Inventory'!N191,'Lookup Tables'!$N$6:$O$97,2,FALSE),IF(AND(B191="New Construction",E191="Exterior"),VLOOKUP(N191,'Lookup Tables'!$B$83:$F$103,2,FALSE),IF(AND(B191="New Construction",'Lighting Inventory'!E191="Interior", $F$5="Building Area"),VLOOKUP(F191,'Lookup Tables'!$A$6:$J$59,10,FALSE),""))), "")</f>
        <v/>
      </c>
      <c r="R191" s="270" t="str">
        <f>IFERROR(IF(P191="Contact Prog. Rep.", "ERROR", IF(OR(B191="",B191="Retrofit"),"",IF(N191="Automated teller machines", ('Lookup Tables'!$A$82:$E$100+('Lighting Inventory'!O191-1)*'Lookup Tables'!$A$82:$E$100)/1000, (Q191*O191)/1000))), "")</f>
        <v/>
      </c>
      <c r="S191" s="595"/>
      <c r="T191" s="105" t="str">
        <f t="shared" si="452"/>
        <v/>
      </c>
      <c r="U191" s="105" t="str">
        <f>IF(S191="","",COUNT($S$11:S191))</f>
        <v/>
      </c>
      <c r="V191" s="111"/>
      <c r="W191" s="112"/>
      <c r="X191" s="105" t="str">
        <f t="shared" si="453"/>
        <v/>
      </c>
      <c r="Y191" s="105" t="str">
        <f t="array" ref="Y191">IF(AND(OR(W191="Freezer Case Lighting", W191="Refrigerated Case Lighting with Doors"), 'General Information'!$X$18="LCI"),'Lookup Tables'!$Y$34, IF(V191="Custom", VLOOKUP(W191, 'Fixture Identities'!$A$974:$M$1023, 13, FALSE), IF(V191="No Change",'Lookup Tables'!$Y$29,IF(OR(V191="",W191=""),"",IF(AND(S191=0,S191&lt;I191,B191="Retrofit"),'Lookup Tables'!$Y$25, IF(B191="Retrofit", INDEX('Lookup Tables'!$AH$6:$AP$102, MATCH(1, ('Lookup Tables'!$AH$6:$AH$102=V191)*('Lookup Tables'!$AI$6:$AI$102=W191), 0), IF('Lighting Inventory'!E191="Interior", 4, 5)), INDEX('Lookup Tables'!$AH$114:$AP$154, MATCH(1, ('Lookup Tables'!$AH$114:$AH$154=V191)*('Lookup Tables'!$AI$114:$AI$154=W191), 0), IF('Lighting Inventory'!E191="Interior", 4, 5))))))))</f>
        <v/>
      </c>
      <c r="Z191" s="105" t="str">
        <f>IFERROR(INDEX('Lookup Tables'!$AH$158:$AH$172,MATCH('Lighting Inventory'!Y191,'Lookup Tables'!$AI$158:$AI$172,0)),"")</f>
        <v/>
      </c>
      <c r="AA191" s="105" t="str">
        <f>IF(AP191&gt;0,INDEX('Lookup Tables'!$AK$158:$AK$172,MATCH('Lighting Inventory'!Y191,'Lookup Tables'!$AI$158:$AI$172,0)),'Lighting Inventory'!Y191)</f>
        <v/>
      </c>
      <c r="AB191" s="105" t="str">
        <f t="array" ref="AB191">IF(V191="Custom", "Custom", IF(V191="", "", IF(V191="Not DLC or Energy Star", "General", IF(B191="New Construction", INDEX('Lookup Tables'!$AH$114:$AP$154,MATCH(1,('Lookup Tables'!$AH$114:$AH$154='Lighting Inventory'!V191)*('Lookup Tables'!$AI$114:$AI$154='Lighting Inventory'!W191),FALSE),8), INDEX('Lookup Tables'!$AH$6:$AP$102,MATCH(1,('Lookup Tables'!$AH$6:$AH$102='Lighting Inventory'!V191)*('Lookup Tables'!$AI$6:$AI$102='Lighting Inventory'!W191),FALSE),8)))))</f>
        <v/>
      </c>
      <c r="AC191" s="272" t="str">
        <f>IF(W191="","",IF(V191="Custom",CONCATENATE("$",'Lookup Tables'!$AM$101," ",'Lookup Tables'!$AN$101),CONCATENATE("$",INDEX('Lookup Tables'!$AM$6:$AM$102,MATCH('Lighting Inventory'!W191,'Lookup Tables'!$AI$6:$AI$102,0))," ",INDEX('Lookup Tables'!$AN$6:$AN$102,MATCH('Lighting Inventory'!W191,'Lookup Tables'!$AI$6:$AI$102,0)))))</f>
        <v/>
      </c>
      <c r="AD191" s="72"/>
      <c r="AE191" s="29"/>
      <c r="AF191" s="379"/>
      <c r="AG191" s="370" t="str">
        <f t="shared" si="401"/>
        <v/>
      </c>
      <c r="AH191" s="370" t="str">
        <f t="shared" si="454"/>
        <v/>
      </c>
      <c r="AI191" s="29"/>
      <c r="AJ191" s="29"/>
      <c r="AK191" s="110"/>
      <c r="AL191" s="375" t="str">
        <f>IF(OR(B191="", V191="", W191=""), "", IF(V191="No Change", K191, IF(V191="Remove Fixture", 0, IF(V191="Custom",VLOOKUP(W191,'Fixture Identities'!$A$6:$K$1023,10,FALSE),IF(AE191="", "← ENTER POST WATTS", 'Lighting Inventory'!AE191)))))</f>
        <v/>
      </c>
      <c r="AM191" s="376" t="str">
        <f t="shared" si="402"/>
        <v/>
      </c>
      <c r="AN191" s="29"/>
      <c r="AO191" s="671"/>
      <c r="AP191" s="29"/>
      <c r="AQ191" s="29"/>
      <c r="AR191" s="29"/>
      <c r="AS191" s="272" t="str">
        <f t="shared" si="455"/>
        <v/>
      </c>
      <c r="AT191" s="270" t="str">
        <f t="shared" si="403"/>
        <v/>
      </c>
      <c r="AU191" s="88" t="str">
        <f t="shared" si="503"/>
        <v/>
      </c>
      <c r="AV191" s="29"/>
      <c r="AW191" s="73"/>
      <c r="AX191" s="271" t="str">
        <f>IF(AND(AV191="Applicant",OR(AW191="", AW191="Use Default Facility Hours")),"← Choose Schedule",IF(F191="","",IF(W191="LED Exit Signs",8760,IF(OR(AV191="Prescribed",AV191=""),VLOOKUP(F191,'Lookup Tables'!$A$6:$G$59,IF(AB191="General", 6, 3),FALSE),VLOOKUP(AW191,'Lookup Tables'!$S$36:$U$43,2,FALSE)))))</f>
        <v/>
      </c>
      <c r="AY191" s="88" t="str">
        <f t="shared" si="404"/>
        <v/>
      </c>
      <c r="AZ191" s="270" t="str">
        <f>IFERROR(IF(F191="", "", IF(W191="LED Exit Signs", 1, IF(AV191="Applicant",VLOOKUP(AW191, 'Lookup Tables'!$S$36:$U$43,3, FALSE), VLOOKUP('Lighting Inventory'!F191, 'Lookup Tables'!$A$6:$H$59, IF('Lighting Inventory'!AB191="General",7,4), FALSE)))), "")</f>
        <v/>
      </c>
      <c r="BA191" s="522" t="str">
        <f>IFERROR(IF(F191="", "", IF(W191="LED Exit Signs", 1, VLOOKUP('Lighting Inventory'!F191, 'Lookup Tables'!$A$6:$H$59, IF('Lighting Inventory'!AB191="General",8,5), FALSE))), "")</f>
        <v/>
      </c>
      <c r="BB191" s="270" t="str">
        <f>IF(G191="", "", IF(E191="Exterior", 0, IF('Lighting Inventory'!G191="Air Conditioned", VLOOKUP(H191, 'Lookup Tables'!$R$6:$T$13, 2, FALSE), VLOOKUP('Lighting Inventory'!G191, 'Lookup Tables'!$R$6:$T$13, 2, FALSE))))</f>
        <v/>
      </c>
      <c r="BC191" s="522" t="str">
        <f>IF(G191="", "", IF(E191="Exterior", 0, IF('Lighting Inventory'!G191="Air Conditioned", VLOOKUP(H191, 'Lookup Tables'!$R$6:$T$13, 3, FALSE), VLOOKUP('Lighting Inventory'!G191, 'Lookup Tables'!$R$6:$T$13, 3, FALSE))))</f>
        <v/>
      </c>
      <c r="BD191" s="270" t="str">
        <f>IF(G191="", "", IF(E191="Exterior", 0, IF('Lighting Inventory'!G191="Air Conditioned", VLOOKUP(H191, 'Lookup Tables'!$R$6:$U$13, 4, FALSE), VLOOKUP('Lighting Inventory'!G191, 'Lookup Tables'!$R$6:$U$13, 4, FALSE))))</f>
        <v/>
      </c>
      <c r="BE191" s="270" t="str">
        <f>IFERROR(IF(B191="", "",  IF(B191="New Construction", VLOOKUP(F191, 'Lookup Tables'!$A$6:$K$59, 11, FALSE),IF(OR(AN191="", AN191="Light Switch"), 0, IF(OR(M191="",M191="None",V191= "LED Exit Signs"),0,_xlfn.XLOOKUP(M191,'Lookup Tables'!$R$91:$R$101,'Lookup Tables'!$V$91:$V$101))))), "")</f>
        <v/>
      </c>
      <c r="BF191" s="270" t="str">
        <f>IF(AND(OR(AN191="Light Switch",AN191=""),B191="New Construction"), VLOOKUP(F191, 'Lookup Tables'!$A$6:$K$59, 11, FALSE),IF(AN191="","",IF(B191="","",IF(OR(AN191="None",AN191="",V191="LED Exit Signs",AN191="Exterior Controls Not Eligible"),0,_xlfn.XLOOKUP(AN191,'Lookup Tables'!$R$91:$R$101,'Lookup Tables'!$V$91:$V$101)))))</f>
        <v/>
      </c>
      <c r="BG191" s="88" t="str">
        <f t="shared" si="456"/>
        <v/>
      </c>
      <c r="BH191" s="88" t="str">
        <f t="shared" si="457"/>
        <v/>
      </c>
      <c r="BI191" s="558" t="str">
        <f t="shared" si="501"/>
        <v/>
      </c>
      <c r="BJ191" s="82" t="str">
        <f t="shared" si="458"/>
        <v/>
      </c>
      <c r="BK191" s="82" t="str">
        <f t="shared" si="459"/>
        <v/>
      </c>
      <c r="BL191" s="559" t="str">
        <f t="shared" si="460"/>
        <v/>
      </c>
      <c r="BM191" s="521" t="str">
        <f t="shared" si="405"/>
        <v/>
      </c>
      <c r="BN191" s="521" t="str">
        <f t="shared" si="406"/>
        <v/>
      </c>
      <c r="BO191" s="522" t="str">
        <f t="shared" si="407"/>
        <v/>
      </c>
      <c r="BP191" s="83" t="str">
        <f t="shared" si="461"/>
        <v/>
      </c>
      <c r="BQ191" s="84" t="str">
        <f t="shared" si="462"/>
        <v/>
      </c>
      <c r="BR191" s="184" t="str">
        <f>IFERROR(IF(B191="", "", IF(OR(VLOOKUP(J191, 'Fixture Identities'!$A$6:$L$1023, 3, FALSE)="T12 Linear Fluorescent",VLOOKUP(J191, 'Fixture Identities'!$A$6:$L$1023, 3, FALSE)="T12 U-Tube Fluorescent"), "Y", "N")), "N")</f>
        <v/>
      </c>
      <c r="BS191" s="184" t="str">
        <f t="array" ref="BS191">IFERROR(IF(OR(B191="", V191="", W191=""), "", IF(V191="Custom", "N", IF(OR(W191="Freezer Case Lighting", W191="Refrigerated Case Lighting with Doors"), BT191, IF(B191="Retrofit", INDEX('Lookup Tables'!$AH$6:$AT$102,MATCH(1,('Lookup Tables'!$AH$6:$AH$102=V191)*('Lookup Tables'!$AI$6:$AI$102=W191),FALSE),IF(VLOOKUP(J191, 'Fixture Identities'!$A$6:$B$1023, 2, FALSE)="Incandescent",12, 13)), INDEX('Lookup Tables'!$AH$114:$AS$154,MATCH(1,('Lookup Tables'!$AH$114:$AH$154=V191)*('Lookup Tables'!$AI$114:$AI$154=W191),FALSE),12))))), "N")</f>
        <v/>
      </c>
      <c r="BT191" s="184" t="str">
        <f>IF(J191="", "", IF(AND(OR(W191="Freezer case Lighting", W191="Refrigerated Case Lighting with Doors"),'General Information'!$X$18="LCI"), "N", IF(OR(VLOOKUP(J191, 'Fixture Identities'!$A$6:$B$1023, 2, FALSE)="T12 EPACT/EISA Baseline", VLOOKUP(J191, 'Fixture Identities'!$A$6:$B$1023, 2, FALSE)="Linear Fluorescent", VLOOKUP(J191, 'Fixture Identities'!$A$6:$B$1023, 2, FALSE)="U-Tube Fluorescent"), "Y", "N")))</f>
        <v/>
      </c>
      <c r="BU191" s="184" t="str">
        <f>IFERROR(IF(B191="", "", IF(VLOOKUP(J191, 'Fixture Identities'!$A$6:$B$1023, 2, FALSE)="Exit Sign", "Y", "N")), "N")</f>
        <v/>
      </c>
      <c r="BV191" s="184" t="str">
        <f>IF(V191="Exit Signs", IF(VLOOKUP(J191, 'Fixture Identities'!$A$6:$B$1023, 2, FALSE)="Exit Sign", "N", "Y"), "")</f>
        <v/>
      </c>
      <c r="BW191" s="184" t="str">
        <f t="array" ref="BW191">IFERROR(IF(B191="", "", IF(B191="New Construction", "N", INDEX('Lookup Tables'!$AH$6:$AU$102, MATCH(1, ('Lookup Tables'!$AH$6:$AH$102='Lighting Inventory'!V191)*('Lookup Tables'!$AI$6:$AI$102='Lighting Inventory'!W191), 0), 14))), "N")</f>
        <v/>
      </c>
      <c r="BX191" s="598" t="str">
        <f t="shared" si="463"/>
        <v/>
      </c>
      <c r="BY191" s="598" t="str">
        <f t="shared" si="464"/>
        <v/>
      </c>
      <c r="BZ191" s="598" t="str">
        <f t="shared" si="465"/>
        <v/>
      </c>
      <c r="CA191" s="598" t="str">
        <f t="shared" si="466"/>
        <v/>
      </c>
      <c r="CB191" s="269" t="str">
        <f t="shared" si="467"/>
        <v/>
      </c>
      <c r="CC191" s="517" t="str">
        <f t="shared" si="468"/>
        <v/>
      </c>
      <c r="CD191" s="565" t="str">
        <f t="shared" si="408"/>
        <v/>
      </c>
      <c r="CE191" s="368">
        <v>0</v>
      </c>
      <c r="CF191" s="368" t="str" cm="1">
        <f t="array" ref="CF191">IFERROR(IF(V191="Custom", "$0.1 per kWh", IF(B191="New Construction", CONCATENATE("$",INDEX('Lookup Tables'!$AH$114:$AN$154,MATCH(1,('Lookup Tables'!$AH$114:$AH$154='Lighting Inventory'!V191)*('Lookup Tables'!$AI$114:$AI$154='Lighting Inventory'!W191),FALSE),6)," ",INDEX('Lookup Tables'!$AH$114:$AN$154,MATCH(1,('Lookup Tables'!$AH$114:$AH$154='Lighting Inventory'!V191)*('Lookup Tables'!$AI$114:$AI$154='Lighting Inventory'!W191),FALSE),7)), IF(AND(BU191="N", V191="Exit Signs"), "$0.025 per kWh", CONCATENATE("$",INDEX('Lookup Tables'!$AH$6:$AN$102,MATCH(1,('Lookup Tables'!$AH$6:$AH$102='Lighting Inventory'!V191)*('Lookup Tables'!$AI$6:$AI$102='Lighting Inventory'!W191),FALSE),6)," ",INDEX('Lookup Tables'!$AH$6:$AN$102,MATCH(1,('Lookup Tables'!$AH$6:$AH$102='Lighting Inventory'!V191)*('Lookup Tables'!$AI$6:$AI$102='Lighting Inventory'!W191),FALSE),7))))), "")</f>
        <v/>
      </c>
      <c r="CG191" s="366"/>
      <c r="CH191" s="248" t="str">
        <f t="shared" si="409"/>
        <v/>
      </c>
      <c r="CI191" s="248" t="str">
        <f t="shared" si="410"/>
        <v>Select_IE</v>
      </c>
      <c r="CJ191" s="248" t="str">
        <f t="shared" si="411"/>
        <v/>
      </c>
      <c r="CK191" s="248" t="str">
        <f t="shared" si="412"/>
        <v/>
      </c>
      <c r="CL191" s="248" t="str">
        <f t="shared" si="413"/>
        <v/>
      </c>
      <c r="CM191" s="248" t="str">
        <f>IFERROR(IF(B191="", "", IF(B191="New Construction", VLOOKUP(V191, 'Lookup Tables'!$AF$114:$AG$120, 2, FALSE), VLOOKUP(V191, 'Lookup Tables'!$AD$6:$AE$25, 2, FALSE))), "")</f>
        <v/>
      </c>
      <c r="CN191" s="248" t="str">
        <f t="shared" si="414"/>
        <v/>
      </c>
      <c r="CO191" s="248" t="str">
        <f t="shared" si="415"/>
        <v/>
      </c>
      <c r="CP191" s="592" t="str">
        <f t="shared" si="416"/>
        <v/>
      </c>
      <c r="CQ191" s="248" t="str">
        <f t="shared" si="469"/>
        <v/>
      </c>
      <c r="CR191" s="100"/>
      <c r="CS191" s="250" t="str">
        <f t="shared" si="417"/>
        <v/>
      </c>
      <c r="CT191" s="250" t="str">
        <f t="shared" si="470"/>
        <v/>
      </c>
      <c r="CU191" s="250" t="str">
        <f t="shared" si="471"/>
        <v/>
      </c>
      <c r="CV191" s="250" t="str">
        <f t="shared" si="472"/>
        <v/>
      </c>
      <c r="CW191" s="250" t="str">
        <f t="shared" si="473"/>
        <v/>
      </c>
      <c r="CX191" s="250" t="str">
        <f t="shared" si="418"/>
        <v/>
      </c>
      <c r="CY191" s="250" t="str">
        <f t="shared" si="419"/>
        <v/>
      </c>
      <c r="CZ191" s="250" t="str">
        <f t="shared" si="420"/>
        <v/>
      </c>
      <c r="DA191" s="250" t="str">
        <f t="shared" si="421"/>
        <v/>
      </c>
      <c r="DB191" s="250" t="str">
        <f t="shared" si="422"/>
        <v/>
      </c>
      <c r="DC191" s="250" t="str">
        <f t="shared" si="423"/>
        <v/>
      </c>
      <c r="DD191" s="250" t="str">
        <f t="shared" si="424"/>
        <v/>
      </c>
      <c r="DE191" s="250" t="str">
        <f t="shared" si="425"/>
        <v/>
      </c>
      <c r="DF191" s="250" t="str">
        <f t="shared" si="426"/>
        <v/>
      </c>
      <c r="DG191" s="250" t="str">
        <f t="shared" si="427"/>
        <v/>
      </c>
      <c r="DH191" s="250" t="str">
        <f t="shared" si="428"/>
        <v/>
      </c>
      <c r="DI191" s="250" t="str">
        <f t="shared" si="429"/>
        <v/>
      </c>
      <c r="DJ191" s="250" t="str">
        <f t="shared" si="430"/>
        <v/>
      </c>
      <c r="DK191" s="250" t="str">
        <f t="shared" si="431"/>
        <v/>
      </c>
      <c r="DL191" s="250" t="str">
        <f t="shared" si="432"/>
        <v/>
      </c>
      <c r="DM191" s="250" t="str">
        <f>IF(CD191="ERROR", "ERROR", IF(AND(OR(Y191=$DM$6, Y191='Lookup Tables'!$AD$21, Y191='Lookup Tables'!$AD$22), E191="Interior"), BJ191, ""))</f>
        <v/>
      </c>
      <c r="DN191" s="250" t="str">
        <f>IF(CD191="ERROR", "ERROR", IF(AND(OR(Y191=$DM$6, Y191='Lookup Tables'!$AD$21, Y191='Lookup Tables'!$AD$22), E191="Exterior"), BJ191, ""))</f>
        <v/>
      </c>
      <c r="DO191" s="100"/>
      <c r="DP191" s="250" t="str">
        <f t="shared" si="433"/>
        <v/>
      </c>
      <c r="DQ191" s="250" t="str">
        <f t="shared" si="474"/>
        <v/>
      </c>
      <c r="DR191" s="250" t="str">
        <f t="shared" si="475"/>
        <v/>
      </c>
      <c r="DS191" s="250" t="str">
        <f t="shared" si="476"/>
        <v/>
      </c>
      <c r="DT191" s="250" t="str">
        <f t="shared" si="477"/>
        <v/>
      </c>
      <c r="DU191" s="250" t="str">
        <f t="shared" si="434"/>
        <v/>
      </c>
      <c r="DV191" s="250" t="str">
        <f t="shared" si="435"/>
        <v/>
      </c>
      <c r="DW191" s="250" t="str">
        <f t="shared" si="436"/>
        <v/>
      </c>
      <c r="DX191" s="250" t="str">
        <f t="shared" si="437"/>
        <v/>
      </c>
      <c r="DY191" s="250" t="str">
        <f t="shared" si="438"/>
        <v/>
      </c>
      <c r="DZ191" s="250" t="str">
        <f t="shared" si="439"/>
        <v/>
      </c>
      <c r="EA191" s="250" t="str">
        <f t="shared" si="440"/>
        <v/>
      </c>
      <c r="EB191" s="250" t="str">
        <f t="shared" si="478"/>
        <v/>
      </c>
      <c r="EC191" s="250" t="str">
        <f t="shared" si="441"/>
        <v/>
      </c>
      <c r="ED191" s="250" t="str">
        <f t="shared" si="442"/>
        <v/>
      </c>
      <c r="EE191" s="250" t="str">
        <f t="shared" si="443"/>
        <v/>
      </c>
      <c r="EF191" s="250" t="str">
        <f t="shared" si="444"/>
        <v/>
      </c>
      <c r="EG191" s="250" t="str">
        <f t="shared" si="445"/>
        <v/>
      </c>
      <c r="EH191" s="250" t="str">
        <f>IF(CD191="ERROR", "ERROR", IF(AND(OR($EH$6=Y191, Y191='Lookup Tables'!$AD$21, Y191='Lookup Tables'!$AD$22),E191="Interior"), SUM(BP191:BP191), ""))</f>
        <v/>
      </c>
      <c r="EI191" s="250" t="str">
        <f>IF(CD191="ERROR", "ERROR", IF(AND(OR($EH$6=Y191, Y191='Lookup Tables'!$AD$21, Y191='Lookup Tables'!$AD$22),E191="Exterior"), SUM(BP191:BP191), ""))</f>
        <v/>
      </c>
      <c r="EJ191" s="109"/>
      <c r="EK191" s="485" t="str">
        <f t="shared" si="446"/>
        <v/>
      </c>
      <c r="EL191" s="252" t="str">
        <f t="shared" si="479"/>
        <v/>
      </c>
      <c r="EM191" s="252" t="str">
        <f t="shared" si="480"/>
        <v/>
      </c>
      <c r="EN191" s="252" t="str">
        <f t="shared" si="481"/>
        <v/>
      </c>
      <c r="EO191" s="252" t="str">
        <f t="shared" si="482"/>
        <v/>
      </c>
      <c r="EP191" s="252" t="str">
        <f t="shared" si="483"/>
        <v/>
      </c>
      <c r="EQ191" s="252" t="str">
        <f t="shared" si="484"/>
        <v/>
      </c>
      <c r="ER191" s="252" t="str">
        <f t="shared" si="485"/>
        <v/>
      </c>
      <c r="ES191" s="252" t="str">
        <f t="shared" si="486"/>
        <v/>
      </c>
      <c r="ET191" s="252" t="str">
        <f t="shared" si="487"/>
        <v/>
      </c>
      <c r="EU191" s="252" t="str">
        <f t="shared" si="488"/>
        <v/>
      </c>
      <c r="EV191" s="252" t="str">
        <f t="shared" si="489"/>
        <v/>
      </c>
      <c r="EW191" s="252" t="str">
        <f t="shared" si="490"/>
        <v/>
      </c>
      <c r="EX191" s="252" t="str">
        <f t="shared" si="491"/>
        <v/>
      </c>
      <c r="EY191" s="252" t="str">
        <f t="shared" si="492"/>
        <v/>
      </c>
      <c r="EZ191" s="252" t="str">
        <f t="shared" si="493"/>
        <v/>
      </c>
      <c r="FA191" s="252" t="str">
        <f t="shared" si="494"/>
        <v/>
      </c>
      <c r="FB191" s="252" t="str">
        <f t="shared" si="495"/>
        <v/>
      </c>
      <c r="FC191" s="252" t="str">
        <f>IF(CD191="ERROR", "ERROR", IF(OR(V191="No Change", V191="Not DLC or Energy Star"), "", IF(AND(OR($FC$6=Y191,Y191='Lookup Tables'!$AD$21, Y191='Lookup Tables'!$AD$22),E191="Interior"), S191, "")))</f>
        <v/>
      </c>
      <c r="FD191" s="252" t="str">
        <f t="shared" si="496"/>
        <v/>
      </c>
      <c r="FE191" s="101"/>
      <c r="FF191" s="579" t="str" cm="1">
        <f t="array" ref="FF191">IFERROR(IF(OR(BQ191&lt;=0,AQ191&lt;20,AND(V191="Exit Signs",AN191&gt;0)),"",IF(AND(AQ191&gt;=20,AN191='Lookup Tables'!$R$101),'Lookup Tables'!$U$101*BQ191,AP191*LOOKUP(2,1/((AN191='Lookup Tables'!$R$91:$R$111)*(AQ191&gt;='Lookup Tables'!$S$91:$S$111)*(AQ191&lt;='Lookup Tables'!$T$91:$T$111)),'Lookup Tables'!$U$91:$U$111))),"")</f>
        <v/>
      </c>
      <c r="FG191" s="579"/>
      <c r="FH191" s="579"/>
      <c r="FI191" s="253" t="str">
        <f>IFERROR(ROUND(IF(CD191="ERROR", "ERROR", IF(AND($FI$7=X191,E191="Interior"),VLOOKUP(W191, 'Lookup Tables'!$AI$6:$AM$102, 5, FALSE)*BP191, "")), 2), "")</f>
        <v/>
      </c>
      <c r="FJ191" s="253" t="str">
        <f>IFERROR(ROUND(IF(CD191="ERROR", "ERROR", IF(AND($FI$7=X191,E191="Exterior"),VLOOKUP(W191, 'Lookup Tables'!$AI$6:$AM$102, 5, FALSE)*BP191, "")), 2), "")</f>
        <v/>
      </c>
      <c r="FK191" s="253" t="str">
        <f>IFERROR(ROUND(IF(CD191="ERROR", "ERROR", IF(AND($FK$7=X191,E191="Interior"),VLOOKUP(W191, 'Lookup Tables'!$AI$6:$AM$102, 5, FALSE)*BP191, "")), 2), "")</f>
        <v/>
      </c>
      <c r="FL191" s="253" t="str">
        <f>IFERROR(ROUND(IF(CD191="ERROR", "ERROR", IF(AND($FK$7=X191,E191="Exterior"),VLOOKUP(W191, 'Lookup Tables'!$AI$6:$AM$102, 5, FALSE)*BP191, "")), 2), "")</f>
        <v/>
      </c>
      <c r="FM191" s="253" t="str">
        <f>IFERROR(ROUND(IF(CD191="ERROR", "ERROR", IF(AND($FM$6=Y191,E191="Interior"), IF(GB191=0, VLOOKUP(W191, 'Lookup Tables'!$AI$6:$AM$102, 5, FALSE)*BP191, IF(VLOOKUP(W191, 'Lookup Tables'!$AI$6:$AM$102, 5, FALSE)*BP191&gt;GB191*'Lighting Inventory'!S191, GB191*'Lighting Inventory'!S191,VLOOKUP(W191, 'Lookup Tables'!$AI$6:$AM$102, 5, FALSE)*BP191)), "")), 2), "")</f>
        <v/>
      </c>
      <c r="FN191" s="253" t="str">
        <f>IFERROR(ROUND(IF(CD191="ERROR", "ERROR", IF(AND($FM$6=Y191,E191="Exterior"), IF(GB191=0, VLOOKUP(W191, 'Lookup Tables'!$AI$6:$AM$102, 5, FALSE)*BP191, IF(VLOOKUP(W191, 'Lookup Tables'!$AI$6:$AM$102, 5, FALSE)*BP191&gt;GB191*'Lighting Inventory'!S191, GB191*'Lighting Inventory'!S191,VLOOKUP(W191, 'Lookup Tables'!$AI$6:$AM$102, 5, FALSE)*BP191)), "")), 2), "")</f>
        <v/>
      </c>
      <c r="FO191" s="253" t="str">
        <f>IFERROR(ROUND(IF(CD191="ERROR", "ERROR", IF(AND($FO$6=Y191,E191="Interior"),VLOOKUP(W191, 'Lookup Tables'!$AI$6:$AM$102, 5, FALSE)*'Lighting Inventory'!AI191, "")), 2), "")</f>
        <v/>
      </c>
      <c r="FP191" s="253" t="str">
        <f>IFERROR(ROUND(IF(CD191="ERROR", "ERROR", IF(AND($FO$6=Y191,E191="Exterior"),VLOOKUP(W191, 'Lookup Tables'!$AI$6:$AM$102, 5, FALSE)*'Lighting Inventory'!AI191, "")), 2), "")</f>
        <v/>
      </c>
      <c r="FQ191" s="253" t="str">
        <f>IFERROR(ROUND(IF(CD191="ERROR", "ERROR", IF(AND($FQ$6=Y191,E191="Interior", BU191="Y"), VLOOKUP('Lighting Inventory'!W191, 'Lookup Tables'!$AI$6:$AM$102, 5, FALSE)*'Lighting Inventory'!S191, IF(AND($FQ$7=Y191,E191="Interior", BU191="N"), 0.025*CD191, ""))), 2), "")</f>
        <v/>
      </c>
      <c r="FR191" s="253" t="str">
        <f>IFERROR(ROUND(IF(CD191="ERROR", "ERROR", IF(AND($FQ$6=Y191,E191="Exterior"), VLOOKUP('Lighting Inventory'!W191, 'Lookup Tables'!$AI$6:$AM$102, 5, FALSE)*'Lighting Inventory'!S191, "")), 2), "")</f>
        <v/>
      </c>
      <c r="FS191" s="253" t="str">
        <f>IFERROR(ROUND(IF(CD191="ERROR", "ERROR", IF(AND($FS$6=Y191,E191="Exterior"), IF(GB191=0, VLOOKUP(W191, 'Lookup Tables'!$AI$6:$AM$102, 5, FALSE)*BP191, IF(VLOOKUP(W191, 'Lookup Tables'!$AI$6:$AM$102, 5, FALSE)*BP191&gt;GB191*'Lighting Inventory'!S191, GB191*'Lighting Inventory'!S191,VLOOKUP(W191, 'Lookup Tables'!$AI$6:$AM$102, 5, FALSE)*BP191)), "")), 2), "")</f>
        <v/>
      </c>
      <c r="FT191" s="253" t="str">
        <f>IFERROR(ROUND(IF(CD191="ERROR", "ERROR", IF(AND($FT$6=Y191,E191="Interior"), IF(GB191=0, VLOOKUP(W191, 'Lookup Tables'!$AI$6:$AM$102, 5, FALSE)*BP191, IF(VLOOKUP(W191, 'Lookup Tables'!$AI$6:$AM$102, 5, FALSE)*BP191&gt;GB191*'Lighting Inventory'!S191, GB191*'Lighting Inventory'!S191,VLOOKUP(W191, 'Lookup Tables'!$AI$6:$AM$102, 5, FALSE)*BP191)), "")), 2), "")</f>
        <v/>
      </c>
      <c r="FU191" s="253" t="str">
        <f>IFERROR(ROUND(IF(CD191="ERROR", "ERROR", IF(AND(Y191=$FU$6, E191="Interior"), IF(BS191="N", 'Lookup Tables'!$AM$101*BP191, VLOOKUP(W191, 'Lookup Tables'!$AI$6:$AM$102, 5, FALSE)*S191*AD191), "")), 2), "")</f>
        <v/>
      </c>
      <c r="FV191" s="253" t="str">
        <f>IFERROR(ROUND(IF(CD191="ERROR", "ERROR", IF(AND(Y191=$FU$6, E191="Exterior"), IF(BS191="N", 'Lookup Tables'!$AM$101*BP191, VLOOKUP(W191, 'Lookup Tables'!$AI$6:$AM$102, 5, FALSE)*S191*AD191), "")), 2), "")</f>
        <v/>
      </c>
      <c r="FW191" s="253" t="str">
        <f>IFERROR(ROUND(IF(CD191="ERROR", "ERROR", IF($FW$6=Y191, IF(BS191="N", 'Lookup Tables'!$AM$101*BP191, MIN((VLOOKUP(W191, 'Lookup Tables'!$AI$6:$AM$102, 5, FALSE)*BP191),GB191*AJ191)), "")), 2), "")</f>
        <v/>
      </c>
      <c r="FX191" s="253" t="str">
        <f>IFERROR(ROUND(IF(CD191="ERROR", "ERROR", IF(AND($FX$6=Y191, E191="Interior"), IF(VLOOKUP(W191, 'Lookup Tables'!$AI$6:$AM$102, 5, FALSE)*BP191&gt;'Lookup Tables'!$AQ$97*'Lighting Inventory'!S191,'Lighting Inventory'!S191*'Lookup Tables'!$AQ$97,VLOOKUP(W191, 'Lookup Tables'!$AI$6:$AM$102, 5, FALSE)*BP191), "")), 2), "")</f>
        <v/>
      </c>
      <c r="FY191" s="253" t="str">
        <f>IFERROR(ROUND(IF(CD191="ERROR", "ERROR", IF(AND($FX$6=Y191, E191="Exterior"), IF(VLOOKUP(W191, 'Lookup Tables'!$AI$6:$AM$102, 5, FALSE)*BP191&gt;'Lookup Tables'!$AQ$97*'Lighting Inventory'!S191,'Lighting Inventory'!S191*'Lookup Tables'!$AQ$97,VLOOKUP(W191, 'Lookup Tables'!$AI$6:$AM$102, 5, FALSE)*BP191), "")), 2), "")</f>
        <v/>
      </c>
      <c r="FZ191" s="253" t="str">
        <f>IFERROR(ROUND(IF(CD191="ERROR", "ERROR", IF(AND($FZ$6=Y191, E191="Interior"), IF(AND(OR(W191="Refrigerated Case Lighting with Doors", W191="Freezer Case Lighting"),Y191="Custom - Process Improvement"),CD191*'Lookup Tables'!$AM$101, IF(B191="Retrofit", IF(VLOOKUP(IF(V191="Custom", V191, W191), 'Lookup Tables'!$AI$6:$AM$102, 5, FALSE)*BP191&gt;GE191, GE191, VLOOKUP(IF(V191="Custom", V191, W191), 'Lookup Tables'!$AI$6:$AM$102, 5, FALSE)*BP191), IF(VLOOKUP(IF(V191="Custom", V191, W191), 'Lookup Tables'!$AI$114:$AM$154, 5, FALSE)*BP191&gt;GE191, GE191, VLOOKUP(IF(V191="Custom", V191, W191), 'Lookup Tables'!$AI$114:$AM$154, 5, FALSE)*BP191))), "")), 2),"")</f>
        <v/>
      </c>
      <c r="GA191" s="253" t="str">
        <f>IFERROR(ROUND(IF(CD191="ERROR", "ERROR", IF(AND($FZ$6=Y191, E191="Exterior"), IF(B191="Retrofit", IF(VLOOKUP(IF(V191="Custom", V191, W191), 'Lookup Tables'!$AI$6:$AM$102, 5, FALSE)*BP191&gt;GE191, GE191, VLOOKUP(IF(V191="Custom", V191, W191), 'Lookup Tables'!$AI$6:$AM$102, 5, FALSE)*BP191), IF(VLOOKUP(IF(V191="Custom", V191, W191), 'Lookup Tables'!$AI$114:$AM$154, 5, FALSE)*BP191&gt;GE191, GE191, VLOOKUP(IF(V191="Custom", V191, W191), 'Lookup Tables'!$AI$114:$AM$154, 5, FALSE)*BP191)), "")), 2),"")</f>
        <v/>
      </c>
      <c r="GB191" s="254" t="str">
        <f t="array" ref="GB191">IF(B191="","",IF(OR(V191="Custom",V191="No Change"),0,IF(B191="Retrofit", INDEX('Lookup Tables'!$AH$6:$AQ$102,MATCH(1,('Lookup Tables'!$AH$6:$AH$102='Lighting Inventory'!V191)*('Lookup Tables'!$AI$6:$AI$102='Lighting Inventory'!W191),FALSE),10),INDEX('Lookup Tables'!$AH$114:$AQ$154,MATCH(1,('Lookup Tables'!$AH$114:$AH$154='Lighting Inventory'!V191)*('Lookup Tables'!$AI$114:$AI$154='Lighting Inventory'!W191),FALSE),10))))</f>
        <v/>
      </c>
      <c r="GC191" s="255" t="str">
        <f t="shared" si="447"/>
        <v/>
      </c>
      <c r="GD191" s="250" t="str">
        <f t="shared" si="448"/>
        <v/>
      </c>
      <c r="GE191" s="253" t="str">
        <f>IFERROR(IF(AND(AF191="", 'General Information'!$F$18="No"),"", IF(AF191="", ((GD191/$CD$266)*$CF$266)*0.5, AF191*S191*0.5)), "")</f>
        <v/>
      </c>
      <c r="GF191" s="255" t="str">
        <f>IF(AND('General Information'!$F$19="", 'General Information'!$F$18="Yes",AF191="",BW191="Y"), "Y", "N")</f>
        <v>N</v>
      </c>
      <c r="GG191" s="255" t="s">
        <v>2946</v>
      </c>
      <c r="GH191" s="255" t="str">
        <f>IFERROR(IF(B191="", "", VLOOKUP(J191, 'Fixture Identities'!$A$6:$N$908, 14, FALSE)), "")</f>
        <v/>
      </c>
      <c r="GI191" s="389" t="str">
        <f>IF(OR(B191="", V191="", W191=""), "", IF(AND(OR(M191='Lookup Tables'!$R$18, M191='Lookup Tables'!$R$19, M191='Lookup Tables'!$R$20, M191='Lookup Tables'!$R$21, M191='Lookup Tables'!$R$22), OR(AN191='Lookup Tables'!$R$17, AN191='Lookup Tables'!$R$17, AN191="")), "Y", "N"))</f>
        <v/>
      </c>
      <c r="GJ191" s="255" t="str">
        <f t="shared" si="449"/>
        <v/>
      </c>
      <c r="GK191" s="255" t="str">
        <f t="shared" si="450"/>
        <v/>
      </c>
      <c r="GL191" s="255" t="str">
        <f t="shared" si="451"/>
        <v/>
      </c>
      <c r="GM191" s="255" t="str">
        <f>IF(AN191="", "", IF(AND(IF(ISNA(VLOOKUP(AN191,'Lookup Tables'!$R$18:$R$22,1,FALSE)), "N", "Y")="Y", E191="Exterior"), "Y", "N"))</f>
        <v/>
      </c>
      <c r="GN191" s="395"/>
      <c r="GO191" s="428">
        <f t="shared" si="497"/>
        <v>0</v>
      </c>
      <c r="GP191" s="428">
        <f t="shared" si="500"/>
        <v>0</v>
      </c>
      <c r="GQ191" s="428">
        <f t="shared" si="498"/>
        <v>0</v>
      </c>
      <c r="GR191" s="428">
        <f t="shared" si="499"/>
        <v>0</v>
      </c>
    </row>
    <row r="192" spans="1:200" s="103" customFormat="1" ht="13.5" customHeight="1" x14ac:dyDescent="0.2">
      <c r="A192" s="272">
        <v>182</v>
      </c>
      <c r="B192" s="110"/>
      <c r="C192" s="110"/>
      <c r="D192" s="110"/>
      <c r="E192" s="110"/>
      <c r="F192" s="110"/>
      <c r="G192" s="110"/>
      <c r="H192" s="110"/>
      <c r="I192" s="29"/>
      <c r="J192" s="29"/>
      <c r="K192" s="272" t="str">
        <f>IFERROR(IF(OR(VLOOKUP(J192, 'Fixture Identities'!$A$6:$L$1023, 3, FALSE)="T12 Linear Fluorescent", VLOOKUP(J192, 'Fixture Identities'!$A$6:$L$1023, 3, FALSE)="T12 U-Tube Fluorescent"), VLOOKUP(VLOOKUP(J192, 'Fixture Identities'!$A$6:$L$1023, 11, FALSE), 'Fixture Identities'!$A$6:$L$1023, 10, FALSE), VLOOKUP(J192, 'Fixture Identities'!$A$6:$L$1023, 10, FALSE)), "")</f>
        <v/>
      </c>
      <c r="L192" s="270" t="str">
        <f t="shared" si="502"/>
        <v/>
      </c>
      <c r="M192" s="110"/>
      <c r="N192" s="110"/>
      <c r="O192" s="110"/>
      <c r="P192" s="272" t="str">
        <f>IFERROR(IF(OR(B192="Retrofit",B192=""),"",IF('Lighting Inventory'!E192="Exterior",VLOOKUP('Lighting Inventory'!N192,'Lookup Tables'!$B$83:$F$103,5,FALSE),IF(N192="Other - Please Estimate EFLH and CFs","Contact Prog. Rep.","ft^2"))), "")</f>
        <v/>
      </c>
      <c r="Q192" s="270" t="str">
        <f>IFERROR(IF(AND(B192="New Construction",E192="Interior",$F$5="Space-by-Space"),VLOOKUP('Lighting Inventory'!N192,'Lookup Tables'!$N$6:$O$97,2,FALSE),IF(AND(B192="New Construction",E192="Exterior"),VLOOKUP(N192,'Lookup Tables'!$B$83:$F$103,2,FALSE),IF(AND(B192="New Construction",'Lighting Inventory'!E192="Interior", $F$5="Building Area"),VLOOKUP(F192,'Lookup Tables'!$A$6:$J$59,10,FALSE),""))), "")</f>
        <v/>
      </c>
      <c r="R192" s="270" t="str">
        <f>IFERROR(IF(P192="Contact Prog. Rep.", "ERROR", IF(OR(B192="",B192="Retrofit"),"",IF(N192="Automated teller machines", ('Lookup Tables'!$A$82:$E$100+('Lighting Inventory'!O192-1)*'Lookup Tables'!$A$82:$E$100)/1000, (Q192*O192)/1000))), "")</f>
        <v/>
      </c>
      <c r="S192" s="595"/>
      <c r="T192" s="105" t="str">
        <f t="shared" si="452"/>
        <v/>
      </c>
      <c r="U192" s="105" t="str">
        <f>IF(S192="","",COUNT($S$11:S192))</f>
        <v/>
      </c>
      <c r="V192" s="111"/>
      <c r="W192" s="112"/>
      <c r="X192" s="105" t="str">
        <f t="shared" si="453"/>
        <v/>
      </c>
      <c r="Y192" s="105" t="str">
        <f t="array" ref="Y192">IF(AND(OR(W192="Freezer Case Lighting", W192="Refrigerated Case Lighting with Doors"), 'General Information'!$X$18="LCI"),'Lookup Tables'!$Y$34, IF(V192="Custom", VLOOKUP(W192, 'Fixture Identities'!$A$974:$M$1023, 13, FALSE), IF(V192="No Change",'Lookup Tables'!$Y$29,IF(OR(V192="",W192=""),"",IF(AND(S192=0,S192&lt;I192,B192="Retrofit"),'Lookup Tables'!$Y$25, IF(B192="Retrofit", INDEX('Lookup Tables'!$AH$6:$AP$102, MATCH(1, ('Lookup Tables'!$AH$6:$AH$102=V192)*('Lookup Tables'!$AI$6:$AI$102=W192), 0), IF('Lighting Inventory'!E192="Interior", 4, 5)), INDEX('Lookup Tables'!$AH$114:$AP$154, MATCH(1, ('Lookup Tables'!$AH$114:$AH$154=V192)*('Lookup Tables'!$AI$114:$AI$154=W192), 0), IF('Lighting Inventory'!E192="Interior", 4, 5))))))))</f>
        <v/>
      </c>
      <c r="Z192" s="105" t="str">
        <f>IFERROR(INDEX('Lookup Tables'!$AH$158:$AH$172,MATCH('Lighting Inventory'!Y192,'Lookup Tables'!$AI$158:$AI$172,0)),"")</f>
        <v/>
      </c>
      <c r="AA192" s="105" t="str">
        <f>IF(AP192&gt;0,INDEX('Lookup Tables'!$AK$158:$AK$172,MATCH('Lighting Inventory'!Y192,'Lookup Tables'!$AI$158:$AI$172,0)),'Lighting Inventory'!Y192)</f>
        <v/>
      </c>
      <c r="AB192" s="105" t="str">
        <f t="array" ref="AB192">IF(V192="Custom", "Custom", IF(V192="", "", IF(V192="Not DLC or Energy Star", "General", IF(B192="New Construction", INDEX('Lookup Tables'!$AH$114:$AP$154,MATCH(1,('Lookup Tables'!$AH$114:$AH$154='Lighting Inventory'!V192)*('Lookup Tables'!$AI$114:$AI$154='Lighting Inventory'!W192),FALSE),8), INDEX('Lookup Tables'!$AH$6:$AP$102,MATCH(1,('Lookup Tables'!$AH$6:$AH$102='Lighting Inventory'!V192)*('Lookup Tables'!$AI$6:$AI$102='Lighting Inventory'!W192),FALSE),8)))))</f>
        <v/>
      </c>
      <c r="AC192" s="272" t="str">
        <f>IF(W192="","",IF(V192="Custom",CONCATENATE("$",'Lookup Tables'!$AM$101," ",'Lookup Tables'!$AN$101),CONCATENATE("$",INDEX('Lookup Tables'!$AM$6:$AM$102,MATCH('Lighting Inventory'!W192,'Lookup Tables'!$AI$6:$AI$102,0))," ",INDEX('Lookup Tables'!$AN$6:$AN$102,MATCH('Lighting Inventory'!W192,'Lookup Tables'!$AI$6:$AI$102,0)))))</f>
        <v/>
      </c>
      <c r="AD192" s="72"/>
      <c r="AE192" s="29"/>
      <c r="AF192" s="379"/>
      <c r="AG192" s="370" t="str">
        <f t="shared" si="401"/>
        <v/>
      </c>
      <c r="AH192" s="370" t="str">
        <f t="shared" si="454"/>
        <v/>
      </c>
      <c r="AI192" s="29"/>
      <c r="AJ192" s="29"/>
      <c r="AK192" s="110"/>
      <c r="AL192" s="375" t="str">
        <f>IF(OR(B192="", V192="", W192=""), "", IF(V192="No Change", K192, IF(V192="Remove Fixture", 0, IF(V192="Custom",VLOOKUP(W192,'Fixture Identities'!$A$6:$K$1023,10,FALSE),IF(AE192="", "← ENTER POST WATTS", 'Lighting Inventory'!AE192)))))</f>
        <v/>
      </c>
      <c r="AM192" s="376" t="str">
        <f t="shared" si="402"/>
        <v/>
      </c>
      <c r="AN192" s="29"/>
      <c r="AO192" s="671"/>
      <c r="AP192" s="29"/>
      <c r="AQ192" s="29"/>
      <c r="AR192" s="29"/>
      <c r="AS192" s="272" t="str">
        <f t="shared" si="455"/>
        <v/>
      </c>
      <c r="AT192" s="270" t="str">
        <f t="shared" si="403"/>
        <v/>
      </c>
      <c r="AU192" s="88" t="str">
        <f t="shared" si="503"/>
        <v/>
      </c>
      <c r="AV192" s="29"/>
      <c r="AW192" s="73"/>
      <c r="AX192" s="271" t="str">
        <f>IF(AND(AV192="Applicant",OR(AW192="", AW192="Use Default Facility Hours")),"← Choose Schedule",IF(F192="","",IF(W192="LED Exit Signs",8760,IF(OR(AV192="Prescribed",AV192=""),VLOOKUP(F192,'Lookup Tables'!$A$6:$G$59,IF(AB192="General", 6, 3),FALSE),VLOOKUP(AW192,'Lookup Tables'!$S$36:$U$43,2,FALSE)))))</f>
        <v/>
      </c>
      <c r="AY192" s="88" t="str">
        <f t="shared" si="404"/>
        <v/>
      </c>
      <c r="AZ192" s="270" t="str">
        <f>IFERROR(IF(F192="", "", IF(W192="LED Exit Signs", 1, IF(AV192="Applicant",VLOOKUP(AW192, 'Lookup Tables'!$S$36:$U$43,3, FALSE), VLOOKUP('Lighting Inventory'!F192, 'Lookup Tables'!$A$6:$H$59, IF('Lighting Inventory'!AB192="General",7,4), FALSE)))), "")</f>
        <v/>
      </c>
      <c r="BA192" s="522" t="str">
        <f>IFERROR(IF(F192="", "", IF(W192="LED Exit Signs", 1, VLOOKUP('Lighting Inventory'!F192, 'Lookup Tables'!$A$6:$H$59, IF('Lighting Inventory'!AB192="General",8,5), FALSE))), "")</f>
        <v/>
      </c>
      <c r="BB192" s="270" t="str">
        <f>IF(G192="", "", IF(E192="Exterior", 0, IF('Lighting Inventory'!G192="Air Conditioned", VLOOKUP(H192, 'Lookup Tables'!$R$6:$T$13, 2, FALSE), VLOOKUP('Lighting Inventory'!G192, 'Lookup Tables'!$R$6:$T$13, 2, FALSE))))</f>
        <v/>
      </c>
      <c r="BC192" s="522" t="str">
        <f>IF(G192="", "", IF(E192="Exterior", 0, IF('Lighting Inventory'!G192="Air Conditioned", VLOOKUP(H192, 'Lookup Tables'!$R$6:$T$13, 3, FALSE), VLOOKUP('Lighting Inventory'!G192, 'Lookup Tables'!$R$6:$T$13, 3, FALSE))))</f>
        <v/>
      </c>
      <c r="BD192" s="270" t="str">
        <f>IF(G192="", "", IF(E192="Exterior", 0, IF('Lighting Inventory'!G192="Air Conditioned", VLOOKUP(H192, 'Lookup Tables'!$R$6:$U$13, 4, FALSE), VLOOKUP('Lighting Inventory'!G192, 'Lookup Tables'!$R$6:$U$13, 4, FALSE))))</f>
        <v/>
      </c>
      <c r="BE192" s="270" t="str">
        <f>IFERROR(IF(B192="", "",  IF(B192="New Construction", VLOOKUP(F192, 'Lookup Tables'!$A$6:$K$59, 11, FALSE),IF(OR(AN192="", AN192="Light Switch"), 0, IF(OR(M192="",M192="None",V192= "LED Exit Signs"),0,_xlfn.XLOOKUP(M192,'Lookup Tables'!$R$91:$R$101,'Lookup Tables'!$V$91:$V$101))))), "")</f>
        <v/>
      </c>
      <c r="BF192" s="270" t="str">
        <f>IF(AND(OR(AN192="Light Switch",AN192=""),B192="New Construction"), VLOOKUP(F192, 'Lookup Tables'!$A$6:$K$59, 11, FALSE),IF(AN192="","",IF(B192="","",IF(OR(AN192="None",AN192="",V192="LED Exit Signs",AN192="Exterior Controls Not Eligible"),0,_xlfn.XLOOKUP(AN192,'Lookup Tables'!$R$91:$R$101,'Lookup Tables'!$V$91:$V$101)))))</f>
        <v/>
      </c>
      <c r="BG192" s="88" t="str">
        <f t="shared" si="456"/>
        <v/>
      </c>
      <c r="BH192" s="88" t="str">
        <f t="shared" si="457"/>
        <v/>
      </c>
      <c r="BI192" s="558" t="str">
        <f t="shared" si="501"/>
        <v/>
      </c>
      <c r="BJ192" s="82" t="str">
        <f t="shared" si="458"/>
        <v/>
      </c>
      <c r="BK192" s="82" t="str">
        <f t="shared" si="459"/>
        <v/>
      </c>
      <c r="BL192" s="559" t="str">
        <f t="shared" si="460"/>
        <v/>
      </c>
      <c r="BM192" s="521" t="str">
        <f t="shared" si="405"/>
        <v/>
      </c>
      <c r="BN192" s="521" t="str">
        <f t="shared" si="406"/>
        <v/>
      </c>
      <c r="BO192" s="522" t="str">
        <f t="shared" si="407"/>
        <v/>
      </c>
      <c r="BP192" s="83" t="str">
        <f t="shared" si="461"/>
        <v/>
      </c>
      <c r="BQ192" s="84" t="str">
        <f t="shared" si="462"/>
        <v/>
      </c>
      <c r="BR192" s="184" t="str">
        <f>IFERROR(IF(B192="", "", IF(OR(VLOOKUP(J192, 'Fixture Identities'!$A$6:$L$1023, 3, FALSE)="T12 Linear Fluorescent",VLOOKUP(J192, 'Fixture Identities'!$A$6:$L$1023, 3, FALSE)="T12 U-Tube Fluorescent"), "Y", "N")), "N")</f>
        <v/>
      </c>
      <c r="BS192" s="184" t="str">
        <f t="array" ref="BS192">IFERROR(IF(OR(B192="", V192="", W192=""), "", IF(V192="Custom", "N", IF(OR(W192="Freezer Case Lighting", W192="Refrigerated Case Lighting with Doors"), BT192, IF(B192="Retrofit", INDEX('Lookup Tables'!$AH$6:$AT$102,MATCH(1,('Lookup Tables'!$AH$6:$AH$102=V192)*('Lookup Tables'!$AI$6:$AI$102=W192),FALSE),IF(VLOOKUP(J192, 'Fixture Identities'!$A$6:$B$1023, 2, FALSE)="Incandescent",12, 13)), INDEX('Lookup Tables'!$AH$114:$AS$154,MATCH(1,('Lookup Tables'!$AH$114:$AH$154=V192)*('Lookup Tables'!$AI$114:$AI$154=W192),FALSE),12))))), "N")</f>
        <v/>
      </c>
      <c r="BT192" s="184" t="str">
        <f>IF(J192="", "", IF(AND(OR(W192="Freezer case Lighting", W192="Refrigerated Case Lighting with Doors"),'General Information'!$X$18="LCI"), "N", IF(OR(VLOOKUP(J192, 'Fixture Identities'!$A$6:$B$1023, 2, FALSE)="T12 EPACT/EISA Baseline", VLOOKUP(J192, 'Fixture Identities'!$A$6:$B$1023, 2, FALSE)="Linear Fluorescent", VLOOKUP(J192, 'Fixture Identities'!$A$6:$B$1023, 2, FALSE)="U-Tube Fluorescent"), "Y", "N")))</f>
        <v/>
      </c>
      <c r="BU192" s="184" t="str">
        <f>IFERROR(IF(B192="", "", IF(VLOOKUP(J192, 'Fixture Identities'!$A$6:$B$1023, 2, FALSE)="Exit Sign", "Y", "N")), "N")</f>
        <v/>
      </c>
      <c r="BV192" s="184" t="str">
        <f>IF(V192="Exit Signs", IF(VLOOKUP(J192, 'Fixture Identities'!$A$6:$B$1023, 2, FALSE)="Exit Sign", "N", "Y"), "")</f>
        <v/>
      </c>
      <c r="BW192" s="184" t="str">
        <f t="array" ref="BW192">IFERROR(IF(B192="", "", IF(B192="New Construction", "N", INDEX('Lookup Tables'!$AH$6:$AU$102, MATCH(1, ('Lookup Tables'!$AH$6:$AH$102='Lighting Inventory'!V192)*('Lookup Tables'!$AI$6:$AI$102='Lighting Inventory'!W192), 0), 14))), "N")</f>
        <v/>
      </c>
      <c r="BX192" s="598" t="str">
        <f t="shared" si="463"/>
        <v/>
      </c>
      <c r="BY192" s="598" t="str">
        <f t="shared" si="464"/>
        <v/>
      </c>
      <c r="BZ192" s="598" t="str">
        <f t="shared" si="465"/>
        <v/>
      </c>
      <c r="CA192" s="598" t="str">
        <f t="shared" si="466"/>
        <v/>
      </c>
      <c r="CB192" s="269" t="str">
        <f t="shared" si="467"/>
        <v/>
      </c>
      <c r="CC192" s="517" t="str">
        <f t="shared" si="468"/>
        <v/>
      </c>
      <c r="CD192" s="565" t="str">
        <f t="shared" si="408"/>
        <v/>
      </c>
      <c r="CE192" s="368">
        <v>0</v>
      </c>
      <c r="CF192" s="368" t="str" cm="1">
        <f t="array" ref="CF192">IFERROR(IF(V192="Custom", "$0.1 per kWh", IF(B192="New Construction", CONCATENATE("$",INDEX('Lookup Tables'!$AH$114:$AN$154,MATCH(1,('Lookup Tables'!$AH$114:$AH$154='Lighting Inventory'!V192)*('Lookup Tables'!$AI$114:$AI$154='Lighting Inventory'!W192),FALSE),6)," ",INDEX('Lookup Tables'!$AH$114:$AN$154,MATCH(1,('Lookup Tables'!$AH$114:$AH$154='Lighting Inventory'!V192)*('Lookup Tables'!$AI$114:$AI$154='Lighting Inventory'!W192),FALSE),7)), IF(AND(BU192="N", V192="Exit Signs"), "$0.025 per kWh", CONCATENATE("$",INDEX('Lookup Tables'!$AH$6:$AN$102,MATCH(1,('Lookup Tables'!$AH$6:$AH$102='Lighting Inventory'!V192)*('Lookup Tables'!$AI$6:$AI$102='Lighting Inventory'!W192),FALSE),6)," ",INDEX('Lookup Tables'!$AH$6:$AN$102,MATCH(1,('Lookup Tables'!$AH$6:$AH$102='Lighting Inventory'!V192)*('Lookup Tables'!$AI$6:$AI$102='Lighting Inventory'!W192),FALSE),7))))), "")</f>
        <v/>
      </c>
      <c r="CG192" s="366"/>
      <c r="CH192" s="248" t="str">
        <f t="shared" si="409"/>
        <v/>
      </c>
      <c r="CI192" s="248" t="str">
        <f t="shared" si="410"/>
        <v>Select_IE</v>
      </c>
      <c r="CJ192" s="248" t="str">
        <f t="shared" si="411"/>
        <v/>
      </c>
      <c r="CK192" s="248" t="str">
        <f t="shared" si="412"/>
        <v/>
      </c>
      <c r="CL192" s="248" t="str">
        <f t="shared" si="413"/>
        <v/>
      </c>
      <c r="CM192" s="248" t="str">
        <f>IFERROR(IF(B192="", "", IF(B192="New Construction", VLOOKUP(V192, 'Lookup Tables'!$AF$114:$AG$120, 2, FALSE), VLOOKUP(V192, 'Lookup Tables'!$AD$6:$AE$25, 2, FALSE))), "")</f>
        <v/>
      </c>
      <c r="CN192" s="248" t="str">
        <f t="shared" si="414"/>
        <v/>
      </c>
      <c r="CO192" s="248" t="str">
        <f t="shared" si="415"/>
        <v/>
      </c>
      <c r="CP192" s="592" t="str">
        <f t="shared" si="416"/>
        <v/>
      </c>
      <c r="CQ192" s="248" t="str">
        <f t="shared" si="469"/>
        <v/>
      </c>
      <c r="CR192" s="100"/>
      <c r="CS192" s="250" t="str">
        <f t="shared" si="417"/>
        <v/>
      </c>
      <c r="CT192" s="250" t="str">
        <f t="shared" si="470"/>
        <v/>
      </c>
      <c r="CU192" s="250" t="str">
        <f t="shared" si="471"/>
        <v/>
      </c>
      <c r="CV192" s="250" t="str">
        <f t="shared" si="472"/>
        <v/>
      </c>
      <c r="CW192" s="250" t="str">
        <f t="shared" si="473"/>
        <v/>
      </c>
      <c r="CX192" s="250" t="str">
        <f t="shared" si="418"/>
        <v/>
      </c>
      <c r="CY192" s="250" t="str">
        <f t="shared" si="419"/>
        <v/>
      </c>
      <c r="CZ192" s="250" t="str">
        <f t="shared" si="420"/>
        <v/>
      </c>
      <c r="DA192" s="250" t="str">
        <f t="shared" si="421"/>
        <v/>
      </c>
      <c r="DB192" s="250" t="str">
        <f t="shared" si="422"/>
        <v/>
      </c>
      <c r="DC192" s="250" t="str">
        <f t="shared" si="423"/>
        <v/>
      </c>
      <c r="DD192" s="250" t="str">
        <f t="shared" si="424"/>
        <v/>
      </c>
      <c r="DE192" s="250" t="str">
        <f t="shared" si="425"/>
        <v/>
      </c>
      <c r="DF192" s="250" t="str">
        <f t="shared" si="426"/>
        <v/>
      </c>
      <c r="DG192" s="250" t="str">
        <f t="shared" si="427"/>
        <v/>
      </c>
      <c r="DH192" s="250" t="str">
        <f t="shared" si="428"/>
        <v/>
      </c>
      <c r="DI192" s="250" t="str">
        <f t="shared" si="429"/>
        <v/>
      </c>
      <c r="DJ192" s="250" t="str">
        <f t="shared" si="430"/>
        <v/>
      </c>
      <c r="DK192" s="250" t="str">
        <f t="shared" si="431"/>
        <v/>
      </c>
      <c r="DL192" s="250" t="str">
        <f t="shared" si="432"/>
        <v/>
      </c>
      <c r="DM192" s="250" t="str">
        <f>IF(CD192="ERROR", "ERROR", IF(AND(OR(Y192=$DM$6, Y192='Lookup Tables'!$AD$21, Y192='Lookup Tables'!$AD$22), E192="Interior"), BJ192, ""))</f>
        <v/>
      </c>
      <c r="DN192" s="250" t="str">
        <f>IF(CD192="ERROR", "ERROR", IF(AND(OR(Y192=$DM$6, Y192='Lookup Tables'!$AD$21, Y192='Lookup Tables'!$AD$22), E192="Exterior"), BJ192, ""))</f>
        <v/>
      </c>
      <c r="DO192" s="100"/>
      <c r="DP192" s="250" t="str">
        <f t="shared" si="433"/>
        <v/>
      </c>
      <c r="DQ192" s="250" t="str">
        <f t="shared" si="474"/>
        <v/>
      </c>
      <c r="DR192" s="250" t="str">
        <f t="shared" si="475"/>
        <v/>
      </c>
      <c r="DS192" s="250" t="str">
        <f t="shared" si="476"/>
        <v/>
      </c>
      <c r="DT192" s="250" t="str">
        <f t="shared" si="477"/>
        <v/>
      </c>
      <c r="DU192" s="250" t="str">
        <f t="shared" si="434"/>
        <v/>
      </c>
      <c r="DV192" s="250" t="str">
        <f t="shared" si="435"/>
        <v/>
      </c>
      <c r="DW192" s="250" t="str">
        <f t="shared" si="436"/>
        <v/>
      </c>
      <c r="DX192" s="250" t="str">
        <f t="shared" si="437"/>
        <v/>
      </c>
      <c r="DY192" s="250" t="str">
        <f t="shared" si="438"/>
        <v/>
      </c>
      <c r="DZ192" s="250" t="str">
        <f t="shared" si="439"/>
        <v/>
      </c>
      <c r="EA192" s="250" t="str">
        <f t="shared" si="440"/>
        <v/>
      </c>
      <c r="EB192" s="250" t="str">
        <f t="shared" si="478"/>
        <v/>
      </c>
      <c r="EC192" s="250" t="str">
        <f t="shared" si="441"/>
        <v/>
      </c>
      <c r="ED192" s="250" t="str">
        <f t="shared" si="442"/>
        <v/>
      </c>
      <c r="EE192" s="250" t="str">
        <f t="shared" si="443"/>
        <v/>
      </c>
      <c r="EF192" s="250" t="str">
        <f t="shared" si="444"/>
        <v/>
      </c>
      <c r="EG192" s="250" t="str">
        <f t="shared" si="445"/>
        <v/>
      </c>
      <c r="EH192" s="250" t="str">
        <f>IF(CD192="ERROR", "ERROR", IF(AND(OR($EH$6=Y192, Y192='Lookup Tables'!$AD$21, Y192='Lookup Tables'!$AD$22),E192="Interior"), SUM(BP192:BP192), ""))</f>
        <v/>
      </c>
      <c r="EI192" s="250" t="str">
        <f>IF(CD192="ERROR", "ERROR", IF(AND(OR($EH$6=Y192, Y192='Lookup Tables'!$AD$21, Y192='Lookup Tables'!$AD$22),E192="Exterior"), SUM(BP192:BP192), ""))</f>
        <v/>
      </c>
      <c r="EJ192" s="109"/>
      <c r="EK192" s="485" t="str">
        <f t="shared" si="446"/>
        <v/>
      </c>
      <c r="EL192" s="252" t="str">
        <f t="shared" si="479"/>
        <v/>
      </c>
      <c r="EM192" s="252" t="str">
        <f t="shared" si="480"/>
        <v/>
      </c>
      <c r="EN192" s="252" t="str">
        <f t="shared" si="481"/>
        <v/>
      </c>
      <c r="EO192" s="252" t="str">
        <f t="shared" si="482"/>
        <v/>
      </c>
      <c r="EP192" s="252" t="str">
        <f t="shared" si="483"/>
        <v/>
      </c>
      <c r="EQ192" s="252" t="str">
        <f t="shared" si="484"/>
        <v/>
      </c>
      <c r="ER192" s="252" t="str">
        <f t="shared" si="485"/>
        <v/>
      </c>
      <c r="ES192" s="252" t="str">
        <f t="shared" si="486"/>
        <v/>
      </c>
      <c r="ET192" s="252" t="str">
        <f t="shared" si="487"/>
        <v/>
      </c>
      <c r="EU192" s="252" t="str">
        <f t="shared" si="488"/>
        <v/>
      </c>
      <c r="EV192" s="252" t="str">
        <f t="shared" si="489"/>
        <v/>
      </c>
      <c r="EW192" s="252" t="str">
        <f t="shared" si="490"/>
        <v/>
      </c>
      <c r="EX192" s="252" t="str">
        <f t="shared" si="491"/>
        <v/>
      </c>
      <c r="EY192" s="252" t="str">
        <f t="shared" si="492"/>
        <v/>
      </c>
      <c r="EZ192" s="252" t="str">
        <f t="shared" si="493"/>
        <v/>
      </c>
      <c r="FA192" s="252" t="str">
        <f t="shared" si="494"/>
        <v/>
      </c>
      <c r="FB192" s="252" t="str">
        <f t="shared" si="495"/>
        <v/>
      </c>
      <c r="FC192" s="252" t="str">
        <f>IF(CD192="ERROR", "ERROR", IF(OR(V192="No Change", V192="Not DLC or Energy Star"), "", IF(AND(OR($FC$6=Y192,Y192='Lookup Tables'!$AD$21, Y192='Lookup Tables'!$AD$22),E192="Interior"), S192, "")))</f>
        <v/>
      </c>
      <c r="FD192" s="252" t="str">
        <f t="shared" si="496"/>
        <v/>
      </c>
      <c r="FE192" s="101"/>
      <c r="FF192" s="579" t="str" cm="1">
        <f t="array" ref="FF192">IFERROR(IF(OR(BQ192&lt;=0,AQ192&lt;20,AND(V192="Exit Signs",AN192&gt;0)),"",IF(AND(AQ192&gt;=20,AN192='Lookup Tables'!$R$101),'Lookup Tables'!$U$101*BQ192,AP192*LOOKUP(2,1/((AN192='Lookup Tables'!$R$91:$R$111)*(AQ192&gt;='Lookup Tables'!$S$91:$S$111)*(AQ192&lt;='Lookup Tables'!$T$91:$T$111)),'Lookup Tables'!$U$91:$U$111))),"")</f>
        <v/>
      </c>
      <c r="FG192" s="579"/>
      <c r="FH192" s="579"/>
      <c r="FI192" s="253" t="str">
        <f>IFERROR(ROUND(IF(CD192="ERROR", "ERROR", IF(AND($FI$7=X192,E192="Interior"),VLOOKUP(W192, 'Lookup Tables'!$AI$6:$AM$102, 5, FALSE)*BP192, "")), 2), "")</f>
        <v/>
      </c>
      <c r="FJ192" s="253" t="str">
        <f>IFERROR(ROUND(IF(CD192="ERROR", "ERROR", IF(AND($FI$7=X192,E192="Exterior"),VLOOKUP(W192, 'Lookup Tables'!$AI$6:$AM$102, 5, FALSE)*BP192, "")), 2), "")</f>
        <v/>
      </c>
      <c r="FK192" s="253" t="str">
        <f>IFERROR(ROUND(IF(CD192="ERROR", "ERROR", IF(AND($FK$7=X192,E192="Interior"),VLOOKUP(W192, 'Lookup Tables'!$AI$6:$AM$102, 5, FALSE)*BP192, "")), 2), "")</f>
        <v/>
      </c>
      <c r="FL192" s="253" t="str">
        <f>IFERROR(ROUND(IF(CD192="ERROR", "ERROR", IF(AND($FK$7=X192,E192="Exterior"),VLOOKUP(W192, 'Lookup Tables'!$AI$6:$AM$102, 5, FALSE)*BP192, "")), 2), "")</f>
        <v/>
      </c>
      <c r="FM192" s="253" t="str">
        <f>IFERROR(ROUND(IF(CD192="ERROR", "ERROR", IF(AND($FM$6=Y192,E192="Interior"), IF(GB192=0, VLOOKUP(W192, 'Lookup Tables'!$AI$6:$AM$102, 5, FALSE)*BP192, IF(VLOOKUP(W192, 'Lookup Tables'!$AI$6:$AM$102, 5, FALSE)*BP192&gt;GB192*'Lighting Inventory'!S192, GB192*'Lighting Inventory'!S192,VLOOKUP(W192, 'Lookup Tables'!$AI$6:$AM$102, 5, FALSE)*BP192)), "")), 2), "")</f>
        <v/>
      </c>
      <c r="FN192" s="253" t="str">
        <f>IFERROR(ROUND(IF(CD192="ERROR", "ERROR", IF(AND($FM$6=Y192,E192="Exterior"), IF(GB192=0, VLOOKUP(W192, 'Lookup Tables'!$AI$6:$AM$102, 5, FALSE)*BP192, IF(VLOOKUP(W192, 'Lookup Tables'!$AI$6:$AM$102, 5, FALSE)*BP192&gt;GB192*'Lighting Inventory'!S192, GB192*'Lighting Inventory'!S192,VLOOKUP(W192, 'Lookup Tables'!$AI$6:$AM$102, 5, FALSE)*BP192)), "")), 2), "")</f>
        <v/>
      </c>
      <c r="FO192" s="253" t="str">
        <f>IFERROR(ROUND(IF(CD192="ERROR", "ERROR", IF(AND($FO$6=Y192,E192="Interior"),VLOOKUP(W192, 'Lookup Tables'!$AI$6:$AM$102, 5, FALSE)*'Lighting Inventory'!AI192, "")), 2), "")</f>
        <v/>
      </c>
      <c r="FP192" s="253" t="str">
        <f>IFERROR(ROUND(IF(CD192="ERROR", "ERROR", IF(AND($FO$6=Y192,E192="Exterior"),VLOOKUP(W192, 'Lookup Tables'!$AI$6:$AM$102, 5, FALSE)*'Lighting Inventory'!AI192, "")), 2), "")</f>
        <v/>
      </c>
      <c r="FQ192" s="253" t="str">
        <f>IFERROR(ROUND(IF(CD192="ERROR", "ERROR", IF(AND($FQ$6=Y192,E192="Interior", BU192="Y"), VLOOKUP('Lighting Inventory'!W192, 'Lookup Tables'!$AI$6:$AM$102, 5, FALSE)*'Lighting Inventory'!S192, IF(AND($FQ$7=Y192,E192="Interior", BU192="N"), 0.025*CD192, ""))), 2), "")</f>
        <v/>
      </c>
      <c r="FR192" s="253" t="str">
        <f>IFERROR(ROUND(IF(CD192="ERROR", "ERROR", IF(AND($FQ$6=Y192,E192="Exterior"), VLOOKUP('Lighting Inventory'!W192, 'Lookup Tables'!$AI$6:$AM$102, 5, FALSE)*'Lighting Inventory'!S192, "")), 2), "")</f>
        <v/>
      </c>
      <c r="FS192" s="253" t="str">
        <f>IFERROR(ROUND(IF(CD192="ERROR", "ERROR", IF(AND($FS$6=Y192,E192="Exterior"), IF(GB192=0, VLOOKUP(W192, 'Lookup Tables'!$AI$6:$AM$102, 5, FALSE)*BP192, IF(VLOOKUP(W192, 'Lookup Tables'!$AI$6:$AM$102, 5, FALSE)*BP192&gt;GB192*'Lighting Inventory'!S192, GB192*'Lighting Inventory'!S192,VLOOKUP(W192, 'Lookup Tables'!$AI$6:$AM$102, 5, FALSE)*BP192)), "")), 2), "")</f>
        <v/>
      </c>
      <c r="FT192" s="253" t="str">
        <f>IFERROR(ROUND(IF(CD192="ERROR", "ERROR", IF(AND($FT$6=Y192,E192="Interior"), IF(GB192=0, VLOOKUP(W192, 'Lookup Tables'!$AI$6:$AM$102, 5, FALSE)*BP192, IF(VLOOKUP(W192, 'Lookup Tables'!$AI$6:$AM$102, 5, FALSE)*BP192&gt;GB192*'Lighting Inventory'!S192, GB192*'Lighting Inventory'!S192,VLOOKUP(W192, 'Lookup Tables'!$AI$6:$AM$102, 5, FALSE)*BP192)), "")), 2), "")</f>
        <v/>
      </c>
      <c r="FU192" s="253" t="str">
        <f>IFERROR(ROUND(IF(CD192="ERROR", "ERROR", IF(AND(Y192=$FU$6, E192="Interior"), IF(BS192="N", 'Lookup Tables'!$AM$101*BP192, VLOOKUP(W192, 'Lookup Tables'!$AI$6:$AM$102, 5, FALSE)*S192*AD192), "")), 2), "")</f>
        <v/>
      </c>
      <c r="FV192" s="253" t="str">
        <f>IFERROR(ROUND(IF(CD192="ERROR", "ERROR", IF(AND(Y192=$FU$6, E192="Exterior"), IF(BS192="N", 'Lookup Tables'!$AM$101*BP192, VLOOKUP(W192, 'Lookup Tables'!$AI$6:$AM$102, 5, FALSE)*S192*AD192), "")), 2), "")</f>
        <v/>
      </c>
      <c r="FW192" s="253" t="str">
        <f>IFERROR(ROUND(IF(CD192="ERROR", "ERROR", IF($FW$6=Y192, IF(BS192="N", 'Lookup Tables'!$AM$101*BP192, MIN((VLOOKUP(W192, 'Lookup Tables'!$AI$6:$AM$102, 5, FALSE)*BP192),GB192*AJ192)), "")), 2), "")</f>
        <v/>
      </c>
      <c r="FX192" s="253" t="str">
        <f>IFERROR(ROUND(IF(CD192="ERROR", "ERROR", IF(AND($FX$6=Y192, E192="Interior"), IF(VLOOKUP(W192, 'Lookup Tables'!$AI$6:$AM$102, 5, FALSE)*BP192&gt;'Lookup Tables'!$AQ$97*'Lighting Inventory'!S192,'Lighting Inventory'!S192*'Lookup Tables'!$AQ$97,VLOOKUP(W192, 'Lookup Tables'!$AI$6:$AM$102, 5, FALSE)*BP192), "")), 2), "")</f>
        <v/>
      </c>
      <c r="FY192" s="253" t="str">
        <f>IFERROR(ROUND(IF(CD192="ERROR", "ERROR", IF(AND($FX$6=Y192, E192="Exterior"), IF(VLOOKUP(W192, 'Lookup Tables'!$AI$6:$AM$102, 5, FALSE)*BP192&gt;'Lookup Tables'!$AQ$97*'Lighting Inventory'!S192,'Lighting Inventory'!S192*'Lookup Tables'!$AQ$97,VLOOKUP(W192, 'Lookup Tables'!$AI$6:$AM$102, 5, FALSE)*BP192), "")), 2), "")</f>
        <v/>
      </c>
      <c r="FZ192" s="253" t="str">
        <f>IFERROR(ROUND(IF(CD192="ERROR", "ERROR", IF(AND($FZ$6=Y192, E192="Interior"), IF(AND(OR(W192="Refrigerated Case Lighting with Doors", W192="Freezer Case Lighting"),Y192="Custom - Process Improvement"),CD192*'Lookup Tables'!$AM$101, IF(B192="Retrofit", IF(VLOOKUP(IF(V192="Custom", V192, W192), 'Lookup Tables'!$AI$6:$AM$102, 5, FALSE)*BP192&gt;GE192, GE192, VLOOKUP(IF(V192="Custom", V192, W192), 'Lookup Tables'!$AI$6:$AM$102, 5, FALSE)*BP192), IF(VLOOKUP(IF(V192="Custom", V192, W192), 'Lookup Tables'!$AI$114:$AM$154, 5, FALSE)*BP192&gt;GE192, GE192, VLOOKUP(IF(V192="Custom", V192, W192), 'Lookup Tables'!$AI$114:$AM$154, 5, FALSE)*BP192))), "")), 2),"")</f>
        <v/>
      </c>
      <c r="GA192" s="253" t="str">
        <f>IFERROR(ROUND(IF(CD192="ERROR", "ERROR", IF(AND($FZ$6=Y192, E192="Exterior"), IF(B192="Retrofit", IF(VLOOKUP(IF(V192="Custom", V192, W192), 'Lookup Tables'!$AI$6:$AM$102, 5, FALSE)*BP192&gt;GE192, GE192, VLOOKUP(IF(V192="Custom", V192, W192), 'Lookup Tables'!$AI$6:$AM$102, 5, FALSE)*BP192), IF(VLOOKUP(IF(V192="Custom", V192, W192), 'Lookup Tables'!$AI$114:$AM$154, 5, FALSE)*BP192&gt;GE192, GE192, VLOOKUP(IF(V192="Custom", V192, W192), 'Lookup Tables'!$AI$114:$AM$154, 5, FALSE)*BP192)), "")), 2),"")</f>
        <v/>
      </c>
      <c r="GB192" s="254" t="str">
        <f t="array" ref="GB192">IF(B192="","",IF(OR(V192="Custom",V192="No Change"),0,IF(B192="Retrofit", INDEX('Lookup Tables'!$AH$6:$AQ$102,MATCH(1,('Lookup Tables'!$AH$6:$AH$102='Lighting Inventory'!V192)*('Lookup Tables'!$AI$6:$AI$102='Lighting Inventory'!W192),FALSE),10),INDEX('Lookup Tables'!$AH$114:$AQ$154,MATCH(1,('Lookup Tables'!$AH$114:$AH$154='Lighting Inventory'!V192)*('Lookup Tables'!$AI$114:$AI$154='Lighting Inventory'!W192),FALSE),10))))</f>
        <v/>
      </c>
      <c r="GC192" s="255" t="str">
        <f t="shared" si="447"/>
        <v/>
      </c>
      <c r="GD192" s="250" t="str">
        <f t="shared" si="448"/>
        <v/>
      </c>
      <c r="GE192" s="253" t="str">
        <f>IFERROR(IF(AND(AF192="", 'General Information'!$F$18="No"),"", IF(AF192="", ((GD192/$CD$266)*$CF$266)*0.5, AF192*S192*0.5)), "")</f>
        <v/>
      </c>
      <c r="GF192" s="255" t="str">
        <f>IF(AND('General Information'!$F$19="", 'General Information'!$F$18="Yes",AF192="",BW192="Y"), "Y", "N")</f>
        <v>N</v>
      </c>
      <c r="GG192" s="255" t="s">
        <v>2946</v>
      </c>
      <c r="GH192" s="255" t="str">
        <f>IFERROR(IF(B192="", "", VLOOKUP(J192, 'Fixture Identities'!$A$6:$N$908, 14, FALSE)), "")</f>
        <v/>
      </c>
      <c r="GI192" s="389" t="str">
        <f>IF(OR(B192="", V192="", W192=""), "", IF(AND(OR(M192='Lookup Tables'!$R$18, M192='Lookup Tables'!$R$19, M192='Lookup Tables'!$R$20, M192='Lookup Tables'!$R$21, M192='Lookup Tables'!$R$22), OR(AN192='Lookup Tables'!$R$17, AN192='Lookup Tables'!$R$17, AN192="")), "Y", "N"))</f>
        <v/>
      </c>
      <c r="GJ192" s="255" t="str">
        <f t="shared" si="449"/>
        <v/>
      </c>
      <c r="GK192" s="255" t="str">
        <f t="shared" si="450"/>
        <v/>
      </c>
      <c r="GL192" s="255" t="str">
        <f t="shared" si="451"/>
        <v/>
      </c>
      <c r="GM192" s="255" t="str">
        <f>IF(AN192="", "", IF(AND(IF(ISNA(VLOOKUP(AN192,'Lookup Tables'!$R$18:$R$22,1,FALSE)), "N", "Y")="Y", E192="Exterior"), "Y", "N"))</f>
        <v/>
      </c>
      <c r="GN192" s="395"/>
      <c r="GO192" s="428">
        <f t="shared" si="497"/>
        <v>0</v>
      </c>
      <c r="GP192" s="428">
        <f t="shared" si="500"/>
        <v>0</v>
      </c>
      <c r="GQ192" s="428">
        <f t="shared" si="498"/>
        <v>0</v>
      </c>
      <c r="GR192" s="428">
        <f t="shared" si="499"/>
        <v>0</v>
      </c>
    </row>
    <row r="193" spans="1:200" s="103" customFormat="1" ht="13.5" customHeight="1" x14ac:dyDescent="0.2">
      <c r="A193" s="272">
        <v>183</v>
      </c>
      <c r="B193" s="110"/>
      <c r="C193" s="110"/>
      <c r="D193" s="110"/>
      <c r="E193" s="110"/>
      <c r="F193" s="110"/>
      <c r="G193" s="110"/>
      <c r="H193" s="110"/>
      <c r="I193" s="29"/>
      <c r="J193" s="29"/>
      <c r="K193" s="272" t="str">
        <f>IFERROR(IF(OR(VLOOKUP(J193, 'Fixture Identities'!$A$6:$L$1023, 3, FALSE)="T12 Linear Fluorescent", VLOOKUP(J193, 'Fixture Identities'!$A$6:$L$1023, 3, FALSE)="T12 U-Tube Fluorescent"), VLOOKUP(VLOOKUP(J193, 'Fixture Identities'!$A$6:$L$1023, 11, FALSE), 'Fixture Identities'!$A$6:$L$1023, 10, FALSE), VLOOKUP(J193, 'Fixture Identities'!$A$6:$L$1023, 10, FALSE)), "")</f>
        <v/>
      </c>
      <c r="L193" s="270" t="str">
        <f t="shared" si="502"/>
        <v/>
      </c>
      <c r="M193" s="110"/>
      <c r="N193" s="110"/>
      <c r="O193" s="110"/>
      <c r="P193" s="272" t="str">
        <f>IFERROR(IF(OR(B193="Retrofit",B193=""),"",IF('Lighting Inventory'!E193="Exterior",VLOOKUP('Lighting Inventory'!N193,'Lookup Tables'!$B$83:$F$103,5,FALSE),IF(N193="Other - Please Estimate EFLH and CFs","Contact Prog. Rep.","ft^2"))), "")</f>
        <v/>
      </c>
      <c r="Q193" s="270" t="str">
        <f>IFERROR(IF(AND(B193="New Construction",E193="Interior",$F$5="Space-by-Space"),VLOOKUP('Lighting Inventory'!N193,'Lookup Tables'!$N$6:$O$97,2,FALSE),IF(AND(B193="New Construction",E193="Exterior"),VLOOKUP(N193,'Lookup Tables'!$B$83:$F$103,2,FALSE),IF(AND(B193="New Construction",'Lighting Inventory'!E193="Interior", $F$5="Building Area"),VLOOKUP(F193,'Lookup Tables'!$A$6:$J$59,10,FALSE),""))), "")</f>
        <v/>
      </c>
      <c r="R193" s="270" t="str">
        <f>IFERROR(IF(P193="Contact Prog. Rep.", "ERROR", IF(OR(B193="",B193="Retrofit"),"",IF(N193="Automated teller machines", ('Lookup Tables'!$A$82:$E$100+('Lighting Inventory'!O193-1)*'Lookup Tables'!$A$82:$E$100)/1000, (Q193*O193)/1000))), "")</f>
        <v/>
      </c>
      <c r="S193" s="595"/>
      <c r="T193" s="105" t="str">
        <f t="shared" si="452"/>
        <v/>
      </c>
      <c r="U193" s="105" t="str">
        <f>IF(S193="","",COUNT($S$11:S193))</f>
        <v/>
      </c>
      <c r="V193" s="111"/>
      <c r="W193" s="112"/>
      <c r="X193" s="105" t="str">
        <f t="shared" si="453"/>
        <v/>
      </c>
      <c r="Y193" s="105" t="str">
        <f t="array" ref="Y193">IF(AND(OR(W193="Freezer Case Lighting", W193="Refrigerated Case Lighting with Doors"), 'General Information'!$X$18="LCI"),'Lookup Tables'!$Y$34, IF(V193="Custom", VLOOKUP(W193, 'Fixture Identities'!$A$974:$M$1023, 13, FALSE), IF(V193="No Change",'Lookup Tables'!$Y$29,IF(OR(V193="",W193=""),"",IF(AND(S193=0,S193&lt;I193,B193="Retrofit"),'Lookup Tables'!$Y$25, IF(B193="Retrofit", INDEX('Lookup Tables'!$AH$6:$AP$102, MATCH(1, ('Lookup Tables'!$AH$6:$AH$102=V193)*('Lookup Tables'!$AI$6:$AI$102=W193), 0), IF('Lighting Inventory'!E193="Interior", 4, 5)), INDEX('Lookup Tables'!$AH$114:$AP$154, MATCH(1, ('Lookup Tables'!$AH$114:$AH$154=V193)*('Lookup Tables'!$AI$114:$AI$154=W193), 0), IF('Lighting Inventory'!E193="Interior", 4, 5))))))))</f>
        <v/>
      </c>
      <c r="Z193" s="105" t="str">
        <f>IFERROR(INDEX('Lookup Tables'!$AH$158:$AH$172,MATCH('Lighting Inventory'!Y193,'Lookup Tables'!$AI$158:$AI$172,0)),"")</f>
        <v/>
      </c>
      <c r="AA193" s="105" t="str">
        <f>IF(AP193&gt;0,INDEX('Lookup Tables'!$AK$158:$AK$172,MATCH('Lighting Inventory'!Y193,'Lookup Tables'!$AI$158:$AI$172,0)),'Lighting Inventory'!Y193)</f>
        <v/>
      </c>
      <c r="AB193" s="105" t="str">
        <f t="array" ref="AB193">IF(V193="Custom", "Custom", IF(V193="", "", IF(V193="Not DLC or Energy Star", "General", IF(B193="New Construction", INDEX('Lookup Tables'!$AH$114:$AP$154,MATCH(1,('Lookup Tables'!$AH$114:$AH$154='Lighting Inventory'!V193)*('Lookup Tables'!$AI$114:$AI$154='Lighting Inventory'!W193),FALSE),8), INDEX('Lookup Tables'!$AH$6:$AP$102,MATCH(1,('Lookup Tables'!$AH$6:$AH$102='Lighting Inventory'!V193)*('Lookup Tables'!$AI$6:$AI$102='Lighting Inventory'!W193),FALSE),8)))))</f>
        <v/>
      </c>
      <c r="AC193" s="272" t="str">
        <f>IF(W193="","",IF(V193="Custom",CONCATENATE("$",'Lookup Tables'!$AM$101," ",'Lookup Tables'!$AN$101),CONCATENATE("$",INDEX('Lookup Tables'!$AM$6:$AM$102,MATCH('Lighting Inventory'!W193,'Lookup Tables'!$AI$6:$AI$102,0))," ",INDEX('Lookup Tables'!$AN$6:$AN$102,MATCH('Lighting Inventory'!W193,'Lookup Tables'!$AI$6:$AI$102,0)))))</f>
        <v/>
      </c>
      <c r="AD193" s="72"/>
      <c r="AE193" s="29"/>
      <c r="AF193" s="379"/>
      <c r="AG193" s="370" t="str">
        <f t="shared" si="401"/>
        <v/>
      </c>
      <c r="AH193" s="370" t="str">
        <f t="shared" si="454"/>
        <v/>
      </c>
      <c r="AI193" s="29"/>
      <c r="AJ193" s="29"/>
      <c r="AK193" s="110"/>
      <c r="AL193" s="375" t="str">
        <f>IF(OR(B193="", V193="", W193=""), "", IF(V193="No Change", K193, IF(V193="Remove Fixture", 0, IF(V193="Custom",VLOOKUP(W193,'Fixture Identities'!$A$6:$K$1023,10,FALSE),IF(AE193="", "← ENTER POST WATTS", 'Lighting Inventory'!AE193)))))</f>
        <v/>
      </c>
      <c r="AM193" s="376" t="str">
        <f t="shared" si="402"/>
        <v/>
      </c>
      <c r="AN193" s="29"/>
      <c r="AO193" s="671"/>
      <c r="AP193" s="29"/>
      <c r="AQ193" s="29"/>
      <c r="AR193" s="29"/>
      <c r="AS193" s="272" t="str">
        <f t="shared" si="455"/>
        <v/>
      </c>
      <c r="AT193" s="270" t="str">
        <f t="shared" si="403"/>
        <v/>
      </c>
      <c r="AU193" s="88" t="str">
        <f t="shared" si="503"/>
        <v/>
      </c>
      <c r="AV193" s="29"/>
      <c r="AW193" s="73"/>
      <c r="AX193" s="271" t="str">
        <f>IF(AND(AV193="Applicant",OR(AW193="", AW193="Use Default Facility Hours")),"← Choose Schedule",IF(F193="","",IF(W193="LED Exit Signs",8760,IF(OR(AV193="Prescribed",AV193=""),VLOOKUP(F193,'Lookup Tables'!$A$6:$G$59,IF(AB193="General", 6, 3),FALSE),VLOOKUP(AW193,'Lookup Tables'!$S$36:$U$43,2,FALSE)))))</f>
        <v/>
      </c>
      <c r="AY193" s="88" t="str">
        <f t="shared" si="404"/>
        <v/>
      </c>
      <c r="AZ193" s="270" t="str">
        <f>IFERROR(IF(F193="", "", IF(W193="LED Exit Signs", 1, IF(AV193="Applicant",VLOOKUP(AW193, 'Lookup Tables'!$S$36:$U$43,3, FALSE), VLOOKUP('Lighting Inventory'!F193, 'Lookup Tables'!$A$6:$H$59, IF('Lighting Inventory'!AB193="General",7,4), FALSE)))), "")</f>
        <v/>
      </c>
      <c r="BA193" s="522" t="str">
        <f>IFERROR(IF(F193="", "", IF(W193="LED Exit Signs", 1, VLOOKUP('Lighting Inventory'!F193, 'Lookup Tables'!$A$6:$H$59, IF('Lighting Inventory'!AB193="General",8,5), FALSE))), "")</f>
        <v/>
      </c>
      <c r="BB193" s="270" t="str">
        <f>IF(G193="", "", IF(E193="Exterior", 0, IF('Lighting Inventory'!G193="Air Conditioned", VLOOKUP(H193, 'Lookup Tables'!$R$6:$T$13, 2, FALSE), VLOOKUP('Lighting Inventory'!G193, 'Lookup Tables'!$R$6:$T$13, 2, FALSE))))</f>
        <v/>
      </c>
      <c r="BC193" s="522" t="str">
        <f>IF(G193="", "", IF(E193="Exterior", 0, IF('Lighting Inventory'!G193="Air Conditioned", VLOOKUP(H193, 'Lookup Tables'!$R$6:$T$13, 3, FALSE), VLOOKUP('Lighting Inventory'!G193, 'Lookup Tables'!$R$6:$T$13, 3, FALSE))))</f>
        <v/>
      </c>
      <c r="BD193" s="270" t="str">
        <f>IF(G193="", "", IF(E193="Exterior", 0, IF('Lighting Inventory'!G193="Air Conditioned", VLOOKUP(H193, 'Lookup Tables'!$R$6:$U$13, 4, FALSE), VLOOKUP('Lighting Inventory'!G193, 'Lookup Tables'!$R$6:$U$13, 4, FALSE))))</f>
        <v/>
      </c>
      <c r="BE193" s="270" t="str">
        <f>IFERROR(IF(B193="", "",  IF(B193="New Construction", VLOOKUP(F193, 'Lookup Tables'!$A$6:$K$59, 11, FALSE),IF(OR(AN193="", AN193="Light Switch"), 0, IF(OR(M193="",M193="None",V193= "LED Exit Signs"),0,_xlfn.XLOOKUP(M193,'Lookup Tables'!$R$91:$R$101,'Lookup Tables'!$V$91:$V$101))))), "")</f>
        <v/>
      </c>
      <c r="BF193" s="270" t="str">
        <f>IF(AND(OR(AN193="Light Switch",AN193=""),B193="New Construction"), VLOOKUP(F193, 'Lookup Tables'!$A$6:$K$59, 11, FALSE),IF(AN193="","",IF(B193="","",IF(OR(AN193="None",AN193="",V193="LED Exit Signs",AN193="Exterior Controls Not Eligible"),0,_xlfn.XLOOKUP(AN193,'Lookup Tables'!$R$91:$R$101,'Lookup Tables'!$V$91:$V$101)))))</f>
        <v/>
      </c>
      <c r="BG193" s="88" t="str">
        <f t="shared" si="456"/>
        <v/>
      </c>
      <c r="BH193" s="88" t="str">
        <f t="shared" si="457"/>
        <v/>
      </c>
      <c r="BI193" s="558" t="str">
        <f t="shared" si="501"/>
        <v/>
      </c>
      <c r="BJ193" s="82" t="str">
        <f t="shared" si="458"/>
        <v/>
      </c>
      <c r="BK193" s="82" t="str">
        <f t="shared" si="459"/>
        <v/>
      </c>
      <c r="BL193" s="559" t="str">
        <f t="shared" si="460"/>
        <v/>
      </c>
      <c r="BM193" s="521" t="str">
        <f t="shared" si="405"/>
        <v/>
      </c>
      <c r="BN193" s="521" t="str">
        <f t="shared" si="406"/>
        <v/>
      </c>
      <c r="BO193" s="522" t="str">
        <f t="shared" si="407"/>
        <v/>
      </c>
      <c r="BP193" s="83" t="str">
        <f t="shared" si="461"/>
        <v/>
      </c>
      <c r="BQ193" s="84" t="str">
        <f t="shared" si="462"/>
        <v/>
      </c>
      <c r="BR193" s="184" t="str">
        <f>IFERROR(IF(B193="", "", IF(OR(VLOOKUP(J193, 'Fixture Identities'!$A$6:$L$1023, 3, FALSE)="T12 Linear Fluorescent",VLOOKUP(J193, 'Fixture Identities'!$A$6:$L$1023, 3, FALSE)="T12 U-Tube Fluorescent"), "Y", "N")), "N")</f>
        <v/>
      </c>
      <c r="BS193" s="184" t="str">
        <f t="array" ref="BS193">IFERROR(IF(OR(B193="", V193="", W193=""), "", IF(V193="Custom", "N", IF(OR(W193="Freezer Case Lighting", W193="Refrigerated Case Lighting with Doors"), BT193, IF(B193="Retrofit", INDEX('Lookup Tables'!$AH$6:$AT$102,MATCH(1,('Lookup Tables'!$AH$6:$AH$102=V193)*('Lookup Tables'!$AI$6:$AI$102=W193),FALSE),IF(VLOOKUP(J193, 'Fixture Identities'!$A$6:$B$1023, 2, FALSE)="Incandescent",12, 13)), INDEX('Lookup Tables'!$AH$114:$AS$154,MATCH(1,('Lookup Tables'!$AH$114:$AH$154=V193)*('Lookup Tables'!$AI$114:$AI$154=W193),FALSE),12))))), "N")</f>
        <v/>
      </c>
      <c r="BT193" s="184" t="str">
        <f>IF(J193="", "", IF(AND(OR(W193="Freezer case Lighting", W193="Refrigerated Case Lighting with Doors"),'General Information'!$X$18="LCI"), "N", IF(OR(VLOOKUP(J193, 'Fixture Identities'!$A$6:$B$1023, 2, FALSE)="T12 EPACT/EISA Baseline", VLOOKUP(J193, 'Fixture Identities'!$A$6:$B$1023, 2, FALSE)="Linear Fluorescent", VLOOKUP(J193, 'Fixture Identities'!$A$6:$B$1023, 2, FALSE)="U-Tube Fluorescent"), "Y", "N")))</f>
        <v/>
      </c>
      <c r="BU193" s="184" t="str">
        <f>IFERROR(IF(B193="", "", IF(VLOOKUP(J193, 'Fixture Identities'!$A$6:$B$1023, 2, FALSE)="Exit Sign", "Y", "N")), "N")</f>
        <v/>
      </c>
      <c r="BV193" s="184" t="str">
        <f>IF(V193="Exit Signs", IF(VLOOKUP(J193, 'Fixture Identities'!$A$6:$B$1023, 2, FALSE)="Exit Sign", "N", "Y"), "")</f>
        <v/>
      </c>
      <c r="BW193" s="184" t="str">
        <f t="array" ref="BW193">IFERROR(IF(B193="", "", IF(B193="New Construction", "N", INDEX('Lookup Tables'!$AH$6:$AU$102, MATCH(1, ('Lookup Tables'!$AH$6:$AH$102='Lighting Inventory'!V193)*('Lookup Tables'!$AI$6:$AI$102='Lighting Inventory'!W193), 0), 14))), "N")</f>
        <v/>
      </c>
      <c r="BX193" s="598" t="str">
        <f t="shared" si="463"/>
        <v/>
      </c>
      <c r="BY193" s="598" t="str">
        <f t="shared" si="464"/>
        <v/>
      </c>
      <c r="BZ193" s="598" t="str">
        <f t="shared" si="465"/>
        <v/>
      </c>
      <c r="CA193" s="598" t="str">
        <f t="shared" si="466"/>
        <v/>
      </c>
      <c r="CB193" s="269" t="str">
        <f t="shared" si="467"/>
        <v/>
      </c>
      <c r="CC193" s="517" t="str">
        <f t="shared" si="468"/>
        <v/>
      </c>
      <c r="CD193" s="565" t="str">
        <f t="shared" si="408"/>
        <v/>
      </c>
      <c r="CE193" s="368">
        <v>0</v>
      </c>
      <c r="CF193" s="368" t="str" cm="1">
        <f t="array" ref="CF193">IFERROR(IF(V193="Custom", "$0.1 per kWh", IF(B193="New Construction", CONCATENATE("$",INDEX('Lookup Tables'!$AH$114:$AN$154,MATCH(1,('Lookup Tables'!$AH$114:$AH$154='Lighting Inventory'!V193)*('Lookup Tables'!$AI$114:$AI$154='Lighting Inventory'!W193),FALSE),6)," ",INDEX('Lookup Tables'!$AH$114:$AN$154,MATCH(1,('Lookup Tables'!$AH$114:$AH$154='Lighting Inventory'!V193)*('Lookup Tables'!$AI$114:$AI$154='Lighting Inventory'!W193),FALSE),7)), IF(AND(BU193="N", V193="Exit Signs"), "$0.025 per kWh", CONCATENATE("$",INDEX('Lookup Tables'!$AH$6:$AN$102,MATCH(1,('Lookup Tables'!$AH$6:$AH$102='Lighting Inventory'!V193)*('Lookup Tables'!$AI$6:$AI$102='Lighting Inventory'!W193),FALSE),6)," ",INDEX('Lookup Tables'!$AH$6:$AN$102,MATCH(1,('Lookup Tables'!$AH$6:$AH$102='Lighting Inventory'!V193)*('Lookup Tables'!$AI$6:$AI$102='Lighting Inventory'!W193),FALSE),7))))), "")</f>
        <v/>
      </c>
      <c r="CG193" s="366"/>
      <c r="CH193" s="248" t="str">
        <f t="shared" si="409"/>
        <v/>
      </c>
      <c r="CI193" s="248" t="str">
        <f t="shared" si="410"/>
        <v>Select_IE</v>
      </c>
      <c r="CJ193" s="248" t="str">
        <f t="shared" si="411"/>
        <v/>
      </c>
      <c r="CK193" s="248" t="str">
        <f t="shared" si="412"/>
        <v/>
      </c>
      <c r="CL193" s="248" t="str">
        <f t="shared" si="413"/>
        <v/>
      </c>
      <c r="CM193" s="248" t="str">
        <f>IFERROR(IF(B193="", "", IF(B193="New Construction", VLOOKUP(V193, 'Lookup Tables'!$AF$114:$AG$120, 2, FALSE), VLOOKUP(V193, 'Lookup Tables'!$AD$6:$AE$25, 2, FALSE))), "")</f>
        <v/>
      </c>
      <c r="CN193" s="248" t="str">
        <f t="shared" si="414"/>
        <v/>
      </c>
      <c r="CO193" s="248" t="str">
        <f t="shared" si="415"/>
        <v/>
      </c>
      <c r="CP193" s="592" t="str">
        <f t="shared" si="416"/>
        <v/>
      </c>
      <c r="CQ193" s="248" t="str">
        <f t="shared" si="469"/>
        <v/>
      </c>
      <c r="CR193" s="100"/>
      <c r="CS193" s="250" t="str">
        <f t="shared" si="417"/>
        <v/>
      </c>
      <c r="CT193" s="250" t="str">
        <f t="shared" si="470"/>
        <v/>
      </c>
      <c r="CU193" s="250" t="str">
        <f t="shared" si="471"/>
        <v/>
      </c>
      <c r="CV193" s="250" t="str">
        <f t="shared" si="472"/>
        <v/>
      </c>
      <c r="CW193" s="250" t="str">
        <f t="shared" si="473"/>
        <v/>
      </c>
      <c r="CX193" s="250" t="str">
        <f t="shared" si="418"/>
        <v/>
      </c>
      <c r="CY193" s="250" t="str">
        <f t="shared" si="419"/>
        <v/>
      </c>
      <c r="CZ193" s="250" t="str">
        <f t="shared" si="420"/>
        <v/>
      </c>
      <c r="DA193" s="250" t="str">
        <f t="shared" si="421"/>
        <v/>
      </c>
      <c r="DB193" s="250" t="str">
        <f t="shared" si="422"/>
        <v/>
      </c>
      <c r="DC193" s="250" t="str">
        <f t="shared" si="423"/>
        <v/>
      </c>
      <c r="DD193" s="250" t="str">
        <f t="shared" si="424"/>
        <v/>
      </c>
      <c r="DE193" s="250" t="str">
        <f t="shared" si="425"/>
        <v/>
      </c>
      <c r="DF193" s="250" t="str">
        <f t="shared" si="426"/>
        <v/>
      </c>
      <c r="DG193" s="250" t="str">
        <f t="shared" si="427"/>
        <v/>
      </c>
      <c r="DH193" s="250" t="str">
        <f t="shared" si="428"/>
        <v/>
      </c>
      <c r="DI193" s="250" t="str">
        <f t="shared" si="429"/>
        <v/>
      </c>
      <c r="DJ193" s="250" t="str">
        <f t="shared" si="430"/>
        <v/>
      </c>
      <c r="DK193" s="250" t="str">
        <f t="shared" si="431"/>
        <v/>
      </c>
      <c r="DL193" s="250" t="str">
        <f t="shared" si="432"/>
        <v/>
      </c>
      <c r="DM193" s="250" t="str">
        <f>IF(CD193="ERROR", "ERROR", IF(AND(OR(Y193=$DM$6, Y193='Lookup Tables'!$AD$21, Y193='Lookup Tables'!$AD$22), E193="Interior"), BJ193, ""))</f>
        <v/>
      </c>
      <c r="DN193" s="250" t="str">
        <f>IF(CD193="ERROR", "ERROR", IF(AND(OR(Y193=$DM$6, Y193='Lookup Tables'!$AD$21, Y193='Lookup Tables'!$AD$22), E193="Exterior"), BJ193, ""))</f>
        <v/>
      </c>
      <c r="DO193" s="100"/>
      <c r="DP193" s="250" t="str">
        <f t="shared" si="433"/>
        <v/>
      </c>
      <c r="DQ193" s="250" t="str">
        <f t="shared" si="474"/>
        <v/>
      </c>
      <c r="DR193" s="250" t="str">
        <f t="shared" si="475"/>
        <v/>
      </c>
      <c r="DS193" s="250" t="str">
        <f t="shared" si="476"/>
        <v/>
      </c>
      <c r="DT193" s="250" t="str">
        <f t="shared" si="477"/>
        <v/>
      </c>
      <c r="DU193" s="250" t="str">
        <f t="shared" si="434"/>
        <v/>
      </c>
      <c r="DV193" s="250" t="str">
        <f t="shared" si="435"/>
        <v/>
      </c>
      <c r="DW193" s="250" t="str">
        <f t="shared" si="436"/>
        <v/>
      </c>
      <c r="DX193" s="250" t="str">
        <f t="shared" si="437"/>
        <v/>
      </c>
      <c r="DY193" s="250" t="str">
        <f t="shared" si="438"/>
        <v/>
      </c>
      <c r="DZ193" s="250" t="str">
        <f t="shared" si="439"/>
        <v/>
      </c>
      <c r="EA193" s="250" t="str">
        <f t="shared" si="440"/>
        <v/>
      </c>
      <c r="EB193" s="250" t="str">
        <f t="shared" si="478"/>
        <v/>
      </c>
      <c r="EC193" s="250" t="str">
        <f t="shared" si="441"/>
        <v/>
      </c>
      <c r="ED193" s="250" t="str">
        <f t="shared" si="442"/>
        <v/>
      </c>
      <c r="EE193" s="250" t="str">
        <f t="shared" si="443"/>
        <v/>
      </c>
      <c r="EF193" s="250" t="str">
        <f t="shared" si="444"/>
        <v/>
      </c>
      <c r="EG193" s="250" t="str">
        <f t="shared" si="445"/>
        <v/>
      </c>
      <c r="EH193" s="250" t="str">
        <f>IF(CD193="ERROR", "ERROR", IF(AND(OR($EH$6=Y193, Y193='Lookup Tables'!$AD$21, Y193='Lookup Tables'!$AD$22),E193="Interior"), SUM(BP193:BP193), ""))</f>
        <v/>
      </c>
      <c r="EI193" s="250" t="str">
        <f>IF(CD193="ERROR", "ERROR", IF(AND(OR($EH$6=Y193, Y193='Lookup Tables'!$AD$21, Y193='Lookup Tables'!$AD$22),E193="Exterior"), SUM(BP193:BP193), ""))</f>
        <v/>
      </c>
      <c r="EJ193" s="109"/>
      <c r="EK193" s="485" t="str">
        <f t="shared" si="446"/>
        <v/>
      </c>
      <c r="EL193" s="252" t="str">
        <f t="shared" si="479"/>
        <v/>
      </c>
      <c r="EM193" s="252" t="str">
        <f t="shared" si="480"/>
        <v/>
      </c>
      <c r="EN193" s="252" t="str">
        <f t="shared" si="481"/>
        <v/>
      </c>
      <c r="EO193" s="252" t="str">
        <f t="shared" si="482"/>
        <v/>
      </c>
      <c r="EP193" s="252" t="str">
        <f t="shared" si="483"/>
        <v/>
      </c>
      <c r="EQ193" s="252" t="str">
        <f t="shared" si="484"/>
        <v/>
      </c>
      <c r="ER193" s="252" t="str">
        <f t="shared" si="485"/>
        <v/>
      </c>
      <c r="ES193" s="252" t="str">
        <f t="shared" si="486"/>
        <v/>
      </c>
      <c r="ET193" s="252" t="str">
        <f t="shared" si="487"/>
        <v/>
      </c>
      <c r="EU193" s="252" t="str">
        <f t="shared" si="488"/>
        <v/>
      </c>
      <c r="EV193" s="252" t="str">
        <f t="shared" si="489"/>
        <v/>
      </c>
      <c r="EW193" s="252" t="str">
        <f t="shared" si="490"/>
        <v/>
      </c>
      <c r="EX193" s="252" t="str">
        <f t="shared" si="491"/>
        <v/>
      </c>
      <c r="EY193" s="252" t="str">
        <f t="shared" si="492"/>
        <v/>
      </c>
      <c r="EZ193" s="252" t="str">
        <f t="shared" si="493"/>
        <v/>
      </c>
      <c r="FA193" s="252" t="str">
        <f t="shared" si="494"/>
        <v/>
      </c>
      <c r="FB193" s="252" t="str">
        <f t="shared" si="495"/>
        <v/>
      </c>
      <c r="FC193" s="252" t="str">
        <f>IF(CD193="ERROR", "ERROR", IF(OR(V193="No Change", V193="Not DLC or Energy Star"), "", IF(AND(OR($FC$6=Y193,Y193='Lookup Tables'!$AD$21, Y193='Lookup Tables'!$AD$22),E193="Interior"), S193, "")))</f>
        <v/>
      </c>
      <c r="FD193" s="252" t="str">
        <f t="shared" si="496"/>
        <v/>
      </c>
      <c r="FE193" s="101"/>
      <c r="FF193" s="579" t="str" cm="1">
        <f t="array" ref="FF193">IFERROR(IF(OR(BQ193&lt;=0,AQ193&lt;20,AND(V193="Exit Signs",AN193&gt;0)),"",IF(AND(AQ193&gt;=20,AN193='Lookup Tables'!$R$101),'Lookup Tables'!$U$101*BQ193,AP193*LOOKUP(2,1/((AN193='Lookup Tables'!$R$91:$R$111)*(AQ193&gt;='Lookup Tables'!$S$91:$S$111)*(AQ193&lt;='Lookup Tables'!$T$91:$T$111)),'Lookup Tables'!$U$91:$U$111))),"")</f>
        <v/>
      </c>
      <c r="FG193" s="579"/>
      <c r="FH193" s="579"/>
      <c r="FI193" s="253" t="str">
        <f>IFERROR(ROUND(IF(CD193="ERROR", "ERROR", IF(AND($FI$7=X193,E193="Interior"),VLOOKUP(W193, 'Lookup Tables'!$AI$6:$AM$102, 5, FALSE)*BP193, "")), 2), "")</f>
        <v/>
      </c>
      <c r="FJ193" s="253" t="str">
        <f>IFERROR(ROUND(IF(CD193="ERROR", "ERROR", IF(AND($FI$7=X193,E193="Exterior"),VLOOKUP(W193, 'Lookup Tables'!$AI$6:$AM$102, 5, FALSE)*BP193, "")), 2), "")</f>
        <v/>
      </c>
      <c r="FK193" s="253" t="str">
        <f>IFERROR(ROUND(IF(CD193="ERROR", "ERROR", IF(AND($FK$7=X193,E193="Interior"),VLOOKUP(W193, 'Lookup Tables'!$AI$6:$AM$102, 5, FALSE)*BP193, "")), 2), "")</f>
        <v/>
      </c>
      <c r="FL193" s="253" t="str">
        <f>IFERROR(ROUND(IF(CD193="ERROR", "ERROR", IF(AND($FK$7=X193,E193="Exterior"),VLOOKUP(W193, 'Lookup Tables'!$AI$6:$AM$102, 5, FALSE)*BP193, "")), 2), "")</f>
        <v/>
      </c>
      <c r="FM193" s="253" t="str">
        <f>IFERROR(ROUND(IF(CD193="ERROR", "ERROR", IF(AND($FM$6=Y193,E193="Interior"), IF(GB193=0, VLOOKUP(W193, 'Lookup Tables'!$AI$6:$AM$102, 5, FALSE)*BP193, IF(VLOOKUP(W193, 'Lookup Tables'!$AI$6:$AM$102, 5, FALSE)*BP193&gt;GB193*'Lighting Inventory'!S193, GB193*'Lighting Inventory'!S193,VLOOKUP(W193, 'Lookup Tables'!$AI$6:$AM$102, 5, FALSE)*BP193)), "")), 2), "")</f>
        <v/>
      </c>
      <c r="FN193" s="253" t="str">
        <f>IFERROR(ROUND(IF(CD193="ERROR", "ERROR", IF(AND($FM$6=Y193,E193="Exterior"), IF(GB193=0, VLOOKUP(W193, 'Lookup Tables'!$AI$6:$AM$102, 5, FALSE)*BP193, IF(VLOOKUP(W193, 'Lookup Tables'!$AI$6:$AM$102, 5, FALSE)*BP193&gt;GB193*'Lighting Inventory'!S193, GB193*'Lighting Inventory'!S193,VLOOKUP(W193, 'Lookup Tables'!$AI$6:$AM$102, 5, FALSE)*BP193)), "")), 2), "")</f>
        <v/>
      </c>
      <c r="FO193" s="253" t="str">
        <f>IFERROR(ROUND(IF(CD193="ERROR", "ERROR", IF(AND($FO$6=Y193,E193="Interior"),VLOOKUP(W193, 'Lookup Tables'!$AI$6:$AM$102, 5, FALSE)*'Lighting Inventory'!AI193, "")), 2), "")</f>
        <v/>
      </c>
      <c r="FP193" s="253" t="str">
        <f>IFERROR(ROUND(IF(CD193="ERROR", "ERROR", IF(AND($FO$6=Y193,E193="Exterior"),VLOOKUP(W193, 'Lookup Tables'!$AI$6:$AM$102, 5, FALSE)*'Lighting Inventory'!AI193, "")), 2), "")</f>
        <v/>
      </c>
      <c r="FQ193" s="253" t="str">
        <f>IFERROR(ROUND(IF(CD193="ERROR", "ERROR", IF(AND($FQ$6=Y193,E193="Interior", BU193="Y"), VLOOKUP('Lighting Inventory'!W193, 'Lookup Tables'!$AI$6:$AM$102, 5, FALSE)*'Lighting Inventory'!S193, IF(AND($FQ$7=Y193,E193="Interior", BU193="N"), 0.025*CD193, ""))), 2), "")</f>
        <v/>
      </c>
      <c r="FR193" s="253" t="str">
        <f>IFERROR(ROUND(IF(CD193="ERROR", "ERROR", IF(AND($FQ$6=Y193,E193="Exterior"), VLOOKUP('Lighting Inventory'!W193, 'Lookup Tables'!$AI$6:$AM$102, 5, FALSE)*'Lighting Inventory'!S193, "")), 2), "")</f>
        <v/>
      </c>
      <c r="FS193" s="253" t="str">
        <f>IFERROR(ROUND(IF(CD193="ERROR", "ERROR", IF(AND($FS$6=Y193,E193="Exterior"), IF(GB193=0, VLOOKUP(W193, 'Lookup Tables'!$AI$6:$AM$102, 5, FALSE)*BP193, IF(VLOOKUP(W193, 'Lookup Tables'!$AI$6:$AM$102, 5, FALSE)*BP193&gt;GB193*'Lighting Inventory'!S193, GB193*'Lighting Inventory'!S193,VLOOKUP(W193, 'Lookup Tables'!$AI$6:$AM$102, 5, FALSE)*BP193)), "")), 2), "")</f>
        <v/>
      </c>
      <c r="FT193" s="253" t="str">
        <f>IFERROR(ROUND(IF(CD193="ERROR", "ERROR", IF(AND($FT$6=Y193,E193="Interior"), IF(GB193=0, VLOOKUP(W193, 'Lookup Tables'!$AI$6:$AM$102, 5, FALSE)*BP193, IF(VLOOKUP(W193, 'Lookup Tables'!$AI$6:$AM$102, 5, FALSE)*BP193&gt;GB193*'Lighting Inventory'!S193, GB193*'Lighting Inventory'!S193,VLOOKUP(W193, 'Lookup Tables'!$AI$6:$AM$102, 5, FALSE)*BP193)), "")), 2), "")</f>
        <v/>
      </c>
      <c r="FU193" s="253" t="str">
        <f>IFERROR(ROUND(IF(CD193="ERROR", "ERROR", IF(AND(Y193=$FU$6, E193="Interior"), IF(BS193="N", 'Lookup Tables'!$AM$101*BP193, VLOOKUP(W193, 'Lookup Tables'!$AI$6:$AM$102, 5, FALSE)*S193*AD193), "")), 2), "")</f>
        <v/>
      </c>
      <c r="FV193" s="253" t="str">
        <f>IFERROR(ROUND(IF(CD193="ERROR", "ERROR", IF(AND(Y193=$FU$6, E193="Exterior"), IF(BS193="N", 'Lookup Tables'!$AM$101*BP193, VLOOKUP(W193, 'Lookup Tables'!$AI$6:$AM$102, 5, FALSE)*S193*AD193), "")), 2), "")</f>
        <v/>
      </c>
      <c r="FW193" s="253" t="str">
        <f>IFERROR(ROUND(IF(CD193="ERROR", "ERROR", IF($FW$6=Y193, IF(BS193="N", 'Lookup Tables'!$AM$101*BP193, MIN((VLOOKUP(W193, 'Lookup Tables'!$AI$6:$AM$102, 5, FALSE)*BP193),GB193*AJ193)), "")), 2), "")</f>
        <v/>
      </c>
      <c r="FX193" s="253" t="str">
        <f>IFERROR(ROUND(IF(CD193="ERROR", "ERROR", IF(AND($FX$6=Y193, E193="Interior"), IF(VLOOKUP(W193, 'Lookup Tables'!$AI$6:$AM$102, 5, FALSE)*BP193&gt;'Lookup Tables'!$AQ$97*'Lighting Inventory'!S193,'Lighting Inventory'!S193*'Lookup Tables'!$AQ$97,VLOOKUP(W193, 'Lookup Tables'!$AI$6:$AM$102, 5, FALSE)*BP193), "")), 2), "")</f>
        <v/>
      </c>
      <c r="FY193" s="253" t="str">
        <f>IFERROR(ROUND(IF(CD193="ERROR", "ERROR", IF(AND($FX$6=Y193, E193="Exterior"), IF(VLOOKUP(W193, 'Lookup Tables'!$AI$6:$AM$102, 5, FALSE)*BP193&gt;'Lookup Tables'!$AQ$97*'Lighting Inventory'!S193,'Lighting Inventory'!S193*'Lookup Tables'!$AQ$97,VLOOKUP(W193, 'Lookup Tables'!$AI$6:$AM$102, 5, FALSE)*BP193), "")), 2), "")</f>
        <v/>
      </c>
      <c r="FZ193" s="253" t="str">
        <f>IFERROR(ROUND(IF(CD193="ERROR", "ERROR", IF(AND($FZ$6=Y193, E193="Interior"), IF(AND(OR(W193="Refrigerated Case Lighting with Doors", W193="Freezer Case Lighting"),Y193="Custom - Process Improvement"),CD193*'Lookup Tables'!$AM$101, IF(B193="Retrofit", IF(VLOOKUP(IF(V193="Custom", V193, W193), 'Lookup Tables'!$AI$6:$AM$102, 5, FALSE)*BP193&gt;GE193, GE193, VLOOKUP(IF(V193="Custom", V193, W193), 'Lookup Tables'!$AI$6:$AM$102, 5, FALSE)*BP193), IF(VLOOKUP(IF(V193="Custom", V193, W193), 'Lookup Tables'!$AI$114:$AM$154, 5, FALSE)*BP193&gt;GE193, GE193, VLOOKUP(IF(V193="Custom", V193, W193), 'Lookup Tables'!$AI$114:$AM$154, 5, FALSE)*BP193))), "")), 2),"")</f>
        <v/>
      </c>
      <c r="GA193" s="253" t="str">
        <f>IFERROR(ROUND(IF(CD193="ERROR", "ERROR", IF(AND($FZ$6=Y193, E193="Exterior"), IF(B193="Retrofit", IF(VLOOKUP(IF(V193="Custom", V193, W193), 'Lookup Tables'!$AI$6:$AM$102, 5, FALSE)*BP193&gt;GE193, GE193, VLOOKUP(IF(V193="Custom", V193, W193), 'Lookup Tables'!$AI$6:$AM$102, 5, FALSE)*BP193), IF(VLOOKUP(IF(V193="Custom", V193, W193), 'Lookup Tables'!$AI$114:$AM$154, 5, FALSE)*BP193&gt;GE193, GE193, VLOOKUP(IF(V193="Custom", V193, W193), 'Lookup Tables'!$AI$114:$AM$154, 5, FALSE)*BP193)), "")), 2),"")</f>
        <v/>
      </c>
      <c r="GB193" s="254" t="str">
        <f t="array" ref="GB193">IF(B193="","",IF(OR(V193="Custom",V193="No Change"),0,IF(B193="Retrofit", INDEX('Lookup Tables'!$AH$6:$AQ$102,MATCH(1,('Lookup Tables'!$AH$6:$AH$102='Lighting Inventory'!V193)*('Lookup Tables'!$AI$6:$AI$102='Lighting Inventory'!W193),FALSE),10),INDEX('Lookup Tables'!$AH$114:$AQ$154,MATCH(1,('Lookup Tables'!$AH$114:$AH$154='Lighting Inventory'!V193)*('Lookup Tables'!$AI$114:$AI$154='Lighting Inventory'!W193),FALSE),10))))</f>
        <v/>
      </c>
      <c r="GC193" s="255" t="str">
        <f t="shared" si="447"/>
        <v/>
      </c>
      <c r="GD193" s="250" t="str">
        <f t="shared" si="448"/>
        <v/>
      </c>
      <c r="GE193" s="253" t="str">
        <f>IFERROR(IF(AND(AF193="", 'General Information'!$F$18="No"),"", IF(AF193="", ((GD193/$CD$266)*$CF$266)*0.5, AF193*S193*0.5)), "")</f>
        <v/>
      </c>
      <c r="GF193" s="255" t="str">
        <f>IF(AND('General Information'!$F$19="", 'General Information'!$F$18="Yes",AF193="",BW193="Y"), "Y", "N")</f>
        <v>N</v>
      </c>
      <c r="GG193" s="255" t="s">
        <v>2946</v>
      </c>
      <c r="GH193" s="255" t="str">
        <f>IFERROR(IF(B193="", "", VLOOKUP(J193, 'Fixture Identities'!$A$6:$N$908, 14, FALSE)), "")</f>
        <v/>
      </c>
      <c r="GI193" s="389" t="str">
        <f>IF(OR(B193="", V193="", W193=""), "", IF(AND(OR(M193='Lookup Tables'!$R$18, M193='Lookup Tables'!$R$19, M193='Lookup Tables'!$R$20, M193='Lookup Tables'!$R$21, M193='Lookup Tables'!$R$22), OR(AN193='Lookup Tables'!$R$17, AN193='Lookup Tables'!$R$17, AN193="")), "Y", "N"))</f>
        <v/>
      </c>
      <c r="GJ193" s="255" t="str">
        <f t="shared" si="449"/>
        <v/>
      </c>
      <c r="GK193" s="255" t="str">
        <f t="shared" si="450"/>
        <v/>
      </c>
      <c r="GL193" s="255" t="str">
        <f t="shared" si="451"/>
        <v/>
      </c>
      <c r="GM193" s="255" t="str">
        <f>IF(AN193="", "", IF(AND(IF(ISNA(VLOOKUP(AN193,'Lookup Tables'!$R$18:$R$22,1,FALSE)), "N", "Y")="Y", E193="Exterior"), "Y", "N"))</f>
        <v/>
      </c>
      <c r="GN193" s="395"/>
      <c r="GO193" s="428">
        <f t="shared" si="497"/>
        <v>0</v>
      </c>
      <c r="GP193" s="428">
        <f t="shared" si="500"/>
        <v>0</v>
      </c>
      <c r="GQ193" s="428">
        <f t="shared" si="498"/>
        <v>0</v>
      </c>
      <c r="GR193" s="428">
        <f t="shared" si="499"/>
        <v>0</v>
      </c>
    </row>
    <row r="194" spans="1:200" s="103" customFormat="1" ht="13.5" customHeight="1" x14ac:dyDescent="0.2">
      <c r="A194" s="272">
        <v>184</v>
      </c>
      <c r="B194" s="110"/>
      <c r="C194" s="110"/>
      <c r="D194" s="110"/>
      <c r="E194" s="110"/>
      <c r="F194" s="110"/>
      <c r="G194" s="110"/>
      <c r="H194" s="110"/>
      <c r="I194" s="29"/>
      <c r="J194" s="29"/>
      <c r="K194" s="272" t="str">
        <f>IFERROR(IF(OR(VLOOKUP(J194, 'Fixture Identities'!$A$6:$L$1023, 3, FALSE)="T12 Linear Fluorescent", VLOOKUP(J194, 'Fixture Identities'!$A$6:$L$1023, 3, FALSE)="T12 U-Tube Fluorescent"), VLOOKUP(VLOOKUP(J194, 'Fixture Identities'!$A$6:$L$1023, 11, FALSE), 'Fixture Identities'!$A$6:$L$1023, 10, FALSE), VLOOKUP(J194, 'Fixture Identities'!$A$6:$L$1023, 10, FALSE)), "")</f>
        <v/>
      </c>
      <c r="L194" s="270" t="str">
        <f t="shared" si="502"/>
        <v/>
      </c>
      <c r="M194" s="110"/>
      <c r="N194" s="110"/>
      <c r="O194" s="110"/>
      <c r="P194" s="272" t="str">
        <f>IFERROR(IF(OR(B194="Retrofit",B194=""),"",IF('Lighting Inventory'!E194="Exterior",VLOOKUP('Lighting Inventory'!N194,'Lookup Tables'!$B$83:$F$103,5,FALSE),IF(N194="Other - Please Estimate EFLH and CFs","Contact Prog. Rep.","ft^2"))), "")</f>
        <v/>
      </c>
      <c r="Q194" s="270" t="str">
        <f>IFERROR(IF(AND(B194="New Construction",E194="Interior",$F$5="Space-by-Space"),VLOOKUP('Lighting Inventory'!N194,'Lookup Tables'!$N$6:$O$97,2,FALSE),IF(AND(B194="New Construction",E194="Exterior"),VLOOKUP(N194,'Lookup Tables'!$B$83:$F$103,2,FALSE),IF(AND(B194="New Construction",'Lighting Inventory'!E194="Interior", $F$5="Building Area"),VLOOKUP(F194,'Lookup Tables'!$A$6:$J$59,10,FALSE),""))), "")</f>
        <v/>
      </c>
      <c r="R194" s="270" t="str">
        <f>IFERROR(IF(P194="Contact Prog. Rep.", "ERROR", IF(OR(B194="",B194="Retrofit"),"",IF(N194="Automated teller machines", ('Lookup Tables'!$A$82:$E$100+('Lighting Inventory'!O194-1)*'Lookup Tables'!$A$82:$E$100)/1000, (Q194*O194)/1000))), "")</f>
        <v/>
      </c>
      <c r="S194" s="595"/>
      <c r="T194" s="105" t="str">
        <f t="shared" si="452"/>
        <v/>
      </c>
      <c r="U194" s="105" t="str">
        <f>IF(S194="","",COUNT($S$11:S194))</f>
        <v/>
      </c>
      <c r="V194" s="111"/>
      <c r="W194" s="112"/>
      <c r="X194" s="105" t="str">
        <f t="shared" si="453"/>
        <v/>
      </c>
      <c r="Y194" s="105" t="str">
        <f t="array" ref="Y194">IF(AND(OR(W194="Freezer Case Lighting", W194="Refrigerated Case Lighting with Doors"), 'General Information'!$X$18="LCI"),'Lookup Tables'!$Y$34, IF(V194="Custom", VLOOKUP(W194, 'Fixture Identities'!$A$974:$M$1023, 13, FALSE), IF(V194="No Change",'Lookup Tables'!$Y$29,IF(OR(V194="",W194=""),"",IF(AND(S194=0,S194&lt;I194,B194="Retrofit"),'Lookup Tables'!$Y$25, IF(B194="Retrofit", INDEX('Lookup Tables'!$AH$6:$AP$102, MATCH(1, ('Lookup Tables'!$AH$6:$AH$102=V194)*('Lookup Tables'!$AI$6:$AI$102=W194), 0), IF('Lighting Inventory'!E194="Interior", 4, 5)), INDEX('Lookup Tables'!$AH$114:$AP$154, MATCH(1, ('Lookup Tables'!$AH$114:$AH$154=V194)*('Lookup Tables'!$AI$114:$AI$154=W194), 0), IF('Lighting Inventory'!E194="Interior", 4, 5))))))))</f>
        <v/>
      </c>
      <c r="Z194" s="105" t="str">
        <f>IFERROR(INDEX('Lookup Tables'!$AH$158:$AH$172,MATCH('Lighting Inventory'!Y194,'Lookup Tables'!$AI$158:$AI$172,0)),"")</f>
        <v/>
      </c>
      <c r="AA194" s="105" t="str">
        <f>IF(AP194&gt;0,INDEX('Lookup Tables'!$AK$158:$AK$172,MATCH('Lighting Inventory'!Y194,'Lookup Tables'!$AI$158:$AI$172,0)),'Lighting Inventory'!Y194)</f>
        <v/>
      </c>
      <c r="AB194" s="105" t="str">
        <f t="array" ref="AB194">IF(V194="Custom", "Custom", IF(V194="", "", IF(V194="Not DLC or Energy Star", "General", IF(B194="New Construction", INDEX('Lookup Tables'!$AH$114:$AP$154,MATCH(1,('Lookup Tables'!$AH$114:$AH$154='Lighting Inventory'!V194)*('Lookup Tables'!$AI$114:$AI$154='Lighting Inventory'!W194),FALSE),8), INDEX('Lookup Tables'!$AH$6:$AP$102,MATCH(1,('Lookup Tables'!$AH$6:$AH$102='Lighting Inventory'!V194)*('Lookup Tables'!$AI$6:$AI$102='Lighting Inventory'!W194),FALSE),8)))))</f>
        <v/>
      </c>
      <c r="AC194" s="272" t="str">
        <f>IF(W194="","",IF(V194="Custom",CONCATENATE("$",'Lookup Tables'!$AM$101," ",'Lookup Tables'!$AN$101),CONCATENATE("$",INDEX('Lookup Tables'!$AM$6:$AM$102,MATCH('Lighting Inventory'!W194,'Lookup Tables'!$AI$6:$AI$102,0))," ",INDEX('Lookup Tables'!$AN$6:$AN$102,MATCH('Lighting Inventory'!W194,'Lookup Tables'!$AI$6:$AI$102,0)))))</f>
        <v/>
      </c>
      <c r="AD194" s="72"/>
      <c r="AE194" s="29"/>
      <c r="AF194" s="379"/>
      <c r="AG194" s="370" t="str">
        <f t="shared" si="401"/>
        <v/>
      </c>
      <c r="AH194" s="370" t="str">
        <f t="shared" si="454"/>
        <v/>
      </c>
      <c r="AI194" s="29"/>
      <c r="AJ194" s="29"/>
      <c r="AK194" s="110"/>
      <c r="AL194" s="375" t="str">
        <f>IF(OR(B194="", V194="", W194=""), "", IF(V194="No Change", K194, IF(V194="Remove Fixture", 0, IF(V194="Custom",VLOOKUP(W194,'Fixture Identities'!$A$6:$K$1023,10,FALSE),IF(AE194="", "← ENTER POST WATTS", 'Lighting Inventory'!AE194)))))</f>
        <v/>
      </c>
      <c r="AM194" s="376" t="str">
        <f t="shared" si="402"/>
        <v/>
      </c>
      <c r="AN194" s="29"/>
      <c r="AO194" s="671"/>
      <c r="AP194" s="29"/>
      <c r="AQ194" s="29"/>
      <c r="AR194" s="29"/>
      <c r="AS194" s="272" t="str">
        <f t="shared" si="455"/>
        <v/>
      </c>
      <c r="AT194" s="270" t="str">
        <f t="shared" si="403"/>
        <v/>
      </c>
      <c r="AU194" s="88" t="str">
        <f t="shared" si="503"/>
        <v/>
      </c>
      <c r="AV194" s="29"/>
      <c r="AW194" s="73"/>
      <c r="AX194" s="271" t="str">
        <f>IF(AND(AV194="Applicant",OR(AW194="", AW194="Use Default Facility Hours")),"← Choose Schedule",IF(F194="","",IF(W194="LED Exit Signs",8760,IF(OR(AV194="Prescribed",AV194=""),VLOOKUP(F194,'Lookup Tables'!$A$6:$G$59,IF(AB194="General", 6, 3),FALSE),VLOOKUP(AW194,'Lookup Tables'!$S$36:$U$43,2,FALSE)))))</f>
        <v/>
      </c>
      <c r="AY194" s="88" t="str">
        <f t="shared" si="404"/>
        <v/>
      </c>
      <c r="AZ194" s="270" t="str">
        <f>IFERROR(IF(F194="", "", IF(W194="LED Exit Signs", 1, IF(AV194="Applicant",VLOOKUP(AW194, 'Lookup Tables'!$S$36:$U$43,3, FALSE), VLOOKUP('Lighting Inventory'!F194, 'Lookup Tables'!$A$6:$H$59, IF('Lighting Inventory'!AB194="General",7,4), FALSE)))), "")</f>
        <v/>
      </c>
      <c r="BA194" s="522" t="str">
        <f>IFERROR(IF(F194="", "", IF(W194="LED Exit Signs", 1, VLOOKUP('Lighting Inventory'!F194, 'Lookup Tables'!$A$6:$H$59, IF('Lighting Inventory'!AB194="General",8,5), FALSE))), "")</f>
        <v/>
      </c>
      <c r="BB194" s="270" t="str">
        <f>IF(G194="", "", IF(E194="Exterior", 0, IF('Lighting Inventory'!G194="Air Conditioned", VLOOKUP(H194, 'Lookup Tables'!$R$6:$T$13, 2, FALSE), VLOOKUP('Lighting Inventory'!G194, 'Lookup Tables'!$R$6:$T$13, 2, FALSE))))</f>
        <v/>
      </c>
      <c r="BC194" s="522" t="str">
        <f>IF(G194="", "", IF(E194="Exterior", 0, IF('Lighting Inventory'!G194="Air Conditioned", VLOOKUP(H194, 'Lookup Tables'!$R$6:$T$13, 3, FALSE), VLOOKUP('Lighting Inventory'!G194, 'Lookup Tables'!$R$6:$T$13, 3, FALSE))))</f>
        <v/>
      </c>
      <c r="BD194" s="270" t="str">
        <f>IF(G194="", "", IF(E194="Exterior", 0, IF('Lighting Inventory'!G194="Air Conditioned", VLOOKUP(H194, 'Lookup Tables'!$R$6:$U$13, 4, FALSE), VLOOKUP('Lighting Inventory'!G194, 'Lookup Tables'!$R$6:$U$13, 4, FALSE))))</f>
        <v/>
      </c>
      <c r="BE194" s="270" t="str">
        <f>IFERROR(IF(B194="", "",  IF(B194="New Construction", VLOOKUP(F194, 'Lookup Tables'!$A$6:$K$59, 11, FALSE),IF(OR(AN194="", AN194="Light Switch"), 0, IF(OR(M194="",M194="None",V194= "LED Exit Signs"),0,_xlfn.XLOOKUP(M194,'Lookup Tables'!$R$91:$R$101,'Lookup Tables'!$V$91:$V$101))))), "")</f>
        <v/>
      </c>
      <c r="BF194" s="270" t="str">
        <f>IF(AND(OR(AN194="Light Switch",AN194=""),B194="New Construction"), VLOOKUP(F194, 'Lookup Tables'!$A$6:$K$59, 11, FALSE),IF(AN194="","",IF(B194="","",IF(OR(AN194="None",AN194="",V194="LED Exit Signs",AN194="Exterior Controls Not Eligible"),0,_xlfn.XLOOKUP(AN194,'Lookup Tables'!$R$91:$R$101,'Lookup Tables'!$V$91:$V$101)))))</f>
        <v/>
      </c>
      <c r="BG194" s="88" t="str">
        <f t="shared" si="456"/>
        <v/>
      </c>
      <c r="BH194" s="88" t="str">
        <f t="shared" si="457"/>
        <v/>
      </c>
      <c r="BI194" s="558" t="str">
        <f t="shared" si="501"/>
        <v/>
      </c>
      <c r="BJ194" s="82" t="str">
        <f t="shared" si="458"/>
        <v/>
      </c>
      <c r="BK194" s="82" t="str">
        <f t="shared" si="459"/>
        <v/>
      </c>
      <c r="BL194" s="559" t="str">
        <f t="shared" si="460"/>
        <v/>
      </c>
      <c r="BM194" s="521" t="str">
        <f t="shared" si="405"/>
        <v/>
      </c>
      <c r="BN194" s="521" t="str">
        <f t="shared" si="406"/>
        <v/>
      </c>
      <c r="BO194" s="522" t="str">
        <f t="shared" si="407"/>
        <v/>
      </c>
      <c r="BP194" s="83" t="str">
        <f t="shared" si="461"/>
        <v/>
      </c>
      <c r="BQ194" s="84" t="str">
        <f t="shared" si="462"/>
        <v/>
      </c>
      <c r="BR194" s="184" t="str">
        <f>IFERROR(IF(B194="", "", IF(OR(VLOOKUP(J194, 'Fixture Identities'!$A$6:$L$1023, 3, FALSE)="T12 Linear Fluorescent",VLOOKUP(J194, 'Fixture Identities'!$A$6:$L$1023, 3, FALSE)="T12 U-Tube Fluorescent"), "Y", "N")), "N")</f>
        <v/>
      </c>
      <c r="BS194" s="184" t="str">
        <f t="array" ref="BS194">IFERROR(IF(OR(B194="", V194="", W194=""), "", IF(V194="Custom", "N", IF(OR(W194="Freezer Case Lighting", W194="Refrigerated Case Lighting with Doors"), BT194, IF(B194="Retrofit", INDEX('Lookup Tables'!$AH$6:$AT$102,MATCH(1,('Lookup Tables'!$AH$6:$AH$102=V194)*('Lookup Tables'!$AI$6:$AI$102=W194),FALSE),IF(VLOOKUP(J194, 'Fixture Identities'!$A$6:$B$1023, 2, FALSE)="Incandescent",12, 13)), INDEX('Lookup Tables'!$AH$114:$AS$154,MATCH(1,('Lookup Tables'!$AH$114:$AH$154=V194)*('Lookup Tables'!$AI$114:$AI$154=W194),FALSE),12))))), "N")</f>
        <v/>
      </c>
      <c r="BT194" s="184" t="str">
        <f>IF(J194="", "", IF(AND(OR(W194="Freezer case Lighting", W194="Refrigerated Case Lighting with Doors"),'General Information'!$X$18="LCI"), "N", IF(OR(VLOOKUP(J194, 'Fixture Identities'!$A$6:$B$1023, 2, FALSE)="T12 EPACT/EISA Baseline", VLOOKUP(J194, 'Fixture Identities'!$A$6:$B$1023, 2, FALSE)="Linear Fluorescent", VLOOKUP(J194, 'Fixture Identities'!$A$6:$B$1023, 2, FALSE)="U-Tube Fluorescent"), "Y", "N")))</f>
        <v/>
      </c>
      <c r="BU194" s="184" t="str">
        <f>IFERROR(IF(B194="", "", IF(VLOOKUP(J194, 'Fixture Identities'!$A$6:$B$1023, 2, FALSE)="Exit Sign", "Y", "N")), "N")</f>
        <v/>
      </c>
      <c r="BV194" s="184" t="str">
        <f>IF(V194="Exit Signs", IF(VLOOKUP(J194, 'Fixture Identities'!$A$6:$B$1023, 2, FALSE)="Exit Sign", "N", "Y"), "")</f>
        <v/>
      </c>
      <c r="BW194" s="184" t="str">
        <f t="array" ref="BW194">IFERROR(IF(B194="", "", IF(B194="New Construction", "N", INDEX('Lookup Tables'!$AH$6:$AU$102, MATCH(1, ('Lookup Tables'!$AH$6:$AH$102='Lighting Inventory'!V194)*('Lookup Tables'!$AI$6:$AI$102='Lighting Inventory'!W194), 0), 14))), "N")</f>
        <v/>
      </c>
      <c r="BX194" s="598" t="str">
        <f t="shared" si="463"/>
        <v/>
      </c>
      <c r="BY194" s="598" t="str">
        <f t="shared" si="464"/>
        <v/>
      </c>
      <c r="BZ194" s="598" t="str">
        <f t="shared" si="465"/>
        <v/>
      </c>
      <c r="CA194" s="598" t="str">
        <f t="shared" si="466"/>
        <v/>
      </c>
      <c r="CB194" s="269" t="str">
        <f t="shared" si="467"/>
        <v/>
      </c>
      <c r="CC194" s="517" t="str">
        <f t="shared" si="468"/>
        <v/>
      </c>
      <c r="CD194" s="565" t="str">
        <f t="shared" si="408"/>
        <v/>
      </c>
      <c r="CE194" s="368">
        <v>0</v>
      </c>
      <c r="CF194" s="368" t="str" cm="1">
        <f t="array" ref="CF194">IFERROR(IF(V194="Custom", "$0.1 per kWh", IF(B194="New Construction", CONCATENATE("$",INDEX('Lookup Tables'!$AH$114:$AN$154,MATCH(1,('Lookup Tables'!$AH$114:$AH$154='Lighting Inventory'!V194)*('Lookup Tables'!$AI$114:$AI$154='Lighting Inventory'!W194),FALSE),6)," ",INDEX('Lookup Tables'!$AH$114:$AN$154,MATCH(1,('Lookup Tables'!$AH$114:$AH$154='Lighting Inventory'!V194)*('Lookup Tables'!$AI$114:$AI$154='Lighting Inventory'!W194),FALSE),7)), IF(AND(BU194="N", V194="Exit Signs"), "$0.025 per kWh", CONCATENATE("$",INDEX('Lookup Tables'!$AH$6:$AN$102,MATCH(1,('Lookup Tables'!$AH$6:$AH$102='Lighting Inventory'!V194)*('Lookup Tables'!$AI$6:$AI$102='Lighting Inventory'!W194),FALSE),6)," ",INDEX('Lookup Tables'!$AH$6:$AN$102,MATCH(1,('Lookup Tables'!$AH$6:$AH$102='Lighting Inventory'!V194)*('Lookup Tables'!$AI$6:$AI$102='Lighting Inventory'!W194),FALSE),7))))), "")</f>
        <v/>
      </c>
      <c r="CG194" s="366"/>
      <c r="CH194" s="248" t="str">
        <f t="shared" si="409"/>
        <v/>
      </c>
      <c r="CI194" s="248" t="str">
        <f t="shared" si="410"/>
        <v>Select_IE</v>
      </c>
      <c r="CJ194" s="248" t="str">
        <f t="shared" si="411"/>
        <v/>
      </c>
      <c r="CK194" s="248" t="str">
        <f t="shared" si="412"/>
        <v/>
      </c>
      <c r="CL194" s="248" t="str">
        <f t="shared" si="413"/>
        <v/>
      </c>
      <c r="CM194" s="248" t="str">
        <f>IFERROR(IF(B194="", "", IF(B194="New Construction", VLOOKUP(V194, 'Lookup Tables'!$AF$114:$AG$120, 2, FALSE), VLOOKUP(V194, 'Lookup Tables'!$AD$6:$AE$25, 2, FALSE))), "")</f>
        <v/>
      </c>
      <c r="CN194" s="248" t="str">
        <f t="shared" si="414"/>
        <v/>
      </c>
      <c r="CO194" s="248" t="str">
        <f t="shared" si="415"/>
        <v/>
      </c>
      <c r="CP194" s="592" t="str">
        <f t="shared" si="416"/>
        <v/>
      </c>
      <c r="CQ194" s="248" t="str">
        <f t="shared" si="469"/>
        <v/>
      </c>
      <c r="CR194" s="249"/>
      <c r="CS194" s="250" t="str">
        <f t="shared" si="417"/>
        <v/>
      </c>
      <c r="CT194" s="250" t="str">
        <f t="shared" si="470"/>
        <v/>
      </c>
      <c r="CU194" s="250" t="str">
        <f t="shared" si="471"/>
        <v/>
      </c>
      <c r="CV194" s="250" t="str">
        <f t="shared" si="472"/>
        <v/>
      </c>
      <c r="CW194" s="250" t="str">
        <f t="shared" si="473"/>
        <v/>
      </c>
      <c r="CX194" s="250" t="str">
        <f t="shared" si="418"/>
        <v/>
      </c>
      <c r="CY194" s="250" t="str">
        <f t="shared" si="419"/>
        <v/>
      </c>
      <c r="CZ194" s="250" t="str">
        <f t="shared" si="420"/>
        <v/>
      </c>
      <c r="DA194" s="250" t="str">
        <f t="shared" si="421"/>
        <v/>
      </c>
      <c r="DB194" s="250" t="str">
        <f t="shared" si="422"/>
        <v/>
      </c>
      <c r="DC194" s="250" t="str">
        <f t="shared" si="423"/>
        <v/>
      </c>
      <c r="DD194" s="250" t="str">
        <f t="shared" si="424"/>
        <v/>
      </c>
      <c r="DE194" s="250" t="str">
        <f t="shared" si="425"/>
        <v/>
      </c>
      <c r="DF194" s="250" t="str">
        <f t="shared" si="426"/>
        <v/>
      </c>
      <c r="DG194" s="250" t="str">
        <f t="shared" si="427"/>
        <v/>
      </c>
      <c r="DH194" s="250" t="str">
        <f t="shared" si="428"/>
        <v/>
      </c>
      <c r="DI194" s="250" t="str">
        <f t="shared" si="429"/>
        <v/>
      </c>
      <c r="DJ194" s="250" t="str">
        <f t="shared" si="430"/>
        <v/>
      </c>
      <c r="DK194" s="250" t="str">
        <f t="shared" si="431"/>
        <v/>
      </c>
      <c r="DL194" s="250" t="str">
        <f t="shared" si="432"/>
        <v/>
      </c>
      <c r="DM194" s="250" t="str">
        <f>IF(CD194="ERROR", "ERROR", IF(AND(OR(Y194=$DM$6, Y194='Lookup Tables'!$AD$21, Y194='Lookup Tables'!$AD$22), E194="Interior"), BJ194, ""))</f>
        <v/>
      </c>
      <c r="DN194" s="250" t="str">
        <f>IF(CD194="ERROR", "ERROR", IF(AND(OR(Y194=$DM$6, Y194='Lookup Tables'!$AD$21, Y194='Lookup Tables'!$AD$22), E194="Exterior"), BJ194, ""))</f>
        <v/>
      </c>
      <c r="DO194" s="249"/>
      <c r="DP194" s="250" t="str">
        <f t="shared" si="433"/>
        <v/>
      </c>
      <c r="DQ194" s="250" t="str">
        <f t="shared" si="474"/>
        <v/>
      </c>
      <c r="DR194" s="250" t="str">
        <f t="shared" si="475"/>
        <v/>
      </c>
      <c r="DS194" s="250" t="str">
        <f t="shared" si="476"/>
        <v/>
      </c>
      <c r="DT194" s="250" t="str">
        <f t="shared" si="477"/>
        <v/>
      </c>
      <c r="DU194" s="250" t="str">
        <f t="shared" si="434"/>
        <v/>
      </c>
      <c r="DV194" s="250" t="str">
        <f t="shared" si="435"/>
        <v/>
      </c>
      <c r="DW194" s="250" t="str">
        <f t="shared" si="436"/>
        <v/>
      </c>
      <c r="DX194" s="250" t="str">
        <f t="shared" si="437"/>
        <v/>
      </c>
      <c r="DY194" s="250" t="str">
        <f t="shared" si="438"/>
        <v/>
      </c>
      <c r="DZ194" s="250" t="str">
        <f t="shared" si="439"/>
        <v/>
      </c>
      <c r="EA194" s="250" t="str">
        <f t="shared" si="440"/>
        <v/>
      </c>
      <c r="EB194" s="250" t="str">
        <f t="shared" si="478"/>
        <v/>
      </c>
      <c r="EC194" s="250" t="str">
        <f t="shared" si="441"/>
        <v/>
      </c>
      <c r="ED194" s="250" t="str">
        <f t="shared" si="442"/>
        <v/>
      </c>
      <c r="EE194" s="250" t="str">
        <f t="shared" si="443"/>
        <v/>
      </c>
      <c r="EF194" s="250" t="str">
        <f t="shared" si="444"/>
        <v/>
      </c>
      <c r="EG194" s="250" t="str">
        <f t="shared" si="445"/>
        <v/>
      </c>
      <c r="EH194" s="250" t="str">
        <f>IF(CD194="ERROR", "ERROR", IF(AND(OR($EH$6=Y194, Y194='Lookup Tables'!$AD$21, Y194='Lookup Tables'!$AD$22),E194="Interior"), SUM(BP194:BP194), ""))</f>
        <v/>
      </c>
      <c r="EI194" s="250" t="str">
        <f>IF(CD194="ERROR", "ERROR", IF(AND(OR($EH$6=Y194, Y194='Lookup Tables'!$AD$21, Y194='Lookup Tables'!$AD$22),E194="Exterior"), SUM(BP194:BP194), ""))</f>
        <v/>
      </c>
      <c r="EJ194" s="109"/>
      <c r="EK194" s="485" t="str">
        <f t="shared" si="446"/>
        <v/>
      </c>
      <c r="EL194" s="252" t="str">
        <f t="shared" si="479"/>
        <v/>
      </c>
      <c r="EM194" s="252" t="str">
        <f t="shared" si="480"/>
        <v/>
      </c>
      <c r="EN194" s="252" t="str">
        <f t="shared" si="481"/>
        <v/>
      </c>
      <c r="EO194" s="252" t="str">
        <f t="shared" si="482"/>
        <v/>
      </c>
      <c r="EP194" s="252" t="str">
        <f t="shared" si="483"/>
        <v/>
      </c>
      <c r="EQ194" s="252" t="str">
        <f t="shared" si="484"/>
        <v/>
      </c>
      <c r="ER194" s="252" t="str">
        <f t="shared" si="485"/>
        <v/>
      </c>
      <c r="ES194" s="252" t="str">
        <f t="shared" si="486"/>
        <v/>
      </c>
      <c r="ET194" s="252" t="str">
        <f t="shared" si="487"/>
        <v/>
      </c>
      <c r="EU194" s="252" t="str">
        <f t="shared" si="488"/>
        <v/>
      </c>
      <c r="EV194" s="252" t="str">
        <f t="shared" si="489"/>
        <v/>
      </c>
      <c r="EW194" s="252" t="str">
        <f t="shared" si="490"/>
        <v/>
      </c>
      <c r="EX194" s="252" t="str">
        <f t="shared" si="491"/>
        <v/>
      </c>
      <c r="EY194" s="252" t="str">
        <f t="shared" si="492"/>
        <v/>
      </c>
      <c r="EZ194" s="252" t="str">
        <f t="shared" si="493"/>
        <v/>
      </c>
      <c r="FA194" s="252" t="str">
        <f t="shared" si="494"/>
        <v/>
      </c>
      <c r="FB194" s="252" t="str">
        <f t="shared" si="495"/>
        <v/>
      </c>
      <c r="FC194" s="252" t="str">
        <f>IF(CD194="ERROR", "ERROR", IF(OR(V194="No Change", V194="Not DLC or Energy Star"), "", IF(AND(OR($FC$6=Y194,Y194='Lookup Tables'!$AD$21, Y194='Lookup Tables'!$AD$22),E194="Interior"), S194, "")))</f>
        <v/>
      </c>
      <c r="FD194" s="252" t="str">
        <f t="shared" si="496"/>
        <v/>
      </c>
      <c r="FE194" s="1"/>
      <c r="FF194" s="579" t="str" cm="1">
        <f t="array" ref="FF194">IFERROR(IF(OR(BQ194&lt;=0,AQ194&lt;20,AND(V194="Exit Signs",AN194&gt;0)),"",IF(AND(AQ194&gt;=20,AN194='Lookup Tables'!$R$101),'Lookup Tables'!$U$101*BQ194,AP194*LOOKUP(2,1/((AN194='Lookup Tables'!$R$91:$R$111)*(AQ194&gt;='Lookup Tables'!$S$91:$S$111)*(AQ194&lt;='Lookup Tables'!$T$91:$T$111)),'Lookup Tables'!$U$91:$U$111))),"")</f>
        <v/>
      </c>
      <c r="FG194" s="579"/>
      <c r="FH194" s="579"/>
      <c r="FI194" s="253" t="str">
        <f>IFERROR(ROUND(IF(CD194="ERROR", "ERROR", IF(AND($FI$7=X194,E194="Interior"),VLOOKUP(W194, 'Lookup Tables'!$AI$6:$AM$102, 5, FALSE)*BP194, "")), 2), "")</f>
        <v/>
      </c>
      <c r="FJ194" s="253" t="str">
        <f>IFERROR(ROUND(IF(CD194="ERROR", "ERROR", IF(AND($FI$7=X194,E194="Exterior"),VLOOKUP(W194, 'Lookup Tables'!$AI$6:$AM$102, 5, FALSE)*BP194, "")), 2), "")</f>
        <v/>
      </c>
      <c r="FK194" s="253" t="str">
        <f>IFERROR(ROUND(IF(CD194="ERROR", "ERROR", IF(AND($FK$7=X194,E194="Interior"),VLOOKUP(W194, 'Lookup Tables'!$AI$6:$AM$102, 5, FALSE)*BP194, "")), 2), "")</f>
        <v/>
      </c>
      <c r="FL194" s="253" t="str">
        <f>IFERROR(ROUND(IF(CD194="ERROR", "ERROR", IF(AND($FK$7=X194,E194="Exterior"),VLOOKUP(W194, 'Lookup Tables'!$AI$6:$AM$102, 5, FALSE)*BP194, "")), 2), "")</f>
        <v/>
      </c>
      <c r="FM194" s="253" t="str">
        <f>IFERROR(ROUND(IF(CD194="ERROR", "ERROR", IF(AND($FM$6=Y194,E194="Interior"), IF(GB194=0, VLOOKUP(W194, 'Lookup Tables'!$AI$6:$AM$102, 5, FALSE)*BP194, IF(VLOOKUP(W194, 'Lookup Tables'!$AI$6:$AM$102, 5, FALSE)*BP194&gt;GB194*'Lighting Inventory'!S194, GB194*'Lighting Inventory'!S194,VLOOKUP(W194, 'Lookup Tables'!$AI$6:$AM$102, 5, FALSE)*BP194)), "")), 2), "")</f>
        <v/>
      </c>
      <c r="FN194" s="253" t="str">
        <f>IFERROR(ROUND(IF(CD194="ERROR", "ERROR", IF(AND($FM$6=Y194,E194="Exterior"), IF(GB194=0, VLOOKUP(W194, 'Lookup Tables'!$AI$6:$AM$102, 5, FALSE)*BP194, IF(VLOOKUP(W194, 'Lookup Tables'!$AI$6:$AM$102, 5, FALSE)*BP194&gt;GB194*'Lighting Inventory'!S194, GB194*'Lighting Inventory'!S194,VLOOKUP(W194, 'Lookup Tables'!$AI$6:$AM$102, 5, FALSE)*BP194)), "")), 2), "")</f>
        <v/>
      </c>
      <c r="FO194" s="253" t="str">
        <f>IFERROR(ROUND(IF(CD194="ERROR", "ERROR", IF(AND($FO$6=Y194,E194="Interior"),VLOOKUP(W194, 'Lookup Tables'!$AI$6:$AM$102, 5, FALSE)*'Lighting Inventory'!AI194, "")), 2), "")</f>
        <v/>
      </c>
      <c r="FP194" s="253" t="str">
        <f>IFERROR(ROUND(IF(CD194="ERROR", "ERROR", IF(AND($FO$6=Y194,E194="Exterior"),VLOOKUP(W194, 'Lookup Tables'!$AI$6:$AM$102, 5, FALSE)*'Lighting Inventory'!AI194, "")), 2), "")</f>
        <v/>
      </c>
      <c r="FQ194" s="253" t="str">
        <f>IFERROR(ROUND(IF(CD194="ERROR", "ERROR", IF(AND($FQ$6=Y194,E194="Interior", BU194="Y"), VLOOKUP('Lighting Inventory'!W194, 'Lookup Tables'!$AI$6:$AM$102, 5, FALSE)*'Lighting Inventory'!S194, IF(AND($FQ$7=Y194,E194="Interior", BU194="N"), 0.025*CD194, ""))), 2), "")</f>
        <v/>
      </c>
      <c r="FR194" s="253" t="str">
        <f>IFERROR(ROUND(IF(CD194="ERROR", "ERROR", IF(AND($FQ$6=Y194,E194="Exterior"), VLOOKUP('Lighting Inventory'!W194, 'Lookup Tables'!$AI$6:$AM$102, 5, FALSE)*'Lighting Inventory'!S194, "")), 2), "")</f>
        <v/>
      </c>
      <c r="FS194" s="253" t="str">
        <f>IFERROR(ROUND(IF(CD194="ERROR", "ERROR", IF(AND($FS$6=Y194,E194="Exterior"), IF(GB194=0, VLOOKUP(W194, 'Lookup Tables'!$AI$6:$AM$102, 5, FALSE)*BP194, IF(VLOOKUP(W194, 'Lookup Tables'!$AI$6:$AM$102, 5, FALSE)*BP194&gt;GB194*'Lighting Inventory'!S194, GB194*'Lighting Inventory'!S194,VLOOKUP(W194, 'Lookup Tables'!$AI$6:$AM$102, 5, FALSE)*BP194)), "")), 2), "")</f>
        <v/>
      </c>
      <c r="FT194" s="253" t="str">
        <f>IFERROR(ROUND(IF(CD194="ERROR", "ERROR", IF(AND($FT$6=Y194,E194="Interior"), IF(GB194=0, VLOOKUP(W194, 'Lookup Tables'!$AI$6:$AM$102, 5, FALSE)*BP194, IF(VLOOKUP(W194, 'Lookup Tables'!$AI$6:$AM$102, 5, FALSE)*BP194&gt;GB194*'Lighting Inventory'!S194, GB194*'Lighting Inventory'!S194,VLOOKUP(W194, 'Lookup Tables'!$AI$6:$AM$102, 5, FALSE)*BP194)), "")), 2), "")</f>
        <v/>
      </c>
      <c r="FU194" s="253" t="str">
        <f>IFERROR(ROUND(IF(CD194="ERROR", "ERROR", IF(AND(Y194=$FU$6, E194="Interior"), IF(BS194="N", 'Lookup Tables'!$AM$101*BP194, VLOOKUP(W194, 'Lookup Tables'!$AI$6:$AM$102, 5, FALSE)*S194*AD194), "")), 2), "")</f>
        <v/>
      </c>
      <c r="FV194" s="253" t="str">
        <f>IFERROR(ROUND(IF(CD194="ERROR", "ERROR", IF(AND(Y194=$FU$6, E194="Exterior"), IF(BS194="N", 'Lookup Tables'!$AM$101*BP194, VLOOKUP(W194, 'Lookup Tables'!$AI$6:$AM$102, 5, FALSE)*S194*AD194), "")), 2), "")</f>
        <v/>
      </c>
      <c r="FW194" s="253" t="str">
        <f>IFERROR(ROUND(IF(CD194="ERROR", "ERROR", IF($FW$6=Y194, IF(BS194="N", 'Lookup Tables'!$AM$101*BP194, MIN((VLOOKUP(W194, 'Lookup Tables'!$AI$6:$AM$102, 5, FALSE)*BP194),GB194*AJ194)), "")), 2), "")</f>
        <v/>
      </c>
      <c r="FX194" s="253" t="str">
        <f>IFERROR(ROUND(IF(CD194="ERROR", "ERROR", IF(AND($FX$6=Y194, E194="Interior"), IF(VLOOKUP(W194, 'Lookup Tables'!$AI$6:$AM$102, 5, FALSE)*BP194&gt;'Lookup Tables'!$AQ$97*'Lighting Inventory'!S194,'Lighting Inventory'!S194*'Lookup Tables'!$AQ$97,VLOOKUP(W194, 'Lookup Tables'!$AI$6:$AM$102, 5, FALSE)*BP194), "")), 2), "")</f>
        <v/>
      </c>
      <c r="FY194" s="253" t="str">
        <f>IFERROR(ROUND(IF(CD194="ERROR", "ERROR", IF(AND($FX$6=Y194, E194="Exterior"), IF(VLOOKUP(W194, 'Lookup Tables'!$AI$6:$AM$102, 5, FALSE)*BP194&gt;'Lookup Tables'!$AQ$97*'Lighting Inventory'!S194,'Lighting Inventory'!S194*'Lookup Tables'!$AQ$97,VLOOKUP(W194, 'Lookup Tables'!$AI$6:$AM$102, 5, FALSE)*BP194), "")), 2), "")</f>
        <v/>
      </c>
      <c r="FZ194" s="253" t="str">
        <f>IFERROR(ROUND(IF(CD194="ERROR", "ERROR", IF(AND($FZ$6=Y194, E194="Interior"), IF(AND(OR(W194="Refrigerated Case Lighting with Doors", W194="Freezer Case Lighting"),Y194="Custom - Process Improvement"),CD194*'Lookup Tables'!$AM$101, IF(B194="Retrofit", IF(VLOOKUP(IF(V194="Custom", V194, W194), 'Lookup Tables'!$AI$6:$AM$102, 5, FALSE)*BP194&gt;GE194, GE194, VLOOKUP(IF(V194="Custom", V194, W194), 'Lookup Tables'!$AI$6:$AM$102, 5, FALSE)*BP194), IF(VLOOKUP(IF(V194="Custom", V194, W194), 'Lookup Tables'!$AI$114:$AM$154, 5, FALSE)*BP194&gt;GE194, GE194, VLOOKUP(IF(V194="Custom", V194, W194), 'Lookup Tables'!$AI$114:$AM$154, 5, FALSE)*BP194))), "")), 2),"")</f>
        <v/>
      </c>
      <c r="GA194" s="253" t="str">
        <f>IFERROR(ROUND(IF(CD194="ERROR", "ERROR", IF(AND($FZ$6=Y194, E194="Exterior"), IF(B194="Retrofit", IF(VLOOKUP(IF(V194="Custom", V194, W194), 'Lookup Tables'!$AI$6:$AM$102, 5, FALSE)*BP194&gt;GE194, GE194, VLOOKUP(IF(V194="Custom", V194, W194), 'Lookup Tables'!$AI$6:$AM$102, 5, FALSE)*BP194), IF(VLOOKUP(IF(V194="Custom", V194, W194), 'Lookup Tables'!$AI$114:$AM$154, 5, FALSE)*BP194&gt;GE194, GE194, VLOOKUP(IF(V194="Custom", V194, W194), 'Lookup Tables'!$AI$114:$AM$154, 5, FALSE)*BP194)), "")), 2),"")</f>
        <v/>
      </c>
      <c r="GB194" s="254" t="str">
        <f t="array" ref="GB194">IF(B194="","",IF(OR(V194="Custom",V194="No Change"),0,IF(B194="Retrofit", INDEX('Lookup Tables'!$AH$6:$AQ$102,MATCH(1,('Lookup Tables'!$AH$6:$AH$102='Lighting Inventory'!V194)*('Lookup Tables'!$AI$6:$AI$102='Lighting Inventory'!W194),FALSE),10),INDEX('Lookup Tables'!$AH$114:$AQ$154,MATCH(1,('Lookup Tables'!$AH$114:$AH$154='Lighting Inventory'!V194)*('Lookup Tables'!$AI$114:$AI$154='Lighting Inventory'!W194),FALSE),10))))</f>
        <v/>
      </c>
      <c r="GC194" s="255" t="str">
        <f t="shared" si="447"/>
        <v/>
      </c>
      <c r="GD194" s="250" t="str">
        <f t="shared" si="448"/>
        <v/>
      </c>
      <c r="GE194" s="253" t="str">
        <f>IFERROR(IF(AND(AF194="", 'General Information'!$F$18="No"),"", IF(AF194="", ((GD194/$CD$266)*$CF$266)*0.5, AF194*S194*0.5)), "")</f>
        <v/>
      </c>
      <c r="GF194" s="255" t="str">
        <f>IF(AND('General Information'!$F$19="", 'General Information'!$F$18="Yes",AF194="",BW194="Y"), "Y", "N")</f>
        <v>N</v>
      </c>
      <c r="GG194" s="255" t="s">
        <v>2946</v>
      </c>
      <c r="GH194" s="255" t="str">
        <f>IFERROR(IF(B194="", "", VLOOKUP(J194, 'Fixture Identities'!$A$6:$N$908, 14, FALSE)), "")</f>
        <v/>
      </c>
      <c r="GI194" s="389" t="str">
        <f>IF(OR(B194="", V194="", W194=""), "", IF(AND(OR(M194='Lookup Tables'!$R$18, M194='Lookup Tables'!$R$19, M194='Lookup Tables'!$R$20, M194='Lookup Tables'!$R$21, M194='Lookup Tables'!$R$22), OR(AN194='Lookup Tables'!$R$17, AN194='Lookup Tables'!$R$17, AN194="")), "Y", "N"))</f>
        <v/>
      </c>
      <c r="GJ194" s="255" t="str">
        <f t="shared" si="449"/>
        <v/>
      </c>
      <c r="GK194" s="255" t="str">
        <f t="shared" si="450"/>
        <v/>
      </c>
      <c r="GL194" s="255" t="str">
        <f t="shared" si="451"/>
        <v/>
      </c>
      <c r="GM194" s="255" t="str">
        <f>IF(AN194="", "", IF(AND(IF(ISNA(VLOOKUP(AN194,'Lookup Tables'!$R$18:$R$22,1,FALSE)), "N", "Y")="Y", E194="Exterior"), "Y", "N"))</f>
        <v/>
      </c>
      <c r="GN194" s="395"/>
      <c r="GO194" s="428">
        <f t="shared" si="497"/>
        <v>0</v>
      </c>
      <c r="GP194" s="428">
        <f t="shared" si="500"/>
        <v>0</v>
      </c>
      <c r="GQ194" s="428">
        <f t="shared" si="498"/>
        <v>0</v>
      </c>
      <c r="GR194" s="428">
        <f t="shared" si="499"/>
        <v>0</v>
      </c>
    </row>
    <row r="195" spans="1:200" s="103" customFormat="1" ht="13.5" customHeight="1" x14ac:dyDescent="0.2">
      <c r="A195" s="272">
        <v>185</v>
      </c>
      <c r="B195" s="110"/>
      <c r="C195" s="110"/>
      <c r="D195" s="110"/>
      <c r="E195" s="110"/>
      <c r="F195" s="110"/>
      <c r="G195" s="110"/>
      <c r="H195" s="110"/>
      <c r="I195" s="29"/>
      <c r="J195" s="29"/>
      <c r="K195" s="272" t="str">
        <f>IFERROR(IF(OR(VLOOKUP(J195, 'Fixture Identities'!$A$6:$L$1023, 3, FALSE)="T12 Linear Fluorescent", VLOOKUP(J195, 'Fixture Identities'!$A$6:$L$1023, 3, FALSE)="T12 U-Tube Fluorescent"), VLOOKUP(VLOOKUP(J195, 'Fixture Identities'!$A$6:$L$1023, 11, FALSE), 'Fixture Identities'!$A$6:$L$1023, 10, FALSE), VLOOKUP(J195, 'Fixture Identities'!$A$6:$L$1023, 10, FALSE)), "")</f>
        <v/>
      </c>
      <c r="L195" s="270" t="str">
        <f t="shared" si="502"/>
        <v/>
      </c>
      <c r="M195" s="110"/>
      <c r="N195" s="110"/>
      <c r="O195" s="110"/>
      <c r="P195" s="272" t="str">
        <f>IFERROR(IF(OR(B195="Retrofit",B195=""),"",IF('Lighting Inventory'!E195="Exterior",VLOOKUP('Lighting Inventory'!N195,'Lookup Tables'!$B$83:$F$103,5,FALSE),IF(N195="Other - Please Estimate EFLH and CFs","Contact Prog. Rep.","ft^2"))), "")</f>
        <v/>
      </c>
      <c r="Q195" s="270" t="str">
        <f>IFERROR(IF(AND(B195="New Construction",E195="Interior",$F$5="Space-by-Space"),VLOOKUP('Lighting Inventory'!N195,'Lookup Tables'!$N$6:$O$97,2,FALSE),IF(AND(B195="New Construction",E195="Exterior"),VLOOKUP(N195,'Lookup Tables'!$B$83:$F$103,2,FALSE),IF(AND(B195="New Construction",'Lighting Inventory'!E195="Interior", $F$5="Building Area"),VLOOKUP(F195,'Lookup Tables'!$A$6:$J$59,10,FALSE),""))), "")</f>
        <v/>
      </c>
      <c r="R195" s="270" t="str">
        <f>IFERROR(IF(P195="Contact Prog. Rep.", "ERROR", IF(OR(B195="",B195="Retrofit"),"",IF(N195="Automated teller machines", ('Lookup Tables'!$A$82:$E$100+('Lighting Inventory'!O195-1)*'Lookup Tables'!$A$82:$E$100)/1000, (Q195*O195)/1000))), "")</f>
        <v/>
      </c>
      <c r="S195" s="595"/>
      <c r="T195" s="105" t="str">
        <f t="shared" si="452"/>
        <v/>
      </c>
      <c r="U195" s="105" t="str">
        <f>IF(S195="","",COUNT($S$11:S195))</f>
        <v/>
      </c>
      <c r="V195" s="111"/>
      <c r="W195" s="112"/>
      <c r="X195" s="105" t="str">
        <f t="shared" si="453"/>
        <v/>
      </c>
      <c r="Y195" s="105" t="str">
        <f t="array" ref="Y195">IF(AND(OR(W195="Freezer Case Lighting", W195="Refrigerated Case Lighting with Doors"), 'General Information'!$X$18="LCI"),'Lookup Tables'!$Y$34, IF(V195="Custom", VLOOKUP(W195, 'Fixture Identities'!$A$974:$M$1023, 13, FALSE), IF(V195="No Change",'Lookup Tables'!$Y$29,IF(OR(V195="",W195=""),"",IF(AND(S195=0,S195&lt;I195,B195="Retrofit"),'Lookup Tables'!$Y$25, IF(B195="Retrofit", INDEX('Lookup Tables'!$AH$6:$AP$102, MATCH(1, ('Lookup Tables'!$AH$6:$AH$102=V195)*('Lookup Tables'!$AI$6:$AI$102=W195), 0), IF('Lighting Inventory'!E195="Interior", 4, 5)), INDEX('Lookup Tables'!$AH$114:$AP$154, MATCH(1, ('Lookup Tables'!$AH$114:$AH$154=V195)*('Lookup Tables'!$AI$114:$AI$154=W195), 0), IF('Lighting Inventory'!E195="Interior", 4, 5))))))))</f>
        <v/>
      </c>
      <c r="Z195" s="105" t="str">
        <f>IFERROR(INDEX('Lookup Tables'!$AH$158:$AH$172,MATCH('Lighting Inventory'!Y195,'Lookup Tables'!$AI$158:$AI$172,0)),"")</f>
        <v/>
      </c>
      <c r="AA195" s="105" t="str">
        <f>IF(AP195&gt;0,INDEX('Lookup Tables'!$AK$158:$AK$172,MATCH('Lighting Inventory'!Y195,'Lookup Tables'!$AI$158:$AI$172,0)),'Lighting Inventory'!Y195)</f>
        <v/>
      </c>
      <c r="AB195" s="105" t="str">
        <f t="array" ref="AB195">IF(V195="Custom", "Custom", IF(V195="", "", IF(V195="Not DLC or Energy Star", "General", IF(B195="New Construction", INDEX('Lookup Tables'!$AH$114:$AP$154,MATCH(1,('Lookup Tables'!$AH$114:$AH$154='Lighting Inventory'!V195)*('Lookup Tables'!$AI$114:$AI$154='Lighting Inventory'!W195),FALSE),8), INDEX('Lookup Tables'!$AH$6:$AP$102,MATCH(1,('Lookup Tables'!$AH$6:$AH$102='Lighting Inventory'!V195)*('Lookup Tables'!$AI$6:$AI$102='Lighting Inventory'!W195),FALSE),8)))))</f>
        <v/>
      </c>
      <c r="AC195" s="272" t="str">
        <f>IF(W195="","",IF(V195="Custom",CONCATENATE("$",'Lookup Tables'!$AM$101," ",'Lookup Tables'!$AN$101),CONCATENATE("$",INDEX('Lookup Tables'!$AM$6:$AM$102,MATCH('Lighting Inventory'!W195,'Lookup Tables'!$AI$6:$AI$102,0))," ",INDEX('Lookup Tables'!$AN$6:$AN$102,MATCH('Lighting Inventory'!W195,'Lookup Tables'!$AI$6:$AI$102,0)))))</f>
        <v/>
      </c>
      <c r="AD195" s="72"/>
      <c r="AE195" s="29"/>
      <c r="AF195" s="379"/>
      <c r="AG195" s="370" t="str">
        <f t="shared" si="401"/>
        <v/>
      </c>
      <c r="AH195" s="370" t="str">
        <f t="shared" si="454"/>
        <v/>
      </c>
      <c r="AI195" s="29"/>
      <c r="AJ195" s="29"/>
      <c r="AK195" s="110"/>
      <c r="AL195" s="375" t="str">
        <f>IF(OR(B195="", V195="", W195=""), "", IF(V195="No Change", K195, IF(V195="Remove Fixture", 0, IF(V195="Custom",VLOOKUP(W195,'Fixture Identities'!$A$6:$K$1023,10,FALSE),IF(AE195="", "← ENTER POST WATTS", 'Lighting Inventory'!AE195)))))</f>
        <v/>
      </c>
      <c r="AM195" s="376" t="str">
        <f t="shared" si="402"/>
        <v/>
      </c>
      <c r="AN195" s="29"/>
      <c r="AO195" s="671"/>
      <c r="AP195" s="29"/>
      <c r="AQ195" s="29"/>
      <c r="AR195" s="29"/>
      <c r="AS195" s="272" t="str">
        <f t="shared" si="455"/>
        <v/>
      </c>
      <c r="AT195" s="270" t="str">
        <f t="shared" si="403"/>
        <v/>
      </c>
      <c r="AU195" s="88" t="str">
        <f t="shared" si="503"/>
        <v/>
      </c>
      <c r="AV195" s="29"/>
      <c r="AW195" s="73"/>
      <c r="AX195" s="271" t="str">
        <f>IF(AND(AV195="Applicant",OR(AW195="", AW195="Use Default Facility Hours")),"← Choose Schedule",IF(F195="","",IF(W195="LED Exit Signs",8760,IF(OR(AV195="Prescribed",AV195=""),VLOOKUP(F195,'Lookup Tables'!$A$6:$G$59,IF(AB195="General", 6, 3),FALSE),VLOOKUP(AW195,'Lookup Tables'!$S$36:$U$43,2,FALSE)))))</f>
        <v/>
      </c>
      <c r="AY195" s="88" t="str">
        <f t="shared" si="404"/>
        <v/>
      </c>
      <c r="AZ195" s="270" t="str">
        <f>IFERROR(IF(F195="", "", IF(W195="LED Exit Signs", 1, IF(AV195="Applicant",VLOOKUP(AW195, 'Lookup Tables'!$S$36:$U$43,3, FALSE), VLOOKUP('Lighting Inventory'!F195, 'Lookup Tables'!$A$6:$H$59, IF('Lighting Inventory'!AB195="General",7,4), FALSE)))), "")</f>
        <v/>
      </c>
      <c r="BA195" s="522" t="str">
        <f>IFERROR(IF(F195="", "", IF(W195="LED Exit Signs", 1, VLOOKUP('Lighting Inventory'!F195, 'Lookup Tables'!$A$6:$H$59, IF('Lighting Inventory'!AB195="General",8,5), FALSE))), "")</f>
        <v/>
      </c>
      <c r="BB195" s="270" t="str">
        <f>IF(G195="", "", IF(E195="Exterior", 0, IF('Lighting Inventory'!G195="Air Conditioned", VLOOKUP(H195, 'Lookup Tables'!$R$6:$T$13, 2, FALSE), VLOOKUP('Lighting Inventory'!G195, 'Lookup Tables'!$R$6:$T$13, 2, FALSE))))</f>
        <v/>
      </c>
      <c r="BC195" s="522" t="str">
        <f>IF(G195="", "", IF(E195="Exterior", 0, IF('Lighting Inventory'!G195="Air Conditioned", VLOOKUP(H195, 'Lookup Tables'!$R$6:$T$13, 3, FALSE), VLOOKUP('Lighting Inventory'!G195, 'Lookup Tables'!$R$6:$T$13, 3, FALSE))))</f>
        <v/>
      </c>
      <c r="BD195" s="270" t="str">
        <f>IF(G195="", "", IF(E195="Exterior", 0, IF('Lighting Inventory'!G195="Air Conditioned", VLOOKUP(H195, 'Lookup Tables'!$R$6:$U$13, 4, FALSE), VLOOKUP('Lighting Inventory'!G195, 'Lookup Tables'!$R$6:$U$13, 4, FALSE))))</f>
        <v/>
      </c>
      <c r="BE195" s="270" t="str">
        <f>IFERROR(IF(B195="", "",  IF(B195="New Construction", VLOOKUP(F195, 'Lookup Tables'!$A$6:$K$59, 11, FALSE),IF(OR(AN195="", AN195="Light Switch"), 0, IF(OR(M195="",M195="None",V195= "LED Exit Signs"),0,_xlfn.XLOOKUP(M195,'Lookup Tables'!$R$91:$R$101,'Lookup Tables'!$V$91:$V$101))))), "")</f>
        <v/>
      </c>
      <c r="BF195" s="270" t="str">
        <f>IF(AND(OR(AN195="Light Switch",AN195=""),B195="New Construction"), VLOOKUP(F195, 'Lookup Tables'!$A$6:$K$59, 11, FALSE),IF(AN195="","",IF(B195="","",IF(OR(AN195="None",AN195="",V195="LED Exit Signs",AN195="Exterior Controls Not Eligible"),0,_xlfn.XLOOKUP(AN195,'Lookup Tables'!$R$91:$R$101,'Lookup Tables'!$V$91:$V$101)))))</f>
        <v/>
      </c>
      <c r="BG195" s="88" t="str">
        <f t="shared" si="456"/>
        <v/>
      </c>
      <c r="BH195" s="88" t="str">
        <f t="shared" si="457"/>
        <v/>
      </c>
      <c r="BI195" s="558" t="str">
        <f t="shared" si="501"/>
        <v/>
      </c>
      <c r="BJ195" s="82" t="str">
        <f t="shared" si="458"/>
        <v/>
      </c>
      <c r="BK195" s="82" t="str">
        <f t="shared" si="459"/>
        <v/>
      </c>
      <c r="BL195" s="559" t="str">
        <f t="shared" si="460"/>
        <v/>
      </c>
      <c r="BM195" s="521" t="str">
        <f t="shared" si="405"/>
        <v/>
      </c>
      <c r="BN195" s="521" t="str">
        <f t="shared" si="406"/>
        <v/>
      </c>
      <c r="BO195" s="522" t="str">
        <f t="shared" si="407"/>
        <v/>
      </c>
      <c r="BP195" s="83" t="str">
        <f t="shared" si="461"/>
        <v/>
      </c>
      <c r="BQ195" s="84" t="str">
        <f t="shared" si="462"/>
        <v/>
      </c>
      <c r="BR195" s="184" t="str">
        <f>IFERROR(IF(B195="", "", IF(OR(VLOOKUP(J195, 'Fixture Identities'!$A$6:$L$1023, 3, FALSE)="T12 Linear Fluorescent",VLOOKUP(J195, 'Fixture Identities'!$A$6:$L$1023, 3, FALSE)="T12 U-Tube Fluorescent"), "Y", "N")), "N")</f>
        <v/>
      </c>
      <c r="BS195" s="184" t="str">
        <f t="array" ref="BS195">IFERROR(IF(OR(B195="", V195="", W195=""), "", IF(V195="Custom", "N", IF(OR(W195="Freezer Case Lighting", W195="Refrigerated Case Lighting with Doors"), BT195, IF(B195="Retrofit", INDEX('Lookup Tables'!$AH$6:$AT$102,MATCH(1,('Lookup Tables'!$AH$6:$AH$102=V195)*('Lookup Tables'!$AI$6:$AI$102=W195),FALSE),IF(VLOOKUP(J195, 'Fixture Identities'!$A$6:$B$1023, 2, FALSE)="Incandescent",12, 13)), INDEX('Lookup Tables'!$AH$114:$AS$154,MATCH(1,('Lookup Tables'!$AH$114:$AH$154=V195)*('Lookup Tables'!$AI$114:$AI$154=W195),FALSE),12))))), "N")</f>
        <v/>
      </c>
      <c r="BT195" s="184" t="str">
        <f>IF(J195="", "", IF(AND(OR(W195="Freezer case Lighting", W195="Refrigerated Case Lighting with Doors"),'General Information'!$X$18="LCI"), "N", IF(OR(VLOOKUP(J195, 'Fixture Identities'!$A$6:$B$1023, 2, FALSE)="T12 EPACT/EISA Baseline", VLOOKUP(J195, 'Fixture Identities'!$A$6:$B$1023, 2, FALSE)="Linear Fluorescent", VLOOKUP(J195, 'Fixture Identities'!$A$6:$B$1023, 2, FALSE)="U-Tube Fluorescent"), "Y", "N")))</f>
        <v/>
      </c>
      <c r="BU195" s="184" t="str">
        <f>IFERROR(IF(B195="", "", IF(VLOOKUP(J195, 'Fixture Identities'!$A$6:$B$1023, 2, FALSE)="Exit Sign", "Y", "N")), "N")</f>
        <v/>
      </c>
      <c r="BV195" s="184" t="str">
        <f>IF(V195="Exit Signs", IF(VLOOKUP(J195, 'Fixture Identities'!$A$6:$B$1023, 2, FALSE)="Exit Sign", "N", "Y"), "")</f>
        <v/>
      </c>
      <c r="BW195" s="184" t="str">
        <f t="array" ref="BW195">IFERROR(IF(B195="", "", IF(B195="New Construction", "N", INDEX('Lookup Tables'!$AH$6:$AU$102, MATCH(1, ('Lookup Tables'!$AH$6:$AH$102='Lighting Inventory'!V195)*('Lookup Tables'!$AI$6:$AI$102='Lighting Inventory'!W195), 0), 14))), "N")</f>
        <v/>
      </c>
      <c r="BX195" s="598" t="str">
        <f t="shared" si="463"/>
        <v/>
      </c>
      <c r="BY195" s="598" t="str">
        <f t="shared" si="464"/>
        <v/>
      </c>
      <c r="BZ195" s="598" t="str">
        <f t="shared" si="465"/>
        <v/>
      </c>
      <c r="CA195" s="598" t="str">
        <f t="shared" si="466"/>
        <v/>
      </c>
      <c r="CB195" s="269" t="str">
        <f t="shared" si="467"/>
        <v/>
      </c>
      <c r="CC195" s="517" t="str">
        <f t="shared" si="468"/>
        <v/>
      </c>
      <c r="CD195" s="565" t="str">
        <f t="shared" si="408"/>
        <v/>
      </c>
      <c r="CE195" s="368">
        <v>0</v>
      </c>
      <c r="CF195" s="368" t="str" cm="1">
        <f t="array" ref="CF195">IFERROR(IF(V195="Custom", "$0.1 per kWh", IF(B195="New Construction", CONCATENATE("$",INDEX('Lookup Tables'!$AH$114:$AN$154,MATCH(1,('Lookup Tables'!$AH$114:$AH$154='Lighting Inventory'!V195)*('Lookup Tables'!$AI$114:$AI$154='Lighting Inventory'!W195),FALSE),6)," ",INDEX('Lookup Tables'!$AH$114:$AN$154,MATCH(1,('Lookup Tables'!$AH$114:$AH$154='Lighting Inventory'!V195)*('Lookup Tables'!$AI$114:$AI$154='Lighting Inventory'!W195),FALSE),7)), IF(AND(BU195="N", V195="Exit Signs"), "$0.025 per kWh", CONCATENATE("$",INDEX('Lookup Tables'!$AH$6:$AN$102,MATCH(1,('Lookup Tables'!$AH$6:$AH$102='Lighting Inventory'!V195)*('Lookup Tables'!$AI$6:$AI$102='Lighting Inventory'!W195),FALSE),6)," ",INDEX('Lookup Tables'!$AH$6:$AN$102,MATCH(1,('Lookup Tables'!$AH$6:$AH$102='Lighting Inventory'!V195)*('Lookup Tables'!$AI$6:$AI$102='Lighting Inventory'!W195),FALSE),7))))), "")</f>
        <v/>
      </c>
      <c r="CG195" s="366"/>
      <c r="CH195" s="248" t="str">
        <f t="shared" si="409"/>
        <v/>
      </c>
      <c r="CI195" s="248" t="str">
        <f t="shared" si="410"/>
        <v>Select_IE</v>
      </c>
      <c r="CJ195" s="248" t="str">
        <f t="shared" si="411"/>
        <v/>
      </c>
      <c r="CK195" s="248" t="str">
        <f t="shared" si="412"/>
        <v/>
      </c>
      <c r="CL195" s="248" t="str">
        <f t="shared" si="413"/>
        <v/>
      </c>
      <c r="CM195" s="248" t="str">
        <f>IFERROR(IF(B195="", "", IF(B195="New Construction", VLOOKUP(V195, 'Lookup Tables'!$AF$114:$AG$120, 2, FALSE), VLOOKUP(V195, 'Lookup Tables'!$AD$6:$AE$25, 2, FALSE))), "")</f>
        <v/>
      </c>
      <c r="CN195" s="248" t="str">
        <f t="shared" si="414"/>
        <v/>
      </c>
      <c r="CO195" s="248" t="str">
        <f t="shared" si="415"/>
        <v/>
      </c>
      <c r="CP195" s="592" t="str">
        <f t="shared" si="416"/>
        <v/>
      </c>
      <c r="CQ195" s="248" t="str">
        <f t="shared" si="469"/>
        <v/>
      </c>
      <c r="CR195" s="100"/>
      <c r="CS195" s="250" t="str">
        <f t="shared" si="417"/>
        <v/>
      </c>
      <c r="CT195" s="250" t="str">
        <f t="shared" si="470"/>
        <v/>
      </c>
      <c r="CU195" s="250" t="str">
        <f t="shared" si="471"/>
        <v/>
      </c>
      <c r="CV195" s="250" t="str">
        <f t="shared" si="472"/>
        <v/>
      </c>
      <c r="CW195" s="250" t="str">
        <f t="shared" si="473"/>
        <v/>
      </c>
      <c r="CX195" s="250" t="str">
        <f t="shared" si="418"/>
        <v/>
      </c>
      <c r="CY195" s="250" t="str">
        <f t="shared" si="419"/>
        <v/>
      </c>
      <c r="CZ195" s="250" t="str">
        <f t="shared" si="420"/>
        <v/>
      </c>
      <c r="DA195" s="250" t="str">
        <f t="shared" si="421"/>
        <v/>
      </c>
      <c r="DB195" s="250" t="str">
        <f t="shared" si="422"/>
        <v/>
      </c>
      <c r="DC195" s="250" t="str">
        <f t="shared" si="423"/>
        <v/>
      </c>
      <c r="DD195" s="250" t="str">
        <f t="shared" si="424"/>
        <v/>
      </c>
      <c r="DE195" s="250" t="str">
        <f t="shared" si="425"/>
        <v/>
      </c>
      <c r="DF195" s="250" t="str">
        <f t="shared" si="426"/>
        <v/>
      </c>
      <c r="DG195" s="250" t="str">
        <f t="shared" si="427"/>
        <v/>
      </c>
      <c r="DH195" s="250" t="str">
        <f t="shared" si="428"/>
        <v/>
      </c>
      <c r="DI195" s="250" t="str">
        <f t="shared" si="429"/>
        <v/>
      </c>
      <c r="DJ195" s="250" t="str">
        <f t="shared" si="430"/>
        <v/>
      </c>
      <c r="DK195" s="250" t="str">
        <f t="shared" si="431"/>
        <v/>
      </c>
      <c r="DL195" s="250" t="str">
        <f t="shared" si="432"/>
        <v/>
      </c>
      <c r="DM195" s="250" t="str">
        <f>IF(CD195="ERROR", "ERROR", IF(AND(OR(Y195=$DM$6, Y195='Lookup Tables'!$AD$21, Y195='Lookup Tables'!$AD$22), E195="Interior"), BJ195, ""))</f>
        <v/>
      </c>
      <c r="DN195" s="250" t="str">
        <f>IF(CD195="ERROR", "ERROR", IF(AND(OR(Y195=$DM$6, Y195='Lookup Tables'!$AD$21, Y195='Lookup Tables'!$AD$22), E195="Exterior"), BJ195, ""))</f>
        <v/>
      </c>
      <c r="DO195" s="100"/>
      <c r="DP195" s="250" t="str">
        <f t="shared" si="433"/>
        <v/>
      </c>
      <c r="DQ195" s="250" t="str">
        <f t="shared" si="474"/>
        <v/>
      </c>
      <c r="DR195" s="250" t="str">
        <f t="shared" si="475"/>
        <v/>
      </c>
      <c r="DS195" s="250" t="str">
        <f t="shared" si="476"/>
        <v/>
      </c>
      <c r="DT195" s="250" t="str">
        <f t="shared" si="477"/>
        <v/>
      </c>
      <c r="DU195" s="250" t="str">
        <f t="shared" si="434"/>
        <v/>
      </c>
      <c r="DV195" s="250" t="str">
        <f t="shared" si="435"/>
        <v/>
      </c>
      <c r="DW195" s="250" t="str">
        <f t="shared" si="436"/>
        <v/>
      </c>
      <c r="DX195" s="250" t="str">
        <f t="shared" si="437"/>
        <v/>
      </c>
      <c r="DY195" s="250" t="str">
        <f t="shared" si="438"/>
        <v/>
      </c>
      <c r="DZ195" s="250" t="str">
        <f t="shared" si="439"/>
        <v/>
      </c>
      <c r="EA195" s="250" t="str">
        <f t="shared" si="440"/>
        <v/>
      </c>
      <c r="EB195" s="250" t="str">
        <f t="shared" si="478"/>
        <v/>
      </c>
      <c r="EC195" s="250" t="str">
        <f t="shared" si="441"/>
        <v/>
      </c>
      <c r="ED195" s="250" t="str">
        <f t="shared" si="442"/>
        <v/>
      </c>
      <c r="EE195" s="250" t="str">
        <f t="shared" si="443"/>
        <v/>
      </c>
      <c r="EF195" s="250" t="str">
        <f t="shared" si="444"/>
        <v/>
      </c>
      <c r="EG195" s="250" t="str">
        <f t="shared" si="445"/>
        <v/>
      </c>
      <c r="EH195" s="250" t="str">
        <f>IF(CD195="ERROR", "ERROR", IF(AND(OR($EH$6=Y195, Y195='Lookup Tables'!$AD$21, Y195='Lookup Tables'!$AD$22),E195="Interior"), SUM(BP195:BP195), ""))</f>
        <v/>
      </c>
      <c r="EI195" s="250" t="str">
        <f>IF(CD195="ERROR", "ERROR", IF(AND(OR($EH$6=Y195, Y195='Lookup Tables'!$AD$21, Y195='Lookup Tables'!$AD$22),E195="Exterior"), SUM(BP195:BP195), ""))</f>
        <v/>
      </c>
      <c r="EJ195" s="109"/>
      <c r="EK195" s="485" t="str">
        <f t="shared" si="446"/>
        <v/>
      </c>
      <c r="EL195" s="252" t="str">
        <f t="shared" si="479"/>
        <v/>
      </c>
      <c r="EM195" s="252" t="str">
        <f t="shared" si="480"/>
        <v/>
      </c>
      <c r="EN195" s="252" t="str">
        <f t="shared" si="481"/>
        <v/>
      </c>
      <c r="EO195" s="252" t="str">
        <f t="shared" si="482"/>
        <v/>
      </c>
      <c r="EP195" s="252" t="str">
        <f t="shared" si="483"/>
        <v/>
      </c>
      <c r="EQ195" s="252" t="str">
        <f t="shared" si="484"/>
        <v/>
      </c>
      <c r="ER195" s="252" t="str">
        <f t="shared" si="485"/>
        <v/>
      </c>
      <c r="ES195" s="252" t="str">
        <f t="shared" si="486"/>
        <v/>
      </c>
      <c r="ET195" s="252" t="str">
        <f t="shared" si="487"/>
        <v/>
      </c>
      <c r="EU195" s="252" t="str">
        <f t="shared" si="488"/>
        <v/>
      </c>
      <c r="EV195" s="252" t="str">
        <f t="shared" si="489"/>
        <v/>
      </c>
      <c r="EW195" s="252" t="str">
        <f t="shared" si="490"/>
        <v/>
      </c>
      <c r="EX195" s="252" t="str">
        <f t="shared" si="491"/>
        <v/>
      </c>
      <c r="EY195" s="252" t="str">
        <f t="shared" si="492"/>
        <v/>
      </c>
      <c r="EZ195" s="252" t="str">
        <f t="shared" si="493"/>
        <v/>
      </c>
      <c r="FA195" s="252" t="str">
        <f t="shared" si="494"/>
        <v/>
      </c>
      <c r="FB195" s="252" t="str">
        <f t="shared" si="495"/>
        <v/>
      </c>
      <c r="FC195" s="252" t="str">
        <f>IF(CD195="ERROR", "ERROR", IF(OR(V195="No Change", V195="Not DLC or Energy Star"), "", IF(AND(OR($FC$6=Y195,Y195='Lookup Tables'!$AD$21, Y195='Lookup Tables'!$AD$22),E195="Interior"), S195, "")))</f>
        <v/>
      </c>
      <c r="FD195" s="252" t="str">
        <f t="shared" si="496"/>
        <v/>
      </c>
      <c r="FE195" s="101"/>
      <c r="FF195" s="579" t="str" cm="1">
        <f t="array" ref="FF195">IFERROR(IF(OR(BQ195&lt;=0,AQ195&lt;20,AND(V195="Exit Signs",AN195&gt;0)),"",IF(AND(AQ195&gt;=20,AN195='Lookup Tables'!$R$101),'Lookup Tables'!$U$101*BQ195,AP195*LOOKUP(2,1/((AN195='Lookup Tables'!$R$91:$R$111)*(AQ195&gt;='Lookup Tables'!$S$91:$S$111)*(AQ195&lt;='Lookup Tables'!$T$91:$T$111)),'Lookup Tables'!$U$91:$U$111))),"")</f>
        <v/>
      </c>
      <c r="FG195" s="579"/>
      <c r="FH195" s="579"/>
      <c r="FI195" s="253" t="str">
        <f>IFERROR(ROUND(IF(CD195="ERROR", "ERROR", IF(AND($FI$7=X195,E195="Interior"),VLOOKUP(W195, 'Lookup Tables'!$AI$6:$AM$102, 5, FALSE)*BP195, "")), 2), "")</f>
        <v/>
      </c>
      <c r="FJ195" s="253" t="str">
        <f>IFERROR(ROUND(IF(CD195="ERROR", "ERROR", IF(AND($FI$7=X195,E195="Exterior"),VLOOKUP(W195, 'Lookup Tables'!$AI$6:$AM$102, 5, FALSE)*BP195, "")), 2), "")</f>
        <v/>
      </c>
      <c r="FK195" s="253" t="str">
        <f>IFERROR(ROUND(IF(CD195="ERROR", "ERROR", IF(AND($FK$7=X195,E195="Interior"),VLOOKUP(W195, 'Lookup Tables'!$AI$6:$AM$102, 5, FALSE)*BP195, "")), 2), "")</f>
        <v/>
      </c>
      <c r="FL195" s="253" t="str">
        <f>IFERROR(ROUND(IF(CD195="ERROR", "ERROR", IF(AND($FK$7=X195,E195="Exterior"),VLOOKUP(W195, 'Lookup Tables'!$AI$6:$AM$102, 5, FALSE)*BP195, "")), 2), "")</f>
        <v/>
      </c>
      <c r="FM195" s="253" t="str">
        <f>IFERROR(ROUND(IF(CD195="ERROR", "ERROR", IF(AND($FM$6=Y195,E195="Interior"), IF(GB195=0, VLOOKUP(W195, 'Lookup Tables'!$AI$6:$AM$102, 5, FALSE)*BP195, IF(VLOOKUP(W195, 'Lookup Tables'!$AI$6:$AM$102, 5, FALSE)*BP195&gt;GB195*'Lighting Inventory'!S195, GB195*'Lighting Inventory'!S195,VLOOKUP(W195, 'Lookup Tables'!$AI$6:$AM$102, 5, FALSE)*BP195)), "")), 2), "")</f>
        <v/>
      </c>
      <c r="FN195" s="253" t="str">
        <f>IFERROR(ROUND(IF(CD195="ERROR", "ERROR", IF(AND($FM$6=Y195,E195="Exterior"), IF(GB195=0, VLOOKUP(W195, 'Lookup Tables'!$AI$6:$AM$102, 5, FALSE)*BP195, IF(VLOOKUP(W195, 'Lookup Tables'!$AI$6:$AM$102, 5, FALSE)*BP195&gt;GB195*'Lighting Inventory'!S195, GB195*'Lighting Inventory'!S195,VLOOKUP(W195, 'Lookup Tables'!$AI$6:$AM$102, 5, FALSE)*BP195)), "")), 2), "")</f>
        <v/>
      </c>
      <c r="FO195" s="253" t="str">
        <f>IFERROR(ROUND(IF(CD195="ERROR", "ERROR", IF(AND($FO$6=Y195,E195="Interior"),VLOOKUP(W195, 'Lookup Tables'!$AI$6:$AM$102, 5, FALSE)*'Lighting Inventory'!AI195, "")), 2), "")</f>
        <v/>
      </c>
      <c r="FP195" s="253" t="str">
        <f>IFERROR(ROUND(IF(CD195="ERROR", "ERROR", IF(AND($FO$6=Y195,E195="Exterior"),VLOOKUP(W195, 'Lookup Tables'!$AI$6:$AM$102, 5, FALSE)*'Lighting Inventory'!AI195, "")), 2), "")</f>
        <v/>
      </c>
      <c r="FQ195" s="253" t="str">
        <f>IFERROR(ROUND(IF(CD195="ERROR", "ERROR", IF(AND($FQ$6=Y195,E195="Interior", BU195="Y"), VLOOKUP('Lighting Inventory'!W195, 'Lookup Tables'!$AI$6:$AM$102, 5, FALSE)*'Lighting Inventory'!S195, IF(AND($FQ$7=Y195,E195="Interior", BU195="N"), 0.025*CD195, ""))), 2), "")</f>
        <v/>
      </c>
      <c r="FR195" s="253" t="str">
        <f>IFERROR(ROUND(IF(CD195="ERROR", "ERROR", IF(AND($FQ$6=Y195,E195="Exterior"), VLOOKUP('Lighting Inventory'!W195, 'Lookup Tables'!$AI$6:$AM$102, 5, FALSE)*'Lighting Inventory'!S195, "")), 2), "")</f>
        <v/>
      </c>
      <c r="FS195" s="253" t="str">
        <f>IFERROR(ROUND(IF(CD195="ERROR", "ERROR", IF(AND($FS$6=Y195,E195="Exterior"), IF(GB195=0, VLOOKUP(W195, 'Lookup Tables'!$AI$6:$AM$102, 5, FALSE)*BP195, IF(VLOOKUP(W195, 'Lookup Tables'!$AI$6:$AM$102, 5, FALSE)*BP195&gt;GB195*'Lighting Inventory'!S195, GB195*'Lighting Inventory'!S195,VLOOKUP(W195, 'Lookup Tables'!$AI$6:$AM$102, 5, FALSE)*BP195)), "")), 2), "")</f>
        <v/>
      </c>
      <c r="FT195" s="253" t="str">
        <f>IFERROR(ROUND(IF(CD195="ERROR", "ERROR", IF(AND($FT$6=Y195,E195="Interior"), IF(GB195=0, VLOOKUP(W195, 'Lookup Tables'!$AI$6:$AM$102, 5, FALSE)*BP195, IF(VLOOKUP(W195, 'Lookup Tables'!$AI$6:$AM$102, 5, FALSE)*BP195&gt;GB195*'Lighting Inventory'!S195, GB195*'Lighting Inventory'!S195,VLOOKUP(W195, 'Lookup Tables'!$AI$6:$AM$102, 5, FALSE)*BP195)), "")), 2), "")</f>
        <v/>
      </c>
      <c r="FU195" s="253" t="str">
        <f>IFERROR(ROUND(IF(CD195="ERROR", "ERROR", IF(AND(Y195=$FU$6, E195="Interior"), IF(BS195="N", 'Lookup Tables'!$AM$101*BP195, VLOOKUP(W195, 'Lookup Tables'!$AI$6:$AM$102, 5, FALSE)*S195*AD195), "")), 2), "")</f>
        <v/>
      </c>
      <c r="FV195" s="253" t="str">
        <f>IFERROR(ROUND(IF(CD195="ERROR", "ERROR", IF(AND(Y195=$FU$6, E195="Exterior"), IF(BS195="N", 'Lookup Tables'!$AM$101*BP195, VLOOKUP(W195, 'Lookup Tables'!$AI$6:$AM$102, 5, FALSE)*S195*AD195), "")), 2), "")</f>
        <v/>
      </c>
      <c r="FW195" s="253" t="str">
        <f>IFERROR(ROUND(IF(CD195="ERROR", "ERROR", IF($FW$6=Y195, IF(BS195="N", 'Lookup Tables'!$AM$101*BP195, MIN((VLOOKUP(W195, 'Lookup Tables'!$AI$6:$AM$102, 5, FALSE)*BP195),GB195*AJ195)), "")), 2), "")</f>
        <v/>
      </c>
      <c r="FX195" s="253" t="str">
        <f>IFERROR(ROUND(IF(CD195="ERROR", "ERROR", IF(AND($FX$6=Y195, E195="Interior"), IF(VLOOKUP(W195, 'Lookup Tables'!$AI$6:$AM$102, 5, FALSE)*BP195&gt;'Lookup Tables'!$AQ$97*'Lighting Inventory'!S195,'Lighting Inventory'!S195*'Lookup Tables'!$AQ$97,VLOOKUP(W195, 'Lookup Tables'!$AI$6:$AM$102, 5, FALSE)*BP195), "")), 2), "")</f>
        <v/>
      </c>
      <c r="FY195" s="253" t="str">
        <f>IFERROR(ROUND(IF(CD195="ERROR", "ERROR", IF(AND($FX$6=Y195, E195="Exterior"), IF(VLOOKUP(W195, 'Lookup Tables'!$AI$6:$AM$102, 5, FALSE)*BP195&gt;'Lookup Tables'!$AQ$97*'Lighting Inventory'!S195,'Lighting Inventory'!S195*'Lookup Tables'!$AQ$97,VLOOKUP(W195, 'Lookup Tables'!$AI$6:$AM$102, 5, FALSE)*BP195), "")), 2), "")</f>
        <v/>
      </c>
      <c r="FZ195" s="253" t="str">
        <f>IFERROR(ROUND(IF(CD195="ERROR", "ERROR", IF(AND($FZ$6=Y195, E195="Interior"), IF(AND(OR(W195="Refrigerated Case Lighting with Doors", W195="Freezer Case Lighting"),Y195="Custom - Process Improvement"),CD195*'Lookup Tables'!$AM$101, IF(B195="Retrofit", IF(VLOOKUP(IF(V195="Custom", V195, W195), 'Lookup Tables'!$AI$6:$AM$102, 5, FALSE)*BP195&gt;GE195, GE195, VLOOKUP(IF(V195="Custom", V195, W195), 'Lookup Tables'!$AI$6:$AM$102, 5, FALSE)*BP195), IF(VLOOKUP(IF(V195="Custom", V195, W195), 'Lookup Tables'!$AI$114:$AM$154, 5, FALSE)*BP195&gt;GE195, GE195, VLOOKUP(IF(V195="Custom", V195, W195), 'Lookup Tables'!$AI$114:$AM$154, 5, FALSE)*BP195))), "")), 2),"")</f>
        <v/>
      </c>
      <c r="GA195" s="253" t="str">
        <f>IFERROR(ROUND(IF(CD195="ERROR", "ERROR", IF(AND($FZ$6=Y195, E195="Exterior"), IF(B195="Retrofit", IF(VLOOKUP(IF(V195="Custom", V195, W195), 'Lookup Tables'!$AI$6:$AM$102, 5, FALSE)*BP195&gt;GE195, GE195, VLOOKUP(IF(V195="Custom", V195, W195), 'Lookup Tables'!$AI$6:$AM$102, 5, FALSE)*BP195), IF(VLOOKUP(IF(V195="Custom", V195, W195), 'Lookup Tables'!$AI$114:$AM$154, 5, FALSE)*BP195&gt;GE195, GE195, VLOOKUP(IF(V195="Custom", V195, W195), 'Lookup Tables'!$AI$114:$AM$154, 5, FALSE)*BP195)), "")), 2),"")</f>
        <v/>
      </c>
      <c r="GB195" s="254" t="str">
        <f t="array" ref="GB195">IF(B195="","",IF(OR(V195="Custom",V195="No Change"),0,IF(B195="Retrofit", INDEX('Lookup Tables'!$AH$6:$AQ$102,MATCH(1,('Lookup Tables'!$AH$6:$AH$102='Lighting Inventory'!V195)*('Lookup Tables'!$AI$6:$AI$102='Lighting Inventory'!W195),FALSE),10),INDEX('Lookup Tables'!$AH$114:$AQ$154,MATCH(1,('Lookup Tables'!$AH$114:$AH$154='Lighting Inventory'!V195)*('Lookup Tables'!$AI$114:$AI$154='Lighting Inventory'!W195),FALSE),10))))</f>
        <v/>
      </c>
      <c r="GC195" s="255" t="str">
        <f t="shared" si="447"/>
        <v/>
      </c>
      <c r="GD195" s="250" t="str">
        <f t="shared" si="448"/>
        <v/>
      </c>
      <c r="GE195" s="253" t="str">
        <f>IFERROR(IF(AND(AF195="", 'General Information'!$F$18="No"),"", IF(AF195="", ((GD195/$CD$266)*$CF$266)*0.5, AF195*S195*0.5)), "")</f>
        <v/>
      </c>
      <c r="GF195" s="255" t="str">
        <f>IF(AND('General Information'!$F$19="", 'General Information'!$F$18="Yes",AF195="",BW195="Y"), "Y", "N")</f>
        <v>N</v>
      </c>
      <c r="GG195" s="255" t="s">
        <v>2946</v>
      </c>
      <c r="GH195" s="255" t="str">
        <f>IFERROR(IF(B195="", "", VLOOKUP(J195, 'Fixture Identities'!$A$6:$N$908, 14, FALSE)), "")</f>
        <v/>
      </c>
      <c r="GI195" s="389" t="str">
        <f>IF(OR(B195="", V195="", W195=""), "", IF(AND(OR(M195='Lookup Tables'!$R$18, M195='Lookup Tables'!$R$19, M195='Lookup Tables'!$R$20, M195='Lookup Tables'!$R$21, M195='Lookup Tables'!$R$22), OR(AN195='Lookup Tables'!$R$17, AN195='Lookup Tables'!$R$17, AN195="")), "Y", "N"))</f>
        <v/>
      </c>
      <c r="GJ195" s="255" t="str">
        <f t="shared" si="449"/>
        <v/>
      </c>
      <c r="GK195" s="255" t="str">
        <f t="shared" si="450"/>
        <v/>
      </c>
      <c r="GL195" s="255" t="str">
        <f t="shared" si="451"/>
        <v/>
      </c>
      <c r="GM195" s="255" t="str">
        <f>IF(AN195="", "", IF(AND(IF(ISNA(VLOOKUP(AN195,'Lookup Tables'!$R$18:$R$22,1,FALSE)), "N", "Y")="Y", E195="Exterior"), "Y", "N"))</f>
        <v/>
      </c>
      <c r="GN195" s="395"/>
      <c r="GO195" s="428">
        <f t="shared" si="497"/>
        <v>0</v>
      </c>
      <c r="GP195" s="428">
        <f t="shared" si="500"/>
        <v>0</v>
      </c>
      <c r="GQ195" s="428">
        <f t="shared" si="498"/>
        <v>0</v>
      </c>
      <c r="GR195" s="428">
        <f t="shared" si="499"/>
        <v>0</v>
      </c>
    </row>
    <row r="196" spans="1:200" s="103" customFormat="1" ht="13.5" customHeight="1" x14ac:dyDescent="0.2">
      <c r="A196" s="272">
        <v>186</v>
      </c>
      <c r="B196" s="110"/>
      <c r="C196" s="110"/>
      <c r="D196" s="110"/>
      <c r="E196" s="110"/>
      <c r="F196" s="110"/>
      <c r="G196" s="110"/>
      <c r="H196" s="110"/>
      <c r="I196" s="29"/>
      <c r="J196" s="29"/>
      <c r="K196" s="272" t="str">
        <f>IFERROR(IF(OR(VLOOKUP(J196, 'Fixture Identities'!$A$6:$L$1023, 3, FALSE)="T12 Linear Fluorescent", VLOOKUP(J196, 'Fixture Identities'!$A$6:$L$1023, 3, FALSE)="T12 U-Tube Fluorescent"), VLOOKUP(VLOOKUP(J196, 'Fixture Identities'!$A$6:$L$1023, 11, FALSE), 'Fixture Identities'!$A$6:$L$1023, 10, FALSE), VLOOKUP(J196, 'Fixture Identities'!$A$6:$L$1023, 10, FALSE)), "")</f>
        <v/>
      </c>
      <c r="L196" s="270" t="str">
        <f t="shared" si="502"/>
        <v/>
      </c>
      <c r="M196" s="110"/>
      <c r="N196" s="110"/>
      <c r="O196" s="110"/>
      <c r="P196" s="272" t="str">
        <f>IFERROR(IF(OR(B196="Retrofit",B196=""),"",IF('Lighting Inventory'!E196="Exterior",VLOOKUP('Lighting Inventory'!N196,'Lookup Tables'!$B$83:$F$103,5,FALSE),IF(N196="Other - Please Estimate EFLH and CFs","Contact Prog. Rep.","ft^2"))), "")</f>
        <v/>
      </c>
      <c r="Q196" s="270" t="str">
        <f>IFERROR(IF(AND(B196="New Construction",E196="Interior",$F$5="Space-by-Space"),VLOOKUP('Lighting Inventory'!N196,'Lookup Tables'!$N$6:$O$97,2,FALSE),IF(AND(B196="New Construction",E196="Exterior"),VLOOKUP(N196,'Lookup Tables'!$B$83:$F$103,2,FALSE),IF(AND(B196="New Construction",'Lighting Inventory'!E196="Interior", $F$5="Building Area"),VLOOKUP(F196,'Lookup Tables'!$A$6:$J$59,10,FALSE),""))), "")</f>
        <v/>
      </c>
      <c r="R196" s="270" t="str">
        <f>IFERROR(IF(P196="Contact Prog. Rep.", "ERROR", IF(OR(B196="",B196="Retrofit"),"",IF(N196="Automated teller machines", ('Lookup Tables'!$A$82:$E$100+('Lighting Inventory'!O196-1)*'Lookup Tables'!$A$82:$E$100)/1000, (Q196*O196)/1000))), "")</f>
        <v/>
      </c>
      <c r="S196" s="595"/>
      <c r="T196" s="105" t="str">
        <f t="shared" si="452"/>
        <v/>
      </c>
      <c r="U196" s="105" t="str">
        <f>IF(S196="","",COUNT($S$11:S196))</f>
        <v/>
      </c>
      <c r="V196" s="111"/>
      <c r="W196" s="112"/>
      <c r="X196" s="105" t="str">
        <f t="shared" si="453"/>
        <v/>
      </c>
      <c r="Y196" s="105" t="str">
        <f t="array" ref="Y196">IF(AND(OR(W196="Freezer Case Lighting", W196="Refrigerated Case Lighting with Doors"), 'General Information'!$X$18="LCI"),'Lookup Tables'!$Y$34, IF(V196="Custom", VLOOKUP(W196, 'Fixture Identities'!$A$974:$M$1023, 13, FALSE), IF(V196="No Change",'Lookup Tables'!$Y$29,IF(OR(V196="",W196=""),"",IF(AND(S196=0,S196&lt;I196,B196="Retrofit"),'Lookup Tables'!$Y$25, IF(B196="Retrofit", INDEX('Lookup Tables'!$AH$6:$AP$102, MATCH(1, ('Lookup Tables'!$AH$6:$AH$102=V196)*('Lookup Tables'!$AI$6:$AI$102=W196), 0), IF('Lighting Inventory'!E196="Interior", 4, 5)), INDEX('Lookup Tables'!$AH$114:$AP$154, MATCH(1, ('Lookup Tables'!$AH$114:$AH$154=V196)*('Lookup Tables'!$AI$114:$AI$154=W196), 0), IF('Lighting Inventory'!E196="Interior", 4, 5))))))))</f>
        <v/>
      </c>
      <c r="Z196" s="105" t="str">
        <f>IFERROR(INDEX('Lookup Tables'!$AH$158:$AH$172,MATCH('Lighting Inventory'!Y196,'Lookup Tables'!$AI$158:$AI$172,0)),"")</f>
        <v/>
      </c>
      <c r="AA196" s="105" t="str">
        <f>IF(AP196&gt;0,INDEX('Lookup Tables'!$AK$158:$AK$172,MATCH('Lighting Inventory'!Y196,'Lookup Tables'!$AI$158:$AI$172,0)),'Lighting Inventory'!Y196)</f>
        <v/>
      </c>
      <c r="AB196" s="105" t="str">
        <f t="array" ref="AB196">IF(V196="Custom", "Custom", IF(V196="", "", IF(V196="Not DLC or Energy Star", "General", IF(B196="New Construction", INDEX('Lookup Tables'!$AH$114:$AP$154,MATCH(1,('Lookup Tables'!$AH$114:$AH$154='Lighting Inventory'!V196)*('Lookup Tables'!$AI$114:$AI$154='Lighting Inventory'!W196),FALSE),8), INDEX('Lookup Tables'!$AH$6:$AP$102,MATCH(1,('Lookup Tables'!$AH$6:$AH$102='Lighting Inventory'!V196)*('Lookup Tables'!$AI$6:$AI$102='Lighting Inventory'!W196),FALSE),8)))))</f>
        <v/>
      </c>
      <c r="AC196" s="272" t="str">
        <f>IF(W196="","",IF(V196="Custom",CONCATENATE("$",'Lookup Tables'!$AM$101," ",'Lookup Tables'!$AN$101),CONCATENATE("$",INDEX('Lookup Tables'!$AM$6:$AM$102,MATCH('Lighting Inventory'!W196,'Lookup Tables'!$AI$6:$AI$102,0))," ",INDEX('Lookup Tables'!$AN$6:$AN$102,MATCH('Lighting Inventory'!W196,'Lookup Tables'!$AI$6:$AI$102,0)))))</f>
        <v/>
      </c>
      <c r="AD196" s="72"/>
      <c r="AE196" s="29"/>
      <c r="AF196" s="379"/>
      <c r="AG196" s="370" t="str">
        <f t="shared" si="401"/>
        <v/>
      </c>
      <c r="AH196" s="370" t="str">
        <f t="shared" si="454"/>
        <v/>
      </c>
      <c r="AI196" s="29"/>
      <c r="AJ196" s="29"/>
      <c r="AK196" s="110"/>
      <c r="AL196" s="375" t="str">
        <f>IF(OR(B196="", V196="", W196=""), "", IF(V196="No Change", K196, IF(V196="Remove Fixture", 0, IF(V196="Custom",VLOOKUP(W196,'Fixture Identities'!$A$6:$K$1023,10,FALSE),IF(AE196="", "← ENTER POST WATTS", 'Lighting Inventory'!AE196)))))</f>
        <v/>
      </c>
      <c r="AM196" s="376" t="str">
        <f t="shared" si="402"/>
        <v/>
      </c>
      <c r="AN196" s="29"/>
      <c r="AO196" s="671"/>
      <c r="AP196" s="29"/>
      <c r="AQ196" s="29"/>
      <c r="AR196" s="29"/>
      <c r="AS196" s="272" t="str">
        <f t="shared" si="455"/>
        <v/>
      </c>
      <c r="AT196" s="270" t="str">
        <f t="shared" si="403"/>
        <v/>
      </c>
      <c r="AU196" s="88" t="str">
        <f t="shared" si="503"/>
        <v/>
      </c>
      <c r="AV196" s="29"/>
      <c r="AW196" s="73"/>
      <c r="AX196" s="271" t="str">
        <f>IF(AND(AV196="Applicant",OR(AW196="", AW196="Use Default Facility Hours")),"← Choose Schedule",IF(F196="","",IF(W196="LED Exit Signs",8760,IF(OR(AV196="Prescribed",AV196=""),VLOOKUP(F196,'Lookup Tables'!$A$6:$G$59,IF(AB196="General", 6, 3),FALSE),VLOOKUP(AW196,'Lookup Tables'!$S$36:$U$43,2,FALSE)))))</f>
        <v/>
      </c>
      <c r="AY196" s="88" t="str">
        <f t="shared" si="404"/>
        <v/>
      </c>
      <c r="AZ196" s="270" t="str">
        <f>IFERROR(IF(F196="", "", IF(W196="LED Exit Signs", 1, IF(AV196="Applicant",VLOOKUP(AW196, 'Lookup Tables'!$S$36:$U$43,3, FALSE), VLOOKUP('Lighting Inventory'!F196, 'Lookup Tables'!$A$6:$H$59, IF('Lighting Inventory'!AB196="General",7,4), FALSE)))), "")</f>
        <v/>
      </c>
      <c r="BA196" s="522" t="str">
        <f>IFERROR(IF(F196="", "", IF(W196="LED Exit Signs", 1, VLOOKUP('Lighting Inventory'!F196, 'Lookup Tables'!$A$6:$H$59, IF('Lighting Inventory'!AB196="General",8,5), FALSE))), "")</f>
        <v/>
      </c>
      <c r="BB196" s="270" t="str">
        <f>IF(G196="", "", IF(E196="Exterior", 0, IF('Lighting Inventory'!G196="Air Conditioned", VLOOKUP(H196, 'Lookup Tables'!$R$6:$T$13, 2, FALSE), VLOOKUP('Lighting Inventory'!G196, 'Lookup Tables'!$R$6:$T$13, 2, FALSE))))</f>
        <v/>
      </c>
      <c r="BC196" s="522" t="str">
        <f>IF(G196="", "", IF(E196="Exterior", 0, IF('Lighting Inventory'!G196="Air Conditioned", VLOOKUP(H196, 'Lookup Tables'!$R$6:$T$13, 3, FALSE), VLOOKUP('Lighting Inventory'!G196, 'Lookup Tables'!$R$6:$T$13, 3, FALSE))))</f>
        <v/>
      </c>
      <c r="BD196" s="270" t="str">
        <f>IF(G196="", "", IF(E196="Exterior", 0, IF('Lighting Inventory'!G196="Air Conditioned", VLOOKUP(H196, 'Lookup Tables'!$R$6:$U$13, 4, FALSE), VLOOKUP('Lighting Inventory'!G196, 'Lookup Tables'!$R$6:$U$13, 4, FALSE))))</f>
        <v/>
      </c>
      <c r="BE196" s="270" t="str">
        <f>IFERROR(IF(B196="", "",  IF(B196="New Construction", VLOOKUP(F196, 'Lookup Tables'!$A$6:$K$59, 11, FALSE),IF(OR(AN196="", AN196="Light Switch"), 0, IF(OR(M196="",M196="None",V196= "LED Exit Signs"),0,_xlfn.XLOOKUP(M196,'Lookup Tables'!$R$91:$R$101,'Lookup Tables'!$V$91:$V$101))))), "")</f>
        <v/>
      </c>
      <c r="BF196" s="270" t="str">
        <f>IF(AND(OR(AN196="Light Switch",AN196=""),B196="New Construction"), VLOOKUP(F196, 'Lookup Tables'!$A$6:$K$59, 11, FALSE),IF(AN196="","",IF(B196="","",IF(OR(AN196="None",AN196="",V196="LED Exit Signs",AN196="Exterior Controls Not Eligible"),0,_xlfn.XLOOKUP(AN196,'Lookup Tables'!$R$91:$R$101,'Lookup Tables'!$V$91:$V$101)))))</f>
        <v/>
      </c>
      <c r="BG196" s="88" t="str">
        <f t="shared" si="456"/>
        <v/>
      </c>
      <c r="BH196" s="88" t="str">
        <f t="shared" si="457"/>
        <v/>
      </c>
      <c r="BI196" s="558" t="str">
        <f t="shared" si="501"/>
        <v/>
      </c>
      <c r="BJ196" s="82" t="str">
        <f t="shared" si="458"/>
        <v/>
      </c>
      <c r="BK196" s="82" t="str">
        <f t="shared" si="459"/>
        <v/>
      </c>
      <c r="BL196" s="559" t="str">
        <f t="shared" si="460"/>
        <v/>
      </c>
      <c r="BM196" s="521" t="str">
        <f t="shared" si="405"/>
        <v/>
      </c>
      <c r="BN196" s="521" t="str">
        <f t="shared" si="406"/>
        <v/>
      </c>
      <c r="BO196" s="522" t="str">
        <f t="shared" si="407"/>
        <v/>
      </c>
      <c r="BP196" s="83" t="str">
        <f t="shared" si="461"/>
        <v/>
      </c>
      <c r="BQ196" s="84" t="str">
        <f t="shared" si="462"/>
        <v/>
      </c>
      <c r="BR196" s="184" t="str">
        <f>IFERROR(IF(B196="", "", IF(OR(VLOOKUP(J196, 'Fixture Identities'!$A$6:$L$1023, 3, FALSE)="T12 Linear Fluorescent",VLOOKUP(J196, 'Fixture Identities'!$A$6:$L$1023, 3, FALSE)="T12 U-Tube Fluorescent"), "Y", "N")), "N")</f>
        <v/>
      </c>
      <c r="BS196" s="184" t="str">
        <f t="array" ref="BS196">IFERROR(IF(OR(B196="", V196="", W196=""), "", IF(V196="Custom", "N", IF(OR(W196="Freezer Case Lighting", W196="Refrigerated Case Lighting with Doors"), BT196, IF(B196="Retrofit", INDEX('Lookup Tables'!$AH$6:$AT$102,MATCH(1,('Lookup Tables'!$AH$6:$AH$102=V196)*('Lookup Tables'!$AI$6:$AI$102=W196),FALSE),IF(VLOOKUP(J196, 'Fixture Identities'!$A$6:$B$1023, 2, FALSE)="Incandescent",12, 13)), INDEX('Lookup Tables'!$AH$114:$AS$154,MATCH(1,('Lookup Tables'!$AH$114:$AH$154=V196)*('Lookup Tables'!$AI$114:$AI$154=W196),FALSE),12))))), "N")</f>
        <v/>
      </c>
      <c r="BT196" s="184" t="str">
        <f>IF(J196="", "", IF(AND(OR(W196="Freezer case Lighting", W196="Refrigerated Case Lighting with Doors"),'General Information'!$X$18="LCI"), "N", IF(OR(VLOOKUP(J196, 'Fixture Identities'!$A$6:$B$1023, 2, FALSE)="T12 EPACT/EISA Baseline", VLOOKUP(J196, 'Fixture Identities'!$A$6:$B$1023, 2, FALSE)="Linear Fluorescent", VLOOKUP(J196, 'Fixture Identities'!$A$6:$B$1023, 2, FALSE)="U-Tube Fluorescent"), "Y", "N")))</f>
        <v/>
      </c>
      <c r="BU196" s="184" t="str">
        <f>IFERROR(IF(B196="", "", IF(VLOOKUP(J196, 'Fixture Identities'!$A$6:$B$1023, 2, FALSE)="Exit Sign", "Y", "N")), "N")</f>
        <v/>
      </c>
      <c r="BV196" s="184" t="str">
        <f>IF(V196="Exit Signs", IF(VLOOKUP(J196, 'Fixture Identities'!$A$6:$B$1023, 2, FALSE)="Exit Sign", "N", "Y"), "")</f>
        <v/>
      </c>
      <c r="BW196" s="184" t="str">
        <f t="array" ref="BW196">IFERROR(IF(B196="", "", IF(B196="New Construction", "N", INDEX('Lookup Tables'!$AH$6:$AU$102, MATCH(1, ('Lookup Tables'!$AH$6:$AH$102='Lighting Inventory'!V196)*('Lookup Tables'!$AI$6:$AI$102='Lighting Inventory'!W196), 0), 14))), "N")</f>
        <v/>
      </c>
      <c r="BX196" s="598" t="str">
        <f t="shared" si="463"/>
        <v/>
      </c>
      <c r="BY196" s="598" t="str">
        <f t="shared" si="464"/>
        <v/>
      </c>
      <c r="BZ196" s="598" t="str">
        <f t="shared" si="465"/>
        <v/>
      </c>
      <c r="CA196" s="598" t="str">
        <f t="shared" si="466"/>
        <v/>
      </c>
      <c r="CB196" s="269" t="str">
        <f t="shared" si="467"/>
        <v/>
      </c>
      <c r="CC196" s="517" t="str">
        <f t="shared" si="468"/>
        <v/>
      </c>
      <c r="CD196" s="565" t="str">
        <f t="shared" si="408"/>
        <v/>
      </c>
      <c r="CE196" s="368">
        <v>0</v>
      </c>
      <c r="CF196" s="368" t="str" cm="1">
        <f t="array" ref="CF196">IFERROR(IF(V196="Custom", "$0.1 per kWh", IF(B196="New Construction", CONCATENATE("$",INDEX('Lookup Tables'!$AH$114:$AN$154,MATCH(1,('Lookup Tables'!$AH$114:$AH$154='Lighting Inventory'!V196)*('Lookup Tables'!$AI$114:$AI$154='Lighting Inventory'!W196),FALSE),6)," ",INDEX('Lookup Tables'!$AH$114:$AN$154,MATCH(1,('Lookup Tables'!$AH$114:$AH$154='Lighting Inventory'!V196)*('Lookup Tables'!$AI$114:$AI$154='Lighting Inventory'!W196),FALSE),7)), IF(AND(BU196="N", V196="Exit Signs"), "$0.025 per kWh", CONCATENATE("$",INDEX('Lookup Tables'!$AH$6:$AN$102,MATCH(1,('Lookup Tables'!$AH$6:$AH$102='Lighting Inventory'!V196)*('Lookup Tables'!$AI$6:$AI$102='Lighting Inventory'!W196),FALSE),6)," ",INDEX('Lookup Tables'!$AH$6:$AN$102,MATCH(1,('Lookup Tables'!$AH$6:$AH$102='Lighting Inventory'!V196)*('Lookup Tables'!$AI$6:$AI$102='Lighting Inventory'!W196),FALSE),7))))), "")</f>
        <v/>
      </c>
      <c r="CG196" s="366"/>
      <c r="CH196" s="248" t="str">
        <f t="shared" si="409"/>
        <v/>
      </c>
      <c r="CI196" s="248" t="str">
        <f t="shared" si="410"/>
        <v>Select_IE</v>
      </c>
      <c r="CJ196" s="248" t="str">
        <f t="shared" si="411"/>
        <v/>
      </c>
      <c r="CK196" s="248" t="str">
        <f t="shared" si="412"/>
        <v/>
      </c>
      <c r="CL196" s="248" t="str">
        <f t="shared" si="413"/>
        <v/>
      </c>
      <c r="CM196" s="248" t="str">
        <f>IFERROR(IF(B196="", "", IF(B196="New Construction", VLOOKUP(V196, 'Lookup Tables'!$AF$114:$AG$120, 2, FALSE), VLOOKUP(V196, 'Lookup Tables'!$AD$6:$AE$25, 2, FALSE))), "")</f>
        <v/>
      </c>
      <c r="CN196" s="248" t="str">
        <f t="shared" si="414"/>
        <v/>
      </c>
      <c r="CO196" s="248" t="str">
        <f t="shared" si="415"/>
        <v/>
      </c>
      <c r="CP196" s="592" t="str">
        <f t="shared" si="416"/>
        <v/>
      </c>
      <c r="CQ196" s="248" t="str">
        <f t="shared" si="469"/>
        <v/>
      </c>
      <c r="CR196" s="100"/>
      <c r="CS196" s="250" t="str">
        <f t="shared" si="417"/>
        <v/>
      </c>
      <c r="CT196" s="250" t="str">
        <f t="shared" si="470"/>
        <v/>
      </c>
      <c r="CU196" s="250" t="str">
        <f t="shared" si="471"/>
        <v/>
      </c>
      <c r="CV196" s="250" t="str">
        <f t="shared" si="472"/>
        <v/>
      </c>
      <c r="CW196" s="250" t="str">
        <f t="shared" si="473"/>
        <v/>
      </c>
      <c r="CX196" s="250" t="str">
        <f t="shared" si="418"/>
        <v/>
      </c>
      <c r="CY196" s="250" t="str">
        <f t="shared" si="419"/>
        <v/>
      </c>
      <c r="CZ196" s="250" t="str">
        <f t="shared" si="420"/>
        <v/>
      </c>
      <c r="DA196" s="250" t="str">
        <f t="shared" si="421"/>
        <v/>
      </c>
      <c r="DB196" s="250" t="str">
        <f t="shared" si="422"/>
        <v/>
      </c>
      <c r="DC196" s="250" t="str">
        <f t="shared" si="423"/>
        <v/>
      </c>
      <c r="DD196" s="250" t="str">
        <f t="shared" si="424"/>
        <v/>
      </c>
      <c r="DE196" s="250" t="str">
        <f t="shared" si="425"/>
        <v/>
      </c>
      <c r="DF196" s="250" t="str">
        <f t="shared" si="426"/>
        <v/>
      </c>
      <c r="DG196" s="250" t="str">
        <f t="shared" si="427"/>
        <v/>
      </c>
      <c r="DH196" s="250" t="str">
        <f t="shared" si="428"/>
        <v/>
      </c>
      <c r="DI196" s="250" t="str">
        <f t="shared" si="429"/>
        <v/>
      </c>
      <c r="DJ196" s="250" t="str">
        <f t="shared" si="430"/>
        <v/>
      </c>
      <c r="DK196" s="250" t="str">
        <f t="shared" si="431"/>
        <v/>
      </c>
      <c r="DL196" s="250" t="str">
        <f t="shared" si="432"/>
        <v/>
      </c>
      <c r="DM196" s="250" t="str">
        <f>IF(CD196="ERROR", "ERROR", IF(AND(OR(Y196=$DM$6, Y196='Lookup Tables'!$AD$21, Y196='Lookup Tables'!$AD$22), E196="Interior"), BJ196, ""))</f>
        <v/>
      </c>
      <c r="DN196" s="250" t="str">
        <f>IF(CD196="ERROR", "ERROR", IF(AND(OR(Y196=$DM$6, Y196='Lookup Tables'!$AD$21, Y196='Lookup Tables'!$AD$22), E196="Exterior"), BJ196, ""))</f>
        <v/>
      </c>
      <c r="DO196" s="100"/>
      <c r="DP196" s="250" t="str">
        <f t="shared" si="433"/>
        <v/>
      </c>
      <c r="DQ196" s="250" t="str">
        <f t="shared" si="474"/>
        <v/>
      </c>
      <c r="DR196" s="250" t="str">
        <f t="shared" si="475"/>
        <v/>
      </c>
      <c r="DS196" s="250" t="str">
        <f t="shared" si="476"/>
        <v/>
      </c>
      <c r="DT196" s="250" t="str">
        <f t="shared" si="477"/>
        <v/>
      </c>
      <c r="DU196" s="250" t="str">
        <f t="shared" si="434"/>
        <v/>
      </c>
      <c r="DV196" s="250" t="str">
        <f t="shared" si="435"/>
        <v/>
      </c>
      <c r="DW196" s="250" t="str">
        <f t="shared" si="436"/>
        <v/>
      </c>
      <c r="DX196" s="250" t="str">
        <f t="shared" si="437"/>
        <v/>
      </c>
      <c r="DY196" s="250" t="str">
        <f t="shared" si="438"/>
        <v/>
      </c>
      <c r="DZ196" s="250" t="str">
        <f t="shared" si="439"/>
        <v/>
      </c>
      <c r="EA196" s="250" t="str">
        <f t="shared" si="440"/>
        <v/>
      </c>
      <c r="EB196" s="250" t="str">
        <f t="shared" si="478"/>
        <v/>
      </c>
      <c r="EC196" s="250" t="str">
        <f t="shared" si="441"/>
        <v/>
      </c>
      <c r="ED196" s="250" t="str">
        <f t="shared" si="442"/>
        <v/>
      </c>
      <c r="EE196" s="250" t="str">
        <f t="shared" si="443"/>
        <v/>
      </c>
      <c r="EF196" s="250" t="str">
        <f t="shared" si="444"/>
        <v/>
      </c>
      <c r="EG196" s="250" t="str">
        <f t="shared" si="445"/>
        <v/>
      </c>
      <c r="EH196" s="250" t="str">
        <f>IF(CD196="ERROR", "ERROR", IF(AND(OR($EH$6=Y196, Y196='Lookup Tables'!$AD$21, Y196='Lookup Tables'!$AD$22),E196="Interior"), SUM(BP196:BP196), ""))</f>
        <v/>
      </c>
      <c r="EI196" s="250" t="str">
        <f>IF(CD196="ERROR", "ERROR", IF(AND(OR($EH$6=Y196, Y196='Lookup Tables'!$AD$21, Y196='Lookup Tables'!$AD$22),E196="Exterior"), SUM(BP196:BP196), ""))</f>
        <v/>
      </c>
      <c r="EJ196" s="109"/>
      <c r="EK196" s="485" t="str">
        <f t="shared" si="446"/>
        <v/>
      </c>
      <c r="EL196" s="252" t="str">
        <f t="shared" si="479"/>
        <v/>
      </c>
      <c r="EM196" s="252" t="str">
        <f t="shared" si="480"/>
        <v/>
      </c>
      <c r="EN196" s="252" t="str">
        <f t="shared" si="481"/>
        <v/>
      </c>
      <c r="EO196" s="252" t="str">
        <f t="shared" si="482"/>
        <v/>
      </c>
      <c r="EP196" s="252" t="str">
        <f t="shared" si="483"/>
        <v/>
      </c>
      <c r="EQ196" s="252" t="str">
        <f t="shared" si="484"/>
        <v/>
      </c>
      <c r="ER196" s="252" t="str">
        <f t="shared" si="485"/>
        <v/>
      </c>
      <c r="ES196" s="252" t="str">
        <f t="shared" si="486"/>
        <v/>
      </c>
      <c r="ET196" s="252" t="str">
        <f t="shared" si="487"/>
        <v/>
      </c>
      <c r="EU196" s="252" t="str">
        <f t="shared" si="488"/>
        <v/>
      </c>
      <c r="EV196" s="252" t="str">
        <f t="shared" si="489"/>
        <v/>
      </c>
      <c r="EW196" s="252" t="str">
        <f t="shared" si="490"/>
        <v/>
      </c>
      <c r="EX196" s="252" t="str">
        <f t="shared" si="491"/>
        <v/>
      </c>
      <c r="EY196" s="252" t="str">
        <f t="shared" si="492"/>
        <v/>
      </c>
      <c r="EZ196" s="252" t="str">
        <f t="shared" si="493"/>
        <v/>
      </c>
      <c r="FA196" s="252" t="str">
        <f t="shared" si="494"/>
        <v/>
      </c>
      <c r="FB196" s="252" t="str">
        <f t="shared" si="495"/>
        <v/>
      </c>
      <c r="FC196" s="252" t="str">
        <f>IF(CD196="ERROR", "ERROR", IF(OR(V196="No Change", V196="Not DLC or Energy Star"), "", IF(AND(OR($FC$6=Y196,Y196='Lookup Tables'!$AD$21, Y196='Lookup Tables'!$AD$22),E196="Interior"), S196, "")))</f>
        <v/>
      </c>
      <c r="FD196" s="252" t="str">
        <f t="shared" si="496"/>
        <v/>
      </c>
      <c r="FE196" s="101"/>
      <c r="FF196" s="579" t="str" cm="1">
        <f t="array" ref="FF196">IFERROR(IF(OR(BQ196&lt;=0,AQ196&lt;20,AND(V196="Exit Signs",AN196&gt;0)),"",IF(AND(AQ196&gt;=20,AN196='Lookup Tables'!$R$101),'Lookup Tables'!$U$101*BQ196,AP196*LOOKUP(2,1/((AN196='Lookup Tables'!$R$91:$R$111)*(AQ196&gt;='Lookup Tables'!$S$91:$S$111)*(AQ196&lt;='Lookup Tables'!$T$91:$T$111)),'Lookup Tables'!$U$91:$U$111))),"")</f>
        <v/>
      </c>
      <c r="FG196" s="579"/>
      <c r="FH196" s="579"/>
      <c r="FI196" s="253" t="str">
        <f>IFERROR(ROUND(IF(CD196="ERROR", "ERROR", IF(AND($FI$7=X196,E196="Interior"),VLOOKUP(W196, 'Lookup Tables'!$AI$6:$AM$102, 5, FALSE)*BP196, "")), 2), "")</f>
        <v/>
      </c>
      <c r="FJ196" s="253" t="str">
        <f>IFERROR(ROUND(IF(CD196="ERROR", "ERROR", IF(AND($FI$7=X196,E196="Exterior"),VLOOKUP(W196, 'Lookup Tables'!$AI$6:$AM$102, 5, FALSE)*BP196, "")), 2), "")</f>
        <v/>
      </c>
      <c r="FK196" s="253" t="str">
        <f>IFERROR(ROUND(IF(CD196="ERROR", "ERROR", IF(AND($FK$7=X196,E196="Interior"),VLOOKUP(W196, 'Lookup Tables'!$AI$6:$AM$102, 5, FALSE)*BP196, "")), 2), "")</f>
        <v/>
      </c>
      <c r="FL196" s="253" t="str">
        <f>IFERROR(ROUND(IF(CD196="ERROR", "ERROR", IF(AND($FK$7=X196,E196="Exterior"),VLOOKUP(W196, 'Lookup Tables'!$AI$6:$AM$102, 5, FALSE)*BP196, "")), 2), "")</f>
        <v/>
      </c>
      <c r="FM196" s="253" t="str">
        <f>IFERROR(ROUND(IF(CD196="ERROR", "ERROR", IF(AND($FM$6=Y196,E196="Interior"), IF(GB196=0, VLOOKUP(W196, 'Lookup Tables'!$AI$6:$AM$102, 5, FALSE)*BP196, IF(VLOOKUP(W196, 'Lookup Tables'!$AI$6:$AM$102, 5, FALSE)*BP196&gt;GB196*'Lighting Inventory'!S196, GB196*'Lighting Inventory'!S196,VLOOKUP(W196, 'Lookup Tables'!$AI$6:$AM$102, 5, FALSE)*BP196)), "")), 2), "")</f>
        <v/>
      </c>
      <c r="FN196" s="253" t="str">
        <f>IFERROR(ROUND(IF(CD196="ERROR", "ERROR", IF(AND($FM$6=Y196,E196="Exterior"), IF(GB196=0, VLOOKUP(W196, 'Lookup Tables'!$AI$6:$AM$102, 5, FALSE)*BP196, IF(VLOOKUP(W196, 'Lookup Tables'!$AI$6:$AM$102, 5, FALSE)*BP196&gt;GB196*'Lighting Inventory'!S196, GB196*'Lighting Inventory'!S196,VLOOKUP(W196, 'Lookup Tables'!$AI$6:$AM$102, 5, FALSE)*BP196)), "")), 2), "")</f>
        <v/>
      </c>
      <c r="FO196" s="253" t="str">
        <f>IFERROR(ROUND(IF(CD196="ERROR", "ERROR", IF(AND($FO$6=Y196,E196="Interior"),VLOOKUP(W196, 'Lookup Tables'!$AI$6:$AM$102, 5, FALSE)*'Lighting Inventory'!AI196, "")), 2), "")</f>
        <v/>
      </c>
      <c r="FP196" s="253" t="str">
        <f>IFERROR(ROUND(IF(CD196="ERROR", "ERROR", IF(AND($FO$6=Y196,E196="Exterior"),VLOOKUP(W196, 'Lookup Tables'!$AI$6:$AM$102, 5, FALSE)*'Lighting Inventory'!AI196, "")), 2), "")</f>
        <v/>
      </c>
      <c r="FQ196" s="253" t="str">
        <f>IFERROR(ROUND(IF(CD196="ERROR", "ERROR", IF(AND($FQ$6=Y196,E196="Interior", BU196="Y"), VLOOKUP('Lighting Inventory'!W196, 'Lookup Tables'!$AI$6:$AM$102, 5, FALSE)*'Lighting Inventory'!S196, IF(AND($FQ$7=Y196,E196="Interior", BU196="N"), 0.025*CD196, ""))), 2), "")</f>
        <v/>
      </c>
      <c r="FR196" s="253" t="str">
        <f>IFERROR(ROUND(IF(CD196="ERROR", "ERROR", IF(AND($FQ$6=Y196,E196="Exterior"), VLOOKUP('Lighting Inventory'!W196, 'Lookup Tables'!$AI$6:$AM$102, 5, FALSE)*'Lighting Inventory'!S196, "")), 2), "")</f>
        <v/>
      </c>
      <c r="FS196" s="253" t="str">
        <f>IFERROR(ROUND(IF(CD196="ERROR", "ERROR", IF(AND($FS$6=Y196,E196="Exterior"), IF(GB196=0, VLOOKUP(W196, 'Lookup Tables'!$AI$6:$AM$102, 5, FALSE)*BP196, IF(VLOOKUP(W196, 'Lookup Tables'!$AI$6:$AM$102, 5, FALSE)*BP196&gt;GB196*'Lighting Inventory'!S196, GB196*'Lighting Inventory'!S196,VLOOKUP(W196, 'Lookup Tables'!$AI$6:$AM$102, 5, FALSE)*BP196)), "")), 2), "")</f>
        <v/>
      </c>
      <c r="FT196" s="253" t="str">
        <f>IFERROR(ROUND(IF(CD196="ERROR", "ERROR", IF(AND($FT$6=Y196,E196="Interior"), IF(GB196=0, VLOOKUP(W196, 'Lookup Tables'!$AI$6:$AM$102, 5, FALSE)*BP196, IF(VLOOKUP(W196, 'Lookup Tables'!$AI$6:$AM$102, 5, FALSE)*BP196&gt;GB196*'Lighting Inventory'!S196, GB196*'Lighting Inventory'!S196,VLOOKUP(W196, 'Lookup Tables'!$AI$6:$AM$102, 5, FALSE)*BP196)), "")), 2), "")</f>
        <v/>
      </c>
      <c r="FU196" s="253" t="str">
        <f>IFERROR(ROUND(IF(CD196="ERROR", "ERROR", IF(AND(Y196=$FU$6, E196="Interior"), IF(BS196="N", 'Lookup Tables'!$AM$101*BP196, VLOOKUP(W196, 'Lookup Tables'!$AI$6:$AM$102, 5, FALSE)*S196*AD196), "")), 2), "")</f>
        <v/>
      </c>
      <c r="FV196" s="253" t="str">
        <f>IFERROR(ROUND(IF(CD196="ERROR", "ERROR", IF(AND(Y196=$FU$6, E196="Exterior"), IF(BS196="N", 'Lookup Tables'!$AM$101*BP196, VLOOKUP(W196, 'Lookup Tables'!$AI$6:$AM$102, 5, FALSE)*S196*AD196), "")), 2), "")</f>
        <v/>
      </c>
      <c r="FW196" s="253" t="str">
        <f>IFERROR(ROUND(IF(CD196="ERROR", "ERROR", IF($FW$6=Y196, IF(BS196="N", 'Lookup Tables'!$AM$101*BP196, MIN((VLOOKUP(W196, 'Lookup Tables'!$AI$6:$AM$102, 5, FALSE)*BP196),GB196*AJ196)), "")), 2), "")</f>
        <v/>
      </c>
      <c r="FX196" s="253" t="str">
        <f>IFERROR(ROUND(IF(CD196="ERROR", "ERROR", IF(AND($FX$6=Y196, E196="Interior"), IF(VLOOKUP(W196, 'Lookup Tables'!$AI$6:$AM$102, 5, FALSE)*BP196&gt;'Lookup Tables'!$AQ$97*'Lighting Inventory'!S196,'Lighting Inventory'!S196*'Lookup Tables'!$AQ$97,VLOOKUP(W196, 'Lookup Tables'!$AI$6:$AM$102, 5, FALSE)*BP196), "")), 2), "")</f>
        <v/>
      </c>
      <c r="FY196" s="253" t="str">
        <f>IFERROR(ROUND(IF(CD196="ERROR", "ERROR", IF(AND($FX$6=Y196, E196="Exterior"), IF(VLOOKUP(W196, 'Lookup Tables'!$AI$6:$AM$102, 5, FALSE)*BP196&gt;'Lookup Tables'!$AQ$97*'Lighting Inventory'!S196,'Lighting Inventory'!S196*'Lookup Tables'!$AQ$97,VLOOKUP(W196, 'Lookup Tables'!$AI$6:$AM$102, 5, FALSE)*BP196), "")), 2), "")</f>
        <v/>
      </c>
      <c r="FZ196" s="253" t="str">
        <f>IFERROR(ROUND(IF(CD196="ERROR", "ERROR", IF(AND($FZ$6=Y196, E196="Interior"), IF(AND(OR(W196="Refrigerated Case Lighting with Doors", W196="Freezer Case Lighting"),Y196="Custom - Process Improvement"),CD196*'Lookup Tables'!$AM$101, IF(B196="Retrofit", IF(VLOOKUP(IF(V196="Custom", V196, W196), 'Lookup Tables'!$AI$6:$AM$102, 5, FALSE)*BP196&gt;GE196, GE196, VLOOKUP(IF(V196="Custom", V196, W196), 'Lookup Tables'!$AI$6:$AM$102, 5, FALSE)*BP196), IF(VLOOKUP(IF(V196="Custom", V196, W196), 'Lookup Tables'!$AI$114:$AM$154, 5, FALSE)*BP196&gt;GE196, GE196, VLOOKUP(IF(V196="Custom", V196, W196), 'Lookup Tables'!$AI$114:$AM$154, 5, FALSE)*BP196))), "")), 2),"")</f>
        <v/>
      </c>
      <c r="GA196" s="253" t="str">
        <f>IFERROR(ROUND(IF(CD196="ERROR", "ERROR", IF(AND($FZ$6=Y196, E196="Exterior"), IF(B196="Retrofit", IF(VLOOKUP(IF(V196="Custom", V196, W196), 'Lookup Tables'!$AI$6:$AM$102, 5, FALSE)*BP196&gt;GE196, GE196, VLOOKUP(IF(V196="Custom", V196, W196), 'Lookup Tables'!$AI$6:$AM$102, 5, FALSE)*BP196), IF(VLOOKUP(IF(V196="Custom", V196, W196), 'Lookup Tables'!$AI$114:$AM$154, 5, FALSE)*BP196&gt;GE196, GE196, VLOOKUP(IF(V196="Custom", V196, W196), 'Lookup Tables'!$AI$114:$AM$154, 5, FALSE)*BP196)), "")), 2),"")</f>
        <v/>
      </c>
      <c r="GB196" s="254" t="str">
        <f t="array" ref="GB196">IF(B196="","",IF(OR(V196="Custom",V196="No Change"),0,IF(B196="Retrofit", INDEX('Lookup Tables'!$AH$6:$AQ$102,MATCH(1,('Lookup Tables'!$AH$6:$AH$102='Lighting Inventory'!V196)*('Lookup Tables'!$AI$6:$AI$102='Lighting Inventory'!W196),FALSE),10),INDEX('Lookup Tables'!$AH$114:$AQ$154,MATCH(1,('Lookup Tables'!$AH$114:$AH$154='Lighting Inventory'!V196)*('Lookup Tables'!$AI$114:$AI$154='Lighting Inventory'!W196),FALSE),10))))</f>
        <v/>
      </c>
      <c r="GC196" s="255" t="str">
        <f t="shared" si="447"/>
        <v/>
      </c>
      <c r="GD196" s="250" t="str">
        <f t="shared" si="448"/>
        <v/>
      </c>
      <c r="GE196" s="253" t="str">
        <f>IFERROR(IF(AND(AF196="", 'General Information'!$F$18="No"),"", IF(AF196="", ((GD196/$CD$266)*$CF$266)*0.5, AF196*S196*0.5)), "")</f>
        <v/>
      </c>
      <c r="GF196" s="255" t="str">
        <f>IF(AND('General Information'!$F$19="", 'General Information'!$F$18="Yes",AF196="",BW196="Y"), "Y", "N")</f>
        <v>N</v>
      </c>
      <c r="GG196" s="255" t="s">
        <v>2946</v>
      </c>
      <c r="GH196" s="255" t="str">
        <f>IFERROR(IF(B196="", "", VLOOKUP(J196, 'Fixture Identities'!$A$6:$N$908, 14, FALSE)), "")</f>
        <v/>
      </c>
      <c r="GI196" s="389" t="str">
        <f>IF(OR(B196="", V196="", W196=""), "", IF(AND(OR(M196='Lookup Tables'!$R$18, M196='Lookup Tables'!$R$19, M196='Lookup Tables'!$R$20, M196='Lookup Tables'!$R$21, M196='Lookup Tables'!$R$22), OR(AN196='Lookup Tables'!$R$17, AN196='Lookup Tables'!$R$17, AN196="")), "Y", "N"))</f>
        <v/>
      </c>
      <c r="GJ196" s="255" t="str">
        <f t="shared" si="449"/>
        <v/>
      </c>
      <c r="GK196" s="255" t="str">
        <f t="shared" si="450"/>
        <v/>
      </c>
      <c r="GL196" s="255" t="str">
        <f t="shared" si="451"/>
        <v/>
      </c>
      <c r="GM196" s="255" t="str">
        <f>IF(AN196="", "", IF(AND(IF(ISNA(VLOOKUP(AN196,'Lookup Tables'!$R$18:$R$22,1,FALSE)), "N", "Y")="Y", E196="Exterior"), "Y", "N"))</f>
        <v/>
      </c>
      <c r="GN196" s="395"/>
      <c r="GO196" s="428">
        <f t="shared" si="497"/>
        <v>0</v>
      </c>
      <c r="GP196" s="428">
        <f t="shared" si="500"/>
        <v>0</v>
      </c>
      <c r="GQ196" s="428">
        <f t="shared" si="498"/>
        <v>0</v>
      </c>
      <c r="GR196" s="428">
        <f t="shared" si="499"/>
        <v>0</v>
      </c>
    </row>
    <row r="197" spans="1:200" s="103" customFormat="1" ht="13.5" customHeight="1" x14ac:dyDescent="0.2">
      <c r="A197" s="272">
        <v>187</v>
      </c>
      <c r="B197" s="110"/>
      <c r="C197" s="110"/>
      <c r="D197" s="110"/>
      <c r="E197" s="110"/>
      <c r="F197" s="110"/>
      <c r="G197" s="110"/>
      <c r="H197" s="110"/>
      <c r="I197" s="29"/>
      <c r="J197" s="29"/>
      <c r="K197" s="272" t="str">
        <f>IFERROR(IF(OR(VLOOKUP(J197, 'Fixture Identities'!$A$6:$L$1023, 3, FALSE)="T12 Linear Fluorescent", VLOOKUP(J197, 'Fixture Identities'!$A$6:$L$1023, 3, FALSE)="T12 U-Tube Fluorescent"), VLOOKUP(VLOOKUP(J197, 'Fixture Identities'!$A$6:$L$1023, 11, FALSE), 'Fixture Identities'!$A$6:$L$1023, 10, FALSE), VLOOKUP(J197, 'Fixture Identities'!$A$6:$L$1023, 10, FALSE)), "")</f>
        <v/>
      </c>
      <c r="L197" s="270" t="str">
        <f t="shared" si="502"/>
        <v/>
      </c>
      <c r="M197" s="110"/>
      <c r="N197" s="110"/>
      <c r="O197" s="110"/>
      <c r="P197" s="272" t="str">
        <f>IFERROR(IF(OR(B197="Retrofit",B197=""),"",IF('Lighting Inventory'!E197="Exterior",VLOOKUP('Lighting Inventory'!N197,'Lookup Tables'!$B$83:$F$103,5,FALSE),IF(N197="Other - Please Estimate EFLH and CFs","Contact Prog. Rep.","ft^2"))), "")</f>
        <v/>
      </c>
      <c r="Q197" s="270" t="str">
        <f>IFERROR(IF(AND(B197="New Construction",E197="Interior",$F$5="Space-by-Space"),VLOOKUP('Lighting Inventory'!N197,'Lookup Tables'!$N$6:$O$97,2,FALSE),IF(AND(B197="New Construction",E197="Exterior"),VLOOKUP(N197,'Lookup Tables'!$B$83:$F$103,2,FALSE),IF(AND(B197="New Construction",'Lighting Inventory'!E197="Interior", $F$5="Building Area"),VLOOKUP(F197,'Lookup Tables'!$A$6:$J$59,10,FALSE),""))), "")</f>
        <v/>
      </c>
      <c r="R197" s="270" t="str">
        <f>IFERROR(IF(P197="Contact Prog. Rep.", "ERROR", IF(OR(B197="",B197="Retrofit"),"",IF(N197="Automated teller machines", ('Lookup Tables'!$A$82:$E$100+('Lighting Inventory'!O197-1)*'Lookup Tables'!$A$82:$E$100)/1000, (Q197*O197)/1000))), "")</f>
        <v/>
      </c>
      <c r="S197" s="595"/>
      <c r="T197" s="105" t="str">
        <f t="shared" si="452"/>
        <v/>
      </c>
      <c r="U197" s="105" t="str">
        <f>IF(S197="","",COUNT($S$11:S197))</f>
        <v/>
      </c>
      <c r="V197" s="111"/>
      <c r="W197" s="112"/>
      <c r="X197" s="105" t="str">
        <f t="shared" si="453"/>
        <v/>
      </c>
      <c r="Y197" s="105" t="str">
        <f t="array" ref="Y197">IF(AND(OR(W197="Freezer Case Lighting", W197="Refrigerated Case Lighting with Doors"), 'General Information'!$X$18="LCI"),'Lookup Tables'!$Y$34, IF(V197="Custom", VLOOKUP(W197, 'Fixture Identities'!$A$974:$M$1023, 13, FALSE), IF(V197="No Change",'Lookup Tables'!$Y$29,IF(OR(V197="",W197=""),"",IF(AND(S197=0,S197&lt;I197,B197="Retrofit"),'Lookup Tables'!$Y$25, IF(B197="Retrofit", INDEX('Lookup Tables'!$AH$6:$AP$102, MATCH(1, ('Lookup Tables'!$AH$6:$AH$102=V197)*('Lookup Tables'!$AI$6:$AI$102=W197), 0), IF('Lighting Inventory'!E197="Interior", 4, 5)), INDEX('Lookup Tables'!$AH$114:$AP$154, MATCH(1, ('Lookup Tables'!$AH$114:$AH$154=V197)*('Lookup Tables'!$AI$114:$AI$154=W197), 0), IF('Lighting Inventory'!E197="Interior", 4, 5))))))))</f>
        <v/>
      </c>
      <c r="Z197" s="105" t="str">
        <f>IFERROR(INDEX('Lookup Tables'!$AH$158:$AH$172,MATCH('Lighting Inventory'!Y197,'Lookup Tables'!$AI$158:$AI$172,0)),"")</f>
        <v/>
      </c>
      <c r="AA197" s="105" t="str">
        <f>IF(AP197&gt;0,INDEX('Lookup Tables'!$AK$158:$AK$172,MATCH('Lighting Inventory'!Y197,'Lookup Tables'!$AI$158:$AI$172,0)),'Lighting Inventory'!Y197)</f>
        <v/>
      </c>
      <c r="AB197" s="105" t="str">
        <f t="array" ref="AB197">IF(V197="Custom", "Custom", IF(V197="", "", IF(V197="Not DLC or Energy Star", "General", IF(B197="New Construction", INDEX('Lookup Tables'!$AH$114:$AP$154,MATCH(1,('Lookup Tables'!$AH$114:$AH$154='Lighting Inventory'!V197)*('Lookup Tables'!$AI$114:$AI$154='Lighting Inventory'!W197),FALSE),8), INDEX('Lookup Tables'!$AH$6:$AP$102,MATCH(1,('Lookup Tables'!$AH$6:$AH$102='Lighting Inventory'!V197)*('Lookup Tables'!$AI$6:$AI$102='Lighting Inventory'!W197),FALSE),8)))))</f>
        <v/>
      </c>
      <c r="AC197" s="272" t="str">
        <f>IF(W197="","",IF(V197="Custom",CONCATENATE("$",'Lookup Tables'!$AM$101," ",'Lookup Tables'!$AN$101),CONCATENATE("$",INDEX('Lookup Tables'!$AM$6:$AM$102,MATCH('Lighting Inventory'!W197,'Lookup Tables'!$AI$6:$AI$102,0))," ",INDEX('Lookup Tables'!$AN$6:$AN$102,MATCH('Lighting Inventory'!W197,'Lookup Tables'!$AI$6:$AI$102,0)))))</f>
        <v/>
      </c>
      <c r="AD197" s="72"/>
      <c r="AE197" s="29"/>
      <c r="AF197" s="379"/>
      <c r="AG197" s="370" t="str">
        <f t="shared" si="401"/>
        <v/>
      </c>
      <c r="AH197" s="370" t="str">
        <f t="shared" si="454"/>
        <v/>
      </c>
      <c r="AI197" s="29"/>
      <c r="AJ197" s="29"/>
      <c r="AK197" s="110"/>
      <c r="AL197" s="375" t="str">
        <f>IF(OR(B197="", V197="", W197=""), "", IF(V197="No Change", K197, IF(V197="Remove Fixture", 0, IF(V197="Custom",VLOOKUP(W197,'Fixture Identities'!$A$6:$K$1023,10,FALSE),IF(AE197="", "← ENTER POST WATTS", 'Lighting Inventory'!AE197)))))</f>
        <v/>
      </c>
      <c r="AM197" s="376" t="str">
        <f t="shared" si="402"/>
        <v/>
      </c>
      <c r="AN197" s="29"/>
      <c r="AO197" s="671"/>
      <c r="AP197" s="29"/>
      <c r="AQ197" s="29"/>
      <c r="AR197" s="29"/>
      <c r="AS197" s="272" t="str">
        <f t="shared" si="455"/>
        <v/>
      </c>
      <c r="AT197" s="270" t="str">
        <f t="shared" si="403"/>
        <v/>
      </c>
      <c r="AU197" s="88" t="str">
        <f t="shared" si="503"/>
        <v/>
      </c>
      <c r="AV197" s="29"/>
      <c r="AW197" s="73"/>
      <c r="AX197" s="271" t="str">
        <f>IF(AND(AV197="Applicant",OR(AW197="", AW197="Use Default Facility Hours")),"← Choose Schedule",IF(F197="","",IF(W197="LED Exit Signs",8760,IF(OR(AV197="Prescribed",AV197=""),VLOOKUP(F197,'Lookup Tables'!$A$6:$G$59,IF(AB197="General", 6, 3),FALSE),VLOOKUP(AW197,'Lookup Tables'!$S$36:$U$43,2,FALSE)))))</f>
        <v/>
      </c>
      <c r="AY197" s="88" t="str">
        <f t="shared" si="404"/>
        <v/>
      </c>
      <c r="AZ197" s="270" t="str">
        <f>IFERROR(IF(F197="", "", IF(W197="LED Exit Signs", 1, IF(AV197="Applicant",VLOOKUP(AW197, 'Lookup Tables'!$S$36:$U$43,3, FALSE), VLOOKUP('Lighting Inventory'!F197, 'Lookup Tables'!$A$6:$H$59, IF('Lighting Inventory'!AB197="General",7,4), FALSE)))), "")</f>
        <v/>
      </c>
      <c r="BA197" s="522" t="str">
        <f>IFERROR(IF(F197="", "", IF(W197="LED Exit Signs", 1, VLOOKUP('Lighting Inventory'!F197, 'Lookup Tables'!$A$6:$H$59, IF('Lighting Inventory'!AB197="General",8,5), FALSE))), "")</f>
        <v/>
      </c>
      <c r="BB197" s="270" t="str">
        <f>IF(G197="", "", IF(E197="Exterior", 0, IF('Lighting Inventory'!G197="Air Conditioned", VLOOKUP(H197, 'Lookup Tables'!$R$6:$T$13, 2, FALSE), VLOOKUP('Lighting Inventory'!G197, 'Lookup Tables'!$R$6:$T$13, 2, FALSE))))</f>
        <v/>
      </c>
      <c r="BC197" s="522" t="str">
        <f>IF(G197="", "", IF(E197="Exterior", 0, IF('Lighting Inventory'!G197="Air Conditioned", VLOOKUP(H197, 'Lookup Tables'!$R$6:$T$13, 3, FALSE), VLOOKUP('Lighting Inventory'!G197, 'Lookup Tables'!$R$6:$T$13, 3, FALSE))))</f>
        <v/>
      </c>
      <c r="BD197" s="270" t="str">
        <f>IF(G197="", "", IF(E197="Exterior", 0, IF('Lighting Inventory'!G197="Air Conditioned", VLOOKUP(H197, 'Lookup Tables'!$R$6:$U$13, 4, FALSE), VLOOKUP('Lighting Inventory'!G197, 'Lookup Tables'!$R$6:$U$13, 4, FALSE))))</f>
        <v/>
      </c>
      <c r="BE197" s="270" t="str">
        <f>IFERROR(IF(B197="", "",  IF(B197="New Construction", VLOOKUP(F197, 'Lookup Tables'!$A$6:$K$59, 11, FALSE),IF(OR(AN197="", AN197="Light Switch"), 0, IF(OR(M197="",M197="None",V197= "LED Exit Signs"),0,_xlfn.XLOOKUP(M197,'Lookup Tables'!$R$91:$R$101,'Lookup Tables'!$V$91:$V$101))))), "")</f>
        <v/>
      </c>
      <c r="BF197" s="270" t="str">
        <f>IF(AND(OR(AN197="Light Switch",AN197=""),B197="New Construction"), VLOOKUP(F197, 'Lookup Tables'!$A$6:$K$59, 11, FALSE),IF(AN197="","",IF(B197="","",IF(OR(AN197="None",AN197="",V197="LED Exit Signs",AN197="Exterior Controls Not Eligible"),0,_xlfn.XLOOKUP(AN197,'Lookup Tables'!$R$91:$R$101,'Lookup Tables'!$V$91:$V$101)))))</f>
        <v/>
      </c>
      <c r="BG197" s="88" t="str">
        <f t="shared" si="456"/>
        <v/>
      </c>
      <c r="BH197" s="88" t="str">
        <f t="shared" si="457"/>
        <v/>
      </c>
      <c r="BI197" s="558" t="str">
        <f t="shared" si="501"/>
        <v/>
      </c>
      <c r="BJ197" s="82" t="str">
        <f t="shared" si="458"/>
        <v/>
      </c>
      <c r="BK197" s="82" t="str">
        <f t="shared" si="459"/>
        <v/>
      </c>
      <c r="BL197" s="559" t="str">
        <f t="shared" si="460"/>
        <v/>
      </c>
      <c r="BM197" s="521" t="str">
        <f t="shared" si="405"/>
        <v/>
      </c>
      <c r="BN197" s="521" t="str">
        <f t="shared" si="406"/>
        <v/>
      </c>
      <c r="BO197" s="522" t="str">
        <f t="shared" si="407"/>
        <v/>
      </c>
      <c r="BP197" s="83" t="str">
        <f t="shared" si="461"/>
        <v/>
      </c>
      <c r="BQ197" s="84" t="str">
        <f t="shared" si="462"/>
        <v/>
      </c>
      <c r="BR197" s="184" t="str">
        <f>IFERROR(IF(B197="", "", IF(OR(VLOOKUP(J197, 'Fixture Identities'!$A$6:$L$1023, 3, FALSE)="T12 Linear Fluorescent",VLOOKUP(J197, 'Fixture Identities'!$A$6:$L$1023, 3, FALSE)="T12 U-Tube Fluorescent"), "Y", "N")), "N")</f>
        <v/>
      </c>
      <c r="BS197" s="184" t="str">
        <f t="array" ref="BS197">IFERROR(IF(OR(B197="", V197="", W197=""), "", IF(V197="Custom", "N", IF(OR(W197="Freezer Case Lighting", W197="Refrigerated Case Lighting with Doors"), BT197, IF(B197="Retrofit", INDEX('Lookup Tables'!$AH$6:$AT$102,MATCH(1,('Lookup Tables'!$AH$6:$AH$102=V197)*('Lookup Tables'!$AI$6:$AI$102=W197),FALSE),IF(VLOOKUP(J197, 'Fixture Identities'!$A$6:$B$1023, 2, FALSE)="Incandescent",12, 13)), INDEX('Lookup Tables'!$AH$114:$AS$154,MATCH(1,('Lookup Tables'!$AH$114:$AH$154=V197)*('Lookup Tables'!$AI$114:$AI$154=W197),FALSE),12))))), "N")</f>
        <v/>
      </c>
      <c r="BT197" s="184" t="str">
        <f>IF(J197="", "", IF(AND(OR(W197="Freezer case Lighting", W197="Refrigerated Case Lighting with Doors"),'General Information'!$X$18="LCI"), "N", IF(OR(VLOOKUP(J197, 'Fixture Identities'!$A$6:$B$1023, 2, FALSE)="T12 EPACT/EISA Baseline", VLOOKUP(J197, 'Fixture Identities'!$A$6:$B$1023, 2, FALSE)="Linear Fluorescent", VLOOKUP(J197, 'Fixture Identities'!$A$6:$B$1023, 2, FALSE)="U-Tube Fluorescent"), "Y", "N")))</f>
        <v/>
      </c>
      <c r="BU197" s="184" t="str">
        <f>IFERROR(IF(B197="", "", IF(VLOOKUP(J197, 'Fixture Identities'!$A$6:$B$1023, 2, FALSE)="Exit Sign", "Y", "N")), "N")</f>
        <v/>
      </c>
      <c r="BV197" s="184" t="str">
        <f>IF(V197="Exit Signs", IF(VLOOKUP(J197, 'Fixture Identities'!$A$6:$B$1023, 2, FALSE)="Exit Sign", "N", "Y"), "")</f>
        <v/>
      </c>
      <c r="BW197" s="184" t="str">
        <f t="array" ref="BW197">IFERROR(IF(B197="", "", IF(B197="New Construction", "N", INDEX('Lookup Tables'!$AH$6:$AU$102, MATCH(1, ('Lookup Tables'!$AH$6:$AH$102='Lighting Inventory'!V197)*('Lookup Tables'!$AI$6:$AI$102='Lighting Inventory'!W197), 0), 14))), "N")</f>
        <v/>
      </c>
      <c r="BX197" s="598" t="str">
        <f t="shared" si="463"/>
        <v/>
      </c>
      <c r="BY197" s="598" t="str">
        <f t="shared" si="464"/>
        <v/>
      </c>
      <c r="BZ197" s="598" t="str">
        <f t="shared" si="465"/>
        <v/>
      </c>
      <c r="CA197" s="598" t="str">
        <f t="shared" si="466"/>
        <v/>
      </c>
      <c r="CB197" s="269" t="str">
        <f t="shared" si="467"/>
        <v/>
      </c>
      <c r="CC197" s="517" t="str">
        <f t="shared" si="468"/>
        <v/>
      </c>
      <c r="CD197" s="565" t="str">
        <f t="shared" si="408"/>
        <v/>
      </c>
      <c r="CE197" s="368">
        <v>0</v>
      </c>
      <c r="CF197" s="368" t="str" cm="1">
        <f t="array" ref="CF197">IFERROR(IF(V197="Custom", "$0.1 per kWh", IF(B197="New Construction", CONCATENATE("$",INDEX('Lookup Tables'!$AH$114:$AN$154,MATCH(1,('Lookup Tables'!$AH$114:$AH$154='Lighting Inventory'!V197)*('Lookup Tables'!$AI$114:$AI$154='Lighting Inventory'!W197),FALSE),6)," ",INDEX('Lookup Tables'!$AH$114:$AN$154,MATCH(1,('Lookup Tables'!$AH$114:$AH$154='Lighting Inventory'!V197)*('Lookup Tables'!$AI$114:$AI$154='Lighting Inventory'!W197),FALSE),7)), IF(AND(BU197="N", V197="Exit Signs"), "$0.025 per kWh", CONCATENATE("$",INDEX('Lookup Tables'!$AH$6:$AN$102,MATCH(1,('Lookup Tables'!$AH$6:$AH$102='Lighting Inventory'!V197)*('Lookup Tables'!$AI$6:$AI$102='Lighting Inventory'!W197),FALSE),6)," ",INDEX('Lookup Tables'!$AH$6:$AN$102,MATCH(1,('Lookup Tables'!$AH$6:$AH$102='Lighting Inventory'!V197)*('Lookup Tables'!$AI$6:$AI$102='Lighting Inventory'!W197),FALSE),7))))), "")</f>
        <v/>
      </c>
      <c r="CG197" s="366"/>
      <c r="CH197" s="248" t="str">
        <f t="shared" si="409"/>
        <v/>
      </c>
      <c r="CI197" s="248" t="str">
        <f t="shared" si="410"/>
        <v>Select_IE</v>
      </c>
      <c r="CJ197" s="248" t="str">
        <f t="shared" si="411"/>
        <v/>
      </c>
      <c r="CK197" s="248" t="str">
        <f t="shared" si="412"/>
        <v/>
      </c>
      <c r="CL197" s="248" t="str">
        <f t="shared" si="413"/>
        <v/>
      </c>
      <c r="CM197" s="248" t="str">
        <f>IFERROR(IF(B197="", "", IF(B197="New Construction", VLOOKUP(V197, 'Lookup Tables'!$AF$114:$AG$120, 2, FALSE), VLOOKUP(V197, 'Lookup Tables'!$AD$6:$AE$25, 2, FALSE))), "")</f>
        <v/>
      </c>
      <c r="CN197" s="248" t="str">
        <f t="shared" si="414"/>
        <v/>
      </c>
      <c r="CO197" s="248" t="str">
        <f t="shared" si="415"/>
        <v/>
      </c>
      <c r="CP197" s="592" t="str">
        <f t="shared" si="416"/>
        <v/>
      </c>
      <c r="CQ197" s="248" t="str">
        <f t="shared" si="469"/>
        <v/>
      </c>
      <c r="CR197" s="100"/>
      <c r="CS197" s="250" t="str">
        <f t="shared" si="417"/>
        <v/>
      </c>
      <c r="CT197" s="250" t="str">
        <f t="shared" si="470"/>
        <v/>
      </c>
      <c r="CU197" s="250" t="str">
        <f t="shared" si="471"/>
        <v/>
      </c>
      <c r="CV197" s="250" t="str">
        <f t="shared" si="472"/>
        <v/>
      </c>
      <c r="CW197" s="250" t="str">
        <f t="shared" si="473"/>
        <v/>
      </c>
      <c r="CX197" s="250" t="str">
        <f t="shared" si="418"/>
        <v/>
      </c>
      <c r="CY197" s="250" t="str">
        <f t="shared" si="419"/>
        <v/>
      </c>
      <c r="CZ197" s="250" t="str">
        <f t="shared" si="420"/>
        <v/>
      </c>
      <c r="DA197" s="250" t="str">
        <f t="shared" si="421"/>
        <v/>
      </c>
      <c r="DB197" s="250" t="str">
        <f t="shared" si="422"/>
        <v/>
      </c>
      <c r="DC197" s="250" t="str">
        <f t="shared" si="423"/>
        <v/>
      </c>
      <c r="DD197" s="250" t="str">
        <f t="shared" si="424"/>
        <v/>
      </c>
      <c r="DE197" s="250" t="str">
        <f t="shared" si="425"/>
        <v/>
      </c>
      <c r="DF197" s="250" t="str">
        <f t="shared" si="426"/>
        <v/>
      </c>
      <c r="DG197" s="250" t="str">
        <f t="shared" si="427"/>
        <v/>
      </c>
      <c r="DH197" s="250" t="str">
        <f t="shared" si="428"/>
        <v/>
      </c>
      <c r="DI197" s="250" t="str">
        <f t="shared" si="429"/>
        <v/>
      </c>
      <c r="DJ197" s="250" t="str">
        <f t="shared" si="430"/>
        <v/>
      </c>
      <c r="DK197" s="250" t="str">
        <f t="shared" si="431"/>
        <v/>
      </c>
      <c r="DL197" s="250" t="str">
        <f t="shared" si="432"/>
        <v/>
      </c>
      <c r="DM197" s="250" t="str">
        <f>IF(CD197="ERROR", "ERROR", IF(AND(OR(Y197=$DM$6, Y197='Lookup Tables'!$AD$21, Y197='Lookup Tables'!$AD$22), E197="Interior"), BJ197, ""))</f>
        <v/>
      </c>
      <c r="DN197" s="250" t="str">
        <f>IF(CD197="ERROR", "ERROR", IF(AND(OR(Y197=$DM$6, Y197='Lookup Tables'!$AD$21, Y197='Lookup Tables'!$AD$22), E197="Exterior"), BJ197, ""))</f>
        <v/>
      </c>
      <c r="DO197" s="100"/>
      <c r="DP197" s="250" t="str">
        <f t="shared" si="433"/>
        <v/>
      </c>
      <c r="DQ197" s="250" t="str">
        <f t="shared" si="474"/>
        <v/>
      </c>
      <c r="DR197" s="250" t="str">
        <f t="shared" si="475"/>
        <v/>
      </c>
      <c r="DS197" s="250" t="str">
        <f t="shared" si="476"/>
        <v/>
      </c>
      <c r="DT197" s="250" t="str">
        <f t="shared" si="477"/>
        <v/>
      </c>
      <c r="DU197" s="250" t="str">
        <f t="shared" si="434"/>
        <v/>
      </c>
      <c r="DV197" s="250" t="str">
        <f t="shared" si="435"/>
        <v/>
      </c>
      <c r="DW197" s="250" t="str">
        <f t="shared" si="436"/>
        <v/>
      </c>
      <c r="DX197" s="250" t="str">
        <f t="shared" si="437"/>
        <v/>
      </c>
      <c r="DY197" s="250" t="str">
        <f t="shared" si="438"/>
        <v/>
      </c>
      <c r="DZ197" s="250" t="str">
        <f t="shared" si="439"/>
        <v/>
      </c>
      <c r="EA197" s="250" t="str">
        <f t="shared" si="440"/>
        <v/>
      </c>
      <c r="EB197" s="250" t="str">
        <f t="shared" si="478"/>
        <v/>
      </c>
      <c r="EC197" s="250" t="str">
        <f t="shared" si="441"/>
        <v/>
      </c>
      <c r="ED197" s="250" t="str">
        <f t="shared" si="442"/>
        <v/>
      </c>
      <c r="EE197" s="250" t="str">
        <f t="shared" si="443"/>
        <v/>
      </c>
      <c r="EF197" s="250" t="str">
        <f t="shared" si="444"/>
        <v/>
      </c>
      <c r="EG197" s="250" t="str">
        <f t="shared" si="445"/>
        <v/>
      </c>
      <c r="EH197" s="250" t="str">
        <f>IF(CD197="ERROR", "ERROR", IF(AND(OR($EH$6=Y197, Y197='Lookup Tables'!$AD$21, Y197='Lookup Tables'!$AD$22),E197="Interior"), SUM(BP197:BP197), ""))</f>
        <v/>
      </c>
      <c r="EI197" s="250" t="str">
        <f>IF(CD197="ERROR", "ERROR", IF(AND(OR($EH$6=Y197, Y197='Lookup Tables'!$AD$21, Y197='Lookup Tables'!$AD$22),E197="Exterior"), SUM(BP197:BP197), ""))</f>
        <v/>
      </c>
      <c r="EJ197" s="109"/>
      <c r="EK197" s="485" t="str">
        <f t="shared" si="446"/>
        <v/>
      </c>
      <c r="EL197" s="252" t="str">
        <f t="shared" si="479"/>
        <v/>
      </c>
      <c r="EM197" s="252" t="str">
        <f t="shared" si="480"/>
        <v/>
      </c>
      <c r="EN197" s="252" t="str">
        <f t="shared" si="481"/>
        <v/>
      </c>
      <c r="EO197" s="252" t="str">
        <f t="shared" si="482"/>
        <v/>
      </c>
      <c r="EP197" s="252" t="str">
        <f t="shared" si="483"/>
        <v/>
      </c>
      <c r="EQ197" s="252" t="str">
        <f t="shared" si="484"/>
        <v/>
      </c>
      <c r="ER197" s="252" t="str">
        <f t="shared" si="485"/>
        <v/>
      </c>
      <c r="ES197" s="252" t="str">
        <f t="shared" si="486"/>
        <v/>
      </c>
      <c r="ET197" s="252" t="str">
        <f t="shared" si="487"/>
        <v/>
      </c>
      <c r="EU197" s="252" t="str">
        <f t="shared" si="488"/>
        <v/>
      </c>
      <c r="EV197" s="252" t="str">
        <f t="shared" si="489"/>
        <v/>
      </c>
      <c r="EW197" s="252" t="str">
        <f t="shared" si="490"/>
        <v/>
      </c>
      <c r="EX197" s="252" t="str">
        <f t="shared" si="491"/>
        <v/>
      </c>
      <c r="EY197" s="252" t="str">
        <f t="shared" si="492"/>
        <v/>
      </c>
      <c r="EZ197" s="252" t="str">
        <f t="shared" si="493"/>
        <v/>
      </c>
      <c r="FA197" s="252" t="str">
        <f t="shared" si="494"/>
        <v/>
      </c>
      <c r="FB197" s="252" t="str">
        <f t="shared" si="495"/>
        <v/>
      </c>
      <c r="FC197" s="252" t="str">
        <f>IF(CD197="ERROR", "ERROR", IF(OR(V197="No Change", V197="Not DLC or Energy Star"), "", IF(AND(OR($FC$6=Y197,Y197='Lookup Tables'!$AD$21, Y197='Lookup Tables'!$AD$22),E197="Interior"), S197, "")))</f>
        <v/>
      </c>
      <c r="FD197" s="252" t="str">
        <f t="shared" si="496"/>
        <v/>
      </c>
      <c r="FE197" s="101"/>
      <c r="FF197" s="579" t="str" cm="1">
        <f t="array" ref="FF197">IFERROR(IF(OR(BQ197&lt;=0,AQ197&lt;20,AND(V197="Exit Signs",AN197&gt;0)),"",IF(AND(AQ197&gt;=20,AN197='Lookup Tables'!$R$101),'Lookup Tables'!$U$101*BQ197,AP197*LOOKUP(2,1/((AN197='Lookup Tables'!$R$91:$R$111)*(AQ197&gt;='Lookup Tables'!$S$91:$S$111)*(AQ197&lt;='Lookup Tables'!$T$91:$T$111)),'Lookup Tables'!$U$91:$U$111))),"")</f>
        <v/>
      </c>
      <c r="FG197" s="579"/>
      <c r="FH197" s="579"/>
      <c r="FI197" s="253" t="str">
        <f>IFERROR(ROUND(IF(CD197="ERROR", "ERROR", IF(AND($FI$7=X197,E197="Interior"),VLOOKUP(W197, 'Lookup Tables'!$AI$6:$AM$102, 5, FALSE)*BP197, "")), 2), "")</f>
        <v/>
      </c>
      <c r="FJ197" s="253" t="str">
        <f>IFERROR(ROUND(IF(CD197="ERROR", "ERROR", IF(AND($FI$7=X197,E197="Exterior"),VLOOKUP(W197, 'Lookup Tables'!$AI$6:$AM$102, 5, FALSE)*BP197, "")), 2), "")</f>
        <v/>
      </c>
      <c r="FK197" s="253" t="str">
        <f>IFERROR(ROUND(IF(CD197="ERROR", "ERROR", IF(AND($FK$7=X197,E197="Interior"),VLOOKUP(W197, 'Lookup Tables'!$AI$6:$AM$102, 5, FALSE)*BP197, "")), 2), "")</f>
        <v/>
      </c>
      <c r="FL197" s="253" t="str">
        <f>IFERROR(ROUND(IF(CD197="ERROR", "ERROR", IF(AND($FK$7=X197,E197="Exterior"),VLOOKUP(W197, 'Lookup Tables'!$AI$6:$AM$102, 5, FALSE)*BP197, "")), 2), "")</f>
        <v/>
      </c>
      <c r="FM197" s="253" t="str">
        <f>IFERROR(ROUND(IF(CD197="ERROR", "ERROR", IF(AND($FM$6=Y197,E197="Interior"), IF(GB197=0, VLOOKUP(W197, 'Lookup Tables'!$AI$6:$AM$102, 5, FALSE)*BP197, IF(VLOOKUP(W197, 'Lookup Tables'!$AI$6:$AM$102, 5, FALSE)*BP197&gt;GB197*'Lighting Inventory'!S197, GB197*'Lighting Inventory'!S197,VLOOKUP(W197, 'Lookup Tables'!$AI$6:$AM$102, 5, FALSE)*BP197)), "")), 2), "")</f>
        <v/>
      </c>
      <c r="FN197" s="253" t="str">
        <f>IFERROR(ROUND(IF(CD197="ERROR", "ERROR", IF(AND($FM$6=Y197,E197="Exterior"), IF(GB197=0, VLOOKUP(W197, 'Lookup Tables'!$AI$6:$AM$102, 5, FALSE)*BP197, IF(VLOOKUP(W197, 'Lookup Tables'!$AI$6:$AM$102, 5, FALSE)*BP197&gt;GB197*'Lighting Inventory'!S197, GB197*'Lighting Inventory'!S197,VLOOKUP(W197, 'Lookup Tables'!$AI$6:$AM$102, 5, FALSE)*BP197)), "")), 2), "")</f>
        <v/>
      </c>
      <c r="FO197" s="253" t="str">
        <f>IFERROR(ROUND(IF(CD197="ERROR", "ERROR", IF(AND($FO$6=Y197,E197="Interior"),VLOOKUP(W197, 'Lookup Tables'!$AI$6:$AM$102, 5, FALSE)*'Lighting Inventory'!AI197, "")), 2), "")</f>
        <v/>
      </c>
      <c r="FP197" s="253" t="str">
        <f>IFERROR(ROUND(IF(CD197="ERROR", "ERROR", IF(AND($FO$6=Y197,E197="Exterior"),VLOOKUP(W197, 'Lookup Tables'!$AI$6:$AM$102, 5, FALSE)*'Lighting Inventory'!AI197, "")), 2), "")</f>
        <v/>
      </c>
      <c r="FQ197" s="253" t="str">
        <f>IFERROR(ROUND(IF(CD197="ERROR", "ERROR", IF(AND($FQ$6=Y197,E197="Interior", BU197="Y"), VLOOKUP('Lighting Inventory'!W197, 'Lookup Tables'!$AI$6:$AM$102, 5, FALSE)*'Lighting Inventory'!S197, IF(AND($FQ$7=Y197,E197="Interior", BU197="N"), 0.025*CD197, ""))), 2), "")</f>
        <v/>
      </c>
      <c r="FR197" s="253" t="str">
        <f>IFERROR(ROUND(IF(CD197="ERROR", "ERROR", IF(AND($FQ$6=Y197,E197="Exterior"), VLOOKUP('Lighting Inventory'!W197, 'Lookup Tables'!$AI$6:$AM$102, 5, FALSE)*'Lighting Inventory'!S197, "")), 2), "")</f>
        <v/>
      </c>
      <c r="FS197" s="253" t="str">
        <f>IFERROR(ROUND(IF(CD197="ERROR", "ERROR", IF(AND($FS$6=Y197,E197="Exterior"), IF(GB197=0, VLOOKUP(W197, 'Lookup Tables'!$AI$6:$AM$102, 5, FALSE)*BP197, IF(VLOOKUP(W197, 'Lookup Tables'!$AI$6:$AM$102, 5, FALSE)*BP197&gt;GB197*'Lighting Inventory'!S197, GB197*'Lighting Inventory'!S197,VLOOKUP(W197, 'Lookup Tables'!$AI$6:$AM$102, 5, FALSE)*BP197)), "")), 2), "")</f>
        <v/>
      </c>
      <c r="FT197" s="253" t="str">
        <f>IFERROR(ROUND(IF(CD197="ERROR", "ERROR", IF(AND($FT$6=Y197,E197="Interior"), IF(GB197=0, VLOOKUP(W197, 'Lookup Tables'!$AI$6:$AM$102, 5, FALSE)*BP197, IF(VLOOKUP(W197, 'Lookup Tables'!$AI$6:$AM$102, 5, FALSE)*BP197&gt;GB197*'Lighting Inventory'!S197, GB197*'Lighting Inventory'!S197,VLOOKUP(W197, 'Lookup Tables'!$AI$6:$AM$102, 5, FALSE)*BP197)), "")), 2), "")</f>
        <v/>
      </c>
      <c r="FU197" s="253" t="str">
        <f>IFERROR(ROUND(IF(CD197="ERROR", "ERROR", IF(AND(Y197=$FU$6, E197="Interior"), IF(BS197="N", 'Lookup Tables'!$AM$101*BP197, VLOOKUP(W197, 'Lookup Tables'!$AI$6:$AM$102, 5, FALSE)*S197*AD197), "")), 2), "")</f>
        <v/>
      </c>
      <c r="FV197" s="253" t="str">
        <f>IFERROR(ROUND(IF(CD197="ERROR", "ERROR", IF(AND(Y197=$FU$6, E197="Exterior"), IF(BS197="N", 'Lookup Tables'!$AM$101*BP197, VLOOKUP(W197, 'Lookup Tables'!$AI$6:$AM$102, 5, FALSE)*S197*AD197), "")), 2), "")</f>
        <v/>
      </c>
      <c r="FW197" s="253" t="str">
        <f>IFERROR(ROUND(IF(CD197="ERROR", "ERROR", IF($FW$6=Y197, IF(BS197="N", 'Lookup Tables'!$AM$101*BP197, MIN((VLOOKUP(W197, 'Lookup Tables'!$AI$6:$AM$102, 5, FALSE)*BP197),GB197*AJ197)), "")), 2), "")</f>
        <v/>
      </c>
      <c r="FX197" s="253" t="str">
        <f>IFERROR(ROUND(IF(CD197="ERROR", "ERROR", IF(AND($FX$6=Y197, E197="Interior"), IF(VLOOKUP(W197, 'Lookup Tables'!$AI$6:$AM$102, 5, FALSE)*BP197&gt;'Lookup Tables'!$AQ$97*'Lighting Inventory'!S197,'Lighting Inventory'!S197*'Lookup Tables'!$AQ$97,VLOOKUP(W197, 'Lookup Tables'!$AI$6:$AM$102, 5, FALSE)*BP197), "")), 2), "")</f>
        <v/>
      </c>
      <c r="FY197" s="253" t="str">
        <f>IFERROR(ROUND(IF(CD197="ERROR", "ERROR", IF(AND($FX$6=Y197, E197="Exterior"), IF(VLOOKUP(W197, 'Lookup Tables'!$AI$6:$AM$102, 5, FALSE)*BP197&gt;'Lookup Tables'!$AQ$97*'Lighting Inventory'!S197,'Lighting Inventory'!S197*'Lookup Tables'!$AQ$97,VLOOKUP(W197, 'Lookup Tables'!$AI$6:$AM$102, 5, FALSE)*BP197), "")), 2), "")</f>
        <v/>
      </c>
      <c r="FZ197" s="253" t="str">
        <f>IFERROR(ROUND(IF(CD197="ERROR", "ERROR", IF(AND($FZ$6=Y197, E197="Interior"), IF(AND(OR(W197="Refrigerated Case Lighting with Doors", W197="Freezer Case Lighting"),Y197="Custom - Process Improvement"),CD197*'Lookup Tables'!$AM$101, IF(B197="Retrofit", IF(VLOOKUP(IF(V197="Custom", V197, W197), 'Lookup Tables'!$AI$6:$AM$102, 5, FALSE)*BP197&gt;GE197, GE197, VLOOKUP(IF(V197="Custom", V197, W197), 'Lookup Tables'!$AI$6:$AM$102, 5, FALSE)*BP197), IF(VLOOKUP(IF(V197="Custom", V197, W197), 'Lookup Tables'!$AI$114:$AM$154, 5, FALSE)*BP197&gt;GE197, GE197, VLOOKUP(IF(V197="Custom", V197, W197), 'Lookup Tables'!$AI$114:$AM$154, 5, FALSE)*BP197))), "")), 2),"")</f>
        <v/>
      </c>
      <c r="GA197" s="253" t="str">
        <f>IFERROR(ROUND(IF(CD197="ERROR", "ERROR", IF(AND($FZ$6=Y197, E197="Exterior"), IF(B197="Retrofit", IF(VLOOKUP(IF(V197="Custom", V197, W197), 'Lookup Tables'!$AI$6:$AM$102, 5, FALSE)*BP197&gt;GE197, GE197, VLOOKUP(IF(V197="Custom", V197, W197), 'Lookup Tables'!$AI$6:$AM$102, 5, FALSE)*BP197), IF(VLOOKUP(IF(V197="Custom", V197, W197), 'Lookup Tables'!$AI$114:$AM$154, 5, FALSE)*BP197&gt;GE197, GE197, VLOOKUP(IF(V197="Custom", V197, W197), 'Lookup Tables'!$AI$114:$AM$154, 5, FALSE)*BP197)), "")), 2),"")</f>
        <v/>
      </c>
      <c r="GB197" s="254" t="str">
        <f t="array" ref="GB197">IF(B197="","",IF(OR(V197="Custom",V197="No Change"),0,IF(B197="Retrofit", INDEX('Lookup Tables'!$AH$6:$AQ$102,MATCH(1,('Lookup Tables'!$AH$6:$AH$102='Lighting Inventory'!V197)*('Lookup Tables'!$AI$6:$AI$102='Lighting Inventory'!W197),FALSE),10),INDEX('Lookup Tables'!$AH$114:$AQ$154,MATCH(1,('Lookup Tables'!$AH$114:$AH$154='Lighting Inventory'!V197)*('Lookup Tables'!$AI$114:$AI$154='Lighting Inventory'!W197),FALSE),10))))</f>
        <v/>
      </c>
      <c r="GC197" s="255" t="str">
        <f t="shared" si="447"/>
        <v/>
      </c>
      <c r="GD197" s="250" t="str">
        <f t="shared" si="448"/>
        <v/>
      </c>
      <c r="GE197" s="253" t="str">
        <f>IFERROR(IF(AND(AF197="", 'General Information'!$F$18="No"),"", IF(AF197="", ((GD197/$CD$266)*$CF$266)*0.5, AF197*S197*0.5)), "")</f>
        <v/>
      </c>
      <c r="GF197" s="255" t="str">
        <f>IF(AND('General Information'!$F$19="", 'General Information'!$F$18="Yes",AF197="",BW197="Y"), "Y", "N")</f>
        <v>N</v>
      </c>
      <c r="GG197" s="255" t="s">
        <v>2946</v>
      </c>
      <c r="GH197" s="255" t="str">
        <f>IFERROR(IF(B197="", "", VLOOKUP(J197, 'Fixture Identities'!$A$6:$N$908, 14, FALSE)), "")</f>
        <v/>
      </c>
      <c r="GI197" s="389" t="str">
        <f>IF(OR(B197="", V197="", W197=""), "", IF(AND(OR(M197='Lookup Tables'!$R$18, M197='Lookup Tables'!$R$19, M197='Lookup Tables'!$R$20, M197='Lookup Tables'!$R$21, M197='Lookup Tables'!$R$22), OR(AN197='Lookup Tables'!$R$17, AN197='Lookup Tables'!$R$17, AN197="")), "Y", "N"))</f>
        <v/>
      </c>
      <c r="GJ197" s="255" t="str">
        <f t="shared" si="449"/>
        <v/>
      </c>
      <c r="GK197" s="255" t="str">
        <f t="shared" si="450"/>
        <v/>
      </c>
      <c r="GL197" s="255" t="str">
        <f t="shared" si="451"/>
        <v/>
      </c>
      <c r="GM197" s="255" t="str">
        <f>IF(AN197="", "", IF(AND(IF(ISNA(VLOOKUP(AN197,'Lookup Tables'!$R$18:$R$22,1,FALSE)), "N", "Y")="Y", E197="Exterior"), "Y", "N"))</f>
        <v/>
      </c>
      <c r="GN197" s="395"/>
      <c r="GO197" s="428">
        <f t="shared" si="497"/>
        <v>0</v>
      </c>
      <c r="GP197" s="428">
        <f t="shared" si="500"/>
        <v>0</v>
      </c>
      <c r="GQ197" s="428">
        <f t="shared" si="498"/>
        <v>0</v>
      </c>
      <c r="GR197" s="428">
        <f t="shared" si="499"/>
        <v>0</v>
      </c>
    </row>
    <row r="198" spans="1:200" s="103" customFormat="1" ht="13.5" customHeight="1" x14ac:dyDescent="0.2">
      <c r="A198" s="272">
        <v>188</v>
      </c>
      <c r="B198" s="110"/>
      <c r="C198" s="110"/>
      <c r="D198" s="110"/>
      <c r="E198" s="110"/>
      <c r="F198" s="110"/>
      <c r="G198" s="110"/>
      <c r="H198" s="110"/>
      <c r="I198" s="29"/>
      <c r="J198" s="29"/>
      <c r="K198" s="272" t="str">
        <f>IFERROR(IF(OR(VLOOKUP(J198, 'Fixture Identities'!$A$6:$L$1023, 3, FALSE)="T12 Linear Fluorescent", VLOOKUP(J198, 'Fixture Identities'!$A$6:$L$1023, 3, FALSE)="T12 U-Tube Fluorescent"), VLOOKUP(VLOOKUP(J198, 'Fixture Identities'!$A$6:$L$1023, 11, FALSE), 'Fixture Identities'!$A$6:$L$1023, 10, FALSE), VLOOKUP(J198, 'Fixture Identities'!$A$6:$L$1023, 10, FALSE)), "")</f>
        <v/>
      </c>
      <c r="L198" s="270" t="str">
        <f t="shared" si="502"/>
        <v/>
      </c>
      <c r="M198" s="110"/>
      <c r="N198" s="110"/>
      <c r="O198" s="110"/>
      <c r="P198" s="272" t="str">
        <f>IFERROR(IF(OR(B198="Retrofit",B198=""),"",IF('Lighting Inventory'!E198="Exterior",VLOOKUP('Lighting Inventory'!N198,'Lookup Tables'!$B$83:$F$103,5,FALSE),IF(N198="Other - Please Estimate EFLH and CFs","Contact Prog. Rep.","ft^2"))), "")</f>
        <v/>
      </c>
      <c r="Q198" s="270" t="str">
        <f>IFERROR(IF(AND(B198="New Construction",E198="Interior",$F$5="Space-by-Space"),VLOOKUP('Lighting Inventory'!N198,'Lookup Tables'!$N$6:$O$97,2,FALSE),IF(AND(B198="New Construction",E198="Exterior"),VLOOKUP(N198,'Lookup Tables'!$B$83:$F$103,2,FALSE),IF(AND(B198="New Construction",'Lighting Inventory'!E198="Interior", $F$5="Building Area"),VLOOKUP(F198,'Lookup Tables'!$A$6:$J$59,10,FALSE),""))), "")</f>
        <v/>
      </c>
      <c r="R198" s="270" t="str">
        <f>IFERROR(IF(P198="Contact Prog. Rep.", "ERROR", IF(OR(B198="",B198="Retrofit"),"",IF(N198="Automated teller machines", ('Lookup Tables'!$A$82:$E$100+('Lighting Inventory'!O198-1)*'Lookup Tables'!$A$82:$E$100)/1000, (Q198*O198)/1000))), "")</f>
        <v/>
      </c>
      <c r="S198" s="595"/>
      <c r="T198" s="105" t="str">
        <f t="shared" si="452"/>
        <v/>
      </c>
      <c r="U198" s="105" t="str">
        <f>IF(S198="","",COUNT($S$11:S198))</f>
        <v/>
      </c>
      <c r="V198" s="111"/>
      <c r="W198" s="112"/>
      <c r="X198" s="105" t="str">
        <f t="shared" si="453"/>
        <v/>
      </c>
      <c r="Y198" s="105" t="str">
        <f t="array" ref="Y198">IF(AND(OR(W198="Freezer Case Lighting", W198="Refrigerated Case Lighting with Doors"), 'General Information'!$X$18="LCI"),'Lookup Tables'!$Y$34, IF(V198="Custom", VLOOKUP(W198, 'Fixture Identities'!$A$974:$M$1023, 13, FALSE), IF(V198="No Change",'Lookup Tables'!$Y$29,IF(OR(V198="",W198=""),"",IF(AND(S198=0,S198&lt;I198,B198="Retrofit"),'Lookup Tables'!$Y$25, IF(B198="Retrofit", INDEX('Lookup Tables'!$AH$6:$AP$102, MATCH(1, ('Lookup Tables'!$AH$6:$AH$102=V198)*('Lookup Tables'!$AI$6:$AI$102=W198), 0), IF('Lighting Inventory'!E198="Interior", 4, 5)), INDEX('Lookup Tables'!$AH$114:$AP$154, MATCH(1, ('Lookup Tables'!$AH$114:$AH$154=V198)*('Lookup Tables'!$AI$114:$AI$154=W198), 0), IF('Lighting Inventory'!E198="Interior", 4, 5))))))))</f>
        <v/>
      </c>
      <c r="Z198" s="105" t="str">
        <f>IFERROR(INDEX('Lookup Tables'!$AH$158:$AH$172,MATCH('Lighting Inventory'!Y198,'Lookup Tables'!$AI$158:$AI$172,0)),"")</f>
        <v/>
      </c>
      <c r="AA198" s="105" t="str">
        <f>IF(AP198&gt;0,INDEX('Lookup Tables'!$AK$158:$AK$172,MATCH('Lighting Inventory'!Y198,'Lookup Tables'!$AI$158:$AI$172,0)),'Lighting Inventory'!Y198)</f>
        <v/>
      </c>
      <c r="AB198" s="105" t="str">
        <f t="array" ref="AB198">IF(V198="Custom", "Custom", IF(V198="", "", IF(V198="Not DLC or Energy Star", "General", IF(B198="New Construction", INDEX('Lookup Tables'!$AH$114:$AP$154,MATCH(1,('Lookup Tables'!$AH$114:$AH$154='Lighting Inventory'!V198)*('Lookup Tables'!$AI$114:$AI$154='Lighting Inventory'!W198),FALSE),8), INDEX('Lookup Tables'!$AH$6:$AP$102,MATCH(1,('Lookup Tables'!$AH$6:$AH$102='Lighting Inventory'!V198)*('Lookup Tables'!$AI$6:$AI$102='Lighting Inventory'!W198),FALSE),8)))))</f>
        <v/>
      </c>
      <c r="AC198" s="272" t="str">
        <f>IF(W198="","",IF(V198="Custom",CONCATENATE("$",'Lookup Tables'!$AM$101," ",'Lookup Tables'!$AN$101),CONCATENATE("$",INDEX('Lookup Tables'!$AM$6:$AM$102,MATCH('Lighting Inventory'!W198,'Lookup Tables'!$AI$6:$AI$102,0))," ",INDEX('Lookup Tables'!$AN$6:$AN$102,MATCH('Lighting Inventory'!W198,'Lookup Tables'!$AI$6:$AI$102,0)))))</f>
        <v/>
      </c>
      <c r="AD198" s="72"/>
      <c r="AE198" s="29"/>
      <c r="AF198" s="379"/>
      <c r="AG198" s="370" t="str">
        <f t="shared" si="401"/>
        <v/>
      </c>
      <c r="AH198" s="370" t="str">
        <f t="shared" si="454"/>
        <v/>
      </c>
      <c r="AI198" s="29"/>
      <c r="AJ198" s="29"/>
      <c r="AK198" s="110"/>
      <c r="AL198" s="375" t="str">
        <f>IF(OR(B198="", V198="", W198=""), "", IF(V198="No Change", K198, IF(V198="Remove Fixture", 0, IF(V198="Custom",VLOOKUP(W198,'Fixture Identities'!$A$6:$K$1023,10,FALSE),IF(AE198="", "← ENTER POST WATTS", 'Lighting Inventory'!AE198)))))</f>
        <v/>
      </c>
      <c r="AM198" s="376" t="str">
        <f t="shared" si="402"/>
        <v/>
      </c>
      <c r="AN198" s="29"/>
      <c r="AO198" s="671"/>
      <c r="AP198" s="29"/>
      <c r="AQ198" s="29"/>
      <c r="AR198" s="29"/>
      <c r="AS198" s="272" t="str">
        <f t="shared" si="455"/>
        <v/>
      </c>
      <c r="AT198" s="270" t="str">
        <f t="shared" si="403"/>
        <v/>
      </c>
      <c r="AU198" s="88" t="str">
        <f t="shared" si="503"/>
        <v/>
      </c>
      <c r="AV198" s="29"/>
      <c r="AW198" s="73"/>
      <c r="AX198" s="271" t="str">
        <f>IF(AND(AV198="Applicant",OR(AW198="", AW198="Use Default Facility Hours")),"← Choose Schedule",IF(F198="","",IF(W198="LED Exit Signs",8760,IF(OR(AV198="Prescribed",AV198=""),VLOOKUP(F198,'Lookup Tables'!$A$6:$G$59,IF(AB198="General", 6, 3),FALSE),VLOOKUP(AW198,'Lookup Tables'!$S$36:$U$43,2,FALSE)))))</f>
        <v/>
      </c>
      <c r="AY198" s="88" t="str">
        <f t="shared" si="404"/>
        <v/>
      </c>
      <c r="AZ198" s="270" t="str">
        <f>IFERROR(IF(F198="", "", IF(W198="LED Exit Signs", 1, IF(AV198="Applicant",VLOOKUP(AW198, 'Lookup Tables'!$S$36:$U$43,3, FALSE), VLOOKUP('Lighting Inventory'!F198, 'Lookup Tables'!$A$6:$H$59, IF('Lighting Inventory'!AB198="General",7,4), FALSE)))), "")</f>
        <v/>
      </c>
      <c r="BA198" s="522" t="str">
        <f>IFERROR(IF(F198="", "", IF(W198="LED Exit Signs", 1, VLOOKUP('Lighting Inventory'!F198, 'Lookup Tables'!$A$6:$H$59, IF('Lighting Inventory'!AB198="General",8,5), FALSE))), "")</f>
        <v/>
      </c>
      <c r="BB198" s="270" t="str">
        <f>IF(G198="", "", IF(E198="Exterior", 0, IF('Lighting Inventory'!G198="Air Conditioned", VLOOKUP(H198, 'Lookup Tables'!$R$6:$T$13, 2, FALSE), VLOOKUP('Lighting Inventory'!G198, 'Lookup Tables'!$R$6:$T$13, 2, FALSE))))</f>
        <v/>
      </c>
      <c r="BC198" s="522" t="str">
        <f>IF(G198="", "", IF(E198="Exterior", 0, IF('Lighting Inventory'!G198="Air Conditioned", VLOOKUP(H198, 'Lookup Tables'!$R$6:$T$13, 3, FALSE), VLOOKUP('Lighting Inventory'!G198, 'Lookup Tables'!$R$6:$T$13, 3, FALSE))))</f>
        <v/>
      </c>
      <c r="BD198" s="270" t="str">
        <f>IF(G198="", "", IF(E198="Exterior", 0, IF('Lighting Inventory'!G198="Air Conditioned", VLOOKUP(H198, 'Lookup Tables'!$R$6:$U$13, 4, FALSE), VLOOKUP('Lighting Inventory'!G198, 'Lookup Tables'!$R$6:$U$13, 4, FALSE))))</f>
        <v/>
      </c>
      <c r="BE198" s="270" t="str">
        <f>IFERROR(IF(B198="", "",  IF(B198="New Construction", VLOOKUP(F198, 'Lookup Tables'!$A$6:$K$59, 11, FALSE),IF(OR(AN198="", AN198="Light Switch"), 0, IF(OR(M198="",M198="None",V198= "LED Exit Signs"),0,_xlfn.XLOOKUP(M198,'Lookup Tables'!$R$91:$R$101,'Lookup Tables'!$V$91:$V$101))))), "")</f>
        <v/>
      </c>
      <c r="BF198" s="270" t="str">
        <f>IF(AND(OR(AN198="Light Switch",AN198=""),B198="New Construction"), VLOOKUP(F198, 'Lookup Tables'!$A$6:$K$59, 11, FALSE),IF(AN198="","",IF(B198="","",IF(OR(AN198="None",AN198="",V198="LED Exit Signs",AN198="Exterior Controls Not Eligible"),0,_xlfn.XLOOKUP(AN198,'Lookup Tables'!$R$91:$R$101,'Lookup Tables'!$V$91:$V$101)))))</f>
        <v/>
      </c>
      <c r="BG198" s="88" t="str">
        <f t="shared" si="456"/>
        <v/>
      </c>
      <c r="BH198" s="88" t="str">
        <f t="shared" si="457"/>
        <v/>
      </c>
      <c r="BI198" s="558" t="str">
        <f t="shared" si="501"/>
        <v/>
      </c>
      <c r="BJ198" s="82" t="str">
        <f t="shared" si="458"/>
        <v/>
      </c>
      <c r="BK198" s="82" t="str">
        <f t="shared" si="459"/>
        <v/>
      </c>
      <c r="BL198" s="559" t="str">
        <f t="shared" si="460"/>
        <v/>
      </c>
      <c r="BM198" s="521" t="str">
        <f t="shared" si="405"/>
        <v/>
      </c>
      <c r="BN198" s="521" t="str">
        <f t="shared" si="406"/>
        <v/>
      </c>
      <c r="BO198" s="522" t="str">
        <f t="shared" si="407"/>
        <v/>
      </c>
      <c r="BP198" s="83" t="str">
        <f t="shared" si="461"/>
        <v/>
      </c>
      <c r="BQ198" s="84" t="str">
        <f t="shared" si="462"/>
        <v/>
      </c>
      <c r="BR198" s="184" t="str">
        <f>IFERROR(IF(B198="", "", IF(OR(VLOOKUP(J198, 'Fixture Identities'!$A$6:$L$1023, 3, FALSE)="T12 Linear Fluorescent",VLOOKUP(J198, 'Fixture Identities'!$A$6:$L$1023, 3, FALSE)="T12 U-Tube Fluorescent"), "Y", "N")), "N")</f>
        <v/>
      </c>
      <c r="BS198" s="184" t="str">
        <f t="array" ref="BS198">IFERROR(IF(OR(B198="", V198="", W198=""), "", IF(V198="Custom", "N", IF(OR(W198="Freezer Case Lighting", W198="Refrigerated Case Lighting with Doors"), BT198, IF(B198="Retrofit", INDEX('Lookup Tables'!$AH$6:$AT$102,MATCH(1,('Lookup Tables'!$AH$6:$AH$102=V198)*('Lookup Tables'!$AI$6:$AI$102=W198),FALSE),IF(VLOOKUP(J198, 'Fixture Identities'!$A$6:$B$1023, 2, FALSE)="Incandescent",12, 13)), INDEX('Lookup Tables'!$AH$114:$AS$154,MATCH(1,('Lookup Tables'!$AH$114:$AH$154=V198)*('Lookup Tables'!$AI$114:$AI$154=W198),FALSE),12))))), "N")</f>
        <v/>
      </c>
      <c r="BT198" s="184" t="str">
        <f>IF(J198="", "", IF(AND(OR(W198="Freezer case Lighting", W198="Refrigerated Case Lighting with Doors"),'General Information'!$X$18="LCI"), "N", IF(OR(VLOOKUP(J198, 'Fixture Identities'!$A$6:$B$1023, 2, FALSE)="T12 EPACT/EISA Baseline", VLOOKUP(J198, 'Fixture Identities'!$A$6:$B$1023, 2, FALSE)="Linear Fluorescent", VLOOKUP(J198, 'Fixture Identities'!$A$6:$B$1023, 2, FALSE)="U-Tube Fluorescent"), "Y", "N")))</f>
        <v/>
      </c>
      <c r="BU198" s="184" t="str">
        <f>IFERROR(IF(B198="", "", IF(VLOOKUP(J198, 'Fixture Identities'!$A$6:$B$1023, 2, FALSE)="Exit Sign", "Y", "N")), "N")</f>
        <v/>
      </c>
      <c r="BV198" s="184" t="str">
        <f>IF(V198="Exit Signs", IF(VLOOKUP(J198, 'Fixture Identities'!$A$6:$B$1023, 2, FALSE)="Exit Sign", "N", "Y"), "")</f>
        <v/>
      </c>
      <c r="BW198" s="184" t="str">
        <f t="array" ref="BW198">IFERROR(IF(B198="", "", IF(B198="New Construction", "N", INDEX('Lookup Tables'!$AH$6:$AU$102, MATCH(1, ('Lookup Tables'!$AH$6:$AH$102='Lighting Inventory'!V198)*('Lookup Tables'!$AI$6:$AI$102='Lighting Inventory'!W198), 0), 14))), "N")</f>
        <v/>
      </c>
      <c r="BX198" s="598" t="str">
        <f t="shared" si="463"/>
        <v/>
      </c>
      <c r="BY198" s="598" t="str">
        <f t="shared" si="464"/>
        <v/>
      </c>
      <c r="BZ198" s="598" t="str">
        <f t="shared" si="465"/>
        <v/>
      </c>
      <c r="CA198" s="598" t="str">
        <f t="shared" si="466"/>
        <v/>
      </c>
      <c r="CB198" s="269" t="str">
        <f t="shared" si="467"/>
        <v/>
      </c>
      <c r="CC198" s="517" t="str">
        <f t="shared" si="468"/>
        <v/>
      </c>
      <c r="CD198" s="565" t="str">
        <f t="shared" si="408"/>
        <v/>
      </c>
      <c r="CE198" s="368">
        <v>0</v>
      </c>
      <c r="CF198" s="368" t="str" cm="1">
        <f t="array" ref="CF198">IFERROR(IF(V198="Custom", "$0.1 per kWh", IF(B198="New Construction", CONCATENATE("$",INDEX('Lookup Tables'!$AH$114:$AN$154,MATCH(1,('Lookup Tables'!$AH$114:$AH$154='Lighting Inventory'!V198)*('Lookup Tables'!$AI$114:$AI$154='Lighting Inventory'!W198),FALSE),6)," ",INDEX('Lookup Tables'!$AH$114:$AN$154,MATCH(1,('Lookup Tables'!$AH$114:$AH$154='Lighting Inventory'!V198)*('Lookup Tables'!$AI$114:$AI$154='Lighting Inventory'!W198),FALSE),7)), IF(AND(BU198="N", V198="Exit Signs"), "$0.025 per kWh", CONCATENATE("$",INDEX('Lookup Tables'!$AH$6:$AN$102,MATCH(1,('Lookup Tables'!$AH$6:$AH$102='Lighting Inventory'!V198)*('Lookup Tables'!$AI$6:$AI$102='Lighting Inventory'!W198),FALSE),6)," ",INDEX('Lookup Tables'!$AH$6:$AN$102,MATCH(1,('Lookup Tables'!$AH$6:$AH$102='Lighting Inventory'!V198)*('Lookup Tables'!$AI$6:$AI$102='Lighting Inventory'!W198),FALSE),7))))), "")</f>
        <v/>
      </c>
      <c r="CG198" s="366"/>
      <c r="CH198" s="248" t="str">
        <f t="shared" si="409"/>
        <v/>
      </c>
      <c r="CI198" s="248" t="str">
        <f t="shared" si="410"/>
        <v>Select_IE</v>
      </c>
      <c r="CJ198" s="248" t="str">
        <f t="shared" si="411"/>
        <v/>
      </c>
      <c r="CK198" s="248" t="str">
        <f t="shared" si="412"/>
        <v/>
      </c>
      <c r="CL198" s="248" t="str">
        <f t="shared" si="413"/>
        <v/>
      </c>
      <c r="CM198" s="248" t="str">
        <f>IFERROR(IF(B198="", "", IF(B198="New Construction", VLOOKUP(V198, 'Lookup Tables'!$AF$114:$AG$120, 2, FALSE), VLOOKUP(V198, 'Lookup Tables'!$AD$6:$AE$25, 2, FALSE))), "")</f>
        <v/>
      </c>
      <c r="CN198" s="248" t="str">
        <f t="shared" si="414"/>
        <v/>
      </c>
      <c r="CO198" s="248" t="str">
        <f t="shared" si="415"/>
        <v/>
      </c>
      <c r="CP198" s="592" t="str">
        <f t="shared" si="416"/>
        <v/>
      </c>
      <c r="CQ198" s="248" t="str">
        <f t="shared" si="469"/>
        <v/>
      </c>
      <c r="CR198" s="249"/>
      <c r="CS198" s="250" t="str">
        <f t="shared" si="417"/>
        <v/>
      </c>
      <c r="CT198" s="250" t="str">
        <f t="shared" si="470"/>
        <v/>
      </c>
      <c r="CU198" s="250" t="str">
        <f t="shared" si="471"/>
        <v/>
      </c>
      <c r="CV198" s="250" t="str">
        <f t="shared" si="472"/>
        <v/>
      </c>
      <c r="CW198" s="250" t="str">
        <f t="shared" si="473"/>
        <v/>
      </c>
      <c r="CX198" s="250" t="str">
        <f t="shared" si="418"/>
        <v/>
      </c>
      <c r="CY198" s="250" t="str">
        <f t="shared" si="419"/>
        <v/>
      </c>
      <c r="CZ198" s="250" t="str">
        <f t="shared" si="420"/>
        <v/>
      </c>
      <c r="DA198" s="250" t="str">
        <f t="shared" si="421"/>
        <v/>
      </c>
      <c r="DB198" s="250" t="str">
        <f t="shared" si="422"/>
        <v/>
      </c>
      <c r="DC198" s="250" t="str">
        <f t="shared" si="423"/>
        <v/>
      </c>
      <c r="DD198" s="250" t="str">
        <f t="shared" si="424"/>
        <v/>
      </c>
      <c r="DE198" s="250" t="str">
        <f t="shared" si="425"/>
        <v/>
      </c>
      <c r="DF198" s="250" t="str">
        <f t="shared" si="426"/>
        <v/>
      </c>
      <c r="DG198" s="250" t="str">
        <f t="shared" si="427"/>
        <v/>
      </c>
      <c r="DH198" s="250" t="str">
        <f t="shared" si="428"/>
        <v/>
      </c>
      <c r="DI198" s="250" t="str">
        <f t="shared" si="429"/>
        <v/>
      </c>
      <c r="DJ198" s="250" t="str">
        <f t="shared" si="430"/>
        <v/>
      </c>
      <c r="DK198" s="250" t="str">
        <f t="shared" si="431"/>
        <v/>
      </c>
      <c r="DL198" s="250" t="str">
        <f t="shared" si="432"/>
        <v/>
      </c>
      <c r="DM198" s="250" t="str">
        <f>IF(CD198="ERROR", "ERROR", IF(AND(OR(Y198=$DM$6, Y198='Lookup Tables'!$AD$21, Y198='Lookup Tables'!$AD$22), E198="Interior"), BJ198, ""))</f>
        <v/>
      </c>
      <c r="DN198" s="250" t="str">
        <f>IF(CD198="ERROR", "ERROR", IF(AND(OR(Y198=$DM$6, Y198='Lookup Tables'!$AD$21, Y198='Lookup Tables'!$AD$22), E198="Exterior"), BJ198, ""))</f>
        <v/>
      </c>
      <c r="DO198" s="249"/>
      <c r="DP198" s="250" t="str">
        <f t="shared" si="433"/>
        <v/>
      </c>
      <c r="DQ198" s="250" t="str">
        <f t="shared" si="474"/>
        <v/>
      </c>
      <c r="DR198" s="250" t="str">
        <f t="shared" si="475"/>
        <v/>
      </c>
      <c r="DS198" s="250" t="str">
        <f t="shared" si="476"/>
        <v/>
      </c>
      <c r="DT198" s="250" t="str">
        <f t="shared" si="477"/>
        <v/>
      </c>
      <c r="DU198" s="250" t="str">
        <f t="shared" si="434"/>
        <v/>
      </c>
      <c r="DV198" s="250" t="str">
        <f t="shared" si="435"/>
        <v/>
      </c>
      <c r="DW198" s="250" t="str">
        <f t="shared" si="436"/>
        <v/>
      </c>
      <c r="DX198" s="250" t="str">
        <f t="shared" si="437"/>
        <v/>
      </c>
      <c r="DY198" s="250" t="str">
        <f t="shared" si="438"/>
        <v/>
      </c>
      <c r="DZ198" s="250" t="str">
        <f t="shared" si="439"/>
        <v/>
      </c>
      <c r="EA198" s="250" t="str">
        <f t="shared" si="440"/>
        <v/>
      </c>
      <c r="EB198" s="250" t="str">
        <f t="shared" si="478"/>
        <v/>
      </c>
      <c r="EC198" s="250" t="str">
        <f t="shared" si="441"/>
        <v/>
      </c>
      <c r="ED198" s="250" t="str">
        <f t="shared" si="442"/>
        <v/>
      </c>
      <c r="EE198" s="250" t="str">
        <f t="shared" si="443"/>
        <v/>
      </c>
      <c r="EF198" s="250" t="str">
        <f t="shared" si="444"/>
        <v/>
      </c>
      <c r="EG198" s="250" t="str">
        <f t="shared" si="445"/>
        <v/>
      </c>
      <c r="EH198" s="250" t="str">
        <f>IF(CD198="ERROR", "ERROR", IF(AND(OR($EH$6=Y198, Y198='Lookup Tables'!$AD$21, Y198='Lookup Tables'!$AD$22),E198="Interior"), SUM(BP198:BP198), ""))</f>
        <v/>
      </c>
      <c r="EI198" s="250" t="str">
        <f>IF(CD198="ERROR", "ERROR", IF(AND(OR($EH$6=Y198, Y198='Lookup Tables'!$AD$21, Y198='Lookup Tables'!$AD$22),E198="Exterior"), SUM(BP198:BP198), ""))</f>
        <v/>
      </c>
      <c r="EJ198" s="109"/>
      <c r="EK198" s="485" t="str">
        <f t="shared" si="446"/>
        <v/>
      </c>
      <c r="EL198" s="252" t="str">
        <f t="shared" si="479"/>
        <v/>
      </c>
      <c r="EM198" s="252" t="str">
        <f t="shared" si="480"/>
        <v/>
      </c>
      <c r="EN198" s="252" t="str">
        <f t="shared" si="481"/>
        <v/>
      </c>
      <c r="EO198" s="252" t="str">
        <f t="shared" si="482"/>
        <v/>
      </c>
      <c r="EP198" s="252" t="str">
        <f t="shared" si="483"/>
        <v/>
      </c>
      <c r="EQ198" s="252" t="str">
        <f t="shared" si="484"/>
        <v/>
      </c>
      <c r="ER198" s="252" t="str">
        <f t="shared" si="485"/>
        <v/>
      </c>
      <c r="ES198" s="252" t="str">
        <f t="shared" si="486"/>
        <v/>
      </c>
      <c r="ET198" s="252" t="str">
        <f t="shared" si="487"/>
        <v/>
      </c>
      <c r="EU198" s="252" t="str">
        <f t="shared" si="488"/>
        <v/>
      </c>
      <c r="EV198" s="252" t="str">
        <f t="shared" si="489"/>
        <v/>
      </c>
      <c r="EW198" s="252" t="str">
        <f t="shared" si="490"/>
        <v/>
      </c>
      <c r="EX198" s="252" t="str">
        <f t="shared" si="491"/>
        <v/>
      </c>
      <c r="EY198" s="252" t="str">
        <f t="shared" si="492"/>
        <v/>
      </c>
      <c r="EZ198" s="252" t="str">
        <f t="shared" si="493"/>
        <v/>
      </c>
      <c r="FA198" s="252" t="str">
        <f t="shared" si="494"/>
        <v/>
      </c>
      <c r="FB198" s="252" t="str">
        <f t="shared" si="495"/>
        <v/>
      </c>
      <c r="FC198" s="252" t="str">
        <f>IF(CD198="ERROR", "ERROR", IF(OR(V198="No Change", V198="Not DLC or Energy Star"), "", IF(AND(OR($FC$6=Y198,Y198='Lookup Tables'!$AD$21, Y198='Lookup Tables'!$AD$22),E198="Interior"), S198, "")))</f>
        <v/>
      </c>
      <c r="FD198" s="252" t="str">
        <f t="shared" si="496"/>
        <v/>
      </c>
      <c r="FE198" s="1"/>
      <c r="FF198" s="579" t="str" cm="1">
        <f t="array" ref="FF198">IFERROR(IF(OR(BQ198&lt;=0,AQ198&lt;20,AND(V198="Exit Signs",AN198&gt;0)),"",IF(AND(AQ198&gt;=20,AN198='Lookup Tables'!$R$101),'Lookup Tables'!$U$101*BQ198,AP198*LOOKUP(2,1/((AN198='Lookup Tables'!$R$91:$R$111)*(AQ198&gt;='Lookup Tables'!$S$91:$S$111)*(AQ198&lt;='Lookup Tables'!$T$91:$T$111)),'Lookup Tables'!$U$91:$U$111))),"")</f>
        <v/>
      </c>
      <c r="FG198" s="579"/>
      <c r="FH198" s="579"/>
      <c r="FI198" s="253" t="str">
        <f>IFERROR(ROUND(IF(CD198="ERROR", "ERROR", IF(AND($FI$7=X198,E198="Interior"),VLOOKUP(W198, 'Lookup Tables'!$AI$6:$AM$102, 5, FALSE)*BP198, "")), 2), "")</f>
        <v/>
      </c>
      <c r="FJ198" s="253" t="str">
        <f>IFERROR(ROUND(IF(CD198="ERROR", "ERROR", IF(AND($FI$7=X198,E198="Exterior"),VLOOKUP(W198, 'Lookup Tables'!$AI$6:$AM$102, 5, FALSE)*BP198, "")), 2), "")</f>
        <v/>
      </c>
      <c r="FK198" s="253" t="str">
        <f>IFERROR(ROUND(IF(CD198="ERROR", "ERROR", IF(AND($FK$7=X198,E198="Interior"),VLOOKUP(W198, 'Lookup Tables'!$AI$6:$AM$102, 5, FALSE)*BP198, "")), 2), "")</f>
        <v/>
      </c>
      <c r="FL198" s="253" t="str">
        <f>IFERROR(ROUND(IF(CD198="ERROR", "ERROR", IF(AND($FK$7=X198,E198="Exterior"),VLOOKUP(W198, 'Lookup Tables'!$AI$6:$AM$102, 5, FALSE)*BP198, "")), 2), "")</f>
        <v/>
      </c>
      <c r="FM198" s="253" t="str">
        <f>IFERROR(ROUND(IF(CD198="ERROR", "ERROR", IF(AND($FM$6=Y198,E198="Interior"), IF(GB198=0, VLOOKUP(W198, 'Lookup Tables'!$AI$6:$AM$102, 5, FALSE)*BP198, IF(VLOOKUP(W198, 'Lookup Tables'!$AI$6:$AM$102, 5, FALSE)*BP198&gt;GB198*'Lighting Inventory'!S198, GB198*'Lighting Inventory'!S198,VLOOKUP(W198, 'Lookup Tables'!$AI$6:$AM$102, 5, FALSE)*BP198)), "")), 2), "")</f>
        <v/>
      </c>
      <c r="FN198" s="253" t="str">
        <f>IFERROR(ROUND(IF(CD198="ERROR", "ERROR", IF(AND($FM$6=Y198,E198="Exterior"), IF(GB198=0, VLOOKUP(W198, 'Lookup Tables'!$AI$6:$AM$102, 5, FALSE)*BP198, IF(VLOOKUP(W198, 'Lookup Tables'!$AI$6:$AM$102, 5, FALSE)*BP198&gt;GB198*'Lighting Inventory'!S198, GB198*'Lighting Inventory'!S198,VLOOKUP(W198, 'Lookup Tables'!$AI$6:$AM$102, 5, FALSE)*BP198)), "")), 2), "")</f>
        <v/>
      </c>
      <c r="FO198" s="253" t="str">
        <f>IFERROR(ROUND(IF(CD198="ERROR", "ERROR", IF(AND($FO$6=Y198,E198="Interior"),VLOOKUP(W198, 'Lookup Tables'!$AI$6:$AM$102, 5, FALSE)*'Lighting Inventory'!AI198, "")), 2), "")</f>
        <v/>
      </c>
      <c r="FP198" s="253" t="str">
        <f>IFERROR(ROUND(IF(CD198="ERROR", "ERROR", IF(AND($FO$6=Y198,E198="Exterior"),VLOOKUP(W198, 'Lookup Tables'!$AI$6:$AM$102, 5, FALSE)*'Lighting Inventory'!AI198, "")), 2), "")</f>
        <v/>
      </c>
      <c r="FQ198" s="253" t="str">
        <f>IFERROR(ROUND(IF(CD198="ERROR", "ERROR", IF(AND($FQ$6=Y198,E198="Interior", BU198="Y"), VLOOKUP('Lighting Inventory'!W198, 'Lookup Tables'!$AI$6:$AM$102, 5, FALSE)*'Lighting Inventory'!S198, IF(AND($FQ$7=Y198,E198="Interior", BU198="N"), 0.025*CD198, ""))), 2), "")</f>
        <v/>
      </c>
      <c r="FR198" s="253" t="str">
        <f>IFERROR(ROUND(IF(CD198="ERROR", "ERROR", IF(AND($FQ$6=Y198,E198="Exterior"), VLOOKUP('Lighting Inventory'!W198, 'Lookup Tables'!$AI$6:$AM$102, 5, FALSE)*'Lighting Inventory'!S198, "")), 2), "")</f>
        <v/>
      </c>
      <c r="FS198" s="253" t="str">
        <f>IFERROR(ROUND(IF(CD198="ERROR", "ERROR", IF(AND($FS$6=Y198,E198="Exterior"), IF(GB198=0, VLOOKUP(W198, 'Lookup Tables'!$AI$6:$AM$102, 5, FALSE)*BP198, IF(VLOOKUP(W198, 'Lookup Tables'!$AI$6:$AM$102, 5, FALSE)*BP198&gt;GB198*'Lighting Inventory'!S198, GB198*'Lighting Inventory'!S198,VLOOKUP(W198, 'Lookup Tables'!$AI$6:$AM$102, 5, FALSE)*BP198)), "")), 2), "")</f>
        <v/>
      </c>
      <c r="FT198" s="253" t="str">
        <f>IFERROR(ROUND(IF(CD198="ERROR", "ERROR", IF(AND($FT$6=Y198,E198="Interior"), IF(GB198=0, VLOOKUP(W198, 'Lookup Tables'!$AI$6:$AM$102, 5, FALSE)*BP198, IF(VLOOKUP(W198, 'Lookup Tables'!$AI$6:$AM$102, 5, FALSE)*BP198&gt;GB198*'Lighting Inventory'!S198, GB198*'Lighting Inventory'!S198,VLOOKUP(W198, 'Lookup Tables'!$AI$6:$AM$102, 5, FALSE)*BP198)), "")), 2), "")</f>
        <v/>
      </c>
      <c r="FU198" s="253" t="str">
        <f>IFERROR(ROUND(IF(CD198="ERROR", "ERROR", IF(AND(Y198=$FU$6, E198="Interior"), IF(BS198="N", 'Lookup Tables'!$AM$101*BP198, VLOOKUP(W198, 'Lookup Tables'!$AI$6:$AM$102, 5, FALSE)*S198*AD198), "")), 2), "")</f>
        <v/>
      </c>
      <c r="FV198" s="253" t="str">
        <f>IFERROR(ROUND(IF(CD198="ERROR", "ERROR", IF(AND(Y198=$FU$6, E198="Exterior"), IF(BS198="N", 'Lookup Tables'!$AM$101*BP198, VLOOKUP(W198, 'Lookup Tables'!$AI$6:$AM$102, 5, FALSE)*S198*AD198), "")), 2), "")</f>
        <v/>
      </c>
      <c r="FW198" s="253" t="str">
        <f>IFERROR(ROUND(IF(CD198="ERROR", "ERROR", IF($FW$6=Y198, IF(BS198="N", 'Lookup Tables'!$AM$101*BP198, MIN((VLOOKUP(W198, 'Lookup Tables'!$AI$6:$AM$102, 5, FALSE)*BP198),GB198*AJ198)), "")), 2), "")</f>
        <v/>
      </c>
      <c r="FX198" s="253" t="str">
        <f>IFERROR(ROUND(IF(CD198="ERROR", "ERROR", IF(AND($FX$6=Y198, E198="Interior"), IF(VLOOKUP(W198, 'Lookup Tables'!$AI$6:$AM$102, 5, FALSE)*BP198&gt;'Lookup Tables'!$AQ$97*'Lighting Inventory'!S198,'Lighting Inventory'!S198*'Lookup Tables'!$AQ$97,VLOOKUP(W198, 'Lookup Tables'!$AI$6:$AM$102, 5, FALSE)*BP198), "")), 2), "")</f>
        <v/>
      </c>
      <c r="FY198" s="253" t="str">
        <f>IFERROR(ROUND(IF(CD198="ERROR", "ERROR", IF(AND($FX$6=Y198, E198="Exterior"), IF(VLOOKUP(W198, 'Lookup Tables'!$AI$6:$AM$102, 5, FALSE)*BP198&gt;'Lookup Tables'!$AQ$97*'Lighting Inventory'!S198,'Lighting Inventory'!S198*'Lookup Tables'!$AQ$97,VLOOKUP(W198, 'Lookup Tables'!$AI$6:$AM$102, 5, FALSE)*BP198), "")), 2), "")</f>
        <v/>
      </c>
      <c r="FZ198" s="253" t="str">
        <f>IFERROR(ROUND(IF(CD198="ERROR", "ERROR", IF(AND($FZ$6=Y198, E198="Interior"), IF(AND(OR(W198="Refrigerated Case Lighting with Doors", W198="Freezer Case Lighting"),Y198="Custom - Process Improvement"),CD198*'Lookup Tables'!$AM$101, IF(B198="Retrofit", IF(VLOOKUP(IF(V198="Custom", V198, W198), 'Lookup Tables'!$AI$6:$AM$102, 5, FALSE)*BP198&gt;GE198, GE198, VLOOKUP(IF(V198="Custom", V198, W198), 'Lookup Tables'!$AI$6:$AM$102, 5, FALSE)*BP198), IF(VLOOKUP(IF(V198="Custom", V198, W198), 'Lookup Tables'!$AI$114:$AM$154, 5, FALSE)*BP198&gt;GE198, GE198, VLOOKUP(IF(V198="Custom", V198, W198), 'Lookup Tables'!$AI$114:$AM$154, 5, FALSE)*BP198))), "")), 2),"")</f>
        <v/>
      </c>
      <c r="GA198" s="253" t="str">
        <f>IFERROR(ROUND(IF(CD198="ERROR", "ERROR", IF(AND($FZ$6=Y198, E198="Exterior"), IF(B198="Retrofit", IF(VLOOKUP(IF(V198="Custom", V198, W198), 'Lookup Tables'!$AI$6:$AM$102, 5, FALSE)*BP198&gt;GE198, GE198, VLOOKUP(IF(V198="Custom", V198, W198), 'Lookup Tables'!$AI$6:$AM$102, 5, FALSE)*BP198), IF(VLOOKUP(IF(V198="Custom", V198, W198), 'Lookup Tables'!$AI$114:$AM$154, 5, FALSE)*BP198&gt;GE198, GE198, VLOOKUP(IF(V198="Custom", V198, W198), 'Lookup Tables'!$AI$114:$AM$154, 5, FALSE)*BP198)), "")), 2),"")</f>
        <v/>
      </c>
      <c r="GB198" s="254" t="str">
        <f t="array" ref="GB198">IF(B198="","",IF(OR(V198="Custom",V198="No Change"),0,IF(B198="Retrofit", INDEX('Lookup Tables'!$AH$6:$AQ$102,MATCH(1,('Lookup Tables'!$AH$6:$AH$102='Lighting Inventory'!V198)*('Lookup Tables'!$AI$6:$AI$102='Lighting Inventory'!W198),FALSE),10),INDEX('Lookup Tables'!$AH$114:$AQ$154,MATCH(1,('Lookup Tables'!$AH$114:$AH$154='Lighting Inventory'!V198)*('Lookup Tables'!$AI$114:$AI$154='Lighting Inventory'!W198),FALSE),10))))</f>
        <v/>
      </c>
      <c r="GC198" s="255" t="str">
        <f t="shared" si="447"/>
        <v/>
      </c>
      <c r="GD198" s="250" t="str">
        <f t="shared" si="448"/>
        <v/>
      </c>
      <c r="GE198" s="253" t="str">
        <f>IFERROR(IF(AND(AF198="", 'General Information'!$F$18="No"),"", IF(AF198="", ((GD198/$CD$266)*$CF$266)*0.5, AF198*S198*0.5)), "")</f>
        <v/>
      </c>
      <c r="GF198" s="255" t="str">
        <f>IF(AND('General Information'!$F$19="", 'General Information'!$F$18="Yes",AF198="",BW198="Y"), "Y", "N")</f>
        <v>N</v>
      </c>
      <c r="GG198" s="255" t="s">
        <v>2946</v>
      </c>
      <c r="GH198" s="255" t="str">
        <f>IFERROR(IF(B198="", "", VLOOKUP(J198, 'Fixture Identities'!$A$6:$N$908, 14, FALSE)), "")</f>
        <v/>
      </c>
      <c r="GI198" s="389" t="str">
        <f>IF(OR(B198="", V198="", W198=""), "", IF(AND(OR(M198='Lookup Tables'!$R$18, M198='Lookup Tables'!$R$19, M198='Lookup Tables'!$R$20, M198='Lookup Tables'!$R$21, M198='Lookup Tables'!$R$22), OR(AN198='Lookup Tables'!$R$17, AN198='Lookup Tables'!$R$17, AN198="")), "Y", "N"))</f>
        <v/>
      </c>
      <c r="GJ198" s="255" t="str">
        <f t="shared" si="449"/>
        <v/>
      </c>
      <c r="GK198" s="255" t="str">
        <f t="shared" si="450"/>
        <v/>
      </c>
      <c r="GL198" s="255" t="str">
        <f t="shared" si="451"/>
        <v/>
      </c>
      <c r="GM198" s="255" t="str">
        <f>IF(AN198="", "", IF(AND(IF(ISNA(VLOOKUP(AN198,'Lookup Tables'!$R$18:$R$22,1,FALSE)), "N", "Y")="Y", E198="Exterior"), "Y", "N"))</f>
        <v/>
      </c>
      <c r="GN198" s="395"/>
      <c r="GO198" s="428">
        <f t="shared" si="497"/>
        <v>0</v>
      </c>
      <c r="GP198" s="428">
        <f t="shared" si="500"/>
        <v>0</v>
      </c>
      <c r="GQ198" s="428">
        <f t="shared" si="498"/>
        <v>0</v>
      </c>
      <c r="GR198" s="428">
        <f t="shared" si="499"/>
        <v>0</v>
      </c>
    </row>
    <row r="199" spans="1:200" s="103" customFormat="1" ht="13.5" customHeight="1" x14ac:dyDescent="0.2">
      <c r="A199" s="272">
        <v>189</v>
      </c>
      <c r="B199" s="110"/>
      <c r="C199" s="110"/>
      <c r="D199" s="110"/>
      <c r="E199" s="110"/>
      <c r="F199" s="110"/>
      <c r="G199" s="110"/>
      <c r="H199" s="110"/>
      <c r="I199" s="29"/>
      <c r="J199" s="29"/>
      <c r="K199" s="272" t="str">
        <f>IFERROR(IF(OR(VLOOKUP(J199, 'Fixture Identities'!$A$6:$L$1023, 3, FALSE)="T12 Linear Fluorescent", VLOOKUP(J199, 'Fixture Identities'!$A$6:$L$1023, 3, FALSE)="T12 U-Tube Fluorescent"), VLOOKUP(VLOOKUP(J199, 'Fixture Identities'!$A$6:$L$1023, 11, FALSE), 'Fixture Identities'!$A$6:$L$1023, 10, FALSE), VLOOKUP(J199, 'Fixture Identities'!$A$6:$L$1023, 10, FALSE)), "")</f>
        <v/>
      </c>
      <c r="L199" s="270" t="str">
        <f t="shared" si="502"/>
        <v/>
      </c>
      <c r="M199" s="110"/>
      <c r="N199" s="110"/>
      <c r="O199" s="110"/>
      <c r="P199" s="272" t="str">
        <f>IFERROR(IF(OR(B199="Retrofit",B199=""),"",IF('Lighting Inventory'!E199="Exterior",VLOOKUP('Lighting Inventory'!N199,'Lookup Tables'!$B$83:$F$103,5,FALSE),IF(N199="Other - Please Estimate EFLH and CFs","Contact Prog. Rep.","ft^2"))), "")</f>
        <v/>
      </c>
      <c r="Q199" s="270" t="str">
        <f>IFERROR(IF(AND(B199="New Construction",E199="Interior",$F$5="Space-by-Space"),VLOOKUP('Lighting Inventory'!N199,'Lookup Tables'!$N$6:$O$97,2,FALSE),IF(AND(B199="New Construction",E199="Exterior"),VLOOKUP(N199,'Lookup Tables'!$B$83:$F$103,2,FALSE),IF(AND(B199="New Construction",'Lighting Inventory'!E199="Interior", $F$5="Building Area"),VLOOKUP(F199,'Lookup Tables'!$A$6:$J$59,10,FALSE),""))), "")</f>
        <v/>
      </c>
      <c r="R199" s="270" t="str">
        <f>IFERROR(IF(P199="Contact Prog. Rep.", "ERROR", IF(OR(B199="",B199="Retrofit"),"",IF(N199="Automated teller machines", ('Lookup Tables'!$A$82:$E$100+('Lighting Inventory'!O199-1)*'Lookup Tables'!$A$82:$E$100)/1000, (Q199*O199)/1000))), "")</f>
        <v/>
      </c>
      <c r="S199" s="595"/>
      <c r="T199" s="105" t="str">
        <f t="shared" si="452"/>
        <v/>
      </c>
      <c r="U199" s="105" t="str">
        <f>IF(S199="","",COUNT($S$11:S199))</f>
        <v/>
      </c>
      <c r="V199" s="111"/>
      <c r="W199" s="112"/>
      <c r="X199" s="105" t="str">
        <f t="shared" si="453"/>
        <v/>
      </c>
      <c r="Y199" s="105" t="str">
        <f t="array" ref="Y199">IF(AND(OR(W199="Freezer Case Lighting", W199="Refrigerated Case Lighting with Doors"), 'General Information'!$X$18="LCI"),'Lookup Tables'!$Y$34, IF(V199="Custom", VLOOKUP(W199, 'Fixture Identities'!$A$974:$M$1023, 13, FALSE), IF(V199="No Change",'Lookup Tables'!$Y$29,IF(OR(V199="",W199=""),"",IF(AND(S199=0,S199&lt;I199,B199="Retrofit"),'Lookup Tables'!$Y$25, IF(B199="Retrofit", INDEX('Lookup Tables'!$AH$6:$AP$102, MATCH(1, ('Lookup Tables'!$AH$6:$AH$102=V199)*('Lookup Tables'!$AI$6:$AI$102=W199), 0), IF('Lighting Inventory'!E199="Interior", 4, 5)), INDEX('Lookup Tables'!$AH$114:$AP$154, MATCH(1, ('Lookup Tables'!$AH$114:$AH$154=V199)*('Lookup Tables'!$AI$114:$AI$154=W199), 0), IF('Lighting Inventory'!E199="Interior", 4, 5))))))))</f>
        <v/>
      </c>
      <c r="Z199" s="105" t="str">
        <f>IFERROR(INDEX('Lookup Tables'!$AH$158:$AH$172,MATCH('Lighting Inventory'!Y199,'Lookup Tables'!$AI$158:$AI$172,0)),"")</f>
        <v/>
      </c>
      <c r="AA199" s="105" t="str">
        <f>IF(AP199&gt;0,INDEX('Lookup Tables'!$AK$158:$AK$172,MATCH('Lighting Inventory'!Y199,'Lookup Tables'!$AI$158:$AI$172,0)),'Lighting Inventory'!Y199)</f>
        <v/>
      </c>
      <c r="AB199" s="105" t="str">
        <f t="array" ref="AB199">IF(V199="Custom", "Custom", IF(V199="", "", IF(V199="Not DLC or Energy Star", "General", IF(B199="New Construction", INDEX('Lookup Tables'!$AH$114:$AP$154,MATCH(1,('Lookup Tables'!$AH$114:$AH$154='Lighting Inventory'!V199)*('Lookup Tables'!$AI$114:$AI$154='Lighting Inventory'!W199),FALSE),8), INDEX('Lookup Tables'!$AH$6:$AP$102,MATCH(1,('Lookup Tables'!$AH$6:$AH$102='Lighting Inventory'!V199)*('Lookup Tables'!$AI$6:$AI$102='Lighting Inventory'!W199),FALSE),8)))))</f>
        <v/>
      </c>
      <c r="AC199" s="272" t="str">
        <f>IF(W199="","",IF(V199="Custom",CONCATENATE("$",'Lookup Tables'!$AM$101," ",'Lookup Tables'!$AN$101),CONCATENATE("$",INDEX('Lookup Tables'!$AM$6:$AM$102,MATCH('Lighting Inventory'!W199,'Lookup Tables'!$AI$6:$AI$102,0))," ",INDEX('Lookup Tables'!$AN$6:$AN$102,MATCH('Lighting Inventory'!W199,'Lookup Tables'!$AI$6:$AI$102,0)))))</f>
        <v/>
      </c>
      <c r="AD199" s="72"/>
      <c r="AE199" s="29"/>
      <c r="AF199" s="379"/>
      <c r="AG199" s="370" t="str">
        <f t="shared" si="401"/>
        <v/>
      </c>
      <c r="AH199" s="370" t="str">
        <f t="shared" si="454"/>
        <v/>
      </c>
      <c r="AI199" s="29"/>
      <c r="AJ199" s="29"/>
      <c r="AK199" s="110"/>
      <c r="AL199" s="375" t="str">
        <f>IF(OR(B199="", V199="", W199=""), "", IF(V199="No Change", K199, IF(V199="Remove Fixture", 0, IF(V199="Custom",VLOOKUP(W199,'Fixture Identities'!$A$6:$K$1023,10,FALSE),IF(AE199="", "← ENTER POST WATTS", 'Lighting Inventory'!AE199)))))</f>
        <v/>
      </c>
      <c r="AM199" s="376" t="str">
        <f t="shared" si="402"/>
        <v/>
      </c>
      <c r="AN199" s="29"/>
      <c r="AO199" s="671"/>
      <c r="AP199" s="29"/>
      <c r="AQ199" s="29"/>
      <c r="AR199" s="29"/>
      <c r="AS199" s="272" t="str">
        <f t="shared" si="455"/>
        <v/>
      </c>
      <c r="AT199" s="270" t="str">
        <f t="shared" si="403"/>
        <v/>
      </c>
      <c r="AU199" s="88" t="str">
        <f t="shared" si="503"/>
        <v/>
      </c>
      <c r="AV199" s="29"/>
      <c r="AW199" s="73"/>
      <c r="AX199" s="271" t="str">
        <f>IF(AND(AV199="Applicant",OR(AW199="", AW199="Use Default Facility Hours")),"← Choose Schedule",IF(F199="","",IF(W199="LED Exit Signs",8760,IF(OR(AV199="Prescribed",AV199=""),VLOOKUP(F199,'Lookup Tables'!$A$6:$G$59,IF(AB199="General", 6, 3),FALSE),VLOOKUP(AW199,'Lookup Tables'!$S$36:$U$43,2,FALSE)))))</f>
        <v/>
      </c>
      <c r="AY199" s="88" t="str">
        <f t="shared" si="404"/>
        <v/>
      </c>
      <c r="AZ199" s="270" t="str">
        <f>IFERROR(IF(F199="", "", IF(W199="LED Exit Signs", 1, IF(AV199="Applicant",VLOOKUP(AW199, 'Lookup Tables'!$S$36:$U$43,3, FALSE), VLOOKUP('Lighting Inventory'!F199, 'Lookup Tables'!$A$6:$H$59, IF('Lighting Inventory'!AB199="General",7,4), FALSE)))), "")</f>
        <v/>
      </c>
      <c r="BA199" s="522" t="str">
        <f>IFERROR(IF(F199="", "", IF(W199="LED Exit Signs", 1, VLOOKUP('Lighting Inventory'!F199, 'Lookup Tables'!$A$6:$H$59, IF('Lighting Inventory'!AB199="General",8,5), FALSE))), "")</f>
        <v/>
      </c>
      <c r="BB199" s="270" t="str">
        <f>IF(G199="", "", IF(E199="Exterior", 0, IF('Lighting Inventory'!G199="Air Conditioned", VLOOKUP(H199, 'Lookup Tables'!$R$6:$T$13, 2, FALSE), VLOOKUP('Lighting Inventory'!G199, 'Lookup Tables'!$R$6:$T$13, 2, FALSE))))</f>
        <v/>
      </c>
      <c r="BC199" s="522" t="str">
        <f>IF(G199="", "", IF(E199="Exterior", 0, IF('Lighting Inventory'!G199="Air Conditioned", VLOOKUP(H199, 'Lookup Tables'!$R$6:$T$13, 3, FALSE), VLOOKUP('Lighting Inventory'!G199, 'Lookup Tables'!$R$6:$T$13, 3, FALSE))))</f>
        <v/>
      </c>
      <c r="BD199" s="270" t="str">
        <f>IF(G199="", "", IF(E199="Exterior", 0, IF('Lighting Inventory'!G199="Air Conditioned", VLOOKUP(H199, 'Lookup Tables'!$R$6:$U$13, 4, FALSE), VLOOKUP('Lighting Inventory'!G199, 'Lookup Tables'!$R$6:$U$13, 4, FALSE))))</f>
        <v/>
      </c>
      <c r="BE199" s="270" t="str">
        <f>IFERROR(IF(B199="", "",  IF(B199="New Construction", VLOOKUP(F199, 'Lookup Tables'!$A$6:$K$59, 11, FALSE),IF(OR(AN199="", AN199="Light Switch"), 0, IF(OR(M199="",M199="None",V199= "LED Exit Signs"),0,_xlfn.XLOOKUP(M199,'Lookup Tables'!$R$91:$R$101,'Lookup Tables'!$V$91:$V$101))))), "")</f>
        <v/>
      </c>
      <c r="BF199" s="270" t="str">
        <f>IF(AND(OR(AN199="Light Switch",AN199=""),B199="New Construction"), VLOOKUP(F199, 'Lookup Tables'!$A$6:$K$59, 11, FALSE),IF(AN199="","",IF(B199="","",IF(OR(AN199="None",AN199="",V199="LED Exit Signs",AN199="Exterior Controls Not Eligible"),0,_xlfn.XLOOKUP(AN199,'Lookup Tables'!$R$91:$R$101,'Lookup Tables'!$V$91:$V$101)))))</f>
        <v/>
      </c>
      <c r="BG199" s="88" t="str">
        <f t="shared" si="456"/>
        <v/>
      </c>
      <c r="BH199" s="88" t="str">
        <f t="shared" si="457"/>
        <v/>
      </c>
      <c r="BI199" s="558" t="str">
        <f t="shared" si="501"/>
        <v/>
      </c>
      <c r="BJ199" s="82" t="str">
        <f t="shared" si="458"/>
        <v/>
      </c>
      <c r="BK199" s="82" t="str">
        <f t="shared" si="459"/>
        <v/>
      </c>
      <c r="BL199" s="559" t="str">
        <f t="shared" si="460"/>
        <v/>
      </c>
      <c r="BM199" s="521" t="str">
        <f t="shared" si="405"/>
        <v/>
      </c>
      <c r="BN199" s="521" t="str">
        <f t="shared" si="406"/>
        <v/>
      </c>
      <c r="BO199" s="522" t="str">
        <f t="shared" si="407"/>
        <v/>
      </c>
      <c r="BP199" s="83" t="str">
        <f t="shared" si="461"/>
        <v/>
      </c>
      <c r="BQ199" s="84" t="str">
        <f t="shared" si="462"/>
        <v/>
      </c>
      <c r="BR199" s="184" t="str">
        <f>IFERROR(IF(B199="", "", IF(OR(VLOOKUP(J199, 'Fixture Identities'!$A$6:$L$1023, 3, FALSE)="T12 Linear Fluorescent",VLOOKUP(J199, 'Fixture Identities'!$A$6:$L$1023, 3, FALSE)="T12 U-Tube Fluorescent"), "Y", "N")), "N")</f>
        <v/>
      </c>
      <c r="BS199" s="184" t="str">
        <f t="array" ref="BS199">IFERROR(IF(OR(B199="", V199="", W199=""), "", IF(V199="Custom", "N", IF(OR(W199="Freezer Case Lighting", W199="Refrigerated Case Lighting with Doors"), BT199, IF(B199="Retrofit", INDEX('Lookup Tables'!$AH$6:$AT$102,MATCH(1,('Lookup Tables'!$AH$6:$AH$102=V199)*('Lookup Tables'!$AI$6:$AI$102=W199),FALSE),IF(VLOOKUP(J199, 'Fixture Identities'!$A$6:$B$1023, 2, FALSE)="Incandescent",12, 13)), INDEX('Lookup Tables'!$AH$114:$AS$154,MATCH(1,('Lookup Tables'!$AH$114:$AH$154=V199)*('Lookup Tables'!$AI$114:$AI$154=W199),FALSE),12))))), "N")</f>
        <v/>
      </c>
      <c r="BT199" s="184" t="str">
        <f>IF(J199="", "", IF(AND(OR(W199="Freezer case Lighting", W199="Refrigerated Case Lighting with Doors"),'General Information'!$X$18="LCI"), "N", IF(OR(VLOOKUP(J199, 'Fixture Identities'!$A$6:$B$1023, 2, FALSE)="T12 EPACT/EISA Baseline", VLOOKUP(J199, 'Fixture Identities'!$A$6:$B$1023, 2, FALSE)="Linear Fluorescent", VLOOKUP(J199, 'Fixture Identities'!$A$6:$B$1023, 2, FALSE)="U-Tube Fluorescent"), "Y", "N")))</f>
        <v/>
      </c>
      <c r="BU199" s="184" t="str">
        <f>IFERROR(IF(B199="", "", IF(VLOOKUP(J199, 'Fixture Identities'!$A$6:$B$1023, 2, FALSE)="Exit Sign", "Y", "N")), "N")</f>
        <v/>
      </c>
      <c r="BV199" s="184" t="str">
        <f>IF(V199="Exit Signs", IF(VLOOKUP(J199, 'Fixture Identities'!$A$6:$B$1023, 2, FALSE)="Exit Sign", "N", "Y"), "")</f>
        <v/>
      </c>
      <c r="BW199" s="184" t="str">
        <f t="array" ref="BW199">IFERROR(IF(B199="", "", IF(B199="New Construction", "N", INDEX('Lookup Tables'!$AH$6:$AU$102, MATCH(1, ('Lookup Tables'!$AH$6:$AH$102='Lighting Inventory'!V199)*('Lookup Tables'!$AI$6:$AI$102='Lighting Inventory'!W199), 0), 14))), "N")</f>
        <v/>
      </c>
      <c r="BX199" s="598" t="str">
        <f t="shared" si="463"/>
        <v/>
      </c>
      <c r="BY199" s="598" t="str">
        <f t="shared" si="464"/>
        <v/>
      </c>
      <c r="BZ199" s="598" t="str">
        <f t="shared" si="465"/>
        <v/>
      </c>
      <c r="CA199" s="598" t="str">
        <f t="shared" si="466"/>
        <v/>
      </c>
      <c r="CB199" s="269" t="str">
        <f t="shared" si="467"/>
        <v/>
      </c>
      <c r="CC199" s="517" t="str">
        <f t="shared" si="468"/>
        <v/>
      </c>
      <c r="CD199" s="565" t="str">
        <f t="shared" si="408"/>
        <v/>
      </c>
      <c r="CE199" s="368">
        <v>0</v>
      </c>
      <c r="CF199" s="368" t="str" cm="1">
        <f t="array" ref="CF199">IFERROR(IF(V199="Custom", "$0.1 per kWh", IF(B199="New Construction", CONCATENATE("$",INDEX('Lookup Tables'!$AH$114:$AN$154,MATCH(1,('Lookup Tables'!$AH$114:$AH$154='Lighting Inventory'!V199)*('Lookup Tables'!$AI$114:$AI$154='Lighting Inventory'!W199),FALSE),6)," ",INDEX('Lookup Tables'!$AH$114:$AN$154,MATCH(1,('Lookup Tables'!$AH$114:$AH$154='Lighting Inventory'!V199)*('Lookup Tables'!$AI$114:$AI$154='Lighting Inventory'!W199),FALSE),7)), IF(AND(BU199="N", V199="Exit Signs"), "$0.025 per kWh", CONCATENATE("$",INDEX('Lookup Tables'!$AH$6:$AN$102,MATCH(1,('Lookup Tables'!$AH$6:$AH$102='Lighting Inventory'!V199)*('Lookup Tables'!$AI$6:$AI$102='Lighting Inventory'!W199),FALSE),6)," ",INDEX('Lookup Tables'!$AH$6:$AN$102,MATCH(1,('Lookup Tables'!$AH$6:$AH$102='Lighting Inventory'!V199)*('Lookup Tables'!$AI$6:$AI$102='Lighting Inventory'!W199),FALSE),7))))), "")</f>
        <v/>
      </c>
      <c r="CG199" s="366"/>
      <c r="CH199" s="248" t="str">
        <f t="shared" si="409"/>
        <v/>
      </c>
      <c r="CI199" s="248" t="str">
        <f t="shared" si="410"/>
        <v>Select_IE</v>
      </c>
      <c r="CJ199" s="248" t="str">
        <f t="shared" si="411"/>
        <v/>
      </c>
      <c r="CK199" s="248" t="str">
        <f t="shared" si="412"/>
        <v/>
      </c>
      <c r="CL199" s="248" t="str">
        <f t="shared" si="413"/>
        <v/>
      </c>
      <c r="CM199" s="248" t="str">
        <f>IFERROR(IF(B199="", "", IF(B199="New Construction", VLOOKUP(V199, 'Lookup Tables'!$AF$114:$AG$120, 2, FALSE), VLOOKUP(V199, 'Lookup Tables'!$AD$6:$AE$25, 2, FALSE))), "")</f>
        <v/>
      </c>
      <c r="CN199" s="248" t="str">
        <f t="shared" si="414"/>
        <v/>
      </c>
      <c r="CO199" s="248" t="str">
        <f t="shared" si="415"/>
        <v/>
      </c>
      <c r="CP199" s="592" t="str">
        <f t="shared" si="416"/>
        <v/>
      </c>
      <c r="CQ199" s="248" t="str">
        <f t="shared" si="469"/>
        <v/>
      </c>
      <c r="CR199" s="100"/>
      <c r="CS199" s="250" t="str">
        <f t="shared" si="417"/>
        <v/>
      </c>
      <c r="CT199" s="250" t="str">
        <f t="shared" si="470"/>
        <v/>
      </c>
      <c r="CU199" s="250" t="str">
        <f t="shared" si="471"/>
        <v/>
      </c>
      <c r="CV199" s="250" t="str">
        <f t="shared" si="472"/>
        <v/>
      </c>
      <c r="CW199" s="250" t="str">
        <f t="shared" si="473"/>
        <v/>
      </c>
      <c r="CX199" s="250" t="str">
        <f t="shared" si="418"/>
        <v/>
      </c>
      <c r="CY199" s="250" t="str">
        <f t="shared" si="419"/>
        <v/>
      </c>
      <c r="CZ199" s="250" t="str">
        <f t="shared" si="420"/>
        <v/>
      </c>
      <c r="DA199" s="250" t="str">
        <f t="shared" si="421"/>
        <v/>
      </c>
      <c r="DB199" s="250" t="str">
        <f t="shared" si="422"/>
        <v/>
      </c>
      <c r="DC199" s="250" t="str">
        <f t="shared" si="423"/>
        <v/>
      </c>
      <c r="DD199" s="250" t="str">
        <f t="shared" si="424"/>
        <v/>
      </c>
      <c r="DE199" s="250" t="str">
        <f t="shared" si="425"/>
        <v/>
      </c>
      <c r="DF199" s="250" t="str">
        <f t="shared" si="426"/>
        <v/>
      </c>
      <c r="DG199" s="250" t="str">
        <f t="shared" si="427"/>
        <v/>
      </c>
      <c r="DH199" s="250" t="str">
        <f t="shared" si="428"/>
        <v/>
      </c>
      <c r="DI199" s="250" t="str">
        <f t="shared" si="429"/>
        <v/>
      </c>
      <c r="DJ199" s="250" t="str">
        <f t="shared" si="430"/>
        <v/>
      </c>
      <c r="DK199" s="250" t="str">
        <f t="shared" si="431"/>
        <v/>
      </c>
      <c r="DL199" s="250" t="str">
        <f t="shared" si="432"/>
        <v/>
      </c>
      <c r="DM199" s="250" t="str">
        <f>IF(CD199="ERROR", "ERROR", IF(AND(OR(Y199=$DM$6, Y199='Lookup Tables'!$AD$21, Y199='Lookup Tables'!$AD$22), E199="Interior"), BJ199, ""))</f>
        <v/>
      </c>
      <c r="DN199" s="250" t="str">
        <f>IF(CD199="ERROR", "ERROR", IF(AND(OR(Y199=$DM$6, Y199='Lookup Tables'!$AD$21, Y199='Lookup Tables'!$AD$22), E199="Exterior"), BJ199, ""))</f>
        <v/>
      </c>
      <c r="DO199" s="100"/>
      <c r="DP199" s="250" t="str">
        <f t="shared" si="433"/>
        <v/>
      </c>
      <c r="DQ199" s="250" t="str">
        <f t="shared" si="474"/>
        <v/>
      </c>
      <c r="DR199" s="250" t="str">
        <f t="shared" si="475"/>
        <v/>
      </c>
      <c r="DS199" s="250" t="str">
        <f t="shared" si="476"/>
        <v/>
      </c>
      <c r="DT199" s="250" t="str">
        <f t="shared" si="477"/>
        <v/>
      </c>
      <c r="DU199" s="250" t="str">
        <f t="shared" si="434"/>
        <v/>
      </c>
      <c r="DV199" s="250" t="str">
        <f t="shared" si="435"/>
        <v/>
      </c>
      <c r="DW199" s="250" t="str">
        <f t="shared" si="436"/>
        <v/>
      </c>
      <c r="DX199" s="250" t="str">
        <f t="shared" si="437"/>
        <v/>
      </c>
      <c r="DY199" s="250" t="str">
        <f t="shared" si="438"/>
        <v/>
      </c>
      <c r="DZ199" s="250" t="str">
        <f t="shared" si="439"/>
        <v/>
      </c>
      <c r="EA199" s="250" t="str">
        <f t="shared" si="440"/>
        <v/>
      </c>
      <c r="EB199" s="250" t="str">
        <f t="shared" si="478"/>
        <v/>
      </c>
      <c r="EC199" s="250" t="str">
        <f t="shared" si="441"/>
        <v/>
      </c>
      <c r="ED199" s="250" t="str">
        <f t="shared" si="442"/>
        <v/>
      </c>
      <c r="EE199" s="250" t="str">
        <f t="shared" si="443"/>
        <v/>
      </c>
      <c r="EF199" s="250" t="str">
        <f t="shared" si="444"/>
        <v/>
      </c>
      <c r="EG199" s="250" t="str">
        <f t="shared" si="445"/>
        <v/>
      </c>
      <c r="EH199" s="250" t="str">
        <f>IF(CD199="ERROR", "ERROR", IF(AND(OR($EH$6=Y199, Y199='Lookup Tables'!$AD$21, Y199='Lookup Tables'!$AD$22),E199="Interior"), SUM(BP199:BP199), ""))</f>
        <v/>
      </c>
      <c r="EI199" s="250" t="str">
        <f>IF(CD199="ERROR", "ERROR", IF(AND(OR($EH$6=Y199, Y199='Lookup Tables'!$AD$21, Y199='Lookup Tables'!$AD$22),E199="Exterior"), SUM(BP199:BP199), ""))</f>
        <v/>
      </c>
      <c r="EJ199" s="109"/>
      <c r="EK199" s="485" t="str">
        <f t="shared" si="446"/>
        <v/>
      </c>
      <c r="EL199" s="252" t="str">
        <f t="shared" si="479"/>
        <v/>
      </c>
      <c r="EM199" s="252" t="str">
        <f t="shared" si="480"/>
        <v/>
      </c>
      <c r="EN199" s="252" t="str">
        <f t="shared" si="481"/>
        <v/>
      </c>
      <c r="EO199" s="252" t="str">
        <f t="shared" si="482"/>
        <v/>
      </c>
      <c r="EP199" s="252" t="str">
        <f t="shared" si="483"/>
        <v/>
      </c>
      <c r="EQ199" s="252" t="str">
        <f t="shared" si="484"/>
        <v/>
      </c>
      <c r="ER199" s="252" t="str">
        <f t="shared" si="485"/>
        <v/>
      </c>
      <c r="ES199" s="252" t="str">
        <f t="shared" si="486"/>
        <v/>
      </c>
      <c r="ET199" s="252" t="str">
        <f t="shared" si="487"/>
        <v/>
      </c>
      <c r="EU199" s="252" t="str">
        <f t="shared" si="488"/>
        <v/>
      </c>
      <c r="EV199" s="252" t="str">
        <f t="shared" si="489"/>
        <v/>
      </c>
      <c r="EW199" s="252" t="str">
        <f t="shared" si="490"/>
        <v/>
      </c>
      <c r="EX199" s="252" t="str">
        <f t="shared" si="491"/>
        <v/>
      </c>
      <c r="EY199" s="252" t="str">
        <f t="shared" si="492"/>
        <v/>
      </c>
      <c r="EZ199" s="252" t="str">
        <f t="shared" si="493"/>
        <v/>
      </c>
      <c r="FA199" s="252" t="str">
        <f t="shared" si="494"/>
        <v/>
      </c>
      <c r="FB199" s="252" t="str">
        <f t="shared" si="495"/>
        <v/>
      </c>
      <c r="FC199" s="252" t="str">
        <f>IF(CD199="ERROR", "ERROR", IF(OR(V199="No Change", V199="Not DLC or Energy Star"), "", IF(AND(OR($FC$6=Y199,Y199='Lookup Tables'!$AD$21, Y199='Lookup Tables'!$AD$22),E199="Interior"), S199, "")))</f>
        <v/>
      </c>
      <c r="FD199" s="252" t="str">
        <f t="shared" si="496"/>
        <v/>
      </c>
      <c r="FE199" s="101"/>
      <c r="FF199" s="579" t="str" cm="1">
        <f t="array" ref="FF199">IFERROR(IF(OR(BQ199&lt;=0,AQ199&lt;20,AND(V199="Exit Signs",AN199&gt;0)),"",IF(AND(AQ199&gt;=20,AN199='Lookup Tables'!$R$101),'Lookup Tables'!$U$101*BQ199,AP199*LOOKUP(2,1/((AN199='Lookup Tables'!$R$91:$R$111)*(AQ199&gt;='Lookup Tables'!$S$91:$S$111)*(AQ199&lt;='Lookup Tables'!$T$91:$T$111)),'Lookup Tables'!$U$91:$U$111))),"")</f>
        <v/>
      </c>
      <c r="FG199" s="579"/>
      <c r="FH199" s="579"/>
      <c r="FI199" s="253" t="str">
        <f>IFERROR(ROUND(IF(CD199="ERROR", "ERROR", IF(AND($FI$7=X199,E199="Interior"),VLOOKUP(W199, 'Lookup Tables'!$AI$6:$AM$102, 5, FALSE)*BP199, "")), 2), "")</f>
        <v/>
      </c>
      <c r="FJ199" s="253" t="str">
        <f>IFERROR(ROUND(IF(CD199="ERROR", "ERROR", IF(AND($FI$7=X199,E199="Exterior"),VLOOKUP(W199, 'Lookup Tables'!$AI$6:$AM$102, 5, FALSE)*BP199, "")), 2), "")</f>
        <v/>
      </c>
      <c r="FK199" s="253" t="str">
        <f>IFERROR(ROUND(IF(CD199="ERROR", "ERROR", IF(AND($FK$7=X199,E199="Interior"),VLOOKUP(W199, 'Lookup Tables'!$AI$6:$AM$102, 5, FALSE)*BP199, "")), 2), "")</f>
        <v/>
      </c>
      <c r="FL199" s="253" t="str">
        <f>IFERROR(ROUND(IF(CD199="ERROR", "ERROR", IF(AND($FK$7=X199,E199="Exterior"),VLOOKUP(W199, 'Lookup Tables'!$AI$6:$AM$102, 5, FALSE)*BP199, "")), 2), "")</f>
        <v/>
      </c>
      <c r="FM199" s="253" t="str">
        <f>IFERROR(ROUND(IF(CD199="ERROR", "ERROR", IF(AND($FM$6=Y199,E199="Interior"), IF(GB199=0, VLOOKUP(W199, 'Lookup Tables'!$AI$6:$AM$102, 5, FALSE)*BP199, IF(VLOOKUP(W199, 'Lookup Tables'!$AI$6:$AM$102, 5, FALSE)*BP199&gt;GB199*'Lighting Inventory'!S199, GB199*'Lighting Inventory'!S199,VLOOKUP(W199, 'Lookup Tables'!$AI$6:$AM$102, 5, FALSE)*BP199)), "")), 2), "")</f>
        <v/>
      </c>
      <c r="FN199" s="253" t="str">
        <f>IFERROR(ROUND(IF(CD199="ERROR", "ERROR", IF(AND($FM$6=Y199,E199="Exterior"), IF(GB199=0, VLOOKUP(W199, 'Lookup Tables'!$AI$6:$AM$102, 5, FALSE)*BP199, IF(VLOOKUP(W199, 'Lookup Tables'!$AI$6:$AM$102, 5, FALSE)*BP199&gt;GB199*'Lighting Inventory'!S199, GB199*'Lighting Inventory'!S199,VLOOKUP(W199, 'Lookup Tables'!$AI$6:$AM$102, 5, FALSE)*BP199)), "")), 2), "")</f>
        <v/>
      </c>
      <c r="FO199" s="253" t="str">
        <f>IFERROR(ROUND(IF(CD199="ERROR", "ERROR", IF(AND($FO$6=Y199,E199="Interior"),VLOOKUP(W199, 'Lookup Tables'!$AI$6:$AM$102, 5, FALSE)*'Lighting Inventory'!AI199, "")), 2), "")</f>
        <v/>
      </c>
      <c r="FP199" s="253" t="str">
        <f>IFERROR(ROUND(IF(CD199="ERROR", "ERROR", IF(AND($FO$6=Y199,E199="Exterior"),VLOOKUP(W199, 'Lookup Tables'!$AI$6:$AM$102, 5, FALSE)*'Lighting Inventory'!AI199, "")), 2), "")</f>
        <v/>
      </c>
      <c r="FQ199" s="253" t="str">
        <f>IFERROR(ROUND(IF(CD199="ERROR", "ERROR", IF(AND($FQ$6=Y199,E199="Interior", BU199="Y"), VLOOKUP('Lighting Inventory'!W199, 'Lookup Tables'!$AI$6:$AM$102, 5, FALSE)*'Lighting Inventory'!S199, IF(AND($FQ$7=Y199,E199="Interior", BU199="N"), 0.025*CD199, ""))), 2), "")</f>
        <v/>
      </c>
      <c r="FR199" s="253" t="str">
        <f>IFERROR(ROUND(IF(CD199="ERROR", "ERROR", IF(AND($FQ$6=Y199,E199="Exterior"), VLOOKUP('Lighting Inventory'!W199, 'Lookup Tables'!$AI$6:$AM$102, 5, FALSE)*'Lighting Inventory'!S199, "")), 2), "")</f>
        <v/>
      </c>
      <c r="FS199" s="253" t="str">
        <f>IFERROR(ROUND(IF(CD199="ERROR", "ERROR", IF(AND($FS$6=Y199,E199="Exterior"), IF(GB199=0, VLOOKUP(W199, 'Lookup Tables'!$AI$6:$AM$102, 5, FALSE)*BP199, IF(VLOOKUP(W199, 'Lookup Tables'!$AI$6:$AM$102, 5, FALSE)*BP199&gt;GB199*'Lighting Inventory'!S199, GB199*'Lighting Inventory'!S199,VLOOKUP(W199, 'Lookup Tables'!$AI$6:$AM$102, 5, FALSE)*BP199)), "")), 2), "")</f>
        <v/>
      </c>
      <c r="FT199" s="253" t="str">
        <f>IFERROR(ROUND(IF(CD199="ERROR", "ERROR", IF(AND($FT$6=Y199,E199="Interior"), IF(GB199=0, VLOOKUP(W199, 'Lookup Tables'!$AI$6:$AM$102, 5, FALSE)*BP199, IF(VLOOKUP(W199, 'Lookup Tables'!$AI$6:$AM$102, 5, FALSE)*BP199&gt;GB199*'Lighting Inventory'!S199, GB199*'Lighting Inventory'!S199,VLOOKUP(W199, 'Lookup Tables'!$AI$6:$AM$102, 5, FALSE)*BP199)), "")), 2), "")</f>
        <v/>
      </c>
      <c r="FU199" s="253" t="str">
        <f>IFERROR(ROUND(IF(CD199="ERROR", "ERROR", IF(AND(Y199=$FU$6, E199="Interior"), IF(BS199="N", 'Lookup Tables'!$AM$101*BP199, VLOOKUP(W199, 'Lookup Tables'!$AI$6:$AM$102, 5, FALSE)*S199*AD199), "")), 2), "")</f>
        <v/>
      </c>
      <c r="FV199" s="253" t="str">
        <f>IFERROR(ROUND(IF(CD199="ERROR", "ERROR", IF(AND(Y199=$FU$6, E199="Exterior"), IF(BS199="N", 'Lookup Tables'!$AM$101*BP199, VLOOKUP(W199, 'Lookup Tables'!$AI$6:$AM$102, 5, FALSE)*S199*AD199), "")), 2), "")</f>
        <v/>
      </c>
      <c r="FW199" s="253" t="str">
        <f>IFERROR(ROUND(IF(CD199="ERROR", "ERROR", IF($FW$6=Y199, IF(BS199="N", 'Lookup Tables'!$AM$101*BP199, MIN((VLOOKUP(W199, 'Lookup Tables'!$AI$6:$AM$102, 5, FALSE)*BP199),GB199*AJ199)), "")), 2), "")</f>
        <v/>
      </c>
      <c r="FX199" s="253" t="str">
        <f>IFERROR(ROUND(IF(CD199="ERROR", "ERROR", IF(AND($FX$6=Y199, E199="Interior"), IF(VLOOKUP(W199, 'Lookup Tables'!$AI$6:$AM$102, 5, FALSE)*BP199&gt;'Lookup Tables'!$AQ$97*'Lighting Inventory'!S199,'Lighting Inventory'!S199*'Lookup Tables'!$AQ$97,VLOOKUP(W199, 'Lookup Tables'!$AI$6:$AM$102, 5, FALSE)*BP199), "")), 2), "")</f>
        <v/>
      </c>
      <c r="FY199" s="253" t="str">
        <f>IFERROR(ROUND(IF(CD199="ERROR", "ERROR", IF(AND($FX$6=Y199, E199="Exterior"), IF(VLOOKUP(W199, 'Lookup Tables'!$AI$6:$AM$102, 5, FALSE)*BP199&gt;'Lookup Tables'!$AQ$97*'Lighting Inventory'!S199,'Lighting Inventory'!S199*'Lookup Tables'!$AQ$97,VLOOKUP(W199, 'Lookup Tables'!$AI$6:$AM$102, 5, FALSE)*BP199), "")), 2), "")</f>
        <v/>
      </c>
      <c r="FZ199" s="253" t="str">
        <f>IFERROR(ROUND(IF(CD199="ERROR", "ERROR", IF(AND($FZ$6=Y199, E199="Interior"), IF(AND(OR(W199="Refrigerated Case Lighting with Doors", W199="Freezer Case Lighting"),Y199="Custom - Process Improvement"),CD199*'Lookup Tables'!$AM$101, IF(B199="Retrofit", IF(VLOOKUP(IF(V199="Custom", V199, W199), 'Lookup Tables'!$AI$6:$AM$102, 5, FALSE)*BP199&gt;GE199, GE199, VLOOKUP(IF(V199="Custom", V199, W199), 'Lookup Tables'!$AI$6:$AM$102, 5, FALSE)*BP199), IF(VLOOKUP(IF(V199="Custom", V199, W199), 'Lookup Tables'!$AI$114:$AM$154, 5, FALSE)*BP199&gt;GE199, GE199, VLOOKUP(IF(V199="Custom", V199, W199), 'Lookup Tables'!$AI$114:$AM$154, 5, FALSE)*BP199))), "")), 2),"")</f>
        <v/>
      </c>
      <c r="GA199" s="253" t="str">
        <f>IFERROR(ROUND(IF(CD199="ERROR", "ERROR", IF(AND($FZ$6=Y199, E199="Exterior"), IF(B199="Retrofit", IF(VLOOKUP(IF(V199="Custom", V199, W199), 'Lookup Tables'!$AI$6:$AM$102, 5, FALSE)*BP199&gt;GE199, GE199, VLOOKUP(IF(V199="Custom", V199, W199), 'Lookup Tables'!$AI$6:$AM$102, 5, FALSE)*BP199), IF(VLOOKUP(IF(V199="Custom", V199, W199), 'Lookup Tables'!$AI$114:$AM$154, 5, FALSE)*BP199&gt;GE199, GE199, VLOOKUP(IF(V199="Custom", V199, W199), 'Lookup Tables'!$AI$114:$AM$154, 5, FALSE)*BP199)), "")), 2),"")</f>
        <v/>
      </c>
      <c r="GB199" s="254" t="str">
        <f t="array" ref="GB199">IF(B199="","",IF(OR(V199="Custom",V199="No Change"),0,IF(B199="Retrofit", INDEX('Lookup Tables'!$AH$6:$AQ$102,MATCH(1,('Lookup Tables'!$AH$6:$AH$102='Lighting Inventory'!V199)*('Lookup Tables'!$AI$6:$AI$102='Lighting Inventory'!W199),FALSE),10),INDEX('Lookup Tables'!$AH$114:$AQ$154,MATCH(1,('Lookup Tables'!$AH$114:$AH$154='Lighting Inventory'!V199)*('Lookup Tables'!$AI$114:$AI$154='Lighting Inventory'!W199),FALSE),10))))</f>
        <v/>
      </c>
      <c r="GC199" s="255" t="str">
        <f t="shared" si="447"/>
        <v/>
      </c>
      <c r="GD199" s="250" t="str">
        <f t="shared" si="448"/>
        <v/>
      </c>
      <c r="GE199" s="253" t="str">
        <f>IFERROR(IF(AND(AF199="", 'General Information'!$F$18="No"),"", IF(AF199="", ((GD199/$CD$266)*$CF$266)*0.5, AF199*S199*0.5)), "")</f>
        <v/>
      </c>
      <c r="GF199" s="255" t="str">
        <f>IF(AND('General Information'!$F$19="", 'General Information'!$F$18="Yes",AF199="",BW199="Y"), "Y", "N")</f>
        <v>N</v>
      </c>
      <c r="GG199" s="255" t="s">
        <v>2946</v>
      </c>
      <c r="GH199" s="255" t="str">
        <f>IFERROR(IF(B199="", "", VLOOKUP(J199, 'Fixture Identities'!$A$6:$N$908, 14, FALSE)), "")</f>
        <v/>
      </c>
      <c r="GI199" s="389" t="str">
        <f>IF(OR(B199="", V199="", W199=""), "", IF(AND(OR(M199='Lookup Tables'!$R$18, M199='Lookup Tables'!$R$19, M199='Lookup Tables'!$R$20, M199='Lookup Tables'!$R$21, M199='Lookup Tables'!$R$22), OR(AN199='Lookup Tables'!$R$17, AN199='Lookup Tables'!$R$17, AN199="")), "Y", "N"))</f>
        <v/>
      </c>
      <c r="GJ199" s="255" t="str">
        <f t="shared" si="449"/>
        <v/>
      </c>
      <c r="GK199" s="255" t="str">
        <f t="shared" si="450"/>
        <v/>
      </c>
      <c r="GL199" s="255" t="str">
        <f t="shared" si="451"/>
        <v/>
      </c>
      <c r="GM199" s="255" t="str">
        <f>IF(AN199="", "", IF(AND(IF(ISNA(VLOOKUP(AN199,'Lookup Tables'!$R$18:$R$22,1,FALSE)), "N", "Y")="Y", E199="Exterior"), "Y", "N"))</f>
        <v/>
      </c>
      <c r="GN199" s="395"/>
      <c r="GO199" s="428">
        <f t="shared" si="497"/>
        <v>0</v>
      </c>
      <c r="GP199" s="428">
        <f t="shared" si="500"/>
        <v>0</v>
      </c>
      <c r="GQ199" s="428">
        <f t="shared" si="498"/>
        <v>0</v>
      </c>
      <c r="GR199" s="428">
        <f t="shared" si="499"/>
        <v>0</v>
      </c>
    </row>
    <row r="200" spans="1:200" s="103" customFormat="1" ht="13.5" customHeight="1" x14ac:dyDescent="0.2">
      <c r="A200" s="272">
        <v>190</v>
      </c>
      <c r="B200" s="110"/>
      <c r="C200" s="110"/>
      <c r="D200" s="110"/>
      <c r="E200" s="110"/>
      <c r="F200" s="110"/>
      <c r="G200" s="110"/>
      <c r="H200" s="110"/>
      <c r="I200" s="29"/>
      <c r="J200" s="29"/>
      <c r="K200" s="272" t="str">
        <f>IFERROR(IF(OR(VLOOKUP(J200, 'Fixture Identities'!$A$6:$L$1023, 3, FALSE)="T12 Linear Fluorescent", VLOOKUP(J200, 'Fixture Identities'!$A$6:$L$1023, 3, FALSE)="T12 U-Tube Fluorescent"), VLOOKUP(VLOOKUP(J200, 'Fixture Identities'!$A$6:$L$1023, 11, FALSE), 'Fixture Identities'!$A$6:$L$1023, 10, FALSE), VLOOKUP(J200, 'Fixture Identities'!$A$6:$L$1023, 10, FALSE)), "")</f>
        <v/>
      </c>
      <c r="L200" s="270" t="str">
        <f t="shared" si="502"/>
        <v/>
      </c>
      <c r="M200" s="110"/>
      <c r="N200" s="110"/>
      <c r="O200" s="110"/>
      <c r="P200" s="272" t="str">
        <f>IFERROR(IF(OR(B200="Retrofit",B200=""),"",IF('Lighting Inventory'!E200="Exterior",VLOOKUP('Lighting Inventory'!N200,'Lookup Tables'!$B$83:$F$103,5,FALSE),IF(N200="Other - Please Estimate EFLH and CFs","Contact Prog. Rep.","ft^2"))), "")</f>
        <v/>
      </c>
      <c r="Q200" s="270" t="str">
        <f>IFERROR(IF(AND(B200="New Construction",E200="Interior",$F$5="Space-by-Space"),VLOOKUP('Lighting Inventory'!N200,'Lookup Tables'!$N$6:$O$97,2,FALSE),IF(AND(B200="New Construction",E200="Exterior"),VLOOKUP(N200,'Lookup Tables'!$B$83:$F$103,2,FALSE),IF(AND(B200="New Construction",'Lighting Inventory'!E200="Interior", $F$5="Building Area"),VLOOKUP(F200,'Lookup Tables'!$A$6:$J$59,10,FALSE),""))), "")</f>
        <v/>
      </c>
      <c r="R200" s="270" t="str">
        <f>IFERROR(IF(P200="Contact Prog. Rep.", "ERROR", IF(OR(B200="",B200="Retrofit"),"",IF(N200="Automated teller machines", ('Lookup Tables'!$A$82:$E$100+('Lighting Inventory'!O200-1)*'Lookup Tables'!$A$82:$E$100)/1000, (Q200*O200)/1000))), "")</f>
        <v/>
      </c>
      <c r="S200" s="595"/>
      <c r="T200" s="105" t="str">
        <f t="shared" si="452"/>
        <v/>
      </c>
      <c r="U200" s="105" t="str">
        <f>IF(S200="","",COUNT($S$11:S200))</f>
        <v/>
      </c>
      <c r="V200" s="111"/>
      <c r="W200" s="112"/>
      <c r="X200" s="105" t="str">
        <f t="shared" si="453"/>
        <v/>
      </c>
      <c r="Y200" s="105" t="str">
        <f t="array" ref="Y200">IF(AND(OR(W200="Freezer Case Lighting", W200="Refrigerated Case Lighting with Doors"), 'General Information'!$X$18="LCI"),'Lookup Tables'!$Y$34, IF(V200="Custom", VLOOKUP(W200, 'Fixture Identities'!$A$974:$M$1023, 13, FALSE), IF(V200="No Change",'Lookup Tables'!$Y$29,IF(OR(V200="",W200=""),"",IF(AND(S200=0,S200&lt;I200,B200="Retrofit"),'Lookup Tables'!$Y$25, IF(B200="Retrofit", INDEX('Lookup Tables'!$AH$6:$AP$102, MATCH(1, ('Lookup Tables'!$AH$6:$AH$102=V200)*('Lookup Tables'!$AI$6:$AI$102=W200), 0), IF('Lighting Inventory'!E200="Interior", 4, 5)), INDEX('Lookup Tables'!$AH$114:$AP$154, MATCH(1, ('Lookup Tables'!$AH$114:$AH$154=V200)*('Lookup Tables'!$AI$114:$AI$154=W200), 0), IF('Lighting Inventory'!E200="Interior", 4, 5))))))))</f>
        <v/>
      </c>
      <c r="Z200" s="105" t="str">
        <f>IFERROR(INDEX('Lookup Tables'!$AH$158:$AH$172,MATCH('Lighting Inventory'!Y200,'Lookup Tables'!$AI$158:$AI$172,0)),"")</f>
        <v/>
      </c>
      <c r="AA200" s="105" t="str">
        <f>IF(AP200&gt;0,INDEX('Lookup Tables'!$AK$158:$AK$172,MATCH('Lighting Inventory'!Y200,'Lookup Tables'!$AI$158:$AI$172,0)),'Lighting Inventory'!Y200)</f>
        <v/>
      </c>
      <c r="AB200" s="105" t="str">
        <f t="array" ref="AB200">IF(V200="Custom", "Custom", IF(V200="", "", IF(V200="Not DLC or Energy Star", "General", IF(B200="New Construction", INDEX('Lookup Tables'!$AH$114:$AP$154,MATCH(1,('Lookup Tables'!$AH$114:$AH$154='Lighting Inventory'!V200)*('Lookup Tables'!$AI$114:$AI$154='Lighting Inventory'!W200),FALSE),8), INDEX('Lookup Tables'!$AH$6:$AP$102,MATCH(1,('Lookup Tables'!$AH$6:$AH$102='Lighting Inventory'!V200)*('Lookup Tables'!$AI$6:$AI$102='Lighting Inventory'!W200),FALSE),8)))))</f>
        <v/>
      </c>
      <c r="AC200" s="272" t="str">
        <f>IF(W200="","",IF(V200="Custom",CONCATENATE("$",'Lookup Tables'!$AM$101," ",'Lookup Tables'!$AN$101),CONCATENATE("$",INDEX('Lookup Tables'!$AM$6:$AM$102,MATCH('Lighting Inventory'!W200,'Lookup Tables'!$AI$6:$AI$102,0))," ",INDEX('Lookup Tables'!$AN$6:$AN$102,MATCH('Lighting Inventory'!W200,'Lookup Tables'!$AI$6:$AI$102,0)))))</f>
        <v/>
      </c>
      <c r="AD200" s="72"/>
      <c r="AE200" s="29"/>
      <c r="AF200" s="379"/>
      <c r="AG200" s="370" t="str">
        <f t="shared" si="401"/>
        <v/>
      </c>
      <c r="AH200" s="370" t="str">
        <f t="shared" si="454"/>
        <v/>
      </c>
      <c r="AI200" s="29"/>
      <c r="AJ200" s="29"/>
      <c r="AK200" s="110"/>
      <c r="AL200" s="375" t="str">
        <f>IF(OR(B200="", V200="", W200=""), "", IF(V200="No Change", K200, IF(V200="Remove Fixture", 0, IF(V200="Custom",VLOOKUP(W200,'Fixture Identities'!$A$6:$K$1023,10,FALSE),IF(AE200="", "← ENTER POST WATTS", 'Lighting Inventory'!AE200)))))</f>
        <v/>
      </c>
      <c r="AM200" s="376" t="str">
        <f t="shared" si="402"/>
        <v/>
      </c>
      <c r="AN200" s="29"/>
      <c r="AO200" s="671"/>
      <c r="AP200" s="29"/>
      <c r="AQ200" s="29"/>
      <c r="AR200" s="29"/>
      <c r="AS200" s="272" t="str">
        <f t="shared" si="455"/>
        <v/>
      </c>
      <c r="AT200" s="270" t="str">
        <f t="shared" si="403"/>
        <v/>
      </c>
      <c r="AU200" s="88" t="str">
        <f t="shared" si="503"/>
        <v/>
      </c>
      <c r="AV200" s="29"/>
      <c r="AW200" s="73"/>
      <c r="AX200" s="271" t="str">
        <f>IF(AND(AV200="Applicant",OR(AW200="", AW200="Use Default Facility Hours")),"← Choose Schedule",IF(F200="","",IF(W200="LED Exit Signs",8760,IF(OR(AV200="Prescribed",AV200=""),VLOOKUP(F200,'Lookup Tables'!$A$6:$G$59,IF(AB200="General", 6, 3),FALSE),VLOOKUP(AW200,'Lookup Tables'!$S$36:$U$43,2,FALSE)))))</f>
        <v/>
      </c>
      <c r="AY200" s="88" t="str">
        <f t="shared" si="404"/>
        <v/>
      </c>
      <c r="AZ200" s="270" t="str">
        <f>IFERROR(IF(F200="", "", IF(W200="LED Exit Signs", 1, IF(AV200="Applicant",VLOOKUP(AW200, 'Lookup Tables'!$S$36:$U$43,3, FALSE), VLOOKUP('Lighting Inventory'!F200, 'Lookup Tables'!$A$6:$H$59, IF('Lighting Inventory'!AB200="General",7,4), FALSE)))), "")</f>
        <v/>
      </c>
      <c r="BA200" s="522" t="str">
        <f>IFERROR(IF(F200="", "", IF(W200="LED Exit Signs", 1, VLOOKUP('Lighting Inventory'!F200, 'Lookup Tables'!$A$6:$H$59, IF('Lighting Inventory'!AB200="General",8,5), FALSE))), "")</f>
        <v/>
      </c>
      <c r="BB200" s="270" t="str">
        <f>IF(G200="", "", IF(E200="Exterior", 0, IF('Lighting Inventory'!G200="Air Conditioned", VLOOKUP(H200, 'Lookup Tables'!$R$6:$T$13, 2, FALSE), VLOOKUP('Lighting Inventory'!G200, 'Lookup Tables'!$R$6:$T$13, 2, FALSE))))</f>
        <v/>
      </c>
      <c r="BC200" s="522" t="str">
        <f>IF(G200="", "", IF(E200="Exterior", 0, IF('Lighting Inventory'!G200="Air Conditioned", VLOOKUP(H200, 'Lookup Tables'!$R$6:$T$13, 3, FALSE), VLOOKUP('Lighting Inventory'!G200, 'Lookup Tables'!$R$6:$T$13, 3, FALSE))))</f>
        <v/>
      </c>
      <c r="BD200" s="270" t="str">
        <f>IF(G200="", "", IF(E200="Exterior", 0, IF('Lighting Inventory'!G200="Air Conditioned", VLOOKUP(H200, 'Lookup Tables'!$R$6:$U$13, 4, FALSE), VLOOKUP('Lighting Inventory'!G200, 'Lookup Tables'!$R$6:$U$13, 4, FALSE))))</f>
        <v/>
      </c>
      <c r="BE200" s="270" t="str">
        <f>IFERROR(IF(B200="", "",  IF(B200="New Construction", VLOOKUP(F200, 'Lookup Tables'!$A$6:$K$59, 11, FALSE),IF(OR(AN200="", AN200="Light Switch"), 0, IF(OR(M200="",M200="None",V200= "LED Exit Signs"),0,_xlfn.XLOOKUP(M200,'Lookup Tables'!$R$91:$R$101,'Lookup Tables'!$V$91:$V$101))))), "")</f>
        <v/>
      </c>
      <c r="BF200" s="270" t="str">
        <f>IF(AND(OR(AN200="Light Switch",AN200=""),B200="New Construction"), VLOOKUP(F200, 'Lookup Tables'!$A$6:$K$59, 11, FALSE),IF(AN200="","",IF(B200="","",IF(OR(AN200="None",AN200="",V200="LED Exit Signs",AN200="Exterior Controls Not Eligible"),0,_xlfn.XLOOKUP(AN200,'Lookup Tables'!$R$91:$R$101,'Lookup Tables'!$V$91:$V$101)))))</f>
        <v/>
      </c>
      <c r="BG200" s="88" t="str">
        <f t="shared" si="456"/>
        <v/>
      </c>
      <c r="BH200" s="88" t="str">
        <f t="shared" si="457"/>
        <v/>
      </c>
      <c r="BI200" s="558" t="str">
        <f t="shared" si="501"/>
        <v/>
      </c>
      <c r="BJ200" s="82" t="str">
        <f t="shared" si="458"/>
        <v/>
      </c>
      <c r="BK200" s="82" t="str">
        <f t="shared" si="459"/>
        <v/>
      </c>
      <c r="BL200" s="559" t="str">
        <f t="shared" si="460"/>
        <v/>
      </c>
      <c r="BM200" s="521" t="str">
        <f t="shared" si="405"/>
        <v/>
      </c>
      <c r="BN200" s="521" t="str">
        <f t="shared" si="406"/>
        <v/>
      </c>
      <c r="BO200" s="522" t="str">
        <f t="shared" si="407"/>
        <v/>
      </c>
      <c r="BP200" s="83" t="str">
        <f t="shared" si="461"/>
        <v/>
      </c>
      <c r="BQ200" s="84" t="str">
        <f t="shared" si="462"/>
        <v/>
      </c>
      <c r="BR200" s="184" t="str">
        <f>IFERROR(IF(B200="", "", IF(OR(VLOOKUP(J200, 'Fixture Identities'!$A$6:$L$1023, 3, FALSE)="T12 Linear Fluorescent",VLOOKUP(J200, 'Fixture Identities'!$A$6:$L$1023, 3, FALSE)="T12 U-Tube Fluorescent"), "Y", "N")), "N")</f>
        <v/>
      </c>
      <c r="BS200" s="184" t="str">
        <f t="array" ref="BS200">IFERROR(IF(OR(B200="", V200="", W200=""), "", IF(V200="Custom", "N", IF(OR(W200="Freezer Case Lighting", W200="Refrigerated Case Lighting with Doors"), BT200, IF(B200="Retrofit", INDEX('Lookup Tables'!$AH$6:$AT$102,MATCH(1,('Lookup Tables'!$AH$6:$AH$102=V200)*('Lookup Tables'!$AI$6:$AI$102=W200),FALSE),IF(VLOOKUP(J200, 'Fixture Identities'!$A$6:$B$1023, 2, FALSE)="Incandescent",12, 13)), INDEX('Lookup Tables'!$AH$114:$AS$154,MATCH(1,('Lookup Tables'!$AH$114:$AH$154=V200)*('Lookup Tables'!$AI$114:$AI$154=W200),FALSE),12))))), "N")</f>
        <v/>
      </c>
      <c r="BT200" s="184" t="str">
        <f>IF(J200="", "", IF(AND(OR(W200="Freezer case Lighting", W200="Refrigerated Case Lighting with Doors"),'General Information'!$X$18="LCI"), "N", IF(OR(VLOOKUP(J200, 'Fixture Identities'!$A$6:$B$1023, 2, FALSE)="T12 EPACT/EISA Baseline", VLOOKUP(J200, 'Fixture Identities'!$A$6:$B$1023, 2, FALSE)="Linear Fluorescent", VLOOKUP(J200, 'Fixture Identities'!$A$6:$B$1023, 2, FALSE)="U-Tube Fluorescent"), "Y", "N")))</f>
        <v/>
      </c>
      <c r="BU200" s="184" t="str">
        <f>IFERROR(IF(B200="", "", IF(VLOOKUP(J200, 'Fixture Identities'!$A$6:$B$1023, 2, FALSE)="Exit Sign", "Y", "N")), "N")</f>
        <v/>
      </c>
      <c r="BV200" s="184" t="str">
        <f>IF(V200="Exit Signs", IF(VLOOKUP(J200, 'Fixture Identities'!$A$6:$B$1023, 2, FALSE)="Exit Sign", "N", "Y"), "")</f>
        <v/>
      </c>
      <c r="BW200" s="184" t="str">
        <f t="array" ref="BW200">IFERROR(IF(B200="", "", IF(B200="New Construction", "N", INDEX('Lookup Tables'!$AH$6:$AU$102, MATCH(1, ('Lookup Tables'!$AH$6:$AH$102='Lighting Inventory'!V200)*('Lookup Tables'!$AI$6:$AI$102='Lighting Inventory'!W200), 0), 14))), "N")</f>
        <v/>
      </c>
      <c r="BX200" s="598" t="str">
        <f t="shared" si="463"/>
        <v/>
      </c>
      <c r="BY200" s="598" t="str">
        <f t="shared" si="464"/>
        <v/>
      </c>
      <c r="BZ200" s="598" t="str">
        <f t="shared" si="465"/>
        <v/>
      </c>
      <c r="CA200" s="598" t="str">
        <f t="shared" si="466"/>
        <v/>
      </c>
      <c r="CB200" s="269" t="str">
        <f t="shared" si="467"/>
        <v/>
      </c>
      <c r="CC200" s="517" t="str">
        <f t="shared" si="468"/>
        <v/>
      </c>
      <c r="CD200" s="565" t="str">
        <f t="shared" si="408"/>
        <v/>
      </c>
      <c r="CE200" s="368">
        <v>0</v>
      </c>
      <c r="CF200" s="368" t="str" cm="1">
        <f t="array" ref="CF200">IFERROR(IF(V200="Custom", "$0.1 per kWh", IF(B200="New Construction", CONCATENATE("$",INDEX('Lookup Tables'!$AH$114:$AN$154,MATCH(1,('Lookup Tables'!$AH$114:$AH$154='Lighting Inventory'!V200)*('Lookup Tables'!$AI$114:$AI$154='Lighting Inventory'!W200),FALSE),6)," ",INDEX('Lookup Tables'!$AH$114:$AN$154,MATCH(1,('Lookup Tables'!$AH$114:$AH$154='Lighting Inventory'!V200)*('Lookup Tables'!$AI$114:$AI$154='Lighting Inventory'!W200),FALSE),7)), IF(AND(BU200="N", V200="Exit Signs"), "$0.025 per kWh", CONCATENATE("$",INDEX('Lookup Tables'!$AH$6:$AN$102,MATCH(1,('Lookup Tables'!$AH$6:$AH$102='Lighting Inventory'!V200)*('Lookup Tables'!$AI$6:$AI$102='Lighting Inventory'!W200),FALSE),6)," ",INDEX('Lookup Tables'!$AH$6:$AN$102,MATCH(1,('Lookup Tables'!$AH$6:$AH$102='Lighting Inventory'!V200)*('Lookup Tables'!$AI$6:$AI$102='Lighting Inventory'!W200),FALSE),7))))), "")</f>
        <v/>
      </c>
      <c r="CG200" s="366"/>
      <c r="CH200" s="248" t="str">
        <f t="shared" si="409"/>
        <v/>
      </c>
      <c r="CI200" s="248" t="str">
        <f t="shared" si="410"/>
        <v>Select_IE</v>
      </c>
      <c r="CJ200" s="248" t="str">
        <f t="shared" si="411"/>
        <v/>
      </c>
      <c r="CK200" s="248" t="str">
        <f t="shared" si="412"/>
        <v/>
      </c>
      <c r="CL200" s="248" t="str">
        <f t="shared" si="413"/>
        <v/>
      </c>
      <c r="CM200" s="248" t="str">
        <f>IFERROR(IF(B200="", "", IF(B200="New Construction", VLOOKUP(V200, 'Lookup Tables'!$AF$114:$AG$120, 2, FALSE), VLOOKUP(V200, 'Lookup Tables'!$AD$6:$AE$25, 2, FALSE))), "")</f>
        <v/>
      </c>
      <c r="CN200" s="248" t="str">
        <f t="shared" si="414"/>
        <v/>
      </c>
      <c r="CO200" s="248" t="str">
        <f t="shared" si="415"/>
        <v/>
      </c>
      <c r="CP200" s="592" t="str">
        <f t="shared" si="416"/>
        <v/>
      </c>
      <c r="CQ200" s="248" t="str">
        <f t="shared" si="469"/>
        <v/>
      </c>
      <c r="CR200" s="100"/>
      <c r="CS200" s="250" t="str">
        <f t="shared" si="417"/>
        <v/>
      </c>
      <c r="CT200" s="250" t="str">
        <f t="shared" si="470"/>
        <v/>
      </c>
      <c r="CU200" s="250" t="str">
        <f t="shared" si="471"/>
        <v/>
      </c>
      <c r="CV200" s="250" t="str">
        <f t="shared" si="472"/>
        <v/>
      </c>
      <c r="CW200" s="250" t="str">
        <f t="shared" si="473"/>
        <v/>
      </c>
      <c r="CX200" s="250" t="str">
        <f t="shared" si="418"/>
        <v/>
      </c>
      <c r="CY200" s="250" t="str">
        <f t="shared" si="419"/>
        <v/>
      </c>
      <c r="CZ200" s="250" t="str">
        <f t="shared" si="420"/>
        <v/>
      </c>
      <c r="DA200" s="250" t="str">
        <f t="shared" si="421"/>
        <v/>
      </c>
      <c r="DB200" s="250" t="str">
        <f t="shared" si="422"/>
        <v/>
      </c>
      <c r="DC200" s="250" t="str">
        <f t="shared" si="423"/>
        <v/>
      </c>
      <c r="DD200" s="250" t="str">
        <f t="shared" si="424"/>
        <v/>
      </c>
      <c r="DE200" s="250" t="str">
        <f t="shared" si="425"/>
        <v/>
      </c>
      <c r="DF200" s="250" t="str">
        <f t="shared" si="426"/>
        <v/>
      </c>
      <c r="DG200" s="250" t="str">
        <f t="shared" si="427"/>
        <v/>
      </c>
      <c r="DH200" s="250" t="str">
        <f t="shared" si="428"/>
        <v/>
      </c>
      <c r="DI200" s="250" t="str">
        <f t="shared" si="429"/>
        <v/>
      </c>
      <c r="DJ200" s="250" t="str">
        <f t="shared" si="430"/>
        <v/>
      </c>
      <c r="DK200" s="250" t="str">
        <f t="shared" si="431"/>
        <v/>
      </c>
      <c r="DL200" s="250" t="str">
        <f t="shared" si="432"/>
        <v/>
      </c>
      <c r="DM200" s="250" t="str">
        <f>IF(CD200="ERROR", "ERROR", IF(AND(OR(Y200=$DM$6, Y200='Lookup Tables'!$AD$21, Y200='Lookup Tables'!$AD$22), E200="Interior"), BJ200, ""))</f>
        <v/>
      </c>
      <c r="DN200" s="250" t="str">
        <f>IF(CD200="ERROR", "ERROR", IF(AND(OR(Y200=$DM$6, Y200='Lookup Tables'!$AD$21, Y200='Lookup Tables'!$AD$22), E200="Exterior"), BJ200, ""))</f>
        <v/>
      </c>
      <c r="DO200" s="100"/>
      <c r="DP200" s="250" t="str">
        <f t="shared" si="433"/>
        <v/>
      </c>
      <c r="DQ200" s="250" t="str">
        <f t="shared" si="474"/>
        <v/>
      </c>
      <c r="DR200" s="250" t="str">
        <f t="shared" si="475"/>
        <v/>
      </c>
      <c r="DS200" s="250" t="str">
        <f t="shared" si="476"/>
        <v/>
      </c>
      <c r="DT200" s="250" t="str">
        <f t="shared" si="477"/>
        <v/>
      </c>
      <c r="DU200" s="250" t="str">
        <f t="shared" si="434"/>
        <v/>
      </c>
      <c r="DV200" s="250" t="str">
        <f t="shared" si="435"/>
        <v/>
      </c>
      <c r="DW200" s="250" t="str">
        <f t="shared" si="436"/>
        <v/>
      </c>
      <c r="DX200" s="250" t="str">
        <f t="shared" si="437"/>
        <v/>
      </c>
      <c r="DY200" s="250" t="str">
        <f t="shared" si="438"/>
        <v/>
      </c>
      <c r="DZ200" s="250" t="str">
        <f t="shared" si="439"/>
        <v/>
      </c>
      <c r="EA200" s="250" t="str">
        <f t="shared" si="440"/>
        <v/>
      </c>
      <c r="EB200" s="250" t="str">
        <f t="shared" si="478"/>
        <v/>
      </c>
      <c r="EC200" s="250" t="str">
        <f t="shared" si="441"/>
        <v/>
      </c>
      <c r="ED200" s="250" t="str">
        <f t="shared" si="442"/>
        <v/>
      </c>
      <c r="EE200" s="250" t="str">
        <f t="shared" si="443"/>
        <v/>
      </c>
      <c r="EF200" s="250" t="str">
        <f t="shared" si="444"/>
        <v/>
      </c>
      <c r="EG200" s="250" t="str">
        <f t="shared" si="445"/>
        <v/>
      </c>
      <c r="EH200" s="250" t="str">
        <f>IF(CD200="ERROR", "ERROR", IF(AND(OR($EH$6=Y200, Y200='Lookup Tables'!$AD$21, Y200='Lookup Tables'!$AD$22),E200="Interior"), SUM(BP200:BP200), ""))</f>
        <v/>
      </c>
      <c r="EI200" s="250" t="str">
        <f>IF(CD200="ERROR", "ERROR", IF(AND(OR($EH$6=Y200, Y200='Lookup Tables'!$AD$21, Y200='Lookup Tables'!$AD$22),E200="Exterior"), SUM(BP200:BP200), ""))</f>
        <v/>
      </c>
      <c r="EJ200" s="109"/>
      <c r="EK200" s="485" t="str">
        <f t="shared" si="446"/>
        <v/>
      </c>
      <c r="EL200" s="252" t="str">
        <f t="shared" si="479"/>
        <v/>
      </c>
      <c r="EM200" s="252" t="str">
        <f t="shared" si="480"/>
        <v/>
      </c>
      <c r="EN200" s="252" t="str">
        <f t="shared" si="481"/>
        <v/>
      </c>
      <c r="EO200" s="252" t="str">
        <f t="shared" si="482"/>
        <v/>
      </c>
      <c r="EP200" s="252" t="str">
        <f t="shared" si="483"/>
        <v/>
      </c>
      <c r="EQ200" s="252" t="str">
        <f t="shared" si="484"/>
        <v/>
      </c>
      <c r="ER200" s="252" t="str">
        <f t="shared" si="485"/>
        <v/>
      </c>
      <c r="ES200" s="252" t="str">
        <f t="shared" si="486"/>
        <v/>
      </c>
      <c r="ET200" s="252" t="str">
        <f t="shared" si="487"/>
        <v/>
      </c>
      <c r="EU200" s="252" t="str">
        <f t="shared" si="488"/>
        <v/>
      </c>
      <c r="EV200" s="252" t="str">
        <f t="shared" si="489"/>
        <v/>
      </c>
      <c r="EW200" s="252" t="str">
        <f t="shared" si="490"/>
        <v/>
      </c>
      <c r="EX200" s="252" t="str">
        <f t="shared" si="491"/>
        <v/>
      </c>
      <c r="EY200" s="252" t="str">
        <f t="shared" si="492"/>
        <v/>
      </c>
      <c r="EZ200" s="252" t="str">
        <f t="shared" si="493"/>
        <v/>
      </c>
      <c r="FA200" s="252" t="str">
        <f t="shared" si="494"/>
        <v/>
      </c>
      <c r="FB200" s="252" t="str">
        <f t="shared" si="495"/>
        <v/>
      </c>
      <c r="FC200" s="252" t="str">
        <f>IF(CD200="ERROR", "ERROR", IF(OR(V200="No Change", V200="Not DLC or Energy Star"), "", IF(AND(OR($FC$6=Y200,Y200='Lookup Tables'!$AD$21, Y200='Lookup Tables'!$AD$22),E200="Interior"), S200, "")))</f>
        <v/>
      </c>
      <c r="FD200" s="252" t="str">
        <f t="shared" si="496"/>
        <v/>
      </c>
      <c r="FE200" s="101"/>
      <c r="FF200" s="579" t="str" cm="1">
        <f t="array" ref="FF200">IFERROR(IF(OR(BQ200&lt;=0,AQ200&lt;20,AND(V200="Exit Signs",AN200&gt;0)),"",IF(AND(AQ200&gt;=20,AN200='Lookup Tables'!$R$101),'Lookup Tables'!$U$101*BQ200,AP200*LOOKUP(2,1/((AN200='Lookup Tables'!$R$91:$R$111)*(AQ200&gt;='Lookup Tables'!$S$91:$S$111)*(AQ200&lt;='Lookup Tables'!$T$91:$T$111)),'Lookup Tables'!$U$91:$U$111))),"")</f>
        <v/>
      </c>
      <c r="FG200" s="579"/>
      <c r="FH200" s="579"/>
      <c r="FI200" s="253" t="str">
        <f>IFERROR(ROUND(IF(CD200="ERROR", "ERROR", IF(AND($FI$7=X200,E200="Interior"),VLOOKUP(W200, 'Lookup Tables'!$AI$6:$AM$102, 5, FALSE)*BP200, "")), 2), "")</f>
        <v/>
      </c>
      <c r="FJ200" s="253" t="str">
        <f>IFERROR(ROUND(IF(CD200="ERROR", "ERROR", IF(AND($FI$7=X200,E200="Exterior"),VLOOKUP(W200, 'Lookup Tables'!$AI$6:$AM$102, 5, FALSE)*BP200, "")), 2), "")</f>
        <v/>
      </c>
      <c r="FK200" s="253" t="str">
        <f>IFERROR(ROUND(IF(CD200="ERROR", "ERROR", IF(AND($FK$7=X200,E200="Interior"),VLOOKUP(W200, 'Lookup Tables'!$AI$6:$AM$102, 5, FALSE)*BP200, "")), 2), "")</f>
        <v/>
      </c>
      <c r="FL200" s="253" t="str">
        <f>IFERROR(ROUND(IF(CD200="ERROR", "ERROR", IF(AND($FK$7=X200,E200="Exterior"),VLOOKUP(W200, 'Lookup Tables'!$AI$6:$AM$102, 5, FALSE)*BP200, "")), 2), "")</f>
        <v/>
      </c>
      <c r="FM200" s="253" t="str">
        <f>IFERROR(ROUND(IF(CD200="ERROR", "ERROR", IF(AND($FM$6=Y200,E200="Interior"), IF(GB200=0, VLOOKUP(W200, 'Lookup Tables'!$AI$6:$AM$102, 5, FALSE)*BP200, IF(VLOOKUP(W200, 'Lookup Tables'!$AI$6:$AM$102, 5, FALSE)*BP200&gt;GB200*'Lighting Inventory'!S200, GB200*'Lighting Inventory'!S200,VLOOKUP(W200, 'Lookup Tables'!$AI$6:$AM$102, 5, FALSE)*BP200)), "")), 2), "")</f>
        <v/>
      </c>
      <c r="FN200" s="253" t="str">
        <f>IFERROR(ROUND(IF(CD200="ERROR", "ERROR", IF(AND($FM$6=Y200,E200="Exterior"), IF(GB200=0, VLOOKUP(W200, 'Lookup Tables'!$AI$6:$AM$102, 5, FALSE)*BP200, IF(VLOOKUP(W200, 'Lookup Tables'!$AI$6:$AM$102, 5, FALSE)*BP200&gt;GB200*'Lighting Inventory'!S200, GB200*'Lighting Inventory'!S200,VLOOKUP(W200, 'Lookup Tables'!$AI$6:$AM$102, 5, FALSE)*BP200)), "")), 2), "")</f>
        <v/>
      </c>
      <c r="FO200" s="253" t="str">
        <f>IFERROR(ROUND(IF(CD200="ERROR", "ERROR", IF(AND($FO$6=Y200,E200="Interior"),VLOOKUP(W200, 'Lookup Tables'!$AI$6:$AM$102, 5, FALSE)*'Lighting Inventory'!AI200, "")), 2), "")</f>
        <v/>
      </c>
      <c r="FP200" s="253" t="str">
        <f>IFERROR(ROUND(IF(CD200="ERROR", "ERROR", IF(AND($FO$6=Y200,E200="Exterior"),VLOOKUP(W200, 'Lookup Tables'!$AI$6:$AM$102, 5, FALSE)*'Lighting Inventory'!AI200, "")), 2), "")</f>
        <v/>
      </c>
      <c r="FQ200" s="253" t="str">
        <f>IFERROR(ROUND(IF(CD200="ERROR", "ERROR", IF(AND($FQ$6=Y200,E200="Interior", BU200="Y"), VLOOKUP('Lighting Inventory'!W200, 'Lookup Tables'!$AI$6:$AM$102, 5, FALSE)*'Lighting Inventory'!S200, IF(AND($FQ$7=Y200,E200="Interior", BU200="N"), 0.025*CD200, ""))), 2), "")</f>
        <v/>
      </c>
      <c r="FR200" s="253" t="str">
        <f>IFERROR(ROUND(IF(CD200="ERROR", "ERROR", IF(AND($FQ$6=Y200,E200="Exterior"), VLOOKUP('Lighting Inventory'!W200, 'Lookup Tables'!$AI$6:$AM$102, 5, FALSE)*'Lighting Inventory'!S200, "")), 2), "")</f>
        <v/>
      </c>
      <c r="FS200" s="253" t="str">
        <f>IFERROR(ROUND(IF(CD200="ERROR", "ERROR", IF(AND($FS$6=Y200,E200="Exterior"), IF(GB200=0, VLOOKUP(W200, 'Lookup Tables'!$AI$6:$AM$102, 5, FALSE)*BP200, IF(VLOOKUP(W200, 'Lookup Tables'!$AI$6:$AM$102, 5, FALSE)*BP200&gt;GB200*'Lighting Inventory'!S200, GB200*'Lighting Inventory'!S200,VLOOKUP(W200, 'Lookup Tables'!$AI$6:$AM$102, 5, FALSE)*BP200)), "")), 2), "")</f>
        <v/>
      </c>
      <c r="FT200" s="253" t="str">
        <f>IFERROR(ROUND(IF(CD200="ERROR", "ERROR", IF(AND($FT$6=Y200,E200="Interior"), IF(GB200=0, VLOOKUP(W200, 'Lookup Tables'!$AI$6:$AM$102, 5, FALSE)*BP200, IF(VLOOKUP(W200, 'Lookup Tables'!$AI$6:$AM$102, 5, FALSE)*BP200&gt;GB200*'Lighting Inventory'!S200, GB200*'Lighting Inventory'!S200,VLOOKUP(W200, 'Lookup Tables'!$AI$6:$AM$102, 5, FALSE)*BP200)), "")), 2), "")</f>
        <v/>
      </c>
      <c r="FU200" s="253" t="str">
        <f>IFERROR(ROUND(IF(CD200="ERROR", "ERROR", IF(AND(Y200=$FU$6, E200="Interior"), IF(BS200="N", 'Lookup Tables'!$AM$101*BP200, VLOOKUP(W200, 'Lookup Tables'!$AI$6:$AM$102, 5, FALSE)*S200*AD200), "")), 2), "")</f>
        <v/>
      </c>
      <c r="FV200" s="253" t="str">
        <f>IFERROR(ROUND(IF(CD200="ERROR", "ERROR", IF(AND(Y200=$FU$6, E200="Exterior"), IF(BS200="N", 'Lookup Tables'!$AM$101*BP200, VLOOKUP(W200, 'Lookup Tables'!$AI$6:$AM$102, 5, FALSE)*S200*AD200), "")), 2), "")</f>
        <v/>
      </c>
      <c r="FW200" s="253" t="str">
        <f>IFERROR(ROUND(IF(CD200="ERROR", "ERROR", IF($FW$6=Y200, IF(BS200="N", 'Lookup Tables'!$AM$101*BP200, MIN((VLOOKUP(W200, 'Lookup Tables'!$AI$6:$AM$102, 5, FALSE)*BP200),GB200*AJ200)), "")), 2), "")</f>
        <v/>
      </c>
      <c r="FX200" s="253" t="str">
        <f>IFERROR(ROUND(IF(CD200="ERROR", "ERROR", IF(AND($FX$6=Y200, E200="Interior"), IF(VLOOKUP(W200, 'Lookup Tables'!$AI$6:$AM$102, 5, FALSE)*BP200&gt;'Lookup Tables'!$AQ$97*'Lighting Inventory'!S200,'Lighting Inventory'!S200*'Lookup Tables'!$AQ$97,VLOOKUP(W200, 'Lookup Tables'!$AI$6:$AM$102, 5, FALSE)*BP200), "")), 2), "")</f>
        <v/>
      </c>
      <c r="FY200" s="253" t="str">
        <f>IFERROR(ROUND(IF(CD200="ERROR", "ERROR", IF(AND($FX$6=Y200, E200="Exterior"), IF(VLOOKUP(W200, 'Lookup Tables'!$AI$6:$AM$102, 5, FALSE)*BP200&gt;'Lookup Tables'!$AQ$97*'Lighting Inventory'!S200,'Lighting Inventory'!S200*'Lookup Tables'!$AQ$97,VLOOKUP(W200, 'Lookup Tables'!$AI$6:$AM$102, 5, FALSE)*BP200), "")), 2), "")</f>
        <v/>
      </c>
      <c r="FZ200" s="253" t="str">
        <f>IFERROR(ROUND(IF(CD200="ERROR", "ERROR", IF(AND($FZ$6=Y200, E200="Interior"), IF(AND(OR(W200="Refrigerated Case Lighting with Doors", W200="Freezer Case Lighting"),Y200="Custom - Process Improvement"),CD200*'Lookup Tables'!$AM$101, IF(B200="Retrofit", IF(VLOOKUP(IF(V200="Custom", V200, W200), 'Lookup Tables'!$AI$6:$AM$102, 5, FALSE)*BP200&gt;GE200, GE200, VLOOKUP(IF(V200="Custom", V200, W200), 'Lookup Tables'!$AI$6:$AM$102, 5, FALSE)*BP200), IF(VLOOKUP(IF(V200="Custom", V200, W200), 'Lookup Tables'!$AI$114:$AM$154, 5, FALSE)*BP200&gt;GE200, GE200, VLOOKUP(IF(V200="Custom", V200, W200), 'Lookup Tables'!$AI$114:$AM$154, 5, FALSE)*BP200))), "")), 2),"")</f>
        <v/>
      </c>
      <c r="GA200" s="253" t="str">
        <f>IFERROR(ROUND(IF(CD200="ERROR", "ERROR", IF(AND($FZ$6=Y200, E200="Exterior"), IF(B200="Retrofit", IF(VLOOKUP(IF(V200="Custom", V200, W200), 'Lookup Tables'!$AI$6:$AM$102, 5, FALSE)*BP200&gt;GE200, GE200, VLOOKUP(IF(V200="Custom", V200, W200), 'Lookup Tables'!$AI$6:$AM$102, 5, FALSE)*BP200), IF(VLOOKUP(IF(V200="Custom", V200, W200), 'Lookup Tables'!$AI$114:$AM$154, 5, FALSE)*BP200&gt;GE200, GE200, VLOOKUP(IF(V200="Custom", V200, W200), 'Lookup Tables'!$AI$114:$AM$154, 5, FALSE)*BP200)), "")), 2),"")</f>
        <v/>
      </c>
      <c r="GB200" s="254" t="str">
        <f t="array" ref="GB200">IF(B200="","",IF(OR(V200="Custom",V200="No Change"),0,IF(B200="Retrofit", INDEX('Lookup Tables'!$AH$6:$AQ$102,MATCH(1,('Lookup Tables'!$AH$6:$AH$102='Lighting Inventory'!V200)*('Lookup Tables'!$AI$6:$AI$102='Lighting Inventory'!W200),FALSE),10),INDEX('Lookup Tables'!$AH$114:$AQ$154,MATCH(1,('Lookup Tables'!$AH$114:$AH$154='Lighting Inventory'!V200)*('Lookup Tables'!$AI$114:$AI$154='Lighting Inventory'!W200),FALSE),10))))</f>
        <v/>
      </c>
      <c r="GC200" s="255" t="str">
        <f t="shared" si="447"/>
        <v/>
      </c>
      <c r="GD200" s="250" t="str">
        <f t="shared" si="448"/>
        <v/>
      </c>
      <c r="GE200" s="253" t="str">
        <f>IFERROR(IF(AND(AF200="", 'General Information'!$F$18="No"),"", IF(AF200="", ((GD200/$CD$266)*$CF$266)*0.5, AF200*S200*0.5)), "")</f>
        <v/>
      </c>
      <c r="GF200" s="255" t="str">
        <f>IF(AND('General Information'!$F$19="", 'General Information'!$F$18="Yes",AF200="",BW200="Y"), "Y", "N")</f>
        <v>N</v>
      </c>
      <c r="GG200" s="255" t="s">
        <v>2946</v>
      </c>
      <c r="GH200" s="255" t="str">
        <f>IFERROR(IF(B200="", "", VLOOKUP(J200, 'Fixture Identities'!$A$6:$N$908, 14, FALSE)), "")</f>
        <v/>
      </c>
      <c r="GI200" s="389" t="str">
        <f>IF(OR(B200="", V200="", W200=""), "", IF(AND(OR(M200='Lookup Tables'!$R$18, M200='Lookup Tables'!$R$19, M200='Lookup Tables'!$R$20, M200='Lookup Tables'!$R$21, M200='Lookup Tables'!$R$22), OR(AN200='Lookup Tables'!$R$17, AN200='Lookup Tables'!$R$17, AN200="")), "Y", "N"))</f>
        <v/>
      </c>
      <c r="GJ200" s="255" t="str">
        <f t="shared" si="449"/>
        <v/>
      </c>
      <c r="GK200" s="255" t="str">
        <f t="shared" si="450"/>
        <v/>
      </c>
      <c r="GL200" s="255" t="str">
        <f t="shared" si="451"/>
        <v/>
      </c>
      <c r="GM200" s="255" t="str">
        <f>IF(AN200="", "", IF(AND(IF(ISNA(VLOOKUP(AN200,'Lookup Tables'!$R$18:$R$22,1,FALSE)), "N", "Y")="Y", E200="Exterior"), "Y", "N"))</f>
        <v/>
      </c>
      <c r="GN200" s="395"/>
      <c r="GO200" s="428">
        <f t="shared" si="497"/>
        <v>0</v>
      </c>
      <c r="GP200" s="428">
        <f t="shared" si="500"/>
        <v>0</v>
      </c>
      <c r="GQ200" s="428">
        <f t="shared" si="498"/>
        <v>0</v>
      </c>
      <c r="GR200" s="428">
        <f t="shared" si="499"/>
        <v>0</v>
      </c>
    </row>
    <row r="201" spans="1:200" s="103" customFormat="1" ht="13.5" customHeight="1" x14ac:dyDescent="0.2">
      <c r="A201" s="272">
        <v>191</v>
      </c>
      <c r="B201" s="110"/>
      <c r="C201" s="110"/>
      <c r="D201" s="110"/>
      <c r="E201" s="110"/>
      <c r="F201" s="110"/>
      <c r="G201" s="110"/>
      <c r="H201" s="110"/>
      <c r="I201" s="29"/>
      <c r="J201" s="29"/>
      <c r="K201" s="272" t="str">
        <f>IFERROR(IF(OR(VLOOKUP(J201, 'Fixture Identities'!$A$6:$L$1023, 3, FALSE)="T12 Linear Fluorescent", VLOOKUP(J201, 'Fixture Identities'!$A$6:$L$1023, 3, FALSE)="T12 U-Tube Fluorescent"), VLOOKUP(VLOOKUP(J201, 'Fixture Identities'!$A$6:$L$1023, 11, FALSE), 'Fixture Identities'!$A$6:$L$1023, 10, FALSE), VLOOKUP(J201, 'Fixture Identities'!$A$6:$L$1023, 10, FALSE)), "")</f>
        <v/>
      </c>
      <c r="L201" s="270" t="str">
        <f t="shared" si="502"/>
        <v/>
      </c>
      <c r="M201" s="110"/>
      <c r="N201" s="110"/>
      <c r="O201" s="110"/>
      <c r="P201" s="272" t="str">
        <f>IFERROR(IF(OR(B201="Retrofit",B201=""),"",IF('Lighting Inventory'!E201="Exterior",VLOOKUP('Lighting Inventory'!N201,'Lookup Tables'!$B$83:$F$103,5,FALSE),IF(N201="Other - Please Estimate EFLH and CFs","Contact Prog. Rep.","ft^2"))), "")</f>
        <v/>
      </c>
      <c r="Q201" s="270" t="str">
        <f>IFERROR(IF(AND(B201="New Construction",E201="Interior",$F$5="Space-by-Space"),VLOOKUP('Lighting Inventory'!N201,'Lookup Tables'!$N$6:$O$97,2,FALSE),IF(AND(B201="New Construction",E201="Exterior"),VLOOKUP(N201,'Lookup Tables'!$B$83:$F$103,2,FALSE),IF(AND(B201="New Construction",'Lighting Inventory'!E201="Interior", $F$5="Building Area"),VLOOKUP(F201,'Lookup Tables'!$A$6:$J$59,10,FALSE),""))), "")</f>
        <v/>
      </c>
      <c r="R201" s="270" t="str">
        <f>IFERROR(IF(P201="Contact Prog. Rep.", "ERROR", IF(OR(B201="",B201="Retrofit"),"",IF(N201="Automated teller machines", ('Lookup Tables'!$A$82:$E$100+('Lighting Inventory'!O201-1)*'Lookup Tables'!$A$82:$E$100)/1000, (Q201*O201)/1000))), "")</f>
        <v/>
      </c>
      <c r="S201" s="595"/>
      <c r="T201" s="105" t="str">
        <f t="shared" si="452"/>
        <v/>
      </c>
      <c r="U201" s="105" t="str">
        <f>IF(S201="","",COUNT($S$11:S201))</f>
        <v/>
      </c>
      <c r="V201" s="111"/>
      <c r="W201" s="112"/>
      <c r="X201" s="105" t="str">
        <f t="shared" si="453"/>
        <v/>
      </c>
      <c r="Y201" s="105" t="str">
        <f t="array" ref="Y201">IF(AND(OR(W201="Freezer Case Lighting", W201="Refrigerated Case Lighting with Doors"), 'General Information'!$X$18="LCI"),'Lookup Tables'!$Y$34, IF(V201="Custom", VLOOKUP(W201, 'Fixture Identities'!$A$974:$M$1023, 13, FALSE), IF(V201="No Change",'Lookup Tables'!$Y$29,IF(OR(V201="",W201=""),"",IF(AND(S201=0,S201&lt;I201,B201="Retrofit"),'Lookup Tables'!$Y$25, IF(B201="Retrofit", INDEX('Lookup Tables'!$AH$6:$AP$102, MATCH(1, ('Lookup Tables'!$AH$6:$AH$102=V201)*('Lookup Tables'!$AI$6:$AI$102=W201), 0), IF('Lighting Inventory'!E201="Interior", 4, 5)), INDEX('Lookup Tables'!$AH$114:$AP$154, MATCH(1, ('Lookup Tables'!$AH$114:$AH$154=V201)*('Lookup Tables'!$AI$114:$AI$154=W201), 0), IF('Lighting Inventory'!E201="Interior", 4, 5))))))))</f>
        <v/>
      </c>
      <c r="Z201" s="105" t="str">
        <f>IFERROR(INDEX('Lookup Tables'!$AH$158:$AH$172,MATCH('Lighting Inventory'!Y201,'Lookup Tables'!$AI$158:$AI$172,0)),"")</f>
        <v/>
      </c>
      <c r="AA201" s="105" t="str">
        <f>IF(AP201&gt;0,INDEX('Lookup Tables'!$AK$158:$AK$172,MATCH('Lighting Inventory'!Y201,'Lookup Tables'!$AI$158:$AI$172,0)),'Lighting Inventory'!Y201)</f>
        <v/>
      </c>
      <c r="AB201" s="105" t="str">
        <f t="array" ref="AB201">IF(V201="Custom", "Custom", IF(V201="", "", IF(V201="Not DLC or Energy Star", "General", IF(B201="New Construction", INDEX('Lookup Tables'!$AH$114:$AP$154,MATCH(1,('Lookup Tables'!$AH$114:$AH$154='Lighting Inventory'!V201)*('Lookup Tables'!$AI$114:$AI$154='Lighting Inventory'!W201),FALSE),8), INDEX('Lookup Tables'!$AH$6:$AP$102,MATCH(1,('Lookup Tables'!$AH$6:$AH$102='Lighting Inventory'!V201)*('Lookup Tables'!$AI$6:$AI$102='Lighting Inventory'!W201),FALSE),8)))))</f>
        <v/>
      </c>
      <c r="AC201" s="272" t="str">
        <f>IF(W201="","",IF(V201="Custom",CONCATENATE("$",'Lookup Tables'!$AM$101," ",'Lookup Tables'!$AN$101),CONCATENATE("$",INDEX('Lookup Tables'!$AM$6:$AM$102,MATCH('Lighting Inventory'!W201,'Lookup Tables'!$AI$6:$AI$102,0))," ",INDEX('Lookup Tables'!$AN$6:$AN$102,MATCH('Lighting Inventory'!W201,'Lookup Tables'!$AI$6:$AI$102,0)))))</f>
        <v/>
      </c>
      <c r="AD201" s="72"/>
      <c r="AE201" s="29"/>
      <c r="AF201" s="379"/>
      <c r="AG201" s="370" t="str">
        <f t="shared" si="401"/>
        <v/>
      </c>
      <c r="AH201" s="370" t="str">
        <f t="shared" si="454"/>
        <v/>
      </c>
      <c r="AI201" s="29"/>
      <c r="AJ201" s="29"/>
      <c r="AK201" s="110"/>
      <c r="AL201" s="375" t="str">
        <f>IF(OR(B201="", V201="", W201=""), "", IF(V201="No Change", K201, IF(V201="Remove Fixture", 0, IF(V201="Custom",VLOOKUP(W201,'Fixture Identities'!$A$6:$K$1023,10,FALSE),IF(AE201="", "← ENTER POST WATTS", 'Lighting Inventory'!AE201)))))</f>
        <v/>
      </c>
      <c r="AM201" s="376" t="str">
        <f t="shared" si="402"/>
        <v/>
      </c>
      <c r="AN201" s="29"/>
      <c r="AO201" s="671"/>
      <c r="AP201" s="29"/>
      <c r="AQ201" s="29"/>
      <c r="AR201" s="29"/>
      <c r="AS201" s="272" t="str">
        <f t="shared" si="455"/>
        <v/>
      </c>
      <c r="AT201" s="270" t="str">
        <f t="shared" si="403"/>
        <v/>
      </c>
      <c r="AU201" s="88" t="str">
        <f t="shared" si="503"/>
        <v/>
      </c>
      <c r="AV201" s="29"/>
      <c r="AW201" s="73"/>
      <c r="AX201" s="271" t="str">
        <f>IF(AND(AV201="Applicant",OR(AW201="", AW201="Use Default Facility Hours")),"← Choose Schedule",IF(F201="","",IF(W201="LED Exit Signs",8760,IF(OR(AV201="Prescribed",AV201=""),VLOOKUP(F201,'Lookup Tables'!$A$6:$G$59,IF(AB201="General", 6, 3),FALSE),VLOOKUP(AW201,'Lookup Tables'!$S$36:$U$43,2,FALSE)))))</f>
        <v/>
      </c>
      <c r="AY201" s="88" t="str">
        <f t="shared" si="404"/>
        <v/>
      </c>
      <c r="AZ201" s="270" t="str">
        <f>IFERROR(IF(F201="", "", IF(W201="LED Exit Signs", 1, IF(AV201="Applicant",VLOOKUP(AW201, 'Lookup Tables'!$S$36:$U$43,3, FALSE), VLOOKUP('Lighting Inventory'!F201, 'Lookup Tables'!$A$6:$H$59, IF('Lighting Inventory'!AB201="General",7,4), FALSE)))), "")</f>
        <v/>
      </c>
      <c r="BA201" s="522" t="str">
        <f>IFERROR(IF(F201="", "", IF(W201="LED Exit Signs", 1, VLOOKUP('Lighting Inventory'!F201, 'Lookup Tables'!$A$6:$H$59, IF('Lighting Inventory'!AB201="General",8,5), FALSE))), "")</f>
        <v/>
      </c>
      <c r="BB201" s="270" t="str">
        <f>IF(G201="", "", IF(E201="Exterior", 0, IF('Lighting Inventory'!G201="Air Conditioned", VLOOKUP(H201, 'Lookup Tables'!$R$6:$T$13, 2, FALSE), VLOOKUP('Lighting Inventory'!G201, 'Lookup Tables'!$R$6:$T$13, 2, FALSE))))</f>
        <v/>
      </c>
      <c r="BC201" s="522" t="str">
        <f>IF(G201="", "", IF(E201="Exterior", 0, IF('Lighting Inventory'!G201="Air Conditioned", VLOOKUP(H201, 'Lookup Tables'!$R$6:$T$13, 3, FALSE), VLOOKUP('Lighting Inventory'!G201, 'Lookup Tables'!$R$6:$T$13, 3, FALSE))))</f>
        <v/>
      </c>
      <c r="BD201" s="270" t="str">
        <f>IF(G201="", "", IF(E201="Exterior", 0, IF('Lighting Inventory'!G201="Air Conditioned", VLOOKUP(H201, 'Lookup Tables'!$R$6:$U$13, 4, FALSE), VLOOKUP('Lighting Inventory'!G201, 'Lookup Tables'!$R$6:$U$13, 4, FALSE))))</f>
        <v/>
      </c>
      <c r="BE201" s="270" t="str">
        <f>IFERROR(IF(B201="", "",  IF(B201="New Construction", VLOOKUP(F201, 'Lookup Tables'!$A$6:$K$59, 11, FALSE),IF(OR(AN201="", AN201="Light Switch"), 0, IF(OR(M201="",M201="None",V201= "LED Exit Signs"),0,_xlfn.XLOOKUP(M201,'Lookup Tables'!$R$91:$R$101,'Lookup Tables'!$V$91:$V$101))))), "")</f>
        <v/>
      </c>
      <c r="BF201" s="270" t="str">
        <f>IF(AND(OR(AN201="Light Switch",AN201=""),B201="New Construction"), VLOOKUP(F201, 'Lookup Tables'!$A$6:$K$59, 11, FALSE),IF(AN201="","",IF(B201="","",IF(OR(AN201="None",AN201="",V201="LED Exit Signs",AN201="Exterior Controls Not Eligible"),0,_xlfn.XLOOKUP(AN201,'Lookup Tables'!$R$91:$R$101,'Lookup Tables'!$V$91:$V$101)))))</f>
        <v/>
      </c>
      <c r="BG201" s="88" t="str">
        <f t="shared" si="456"/>
        <v/>
      </c>
      <c r="BH201" s="88" t="str">
        <f t="shared" si="457"/>
        <v/>
      </c>
      <c r="BI201" s="558" t="str">
        <f t="shared" si="501"/>
        <v/>
      </c>
      <c r="BJ201" s="82" t="str">
        <f t="shared" si="458"/>
        <v/>
      </c>
      <c r="BK201" s="82" t="str">
        <f t="shared" si="459"/>
        <v/>
      </c>
      <c r="BL201" s="559" t="str">
        <f t="shared" si="460"/>
        <v/>
      </c>
      <c r="BM201" s="521" t="str">
        <f t="shared" si="405"/>
        <v/>
      </c>
      <c r="BN201" s="521" t="str">
        <f t="shared" si="406"/>
        <v/>
      </c>
      <c r="BO201" s="522" t="str">
        <f t="shared" si="407"/>
        <v/>
      </c>
      <c r="BP201" s="83" t="str">
        <f t="shared" si="461"/>
        <v/>
      </c>
      <c r="BQ201" s="84" t="str">
        <f t="shared" si="462"/>
        <v/>
      </c>
      <c r="BR201" s="184" t="str">
        <f>IFERROR(IF(B201="", "", IF(OR(VLOOKUP(J201, 'Fixture Identities'!$A$6:$L$1023, 3, FALSE)="T12 Linear Fluorescent",VLOOKUP(J201, 'Fixture Identities'!$A$6:$L$1023, 3, FALSE)="T12 U-Tube Fluorescent"), "Y", "N")), "N")</f>
        <v/>
      </c>
      <c r="BS201" s="184" t="str">
        <f t="array" ref="BS201">IFERROR(IF(OR(B201="", V201="", W201=""), "", IF(V201="Custom", "N", IF(OR(W201="Freezer Case Lighting", W201="Refrigerated Case Lighting with Doors"), BT201, IF(B201="Retrofit", INDEX('Lookup Tables'!$AH$6:$AT$102,MATCH(1,('Lookup Tables'!$AH$6:$AH$102=V201)*('Lookup Tables'!$AI$6:$AI$102=W201),FALSE),IF(VLOOKUP(J201, 'Fixture Identities'!$A$6:$B$1023, 2, FALSE)="Incandescent",12, 13)), INDEX('Lookup Tables'!$AH$114:$AS$154,MATCH(1,('Lookup Tables'!$AH$114:$AH$154=V201)*('Lookup Tables'!$AI$114:$AI$154=W201),FALSE),12))))), "N")</f>
        <v/>
      </c>
      <c r="BT201" s="184" t="str">
        <f>IF(J201="", "", IF(AND(OR(W201="Freezer case Lighting", W201="Refrigerated Case Lighting with Doors"),'General Information'!$X$18="LCI"), "N", IF(OR(VLOOKUP(J201, 'Fixture Identities'!$A$6:$B$1023, 2, FALSE)="T12 EPACT/EISA Baseline", VLOOKUP(J201, 'Fixture Identities'!$A$6:$B$1023, 2, FALSE)="Linear Fluorescent", VLOOKUP(J201, 'Fixture Identities'!$A$6:$B$1023, 2, FALSE)="U-Tube Fluorescent"), "Y", "N")))</f>
        <v/>
      </c>
      <c r="BU201" s="184" t="str">
        <f>IFERROR(IF(B201="", "", IF(VLOOKUP(J201, 'Fixture Identities'!$A$6:$B$1023, 2, FALSE)="Exit Sign", "Y", "N")), "N")</f>
        <v/>
      </c>
      <c r="BV201" s="184" t="str">
        <f>IF(V201="Exit Signs", IF(VLOOKUP(J201, 'Fixture Identities'!$A$6:$B$1023, 2, FALSE)="Exit Sign", "N", "Y"), "")</f>
        <v/>
      </c>
      <c r="BW201" s="184" t="str">
        <f t="array" ref="BW201">IFERROR(IF(B201="", "", IF(B201="New Construction", "N", INDEX('Lookup Tables'!$AH$6:$AU$102, MATCH(1, ('Lookup Tables'!$AH$6:$AH$102='Lighting Inventory'!V201)*('Lookup Tables'!$AI$6:$AI$102='Lighting Inventory'!W201), 0), 14))), "N")</f>
        <v/>
      </c>
      <c r="BX201" s="598" t="str">
        <f t="shared" si="463"/>
        <v/>
      </c>
      <c r="BY201" s="598" t="str">
        <f t="shared" si="464"/>
        <v/>
      </c>
      <c r="BZ201" s="598" t="str">
        <f t="shared" si="465"/>
        <v/>
      </c>
      <c r="CA201" s="598" t="str">
        <f t="shared" si="466"/>
        <v/>
      </c>
      <c r="CB201" s="269" t="str">
        <f t="shared" si="467"/>
        <v/>
      </c>
      <c r="CC201" s="517" t="str">
        <f t="shared" si="468"/>
        <v/>
      </c>
      <c r="CD201" s="565" t="str">
        <f t="shared" si="408"/>
        <v/>
      </c>
      <c r="CE201" s="368">
        <v>0</v>
      </c>
      <c r="CF201" s="368" t="str" cm="1">
        <f t="array" ref="CF201">IFERROR(IF(V201="Custom", "$0.1 per kWh", IF(B201="New Construction", CONCATENATE("$",INDEX('Lookup Tables'!$AH$114:$AN$154,MATCH(1,('Lookup Tables'!$AH$114:$AH$154='Lighting Inventory'!V201)*('Lookup Tables'!$AI$114:$AI$154='Lighting Inventory'!W201),FALSE),6)," ",INDEX('Lookup Tables'!$AH$114:$AN$154,MATCH(1,('Lookup Tables'!$AH$114:$AH$154='Lighting Inventory'!V201)*('Lookup Tables'!$AI$114:$AI$154='Lighting Inventory'!W201),FALSE),7)), IF(AND(BU201="N", V201="Exit Signs"), "$0.025 per kWh", CONCATENATE("$",INDEX('Lookup Tables'!$AH$6:$AN$102,MATCH(1,('Lookup Tables'!$AH$6:$AH$102='Lighting Inventory'!V201)*('Lookup Tables'!$AI$6:$AI$102='Lighting Inventory'!W201),FALSE),6)," ",INDEX('Lookup Tables'!$AH$6:$AN$102,MATCH(1,('Lookup Tables'!$AH$6:$AH$102='Lighting Inventory'!V201)*('Lookup Tables'!$AI$6:$AI$102='Lighting Inventory'!W201),FALSE),7))))), "")</f>
        <v/>
      </c>
      <c r="CG201" s="366"/>
      <c r="CH201" s="248" t="str">
        <f t="shared" si="409"/>
        <v/>
      </c>
      <c r="CI201" s="248" t="str">
        <f t="shared" si="410"/>
        <v>Select_IE</v>
      </c>
      <c r="CJ201" s="248" t="str">
        <f t="shared" si="411"/>
        <v/>
      </c>
      <c r="CK201" s="248" t="str">
        <f t="shared" si="412"/>
        <v/>
      </c>
      <c r="CL201" s="248" t="str">
        <f t="shared" si="413"/>
        <v/>
      </c>
      <c r="CM201" s="248" t="str">
        <f>IFERROR(IF(B201="", "", IF(B201="New Construction", VLOOKUP(V201, 'Lookup Tables'!$AF$114:$AG$120, 2, FALSE), VLOOKUP(V201, 'Lookup Tables'!$AD$6:$AE$25, 2, FALSE))), "")</f>
        <v/>
      </c>
      <c r="CN201" s="248" t="str">
        <f t="shared" si="414"/>
        <v/>
      </c>
      <c r="CO201" s="248" t="str">
        <f t="shared" si="415"/>
        <v/>
      </c>
      <c r="CP201" s="592" t="str">
        <f t="shared" si="416"/>
        <v/>
      </c>
      <c r="CQ201" s="248" t="str">
        <f t="shared" si="469"/>
        <v/>
      </c>
      <c r="CR201" s="100"/>
      <c r="CS201" s="250" t="str">
        <f t="shared" si="417"/>
        <v/>
      </c>
      <c r="CT201" s="250" t="str">
        <f t="shared" si="470"/>
        <v/>
      </c>
      <c r="CU201" s="250" t="str">
        <f t="shared" si="471"/>
        <v/>
      </c>
      <c r="CV201" s="250" t="str">
        <f t="shared" si="472"/>
        <v/>
      </c>
      <c r="CW201" s="250" t="str">
        <f t="shared" si="473"/>
        <v/>
      </c>
      <c r="CX201" s="250" t="str">
        <f t="shared" si="418"/>
        <v/>
      </c>
      <c r="CY201" s="250" t="str">
        <f t="shared" si="419"/>
        <v/>
      </c>
      <c r="CZ201" s="250" t="str">
        <f t="shared" si="420"/>
        <v/>
      </c>
      <c r="DA201" s="250" t="str">
        <f t="shared" si="421"/>
        <v/>
      </c>
      <c r="DB201" s="250" t="str">
        <f t="shared" si="422"/>
        <v/>
      </c>
      <c r="DC201" s="250" t="str">
        <f t="shared" si="423"/>
        <v/>
      </c>
      <c r="DD201" s="250" t="str">
        <f t="shared" si="424"/>
        <v/>
      </c>
      <c r="DE201" s="250" t="str">
        <f t="shared" si="425"/>
        <v/>
      </c>
      <c r="DF201" s="250" t="str">
        <f t="shared" si="426"/>
        <v/>
      </c>
      <c r="DG201" s="250" t="str">
        <f t="shared" si="427"/>
        <v/>
      </c>
      <c r="DH201" s="250" t="str">
        <f t="shared" si="428"/>
        <v/>
      </c>
      <c r="DI201" s="250" t="str">
        <f t="shared" si="429"/>
        <v/>
      </c>
      <c r="DJ201" s="250" t="str">
        <f t="shared" si="430"/>
        <v/>
      </c>
      <c r="DK201" s="250" t="str">
        <f t="shared" si="431"/>
        <v/>
      </c>
      <c r="DL201" s="250" t="str">
        <f t="shared" si="432"/>
        <v/>
      </c>
      <c r="DM201" s="250" t="str">
        <f>IF(CD201="ERROR", "ERROR", IF(AND(OR(Y201=$DM$6, Y201='Lookup Tables'!$AD$21, Y201='Lookup Tables'!$AD$22), E201="Interior"), BJ201, ""))</f>
        <v/>
      </c>
      <c r="DN201" s="250" t="str">
        <f>IF(CD201="ERROR", "ERROR", IF(AND(OR(Y201=$DM$6, Y201='Lookup Tables'!$AD$21, Y201='Lookup Tables'!$AD$22), E201="Exterior"), BJ201, ""))</f>
        <v/>
      </c>
      <c r="DO201" s="100"/>
      <c r="DP201" s="250" t="str">
        <f t="shared" si="433"/>
        <v/>
      </c>
      <c r="DQ201" s="250" t="str">
        <f t="shared" si="474"/>
        <v/>
      </c>
      <c r="DR201" s="250" t="str">
        <f t="shared" si="475"/>
        <v/>
      </c>
      <c r="DS201" s="250" t="str">
        <f t="shared" si="476"/>
        <v/>
      </c>
      <c r="DT201" s="250" t="str">
        <f t="shared" si="477"/>
        <v/>
      </c>
      <c r="DU201" s="250" t="str">
        <f t="shared" si="434"/>
        <v/>
      </c>
      <c r="DV201" s="250" t="str">
        <f t="shared" si="435"/>
        <v/>
      </c>
      <c r="DW201" s="250" t="str">
        <f t="shared" si="436"/>
        <v/>
      </c>
      <c r="DX201" s="250" t="str">
        <f t="shared" si="437"/>
        <v/>
      </c>
      <c r="DY201" s="250" t="str">
        <f t="shared" si="438"/>
        <v/>
      </c>
      <c r="DZ201" s="250" t="str">
        <f t="shared" si="439"/>
        <v/>
      </c>
      <c r="EA201" s="250" t="str">
        <f t="shared" si="440"/>
        <v/>
      </c>
      <c r="EB201" s="250" t="str">
        <f t="shared" si="478"/>
        <v/>
      </c>
      <c r="EC201" s="250" t="str">
        <f t="shared" si="441"/>
        <v/>
      </c>
      <c r="ED201" s="250" t="str">
        <f t="shared" si="442"/>
        <v/>
      </c>
      <c r="EE201" s="250" t="str">
        <f t="shared" si="443"/>
        <v/>
      </c>
      <c r="EF201" s="250" t="str">
        <f t="shared" si="444"/>
        <v/>
      </c>
      <c r="EG201" s="250" t="str">
        <f t="shared" si="445"/>
        <v/>
      </c>
      <c r="EH201" s="250" t="str">
        <f>IF(CD201="ERROR", "ERROR", IF(AND(OR($EH$6=Y201, Y201='Lookup Tables'!$AD$21, Y201='Lookup Tables'!$AD$22),E201="Interior"), SUM(BP201:BP201), ""))</f>
        <v/>
      </c>
      <c r="EI201" s="250" t="str">
        <f>IF(CD201="ERROR", "ERROR", IF(AND(OR($EH$6=Y201, Y201='Lookup Tables'!$AD$21, Y201='Lookup Tables'!$AD$22),E201="Exterior"), SUM(BP201:BP201), ""))</f>
        <v/>
      </c>
      <c r="EJ201" s="109"/>
      <c r="EK201" s="485" t="str">
        <f t="shared" si="446"/>
        <v/>
      </c>
      <c r="EL201" s="252" t="str">
        <f t="shared" si="479"/>
        <v/>
      </c>
      <c r="EM201" s="252" t="str">
        <f t="shared" si="480"/>
        <v/>
      </c>
      <c r="EN201" s="252" t="str">
        <f t="shared" si="481"/>
        <v/>
      </c>
      <c r="EO201" s="252" t="str">
        <f t="shared" si="482"/>
        <v/>
      </c>
      <c r="EP201" s="252" t="str">
        <f t="shared" si="483"/>
        <v/>
      </c>
      <c r="EQ201" s="252" t="str">
        <f t="shared" si="484"/>
        <v/>
      </c>
      <c r="ER201" s="252" t="str">
        <f t="shared" si="485"/>
        <v/>
      </c>
      <c r="ES201" s="252" t="str">
        <f t="shared" si="486"/>
        <v/>
      </c>
      <c r="ET201" s="252" t="str">
        <f t="shared" si="487"/>
        <v/>
      </c>
      <c r="EU201" s="252" t="str">
        <f t="shared" si="488"/>
        <v/>
      </c>
      <c r="EV201" s="252" t="str">
        <f t="shared" si="489"/>
        <v/>
      </c>
      <c r="EW201" s="252" t="str">
        <f t="shared" si="490"/>
        <v/>
      </c>
      <c r="EX201" s="252" t="str">
        <f t="shared" si="491"/>
        <v/>
      </c>
      <c r="EY201" s="252" t="str">
        <f t="shared" si="492"/>
        <v/>
      </c>
      <c r="EZ201" s="252" t="str">
        <f t="shared" si="493"/>
        <v/>
      </c>
      <c r="FA201" s="252" t="str">
        <f t="shared" si="494"/>
        <v/>
      </c>
      <c r="FB201" s="252" t="str">
        <f t="shared" si="495"/>
        <v/>
      </c>
      <c r="FC201" s="252" t="str">
        <f>IF(CD201="ERROR", "ERROR", IF(OR(V201="No Change", V201="Not DLC or Energy Star"), "", IF(AND(OR($FC$6=Y201,Y201='Lookup Tables'!$AD$21, Y201='Lookup Tables'!$AD$22),E201="Interior"), S201, "")))</f>
        <v/>
      </c>
      <c r="FD201" s="252" t="str">
        <f t="shared" si="496"/>
        <v/>
      </c>
      <c r="FE201" s="101"/>
      <c r="FF201" s="579" t="str" cm="1">
        <f t="array" ref="FF201">IFERROR(IF(OR(BQ201&lt;=0,AQ201&lt;20,AND(V201="Exit Signs",AN201&gt;0)),"",IF(AND(AQ201&gt;=20,AN201='Lookup Tables'!$R$101),'Lookup Tables'!$U$101*BQ201,AP201*LOOKUP(2,1/((AN201='Lookup Tables'!$R$91:$R$111)*(AQ201&gt;='Lookup Tables'!$S$91:$S$111)*(AQ201&lt;='Lookup Tables'!$T$91:$T$111)),'Lookup Tables'!$U$91:$U$111))),"")</f>
        <v/>
      </c>
      <c r="FG201" s="579"/>
      <c r="FH201" s="579"/>
      <c r="FI201" s="253" t="str">
        <f>IFERROR(ROUND(IF(CD201="ERROR", "ERROR", IF(AND($FI$7=X201,E201="Interior"),VLOOKUP(W201, 'Lookup Tables'!$AI$6:$AM$102, 5, FALSE)*BP201, "")), 2), "")</f>
        <v/>
      </c>
      <c r="FJ201" s="253" t="str">
        <f>IFERROR(ROUND(IF(CD201="ERROR", "ERROR", IF(AND($FI$7=X201,E201="Exterior"),VLOOKUP(W201, 'Lookup Tables'!$AI$6:$AM$102, 5, FALSE)*BP201, "")), 2), "")</f>
        <v/>
      </c>
      <c r="FK201" s="253" t="str">
        <f>IFERROR(ROUND(IF(CD201="ERROR", "ERROR", IF(AND($FK$7=X201,E201="Interior"),VLOOKUP(W201, 'Lookup Tables'!$AI$6:$AM$102, 5, FALSE)*BP201, "")), 2), "")</f>
        <v/>
      </c>
      <c r="FL201" s="253" t="str">
        <f>IFERROR(ROUND(IF(CD201="ERROR", "ERROR", IF(AND($FK$7=X201,E201="Exterior"),VLOOKUP(W201, 'Lookup Tables'!$AI$6:$AM$102, 5, FALSE)*BP201, "")), 2), "")</f>
        <v/>
      </c>
      <c r="FM201" s="253" t="str">
        <f>IFERROR(ROUND(IF(CD201="ERROR", "ERROR", IF(AND($FM$6=Y201,E201="Interior"), IF(GB201=0, VLOOKUP(W201, 'Lookup Tables'!$AI$6:$AM$102, 5, FALSE)*BP201, IF(VLOOKUP(W201, 'Lookup Tables'!$AI$6:$AM$102, 5, FALSE)*BP201&gt;GB201*'Lighting Inventory'!S201, GB201*'Lighting Inventory'!S201,VLOOKUP(W201, 'Lookup Tables'!$AI$6:$AM$102, 5, FALSE)*BP201)), "")), 2), "")</f>
        <v/>
      </c>
      <c r="FN201" s="253" t="str">
        <f>IFERROR(ROUND(IF(CD201="ERROR", "ERROR", IF(AND($FM$6=Y201,E201="Exterior"), IF(GB201=0, VLOOKUP(W201, 'Lookup Tables'!$AI$6:$AM$102, 5, FALSE)*BP201, IF(VLOOKUP(W201, 'Lookup Tables'!$AI$6:$AM$102, 5, FALSE)*BP201&gt;GB201*'Lighting Inventory'!S201, GB201*'Lighting Inventory'!S201,VLOOKUP(W201, 'Lookup Tables'!$AI$6:$AM$102, 5, FALSE)*BP201)), "")), 2), "")</f>
        <v/>
      </c>
      <c r="FO201" s="253" t="str">
        <f>IFERROR(ROUND(IF(CD201="ERROR", "ERROR", IF(AND($FO$6=Y201,E201="Interior"),VLOOKUP(W201, 'Lookup Tables'!$AI$6:$AM$102, 5, FALSE)*'Lighting Inventory'!AI201, "")), 2), "")</f>
        <v/>
      </c>
      <c r="FP201" s="253" t="str">
        <f>IFERROR(ROUND(IF(CD201="ERROR", "ERROR", IF(AND($FO$6=Y201,E201="Exterior"),VLOOKUP(W201, 'Lookup Tables'!$AI$6:$AM$102, 5, FALSE)*'Lighting Inventory'!AI201, "")), 2), "")</f>
        <v/>
      </c>
      <c r="FQ201" s="253" t="str">
        <f>IFERROR(ROUND(IF(CD201="ERROR", "ERROR", IF(AND($FQ$6=Y201,E201="Interior", BU201="Y"), VLOOKUP('Lighting Inventory'!W201, 'Lookup Tables'!$AI$6:$AM$102, 5, FALSE)*'Lighting Inventory'!S201, IF(AND($FQ$7=Y201,E201="Interior", BU201="N"), 0.025*CD201, ""))), 2), "")</f>
        <v/>
      </c>
      <c r="FR201" s="253" t="str">
        <f>IFERROR(ROUND(IF(CD201="ERROR", "ERROR", IF(AND($FQ$6=Y201,E201="Exterior"), VLOOKUP('Lighting Inventory'!W201, 'Lookup Tables'!$AI$6:$AM$102, 5, FALSE)*'Lighting Inventory'!S201, "")), 2), "")</f>
        <v/>
      </c>
      <c r="FS201" s="253" t="str">
        <f>IFERROR(ROUND(IF(CD201="ERROR", "ERROR", IF(AND($FS$6=Y201,E201="Exterior"), IF(GB201=0, VLOOKUP(W201, 'Lookup Tables'!$AI$6:$AM$102, 5, FALSE)*BP201, IF(VLOOKUP(W201, 'Lookup Tables'!$AI$6:$AM$102, 5, FALSE)*BP201&gt;GB201*'Lighting Inventory'!S201, GB201*'Lighting Inventory'!S201,VLOOKUP(W201, 'Lookup Tables'!$AI$6:$AM$102, 5, FALSE)*BP201)), "")), 2), "")</f>
        <v/>
      </c>
      <c r="FT201" s="253" t="str">
        <f>IFERROR(ROUND(IF(CD201="ERROR", "ERROR", IF(AND($FT$6=Y201,E201="Interior"), IF(GB201=0, VLOOKUP(W201, 'Lookup Tables'!$AI$6:$AM$102, 5, FALSE)*BP201, IF(VLOOKUP(W201, 'Lookup Tables'!$AI$6:$AM$102, 5, FALSE)*BP201&gt;GB201*'Lighting Inventory'!S201, GB201*'Lighting Inventory'!S201,VLOOKUP(W201, 'Lookup Tables'!$AI$6:$AM$102, 5, FALSE)*BP201)), "")), 2), "")</f>
        <v/>
      </c>
      <c r="FU201" s="253" t="str">
        <f>IFERROR(ROUND(IF(CD201="ERROR", "ERROR", IF(AND(Y201=$FU$6, E201="Interior"), IF(BS201="N", 'Lookup Tables'!$AM$101*BP201, VLOOKUP(W201, 'Lookup Tables'!$AI$6:$AM$102, 5, FALSE)*S201*AD201), "")), 2), "")</f>
        <v/>
      </c>
      <c r="FV201" s="253" t="str">
        <f>IFERROR(ROUND(IF(CD201="ERROR", "ERROR", IF(AND(Y201=$FU$6, E201="Exterior"), IF(BS201="N", 'Lookup Tables'!$AM$101*BP201, VLOOKUP(W201, 'Lookup Tables'!$AI$6:$AM$102, 5, FALSE)*S201*AD201), "")), 2), "")</f>
        <v/>
      </c>
      <c r="FW201" s="253" t="str">
        <f>IFERROR(ROUND(IF(CD201="ERROR", "ERROR", IF($FW$6=Y201, IF(BS201="N", 'Lookup Tables'!$AM$101*BP201, MIN((VLOOKUP(W201, 'Lookup Tables'!$AI$6:$AM$102, 5, FALSE)*BP201),GB201*AJ201)), "")), 2), "")</f>
        <v/>
      </c>
      <c r="FX201" s="253" t="str">
        <f>IFERROR(ROUND(IF(CD201="ERROR", "ERROR", IF(AND($FX$6=Y201, E201="Interior"), IF(VLOOKUP(W201, 'Lookup Tables'!$AI$6:$AM$102, 5, FALSE)*BP201&gt;'Lookup Tables'!$AQ$97*'Lighting Inventory'!S201,'Lighting Inventory'!S201*'Lookup Tables'!$AQ$97,VLOOKUP(W201, 'Lookup Tables'!$AI$6:$AM$102, 5, FALSE)*BP201), "")), 2), "")</f>
        <v/>
      </c>
      <c r="FY201" s="253" t="str">
        <f>IFERROR(ROUND(IF(CD201="ERROR", "ERROR", IF(AND($FX$6=Y201, E201="Exterior"), IF(VLOOKUP(W201, 'Lookup Tables'!$AI$6:$AM$102, 5, FALSE)*BP201&gt;'Lookup Tables'!$AQ$97*'Lighting Inventory'!S201,'Lighting Inventory'!S201*'Lookup Tables'!$AQ$97,VLOOKUP(W201, 'Lookup Tables'!$AI$6:$AM$102, 5, FALSE)*BP201), "")), 2), "")</f>
        <v/>
      </c>
      <c r="FZ201" s="253" t="str">
        <f>IFERROR(ROUND(IF(CD201="ERROR", "ERROR", IF(AND($FZ$6=Y201, E201="Interior"), IF(AND(OR(W201="Refrigerated Case Lighting with Doors", W201="Freezer Case Lighting"),Y201="Custom - Process Improvement"),CD201*'Lookup Tables'!$AM$101, IF(B201="Retrofit", IF(VLOOKUP(IF(V201="Custom", V201, W201), 'Lookup Tables'!$AI$6:$AM$102, 5, FALSE)*BP201&gt;GE201, GE201, VLOOKUP(IF(V201="Custom", V201, W201), 'Lookup Tables'!$AI$6:$AM$102, 5, FALSE)*BP201), IF(VLOOKUP(IF(V201="Custom", V201, W201), 'Lookup Tables'!$AI$114:$AM$154, 5, FALSE)*BP201&gt;GE201, GE201, VLOOKUP(IF(V201="Custom", V201, W201), 'Lookup Tables'!$AI$114:$AM$154, 5, FALSE)*BP201))), "")), 2),"")</f>
        <v/>
      </c>
      <c r="GA201" s="253" t="str">
        <f>IFERROR(ROUND(IF(CD201="ERROR", "ERROR", IF(AND($FZ$6=Y201, E201="Exterior"), IF(B201="Retrofit", IF(VLOOKUP(IF(V201="Custom", V201, W201), 'Lookup Tables'!$AI$6:$AM$102, 5, FALSE)*BP201&gt;GE201, GE201, VLOOKUP(IF(V201="Custom", V201, W201), 'Lookup Tables'!$AI$6:$AM$102, 5, FALSE)*BP201), IF(VLOOKUP(IF(V201="Custom", V201, W201), 'Lookup Tables'!$AI$114:$AM$154, 5, FALSE)*BP201&gt;GE201, GE201, VLOOKUP(IF(V201="Custom", V201, W201), 'Lookup Tables'!$AI$114:$AM$154, 5, FALSE)*BP201)), "")), 2),"")</f>
        <v/>
      </c>
      <c r="GB201" s="254" t="str">
        <f t="array" ref="GB201">IF(B201="","",IF(OR(V201="Custom",V201="No Change"),0,IF(B201="Retrofit", INDEX('Lookup Tables'!$AH$6:$AQ$102,MATCH(1,('Lookup Tables'!$AH$6:$AH$102='Lighting Inventory'!V201)*('Lookup Tables'!$AI$6:$AI$102='Lighting Inventory'!W201),FALSE),10),INDEX('Lookup Tables'!$AH$114:$AQ$154,MATCH(1,('Lookup Tables'!$AH$114:$AH$154='Lighting Inventory'!V201)*('Lookup Tables'!$AI$114:$AI$154='Lighting Inventory'!W201),FALSE),10))))</f>
        <v/>
      </c>
      <c r="GC201" s="255" t="str">
        <f t="shared" si="447"/>
        <v/>
      </c>
      <c r="GD201" s="250" t="str">
        <f t="shared" si="448"/>
        <v/>
      </c>
      <c r="GE201" s="253" t="str">
        <f>IFERROR(IF(AND(AF201="", 'General Information'!$F$18="No"),"", IF(AF201="", ((GD201/$CD$266)*$CF$266)*0.5, AF201*S201*0.5)), "")</f>
        <v/>
      </c>
      <c r="GF201" s="255" t="str">
        <f>IF(AND('General Information'!$F$19="", 'General Information'!$F$18="Yes",AF201="",BW201="Y"), "Y", "N")</f>
        <v>N</v>
      </c>
      <c r="GG201" s="255" t="s">
        <v>2946</v>
      </c>
      <c r="GH201" s="255" t="str">
        <f>IFERROR(IF(B201="", "", VLOOKUP(J201, 'Fixture Identities'!$A$6:$N$908, 14, FALSE)), "")</f>
        <v/>
      </c>
      <c r="GI201" s="389" t="str">
        <f>IF(OR(B201="", V201="", W201=""), "", IF(AND(OR(M201='Lookup Tables'!$R$18, M201='Lookup Tables'!$R$19, M201='Lookup Tables'!$R$20, M201='Lookup Tables'!$R$21, M201='Lookup Tables'!$R$22), OR(AN201='Lookup Tables'!$R$17, AN201='Lookup Tables'!$R$17, AN201="")), "Y", "N"))</f>
        <v/>
      </c>
      <c r="GJ201" s="255" t="str">
        <f t="shared" si="449"/>
        <v/>
      </c>
      <c r="GK201" s="255" t="str">
        <f t="shared" si="450"/>
        <v/>
      </c>
      <c r="GL201" s="255" t="str">
        <f t="shared" si="451"/>
        <v/>
      </c>
      <c r="GM201" s="255" t="str">
        <f>IF(AN201="", "", IF(AND(IF(ISNA(VLOOKUP(AN201,'Lookup Tables'!$R$18:$R$22,1,FALSE)), "N", "Y")="Y", E201="Exterior"), "Y", "N"))</f>
        <v/>
      </c>
      <c r="GN201" s="395"/>
      <c r="GO201" s="428">
        <f t="shared" si="497"/>
        <v>0</v>
      </c>
      <c r="GP201" s="428">
        <f t="shared" si="500"/>
        <v>0</v>
      </c>
      <c r="GQ201" s="428">
        <f t="shared" si="498"/>
        <v>0</v>
      </c>
      <c r="GR201" s="428">
        <f t="shared" si="499"/>
        <v>0</v>
      </c>
    </row>
    <row r="202" spans="1:200" s="103" customFormat="1" ht="13.5" customHeight="1" x14ac:dyDescent="0.2">
      <c r="A202" s="272">
        <v>192</v>
      </c>
      <c r="B202" s="110"/>
      <c r="C202" s="110"/>
      <c r="D202" s="110"/>
      <c r="E202" s="110"/>
      <c r="F202" s="110"/>
      <c r="G202" s="110"/>
      <c r="H202" s="110"/>
      <c r="I202" s="29"/>
      <c r="J202" s="29"/>
      <c r="K202" s="272" t="str">
        <f>IFERROR(IF(OR(VLOOKUP(J202, 'Fixture Identities'!$A$6:$L$1023, 3, FALSE)="T12 Linear Fluorescent", VLOOKUP(J202, 'Fixture Identities'!$A$6:$L$1023, 3, FALSE)="T12 U-Tube Fluorescent"), VLOOKUP(VLOOKUP(J202, 'Fixture Identities'!$A$6:$L$1023, 11, FALSE), 'Fixture Identities'!$A$6:$L$1023, 10, FALSE), VLOOKUP(J202, 'Fixture Identities'!$A$6:$L$1023, 10, FALSE)), "")</f>
        <v/>
      </c>
      <c r="L202" s="270" t="str">
        <f t="shared" si="502"/>
        <v/>
      </c>
      <c r="M202" s="110"/>
      <c r="N202" s="110"/>
      <c r="O202" s="110"/>
      <c r="P202" s="272" t="str">
        <f>IFERROR(IF(OR(B202="Retrofit",B202=""),"",IF('Lighting Inventory'!E202="Exterior",VLOOKUP('Lighting Inventory'!N202,'Lookup Tables'!$B$83:$F$103,5,FALSE),IF(N202="Other - Please Estimate EFLH and CFs","Contact Prog. Rep.","ft^2"))), "")</f>
        <v/>
      </c>
      <c r="Q202" s="270" t="str">
        <f>IFERROR(IF(AND(B202="New Construction",E202="Interior",$F$5="Space-by-Space"),VLOOKUP('Lighting Inventory'!N202,'Lookup Tables'!$N$6:$O$97,2,FALSE),IF(AND(B202="New Construction",E202="Exterior"),VLOOKUP(N202,'Lookup Tables'!$B$83:$F$103,2,FALSE),IF(AND(B202="New Construction",'Lighting Inventory'!E202="Interior", $F$5="Building Area"),VLOOKUP(F202,'Lookup Tables'!$A$6:$J$59,10,FALSE),""))), "")</f>
        <v/>
      </c>
      <c r="R202" s="270" t="str">
        <f>IFERROR(IF(P202="Contact Prog. Rep.", "ERROR", IF(OR(B202="",B202="Retrofit"),"",IF(N202="Automated teller machines", ('Lookup Tables'!$A$82:$E$100+('Lighting Inventory'!O202-1)*'Lookup Tables'!$A$82:$E$100)/1000, (Q202*O202)/1000))), "")</f>
        <v/>
      </c>
      <c r="S202" s="595"/>
      <c r="T202" s="105" t="str">
        <f t="shared" si="452"/>
        <v/>
      </c>
      <c r="U202" s="105" t="str">
        <f>IF(S202="","",COUNT($S$11:S202))</f>
        <v/>
      </c>
      <c r="V202" s="111"/>
      <c r="W202" s="112"/>
      <c r="X202" s="105" t="str">
        <f t="shared" si="453"/>
        <v/>
      </c>
      <c r="Y202" s="105" t="str">
        <f t="array" ref="Y202">IF(AND(OR(W202="Freezer Case Lighting", W202="Refrigerated Case Lighting with Doors"), 'General Information'!$X$18="LCI"),'Lookup Tables'!$Y$34, IF(V202="Custom", VLOOKUP(W202, 'Fixture Identities'!$A$974:$M$1023, 13, FALSE), IF(V202="No Change",'Lookup Tables'!$Y$29,IF(OR(V202="",W202=""),"",IF(AND(S202=0,S202&lt;I202,B202="Retrofit"),'Lookup Tables'!$Y$25, IF(B202="Retrofit", INDEX('Lookup Tables'!$AH$6:$AP$102, MATCH(1, ('Lookup Tables'!$AH$6:$AH$102=V202)*('Lookup Tables'!$AI$6:$AI$102=W202), 0), IF('Lighting Inventory'!E202="Interior", 4, 5)), INDEX('Lookup Tables'!$AH$114:$AP$154, MATCH(1, ('Lookup Tables'!$AH$114:$AH$154=V202)*('Lookup Tables'!$AI$114:$AI$154=W202), 0), IF('Lighting Inventory'!E202="Interior", 4, 5))))))))</f>
        <v/>
      </c>
      <c r="Z202" s="105" t="str">
        <f>IFERROR(INDEX('Lookup Tables'!$AH$158:$AH$172,MATCH('Lighting Inventory'!Y202,'Lookup Tables'!$AI$158:$AI$172,0)),"")</f>
        <v/>
      </c>
      <c r="AA202" s="105" t="str">
        <f>IF(AP202&gt;0,INDEX('Lookup Tables'!$AK$158:$AK$172,MATCH('Lighting Inventory'!Y202,'Lookup Tables'!$AI$158:$AI$172,0)),'Lighting Inventory'!Y202)</f>
        <v/>
      </c>
      <c r="AB202" s="105" t="str">
        <f t="array" ref="AB202">IF(V202="Custom", "Custom", IF(V202="", "", IF(V202="Not DLC or Energy Star", "General", IF(B202="New Construction", INDEX('Lookup Tables'!$AH$114:$AP$154,MATCH(1,('Lookup Tables'!$AH$114:$AH$154='Lighting Inventory'!V202)*('Lookup Tables'!$AI$114:$AI$154='Lighting Inventory'!W202),FALSE),8), INDEX('Lookup Tables'!$AH$6:$AP$102,MATCH(1,('Lookup Tables'!$AH$6:$AH$102='Lighting Inventory'!V202)*('Lookup Tables'!$AI$6:$AI$102='Lighting Inventory'!W202),FALSE),8)))))</f>
        <v/>
      </c>
      <c r="AC202" s="272" t="str">
        <f>IF(W202="","",IF(V202="Custom",CONCATENATE("$",'Lookup Tables'!$AM$101," ",'Lookup Tables'!$AN$101),CONCATENATE("$",INDEX('Lookup Tables'!$AM$6:$AM$102,MATCH('Lighting Inventory'!W202,'Lookup Tables'!$AI$6:$AI$102,0))," ",INDEX('Lookup Tables'!$AN$6:$AN$102,MATCH('Lighting Inventory'!W202,'Lookup Tables'!$AI$6:$AI$102,0)))))</f>
        <v/>
      </c>
      <c r="AD202" s="72"/>
      <c r="AE202" s="29"/>
      <c r="AF202" s="379"/>
      <c r="AG202" s="370" t="str">
        <f t="shared" si="401"/>
        <v/>
      </c>
      <c r="AH202" s="370" t="str">
        <f t="shared" si="454"/>
        <v/>
      </c>
      <c r="AI202" s="29"/>
      <c r="AJ202" s="29"/>
      <c r="AK202" s="110"/>
      <c r="AL202" s="375" t="str">
        <f>IF(OR(B202="", V202="", W202=""), "", IF(V202="No Change", K202, IF(V202="Remove Fixture", 0, IF(V202="Custom",VLOOKUP(W202,'Fixture Identities'!$A$6:$K$1023,10,FALSE),IF(AE202="", "← ENTER POST WATTS", 'Lighting Inventory'!AE202)))))</f>
        <v/>
      </c>
      <c r="AM202" s="376" t="str">
        <f t="shared" si="402"/>
        <v/>
      </c>
      <c r="AN202" s="29"/>
      <c r="AO202" s="671"/>
      <c r="AP202" s="29"/>
      <c r="AQ202" s="29"/>
      <c r="AR202" s="29"/>
      <c r="AS202" s="272" t="str">
        <f t="shared" si="455"/>
        <v/>
      </c>
      <c r="AT202" s="270" t="str">
        <f t="shared" si="403"/>
        <v/>
      </c>
      <c r="AU202" s="88" t="str">
        <f t="shared" si="503"/>
        <v/>
      </c>
      <c r="AV202" s="29"/>
      <c r="AW202" s="73"/>
      <c r="AX202" s="271" t="str">
        <f>IF(AND(AV202="Applicant",OR(AW202="", AW202="Use Default Facility Hours")),"← Choose Schedule",IF(F202="","",IF(W202="LED Exit Signs",8760,IF(OR(AV202="Prescribed",AV202=""),VLOOKUP(F202,'Lookup Tables'!$A$6:$G$59,IF(AB202="General", 6, 3),FALSE),VLOOKUP(AW202,'Lookup Tables'!$S$36:$U$43,2,FALSE)))))</f>
        <v/>
      </c>
      <c r="AY202" s="88" t="str">
        <f t="shared" si="404"/>
        <v/>
      </c>
      <c r="AZ202" s="270" t="str">
        <f>IFERROR(IF(F202="", "", IF(W202="LED Exit Signs", 1, IF(AV202="Applicant",VLOOKUP(AW202, 'Lookup Tables'!$S$36:$U$43,3, FALSE), VLOOKUP('Lighting Inventory'!F202, 'Lookup Tables'!$A$6:$H$59, IF('Lighting Inventory'!AB202="General",7,4), FALSE)))), "")</f>
        <v/>
      </c>
      <c r="BA202" s="522" t="str">
        <f>IFERROR(IF(F202="", "", IF(W202="LED Exit Signs", 1, VLOOKUP('Lighting Inventory'!F202, 'Lookup Tables'!$A$6:$H$59, IF('Lighting Inventory'!AB202="General",8,5), FALSE))), "")</f>
        <v/>
      </c>
      <c r="BB202" s="270" t="str">
        <f>IF(G202="", "", IF(E202="Exterior", 0, IF('Lighting Inventory'!G202="Air Conditioned", VLOOKUP(H202, 'Lookup Tables'!$R$6:$T$13, 2, FALSE), VLOOKUP('Lighting Inventory'!G202, 'Lookup Tables'!$R$6:$T$13, 2, FALSE))))</f>
        <v/>
      </c>
      <c r="BC202" s="522" t="str">
        <f>IF(G202="", "", IF(E202="Exterior", 0, IF('Lighting Inventory'!G202="Air Conditioned", VLOOKUP(H202, 'Lookup Tables'!$R$6:$T$13, 3, FALSE), VLOOKUP('Lighting Inventory'!G202, 'Lookup Tables'!$R$6:$T$13, 3, FALSE))))</f>
        <v/>
      </c>
      <c r="BD202" s="270" t="str">
        <f>IF(G202="", "", IF(E202="Exterior", 0, IF('Lighting Inventory'!G202="Air Conditioned", VLOOKUP(H202, 'Lookup Tables'!$R$6:$U$13, 4, FALSE), VLOOKUP('Lighting Inventory'!G202, 'Lookup Tables'!$R$6:$U$13, 4, FALSE))))</f>
        <v/>
      </c>
      <c r="BE202" s="270" t="str">
        <f>IFERROR(IF(B202="", "",  IF(B202="New Construction", VLOOKUP(F202, 'Lookup Tables'!$A$6:$K$59, 11, FALSE),IF(OR(AN202="", AN202="Light Switch"), 0, IF(OR(M202="",M202="None",V202= "LED Exit Signs"),0,_xlfn.XLOOKUP(M202,'Lookup Tables'!$R$91:$R$101,'Lookup Tables'!$V$91:$V$101))))), "")</f>
        <v/>
      </c>
      <c r="BF202" s="270" t="str">
        <f>IF(AND(OR(AN202="Light Switch",AN202=""),B202="New Construction"), VLOOKUP(F202, 'Lookup Tables'!$A$6:$K$59, 11, FALSE),IF(AN202="","",IF(B202="","",IF(OR(AN202="None",AN202="",V202="LED Exit Signs",AN202="Exterior Controls Not Eligible"),0,_xlfn.XLOOKUP(AN202,'Lookup Tables'!$R$91:$R$101,'Lookup Tables'!$V$91:$V$101)))))</f>
        <v/>
      </c>
      <c r="BG202" s="88" t="str">
        <f t="shared" si="456"/>
        <v/>
      </c>
      <c r="BH202" s="88" t="str">
        <f t="shared" si="457"/>
        <v/>
      </c>
      <c r="BI202" s="558" t="str">
        <f t="shared" si="501"/>
        <v/>
      </c>
      <c r="BJ202" s="82" t="str">
        <f t="shared" si="458"/>
        <v/>
      </c>
      <c r="BK202" s="82" t="str">
        <f t="shared" si="459"/>
        <v/>
      </c>
      <c r="BL202" s="559" t="str">
        <f t="shared" si="460"/>
        <v/>
      </c>
      <c r="BM202" s="521" t="str">
        <f t="shared" si="405"/>
        <v/>
      </c>
      <c r="BN202" s="521" t="str">
        <f t="shared" si="406"/>
        <v/>
      </c>
      <c r="BO202" s="522" t="str">
        <f t="shared" si="407"/>
        <v/>
      </c>
      <c r="BP202" s="83" t="str">
        <f t="shared" si="461"/>
        <v/>
      </c>
      <c r="BQ202" s="84" t="str">
        <f t="shared" si="462"/>
        <v/>
      </c>
      <c r="BR202" s="184" t="str">
        <f>IFERROR(IF(B202="", "", IF(OR(VLOOKUP(J202, 'Fixture Identities'!$A$6:$L$1023, 3, FALSE)="T12 Linear Fluorescent",VLOOKUP(J202, 'Fixture Identities'!$A$6:$L$1023, 3, FALSE)="T12 U-Tube Fluorescent"), "Y", "N")), "N")</f>
        <v/>
      </c>
      <c r="BS202" s="184" t="str">
        <f t="array" ref="BS202">IFERROR(IF(OR(B202="", V202="", W202=""), "", IF(V202="Custom", "N", IF(OR(W202="Freezer Case Lighting", W202="Refrigerated Case Lighting with Doors"), BT202, IF(B202="Retrofit", INDEX('Lookup Tables'!$AH$6:$AT$102,MATCH(1,('Lookup Tables'!$AH$6:$AH$102=V202)*('Lookup Tables'!$AI$6:$AI$102=W202),FALSE),IF(VLOOKUP(J202, 'Fixture Identities'!$A$6:$B$1023, 2, FALSE)="Incandescent",12, 13)), INDEX('Lookup Tables'!$AH$114:$AS$154,MATCH(1,('Lookup Tables'!$AH$114:$AH$154=V202)*('Lookup Tables'!$AI$114:$AI$154=W202),FALSE),12))))), "N")</f>
        <v/>
      </c>
      <c r="BT202" s="184" t="str">
        <f>IF(J202="", "", IF(AND(OR(W202="Freezer case Lighting", W202="Refrigerated Case Lighting with Doors"),'General Information'!$X$18="LCI"), "N", IF(OR(VLOOKUP(J202, 'Fixture Identities'!$A$6:$B$1023, 2, FALSE)="T12 EPACT/EISA Baseline", VLOOKUP(J202, 'Fixture Identities'!$A$6:$B$1023, 2, FALSE)="Linear Fluorescent", VLOOKUP(J202, 'Fixture Identities'!$A$6:$B$1023, 2, FALSE)="U-Tube Fluorescent"), "Y", "N")))</f>
        <v/>
      </c>
      <c r="BU202" s="184" t="str">
        <f>IFERROR(IF(B202="", "", IF(VLOOKUP(J202, 'Fixture Identities'!$A$6:$B$1023, 2, FALSE)="Exit Sign", "Y", "N")), "N")</f>
        <v/>
      </c>
      <c r="BV202" s="184" t="str">
        <f>IF(V202="Exit Signs", IF(VLOOKUP(J202, 'Fixture Identities'!$A$6:$B$1023, 2, FALSE)="Exit Sign", "N", "Y"), "")</f>
        <v/>
      </c>
      <c r="BW202" s="184" t="str">
        <f t="array" ref="BW202">IFERROR(IF(B202="", "", IF(B202="New Construction", "N", INDEX('Lookup Tables'!$AH$6:$AU$102, MATCH(1, ('Lookup Tables'!$AH$6:$AH$102='Lighting Inventory'!V202)*('Lookup Tables'!$AI$6:$AI$102='Lighting Inventory'!W202), 0), 14))), "N")</f>
        <v/>
      </c>
      <c r="BX202" s="598" t="str">
        <f t="shared" si="463"/>
        <v/>
      </c>
      <c r="BY202" s="598" t="str">
        <f t="shared" si="464"/>
        <v/>
      </c>
      <c r="BZ202" s="598" t="str">
        <f t="shared" si="465"/>
        <v/>
      </c>
      <c r="CA202" s="598" t="str">
        <f t="shared" si="466"/>
        <v/>
      </c>
      <c r="CB202" s="269" t="str">
        <f t="shared" si="467"/>
        <v/>
      </c>
      <c r="CC202" s="517" t="str">
        <f t="shared" si="468"/>
        <v/>
      </c>
      <c r="CD202" s="565" t="str">
        <f t="shared" si="408"/>
        <v/>
      </c>
      <c r="CE202" s="368">
        <v>0</v>
      </c>
      <c r="CF202" s="368" t="str" cm="1">
        <f t="array" ref="CF202">IFERROR(IF(V202="Custom", "$0.1 per kWh", IF(B202="New Construction", CONCATENATE("$",INDEX('Lookup Tables'!$AH$114:$AN$154,MATCH(1,('Lookup Tables'!$AH$114:$AH$154='Lighting Inventory'!V202)*('Lookup Tables'!$AI$114:$AI$154='Lighting Inventory'!W202),FALSE),6)," ",INDEX('Lookup Tables'!$AH$114:$AN$154,MATCH(1,('Lookup Tables'!$AH$114:$AH$154='Lighting Inventory'!V202)*('Lookup Tables'!$AI$114:$AI$154='Lighting Inventory'!W202),FALSE),7)), IF(AND(BU202="N", V202="Exit Signs"), "$0.025 per kWh", CONCATENATE("$",INDEX('Lookup Tables'!$AH$6:$AN$102,MATCH(1,('Lookup Tables'!$AH$6:$AH$102='Lighting Inventory'!V202)*('Lookup Tables'!$AI$6:$AI$102='Lighting Inventory'!W202),FALSE),6)," ",INDEX('Lookup Tables'!$AH$6:$AN$102,MATCH(1,('Lookup Tables'!$AH$6:$AH$102='Lighting Inventory'!V202)*('Lookup Tables'!$AI$6:$AI$102='Lighting Inventory'!W202),FALSE),7))))), "")</f>
        <v/>
      </c>
      <c r="CG202" s="366"/>
      <c r="CH202" s="248" t="str">
        <f t="shared" si="409"/>
        <v/>
      </c>
      <c r="CI202" s="248" t="str">
        <f t="shared" si="410"/>
        <v>Select_IE</v>
      </c>
      <c r="CJ202" s="248" t="str">
        <f t="shared" si="411"/>
        <v/>
      </c>
      <c r="CK202" s="248" t="str">
        <f t="shared" si="412"/>
        <v/>
      </c>
      <c r="CL202" s="248" t="str">
        <f t="shared" si="413"/>
        <v/>
      </c>
      <c r="CM202" s="248" t="str">
        <f>IFERROR(IF(B202="", "", IF(B202="New Construction", VLOOKUP(V202, 'Lookup Tables'!$AF$114:$AG$120, 2, FALSE), VLOOKUP(V202, 'Lookup Tables'!$AD$6:$AE$25, 2, FALSE))), "")</f>
        <v/>
      </c>
      <c r="CN202" s="248" t="str">
        <f t="shared" si="414"/>
        <v/>
      </c>
      <c r="CO202" s="248" t="str">
        <f t="shared" si="415"/>
        <v/>
      </c>
      <c r="CP202" s="592" t="str">
        <f t="shared" si="416"/>
        <v/>
      </c>
      <c r="CQ202" s="248" t="str">
        <f t="shared" si="469"/>
        <v/>
      </c>
      <c r="CR202" s="249"/>
      <c r="CS202" s="250" t="str">
        <f t="shared" si="417"/>
        <v/>
      </c>
      <c r="CT202" s="250" t="str">
        <f t="shared" si="470"/>
        <v/>
      </c>
      <c r="CU202" s="250" t="str">
        <f t="shared" si="471"/>
        <v/>
      </c>
      <c r="CV202" s="250" t="str">
        <f t="shared" si="472"/>
        <v/>
      </c>
      <c r="CW202" s="250" t="str">
        <f t="shared" si="473"/>
        <v/>
      </c>
      <c r="CX202" s="250" t="str">
        <f t="shared" si="418"/>
        <v/>
      </c>
      <c r="CY202" s="250" t="str">
        <f t="shared" si="419"/>
        <v/>
      </c>
      <c r="CZ202" s="250" t="str">
        <f t="shared" si="420"/>
        <v/>
      </c>
      <c r="DA202" s="250" t="str">
        <f t="shared" si="421"/>
        <v/>
      </c>
      <c r="DB202" s="250" t="str">
        <f t="shared" si="422"/>
        <v/>
      </c>
      <c r="DC202" s="250" t="str">
        <f t="shared" si="423"/>
        <v/>
      </c>
      <c r="DD202" s="250" t="str">
        <f t="shared" si="424"/>
        <v/>
      </c>
      <c r="DE202" s="250" t="str">
        <f t="shared" si="425"/>
        <v/>
      </c>
      <c r="DF202" s="250" t="str">
        <f t="shared" si="426"/>
        <v/>
      </c>
      <c r="DG202" s="250" t="str">
        <f t="shared" si="427"/>
        <v/>
      </c>
      <c r="DH202" s="250" t="str">
        <f t="shared" si="428"/>
        <v/>
      </c>
      <c r="DI202" s="250" t="str">
        <f t="shared" si="429"/>
        <v/>
      </c>
      <c r="DJ202" s="250" t="str">
        <f t="shared" si="430"/>
        <v/>
      </c>
      <c r="DK202" s="250" t="str">
        <f t="shared" si="431"/>
        <v/>
      </c>
      <c r="DL202" s="250" t="str">
        <f t="shared" si="432"/>
        <v/>
      </c>
      <c r="DM202" s="250" t="str">
        <f>IF(CD202="ERROR", "ERROR", IF(AND(OR(Y202=$DM$6, Y202='Lookup Tables'!$AD$21, Y202='Lookup Tables'!$AD$22), E202="Interior"), BJ202, ""))</f>
        <v/>
      </c>
      <c r="DN202" s="250" t="str">
        <f>IF(CD202="ERROR", "ERROR", IF(AND(OR(Y202=$DM$6, Y202='Lookup Tables'!$AD$21, Y202='Lookup Tables'!$AD$22), E202="Exterior"), BJ202, ""))</f>
        <v/>
      </c>
      <c r="DO202" s="249"/>
      <c r="DP202" s="250" t="str">
        <f t="shared" si="433"/>
        <v/>
      </c>
      <c r="DQ202" s="250" t="str">
        <f t="shared" si="474"/>
        <v/>
      </c>
      <c r="DR202" s="250" t="str">
        <f t="shared" si="475"/>
        <v/>
      </c>
      <c r="DS202" s="250" t="str">
        <f t="shared" si="476"/>
        <v/>
      </c>
      <c r="DT202" s="250" t="str">
        <f t="shared" si="477"/>
        <v/>
      </c>
      <c r="DU202" s="250" t="str">
        <f t="shared" si="434"/>
        <v/>
      </c>
      <c r="DV202" s="250" t="str">
        <f t="shared" si="435"/>
        <v/>
      </c>
      <c r="DW202" s="250" t="str">
        <f t="shared" si="436"/>
        <v/>
      </c>
      <c r="DX202" s="250" t="str">
        <f t="shared" si="437"/>
        <v/>
      </c>
      <c r="DY202" s="250" t="str">
        <f t="shared" si="438"/>
        <v/>
      </c>
      <c r="DZ202" s="250" t="str">
        <f t="shared" si="439"/>
        <v/>
      </c>
      <c r="EA202" s="250" t="str">
        <f t="shared" si="440"/>
        <v/>
      </c>
      <c r="EB202" s="250" t="str">
        <f t="shared" si="478"/>
        <v/>
      </c>
      <c r="EC202" s="250" t="str">
        <f t="shared" si="441"/>
        <v/>
      </c>
      <c r="ED202" s="250" t="str">
        <f t="shared" si="442"/>
        <v/>
      </c>
      <c r="EE202" s="250" t="str">
        <f t="shared" si="443"/>
        <v/>
      </c>
      <c r="EF202" s="250" t="str">
        <f t="shared" si="444"/>
        <v/>
      </c>
      <c r="EG202" s="250" t="str">
        <f t="shared" si="445"/>
        <v/>
      </c>
      <c r="EH202" s="250" t="str">
        <f>IF(CD202="ERROR", "ERROR", IF(AND(OR($EH$6=Y202, Y202='Lookup Tables'!$AD$21, Y202='Lookup Tables'!$AD$22),E202="Interior"), SUM(BP202:BP202), ""))</f>
        <v/>
      </c>
      <c r="EI202" s="250" t="str">
        <f>IF(CD202="ERROR", "ERROR", IF(AND(OR($EH$6=Y202, Y202='Lookup Tables'!$AD$21, Y202='Lookup Tables'!$AD$22),E202="Exterior"), SUM(BP202:BP202), ""))</f>
        <v/>
      </c>
      <c r="EJ202" s="109"/>
      <c r="EK202" s="485" t="str">
        <f t="shared" si="446"/>
        <v/>
      </c>
      <c r="EL202" s="252" t="str">
        <f t="shared" si="479"/>
        <v/>
      </c>
      <c r="EM202" s="252" t="str">
        <f t="shared" si="480"/>
        <v/>
      </c>
      <c r="EN202" s="252" t="str">
        <f t="shared" si="481"/>
        <v/>
      </c>
      <c r="EO202" s="252" t="str">
        <f t="shared" si="482"/>
        <v/>
      </c>
      <c r="EP202" s="252" t="str">
        <f t="shared" si="483"/>
        <v/>
      </c>
      <c r="EQ202" s="252" t="str">
        <f t="shared" si="484"/>
        <v/>
      </c>
      <c r="ER202" s="252" t="str">
        <f t="shared" si="485"/>
        <v/>
      </c>
      <c r="ES202" s="252" t="str">
        <f t="shared" si="486"/>
        <v/>
      </c>
      <c r="ET202" s="252" t="str">
        <f t="shared" si="487"/>
        <v/>
      </c>
      <c r="EU202" s="252" t="str">
        <f t="shared" si="488"/>
        <v/>
      </c>
      <c r="EV202" s="252" t="str">
        <f t="shared" si="489"/>
        <v/>
      </c>
      <c r="EW202" s="252" t="str">
        <f t="shared" si="490"/>
        <v/>
      </c>
      <c r="EX202" s="252" t="str">
        <f t="shared" si="491"/>
        <v/>
      </c>
      <c r="EY202" s="252" t="str">
        <f t="shared" si="492"/>
        <v/>
      </c>
      <c r="EZ202" s="252" t="str">
        <f t="shared" si="493"/>
        <v/>
      </c>
      <c r="FA202" s="252" t="str">
        <f t="shared" si="494"/>
        <v/>
      </c>
      <c r="FB202" s="252" t="str">
        <f t="shared" si="495"/>
        <v/>
      </c>
      <c r="FC202" s="252" t="str">
        <f>IF(CD202="ERROR", "ERROR", IF(OR(V202="No Change", V202="Not DLC or Energy Star"), "", IF(AND(OR($FC$6=Y202,Y202='Lookup Tables'!$AD$21, Y202='Lookup Tables'!$AD$22),E202="Interior"), S202, "")))</f>
        <v/>
      </c>
      <c r="FD202" s="252" t="str">
        <f t="shared" si="496"/>
        <v/>
      </c>
      <c r="FE202" s="1"/>
      <c r="FF202" s="579" t="str" cm="1">
        <f t="array" ref="FF202">IFERROR(IF(OR(BQ202&lt;=0,AQ202&lt;20,AND(V202="Exit Signs",AN202&gt;0)),"",IF(AND(AQ202&gt;=20,AN202='Lookup Tables'!$R$101),'Lookup Tables'!$U$101*BQ202,AP202*LOOKUP(2,1/((AN202='Lookup Tables'!$R$91:$R$111)*(AQ202&gt;='Lookup Tables'!$S$91:$S$111)*(AQ202&lt;='Lookup Tables'!$T$91:$T$111)),'Lookup Tables'!$U$91:$U$111))),"")</f>
        <v/>
      </c>
      <c r="FG202" s="579"/>
      <c r="FH202" s="579"/>
      <c r="FI202" s="253" t="str">
        <f>IFERROR(ROUND(IF(CD202="ERROR", "ERROR", IF(AND($FI$7=X202,E202="Interior"),VLOOKUP(W202, 'Lookup Tables'!$AI$6:$AM$102, 5, FALSE)*BP202, "")), 2), "")</f>
        <v/>
      </c>
      <c r="FJ202" s="253" t="str">
        <f>IFERROR(ROUND(IF(CD202="ERROR", "ERROR", IF(AND($FI$7=X202,E202="Exterior"),VLOOKUP(W202, 'Lookup Tables'!$AI$6:$AM$102, 5, FALSE)*BP202, "")), 2), "")</f>
        <v/>
      </c>
      <c r="FK202" s="253" t="str">
        <f>IFERROR(ROUND(IF(CD202="ERROR", "ERROR", IF(AND($FK$7=X202,E202="Interior"),VLOOKUP(W202, 'Lookup Tables'!$AI$6:$AM$102, 5, FALSE)*BP202, "")), 2), "")</f>
        <v/>
      </c>
      <c r="FL202" s="253" t="str">
        <f>IFERROR(ROUND(IF(CD202="ERROR", "ERROR", IF(AND($FK$7=X202,E202="Exterior"),VLOOKUP(W202, 'Lookup Tables'!$AI$6:$AM$102, 5, FALSE)*BP202, "")), 2), "")</f>
        <v/>
      </c>
      <c r="FM202" s="253" t="str">
        <f>IFERROR(ROUND(IF(CD202="ERROR", "ERROR", IF(AND($FM$6=Y202,E202="Interior"), IF(GB202=0, VLOOKUP(W202, 'Lookup Tables'!$AI$6:$AM$102, 5, FALSE)*BP202, IF(VLOOKUP(W202, 'Lookup Tables'!$AI$6:$AM$102, 5, FALSE)*BP202&gt;GB202*'Lighting Inventory'!S202, GB202*'Lighting Inventory'!S202,VLOOKUP(W202, 'Lookup Tables'!$AI$6:$AM$102, 5, FALSE)*BP202)), "")), 2), "")</f>
        <v/>
      </c>
      <c r="FN202" s="253" t="str">
        <f>IFERROR(ROUND(IF(CD202="ERROR", "ERROR", IF(AND($FM$6=Y202,E202="Exterior"), IF(GB202=0, VLOOKUP(W202, 'Lookup Tables'!$AI$6:$AM$102, 5, FALSE)*BP202, IF(VLOOKUP(W202, 'Lookup Tables'!$AI$6:$AM$102, 5, FALSE)*BP202&gt;GB202*'Lighting Inventory'!S202, GB202*'Lighting Inventory'!S202,VLOOKUP(W202, 'Lookup Tables'!$AI$6:$AM$102, 5, FALSE)*BP202)), "")), 2), "")</f>
        <v/>
      </c>
      <c r="FO202" s="253" t="str">
        <f>IFERROR(ROUND(IF(CD202="ERROR", "ERROR", IF(AND($FO$6=Y202,E202="Interior"),VLOOKUP(W202, 'Lookup Tables'!$AI$6:$AM$102, 5, FALSE)*'Lighting Inventory'!AI202, "")), 2), "")</f>
        <v/>
      </c>
      <c r="FP202" s="253" t="str">
        <f>IFERROR(ROUND(IF(CD202="ERROR", "ERROR", IF(AND($FO$6=Y202,E202="Exterior"),VLOOKUP(W202, 'Lookup Tables'!$AI$6:$AM$102, 5, FALSE)*'Lighting Inventory'!AI202, "")), 2), "")</f>
        <v/>
      </c>
      <c r="FQ202" s="253" t="str">
        <f>IFERROR(ROUND(IF(CD202="ERROR", "ERROR", IF(AND($FQ$6=Y202,E202="Interior", BU202="Y"), VLOOKUP('Lighting Inventory'!W202, 'Lookup Tables'!$AI$6:$AM$102, 5, FALSE)*'Lighting Inventory'!S202, IF(AND($FQ$7=Y202,E202="Interior", BU202="N"), 0.025*CD202, ""))), 2), "")</f>
        <v/>
      </c>
      <c r="FR202" s="253" t="str">
        <f>IFERROR(ROUND(IF(CD202="ERROR", "ERROR", IF(AND($FQ$6=Y202,E202="Exterior"), VLOOKUP('Lighting Inventory'!W202, 'Lookup Tables'!$AI$6:$AM$102, 5, FALSE)*'Lighting Inventory'!S202, "")), 2), "")</f>
        <v/>
      </c>
      <c r="FS202" s="253" t="str">
        <f>IFERROR(ROUND(IF(CD202="ERROR", "ERROR", IF(AND($FS$6=Y202,E202="Exterior"), IF(GB202=0, VLOOKUP(W202, 'Lookup Tables'!$AI$6:$AM$102, 5, FALSE)*BP202, IF(VLOOKUP(W202, 'Lookup Tables'!$AI$6:$AM$102, 5, FALSE)*BP202&gt;GB202*'Lighting Inventory'!S202, GB202*'Lighting Inventory'!S202,VLOOKUP(W202, 'Lookup Tables'!$AI$6:$AM$102, 5, FALSE)*BP202)), "")), 2), "")</f>
        <v/>
      </c>
      <c r="FT202" s="253" t="str">
        <f>IFERROR(ROUND(IF(CD202="ERROR", "ERROR", IF(AND($FT$6=Y202,E202="Interior"), IF(GB202=0, VLOOKUP(W202, 'Lookup Tables'!$AI$6:$AM$102, 5, FALSE)*BP202, IF(VLOOKUP(W202, 'Lookup Tables'!$AI$6:$AM$102, 5, FALSE)*BP202&gt;GB202*'Lighting Inventory'!S202, GB202*'Lighting Inventory'!S202,VLOOKUP(W202, 'Lookup Tables'!$AI$6:$AM$102, 5, FALSE)*BP202)), "")), 2), "")</f>
        <v/>
      </c>
      <c r="FU202" s="253" t="str">
        <f>IFERROR(ROUND(IF(CD202="ERROR", "ERROR", IF(AND(Y202=$FU$6, E202="Interior"), IF(BS202="N", 'Lookup Tables'!$AM$101*BP202, VLOOKUP(W202, 'Lookup Tables'!$AI$6:$AM$102, 5, FALSE)*S202*AD202), "")), 2), "")</f>
        <v/>
      </c>
      <c r="FV202" s="253" t="str">
        <f>IFERROR(ROUND(IF(CD202="ERROR", "ERROR", IF(AND(Y202=$FU$6, E202="Exterior"), IF(BS202="N", 'Lookup Tables'!$AM$101*BP202, VLOOKUP(W202, 'Lookup Tables'!$AI$6:$AM$102, 5, FALSE)*S202*AD202), "")), 2), "")</f>
        <v/>
      </c>
      <c r="FW202" s="253" t="str">
        <f>IFERROR(ROUND(IF(CD202="ERROR", "ERROR", IF($FW$6=Y202, IF(BS202="N", 'Lookup Tables'!$AM$101*BP202, MIN((VLOOKUP(W202, 'Lookup Tables'!$AI$6:$AM$102, 5, FALSE)*BP202),GB202*AJ202)), "")), 2), "")</f>
        <v/>
      </c>
      <c r="FX202" s="253" t="str">
        <f>IFERROR(ROUND(IF(CD202="ERROR", "ERROR", IF(AND($FX$6=Y202, E202="Interior"), IF(VLOOKUP(W202, 'Lookup Tables'!$AI$6:$AM$102, 5, FALSE)*BP202&gt;'Lookup Tables'!$AQ$97*'Lighting Inventory'!S202,'Lighting Inventory'!S202*'Lookup Tables'!$AQ$97,VLOOKUP(W202, 'Lookup Tables'!$AI$6:$AM$102, 5, FALSE)*BP202), "")), 2), "")</f>
        <v/>
      </c>
      <c r="FY202" s="253" t="str">
        <f>IFERROR(ROUND(IF(CD202="ERROR", "ERROR", IF(AND($FX$6=Y202, E202="Exterior"), IF(VLOOKUP(W202, 'Lookup Tables'!$AI$6:$AM$102, 5, FALSE)*BP202&gt;'Lookup Tables'!$AQ$97*'Lighting Inventory'!S202,'Lighting Inventory'!S202*'Lookup Tables'!$AQ$97,VLOOKUP(W202, 'Lookup Tables'!$AI$6:$AM$102, 5, FALSE)*BP202), "")), 2), "")</f>
        <v/>
      </c>
      <c r="FZ202" s="253" t="str">
        <f>IFERROR(ROUND(IF(CD202="ERROR", "ERROR", IF(AND($FZ$6=Y202, E202="Interior"), IF(AND(OR(W202="Refrigerated Case Lighting with Doors", W202="Freezer Case Lighting"),Y202="Custom - Process Improvement"),CD202*'Lookup Tables'!$AM$101, IF(B202="Retrofit", IF(VLOOKUP(IF(V202="Custom", V202, W202), 'Lookup Tables'!$AI$6:$AM$102, 5, FALSE)*BP202&gt;GE202, GE202, VLOOKUP(IF(V202="Custom", V202, W202), 'Lookup Tables'!$AI$6:$AM$102, 5, FALSE)*BP202), IF(VLOOKUP(IF(V202="Custom", V202, W202), 'Lookup Tables'!$AI$114:$AM$154, 5, FALSE)*BP202&gt;GE202, GE202, VLOOKUP(IF(V202="Custom", V202, W202), 'Lookup Tables'!$AI$114:$AM$154, 5, FALSE)*BP202))), "")), 2),"")</f>
        <v/>
      </c>
      <c r="GA202" s="253" t="str">
        <f>IFERROR(ROUND(IF(CD202="ERROR", "ERROR", IF(AND($FZ$6=Y202, E202="Exterior"), IF(B202="Retrofit", IF(VLOOKUP(IF(V202="Custom", V202, W202), 'Lookup Tables'!$AI$6:$AM$102, 5, FALSE)*BP202&gt;GE202, GE202, VLOOKUP(IF(V202="Custom", V202, W202), 'Lookup Tables'!$AI$6:$AM$102, 5, FALSE)*BP202), IF(VLOOKUP(IF(V202="Custom", V202, W202), 'Lookup Tables'!$AI$114:$AM$154, 5, FALSE)*BP202&gt;GE202, GE202, VLOOKUP(IF(V202="Custom", V202, W202), 'Lookup Tables'!$AI$114:$AM$154, 5, FALSE)*BP202)), "")), 2),"")</f>
        <v/>
      </c>
      <c r="GB202" s="254" t="str">
        <f t="array" ref="GB202">IF(B202="","",IF(OR(V202="Custom",V202="No Change"),0,IF(B202="Retrofit", INDEX('Lookup Tables'!$AH$6:$AQ$102,MATCH(1,('Lookup Tables'!$AH$6:$AH$102='Lighting Inventory'!V202)*('Lookup Tables'!$AI$6:$AI$102='Lighting Inventory'!W202),FALSE),10),INDEX('Lookup Tables'!$AH$114:$AQ$154,MATCH(1,('Lookup Tables'!$AH$114:$AH$154='Lighting Inventory'!V202)*('Lookup Tables'!$AI$114:$AI$154='Lighting Inventory'!W202),FALSE),10))))</f>
        <v/>
      </c>
      <c r="GC202" s="255" t="str">
        <f t="shared" si="447"/>
        <v/>
      </c>
      <c r="GD202" s="250" t="str">
        <f t="shared" si="448"/>
        <v/>
      </c>
      <c r="GE202" s="253" t="str">
        <f>IFERROR(IF(AND(AF202="", 'General Information'!$F$18="No"),"", IF(AF202="", ((GD202/$CD$266)*$CF$266)*0.5, AF202*S202*0.5)), "")</f>
        <v/>
      </c>
      <c r="GF202" s="255" t="str">
        <f>IF(AND('General Information'!$F$19="", 'General Information'!$F$18="Yes",AF202="",BW202="Y"), "Y", "N")</f>
        <v>N</v>
      </c>
      <c r="GG202" s="255" t="s">
        <v>2946</v>
      </c>
      <c r="GH202" s="255" t="str">
        <f>IFERROR(IF(B202="", "", VLOOKUP(J202, 'Fixture Identities'!$A$6:$N$908, 14, FALSE)), "")</f>
        <v/>
      </c>
      <c r="GI202" s="389" t="str">
        <f>IF(OR(B202="", V202="", W202=""), "", IF(AND(OR(M202='Lookup Tables'!$R$18, M202='Lookup Tables'!$R$19, M202='Lookup Tables'!$R$20, M202='Lookup Tables'!$R$21, M202='Lookup Tables'!$R$22), OR(AN202='Lookup Tables'!$R$17, AN202='Lookup Tables'!$R$17, AN202="")), "Y", "N"))</f>
        <v/>
      </c>
      <c r="GJ202" s="255" t="str">
        <f t="shared" si="449"/>
        <v/>
      </c>
      <c r="GK202" s="255" t="str">
        <f t="shared" si="450"/>
        <v/>
      </c>
      <c r="GL202" s="255" t="str">
        <f t="shared" si="451"/>
        <v/>
      </c>
      <c r="GM202" s="255" t="str">
        <f>IF(AN202="", "", IF(AND(IF(ISNA(VLOOKUP(AN202,'Lookup Tables'!$R$18:$R$22,1,FALSE)), "N", "Y")="Y", E202="Exterior"), "Y", "N"))</f>
        <v/>
      </c>
      <c r="GN202" s="395"/>
      <c r="GO202" s="428">
        <f t="shared" si="497"/>
        <v>0</v>
      </c>
      <c r="GP202" s="428">
        <f t="shared" si="500"/>
        <v>0</v>
      </c>
      <c r="GQ202" s="428">
        <f t="shared" si="498"/>
        <v>0</v>
      </c>
      <c r="GR202" s="428">
        <f t="shared" si="499"/>
        <v>0</v>
      </c>
    </row>
    <row r="203" spans="1:200" s="103" customFormat="1" ht="13.5" customHeight="1" x14ac:dyDescent="0.2">
      <c r="A203" s="272">
        <v>193</v>
      </c>
      <c r="B203" s="110"/>
      <c r="C203" s="110"/>
      <c r="D203" s="110"/>
      <c r="E203" s="110"/>
      <c r="F203" s="110"/>
      <c r="G203" s="110"/>
      <c r="H203" s="110"/>
      <c r="I203" s="29"/>
      <c r="J203" s="29"/>
      <c r="K203" s="272" t="str">
        <f>IFERROR(IF(OR(VLOOKUP(J203, 'Fixture Identities'!$A$6:$L$1023, 3, FALSE)="T12 Linear Fluorescent", VLOOKUP(J203, 'Fixture Identities'!$A$6:$L$1023, 3, FALSE)="T12 U-Tube Fluorescent"), VLOOKUP(VLOOKUP(J203, 'Fixture Identities'!$A$6:$L$1023, 11, FALSE), 'Fixture Identities'!$A$6:$L$1023, 10, FALSE), VLOOKUP(J203, 'Fixture Identities'!$A$6:$L$1023, 10, FALSE)), "")</f>
        <v/>
      </c>
      <c r="L203" s="270" t="str">
        <f t="shared" si="502"/>
        <v/>
      </c>
      <c r="M203" s="110"/>
      <c r="N203" s="110"/>
      <c r="O203" s="110"/>
      <c r="P203" s="272" t="str">
        <f>IFERROR(IF(OR(B203="Retrofit",B203=""),"",IF('Lighting Inventory'!E203="Exterior",VLOOKUP('Lighting Inventory'!N203,'Lookup Tables'!$B$83:$F$103,5,FALSE),IF(N203="Other - Please Estimate EFLH and CFs","Contact Prog. Rep.","ft^2"))), "")</f>
        <v/>
      </c>
      <c r="Q203" s="270" t="str">
        <f>IFERROR(IF(AND(B203="New Construction",E203="Interior",$F$5="Space-by-Space"),VLOOKUP('Lighting Inventory'!N203,'Lookup Tables'!$N$6:$O$97,2,FALSE),IF(AND(B203="New Construction",E203="Exterior"),VLOOKUP(N203,'Lookup Tables'!$B$83:$F$103,2,FALSE),IF(AND(B203="New Construction",'Lighting Inventory'!E203="Interior", $F$5="Building Area"),VLOOKUP(F203,'Lookup Tables'!$A$6:$J$59,10,FALSE),""))), "")</f>
        <v/>
      </c>
      <c r="R203" s="270" t="str">
        <f>IFERROR(IF(P203="Contact Prog. Rep.", "ERROR", IF(OR(B203="",B203="Retrofit"),"",IF(N203="Automated teller machines", ('Lookup Tables'!$A$82:$E$100+('Lighting Inventory'!O203-1)*'Lookup Tables'!$A$82:$E$100)/1000, (Q203*O203)/1000))), "")</f>
        <v/>
      </c>
      <c r="S203" s="595"/>
      <c r="T203" s="105" t="str">
        <f t="shared" si="452"/>
        <v/>
      </c>
      <c r="U203" s="105" t="str">
        <f>IF(S203="","",COUNT($S$11:S203))</f>
        <v/>
      </c>
      <c r="V203" s="111"/>
      <c r="W203" s="112"/>
      <c r="X203" s="105" t="str">
        <f t="shared" si="453"/>
        <v/>
      </c>
      <c r="Y203" s="105" t="str">
        <f t="array" ref="Y203">IF(AND(OR(W203="Freezer Case Lighting", W203="Refrigerated Case Lighting with Doors"), 'General Information'!$X$18="LCI"),'Lookup Tables'!$Y$34, IF(V203="Custom", VLOOKUP(W203, 'Fixture Identities'!$A$974:$M$1023, 13, FALSE), IF(V203="No Change",'Lookup Tables'!$Y$29,IF(OR(V203="",W203=""),"",IF(AND(S203=0,S203&lt;I203,B203="Retrofit"),'Lookup Tables'!$Y$25, IF(B203="Retrofit", INDEX('Lookup Tables'!$AH$6:$AP$102, MATCH(1, ('Lookup Tables'!$AH$6:$AH$102=V203)*('Lookup Tables'!$AI$6:$AI$102=W203), 0), IF('Lighting Inventory'!E203="Interior", 4, 5)), INDEX('Lookup Tables'!$AH$114:$AP$154, MATCH(1, ('Lookup Tables'!$AH$114:$AH$154=V203)*('Lookup Tables'!$AI$114:$AI$154=W203), 0), IF('Lighting Inventory'!E203="Interior", 4, 5))))))))</f>
        <v/>
      </c>
      <c r="Z203" s="105" t="str">
        <f>IFERROR(INDEX('Lookup Tables'!$AH$158:$AH$172,MATCH('Lighting Inventory'!Y203,'Lookup Tables'!$AI$158:$AI$172,0)),"")</f>
        <v/>
      </c>
      <c r="AA203" s="105" t="str">
        <f>IF(AP203&gt;0,INDEX('Lookup Tables'!$AK$158:$AK$172,MATCH('Lighting Inventory'!Y203,'Lookup Tables'!$AI$158:$AI$172,0)),'Lighting Inventory'!Y203)</f>
        <v/>
      </c>
      <c r="AB203" s="105" t="str">
        <f t="array" ref="AB203">IF(V203="Custom", "Custom", IF(V203="", "", IF(V203="Not DLC or Energy Star", "General", IF(B203="New Construction", INDEX('Lookup Tables'!$AH$114:$AP$154,MATCH(1,('Lookup Tables'!$AH$114:$AH$154='Lighting Inventory'!V203)*('Lookup Tables'!$AI$114:$AI$154='Lighting Inventory'!W203),FALSE),8), INDEX('Lookup Tables'!$AH$6:$AP$102,MATCH(1,('Lookup Tables'!$AH$6:$AH$102='Lighting Inventory'!V203)*('Lookup Tables'!$AI$6:$AI$102='Lighting Inventory'!W203),FALSE),8)))))</f>
        <v/>
      </c>
      <c r="AC203" s="272" t="str">
        <f>IF(W203="","",IF(V203="Custom",CONCATENATE("$",'Lookup Tables'!$AM$101," ",'Lookup Tables'!$AN$101),CONCATENATE("$",INDEX('Lookup Tables'!$AM$6:$AM$102,MATCH('Lighting Inventory'!W203,'Lookup Tables'!$AI$6:$AI$102,0))," ",INDEX('Lookup Tables'!$AN$6:$AN$102,MATCH('Lighting Inventory'!W203,'Lookup Tables'!$AI$6:$AI$102,0)))))</f>
        <v/>
      </c>
      <c r="AD203" s="72"/>
      <c r="AE203" s="29"/>
      <c r="AF203" s="379"/>
      <c r="AG203" s="370" t="str">
        <f t="shared" ref="AG203:AG260" si="504">IFERROR(IF(AF203="", ((GD203/$CD$266)*$CF$266)/S203, (AF203*S203)/S203), "")</f>
        <v/>
      </c>
      <c r="AH203" s="370" t="str">
        <f t="shared" si="454"/>
        <v/>
      </c>
      <c r="AI203" s="29"/>
      <c r="AJ203" s="29"/>
      <c r="AK203" s="110"/>
      <c r="AL203" s="375" t="str">
        <f>IF(OR(B203="", V203="", W203=""), "", IF(V203="No Change", K203, IF(V203="Remove Fixture", 0, IF(V203="Custom",VLOOKUP(W203,'Fixture Identities'!$A$6:$K$1023,10,FALSE),IF(AE203="", "← ENTER POST WATTS", 'Lighting Inventory'!AE203)))))</f>
        <v/>
      </c>
      <c r="AM203" s="376" t="str">
        <f t="shared" ref="AM203:AM260" si="505">IFERROR(IF(S203="","", IF(V203="No Change",L203, (AL203*S203)/1000)), "← ENTER POST WATTS")</f>
        <v/>
      </c>
      <c r="AN203" s="29"/>
      <c r="AO203" s="671"/>
      <c r="AP203" s="29"/>
      <c r="AQ203" s="29"/>
      <c r="AR203" s="29"/>
      <c r="AS203" s="272" t="str">
        <f t="shared" si="455"/>
        <v/>
      </c>
      <c r="AT203" s="270" t="str">
        <f t="shared" ref="AT203:AT260" si="506">IFERROR(IF(B203="Retrofit", L203-AM203, R203-AM203), "")</f>
        <v/>
      </c>
      <c r="AU203" s="88" t="str">
        <f t="shared" si="503"/>
        <v/>
      </c>
      <c r="AV203" s="29"/>
      <c r="AW203" s="73"/>
      <c r="AX203" s="271" t="str">
        <f>IF(AND(AV203="Applicant",OR(AW203="", AW203="Use Default Facility Hours")),"← Choose Schedule",IF(F203="","",IF(W203="LED Exit Signs",8760,IF(OR(AV203="Prescribed",AV203=""),VLOOKUP(F203,'Lookup Tables'!$A$6:$G$59,IF(AB203="General", 6, 3),FALSE),VLOOKUP(AW203,'Lookup Tables'!$S$36:$U$43,2,FALSE)))))</f>
        <v/>
      </c>
      <c r="AY203" s="88" t="str">
        <f t="shared" ref="AY203:AY260" si="507">IFERROR((AU203/$AU$261)*AX203, "")</f>
        <v/>
      </c>
      <c r="AZ203" s="270" t="str">
        <f>IFERROR(IF(F203="", "", IF(W203="LED Exit Signs", 1, IF(AV203="Applicant",VLOOKUP(AW203, 'Lookup Tables'!$S$36:$U$43,3, FALSE), VLOOKUP('Lighting Inventory'!F203, 'Lookup Tables'!$A$6:$H$59, IF('Lighting Inventory'!AB203="General",7,4), FALSE)))), "")</f>
        <v/>
      </c>
      <c r="BA203" s="522" t="str">
        <f>IFERROR(IF(F203="", "", IF(W203="LED Exit Signs", 1, VLOOKUP('Lighting Inventory'!F203, 'Lookup Tables'!$A$6:$H$59, IF('Lighting Inventory'!AB203="General",8,5), FALSE))), "")</f>
        <v/>
      </c>
      <c r="BB203" s="270" t="str">
        <f>IF(G203="", "", IF(E203="Exterior", 0, IF('Lighting Inventory'!G203="Air Conditioned", VLOOKUP(H203, 'Lookup Tables'!$R$6:$T$13, 2, FALSE), VLOOKUP('Lighting Inventory'!G203, 'Lookup Tables'!$R$6:$T$13, 2, FALSE))))</f>
        <v/>
      </c>
      <c r="BC203" s="522" t="str">
        <f>IF(G203="", "", IF(E203="Exterior", 0, IF('Lighting Inventory'!G203="Air Conditioned", VLOOKUP(H203, 'Lookup Tables'!$R$6:$T$13, 3, FALSE), VLOOKUP('Lighting Inventory'!G203, 'Lookup Tables'!$R$6:$T$13, 3, FALSE))))</f>
        <v/>
      </c>
      <c r="BD203" s="270" t="str">
        <f>IF(G203="", "", IF(E203="Exterior", 0, IF('Lighting Inventory'!G203="Air Conditioned", VLOOKUP(H203, 'Lookup Tables'!$R$6:$U$13, 4, FALSE), VLOOKUP('Lighting Inventory'!G203, 'Lookup Tables'!$R$6:$U$13, 4, FALSE))))</f>
        <v/>
      </c>
      <c r="BE203" s="270" t="str">
        <f>IFERROR(IF(B203="", "",  IF(B203="New Construction", VLOOKUP(F203, 'Lookup Tables'!$A$6:$K$59, 11, FALSE),IF(OR(AN203="", AN203="Light Switch"), 0, IF(OR(M203="",M203="None",V203= "LED Exit Signs"),0,_xlfn.XLOOKUP(M203,'Lookup Tables'!$R$91:$R$101,'Lookup Tables'!$V$91:$V$101))))), "")</f>
        <v/>
      </c>
      <c r="BF203" s="270" t="str">
        <f>IF(AND(OR(AN203="Light Switch",AN203=""),B203="New Construction"), VLOOKUP(F203, 'Lookup Tables'!$A$6:$K$59, 11, FALSE),IF(AN203="","",IF(B203="","",IF(OR(AN203="None",AN203="",V203="LED Exit Signs",AN203="Exterior Controls Not Eligible"),0,_xlfn.XLOOKUP(AN203,'Lookup Tables'!$R$91:$R$101,'Lookup Tables'!$V$91:$V$101)))))</f>
        <v/>
      </c>
      <c r="BG203" s="88" t="str">
        <f t="shared" si="456"/>
        <v/>
      </c>
      <c r="BH203" s="88" t="str">
        <f t="shared" si="457"/>
        <v/>
      </c>
      <c r="BI203" s="558" t="str">
        <f t="shared" si="501"/>
        <v/>
      </c>
      <c r="BJ203" s="82" t="str">
        <f t="shared" si="458"/>
        <v/>
      </c>
      <c r="BK203" s="82" t="str">
        <f t="shared" si="459"/>
        <v/>
      </c>
      <c r="BL203" s="559" t="str">
        <f t="shared" si="460"/>
        <v/>
      </c>
      <c r="BM203" s="521" t="str">
        <f t="shared" ref="BM203:BM260" si="508">IFERROR(IF(AND(B203="New Construction", V203="LED Exit Signs"), "", IF(B203="", "", IF(B203="Retrofit", (L203-AM203)*BA203*(1-BE203)*(1+BC203), (R203-AM203)*BA203*(1-BE203)*(1+BC203)))), "")</f>
        <v/>
      </c>
      <c r="BN203" s="521" t="str">
        <f t="shared" ref="BN203:BN260" si="509">IFERROR(IF(OR(E203="",V203="LED Exit Signs"),"", BA203*(1+BC203)*AM203*(BF203-BE203)),0)</f>
        <v/>
      </c>
      <c r="BO203" s="522" t="str">
        <f t="shared" ref="BO203:BO260" si="510">IF(AND(E203="New Construction", AB203="LED Exit Signs"), "", IF(E203="", "", SUM(BM203:BN203)))</f>
        <v/>
      </c>
      <c r="BP203" s="83" t="str">
        <f t="shared" si="461"/>
        <v/>
      </c>
      <c r="BQ203" s="84" t="str">
        <f t="shared" si="462"/>
        <v/>
      </c>
      <c r="BR203" s="184" t="str">
        <f>IFERROR(IF(B203="", "", IF(OR(VLOOKUP(J203, 'Fixture Identities'!$A$6:$L$1023, 3, FALSE)="T12 Linear Fluorescent",VLOOKUP(J203, 'Fixture Identities'!$A$6:$L$1023, 3, FALSE)="T12 U-Tube Fluorescent"), "Y", "N")), "N")</f>
        <v/>
      </c>
      <c r="BS203" s="184" t="str">
        <f t="array" ref="BS203">IFERROR(IF(OR(B203="", V203="", W203=""), "", IF(V203="Custom", "N", IF(OR(W203="Freezer Case Lighting", W203="Refrigerated Case Lighting with Doors"), BT203, IF(B203="Retrofit", INDEX('Lookup Tables'!$AH$6:$AT$102,MATCH(1,('Lookup Tables'!$AH$6:$AH$102=V203)*('Lookup Tables'!$AI$6:$AI$102=W203),FALSE),IF(VLOOKUP(J203, 'Fixture Identities'!$A$6:$B$1023, 2, FALSE)="Incandescent",12, 13)), INDEX('Lookup Tables'!$AH$114:$AS$154,MATCH(1,('Lookup Tables'!$AH$114:$AH$154=V203)*('Lookup Tables'!$AI$114:$AI$154=W203),FALSE),12))))), "N")</f>
        <v/>
      </c>
      <c r="BT203" s="184" t="str">
        <f>IF(J203="", "", IF(AND(OR(W203="Freezer case Lighting", W203="Refrigerated Case Lighting with Doors"),'General Information'!$X$18="LCI"), "N", IF(OR(VLOOKUP(J203, 'Fixture Identities'!$A$6:$B$1023, 2, FALSE)="T12 EPACT/EISA Baseline", VLOOKUP(J203, 'Fixture Identities'!$A$6:$B$1023, 2, FALSE)="Linear Fluorescent", VLOOKUP(J203, 'Fixture Identities'!$A$6:$B$1023, 2, FALSE)="U-Tube Fluorescent"), "Y", "N")))</f>
        <v/>
      </c>
      <c r="BU203" s="184" t="str">
        <f>IFERROR(IF(B203="", "", IF(VLOOKUP(J203, 'Fixture Identities'!$A$6:$B$1023, 2, FALSE)="Exit Sign", "Y", "N")), "N")</f>
        <v/>
      </c>
      <c r="BV203" s="184" t="str">
        <f>IF(V203="Exit Signs", IF(VLOOKUP(J203, 'Fixture Identities'!$A$6:$B$1023, 2, FALSE)="Exit Sign", "N", "Y"), "")</f>
        <v/>
      </c>
      <c r="BW203" s="184" t="str">
        <f t="array" ref="BW203">IFERROR(IF(B203="", "", IF(B203="New Construction", "N", INDEX('Lookup Tables'!$AH$6:$AU$102, MATCH(1, ('Lookup Tables'!$AH$6:$AH$102='Lighting Inventory'!V203)*('Lookup Tables'!$AI$6:$AI$102='Lighting Inventory'!W203), 0), 14))), "N")</f>
        <v/>
      </c>
      <c r="BX203" s="598" t="str">
        <f t="shared" si="463"/>
        <v/>
      </c>
      <c r="BY203" s="598" t="str">
        <f t="shared" si="464"/>
        <v/>
      </c>
      <c r="BZ203" s="598" t="str">
        <f t="shared" si="465"/>
        <v/>
      </c>
      <c r="CA203" s="598" t="str">
        <f t="shared" si="466"/>
        <v/>
      </c>
      <c r="CB203" s="269" t="str">
        <f t="shared" si="467"/>
        <v/>
      </c>
      <c r="CC203" s="517" t="str">
        <f t="shared" si="468"/>
        <v/>
      </c>
      <c r="CD203" s="565" t="str">
        <f t="shared" ref="CD203:CD260" si="511">IF(AM203="ERROR", "ERROR", IF(AND(B203="New Construction", V203="LED Exit Signs"), "", IF(AND(E203="Exterior", V203="LED Exit Signs"), "", IF(B203="", "", SUM(BP203:BQ203)))))</f>
        <v/>
      </c>
      <c r="CE203" s="368">
        <v>0</v>
      </c>
      <c r="CF203" s="368" t="str" cm="1">
        <f t="array" ref="CF203">IFERROR(IF(V203="Custom", "$0.1 per kWh", IF(B203="New Construction", CONCATENATE("$",INDEX('Lookup Tables'!$AH$114:$AN$154,MATCH(1,('Lookup Tables'!$AH$114:$AH$154='Lighting Inventory'!V203)*('Lookup Tables'!$AI$114:$AI$154='Lighting Inventory'!W203),FALSE),6)," ",INDEX('Lookup Tables'!$AH$114:$AN$154,MATCH(1,('Lookup Tables'!$AH$114:$AH$154='Lighting Inventory'!V203)*('Lookup Tables'!$AI$114:$AI$154='Lighting Inventory'!W203),FALSE),7)), IF(AND(BU203="N", V203="Exit Signs"), "$0.025 per kWh", CONCATENATE("$",INDEX('Lookup Tables'!$AH$6:$AN$102,MATCH(1,('Lookup Tables'!$AH$6:$AH$102='Lighting Inventory'!V203)*('Lookup Tables'!$AI$6:$AI$102='Lighting Inventory'!W203),FALSE),6)," ",INDEX('Lookup Tables'!$AH$6:$AN$102,MATCH(1,('Lookup Tables'!$AH$6:$AH$102='Lighting Inventory'!V203)*('Lookup Tables'!$AI$6:$AI$102='Lighting Inventory'!W203),FALSE),7))))), "")</f>
        <v/>
      </c>
      <c r="CG203" s="366"/>
      <c r="CH203" s="248" t="str">
        <f t="shared" ref="CH203:CH260" si="512">IF(E203="", "", IF(E203="Exterior", "Ext_Lighting_Description", "Int_Lighting_Description"))</f>
        <v/>
      </c>
      <c r="CI203" s="248" t="str">
        <f t="shared" ref="CI203:CI260" si="513">IF(E203="", "Select_IE", IF(E203="Interior", "Building_Type_Interior", "Building_Type_Exterior"))</f>
        <v>Select_IE</v>
      </c>
      <c r="CJ203" s="248" t="str">
        <f t="shared" ref="CJ203:CJ260" si="514">IF(F203="", "", IF(E203="Exterior", "Uncooled", IF(F203="Storage - Unconditioned", "Uncooled", "Cooled")))</f>
        <v/>
      </c>
      <c r="CK203" s="248" t="str">
        <f t="shared" ref="CK203:CK260" si="515">IF(E203="Exterior", "Unheated", IF(G203="", "", IF(OR(G203="Uncooled", G203="Air Conditioned"), "Heated", "Unheated")))</f>
        <v/>
      </c>
      <c r="CL203" s="248" t="str">
        <f t="shared" ref="CL203:CL260" si="516">IF(B203="", "", IF(AND(B203="New Construction", E203="Interior"), "NC_Fixture_Category_Int", IF(AND(B203="New Construction", E203="Exterior"), "NC_Fixture_Category_Ext", IF(AND(B203="Retrofit", E203="Interior"), "Ret_Fixture_Category_Int", IF(AND(B203="Retrofit", E203="Exterior"), "Ret_Fixture_Category_Ext", "Ret_Fixture_Category_Int")))))</f>
        <v/>
      </c>
      <c r="CM203" s="248" t="str">
        <f>IFERROR(IF(B203="", "", IF(B203="New Construction", VLOOKUP(V203, 'Lookup Tables'!$AF$114:$AG$120, 2, FALSE), VLOOKUP(V203, 'Lookup Tables'!$AD$6:$AE$25, 2, FALSE))), "")</f>
        <v/>
      </c>
      <c r="CN203" s="248" t="str">
        <f t="shared" ref="CN203:CN260" si="517">IF(AV203="", "", IF(AV203="Applicant", "EFLH_schedules", "EFLH_prescribed"))</f>
        <v/>
      </c>
      <c r="CO203" s="248" t="str">
        <f t="shared" ref="CO203:CO260" si="518">IF(B203="", "", IF(AND(B203="New Construction", OR($F$5="Not Applicable", $F$5="")), "NC_Calc_Method", IF(B203="Retrofit", "Not_Applicable", IF(AND(E203="Interior", $F$5="Building Area"), "NC_Facility_Type", IF(AND(E203="Interior", $F$5="Space-by-Space"), "NC_Space_Type_Int", IF(E203="Exterior", "NC_Space_Type_Ext", "Not_Applicable"))))))</f>
        <v/>
      </c>
      <c r="CP203" s="592" t="str">
        <f t="shared" ref="CP203:CP260" si="519">IF(E203="","",IF(E203="Exterior","ext_lighting_controls","Lighting_Controls"))</f>
        <v/>
      </c>
      <c r="CQ203" s="248" t="str">
        <f t="shared" si="469"/>
        <v/>
      </c>
      <c r="CR203" s="100"/>
      <c r="CS203" s="250" t="str">
        <f t="shared" ref="CS203:CS260" si="520">IF(CD203="ERROR","ERROR",BK203)</f>
        <v/>
      </c>
      <c r="CT203" s="250" t="str">
        <f t="shared" si="470"/>
        <v/>
      </c>
      <c r="CU203" s="250" t="str">
        <f t="shared" si="471"/>
        <v/>
      </c>
      <c r="CV203" s="250" t="str">
        <f t="shared" si="472"/>
        <v/>
      </c>
      <c r="CW203" s="250" t="str">
        <f t="shared" si="473"/>
        <v/>
      </c>
      <c r="CX203" s="250" t="str">
        <f t="shared" ref="CX203:CX260" si="521">IF(CD203="ERROR", "ERROR", IF(AND(Y203=$CX$6, E203="Interior"), BJ203, ""))</f>
        <v/>
      </c>
      <c r="CY203" s="250" t="str">
        <f t="shared" ref="CY203:CY260" si="522">IF(CD203="ERROR", "ERROR", IF(AND(Y203=$CX$6, E203="Exterior"), BJ203, ""))</f>
        <v/>
      </c>
      <c r="CZ203" s="250" t="str">
        <f t="shared" ref="CZ203:CZ260" si="523">IF(CD203="ERROR", "ERROR", IF(AND(Y203=$CZ$6, E203="Interior"), BJ203, ""))</f>
        <v/>
      </c>
      <c r="DA203" s="250" t="str">
        <f t="shared" ref="DA203:DA260" si="524">IF(CD203="ERROR", "ERROR", IF(AND(Y203=$CZ$6, E203="Exterior"), BJ203, ""))</f>
        <v/>
      </c>
      <c r="DB203" s="250" t="str">
        <f t="shared" ref="DB203:DB260" si="525">IF(CD203="ERROR", "ERROR", IF(AND(Y203=$DB$6, E203="Interior"), BJ203, ""))</f>
        <v/>
      </c>
      <c r="DC203" s="250" t="str">
        <f t="shared" ref="DC203:DC260" si="526">IF(CD203="ERROR", "ERROR", IF(AND(Y203=$DB$6, E203="Exterior"), BJ203, ""))</f>
        <v/>
      </c>
      <c r="DD203" s="250" t="str">
        <f t="shared" ref="DD203:DD260" si="527">IF(CD203="ERROR", "ERROR", IF(AND(Y203=$DD$6, E203="Interior"), BJ203, ""))</f>
        <v/>
      </c>
      <c r="DE203" s="250" t="str">
        <f t="shared" ref="DE203:DE260" si="528">IF(CD203="ERROR", "ERROR", IF(AND(Y203=$DD$6, E203="Exterior"), BJ203, ""))</f>
        <v/>
      </c>
      <c r="DF203" s="250" t="str">
        <f t="shared" ref="DF203:DF260" si="529">IF(CD203="ERROR", "ERROR", IF(AND(Y203=$DF$6, E203="Interior"), BJ203, ""))</f>
        <v/>
      </c>
      <c r="DG203" s="250" t="str">
        <f t="shared" ref="DG203:DG260" si="530">IF(CD203="ERROR", "ERROR", IF(AND(Y203=$DF$6, E203="Exterior"), BJ203, ""))</f>
        <v/>
      </c>
      <c r="DH203" s="250" t="str">
        <f t="shared" ref="DH203:DH260" si="531">IF(CD203="ERROR", "ERROR", IF(AND(Y203=$DH$6, E203="Interior"), BJ203, ""))</f>
        <v/>
      </c>
      <c r="DI203" s="250" t="str">
        <f t="shared" ref="DI203:DI260" si="532">IF(CD203="ERROR", "ERROR", IF(AND(Y203=$DH$6, E203="Exterior"), BJ203, ""))</f>
        <v/>
      </c>
      <c r="DJ203" s="250" t="str">
        <f t="shared" ref="DJ203:DJ260" si="533">IF(CD203="ERROR", "ERROR", IF(Y203=$DJ$6, BJ203, ""))</f>
        <v/>
      </c>
      <c r="DK203" s="250" t="str">
        <f t="shared" ref="DK203:DK260" si="534">IF(CD203="ERROR", "ERROR", IF(AND(Y203=$DK$6, E203="Interior"), BJ203, ""))</f>
        <v/>
      </c>
      <c r="DL203" s="250" t="str">
        <f t="shared" ref="DL203:DL260" si="535">IF(CD203="ERROR", "ERROR", IF(AND(Y203=$DK$6, E203="Exterior"), BJ203, ""))</f>
        <v/>
      </c>
      <c r="DM203" s="250" t="str">
        <f>IF(CD203="ERROR", "ERROR", IF(AND(OR(Y203=$DM$6, Y203='Lookup Tables'!$AD$21, Y203='Lookup Tables'!$AD$22), E203="Interior"), BJ203, ""))</f>
        <v/>
      </c>
      <c r="DN203" s="250" t="str">
        <f>IF(CD203="ERROR", "ERROR", IF(AND(OR(Y203=$DM$6, Y203='Lookup Tables'!$AD$21, Y203='Lookup Tables'!$AD$22), E203="Exterior"), BJ203, ""))</f>
        <v/>
      </c>
      <c r="DO203" s="100"/>
      <c r="DP203" s="250" t="str">
        <f t="shared" ref="DP203:DP260" si="536">IF(CD203="ERROR","ERROR",BQ203)</f>
        <v/>
      </c>
      <c r="DQ203" s="250" t="str">
        <f t="shared" si="474"/>
        <v/>
      </c>
      <c r="DR203" s="250" t="str">
        <f t="shared" si="475"/>
        <v/>
      </c>
      <c r="DS203" s="250" t="str">
        <f t="shared" si="476"/>
        <v/>
      </c>
      <c r="DT203" s="250" t="str">
        <f t="shared" si="477"/>
        <v/>
      </c>
      <c r="DU203" s="250" t="str">
        <f t="shared" ref="DU203:DU260" si="537">IF(CD203="ERROR", "ERROR", IF(AND($DU$6=Y203,E203="Interior"), BP203, ""))</f>
        <v/>
      </c>
      <c r="DV203" s="250" t="str">
        <f t="shared" ref="DV203:DV260" si="538">IF(CD203="ERROR", "ERROR", IF(AND($DU$6=Y203,E203="Exterior"), BP203, ""))</f>
        <v/>
      </c>
      <c r="DW203" s="250" t="str">
        <f t="shared" ref="DW203:DW260" si="539">IF(CD203="ERROR", "ERROR", IF(AND($DW$6=Y203,E203="Interior"), BP203, ""))</f>
        <v/>
      </c>
      <c r="DX203" s="250" t="str">
        <f t="shared" ref="DX203:DX260" si="540">IF(CD203="ERROR", "ERROR", IF(AND($DW$6=Y203,E203="Exterior"), BP203, ""))</f>
        <v/>
      </c>
      <c r="DY203" s="250" t="str">
        <f t="shared" ref="DY203:DY260" si="541">IF(CD203="ERROR", "ERROR", IF(AND($DY$6=Y203,E203="Interior"), BP203, ""))</f>
        <v/>
      </c>
      <c r="DZ203" s="250" t="str">
        <f t="shared" ref="DZ203:DZ260" si="542">IF(CD203="ERROR", "ERROR", IF(AND($DY$6=Y203,E203="Exterior"), BP203, ""))</f>
        <v/>
      </c>
      <c r="EA203" s="250" t="str">
        <f t="shared" ref="EA203:EA260" si="543">IF(CD203="ERROR", "ERROR", IF(AND($EA$6=Y203,E203="Exterior"), BP203, ""))</f>
        <v/>
      </c>
      <c r="EB203" s="250" t="str">
        <f t="shared" si="478"/>
        <v/>
      </c>
      <c r="EC203" s="250" t="str">
        <f t="shared" ref="EC203:EC260" si="544">IF(CD203="ERROR", "ERROR", IF(AND(Y203=$EC$6, E203="Interior"), BP203, ""))</f>
        <v/>
      </c>
      <c r="ED203" s="250" t="str">
        <f t="shared" ref="ED203:ED260" si="545">IF(CD203="ERROR", "ERROR", IF(AND(Y203=$EC$6, E203="Exterior"), BP203, ""))</f>
        <v/>
      </c>
      <c r="EE203" s="250" t="str">
        <f t="shared" ref="EE203:EE260" si="546">IF(CD203="ERROR", "ERROR", IF(Y203=$EE$6, BP203, ""))</f>
        <v/>
      </c>
      <c r="EF203" s="250" t="str">
        <f t="shared" ref="EF203:EF260" si="547">IF(CD203="ERROR", "ERROR", IF(AND($EF$6=Y203,E203="Interior"), BP203, ""))</f>
        <v/>
      </c>
      <c r="EG203" s="250" t="str">
        <f t="shared" ref="EG203:EG260" si="548">IF(CD203="ERROR", "ERROR", IF(AND($EF$6=Y203,E203="Exterior"), BP203, ""))</f>
        <v/>
      </c>
      <c r="EH203" s="250" t="str">
        <f>IF(CD203="ERROR", "ERROR", IF(AND(OR($EH$6=Y203, Y203='Lookup Tables'!$AD$21, Y203='Lookup Tables'!$AD$22),E203="Interior"), SUM(BP203:BP203), ""))</f>
        <v/>
      </c>
      <c r="EI203" s="250" t="str">
        <f>IF(CD203="ERROR", "ERROR", IF(AND(OR($EH$6=Y203, Y203='Lookup Tables'!$AD$21, Y203='Lookup Tables'!$AD$22),E203="Exterior"), SUM(BP203:BP203), ""))</f>
        <v/>
      </c>
      <c r="EJ203" s="109"/>
      <c r="EK203" s="485" t="str">
        <f t="shared" ref="EK203:EK260" si="549">IF(CD203="ERROR","ERROR",IF(E203="Exterior", "0", IF(OR(AN203="",AN203="Light Switch"), "",AP203)))</f>
        <v/>
      </c>
      <c r="EL203" s="252" t="str">
        <f t="shared" si="479"/>
        <v/>
      </c>
      <c r="EM203" s="252" t="str">
        <f t="shared" si="480"/>
        <v/>
      </c>
      <c r="EN203" s="252" t="str">
        <f t="shared" si="481"/>
        <v/>
      </c>
      <c r="EO203" s="252" t="str">
        <f t="shared" si="482"/>
        <v/>
      </c>
      <c r="EP203" s="252" t="str">
        <f t="shared" si="483"/>
        <v/>
      </c>
      <c r="EQ203" s="252" t="str">
        <f t="shared" si="484"/>
        <v/>
      </c>
      <c r="ER203" s="252" t="str">
        <f t="shared" si="485"/>
        <v/>
      </c>
      <c r="ES203" s="252" t="str">
        <f t="shared" si="486"/>
        <v/>
      </c>
      <c r="ET203" s="252" t="str">
        <f t="shared" si="487"/>
        <v/>
      </c>
      <c r="EU203" s="252" t="str">
        <f t="shared" si="488"/>
        <v/>
      </c>
      <c r="EV203" s="252" t="str">
        <f t="shared" si="489"/>
        <v/>
      </c>
      <c r="EW203" s="252" t="str">
        <f t="shared" si="490"/>
        <v/>
      </c>
      <c r="EX203" s="252" t="str">
        <f t="shared" si="491"/>
        <v/>
      </c>
      <c r="EY203" s="252" t="str">
        <f t="shared" si="492"/>
        <v/>
      </c>
      <c r="EZ203" s="252" t="str">
        <f t="shared" si="493"/>
        <v/>
      </c>
      <c r="FA203" s="252" t="str">
        <f t="shared" si="494"/>
        <v/>
      </c>
      <c r="FB203" s="252" t="str">
        <f t="shared" si="495"/>
        <v/>
      </c>
      <c r="FC203" s="252" t="str">
        <f>IF(CD203="ERROR", "ERROR", IF(OR(V203="No Change", V203="Not DLC or Energy Star"), "", IF(AND(OR($FC$6=Y203,Y203='Lookup Tables'!$AD$21, Y203='Lookup Tables'!$AD$22),E203="Interior"), S203, "")))</f>
        <v/>
      </c>
      <c r="FD203" s="252" t="str">
        <f t="shared" si="496"/>
        <v/>
      </c>
      <c r="FE203" s="101"/>
      <c r="FF203" s="579" t="str" cm="1">
        <f t="array" ref="FF203">IFERROR(IF(OR(BQ203&lt;=0,AQ203&lt;20,AND(V203="Exit Signs",AN203&gt;0)),"",IF(AND(AQ203&gt;=20,AN203='Lookup Tables'!$R$101),'Lookup Tables'!$U$101*BQ203,AP203*LOOKUP(2,1/((AN203='Lookup Tables'!$R$91:$R$111)*(AQ203&gt;='Lookup Tables'!$S$91:$S$111)*(AQ203&lt;='Lookup Tables'!$T$91:$T$111)),'Lookup Tables'!$U$91:$U$111))),"")</f>
        <v/>
      </c>
      <c r="FG203" s="579"/>
      <c r="FH203" s="579"/>
      <c r="FI203" s="253" t="str">
        <f>IFERROR(ROUND(IF(CD203="ERROR", "ERROR", IF(AND($FI$7=X203,E203="Interior"),VLOOKUP(W203, 'Lookup Tables'!$AI$6:$AM$102, 5, FALSE)*BP203, "")), 2), "")</f>
        <v/>
      </c>
      <c r="FJ203" s="253" t="str">
        <f>IFERROR(ROUND(IF(CD203="ERROR", "ERROR", IF(AND($FI$7=X203,E203="Exterior"),VLOOKUP(W203, 'Lookup Tables'!$AI$6:$AM$102, 5, FALSE)*BP203, "")), 2), "")</f>
        <v/>
      </c>
      <c r="FK203" s="253" t="str">
        <f>IFERROR(ROUND(IF(CD203="ERROR", "ERROR", IF(AND($FK$7=X203,E203="Interior"),VLOOKUP(W203, 'Lookup Tables'!$AI$6:$AM$102, 5, FALSE)*BP203, "")), 2), "")</f>
        <v/>
      </c>
      <c r="FL203" s="253" t="str">
        <f>IFERROR(ROUND(IF(CD203="ERROR", "ERROR", IF(AND($FK$7=X203,E203="Exterior"),VLOOKUP(W203, 'Lookup Tables'!$AI$6:$AM$102, 5, FALSE)*BP203, "")), 2), "")</f>
        <v/>
      </c>
      <c r="FM203" s="253" t="str">
        <f>IFERROR(ROUND(IF(CD203="ERROR", "ERROR", IF(AND($FM$6=Y203,E203="Interior"), IF(GB203=0, VLOOKUP(W203, 'Lookup Tables'!$AI$6:$AM$102, 5, FALSE)*BP203, IF(VLOOKUP(W203, 'Lookup Tables'!$AI$6:$AM$102, 5, FALSE)*BP203&gt;GB203*'Lighting Inventory'!S203, GB203*'Lighting Inventory'!S203,VLOOKUP(W203, 'Lookup Tables'!$AI$6:$AM$102, 5, FALSE)*BP203)), "")), 2), "")</f>
        <v/>
      </c>
      <c r="FN203" s="253" t="str">
        <f>IFERROR(ROUND(IF(CD203="ERROR", "ERROR", IF(AND($FM$6=Y203,E203="Exterior"), IF(GB203=0, VLOOKUP(W203, 'Lookup Tables'!$AI$6:$AM$102, 5, FALSE)*BP203, IF(VLOOKUP(W203, 'Lookup Tables'!$AI$6:$AM$102, 5, FALSE)*BP203&gt;GB203*'Lighting Inventory'!S203, GB203*'Lighting Inventory'!S203,VLOOKUP(W203, 'Lookup Tables'!$AI$6:$AM$102, 5, FALSE)*BP203)), "")), 2), "")</f>
        <v/>
      </c>
      <c r="FO203" s="253" t="str">
        <f>IFERROR(ROUND(IF(CD203="ERROR", "ERROR", IF(AND($FO$6=Y203,E203="Interior"),VLOOKUP(W203, 'Lookup Tables'!$AI$6:$AM$102, 5, FALSE)*'Lighting Inventory'!AI203, "")), 2), "")</f>
        <v/>
      </c>
      <c r="FP203" s="253" t="str">
        <f>IFERROR(ROUND(IF(CD203="ERROR", "ERROR", IF(AND($FO$6=Y203,E203="Exterior"),VLOOKUP(W203, 'Lookup Tables'!$AI$6:$AM$102, 5, FALSE)*'Lighting Inventory'!AI203, "")), 2), "")</f>
        <v/>
      </c>
      <c r="FQ203" s="253" t="str">
        <f>IFERROR(ROUND(IF(CD203="ERROR", "ERROR", IF(AND($FQ$6=Y203,E203="Interior", BU203="Y"), VLOOKUP('Lighting Inventory'!W203, 'Lookup Tables'!$AI$6:$AM$102, 5, FALSE)*'Lighting Inventory'!S203, IF(AND($FQ$7=Y203,E203="Interior", BU203="N"), 0.025*CD203, ""))), 2), "")</f>
        <v/>
      </c>
      <c r="FR203" s="253" t="str">
        <f>IFERROR(ROUND(IF(CD203="ERROR", "ERROR", IF(AND($FQ$6=Y203,E203="Exterior"), VLOOKUP('Lighting Inventory'!W203, 'Lookup Tables'!$AI$6:$AM$102, 5, FALSE)*'Lighting Inventory'!S203, "")), 2), "")</f>
        <v/>
      </c>
      <c r="FS203" s="253" t="str">
        <f>IFERROR(ROUND(IF(CD203="ERROR", "ERROR", IF(AND($FS$6=Y203,E203="Exterior"), IF(GB203=0, VLOOKUP(W203, 'Lookup Tables'!$AI$6:$AM$102, 5, FALSE)*BP203, IF(VLOOKUP(W203, 'Lookup Tables'!$AI$6:$AM$102, 5, FALSE)*BP203&gt;GB203*'Lighting Inventory'!S203, GB203*'Lighting Inventory'!S203,VLOOKUP(W203, 'Lookup Tables'!$AI$6:$AM$102, 5, FALSE)*BP203)), "")), 2), "")</f>
        <v/>
      </c>
      <c r="FT203" s="253" t="str">
        <f>IFERROR(ROUND(IF(CD203="ERROR", "ERROR", IF(AND($FT$6=Y203,E203="Interior"), IF(GB203=0, VLOOKUP(W203, 'Lookup Tables'!$AI$6:$AM$102, 5, FALSE)*BP203, IF(VLOOKUP(W203, 'Lookup Tables'!$AI$6:$AM$102, 5, FALSE)*BP203&gt;GB203*'Lighting Inventory'!S203, GB203*'Lighting Inventory'!S203,VLOOKUP(W203, 'Lookup Tables'!$AI$6:$AM$102, 5, FALSE)*BP203)), "")), 2), "")</f>
        <v/>
      </c>
      <c r="FU203" s="253" t="str">
        <f>IFERROR(ROUND(IF(CD203="ERROR", "ERROR", IF(AND(Y203=$FU$6, E203="Interior"), IF(BS203="N", 'Lookup Tables'!$AM$101*BP203, VLOOKUP(W203, 'Lookup Tables'!$AI$6:$AM$102, 5, FALSE)*S203*AD203), "")), 2), "")</f>
        <v/>
      </c>
      <c r="FV203" s="253" t="str">
        <f>IFERROR(ROUND(IF(CD203="ERROR", "ERROR", IF(AND(Y203=$FU$6, E203="Exterior"), IF(BS203="N", 'Lookup Tables'!$AM$101*BP203, VLOOKUP(W203, 'Lookup Tables'!$AI$6:$AM$102, 5, FALSE)*S203*AD203), "")), 2), "")</f>
        <v/>
      </c>
      <c r="FW203" s="253" t="str">
        <f>IFERROR(ROUND(IF(CD203="ERROR", "ERROR", IF($FW$6=Y203, IF(BS203="N", 'Lookup Tables'!$AM$101*BP203, MIN((VLOOKUP(W203, 'Lookup Tables'!$AI$6:$AM$102, 5, FALSE)*BP203),GB203*AJ203)), "")), 2), "")</f>
        <v/>
      </c>
      <c r="FX203" s="253" t="str">
        <f>IFERROR(ROUND(IF(CD203="ERROR", "ERROR", IF(AND($FX$6=Y203, E203="Interior"), IF(VLOOKUP(W203, 'Lookup Tables'!$AI$6:$AM$102, 5, FALSE)*BP203&gt;'Lookup Tables'!$AQ$97*'Lighting Inventory'!S203,'Lighting Inventory'!S203*'Lookup Tables'!$AQ$97,VLOOKUP(W203, 'Lookup Tables'!$AI$6:$AM$102, 5, FALSE)*BP203), "")), 2), "")</f>
        <v/>
      </c>
      <c r="FY203" s="253" t="str">
        <f>IFERROR(ROUND(IF(CD203="ERROR", "ERROR", IF(AND($FX$6=Y203, E203="Exterior"), IF(VLOOKUP(W203, 'Lookup Tables'!$AI$6:$AM$102, 5, FALSE)*BP203&gt;'Lookup Tables'!$AQ$97*'Lighting Inventory'!S203,'Lighting Inventory'!S203*'Lookup Tables'!$AQ$97,VLOOKUP(W203, 'Lookup Tables'!$AI$6:$AM$102, 5, FALSE)*BP203), "")), 2), "")</f>
        <v/>
      </c>
      <c r="FZ203" s="253" t="str">
        <f>IFERROR(ROUND(IF(CD203="ERROR", "ERROR", IF(AND($FZ$6=Y203, E203="Interior"), IF(AND(OR(W203="Refrigerated Case Lighting with Doors", W203="Freezer Case Lighting"),Y203="Custom - Process Improvement"),CD203*'Lookup Tables'!$AM$101, IF(B203="Retrofit", IF(VLOOKUP(IF(V203="Custom", V203, W203), 'Lookup Tables'!$AI$6:$AM$102, 5, FALSE)*BP203&gt;GE203, GE203, VLOOKUP(IF(V203="Custom", V203, W203), 'Lookup Tables'!$AI$6:$AM$102, 5, FALSE)*BP203), IF(VLOOKUP(IF(V203="Custom", V203, W203), 'Lookup Tables'!$AI$114:$AM$154, 5, FALSE)*BP203&gt;GE203, GE203, VLOOKUP(IF(V203="Custom", V203, W203), 'Lookup Tables'!$AI$114:$AM$154, 5, FALSE)*BP203))), "")), 2),"")</f>
        <v/>
      </c>
      <c r="GA203" s="253" t="str">
        <f>IFERROR(ROUND(IF(CD203="ERROR", "ERROR", IF(AND($FZ$6=Y203, E203="Exterior"), IF(B203="Retrofit", IF(VLOOKUP(IF(V203="Custom", V203, W203), 'Lookup Tables'!$AI$6:$AM$102, 5, FALSE)*BP203&gt;GE203, GE203, VLOOKUP(IF(V203="Custom", V203, W203), 'Lookup Tables'!$AI$6:$AM$102, 5, FALSE)*BP203), IF(VLOOKUP(IF(V203="Custom", V203, W203), 'Lookup Tables'!$AI$114:$AM$154, 5, FALSE)*BP203&gt;GE203, GE203, VLOOKUP(IF(V203="Custom", V203, W203), 'Lookup Tables'!$AI$114:$AM$154, 5, FALSE)*BP203)), "")), 2),"")</f>
        <v/>
      </c>
      <c r="GB203" s="254" t="str">
        <f t="array" ref="GB203">IF(B203="","",IF(OR(V203="Custom",V203="No Change"),0,IF(B203="Retrofit", INDEX('Lookup Tables'!$AH$6:$AQ$102,MATCH(1,('Lookup Tables'!$AH$6:$AH$102='Lighting Inventory'!V203)*('Lookup Tables'!$AI$6:$AI$102='Lighting Inventory'!W203),FALSE),10),INDEX('Lookup Tables'!$AH$114:$AQ$154,MATCH(1,('Lookup Tables'!$AH$114:$AH$154='Lighting Inventory'!V203)*('Lookup Tables'!$AI$114:$AI$154='Lighting Inventory'!W203),FALSE),10))))</f>
        <v/>
      </c>
      <c r="GC203" s="255" t="str">
        <f t="shared" ref="GC203:GC260" si="550">IFERROR(IF(OR(GB203="", GB203=0, AE203=""),"", IF(SUM(BP203:BP203)*0.025&gt;(GB203*S203), "Yes", "No")), "")</f>
        <v/>
      </c>
      <c r="GD203" s="250" t="str">
        <f t="shared" ref="GD203:GD261" si="551">IF(BW203="Y", BP203, IFERROR(BQ203+IF(BW203="N", BP203, ""), ""))</f>
        <v/>
      </c>
      <c r="GE203" s="253" t="str">
        <f>IFERROR(IF(AND(AF203="", 'General Information'!$F$18="No"),"", IF(AF203="", ((GD203/$CD$266)*$CF$266)*0.5, AF203*S203*0.5)), "")</f>
        <v/>
      </c>
      <c r="GF203" s="255" t="str">
        <f>IF(AND('General Information'!$F$19="", 'General Information'!$F$18="Yes",AF203="",BW203="Y"), "Y", "N")</f>
        <v>N</v>
      </c>
      <c r="GG203" s="255" t="s">
        <v>2946</v>
      </c>
      <c r="GH203" s="255" t="str">
        <f>IFERROR(IF(B203="", "", VLOOKUP(J203, 'Fixture Identities'!$A$6:$N$908, 14, FALSE)), "")</f>
        <v/>
      </c>
      <c r="GI203" s="389" t="str">
        <f>IF(OR(B203="", V203="", W203=""), "", IF(AND(OR(M203='Lookup Tables'!$R$18, M203='Lookup Tables'!$R$19, M203='Lookup Tables'!$R$20, M203='Lookup Tables'!$R$21, M203='Lookup Tables'!$R$22), OR(AN203='Lookup Tables'!$R$17, AN203='Lookup Tables'!$R$17, AN203="")), "Y", "N"))</f>
        <v/>
      </c>
      <c r="GJ203" s="255" t="str">
        <f t="shared" ref="GJ203:GJ260" si="552">IF(OR(B203="", E203="", F203=""),"", IF(E203="Interior", IF(AND(E203="Interior",ISNA(VLOOKUP(F203,Building_Type_Interior,1,FALSE))=FALSE), "N", "Y"), IF(AND(E203="Exterior",ISNA(VLOOKUP(F203,Building_Type_Exterior,1,FALSE))=FALSE), "N", "Y")))</f>
        <v/>
      </c>
      <c r="GK203" s="255" t="str">
        <f t="shared" ref="GK203:GK260" si="553">IF(OR(B203="",E203="",G203=""),"",IF(E203="Interior",IF(ISNA(VLOOKUP(G203,Cooled,1,FALSE)),"Y","N"),IF(ISNA(VLOOKUP(G203,Uncooled,1,FALSE)),"Y","N")))</f>
        <v/>
      </c>
      <c r="GL203" s="255" t="str">
        <f t="shared" ref="GL203:GL260" si="554">IF(OR(B203="",E203="",H203=""),"",IF(E203="Interior",IF(ISNA(VLOOKUP(H203,Heated,1,FALSE)),"Y","N"),IF(ISNA(VLOOKUP(H203,Unheated,1,FALSE)),"Y","N")))</f>
        <v/>
      </c>
      <c r="GM203" s="255" t="str">
        <f>IF(AN203="", "", IF(AND(IF(ISNA(VLOOKUP(AN203,'Lookup Tables'!$R$18:$R$22,1,FALSE)), "N", "Y")="Y", E203="Exterior"), "Y", "N"))</f>
        <v/>
      </c>
      <c r="GN203" s="395"/>
      <c r="GO203" s="428">
        <f t="shared" si="497"/>
        <v>0</v>
      </c>
      <c r="GP203" s="428">
        <f t="shared" si="500"/>
        <v>0</v>
      </c>
      <c r="GQ203" s="428">
        <f t="shared" si="498"/>
        <v>0</v>
      </c>
      <c r="GR203" s="428">
        <f t="shared" si="499"/>
        <v>0</v>
      </c>
    </row>
    <row r="204" spans="1:200" s="103" customFormat="1" ht="13.5" customHeight="1" x14ac:dyDescent="0.2">
      <c r="A204" s="272">
        <v>194</v>
      </c>
      <c r="B204" s="110"/>
      <c r="C204" s="110"/>
      <c r="D204" s="110"/>
      <c r="E204" s="110"/>
      <c r="F204" s="110"/>
      <c r="G204" s="110"/>
      <c r="H204" s="110"/>
      <c r="I204" s="29"/>
      <c r="J204" s="29"/>
      <c r="K204" s="272" t="str">
        <f>IFERROR(IF(OR(VLOOKUP(J204, 'Fixture Identities'!$A$6:$L$1023, 3, FALSE)="T12 Linear Fluorescent", VLOOKUP(J204, 'Fixture Identities'!$A$6:$L$1023, 3, FALSE)="T12 U-Tube Fluorescent"), VLOOKUP(VLOOKUP(J204, 'Fixture Identities'!$A$6:$L$1023, 11, FALSE), 'Fixture Identities'!$A$6:$L$1023, 10, FALSE), VLOOKUP(J204, 'Fixture Identities'!$A$6:$L$1023, 10, FALSE)), "")</f>
        <v/>
      </c>
      <c r="L204" s="270" t="str">
        <f t="shared" si="502"/>
        <v/>
      </c>
      <c r="M204" s="110"/>
      <c r="N204" s="110"/>
      <c r="O204" s="110"/>
      <c r="P204" s="272" t="str">
        <f>IFERROR(IF(OR(B204="Retrofit",B204=""),"",IF('Lighting Inventory'!E204="Exterior",VLOOKUP('Lighting Inventory'!N204,'Lookup Tables'!$B$83:$F$103,5,FALSE),IF(N204="Other - Please Estimate EFLH and CFs","Contact Prog. Rep.","ft^2"))), "")</f>
        <v/>
      </c>
      <c r="Q204" s="270" t="str">
        <f>IFERROR(IF(AND(B204="New Construction",E204="Interior",$F$5="Space-by-Space"),VLOOKUP('Lighting Inventory'!N204,'Lookup Tables'!$N$6:$O$97,2,FALSE),IF(AND(B204="New Construction",E204="Exterior"),VLOOKUP(N204,'Lookup Tables'!$B$83:$F$103,2,FALSE),IF(AND(B204="New Construction",'Lighting Inventory'!E204="Interior", $F$5="Building Area"),VLOOKUP(F204,'Lookup Tables'!$A$6:$J$59,10,FALSE),""))), "")</f>
        <v/>
      </c>
      <c r="R204" s="270" t="str">
        <f>IFERROR(IF(P204="Contact Prog. Rep.", "ERROR", IF(OR(B204="",B204="Retrofit"),"",IF(N204="Automated teller machines", ('Lookup Tables'!$A$82:$E$100+('Lighting Inventory'!O204-1)*'Lookup Tables'!$A$82:$E$100)/1000, (Q204*O204)/1000))), "")</f>
        <v/>
      </c>
      <c r="S204" s="595"/>
      <c r="T204" s="105" t="str">
        <f t="shared" ref="T204:T260" si="555">IF(S204="","",S204)</f>
        <v/>
      </c>
      <c r="U204" s="105" t="str">
        <f>IF(S204="","",COUNT($S$11:S204))</f>
        <v/>
      </c>
      <c r="V204" s="111"/>
      <c r="W204" s="112"/>
      <c r="X204" s="105" t="str">
        <f t="shared" ref="X204:X260" si="556">IF(W204="T8 Fluorescent - Retrofit","T8",IF(W204="T5 Fluorescent - Retrofit","T5",IF(W204="T8 Fluorescent - Delamp","T8",IF(W204="T5 Fluorescent - Delamp", "T5",""))))</f>
        <v/>
      </c>
      <c r="Y204" s="105" t="str">
        <f t="array" ref="Y204">IF(AND(OR(W204="Freezer Case Lighting", W204="Refrigerated Case Lighting with Doors"), 'General Information'!$X$18="LCI"),'Lookup Tables'!$Y$34, IF(V204="Custom", VLOOKUP(W204, 'Fixture Identities'!$A$974:$M$1023, 13, FALSE), IF(V204="No Change",'Lookup Tables'!$Y$29,IF(OR(V204="",W204=""),"",IF(AND(S204=0,S204&lt;I204,B204="Retrofit"),'Lookup Tables'!$Y$25, IF(B204="Retrofit", INDEX('Lookup Tables'!$AH$6:$AP$102, MATCH(1, ('Lookup Tables'!$AH$6:$AH$102=V204)*('Lookup Tables'!$AI$6:$AI$102=W204), 0), IF('Lighting Inventory'!E204="Interior", 4, 5)), INDEX('Lookup Tables'!$AH$114:$AP$154, MATCH(1, ('Lookup Tables'!$AH$114:$AH$154=V204)*('Lookup Tables'!$AI$114:$AI$154=W204), 0), IF('Lighting Inventory'!E204="Interior", 4, 5))))))))</f>
        <v/>
      </c>
      <c r="Z204" s="105" t="str">
        <f>IFERROR(INDEX('Lookup Tables'!$AH$158:$AH$172,MATCH('Lighting Inventory'!Y204,'Lookup Tables'!$AI$158:$AI$172,0)),"")</f>
        <v/>
      </c>
      <c r="AA204" s="105" t="str">
        <f>IF(AP204&gt;0,INDEX('Lookup Tables'!$AK$158:$AK$172,MATCH('Lighting Inventory'!Y204,'Lookup Tables'!$AI$158:$AI$172,0)),'Lighting Inventory'!Y204)</f>
        <v/>
      </c>
      <c r="AB204" s="105" t="str">
        <f t="array" ref="AB204">IF(V204="Custom", "Custom", IF(V204="", "", IF(V204="Not DLC or Energy Star", "General", IF(B204="New Construction", INDEX('Lookup Tables'!$AH$114:$AP$154,MATCH(1,('Lookup Tables'!$AH$114:$AH$154='Lighting Inventory'!V204)*('Lookup Tables'!$AI$114:$AI$154='Lighting Inventory'!W204),FALSE),8), INDEX('Lookup Tables'!$AH$6:$AP$102,MATCH(1,('Lookup Tables'!$AH$6:$AH$102='Lighting Inventory'!V204)*('Lookup Tables'!$AI$6:$AI$102='Lighting Inventory'!W204),FALSE),8)))))</f>
        <v/>
      </c>
      <c r="AC204" s="272" t="str">
        <f>IF(W204="","",IF(V204="Custom",CONCATENATE("$",'Lookup Tables'!$AM$101," ",'Lookup Tables'!$AN$101),CONCATENATE("$",INDEX('Lookup Tables'!$AM$6:$AM$102,MATCH('Lighting Inventory'!W204,'Lookup Tables'!$AI$6:$AI$102,0))," ",INDEX('Lookup Tables'!$AN$6:$AN$102,MATCH('Lighting Inventory'!W204,'Lookup Tables'!$AI$6:$AI$102,0)))))</f>
        <v/>
      </c>
      <c r="AD204" s="72"/>
      <c r="AE204" s="29"/>
      <c r="AF204" s="379"/>
      <c r="AG204" s="370" t="str">
        <f t="shared" si="504"/>
        <v/>
      </c>
      <c r="AH204" s="370" t="str">
        <f t="shared" ref="AH204:AH260" si="557">IF(S204="","",AF204*S204)</f>
        <v/>
      </c>
      <c r="AI204" s="29"/>
      <c r="AJ204" s="29"/>
      <c r="AK204" s="110"/>
      <c r="AL204" s="375" t="str">
        <f>IF(OR(B204="", V204="", W204=""), "", IF(V204="No Change", K204, IF(V204="Remove Fixture", 0, IF(V204="Custom",VLOOKUP(W204,'Fixture Identities'!$A$6:$K$1023,10,FALSE),IF(AE204="", "← ENTER POST WATTS", 'Lighting Inventory'!AE204)))))</f>
        <v/>
      </c>
      <c r="AM204" s="376" t="str">
        <f t="shared" si="505"/>
        <v/>
      </c>
      <c r="AN204" s="29"/>
      <c r="AO204" s="671"/>
      <c r="AP204" s="29"/>
      <c r="AQ204" s="29"/>
      <c r="AR204" s="29"/>
      <c r="AS204" s="272" t="str">
        <f t="shared" ref="AS204:AS260" si="558">IF(AP204="","",AR204*AP204)</f>
        <v/>
      </c>
      <c r="AT204" s="270" t="str">
        <f t="shared" si="506"/>
        <v/>
      </c>
      <c r="AU204" s="88" t="str">
        <f t="shared" si="503"/>
        <v/>
      </c>
      <c r="AV204" s="29"/>
      <c r="AW204" s="73"/>
      <c r="AX204" s="271" t="str">
        <f>IF(AND(AV204="Applicant",OR(AW204="", AW204="Use Default Facility Hours")),"← Choose Schedule",IF(F204="","",IF(W204="LED Exit Signs",8760,IF(OR(AV204="Prescribed",AV204=""),VLOOKUP(F204,'Lookup Tables'!$A$6:$G$59,IF(AB204="General", 6, 3),FALSE),VLOOKUP(AW204,'Lookup Tables'!$S$36:$U$43,2,FALSE)))))</f>
        <v/>
      </c>
      <c r="AY204" s="88" t="str">
        <f t="shared" si="507"/>
        <v/>
      </c>
      <c r="AZ204" s="270" t="str">
        <f>IFERROR(IF(F204="", "", IF(W204="LED Exit Signs", 1, IF(AV204="Applicant",VLOOKUP(AW204, 'Lookup Tables'!$S$36:$U$43,3, FALSE), VLOOKUP('Lighting Inventory'!F204, 'Lookup Tables'!$A$6:$H$59, IF('Lighting Inventory'!AB204="General",7,4), FALSE)))), "")</f>
        <v/>
      </c>
      <c r="BA204" s="522" t="str">
        <f>IFERROR(IF(F204="", "", IF(W204="LED Exit Signs", 1, VLOOKUP('Lighting Inventory'!F204, 'Lookup Tables'!$A$6:$H$59, IF('Lighting Inventory'!AB204="General",8,5), FALSE))), "")</f>
        <v/>
      </c>
      <c r="BB204" s="270" t="str">
        <f>IF(G204="", "", IF(E204="Exterior", 0, IF('Lighting Inventory'!G204="Air Conditioned", VLOOKUP(H204, 'Lookup Tables'!$R$6:$T$13, 2, FALSE), VLOOKUP('Lighting Inventory'!G204, 'Lookup Tables'!$R$6:$T$13, 2, FALSE))))</f>
        <v/>
      </c>
      <c r="BC204" s="522" t="str">
        <f>IF(G204="", "", IF(E204="Exterior", 0, IF('Lighting Inventory'!G204="Air Conditioned", VLOOKUP(H204, 'Lookup Tables'!$R$6:$T$13, 3, FALSE), VLOOKUP('Lighting Inventory'!G204, 'Lookup Tables'!$R$6:$T$13, 3, FALSE))))</f>
        <v/>
      </c>
      <c r="BD204" s="270" t="str">
        <f>IF(G204="", "", IF(E204="Exterior", 0, IF('Lighting Inventory'!G204="Air Conditioned", VLOOKUP(H204, 'Lookup Tables'!$R$6:$U$13, 4, FALSE), VLOOKUP('Lighting Inventory'!G204, 'Lookup Tables'!$R$6:$U$13, 4, FALSE))))</f>
        <v/>
      </c>
      <c r="BE204" s="270" t="str">
        <f>IFERROR(IF(B204="", "",  IF(B204="New Construction", VLOOKUP(F204, 'Lookup Tables'!$A$6:$K$59, 11, FALSE),IF(OR(AN204="", AN204="Light Switch"), 0, IF(OR(M204="",M204="None",V204= "LED Exit Signs"),0,_xlfn.XLOOKUP(M204,'Lookup Tables'!$R$91:$R$101,'Lookup Tables'!$V$91:$V$101))))), "")</f>
        <v/>
      </c>
      <c r="BF204" s="270" t="str">
        <f>IF(AND(OR(AN204="Light Switch",AN204=""),B204="New Construction"), VLOOKUP(F204, 'Lookup Tables'!$A$6:$K$59, 11, FALSE),IF(AN204="","",IF(B204="","",IF(OR(AN204="None",AN204="",V204="LED Exit Signs",AN204="Exterior Controls Not Eligible"),0,_xlfn.XLOOKUP(AN204,'Lookup Tables'!$R$91:$R$101,'Lookup Tables'!$V$91:$V$101)))))</f>
        <v/>
      </c>
      <c r="BG204" s="88" t="str">
        <f t="shared" ref="BG204:BG260" si="559">IFERROR(IF(AND(B204="New Construction", V204="LED Exit Signs"), "", IF(B204="", "", IF(B204="Retrofit", ((L204-AM204)*(1-BE204)*(1+BB204)), (R204-AM204)*((1-BE204)*(1+BB204))))), "")</f>
        <v/>
      </c>
      <c r="BH204" s="88" t="str">
        <f t="shared" ref="BH204:BH260" si="560">IFERROR(IF(OR(E204="",V204="LED Exit Signs"),"", AM204*(BF204-BE204)*(1+BB204)),0)</f>
        <v/>
      </c>
      <c r="BI204" s="558" t="str">
        <f t="shared" si="501"/>
        <v/>
      </c>
      <c r="BJ204" s="82" t="str">
        <f t="shared" ref="BJ204:BJ260" si="561">IFERROR(ROUND(IF(AND(B204="New Construction", V204="LED Exit Signs"), "", IF(B204="", "", IF(B204="Retrofit", ((L204-AM204)*AZ204*(1-BE204)*(1+BB204)), (R204-AM204)*(AZ204*(1-BE204)*(1+BB204))))),6), "")</f>
        <v/>
      </c>
      <c r="BK204" s="82" t="str">
        <f t="shared" ref="BK204:BK260" si="562">IFERROR(ROUND(IF(OR(E204="",V204="LED Exit Signs"),"", AM204*AZ204*(BF204-BE204)*(1+BB204)),6),"")</f>
        <v/>
      </c>
      <c r="BL204" s="559" t="str">
        <f t="shared" ref="BL204:BL260" si="563">IFERROR(ROUND(IF(AND(B204="New Construction", V204="LED Exit Signs"), "", IF(B204="", "", SUM(BJ204:BK204))),6),"")</f>
        <v/>
      </c>
      <c r="BM204" s="521" t="str">
        <f t="shared" si="508"/>
        <v/>
      </c>
      <c r="BN204" s="521" t="str">
        <f t="shared" si="509"/>
        <v/>
      </c>
      <c r="BO204" s="522" t="str">
        <f t="shared" si="510"/>
        <v/>
      </c>
      <c r="BP204" s="83" t="str">
        <f t="shared" ref="BP204:BP260" si="564">IFERROR(ROUND(IF(AND(B204="New Construction", V204="LED Exit Signs"), "",IF(B204="", "", IF(B204="Retrofit", ((L204-AM204)*AX204*(1-BE204)*(1+BD204)), (R204-AM204)*AX204*(1-BE204)*(1+BD204)))),4), "")</f>
        <v/>
      </c>
      <c r="BQ204" s="84" t="str">
        <f t="shared" ref="BQ204:BQ260" si="565">IFERROR(ROUND(IF(B204="", "", IF(E204="",0, AM204*AX204*(BF204-BE204)*(1+BD204))),4),"")</f>
        <v/>
      </c>
      <c r="BR204" s="184" t="str">
        <f>IFERROR(IF(B204="", "", IF(OR(VLOOKUP(J204, 'Fixture Identities'!$A$6:$L$1023, 3, FALSE)="T12 Linear Fluorescent",VLOOKUP(J204, 'Fixture Identities'!$A$6:$L$1023, 3, FALSE)="T12 U-Tube Fluorescent"), "Y", "N")), "N")</f>
        <v/>
      </c>
      <c r="BS204" s="184" t="str">
        <f t="array" ref="BS204">IFERROR(IF(OR(B204="", V204="", W204=""), "", IF(V204="Custom", "N", IF(OR(W204="Freezer Case Lighting", W204="Refrigerated Case Lighting with Doors"), BT204, IF(B204="Retrofit", INDEX('Lookup Tables'!$AH$6:$AT$102,MATCH(1,('Lookup Tables'!$AH$6:$AH$102=V204)*('Lookup Tables'!$AI$6:$AI$102=W204),FALSE),IF(VLOOKUP(J204, 'Fixture Identities'!$A$6:$B$1023, 2, FALSE)="Incandescent",12, 13)), INDEX('Lookup Tables'!$AH$114:$AS$154,MATCH(1,('Lookup Tables'!$AH$114:$AH$154=V204)*('Lookup Tables'!$AI$114:$AI$154=W204),FALSE),12))))), "N")</f>
        <v/>
      </c>
      <c r="BT204" s="184" t="str">
        <f>IF(J204="", "", IF(AND(OR(W204="Freezer case Lighting", W204="Refrigerated Case Lighting with Doors"),'General Information'!$X$18="LCI"), "N", IF(OR(VLOOKUP(J204, 'Fixture Identities'!$A$6:$B$1023, 2, FALSE)="T12 EPACT/EISA Baseline", VLOOKUP(J204, 'Fixture Identities'!$A$6:$B$1023, 2, FALSE)="Linear Fluorescent", VLOOKUP(J204, 'Fixture Identities'!$A$6:$B$1023, 2, FALSE)="U-Tube Fluorescent"), "Y", "N")))</f>
        <v/>
      </c>
      <c r="BU204" s="184" t="str">
        <f>IFERROR(IF(B204="", "", IF(VLOOKUP(J204, 'Fixture Identities'!$A$6:$B$1023, 2, FALSE)="Exit Sign", "Y", "N")), "N")</f>
        <v/>
      </c>
      <c r="BV204" s="184" t="str">
        <f>IF(V204="Exit Signs", IF(VLOOKUP(J204, 'Fixture Identities'!$A$6:$B$1023, 2, FALSE)="Exit Sign", "N", "Y"), "")</f>
        <v/>
      </c>
      <c r="BW204" s="184" t="str">
        <f t="array" ref="BW204">IFERROR(IF(B204="", "", IF(B204="New Construction", "N", INDEX('Lookup Tables'!$AH$6:$AU$102, MATCH(1, ('Lookup Tables'!$AH$6:$AH$102='Lighting Inventory'!V204)*('Lookup Tables'!$AI$6:$AI$102='Lighting Inventory'!W204), 0), 14))), "N")</f>
        <v/>
      </c>
      <c r="BX204" s="598" t="str">
        <f t="shared" ref="BX204:BX260" si="566">IFERROR(IF(B204="", "", SUM(FF204:FH204)), "")</f>
        <v/>
      </c>
      <c r="BY204" s="598" t="str">
        <f t="shared" ref="BY204:BY260" si="567">IF(BX204="", "",IF(IF(BX204&gt;((AF204*S204)+(AP204*AR204)),((AF204*S204)+(AP204*AR204)),BX204)+CA204&gt;(AF204*S204)+(AP204*AR204),(AF204*S204)+(AP204*AR204)-CA204,IF(BX204&gt;((AF204*S204)+(AP204*AR204)),((AF204*S204)+(AP204*AR204)),BX204)))</f>
        <v/>
      </c>
      <c r="BZ204" s="598" t="str">
        <f t="shared" ref="BZ204:BZ260" si="568">IFERROR(IF(B204="", "", SUM(FI204:GA204)), "")</f>
        <v/>
      </c>
      <c r="CA204" s="598" t="str">
        <f t="shared" ref="CA204:CA260" si="569">IF(BZ204="", "",IF(BZ204&gt;((AF204*S204)+(AP204*AR204)),((AF204*S204)+(AP204*AR204)),BZ204))</f>
        <v/>
      </c>
      <c r="CB204" s="269" t="str">
        <f t="shared" ref="CB204:CB260" si="570">IFERROR(ROUND(IF(B204="", "", SUM(FF204:GA204)),2), "")</f>
        <v/>
      </c>
      <c r="CC204" s="517" t="str">
        <f t="shared" ref="CC204:CC260" si="571">IFERROR(ROUND(IF(CB204="", "",IF(CB204&gt;(BY204+CA204),(BY204+CA204),CB204)),2),"")</f>
        <v/>
      </c>
      <c r="CD204" s="565" t="str">
        <f t="shared" si="511"/>
        <v/>
      </c>
      <c r="CE204" s="368">
        <v>0</v>
      </c>
      <c r="CF204" s="368" t="str" cm="1">
        <f t="array" ref="CF204">IFERROR(IF(V204="Custom", "$0.1 per kWh", IF(B204="New Construction", CONCATENATE("$",INDEX('Lookup Tables'!$AH$114:$AN$154,MATCH(1,('Lookup Tables'!$AH$114:$AH$154='Lighting Inventory'!V204)*('Lookup Tables'!$AI$114:$AI$154='Lighting Inventory'!W204),FALSE),6)," ",INDEX('Lookup Tables'!$AH$114:$AN$154,MATCH(1,('Lookup Tables'!$AH$114:$AH$154='Lighting Inventory'!V204)*('Lookup Tables'!$AI$114:$AI$154='Lighting Inventory'!W204),FALSE),7)), IF(AND(BU204="N", V204="Exit Signs"), "$0.025 per kWh", CONCATENATE("$",INDEX('Lookup Tables'!$AH$6:$AN$102,MATCH(1,('Lookup Tables'!$AH$6:$AH$102='Lighting Inventory'!V204)*('Lookup Tables'!$AI$6:$AI$102='Lighting Inventory'!W204),FALSE),6)," ",INDEX('Lookup Tables'!$AH$6:$AN$102,MATCH(1,('Lookup Tables'!$AH$6:$AH$102='Lighting Inventory'!V204)*('Lookup Tables'!$AI$6:$AI$102='Lighting Inventory'!W204),FALSE),7))))), "")</f>
        <v/>
      </c>
      <c r="CG204" s="366"/>
      <c r="CH204" s="248" t="str">
        <f t="shared" si="512"/>
        <v/>
      </c>
      <c r="CI204" s="248" t="str">
        <f t="shared" si="513"/>
        <v>Select_IE</v>
      </c>
      <c r="CJ204" s="248" t="str">
        <f t="shared" si="514"/>
        <v/>
      </c>
      <c r="CK204" s="248" t="str">
        <f t="shared" si="515"/>
        <v/>
      </c>
      <c r="CL204" s="248" t="str">
        <f t="shared" si="516"/>
        <v/>
      </c>
      <c r="CM204" s="248" t="str">
        <f>IFERROR(IF(B204="", "", IF(B204="New Construction", VLOOKUP(V204, 'Lookup Tables'!$AF$114:$AG$120, 2, FALSE), VLOOKUP(V204, 'Lookup Tables'!$AD$6:$AE$25, 2, FALSE))), "")</f>
        <v/>
      </c>
      <c r="CN204" s="248" t="str">
        <f t="shared" si="517"/>
        <v/>
      </c>
      <c r="CO204" s="248" t="str">
        <f t="shared" si="518"/>
        <v/>
      </c>
      <c r="CP204" s="592" t="str">
        <f t="shared" si="519"/>
        <v/>
      </c>
      <c r="CQ204" s="248" t="str">
        <f t="shared" ref="CQ204:CQ260" si="572">IF(E204="","",IF(E204="Exterior","exterior_controls","interior_Controls"))</f>
        <v/>
      </c>
      <c r="CR204" s="100"/>
      <c r="CS204" s="250" t="str">
        <f t="shared" si="520"/>
        <v/>
      </c>
      <c r="CT204" s="250" t="str">
        <f t="shared" ref="CT204:CT260" si="573">IF(CD204="ERROR", "ERROR", IF(AND(X204=$CT$7, E204="Interior"), BJ204, ""))</f>
        <v/>
      </c>
      <c r="CU204" s="250" t="str">
        <f t="shared" ref="CU204:CU260" si="574">IF(CD204="ERROR", "ERROR", IF(AND(X204=$CT$7, E204="Exterior"), BJ204, ""))</f>
        <v/>
      </c>
      <c r="CV204" s="250" t="str">
        <f t="shared" ref="CV204:CV260" si="575">IF(CD204="ERROR", "ERROR", IF(AND(X204=$CV$7, E204="Interior"), BJ204, ""))</f>
        <v/>
      </c>
      <c r="CW204" s="250" t="str">
        <f t="shared" ref="CW204:CW260" si="576">IF(CD204="ERROR", "ERROR", IF(AND(X204=$CV$7, E204="Exterior"), BJ204, ""))</f>
        <v/>
      </c>
      <c r="CX204" s="250" t="str">
        <f t="shared" si="521"/>
        <v/>
      </c>
      <c r="CY204" s="250" t="str">
        <f t="shared" si="522"/>
        <v/>
      </c>
      <c r="CZ204" s="250" t="str">
        <f t="shared" si="523"/>
        <v/>
      </c>
      <c r="DA204" s="250" t="str">
        <f t="shared" si="524"/>
        <v/>
      </c>
      <c r="DB204" s="250" t="str">
        <f t="shared" si="525"/>
        <v/>
      </c>
      <c r="DC204" s="250" t="str">
        <f t="shared" si="526"/>
        <v/>
      </c>
      <c r="DD204" s="250" t="str">
        <f t="shared" si="527"/>
        <v/>
      </c>
      <c r="DE204" s="250" t="str">
        <f t="shared" si="528"/>
        <v/>
      </c>
      <c r="DF204" s="250" t="str">
        <f t="shared" si="529"/>
        <v/>
      </c>
      <c r="DG204" s="250" t="str">
        <f t="shared" si="530"/>
        <v/>
      </c>
      <c r="DH204" s="250" t="str">
        <f t="shared" si="531"/>
        <v/>
      </c>
      <c r="DI204" s="250" t="str">
        <f t="shared" si="532"/>
        <v/>
      </c>
      <c r="DJ204" s="250" t="str">
        <f t="shared" si="533"/>
        <v/>
      </c>
      <c r="DK204" s="250" t="str">
        <f t="shared" si="534"/>
        <v/>
      </c>
      <c r="DL204" s="250" t="str">
        <f t="shared" si="535"/>
        <v/>
      </c>
      <c r="DM204" s="250" t="str">
        <f>IF(CD204="ERROR", "ERROR", IF(AND(OR(Y204=$DM$6, Y204='Lookup Tables'!$AD$21, Y204='Lookup Tables'!$AD$22), E204="Interior"), BJ204, ""))</f>
        <v/>
      </c>
      <c r="DN204" s="250" t="str">
        <f>IF(CD204="ERROR", "ERROR", IF(AND(OR(Y204=$DM$6, Y204='Lookup Tables'!$AD$21, Y204='Lookup Tables'!$AD$22), E204="Exterior"), BJ204, ""))</f>
        <v/>
      </c>
      <c r="DO204" s="100"/>
      <c r="DP204" s="250" t="str">
        <f t="shared" si="536"/>
        <v/>
      </c>
      <c r="DQ204" s="250" t="str">
        <f t="shared" ref="DQ204:DQ260" si="577">IF(CD204="ERROR", "ERROR", IF(AND($DQ$7=X204,E204="Interior"), BP204, ""))</f>
        <v/>
      </c>
      <c r="DR204" s="250" t="str">
        <f t="shared" ref="DR204:DR260" si="578">IF(CD204="ERROR", "ERROR", IF(AND($DQ$7=X204,E204="Exterior"), BP204, ""))</f>
        <v/>
      </c>
      <c r="DS204" s="250" t="str">
        <f t="shared" ref="DS204:DS260" si="579">IF(CD204="ERROR", "ERROR", IF(AND($DS$7=X204,E204="Interior"), BP204, ""))</f>
        <v/>
      </c>
      <c r="DT204" s="250" t="str">
        <f t="shared" ref="DT204:DT260" si="580">IF(CD204="ERROR", "ERROR", IF(AND($DS$7=X204,E204="Exterior"), BP204, ""))</f>
        <v/>
      </c>
      <c r="DU204" s="250" t="str">
        <f t="shared" si="537"/>
        <v/>
      </c>
      <c r="DV204" s="250" t="str">
        <f t="shared" si="538"/>
        <v/>
      </c>
      <c r="DW204" s="250" t="str">
        <f t="shared" si="539"/>
        <v/>
      </c>
      <c r="DX204" s="250" t="str">
        <f t="shared" si="540"/>
        <v/>
      </c>
      <c r="DY204" s="250" t="str">
        <f t="shared" si="541"/>
        <v/>
      </c>
      <c r="DZ204" s="250" t="str">
        <f t="shared" si="542"/>
        <v/>
      </c>
      <c r="EA204" s="250" t="str">
        <f t="shared" si="543"/>
        <v/>
      </c>
      <c r="EB204" s="250" t="str">
        <f t="shared" ref="EB204:EB260" si="581">IF(CD204="ERROR", "ERROR", IF(AND(Y204=$EB$6, E204="Interior"), BP204, ""))</f>
        <v/>
      </c>
      <c r="EC204" s="250" t="str">
        <f t="shared" si="544"/>
        <v/>
      </c>
      <c r="ED204" s="250" t="str">
        <f t="shared" si="545"/>
        <v/>
      </c>
      <c r="EE204" s="250" t="str">
        <f t="shared" si="546"/>
        <v/>
      </c>
      <c r="EF204" s="250" t="str">
        <f t="shared" si="547"/>
        <v/>
      </c>
      <c r="EG204" s="250" t="str">
        <f t="shared" si="548"/>
        <v/>
      </c>
      <c r="EH204" s="250" t="str">
        <f>IF(CD204="ERROR", "ERROR", IF(AND(OR($EH$6=Y204, Y204='Lookup Tables'!$AD$21, Y204='Lookup Tables'!$AD$22),E204="Interior"), SUM(BP204:BP204), ""))</f>
        <v/>
      </c>
      <c r="EI204" s="250" t="str">
        <f>IF(CD204="ERROR", "ERROR", IF(AND(OR($EH$6=Y204, Y204='Lookup Tables'!$AD$21, Y204='Lookup Tables'!$AD$22),E204="Exterior"), SUM(BP204:BP204), ""))</f>
        <v/>
      </c>
      <c r="EJ204" s="109"/>
      <c r="EK204" s="485" t="str">
        <f t="shared" si="549"/>
        <v/>
      </c>
      <c r="EL204" s="252" t="str">
        <f t="shared" ref="EL204:EL260" si="582">IF(CD204="ERROR", "ERROR", IF(AND($EL$7=X204,E204="Interior"), S204, ""))</f>
        <v/>
      </c>
      <c r="EM204" s="252" t="str">
        <f t="shared" ref="EM204:EM260" si="583">IF(CD204="ERROR", "ERROR", IF(AND($EL$7=X204,E204="Exterior"), S204, ""))</f>
        <v/>
      </c>
      <c r="EN204" s="252" t="str">
        <f t="shared" ref="EN204:EN260" si="584">IF(CD204="ERROR", "ERROR", IF(AND($EN$7=X204,E204="Interior"), S204, ""))</f>
        <v/>
      </c>
      <c r="EO204" s="252" t="str">
        <f t="shared" ref="EO204:EO260" si="585">IF(CD204="ERROR", "ERROR", IF(AND($EN$7=X204,E204="Exterior"), S204, ""))</f>
        <v/>
      </c>
      <c r="EP204" s="252" t="str">
        <f t="shared" ref="EP204:EP260" si="586">IF(CD204="ERROR", "ERROR", IF(AND($EP$6=Y204,E204="Interior"), S204, ""))</f>
        <v/>
      </c>
      <c r="EQ204" s="252" t="str">
        <f t="shared" ref="EQ204:EQ260" si="587">IF(CD204="ERROR", "ERROR", IF(AND($EP$6=Y204,E204="Exterior"), S204, ""))</f>
        <v/>
      </c>
      <c r="ER204" s="252" t="str">
        <f t="shared" ref="ER204:ER260" si="588">IF(CD204="ERROR", "ERROR", IF(AND($ER$6=Y204,E204="Interior"), S204, ""))</f>
        <v/>
      </c>
      <c r="ES204" s="252" t="str">
        <f t="shared" ref="ES204:ES260" si="589">IF(CD204="ERROR", "ERROR", IF(AND($ER$6=Y204,E204="Exterior"), S204, ""))</f>
        <v/>
      </c>
      <c r="ET204" s="252" t="str">
        <f t="shared" ref="ET204:ET260" si="590">IF(CD204="ERROR", "ERROR", IF(AND($ET$6=Y204,E204="Interior"), S204, ""))</f>
        <v/>
      </c>
      <c r="EU204" s="252" t="str">
        <f t="shared" ref="EU204:EU260" si="591">IF(CD204="ERROR", "ERROR", IF(AND($ET$6=Y204,E204="Exterior"), S204, ""))</f>
        <v/>
      </c>
      <c r="EV204" s="252" t="str">
        <f t="shared" ref="EV204:EV260" si="592">IF(CD204="ERROR", "ERROR", IF(AND($EV$6=Y204,E204="Exterior"), S204, ""))</f>
        <v/>
      </c>
      <c r="EW204" s="252" t="str">
        <f t="shared" ref="EW204:EW260" si="593">IF(CD204="ERROR", "ERROR", IF(AND($EW$6=Y204,E204="Interior"), S204, ""))</f>
        <v/>
      </c>
      <c r="EX204" s="252" t="str">
        <f t="shared" ref="EX204:EX260" si="594">IF(CD204="ERROR", "ERROR", IF(AND(Y204=$EX$6, E204="Interior"), S204, ""))</f>
        <v/>
      </c>
      <c r="EY204" s="252" t="str">
        <f t="shared" ref="EY204:EY260" si="595">IF(CD204="ERROR", "ERROR", IF(AND(Y204=$EX$6, E204="Exterior"), S204, ""))</f>
        <v/>
      </c>
      <c r="EZ204" s="252" t="str">
        <f t="shared" ref="EZ204:EZ260" si="596">IF(CD204="ERROR", "ERROR", IF($EZ$6=Y204, AJ204, ""))</f>
        <v/>
      </c>
      <c r="FA204" s="252" t="str">
        <f t="shared" ref="FA204:FA260" si="597">IF(CD204="ERROR", "ERROR", IF(AND($FA$6=Y204, E204="Interior"), S204, ""))</f>
        <v/>
      </c>
      <c r="FB204" s="252" t="str">
        <f t="shared" ref="FB204:FB260" si="598">IF(CD204="ERROR", "ERROR", IF(AND($FA$6=Y204,E204="Exterior"), S204, ""))</f>
        <v/>
      </c>
      <c r="FC204" s="252" t="str">
        <f>IF(CD204="ERROR", "ERROR", IF(OR(V204="No Change", V204="Not DLC or Energy Star"), "", IF(AND(OR($FC$6=Y204,Y204='Lookup Tables'!$AD$21, Y204='Lookup Tables'!$AD$22),E204="Interior"), S204, "")))</f>
        <v/>
      </c>
      <c r="FD204" s="252" t="str">
        <f t="shared" ref="FD204:FD260" si="599">IF(CD204="ERROR", "ERROR", IF(V204="No Change", "", IF(AND($FC$6=Y204,E204="Exterior"), S204, "")))</f>
        <v/>
      </c>
      <c r="FE204" s="101"/>
      <c r="FF204" s="579" t="str" cm="1">
        <f t="array" ref="FF204">IFERROR(IF(OR(BQ204&lt;=0,AQ204&lt;20,AND(V204="Exit Signs",AN204&gt;0)),"",IF(AND(AQ204&gt;=20,AN204='Lookup Tables'!$R$101),'Lookup Tables'!$U$101*BQ204,AP204*LOOKUP(2,1/((AN204='Lookup Tables'!$R$91:$R$111)*(AQ204&gt;='Lookup Tables'!$S$91:$S$111)*(AQ204&lt;='Lookup Tables'!$T$91:$T$111)),'Lookup Tables'!$U$91:$U$111))),"")</f>
        <v/>
      </c>
      <c r="FG204" s="579"/>
      <c r="FH204" s="579"/>
      <c r="FI204" s="253" t="str">
        <f>IFERROR(ROUND(IF(CD204="ERROR", "ERROR", IF(AND($FI$7=X204,E204="Interior"),VLOOKUP(W204, 'Lookup Tables'!$AI$6:$AM$102, 5, FALSE)*BP204, "")), 2), "")</f>
        <v/>
      </c>
      <c r="FJ204" s="253" t="str">
        <f>IFERROR(ROUND(IF(CD204="ERROR", "ERROR", IF(AND($FI$7=X204,E204="Exterior"),VLOOKUP(W204, 'Lookup Tables'!$AI$6:$AM$102, 5, FALSE)*BP204, "")), 2), "")</f>
        <v/>
      </c>
      <c r="FK204" s="253" t="str">
        <f>IFERROR(ROUND(IF(CD204="ERROR", "ERROR", IF(AND($FK$7=X204,E204="Interior"),VLOOKUP(W204, 'Lookup Tables'!$AI$6:$AM$102, 5, FALSE)*BP204, "")), 2), "")</f>
        <v/>
      </c>
      <c r="FL204" s="253" t="str">
        <f>IFERROR(ROUND(IF(CD204="ERROR", "ERROR", IF(AND($FK$7=X204,E204="Exterior"),VLOOKUP(W204, 'Lookup Tables'!$AI$6:$AM$102, 5, FALSE)*BP204, "")), 2), "")</f>
        <v/>
      </c>
      <c r="FM204" s="253" t="str">
        <f>IFERROR(ROUND(IF(CD204="ERROR", "ERROR", IF(AND($FM$6=Y204,E204="Interior"), IF(GB204=0, VLOOKUP(W204, 'Lookup Tables'!$AI$6:$AM$102, 5, FALSE)*BP204, IF(VLOOKUP(W204, 'Lookup Tables'!$AI$6:$AM$102, 5, FALSE)*BP204&gt;GB204*'Lighting Inventory'!S204, GB204*'Lighting Inventory'!S204,VLOOKUP(W204, 'Lookup Tables'!$AI$6:$AM$102, 5, FALSE)*BP204)), "")), 2), "")</f>
        <v/>
      </c>
      <c r="FN204" s="253" t="str">
        <f>IFERROR(ROUND(IF(CD204="ERROR", "ERROR", IF(AND($FM$6=Y204,E204="Exterior"), IF(GB204=0, VLOOKUP(W204, 'Lookup Tables'!$AI$6:$AM$102, 5, FALSE)*BP204, IF(VLOOKUP(W204, 'Lookup Tables'!$AI$6:$AM$102, 5, FALSE)*BP204&gt;GB204*'Lighting Inventory'!S204, GB204*'Lighting Inventory'!S204,VLOOKUP(W204, 'Lookup Tables'!$AI$6:$AM$102, 5, FALSE)*BP204)), "")), 2), "")</f>
        <v/>
      </c>
      <c r="FO204" s="253" t="str">
        <f>IFERROR(ROUND(IF(CD204="ERROR", "ERROR", IF(AND($FO$6=Y204,E204="Interior"),VLOOKUP(W204, 'Lookup Tables'!$AI$6:$AM$102, 5, FALSE)*'Lighting Inventory'!AI204, "")), 2), "")</f>
        <v/>
      </c>
      <c r="FP204" s="253" t="str">
        <f>IFERROR(ROUND(IF(CD204="ERROR", "ERROR", IF(AND($FO$6=Y204,E204="Exterior"),VLOOKUP(W204, 'Lookup Tables'!$AI$6:$AM$102, 5, FALSE)*'Lighting Inventory'!AI204, "")), 2), "")</f>
        <v/>
      </c>
      <c r="FQ204" s="253" t="str">
        <f>IFERROR(ROUND(IF(CD204="ERROR", "ERROR", IF(AND($FQ$6=Y204,E204="Interior", BU204="Y"), VLOOKUP('Lighting Inventory'!W204, 'Lookup Tables'!$AI$6:$AM$102, 5, FALSE)*'Lighting Inventory'!S204, IF(AND($FQ$7=Y204,E204="Interior", BU204="N"), 0.025*CD204, ""))), 2), "")</f>
        <v/>
      </c>
      <c r="FR204" s="253" t="str">
        <f>IFERROR(ROUND(IF(CD204="ERROR", "ERROR", IF(AND($FQ$6=Y204,E204="Exterior"), VLOOKUP('Lighting Inventory'!W204, 'Lookup Tables'!$AI$6:$AM$102, 5, FALSE)*'Lighting Inventory'!S204, "")), 2), "")</f>
        <v/>
      </c>
      <c r="FS204" s="253" t="str">
        <f>IFERROR(ROUND(IF(CD204="ERROR", "ERROR", IF(AND($FS$6=Y204,E204="Exterior"), IF(GB204=0, VLOOKUP(W204, 'Lookup Tables'!$AI$6:$AM$102, 5, FALSE)*BP204, IF(VLOOKUP(W204, 'Lookup Tables'!$AI$6:$AM$102, 5, FALSE)*BP204&gt;GB204*'Lighting Inventory'!S204, GB204*'Lighting Inventory'!S204,VLOOKUP(W204, 'Lookup Tables'!$AI$6:$AM$102, 5, FALSE)*BP204)), "")), 2), "")</f>
        <v/>
      </c>
      <c r="FT204" s="253" t="str">
        <f>IFERROR(ROUND(IF(CD204="ERROR", "ERROR", IF(AND($FT$6=Y204,E204="Interior"), IF(GB204=0, VLOOKUP(W204, 'Lookup Tables'!$AI$6:$AM$102, 5, FALSE)*BP204, IF(VLOOKUP(W204, 'Lookup Tables'!$AI$6:$AM$102, 5, FALSE)*BP204&gt;GB204*'Lighting Inventory'!S204, GB204*'Lighting Inventory'!S204,VLOOKUP(W204, 'Lookup Tables'!$AI$6:$AM$102, 5, FALSE)*BP204)), "")), 2), "")</f>
        <v/>
      </c>
      <c r="FU204" s="253" t="str">
        <f>IFERROR(ROUND(IF(CD204="ERROR", "ERROR", IF(AND(Y204=$FU$6, E204="Interior"), IF(BS204="N", 'Lookup Tables'!$AM$101*BP204, VLOOKUP(W204, 'Lookup Tables'!$AI$6:$AM$102, 5, FALSE)*S204*AD204), "")), 2), "")</f>
        <v/>
      </c>
      <c r="FV204" s="253" t="str">
        <f>IFERROR(ROUND(IF(CD204="ERROR", "ERROR", IF(AND(Y204=$FU$6, E204="Exterior"), IF(BS204="N", 'Lookup Tables'!$AM$101*BP204, VLOOKUP(W204, 'Lookup Tables'!$AI$6:$AM$102, 5, FALSE)*S204*AD204), "")), 2), "")</f>
        <v/>
      </c>
      <c r="FW204" s="253" t="str">
        <f>IFERROR(ROUND(IF(CD204="ERROR", "ERROR", IF($FW$6=Y204, IF(BS204="N", 'Lookup Tables'!$AM$101*BP204, MIN((VLOOKUP(W204, 'Lookup Tables'!$AI$6:$AM$102, 5, FALSE)*BP204),GB204*AJ204)), "")), 2), "")</f>
        <v/>
      </c>
      <c r="FX204" s="253" t="str">
        <f>IFERROR(ROUND(IF(CD204="ERROR", "ERROR", IF(AND($FX$6=Y204, E204="Interior"), IF(VLOOKUP(W204, 'Lookup Tables'!$AI$6:$AM$102, 5, FALSE)*BP204&gt;'Lookup Tables'!$AQ$97*'Lighting Inventory'!S204,'Lighting Inventory'!S204*'Lookup Tables'!$AQ$97,VLOOKUP(W204, 'Lookup Tables'!$AI$6:$AM$102, 5, FALSE)*BP204), "")), 2), "")</f>
        <v/>
      </c>
      <c r="FY204" s="253" t="str">
        <f>IFERROR(ROUND(IF(CD204="ERROR", "ERROR", IF(AND($FX$6=Y204, E204="Exterior"), IF(VLOOKUP(W204, 'Lookup Tables'!$AI$6:$AM$102, 5, FALSE)*BP204&gt;'Lookup Tables'!$AQ$97*'Lighting Inventory'!S204,'Lighting Inventory'!S204*'Lookup Tables'!$AQ$97,VLOOKUP(W204, 'Lookup Tables'!$AI$6:$AM$102, 5, FALSE)*BP204), "")), 2), "")</f>
        <v/>
      </c>
      <c r="FZ204" s="253" t="str">
        <f>IFERROR(ROUND(IF(CD204="ERROR", "ERROR", IF(AND($FZ$6=Y204, E204="Interior"), IF(AND(OR(W204="Refrigerated Case Lighting with Doors", W204="Freezer Case Lighting"),Y204="Custom - Process Improvement"),CD204*'Lookup Tables'!$AM$101, IF(B204="Retrofit", IF(VLOOKUP(IF(V204="Custom", V204, W204), 'Lookup Tables'!$AI$6:$AM$102, 5, FALSE)*BP204&gt;GE204, GE204, VLOOKUP(IF(V204="Custom", V204, W204), 'Lookup Tables'!$AI$6:$AM$102, 5, FALSE)*BP204), IF(VLOOKUP(IF(V204="Custom", V204, W204), 'Lookup Tables'!$AI$114:$AM$154, 5, FALSE)*BP204&gt;GE204, GE204, VLOOKUP(IF(V204="Custom", V204, W204), 'Lookup Tables'!$AI$114:$AM$154, 5, FALSE)*BP204))), "")), 2),"")</f>
        <v/>
      </c>
      <c r="GA204" s="253" t="str">
        <f>IFERROR(ROUND(IF(CD204="ERROR", "ERROR", IF(AND($FZ$6=Y204, E204="Exterior"), IF(B204="Retrofit", IF(VLOOKUP(IF(V204="Custom", V204, W204), 'Lookup Tables'!$AI$6:$AM$102, 5, FALSE)*BP204&gt;GE204, GE204, VLOOKUP(IF(V204="Custom", V204, W204), 'Lookup Tables'!$AI$6:$AM$102, 5, FALSE)*BP204), IF(VLOOKUP(IF(V204="Custom", V204, W204), 'Lookup Tables'!$AI$114:$AM$154, 5, FALSE)*BP204&gt;GE204, GE204, VLOOKUP(IF(V204="Custom", V204, W204), 'Lookup Tables'!$AI$114:$AM$154, 5, FALSE)*BP204)), "")), 2),"")</f>
        <v/>
      </c>
      <c r="GB204" s="254" t="str">
        <f t="array" ref="GB204">IF(B204="","",IF(OR(V204="Custom",V204="No Change"),0,IF(B204="Retrofit", INDEX('Lookup Tables'!$AH$6:$AQ$102,MATCH(1,('Lookup Tables'!$AH$6:$AH$102='Lighting Inventory'!V204)*('Lookup Tables'!$AI$6:$AI$102='Lighting Inventory'!W204),FALSE),10),INDEX('Lookup Tables'!$AH$114:$AQ$154,MATCH(1,('Lookup Tables'!$AH$114:$AH$154='Lighting Inventory'!V204)*('Lookup Tables'!$AI$114:$AI$154='Lighting Inventory'!W204),FALSE),10))))</f>
        <v/>
      </c>
      <c r="GC204" s="255" t="str">
        <f t="shared" si="550"/>
        <v/>
      </c>
      <c r="GD204" s="250" t="str">
        <f t="shared" si="551"/>
        <v/>
      </c>
      <c r="GE204" s="253" t="str">
        <f>IFERROR(IF(AND(AF204="", 'General Information'!$F$18="No"),"", IF(AF204="", ((GD204/$CD$266)*$CF$266)*0.5, AF204*S204*0.5)), "")</f>
        <v/>
      </c>
      <c r="GF204" s="255" t="str">
        <f>IF(AND('General Information'!$F$19="", 'General Information'!$F$18="Yes",AF204="",BW204="Y"), "Y", "N")</f>
        <v>N</v>
      </c>
      <c r="GG204" s="255" t="s">
        <v>2946</v>
      </c>
      <c r="GH204" s="255" t="str">
        <f>IFERROR(IF(B204="", "", VLOOKUP(J204, 'Fixture Identities'!$A$6:$N$908, 14, FALSE)), "")</f>
        <v/>
      </c>
      <c r="GI204" s="389" t="str">
        <f>IF(OR(B204="", V204="", W204=""), "", IF(AND(OR(M204='Lookup Tables'!$R$18, M204='Lookup Tables'!$R$19, M204='Lookup Tables'!$R$20, M204='Lookup Tables'!$R$21, M204='Lookup Tables'!$R$22), OR(AN204='Lookup Tables'!$R$17, AN204='Lookup Tables'!$R$17, AN204="")), "Y", "N"))</f>
        <v/>
      </c>
      <c r="GJ204" s="255" t="str">
        <f t="shared" si="552"/>
        <v/>
      </c>
      <c r="GK204" s="255" t="str">
        <f t="shared" si="553"/>
        <v/>
      </c>
      <c r="GL204" s="255" t="str">
        <f t="shared" si="554"/>
        <v/>
      </c>
      <c r="GM204" s="255" t="str">
        <f>IF(AN204="", "", IF(AND(IF(ISNA(VLOOKUP(AN204,'Lookup Tables'!$R$18:$R$22,1,FALSE)), "N", "Y")="Y", E204="Exterior"), "Y", "N"))</f>
        <v/>
      </c>
      <c r="GN204" s="395"/>
      <c r="GO204" s="428">
        <f t="shared" ref="GO204:GO260" si="600">SUM(FF204:GA204)</f>
        <v>0</v>
      </c>
      <c r="GP204" s="428">
        <f t="shared" si="500"/>
        <v>0</v>
      </c>
      <c r="GQ204" s="428">
        <f t="shared" ref="GQ204:GQ260" si="601">IF(FH204="",0,IF(GP204=0,0,FH204))</f>
        <v>0</v>
      </c>
      <c r="GR204" s="428">
        <f t="shared" ref="GR204:GR260" si="602">IF(GP204=0,0,GP204-GQ204)</f>
        <v>0</v>
      </c>
    </row>
    <row r="205" spans="1:200" s="103" customFormat="1" ht="13.5" customHeight="1" x14ac:dyDescent="0.2">
      <c r="A205" s="272">
        <v>195</v>
      </c>
      <c r="B205" s="110"/>
      <c r="C205" s="110"/>
      <c r="D205" s="110"/>
      <c r="E205" s="110"/>
      <c r="F205" s="110"/>
      <c r="G205" s="110"/>
      <c r="H205" s="110"/>
      <c r="I205" s="29"/>
      <c r="J205" s="29"/>
      <c r="K205" s="272" t="str">
        <f>IFERROR(IF(OR(VLOOKUP(J205, 'Fixture Identities'!$A$6:$L$1023, 3, FALSE)="T12 Linear Fluorescent", VLOOKUP(J205, 'Fixture Identities'!$A$6:$L$1023, 3, FALSE)="T12 U-Tube Fluorescent"), VLOOKUP(VLOOKUP(J205, 'Fixture Identities'!$A$6:$L$1023, 11, FALSE), 'Fixture Identities'!$A$6:$L$1023, 10, FALSE), VLOOKUP(J205, 'Fixture Identities'!$A$6:$L$1023, 10, FALSE)), "")</f>
        <v/>
      </c>
      <c r="L205" s="270" t="str">
        <f t="shared" si="502"/>
        <v/>
      </c>
      <c r="M205" s="110"/>
      <c r="N205" s="110"/>
      <c r="O205" s="110"/>
      <c r="P205" s="272" t="str">
        <f>IFERROR(IF(OR(B205="Retrofit",B205=""),"",IF('Lighting Inventory'!E205="Exterior",VLOOKUP('Lighting Inventory'!N205,'Lookup Tables'!$B$83:$F$103,5,FALSE),IF(N205="Other - Please Estimate EFLH and CFs","Contact Prog. Rep.","ft^2"))), "")</f>
        <v/>
      </c>
      <c r="Q205" s="270" t="str">
        <f>IFERROR(IF(AND(B205="New Construction",E205="Interior",$F$5="Space-by-Space"),VLOOKUP('Lighting Inventory'!N205,'Lookup Tables'!$N$6:$O$97,2,FALSE),IF(AND(B205="New Construction",E205="Exterior"),VLOOKUP(N205,'Lookup Tables'!$B$83:$F$103,2,FALSE),IF(AND(B205="New Construction",'Lighting Inventory'!E205="Interior", $F$5="Building Area"),VLOOKUP(F205,'Lookup Tables'!$A$6:$J$59,10,FALSE),""))), "")</f>
        <v/>
      </c>
      <c r="R205" s="270" t="str">
        <f>IFERROR(IF(P205="Contact Prog. Rep.", "ERROR", IF(OR(B205="",B205="Retrofit"),"",IF(N205="Automated teller machines", ('Lookup Tables'!$A$82:$E$100+('Lighting Inventory'!O205-1)*'Lookup Tables'!$A$82:$E$100)/1000, (Q205*O205)/1000))), "")</f>
        <v/>
      </c>
      <c r="S205" s="595"/>
      <c r="T205" s="105" t="str">
        <f t="shared" si="555"/>
        <v/>
      </c>
      <c r="U205" s="105" t="str">
        <f>IF(S205="","",COUNT($S$11:S205))</f>
        <v/>
      </c>
      <c r="V205" s="111"/>
      <c r="W205" s="112"/>
      <c r="X205" s="105" t="str">
        <f t="shared" si="556"/>
        <v/>
      </c>
      <c r="Y205" s="105" t="str">
        <f t="array" ref="Y205">IF(AND(OR(W205="Freezer Case Lighting", W205="Refrigerated Case Lighting with Doors"), 'General Information'!$X$18="LCI"),'Lookup Tables'!$Y$34, IF(V205="Custom", VLOOKUP(W205, 'Fixture Identities'!$A$974:$M$1023, 13, FALSE), IF(V205="No Change",'Lookup Tables'!$Y$29,IF(OR(V205="",W205=""),"",IF(AND(S205=0,S205&lt;I205,B205="Retrofit"),'Lookup Tables'!$Y$25, IF(B205="Retrofit", INDEX('Lookup Tables'!$AH$6:$AP$102, MATCH(1, ('Lookup Tables'!$AH$6:$AH$102=V205)*('Lookup Tables'!$AI$6:$AI$102=W205), 0), IF('Lighting Inventory'!E205="Interior", 4, 5)), INDEX('Lookup Tables'!$AH$114:$AP$154, MATCH(1, ('Lookup Tables'!$AH$114:$AH$154=V205)*('Lookup Tables'!$AI$114:$AI$154=W205), 0), IF('Lighting Inventory'!E205="Interior", 4, 5))))))))</f>
        <v/>
      </c>
      <c r="Z205" s="105" t="str">
        <f>IFERROR(INDEX('Lookup Tables'!$AH$158:$AH$172,MATCH('Lighting Inventory'!Y205,'Lookup Tables'!$AI$158:$AI$172,0)),"")</f>
        <v/>
      </c>
      <c r="AA205" s="105" t="str">
        <f>IF(AP205&gt;0,INDEX('Lookup Tables'!$AK$158:$AK$172,MATCH('Lighting Inventory'!Y205,'Lookup Tables'!$AI$158:$AI$172,0)),'Lighting Inventory'!Y205)</f>
        <v/>
      </c>
      <c r="AB205" s="105" t="str">
        <f t="array" ref="AB205">IF(V205="Custom", "Custom", IF(V205="", "", IF(V205="Not DLC or Energy Star", "General", IF(B205="New Construction", INDEX('Lookup Tables'!$AH$114:$AP$154,MATCH(1,('Lookup Tables'!$AH$114:$AH$154='Lighting Inventory'!V205)*('Lookup Tables'!$AI$114:$AI$154='Lighting Inventory'!W205),FALSE),8), INDEX('Lookup Tables'!$AH$6:$AP$102,MATCH(1,('Lookup Tables'!$AH$6:$AH$102='Lighting Inventory'!V205)*('Lookup Tables'!$AI$6:$AI$102='Lighting Inventory'!W205),FALSE),8)))))</f>
        <v/>
      </c>
      <c r="AC205" s="272" t="str">
        <f>IF(W205="","",IF(V205="Custom",CONCATENATE("$",'Lookup Tables'!$AM$101," ",'Lookup Tables'!$AN$101),CONCATENATE("$",INDEX('Lookup Tables'!$AM$6:$AM$102,MATCH('Lighting Inventory'!W205,'Lookup Tables'!$AI$6:$AI$102,0))," ",INDEX('Lookup Tables'!$AN$6:$AN$102,MATCH('Lighting Inventory'!W205,'Lookup Tables'!$AI$6:$AI$102,0)))))</f>
        <v/>
      </c>
      <c r="AD205" s="72"/>
      <c r="AE205" s="29"/>
      <c r="AF205" s="379"/>
      <c r="AG205" s="370" t="str">
        <f t="shared" si="504"/>
        <v/>
      </c>
      <c r="AH205" s="370" t="str">
        <f t="shared" si="557"/>
        <v/>
      </c>
      <c r="AI205" s="29"/>
      <c r="AJ205" s="29"/>
      <c r="AK205" s="110"/>
      <c r="AL205" s="375" t="str">
        <f>IF(OR(B205="", V205="", W205=""), "", IF(V205="No Change", K205, IF(V205="Remove Fixture", 0, IF(V205="Custom",VLOOKUP(W205,'Fixture Identities'!$A$6:$K$1023,10,FALSE),IF(AE205="", "← ENTER POST WATTS", 'Lighting Inventory'!AE205)))))</f>
        <v/>
      </c>
      <c r="AM205" s="376" t="str">
        <f t="shared" si="505"/>
        <v/>
      </c>
      <c r="AN205" s="29"/>
      <c r="AO205" s="671"/>
      <c r="AP205" s="29"/>
      <c r="AQ205" s="29"/>
      <c r="AR205" s="29"/>
      <c r="AS205" s="272" t="str">
        <f t="shared" si="558"/>
        <v/>
      </c>
      <c r="AT205" s="270" t="str">
        <f t="shared" si="506"/>
        <v/>
      </c>
      <c r="AU205" s="88" t="str">
        <f t="shared" si="503"/>
        <v/>
      </c>
      <c r="AV205" s="29"/>
      <c r="AW205" s="73"/>
      <c r="AX205" s="271" t="str">
        <f>IF(AND(AV205="Applicant",OR(AW205="", AW205="Use Default Facility Hours")),"← Choose Schedule",IF(F205="","",IF(W205="LED Exit Signs",8760,IF(OR(AV205="Prescribed",AV205=""),VLOOKUP(F205,'Lookup Tables'!$A$6:$G$59,IF(AB205="General", 6, 3),FALSE),VLOOKUP(AW205,'Lookup Tables'!$S$36:$U$43,2,FALSE)))))</f>
        <v/>
      </c>
      <c r="AY205" s="88" t="str">
        <f t="shared" si="507"/>
        <v/>
      </c>
      <c r="AZ205" s="270" t="str">
        <f>IFERROR(IF(F205="", "", IF(W205="LED Exit Signs", 1, IF(AV205="Applicant",VLOOKUP(AW205, 'Lookup Tables'!$S$36:$U$43,3, FALSE), VLOOKUP('Lighting Inventory'!F205, 'Lookup Tables'!$A$6:$H$59, IF('Lighting Inventory'!AB205="General",7,4), FALSE)))), "")</f>
        <v/>
      </c>
      <c r="BA205" s="522" t="str">
        <f>IFERROR(IF(F205="", "", IF(W205="LED Exit Signs", 1, VLOOKUP('Lighting Inventory'!F205, 'Lookup Tables'!$A$6:$H$59, IF('Lighting Inventory'!AB205="General",8,5), FALSE))), "")</f>
        <v/>
      </c>
      <c r="BB205" s="270" t="str">
        <f>IF(G205="", "", IF(E205="Exterior", 0, IF('Lighting Inventory'!G205="Air Conditioned", VLOOKUP(H205, 'Lookup Tables'!$R$6:$T$13, 2, FALSE), VLOOKUP('Lighting Inventory'!G205, 'Lookup Tables'!$R$6:$T$13, 2, FALSE))))</f>
        <v/>
      </c>
      <c r="BC205" s="522" t="str">
        <f>IF(G205="", "", IF(E205="Exterior", 0, IF('Lighting Inventory'!G205="Air Conditioned", VLOOKUP(H205, 'Lookup Tables'!$R$6:$T$13, 3, FALSE), VLOOKUP('Lighting Inventory'!G205, 'Lookup Tables'!$R$6:$T$13, 3, FALSE))))</f>
        <v/>
      </c>
      <c r="BD205" s="270" t="str">
        <f>IF(G205="", "", IF(E205="Exterior", 0, IF('Lighting Inventory'!G205="Air Conditioned", VLOOKUP(H205, 'Lookup Tables'!$R$6:$U$13, 4, FALSE), VLOOKUP('Lighting Inventory'!G205, 'Lookup Tables'!$R$6:$U$13, 4, FALSE))))</f>
        <v/>
      </c>
      <c r="BE205" s="270" t="str">
        <f>IFERROR(IF(B205="", "",  IF(B205="New Construction", VLOOKUP(F205, 'Lookup Tables'!$A$6:$K$59, 11, FALSE),IF(OR(AN205="", AN205="Light Switch"), 0, IF(OR(M205="",M205="None",V205= "LED Exit Signs"),0,_xlfn.XLOOKUP(M205,'Lookup Tables'!$R$91:$R$101,'Lookup Tables'!$V$91:$V$101))))), "")</f>
        <v/>
      </c>
      <c r="BF205" s="270" t="str">
        <f>IF(AND(OR(AN205="Light Switch",AN205=""),B205="New Construction"), VLOOKUP(F205, 'Lookup Tables'!$A$6:$K$59, 11, FALSE),IF(AN205="","",IF(B205="","",IF(OR(AN205="None",AN205="",V205="LED Exit Signs",AN205="Exterior Controls Not Eligible"),0,_xlfn.XLOOKUP(AN205,'Lookup Tables'!$R$91:$R$101,'Lookup Tables'!$V$91:$V$101)))))</f>
        <v/>
      </c>
      <c r="BG205" s="88" t="str">
        <f t="shared" si="559"/>
        <v/>
      </c>
      <c r="BH205" s="88" t="str">
        <f t="shared" si="560"/>
        <v/>
      </c>
      <c r="BI205" s="558" t="str">
        <f t="shared" si="501"/>
        <v/>
      </c>
      <c r="BJ205" s="82" t="str">
        <f t="shared" si="561"/>
        <v/>
      </c>
      <c r="BK205" s="82" t="str">
        <f t="shared" si="562"/>
        <v/>
      </c>
      <c r="BL205" s="559" t="str">
        <f t="shared" si="563"/>
        <v/>
      </c>
      <c r="BM205" s="521" t="str">
        <f t="shared" si="508"/>
        <v/>
      </c>
      <c r="BN205" s="521" t="str">
        <f t="shared" si="509"/>
        <v/>
      </c>
      <c r="BO205" s="522" t="str">
        <f t="shared" si="510"/>
        <v/>
      </c>
      <c r="BP205" s="83" t="str">
        <f t="shared" si="564"/>
        <v/>
      </c>
      <c r="BQ205" s="84" t="str">
        <f t="shared" si="565"/>
        <v/>
      </c>
      <c r="BR205" s="184" t="str">
        <f>IFERROR(IF(B205="", "", IF(OR(VLOOKUP(J205, 'Fixture Identities'!$A$6:$L$1023, 3, FALSE)="T12 Linear Fluorescent",VLOOKUP(J205, 'Fixture Identities'!$A$6:$L$1023, 3, FALSE)="T12 U-Tube Fluorescent"), "Y", "N")), "N")</f>
        <v/>
      </c>
      <c r="BS205" s="184" t="str">
        <f t="array" ref="BS205">IFERROR(IF(OR(B205="", V205="", W205=""), "", IF(V205="Custom", "N", IF(OR(W205="Freezer Case Lighting", W205="Refrigerated Case Lighting with Doors"), BT205, IF(B205="Retrofit", INDEX('Lookup Tables'!$AH$6:$AT$102,MATCH(1,('Lookup Tables'!$AH$6:$AH$102=V205)*('Lookup Tables'!$AI$6:$AI$102=W205),FALSE),IF(VLOOKUP(J205, 'Fixture Identities'!$A$6:$B$1023, 2, FALSE)="Incandescent",12, 13)), INDEX('Lookup Tables'!$AH$114:$AS$154,MATCH(1,('Lookup Tables'!$AH$114:$AH$154=V205)*('Lookup Tables'!$AI$114:$AI$154=W205),FALSE),12))))), "N")</f>
        <v/>
      </c>
      <c r="BT205" s="184" t="str">
        <f>IF(J205="", "", IF(AND(OR(W205="Freezer case Lighting", W205="Refrigerated Case Lighting with Doors"),'General Information'!$X$18="LCI"), "N", IF(OR(VLOOKUP(J205, 'Fixture Identities'!$A$6:$B$1023, 2, FALSE)="T12 EPACT/EISA Baseline", VLOOKUP(J205, 'Fixture Identities'!$A$6:$B$1023, 2, FALSE)="Linear Fluorescent", VLOOKUP(J205, 'Fixture Identities'!$A$6:$B$1023, 2, FALSE)="U-Tube Fluorescent"), "Y", "N")))</f>
        <v/>
      </c>
      <c r="BU205" s="184" t="str">
        <f>IFERROR(IF(B205="", "", IF(VLOOKUP(J205, 'Fixture Identities'!$A$6:$B$1023, 2, FALSE)="Exit Sign", "Y", "N")), "N")</f>
        <v/>
      </c>
      <c r="BV205" s="184" t="str">
        <f>IF(V205="Exit Signs", IF(VLOOKUP(J205, 'Fixture Identities'!$A$6:$B$1023, 2, FALSE)="Exit Sign", "N", "Y"), "")</f>
        <v/>
      </c>
      <c r="BW205" s="184" t="str">
        <f t="array" ref="BW205">IFERROR(IF(B205="", "", IF(B205="New Construction", "N", INDEX('Lookup Tables'!$AH$6:$AU$102, MATCH(1, ('Lookup Tables'!$AH$6:$AH$102='Lighting Inventory'!V205)*('Lookup Tables'!$AI$6:$AI$102='Lighting Inventory'!W205), 0), 14))), "N")</f>
        <v/>
      </c>
      <c r="BX205" s="598" t="str">
        <f t="shared" si="566"/>
        <v/>
      </c>
      <c r="BY205" s="598" t="str">
        <f t="shared" si="567"/>
        <v/>
      </c>
      <c r="BZ205" s="598" t="str">
        <f t="shared" si="568"/>
        <v/>
      </c>
      <c r="CA205" s="598" t="str">
        <f t="shared" si="569"/>
        <v/>
      </c>
      <c r="CB205" s="269" t="str">
        <f t="shared" si="570"/>
        <v/>
      </c>
      <c r="CC205" s="517" t="str">
        <f t="shared" si="571"/>
        <v/>
      </c>
      <c r="CD205" s="565" t="str">
        <f t="shared" si="511"/>
        <v/>
      </c>
      <c r="CE205" s="368">
        <v>0</v>
      </c>
      <c r="CF205" s="368" t="str" cm="1">
        <f t="array" ref="CF205">IFERROR(IF(V205="Custom", "$0.1 per kWh", IF(B205="New Construction", CONCATENATE("$",INDEX('Lookup Tables'!$AH$114:$AN$154,MATCH(1,('Lookup Tables'!$AH$114:$AH$154='Lighting Inventory'!V205)*('Lookup Tables'!$AI$114:$AI$154='Lighting Inventory'!W205),FALSE),6)," ",INDEX('Lookup Tables'!$AH$114:$AN$154,MATCH(1,('Lookup Tables'!$AH$114:$AH$154='Lighting Inventory'!V205)*('Lookup Tables'!$AI$114:$AI$154='Lighting Inventory'!W205),FALSE),7)), IF(AND(BU205="N", V205="Exit Signs"), "$0.025 per kWh", CONCATENATE("$",INDEX('Lookup Tables'!$AH$6:$AN$102,MATCH(1,('Lookup Tables'!$AH$6:$AH$102='Lighting Inventory'!V205)*('Lookup Tables'!$AI$6:$AI$102='Lighting Inventory'!W205),FALSE),6)," ",INDEX('Lookup Tables'!$AH$6:$AN$102,MATCH(1,('Lookup Tables'!$AH$6:$AH$102='Lighting Inventory'!V205)*('Lookup Tables'!$AI$6:$AI$102='Lighting Inventory'!W205),FALSE),7))))), "")</f>
        <v/>
      </c>
      <c r="CG205" s="366"/>
      <c r="CH205" s="248" t="str">
        <f t="shared" si="512"/>
        <v/>
      </c>
      <c r="CI205" s="248" t="str">
        <f t="shared" si="513"/>
        <v>Select_IE</v>
      </c>
      <c r="CJ205" s="248" t="str">
        <f t="shared" si="514"/>
        <v/>
      </c>
      <c r="CK205" s="248" t="str">
        <f t="shared" si="515"/>
        <v/>
      </c>
      <c r="CL205" s="248" t="str">
        <f t="shared" si="516"/>
        <v/>
      </c>
      <c r="CM205" s="248" t="str">
        <f>IFERROR(IF(B205="", "", IF(B205="New Construction", VLOOKUP(V205, 'Lookup Tables'!$AF$114:$AG$120, 2, FALSE), VLOOKUP(V205, 'Lookup Tables'!$AD$6:$AE$25, 2, FALSE))), "")</f>
        <v/>
      </c>
      <c r="CN205" s="248" t="str">
        <f t="shared" si="517"/>
        <v/>
      </c>
      <c r="CO205" s="248" t="str">
        <f t="shared" si="518"/>
        <v/>
      </c>
      <c r="CP205" s="592" t="str">
        <f t="shared" si="519"/>
        <v/>
      </c>
      <c r="CQ205" s="248" t="str">
        <f t="shared" si="572"/>
        <v/>
      </c>
      <c r="CR205" s="100"/>
      <c r="CS205" s="250" t="str">
        <f t="shared" si="520"/>
        <v/>
      </c>
      <c r="CT205" s="250" t="str">
        <f t="shared" si="573"/>
        <v/>
      </c>
      <c r="CU205" s="250" t="str">
        <f t="shared" si="574"/>
        <v/>
      </c>
      <c r="CV205" s="250" t="str">
        <f t="shared" si="575"/>
        <v/>
      </c>
      <c r="CW205" s="250" t="str">
        <f t="shared" si="576"/>
        <v/>
      </c>
      <c r="CX205" s="250" t="str">
        <f t="shared" si="521"/>
        <v/>
      </c>
      <c r="CY205" s="250" t="str">
        <f t="shared" si="522"/>
        <v/>
      </c>
      <c r="CZ205" s="250" t="str">
        <f t="shared" si="523"/>
        <v/>
      </c>
      <c r="DA205" s="250" t="str">
        <f t="shared" si="524"/>
        <v/>
      </c>
      <c r="DB205" s="250" t="str">
        <f t="shared" si="525"/>
        <v/>
      </c>
      <c r="DC205" s="250" t="str">
        <f t="shared" si="526"/>
        <v/>
      </c>
      <c r="DD205" s="250" t="str">
        <f t="shared" si="527"/>
        <v/>
      </c>
      <c r="DE205" s="250" t="str">
        <f t="shared" si="528"/>
        <v/>
      </c>
      <c r="DF205" s="250" t="str">
        <f t="shared" si="529"/>
        <v/>
      </c>
      <c r="DG205" s="250" t="str">
        <f t="shared" si="530"/>
        <v/>
      </c>
      <c r="DH205" s="250" t="str">
        <f t="shared" si="531"/>
        <v/>
      </c>
      <c r="DI205" s="250" t="str">
        <f t="shared" si="532"/>
        <v/>
      </c>
      <c r="DJ205" s="250" t="str">
        <f t="shared" si="533"/>
        <v/>
      </c>
      <c r="DK205" s="250" t="str">
        <f t="shared" si="534"/>
        <v/>
      </c>
      <c r="DL205" s="250" t="str">
        <f t="shared" si="535"/>
        <v/>
      </c>
      <c r="DM205" s="250" t="str">
        <f>IF(CD205="ERROR", "ERROR", IF(AND(OR(Y205=$DM$6, Y205='Lookup Tables'!$AD$21, Y205='Lookup Tables'!$AD$22), E205="Interior"), BJ205, ""))</f>
        <v/>
      </c>
      <c r="DN205" s="250" t="str">
        <f>IF(CD205="ERROR", "ERROR", IF(AND(OR(Y205=$DM$6, Y205='Lookup Tables'!$AD$21, Y205='Lookup Tables'!$AD$22), E205="Exterior"), BJ205, ""))</f>
        <v/>
      </c>
      <c r="DO205" s="100"/>
      <c r="DP205" s="250" t="str">
        <f t="shared" si="536"/>
        <v/>
      </c>
      <c r="DQ205" s="250" t="str">
        <f t="shared" si="577"/>
        <v/>
      </c>
      <c r="DR205" s="250" t="str">
        <f t="shared" si="578"/>
        <v/>
      </c>
      <c r="DS205" s="250" t="str">
        <f t="shared" si="579"/>
        <v/>
      </c>
      <c r="DT205" s="250" t="str">
        <f t="shared" si="580"/>
        <v/>
      </c>
      <c r="DU205" s="250" t="str">
        <f t="shared" si="537"/>
        <v/>
      </c>
      <c r="DV205" s="250" t="str">
        <f t="shared" si="538"/>
        <v/>
      </c>
      <c r="DW205" s="250" t="str">
        <f t="shared" si="539"/>
        <v/>
      </c>
      <c r="DX205" s="250" t="str">
        <f t="shared" si="540"/>
        <v/>
      </c>
      <c r="DY205" s="250" t="str">
        <f t="shared" si="541"/>
        <v/>
      </c>
      <c r="DZ205" s="250" t="str">
        <f t="shared" si="542"/>
        <v/>
      </c>
      <c r="EA205" s="250" t="str">
        <f t="shared" si="543"/>
        <v/>
      </c>
      <c r="EB205" s="250" t="str">
        <f t="shared" si="581"/>
        <v/>
      </c>
      <c r="EC205" s="250" t="str">
        <f t="shared" si="544"/>
        <v/>
      </c>
      <c r="ED205" s="250" t="str">
        <f t="shared" si="545"/>
        <v/>
      </c>
      <c r="EE205" s="250" t="str">
        <f t="shared" si="546"/>
        <v/>
      </c>
      <c r="EF205" s="250" t="str">
        <f t="shared" si="547"/>
        <v/>
      </c>
      <c r="EG205" s="250" t="str">
        <f t="shared" si="548"/>
        <v/>
      </c>
      <c r="EH205" s="250" t="str">
        <f>IF(CD205="ERROR", "ERROR", IF(AND(OR($EH$6=Y205, Y205='Lookup Tables'!$AD$21, Y205='Lookup Tables'!$AD$22),E205="Interior"), SUM(BP205:BP205), ""))</f>
        <v/>
      </c>
      <c r="EI205" s="250" t="str">
        <f>IF(CD205="ERROR", "ERROR", IF(AND(OR($EH$6=Y205, Y205='Lookup Tables'!$AD$21, Y205='Lookup Tables'!$AD$22),E205="Exterior"), SUM(BP205:BP205), ""))</f>
        <v/>
      </c>
      <c r="EJ205" s="109"/>
      <c r="EK205" s="485" t="str">
        <f t="shared" si="549"/>
        <v/>
      </c>
      <c r="EL205" s="252" t="str">
        <f t="shared" si="582"/>
        <v/>
      </c>
      <c r="EM205" s="252" t="str">
        <f t="shared" si="583"/>
        <v/>
      </c>
      <c r="EN205" s="252" t="str">
        <f t="shared" si="584"/>
        <v/>
      </c>
      <c r="EO205" s="252" t="str">
        <f t="shared" si="585"/>
        <v/>
      </c>
      <c r="EP205" s="252" t="str">
        <f t="shared" si="586"/>
        <v/>
      </c>
      <c r="EQ205" s="252" t="str">
        <f t="shared" si="587"/>
        <v/>
      </c>
      <c r="ER205" s="252" t="str">
        <f t="shared" si="588"/>
        <v/>
      </c>
      <c r="ES205" s="252" t="str">
        <f t="shared" si="589"/>
        <v/>
      </c>
      <c r="ET205" s="252" t="str">
        <f t="shared" si="590"/>
        <v/>
      </c>
      <c r="EU205" s="252" t="str">
        <f t="shared" si="591"/>
        <v/>
      </c>
      <c r="EV205" s="252" t="str">
        <f t="shared" si="592"/>
        <v/>
      </c>
      <c r="EW205" s="252" t="str">
        <f t="shared" si="593"/>
        <v/>
      </c>
      <c r="EX205" s="252" t="str">
        <f t="shared" si="594"/>
        <v/>
      </c>
      <c r="EY205" s="252" t="str">
        <f t="shared" si="595"/>
        <v/>
      </c>
      <c r="EZ205" s="252" t="str">
        <f t="shared" si="596"/>
        <v/>
      </c>
      <c r="FA205" s="252" t="str">
        <f t="shared" si="597"/>
        <v/>
      </c>
      <c r="FB205" s="252" t="str">
        <f t="shared" si="598"/>
        <v/>
      </c>
      <c r="FC205" s="252" t="str">
        <f>IF(CD205="ERROR", "ERROR", IF(OR(V205="No Change", V205="Not DLC or Energy Star"), "", IF(AND(OR($FC$6=Y205,Y205='Lookup Tables'!$AD$21, Y205='Lookup Tables'!$AD$22),E205="Interior"), S205, "")))</f>
        <v/>
      </c>
      <c r="FD205" s="252" t="str">
        <f t="shared" si="599"/>
        <v/>
      </c>
      <c r="FE205" s="101"/>
      <c r="FF205" s="579" t="str" cm="1">
        <f t="array" ref="FF205">IFERROR(IF(OR(BQ205&lt;=0,AQ205&lt;20,AND(V205="Exit Signs",AN205&gt;0)),"",IF(AND(AQ205&gt;=20,AN205='Lookup Tables'!$R$101),'Lookup Tables'!$U$101*BQ205,AP205*LOOKUP(2,1/((AN205='Lookup Tables'!$R$91:$R$111)*(AQ205&gt;='Lookup Tables'!$S$91:$S$111)*(AQ205&lt;='Lookup Tables'!$T$91:$T$111)),'Lookup Tables'!$U$91:$U$111))),"")</f>
        <v/>
      </c>
      <c r="FG205" s="579"/>
      <c r="FH205" s="579"/>
      <c r="FI205" s="253" t="str">
        <f>IFERROR(ROUND(IF(CD205="ERROR", "ERROR", IF(AND($FI$7=X205,E205="Interior"),VLOOKUP(W205, 'Lookup Tables'!$AI$6:$AM$102, 5, FALSE)*BP205, "")), 2), "")</f>
        <v/>
      </c>
      <c r="FJ205" s="253" t="str">
        <f>IFERROR(ROUND(IF(CD205="ERROR", "ERROR", IF(AND($FI$7=X205,E205="Exterior"),VLOOKUP(W205, 'Lookup Tables'!$AI$6:$AM$102, 5, FALSE)*BP205, "")), 2), "")</f>
        <v/>
      </c>
      <c r="FK205" s="253" t="str">
        <f>IFERROR(ROUND(IF(CD205="ERROR", "ERROR", IF(AND($FK$7=X205,E205="Interior"),VLOOKUP(W205, 'Lookup Tables'!$AI$6:$AM$102, 5, FALSE)*BP205, "")), 2), "")</f>
        <v/>
      </c>
      <c r="FL205" s="253" t="str">
        <f>IFERROR(ROUND(IF(CD205="ERROR", "ERROR", IF(AND($FK$7=X205,E205="Exterior"),VLOOKUP(W205, 'Lookup Tables'!$AI$6:$AM$102, 5, FALSE)*BP205, "")), 2), "")</f>
        <v/>
      </c>
      <c r="FM205" s="253" t="str">
        <f>IFERROR(ROUND(IF(CD205="ERROR", "ERROR", IF(AND($FM$6=Y205,E205="Interior"), IF(GB205=0, VLOOKUP(W205, 'Lookup Tables'!$AI$6:$AM$102, 5, FALSE)*BP205, IF(VLOOKUP(W205, 'Lookup Tables'!$AI$6:$AM$102, 5, FALSE)*BP205&gt;GB205*'Lighting Inventory'!S205, GB205*'Lighting Inventory'!S205,VLOOKUP(W205, 'Lookup Tables'!$AI$6:$AM$102, 5, FALSE)*BP205)), "")), 2), "")</f>
        <v/>
      </c>
      <c r="FN205" s="253" t="str">
        <f>IFERROR(ROUND(IF(CD205="ERROR", "ERROR", IF(AND($FM$6=Y205,E205="Exterior"), IF(GB205=0, VLOOKUP(W205, 'Lookup Tables'!$AI$6:$AM$102, 5, FALSE)*BP205, IF(VLOOKUP(W205, 'Lookup Tables'!$AI$6:$AM$102, 5, FALSE)*BP205&gt;GB205*'Lighting Inventory'!S205, GB205*'Lighting Inventory'!S205,VLOOKUP(W205, 'Lookup Tables'!$AI$6:$AM$102, 5, FALSE)*BP205)), "")), 2), "")</f>
        <v/>
      </c>
      <c r="FO205" s="253" t="str">
        <f>IFERROR(ROUND(IF(CD205="ERROR", "ERROR", IF(AND($FO$6=Y205,E205="Interior"),VLOOKUP(W205, 'Lookup Tables'!$AI$6:$AM$102, 5, FALSE)*'Lighting Inventory'!AI205, "")), 2), "")</f>
        <v/>
      </c>
      <c r="FP205" s="253" t="str">
        <f>IFERROR(ROUND(IF(CD205="ERROR", "ERROR", IF(AND($FO$6=Y205,E205="Exterior"),VLOOKUP(W205, 'Lookup Tables'!$AI$6:$AM$102, 5, FALSE)*'Lighting Inventory'!AI205, "")), 2), "")</f>
        <v/>
      </c>
      <c r="FQ205" s="253" t="str">
        <f>IFERROR(ROUND(IF(CD205="ERROR", "ERROR", IF(AND($FQ$6=Y205,E205="Interior", BU205="Y"), VLOOKUP('Lighting Inventory'!W205, 'Lookup Tables'!$AI$6:$AM$102, 5, FALSE)*'Lighting Inventory'!S205, IF(AND($FQ$7=Y205,E205="Interior", BU205="N"), 0.025*CD205, ""))), 2), "")</f>
        <v/>
      </c>
      <c r="FR205" s="253" t="str">
        <f>IFERROR(ROUND(IF(CD205="ERROR", "ERROR", IF(AND($FQ$6=Y205,E205="Exterior"), VLOOKUP('Lighting Inventory'!W205, 'Lookup Tables'!$AI$6:$AM$102, 5, FALSE)*'Lighting Inventory'!S205, "")), 2), "")</f>
        <v/>
      </c>
      <c r="FS205" s="253" t="str">
        <f>IFERROR(ROUND(IF(CD205="ERROR", "ERROR", IF(AND($FS$6=Y205,E205="Exterior"), IF(GB205=0, VLOOKUP(W205, 'Lookup Tables'!$AI$6:$AM$102, 5, FALSE)*BP205, IF(VLOOKUP(W205, 'Lookup Tables'!$AI$6:$AM$102, 5, FALSE)*BP205&gt;GB205*'Lighting Inventory'!S205, GB205*'Lighting Inventory'!S205,VLOOKUP(W205, 'Lookup Tables'!$AI$6:$AM$102, 5, FALSE)*BP205)), "")), 2), "")</f>
        <v/>
      </c>
      <c r="FT205" s="253" t="str">
        <f>IFERROR(ROUND(IF(CD205="ERROR", "ERROR", IF(AND($FT$6=Y205,E205="Interior"), IF(GB205=0, VLOOKUP(W205, 'Lookup Tables'!$AI$6:$AM$102, 5, FALSE)*BP205, IF(VLOOKUP(W205, 'Lookup Tables'!$AI$6:$AM$102, 5, FALSE)*BP205&gt;GB205*'Lighting Inventory'!S205, GB205*'Lighting Inventory'!S205,VLOOKUP(W205, 'Lookup Tables'!$AI$6:$AM$102, 5, FALSE)*BP205)), "")), 2), "")</f>
        <v/>
      </c>
      <c r="FU205" s="253" t="str">
        <f>IFERROR(ROUND(IF(CD205="ERROR", "ERROR", IF(AND(Y205=$FU$6, E205="Interior"), IF(BS205="N", 'Lookup Tables'!$AM$101*BP205, VLOOKUP(W205, 'Lookup Tables'!$AI$6:$AM$102, 5, FALSE)*S205*AD205), "")), 2), "")</f>
        <v/>
      </c>
      <c r="FV205" s="253" t="str">
        <f>IFERROR(ROUND(IF(CD205="ERROR", "ERROR", IF(AND(Y205=$FU$6, E205="Exterior"), IF(BS205="N", 'Lookup Tables'!$AM$101*BP205, VLOOKUP(W205, 'Lookup Tables'!$AI$6:$AM$102, 5, FALSE)*S205*AD205), "")), 2), "")</f>
        <v/>
      </c>
      <c r="FW205" s="253" t="str">
        <f>IFERROR(ROUND(IF(CD205="ERROR", "ERROR", IF($FW$6=Y205, IF(BS205="N", 'Lookup Tables'!$AM$101*BP205, MIN((VLOOKUP(W205, 'Lookup Tables'!$AI$6:$AM$102, 5, FALSE)*BP205),GB205*AJ205)), "")), 2), "")</f>
        <v/>
      </c>
      <c r="FX205" s="253" t="str">
        <f>IFERROR(ROUND(IF(CD205="ERROR", "ERROR", IF(AND($FX$6=Y205, E205="Interior"), IF(VLOOKUP(W205, 'Lookup Tables'!$AI$6:$AM$102, 5, FALSE)*BP205&gt;'Lookup Tables'!$AQ$97*'Lighting Inventory'!S205,'Lighting Inventory'!S205*'Lookup Tables'!$AQ$97,VLOOKUP(W205, 'Lookup Tables'!$AI$6:$AM$102, 5, FALSE)*BP205), "")), 2), "")</f>
        <v/>
      </c>
      <c r="FY205" s="253" t="str">
        <f>IFERROR(ROUND(IF(CD205="ERROR", "ERROR", IF(AND($FX$6=Y205, E205="Exterior"), IF(VLOOKUP(W205, 'Lookup Tables'!$AI$6:$AM$102, 5, FALSE)*BP205&gt;'Lookup Tables'!$AQ$97*'Lighting Inventory'!S205,'Lighting Inventory'!S205*'Lookup Tables'!$AQ$97,VLOOKUP(W205, 'Lookup Tables'!$AI$6:$AM$102, 5, FALSE)*BP205), "")), 2), "")</f>
        <v/>
      </c>
      <c r="FZ205" s="253" t="str">
        <f>IFERROR(ROUND(IF(CD205="ERROR", "ERROR", IF(AND($FZ$6=Y205, E205="Interior"), IF(AND(OR(W205="Refrigerated Case Lighting with Doors", W205="Freezer Case Lighting"),Y205="Custom - Process Improvement"),CD205*'Lookup Tables'!$AM$101, IF(B205="Retrofit", IF(VLOOKUP(IF(V205="Custom", V205, W205), 'Lookup Tables'!$AI$6:$AM$102, 5, FALSE)*BP205&gt;GE205, GE205, VLOOKUP(IF(V205="Custom", V205, W205), 'Lookup Tables'!$AI$6:$AM$102, 5, FALSE)*BP205), IF(VLOOKUP(IF(V205="Custom", V205, W205), 'Lookup Tables'!$AI$114:$AM$154, 5, FALSE)*BP205&gt;GE205, GE205, VLOOKUP(IF(V205="Custom", V205, W205), 'Lookup Tables'!$AI$114:$AM$154, 5, FALSE)*BP205))), "")), 2),"")</f>
        <v/>
      </c>
      <c r="GA205" s="253" t="str">
        <f>IFERROR(ROUND(IF(CD205="ERROR", "ERROR", IF(AND($FZ$6=Y205, E205="Exterior"), IF(B205="Retrofit", IF(VLOOKUP(IF(V205="Custom", V205, W205), 'Lookup Tables'!$AI$6:$AM$102, 5, FALSE)*BP205&gt;GE205, GE205, VLOOKUP(IF(V205="Custom", V205, W205), 'Lookup Tables'!$AI$6:$AM$102, 5, FALSE)*BP205), IF(VLOOKUP(IF(V205="Custom", V205, W205), 'Lookup Tables'!$AI$114:$AM$154, 5, FALSE)*BP205&gt;GE205, GE205, VLOOKUP(IF(V205="Custom", V205, W205), 'Lookup Tables'!$AI$114:$AM$154, 5, FALSE)*BP205)), "")), 2),"")</f>
        <v/>
      </c>
      <c r="GB205" s="254" t="str">
        <f t="array" ref="GB205">IF(B205="","",IF(OR(V205="Custom",V205="No Change"),0,IF(B205="Retrofit", INDEX('Lookup Tables'!$AH$6:$AQ$102,MATCH(1,('Lookup Tables'!$AH$6:$AH$102='Lighting Inventory'!V205)*('Lookup Tables'!$AI$6:$AI$102='Lighting Inventory'!W205),FALSE),10),INDEX('Lookup Tables'!$AH$114:$AQ$154,MATCH(1,('Lookup Tables'!$AH$114:$AH$154='Lighting Inventory'!V205)*('Lookup Tables'!$AI$114:$AI$154='Lighting Inventory'!W205),FALSE),10))))</f>
        <v/>
      </c>
      <c r="GC205" s="255" t="str">
        <f t="shared" si="550"/>
        <v/>
      </c>
      <c r="GD205" s="250" t="str">
        <f t="shared" si="551"/>
        <v/>
      </c>
      <c r="GE205" s="253" t="str">
        <f>IFERROR(IF(AND(AF205="", 'General Information'!$F$18="No"),"", IF(AF205="", ((GD205/$CD$266)*$CF$266)*0.5, AF205*S205*0.5)), "")</f>
        <v/>
      </c>
      <c r="GF205" s="255" t="str">
        <f>IF(AND('General Information'!$F$19="", 'General Information'!$F$18="Yes",AF205="",BW205="Y"), "Y", "N")</f>
        <v>N</v>
      </c>
      <c r="GG205" s="255" t="s">
        <v>2946</v>
      </c>
      <c r="GH205" s="255" t="str">
        <f>IFERROR(IF(B205="", "", VLOOKUP(J205, 'Fixture Identities'!$A$6:$N$908, 14, FALSE)), "")</f>
        <v/>
      </c>
      <c r="GI205" s="389" t="str">
        <f>IF(OR(B205="", V205="", W205=""), "", IF(AND(OR(M205='Lookup Tables'!$R$18, M205='Lookup Tables'!$R$19, M205='Lookup Tables'!$R$20, M205='Lookup Tables'!$R$21, M205='Lookup Tables'!$R$22), OR(AN205='Lookup Tables'!$R$17, AN205='Lookup Tables'!$R$17, AN205="")), "Y", "N"))</f>
        <v/>
      </c>
      <c r="GJ205" s="255" t="str">
        <f t="shared" si="552"/>
        <v/>
      </c>
      <c r="GK205" s="255" t="str">
        <f t="shared" si="553"/>
        <v/>
      </c>
      <c r="GL205" s="255" t="str">
        <f t="shared" si="554"/>
        <v/>
      </c>
      <c r="GM205" s="255" t="str">
        <f>IF(AN205="", "", IF(AND(IF(ISNA(VLOOKUP(AN205,'Lookup Tables'!$R$18:$R$22,1,FALSE)), "N", "Y")="Y", E205="Exterior"), "Y", "N"))</f>
        <v/>
      </c>
      <c r="GN205" s="395"/>
      <c r="GO205" s="428">
        <f t="shared" si="600"/>
        <v>0</v>
      </c>
      <c r="GP205" s="428">
        <f t="shared" ref="GP205:GP260" si="603">GO205</f>
        <v>0</v>
      </c>
      <c r="GQ205" s="428">
        <f t="shared" si="601"/>
        <v>0</v>
      </c>
      <c r="GR205" s="428">
        <f t="shared" si="602"/>
        <v>0</v>
      </c>
    </row>
    <row r="206" spans="1:200" s="103" customFormat="1" ht="13.5" customHeight="1" x14ac:dyDescent="0.2">
      <c r="A206" s="272">
        <v>196</v>
      </c>
      <c r="B206" s="110"/>
      <c r="C206" s="110"/>
      <c r="D206" s="110"/>
      <c r="E206" s="110"/>
      <c r="F206" s="110"/>
      <c r="G206" s="110"/>
      <c r="H206" s="110"/>
      <c r="I206" s="29"/>
      <c r="J206" s="29"/>
      <c r="K206" s="272" t="str">
        <f>IFERROR(IF(OR(VLOOKUP(J206, 'Fixture Identities'!$A$6:$L$1023, 3, FALSE)="T12 Linear Fluorescent", VLOOKUP(J206, 'Fixture Identities'!$A$6:$L$1023, 3, FALSE)="T12 U-Tube Fluorescent"), VLOOKUP(VLOOKUP(J206, 'Fixture Identities'!$A$6:$L$1023, 11, FALSE), 'Fixture Identities'!$A$6:$L$1023, 10, FALSE), VLOOKUP(J206, 'Fixture Identities'!$A$6:$L$1023, 10, FALSE)), "")</f>
        <v/>
      </c>
      <c r="L206" s="270" t="str">
        <f t="shared" si="502"/>
        <v/>
      </c>
      <c r="M206" s="110"/>
      <c r="N206" s="110"/>
      <c r="O206" s="110"/>
      <c r="P206" s="272" t="str">
        <f>IFERROR(IF(OR(B206="Retrofit",B206=""),"",IF('Lighting Inventory'!E206="Exterior",VLOOKUP('Lighting Inventory'!N206,'Lookup Tables'!$B$83:$F$103,5,FALSE),IF(N206="Other - Please Estimate EFLH and CFs","Contact Prog. Rep.","ft^2"))), "")</f>
        <v/>
      </c>
      <c r="Q206" s="270" t="str">
        <f>IFERROR(IF(AND(B206="New Construction",E206="Interior",$F$5="Space-by-Space"),VLOOKUP('Lighting Inventory'!N206,'Lookup Tables'!$N$6:$O$97,2,FALSE),IF(AND(B206="New Construction",E206="Exterior"),VLOOKUP(N206,'Lookup Tables'!$B$83:$F$103,2,FALSE),IF(AND(B206="New Construction",'Lighting Inventory'!E206="Interior", $F$5="Building Area"),VLOOKUP(F206,'Lookup Tables'!$A$6:$J$59,10,FALSE),""))), "")</f>
        <v/>
      </c>
      <c r="R206" s="270" t="str">
        <f>IFERROR(IF(P206="Contact Prog. Rep.", "ERROR", IF(OR(B206="",B206="Retrofit"),"",IF(N206="Automated teller machines", ('Lookup Tables'!$A$82:$E$100+('Lighting Inventory'!O206-1)*'Lookup Tables'!$A$82:$E$100)/1000, (Q206*O206)/1000))), "")</f>
        <v/>
      </c>
      <c r="S206" s="595"/>
      <c r="T206" s="105" t="str">
        <f t="shared" si="555"/>
        <v/>
      </c>
      <c r="U206" s="105" t="str">
        <f>IF(S206="","",COUNT($S$11:S206))</f>
        <v/>
      </c>
      <c r="V206" s="111"/>
      <c r="W206" s="112"/>
      <c r="X206" s="105" t="str">
        <f t="shared" si="556"/>
        <v/>
      </c>
      <c r="Y206" s="105" t="str">
        <f t="array" ref="Y206">IF(AND(OR(W206="Freezer Case Lighting", W206="Refrigerated Case Lighting with Doors"), 'General Information'!$X$18="LCI"),'Lookup Tables'!$Y$34, IF(V206="Custom", VLOOKUP(W206, 'Fixture Identities'!$A$974:$M$1023, 13, FALSE), IF(V206="No Change",'Lookup Tables'!$Y$29,IF(OR(V206="",W206=""),"",IF(AND(S206=0,S206&lt;I206,B206="Retrofit"),'Lookup Tables'!$Y$25, IF(B206="Retrofit", INDEX('Lookup Tables'!$AH$6:$AP$102, MATCH(1, ('Lookup Tables'!$AH$6:$AH$102=V206)*('Lookup Tables'!$AI$6:$AI$102=W206), 0), IF('Lighting Inventory'!E206="Interior", 4, 5)), INDEX('Lookup Tables'!$AH$114:$AP$154, MATCH(1, ('Lookup Tables'!$AH$114:$AH$154=V206)*('Lookup Tables'!$AI$114:$AI$154=W206), 0), IF('Lighting Inventory'!E206="Interior", 4, 5))))))))</f>
        <v/>
      </c>
      <c r="Z206" s="105" t="str">
        <f>IFERROR(INDEX('Lookup Tables'!$AH$158:$AH$172,MATCH('Lighting Inventory'!Y206,'Lookup Tables'!$AI$158:$AI$172,0)),"")</f>
        <v/>
      </c>
      <c r="AA206" s="105" t="str">
        <f>IF(AP206&gt;0,INDEX('Lookup Tables'!$AK$158:$AK$172,MATCH('Lighting Inventory'!Y206,'Lookup Tables'!$AI$158:$AI$172,0)),'Lighting Inventory'!Y206)</f>
        <v/>
      </c>
      <c r="AB206" s="105" t="str">
        <f t="array" ref="AB206">IF(V206="Custom", "Custom", IF(V206="", "", IF(V206="Not DLC or Energy Star", "General", IF(B206="New Construction", INDEX('Lookup Tables'!$AH$114:$AP$154,MATCH(1,('Lookup Tables'!$AH$114:$AH$154='Lighting Inventory'!V206)*('Lookup Tables'!$AI$114:$AI$154='Lighting Inventory'!W206),FALSE),8), INDEX('Lookup Tables'!$AH$6:$AP$102,MATCH(1,('Lookup Tables'!$AH$6:$AH$102='Lighting Inventory'!V206)*('Lookup Tables'!$AI$6:$AI$102='Lighting Inventory'!W206),FALSE),8)))))</f>
        <v/>
      </c>
      <c r="AC206" s="272" t="str">
        <f>IF(W206="","",IF(V206="Custom",CONCATENATE("$",'Lookup Tables'!$AM$101," ",'Lookup Tables'!$AN$101),CONCATENATE("$",INDEX('Lookup Tables'!$AM$6:$AM$102,MATCH('Lighting Inventory'!W206,'Lookup Tables'!$AI$6:$AI$102,0))," ",INDEX('Lookup Tables'!$AN$6:$AN$102,MATCH('Lighting Inventory'!W206,'Lookup Tables'!$AI$6:$AI$102,0)))))</f>
        <v/>
      </c>
      <c r="AD206" s="72"/>
      <c r="AE206" s="29"/>
      <c r="AF206" s="379"/>
      <c r="AG206" s="370" t="str">
        <f t="shared" si="504"/>
        <v/>
      </c>
      <c r="AH206" s="370" t="str">
        <f t="shared" si="557"/>
        <v/>
      </c>
      <c r="AI206" s="29"/>
      <c r="AJ206" s="29"/>
      <c r="AK206" s="110"/>
      <c r="AL206" s="375" t="str">
        <f>IF(OR(B206="", V206="", W206=""), "", IF(V206="No Change", K206, IF(V206="Remove Fixture", 0, IF(V206="Custom",VLOOKUP(W206,'Fixture Identities'!$A$6:$K$1023,10,FALSE),IF(AE206="", "← ENTER POST WATTS", 'Lighting Inventory'!AE206)))))</f>
        <v/>
      </c>
      <c r="AM206" s="376" t="str">
        <f t="shared" si="505"/>
        <v/>
      </c>
      <c r="AN206" s="29"/>
      <c r="AO206" s="671"/>
      <c r="AP206" s="29"/>
      <c r="AQ206" s="29"/>
      <c r="AR206" s="29"/>
      <c r="AS206" s="272" t="str">
        <f t="shared" si="558"/>
        <v/>
      </c>
      <c r="AT206" s="270" t="str">
        <f t="shared" si="506"/>
        <v/>
      </c>
      <c r="AU206" s="88" t="str">
        <f t="shared" si="503"/>
        <v/>
      </c>
      <c r="AV206" s="29"/>
      <c r="AW206" s="73"/>
      <c r="AX206" s="271" t="str">
        <f>IF(AND(AV206="Applicant",OR(AW206="", AW206="Use Default Facility Hours")),"← Choose Schedule",IF(F206="","",IF(W206="LED Exit Signs",8760,IF(OR(AV206="Prescribed",AV206=""),VLOOKUP(F206,'Lookup Tables'!$A$6:$G$59,IF(AB206="General", 6, 3),FALSE),VLOOKUP(AW206,'Lookup Tables'!$S$36:$U$43,2,FALSE)))))</f>
        <v/>
      </c>
      <c r="AY206" s="88" t="str">
        <f t="shared" si="507"/>
        <v/>
      </c>
      <c r="AZ206" s="270" t="str">
        <f>IFERROR(IF(F206="", "", IF(W206="LED Exit Signs", 1, IF(AV206="Applicant",VLOOKUP(AW206, 'Lookup Tables'!$S$36:$U$43,3, FALSE), VLOOKUP('Lighting Inventory'!F206, 'Lookup Tables'!$A$6:$H$59, IF('Lighting Inventory'!AB206="General",7,4), FALSE)))), "")</f>
        <v/>
      </c>
      <c r="BA206" s="522" t="str">
        <f>IFERROR(IF(F206="", "", IF(W206="LED Exit Signs", 1, VLOOKUP('Lighting Inventory'!F206, 'Lookup Tables'!$A$6:$H$59, IF('Lighting Inventory'!AB206="General",8,5), FALSE))), "")</f>
        <v/>
      </c>
      <c r="BB206" s="270" t="str">
        <f>IF(G206="", "", IF(E206="Exterior", 0, IF('Lighting Inventory'!G206="Air Conditioned", VLOOKUP(H206, 'Lookup Tables'!$R$6:$T$13, 2, FALSE), VLOOKUP('Lighting Inventory'!G206, 'Lookup Tables'!$R$6:$T$13, 2, FALSE))))</f>
        <v/>
      </c>
      <c r="BC206" s="522" t="str">
        <f>IF(G206="", "", IF(E206="Exterior", 0, IF('Lighting Inventory'!G206="Air Conditioned", VLOOKUP(H206, 'Lookup Tables'!$R$6:$T$13, 3, FALSE), VLOOKUP('Lighting Inventory'!G206, 'Lookup Tables'!$R$6:$T$13, 3, FALSE))))</f>
        <v/>
      </c>
      <c r="BD206" s="270" t="str">
        <f>IF(G206="", "", IF(E206="Exterior", 0, IF('Lighting Inventory'!G206="Air Conditioned", VLOOKUP(H206, 'Lookup Tables'!$R$6:$U$13, 4, FALSE), VLOOKUP('Lighting Inventory'!G206, 'Lookup Tables'!$R$6:$U$13, 4, FALSE))))</f>
        <v/>
      </c>
      <c r="BE206" s="270" t="str">
        <f>IFERROR(IF(B206="", "",  IF(B206="New Construction", VLOOKUP(F206, 'Lookup Tables'!$A$6:$K$59, 11, FALSE),IF(OR(AN206="", AN206="Light Switch"), 0, IF(OR(M206="",M206="None",V206= "LED Exit Signs"),0,_xlfn.XLOOKUP(M206,'Lookup Tables'!$R$91:$R$101,'Lookup Tables'!$V$91:$V$101))))), "")</f>
        <v/>
      </c>
      <c r="BF206" s="270" t="str">
        <f>IF(AND(OR(AN206="Light Switch",AN206=""),B206="New Construction"), VLOOKUP(F206, 'Lookup Tables'!$A$6:$K$59, 11, FALSE),IF(AN206="","",IF(B206="","",IF(OR(AN206="None",AN206="",V206="LED Exit Signs",AN206="Exterior Controls Not Eligible"),0,_xlfn.XLOOKUP(AN206,'Lookup Tables'!$R$91:$R$101,'Lookup Tables'!$V$91:$V$101)))))</f>
        <v/>
      </c>
      <c r="BG206" s="88" t="str">
        <f t="shared" si="559"/>
        <v/>
      </c>
      <c r="BH206" s="88" t="str">
        <f t="shared" si="560"/>
        <v/>
      </c>
      <c r="BI206" s="558" t="str">
        <f t="shared" ref="BI206:BI260" si="604">IFERROR(ROUND(IF(AND(B206="New Construction", V206="LED Exit Signs"), "", IF(B206="", "", SUM(BG206:BH206))),6),"")</f>
        <v/>
      </c>
      <c r="BJ206" s="82" t="str">
        <f t="shared" si="561"/>
        <v/>
      </c>
      <c r="BK206" s="82" t="str">
        <f t="shared" si="562"/>
        <v/>
      </c>
      <c r="BL206" s="559" t="str">
        <f t="shared" si="563"/>
        <v/>
      </c>
      <c r="BM206" s="521" t="str">
        <f t="shared" si="508"/>
        <v/>
      </c>
      <c r="BN206" s="521" t="str">
        <f t="shared" si="509"/>
        <v/>
      </c>
      <c r="BO206" s="522" t="str">
        <f t="shared" si="510"/>
        <v/>
      </c>
      <c r="BP206" s="83" t="str">
        <f t="shared" si="564"/>
        <v/>
      </c>
      <c r="BQ206" s="84" t="str">
        <f t="shared" si="565"/>
        <v/>
      </c>
      <c r="BR206" s="184" t="str">
        <f>IFERROR(IF(B206="", "", IF(OR(VLOOKUP(J206, 'Fixture Identities'!$A$6:$L$1023, 3, FALSE)="T12 Linear Fluorescent",VLOOKUP(J206, 'Fixture Identities'!$A$6:$L$1023, 3, FALSE)="T12 U-Tube Fluorescent"), "Y", "N")), "N")</f>
        <v/>
      </c>
      <c r="BS206" s="184" t="str">
        <f t="array" ref="BS206">IFERROR(IF(OR(B206="", V206="", W206=""), "", IF(V206="Custom", "N", IF(OR(W206="Freezer Case Lighting", W206="Refrigerated Case Lighting with Doors"), BT206, IF(B206="Retrofit", INDEX('Lookup Tables'!$AH$6:$AT$102,MATCH(1,('Lookup Tables'!$AH$6:$AH$102=V206)*('Lookup Tables'!$AI$6:$AI$102=W206),FALSE),IF(VLOOKUP(J206, 'Fixture Identities'!$A$6:$B$1023, 2, FALSE)="Incandescent",12, 13)), INDEX('Lookup Tables'!$AH$114:$AS$154,MATCH(1,('Lookup Tables'!$AH$114:$AH$154=V206)*('Lookup Tables'!$AI$114:$AI$154=W206),FALSE),12))))), "N")</f>
        <v/>
      </c>
      <c r="BT206" s="184" t="str">
        <f>IF(J206="", "", IF(AND(OR(W206="Freezer case Lighting", W206="Refrigerated Case Lighting with Doors"),'General Information'!$X$18="LCI"), "N", IF(OR(VLOOKUP(J206, 'Fixture Identities'!$A$6:$B$1023, 2, FALSE)="T12 EPACT/EISA Baseline", VLOOKUP(J206, 'Fixture Identities'!$A$6:$B$1023, 2, FALSE)="Linear Fluorescent", VLOOKUP(J206, 'Fixture Identities'!$A$6:$B$1023, 2, FALSE)="U-Tube Fluorescent"), "Y", "N")))</f>
        <v/>
      </c>
      <c r="BU206" s="184" t="str">
        <f>IFERROR(IF(B206="", "", IF(VLOOKUP(J206, 'Fixture Identities'!$A$6:$B$1023, 2, FALSE)="Exit Sign", "Y", "N")), "N")</f>
        <v/>
      </c>
      <c r="BV206" s="184" t="str">
        <f>IF(V206="Exit Signs", IF(VLOOKUP(J206, 'Fixture Identities'!$A$6:$B$1023, 2, FALSE)="Exit Sign", "N", "Y"), "")</f>
        <v/>
      </c>
      <c r="BW206" s="184" t="str">
        <f t="array" ref="BW206">IFERROR(IF(B206="", "", IF(B206="New Construction", "N", INDEX('Lookup Tables'!$AH$6:$AU$102, MATCH(1, ('Lookup Tables'!$AH$6:$AH$102='Lighting Inventory'!V206)*('Lookup Tables'!$AI$6:$AI$102='Lighting Inventory'!W206), 0), 14))), "N")</f>
        <v/>
      </c>
      <c r="BX206" s="598" t="str">
        <f t="shared" si="566"/>
        <v/>
      </c>
      <c r="BY206" s="598" t="str">
        <f t="shared" si="567"/>
        <v/>
      </c>
      <c r="BZ206" s="598" t="str">
        <f t="shared" si="568"/>
        <v/>
      </c>
      <c r="CA206" s="598" t="str">
        <f t="shared" si="569"/>
        <v/>
      </c>
      <c r="CB206" s="269" t="str">
        <f t="shared" si="570"/>
        <v/>
      </c>
      <c r="CC206" s="517" t="str">
        <f t="shared" si="571"/>
        <v/>
      </c>
      <c r="CD206" s="565" t="str">
        <f t="shared" si="511"/>
        <v/>
      </c>
      <c r="CE206" s="368">
        <v>0</v>
      </c>
      <c r="CF206" s="368" t="str" cm="1">
        <f t="array" ref="CF206">IFERROR(IF(V206="Custom", "$0.1 per kWh", IF(B206="New Construction", CONCATENATE("$",INDEX('Lookup Tables'!$AH$114:$AN$154,MATCH(1,('Lookup Tables'!$AH$114:$AH$154='Lighting Inventory'!V206)*('Lookup Tables'!$AI$114:$AI$154='Lighting Inventory'!W206),FALSE),6)," ",INDEX('Lookup Tables'!$AH$114:$AN$154,MATCH(1,('Lookup Tables'!$AH$114:$AH$154='Lighting Inventory'!V206)*('Lookup Tables'!$AI$114:$AI$154='Lighting Inventory'!W206),FALSE),7)), IF(AND(BU206="N", V206="Exit Signs"), "$0.025 per kWh", CONCATENATE("$",INDEX('Lookup Tables'!$AH$6:$AN$102,MATCH(1,('Lookup Tables'!$AH$6:$AH$102='Lighting Inventory'!V206)*('Lookup Tables'!$AI$6:$AI$102='Lighting Inventory'!W206),FALSE),6)," ",INDEX('Lookup Tables'!$AH$6:$AN$102,MATCH(1,('Lookup Tables'!$AH$6:$AH$102='Lighting Inventory'!V206)*('Lookup Tables'!$AI$6:$AI$102='Lighting Inventory'!W206),FALSE),7))))), "")</f>
        <v/>
      </c>
      <c r="CG206" s="366"/>
      <c r="CH206" s="248" t="str">
        <f t="shared" si="512"/>
        <v/>
      </c>
      <c r="CI206" s="248" t="str">
        <f t="shared" si="513"/>
        <v>Select_IE</v>
      </c>
      <c r="CJ206" s="248" t="str">
        <f t="shared" si="514"/>
        <v/>
      </c>
      <c r="CK206" s="248" t="str">
        <f t="shared" si="515"/>
        <v/>
      </c>
      <c r="CL206" s="248" t="str">
        <f t="shared" si="516"/>
        <v/>
      </c>
      <c r="CM206" s="248" t="str">
        <f>IFERROR(IF(B206="", "", IF(B206="New Construction", VLOOKUP(V206, 'Lookup Tables'!$AF$114:$AG$120, 2, FALSE), VLOOKUP(V206, 'Lookup Tables'!$AD$6:$AE$25, 2, FALSE))), "")</f>
        <v/>
      </c>
      <c r="CN206" s="248" t="str">
        <f t="shared" si="517"/>
        <v/>
      </c>
      <c r="CO206" s="248" t="str">
        <f t="shared" si="518"/>
        <v/>
      </c>
      <c r="CP206" s="592" t="str">
        <f t="shared" si="519"/>
        <v/>
      </c>
      <c r="CQ206" s="248" t="str">
        <f t="shared" si="572"/>
        <v/>
      </c>
      <c r="CR206" s="249"/>
      <c r="CS206" s="250" t="str">
        <f t="shared" si="520"/>
        <v/>
      </c>
      <c r="CT206" s="250" t="str">
        <f t="shared" si="573"/>
        <v/>
      </c>
      <c r="CU206" s="250" t="str">
        <f t="shared" si="574"/>
        <v/>
      </c>
      <c r="CV206" s="250" t="str">
        <f t="shared" si="575"/>
        <v/>
      </c>
      <c r="CW206" s="250" t="str">
        <f t="shared" si="576"/>
        <v/>
      </c>
      <c r="CX206" s="250" t="str">
        <f t="shared" si="521"/>
        <v/>
      </c>
      <c r="CY206" s="250" t="str">
        <f t="shared" si="522"/>
        <v/>
      </c>
      <c r="CZ206" s="250" t="str">
        <f t="shared" si="523"/>
        <v/>
      </c>
      <c r="DA206" s="250" t="str">
        <f t="shared" si="524"/>
        <v/>
      </c>
      <c r="DB206" s="250" t="str">
        <f t="shared" si="525"/>
        <v/>
      </c>
      <c r="DC206" s="250" t="str">
        <f t="shared" si="526"/>
        <v/>
      </c>
      <c r="DD206" s="250" t="str">
        <f t="shared" si="527"/>
        <v/>
      </c>
      <c r="DE206" s="250" t="str">
        <f t="shared" si="528"/>
        <v/>
      </c>
      <c r="DF206" s="250" t="str">
        <f t="shared" si="529"/>
        <v/>
      </c>
      <c r="DG206" s="250" t="str">
        <f t="shared" si="530"/>
        <v/>
      </c>
      <c r="DH206" s="250" t="str">
        <f t="shared" si="531"/>
        <v/>
      </c>
      <c r="DI206" s="250" t="str">
        <f t="shared" si="532"/>
        <v/>
      </c>
      <c r="DJ206" s="250" t="str">
        <f t="shared" si="533"/>
        <v/>
      </c>
      <c r="DK206" s="250" t="str">
        <f t="shared" si="534"/>
        <v/>
      </c>
      <c r="DL206" s="250" t="str">
        <f t="shared" si="535"/>
        <v/>
      </c>
      <c r="DM206" s="250" t="str">
        <f>IF(CD206="ERROR", "ERROR", IF(AND(OR(Y206=$DM$6, Y206='Lookup Tables'!$AD$21, Y206='Lookup Tables'!$AD$22), E206="Interior"), BJ206, ""))</f>
        <v/>
      </c>
      <c r="DN206" s="250" t="str">
        <f>IF(CD206="ERROR", "ERROR", IF(AND(OR(Y206=$DM$6, Y206='Lookup Tables'!$AD$21, Y206='Lookup Tables'!$AD$22), E206="Exterior"), BJ206, ""))</f>
        <v/>
      </c>
      <c r="DO206" s="249"/>
      <c r="DP206" s="250" t="str">
        <f t="shared" si="536"/>
        <v/>
      </c>
      <c r="DQ206" s="250" t="str">
        <f t="shared" si="577"/>
        <v/>
      </c>
      <c r="DR206" s="250" t="str">
        <f t="shared" si="578"/>
        <v/>
      </c>
      <c r="DS206" s="250" t="str">
        <f t="shared" si="579"/>
        <v/>
      </c>
      <c r="DT206" s="250" t="str">
        <f t="shared" si="580"/>
        <v/>
      </c>
      <c r="DU206" s="250" t="str">
        <f t="shared" si="537"/>
        <v/>
      </c>
      <c r="DV206" s="250" t="str">
        <f t="shared" si="538"/>
        <v/>
      </c>
      <c r="DW206" s="250" t="str">
        <f t="shared" si="539"/>
        <v/>
      </c>
      <c r="DX206" s="250" t="str">
        <f t="shared" si="540"/>
        <v/>
      </c>
      <c r="DY206" s="250" t="str">
        <f t="shared" si="541"/>
        <v/>
      </c>
      <c r="DZ206" s="250" t="str">
        <f t="shared" si="542"/>
        <v/>
      </c>
      <c r="EA206" s="250" t="str">
        <f t="shared" si="543"/>
        <v/>
      </c>
      <c r="EB206" s="250" t="str">
        <f t="shared" si="581"/>
        <v/>
      </c>
      <c r="EC206" s="250" t="str">
        <f t="shared" si="544"/>
        <v/>
      </c>
      <c r="ED206" s="250" t="str">
        <f t="shared" si="545"/>
        <v/>
      </c>
      <c r="EE206" s="250" t="str">
        <f t="shared" si="546"/>
        <v/>
      </c>
      <c r="EF206" s="250" t="str">
        <f t="shared" si="547"/>
        <v/>
      </c>
      <c r="EG206" s="250" t="str">
        <f t="shared" si="548"/>
        <v/>
      </c>
      <c r="EH206" s="250" t="str">
        <f>IF(CD206="ERROR", "ERROR", IF(AND(OR($EH$6=Y206, Y206='Lookup Tables'!$AD$21, Y206='Lookup Tables'!$AD$22),E206="Interior"), SUM(BP206:BP206), ""))</f>
        <v/>
      </c>
      <c r="EI206" s="250" t="str">
        <f>IF(CD206="ERROR", "ERROR", IF(AND(OR($EH$6=Y206, Y206='Lookup Tables'!$AD$21, Y206='Lookup Tables'!$AD$22),E206="Exterior"), SUM(BP206:BP206), ""))</f>
        <v/>
      </c>
      <c r="EJ206" s="109"/>
      <c r="EK206" s="485" t="str">
        <f t="shared" si="549"/>
        <v/>
      </c>
      <c r="EL206" s="252" t="str">
        <f t="shared" si="582"/>
        <v/>
      </c>
      <c r="EM206" s="252" t="str">
        <f t="shared" si="583"/>
        <v/>
      </c>
      <c r="EN206" s="252" t="str">
        <f t="shared" si="584"/>
        <v/>
      </c>
      <c r="EO206" s="252" t="str">
        <f t="shared" si="585"/>
        <v/>
      </c>
      <c r="EP206" s="252" t="str">
        <f t="shared" si="586"/>
        <v/>
      </c>
      <c r="EQ206" s="252" t="str">
        <f t="shared" si="587"/>
        <v/>
      </c>
      <c r="ER206" s="252" t="str">
        <f t="shared" si="588"/>
        <v/>
      </c>
      <c r="ES206" s="252" t="str">
        <f t="shared" si="589"/>
        <v/>
      </c>
      <c r="ET206" s="252" t="str">
        <f t="shared" si="590"/>
        <v/>
      </c>
      <c r="EU206" s="252" t="str">
        <f t="shared" si="591"/>
        <v/>
      </c>
      <c r="EV206" s="252" t="str">
        <f t="shared" si="592"/>
        <v/>
      </c>
      <c r="EW206" s="252" t="str">
        <f t="shared" si="593"/>
        <v/>
      </c>
      <c r="EX206" s="252" t="str">
        <f t="shared" si="594"/>
        <v/>
      </c>
      <c r="EY206" s="252" t="str">
        <f t="shared" si="595"/>
        <v/>
      </c>
      <c r="EZ206" s="252" t="str">
        <f t="shared" si="596"/>
        <v/>
      </c>
      <c r="FA206" s="252" t="str">
        <f t="shared" si="597"/>
        <v/>
      </c>
      <c r="FB206" s="252" t="str">
        <f t="shared" si="598"/>
        <v/>
      </c>
      <c r="FC206" s="252" t="str">
        <f>IF(CD206="ERROR", "ERROR", IF(OR(V206="No Change", V206="Not DLC or Energy Star"), "", IF(AND(OR($FC$6=Y206,Y206='Lookup Tables'!$AD$21, Y206='Lookup Tables'!$AD$22),E206="Interior"), S206, "")))</f>
        <v/>
      </c>
      <c r="FD206" s="252" t="str">
        <f t="shared" si="599"/>
        <v/>
      </c>
      <c r="FE206" s="1"/>
      <c r="FF206" s="579" t="str" cm="1">
        <f t="array" ref="FF206">IFERROR(IF(OR(BQ206&lt;=0,AQ206&lt;20,AND(V206="Exit Signs",AN206&gt;0)),"",IF(AND(AQ206&gt;=20,AN206='Lookup Tables'!$R$101),'Lookup Tables'!$U$101*BQ206,AP206*LOOKUP(2,1/((AN206='Lookup Tables'!$R$91:$R$111)*(AQ206&gt;='Lookup Tables'!$S$91:$S$111)*(AQ206&lt;='Lookup Tables'!$T$91:$T$111)),'Lookup Tables'!$U$91:$U$111))),"")</f>
        <v/>
      </c>
      <c r="FG206" s="579"/>
      <c r="FH206" s="579"/>
      <c r="FI206" s="253" t="str">
        <f>IFERROR(ROUND(IF(CD206="ERROR", "ERROR", IF(AND($FI$7=X206,E206="Interior"),VLOOKUP(W206, 'Lookup Tables'!$AI$6:$AM$102, 5, FALSE)*BP206, "")), 2), "")</f>
        <v/>
      </c>
      <c r="FJ206" s="253" t="str">
        <f>IFERROR(ROUND(IF(CD206="ERROR", "ERROR", IF(AND($FI$7=X206,E206="Exterior"),VLOOKUP(W206, 'Lookup Tables'!$AI$6:$AM$102, 5, FALSE)*BP206, "")), 2), "")</f>
        <v/>
      </c>
      <c r="FK206" s="253" t="str">
        <f>IFERROR(ROUND(IF(CD206="ERROR", "ERROR", IF(AND($FK$7=X206,E206="Interior"),VLOOKUP(W206, 'Lookup Tables'!$AI$6:$AM$102, 5, FALSE)*BP206, "")), 2), "")</f>
        <v/>
      </c>
      <c r="FL206" s="253" t="str">
        <f>IFERROR(ROUND(IF(CD206="ERROR", "ERROR", IF(AND($FK$7=X206,E206="Exterior"),VLOOKUP(W206, 'Lookup Tables'!$AI$6:$AM$102, 5, FALSE)*BP206, "")), 2), "")</f>
        <v/>
      </c>
      <c r="FM206" s="253" t="str">
        <f>IFERROR(ROUND(IF(CD206="ERROR", "ERROR", IF(AND($FM$6=Y206,E206="Interior"), IF(GB206=0, VLOOKUP(W206, 'Lookup Tables'!$AI$6:$AM$102, 5, FALSE)*BP206, IF(VLOOKUP(W206, 'Lookup Tables'!$AI$6:$AM$102, 5, FALSE)*BP206&gt;GB206*'Lighting Inventory'!S206, GB206*'Lighting Inventory'!S206,VLOOKUP(W206, 'Lookup Tables'!$AI$6:$AM$102, 5, FALSE)*BP206)), "")), 2), "")</f>
        <v/>
      </c>
      <c r="FN206" s="253" t="str">
        <f>IFERROR(ROUND(IF(CD206="ERROR", "ERROR", IF(AND($FM$6=Y206,E206="Exterior"), IF(GB206=0, VLOOKUP(W206, 'Lookup Tables'!$AI$6:$AM$102, 5, FALSE)*BP206, IF(VLOOKUP(W206, 'Lookup Tables'!$AI$6:$AM$102, 5, FALSE)*BP206&gt;GB206*'Lighting Inventory'!S206, GB206*'Lighting Inventory'!S206,VLOOKUP(W206, 'Lookup Tables'!$AI$6:$AM$102, 5, FALSE)*BP206)), "")), 2), "")</f>
        <v/>
      </c>
      <c r="FO206" s="253" t="str">
        <f>IFERROR(ROUND(IF(CD206="ERROR", "ERROR", IF(AND($FO$6=Y206,E206="Interior"),VLOOKUP(W206, 'Lookup Tables'!$AI$6:$AM$102, 5, FALSE)*'Lighting Inventory'!AI206, "")), 2), "")</f>
        <v/>
      </c>
      <c r="FP206" s="253" t="str">
        <f>IFERROR(ROUND(IF(CD206="ERROR", "ERROR", IF(AND($FO$6=Y206,E206="Exterior"),VLOOKUP(W206, 'Lookup Tables'!$AI$6:$AM$102, 5, FALSE)*'Lighting Inventory'!AI206, "")), 2), "")</f>
        <v/>
      </c>
      <c r="FQ206" s="253" t="str">
        <f>IFERROR(ROUND(IF(CD206="ERROR", "ERROR", IF(AND($FQ$6=Y206,E206="Interior", BU206="Y"), VLOOKUP('Lighting Inventory'!W206, 'Lookup Tables'!$AI$6:$AM$102, 5, FALSE)*'Lighting Inventory'!S206, IF(AND($FQ$7=Y206,E206="Interior", BU206="N"), 0.025*CD206, ""))), 2), "")</f>
        <v/>
      </c>
      <c r="FR206" s="253" t="str">
        <f>IFERROR(ROUND(IF(CD206="ERROR", "ERROR", IF(AND($FQ$6=Y206,E206="Exterior"), VLOOKUP('Lighting Inventory'!W206, 'Lookup Tables'!$AI$6:$AM$102, 5, FALSE)*'Lighting Inventory'!S206, "")), 2), "")</f>
        <v/>
      </c>
      <c r="FS206" s="253" t="str">
        <f>IFERROR(ROUND(IF(CD206="ERROR", "ERROR", IF(AND($FS$6=Y206,E206="Exterior"), IF(GB206=0, VLOOKUP(W206, 'Lookup Tables'!$AI$6:$AM$102, 5, FALSE)*BP206, IF(VLOOKUP(W206, 'Lookup Tables'!$AI$6:$AM$102, 5, FALSE)*BP206&gt;GB206*'Lighting Inventory'!S206, GB206*'Lighting Inventory'!S206,VLOOKUP(W206, 'Lookup Tables'!$AI$6:$AM$102, 5, FALSE)*BP206)), "")), 2), "")</f>
        <v/>
      </c>
      <c r="FT206" s="253" t="str">
        <f>IFERROR(ROUND(IF(CD206="ERROR", "ERROR", IF(AND($FT$6=Y206,E206="Interior"), IF(GB206=0, VLOOKUP(W206, 'Lookup Tables'!$AI$6:$AM$102, 5, FALSE)*BP206, IF(VLOOKUP(W206, 'Lookup Tables'!$AI$6:$AM$102, 5, FALSE)*BP206&gt;GB206*'Lighting Inventory'!S206, GB206*'Lighting Inventory'!S206,VLOOKUP(W206, 'Lookup Tables'!$AI$6:$AM$102, 5, FALSE)*BP206)), "")), 2), "")</f>
        <v/>
      </c>
      <c r="FU206" s="253" t="str">
        <f>IFERROR(ROUND(IF(CD206="ERROR", "ERROR", IF(AND(Y206=$FU$6, E206="Interior"), IF(BS206="N", 'Lookup Tables'!$AM$101*BP206, VLOOKUP(W206, 'Lookup Tables'!$AI$6:$AM$102, 5, FALSE)*S206*AD206), "")), 2), "")</f>
        <v/>
      </c>
      <c r="FV206" s="253" t="str">
        <f>IFERROR(ROUND(IF(CD206="ERROR", "ERROR", IF(AND(Y206=$FU$6, E206="Exterior"), IF(BS206="N", 'Lookup Tables'!$AM$101*BP206, VLOOKUP(W206, 'Lookup Tables'!$AI$6:$AM$102, 5, FALSE)*S206*AD206), "")), 2), "")</f>
        <v/>
      </c>
      <c r="FW206" s="253" t="str">
        <f>IFERROR(ROUND(IF(CD206="ERROR", "ERROR", IF($FW$6=Y206, IF(BS206="N", 'Lookup Tables'!$AM$101*BP206, MIN((VLOOKUP(W206, 'Lookup Tables'!$AI$6:$AM$102, 5, FALSE)*BP206),GB206*AJ206)), "")), 2), "")</f>
        <v/>
      </c>
      <c r="FX206" s="253" t="str">
        <f>IFERROR(ROUND(IF(CD206="ERROR", "ERROR", IF(AND($FX$6=Y206, E206="Interior"), IF(VLOOKUP(W206, 'Lookup Tables'!$AI$6:$AM$102, 5, FALSE)*BP206&gt;'Lookup Tables'!$AQ$97*'Lighting Inventory'!S206,'Lighting Inventory'!S206*'Lookup Tables'!$AQ$97,VLOOKUP(W206, 'Lookup Tables'!$AI$6:$AM$102, 5, FALSE)*BP206), "")), 2), "")</f>
        <v/>
      </c>
      <c r="FY206" s="253" t="str">
        <f>IFERROR(ROUND(IF(CD206="ERROR", "ERROR", IF(AND($FX$6=Y206, E206="Exterior"), IF(VLOOKUP(W206, 'Lookup Tables'!$AI$6:$AM$102, 5, FALSE)*BP206&gt;'Lookup Tables'!$AQ$97*'Lighting Inventory'!S206,'Lighting Inventory'!S206*'Lookup Tables'!$AQ$97,VLOOKUP(W206, 'Lookup Tables'!$AI$6:$AM$102, 5, FALSE)*BP206), "")), 2), "")</f>
        <v/>
      </c>
      <c r="FZ206" s="253" t="str">
        <f>IFERROR(ROUND(IF(CD206="ERROR", "ERROR", IF(AND($FZ$6=Y206, E206="Interior"), IF(AND(OR(W206="Refrigerated Case Lighting with Doors", W206="Freezer Case Lighting"),Y206="Custom - Process Improvement"),CD206*'Lookup Tables'!$AM$101, IF(B206="Retrofit", IF(VLOOKUP(IF(V206="Custom", V206, W206), 'Lookup Tables'!$AI$6:$AM$102, 5, FALSE)*BP206&gt;GE206, GE206, VLOOKUP(IF(V206="Custom", V206, W206), 'Lookup Tables'!$AI$6:$AM$102, 5, FALSE)*BP206), IF(VLOOKUP(IF(V206="Custom", V206, W206), 'Lookup Tables'!$AI$114:$AM$154, 5, FALSE)*BP206&gt;GE206, GE206, VLOOKUP(IF(V206="Custom", V206, W206), 'Lookup Tables'!$AI$114:$AM$154, 5, FALSE)*BP206))), "")), 2),"")</f>
        <v/>
      </c>
      <c r="GA206" s="253" t="str">
        <f>IFERROR(ROUND(IF(CD206="ERROR", "ERROR", IF(AND($FZ$6=Y206, E206="Exterior"), IF(B206="Retrofit", IF(VLOOKUP(IF(V206="Custom", V206, W206), 'Lookup Tables'!$AI$6:$AM$102, 5, FALSE)*BP206&gt;GE206, GE206, VLOOKUP(IF(V206="Custom", V206, W206), 'Lookup Tables'!$AI$6:$AM$102, 5, FALSE)*BP206), IF(VLOOKUP(IF(V206="Custom", V206, W206), 'Lookup Tables'!$AI$114:$AM$154, 5, FALSE)*BP206&gt;GE206, GE206, VLOOKUP(IF(V206="Custom", V206, W206), 'Lookup Tables'!$AI$114:$AM$154, 5, FALSE)*BP206)), "")), 2),"")</f>
        <v/>
      </c>
      <c r="GB206" s="254" t="str">
        <f t="array" ref="GB206">IF(B206="","",IF(OR(V206="Custom",V206="No Change"),0,IF(B206="Retrofit", INDEX('Lookup Tables'!$AH$6:$AQ$102,MATCH(1,('Lookup Tables'!$AH$6:$AH$102='Lighting Inventory'!V206)*('Lookup Tables'!$AI$6:$AI$102='Lighting Inventory'!W206),FALSE),10),INDEX('Lookup Tables'!$AH$114:$AQ$154,MATCH(1,('Lookup Tables'!$AH$114:$AH$154='Lighting Inventory'!V206)*('Lookup Tables'!$AI$114:$AI$154='Lighting Inventory'!W206),FALSE),10))))</f>
        <v/>
      </c>
      <c r="GC206" s="255" t="str">
        <f t="shared" si="550"/>
        <v/>
      </c>
      <c r="GD206" s="250" t="str">
        <f t="shared" si="551"/>
        <v/>
      </c>
      <c r="GE206" s="253" t="str">
        <f>IFERROR(IF(AND(AF206="", 'General Information'!$F$18="No"),"", IF(AF206="", ((GD206/$CD$266)*$CF$266)*0.5, AF206*S206*0.5)), "")</f>
        <v/>
      </c>
      <c r="GF206" s="255" t="str">
        <f>IF(AND('General Information'!$F$19="", 'General Information'!$F$18="Yes",AF206="",BW206="Y"), "Y", "N")</f>
        <v>N</v>
      </c>
      <c r="GG206" s="255" t="s">
        <v>2946</v>
      </c>
      <c r="GH206" s="255" t="str">
        <f>IFERROR(IF(B206="", "", VLOOKUP(J206, 'Fixture Identities'!$A$6:$N$908, 14, FALSE)), "")</f>
        <v/>
      </c>
      <c r="GI206" s="389" t="str">
        <f>IF(OR(B206="", V206="", W206=""), "", IF(AND(OR(M206='Lookup Tables'!$R$18, M206='Lookup Tables'!$R$19, M206='Lookup Tables'!$R$20, M206='Lookup Tables'!$R$21, M206='Lookup Tables'!$R$22), OR(AN206='Lookup Tables'!$R$17, AN206='Lookup Tables'!$R$17, AN206="")), "Y", "N"))</f>
        <v/>
      </c>
      <c r="GJ206" s="255" t="str">
        <f t="shared" si="552"/>
        <v/>
      </c>
      <c r="GK206" s="255" t="str">
        <f t="shared" si="553"/>
        <v/>
      </c>
      <c r="GL206" s="255" t="str">
        <f t="shared" si="554"/>
        <v/>
      </c>
      <c r="GM206" s="255" t="str">
        <f>IF(AN206="", "", IF(AND(IF(ISNA(VLOOKUP(AN206,'Lookup Tables'!$R$18:$R$22,1,FALSE)), "N", "Y")="Y", E206="Exterior"), "Y", "N"))</f>
        <v/>
      </c>
      <c r="GN206" s="395"/>
      <c r="GO206" s="428">
        <f t="shared" si="600"/>
        <v>0</v>
      </c>
      <c r="GP206" s="428">
        <f t="shared" si="603"/>
        <v>0</v>
      </c>
      <c r="GQ206" s="428">
        <f t="shared" si="601"/>
        <v>0</v>
      </c>
      <c r="GR206" s="428">
        <f t="shared" si="602"/>
        <v>0</v>
      </c>
    </row>
    <row r="207" spans="1:200" s="103" customFormat="1" ht="13.5" customHeight="1" x14ac:dyDescent="0.2">
      <c r="A207" s="272">
        <v>197</v>
      </c>
      <c r="B207" s="110"/>
      <c r="C207" s="110"/>
      <c r="D207" s="110"/>
      <c r="E207" s="110"/>
      <c r="F207" s="110"/>
      <c r="G207" s="110"/>
      <c r="H207" s="110"/>
      <c r="I207" s="29"/>
      <c r="J207" s="29"/>
      <c r="K207" s="272" t="str">
        <f>IFERROR(IF(OR(VLOOKUP(J207, 'Fixture Identities'!$A$6:$L$1023, 3, FALSE)="T12 Linear Fluorescent", VLOOKUP(J207, 'Fixture Identities'!$A$6:$L$1023, 3, FALSE)="T12 U-Tube Fluorescent"), VLOOKUP(VLOOKUP(J207, 'Fixture Identities'!$A$6:$L$1023, 11, FALSE), 'Fixture Identities'!$A$6:$L$1023, 10, FALSE), VLOOKUP(J207, 'Fixture Identities'!$A$6:$L$1023, 10, FALSE)), "")</f>
        <v/>
      </c>
      <c r="L207" s="270" t="str">
        <f t="shared" si="502"/>
        <v/>
      </c>
      <c r="M207" s="110"/>
      <c r="N207" s="110"/>
      <c r="O207" s="110"/>
      <c r="P207" s="272" t="str">
        <f>IFERROR(IF(OR(B207="Retrofit",B207=""),"",IF('Lighting Inventory'!E207="Exterior",VLOOKUP('Lighting Inventory'!N207,'Lookup Tables'!$B$83:$F$103,5,FALSE),IF(N207="Other - Please Estimate EFLH and CFs","Contact Prog. Rep.","ft^2"))), "")</f>
        <v/>
      </c>
      <c r="Q207" s="270" t="str">
        <f>IFERROR(IF(AND(B207="New Construction",E207="Interior",$F$5="Space-by-Space"),VLOOKUP('Lighting Inventory'!N207,'Lookup Tables'!$N$6:$O$97,2,FALSE),IF(AND(B207="New Construction",E207="Exterior"),VLOOKUP(N207,'Lookup Tables'!$B$83:$F$103,2,FALSE),IF(AND(B207="New Construction",'Lighting Inventory'!E207="Interior", $F$5="Building Area"),VLOOKUP(F207,'Lookup Tables'!$A$6:$J$59,10,FALSE),""))), "")</f>
        <v/>
      </c>
      <c r="R207" s="270" t="str">
        <f>IFERROR(IF(P207="Contact Prog. Rep.", "ERROR", IF(OR(B207="",B207="Retrofit"),"",IF(N207="Automated teller machines", ('Lookup Tables'!$A$82:$E$100+('Lighting Inventory'!O207-1)*'Lookup Tables'!$A$82:$E$100)/1000, (Q207*O207)/1000))), "")</f>
        <v/>
      </c>
      <c r="S207" s="595"/>
      <c r="T207" s="105" t="str">
        <f t="shared" si="555"/>
        <v/>
      </c>
      <c r="U207" s="105" t="str">
        <f>IF(S207="","",COUNT($S$11:S207))</f>
        <v/>
      </c>
      <c r="V207" s="111"/>
      <c r="W207" s="112"/>
      <c r="X207" s="105" t="str">
        <f t="shared" si="556"/>
        <v/>
      </c>
      <c r="Y207" s="105" t="str">
        <f t="array" ref="Y207">IF(AND(OR(W207="Freezer Case Lighting", W207="Refrigerated Case Lighting with Doors"), 'General Information'!$X$18="LCI"),'Lookup Tables'!$Y$34, IF(V207="Custom", VLOOKUP(W207, 'Fixture Identities'!$A$974:$M$1023, 13, FALSE), IF(V207="No Change",'Lookup Tables'!$Y$29,IF(OR(V207="",W207=""),"",IF(AND(S207=0,S207&lt;I207,B207="Retrofit"),'Lookup Tables'!$Y$25, IF(B207="Retrofit", INDEX('Lookup Tables'!$AH$6:$AP$102, MATCH(1, ('Lookup Tables'!$AH$6:$AH$102=V207)*('Lookup Tables'!$AI$6:$AI$102=W207), 0), IF('Lighting Inventory'!E207="Interior", 4, 5)), INDEX('Lookup Tables'!$AH$114:$AP$154, MATCH(1, ('Lookup Tables'!$AH$114:$AH$154=V207)*('Lookup Tables'!$AI$114:$AI$154=W207), 0), IF('Lighting Inventory'!E207="Interior", 4, 5))))))))</f>
        <v/>
      </c>
      <c r="Z207" s="105" t="str">
        <f>IFERROR(INDEX('Lookup Tables'!$AH$158:$AH$172,MATCH('Lighting Inventory'!Y207,'Lookup Tables'!$AI$158:$AI$172,0)),"")</f>
        <v/>
      </c>
      <c r="AA207" s="105" t="str">
        <f>IF(AP207&gt;0,INDEX('Lookup Tables'!$AK$158:$AK$172,MATCH('Lighting Inventory'!Y207,'Lookup Tables'!$AI$158:$AI$172,0)),'Lighting Inventory'!Y207)</f>
        <v/>
      </c>
      <c r="AB207" s="105" t="str">
        <f t="array" ref="AB207">IF(V207="Custom", "Custom", IF(V207="", "", IF(V207="Not DLC or Energy Star", "General", IF(B207="New Construction", INDEX('Lookup Tables'!$AH$114:$AP$154,MATCH(1,('Lookup Tables'!$AH$114:$AH$154='Lighting Inventory'!V207)*('Lookup Tables'!$AI$114:$AI$154='Lighting Inventory'!W207),FALSE),8), INDEX('Lookup Tables'!$AH$6:$AP$102,MATCH(1,('Lookup Tables'!$AH$6:$AH$102='Lighting Inventory'!V207)*('Lookup Tables'!$AI$6:$AI$102='Lighting Inventory'!W207),FALSE),8)))))</f>
        <v/>
      </c>
      <c r="AC207" s="272" t="str">
        <f>IF(W207="","",IF(V207="Custom",CONCATENATE("$",'Lookup Tables'!$AM$101," ",'Lookup Tables'!$AN$101),CONCATENATE("$",INDEX('Lookup Tables'!$AM$6:$AM$102,MATCH('Lighting Inventory'!W207,'Lookup Tables'!$AI$6:$AI$102,0))," ",INDEX('Lookup Tables'!$AN$6:$AN$102,MATCH('Lighting Inventory'!W207,'Lookup Tables'!$AI$6:$AI$102,0)))))</f>
        <v/>
      </c>
      <c r="AD207" s="72"/>
      <c r="AE207" s="29"/>
      <c r="AF207" s="379"/>
      <c r="AG207" s="370" t="str">
        <f t="shared" si="504"/>
        <v/>
      </c>
      <c r="AH207" s="370" t="str">
        <f t="shared" si="557"/>
        <v/>
      </c>
      <c r="AI207" s="29"/>
      <c r="AJ207" s="29"/>
      <c r="AK207" s="110"/>
      <c r="AL207" s="375" t="str">
        <f>IF(OR(B207="", V207="", W207=""), "", IF(V207="No Change", K207, IF(V207="Remove Fixture", 0, IF(V207="Custom",VLOOKUP(W207,'Fixture Identities'!$A$6:$K$1023,10,FALSE),IF(AE207="", "← ENTER POST WATTS", 'Lighting Inventory'!AE207)))))</f>
        <v/>
      </c>
      <c r="AM207" s="376" t="str">
        <f t="shared" si="505"/>
        <v/>
      </c>
      <c r="AN207" s="29"/>
      <c r="AO207" s="671"/>
      <c r="AP207" s="29"/>
      <c r="AQ207" s="29"/>
      <c r="AR207" s="29"/>
      <c r="AS207" s="272" t="str">
        <f t="shared" si="558"/>
        <v/>
      </c>
      <c r="AT207" s="270" t="str">
        <f t="shared" si="506"/>
        <v/>
      </c>
      <c r="AU207" s="88" t="str">
        <f t="shared" si="503"/>
        <v/>
      </c>
      <c r="AV207" s="29"/>
      <c r="AW207" s="73"/>
      <c r="AX207" s="271" t="str">
        <f>IF(AND(AV207="Applicant",OR(AW207="", AW207="Use Default Facility Hours")),"← Choose Schedule",IF(F207="","",IF(W207="LED Exit Signs",8760,IF(OR(AV207="Prescribed",AV207=""),VLOOKUP(F207,'Lookup Tables'!$A$6:$G$59,IF(AB207="General", 6, 3),FALSE),VLOOKUP(AW207,'Lookup Tables'!$S$36:$U$43,2,FALSE)))))</f>
        <v/>
      </c>
      <c r="AY207" s="88" t="str">
        <f t="shared" si="507"/>
        <v/>
      </c>
      <c r="AZ207" s="270" t="str">
        <f>IFERROR(IF(F207="", "", IF(W207="LED Exit Signs", 1, IF(AV207="Applicant",VLOOKUP(AW207, 'Lookup Tables'!$S$36:$U$43,3, FALSE), VLOOKUP('Lighting Inventory'!F207, 'Lookup Tables'!$A$6:$H$59, IF('Lighting Inventory'!AB207="General",7,4), FALSE)))), "")</f>
        <v/>
      </c>
      <c r="BA207" s="522" t="str">
        <f>IFERROR(IF(F207="", "", IF(W207="LED Exit Signs", 1, VLOOKUP('Lighting Inventory'!F207, 'Lookup Tables'!$A$6:$H$59, IF('Lighting Inventory'!AB207="General",8,5), FALSE))), "")</f>
        <v/>
      </c>
      <c r="BB207" s="270" t="str">
        <f>IF(G207="", "", IF(E207="Exterior", 0, IF('Lighting Inventory'!G207="Air Conditioned", VLOOKUP(H207, 'Lookup Tables'!$R$6:$T$13, 2, FALSE), VLOOKUP('Lighting Inventory'!G207, 'Lookup Tables'!$R$6:$T$13, 2, FALSE))))</f>
        <v/>
      </c>
      <c r="BC207" s="522" t="str">
        <f>IF(G207="", "", IF(E207="Exterior", 0, IF('Lighting Inventory'!G207="Air Conditioned", VLOOKUP(H207, 'Lookup Tables'!$R$6:$T$13, 3, FALSE), VLOOKUP('Lighting Inventory'!G207, 'Lookup Tables'!$R$6:$T$13, 3, FALSE))))</f>
        <v/>
      </c>
      <c r="BD207" s="270" t="str">
        <f>IF(G207="", "", IF(E207="Exterior", 0, IF('Lighting Inventory'!G207="Air Conditioned", VLOOKUP(H207, 'Lookup Tables'!$R$6:$U$13, 4, FALSE), VLOOKUP('Lighting Inventory'!G207, 'Lookup Tables'!$R$6:$U$13, 4, FALSE))))</f>
        <v/>
      </c>
      <c r="BE207" s="270" t="str">
        <f>IFERROR(IF(B207="", "",  IF(B207="New Construction", VLOOKUP(F207, 'Lookup Tables'!$A$6:$K$59, 11, FALSE),IF(OR(AN207="", AN207="Light Switch"), 0, IF(OR(M207="",M207="None",V207= "LED Exit Signs"),0,_xlfn.XLOOKUP(M207,'Lookup Tables'!$R$91:$R$101,'Lookup Tables'!$V$91:$V$101))))), "")</f>
        <v/>
      </c>
      <c r="BF207" s="270" t="str">
        <f>IF(AND(OR(AN207="Light Switch",AN207=""),B207="New Construction"), VLOOKUP(F207, 'Lookup Tables'!$A$6:$K$59, 11, FALSE),IF(AN207="","",IF(B207="","",IF(OR(AN207="None",AN207="",V207="LED Exit Signs",AN207="Exterior Controls Not Eligible"),0,_xlfn.XLOOKUP(AN207,'Lookup Tables'!$R$91:$R$101,'Lookup Tables'!$V$91:$V$101)))))</f>
        <v/>
      </c>
      <c r="BG207" s="88" t="str">
        <f t="shared" si="559"/>
        <v/>
      </c>
      <c r="BH207" s="88" t="str">
        <f t="shared" si="560"/>
        <v/>
      </c>
      <c r="BI207" s="558" t="str">
        <f t="shared" si="604"/>
        <v/>
      </c>
      <c r="BJ207" s="82" t="str">
        <f t="shared" si="561"/>
        <v/>
      </c>
      <c r="BK207" s="82" t="str">
        <f t="shared" si="562"/>
        <v/>
      </c>
      <c r="BL207" s="559" t="str">
        <f t="shared" si="563"/>
        <v/>
      </c>
      <c r="BM207" s="521" t="str">
        <f t="shared" si="508"/>
        <v/>
      </c>
      <c r="BN207" s="521" t="str">
        <f t="shared" si="509"/>
        <v/>
      </c>
      <c r="BO207" s="522" t="str">
        <f t="shared" si="510"/>
        <v/>
      </c>
      <c r="BP207" s="83" t="str">
        <f t="shared" si="564"/>
        <v/>
      </c>
      <c r="BQ207" s="84" t="str">
        <f t="shared" si="565"/>
        <v/>
      </c>
      <c r="BR207" s="184" t="str">
        <f>IFERROR(IF(B207="", "", IF(OR(VLOOKUP(J207, 'Fixture Identities'!$A$6:$L$1023, 3, FALSE)="T12 Linear Fluorescent",VLOOKUP(J207, 'Fixture Identities'!$A$6:$L$1023, 3, FALSE)="T12 U-Tube Fluorescent"), "Y", "N")), "N")</f>
        <v/>
      </c>
      <c r="BS207" s="184" t="str">
        <f t="array" ref="BS207">IFERROR(IF(OR(B207="", V207="", W207=""), "", IF(V207="Custom", "N", IF(OR(W207="Freezer Case Lighting", W207="Refrigerated Case Lighting with Doors"), BT207, IF(B207="Retrofit", INDEX('Lookup Tables'!$AH$6:$AT$102,MATCH(1,('Lookup Tables'!$AH$6:$AH$102=V207)*('Lookup Tables'!$AI$6:$AI$102=W207),FALSE),IF(VLOOKUP(J207, 'Fixture Identities'!$A$6:$B$1023, 2, FALSE)="Incandescent",12, 13)), INDEX('Lookup Tables'!$AH$114:$AS$154,MATCH(1,('Lookup Tables'!$AH$114:$AH$154=V207)*('Lookup Tables'!$AI$114:$AI$154=W207),FALSE),12))))), "N")</f>
        <v/>
      </c>
      <c r="BT207" s="184" t="str">
        <f>IF(J207="", "", IF(AND(OR(W207="Freezer case Lighting", W207="Refrigerated Case Lighting with Doors"),'General Information'!$X$18="LCI"), "N", IF(OR(VLOOKUP(J207, 'Fixture Identities'!$A$6:$B$1023, 2, FALSE)="T12 EPACT/EISA Baseline", VLOOKUP(J207, 'Fixture Identities'!$A$6:$B$1023, 2, FALSE)="Linear Fluorescent", VLOOKUP(J207, 'Fixture Identities'!$A$6:$B$1023, 2, FALSE)="U-Tube Fluorescent"), "Y", "N")))</f>
        <v/>
      </c>
      <c r="BU207" s="184" t="str">
        <f>IFERROR(IF(B207="", "", IF(VLOOKUP(J207, 'Fixture Identities'!$A$6:$B$1023, 2, FALSE)="Exit Sign", "Y", "N")), "N")</f>
        <v/>
      </c>
      <c r="BV207" s="184" t="str">
        <f>IF(V207="Exit Signs", IF(VLOOKUP(J207, 'Fixture Identities'!$A$6:$B$1023, 2, FALSE)="Exit Sign", "N", "Y"), "")</f>
        <v/>
      </c>
      <c r="BW207" s="184" t="str">
        <f t="array" ref="BW207">IFERROR(IF(B207="", "", IF(B207="New Construction", "N", INDEX('Lookup Tables'!$AH$6:$AU$102, MATCH(1, ('Lookup Tables'!$AH$6:$AH$102='Lighting Inventory'!V207)*('Lookup Tables'!$AI$6:$AI$102='Lighting Inventory'!W207), 0), 14))), "N")</f>
        <v/>
      </c>
      <c r="BX207" s="598" t="str">
        <f t="shared" si="566"/>
        <v/>
      </c>
      <c r="BY207" s="598" t="str">
        <f t="shared" si="567"/>
        <v/>
      </c>
      <c r="BZ207" s="598" t="str">
        <f t="shared" si="568"/>
        <v/>
      </c>
      <c r="CA207" s="598" t="str">
        <f t="shared" si="569"/>
        <v/>
      </c>
      <c r="CB207" s="269" t="str">
        <f t="shared" si="570"/>
        <v/>
      </c>
      <c r="CC207" s="517" t="str">
        <f t="shared" si="571"/>
        <v/>
      </c>
      <c r="CD207" s="565" t="str">
        <f t="shared" si="511"/>
        <v/>
      </c>
      <c r="CE207" s="368">
        <v>0</v>
      </c>
      <c r="CF207" s="368" t="str" cm="1">
        <f t="array" ref="CF207">IFERROR(IF(V207="Custom", "$0.1 per kWh", IF(B207="New Construction", CONCATENATE("$",INDEX('Lookup Tables'!$AH$114:$AN$154,MATCH(1,('Lookup Tables'!$AH$114:$AH$154='Lighting Inventory'!V207)*('Lookup Tables'!$AI$114:$AI$154='Lighting Inventory'!W207),FALSE),6)," ",INDEX('Lookup Tables'!$AH$114:$AN$154,MATCH(1,('Lookup Tables'!$AH$114:$AH$154='Lighting Inventory'!V207)*('Lookup Tables'!$AI$114:$AI$154='Lighting Inventory'!W207),FALSE),7)), IF(AND(BU207="N", V207="Exit Signs"), "$0.025 per kWh", CONCATENATE("$",INDEX('Lookup Tables'!$AH$6:$AN$102,MATCH(1,('Lookup Tables'!$AH$6:$AH$102='Lighting Inventory'!V207)*('Lookup Tables'!$AI$6:$AI$102='Lighting Inventory'!W207),FALSE),6)," ",INDEX('Lookup Tables'!$AH$6:$AN$102,MATCH(1,('Lookup Tables'!$AH$6:$AH$102='Lighting Inventory'!V207)*('Lookup Tables'!$AI$6:$AI$102='Lighting Inventory'!W207),FALSE),7))))), "")</f>
        <v/>
      </c>
      <c r="CG207" s="366"/>
      <c r="CH207" s="248" t="str">
        <f t="shared" si="512"/>
        <v/>
      </c>
      <c r="CI207" s="248" t="str">
        <f t="shared" si="513"/>
        <v>Select_IE</v>
      </c>
      <c r="CJ207" s="248" t="str">
        <f t="shared" si="514"/>
        <v/>
      </c>
      <c r="CK207" s="248" t="str">
        <f t="shared" si="515"/>
        <v/>
      </c>
      <c r="CL207" s="248" t="str">
        <f t="shared" si="516"/>
        <v/>
      </c>
      <c r="CM207" s="248" t="str">
        <f>IFERROR(IF(B207="", "", IF(B207="New Construction", VLOOKUP(V207, 'Lookup Tables'!$AF$114:$AG$120, 2, FALSE), VLOOKUP(V207, 'Lookup Tables'!$AD$6:$AE$25, 2, FALSE))), "")</f>
        <v/>
      </c>
      <c r="CN207" s="248" t="str">
        <f t="shared" si="517"/>
        <v/>
      </c>
      <c r="CO207" s="248" t="str">
        <f t="shared" si="518"/>
        <v/>
      </c>
      <c r="CP207" s="592" t="str">
        <f t="shared" si="519"/>
        <v/>
      </c>
      <c r="CQ207" s="248" t="str">
        <f t="shared" si="572"/>
        <v/>
      </c>
      <c r="CR207" s="100"/>
      <c r="CS207" s="250" t="str">
        <f t="shared" si="520"/>
        <v/>
      </c>
      <c r="CT207" s="250" t="str">
        <f t="shared" si="573"/>
        <v/>
      </c>
      <c r="CU207" s="250" t="str">
        <f t="shared" si="574"/>
        <v/>
      </c>
      <c r="CV207" s="250" t="str">
        <f t="shared" si="575"/>
        <v/>
      </c>
      <c r="CW207" s="250" t="str">
        <f t="shared" si="576"/>
        <v/>
      </c>
      <c r="CX207" s="250" t="str">
        <f t="shared" si="521"/>
        <v/>
      </c>
      <c r="CY207" s="250" t="str">
        <f t="shared" si="522"/>
        <v/>
      </c>
      <c r="CZ207" s="250" t="str">
        <f t="shared" si="523"/>
        <v/>
      </c>
      <c r="DA207" s="250" t="str">
        <f t="shared" si="524"/>
        <v/>
      </c>
      <c r="DB207" s="250" t="str">
        <f t="shared" si="525"/>
        <v/>
      </c>
      <c r="DC207" s="250" t="str">
        <f t="shared" si="526"/>
        <v/>
      </c>
      <c r="DD207" s="250" t="str">
        <f t="shared" si="527"/>
        <v/>
      </c>
      <c r="DE207" s="250" t="str">
        <f t="shared" si="528"/>
        <v/>
      </c>
      <c r="DF207" s="250" t="str">
        <f t="shared" si="529"/>
        <v/>
      </c>
      <c r="DG207" s="250" t="str">
        <f t="shared" si="530"/>
        <v/>
      </c>
      <c r="DH207" s="250" t="str">
        <f t="shared" si="531"/>
        <v/>
      </c>
      <c r="DI207" s="250" t="str">
        <f t="shared" si="532"/>
        <v/>
      </c>
      <c r="DJ207" s="250" t="str">
        <f t="shared" si="533"/>
        <v/>
      </c>
      <c r="DK207" s="250" t="str">
        <f t="shared" si="534"/>
        <v/>
      </c>
      <c r="DL207" s="250" t="str">
        <f t="shared" si="535"/>
        <v/>
      </c>
      <c r="DM207" s="250" t="str">
        <f>IF(CD207="ERROR", "ERROR", IF(AND(OR(Y207=$DM$6, Y207='Lookup Tables'!$AD$21, Y207='Lookup Tables'!$AD$22), E207="Interior"), BJ207, ""))</f>
        <v/>
      </c>
      <c r="DN207" s="250" t="str">
        <f>IF(CD207="ERROR", "ERROR", IF(AND(OR(Y207=$DM$6, Y207='Lookup Tables'!$AD$21, Y207='Lookup Tables'!$AD$22), E207="Exterior"), BJ207, ""))</f>
        <v/>
      </c>
      <c r="DO207" s="100"/>
      <c r="DP207" s="250" t="str">
        <f t="shared" si="536"/>
        <v/>
      </c>
      <c r="DQ207" s="250" t="str">
        <f t="shared" si="577"/>
        <v/>
      </c>
      <c r="DR207" s="250" t="str">
        <f t="shared" si="578"/>
        <v/>
      </c>
      <c r="DS207" s="250" t="str">
        <f t="shared" si="579"/>
        <v/>
      </c>
      <c r="DT207" s="250" t="str">
        <f t="shared" si="580"/>
        <v/>
      </c>
      <c r="DU207" s="250" t="str">
        <f t="shared" si="537"/>
        <v/>
      </c>
      <c r="DV207" s="250" t="str">
        <f t="shared" si="538"/>
        <v/>
      </c>
      <c r="DW207" s="250" t="str">
        <f t="shared" si="539"/>
        <v/>
      </c>
      <c r="DX207" s="250" t="str">
        <f t="shared" si="540"/>
        <v/>
      </c>
      <c r="DY207" s="250" t="str">
        <f t="shared" si="541"/>
        <v/>
      </c>
      <c r="DZ207" s="250" t="str">
        <f t="shared" si="542"/>
        <v/>
      </c>
      <c r="EA207" s="250" t="str">
        <f t="shared" si="543"/>
        <v/>
      </c>
      <c r="EB207" s="250" t="str">
        <f t="shared" si="581"/>
        <v/>
      </c>
      <c r="EC207" s="250" t="str">
        <f t="shared" si="544"/>
        <v/>
      </c>
      <c r="ED207" s="250" t="str">
        <f t="shared" si="545"/>
        <v/>
      </c>
      <c r="EE207" s="250" t="str">
        <f t="shared" si="546"/>
        <v/>
      </c>
      <c r="EF207" s="250" t="str">
        <f t="shared" si="547"/>
        <v/>
      </c>
      <c r="EG207" s="250" t="str">
        <f t="shared" si="548"/>
        <v/>
      </c>
      <c r="EH207" s="250" t="str">
        <f>IF(CD207="ERROR", "ERROR", IF(AND(OR($EH$6=Y207, Y207='Lookup Tables'!$AD$21, Y207='Lookup Tables'!$AD$22),E207="Interior"), SUM(BP207:BP207), ""))</f>
        <v/>
      </c>
      <c r="EI207" s="250" t="str">
        <f>IF(CD207="ERROR", "ERROR", IF(AND(OR($EH$6=Y207, Y207='Lookup Tables'!$AD$21, Y207='Lookup Tables'!$AD$22),E207="Exterior"), SUM(BP207:BP207), ""))</f>
        <v/>
      </c>
      <c r="EJ207" s="109"/>
      <c r="EK207" s="485" t="str">
        <f t="shared" si="549"/>
        <v/>
      </c>
      <c r="EL207" s="252" t="str">
        <f t="shared" si="582"/>
        <v/>
      </c>
      <c r="EM207" s="252" t="str">
        <f t="shared" si="583"/>
        <v/>
      </c>
      <c r="EN207" s="252" t="str">
        <f t="shared" si="584"/>
        <v/>
      </c>
      <c r="EO207" s="252" t="str">
        <f t="shared" si="585"/>
        <v/>
      </c>
      <c r="EP207" s="252" t="str">
        <f t="shared" si="586"/>
        <v/>
      </c>
      <c r="EQ207" s="252" t="str">
        <f t="shared" si="587"/>
        <v/>
      </c>
      <c r="ER207" s="252" t="str">
        <f t="shared" si="588"/>
        <v/>
      </c>
      <c r="ES207" s="252" t="str">
        <f t="shared" si="589"/>
        <v/>
      </c>
      <c r="ET207" s="252" t="str">
        <f t="shared" si="590"/>
        <v/>
      </c>
      <c r="EU207" s="252" t="str">
        <f t="shared" si="591"/>
        <v/>
      </c>
      <c r="EV207" s="252" t="str">
        <f t="shared" si="592"/>
        <v/>
      </c>
      <c r="EW207" s="252" t="str">
        <f t="shared" si="593"/>
        <v/>
      </c>
      <c r="EX207" s="252" t="str">
        <f t="shared" si="594"/>
        <v/>
      </c>
      <c r="EY207" s="252" t="str">
        <f t="shared" si="595"/>
        <v/>
      </c>
      <c r="EZ207" s="252" t="str">
        <f t="shared" si="596"/>
        <v/>
      </c>
      <c r="FA207" s="252" t="str">
        <f t="shared" si="597"/>
        <v/>
      </c>
      <c r="FB207" s="252" t="str">
        <f t="shared" si="598"/>
        <v/>
      </c>
      <c r="FC207" s="252" t="str">
        <f>IF(CD207="ERROR", "ERROR", IF(OR(V207="No Change", V207="Not DLC or Energy Star"), "", IF(AND(OR($FC$6=Y207,Y207='Lookup Tables'!$AD$21, Y207='Lookup Tables'!$AD$22),E207="Interior"), S207, "")))</f>
        <v/>
      </c>
      <c r="FD207" s="252" t="str">
        <f t="shared" si="599"/>
        <v/>
      </c>
      <c r="FE207" s="101"/>
      <c r="FF207" s="579" t="str" cm="1">
        <f t="array" ref="FF207">IFERROR(IF(OR(BQ207&lt;=0,AQ207&lt;20,AND(V207="Exit Signs",AN207&gt;0)),"",IF(AND(AQ207&gt;=20,AN207='Lookup Tables'!$R$101),'Lookup Tables'!$U$101*BQ207,AP207*LOOKUP(2,1/((AN207='Lookup Tables'!$R$91:$R$111)*(AQ207&gt;='Lookup Tables'!$S$91:$S$111)*(AQ207&lt;='Lookup Tables'!$T$91:$T$111)),'Lookup Tables'!$U$91:$U$111))),"")</f>
        <v/>
      </c>
      <c r="FG207" s="579"/>
      <c r="FH207" s="579"/>
      <c r="FI207" s="253" t="str">
        <f>IFERROR(ROUND(IF(CD207="ERROR", "ERROR", IF(AND($FI$7=X207,E207="Interior"),VLOOKUP(W207, 'Lookup Tables'!$AI$6:$AM$102, 5, FALSE)*BP207, "")), 2), "")</f>
        <v/>
      </c>
      <c r="FJ207" s="253" t="str">
        <f>IFERROR(ROUND(IF(CD207="ERROR", "ERROR", IF(AND($FI$7=X207,E207="Exterior"),VLOOKUP(W207, 'Lookup Tables'!$AI$6:$AM$102, 5, FALSE)*BP207, "")), 2), "")</f>
        <v/>
      </c>
      <c r="FK207" s="253" t="str">
        <f>IFERROR(ROUND(IF(CD207="ERROR", "ERROR", IF(AND($FK$7=X207,E207="Interior"),VLOOKUP(W207, 'Lookup Tables'!$AI$6:$AM$102, 5, FALSE)*BP207, "")), 2), "")</f>
        <v/>
      </c>
      <c r="FL207" s="253" t="str">
        <f>IFERROR(ROUND(IF(CD207="ERROR", "ERROR", IF(AND($FK$7=X207,E207="Exterior"),VLOOKUP(W207, 'Lookup Tables'!$AI$6:$AM$102, 5, FALSE)*BP207, "")), 2), "")</f>
        <v/>
      </c>
      <c r="FM207" s="253" t="str">
        <f>IFERROR(ROUND(IF(CD207="ERROR", "ERROR", IF(AND($FM$6=Y207,E207="Interior"), IF(GB207=0, VLOOKUP(W207, 'Lookup Tables'!$AI$6:$AM$102, 5, FALSE)*BP207, IF(VLOOKUP(W207, 'Lookup Tables'!$AI$6:$AM$102, 5, FALSE)*BP207&gt;GB207*'Lighting Inventory'!S207, GB207*'Lighting Inventory'!S207,VLOOKUP(W207, 'Lookup Tables'!$AI$6:$AM$102, 5, FALSE)*BP207)), "")), 2), "")</f>
        <v/>
      </c>
      <c r="FN207" s="253" t="str">
        <f>IFERROR(ROUND(IF(CD207="ERROR", "ERROR", IF(AND($FM$6=Y207,E207="Exterior"), IF(GB207=0, VLOOKUP(W207, 'Lookup Tables'!$AI$6:$AM$102, 5, FALSE)*BP207, IF(VLOOKUP(W207, 'Lookup Tables'!$AI$6:$AM$102, 5, FALSE)*BP207&gt;GB207*'Lighting Inventory'!S207, GB207*'Lighting Inventory'!S207,VLOOKUP(W207, 'Lookup Tables'!$AI$6:$AM$102, 5, FALSE)*BP207)), "")), 2), "")</f>
        <v/>
      </c>
      <c r="FO207" s="253" t="str">
        <f>IFERROR(ROUND(IF(CD207="ERROR", "ERROR", IF(AND($FO$6=Y207,E207="Interior"),VLOOKUP(W207, 'Lookup Tables'!$AI$6:$AM$102, 5, FALSE)*'Lighting Inventory'!AI207, "")), 2), "")</f>
        <v/>
      </c>
      <c r="FP207" s="253" t="str">
        <f>IFERROR(ROUND(IF(CD207="ERROR", "ERROR", IF(AND($FO$6=Y207,E207="Exterior"),VLOOKUP(W207, 'Lookup Tables'!$AI$6:$AM$102, 5, FALSE)*'Lighting Inventory'!AI207, "")), 2), "")</f>
        <v/>
      </c>
      <c r="FQ207" s="253" t="str">
        <f>IFERROR(ROUND(IF(CD207="ERROR", "ERROR", IF(AND($FQ$6=Y207,E207="Interior", BU207="Y"), VLOOKUP('Lighting Inventory'!W207, 'Lookup Tables'!$AI$6:$AM$102, 5, FALSE)*'Lighting Inventory'!S207, IF(AND($FQ$7=Y207,E207="Interior", BU207="N"), 0.025*CD207, ""))), 2), "")</f>
        <v/>
      </c>
      <c r="FR207" s="253" t="str">
        <f>IFERROR(ROUND(IF(CD207="ERROR", "ERROR", IF(AND($FQ$6=Y207,E207="Exterior"), VLOOKUP('Lighting Inventory'!W207, 'Lookup Tables'!$AI$6:$AM$102, 5, FALSE)*'Lighting Inventory'!S207, "")), 2), "")</f>
        <v/>
      </c>
      <c r="FS207" s="253" t="str">
        <f>IFERROR(ROUND(IF(CD207="ERROR", "ERROR", IF(AND($FS$6=Y207,E207="Exterior"), IF(GB207=0, VLOOKUP(W207, 'Lookup Tables'!$AI$6:$AM$102, 5, FALSE)*BP207, IF(VLOOKUP(W207, 'Lookup Tables'!$AI$6:$AM$102, 5, FALSE)*BP207&gt;GB207*'Lighting Inventory'!S207, GB207*'Lighting Inventory'!S207,VLOOKUP(W207, 'Lookup Tables'!$AI$6:$AM$102, 5, FALSE)*BP207)), "")), 2), "")</f>
        <v/>
      </c>
      <c r="FT207" s="253" t="str">
        <f>IFERROR(ROUND(IF(CD207="ERROR", "ERROR", IF(AND($FT$6=Y207,E207="Interior"), IF(GB207=0, VLOOKUP(W207, 'Lookup Tables'!$AI$6:$AM$102, 5, FALSE)*BP207, IF(VLOOKUP(W207, 'Lookup Tables'!$AI$6:$AM$102, 5, FALSE)*BP207&gt;GB207*'Lighting Inventory'!S207, GB207*'Lighting Inventory'!S207,VLOOKUP(W207, 'Lookup Tables'!$AI$6:$AM$102, 5, FALSE)*BP207)), "")), 2), "")</f>
        <v/>
      </c>
      <c r="FU207" s="253" t="str">
        <f>IFERROR(ROUND(IF(CD207="ERROR", "ERROR", IF(AND(Y207=$FU$6, E207="Interior"), IF(BS207="N", 'Lookup Tables'!$AM$101*BP207, VLOOKUP(W207, 'Lookup Tables'!$AI$6:$AM$102, 5, FALSE)*S207*AD207), "")), 2), "")</f>
        <v/>
      </c>
      <c r="FV207" s="253" t="str">
        <f>IFERROR(ROUND(IF(CD207="ERROR", "ERROR", IF(AND(Y207=$FU$6, E207="Exterior"), IF(BS207="N", 'Lookup Tables'!$AM$101*BP207, VLOOKUP(W207, 'Lookup Tables'!$AI$6:$AM$102, 5, FALSE)*S207*AD207), "")), 2), "")</f>
        <v/>
      </c>
      <c r="FW207" s="253" t="str">
        <f>IFERROR(ROUND(IF(CD207="ERROR", "ERROR", IF($FW$6=Y207, IF(BS207="N", 'Lookup Tables'!$AM$101*BP207, MIN((VLOOKUP(W207, 'Lookup Tables'!$AI$6:$AM$102, 5, FALSE)*BP207),GB207*AJ207)), "")), 2), "")</f>
        <v/>
      </c>
      <c r="FX207" s="253" t="str">
        <f>IFERROR(ROUND(IF(CD207="ERROR", "ERROR", IF(AND($FX$6=Y207, E207="Interior"), IF(VLOOKUP(W207, 'Lookup Tables'!$AI$6:$AM$102, 5, FALSE)*BP207&gt;'Lookup Tables'!$AQ$97*'Lighting Inventory'!S207,'Lighting Inventory'!S207*'Lookup Tables'!$AQ$97,VLOOKUP(W207, 'Lookup Tables'!$AI$6:$AM$102, 5, FALSE)*BP207), "")), 2), "")</f>
        <v/>
      </c>
      <c r="FY207" s="253" t="str">
        <f>IFERROR(ROUND(IF(CD207="ERROR", "ERROR", IF(AND($FX$6=Y207, E207="Exterior"), IF(VLOOKUP(W207, 'Lookup Tables'!$AI$6:$AM$102, 5, FALSE)*BP207&gt;'Lookup Tables'!$AQ$97*'Lighting Inventory'!S207,'Lighting Inventory'!S207*'Lookup Tables'!$AQ$97,VLOOKUP(W207, 'Lookup Tables'!$AI$6:$AM$102, 5, FALSE)*BP207), "")), 2), "")</f>
        <v/>
      </c>
      <c r="FZ207" s="253" t="str">
        <f>IFERROR(ROUND(IF(CD207="ERROR", "ERROR", IF(AND($FZ$6=Y207, E207="Interior"), IF(AND(OR(W207="Refrigerated Case Lighting with Doors", W207="Freezer Case Lighting"),Y207="Custom - Process Improvement"),CD207*'Lookup Tables'!$AM$101, IF(B207="Retrofit", IF(VLOOKUP(IF(V207="Custom", V207, W207), 'Lookup Tables'!$AI$6:$AM$102, 5, FALSE)*BP207&gt;GE207, GE207, VLOOKUP(IF(V207="Custom", V207, W207), 'Lookup Tables'!$AI$6:$AM$102, 5, FALSE)*BP207), IF(VLOOKUP(IF(V207="Custom", V207, W207), 'Lookup Tables'!$AI$114:$AM$154, 5, FALSE)*BP207&gt;GE207, GE207, VLOOKUP(IF(V207="Custom", V207, W207), 'Lookup Tables'!$AI$114:$AM$154, 5, FALSE)*BP207))), "")), 2),"")</f>
        <v/>
      </c>
      <c r="GA207" s="253" t="str">
        <f>IFERROR(ROUND(IF(CD207="ERROR", "ERROR", IF(AND($FZ$6=Y207, E207="Exterior"), IF(B207="Retrofit", IF(VLOOKUP(IF(V207="Custom", V207, W207), 'Lookup Tables'!$AI$6:$AM$102, 5, FALSE)*BP207&gt;GE207, GE207, VLOOKUP(IF(V207="Custom", V207, W207), 'Lookup Tables'!$AI$6:$AM$102, 5, FALSE)*BP207), IF(VLOOKUP(IF(V207="Custom", V207, W207), 'Lookup Tables'!$AI$114:$AM$154, 5, FALSE)*BP207&gt;GE207, GE207, VLOOKUP(IF(V207="Custom", V207, W207), 'Lookup Tables'!$AI$114:$AM$154, 5, FALSE)*BP207)), "")), 2),"")</f>
        <v/>
      </c>
      <c r="GB207" s="254" t="str">
        <f t="array" ref="GB207">IF(B207="","",IF(OR(V207="Custom",V207="No Change"),0,IF(B207="Retrofit", INDEX('Lookup Tables'!$AH$6:$AQ$102,MATCH(1,('Lookup Tables'!$AH$6:$AH$102='Lighting Inventory'!V207)*('Lookup Tables'!$AI$6:$AI$102='Lighting Inventory'!W207),FALSE),10),INDEX('Lookup Tables'!$AH$114:$AQ$154,MATCH(1,('Lookup Tables'!$AH$114:$AH$154='Lighting Inventory'!V207)*('Lookup Tables'!$AI$114:$AI$154='Lighting Inventory'!W207),FALSE),10))))</f>
        <v/>
      </c>
      <c r="GC207" s="255" t="str">
        <f t="shared" si="550"/>
        <v/>
      </c>
      <c r="GD207" s="250" t="str">
        <f t="shared" si="551"/>
        <v/>
      </c>
      <c r="GE207" s="253" t="str">
        <f>IFERROR(IF(AND(AF207="", 'General Information'!$F$18="No"),"", IF(AF207="", ((GD207/$CD$266)*$CF$266)*0.5, AF207*S207*0.5)), "")</f>
        <v/>
      </c>
      <c r="GF207" s="255" t="str">
        <f>IF(AND('General Information'!$F$19="", 'General Information'!$F$18="Yes",AF207="",BW207="Y"), "Y", "N")</f>
        <v>N</v>
      </c>
      <c r="GG207" s="255" t="s">
        <v>2946</v>
      </c>
      <c r="GH207" s="255" t="str">
        <f>IFERROR(IF(B207="", "", VLOOKUP(J207, 'Fixture Identities'!$A$6:$N$908, 14, FALSE)), "")</f>
        <v/>
      </c>
      <c r="GI207" s="389" t="str">
        <f>IF(OR(B207="", V207="", W207=""), "", IF(AND(OR(M207='Lookup Tables'!$R$18, M207='Lookup Tables'!$R$19, M207='Lookup Tables'!$R$20, M207='Lookup Tables'!$R$21, M207='Lookup Tables'!$R$22), OR(AN207='Lookup Tables'!$R$17, AN207='Lookup Tables'!$R$17, AN207="")), "Y", "N"))</f>
        <v/>
      </c>
      <c r="GJ207" s="255" t="str">
        <f t="shared" si="552"/>
        <v/>
      </c>
      <c r="GK207" s="255" t="str">
        <f t="shared" si="553"/>
        <v/>
      </c>
      <c r="GL207" s="255" t="str">
        <f t="shared" si="554"/>
        <v/>
      </c>
      <c r="GM207" s="255" t="str">
        <f>IF(AN207="", "", IF(AND(IF(ISNA(VLOOKUP(AN207,'Lookup Tables'!$R$18:$R$22,1,FALSE)), "N", "Y")="Y", E207="Exterior"), "Y", "N"))</f>
        <v/>
      </c>
      <c r="GN207" s="395"/>
      <c r="GO207" s="428">
        <f t="shared" si="600"/>
        <v>0</v>
      </c>
      <c r="GP207" s="428">
        <f t="shared" si="603"/>
        <v>0</v>
      </c>
      <c r="GQ207" s="428">
        <f t="shared" si="601"/>
        <v>0</v>
      </c>
      <c r="GR207" s="428">
        <f t="shared" si="602"/>
        <v>0</v>
      </c>
    </row>
    <row r="208" spans="1:200" s="103" customFormat="1" ht="13.5" customHeight="1" x14ac:dyDescent="0.2">
      <c r="A208" s="272">
        <v>198</v>
      </c>
      <c r="B208" s="110"/>
      <c r="C208" s="110"/>
      <c r="D208" s="110"/>
      <c r="E208" s="110"/>
      <c r="F208" s="110"/>
      <c r="G208" s="110"/>
      <c r="H208" s="110"/>
      <c r="I208" s="29"/>
      <c r="J208" s="29"/>
      <c r="K208" s="272" t="str">
        <f>IFERROR(IF(OR(VLOOKUP(J208, 'Fixture Identities'!$A$6:$L$1023, 3, FALSE)="T12 Linear Fluorescent", VLOOKUP(J208, 'Fixture Identities'!$A$6:$L$1023, 3, FALSE)="T12 U-Tube Fluorescent"), VLOOKUP(VLOOKUP(J208, 'Fixture Identities'!$A$6:$L$1023, 11, FALSE), 'Fixture Identities'!$A$6:$L$1023, 10, FALSE), VLOOKUP(J208, 'Fixture Identities'!$A$6:$L$1023, 10, FALSE)), "")</f>
        <v/>
      </c>
      <c r="L208" s="270" t="str">
        <f t="shared" ref="L208:L260" si="605">IFERROR(IF(I208="", "", (K208*I208)/1000), "")</f>
        <v/>
      </c>
      <c r="M208" s="110"/>
      <c r="N208" s="110"/>
      <c r="O208" s="110"/>
      <c r="P208" s="272" t="str">
        <f>IFERROR(IF(OR(B208="Retrofit",B208=""),"",IF('Lighting Inventory'!E208="Exterior",VLOOKUP('Lighting Inventory'!N208,'Lookup Tables'!$B$83:$F$103,5,FALSE),IF(N208="Other - Please Estimate EFLH and CFs","Contact Prog. Rep.","ft^2"))), "")</f>
        <v/>
      </c>
      <c r="Q208" s="270" t="str">
        <f>IFERROR(IF(AND(B208="New Construction",E208="Interior",$F$5="Space-by-Space"),VLOOKUP('Lighting Inventory'!N208,'Lookup Tables'!$N$6:$O$97,2,FALSE),IF(AND(B208="New Construction",E208="Exterior"),VLOOKUP(N208,'Lookup Tables'!$B$83:$F$103,2,FALSE),IF(AND(B208="New Construction",'Lighting Inventory'!E208="Interior", $F$5="Building Area"),VLOOKUP(F208,'Lookup Tables'!$A$6:$J$59,10,FALSE),""))), "")</f>
        <v/>
      </c>
      <c r="R208" s="270" t="str">
        <f>IFERROR(IF(P208="Contact Prog. Rep.", "ERROR", IF(OR(B208="",B208="Retrofit"),"",IF(N208="Automated teller machines", ('Lookup Tables'!$A$82:$E$100+('Lighting Inventory'!O208-1)*'Lookup Tables'!$A$82:$E$100)/1000, (Q208*O208)/1000))), "")</f>
        <v/>
      </c>
      <c r="S208" s="595"/>
      <c r="T208" s="105" t="str">
        <f t="shared" si="555"/>
        <v/>
      </c>
      <c r="U208" s="105" t="str">
        <f>IF(S208="","",COUNT($S$11:S208))</f>
        <v/>
      </c>
      <c r="V208" s="111"/>
      <c r="W208" s="112"/>
      <c r="X208" s="105" t="str">
        <f t="shared" si="556"/>
        <v/>
      </c>
      <c r="Y208" s="105" t="str">
        <f t="array" ref="Y208">IF(AND(OR(W208="Freezer Case Lighting", W208="Refrigerated Case Lighting with Doors"), 'General Information'!$X$18="LCI"),'Lookup Tables'!$Y$34, IF(V208="Custom", VLOOKUP(W208, 'Fixture Identities'!$A$974:$M$1023, 13, FALSE), IF(V208="No Change",'Lookup Tables'!$Y$29,IF(OR(V208="",W208=""),"",IF(AND(S208=0,S208&lt;I208,B208="Retrofit"),'Lookup Tables'!$Y$25, IF(B208="Retrofit", INDEX('Lookup Tables'!$AH$6:$AP$102, MATCH(1, ('Lookup Tables'!$AH$6:$AH$102=V208)*('Lookup Tables'!$AI$6:$AI$102=W208), 0), IF('Lighting Inventory'!E208="Interior", 4, 5)), INDEX('Lookup Tables'!$AH$114:$AP$154, MATCH(1, ('Lookup Tables'!$AH$114:$AH$154=V208)*('Lookup Tables'!$AI$114:$AI$154=W208), 0), IF('Lighting Inventory'!E208="Interior", 4, 5))))))))</f>
        <v/>
      </c>
      <c r="Z208" s="105" t="str">
        <f>IFERROR(INDEX('Lookup Tables'!$AH$158:$AH$172,MATCH('Lighting Inventory'!Y208,'Lookup Tables'!$AI$158:$AI$172,0)),"")</f>
        <v/>
      </c>
      <c r="AA208" s="105" t="str">
        <f>IF(AP208&gt;0,INDEX('Lookup Tables'!$AK$158:$AK$172,MATCH('Lighting Inventory'!Y208,'Lookup Tables'!$AI$158:$AI$172,0)),'Lighting Inventory'!Y208)</f>
        <v/>
      </c>
      <c r="AB208" s="105" t="str">
        <f t="array" ref="AB208">IF(V208="Custom", "Custom", IF(V208="", "", IF(V208="Not DLC or Energy Star", "General", IF(B208="New Construction", INDEX('Lookup Tables'!$AH$114:$AP$154,MATCH(1,('Lookup Tables'!$AH$114:$AH$154='Lighting Inventory'!V208)*('Lookup Tables'!$AI$114:$AI$154='Lighting Inventory'!W208),FALSE),8), INDEX('Lookup Tables'!$AH$6:$AP$102,MATCH(1,('Lookup Tables'!$AH$6:$AH$102='Lighting Inventory'!V208)*('Lookup Tables'!$AI$6:$AI$102='Lighting Inventory'!W208),FALSE),8)))))</f>
        <v/>
      </c>
      <c r="AC208" s="272" t="str">
        <f>IF(W208="","",IF(V208="Custom",CONCATENATE("$",'Lookup Tables'!$AM$101," ",'Lookup Tables'!$AN$101),CONCATENATE("$",INDEX('Lookup Tables'!$AM$6:$AM$102,MATCH('Lighting Inventory'!W208,'Lookup Tables'!$AI$6:$AI$102,0))," ",INDEX('Lookup Tables'!$AN$6:$AN$102,MATCH('Lighting Inventory'!W208,'Lookup Tables'!$AI$6:$AI$102,0)))))</f>
        <v/>
      </c>
      <c r="AD208" s="72"/>
      <c r="AE208" s="29"/>
      <c r="AF208" s="379"/>
      <c r="AG208" s="370" t="str">
        <f t="shared" si="504"/>
        <v/>
      </c>
      <c r="AH208" s="370" t="str">
        <f t="shared" si="557"/>
        <v/>
      </c>
      <c r="AI208" s="29"/>
      <c r="AJ208" s="29"/>
      <c r="AK208" s="110"/>
      <c r="AL208" s="375" t="str">
        <f>IF(OR(B208="", V208="", W208=""), "", IF(V208="No Change", K208, IF(V208="Remove Fixture", 0, IF(V208="Custom",VLOOKUP(W208,'Fixture Identities'!$A$6:$K$1023,10,FALSE),IF(AE208="", "← ENTER POST WATTS", 'Lighting Inventory'!AE208)))))</f>
        <v/>
      </c>
      <c r="AM208" s="376" t="str">
        <f t="shared" si="505"/>
        <v/>
      </c>
      <c r="AN208" s="29"/>
      <c r="AO208" s="671"/>
      <c r="AP208" s="29"/>
      <c r="AQ208" s="29"/>
      <c r="AR208" s="29"/>
      <c r="AS208" s="272" t="str">
        <f t="shared" si="558"/>
        <v/>
      </c>
      <c r="AT208" s="270" t="str">
        <f t="shared" si="506"/>
        <v/>
      </c>
      <c r="AU208" s="88" t="str">
        <f t="shared" ref="AU208:AU260" si="606">IFERROR(ABS(AT208), "")</f>
        <v/>
      </c>
      <c r="AV208" s="29"/>
      <c r="AW208" s="73"/>
      <c r="AX208" s="271" t="str">
        <f>IF(AND(AV208="Applicant",OR(AW208="", AW208="Use Default Facility Hours")),"← Choose Schedule",IF(F208="","",IF(W208="LED Exit Signs",8760,IF(OR(AV208="Prescribed",AV208=""),VLOOKUP(F208,'Lookup Tables'!$A$6:$G$59,IF(AB208="General", 6, 3),FALSE),VLOOKUP(AW208,'Lookup Tables'!$S$36:$U$43,2,FALSE)))))</f>
        <v/>
      </c>
      <c r="AY208" s="88" t="str">
        <f t="shared" si="507"/>
        <v/>
      </c>
      <c r="AZ208" s="270" t="str">
        <f>IFERROR(IF(F208="", "", IF(W208="LED Exit Signs", 1, IF(AV208="Applicant",VLOOKUP(AW208, 'Lookup Tables'!$S$36:$U$43,3, FALSE), VLOOKUP('Lighting Inventory'!F208, 'Lookup Tables'!$A$6:$H$59, IF('Lighting Inventory'!AB208="General",7,4), FALSE)))), "")</f>
        <v/>
      </c>
      <c r="BA208" s="522" t="str">
        <f>IFERROR(IF(F208="", "", IF(W208="LED Exit Signs", 1, VLOOKUP('Lighting Inventory'!F208, 'Lookup Tables'!$A$6:$H$59, IF('Lighting Inventory'!AB208="General",8,5), FALSE))), "")</f>
        <v/>
      </c>
      <c r="BB208" s="270" t="str">
        <f>IF(G208="", "", IF(E208="Exterior", 0, IF('Lighting Inventory'!G208="Air Conditioned", VLOOKUP(H208, 'Lookup Tables'!$R$6:$T$13, 2, FALSE), VLOOKUP('Lighting Inventory'!G208, 'Lookup Tables'!$R$6:$T$13, 2, FALSE))))</f>
        <v/>
      </c>
      <c r="BC208" s="522" t="str">
        <f>IF(G208="", "", IF(E208="Exterior", 0, IF('Lighting Inventory'!G208="Air Conditioned", VLOOKUP(H208, 'Lookup Tables'!$R$6:$T$13, 3, FALSE), VLOOKUP('Lighting Inventory'!G208, 'Lookup Tables'!$R$6:$T$13, 3, FALSE))))</f>
        <v/>
      </c>
      <c r="BD208" s="270" t="str">
        <f>IF(G208="", "", IF(E208="Exterior", 0, IF('Lighting Inventory'!G208="Air Conditioned", VLOOKUP(H208, 'Lookup Tables'!$R$6:$U$13, 4, FALSE), VLOOKUP('Lighting Inventory'!G208, 'Lookup Tables'!$R$6:$U$13, 4, FALSE))))</f>
        <v/>
      </c>
      <c r="BE208" s="270" t="str">
        <f>IFERROR(IF(B208="", "",  IF(B208="New Construction", VLOOKUP(F208, 'Lookup Tables'!$A$6:$K$59, 11, FALSE),IF(OR(AN208="", AN208="Light Switch"), 0, IF(OR(M208="",M208="None",V208= "LED Exit Signs"),0,_xlfn.XLOOKUP(M208,'Lookup Tables'!$R$91:$R$101,'Lookup Tables'!$V$91:$V$101))))), "")</f>
        <v/>
      </c>
      <c r="BF208" s="270" t="str">
        <f>IF(AND(OR(AN208="Light Switch",AN208=""),B208="New Construction"), VLOOKUP(F208, 'Lookup Tables'!$A$6:$K$59, 11, FALSE),IF(AN208="","",IF(B208="","",IF(OR(AN208="None",AN208="",V208="LED Exit Signs",AN208="Exterior Controls Not Eligible"),0,_xlfn.XLOOKUP(AN208,'Lookup Tables'!$R$91:$R$101,'Lookup Tables'!$V$91:$V$101)))))</f>
        <v/>
      </c>
      <c r="BG208" s="88" t="str">
        <f t="shared" si="559"/>
        <v/>
      </c>
      <c r="BH208" s="88" t="str">
        <f t="shared" si="560"/>
        <v/>
      </c>
      <c r="BI208" s="558" t="str">
        <f t="shared" si="604"/>
        <v/>
      </c>
      <c r="BJ208" s="82" t="str">
        <f t="shared" si="561"/>
        <v/>
      </c>
      <c r="BK208" s="82" t="str">
        <f t="shared" si="562"/>
        <v/>
      </c>
      <c r="BL208" s="559" t="str">
        <f t="shared" si="563"/>
        <v/>
      </c>
      <c r="BM208" s="521" t="str">
        <f t="shared" si="508"/>
        <v/>
      </c>
      <c r="BN208" s="521" t="str">
        <f t="shared" si="509"/>
        <v/>
      </c>
      <c r="BO208" s="522" t="str">
        <f t="shared" si="510"/>
        <v/>
      </c>
      <c r="BP208" s="83" t="str">
        <f t="shared" si="564"/>
        <v/>
      </c>
      <c r="BQ208" s="84" t="str">
        <f t="shared" si="565"/>
        <v/>
      </c>
      <c r="BR208" s="184" t="str">
        <f>IFERROR(IF(B208="", "", IF(OR(VLOOKUP(J208, 'Fixture Identities'!$A$6:$L$1023, 3, FALSE)="T12 Linear Fluorescent",VLOOKUP(J208, 'Fixture Identities'!$A$6:$L$1023, 3, FALSE)="T12 U-Tube Fluorescent"), "Y", "N")), "N")</f>
        <v/>
      </c>
      <c r="BS208" s="184" t="str">
        <f t="array" ref="BS208">IFERROR(IF(OR(B208="", V208="", W208=""), "", IF(V208="Custom", "N", IF(OR(W208="Freezer Case Lighting", W208="Refrigerated Case Lighting with Doors"), BT208, IF(B208="Retrofit", INDEX('Lookup Tables'!$AH$6:$AT$102,MATCH(1,('Lookup Tables'!$AH$6:$AH$102=V208)*('Lookup Tables'!$AI$6:$AI$102=W208),FALSE),IF(VLOOKUP(J208, 'Fixture Identities'!$A$6:$B$1023, 2, FALSE)="Incandescent",12, 13)), INDEX('Lookup Tables'!$AH$114:$AS$154,MATCH(1,('Lookup Tables'!$AH$114:$AH$154=V208)*('Lookup Tables'!$AI$114:$AI$154=W208),FALSE),12))))), "N")</f>
        <v/>
      </c>
      <c r="BT208" s="184" t="str">
        <f>IF(J208="", "", IF(AND(OR(W208="Freezer case Lighting", W208="Refrigerated Case Lighting with Doors"),'General Information'!$X$18="LCI"), "N", IF(OR(VLOOKUP(J208, 'Fixture Identities'!$A$6:$B$1023, 2, FALSE)="T12 EPACT/EISA Baseline", VLOOKUP(J208, 'Fixture Identities'!$A$6:$B$1023, 2, FALSE)="Linear Fluorescent", VLOOKUP(J208, 'Fixture Identities'!$A$6:$B$1023, 2, FALSE)="U-Tube Fluorescent"), "Y", "N")))</f>
        <v/>
      </c>
      <c r="BU208" s="184" t="str">
        <f>IFERROR(IF(B208="", "", IF(VLOOKUP(J208, 'Fixture Identities'!$A$6:$B$1023, 2, FALSE)="Exit Sign", "Y", "N")), "N")</f>
        <v/>
      </c>
      <c r="BV208" s="184" t="str">
        <f>IF(V208="Exit Signs", IF(VLOOKUP(J208, 'Fixture Identities'!$A$6:$B$1023, 2, FALSE)="Exit Sign", "N", "Y"), "")</f>
        <v/>
      </c>
      <c r="BW208" s="184" t="str">
        <f t="array" ref="BW208">IFERROR(IF(B208="", "", IF(B208="New Construction", "N", INDEX('Lookup Tables'!$AH$6:$AU$102, MATCH(1, ('Lookup Tables'!$AH$6:$AH$102='Lighting Inventory'!V208)*('Lookup Tables'!$AI$6:$AI$102='Lighting Inventory'!W208), 0), 14))), "N")</f>
        <v/>
      </c>
      <c r="BX208" s="598" t="str">
        <f t="shared" si="566"/>
        <v/>
      </c>
      <c r="BY208" s="598" t="str">
        <f t="shared" si="567"/>
        <v/>
      </c>
      <c r="BZ208" s="598" t="str">
        <f t="shared" si="568"/>
        <v/>
      </c>
      <c r="CA208" s="598" t="str">
        <f t="shared" si="569"/>
        <v/>
      </c>
      <c r="CB208" s="269" t="str">
        <f t="shared" si="570"/>
        <v/>
      </c>
      <c r="CC208" s="517" t="str">
        <f t="shared" si="571"/>
        <v/>
      </c>
      <c r="CD208" s="565" t="str">
        <f t="shared" si="511"/>
        <v/>
      </c>
      <c r="CE208" s="368">
        <v>0</v>
      </c>
      <c r="CF208" s="368" t="str" cm="1">
        <f t="array" ref="CF208">IFERROR(IF(V208="Custom", "$0.1 per kWh", IF(B208="New Construction", CONCATENATE("$",INDEX('Lookup Tables'!$AH$114:$AN$154,MATCH(1,('Lookup Tables'!$AH$114:$AH$154='Lighting Inventory'!V208)*('Lookup Tables'!$AI$114:$AI$154='Lighting Inventory'!W208),FALSE),6)," ",INDEX('Lookup Tables'!$AH$114:$AN$154,MATCH(1,('Lookup Tables'!$AH$114:$AH$154='Lighting Inventory'!V208)*('Lookup Tables'!$AI$114:$AI$154='Lighting Inventory'!W208),FALSE),7)), IF(AND(BU208="N", V208="Exit Signs"), "$0.025 per kWh", CONCATENATE("$",INDEX('Lookup Tables'!$AH$6:$AN$102,MATCH(1,('Lookup Tables'!$AH$6:$AH$102='Lighting Inventory'!V208)*('Lookup Tables'!$AI$6:$AI$102='Lighting Inventory'!W208),FALSE),6)," ",INDEX('Lookup Tables'!$AH$6:$AN$102,MATCH(1,('Lookup Tables'!$AH$6:$AH$102='Lighting Inventory'!V208)*('Lookup Tables'!$AI$6:$AI$102='Lighting Inventory'!W208),FALSE),7))))), "")</f>
        <v/>
      </c>
      <c r="CG208" s="366"/>
      <c r="CH208" s="248" t="str">
        <f t="shared" si="512"/>
        <v/>
      </c>
      <c r="CI208" s="248" t="str">
        <f t="shared" si="513"/>
        <v>Select_IE</v>
      </c>
      <c r="CJ208" s="248" t="str">
        <f t="shared" si="514"/>
        <v/>
      </c>
      <c r="CK208" s="248" t="str">
        <f t="shared" si="515"/>
        <v/>
      </c>
      <c r="CL208" s="248" t="str">
        <f t="shared" si="516"/>
        <v/>
      </c>
      <c r="CM208" s="248" t="str">
        <f>IFERROR(IF(B208="", "", IF(B208="New Construction", VLOOKUP(V208, 'Lookup Tables'!$AF$114:$AG$120, 2, FALSE), VLOOKUP(V208, 'Lookup Tables'!$AD$6:$AE$25, 2, FALSE))), "")</f>
        <v/>
      </c>
      <c r="CN208" s="248" t="str">
        <f t="shared" si="517"/>
        <v/>
      </c>
      <c r="CO208" s="248" t="str">
        <f t="shared" si="518"/>
        <v/>
      </c>
      <c r="CP208" s="592" t="str">
        <f t="shared" si="519"/>
        <v/>
      </c>
      <c r="CQ208" s="248" t="str">
        <f t="shared" si="572"/>
        <v/>
      </c>
      <c r="CR208" s="100"/>
      <c r="CS208" s="250" t="str">
        <f t="shared" si="520"/>
        <v/>
      </c>
      <c r="CT208" s="250" t="str">
        <f t="shared" si="573"/>
        <v/>
      </c>
      <c r="CU208" s="250" t="str">
        <f t="shared" si="574"/>
        <v/>
      </c>
      <c r="CV208" s="250" t="str">
        <f t="shared" si="575"/>
        <v/>
      </c>
      <c r="CW208" s="250" t="str">
        <f t="shared" si="576"/>
        <v/>
      </c>
      <c r="CX208" s="250" t="str">
        <f t="shared" si="521"/>
        <v/>
      </c>
      <c r="CY208" s="250" t="str">
        <f t="shared" si="522"/>
        <v/>
      </c>
      <c r="CZ208" s="250" t="str">
        <f t="shared" si="523"/>
        <v/>
      </c>
      <c r="DA208" s="250" t="str">
        <f t="shared" si="524"/>
        <v/>
      </c>
      <c r="DB208" s="250" t="str">
        <f t="shared" si="525"/>
        <v/>
      </c>
      <c r="DC208" s="250" t="str">
        <f t="shared" si="526"/>
        <v/>
      </c>
      <c r="DD208" s="250" t="str">
        <f t="shared" si="527"/>
        <v/>
      </c>
      <c r="DE208" s="250" t="str">
        <f t="shared" si="528"/>
        <v/>
      </c>
      <c r="DF208" s="250" t="str">
        <f t="shared" si="529"/>
        <v/>
      </c>
      <c r="DG208" s="250" t="str">
        <f t="shared" si="530"/>
        <v/>
      </c>
      <c r="DH208" s="250" t="str">
        <f t="shared" si="531"/>
        <v/>
      </c>
      <c r="DI208" s="250" t="str">
        <f t="shared" si="532"/>
        <v/>
      </c>
      <c r="DJ208" s="250" t="str">
        <f t="shared" si="533"/>
        <v/>
      </c>
      <c r="DK208" s="250" t="str">
        <f t="shared" si="534"/>
        <v/>
      </c>
      <c r="DL208" s="250" t="str">
        <f t="shared" si="535"/>
        <v/>
      </c>
      <c r="DM208" s="250" t="str">
        <f>IF(CD208="ERROR", "ERROR", IF(AND(OR(Y208=$DM$6, Y208='Lookup Tables'!$AD$21, Y208='Lookup Tables'!$AD$22), E208="Interior"), BJ208, ""))</f>
        <v/>
      </c>
      <c r="DN208" s="250" t="str">
        <f>IF(CD208="ERROR", "ERROR", IF(AND(OR(Y208=$DM$6, Y208='Lookup Tables'!$AD$21, Y208='Lookup Tables'!$AD$22), E208="Exterior"), BJ208, ""))</f>
        <v/>
      </c>
      <c r="DO208" s="100"/>
      <c r="DP208" s="250" t="str">
        <f t="shared" si="536"/>
        <v/>
      </c>
      <c r="DQ208" s="250" t="str">
        <f t="shared" si="577"/>
        <v/>
      </c>
      <c r="DR208" s="250" t="str">
        <f t="shared" si="578"/>
        <v/>
      </c>
      <c r="DS208" s="250" t="str">
        <f t="shared" si="579"/>
        <v/>
      </c>
      <c r="DT208" s="250" t="str">
        <f t="shared" si="580"/>
        <v/>
      </c>
      <c r="DU208" s="250" t="str">
        <f t="shared" si="537"/>
        <v/>
      </c>
      <c r="DV208" s="250" t="str">
        <f t="shared" si="538"/>
        <v/>
      </c>
      <c r="DW208" s="250" t="str">
        <f t="shared" si="539"/>
        <v/>
      </c>
      <c r="DX208" s="250" t="str">
        <f t="shared" si="540"/>
        <v/>
      </c>
      <c r="DY208" s="250" t="str">
        <f t="shared" si="541"/>
        <v/>
      </c>
      <c r="DZ208" s="250" t="str">
        <f t="shared" si="542"/>
        <v/>
      </c>
      <c r="EA208" s="250" t="str">
        <f t="shared" si="543"/>
        <v/>
      </c>
      <c r="EB208" s="250" t="str">
        <f t="shared" si="581"/>
        <v/>
      </c>
      <c r="EC208" s="250" t="str">
        <f t="shared" si="544"/>
        <v/>
      </c>
      <c r="ED208" s="250" t="str">
        <f t="shared" si="545"/>
        <v/>
      </c>
      <c r="EE208" s="250" t="str">
        <f t="shared" si="546"/>
        <v/>
      </c>
      <c r="EF208" s="250" t="str">
        <f t="shared" si="547"/>
        <v/>
      </c>
      <c r="EG208" s="250" t="str">
        <f t="shared" si="548"/>
        <v/>
      </c>
      <c r="EH208" s="250" t="str">
        <f>IF(CD208="ERROR", "ERROR", IF(AND(OR($EH$6=Y208, Y208='Lookup Tables'!$AD$21, Y208='Lookup Tables'!$AD$22),E208="Interior"), SUM(BP208:BP208), ""))</f>
        <v/>
      </c>
      <c r="EI208" s="250" t="str">
        <f>IF(CD208="ERROR", "ERROR", IF(AND(OR($EH$6=Y208, Y208='Lookup Tables'!$AD$21, Y208='Lookup Tables'!$AD$22),E208="Exterior"), SUM(BP208:BP208), ""))</f>
        <v/>
      </c>
      <c r="EJ208" s="109"/>
      <c r="EK208" s="485" t="str">
        <f t="shared" si="549"/>
        <v/>
      </c>
      <c r="EL208" s="252" t="str">
        <f t="shared" si="582"/>
        <v/>
      </c>
      <c r="EM208" s="252" t="str">
        <f t="shared" si="583"/>
        <v/>
      </c>
      <c r="EN208" s="252" t="str">
        <f t="shared" si="584"/>
        <v/>
      </c>
      <c r="EO208" s="252" t="str">
        <f t="shared" si="585"/>
        <v/>
      </c>
      <c r="EP208" s="252" t="str">
        <f t="shared" si="586"/>
        <v/>
      </c>
      <c r="EQ208" s="252" t="str">
        <f t="shared" si="587"/>
        <v/>
      </c>
      <c r="ER208" s="252" t="str">
        <f t="shared" si="588"/>
        <v/>
      </c>
      <c r="ES208" s="252" t="str">
        <f t="shared" si="589"/>
        <v/>
      </c>
      <c r="ET208" s="252" t="str">
        <f t="shared" si="590"/>
        <v/>
      </c>
      <c r="EU208" s="252" t="str">
        <f t="shared" si="591"/>
        <v/>
      </c>
      <c r="EV208" s="252" t="str">
        <f t="shared" si="592"/>
        <v/>
      </c>
      <c r="EW208" s="252" t="str">
        <f t="shared" si="593"/>
        <v/>
      </c>
      <c r="EX208" s="252" t="str">
        <f t="shared" si="594"/>
        <v/>
      </c>
      <c r="EY208" s="252" t="str">
        <f t="shared" si="595"/>
        <v/>
      </c>
      <c r="EZ208" s="252" t="str">
        <f t="shared" si="596"/>
        <v/>
      </c>
      <c r="FA208" s="252" t="str">
        <f t="shared" si="597"/>
        <v/>
      </c>
      <c r="FB208" s="252" t="str">
        <f t="shared" si="598"/>
        <v/>
      </c>
      <c r="FC208" s="252" t="str">
        <f>IF(CD208="ERROR", "ERROR", IF(OR(V208="No Change", V208="Not DLC or Energy Star"), "", IF(AND(OR($FC$6=Y208,Y208='Lookup Tables'!$AD$21, Y208='Lookup Tables'!$AD$22),E208="Interior"), S208, "")))</f>
        <v/>
      </c>
      <c r="FD208" s="252" t="str">
        <f t="shared" si="599"/>
        <v/>
      </c>
      <c r="FE208" s="101"/>
      <c r="FF208" s="579" t="str" cm="1">
        <f t="array" ref="FF208">IFERROR(IF(OR(BQ208&lt;=0,AQ208&lt;20,AND(V208="Exit Signs",AN208&gt;0)),"",IF(AND(AQ208&gt;=20,AN208='Lookup Tables'!$R$101),'Lookup Tables'!$U$101*BQ208,AP208*LOOKUP(2,1/((AN208='Lookup Tables'!$R$91:$R$111)*(AQ208&gt;='Lookup Tables'!$S$91:$S$111)*(AQ208&lt;='Lookup Tables'!$T$91:$T$111)),'Lookup Tables'!$U$91:$U$111))),"")</f>
        <v/>
      </c>
      <c r="FG208" s="579"/>
      <c r="FH208" s="579"/>
      <c r="FI208" s="253" t="str">
        <f>IFERROR(ROUND(IF(CD208="ERROR", "ERROR", IF(AND($FI$7=X208,E208="Interior"),VLOOKUP(W208, 'Lookup Tables'!$AI$6:$AM$102, 5, FALSE)*BP208, "")), 2), "")</f>
        <v/>
      </c>
      <c r="FJ208" s="253" t="str">
        <f>IFERROR(ROUND(IF(CD208="ERROR", "ERROR", IF(AND($FI$7=X208,E208="Exterior"),VLOOKUP(W208, 'Lookup Tables'!$AI$6:$AM$102, 5, FALSE)*BP208, "")), 2), "")</f>
        <v/>
      </c>
      <c r="FK208" s="253" t="str">
        <f>IFERROR(ROUND(IF(CD208="ERROR", "ERROR", IF(AND($FK$7=X208,E208="Interior"),VLOOKUP(W208, 'Lookup Tables'!$AI$6:$AM$102, 5, FALSE)*BP208, "")), 2), "")</f>
        <v/>
      </c>
      <c r="FL208" s="253" t="str">
        <f>IFERROR(ROUND(IF(CD208="ERROR", "ERROR", IF(AND($FK$7=X208,E208="Exterior"),VLOOKUP(W208, 'Lookup Tables'!$AI$6:$AM$102, 5, FALSE)*BP208, "")), 2), "")</f>
        <v/>
      </c>
      <c r="FM208" s="253" t="str">
        <f>IFERROR(ROUND(IF(CD208="ERROR", "ERROR", IF(AND($FM$6=Y208,E208="Interior"), IF(GB208=0, VLOOKUP(W208, 'Lookup Tables'!$AI$6:$AM$102, 5, FALSE)*BP208, IF(VLOOKUP(W208, 'Lookup Tables'!$AI$6:$AM$102, 5, FALSE)*BP208&gt;GB208*'Lighting Inventory'!S208, GB208*'Lighting Inventory'!S208,VLOOKUP(W208, 'Lookup Tables'!$AI$6:$AM$102, 5, FALSE)*BP208)), "")), 2), "")</f>
        <v/>
      </c>
      <c r="FN208" s="253" t="str">
        <f>IFERROR(ROUND(IF(CD208="ERROR", "ERROR", IF(AND($FM$6=Y208,E208="Exterior"), IF(GB208=0, VLOOKUP(W208, 'Lookup Tables'!$AI$6:$AM$102, 5, FALSE)*BP208, IF(VLOOKUP(W208, 'Lookup Tables'!$AI$6:$AM$102, 5, FALSE)*BP208&gt;GB208*'Lighting Inventory'!S208, GB208*'Lighting Inventory'!S208,VLOOKUP(W208, 'Lookup Tables'!$AI$6:$AM$102, 5, FALSE)*BP208)), "")), 2), "")</f>
        <v/>
      </c>
      <c r="FO208" s="253" t="str">
        <f>IFERROR(ROUND(IF(CD208="ERROR", "ERROR", IF(AND($FO$6=Y208,E208="Interior"),VLOOKUP(W208, 'Lookup Tables'!$AI$6:$AM$102, 5, FALSE)*'Lighting Inventory'!AI208, "")), 2), "")</f>
        <v/>
      </c>
      <c r="FP208" s="253" t="str">
        <f>IFERROR(ROUND(IF(CD208="ERROR", "ERROR", IF(AND($FO$6=Y208,E208="Exterior"),VLOOKUP(W208, 'Lookup Tables'!$AI$6:$AM$102, 5, FALSE)*'Lighting Inventory'!AI208, "")), 2), "")</f>
        <v/>
      </c>
      <c r="FQ208" s="253" t="str">
        <f>IFERROR(ROUND(IF(CD208="ERROR", "ERROR", IF(AND($FQ$6=Y208,E208="Interior", BU208="Y"), VLOOKUP('Lighting Inventory'!W208, 'Lookup Tables'!$AI$6:$AM$102, 5, FALSE)*'Lighting Inventory'!S208, IF(AND($FQ$7=Y208,E208="Interior", BU208="N"), 0.025*CD208, ""))), 2), "")</f>
        <v/>
      </c>
      <c r="FR208" s="253" t="str">
        <f>IFERROR(ROUND(IF(CD208="ERROR", "ERROR", IF(AND($FQ$6=Y208,E208="Exterior"), VLOOKUP('Lighting Inventory'!W208, 'Lookup Tables'!$AI$6:$AM$102, 5, FALSE)*'Lighting Inventory'!S208, "")), 2), "")</f>
        <v/>
      </c>
      <c r="FS208" s="253" t="str">
        <f>IFERROR(ROUND(IF(CD208="ERROR", "ERROR", IF(AND($FS$6=Y208,E208="Exterior"), IF(GB208=0, VLOOKUP(W208, 'Lookup Tables'!$AI$6:$AM$102, 5, FALSE)*BP208, IF(VLOOKUP(W208, 'Lookup Tables'!$AI$6:$AM$102, 5, FALSE)*BP208&gt;GB208*'Lighting Inventory'!S208, GB208*'Lighting Inventory'!S208,VLOOKUP(W208, 'Lookup Tables'!$AI$6:$AM$102, 5, FALSE)*BP208)), "")), 2), "")</f>
        <v/>
      </c>
      <c r="FT208" s="253" t="str">
        <f>IFERROR(ROUND(IF(CD208="ERROR", "ERROR", IF(AND($FT$6=Y208,E208="Interior"), IF(GB208=0, VLOOKUP(W208, 'Lookup Tables'!$AI$6:$AM$102, 5, FALSE)*BP208, IF(VLOOKUP(W208, 'Lookup Tables'!$AI$6:$AM$102, 5, FALSE)*BP208&gt;GB208*'Lighting Inventory'!S208, GB208*'Lighting Inventory'!S208,VLOOKUP(W208, 'Lookup Tables'!$AI$6:$AM$102, 5, FALSE)*BP208)), "")), 2), "")</f>
        <v/>
      </c>
      <c r="FU208" s="253" t="str">
        <f>IFERROR(ROUND(IF(CD208="ERROR", "ERROR", IF(AND(Y208=$FU$6, E208="Interior"), IF(BS208="N", 'Lookup Tables'!$AM$101*BP208, VLOOKUP(W208, 'Lookup Tables'!$AI$6:$AM$102, 5, FALSE)*S208*AD208), "")), 2), "")</f>
        <v/>
      </c>
      <c r="FV208" s="253" t="str">
        <f>IFERROR(ROUND(IF(CD208="ERROR", "ERROR", IF(AND(Y208=$FU$6, E208="Exterior"), IF(BS208="N", 'Lookup Tables'!$AM$101*BP208, VLOOKUP(W208, 'Lookup Tables'!$AI$6:$AM$102, 5, FALSE)*S208*AD208), "")), 2), "")</f>
        <v/>
      </c>
      <c r="FW208" s="253" t="str">
        <f>IFERROR(ROUND(IF(CD208="ERROR", "ERROR", IF($FW$6=Y208, IF(BS208="N", 'Lookup Tables'!$AM$101*BP208, MIN((VLOOKUP(W208, 'Lookup Tables'!$AI$6:$AM$102, 5, FALSE)*BP208),GB208*AJ208)), "")), 2), "")</f>
        <v/>
      </c>
      <c r="FX208" s="253" t="str">
        <f>IFERROR(ROUND(IF(CD208="ERROR", "ERROR", IF(AND($FX$6=Y208, E208="Interior"), IF(VLOOKUP(W208, 'Lookup Tables'!$AI$6:$AM$102, 5, FALSE)*BP208&gt;'Lookup Tables'!$AQ$97*'Lighting Inventory'!S208,'Lighting Inventory'!S208*'Lookup Tables'!$AQ$97,VLOOKUP(W208, 'Lookup Tables'!$AI$6:$AM$102, 5, FALSE)*BP208), "")), 2), "")</f>
        <v/>
      </c>
      <c r="FY208" s="253" t="str">
        <f>IFERROR(ROUND(IF(CD208="ERROR", "ERROR", IF(AND($FX$6=Y208, E208="Exterior"), IF(VLOOKUP(W208, 'Lookup Tables'!$AI$6:$AM$102, 5, FALSE)*BP208&gt;'Lookup Tables'!$AQ$97*'Lighting Inventory'!S208,'Lighting Inventory'!S208*'Lookup Tables'!$AQ$97,VLOOKUP(W208, 'Lookup Tables'!$AI$6:$AM$102, 5, FALSE)*BP208), "")), 2), "")</f>
        <v/>
      </c>
      <c r="FZ208" s="253" t="str">
        <f>IFERROR(ROUND(IF(CD208="ERROR", "ERROR", IF(AND($FZ$6=Y208, E208="Interior"), IF(AND(OR(W208="Refrigerated Case Lighting with Doors", W208="Freezer Case Lighting"),Y208="Custom - Process Improvement"),CD208*'Lookup Tables'!$AM$101, IF(B208="Retrofit", IF(VLOOKUP(IF(V208="Custom", V208, W208), 'Lookup Tables'!$AI$6:$AM$102, 5, FALSE)*BP208&gt;GE208, GE208, VLOOKUP(IF(V208="Custom", V208, W208), 'Lookup Tables'!$AI$6:$AM$102, 5, FALSE)*BP208), IF(VLOOKUP(IF(V208="Custom", V208, W208), 'Lookup Tables'!$AI$114:$AM$154, 5, FALSE)*BP208&gt;GE208, GE208, VLOOKUP(IF(V208="Custom", V208, W208), 'Lookup Tables'!$AI$114:$AM$154, 5, FALSE)*BP208))), "")), 2),"")</f>
        <v/>
      </c>
      <c r="GA208" s="253" t="str">
        <f>IFERROR(ROUND(IF(CD208="ERROR", "ERROR", IF(AND($FZ$6=Y208, E208="Exterior"), IF(B208="Retrofit", IF(VLOOKUP(IF(V208="Custom", V208, W208), 'Lookup Tables'!$AI$6:$AM$102, 5, FALSE)*BP208&gt;GE208, GE208, VLOOKUP(IF(V208="Custom", V208, W208), 'Lookup Tables'!$AI$6:$AM$102, 5, FALSE)*BP208), IF(VLOOKUP(IF(V208="Custom", V208, W208), 'Lookup Tables'!$AI$114:$AM$154, 5, FALSE)*BP208&gt;GE208, GE208, VLOOKUP(IF(V208="Custom", V208, W208), 'Lookup Tables'!$AI$114:$AM$154, 5, FALSE)*BP208)), "")), 2),"")</f>
        <v/>
      </c>
      <c r="GB208" s="254" t="str">
        <f t="array" ref="GB208">IF(B208="","",IF(OR(V208="Custom",V208="No Change"),0,IF(B208="Retrofit", INDEX('Lookup Tables'!$AH$6:$AQ$102,MATCH(1,('Lookup Tables'!$AH$6:$AH$102='Lighting Inventory'!V208)*('Lookup Tables'!$AI$6:$AI$102='Lighting Inventory'!W208),FALSE),10),INDEX('Lookup Tables'!$AH$114:$AQ$154,MATCH(1,('Lookup Tables'!$AH$114:$AH$154='Lighting Inventory'!V208)*('Lookup Tables'!$AI$114:$AI$154='Lighting Inventory'!W208),FALSE),10))))</f>
        <v/>
      </c>
      <c r="GC208" s="255" t="str">
        <f t="shared" si="550"/>
        <v/>
      </c>
      <c r="GD208" s="250" t="str">
        <f t="shared" si="551"/>
        <v/>
      </c>
      <c r="GE208" s="253" t="str">
        <f>IFERROR(IF(AND(AF208="", 'General Information'!$F$18="No"),"", IF(AF208="", ((GD208/$CD$266)*$CF$266)*0.5, AF208*S208*0.5)), "")</f>
        <v/>
      </c>
      <c r="GF208" s="255" t="str">
        <f>IF(AND('General Information'!$F$19="", 'General Information'!$F$18="Yes",AF208="",BW208="Y"), "Y", "N")</f>
        <v>N</v>
      </c>
      <c r="GG208" s="255" t="s">
        <v>2946</v>
      </c>
      <c r="GH208" s="255" t="str">
        <f>IFERROR(IF(B208="", "", VLOOKUP(J208, 'Fixture Identities'!$A$6:$N$908, 14, FALSE)), "")</f>
        <v/>
      </c>
      <c r="GI208" s="389" t="str">
        <f>IF(OR(B208="", V208="", W208=""), "", IF(AND(OR(M208='Lookup Tables'!$R$18, M208='Lookup Tables'!$R$19, M208='Lookup Tables'!$R$20, M208='Lookup Tables'!$R$21, M208='Lookup Tables'!$R$22), OR(AN208='Lookup Tables'!$R$17, AN208='Lookup Tables'!$R$17, AN208="")), "Y", "N"))</f>
        <v/>
      </c>
      <c r="GJ208" s="255" t="str">
        <f t="shared" si="552"/>
        <v/>
      </c>
      <c r="GK208" s="255" t="str">
        <f t="shared" si="553"/>
        <v/>
      </c>
      <c r="GL208" s="255" t="str">
        <f t="shared" si="554"/>
        <v/>
      </c>
      <c r="GM208" s="255" t="str">
        <f>IF(AN208="", "", IF(AND(IF(ISNA(VLOOKUP(AN208,'Lookup Tables'!$R$18:$R$22,1,FALSE)), "N", "Y")="Y", E208="Exterior"), "Y", "N"))</f>
        <v/>
      </c>
      <c r="GN208" s="395"/>
      <c r="GO208" s="428">
        <f t="shared" si="600"/>
        <v>0</v>
      </c>
      <c r="GP208" s="428">
        <f t="shared" si="603"/>
        <v>0</v>
      </c>
      <c r="GQ208" s="428">
        <f t="shared" si="601"/>
        <v>0</v>
      </c>
      <c r="GR208" s="428">
        <f t="shared" si="602"/>
        <v>0</v>
      </c>
    </row>
    <row r="209" spans="1:200" s="103" customFormat="1" ht="13.5" customHeight="1" x14ac:dyDescent="0.2">
      <c r="A209" s="272">
        <v>199</v>
      </c>
      <c r="B209" s="110"/>
      <c r="C209" s="110"/>
      <c r="D209" s="110"/>
      <c r="E209" s="110"/>
      <c r="F209" s="110"/>
      <c r="G209" s="110"/>
      <c r="H209" s="110"/>
      <c r="I209" s="29"/>
      <c r="J209" s="29"/>
      <c r="K209" s="272" t="str">
        <f>IFERROR(IF(OR(VLOOKUP(J209, 'Fixture Identities'!$A$6:$L$1023, 3, FALSE)="T12 Linear Fluorescent", VLOOKUP(J209, 'Fixture Identities'!$A$6:$L$1023, 3, FALSE)="T12 U-Tube Fluorescent"), VLOOKUP(VLOOKUP(J209, 'Fixture Identities'!$A$6:$L$1023, 11, FALSE), 'Fixture Identities'!$A$6:$L$1023, 10, FALSE), VLOOKUP(J209, 'Fixture Identities'!$A$6:$L$1023, 10, FALSE)), "")</f>
        <v/>
      </c>
      <c r="L209" s="270" t="str">
        <f t="shared" si="605"/>
        <v/>
      </c>
      <c r="M209" s="110"/>
      <c r="N209" s="110"/>
      <c r="O209" s="110"/>
      <c r="P209" s="272" t="str">
        <f>IFERROR(IF(OR(B209="Retrofit",B209=""),"",IF('Lighting Inventory'!E209="Exterior",VLOOKUP('Lighting Inventory'!N209,'Lookup Tables'!$B$83:$F$103,5,FALSE),IF(N209="Other - Please Estimate EFLH and CFs","Contact Prog. Rep.","ft^2"))), "")</f>
        <v/>
      </c>
      <c r="Q209" s="270" t="str">
        <f>IFERROR(IF(AND(B209="New Construction",E209="Interior",$F$5="Space-by-Space"),VLOOKUP('Lighting Inventory'!N209,'Lookup Tables'!$N$6:$O$97,2,FALSE),IF(AND(B209="New Construction",E209="Exterior"),VLOOKUP(N209,'Lookup Tables'!$B$83:$F$103,2,FALSE),IF(AND(B209="New Construction",'Lighting Inventory'!E209="Interior", $F$5="Building Area"),VLOOKUP(F209,'Lookup Tables'!$A$6:$J$59,10,FALSE),""))), "")</f>
        <v/>
      </c>
      <c r="R209" s="270" t="str">
        <f>IFERROR(IF(P209="Contact Prog. Rep.", "ERROR", IF(OR(B209="",B209="Retrofit"),"",IF(N209="Automated teller machines", ('Lookup Tables'!$A$82:$E$100+('Lighting Inventory'!O209-1)*'Lookup Tables'!$A$82:$E$100)/1000, (Q209*O209)/1000))), "")</f>
        <v/>
      </c>
      <c r="S209" s="595"/>
      <c r="T209" s="105" t="str">
        <f t="shared" si="555"/>
        <v/>
      </c>
      <c r="U209" s="105" t="str">
        <f>IF(S209="","",COUNT($S$11:S209))</f>
        <v/>
      </c>
      <c r="V209" s="111"/>
      <c r="W209" s="112"/>
      <c r="X209" s="105" t="str">
        <f t="shared" si="556"/>
        <v/>
      </c>
      <c r="Y209" s="105" t="str">
        <f t="array" ref="Y209">IF(AND(OR(W209="Freezer Case Lighting", W209="Refrigerated Case Lighting with Doors"), 'General Information'!$X$18="LCI"),'Lookup Tables'!$Y$34, IF(V209="Custom", VLOOKUP(W209, 'Fixture Identities'!$A$974:$M$1023, 13, FALSE), IF(V209="No Change",'Lookup Tables'!$Y$29,IF(OR(V209="",W209=""),"",IF(AND(S209=0,S209&lt;I209,B209="Retrofit"),'Lookup Tables'!$Y$25, IF(B209="Retrofit", INDEX('Lookup Tables'!$AH$6:$AP$102, MATCH(1, ('Lookup Tables'!$AH$6:$AH$102=V209)*('Lookup Tables'!$AI$6:$AI$102=W209), 0), IF('Lighting Inventory'!E209="Interior", 4, 5)), INDEX('Lookup Tables'!$AH$114:$AP$154, MATCH(1, ('Lookup Tables'!$AH$114:$AH$154=V209)*('Lookup Tables'!$AI$114:$AI$154=W209), 0), IF('Lighting Inventory'!E209="Interior", 4, 5))))))))</f>
        <v/>
      </c>
      <c r="Z209" s="105" t="str">
        <f>IFERROR(INDEX('Lookup Tables'!$AH$158:$AH$172,MATCH('Lighting Inventory'!Y209,'Lookup Tables'!$AI$158:$AI$172,0)),"")</f>
        <v/>
      </c>
      <c r="AA209" s="105" t="str">
        <f>IF(AP209&gt;0,INDEX('Lookup Tables'!$AK$158:$AK$172,MATCH('Lighting Inventory'!Y209,'Lookup Tables'!$AI$158:$AI$172,0)),'Lighting Inventory'!Y209)</f>
        <v/>
      </c>
      <c r="AB209" s="105" t="str">
        <f t="array" ref="AB209">IF(V209="Custom", "Custom", IF(V209="", "", IF(V209="Not DLC or Energy Star", "General", IF(B209="New Construction", INDEX('Lookup Tables'!$AH$114:$AP$154,MATCH(1,('Lookup Tables'!$AH$114:$AH$154='Lighting Inventory'!V209)*('Lookup Tables'!$AI$114:$AI$154='Lighting Inventory'!W209),FALSE),8), INDEX('Lookup Tables'!$AH$6:$AP$102,MATCH(1,('Lookup Tables'!$AH$6:$AH$102='Lighting Inventory'!V209)*('Lookup Tables'!$AI$6:$AI$102='Lighting Inventory'!W209),FALSE),8)))))</f>
        <v/>
      </c>
      <c r="AC209" s="272" t="str">
        <f>IF(W209="","",IF(V209="Custom",CONCATENATE("$",'Lookup Tables'!$AM$101," ",'Lookup Tables'!$AN$101),CONCATENATE("$",INDEX('Lookup Tables'!$AM$6:$AM$102,MATCH('Lighting Inventory'!W209,'Lookup Tables'!$AI$6:$AI$102,0))," ",INDEX('Lookup Tables'!$AN$6:$AN$102,MATCH('Lighting Inventory'!W209,'Lookup Tables'!$AI$6:$AI$102,0)))))</f>
        <v/>
      </c>
      <c r="AD209" s="72"/>
      <c r="AE209" s="29"/>
      <c r="AF209" s="379"/>
      <c r="AG209" s="370" t="str">
        <f t="shared" si="504"/>
        <v/>
      </c>
      <c r="AH209" s="370" t="str">
        <f t="shared" si="557"/>
        <v/>
      </c>
      <c r="AI209" s="29"/>
      <c r="AJ209" s="29"/>
      <c r="AK209" s="110"/>
      <c r="AL209" s="375" t="str">
        <f>IF(OR(B209="", V209="", W209=""), "", IF(V209="No Change", K209, IF(V209="Remove Fixture", 0, IF(V209="Custom",VLOOKUP(W209,'Fixture Identities'!$A$6:$K$1023,10,FALSE),IF(AE209="", "← ENTER POST WATTS", 'Lighting Inventory'!AE209)))))</f>
        <v/>
      </c>
      <c r="AM209" s="376" t="str">
        <f t="shared" si="505"/>
        <v/>
      </c>
      <c r="AN209" s="29"/>
      <c r="AO209" s="671"/>
      <c r="AP209" s="29"/>
      <c r="AQ209" s="29"/>
      <c r="AR209" s="29"/>
      <c r="AS209" s="272" t="str">
        <f t="shared" si="558"/>
        <v/>
      </c>
      <c r="AT209" s="270" t="str">
        <f t="shared" si="506"/>
        <v/>
      </c>
      <c r="AU209" s="88" t="str">
        <f t="shared" si="606"/>
        <v/>
      </c>
      <c r="AV209" s="29"/>
      <c r="AW209" s="73"/>
      <c r="AX209" s="271" t="str">
        <f>IF(AND(AV209="Applicant",OR(AW209="", AW209="Use Default Facility Hours")),"← Choose Schedule",IF(F209="","",IF(W209="LED Exit Signs",8760,IF(OR(AV209="Prescribed",AV209=""),VLOOKUP(F209,'Lookup Tables'!$A$6:$G$59,IF(AB209="General", 6, 3),FALSE),VLOOKUP(AW209,'Lookup Tables'!$S$36:$U$43,2,FALSE)))))</f>
        <v/>
      </c>
      <c r="AY209" s="88" t="str">
        <f t="shared" si="507"/>
        <v/>
      </c>
      <c r="AZ209" s="270" t="str">
        <f>IFERROR(IF(F209="", "", IF(W209="LED Exit Signs", 1, IF(AV209="Applicant",VLOOKUP(AW209, 'Lookup Tables'!$S$36:$U$43,3, FALSE), VLOOKUP('Lighting Inventory'!F209, 'Lookup Tables'!$A$6:$H$59, IF('Lighting Inventory'!AB209="General",7,4), FALSE)))), "")</f>
        <v/>
      </c>
      <c r="BA209" s="522" t="str">
        <f>IFERROR(IF(F209="", "", IF(W209="LED Exit Signs", 1, VLOOKUP('Lighting Inventory'!F209, 'Lookup Tables'!$A$6:$H$59, IF('Lighting Inventory'!AB209="General",8,5), FALSE))), "")</f>
        <v/>
      </c>
      <c r="BB209" s="270" t="str">
        <f>IF(G209="", "", IF(E209="Exterior", 0, IF('Lighting Inventory'!G209="Air Conditioned", VLOOKUP(H209, 'Lookup Tables'!$R$6:$T$13, 2, FALSE), VLOOKUP('Lighting Inventory'!G209, 'Lookup Tables'!$R$6:$T$13, 2, FALSE))))</f>
        <v/>
      </c>
      <c r="BC209" s="522" t="str">
        <f>IF(G209="", "", IF(E209="Exterior", 0, IF('Lighting Inventory'!G209="Air Conditioned", VLOOKUP(H209, 'Lookup Tables'!$R$6:$T$13, 3, FALSE), VLOOKUP('Lighting Inventory'!G209, 'Lookup Tables'!$R$6:$T$13, 3, FALSE))))</f>
        <v/>
      </c>
      <c r="BD209" s="270" t="str">
        <f>IF(G209="", "", IF(E209="Exterior", 0, IF('Lighting Inventory'!G209="Air Conditioned", VLOOKUP(H209, 'Lookup Tables'!$R$6:$U$13, 4, FALSE), VLOOKUP('Lighting Inventory'!G209, 'Lookup Tables'!$R$6:$U$13, 4, FALSE))))</f>
        <v/>
      </c>
      <c r="BE209" s="270" t="str">
        <f>IFERROR(IF(B209="", "",  IF(B209="New Construction", VLOOKUP(F209, 'Lookup Tables'!$A$6:$K$59, 11, FALSE),IF(OR(AN209="", AN209="Light Switch"), 0, IF(OR(M209="",M209="None",V209= "LED Exit Signs"),0,_xlfn.XLOOKUP(M209,'Lookup Tables'!$R$91:$R$101,'Lookup Tables'!$V$91:$V$101))))), "")</f>
        <v/>
      </c>
      <c r="BF209" s="270" t="str">
        <f>IF(AND(OR(AN209="Light Switch",AN209=""),B209="New Construction"), VLOOKUP(F209, 'Lookup Tables'!$A$6:$K$59, 11, FALSE),IF(AN209="","",IF(B209="","",IF(OR(AN209="None",AN209="",V209="LED Exit Signs",AN209="Exterior Controls Not Eligible"),0,_xlfn.XLOOKUP(AN209,'Lookup Tables'!$R$91:$R$101,'Lookup Tables'!$V$91:$V$101)))))</f>
        <v/>
      </c>
      <c r="BG209" s="88" t="str">
        <f t="shared" si="559"/>
        <v/>
      </c>
      <c r="BH209" s="88" t="str">
        <f t="shared" si="560"/>
        <v/>
      </c>
      <c r="BI209" s="558" t="str">
        <f t="shared" si="604"/>
        <v/>
      </c>
      <c r="BJ209" s="82" t="str">
        <f t="shared" si="561"/>
        <v/>
      </c>
      <c r="BK209" s="82" t="str">
        <f t="shared" si="562"/>
        <v/>
      </c>
      <c r="BL209" s="559" t="str">
        <f t="shared" si="563"/>
        <v/>
      </c>
      <c r="BM209" s="521" t="str">
        <f t="shared" si="508"/>
        <v/>
      </c>
      <c r="BN209" s="521" t="str">
        <f t="shared" si="509"/>
        <v/>
      </c>
      <c r="BO209" s="522" t="str">
        <f t="shared" si="510"/>
        <v/>
      </c>
      <c r="BP209" s="83" t="str">
        <f t="shared" si="564"/>
        <v/>
      </c>
      <c r="BQ209" s="84" t="str">
        <f t="shared" si="565"/>
        <v/>
      </c>
      <c r="BR209" s="184" t="str">
        <f>IFERROR(IF(B209="", "", IF(OR(VLOOKUP(J209, 'Fixture Identities'!$A$6:$L$1023, 3, FALSE)="T12 Linear Fluorescent",VLOOKUP(J209, 'Fixture Identities'!$A$6:$L$1023, 3, FALSE)="T12 U-Tube Fluorescent"), "Y", "N")), "N")</f>
        <v/>
      </c>
      <c r="BS209" s="184" t="str">
        <f t="array" ref="BS209">IFERROR(IF(OR(B209="", V209="", W209=""), "", IF(V209="Custom", "N", IF(OR(W209="Freezer Case Lighting", W209="Refrigerated Case Lighting with Doors"), BT209, IF(B209="Retrofit", INDEX('Lookup Tables'!$AH$6:$AT$102,MATCH(1,('Lookup Tables'!$AH$6:$AH$102=V209)*('Lookup Tables'!$AI$6:$AI$102=W209),FALSE),IF(VLOOKUP(J209, 'Fixture Identities'!$A$6:$B$1023, 2, FALSE)="Incandescent",12, 13)), INDEX('Lookup Tables'!$AH$114:$AS$154,MATCH(1,('Lookup Tables'!$AH$114:$AH$154=V209)*('Lookup Tables'!$AI$114:$AI$154=W209),FALSE),12))))), "N")</f>
        <v/>
      </c>
      <c r="BT209" s="184" t="str">
        <f>IF(J209="", "", IF(AND(OR(W209="Freezer case Lighting", W209="Refrigerated Case Lighting with Doors"),'General Information'!$X$18="LCI"), "N", IF(OR(VLOOKUP(J209, 'Fixture Identities'!$A$6:$B$1023, 2, FALSE)="T12 EPACT/EISA Baseline", VLOOKUP(J209, 'Fixture Identities'!$A$6:$B$1023, 2, FALSE)="Linear Fluorescent", VLOOKUP(J209, 'Fixture Identities'!$A$6:$B$1023, 2, FALSE)="U-Tube Fluorescent"), "Y", "N")))</f>
        <v/>
      </c>
      <c r="BU209" s="184" t="str">
        <f>IFERROR(IF(B209="", "", IF(VLOOKUP(J209, 'Fixture Identities'!$A$6:$B$1023, 2, FALSE)="Exit Sign", "Y", "N")), "N")</f>
        <v/>
      </c>
      <c r="BV209" s="184" t="str">
        <f>IF(V209="Exit Signs", IF(VLOOKUP(J209, 'Fixture Identities'!$A$6:$B$1023, 2, FALSE)="Exit Sign", "N", "Y"), "")</f>
        <v/>
      </c>
      <c r="BW209" s="184" t="str">
        <f t="array" ref="BW209">IFERROR(IF(B209="", "", IF(B209="New Construction", "N", INDEX('Lookup Tables'!$AH$6:$AU$102, MATCH(1, ('Lookup Tables'!$AH$6:$AH$102='Lighting Inventory'!V209)*('Lookup Tables'!$AI$6:$AI$102='Lighting Inventory'!W209), 0), 14))), "N")</f>
        <v/>
      </c>
      <c r="BX209" s="598" t="str">
        <f t="shared" si="566"/>
        <v/>
      </c>
      <c r="BY209" s="598" t="str">
        <f t="shared" si="567"/>
        <v/>
      </c>
      <c r="BZ209" s="598" t="str">
        <f t="shared" si="568"/>
        <v/>
      </c>
      <c r="CA209" s="598" t="str">
        <f t="shared" si="569"/>
        <v/>
      </c>
      <c r="CB209" s="269" t="str">
        <f t="shared" si="570"/>
        <v/>
      </c>
      <c r="CC209" s="517" t="str">
        <f t="shared" si="571"/>
        <v/>
      </c>
      <c r="CD209" s="565" t="str">
        <f t="shared" si="511"/>
        <v/>
      </c>
      <c r="CE209" s="368">
        <v>0</v>
      </c>
      <c r="CF209" s="368" t="str" cm="1">
        <f t="array" ref="CF209">IFERROR(IF(V209="Custom", "$0.1 per kWh", IF(B209="New Construction", CONCATENATE("$",INDEX('Lookup Tables'!$AH$114:$AN$154,MATCH(1,('Lookup Tables'!$AH$114:$AH$154='Lighting Inventory'!V209)*('Lookup Tables'!$AI$114:$AI$154='Lighting Inventory'!W209),FALSE),6)," ",INDEX('Lookup Tables'!$AH$114:$AN$154,MATCH(1,('Lookup Tables'!$AH$114:$AH$154='Lighting Inventory'!V209)*('Lookup Tables'!$AI$114:$AI$154='Lighting Inventory'!W209),FALSE),7)), IF(AND(BU209="N", V209="Exit Signs"), "$0.025 per kWh", CONCATENATE("$",INDEX('Lookup Tables'!$AH$6:$AN$102,MATCH(1,('Lookup Tables'!$AH$6:$AH$102='Lighting Inventory'!V209)*('Lookup Tables'!$AI$6:$AI$102='Lighting Inventory'!W209),FALSE),6)," ",INDEX('Lookup Tables'!$AH$6:$AN$102,MATCH(1,('Lookup Tables'!$AH$6:$AH$102='Lighting Inventory'!V209)*('Lookup Tables'!$AI$6:$AI$102='Lighting Inventory'!W209),FALSE),7))))), "")</f>
        <v/>
      </c>
      <c r="CG209" s="366"/>
      <c r="CH209" s="248" t="str">
        <f t="shared" si="512"/>
        <v/>
      </c>
      <c r="CI209" s="248" t="str">
        <f t="shared" si="513"/>
        <v>Select_IE</v>
      </c>
      <c r="CJ209" s="248" t="str">
        <f t="shared" si="514"/>
        <v/>
      </c>
      <c r="CK209" s="248" t="str">
        <f t="shared" si="515"/>
        <v/>
      </c>
      <c r="CL209" s="248" t="str">
        <f t="shared" si="516"/>
        <v/>
      </c>
      <c r="CM209" s="248" t="str">
        <f>IFERROR(IF(B209="", "", IF(B209="New Construction", VLOOKUP(V209, 'Lookup Tables'!$AF$114:$AG$120, 2, FALSE), VLOOKUP(V209, 'Lookup Tables'!$AD$6:$AE$25, 2, FALSE))), "")</f>
        <v/>
      </c>
      <c r="CN209" s="248" t="str">
        <f t="shared" si="517"/>
        <v/>
      </c>
      <c r="CO209" s="248" t="str">
        <f t="shared" si="518"/>
        <v/>
      </c>
      <c r="CP209" s="592" t="str">
        <f t="shared" si="519"/>
        <v/>
      </c>
      <c r="CQ209" s="248" t="str">
        <f t="shared" si="572"/>
        <v/>
      </c>
      <c r="CR209" s="100"/>
      <c r="CS209" s="250" t="str">
        <f t="shared" si="520"/>
        <v/>
      </c>
      <c r="CT209" s="250" t="str">
        <f t="shared" si="573"/>
        <v/>
      </c>
      <c r="CU209" s="250" t="str">
        <f t="shared" si="574"/>
        <v/>
      </c>
      <c r="CV209" s="250" t="str">
        <f t="shared" si="575"/>
        <v/>
      </c>
      <c r="CW209" s="250" t="str">
        <f t="shared" si="576"/>
        <v/>
      </c>
      <c r="CX209" s="250" t="str">
        <f t="shared" si="521"/>
        <v/>
      </c>
      <c r="CY209" s="250" t="str">
        <f t="shared" si="522"/>
        <v/>
      </c>
      <c r="CZ209" s="250" t="str">
        <f t="shared" si="523"/>
        <v/>
      </c>
      <c r="DA209" s="250" t="str">
        <f t="shared" si="524"/>
        <v/>
      </c>
      <c r="DB209" s="250" t="str">
        <f t="shared" si="525"/>
        <v/>
      </c>
      <c r="DC209" s="250" t="str">
        <f t="shared" si="526"/>
        <v/>
      </c>
      <c r="DD209" s="250" t="str">
        <f t="shared" si="527"/>
        <v/>
      </c>
      <c r="DE209" s="250" t="str">
        <f t="shared" si="528"/>
        <v/>
      </c>
      <c r="DF209" s="250" t="str">
        <f t="shared" si="529"/>
        <v/>
      </c>
      <c r="DG209" s="250" t="str">
        <f t="shared" si="530"/>
        <v/>
      </c>
      <c r="DH209" s="250" t="str">
        <f t="shared" si="531"/>
        <v/>
      </c>
      <c r="DI209" s="250" t="str">
        <f t="shared" si="532"/>
        <v/>
      </c>
      <c r="DJ209" s="250" t="str">
        <f t="shared" si="533"/>
        <v/>
      </c>
      <c r="DK209" s="250" t="str">
        <f t="shared" si="534"/>
        <v/>
      </c>
      <c r="DL209" s="250" t="str">
        <f t="shared" si="535"/>
        <v/>
      </c>
      <c r="DM209" s="250" t="str">
        <f>IF(CD209="ERROR", "ERROR", IF(AND(OR(Y209=$DM$6, Y209='Lookup Tables'!$AD$21, Y209='Lookup Tables'!$AD$22), E209="Interior"), BJ209, ""))</f>
        <v/>
      </c>
      <c r="DN209" s="250" t="str">
        <f>IF(CD209="ERROR", "ERROR", IF(AND(OR(Y209=$DM$6, Y209='Lookup Tables'!$AD$21, Y209='Lookup Tables'!$AD$22), E209="Exterior"), BJ209, ""))</f>
        <v/>
      </c>
      <c r="DO209" s="100"/>
      <c r="DP209" s="250" t="str">
        <f t="shared" si="536"/>
        <v/>
      </c>
      <c r="DQ209" s="250" t="str">
        <f t="shared" si="577"/>
        <v/>
      </c>
      <c r="DR209" s="250" t="str">
        <f t="shared" si="578"/>
        <v/>
      </c>
      <c r="DS209" s="250" t="str">
        <f t="shared" si="579"/>
        <v/>
      </c>
      <c r="DT209" s="250" t="str">
        <f t="shared" si="580"/>
        <v/>
      </c>
      <c r="DU209" s="250" t="str">
        <f t="shared" si="537"/>
        <v/>
      </c>
      <c r="DV209" s="250" t="str">
        <f t="shared" si="538"/>
        <v/>
      </c>
      <c r="DW209" s="250" t="str">
        <f t="shared" si="539"/>
        <v/>
      </c>
      <c r="DX209" s="250" t="str">
        <f t="shared" si="540"/>
        <v/>
      </c>
      <c r="DY209" s="250" t="str">
        <f t="shared" si="541"/>
        <v/>
      </c>
      <c r="DZ209" s="250" t="str">
        <f t="shared" si="542"/>
        <v/>
      </c>
      <c r="EA209" s="250" t="str">
        <f t="shared" si="543"/>
        <v/>
      </c>
      <c r="EB209" s="250" t="str">
        <f t="shared" si="581"/>
        <v/>
      </c>
      <c r="EC209" s="250" t="str">
        <f t="shared" si="544"/>
        <v/>
      </c>
      <c r="ED209" s="250" t="str">
        <f t="shared" si="545"/>
        <v/>
      </c>
      <c r="EE209" s="250" t="str">
        <f t="shared" si="546"/>
        <v/>
      </c>
      <c r="EF209" s="250" t="str">
        <f t="shared" si="547"/>
        <v/>
      </c>
      <c r="EG209" s="250" t="str">
        <f t="shared" si="548"/>
        <v/>
      </c>
      <c r="EH209" s="250" t="str">
        <f>IF(CD209="ERROR", "ERROR", IF(AND(OR($EH$6=Y209, Y209='Lookup Tables'!$AD$21, Y209='Lookup Tables'!$AD$22),E209="Interior"), SUM(BP209:BP209), ""))</f>
        <v/>
      </c>
      <c r="EI209" s="250" t="str">
        <f>IF(CD209="ERROR", "ERROR", IF(AND(OR($EH$6=Y209, Y209='Lookup Tables'!$AD$21, Y209='Lookup Tables'!$AD$22),E209="Exterior"), SUM(BP209:BP209), ""))</f>
        <v/>
      </c>
      <c r="EJ209" s="109"/>
      <c r="EK209" s="485" t="str">
        <f t="shared" si="549"/>
        <v/>
      </c>
      <c r="EL209" s="252" t="str">
        <f t="shared" si="582"/>
        <v/>
      </c>
      <c r="EM209" s="252" t="str">
        <f t="shared" si="583"/>
        <v/>
      </c>
      <c r="EN209" s="252" t="str">
        <f t="shared" si="584"/>
        <v/>
      </c>
      <c r="EO209" s="252" t="str">
        <f t="shared" si="585"/>
        <v/>
      </c>
      <c r="EP209" s="252" t="str">
        <f t="shared" si="586"/>
        <v/>
      </c>
      <c r="EQ209" s="252" t="str">
        <f t="shared" si="587"/>
        <v/>
      </c>
      <c r="ER209" s="252" t="str">
        <f t="shared" si="588"/>
        <v/>
      </c>
      <c r="ES209" s="252" t="str">
        <f t="shared" si="589"/>
        <v/>
      </c>
      <c r="ET209" s="252" t="str">
        <f t="shared" si="590"/>
        <v/>
      </c>
      <c r="EU209" s="252" t="str">
        <f t="shared" si="591"/>
        <v/>
      </c>
      <c r="EV209" s="252" t="str">
        <f t="shared" si="592"/>
        <v/>
      </c>
      <c r="EW209" s="252" t="str">
        <f t="shared" si="593"/>
        <v/>
      </c>
      <c r="EX209" s="252" t="str">
        <f t="shared" si="594"/>
        <v/>
      </c>
      <c r="EY209" s="252" t="str">
        <f t="shared" si="595"/>
        <v/>
      </c>
      <c r="EZ209" s="252" t="str">
        <f t="shared" si="596"/>
        <v/>
      </c>
      <c r="FA209" s="252" t="str">
        <f t="shared" si="597"/>
        <v/>
      </c>
      <c r="FB209" s="252" t="str">
        <f t="shared" si="598"/>
        <v/>
      </c>
      <c r="FC209" s="252" t="str">
        <f>IF(CD209="ERROR", "ERROR", IF(OR(V209="No Change", V209="Not DLC or Energy Star"), "", IF(AND(OR($FC$6=Y209,Y209='Lookup Tables'!$AD$21, Y209='Lookup Tables'!$AD$22),E209="Interior"), S209, "")))</f>
        <v/>
      </c>
      <c r="FD209" s="252" t="str">
        <f t="shared" si="599"/>
        <v/>
      </c>
      <c r="FE209" s="101"/>
      <c r="FF209" s="579" t="str" cm="1">
        <f t="array" ref="FF209">IFERROR(IF(OR(BQ209&lt;=0,AQ209&lt;20,AND(V209="Exit Signs",AN209&gt;0)),"",IF(AND(AQ209&gt;=20,AN209='Lookup Tables'!$R$101),'Lookup Tables'!$U$101*BQ209,AP209*LOOKUP(2,1/((AN209='Lookup Tables'!$R$91:$R$111)*(AQ209&gt;='Lookup Tables'!$S$91:$S$111)*(AQ209&lt;='Lookup Tables'!$T$91:$T$111)),'Lookup Tables'!$U$91:$U$111))),"")</f>
        <v/>
      </c>
      <c r="FG209" s="579"/>
      <c r="FH209" s="579"/>
      <c r="FI209" s="253" t="str">
        <f>IFERROR(ROUND(IF(CD209="ERROR", "ERROR", IF(AND($FI$7=X209,E209="Interior"),VLOOKUP(W209, 'Lookup Tables'!$AI$6:$AM$102, 5, FALSE)*BP209, "")), 2), "")</f>
        <v/>
      </c>
      <c r="FJ209" s="253" t="str">
        <f>IFERROR(ROUND(IF(CD209="ERROR", "ERROR", IF(AND($FI$7=X209,E209="Exterior"),VLOOKUP(W209, 'Lookup Tables'!$AI$6:$AM$102, 5, FALSE)*BP209, "")), 2), "")</f>
        <v/>
      </c>
      <c r="FK209" s="253" t="str">
        <f>IFERROR(ROUND(IF(CD209="ERROR", "ERROR", IF(AND($FK$7=X209,E209="Interior"),VLOOKUP(W209, 'Lookup Tables'!$AI$6:$AM$102, 5, FALSE)*BP209, "")), 2), "")</f>
        <v/>
      </c>
      <c r="FL209" s="253" t="str">
        <f>IFERROR(ROUND(IF(CD209="ERROR", "ERROR", IF(AND($FK$7=X209,E209="Exterior"),VLOOKUP(W209, 'Lookup Tables'!$AI$6:$AM$102, 5, FALSE)*BP209, "")), 2), "")</f>
        <v/>
      </c>
      <c r="FM209" s="253" t="str">
        <f>IFERROR(ROUND(IF(CD209="ERROR", "ERROR", IF(AND($FM$6=Y209,E209="Interior"), IF(GB209=0, VLOOKUP(W209, 'Lookup Tables'!$AI$6:$AM$102, 5, FALSE)*BP209, IF(VLOOKUP(W209, 'Lookup Tables'!$AI$6:$AM$102, 5, FALSE)*BP209&gt;GB209*'Lighting Inventory'!S209, GB209*'Lighting Inventory'!S209,VLOOKUP(W209, 'Lookup Tables'!$AI$6:$AM$102, 5, FALSE)*BP209)), "")), 2), "")</f>
        <v/>
      </c>
      <c r="FN209" s="253" t="str">
        <f>IFERROR(ROUND(IF(CD209="ERROR", "ERROR", IF(AND($FM$6=Y209,E209="Exterior"), IF(GB209=0, VLOOKUP(W209, 'Lookup Tables'!$AI$6:$AM$102, 5, FALSE)*BP209, IF(VLOOKUP(W209, 'Lookup Tables'!$AI$6:$AM$102, 5, FALSE)*BP209&gt;GB209*'Lighting Inventory'!S209, GB209*'Lighting Inventory'!S209,VLOOKUP(W209, 'Lookup Tables'!$AI$6:$AM$102, 5, FALSE)*BP209)), "")), 2), "")</f>
        <v/>
      </c>
      <c r="FO209" s="253" t="str">
        <f>IFERROR(ROUND(IF(CD209="ERROR", "ERROR", IF(AND($FO$6=Y209,E209="Interior"),VLOOKUP(W209, 'Lookup Tables'!$AI$6:$AM$102, 5, FALSE)*'Lighting Inventory'!AI209, "")), 2), "")</f>
        <v/>
      </c>
      <c r="FP209" s="253" t="str">
        <f>IFERROR(ROUND(IF(CD209="ERROR", "ERROR", IF(AND($FO$6=Y209,E209="Exterior"),VLOOKUP(W209, 'Lookup Tables'!$AI$6:$AM$102, 5, FALSE)*'Lighting Inventory'!AI209, "")), 2), "")</f>
        <v/>
      </c>
      <c r="FQ209" s="253" t="str">
        <f>IFERROR(ROUND(IF(CD209="ERROR", "ERROR", IF(AND($FQ$6=Y209,E209="Interior", BU209="Y"), VLOOKUP('Lighting Inventory'!W209, 'Lookup Tables'!$AI$6:$AM$102, 5, FALSE)*'Lighting Inventory'!S209, IF(AND($FQ$7=Y209,E209="Interior", BU209="N"), 0.025*CD209, ""))), 2), "")</f>
        <v/>
      </c>
      <c r="FR209" s="253" t="str">
        <f>IFERROR(ROUND(IF(CD209="ERROR", "ERROR", IF(AND($FQ$6=Y209,E209="Exterior"), VLOOKUP('Lighting Inventory'!W209, 'Lookup Tables'!$AI$6:$AM$102, 5, FALSE)*'Lighting Inventory'!S209, "")), 2), "")</f>
        <v/>
      </c>
      <c r="FS209" s="253" t="str">
        <f>IFERROR(ROUND(IF(CD209="ERROR", "ERROR", IF(AND($FS$6=Y209,E209="Exterior"), IF(GB209=0, VLOOKUP(W209, 'Lookup Tables'!$AI$6:$AM$102, 5, FALSE)*BP209, IF(VLOOKUP(W209, 'Lookup Tables'!$AI$6:$AM$102, 5, FALSE)*BP209&gt;GB209*'Lighting Inventory'!S209, GB209*'Lighting Inventory'!S209,VLOOKUP(W209, 'Lookup Tables'!$AI$6:$AM$102, 5, FALSE)*BP209)), "")), 2), "")</f>
        <v/>
      </c>
      <c r="FT209" s="253" t="str">
        <f>IFERROR(ROUND(IF(CD209="ERROR", "ERROR", IF(AND($FT$6=Y209,E209="Interior"), IF(GB209=0, VLOOKUP(W209, 'Lookup Tables'!$AI$6:$AM$102, 5, FALSE)*BP209, IF(VLOOKUP(W209, 'Lookup Tables'!$AI$6:$AM$102, 5, FALSE)*BP209&gt;GB209*'Lighting Inventory'!S209, GB209*'Lighting Inventory'!S209,VLOOKUP(W209, 'Lookup Tables'!$AI$6:$AM$102, 5, FALSE)*BP209)), "")), 2), "")</f>
        <v/>
      </c>
      <c r="FU209" s="253" t="str">
        <f>IFERROR(ROUND(IF(CD209="ERROR", "ERROR", IF(AND(Y209=$FU$6, E209="Interior"), IF(BS209="N", 'Lookup Tables'!$AM$101*BP209, VLOOKUP(W209, 'Lookup Tables'!$AI$6:$AM$102, 5, FALSE)*S209*AD209), "")), 2), "")</f>
        <v/>
      </c>
      <c r="FV209" s="253" t="str">
        <f>IFERROR(ROUND(IF(CD209="ERROR", "ERROR", IF(AND(Y209=$FU$6, E209="Exterior"), IF(BS209="N", 'Lookup Tables'!$AM$101*BP209, VLOOKUP(W209, 'Lookup Tables'!$AI$6:$AM$102, 5, FALSE)*S209*AD209), "")), 2), "")</f>
        <v/>
      </c>
      <c r="FW209" s="253" t="str">
        <f>IFERROR(ROUND(IF(CD209="ERROR", "ERROR", IF($FW$6=Y209, IF(BS209="N", 'Lookup Tables'!$AM$101*BP209, MIN((VLOOKUP(W209, 'Lookup Tables'!$AI$6:$AM$102, 5, FALSE)*BP209),GB209*AJ209)), "")), 2), "")</f>
        <v/>
      </c>
      <c r="FX209" s="253" t="str">
        <f>IFERROR(ROUND(IF(CD209="ERROR", "ERROR", IF(AND($FX$6=Y209, E209="Interior"), IF(VLOOKUP(W209, 'Lookup Tables'!$AI$6:$AM$102, 5, FALSE)*BP209&gt;'Lookup Tables'!$AQ$97*'Lighting Inventory'!S209,'Lighting Inventory'!S209*'Lookup Tables'!$AQ$97,VLOOKUP(W209, 'Lookup Tables'!$AI$6:$AM$102, 5, FALSE)*BP209), "")), 2), "")</f>
        <v/>
      </c>
      <c r="FY209" s="253" t="str">
        <f>IFERROR(ROUND(IF(CD209="ERROR", "ERROR", IF(AND($FX$6=Y209, E209="Exterior"), IF(VLOOKUP(W209, 'Lookup Tables'!$AI$6:$AM$102, 5, FALSE)*BP209&gt;'Lookup Tables'!$AQ$97*'Lighting Inventory'!S209,'Lighting Inventory'!S209*'Lookup Tables'!$AQ$97,VLOOKUP(W209, 'Lookup Tables'!$AI$6:$AM$102, 5, FALSE)*BP209), "")), 2), "")</f>
        <v/>
      </c>
      <c r="FZ209" s="253" t="str">
        <f>IFERROR(ROUND(IF(CD209="ERROR", "ERROR", IF(AND($FZ$6=Y209, E209="Interior"), IF(AND(OR(W209="Refrigerated Case Lighting with Doors", W209="Freezer Case Lighting"),Y209="Custom - Process Improvement"),CD209*'Lookup Tables'!$AM$101, IF(B209="Retrofit", IF(VLOOKUP(IF(V209="Custom", V209, W209), 'Lookup Tables'!$AI$6:$AM$102, 5, FALSE)*BP209&gt;GE209, GE209, VLOOKUP(IF(V209="Custom", V209, W209), 'Lookup Tables'!$AI$6:$AM$102, 5, FALSE)*BP209), IF(VLOOKUP(IF(V209="Custom", V209, W209), 'Lookup Tables'!$AI$114:$AM$154, 5, FALSE)*BP209&gt;GE209, GE209, VLOOKUP(IF(V209="Custom", V209, W209), 'Lookup Tables'!$AI$114:$AM$154, 5, FALSE)*BP209))), "")), 2),"")</f>
        <v/>
      </c>
      <c r="GA209" s="253" t="str">
        <f>IFERROR(ROUND(IF(CD209="ERROR", "ERROR", IF(AND($FZ$6=Y209, E209="Exterior"), IF(B209="Retrofit", IF(VLOOKUP(IF(V209="Custom", V209, W209), 'Lookup Tables'!$AI$6:$AM$102, 5, FALSE)*BP209&gt;GE209, GE209, VLOOKUP(IF(V209="Custom", V209, W209), 'Lookup Tables'!$AI$6:$AM$102, 5, FALSE)*BP209), IF(VLOOKUP(IF(V209="Custom", V209, W209), 'Lookup Tables'!$AI$114:$AM$154, 5, FALSE)*BP209&gt;GE209, GE209, VLOOKUP(IF(V209="Custom", V209, W209), 'Lookup Tables'!$AI$114:$AM$154, 5, FALSE)*BP209)), "")), 2),"")</f>
        <v/>
      </c>
      <c r="GB209" s="254" t="str">
        <f t="array" ref="GB209">IF(B209="","",IF(OR(V209="Custom",V209="No Change"),0,IF(B209="Retrofit", INDEX('Lookup Tables'!$AH$6:$AQ$102,MATCH(1,('Lookup Tables'!$AH$6:$AH$102='Lighting Inventory'!V209)*('Lookup Tables'!$AI$6:$AI$102='Lighting Inventory'!W209),FALSE),10),INDEX('Lookup Tables'!$AH$114:$AQ$154,MATCH(1,('Lookup Tables'!$AH$114:$AH$154='Lighting Inventory'!V209)*('Lookup Tables'!$AI$114:$AI$154='Lighting Inventory'!W209),FALSE),10))))</f>
        <v/>
      </c>
      <c r="GC209" s="255" t="str">
        <f t="shared" si="550"/>
        <v/>
      </c>
      <c r="GD209" s="250" t="str">
        <f t="shared" si="551"/>
        <v/>
      </c>
      <c r="GE209" s="253" t="str">
        <f>IFERROR(IF(AND(AF209="", 'General Information'!$F$18="No"),"", IF(AF209="", ((GD209/$CD$266)*$CF$266)*0.5, AF209*S209*0.5)), "")</f>
        <v/>
      </c>
      <c r="GF209" s="255" t="str">
        <f>IF(AND('General Information'!$F$19="", 'General Information'!$F$18="Yes",AF209="",BW209="Y"), "Y", "N")</f>
        <v>N</v>
      </c>
      <c r="GG209" s="255" t="s">
        <v>2946</v>
      </c>
      <c r="GH209" s="255" t="str">
        <f>IFERROR(IF(B209="", "", VLOOKUP(J209, 'Fixture Identities'!$A$6:$N$908, 14, FALSE)), "")</f>
        <v/>
      </c>
      <c r="GI209" s="389" t="str">
        <f>IF(OR(B209="", V209="", W209=""), "", IF(AND(OR(M209='Lookup Tables'!$R$18, M209='Lookup Tables'!$R$19, M209='Lookup Tables'!$R$20, M209='Lookup Tables'!$R$21, M209='Lookup Tables'!$R$22), OR(AN209='Lookup Tables'!$R$17, AN209='Lookup Tables'!$R$17, AN209="")), "Y", "N"))</f>
        <v/>
      </c>
      <c r="GJ209" s="255" t="str">
        <f t="shared" si="552"/>
        <v/>
      </c>
      <c r="GK209" s="255" t="str">
        <f t="shared" si="553"/>
        <v/>
      </c>
      <c r="GL209" s="255" t="str">
        <f t="shared" si="554"/>
        <v/>
      </c>
      <c r="GM209" s="255" t="str">
        <f>IF(AN209="", "", IF(AND(IF(ISNA(VLOOKUP(AN209,'Lookup Tables'!$R$18:$R$22,1,FALSE)), "N", "Y")="Y", E209="Exterior"), "Y", "N"))</f>
        <v/>
      </c>
      <c r="GN209" s="395"/>
      <c r="GO209" s="428">
        <f t="shared" si="600"/>
        <v>0</v>
      </c>
      <c r="GP209" s="428">
        <f t="shared" si="603"/>
        <v>0</v>
      </c>
      <c r="GQ209" s="428">
        <f t="shared" si="601"/>
        <v>0</v>
      </c>
      <c r="GR209" s="428">
        <f t="shared" si="602"/>
        <v>0</v>
      </c>
    </row>
    <row r="210" spans="1:200" s="103" customFormat="1" ht="13.5" customHeight="1" x14ac:dyDescent="0.2">
      <c r="A210" s="272">
        <v>200</v>
      </c>
      <c r="B210" s="110"/>
      <c r="C210" s="110"/>
      <c r="D210" s="110"/>
      <c r="E210" s="110"/>
      <c r="F210" s="110"/>
      <c r="G210" s="110"/>
      <c r="H210" s="110"/>
      <c r="I210" s="29"/>
      <c r="J210" s="29"/>
      <c r="K210" s="272" t="str">
        <f>IFERROR(IF(OR(VLOOKUP(J210, 'Fixture Identities'!$A$6:$L$1023, 3, FALSE)="T12 Linear Fluorescent", VLOOKUP(J210, 'Fixture Identities'!$A$6:$L$1023, 3, FALSE)="T12 U-Tube Fluorescent"), VLOOKUP(VLOOKUP(J210, 'Fixture Identities'!$A$6:$L$1023, 11, FALSE), 'Fixture Identities'!$A$6:$L$1023, 10, FALSE), VLOOKUP(J210, 'Fixture Identities'!$A$6:$L$1023, 10, FALSE)), "")</f>
        <v/>
      </c>
      <c r="L210" s="270" t="str">
        <f t="shared" si="605"/>
        <v/>
      </c>
      <c r="M210" s="110"/>
      <c r="N210" s="110"/>
      <c r="O210" s="110"/>
      <c r="P210" s="272" t="str">
        <f>IFERROR(IF(OR(B210="Retrofit",B210=""),"",IF('Lighting Inventory'!E210="Exterior",VLOOKUP('Lighting Inventory'!N210,'Lookup Tables'!$B$83:$F$103,5,FALSE),IF(N210="Other - Please Estimate EFLH and CFs","Contact Prog. Rep.","ft^2"))), "")</f>
        <v/>
      </c>
      <c r="Q210" s="270" t="str">
        <f>IFERROR(IF(AND(B210="New Construction",E210="Interior",$F$5="Space-by-Space"),VLOOKUP('Lighting Inventory'!N210,'Lookup Tables'!$N$6:$O$97,2,FALSE),IF(AND(B210="New Construction",E210="Exterior"),VLOOKUP(N210,'Lookup Tables'!$B$83:$F$103,2,FALSE),IF(AND(B210="New Construction",'Lighting Inventory'!E210="Interior", $F$5="Building Area"),VLOOKUP(F210,'Lookup Tables'!$A$6:$J$59,10,FALSE),""))), "")</f>
        <v/>
      </c>
      <c r="R210" s="270" t="str">
        <f>IFERROR(IF(P210="Contact Prog. Rep.", "ERROR", IF(OR(B210="",B210="Retrofit"),"",IF(N210="Automated teller machines", ('Lookup Tables'!$A$82:$E$100+('Lighting Inventory'!O210-1)*'Lookup Tables'!$A$82:$E$100)/1000, (Q210*O210)/1000))), "")</f>
        <v/>
      </c>
      <c r="S210" s="595"/>
      <c r="T210" s="105" t="str">
        <f t="shared" si="555"/>
        <v/>
      </c>
      <c r="U210" s="105" t="str">
        <f>IF(S210="","",COUNT($S$11:S210))</f>
        <v/>
      </c>
      <c r="V210" s="111"/>
      <c r="W210" s="112"/>
      <c r="X210" s="105" t="str">
        <f t="shared" si="556"/>
        <v/>
      </c>
      <c r="Y210" s="105" t="str">
        <f t="array" ref="Y210">IF(AND(OR(W210="Freezer Case Lighting", W210="Refrigerated Case Lighting with Doors"), 'General Information'!$X$18="LCI"),'Lookup Tables'!$Y$34, IF(V210="Custom", VLOOKUP(W210, 'Fixture Identities'!$A$974:$M$1023, 13, FALSE), IF(V210="No Change",'Lookup Tables'!$Y$29,IF(OR(V210="",W210=""),"",IF(AND(S210=0,S210&lt;I210,B210="Retrofit"),'Lookup Tables'!$Y$25, IF(B210="Retrofit", INDEX('Lookup Tables'!$AH$6:$AP$102, MATCH(1, ('Lookup Tables'!$AH$6:$AH$102=V210)*('Lookup Tables'!$AI$6:$AI$102=W210), 0), IF('Lighting Inventory'!E210="Interior", 4, 5)), INDEX('Lookup Tables'!$AH$114:$AP$154, MATCH(1, ('Lookup Tables'!$AH$114:$AH$154=V210)*('Lookup Tables'!$AI$114:$AI$154=W210), 0), IF('Lighting Inventory'!E210="Interior", 4, 5))))))))</f>
        <v/>
      </c>
      <c r="Z210" s="105" t="str">
        <f>IFERROR(INDEX('Lookup Tables'!$AH$158:$AH$172,MATCH('Lighting Inventory'!Y210,'Lookup Tables'!$AI$158:$AI$172,0)),"")</f>
        <v/>
      </c>
      <c r="AA210" s="105" t="str">
        <f>IF(AP210&gt;0,INDEX('Lookup Tables'!$AK$158:$AK$172,MATCH('Lighting Inventory'!Y210,'Lookup Tables'!$AI$158:$AI$172,0)),'Lighting Inventory'!Y210)</f>
        <v/>
      </c>
      <c r="AB210" s="105" t="str">
        <f t="array" ref="AB210">IF(V210="Custom", "Custom", IF(V210="", "", IF(V210="Not DLC or Energy Star", "General", IF(B210="New Construction", INDEX('Lookup Tables'!$AH$114:$AP$154,MATCH(1,('Lookup Tables'!$AH$114:$AH$154='Lighting Inventory'!V210)*('Lookup Tables'!$AI$114:$AI$154='Lighting Inventory'!W210),FALSE),8), INDEX('Lookup Tables'!$AH$6:$AP$102,MATCH(1,('Lookup Tables'!$AH$6:$AH$102='Lighting Inventory'!V210)*('Lookup Tables'!$AI$6:$AI$102='Lighting Inventory'!W210),FALSE),8)))))</f>
        <v/>
      </c>
      <c r="AC210" s="272" t="str">
        <f>IF(W210="","",IF(V210="Custom",CONCATENATE("$",'Lookup Tables'!$AM$101," ",'Lookup Tables'!$AN$101),CONCATENATE("$",INDEX('Lookup Tables'!$AM$6:$AM$102,MATCH('Lighting Inventory'!W210,'Lookup Tables'!$AI$6:$AI$102,0))," ",INDEX('Lookup Tables'!$AN$6:$AN$102,MATCH('Lighting Inventory'!W210,'Lookup Tables'!$AI$6:$AI$102,0)))))</f>
        <v/>
      </c>
      <c r="AD210" s="72"/>
      <c r="AE210" s="29"/>
      <c r="AF210" s="379"/>
      <c r="AG210" s="370" t="str">
        <f t="shared" si="504"/>
        <v/>
      </c>
      <c r="AH210" s="370" t="str">
        <f t="shared" si="557"/>
        <v/>
      </c>
      <c r="AI210" s="29"/>
      <c r="AJ210" s="29"/>
      <c r="AK210" s="110"/>
      <c r="AL210" s="375" t="str">
        <f>IF(OR(B210="", V210="", W210=""), "", IF(V210="No Change", K210, IF(V210="Remove Fixture", 0, IF(V210="Custom",VLOOKUP(W210,'Fixture Identities'!$A$6:$K$1023,10,FALSE),IF(AE210="", "← ENTER POST WATTS", 'Lighting Inventory'!AE210)))))</f>
        <v/>
      </c>
      <c r="AM210" s="376" t="str">
        <f t="shared" si="505"/>
        <v/>
      </c>
      <c r="AN210" s="29"/>
      <c r="AO210" s="671"/>
      <c r="AP210" s="29"/>
      <c r="AQ210" s="29"/>
      <c r="AR210" s="29"/>
      <c r="AS210" s="272" t="str">
        <f t="shared" si="558"/>
        <v/>
      </c>
      <c r="AT210" s="270" t="str">
        <f t="shared" si="506"/>
        <v/>
      </c>
      <c r="AU210" s="88" t="str">
        <f t="shared" si="606"/>
        <v/>
      </c>
      <c r="AV210" s="29"/>
      <c r="AW210" s="73"/>
      <c r="AX210" s="271" t="str">
        <f>IF(AND(AV210="Applicant",OR(AW210="", AW210="Use Default Facility Hours")),"← Choose Schedule",IF(F210="","",IF(W210="LED Exit Signs",8760,IF(OR(AV210="Prescribed",AV210=""),VLOOKUP(F210,'Lookup Tables'!$A$6:$G$59,IF(AB210="General", 6, 3),FALSE),VLOOKUP(AW210,'Lookup Tables'!$S$36:$U$43,2,FALSE)))))</f>
        <v/>
      </c>
      <c r="AY210" s="88" t="str">
        <f t="shared" si="507"/>
        <v/>
      </c>
      <c r="AZ210" s="270" t="str">
        <f>IFERROR(IF(F210="", "", IF(W210="LED Exit Signs", 1, IF(AV210="Applicant",VLOOKUP(AW210, 'Lookup Tables'!$S$36:$U$43,3, FALSE), VLOOKUP('Lighting Inventory'!F210, 'Lookup Tables'!$A$6:$H$59, IF('Lighting Inventory'!AB210="General",7,4), FALSE)))), "")</f>
        <v/>
      </c>
      <c r="BA210" s="522" t="str">
        <f>IFERROR(IF(F210="", "", IF(W210="LED Exit Signs", 1, VLOOKUP('Lighting Inventory'!F210, 'Lookup Tables'!$A$6:$H$59, IF('Lighting Inventory'!AB210="General",8,5), FALSE))), "")</f>
        <v/>
      </c>
      <c r="BB210" s="270" t="str">
        <f>IF(G210="", "", IF(E210="Exterior", 0, IF('Lighting Inventory'!G210="Air Conditioned", VLOOKUP(H210, 'Lookup Tables'!$R$6:$T$13, 2, FALSE), VLOOKUP('Lighting Inventory'!G210, 'Lookup Tables'!$R$6:$T$13, 2, FALSE))))</f>
        <v/>
      </c>
      <c r="BC210" s="522" t="str">
        <f>IF(G210="", "", IF(E210="Exterior", 0, IF('Lighting Inventory'!G210="Air Conditioned", VLOOKUP(H210, 'Lookup Tables'!$R$6:$T$13, 3, FALSE), VLOOKUP('Lighting Inventory'!G210, 'Lookup Tables'!$R$6:$T$13, 3, FALSE))))</f>
        <v/>
      </c>
      <c r="BD210" s="270" t="str">
        <f>IF(G210="", "", IF(E210="Exterior", 0, IF('Lighting Inventory'!G210="Air Conditioned", VLOOKUP(H210, 'Lookup Tables'!$R$6:$U$13, 4, FALSE), VLOOKUP('Lighting Inventory'!G210, 'Lookup Tables'!$R$6:$U$13, 4, FALSE))))</f>
        <v/>
      </c>
      <c r="BE210" s="270" t="str">
        <f>IFERROR(IF(B210="", "",  IF(B210="New Construction", VLOOKUP(F210, 'Lookup Tables'!$A$6:$K$59, 11, FALSE),IF(OR(AN210="", AN210="Light Switch"), 0, IF(OR(M210="",M210="None",V210= "LED Exit Signs"),0,_xlfn.XLOOKUP(M210,'Lookup Tables'!$R$91:$R$101,'Lookup Tables'!$V$91:$V$101))))), "")</f>
        <v/>
      </c>
      <c r="BF210" s="270" t="str">
        <f>IF(AND(OR(AN210="Light Switch",AN210=""),B210="New Construction"), VLOOKUP(F210, 'Lookup Tables'!$A$6:$K$59, 11, FALSE),IF(AN210="","",IF(B210="","",IF(OR(AN210="None",AN210="",V210="LED Exit Signs",AN210="Exterior Controls Not Eligible"),0,_xlfn.XLOOKUP(AN210,'Lookup Tables'!$R$91:$R$101,'Lookup Tables'!$V$91:$V$101)))))</f>
        <v/>
      </c>
      <c r="BG210" s="88" t="str">
        <f t="shared" si="559"/>
        <v/>
      </c>
      <c r="BH210" s="88" t="str">
        <f t="shared" si="560"/>
        <v/>
      </c>
      <c r="BI210" s="558" t="str">
        <f t="shared" si="604"/>
        <v/>
      </c>
      <c r="BJ210" s="82" t="str">
        <f t="shared" si="561"/>
        <v/>
      </c>
      <c r="BK210" s="82" t="str">
        <f t="shared" si="562"/>
        <v/>
      </c>
      <c r="BL210" s="559" t="str">
        <f t="shared" si="563"/>
        <v/>
      </c>
      <c r="BM210" s="521" t="str">
        <f t="shared" si="508"/>
        <v/>
      </c>
      <c r="BN210" s="521" t="str">
        <f t="shared" si="509"/>
        <v/>
      </c>
      <c r="BO210" s="522" t="str">
        <f t="shared" si="510"/>
        <v/>
      </c>
      <c r="BP210" s="83" t="str">
        <f t="shared" si="564"/>
        <v/>
      </c>
      <c r="BQ210" s="84" t="str">
        <f t="shared" si="565"/>
        <v/>
      </c>
      <c r="BR210" s="184" t="str">
        <f>IFERROR(IF(B210="", "", IF(OR(VLOOKUP(J210, 'Fixture Identities'!$A$6:$L$1023, 3, FALSE)="T12 Linear Fluorescent",VLOOKUP(J210, 'Fixture Identities'!$A$6:$L$1023, 3, FALSE)="T12 U-Tube Fluorescent"), "Y", "N")), "N")</f>
        <v/>
      </c>
      <c r="BS210" s="184" t="str">
        <f t="array" ref="BS210">IFERROR(IF(OR(B210="", V210="", W210=""), "", IF(V210="Custom", "N", IF(OR(W210="Freezer Case Lighting", W210="Refrigerated Case Lighting with Doors"), BT210, IF(B210="Retrofit", INDEX('Lookup Tables'!$AH$6:$AT$102,MATCH(1,('Lookup Tables'!$AH$6:$AH$102=V210)*('Lookup Tables'!$AI$6:$AI$102=W210),FALSE),IF(VLOOKUP(J210, 'Fixture Identities'!$A$6:$B$1023, 2, FALSE)="Incandescent",12, 13)), INDEX('Lookup Tables'!$AH$114:$AS$154,MATCH(1,('Lookup Tables'!$AH$114:$AH$154=V210)*('Lookup Tables'!$AI$114:$AI$154=W210),FALSE),12))))), "N")</f>
        <v/>
      </c>
      <c r="BT210" s="184" t="str">
        <f>IF(J210="", "", IF(AND(OR(W210="Freezer case Lighting", W210="Refrigerated Case Lighting with Doors"),'General Information'!$X$18="LCI"), "N", IF(OR(VLOOKUP(J210, 'Fixture Identities'!$A$6:$B$1023, 2, FALSE)="T12 EPACT/EISA Baseline", VLOOKUP(J210, 'Fixture Identities'!$A$6:$B$1023, 2, FALSE)="Linear Fluorescent", VLOOKUP(J210, 'Fixture Identities'!$A$6:$B$1023, 2, FALSE)="U-Tube Fluorescent"), "Y", "N")))</f>
        <v/>
      </c>
      <c r="BU210" s="184" t="str">
        <f>IFERROR(IF(B210="", "", IF(VLOOKUP(J210, 'Fixture Identities'!$A$6:$B$1023, 2, FALSE)="Exit Sign", "Y", "N")), "N")</f>
        <v/>
      </c>
      <c r="BV210" s="184" t="str">
        <f>IF(V210="Exit Signs", IF(VLOOKUP(J210, 'Fixture Identities'!$A$6:$B$1023, 2, FALSE)="Exit Sign", "N", "Y"), "")</f>
        <v/>
      </c>
      <c r="BW210" s="184" t="str">
        <f t="array" ref="BW210">IFERROR(IF(B210="", "", IF(B210="New Construction", "N", INDEX('Lookup Tables'!$AH$6:$AU$102, MATCH(1, ('Lookup Tables'!$AH$6:$AH$102='Lighting Inventory'!V210)*('Lookup Tables'!$AI$6:$AI$102='Lighting Inventory'!W210), 0), 14))), "N")</f>
        <v/>
      </c>
      <c r="BX210" s="598" t="str">
        <f t="shared" si="566"/>
        <v/>
      </c>
      <c r="BY210" s="598" t="str">
        <f t="shared" si="567"/>
        <v/>
      </c>
      <c r="BZ210" s="598" t="str">
        <f t="shared" si="568"/>
        <v/>
      </c>
      <c r="CA210" s="598" t="str">
        <f t="shared" si="569"/>
        <v/>
      </c>
      <c r="CB210" s="269" t="str">
        <f t="shared" si="570"/>
        <v/>
      </c>
      <c r="CC210" s="517" t="str">
        <f t="shared" si="571"/>
        <v/>
      </c>
      <c r="CD210" s="565" t="str">
        <f t="shared" si="511"/>
        <v/>
      </c>
      <c r="CE210" s="368">
        <v>0</v>
      </c>
      <c r="CF210" s="368" t="str" cm="1">
        <f t="array" ref="CF210">IFERROR(IF(V210="Custom", "$0.1 per kWh", IF(B210="New Construction", CONCATENATE("$",INDEX('Lookup Tables'!$AH$114:$AN$154,MATCH(1,('Lookup Tables'!$AH$114:$AH$154='Lighting Inventory'!V210)*('Lookup Tables'!$AI$114:$AI$154='Lighting Inventory'!W210),FALSE),6)," ",INDEX('Lookup Tables'!$AH$114:$AN$154,MATCH(1,('Lookup Tables'!$AH$114:$AH$154='Lighting Inventory'!V210)*('Lookup Tables'!$AI$114:$AI$154='Lighting Inventory'!W210),FALSE),7)), IF(AND(BU210="N", V210="Exit Signs"), "$0.025 per kWh", CONCATENATE("$",INDEX('Lookup Tables'!$AH$6:$AN$102,MATCH(1,('Lookup Tables'!$AH$6:$AH$102='Lighting Inventory'!V210)*('Lookup Tables'!$AI$6:$AI$102='Lighting Inventory'!W210),FALSE),6)," ",INDEX('Lookup Tables'!$AH$6:$AN$102,MATCH(1,('Lookup Tables'!$AH$6:$AH$102='Lighting Inventory'!V210)*('Lookup Tables'!$AI$6:$AI$102='Lighting Inventory'!W210),FALSE),7))))), "")</f>
        <v/>
      </c>
      <c r="CG210" s="366"/>
      <c r="CH210" s="248" t="str">
        <f t="shared" si="512"/>
        <v/>
      </c>
      <c r="CI210" s="248" t="str">
        <f t="shared" si="513"/>
        <v>Select_IE</v>
      </c>
      <c r="CJ210" s="248" t="str">
        <f t="shared" si="514"/>
        <v/>
      </c>
      <c r="CK210" s="248" t="str">
        <f t="shared" si="515"/>
        <v/>
      </c>
      <c r="CL210" s="248" t="str">
        <f t="shared" si="516"/>
        <v/>
      </c>
      <c r="CM210" s="248" t="str">
        <f>IFERROR(IF(B210="", "", IF(B210="New Construction", VLOOKUP(V210, 'Lookup Tables'!$AF$114:$AG$120, 2, FALSE), VLOOKUP(V210, 'Lookup Tables'!$AD$6:$AE$25, 2, FALSE))), "")</f>
        <v/>
      </c>
      <c r="CN210" s="248" t="str">
        <f t="shared" si="517"/>
        <v/>
      </c>
      <c r="CO210" s="248" t="str">
        <f t="shared" si="518"/>
        <v/>
      </c>
      <c r="CP210" s="592" t="str">
        <f t="shared" si="519"/>
        <v/>
      </c>
      <c r="CQ210" s="248" t="str">
        <f t="shared" si="572"/>
        <v/>
      </c>
      <c r="CR210" s="249"/>
      <c r="CS210" s="250" t="str">
        <f t="shared" si="520"/>
        <v/>
      </c>
      <c r="CT210" s="250" t="str">
        <f t="shared" si="573"/>
        <v/>
      </c>
      <c r="CU210" s="250" t="str">
        <f t="shared" si="574"/>
        <v/>
      </c>
      <c r="CV210" s="250" t="str">
        <f t="shared" si="575"/>
        <v/>
      </c>
      <c r="CW210" s="250" t="str">
        <f t="shared" si="576"/>
        <v/>
      </c>
      <c r="CX210" s="250" t="str">
        <f t="shared" si="521"/>
        <v/>
      </c>
      <c r="CY210" s="250" t="str">
        <f t="shared" si="522"/>
        <v/>
      </c>
      <c r="CZ210" s="250" t="str">
        <f t="shared" si="523"/>
        <v/>
      </c>
      <c r="DA210" s="250" t="str">
        <f t="shared" si="524"/>
        <v/>
      </c>
      <c r="DB210" s="250" t="str">
        <f t="shared" si="525"/>
        <v/>
      </c>
      <c r="DC210" s="250" t="str">
        <f t="shared" si="526"/>
        <v/>
      </c>
      <c r="DD210" s="250" t="str">
        <f t="shared" si="527"/>
        <v/>
      </c>
      <c r="DE210" s="250" t="str">
        <f t="shared" si="528"/>
        <v/>
      </c>
      <c r="DF210" s="250" t="str">
        <f t="shared" si="529"/>
        <v/>
      </c>
      <c r="DG210" s="250" t="str">
        <f t="shared" si="530"/>
        <v/>
      </c>
      <c r="DH210" s="250" t="str">
        <f t="shared" si="531"/>
        <v/>
      </c>
      <c r="DI210" s="250" t="str">
        <f t="shared" si="532"/>
        <v/>
      </c>
      <c r="DJ210" s="250" t="str">
        <f t="shared" si="533"/>
        <v/>
      </c>
      <c r="DK210" s="250" t="str">
        <f t="shared" si="534"/>
        <v/>
      </c>
      <c r="DL210" s="250" t="str">
        <f t="shared" si="535"/>
        <v/>
      </c>
      <c r="DM210" s="250" t="str">
        <f>IF(CD210="ERROR", "ERROR", IF(AND(OR(Y210=$DM$6, Y210='Lookup Tables'!$AD$21, Y210='Lookup Tables'!$AD$22), E210="Interior"), BJ210, ""))</f>
        <v/>
      </c>
      <c r="DN210" s="250" t="str">
        <f>IF(CD210="ERROR", "ERROR", IF(AND(OR(Y210=$DM$6, Y210='Lookup Tables'!$AD$21, Y210='Lookup Tables'!$AD$22), E210="Exterior"), BJ210, ""))</f>
        <v/>
      </c>
      <c r="DO210" s="249"/>
      <c r="DP210" s="250" t="str">
        <f t="shared" si="536"/>
        <v/>
      </c>
      <c r="DQ210" s="250" t="str">
        <f t="shared" si="577"/>
        <v/>
      </c>
      <c r="DR210" s="250" t="str">
        <f t="shared" si="578"/>
        <v/>
      </c>
      <c r="DS210" s="250" t="str">
        <f t="shared" si="579"/>
        <v/>
      </c>
      <c r="DT210" s="250" t="str">
        <f t="shared" si="580"/>
        <v/>
      </c>
      <c r="DU210" s="250" t="str">
        <f t="shared" si="537"/>
        <v/>
      </c>
      <c r="DV210" s="250" t="str">
        <f t="shared" si="538"/>
        <v/>
      </c>
      <c r="DW210" s="250" t="str">
        <f t="shared" si="539"/>
        <v/>
      </c>
      <c r="DX210" s="250" t="str">
        <f t="shared" si="540"/>
        <v/>
      </c>
      <c r="DY210" s="250" t="str">
        <f t="shared" si="541"/>
        <v/>
      </c>
      <c r="DZ210" s="250" t="str">
        <f t="shared" si="542"/>
        <v/>
      </c>
      <c r="EA210" s="250" t="str">
        <f t="shared" si="543"/>
        <v/>
      </c>
      <c r="EB210" s="250" t="str">
        <f t="shared" si="581"/>
        <v/>
      </c>
      <c r="EC210" s="250" t="str">
        <f t="shared" si="544"/>
        <v/>
      </c>
      <c r="ED210" s="250" t="str">
        <f t="shared" si="545"/>
        <v/>
      </c>
      <c r="EE210" s="250" t="str">
        <f t="shared" si="546"/>
        <v/>
      </c>
      <c r="EF210" s="250" t="str">
        <f t="shared" si="547"/>
        <v/>
      </c>
      <c r="EG210" s="250" t="str">
        <f t="shared" si="548"/>
        <v/>
      </c>
      <c r="EH210" s="250" t="str">
        <f>IF(CD210="ERROR", "ERROR", IF(AND(OR($EH$6=Y210, Y210='Lookup Tables'!$AD$21, Y210='Lookup Tables'!$AD$22),E210="Interior"), SUM(BP210:BP210), ""))</f>
        <v/>
      </c>
      <c r="EI210" s="250" t="str">
        <f>IF(CD210="ERROR", "ERROR", IF(AND(OR($EH$6=Y210, Y210='Lookup Tables'!$AD$21, Y210='Lookup Tables'!$AD$22),E210="Exterior"), SUM(BP210:BP210), ""))</f>
        <v/>
      </c>
      <c r="EJ210" s="109"/>
      <c r="EK210" s="485" t="str">
        <f t="shared" si="549"/>
        <v/>
      </c>
      <c r="EL210" s="252" t="str">
        <f t="shared" si="582"/>
        <v/>
      </c>
      <c r="EM210" s="252" t="str">
        <f t="shared" si="583"/>
        <v/>
      </c>
      <c r="EN210" s="252" t="str">
        <f t="shared" si="584"/>
        <v/>
      </c>
      <c r="EO210" s="252" t="str">
        <f t="shared" si="585"/>
        <v/>
      </c>
      <c r="EP210" s="252" t="str">
        <f t="shared" si="586"/>
        <v/>
      </c>
      <c r="EQ210" s="252" t="str">
        <f t="shared" si="587"/>
        <v/>
      </c>
      <c r="ER210" s="252" t="str">
        <f t="shared" si="588"/>
        <v/>
      </c>
      <c r="ES210" s="252" t="str">
        <f t="shared" si="589"/>
        <v/>
      </c>
      <c r="ET210" s="252" t="str">
        <f t="shared" si="590"/>
        <v/>
      </c>
      <c r="EU210" s="252" t="str">
        <f t="shared" si="591"/>
        <v/>
      </c>
      <c r="EV210" s="252" t="str">
        <f t="shared" si="592"/>
        <v/>
      </c>
      <c r="EW210" s="252" t="str">
        <f t="shared" si="593"/>
        <v/>
      </c>
      <c r="EX210" s="252" t="str">
        <f t="shared" si="594"/>
        <v/>
      </c>
      <c r="EY210" s="252" t="str">
        <f t="shared" si="595"/>
        <v/>
      </c>
      <c r="EZ210" s="252" t="str">
        <f t="shared" si="596"/>
        <v/>
      </c>
      <c r="FA210" s="252" t="str">
        <f t="shared" si="597"/>
        <v/>
      </c>
      <c r="FB210" s="252" t="str">
        <f t="shared" si="598"/>
        <v/>
      </c>
      <c r="FC210" s="252" t="str">
        <f>IF(CD210="ERROR", "ERROR", IF(OR(V210="No Change", V210="Not DLC or Energy Star"), "", IF(AND(OR($FC$6=Y210,Y210='Lookup Tables'!$AD$21, Y210='Lookup Tables'!$AD$22),E210="Interior"), S210, "")))</f>
        <v/>
      </c>
      <c r="FD210" s="252" t="str">
        <f t="shared" si="599"/>
        <v/>
      </c>
      <c r="FE210" s="1"/>
      <c r="FF210" s="579" t="str" cm="1">
        <f t="array" ref="FF210">IFERROR(IF(OR(BQ210&lt;=0,AQ210&lt;20,AND(V210="Exit Signs",AN210&gt;0)),"",IF(AND(AQ210&gt;=20,AN210='Lookup Tables'!$R$101),'Lookup Tables'!$U$101*BQ210,AP210*LOOKUP(2,1/((AN210='Lookup Tables'!$R$91:$R$111)*(AQ210&gt;='Lookup Tables'!$S$91:$S$111)*(AQ210&lt;='Lookup Tables'!$T$91:$T$111)),'Lookup Tables'!$U$91:$U$111))),"")</f>
        <v/>
      </c>
      <c r="FG210" s="579"/>
      <c r="FH210" s="579"/>
      <c r="FI210" s="253" t="str">
        <f>IFERROR(ROUND(IF(CD210="ERROR", "ERROR", IF(AND($FI$7=X210,E210="Interior"),VLOOKUP(W210, 'Lookup Tables'!$AI$6:$AM$102, 5, FALSE)*BP210, "")), 2), "")</f>
        <v/>
      </c>
      <c r="FJ210" s="253" t="str">
        <f>IFERROR(ROUND(IF(CD210="ERROR", "ERROR", IF(AND($FI$7=X210,E210="Exterior"),VLOOKUP(W210, 'Lookup Tables'!$AI$6:$AM$102, 5, FALSE)*BP210, "")), 2), "")</f>
        <v/>
      </c>
      <c r="FK210" s="253" t="str">
        <f>IFERROR(ROUND(IF(CD210="ERROR", "ERROR", IF(AND($FK$7=X210,E210="Interior"),VLOOKUP(W210, 'Lookup Tables'!$AI$6:$AM$102, 5, FALSE)*BP210, "")), 2), "")</f>
        <v/>
      </c>
      <c r="FL210" s="253" t="str">
        <f>IFERROR(ROUND(IF(CD210="ERROR", "ERROR", IF(AND($FK$7=X210,E210="Exterior"),VLOOKUP(W210, 'Lookup Tables'!$AI$6:$AM$102, 5, FALSE)*BP210, "")), 2), "")</f>
        <v/>
      </c>
      <c r="FM210" s="253" t="str">
        <f>IFERROR(ROUND(IF(CD210="ERROR", "ERROR", IF(AND($FM$6=Y210,E210="Interior"), IF(GB210=0, VLOOKUP(W210, 'Lookup Tables'!$AI$6:$AM$102, 5, FALSE)*BP210, IF(VLOOKUP(W210, 'Lookup Tables'!$AI$6:$AM$102, 5, FALSE)*BP210&gt;GB210*'Lighting Inventory'!S210, GB210*'Lighting Inventory'!S210,VLOOKUP(W210, 'Lookup Tables'!$AI$6:$AM$102, 5, FALSE)*BP210)), "")), 2), "")</f>
        <v/>
      </c>
      <c r="FN210" s="253" t="str">
        <f>IFERROR(ROUND(IF(CD210="ERROR", "ERROR", IF(AND($FM$6=Y210,E210="Exterior"), IF(GB210=0, VLOOKUP(W210, 'Lookup Tables'!$AI$6:$AM$102, 5, FALSE)*BP210, IF(VLOOKUP(W210, 'Lookup Tables'!$AI$6:$AM$102, 5, FALSE)*BP210&gt;GB210*'Lighting Inventory'!S210, GB210*'Lighting Inventory'!S210,VLOOKUP(W210, 'Lookup Tables'!$AI$6:$AM$102, 5, FALSE)*BP210)), "")), 2), "")</f>
        <v/>
      </c>
      <c r="FO210" s="253" t="str">
        <f>IFERROR(ROUND(IF(CD210="ERROR", "ERROR", IF(AND($FO$6=Y210,E210="Interior"),VLOOKUP(W210, 'Lookup Tables'!$AI$6:$AM$102, 5, FALSE)*'Lighting Inventory'!AI210, "")), 2), "")</f>
        <v/>
      </c>
      <c r="FP210" s="253" t="str">
        <f>IFERROR(ROUND(IF(CD210="ERROR", "ERROR", IF(AND($FO$6=Y210,E210="Exterior"),VLOOKUP(W210, 'Lookup Tables'!$AI$6:$AM$102, 5, FALSE)*'Lighting Inventory'!AI210, "")), 2), "")</f>
        <v/>
      </c>
      <c r="FQ210" s="253" t="str">
        <f>IFERROR(ROUND(IF(CD210="ERROR", "ERROR", IF(AND($FQ$6=Y210,E210="Interior", BU210="Y"), VLOOKUP('Lighting Inventory'!W210, 'Lookup Tables'!$AI$6:$AM$102, 5, FALSE)*'Lighting Inventory'!S210, IF(AND($FQ$7=Y210,E210="Interior", BU210="N"), 0.025*CD210, ""))), 2), "")</f>
        <v/>
      </c>
      <c r="FR210" s="253" t="str">
        <f>IFERROR(ROUND(IF(CD210="ERROR", "ERROR", IF(AND($FQ$6=Y210,E210="Exterior"), VLOOKUP('Lighting Inventory'!W210, 'Lookup Tables'!$AI$6:$AM$102, 5, FALSE)*'Lighting Inventory'!S210, "")), 2), "")</f>
        <v/>
      </c>
      <c r="FS210" s="253" t="str">
        <f>IFERROR(ROUND(IF(CD210="ERROR", "ERROR", IF(AND($FS$6=Y210,E210="Exterior"), IF(GB210=0, VLOOKUP(W210, 'Lookup Tables'!$AI$6:$AM$102, 5, FALSE)*BP210, IF(VLOOKUP(W210, 'Lookup Tables'!$AI$6:$AM$102, 5, FALSE)*BP210&gt;GB210*'Lighting Inventory'!S210, GB210*'Lighting Inventory'!S210,VLOOKUP(W210, 'Lookup Tables'!$AI$6:$AM$102, 5, FALSE)*BP210)), "")), 2), "")</f>
        <v/>
      </c>
      <c r="FT210" s="253" t="str">
        <f>IFERROR(ROUND(IF(CD210="ERROR", "ERROR", IF(AND($FT$6=Y210,E210="Interior"), IF(GB210=0, VLOOKUP(W210, 'Lookup Tables'!$AI$6:$AM$102, 5, FALSE)*BP210, IF(VLOOKUP(W210, 'Lookup Tables'!$AI$6:$AM$102, 5, FALSE)*BP210&gt;GB210*'Lighting Inventory'!S210, GB210*'Lighting Inventory'!S210,VLOOKUP(W210, 'Lookup Tables'!$AI$6:$AM$102, 5, FALSE)*BP210)), "")), 2), "")</f>
        <v/>
      </c>
      <c r="FU210" s="253" t="str">
        <f>IFERROR(ROUND(IF(CD210="ERROR", "ERROR", IF(AND(Y210=$FU$6, E210="Interior"), IF(BS210="N", 'Lookup Tables'!$AM$101*BP210, VLOOKUP(W210, 'Lookup Tables'!$AI$6:$AM$102, 5, FALSE)*S210*AD210), "")), 2), "")</f>
        <v/>
      </c>
      <c r="FV210" s="253" t="str">
        <f>IFERROR(ROUND(IF(CD210="ERROR", "ERROR", IF(AND(Y210=$FU$6, E210="Exterior"), IF(BS210="N", 'Lookup Tables'!$AM$101*BP210, VLOOKUP(W210, 'Lookup Tables'!$AI$6:$AM$102, 5, FALSE)*S210*AD210), "")), 2), "")</f>
        <v/>
      </c>
      <c r="FW210" s="253" t="str">
        <f>IFERROR(ROUND(IF(CD210="ERROR", "ERROR", IF($FW$6=Y210, IF(BS210="N", 'Lookup Tables'!$AM$101*BP210, MIN((VLOOKUP(W210, 'Lookup Tables'!$AI$6:$AM$102, 5, FALSE)*BP210),GB210*AJ210)), "")), 2), "")</f>
        <v/>
      </c>
      <c r="FX210" s="253" t="str">
        <f>IFERROR(ROUND(IF(CD210="ERROR", "ERROR", IF(AND($FX$6=Y210, E210="Interior"), IF(VLOOKUP(W210, 'Lookup Tables'!$AI$6:$AM$102, 5, FALSE)*BP210&gt;'Lookup Tables'!$AQ$97*'Lighting Inventory'!S210,'Lighting Inventory'!S210*'Lookup Tables'!$AQ$97,VLOOKUP(W210, 'Lookup Tables'!$AI$6:$AM$102, 5, FALSE)*BP210), "")), 2), "")</f>
        <v/>
      </c>
      <c r="FY210" s="253" t="str">
        <f>IFERROR(ROUND(IF(CD210="ERROR", "ERROR", IF(AND($FX$6=Y210, E210="Exterior"), IF(VLOOKUP(W210, 'Lookup Tables'!$AI$6:$AM$102, 5, FALSE)*BP210&gt;'Lookup Tables'!$AQ$97*'Lighting Inventory'!S210,'Lighting Inventory'!S210*'Lookup Tables'!$AQ$97,VLOOKUP(W210, 'Lookup Tables'!$AI$6:$AM$102, 5, FALSE)*BP210), "")), 2), "")</f>
        <v/>
      </c>
      <c r="FZ210" s="253" t="str">
        <f>IFERROR(ROUND(IF(CD210="ERROR", "ERROR", IF(AND($FZ$6=Y210, E210="Interior"), IF(AND(OR(W210="Refrigerated Case Lighting with Doors", W210="Freezer Case Lighting"),Y210="Custom - Process Improvement"),CD210*'Lookup Tables'!$AM$101, IF(B210="Retrofit", IF(VLOOKUP(IF(V210="Custom", V210, W210), 'Lookup Tables'!$AI$6:$AM$102, 5, FALSE)*BP210&gt;GE210, GE210, VLOOKUP(IF(V210="Custom", V210, W210), 'Lookup Tables'!$AI$6:$AM$102, 5, FALSE)*BP210), IF(VLOOKUP(IF(V210="Custom", V210, W210), 'Lookup Tables'!$AI$114:$AM$154, 5, FALSE)*BP210&gt;GE210, GE210, VLOOKUP(IF(V210="Custom", V210, W210), 'Lookup Tables'!$AI$114:$AM$154, 5, FALSE)*BP210))), "")), 2),"")</f>
        <v/>
      </c>
      <c r="GA210" s="253" t="str">
        <f>IFERROR(ROUND(IF(CD210="ERROR", "ERROR", IF(AND($FZ$6=Y210, E210="Exterior"), IF(B210="Retrofit", IF(VLOOKUP(IF(V210="Custom", V210, W210), 'Lookup Tables'!$AI$6:$AM$102, 5, FALSE)*BP210&gt;GE210, GE210, VLOOKUP(IF(V210="Custom", V210, W210), 'Lookup Tables'!$AI$6:$AM$102, 5, FALSE)*BP210), IF(VLOOKUP(IF(V210="Custom", V210, W210), 'Lookup Tables'!$AI$114:$AM$154, 5, FALSE)*BP210&gt;GE210, GE210, VLOOKUP(IF(V210="Custom", V210, W210), 'Lookup Tables'!$AI$114:$AM$154, 5, FALSE)*BP210)), "")), 2),"")</f>
        <v/>
      </c>
      <c r="GB210" s="254" t="str">
        <f t="array" ref="GB210">IF(B210="","",IF(OR(V210="Custom",V210="No Change"),0,IF(B210="Retrofit", INDEX('Lookup Tables'!$AH$6:$AQ$102,MATCH(1,('Lookup Tables'!$AH$6:$AH$102='Lighting Inventory'!V210)*('Lookup Tables'!$AI$6:$AI$102='Lighting Inventory'!W210),FALSE),10),INDEX('Lookup Tables'!$AH$114:$AQ$154,MATCH(1,('Lookup Tables'!$AH$114:$AH$154='Lighting Inventory'!V210)*('Lookup Tables'!$AI$114:$AI$154='Lighting Inventory'!W210),FALSE),10))))</f>
        <v/>
      </c>
      <c r="GC210" s="255" t="str">
        <f t="shared" si="550"/>
        <v/>
      </c>
      <c r="GD210" s="250" t="str">
        <f t="shared" si="551"/>
        <v/>
      </c>
      <c r="GE210" s="253" t="str">
        <f>IFERROR(IF(AND(AF210="", 'General Information'!$F$18="No"),"", IF(AF210="", ((GD210/$CD$266)*$CF$266)*0.5, AF210*S210*0.5)), "")</f>
        <v/>
      </c>
      <c r="GF210" s="255" t="str">
        <f>IF(AND('General Information'!$F$19="", 'General Information'!$F$18="Yes",AF210="",BW210="Y"), "Y", "N")</f>
        <v>N</v>
      </c>
      <c r="GG210" s="255" t="s">
        <v>2946</v>
      </c>
      <c r="GH210" s="255" t="str">
        <f>IFERROR(IF(B210="", "", VLOOKUP(J210, 'Fixture Identities'!$A$6:$N$908, 14, FALSE)), "")</f>
        <v/>
      </c>
      <c r="GI210" s="389" t="str">
        <f>IF(OR(B210="", V210="", W210=""), "", IF(AND(OR(M210='Lookup Tables'!$R$18, M210='Lookup Tables'!$R$19, M210='Lookup Tables'!$R$20, M210='Lookup Tables'!$R$21, M210='Lookup Tables'!$R$22), OR(AN210='Lookup Tables'!$R$17, AN210='Lookup Tables'!$R$17, AN210="")), "Y", "N"))</f>
        <v/>
      </c>
      <c r="GJ210" s="255" t="str">
        <f t="shared" si="552"/>
        <v/>
      </c>
      <c r="GK210" s="255" t="str">
        <f t="shared" si="553"/>
        <v/>
      </c>
      <c r="GL210" s="255" t="str">
        <f t="shared" si="554"/>
        <v/>
      </c>
      <c r="GM210" s="255" t="str">
        <f>IF(AN210="", "", IF(AND(IF(ISNA(VLOOKUP(AN210,'Lookup Tables'!$R$18:$R$22,1,FALSE)), "N", "Y")="Y", E210="Exterior"), "Y", "N"))</f>
        <v/>
      </c>
      <c r="GN210" s="395"/>
      <c r="GO210" s="428">
        <f t="shared" si="600"/>
        <v>0</v>
      </c>
      <c r="GP210" s="428">
        <f t="shared" si="603"/>
        <v>0</v>
      </c>
      <c r="GQ210" s="428">
        <f t="shared" si="601"/>
        <v>0</v>
      </c>
      <c r="GR210" s="428">
        <f t="shared" si="602"/>
        <v>0</v>
      </c>
    </row>
    <row r="211" spans="1:200" s="103" customFormat="1" ht="13.5" customHeight="1" x14ac:dyDescent="0.2">
      <c r="A211" s="272">
        <v>201</v>
      </c>
      <c r="B211" s="110"/>
      <c r="C211" s="110"/>
      <c r="D211" s="110"/>
      <c r="E211" s="110"/>
      <c r="F211" s="110"/>
      <c r="G211" s="110"/>
      <c r="H211" s="110"/>
      <c r="I211" s="29"/>
      <c r="J211" s="29"/>
      <c r="K211" s="272" t="str">
        <f>IFERROR(IF(OR(VLOOKUP(J211, 'Fixture Identities'!$A$6:$L$1023, 3, FALSE)="T12 Linear Fluorescent", VLOOKUP(J211, 'Fixture Identities'!$A$6:$L$1023, 3, FALSE)="T12 U-Tube Fluorescent"), VLOOKUP(VLOOKUP(J211, 'Fixture Identities'!$A$6:$L$1023, 11, FALSE), 'Fixture Identities'!$A$6:$L$1023, 10, FALSE), VLOOKUP(J211, 'Fixture Identities'!$A$6:$L$1023, 10, FALSE)), "")</f>
        <v/>
      </c>
      <c r="L211" s="270" t="str">
        <f t="shared" si="605"/>
        <v/>
      </c>
      <c r="M211" s="110"/>
      <c r="N211" s="110"/>
      <c r="O211" s="110"/>
      <c r="P211" s="272" t="str">
        <f>IFERROR(IF(OR(B211="Retrofit",B211=""),"",IF('Lighting Inventory'!E211="Exterior",VLOOKUP('Lighting Inventory'!N211,'Lookup Tables'!$B$83:$F$103,5,FALSE),IF(N211="Other - Please Estimate EFLH and CFs","Contact Prog. Rep.","ft^2"))), "")</f>
        <v/>
      </c>
      <c r="Q211" s="270" t="str">
        <f>IFERROR(IF(AND(B211="New Construction",E211="Interior",$F$5="Space-by-Space"),VLOOKUP('Lighting Inventory'!N211,'Lookup Tables'!$N$6:$O$97,2,FALSE),IF(AND(B211="New Construction",E211="Exterior"),VLOOKUP(N211,'Lookup Tables'!$B$83:$F$103,2,FALSE),IF(AND(B211="New Construction",'Lighting Inventory'!E211="Interior", $F$5="Building Area"),VLOOKUP(F211,'Lookup Tables'!$A$6:$J$59,10,FALSE),""))), "")</f>
        <v/>
      </c>
      <c r="R211" s="270" t="str">
        <f>IFERROR(IF(P211="Contact Prog. Rep.", "ERROR", IF(OR(B211="",B211="Retrofit"),"",IF(N211="Automated teller machines", ('Lookup Tables'!$A$82:$E$100+('Lighting Inventory'!O211-1)*'Lookup Tables'!$A$82:$E$100)/1000, (Q211*O211)/1000))), "")</f>
        <v/>
      </c>
      <c r="S211" s="595"/>
      <c r="T211" s="105" t="str">
        <f t="shared" si="555"/>
        <v/>
      </c>
      <c r="U211" s="105" t="str">
        <f>IF(S211="","",COUNT($S$11:S211))</f>
        <v/>
      </c>
      <c r="V211" s="111"/>
      <c r="W211" s="112"/>
      <c r="X211" s="105" t="str">
        <f t="shared" si="556"/>
        <v/>
      </c>
      <c r="Y211" s="105" t="str">
        <f t="array" ref="Y211">IF(AND(OR(W211="Freezer Case Lighting", W211="Refrigerated Case Lighting with Doors"), 'General Information'!$X$18="LCI"),'Lookup Tables'!$Y$34, IF(V211="Custom", VLOOKUP(W211, 'Fixture Identities'!$A$974:$M$1023, 13, FALSE), IF(V211="No Change",'Lookup Tables'!$Y$29,IF(OR(V211="",W211=""),"",IF(AND(S211=0,S211&lt;I211,B211="Retrofit"),'Lookup Tables'!$Y$25, IF(B211="Retrofit", INDEX('Lookup Tables'!$AH$6:$AP$102, MATCH(1, ('Lookup Tables'!$AH$6:$AH$102=V211)*('Lookup Tables'!$AI$6:$AI$102=W211), 0), IF('Lighting Inventory'!E211="Interior", 4, 5)), INDEX('Lookup Tables'!$AH$114:$AP$154, MATCH(1, ('Lookup Tables'!$AH$114:$AH$154=V211)*('Lookup Tables'!$AI$114:$AI$154=W211), 0), IF('Lighting Inventory'!E211="Interior", 4, 5))))))))</f>
        <v/>
      </c>
      <c r="Z211" s="105" t="str">
        <f>IFERROR(INDEX('Lookup Tables'!$AH$158:$AH$172,MATCH('Lighting Inventory'!Y211,'Lookup Tables'!$AI$158:$AI$172,0)),"")</f>
        <v/>
      </c>
      <c r="AA211" s="105" t="str">
        <f>IF(AP211&gt;0,INDEX('Lookup Tables'!$AK$158:$AK$172,MATCH('Lighting Inventory'!Y211,'Lookup Tables'!$AI$158:$AI$172,0)),'Lighting Inventory'!Y211)</f>
        <v/>
      </c>
      <c r="AB211" s="105" t="str">
        <f t="array" ref="AB211">IF(V211="Custom", "Custom", IF(V211="", "", IF(V211="Not DLC or Energy Star", "General", IF(B211="New Construction", INDEX('Lookup Tables'!$AH$114:$AP$154,MATCH(1,('Lookup Tables'!$AH$114:$AH$154='Lighting Inventory'!V211)*('Lookup Tables'!$AI$114:$AI$154='Lighting Inventory'!W211),FALSE),8), INDEX('Lookup Tables'!$AH$6:$AP$102,MATCH(1,('Lookup Tables'!$AH$6:$AH$102='Lighting Inventory'!V211)*('Lookup Tables'!$AI$6:$AI$102='Lighting Inventory'!W211),FALSE),8)))))</f>
        <v/>
      </c>
      <c r="AC211" s="272" t="str">
        <f>IF(W211="","",IF(V211="Custom",CONCATENATE("$",'Lookup Tables'!$AM$101," ",'Lookup Tables'!$AN$101),CONCATENATE("$",INDEX('Lookup Tables'!$AM$6:$AM$102,MATCH('Lighting Inventory'!W211,'Lookup Tables'!$AI$6:$AI$102,0))," ",INDEX('Lookup Tables'!$AN$6:$AN$102,MATCH('Lighting Inventory'!W211,'Lookup Tables'!$AI$6:$AI$102,0)))))</f>
        <v/>
      </c>
      <c r="AD211" s="72"/>
      <c r="AE211" s="29"/>
      <c r="AF211" s="379"/>
      <c r="AG211" s="370" t="str">
        <f t="shared" si="504"/>
        <v/>
      </c>
      <c r="AH211" s="370" t="str">
        <f t="shared" si="557"/>
        <v/>
      </c>
      <c r="AI211" s="29"/>
      <c r="AJ211" s="29"/>
      <c r="AK211" s="110"/>
      <c r="AL211" s="375" t="str">
        <f>IF(OR(B211="", V211="", W211=""), "", IF(V211="No Change", K211, IF(V211="Remove Fixture", 0, IF(V211="Custom",VLOOKUP(W211,'Fixture Identities'!$A$6:$K$1023,10,FALSE),IF(AE211="", "← ENTER POST WATTS", 'Lighting Inventory'!AE211)))))</f>
        <v/>
      </c>
      <c r="AM211" s="376" t="str">
        <f t="shared" si="505"/>
        <v/>
      </c>
      <c r="AN211" s="29"/>
      <c r="AO211" s="671"/>
      <c r="AP211" s="29"/>
      <c r="AQ211" s="29"/>
      <c r="AR211" s="29"/>
      <c r="AS211" s="272" t="str">
        <f t="shared" si="558"/>
        <v/>
      </c>
      <c r="AT211" s="270" t="str">
        <f t="shared" si="506"/>
        <v/>
      </c>
      <c r="AU211" s="88" t="str">
        <f t="shared" si="606"/>
        <v/>
      </c>
      <c r="AV211" s="29"/>
      <c r="AW211" s="73"/>
      <c r="AX211" s="271" t="str">
        <f>IF(AND(AV211="Applicant",OR(AW211="", AW211="Use Default Facility Hours")),"← Choose Schedule",IF(F211="","",IF(W211="LED Exit Signs",8760,IF(OR(AV211="Prescribed",AV211=""),VLOOKUP(F211,'Lookup Tables'!$A$6:$G$59,IF(AB211="General", 6, 3),FALSE),VLOOKUP(AW211,'Lookup Tables'!$S$36:$U$43,2,FALSE)))))</f>
        <v/>
      </c>
      <c r="AY211" s="88" t="str">
        <f t="shared" si="507"/>
        <v/>
      </c>
      <c r="AZ211" s="270" t="str">
        <f>IFERROR(IF(F211="", "", IF(W211="LED Exit Signs", 1, IF(AV211="Applicant",VLOOKUP(AW211, 'Lookup Tables'!$S$36:$U$43,3, FALSE), VLOOKUP('Lighting Inventory'!F211, 'Lookup Tables'!$A$6:$H$59, IF('Lighting Inventory'!AB211="General",7,4), FALSE)))), "")</f>
        <v/>
      </c>
      <c r="BA211" s="522" t="str">
        <f>IFERROR(IF(F211="", "", IF(W211="LED Exit Signs", 1, VLOOKUP('Lighting Inventory'!F211, 'Lookup Tables'!$A$6:$H$59, IF('Lighting Inventory'!AB211="General",8,5), FALSE))), "")</f>
        <v/>
      </c>
      <c r="BB211" s="270" t="str">
        <f>IF(G211="", "", IF(E211="Exterior", 0, IF('Lighting Inventory'!G211="Air Conditioned", VLOOKUP(H211, 'Lookup Tables'!$R$6:$T$13, 2, FALSE), VLOOKUP('Lighting Inventory'!G211, 'Lookup Tables'!$R$6:$T$13, 2, FALSE))))</f>
        <v/>
      </c>
      <c r="BC211" s="522" t="str">
        <f>IF(G211="", "", IF(E211="Exterior", 0, IF('Lighting Inventory'!G211="Air Conditioned", VLOOKUP(H211, 'Lookup Tables'!$R$6:$T$13, 3, FALSE), VLOOKUP('Lighting Inventory'!G211, 'Lookup Tables'!$R$6:$T$13, 3, FALSE))))</f>
        <v/>
      </c>
      <c r="BD211" s="270" t="str">
        <f>IF(G211="", "", IF(E211="Exterior", 0, IF('Lighting Inventory'!G211="Air Conditioned", VLOOKUP(H211, 'Lookup Tables'!$R$6:$U$13, 4, FALSE), VLOOKUP('Lighting Inventory'!G211, 'Lookup Tables'!$R$6:$U$13, 4, FALSE))))</f>
        <v/>
      </c>
      <c r="BE211" s="270" t="str">
        <f>IFERROR(IF(B211="", "",  IF(B211="New Construction", VLOOKUP(F211, 'Lookup Tables'!$A$6:$K$59, 11, FALSE),IF(OR(AN211="", AN211="Light Switch"), 0, IF(OR(M211="",M211="None",V211= "LED Exit Signs"),0,_xlfn.XLOOKUP(M211,'Lookup Tables'!$R$91:$R$101,'Lookup Tables'!$V$91:$V$101))))), "")</f>
        <v/>
      </c>
      <c r="BF211" s="270" t="str">
        <f>IF(AND(OR(AN211="Light Switch",AN211=""),B211="New Construction"), VLOOKUP(F211, 'Lookup Tables'!$A$6:$K$59, 11, FALSE),IF(AN211="","",IF(B211="","",IF(OR(AN211="None",AN211="",V211="LED Exit Signs",AN211="Exterior Controls Not Eligible"),0,_xlfn.XLOOKUP(AN211,'Lookup Tables'!$R$91:$R$101,'Lookup Tables'!$V$91:$V$101)))))</f>
        <v/>
      </c>
      <c r="BG211" s="88" t="str">
        <f t="shared" si="559"/>
        <v/>
      </c>
      <c r="BH211" s="88" t="str">
        <f t="shared" si="560"/>
        <v/>
      </c>
      <c r="BI211" s="558" t="str">
        <f t="shared" si="604"/>
        <v/>
      </c>
      <c r="BJ211" s="82" t="str">
        <f t="shared" si="561"/>
        <v/>
      </c>
      <c r="BK211" s="82" t="str">
        <f t="shared" si="562"/>
        <v/>
      </c>
      <c r="BL211" s="559" t="str">
        <f t="shared" si="563"/>
        <v/>
      </c>
      <c r="BM211" s="521" t="str">
        <f t="shared" si="508"/>
        <v/>
      </c>
      <c r="BN211" s="521" t="str">
        <f t="shared" si="509"/>
        <v/>
      </c>
      <c r="BO211" s="522" t="str">
        <f t="shared" si="510"/>
        <v/>
      </c>
      <c r="BP211" s="83" t="str">
        <f t="shared" si="564"/>
        <v/>
      </c>
      <c r="BQ211" s="84" t="str">
        <f t="shared" si="565"/>
        <v/>
      </c>
      <c r="BR211" s="184" t="str">
        <f>IFERROR(IF(B211="", "", IF(OR(VLOOKUP(J211, 'Fixture Identities'!$A$6:$L$1023, 3, FALSE)="T12 Linear Fluorescent",VLOOKUP(J211, 'Fixture Identities'!$A$6:$L$1023, 3, FALSE)="T12 U-Tube Fluorescent"), "Y", "N")), "N")</f>
        <v/>
      </c>
      <c r="BS211" s="184" t="str">
        <f t="array" ref="BS211">IFERROR(IF(OR(B211="", V211="", W211=""), "", IF(V211="Custom", "N", IF(OR(W211="Freezer Case Lighting", W211="Refrigerated Case Lighting with Doors"), BT211, IF(B211="Retrofit", INDEX('Lookup Tables'!$AH$6:$AT$102,MATCH(1,('Lookup Tables'!$AH$6:$AH$102=V211)*('Lookup Tables'!$AI$6:$AI$102=W211),FALSE),IF(VLOOKUP(J211, 'Fixture Identities'!$A$6:$B$1023, 2, FALSE)="Incandescent",12, 13)), INDEX('Lookup Tables'!$AH$114:$AS$154,MATCH(1,('Lookup Tables'!$AH$114:$AH$154=V211)*('Lookup Tables'!$AI$114:$AI$154=W211),FALSE),12))))), "N")</f>
        <v/>
      </c>
      <c r="BT211" s="184" t="str">
        <f>IF(J211="", "", IF(AND(OR(W211="Freezer case Lighting", W211="Refrigerated Case Lighting with Doors"),'General Information'!$X$18="LCI"), "N", IF(OR(VLOOKUP(J211, 'Fixture Identities'!$A$6:$B$1023, 2, FALSE)="T12 EPACT/EISA Baseline", VLOOKUP(J211, 'Fixture Identities'!$A$6:$B$1023, 2, FALSE)="Linear Fluorescent", VLOOKUP(J211, 'Fixture Identities'!$A$6:$B$1023, 2, FALSE)="U-Tube Fluorescent"), "Y", "N")))</f>
        <v/>
      </c>
      <c r="BU211" s="184" t="str">
        <f>IFERROR(IF(B211="", "", IF(VLOOKUP(J211, 'Fixture Identities'!$A$6:$B$1023, 2, FALSE)="Exit Sign", "Y", "N")), "N")</f>
        <v/>
      </c>
      <c r="BV211" s="184" t="str">
        <f>IF(V211="Exit Signs", IF(VLOOKUP(J211, 'Fixture Identities'!$A$6:$B$1023, 2, FALSE)="Exit Sign", "N", "Y"), "")</f>
        <v/>
      </c>
      <c r="BW211" s="184" t="str">
        <f t="array" ref="BW211">IFERROR(IF(B211="", "", IF(B211="New Construction", "N", INDEX('Lookup Tables'!$AH$6:$AU$102, MATCH(1, ('Lookup Tables'!$AH$6:$AH$102='Lighting Inventory'!V211)*('Lookup Tables'!$AI$6:$AI$102='Lighting Inventory'!W211), 0), 14))), "N")</f>
        <v/>
      </c>
      <c r="BX211" s="598" t="str">
        <f t="shared" si="566"/>
        <v/>
      </c>
      <c r="BY211" s="598" t="str">
        <f t="shared" si="567"/>
        <v/>
      </c>
      <c r="BZ211" s="598" t="str">
        <f t="shared" si="568"/>
        <v/>
      </c>
      <c r="CA211" s="598" t="str">
        <f t="shared" si="569"/>
        <v/>
      </c>
      <c r="CB211" s="269" t="str">
        <f t="shared" si="570"/>
        <v/>
      </c>
      <c r="CC211" s="517" t="str">
        <f t="shared" si="571"/>
        <v/>
      </c>
      <c r="CD211" s="565" t="str">
        <f t="shared" si="511"/>
        <v/>
      </c>
      <c r="CE211" s="368">
        <v>0</v>
      </c>
      <c r="CF211" s="368" t="str" cm="1">
        <f t="array" ref="CF211">IFERROR(IF(V211="Custom", "$0.1 per kWh", IF(B211="New Construction", CONCATENATE("$",INDEX('Lookup Tables'!$AH$114:$AN$154,MATCH(1,('Lookup Tables'!$AH$114:$AH$154='Lighting Inventory'!V211)*('Lookup Tables'!$AI$114:$AI$154='Lighting Inventory'!W211),FALSE),6)," ",INDEX('Lookup Tables'!$AH$114:$AN$154,MATCH(1,('Lookup Tables'!$AH$114:$AH$154='Lighting Inventory'!V211)*('Lookup Tables'!$AI$114:$AI$154='Lighting Inventory'!W211),FALSE),7)), IF(AND(BU211="N", V211="Exit Signs"), "$0.025 per kWh", CONCATENATE("$",INDEX('Lookup Tables'!$AH$6:$AN$102,MATCH(1,('Lookup Tables'!$AH$6:$AH$102='Lighting Inventory'!V211)*('Lookup Tables'!$AI$6:$AI$102='Lighting Inventory'!W211),FALSE),6)," ",INDEX('Lookup Tables'!$AH$6:$AN$102,MATCH(1,('Lookup Tables'!$AH$6:$AH$102='Lighting Inventory'!V211)*('Lookup Tables'!$AI$6:$AI$102='Lighting Inventory'!W211),FALSE),7))))), "")</f>
        <v/>
      </c>
      <c r="CG211" s="366"/>
      <c r="CH211" s="248" t="str">
        <f t="shared" si="512"/>
        <v/>
      </c>
      <c r="CI211" s="248" t="str">
        <f t="shared" si="513"/>
        <v>Select_IE</v>
      </c>
      <c r="CJ211" s="248" t="str">
        <f t="shared" si="514"/>
        <v/>
      </c>
      <c r="CK211" s="248" t="str">
        <f t="shared" si="515"/>
        <v/>
      </c>
      <c r="CL211" s="248" t="str">
        <f t="shared" si="516"/>
        <v/>
      </c>
      <c r="CM211" s="248" t="str">
        <f>IFERROR(IF(B211="", "", IF(B211="New Construction", VLOOKUP(V211, 'Lookup Tables'!$AF$114:$AG$120, 2, FALSE), VLOOKUP(V211, 'Lookup Tables'!$AD$6:$AE$25, 2, FALSE))), "")</f>
        <v/>
      </c>
      <c r="CN211" s="248" t="str">
        <f t="shared" si="517"/>
        <v/>
      </c>
      <c r="CO211" s="248" t="str">
        <f t="shared" si="518"/>
        <v/>
      </c>
      <c r="CP211" s="592" t="str">
        <f t="shared" si="519"/>
        <v/>
      </c>
      <c r="CQ211" s="248" t="str">
        <f t="shared" si="572"/>
        <v/>
      </c>
      <c r="CR211" s="100"/>
      <c r="CS211" s="250" t="str">
        <f t="shared" si="520"/>
        <v/>
      </c>
      <c r="CT211" s="250" t="str">
        <f t="shared" si="573"/>
        <v/>
      </c>
      <c r="CU211" s="250" t="str">
        <f t="shared" si="574"/>
        <v/>
      </c>
      <c r="CV211" s="250" t="str">
        <f t="shared" si="575"/>
        <v/>
      </c>
      <c r="CW211" s="250" t="str">
        <f t="shared" si="576"/>
        <v/>
      </c>
      <c r="CX211" s="250" t="str">
        <f t="shared" si="521"/>
        <v/>
      </c>
      <c r="CY211" s="250" t="str">
        <f t="shared" si="522"/>
        <v/>
      </c>
      <c r="CZ211" s="250" t="str">
        <f t="shared" si="523"/>
        <v/>
      </c>
      <c r="DA211" s="250" t="str">
        <f t="shared" si="524"/>
        <v/>
      </c>
      <c r="DB211" s="250" t="str">
        <f t="shared" si="525"/>
        <v/>
      </c>
      <c r="DC211" s="250" t="str">
        <f t="shared" si="526"/>
        <v/>
      </c>
      <c r="DD211" s="250" t="str">
        <f t="shared" si="527"/>
        <v/>
      </c>
      <c r="DE211" s="250" t="str">
        <f t="shared" si="528"/>
        <v/>
      </c>
      <c r="DF211" s="250" t="str">
        <f t="shared" si="529"/>
        <v/>
      </c>
      <c r="DG211" s="250" t="str">
        <f t="shared" si="530"/>
        <v/>
      </c>
      <c r="DH211" s="250" t="str">
        <f t="shared" si="531"/>
        <v/>
      </c>
      <c r="DI211" s="250" t="str">
        <f t="shared" si="532"/>
        <v/>
      </c>
      <c r="DJ211" s="250" t="str">
        <f t="shared" si="533"/>
        <v/>
      </c>
      <c r="DK211" s="250" t="str">
        <f t="shared" si="534"/>
        <v/>
      </c>
      <c r="DL211" s="250" t="str">
        <f t="shared" si="535"/>
        <v/>
      </c>
      <c r="DM211" s="250" t="str">
        <f>IF(CD211="ERROR", "ERROR", IF(AND(OR(Y211=$DM$6, Y211='Lookup Tables'!$AD$21, Y211='Lookup Tables'!$AD$22), E211="Interior"), BJ211, ""))</f>
        <v/>
      </c>
      <c r="DN211" s="250" t="str">
        <f>IF(CD211="ERROR", "ERROR", IF(AND(OR(Y211=$DM$6, Y211='Lookup Tables'!$AD$21, Y211='Lookup Tables'!$AD$22), E211="Exterior"), BJ211, ""))</f>
        <v/>
      </c>
      <c r="DO211" s="100"/>
      <c r="DP211" s="250" t="str">
        <f t="shared" si="536"/>
        <v/>
      </c>
      <c r="DQ211" s="250" t="str">
        <f t="shared" si="577"/>
        <v/>
      </c>
      <c r="DR211" s="250" t="str">
        <f t="shared" si="578"/>
        <v/>
      </c>
      <c r="DS211" s="250" t="str">
        <f t="shared" si="579"/>
        <v/>
      </c>
      <c r="DT211" s="250" t="str">
        <f t="shared" si="580"/>
        <v/>
      </c>
      <c r="DU211" s="250" t="str">
        <f t="shared" si="537"/>
        <v/>
      </c>
      <c r="DV211" s="250" t="str">
        <f t="shared" si="538"/>
        <v/>
      </c>
      <c r="DW211" s="250" t="str">
        <f t="shared" si="539"/>
        <v/>
      </c>
      <c r="DX211" s="250" t="str">
        <f t="shared" si="540"/>
        <v/>
      </c>
      <c r="DY211" s="250" t="str">
        <f t="shared" si="541"/>
        <v/>
      </c>
      <c r="DZ211" s="250" t="str">
        <f t="shared" si="542"/>
        <v/>
      </c>
      <c r="EA211" s="250" t="str">
        <f t="shared" si="543"/>
        <v/>
      </c>
      <c r="EB211" s="250" t="str">
        <f t="shared" si="581"/>
        <v/>
      </c>
      <c r="EC211" s="250" t="str">
        <f t="shared" si="544"/>
        <v/>
      </c>
      <c r="ED211" s="250" t="str">
        <f t="shared" si="545"/>
        <v/>
      </c>
      <c r="EE211" s="250" t="str">
        <f t="shared" si="546"/>
        <v/>
      </c>
      <c r="EF211" s="250" t="str">
        <f t="shared" si="547"/>
        <v/>
      </c>
      <c r="EG211" s="250" t="str">
        <f t="shared" si="548"/>
        <v/>
      </c>
      <c r="EH211" s="250" t="str">
        <f>IF(CD211="ERROR", "ERROR", IF(AND(OR($EH$6=Y211, Y211='Lookup Tables'!$AD$21, Y211='Lookup Tables'!$AD$22),E211="Interior"), SUM(BP211:BP211), ""))</f>
        <v/>
      </c>
      <c r="EI211" s="250" t="str">
        <f>IF(CD211="ERROR", "ERROR", IF(AND(OR($EH$6=Y211, Y211='Lookup Tables'!$AD$21, Y211='Lookup Tables'!$AD$22),E211="Exterior"), SUM(BP211:BP211), ""))</f>
        <v/>
      </c>
      <c r="EJ211" s="109"/>
      <c r="EK211" s="485" t="str">
        <f t="shared" si="549"/>
        <v/>
      </c>
      <c r="EL211" s="252" t="str">
        <f t="shared" si="582"/>
        <v/>
      </c>
      <c r="EM211" s="252" t="str">
        <f t="shared" si="583"/>
        <v/>
      </c>
      <c r="EN211" s="252" t="str">
        <f t="shared" si="584"/>
        <v/>
      </c>
      <c r="EO211" s="252" t="str">
        <f t="shared" si="585"/>
        <v/>
      </c>
      <c r="EP211" s="252" t="str">
        <f t="shared" si="586"/>
        <v/>
      </c>
      <c r="EQ211" s="252" t="str">
        <f t="shared" si="587"/>
        <v/>
      </c>
      <c r="ER211" s="252" t="str">
        <f t="shared" si="588"/>
        <v/>
      </c>
      <c r="ES211" s="252" t="str">
        <f t="shared" si="589"/>
        <v/>
      </c>
      <c r="ET211" s="252" t="str">
        <f t="shared" si="590"/>
        <v/>
      </c>
      <c r="EU211" s="252" t="str">
        <f t="shared" si="591"/>
        <v/>
      </c>
      <c r="EV211" s="252" t="str">
        <f t="shared" si="592"/>
        <v/>
      </c>
      <c r="EW211" s="252" t="str">
        <f t="shared" si="593"/>
        <v/>
      </c>
      <c r="EX211" s="252" t="str">
        <f t="shared" si="594"/>
        <v/>
      </c>
      <c r="EY211" s="252" t="str">
        <f t="shared" si="595"/>
        <v/>
      </c>
      <c r="EZ211" s="252" t="str">
        <f t="shared" si="596"/>
        <v/>
      </c>
      <c r="FA211" s="252" t="str">
        <f t="shared" si="597"/>
        <v/>
      </c>
      <c r="FB211" s="252" t="str">
        <f t="shared" si="598"/>
        <v/>
      </c>
      <c r="FC211" s="252" t="str">
        <f>IF(CD211="ERROR", "ERROR", IF(OR(V211="No Change", V211="Not DLC or Energy Star"), "", IF(AND(OR($FC$6=Y211,Y211='Lookup Tables'!$AD$21, Y211='Lookup Tables'!$AD$22),E211="Interior"), S211, "")))</f>
        <v/>
      </c>
      <c r="FD211" s="252" t="str">
        <f t="shared" si="599"/>
        <v/>
      </c>
      <c r="FE211" s="101"/>
      <c r="FF211" s="579" t="str" cm="1">
        <f t="array" ref="FF211">IFERROR(IF(OR(BQ211&lt;=0,AQ211&lt;20,AND(V211="Exit Signs",AN211&gt;0)),"",IF(AND(AQ211&gt;=20,AN211='Lookup Tables'!$R$101),'Lookup Tables'!$U$101*BQ211,AP211*LOOKUP(2,1/((AN211='Lookup Tables'!$R$91:$R$111)*(AQ211&gt;='Lookup Tables'!$S$91:$S$111)*(AQ211&lt;='Lookup Tables'!$T$91:$T$111)),'Lookup Tables'!$U$91:$U$111))),"")</f>
        <v/>
      </c>
      <c r="FG211" s="579"/>
      <c r="FH211" s="579"/>
      <c r="FI211" s="253" t="str">
        <f>IFERROR(ROUND(IF(CD211="ERROR", "ERROR", IF(AND($FI$7=X211,E211="Interior"),VLOOKUP(W211, 'Lookup Tables'!$AI$6:$AM$102, 5, FALSE)*BP211, "")), 2), "")</f>
        <v/>
      </c>
      <c r="FJ211" s="253" t="str">
        <f>IFERROR(ROUND(IF(CD211="ERROR", "ERROR", IF(AND($FI$7=X211,E211="Exterior"),VLOOKUP(W211, 'Lookup Tables'!$AI$6:$AM$102, 5, FALSE)*BP211, "")), 2), "")</f>
        <v/>
      </c>
      <c r="FK211" s="253" t="str">
        <f>IFERROR(ROUND(IF(CD211="ERROR", "ERROR", IF(AND($FK$7=X211,E211="Interior"),VLOOKUP(W211, 'Lookup Tables'!$AI$6:$AM$102, 5, FALSE)*BP211, "")), 2), "")</f>
        <v/>
      </c>
      <c r="FL211" s="253" t="str">
        <f>IFERROR(ROUND(IF(CD211="ERROR", "ERROR", IF(AND($FK$7=X211,E211="Exterior"),VLOOKUP(W211, 'Lookup Tables'!$AI$6:$AM$102, 5, FALSE)*BP211, "")), 2), "")</f>
        <v/>
      </c>
      <c r="FM211" s="253" t="str">
        <f>IFERROR(ROUND(IF(CD211="ERROR", "ERROR", IF(AND($FM$6=Y211,E211="Interior"), IF(GB211=0, VLOOKUP(W211, 'Lookup Tables'!$AI$6:$AM$102, 5, FALSE)*BP211, IF(VLOOKUP(W211, 'Lookup Tables'!$AI$6:$AM$102, 5, FALSE)*BP211&gt;GB211*'Lighting Inventory'!S211, GB211*'Lighting Inventory'!S211,VLOOKUP(W211, 'Lookup Tables'!$AI$6:$AM$102, 5, FALSE)*BP211)), "")), 2), "")</f>
        <v/>
      </c>
      <c r="FN211" s="253" t="str">
        <f>IFERROR(ROUND(IF(CD211="ERROR", "ERROR", IF(AND($FM$6=Y211,E211="Exterior"), IF(GB211=0, VLOOKUP(W211, 'Lookup Tables'!$AI$6:$AM$102, 5, FALSE)*BP211, IF(VLOOKUP(W211, 'Lookup Tables'!$AI$6:$AM$102, 5, FALSE)*BP211&gt;GB211*'Lighting Inventory'!S211, GB211*'Lighting Inventory'!S211,VLOOKUP(W211, 'Lookup Tables'!$AI$6:$AM$102, 5, FALSE)*BP211)), "")), 2), "")</f>
        <v/>
      </c>
      <c r="FO211" s="253" t="str">
        <f>IFERROR(ROUND(IF(CD211="ERROR", "ERROR", IF(AND($FO$6=Y211,E211="Interior"),VLOOKUP(W211, 'Lookup Tables'!$AI$6:$AM$102, 5, FALSE)*'Lighting Inventory'!AI211, "")), 2), "")</f>
        <v/>
      </c>
      <c r="FP211" s="253" t="str">
        <f>IFERROR(ROUND(IF(CD211="ERROR", "ERROR", IF(AND($FO$6=Y211,E211="Exterior"),VLOOKUP(W211, 'Lookup Tables'!$AI$6:$AM$102, 5, FALSE)*'Lighting Inventory'!AI211, "")), 2), "")</f>
        <v/>
      </c>
      <c r="FQ211" s="253" t="str">
        <f>IFERROR(ROUND(IF(CD211="ERROR", "ERROR", IF(AND($FQ$6=Y211,E211="Interior", BU211="Y"), VLOOKUP('Lighting Inventory'!W211, 'Lookup Tables'!$AI$6:$AM$102, 5, FALSE)*'Lighting Inventory'!S211, IF(AND($FQ$7=Y211,E211="Interior", BU211="N"), 0.025*CD211, ""))), 2), "")</f>
        <v/>
      </c>
      <c r="FR211" s="253" t="str">
        <f>IFERROR(ROUND(IF(CD211="ERROR", "ERROR", IF(AND($FQ$6=Y211,E211="Exterior"), VLOOKUP('Lighting Inventory'!W211, 'Lookup Tables'!$AI$6:$AM$102, 5, FALSE)*'Lighting Inventory'!S211, "")), 2), "")</f>
        <v/>
      </c>
      <c r="FS211" s="253" t="str">
        <f>IFERROR(ROUND(IF(CD211="ERROR", "ERROR", IF(AND($FS$6=Y211,E211="Exterior"), IF(GB211=0, VLOOKUP(W211, 'Lookup Tables'!$AI$6:$AM$102, 5, FALSE)*BP211, IF(VLOOKUP(W211, 'Lookup Tables'!$AI$6:$AM$102, 5, FALSE)*BP211&gt;GB211*'Lighting Inventory'!S211, GB211*'Lighting Inventory'!S211,VLOOKUP(W211, 'Lookup Tables'!$AI$6:$AM$102, 5, FALSE)*BP211)), "")), 2), "")</f>
        <v/>
      </c>
      <c r="FT211" s="253" t="str">
        <f>IFERROR(ROUND(IF(CD211="ERROR", "ERROR", IF(AND($FT$6=Y211,E211="Interior"), IF(GB211=0, VLOOKUP(W211, 'Lookup Tables'!$AI$6:$AM$102, 5, FALSE)*BP211, IF(VLOOKUP(W211, 'Lookup Tables'!$AI$6:$AM$102, 5, FALSE)*BP211&gt;GB211*'Lighting Inventory'!S211, GB211*'Lighting Inventory'!S211,VLOOKUP(W211, 'Lookup Tables'!$AI$6:$AM$102, 5, FALSE)*BP211)), "")), 2), "")</f>
        <v/>
      </c>
      <c r="FU211" s="253" t="str">
        <f>IFERROR(ROUND(IF(CD211="ERROR", "ERROR", IF(AND(Y211=$FU$6, E211="Interior"), IF(BS211="N", 'Lookup Tables'!$AM$101*BP211, VLOOKUP(W211, 'Lookup Tables'!$AI$6:$AM$102, 5, FALSE)*S211*AD211), "")), 2), "")</f>
        <v/>
      </c>
      <c r="FV211" s="253" t="str">
        <f>IFERROR(ROUND(IF(CD211="ERROR", "ERROR", IF(AND(Y211=$FU$6, E211="Exterior"), IF(BS211="N", 'Lookup Tables'!$AM$101*BP211, VLOOKUP(W211, 'Lookup Tables'!$AI$6:$AM$102, 5, FALSE)*S211*AD211), "")), 2), "")</f>
        <v/>
      </c>
      <c r="FW211" s="253" t="str">
        <f>IFERROR(ROUND(IF(CD211="ERROR", "ERROR", IF($FW$6=Y211, IF(BS211="N", 'Lookup Tables'!$AM$101*BP211, MIN((VLOOKUP(W211, 'Lookup Tables'!$AI$6:$AM$102, 5, FALSE)*BP211),GB211*AJ211)), "")), 2), "")</f>
        <v/>
      </c>
      <c r="FX211" s="253" t="str">
        <f>IFERROR(ROUND(IF(CD211="ERROR", "ERROR", IF(AND($FX$6=Y211, E211="Interior"), IF(VLOOKUP(W211, 'Lookup Tables'!$AI$6:$AM$102, 5, FALSE)*BP211&gt;'Lookup Tables'!$AQ$97*'Lighting Inventory'!S211,'Lighting Inventory'!S211*'Lookup Tables'!$AQ$97,VLOOKUP(W211, 'Lookup Tables'!$AI$6:$AM$102, 5, FALSE)*BP211), "")), 2), "")</f>
        <v/>
      </c>
      <c r="FY211" s="253" t="str">
        <f>IFERROR(ROUND(IF(CD211="ERROR", "ERROR", IF(AND($FX$6=Y211, E211="Exterior"), IF(VLOOKUP(W211, 'Lookup Tables'!$AI$6:$AM$102, 5, FALSE)*BP211&gt;'Lookup Tables'!$AQ$97*'Lighting Inventory'!S211,'Lighting Inventory'!S211*'Lookup Tables'!$AQ$97,VLOOKUP(W211, 'Lookup Tables'!$AI$6:$AM$102, 5, FALSE)*BP211), "")), 2), "")</f>
        <v/>
      </c>
      <c r="FZ211" s="253" t="str">
        <f>IFERROR(ROUND(IF(CD211="ERROR", "ERROR", IF(AND($FZ$6=Y211, E211="Interior"), IF(AND(OR(W211="Refrigerated Case Lighting with Doors", W211="Freezer Case Lighting"),Y211="Custom - Process Improvement"),CD211*'Lookup Tables'!$AM$101, IF(B211="Retrofit", IF(VLOOKUP(IF(V211="Custom", V211, W211), 'Lookup Tables'!$AI$6:$AM$102, 5, FALSE)*BP211&gt;GE211, GE211, VLOOKUP(IF(V211="Custom", V211, W211), 'Lookup Tables'!$AI$6:$AM$102, 5, FALSE)*BP211), IF(VLOOKUP(IF(V211="Custom", V211, W211), 'Lookup Tables'!$AI$114:$AM$154, 5, FALSE)*BP211&gt;GE211, GE211, VLOOKUP(IF(V211="Custom", V211, W211), 'Lookup Tables'!$AI$114:$AM$154, 5, FALSE)*BP211))), "")), 2),"")</f>
        <v/>
      </c>
      <c r="GA211" s="253" t="str">
        <f>IFERROR(ROUND(IF(CD211="ERROR", "ERROR", IF(AND($FZ$6=Y211, E211="Exterior"), IF(B211="Retrofit", IF(VLOOKUP(IF(V211="Custom", V211, W211), 'Lookup Tables'!$AI$6:$AM$102, 5, FALSE)*BP211&gt;GE211, GE211, VLOOKUP(IF(V211="Custom", V211, W211), 'Lookup Tables'!$AI$6:$AM$102, 5, FALSE)*BP211), IF(VLOOKUP(IF(V211="Custom", V211, W211), 'Lookup Tables'!$AI$114:$AM$154, 5, FALSE)*BP211&gt;GE211, GE211, VLOOKUP(IF(V211="Custom", V211, W211), 'Lookup Tables'!$AI$114:$AM$154, 5, FALSE)*BP211)), "")), 2),"")</f>
        <v/>
      </c>
      <c r="GB211" s="254" t="str">
        <f t="array" ref="GB211">IF(B211="","",IF(OR(V211="Custom",V211="No Change"),0,IF(B211="Retrofit", INDEX('Lookup Tables'!$AH$6:$AQ$102,MATCH(1,('Lookup Tables'!$AH$6:$AH$102='Lighting Inventory'!V211)*('Lookup Tables'!$AI$6:$AI$102='Lighting Inventory'!W211),FALSE),10),INDEX('Lookup Tables'!$AH$114:$AQ$154,MATCH(1,('Lookup Tables'!$AH$114:$AH$154='Lighting Inventory'!V211)*('Lookup Tables'!$AI$114:$AI$154='Lighting Inventory'!W211),FALSE),10))))</f>
        <v/>
      </c>
      <c r="GC211" s="255" t="str">
        <f t="shared" si="550"/>
        <v/>
      </c>
      <c r="GD211" s="250" t="str">
        <f t="shared" si="551"/>
        <v/>
      </c>
      <c r="GE211" s="253" t="str">
        <f>IFERROR(IF(AND(AF211="", 'General Information'!$F$18="No"),"", IF(AF211="", ((GD211/$CD$266)*$CF$266)*0.5, AF211*S211*0.5)), "")</f>
        <v/>
      </c>
      <c r="GF211" s="255" t="str">
        <f>IF(AND('General Information'!$F$19="", 'General Information'!$F$18="Yes",AF211="",BW211="Y"), "Y", "N")</f>
        <v>N</v>
      </c>
      <c r="GG211" s="255" t="s">
        <v>2946</v>
      </c>
      <c r="GH211" s="255" t="str">
        <f>IFERROR(IF(B211="", "", VLOOKUP(J211, 'Fixture Identities'!$A$6:$N$908, 14, FALSE)), "")</f>
        <v/>
      </c>
      <c r="GI211" s="389" t="str">
        <f>IF(OR(B211="", V211="", W211=""), "", IF(AND(OR(M211='Lookup Tables'!$R$18, M211='Lookup Tables'!$R$19, M211='Lookup Tables'!$R$20, M211='Lookup Tables'!$R$21, M211='Lookup Tables'!$R$22), OR(AN211='Lookup Tables'!$R$17, AN211='Lookup Tables'!$R$17, AN211="")), "Y", "N"))</f>
        <v/>
      </c>
      <c r="GJ211" s="255" t="str">
        <f t="shared" si="552"/>
        <v/>
      </c>
      <c r="GK211" s="255" t="str">
        <f t="shared" si="553"/>
        <v/>
      </c>
      <c r="GL211" s="255" t="str">
        <f t="shared" si="554"/>
        <v/>
      </c>
      <c r="GM211" s="255" t="str">
        <f>IF(AN211="", "", IF(AND(IF(ISNA(VLOOKUP(AN211,'Lookup Tables'!$R$18:$R$22,1,FALSE)), "N", "Y")="Y", E211="Exterior"), "Y", "N"))</f>
        <v/>
      </c>
      <c r="GN211" s="395"/>
      <c r="GO211" s="428">
        <f t="shared" si="600"/>
        <v>0</v>
      </c>
      <c r="GP211" s="428">
        <f t="shared" si="603"/>
        <v>0</v>
      </c>
      <c r="GQ211" s="428">
        <f t="shared" si="601"/>
        <v>0</v>
      </c>
      <c r="GR211" s="428">
        <f t="shared" si="602"/>
        <v>0</v>
      </c>
    </row>
    <row r="212" spans="1:200" s="103" customFormat="1" ht="13.5" customHeight="1" x14ac:dyDescent="0.2">
      <c r="A212" s="272">
        <v>202</v>
      </c>
      <c r="B212" s="110"/>
      <c r="C212" s="110"/>
      <c r="D212" s="110"/>
      <c r="E212" s="110"/>
      <c r="F212" s="110"/>
      <c r="G212" s="110"/>
      <c r="H212" s="110"/>
      <c r="I212" s="29"/>
      <c r="J212" s="29"/>
      <c r="K212" s="272" t="str">
        <f>IFERROR(IF(OR(VLOOKUP(J212, 'Fixture Identities'!$A$6:$L$1023, 3, FALSE)="T12 Linear Fluorescent", VLOOKUP(J212, 'Fixture Identities'!$A$6:$L$1023, 3, FALSE)="T12 U-Tube Fluorescent"), VLOOKUP(VLOOKUP(J212, 'Fixture Identities'!$A$6:$L$1023, 11, FALSE), 'Fixture Identities'!$A$6:$L$1023, 10, FALSE), VLOOKUP(J212, 'Fixture Identities'!$A$6:$L$1023, 10, FALSE)), "")</f>
        <v/>
      </c>
      <c r="L212" s="270" t="str">
        <f t="shared" si="605"/>
        <v/>
      </c>
      <c r="M212" s="110"/>
      <c r="N212" s="110"/>
      <c r="O212" s="110"/>
      <c r="P212" s="272" t="str">
        <f>IFERROR(IF(OR(B212="Retrofit",B212=""),"",IF('Lighting Inventory'!E212="Exterior",VLOOKUP('Lighting Inventory'!N212,'Lookup Tables'!$B$83:$F$103,5,FALSE),IF(N212="Other - Please Estimate EFLH and CFs","Contact Prog. Rep.","ft^2"))), "")</f>
        <v/>
      </c>
      <c r="Q212" s="270" t="str">
        <f>IFERROR(IF(AND(B212="New Construction",E212="Interior",$F$5="Space-by-Space"),VLOOKUP('Lighting Inventory'!N212,'Lookup Tables'!$N$6:$O$97,2,FALSE),IF(AND(B212="New Construction",E212="Exterior"),VLOOKUP(N212,'Lookup Tables'!$B$83:$F$103,2,FALSE),IF(AND(B212="New Construction",'Lighting Inventory'!E212="Interior", $F$5="Building Area"),VLOOKUP(F212,'Lookup Tables'!$A$6:$J$59,10,FALSE),""))), "")</f>
        <v/>
      </c>
      <c r="R212" s="270" t="str">
        <f>IFERROR(IF(P212="Contact Prog. Rep.", "ERROR", IF(OR(B212="",B212="Retrofit"),"",IF(N212="Automated teller machines", ('Lookup Tables'!$A$82:$E$100+('Lighting Inventory'!O212-1)*'Lookup Tables'!$A$82:$E$100)/1000, (Q212*O212)/1000))), "")</f>
        <v/>
      </c>
      <c r="S212" s="595"/>
      <c r="T212" s="105" t="str">
        <f t="shared" si="555"/>
        <v/>
      </c>
      <c r="U212" s="105" t="str">
        <f>IF(S212="","",COUNT($S$11:S212))</f>
        <v/>
      </c>
      <c r="V212" s="111"/>
      <c r="W212" s="112"/>
      <c r="X212" s="105" t="str">
        <f t="shared" si="556"/>
        <v/>
      </c>
      <c r="Y212" s="105" t="str">
        <f t="array" ref="Y212">IF(AND(OR(W212="Freezer Case Lighting", W212="Refrigerated Case Lighting with Doors"), 'General Information'!$X$18="LCI"),'Lookup Tables'!$Y$34, IF(V212="Custom", VLOOKUP(W212, 'Fixture Identities'!$A$974:$M$1023, 13, FALSE), IF(V212="No Change",'Lookup Tables'!$Y$29,IF(OR(V212="",W212=""),"",IF(AND(S212=0,S212&lt;I212,B212="Retrofit"),'Lookup Tables'!$Y$25, IF(B212="Retrofit", INDEX('Lookup Tables'!$AH$6:$AP$102, MATCH(1, ('Lookup Tables'!$AH$6:$AH$102=V212)*('Lookup Tables'!$AI$6:$AI$102=W212), 0), IF('Lighting Inventory'!E212="Interior", 4, 5)), INDEX('Lookup Tables'!$AH$114:$AP$154, MATCH(1, ('Lookup Tables'!$AH$114:$AH$154=V212)*('Lookup Tables'!$AI$114:$AI$154=W212), 0), IF('Lighting Inventory'!E212="Interior", 4, 5))))))))</f>
        <v/>
      </c>
      <c r="Z212" s="105" t="str">
        <f>IFERROR(INDEX('Lookup Tables'!$AH$158:$AH$172,MATCH('Lighting Inventory'!Y212,'Lookup Tables'!$AI$158:$AI$172,0)),"")</f>
        <v/>
      </c>
      <c r="AA212" s="105" t="str">
        <f>IF(AP212&gt;0,INDEX('Lookup Tables'!$AK$158:$AK$172,MATCH('Lighting Inventory'!Y212,'Lookup Tables'!$AI$158:$AI$172,0)),'Lighting Inventory'!Y212)</f>
        <v/>
      </c>
      <c r="AB212" s="105" t="str">
        <f t="array" ref="AB212">IF(V212="Custom", "Custom", IF(V212="", "", IF(V212="Not DLC or Energy Star", "General", IF(B212="New Construction", INDEX('Lookup Tables'!$AH$114:$AP$154,MATCH(1,('Lookup Tables'!$AH$114:$AH$154='Lighting Inventory'!V212)*('Lookup Tables'!$AI$114:$AI$154='Lighting Inventory'!W212),FALSE),8), INDEX('Lookup Tables'!$AH$6:$AP$102,MATCH(1,('Lookup Tables'!$AH$6:$AH$102='Lighting Inventory'!V212)*('Lookup Tables'!$AI$6:$AI$102='Lighting Inventory'!W212),FALSE),8)))))</f>
        <v/>
      </c>
      <c r="AC212" s="272" t="str">
        <f>IF(W212="","",IF(V212="Custom",CONCATENATE("$",'Lookup Tables'!$AM$101," ",'Lookup Tables'!$AN$101),CONCATENATE("$",INDEX('Lookup Tables'!$AM$6:$AM$102,MATCH('Lighting Inventory'!W212,'Lookup Tables'!$AI$6:$AI$102,0))," ",INDEX('Lookup Tables'!$AN$6:$AN$102,MATCH('Lighting Inventory'!W212,'Lookup Tables'!$AI$6:$AI$102,0)))))</f>
        <v/>
      </c>
      <c r="AD212" s="72"/>
      <c r="AE212" s="29"/>
      <c r="AF212" s="379"/>
      <c r="AG212" s="370" t="str">
        <f t="shared" si="504"/>
        <v/>
      </c>
      <c r="AH212" s="370" t="str">
        <f t="shared" si="557"/>
        <v/>
      </c>
      <c r="AI212" s="29"/>
      <c r="AJ212" s="29"/>
      <c r="AK212" s="110"/>
      <c r="AL212" s="375" t="str">
        <f>IF(OR(B212="", V212="", W212=""), "", IF(V212="No Change", K212, IF(V212="Remove Fixture", 0, IF(V212="Custom",VLOOKUP(W212,'Fixture Identities'!$A$6:$K$1023,10,FALSE),IF(AE212="", "← ENTER POST WATTS", 'Lighting Inventory'!AE212)))))</f>
        <v/>
      </c>
      <c r="AM212" s="376" t="str">
        <f t="shared" si="505"/>
        <v/>
      </c>
      <c r="AN212" s="29"/>
      <c r="AO212" s="671"/>
      <c r="AP212" s="29"/>
      <c r="AQ212" s="29"/>
      <c r="AR212" s="29"/>
      <c r="AS212" s="272" t="str">
        <f t="shared" si="558"/>
        <v/>
      </c>
      <c r="AT212" s="270" t="str">
        <f t="shared" si="506"/>
        <v/>
      </c>
      <c r="AU212" s="88" t="str">
        <f t="shared" si="606"/>
        <v/>
      </c>
      <c r="AV212" s="29"/>
      <c r="AW212" s="73"/>
      <c r="AX212" s="271" t="str">
        <f>IF(AND(AV212="Applicant",OR(AW212="", AW212="Use Default Facility Hours")),"← Choose Schedule",IF(F212="","",IF(W212="LED Exit Signs",8760,IF(OR(AV212="Prescribed",AV212=""),VLOOKUP(F212,'Lookup Tables'!$A$6:$G$59,IF(AB212="General", 6, 3),FALSE),VLOOKUP(AW212,'Lookup Tables'!$S$36:$U$43,2,FALSE)))))</f>
        <v/>
      </c>
      <c r="AY212" s="88" t="str">
        <f t="shared" si="507"/>
        <v/>
      </c>
      <c r="AZ212" s="270" t="str">
        <f>IFERROR(IF(F212="", "", IF(W212="LED Exit Signs", 1, IF(AV212="Applicant",VLOOKUP(AW212, 'Lookup Tables'!$S$36:$U$43,3, FALSE), VLOOKUP('Lighting Inventory'!F212, 'Lookup Tables'!$A$6:$H$59, IF('Lighting Inventory'!AB212="General",7,4), FALSE)))), "")</f>
        <v/>
      </c>
      <c r="BA212" s="522" t="str">
        <f>IFERROR(IF(F212="", "", IF(W212="LED Exit Signs", 1, VLOOKUP('Lighting Inventory'!F212, 'Lookup Tables'!$A$6:$H$59, IF('Lighting Inventory'!AB212="General",8,5), FALSE))), "")</f>
        <v/>
      </c>
      <c r="BB212" s="270" t="str">
        <f>IF(G212="", "", IF(E212="Exterior", 0, IF('Lighting Inventory'!G212="Air Conditioned", VLOOKUP(H212, 'Lookup Tables'!$R$6:$T$13, 2, FALSE), VLOOKUP('Lighting Inventory'!G212, 'Lookup Tables'!$R$6:$T$13, 2, FALSE))))</f>
        <v/>
      </c>
      <c r="BC212" s="522" t="str">
        <f>IF(G212="", "", IF(E212="Exterior", 0, IF('Lighting Inventory'!G212="Air Conditioned", VLOOKUP(H212, 'Lookup Tables'!$R$6:$T$13, 3, FALSE), VLOOKUP('Lighting Inventory'!G212, 'Lookup Tables'!$R$6:$T$13, 3, FALSE))))</f>
        <v/>
      </c>
      <c r="BD212" s="270" t="str">
        <f>IF(G212="", "", IF(E212="Exterior", 0, IF('Lighting Inventory'!G212="Air Conditioned", VLOOKUP(H212, 'Lookup Tables'!$R$6:$U$13, 4, FALSE), VLOOKUP('Lighting Inventory'!G212, 'Lookup Tables'!$R$6:$U$13, 4, FALSE))))</f>
        <v/>
      </c>
      <c r="BE212" s="270" t="str">
        <f>IFERROR(IF(B212="", "",  IF(B212="New Construction", VLOOKUP(F212, 'Lookup Tables'!$A$6:$K$59, 11, FALSE),IF(OR(AN212="", AN212="Light Switch"), 0, IF(OR(M212="",M212="None",V212= "LED Exit Signs"),0,_xlfn.XLOOKUP(M212,'Lookup Tables'!$R$91:$R$101,'Lookup Tables'!$V$91:$V$101))))), "")</f>
        <v/>
      </c>
      <c r="BF212" s="270" t="str">
        <f>IF(AND(OR(AN212="Light Switch",AN212=""),B212="New Construction"), VLOOKUP(F212, 'Lookup Tables'!$A$6:$K$59, 11, FALSE),IF(AN212="","",IF(B212="","",IF(OR(AN212="None",AN212="",V212="LED Exit Signs",AN212="Exterior Controls Not Eligible"),0,_xlfn.XLOOKUP(AN212,'Lookup Tables'!$R$91:$R$101,'Lookup Tables'!$V$91:$V$101)))))</f>
        <v/>
      </c>
      <c r="BG212" s="88" t="str">
        <f t="shared" si="559"/>
        <v/>
      </c>
      <c r="BH212" s="88" t="str">
        <f t="shared" si="560"/>
        <v/>
      </c>
      <c r="BI212" s="558" t="str">
        <f t="shared" si="604"/>
        <v/>
      </c>
      <c r="BJ212" s="82" t="str">
        <f t="shared" si="561"/>
        <v/>
      </c>
      <c r="BK212" s="82" t="str">
        <f t="shared" si="562"/>
        <v/>
      </c>
      <c r="BL212" s="559" t="str">
        <f t="shared" si="563"/>
        <v/>
      </c>
      <c r="BM212" s="521" t="str">
        <f t="shared" si="508"/>
        <v/>
      </c>
      <c r="BN212" s="521" t="str">
        <f t="shared" si="509"/>
        <v/>
      </c>
      <c r="BO212" s="522" t="str">
        <f t="shared" si="510"/>
        <v/>
      </c>
      <c r="BP212" s="83" t="str">
        <f t="shared" si="564"/>
        <v/>
      </c>
      <c r="BQ212" s="84" t="str">
        <f t="shared" si="565"/>
        <v/>
      </c>
      <c r="BR212" s="184" t="str">
        <f>IFERROR(IF(B212="", "", IF(OR(VLOOKUP(J212, 'Fixture Identities'!$A$6:$L$1023, 3, FALSE)="T12 Linear Fluorescent",VLOOKUP(J212, 'Fixture Identities'!$A$6:$L$1023, 3, FALSE)="T12 U-Tube Fluorescent"), "Y", "N")), "N")</f>
        <v/>
      </c>
      <c r="BS212" s="184" t="str">
        <f t="array" ref="BS212">IFERROR(IF(OR(B212="", V212="", W212=""), "", IF(V212="Custom", "N", IF(OR(W212="Freezer Case Lighting", W212="Refrigerated Case Lighting with Doors"), BT212, IF(B212="Retrofit", INDEX('Lookup Tables'!$AH$6:$AT$102,MATCH(1,('Lookup Tables'!$AH$6:$AH$102=V212)*('Lookup Tables'!$AI$6:$AI$102=W212),FALSE),IF(VLOOKUP(J212, 'Fixture Identities'!$A$6:$B$1023, 2, FALSE)="Incandescent",12, 13)), INDEX('Lookup Tables'!$AH$114:$AS$154,MATCH(1,('Lookup Tables'!$AH$114:$AH$154=V212)*('Lookup Tables'!$AI$114:$AI$154=W212),FALSE),12))))), "N")</f>
        <v/>
      </c>
      <c r="BT212" s="184" t="str">
        <f>IF(J212="", "", IF(AND(OR(W212="Freezer case Lighting", W212="Refrigerated Case Lighting with Doors"),'General Information'!$X$18="LCI"), "N", IF(OR(VLOOKUP(J212, 'Fixture Identities'!$A$6:$B$1023, 2, FALSE)="T12 EPACT/EISA Baseline", VLOOKUP(J212, 'Fixture Identities'!$A$6:$B$1023, 2, FALSE)="Linear Fluorescent", VLOOKUP(J212, 'Fixture Identities'!$A$6:$B$1023, 2, FALSE)="U-Tube Fluorescent"), "Y", "N")))</f>
        <v/>
      </c>
      <c r="BU212" s="184" t="str">
        <f>IFERROR(IF(B212="", "", IF(VLOOKUP(J212, 'Fixture Identities'!$A$6:$B$1023, 2, FALSE)="Exit Sign", "Y", "N")), "N")</f>
        <v/>
      </c>
      <c r="BV212" s="184" t="str">
        <f>IF(V212="Exit Signs", IF(VLOOKUP(J212, 'Fixture Identities'!$A$6:$B$1023, 2, FALSE)="Exit Sign", "N", "Y"), "")</f>
        <v/>
      </c>
      <c r="BW212" s="184" t="str">
        <f t="array" ref="BW212">IFERROR(IF(B212="", "", IF(B212="New Construction", "N", INDEX('Lookup Tables'!$AH$6:$AU$102, MATCH(1, ('Lookup Tables'!$AH$6:$AH$102='Lighting Inventory'!V212)*('Lookup Tables'!$AI$6:$AI$102='Lighting Inventory'!W212), 0), 14))), "N")</f>
        <v/>
      </c>
      <c r="BX212" s="598" t="str">
        <f t="shared" si="566"/>
        <v/>
      </c>
      <c r="BY212" s="598" t="str">
        <f t="shared" si="567"/>
        <v/>
      </c>
      <c r="BZ212" s="598" t="str">
        <f t="shared" si="568"/>
        <v/>
      </c>
      <c r="CA212" s="598" t="str">
        <f t="shared" si="569"/>
        <v/>
      </c>
      <c r="CB212" s="269" t="str">
        <f t="shared" si="570"/>
        <v/>
      </c>
      <c r="CC212" s="517" t="str">
        <f t="shared" si="571"/>
        <v/>
      </c>
      <c r="CD212" s="565" t="str">
        <f t="shared" si="511"/>
        <v/>
      </c>
      <c r="CE212" s="368">
        <v>0</v>
      </c>
      <c r="CF212" s="368" t="str" cm="1">
        <f t="array" ref="CF212">IFERROR(IF(V212="Custom", "$0.1 per kWh", IF(B212="New Construction", CONCATENATE("$",INDEX('Lookup Tables'!$AH$114:$AN$154,MATCH(1,('Lookup Tables'!$AH$114:$AH$154='Lighting Inventory'!V212)*('Lookup Tables'!$AI$114:$AI$154='Lighting Inventory'!W212),FALSE),6)," ",INDEX('Lookup Tables'!$AH$114:$AN$154,MATCH(1,('Lookup Tables'!$AH$114:$AH$154='Lighting Inventory'!V212)*('Lookup Tables'!$AI$114:$AI$154='Lighting Inventory'!W212),FALSE),7)), IF(AND(BU212="N", V212="Exit Signs"), "$0.025 per kWh", CONCATENATE("$",INDEX('Lookup Tables'!$AH$6:$AN$102,MATCH(1,('Lookup Tables'!$AH$6:$AH$102='Lighting Inventory'!V212)*('Lookup Tables'!$AI$6:$AI$102='Lighting Inventory'!W212),FALSE),6)," ",INDEX('Lookup Tables'!$AH$6:$AN$102,MATCH(1,('Lookup Tables'!$AH$6:$AH$102='Lighting Inventory'!V212)*('Lookup Tables'!$AI$6:$AI$102='Lighting Inventory'!W212),FALSE),7))))), "")</f>
        <v/>
      </c>
      <c r="CG212" s="366"/>
      <c r="CH212" s="248" t="str">
        <f t="shared" si="512"/>
        <v/>
      </c>
      <c r="CI212" s="248" t="str">
        <f t="shared" si="513"/>
        <v>Select_IE</v>
      </c>
      <c r="CJ212" s="248" t="str">
        <f t="shared" si="514"/>
        <v/>
      </c>
      <c r="CK212" s="248" t="str">
        <f t="shared" si="515"/>
        <v/>
      </c>
      <c r="CL212" s="248" t="str">
        <f t="shared" si="516"/>
        <v/>
      </c>
      <c r="CM212" s="248" t="str">
        <f>IFERROR(IF(B212="", "", IF(B212="New Construction", VLOOKUP(V212, 'Lookup Tables'!$AF$114:$AG$120, 2, FALSE), VLOOKUP(V212, 'Lookup Tables'!$AD$6:$AE$25, 2, FALSE))), "")</f>
        <v/>
      </c>
      <c r="CN212" s="248" t="str">
        <f t="shared" si="517"/>
        <v/>
      </c>
      <c r="CO212" s="248" t="str">
        <f t="shared" si="518"/>
        <v/>
      </c>
      <c r="CP212" s="592" t="str">
        <f t="shared" si="519"/>
        <v/>
      </c>
      <c r="CQ212" s="248" t="str">
        <f t="shared" si="572"/>
        <v/>
      </c>
      <c r="CR212" s="100"/>
      <c r="CS212" s="250" t="str">
        <f t="shared" si="520"/>
        <v/>
      </c>
      <c r="CT212" s="250" t="str">
        <f t="shared" si="573"/>
        <v/>
      </c>
      <c r="CU212" s="250" t="str">
        <f t="shared" si="574"/>
        <v/>
      </c>
      <c r="CV212" s="250" t="str">
        <f t="shared" si="575"/>
        <v/>
      </c>
      <c r="CW212" s="250" t="str">
        <f t="shared" si="576"/>
        <v/>
      </c>
      <c r="CX212" s="250" t="str">
        <f t="shared" si="521"/>
        <v/>
      </c>
      <c r="CY212" s="250" t="str">
        <f t="shared" si="522"/>
        <v/>
      </c>
      <c r="CZ212" s="250" t="str">
        <f t="shared" si="523"/>
        <v/>
      </c>
      <c r="DA212" s="250" t="str">
        <f t="shared" si="524"/>
        <v/>
      </c>
      <c r="DB212" s="250" t="str">
        <f t="shared" si="525"/>
        <v/>
      </c>
      <c r="DC212" s="250" t="str">
        <f t="shared" si="526"/>
        <v/>
      </c>
      <c r="DD212" s="250" t="str">
        <f t="shared" si="527"/>
        <v/>
      </c>
      <c r="DE212" s="250" t="str">
        <f t="shared" si="528"/>
        <v/>
      </c>
      <c r="DF212" s="250" t="str">
        <f t="shared" si="529"/>
        <v/>
      </c>
      <c r="DG212" s="250" t="str">
        <f t="shared" si="530"/>
        <v/>
      </c>
      <c r="DH212" s="250" t="str">
        <f t="shared" si="531"/>
        <v/>
      </c>
      <c r="DI212" s="250" t="str">
        <f t="shared" si="532"/>
        <v/>
      </c>
      <c r="DJ212" s="250" t="str">
        <f t="shared" si="533"/>
        <v/>
      </c>
      <c r="DK212" s="250" t="str">
        <f t="shared" si="534"/>
        <v/>
      </c>
      <c r="DL212" s="250" t="str">
        <f t="shared" si="535"/>
        <v/>
      </c>
      <c r="DM212" s="250" t="str">
        <f>IF(CD212="ERROR", "ERROR", IF(AND(OR(Y212=$DM$6, Y212='Lookup Tables'!$AD$21, Y212='Lookup Tables'!$AD$22), E212="Interior"), BJ212, ""))</f>
        <v/>
      </c>
      <c r="DN212" s="250" t="str">
        <f>IF(CD212="ERROR", "ERROR", IF(AND(OR(Y212=$DM$6, Y212='Lookup Tables'!$AD$21, Y212='Lookup Tables'!$AD$22), E212="Exterior"), BJ212, ""))</f>
        <v/>
      </c>
      <c r="DO212" s="100"/>
      <c r="DP212" s="250" t="str">
        <f t="shared" si="536"/>
        <v/>
      </c>
      <c r="DQ212" s="250" t="str">
        <f t="shared" si="577"/>
        <v/>
      </c>
      <c r="DR212" s="250" t="str">
        <f t="shared" si="578"/>
        <v/>
      </c>
      <c r="DS212" s="250" t="str">
        <f t="shared" si="579"/>
        <v/>
      </c>
      <c r="DT212" s="250" t="str">
        <f t="shared" si="580"/>
        <v/>
      </c>
      <c r="DU212" s="250" t="str">
        <f t="shared" si="537"/>
        <v/>
      </c>
      <c r="DV212" s="250" t="str">
        <f t="shared" si="538"/>
        <v/>
      </c>
      <c r="DW212" s="250" t="str">
        <f t="shared" si="539"/>
        <v/>
      </c>
      <c r="DX212" s="250" t="str">
        <f t="shared" si="540"/>
        <v/>
      </c>
      <c r="DY212" s="250" t="str">
        <f t="shared" si="541"/>
        <v/>
      </c>
      <c r="DZ212" s="250" t="str">
        <f t="shared" si="542"/>
        <v/>
      </c>
      <c r="EA212" s="250" t="str">
        <f t="shared" si="543"/>
        <v/>
      </c>
      <c r="EB212" s="250" t="str">
        <f t="shared" si="581"/>
        <v/>
      </c>
      <c r="EC212" s="250" t="str">
        <f t="shared" si="544"/>
        <v/>
      </c>
      <c r="ED212" s="250" t="str">
        <f t="shared" si="545"/>
        <v/>
      </c>
      <c r="EE212" s="250" t="str">
        <f t="shared" si="546"/>
        <v/>
      </c>
      <c r="EF212" s="250" t="str">
        <f t="shared" si="547"/>
        <v/>
      </c>
      <c r="EG212" s="250" t="str">
        <f t="shared" si="548"/>
        <v/>
      </c>
      <c r="EH212" s="250" t="str">
        <f>IF(CD212="ERROR", "ERROR", IF(AND(OR($EH$6=Y212, Y212='Lookup Tables'!$AD$21, Y212='Lookup Tables'!$AD$22),E212="Interior"), SUM(BP212:BP212), ""))</f>
        <v/>
      </c>
      <c r="EI212" s="250" t="str">
        <f>IF(CD212="ERROR", "ERROR", IF(AND(OR($EH$6=Y212, Y212='Lookup Tables'!$AD$21, Y212='Lookup Tables'!$AD$22),E212="Exterior"), SUM(BP212:BP212), ""))</f>
        <v/>
      </c>
      <c r="EJ212" s="109"/>
      <c r="EK212" s="485" t="str">
        <f t="shared" si="549"/>
        <v/>
      </c>
      <c r="EL212" s="252" t="str">
        <f t="shared" si="582"/>
        <v/>
      </c>
      <c r="EM212" s="252" t="str">
        <f t="shared" si="583"/>
        <v/>
      </c>
      <c r="EN212" s="252" t="str">
        <f t="shared" si="584"/>
        <v/>
      </c>
      <c r="EO212" s="252" t="str">
        <f t="shared" si="585"/>
        <v/>
      </c>
      <c r="EP212" s="252" t="str">
        <f t="shared" si="586"/>
        <v/>
      </c>
      <c r="EQ212" s="252" t="str">
        <f t="shared" si="587"/>
        <v/>
      </c>
      <c r="ER212" s="252" t="str">
        <f t="shared" si="588"/>
        <v/>
      </c>
      <c r="ES212" s="252" t="str">
        <f t="shared" si="589"/>
        <v/>
      </c>
      <c r="ET212" s="252" t="str">
        <f t="shared" si="590"/>
        <v/>
      </c>
      <c r="EU212" s="252" t="str">
        <f t="shared" si="591"/>
        <v/>
      </c>
      <c r="EV212" s="252" t="str">
        <f t="shared" si="592"/>
        <v/>
      </c>
      <c r="EW212" s="252" t="str">
        <f t="shared" si="593"/>
        <v/>
      </c>
      <c r="EX212" s="252" t="str">
        <f t="shared" si="594"/>
        <v/>
      </c>
      <c r="EY212" s="252" t="str">
        <f t="shared" si="595"/>
        <v/>
      </c>
      <c r="EZ212" s="252" t="str">
        <f t="shared" si="596"/>
        <v/>
      </c>
      <c r="FA212" s="252" t="str">
        <f t="shared" si="597"/>
        <v/>
      </c>
      <c r="FB212" s="252" t="str">
        <f t="shared" si="598"/>
        <v/>
      </c>
      <c r="FC212" s="252" t="str">
        <f>IF(CD212="ERROR", "ERROR", IF(OR(V212="No Change", V212="Not DLC or Energy Star"), "", IF(AND(OR($FC$6=Y212,Y212='Lookup Tables'!$AD$21, Y212='Lookup Tables'!$AD$22),E212="Interior"), S212, "")))</f>
        <v/>
      </c>
      <c r="FD212" s="252" t="str">
        <f t="shared" si="599"/>
        <v/>
      </c>
      <c r="FE212" s="101"/>
      <c r="FF212" s="579" t="str" cm="1">
        <f t="array" ref="FF212">IFERROR(IF(OR(BQ212&lt;=0,AQ212&lt;20,AND(V212="Exit Signs",AN212&gt;0)),"",IF(AND(AQ212&gt;=20,AN212='Lookup Tables'!$R$101),'Lookup Tables'!$U$101*BQ212,AP212*LOOKUP(2,1/((AN212='Lookup Tables'!$R$91:$R$111)*(AQ212&gt;='Lookup Tables'!$S$91:$S$111)*(AQ212&lt;='Lookup Tables'!$T$91:$T$111)),'Lookup Tables'!$U$91:$U$111))),"")</f>
        <v/>
      </c>
      <c r="FG212" s="579"/>
      <c r="FH212" s="579"/>
      <c r="FI212" s="253" t="str">
        <f>IFERROR(ROUND(IF(CD212="ERROR", "ERROR", IF(AND($FI$7=X212,E212="Interior"),VLOOKUP(W212, 'Lookup Tables'!$AI$6:$AM$102, 5, FALSE)*BP212, "")), 2), "")</f>
        <v/>
      </c>
      <c r="FJ212" s="253" t="str">
        <f>IFERROR(ROUND(IF(CD212="ERROR", "ERROR", IF(AND($FI$7=X212,E212="Exterior"),VLOOKUP(W212, 'Lookup Tables'!$AI$6:$AM$102, 5, FALSE)*BP212, "")), 2), "")</f>
        <v/>
      </c>
      <c r="FK212" s="253" t="str">
        <f>IFERROR(ROUND(IF(CD212="ERROR", "ERROR", IF(AND($FK$7=X212,E212="Interior"),VLOOKUP(W212, 'Lookup Tables'!$AI$6:$AM$102, 5, FALSE)*BP212, "")), 2), "")</f>
        <v/>
      </c>
      <c r="FL212" s="253" t="str">
        <f>IFERROR(ROUND(IF(CD212="ERROR", "ERROR", IF(AND($FK$7=X212,E212="Exterior"),VLOOKUP(W212, 'Lookup Tables'!$AI$6:$AM$102, 5, FALSE)*BP212, "")), 2), "")</f>
        <v/>
      </c>
      <c r="FM212" s="253" t="str">
        <f>IFERROR(ROUND(IF(CD212="ERROR", "ERROR", IF(AND($FM$6=Y212,E212="Interior"), IF(GB212=0, VLOOKUP(W212, 'Lookup Tables'!$AI$6:$AM$102, 5, FALSE)*BP212, IF(VLOOKUP(W212, 'Lookup Tables'!$AI$6:$AM$102, 5, FALSE)*BP212&gt;GB212*'Lighting Inventory'!S212, GB212*'Lighting Inventory'!S212,VLOOKUP(W212, 'Lookup Tables'!$AI$6:$AM$102, 5, FALSE)*BP212)), "")), 2), "")</f>
        <v/>
      </c>
      <c r="FN212" s="253" t="str">
        <f>IFERROR(ROUND(IF(CD212="ERROR", "ERROR", IF(AND($FM$6=Y212,E212="Exterior"), IF(GB212=0, VLOOKUP(W212, 'Lookup Tables'!$AI$6:$AM$102, 5, FALSE)*BP212, IF(VLOOKUP(W212, 'Lookup Tables'!$AI$6:$AM$102, 5, FALSE)*BP212&gt;GB212*'Lighting Inventory'!S212, GB212*'Lighting Inventory'!S212,VLOOKUP(W212, 'Lookup Tables'!$AI$6:$AM$102, 5, FALSE)*BP212)), "")), 2), "")</f>
        <v/>
      </c>
      <c r="FO212" s="253" t="str">
        <f>IFERROR(ROUND(IF(CD212="ERROR", "ERROR", IF(AND($FO$6=Y212,E212="Interior"),VLOOKUP(W212, 'Lookup Tables'!$AI$6:$AM$102, 5, FALSE)*'Lighting Inventory'!AI212, "")), 2), "")</f>
        <v/>
      </c>
      <c r="FP212" s="253" t="str">
        <f>IFERROR(ROUND(IF(CD212="ERROR", "ERROR", IF(AND($FO$6=Y212,E212="Exterior"),VLOOKUP(W212, 'Lookup Tables'!$AI$6:$AM$102, 5, FALSE)*'Lighting Inventory'!AI212, "")), 2), "")</f>
        <v/>
      </c>
      <c r="FQ212" s="253" t="str">
        <f>IFERROR(ROUND(IF(CD212="ERROR", "ERROR", IF(AND($FQ$6=Y212,E212="Interior", BU212="Y"), VLOOKUP('Lighting Inventory'!W212, 'Lookup Tables'!$AI$6:$AM$102, 5, FALSE)*'Lighting Inventory'!S212, IF(AND($FQ$7=Y212,E212="Interior", BU212="N"), 0.025*CD212, ""))), 2), "")</f>
        <v/>
      </c>
      <c r="FR212" s="253" t="str">
        <f>IFERROR(ROUND(IF(CD212="ERROR", "ERROR", IF(AND($FQ$6=Y212,E212="Exterior"), VLOOKUP('Lighting Inventory'!W212, 'Lookup Tables'!$AI$6:$AM$102, 5, FALSE)*'Lighting Inventory'!S212, "")), 2), "")</f>
        <v/>
      </c>
      <c r="FS212" s="253" t="str">
        <f>IFERROR(ROUND(IF(CD212="ERROR", "ERROR", IF(AND($FS$6=Y212,E212="Exterior"), IF(GB212=0, VLOOKUP(W212, 'Lookup Tables'!$AI$6:$AM$102, 5, FALSE)*BP212, IF(VLOOKUP(W212, 'Lookup Tables'!$AI$6:$AM$102, 5, FALSE)*BP212&gt;GB212*'Lighting Inventory'!S212, GB212*'Lighting Inventory'!S212,VLOOKUP(W212, 'Lookup Tables'!$AI$6:$AM$102, 5, FALSE)*BP212)), "")), 2), "")</f>
        <v/>
      </c>
      <c r="FT212" s="253" t="str">
        <f>IFERROR(ROUND(IF(CD212="ERROR", "ERROR", IF(AND($FT$6=Y212,E212="Interior"), IF(GB212=0, VLOOKUP(W212, 'Lookup Tables'!$AI$6:$AM$102, 5, FALSE)*BP212, IF(VLOOKUP(W212, 'Lookup Tables'!$AI$6:$AM$102, 5, FALSE)*BP212&gt;GB212*'Lighting Inventory'!S212, GB212*'Lighting Inventory'!S212,VLOOKUP(W212, 'Lookup Tables'!$AI$6:$AM$102, 5, FALSE)*BP212)), "")), 2), "")</f>
        <v/>
      </c>
      <c r="FU212" s="253" t="str">
        <f>IFERROR(ROUND(IF(CD212="ERROR", "ERROR", IF(AND(Y212=$FU$6, E212="Interior"), IF(BS212="N", 'Lookup Tables'!$AM$101*BP212, VLOOKUP(W212, 'Lookup Tables'!$AI$6:$AM$102, 5, FALSE)*S212*AD212), "")), 2), "")</f>
        <v/>
      </c>
      <c r="FV212" s="253" t="str">
        <f>IFERROR(ROUND(IF(CD212="ERROR", "ERROR", IF(AND(Y212=$FU$6, E212="Exterior"), IF(BS212="N", 'Lookup Tables'!$AM$101*BP212, VLOOKUP(W212, 'Lookup Tables'!$AI$6:$AM$102, 5, FALSE)*S212*AD212), "")), 2), "")</f>
        <v/>
      </c>
      <c r="FW212" s="253" t="str">
        <f>IFERROR(ROUND(IF(CD212="ERROR", "ERROR", IF($FW$6=Y212, IF(BS212="N", 'Lookup Tables'!$AM$101*BP212, MIN((VLOOKUP(W212, 'Lookup Tables'!$AI$6:$AM$102, 5, FALSE)*BP212),GB212*AJ212)), "")), 2), "")</f>
        <v/>
      </c>
      <c r="FX212" s="253" t="str">
        <f>IFERROR(ROUND(IF(CD212="ERROR", "ERROR", IF(AND($FX$6=Y212, E212="Interior"), IF(VLOOKUP(W212, 'Lookup Tables'!$AI$6:$AM$102, 5, FALSE)*BP212&gt;'Lookup Tables'!$AQ$97*'Lighting Inventory'!S212,'Lighting Inventory'!S212*'Lookup Tables'!$AQ$97,VLOOKUP(W212, 'Lookup Tables'!$AI$6:$AM$102, 5, FALSE)*BP212), "")), 2), "")</f>
        <v/>
      </c>
      <c r="FY212" s="253" t="str">
        <f>IFERROR(ROUND(IF(CD212="ERROR", "ERROR", IF(AND($FX$6=Y212, E212="Exterior"), IF(VLOOKUP(W212, 'Lookup Tables'!$AI$6:$AM$102, 5, FALSE)*BP212&gt;'Lookup Tables'!$AQ$97*'Lighting Inventory'!S212,'Lighting Inventory'!S212*'Lookup Tables'!$AQ$97,VLOOKUP(W212, 'Lookup Tables'!$AI$6:$AM$102, 5, FALSE)*BP212), "")), 2), "")</f>
        <v/>
      </c>
      <c r="FZ212" s="253" t="str">
        <f>IFERROR(ROUND(IF(CD212="ERROR", "ERROR", IF(AND($FZ$6=Y212, E212="Interior"), IF(AND(OR(W212="Refrigerated Case Lighting with Doors", W212="Freezer Case Lighting"),Y212="Custom - Process Improvement"),CD212*'Lookup Tables'!$AM$101, IF(B212="Retrofit", IF(VLOOKUP(IF(V212="Custom", V212, W212), 'Lookup Tables'!$AI$6:$AM$102, 5, FALSE)*BP212&gt;GE212, GE212, VLOOKUP(IF(V212="Custom", V212, W212), 'Lookup Tables'!$AI$6:$AM$102, 5, FALSE)*BP212), IF(VLOOKUP(IF(V212="Custom", V212, W212), 'Lookup Tables'!$AI$114:$AM$154, 5, FALSE)*BP212&gt;GE212, GE212, VLOOKUP(IF(V212="Custom", V212, W212), 'Lookup Tables'!$AI$114:$AM$154, 5, FALSE)*BP212))), "")), 2),"")</f>
        <v/>
      </c>
      <c r="GA212" s="253" t="str">
        <f>IFERROR(ROUND(IF(CD212="ERROR", "ERROR", IF(AND($FZ$6=Y212, E212="Exterior"), IF(B212="Retrofit", IF(VLOOKUP(IF(V212="Custom", V212, W212), 'Lookup Tables'!$AI$6:$AM$102, 5, FALSE)*BP212&gt;GE212, GE212, VLOOKUP(IF(V212="Custom", V212, W212), 'Lookup Tables'!$AI$6:$AM$102, 5, FALSE)*BP212), IF(VLOOKUP(IF(V212="Custom", V212, W212), 'Lookup Tables'!$AI$114:$AM$154, 5, FALSE)*BP212&gt;GE212, GE212, VLOOKUP(IF(V212="Custom", V212, W212), 'Lookup Tables'!$AI$114:$AM$154, 5, FALSE)*BP212)), "")), 2),"")</f>
        <v/>
      </c>
      <c r="GB212" s="254" t="str">
        <f t="array" ref="GB212">IF(B212="","",IF(OR(V212="Custom",V212="No Change"),0,IF(B212="Retrofit", INDEX('Lookup Tables'!$AH$6:$AQ$102,MATCH(1,('Lookup Tables'!$AH$6:$AH$102='Lighting Inventory'!V212)*('Lookup Tables'!$AI$6:$AI$102='Lighting Inventory'!W212),FALSE),10),INDEX('Lookup Tables'!$AH$114:$AQ$154,MATCH(1,('Lookup Tables'!$AH$114:$AH$154='Lighting Inventory'!V212)*('Lookup Tables'!$AI$114:$AI$154='Lighting Inventory'!W212),FALSE),10))))</f>
        <v/>
      </c>
      <c r="GC212" s="255" t="str">
        <f t="shared" si="550"/>
        <v/>
      </c>
      <c r="GD212" s="250" t="str">
        <f t="shared" si="551"/>
        <v/>
      </c>
      <c r="GE212" s="253" t="str">
        <f>IFERROR(IF(AND(AF212="", 'General Information'!$F$18="No"),"", IF(AF212="", ((GD212/$CD$266)*$CF$266)*0.5, AF212*S212*0.5)), "")</f>
        <v/>
      </c>
      <c r="GF212" s="255" t="str">
        <f>IF(AND('General Information'!$F$19="", 'General Information'!$F$18="Yes",AF212="",BW212="Y"), "Y", "N")</f>
        <v>N</v>
      </c>
      <c r="GG212" s="255" t="s">
        <v>2946</v>
      </c>
      <c r="GH212" s="255" t="str">
        <f>IFERROR(IF(B212="", "", VLOOKUP(J212, 'Fixture Identities'!$A$6:$N$908, 14, FALSE)), "")</f>
        <v/>
      </c>
      <c r="GI212" s="389" t="str">
        <f>IF(OR(B212="", V212="", W212=""), "", IF(AND(OR(M212='Lookup Tables'!$R$18, M212='Lookup Tables'!$R$19, M212='Lookup Tables'!$R$20, M212='Lookup Tables'!$R$21, M212='Lookup Tables'!$R$22), OR(AN212='Lookup Tables'!$R$17, AN212='Lookup Tables'!$R$17, AN212="")), "Y", "N"))</f>
        <v/>
      </c>
      <c r="GJ212" s="255" t="str">
        <f t="shared" si="552"/>
        <v/>
      </c>
      <c r="GK212" s="255" t="str">
        <f t="shared" si="553"/>
        <v/>
      </c>
      <c r="GL212" s="255" t="str">
        <f t="shared" si="554"/>
        <v/>
      </c>
      <c r="GM212" s="255" t="str">
        <f>IF(AN212="", "", IF(AND(IF(ISNA(VLOOKUP(AN212,'Lookup Tables'!$R$18:$R$22,1,FALSE)), "N", "Y")="Y", E212="Exterior"), "Y", "N"))</f>
        <v/>
      </c>
      <c r="GN212" s="395"/>
      <c r="GO212" s="428">
        <f t="shared" si="600"/>
        <v>0</v>
      </c>
      <c r="GP212" s="428">
        <f t="shared" si="603"/>
        <v>0</v>
      </c>
      <c r="GQ212" s="428">
        <f t="shared" si="601"/>
        <v>0</v>
      </c>
      <c r="GR212" s="428">
        <f t="shared" si="602"/>
        <v>0</v>
      </c>
    </row>
    <row r="213" spans="1:200" s="103" customFormat="1" ht="13.5" customHeight="1" x14ac:dyDescent="0.2">
      <c r="A213" s="272">
        <v>203</v>
      </c>
      <c r="B213" s="110"/>
      <c r="C213" s="110"/>
      <c r="D213" s="110"/>
      <c r="E213" s="110"/>
      <c r="F213" s="110"/>
      <c r="G213" s="110"/>
      <c r="H213" s="110"/>
      <c r="I213" s="29"/>
      <c r="J213" s="29"/>
      <c r="K213" s="272" t="str">
        <f>IFERROR(IF(OR(VLOOKUP(J213, 'Fixture Identities'!$A$6:$L$1023, 3, FALSE)="T12 Linear Fluorescent", VLOOKUP(J213, 'Fixture Identities'!$A$6:$L$1023, 3, FALSE)="T12 U-Tube Fluorescent"), VLOOKUP(VLOOKUP(J213, 'Fixture Identities'!$A$6:$L$1023, 11, FALSE), 'Fixture Identities'!$A$6:$L$1023, 10, FALSE), VLOOKUP(J213, 'Fixture Identities'!$A$6:$L$1023, 10, FALSE)), "")</f>
        <v/>
      </c>
      <c r="L213" s="270" t="str">
        <f t="shared" si="605"/>
        <v/>
      </c>
      <c r="M213" s="110"/>
      <c r="N213" s="110"/>
      <c r="O213" s="110"/>
      <c r="P213" s="272" t="str">
        <f>IFERROR(IF(OR(B213="Retrofit",B213=""),"",IF('Lighting Inventory'!E213="Exterior",VLOOKUP('Lighting Inventory'!N213,'Lookup Tables'!$B$83:$F$103,5,FALSE),IF(N213="Other - Please Estimate EFLH and CFs","Contact Prog. Rep.","ft^2"))), "")</f>
        <v/>
      </c>
      <c r="Q213" s="270" t="str">
        <f>IFERROR(IF(AND(B213="New Construction",E213="Interior",$F$5="Space-by-Space"),VLOOKUP('Lighting Inventory'!N213,'Lookup Tables'!$N$6:$O$97,2,FALSE),IF(AND(B213="New Construction",E213="Exterior"),VLOOKUP(N213,'Lookup Tables'!$B$83:$F$103,2,FALSE),IF(AND(B213="New Construction",'Lighting Inventory'!E213="Interior", $F$5="Building Area"),VLOOKUP(F213,'Lookup Tables'!$A$6:$J$59,10,FALSE),""))), "")</f>
        <v/>
      </c>
      <c r="R213" s="270" t="str">
        <f>IFERROR(IF(P213="Contact Prog. Rep.", "ERROR", IF(OR(B213="",B213="Retrofit"),"",IF(N213="Automated teller machines", ('Lookup Tables'!$A$82:$E$100+('Lighting Inventory'!O213-1)*'Lookup Tables'!$A$82:$E$100)/1000, (Q213*O213)/1000))), "")</f>
        <v/>
      </c>
      <c r="S213" s="595"/>
      <c r="T213" s="105" t="str">
        <f t="shared" si="555"/>
        <v/>
      </c>
      <c r="U213" s="105" t="str">
        <f>IF(S213="","",COUNT($S$11:S213))</f>
        <v/>
      </c>
      <c r="V213" s="111"/>
      <c r="W213" s="112"/>
      <c r="X213" s="105" t="str">
        <f t="shared" si="556"/>
        <v/>
      </c>
      <c r="Y213" s="105" t="str">
        <f t="array" ref="Y213">IF(AND(OR(W213="Freezer Case Lighting", W213="Refrigerated Case Lighting with Doors"), 'General Information'!$X$18="LCI"),'Lookup Tables'!$Y$34, IF(V213="Custom", VLOOKUP(W213, 'Fixture Identities'!$A$974:$M$1023, 13, FALSE), IF(V213="No Change",'Lookup Tables'!$Y$29,IF(OR(V213="",W213=""),"",IF(AND(S213=0,S213&lt;I213,B213="Retrofit"),'Lookup Tables'!$Y$25, IF(B213="Retrofit", INDEX('Lookup Tables'!$AH$6:$AP$102, MATCH(1, ('Lookup Tables'!$AH$6:$AH$102=V213)*('Lookup Tables'!$AI$6:$AI$102=W213), 0), IF('Lighting Inventory'!E213="Interior", 4, 5)), INDEX('Lookup Tables'!$AH$114:$AP$154, MATCH(1, ('Lookup Tables'!$AH$114:$AH$154=V213)*('Lookup Tables'!$AI$114:$AI$154=W213), 0), IF('Lighting Inventory'!E213="Interior", 4, 5))))))))</f>
        <v/>
      </c>
      <c r="Z213" s="105" t="str">
        <f>IFERROR(INDEX('Lookup Tables'!$AH$158:$AH$172,MATCH('Lighting Inventory'!Y213,'Lookup Tables'!$AI$158:$AI$172,0)),"")</f>
        <v/>
      </c>
      <c r="AA213" s="105" t="str">
        <f>IF(AP213&gt;0,INDEX('Lookup Tables'!$AK$158:$AK$172,MATCH('Lighting Inventory'!Y213,'Lookup Tables'!$AI$158:$AI$172,0)),'Lighting Inventory'!Y213)</f>
        <v/>
      </c>
      <c r="AB213" s="105" t="str">
        <f t="array" ref="AB213">IF(V213="Custom", "Custom", IF(V213="", "", IF(V213="Not DLC or Energy Star", "General", IF(B213="New Construction", INDEX('Lookup Tables'!$AH$114:$AP$154,MATCH(1,('Lookup Tables'!$AH$114:$AH$154='Lighting Inventory'!V213)*('Lookup Tables'!$AI$114:$AI$154='Lighting Inventory'!W213),FALSE),8), INDEX('Lookup Tables'!$AH$6:$AP$102,MATCH(1,('Lookup Tables'!$AH$6:$AH$102='Lighting Inventory'!V213)*('Lookup Tables'!$AI$6:$AI$102='Lighting Inventory'!W213),FALSE),8)))))</f>
        <v/>
      </c>
      <c r="AC213" s="272" t="str">
        <f>IF(W213="","",IF(V213="Custom",CONCATENATE("$",'Lookup Tables'!$AM$101," ",'Lookup Tables'!$AN$101),CONCATENATE("$",INDEX('Lookup Tables'!$AM$6:$AM$102,MATCH('Lighting Inventory'!W213,'Lookup Tables'!$AI$6:$AI$102,0))," ",INDEX('Lookup Tables'!$AN$6:$AN$102,MATCH('Lighting Inventory'!W213,'Lookup Tables'!$AI$6:$AI$102,0)))))</f>
        <v/>
      </c>
      <c r="AD213" s="72"/>
      <c r="AE213" s="29"/>
      <c r="AF213" s="379"/>
      <c r="AG213" s="370" t="str">
        <f t="shared" si="504"/>
        <v/>
      </c>
      <c r="AH213" s="370" t="str">
        <f t="shared" si="557"/>
        <v/>
      </c>
      <c r="AI213" s="29"/>
      <c r="AJ213" s="29"/>
      <c r="AK213" s="110"/>
      <c r="AL213" s="375" t="str">
        <f>IF(OR(B213="", V213="", W213=""), "", IF(V213="No Change", K213, IF(V213="Remove Fixture", 0, IF(V213="Custom",VLOOKUP(W213,'Fixture Identities'!$A$6:$K$1023,10,FALSE),IF(AE213="", "← ENTER POST WATTS", 'Lighting Inventory'!AE213)))))</f>
        <v/>
      </c>
      <c r="AM213" s="376" t="str">
        <f t="shared" si="505"/>
        <v/>
      </c>
      <c r="AN213" s="29"/>
      <c r="AO213" s="671"/>
      <c r="AP213" s="29"/>
      <c r="AQ213" s="29"/>
      <c r="AR213" s="29"/>
      <c r="AS213" s="272" t="str">
        <f t="shared" si="558"/>
        <v/>
      </c>
      <c r="AT213" s="270" t="str">
        <f t="shared" si="506"/>
        <v/>
      </c>
      <c r="AU213" s="88" t="str">
        <f t="shared" si="606"/>
        <v/>
      </c>
      <c r="AV213" s="29"/>
      <c r="AW213" s="73"/>
      <c r="AX213" s="271" t="str">
        <f>IF(AND(AV213="Applicant",OR(AW213="", AW213="Use Default Facility Hours")),"← Choose Schedule",IF(F213="","",IF(W213="LED Exit Signs",8760,IF(OR(AV213="Prescribed",AV213=""),VLOOKUP(F213,'Lookup Tables'!$A$6:$G$59,IF(AB213="General", 6, 3),FALSE),VLOOKUP(AW213,'Lookup Tables'!$S$36:$U$43,2,FALSE)))))</f>
        <v/>
      </c>
      <c r="AY213" s="88" t="str">
        <f t="shared" si="507"/>
        <v/>
      </c>
      <c r="AZ213" s="270" t="str">
        <f>IFERROR(IF(F213="", "", IF(W213="LED Exit Signs", 1, IF(AV213="Applicant",VLOOKUP(AW213, 'Lookup Tables'!$S$36:$U$43,3, FALSE), VLOOKUP('Lighting Inventory'!F213, 'Lookup Tables'!$A$6:$H$59, IF('Lighting Inventory'!AB213="General",7,4), FALSE)))), "")</f>
        <v/>
      </c>
      <c r="BA213" s="522" t="str">
        <f>IFERROR(IF(F213="", "", IF(W213="LED Exit Signs", 1, VLOOKUP('Lighting Inventory'!F213, 'Lookup Tables'!$A$6:$H$59, IF('Lighting Inventory'!AB213="General",8,5), FALSE))), "")</f>
        <v/>
      </c>
      <c r="BB213" s="270" t="str">
        <f>IF(G213="", "", IF(E213="Exterior", 0, IF('Lighting Inventory'!G213="Air Conditioned", VLOOKUP(H213, 'Lookup Tables'!$R$6:$T$13, 2, FALSE), VLOOKUP('Lighting Inventory'!G213, 'Lookup Tables'!$R$6:$T$13, 2, FALSE))))</f>
        <v/>
      </c>
      <c r="BC213" s="522" t="str">
        <f>IF(G213="", "", IF(E213="Exterior", 0, IF('Lighting Inventory'!G213="Air Conditioned", VLOOKUP(H213, 'Lookup Tables'!$R$6:$T$13, 3, FALSE), VLOOKUP('Lighting Inventory'!G213, 'Lookup Tables'!$R$6:$T$13, 3, FALSE))))</f>
        <v/>
      </c>
      <c r="BD213" s="270" t="str">
        <f>IF(G213="", "", IF(E213="Exterior", 0, IF('Lighting Inventory'!G213="Air Conditioned", VLOOKUP(H213, 'Lookup Tables'!$R$6:$U$13, 4, FALSE), VLOOKUP('Lighting Inventory'!G213, 'Lookup Tables'!$R$6:$U$13, 4, FALSE))))</f>
        <v/>
      </c>
      <c r="BE213" s="270" t="str">
        <f>IFERROR(IF(B213="", "",  IF(B213="New Construction", VLOOKUP(F213, 'Lookup Tables'!$A$6:$K$59, 11, FALSE),IF(OR(AN213="", AN213="Light Switch"), 0, IF(OR(M213="",M213="None",V213= "LED Exit Signs"),0,_xlfn.XLOOKUP(M213,'Lookup Tables'!$R$91:$R$101,'Lookup Tables'!$V$91:$V$101))))), "")</f>
        <v/>
      </c>
      <c r="BF213" s="270" t="str">
        <f>IF(AND(OR(AN213="Light Switch",AN213=""),B213="New Construction"), VLOOKUP(F213, 'Lookup Tables'!$A$6:$K$59, 11, FALSE),IF(AN213="","",IF(B213="","",IF(OR(AN213="None",AN213="",V213="LED Exit Signs",AN213="Exterior Controls Not Eligible"),0,_xlfn.XLOOKUP(AN213,'Lookup Tables'!$R$91:$R$101,'Lookup Tables'!$V$91:$V$101)))))</f>
        <v/>
      </c>
      <c r="BG213" s="88" t="str">
        <f t="shared" si="559"/>
        <v/>
      </c>
      <c r="BH213" s="88" t="str">
        <f t="shared" si="560"/>
        <v/>
      </c>
      <c r="BI213" s="558" t="str">
        <f t="shared" si="604"/>
        <v/>
      </c>
      <c r="BJ213" s="82" t="str">
        <f t="shared" si="561"/>
        <v/>
      </c>
      <c r="BK213" s="82" t="str">
        <f t="shared" si="562"/>
        <v/>
      </c>
      <c r="BL213" s="559" t="str">
        <f t="shared" si="563"/>
        <v/>
      </c>
      <c r="BM213" s="521" t="str">
        <f t="shared" si="508"/>
        <v/>
      </c>
      <c r="BN213" s="521" t="str">
        <f t="shared" si="509"/>
        <v/>
      </c>
      <c r="BO213" s="522" t="str">
        <f t="shared" si="510"/>
        <v/>
      </c>
      <c r="BP213" s="83" t="str">
        <f t="shared" si="564"/>
        <v/>
      </c>
      <c r="BQ213" s="84" t="str">
        <f t="shared" si="565"/>
        <v/>
      </c>
      <c r="BR213" s="184" t="str">
        <f>IFERROR(IF(B213="", "", IF(OR(VLOOKUP(J213, 'Fixture Identities'!$A$6:$L$1023, 3, FALSE)="T12 Linear Fluorescent",VLOOKUP(J213, 'Fixture Identities'!$A$6:$L$1023, 3, FALSE)="T12 U-Tube Fluorescent"), "Y", "N")), "N")</f>
        <v/>
      </c>
      <c r="BS213" s="184" t="str">
        <f t="array" ref="BS213">IFERROR(IF(OR(B213="", V213="", W213=""), "", IF(V213="Custom", "N", IF(OR(W213="Freezer Case Lighting", W213="Refrigerated Case Lighting with Doors"), BT213, IF(B213="Retrofit", INDEX('Lookup Tables'!$AH$6:$AT$102,MATCH(1,('Lookup Tables'!$AH$6:$AH$102=V213)*('Lookup Tables'!$AI$6:$AI$102=W213),FALSE),IF(VLOOKUP(J213, 'Fixture Identities'!$A$6:$B$1023, 2, FALSE)="Incandescent",12, 13)), INDEX('Lookup Tables'!$AH$114:$AS$154,MATCH(1,('Lookup Tables'!$AH$114:$AH$154=V213)*('Lookup Tables'!$AI$114:$AI$154=W213),FALSE),12))))), "N")</f>
        <v/>
      </c>
      <c r="BT213" s="184" t="str">
        <f>IF(J213="", "", IF(AND(OR(W213="Freezer case Lighting", W213="Refrigerated Case Lighting with Doors"),'General Information'!$X$18="LCI"), "N", IF(OR(VLOOKUP(J213, 'Fixture Identities'!$A$6:$B$1023, 2, FALSE)="T12 EPACT/EISA Baseline", VLOOKUP(J213, 'Fixture Identities'!$A$6:$B$1023, 2, FALSE)="Linear Fluorescent", VLOOKUP(J213, 'Fixture Identities'!$A$6:$B$1023, 2, FALSE)="U-Tube Fluorescent"), "Y", "N")))</f>
        <v/>
      </c>
      <c r="BU213" s="184" t="str">
        <f>IFERROR(IF(B213="", "", IF(VLOOKUP(J213, 'Fixture Identities'!$A$6:$B$1023, 2, FALSE)="Exit Sign", "Y", "N")), "N")</f>
        <v/>
      </c>
      <c r="BV213" s="184" t="str">
        <f>IF(V213="Exit Signs", IF(VLOOKUP(J213, 'Fixture Identities'!$A$6:$B$1023, 2, FALSE)="Exit Sign", "N", "Y"), "")</f>
        <v/>
      </c>
      <c r="BW213" s="184" t="str">
        <f t="array" ref="BW213">IFERROR(IF(B213="", "", IF(B213="New Construction", "N", INDEX('Lookup Tables'!$AH$6:$AU$102, MATCH(1, ('Lookup Tables'!$AH$6:$AH$102='Lighting Inventory'!V213)*('Lookup Tables'!$AI$6:$AI$102='Lighting Inventory'!W213), 0), 14))), "N")</f>
        <v/>
      </c>
      <c r="BX213" s="598" t="str">
        <f t="shared" si="566"/>
        <v/>
      </c>
      <c r="BY213" s="598" t="str">
        <f t="shared" si="567"/>
        <v/>
      </c>
      <c r="BZ213" s="598" t="str">
        <f t="shared" si="568"/>
        <v/>
      </c>
      <c r="CA213" s="598" t="str">
        <f t="shared" si="569"/>
        <v/>
      </c>
      <c r="CB213" s="269" t="str">
        <f t="shared" si="570"/>
        <v/>
      </c>
      <c r="CC213" s="517" t="str">
        <f t="shared" si="571"/>
        <v/>
      </c>
      <c r="CD213" s="565" t="str">
        <f t="shared" si="511"/>
        <v/>
      </c>
      <c r="CE213" s="368">
        <v>0</v>
      </c>
      <c r="CF213" s="368" t="str" cm="1">
        <f t="array" ref="CF213">IFERROR(IF(V213="Custom", "$0.1 per kWh", IF(B213="New Construction", CONCATENATE("$",INDEX('Lookup Tables'!$AH$114:$AN$154,MATCH(1,('Lookup Tables'!$AH$114:$AH$154='Lighting Inventory'!V213)*('Lookup Tables'!$AI$114:$AI$154='Lighting Inventory'!W213),FALSE),6)," ",INDEX('Lookup Tables'!$AH$114:$AN$154,MATCH(1,('Lookup Tables'!$AH$114:$AH$154='Lighting Inventory'!V213)*('Lookup Tables'!$AI$114:$AI$154='Lighting Inventory'!W213),FALSE),7)), IF(AND(BU213="N", V213="Exit Signs"), "$0.025 per kWh", CONCATENATE("$",INDEX('Lookup Tables'!$AH$6:$AN$102,MATCH(1,('Lookup Tables'!$AH$6:$AH$102='Lighting Inventory'!V213)*('Lookup Tables'!$AI$6:$AI$102='Lighting Inventory'!W213),FALSE),6)," ",INDEX('Lookup Tables'!$AH$6:$AN$102,MATCH(1,('Lookup Tables'!$AH$6:$AH$102='Lighting Inventory'!V213)*('Lookup Tables'!$AI$6:$AI$102='Lighting Inventory'!W213),FALSE),7))))), "")</f>
        <v/>
      </c>
      <c r="CG213" s="366"/>
      <c r="CH213" s="248" t="str">
        <f t="shared" si="512"/>
        <v/>
      </c>
      <c r="CI213" s="248" t="str">
        <f t="shared" si="513"/>
        <v>Select_IE</v>
      </c>
      <c r="CJ213" s="248" t="str">
        <f t="shared" si="514"/>
        <v/>
      </c>
      <c r="CK213" s="248" t="str">
        <f t="shared" si="515"/>
        <v/>
      </c>
      <c r="CL213" s="248" t="str">
        <f t="shared" si="516"/>
        <v/>
      </c>
      <c r="CM213" s="248" t="str">
        <f>IFERROR(IF(B213="", "", IF(B213="New Construction", VLOOKUP(V213, 'Lookup Tables'!$AF$114:$AG$120, 2, FALSE), VLOOKUP(V213, 'Lookup Tables'!$AD$6:$AE$25, 2, FALSE))), "")</f>
        <v/>
      </c>
      <c r="CN213" s="248" t="str">
        <f t="shared" si="517"/>
        <v/>
      </c>
      <c r="CO213" s="248" t="str">
        <f t="shared" si="518"/>
        <v/>
      </c>
      <c r="CP213" s="592" t="str">
        <f t="shared" si="519"/>
        <v/>
      </c>
      <c r="CQ213" s="248" t="str">
        <f t="shared" si="572"/>
        <v/>
      </c>
      <c r="CR213" s="100"/>
      <c r="CS213" s="250" t="str">
        <f t="shared" si="520"/>
        <v/>
      </c>
      <c r="CT213" s="250" t="str">
        <f t="shared" si="573"/>
        <v/>
      </c>
      <c r="CU213" s="250" t="str">
        <f t="shared" si="574"/>
        <v/>
      </c>
      <c r="CV213" s="250" t="str">
        <f t="shared" si="575"/>
        <v/>
      </c>
      <c r="CW213" s="250" t="str">
        <f t="shared" si="576"/>
        <v/>
      </c>
      <c r="CX213" s="250" t="str">
        <f t="shared" si="521"/>
        <v/>
      </c>
      <c r="CY213" s="250" t="str">
        <f t="shared" si="522"/>
        <v/>
      </c>
      <c r="CZ213" s="250" t="str">
        <f t="shared" si="523"/>
        <v/>
      </c>
      <c r="DA213" s="250" t="str">
        <f t="shared" si="524"/>
        <v/>
      </c>
      <c r="DB213" s="250" t="str">
        <f t="shared" si="525"/>
        <v/>
      </c>
      <c r="DC213" s="250" t="str">
        <f t="shared" si="526"/>
        <v/>
      </c>
      <c r="DD213" s="250" t="str">
        <f t="shared" si="527"/>
        <v/>
      </c>
      <c r="DE213" s="250" t="str">
        <f t="shared" si="528"/>
        <v/>
      </c>
      <c r="DF213" s="250" t="str">
        <f t="shared" si="529"/>
        <v/>
      </c>
      <c r="DG213" s="250" t="str">
        <f t="shared" si="530"/>
        <v/>
      </c>
      <c r="DH213" s="250" t="str">
        <f t="shared" si="531"/>
        <v/>
      </c>
      <c r="DI213" s="250" t="str">
        <f t="shared" si="532"/>
        <v/>
      </c>
      <c r="DJ213" s="250" t="str">
        <f t="shared" si="533"/>
        <v/>
      </c>
      <c r="DK213" s="250" t="str">
        <f t="shared" si="534"/>
        <v/>
      </c>
      <c r="DL213" s="250" t="str">
        <f t="shared" si="535"/>
        <v/>
      </c>
      <c r="DM213" s="250" t="str">
        <f>IF(CD213="ERROR", "ERROR", IF(AND(OR(Y213=$DM$6, Y213='Lookup Tables'!$AD$21, Y213='Lookup Tables'!$AD$22), E213="Interior"), BJ213, ""))</f>
        <v/>
      </c>
      <c r="DN213" s="250" t="str">
        <f>IF(CD213="ERROR", "ERROR", IF(AND(OR(Y213=$DM$6, Y213='Lookup Tables'!$AD$21, Y213='Lookup Tables'!$AD$22), E213="Exterior"), BJ213, ""))</f>
        <v/>
      </c>
      <c r="DO213" s="100"/>
      <c r="DP213" s="250" t="str">
        <f t="shared" si="536"/>
        <v/>
      </c>
      <c r="DQ213" s="250" t="str">
        <f t="shared" si="577"/>
        <v/>
      </c>
      <c r="DR213" s="250" t="str">
        <f t="shared" si="578"/>
        <v/>
      </c>
      <c r="DS213" s="250" t="str">
        <f t="shared" si="579"/>
        <v/>
      </c>
      <c r="DT213" s="250" t="str">
        <f t="shared" si="580"/>
        <v/>
      </c>
      <c r="DU213" s="250" t="str">
        <f t="shared" si="537"/>
        <v/>
      </c>
      <c r="DV213" s="250" t="str">
        <f t="shared" si="538"/>
        <v/>
      </c>
      <c r="DW213" s="250" t="str">
        <f t="shared" si="539"/>
        <v/>
      </c>
      <c r="DX213" s="250" t="str">
        <f t="shared" si="540"/>
        <v/>
      </c>
      <c r="DY213" s="250" t="str">
        <f t="shared" si="541"/>
        <v/>
      </c>
      <c r="DZ213" s="250" t="str">
        <f t="shared" si="542"/>
        <v/>
      </c>
      <c r="EA213" s="250" t="str">
        <f t="shared" si="543"/>
        <v/>
      </c>
      <c r="EB213" s="250" t="str">
        <f t="shared" si="581"/>
        <v/>
      </c>
      <c r="EC213" s="250" t="str">
        <f t="shared" si="544"/>
        <v/>
      </c>
      <c r="ED213" s="250" t="str">
        <f t="shared" si="545"/>
        <v/>
      </c>
      <c r="EE213" s="250" t="str">
        <f t="shared" si="546"/>
        <v/>
      </c>
      <c r="EF213" s="250" t="str">
        <f t="shared" si="547"/>
        <v/>
      </c>
      <c r="EG213" s="250" t="str">
        <f t="shared" si="548"/>
        <v/>
      </c>
      <c r="EH213" s="250" t="str">
        <f>IF(CD213="ERROR", "ERROR", IF(AND(OR($EH$6=Y213, Y213='Lookup Tables'!$AD$21, Y213='Lookup Tables'!$AD$22),E213="Interior"), SUM(BP213:BP213), ""))</f>
        <v/>
      </c>
      <c r="EI213" s="250" t="str">
        <f>IF(CD213="ERROR", "ERROR", IF(AND(OR($EH$6=Y213, Y213='Lookup Tables'!$AD$21, Y213='Lookup Tables'!$AD$22),E213="Exterior"), SUM(BP213:BP213), ""))</f>
        <v/>
      </c>
      <c r="EJ213" s="109"/>
      <c r="EK213" s="485" t="str">
        <f t="shared" si="549"/>
        <v/>
      </c>
      <c r="EL213" s="252" t="str">
        <f t="shared" si="582"/>
        <v/>
      </c>
      <c r="EM213" s="252" t="str">
        <f t="shared" si="583"/>
        <v/>
      </c>
      <c r="EN213" s="252" t="str">
        <f t="shared" si="584"/>
        <v/>
      </c>
      <c r="EO213" s="252" t="str">
        <f t="shared" si="585"/>
        <v/>
      </c>
      <c r="EP213" s="252" t="str">
        <f t="shared" si="586"/>
        <v/>
      </c>
      <c r="EQ213" s="252" t="str">
        <f t="shared" si="587"/>
        <v/>
      </c>
      <c r="ER213" s="252" t="str">
        <f t="shared" si="588"/>
        <v/>
      </c>
      <c r="ES213" s="252" t="str">
        <f t="shared" si="589"/>
        <v/>
      </c>
      <c r="ET213" s="252" t="str">
        <f t="shared" si="590"/>
        <v/>
      </c>
      <c r="EU213" s="252" t="str">
        <f t="shared" si="591"/>
        <v/>
      </c>
      <c r="EV213" s="252" t="str">
        <f t="shared" si="592"/>
        <v/>
      </c>
      <c r="EW213" s="252" t="str">
        <f t="shared" si="593"/>
        <v/>
      </c>
      <c r="EX213" s="252" t="str">
        <f t="shared" si="594"/>
        <v/>
      </c>
      <c r="EY213" s="252" t="str">
        <f t="shared" si="595"/>
        <v/>
      </c>
      <c r="EZ213" s="252" t="str">
        <f t="shared" si="596"/>
        <v/>
      </c>
      <c r="FA213" s="252" t="str">
        <f t="shared" si="597"/>
        <v/>
      </c>
      <c r="FB213" s="252" t="str">
        <f t="shared" si="598"/>
        <v/>
      </c>
      <c r="FC213" s="252" t="str">
        <f>IF(CD213="ERROR", "ERROR", IF(OR(V213="No Change", V213="Not DLC or Energy Star"), "", IF(AND(OR($FC$6=Y213,Y213='Lookup Tables'!$AD$21, Y213='Lookup Tables'!$AD$22),E213="Interior"), S213, "")))</f>
        <v/>
      </c>
      <c r="FD213" s="252" t="str">
        <f t="shared" si="599"/>
        <v/>
      </c>
      <c r="FE213" s="101"/>
      <c r="FF213" s="579" t="str" cm="1">
        <f t="array" ref="FF213">IFERROR(IF(OR(BQ213&lt;=0,AQ213&lt;20,AND(V213="Exit Signs",AN213&gt;0)),"",IF(AND(AQ213&gt;=20,AN213='Lookup Tables'!$R$101),'Lookup Tables'!$U$101*BQ213,AP213*LOOKUP(2,1/((AN213='Lookup Tables'!$R$91:$R$111)*(AQ213&gt;='Lookup Tables'!$S$91:$S$111)*(AQ213&lt;='Lookup Tables'!$T$91:$T$111)),'Lookup Tables'!$U$91:$U$111))),"")</f>
        <v/>
      </c>
      <c r="FG213" s="579"/>
      <c r="FH213" s="579"/>
      <c r="FI213" s="253" t="str">
        <f>IFERROR(ROUND(IF(CD213="ERROR", "ERROR", IF(AND($FI$7=X213,E213="Interior"),VLOOKUP(W213, 'Lookup Tables'!$AI$6:$AM$102, 5, FALSE)*BP213, "")), 2), "")</f>
        <v/>
      </c>
      <c r="FJ213" s="253" t="str">
        <f>IFERROR(ROUND(IF(CD213="ERROR", "ERROR", IF(AND($FI$7=X213,E213="Exterior"),VLOOKUP(W213, 'Lookup Tables'!$AI$6:$AM$102, 5, FALSE)*BP213, "")), 2), "")</f>
        <v/>
      </c>
      <c r="FK213" s="253" t="str">
        <f>IFERROR(ROUND(IF(CD213="ERROR", "ERROR", IF(AND($FK$7=X213,E213="Interior"),VLOOKUP(W213, 'Lookup Tables'!$AI$6:$AM$102, 5, FALSE)*BP213, "")), 2), "")</f>
        <v/>
      </c>
      <c r="FL213" s="253" t="str">
        <f>IFERROR(ROUND(IF(CD213="ERROR", "ERROR", IF(AND($FK$7=X213,E213="Exterior"),VLOOKUP(W213, 'Lookup Tables'!$AI$6:$AM$102, 5, FALSE)*BP213, "")), 2), "")</f>
        <v/>
      </c>
      <c r="FM213" s="253" t="str">
        <f>IFERROR(ROUND(IF(CD213="ERROR", "ERROR", IF(AND($FM$6=Y213,E213="Interior"), IF(GB213=0, VLOOKUP(W213, 'Lookup Tables'!$AI$6:$AM$102, 5, FALSE)*BP213, IF(VLOOKUP(W213, 'Lookup Tables'!$AI$6:$AM$102, 5, FALSE)*BP213&gt;GB213*'Lighting Inventory'!S213, GB213*'Lighting Inventory'!S213,VLOOKUP(W213, 'Lookup Tables'!$AI$6:$AM$102, 5, FALSE)*BP213)), "")), 2), "")</f>
        <v/>
      </c>
      <c r="FN213" s="253" t="str">
        <f>IFERROR(ROUND(IF(CD213="ERROR", "ERROR", IF(AND($FM$6=Y213,E213="Exterior"), IF(GB213=0, VLOOKUP(W213, 'Lookup Tables'!$AI$6:$AM$102, 5, FALSE)*BP213, IF(VLOOKUP(W213, 'Lookup Tables'!$AI$6:$AM$102, 5, FALSE)*BP213&gt;GB213*'Lighting Inventory'!S213, GB213*'Lighting Inventory'!S213,VLOOKUP(W213, 'Lookup Tables'!$AI$6:$AM$102, 5, FALSE)*BP213)), "")), 2), "")</f>
        <v/>
      </c>
      <c r="FO213" s="253" t="str">
        <f>IFERROR(ROUND(IF(CD213="ERROR", "ERROR", IF(AND($FO$6=Y213,E213="Interior"),VLOOKUP(W213, 'Lookup Tables'!$AI$6:$AM$102, 5, FALSE)*'Lighting Inventory'!AI213, "")), 2), "")</f>
        <v/>
      </c>
      <c r="FP213" s="253" t="str">
        <f>IFERROR(ROUND(IF(CD213="ERROR", "ERROR", IF(AND($FO$6=Y213,E213="Exterior"),VLOOKUP(W213, 'Lookup Tables'!$AI$6:$AM$102, 5, FALSE)*'Lighting Inventory'!AI213, "")), 2), "")</f>
        <v/>
      </c>
      <c r="FQ213" s="253" t="str">
        <f>IFERROR(ROUND(IF(CD213="ERROR", "ERROR", IF(AND($FQ$6=Y213,E213="Interior", BU213="Y"), VLOOKUP('Lighting Inventory'!W213, 'Lookup Tables'!$AI$6:$AM$102, 5, FALSE)*'Lighting Inventory'!S213, IF(AND($FQ$7=Y213,E213="Interior", BU213="N"), 0.025*CD213, ""))), 2), "")</f>
        <v/>
      </c>
      <c r="FR213" s="253" t="str">
        <f>IFERROR(ROUND(IF(CD213="ERROR", "ERROR", IF(AND($FQ$6=Y213,E213="Exterior"), VLOOKUP('Lighting Inventory'!W213, 'Lookup Tables'!$AI$6:$AM$102, 5, FALSE)*'Lighting Inventory'!S213, "")), 2), "")</f>
        <v/>
      </c>
      <c r="FS213" s="253" t="str">
        <f>IFERROR(ROUND(IF(CD213="ERROR", "ERROR", IF(AND($FS$6=Y213,E213="Exterior"), IF(GB213=0, VLOOKUP(W213, 'Lookup Tables'!$AI$6:$AM$102, 5, FALSE)*BP213, IF(VLOOKUP(W213, 'Lookup Tables'!$AI$6:$AM$102, 5, FALSE)*BP213&gt;GB213*'Lighting Inventory'!S213, GB213*'Lighting Inventory'!S213,VLOOKUP(W213, 'Lookup Tables'!$AI$6:$AM$102, 5, FALSE)*BP213)), "")), 2), "")</f>
        <v/>
      </c>
      <c r="FT213" s="253" t="str">
        <f>IFERROR(ROUND(IF(CD213="ERROR", "ERROR", IF(AND($FT$6=Y213,E213="Interior"), IF(GB213=0, VLOOKUP(W213, 'Lookup Tables'!$AI$6:$AM$102, 5, FALSE)*BP213, IF(VLOOKUP(W213, 'Lookup Tables'!$AI$6:$AM$102, 5, FALSE)*BP213&gt;GB213*'Lighting Inventory'!S213, GB213*'Lighting Inventory'!S213,VLOOKUP(W213, 'Lookup Tables'!$AI$6:$AM$102, 5, FALSE)*BP213)), "")), 2), "")</f>
        <v/>
      </c>
      <c r="FU213" s="253" t="str">
        <f>IFERROR(ROUND(IF(CD213="ERROR", "ERROR", IF(AND(Y213=$FU$6, E213="Interior"), IF(BS213="N", 'Lookup Tables'!$AM$101*BP213, VLOOKUP(W213, 'Lookup Tables'!$AI$6:$AM$102, 5, FALSE)*S213*AD213), "")), 2), "")</f>
        <v/>
      </c>
      <c r="FV213" s="253" t="str">
        <f>IFERROR(ROUND(IF(CD213="ERROR", "ERROR", IF(AND(Y213=$FU$6, E213="Exterior"), IF(BS213="N", 'Lookup Tables'!$AM$101*BP213, VLOOKUP(W213, 'Lookup Tables'!$AI$6:$AM$102, 5, FALSE)*S213*AD213), "")), 2), "")</f>
        <v/>
      </c>
      <c r="FW213" s="253" t="str">
        <f>IFERROR(ROUND(IF(CD213="ERROR", "ERROR", IF($FW$6=Y213, IF(BS213="N", 'Lookup Tables'!$AM$101*BP213, MIN((VLOOKUP(W213, 'Lookup Tables'!$AI$6:$AM$102, 5, FALSE)*BP213),GB213*AJ213)), "")), 2), "")</f>
        <v/>
      </c>
      <c r="FX213" s="253" t="str">
        <f>IFERROR(ROUND(IF(CD213="ERROR", "ERROR", IF(AND($FX$6=Y213, E213="Interior"), IF(VLOOKUP(W213, 'Lookup Tables'!$AI$6:$AM$102, 5, FALSE)*BP213&gt;'Lookup Tables'!$AQ$97*'Lighting Inventory'!S213,'Lighting Inventory'!S213*'Lookup Tables'!$AQ$97,VLOOKUP(W213, 'Lookup Tables'!$AI$6:$AM$102, 5, FALSE)*BP213), "")), 2), "")</f>
        <v/>
      </c>
      <c r="FY213" s="253" t="str">
        <f>IFERROR(ROUND(IF(CD213="ERROR", "ERROR", IF(AND($FX$6=Y213, E213="Exterior"), IF(VLOOKUP(W213, 'Lookup Tables'!$AI$6:$AM$102, 5, FALSE)*BP213&gt;'Lookup Tables'!$AQ$97*'Lighting Inventory'!S213,'Lighting Inventory'!S213*'Lookup Tables'!$AQ$97,VLOOKUP(W213, 'Lookup Tables'!$AI$6:$AM$102, 5, FALSE)*BP213), "")), 2), "")</f>
        <v/>
      </c>
      <c r="FZ213" s="253" t="str">
        <f>IFERROR(ROUND(IF(CD213="ERROR", "ERROR", IF(AND($FZ$6=Y213, E213="Interior"), IF(AND(OR(W213="Refrigerated Case Lighting with Doors", W213="Freezer Case Lighting"),Y213="Custom - Process Improvement"),CD213*'Lookup Tables'!$AM$101, IF(B213="Retrofit", IF(VLOOKUP(IF(V213="Custom", V213, W213), 'Lookup Tables'!$AI$6:$AM$102, 5, FALSE)*BP213&gt;GE213, GE213, VLOOKUP(IF(V213="Custom", V213, W213), 'Lookup Tables'!$AI$6:$AM$102, 5, FALSE)*BP213), IF(VLOOKUP(IF(V213="Custom", V213, W213), 'Lookup Tables'!$AI$114:$AM$154, 5, FALSE)*BP213&gt;GE213, GE213, VLOOKUP(IF(V213="Custom", V213, W213), 'Lookup Tables'!$AI$114:$AM$154, 5, FALSE)*BP213))), "")), 2),"")</f>
        <v/>
      </c>
      <c r="GA213" s="253" t="str">
        <f>IFERROR(ROUND(IF(CD213="ERROR", "ERROR", IF(AND($FZ$6=Y213, E213="Exterior"), IF(B213="Retrofit", IF(VLOOKUP(IF(V213="Custom", V213, W213), 'Lookup Tables'!$AI$6:$AM$102, 5, FALSE)*BP213&gt;GE213, GE213, VLOOKUP(IF(V213="Custom", V213, W213), 'Lookup Tables'!$AI$6:$AM$102, 5, FALSE)*BP213), IF(VLOOKUP(IF(V213="Custom", V213, W213), 'Lookup Tables'!$AI$114:$AM$154, 5, FALSE)*BP213&gt;GE213, GE213, VLOOKUP(IF(V213="Custom", V213, W213), 'Lookup Tables'!$AI$114:$AM$154, 5, FALSE)*BP213)), "")), 2),"")</f>
        <v/>
      </c>
      <c r="GB213" s="254" t="str">
        <f t="array" ref="GB213">IF(B213="","",IF(OR(V213="Custom",V213="No Change"),0,IF(B213="Retrofit", INDEX('Lookup Tables'!$AH$6:$AQ$102,MATCH(1,('Lookup Tables'!$AH$6:$AH$102='Lighting Inventory'!V213)*('Lookup Tables'!$AI$6:$AI$102='Lighting Inventory'!W213),FALSE),10),INDEX('Lookup Tables'!$AH$114:$AQ$154,MATCH(1,('Lookup Tables'!$AH$114:$AH$154='Lighting Inventory'!V213)*('Lookup Tables'!$AI$114:$AI$154='Lighting Inventory'!W213),FALSE),10))))</f>
        <v/>
      </c>
      <c r="GC213" s="255" t="str">
        <f t="shared" si="550"/>
        <v/>
      </c>
      <c r="GD213" s="250" t="str">
        <f t="shared" si="551"/>
        <v/>
      </c>
      <c r="GE213" s="253" t="str">
        <f>IFERROR(IF(AND(AF213="", 'General Information'!$F$18="No"),"", IF(AF213="", ((GD213/$CD$266)*$CF$266)*0.5, AF213*S213*0.5)), "")</f>
        <v/>
      </c>
      <c r="GF213" s="255" t="str">
        <f>IF(AND('General Information'!$F$19="", 'General Information'!$F$18="Yes",AF213="",BW213="Y"), "Y", "N")</f>
        <v>N</v>
      </c>
      <c r="GG213" s="255" t="s">
        <v>2946</v>
      </c>
      <c r="GH213" s="255" t="str">
        <f>IFERROR(IF(B213="", "", VLOOKUP(J213, 'Fixture Identities'!$A$6:$N$908, 14, FALSE)), "")</f>
        <v/>
      </c>
      <c r="GI213" s="389" t="str">
        <f>IF(OR(B213="", V213="", W213=""), "", IF(AND(OR(M213='Lookup Tables'!$R$18, M213='Lookup Tables'!$R$19, M213='Lookup Tables'!$R$20, M213='Lookup Tables'!$R$21, M213='Lookup Tables'!$R$22), OR(AN213='Lookup Tables'!$R$17, AN213='Lookup Tables'!$R$17, AN213="")), "Y", "N"))</f>
        <v/>
      </c>
      <c r="GJ213" s="255" t="str">
        <f t="shared" si="552"/>
        <v/>
      </c>
      <c r="GK213" s="255" t="str">
        <f t="shared" si="553"/>
        <v/>
      </c>
      <c r="GL213" s="255" t="str">
        <f t="shared" si="554"/>
        <v/>
      </c>
      <c r="GM213" s="255" t="str">
        <f>IF(AN213="", "", IF(AND(IF(ISNA(VLOOKUP(AN213,'Lookup Tables'!$R$18:$R$22,1,FALSE)), "N", "Y")="Y", E213="Exterior"), "Y", "N"))</f>
        <v/>
      </c>
      <c r="GN213" s="395"/>
      <c r="GO213" s="428">
        <f t="shared" si="600"/>
        <v>0</v>
      </c>
      <c r="GP213" s="428">
        <f t="shared" si="603"/>
        <v>0</v>
      </c>
      <c r="GQ213" s="428">
        <f t="shared" si="601"/>
        <v>0</v>
      </c>
      <c r="GR213" s="428">
        <f t="shared" si="602"/>
        <v>0</v>
      </c>
    </row>
    <row r="214" spans="1:200" s="103" customFormat="1" ht="13.5" customHeight="1" x14ac:dyDescent="0.2">
      <c r="A214" s="272">
        <v>204</v>
      </c>
      <c r="B214" s="110"/>
      <c r="C214" s="110"/>
      <c r="D214" s="110"/>
      <c r="E214" s="110"/>
      <c r="F214" s="110"/>
      <c r="G214" s="110"/>
      <c r="H214" s="110"/>
      <c r="I214" s="29"/>
      <c r="J214" s="29"/>
      <c r="K214" s="272" t="str">
        <f>IFERROR(IF(OR(VLOOKUP(J214, 'Fixture Identities'!$A$6:$L$1023, 3, FALSE)="T12 Linear Fluorescent", VLOOKUP(J214, 'Fixture Identities'!$A$6:$L$1023, 3, FALSE)="T12 U-Tube Fluorescent"), VLOOKUP(VLOOKUP(J214, 'Fixture Identities'!$A$6:$L$1023, 11, FALSE), 'Fixture Identities'!$A$6:$L$1023, 10, FALSE), VLOOKUP(J214, 'Fixture Identities'!$A$6:$L$1023, 10, FALSE)), "")</f>
        <v/>
      </c>
      <c r="L214" s="270" t="str">
        <f t="shared" si="605"/>
        <v/>
      </c>
      <c r="M214" s="110"/>
      <c r="N214" s="110"/>
      <c r="O214" s="110"/>
      <c r="P214" s="272" t="str">
        <f>IFERROR(IF(OR(B214="Retrofit",B214=""),"",IF('Lighting Inventory'!E214="Exterior",VLOOKUP('Lighting Inventory'!N214,'Lookup Tables'!$B$83:$F$103,5,FALSE),IF(N214="Other - Please Estimate EFLH and CFs","Contact Prog. Rep.","ft^2"))), "")</f>
        <v/>
      </c>
      <c r="Q214" s="270" t="str">
        <f>IFERROR(IF(AND(B214="New Construction",E214="Interior",$F$5="Space-by-Space"),VLOOKUP('Lighting Inventory'!N214,'Lookup Tables'!$N$6:$O$97,2,FALSE),IF(AND(B214="New Construction",E214="Exterior"),VLOOKUP(N214,'Lookup Tables'!$B$83:$F$103,2,FALSE),IF(AND(B214="New Construction",'Lighting Inventory'!E214="Interior", $F$5="Building Area"),VLOOKUP(F214,'Lookup Tables'!$A$6:$J$59,10,FALSE),""))), "")</f>
        <v/>
      </c>
      <c r="R214" s="270" t="str">
        <f>IFERROR(IF(P214="Contact Prog. Rep.", "ERROR", IF(OR(B214="",B214="Retrofit"),"",IF(N214="Automated teller machines", ('Lookup Tables'!$A$82:$E$100+('Lighting Inventory'!O214-1)*'Lookup Tables'!$A$82:$E$100)/1000, (Q214*O214)/1000))), "")</f>
        <v/>
      </c>
      <c r="S214" s="595"/>
      <c r="T214" s="105" t="str">
        <f t="shared" si="555"/>
        <v/>
      </c>
      <c r="U214" s="105" t="str">
        <f>IF(S214="","",COUNT($S$11:S214))</f>
        <v/>
      </c>
      <c r="V214" s="111"/>
      <c r="W214" s="112"/>
      <c r="X214" s="105" t="str">
        <f t="shared" si="556"/>
        <v/>
      </c>
      <c r="Y214" s="105" t="str">
        <f t="array" ref="Y214">IF(AND(OR(W214="Freezer Case Lighting", W214="Refrigerated Case Lighting with Doors"), 'General Information'!$X$18="LCI"),'Lookup Tables'!$Y$34, IF(V214="Custom", VLOOKUP(W214, 'Fixture Identities'!$A$974:$M$1023, 13, FALSE), IF(V214="No Change",'Lookup Tables'!$Y$29,IF(OR(V214="",W214=""),"",IF(AND(S214=0,S214&lt;I214,B214="Retrofit"),'Lookup Tables'!$Y$25, IF(B214="Retrofit", INDEX('Lookup Tables'!$AH$6:$AP$102, MATCH(1, ('Lookup Tables'!$AH$6:$AH$102=V214)*('Lookup Tables'!$AI$6:$AI$102=W214), 0), IF('Lighting Inventory'!E214="Interior", 4, 5)), INDEX('Lookup Tables'!$AH$114:$AP$154, MATCH(1, ('Lookup Tables'!$AH$114:$AH$154=V214)*('Lookup Tables'!$AI$114:$AI$154=W214), 0), IF('Lighting Inventory'!E214="Interior", 4, 5))))))))</f>
        <v/>
      </c>
      <c r="Z214" s="105" t="str">
        <f>IFERROR(INDEX('Lookup Tables'!$AH$158:$AH$172,MATCH('Lighting Inventory'!Y214,'Lookup Tables'!$AI$158:$AI$172,0)),"")</f>
        <v/>
      </c>
      <c r="AA214" s="105" t="str">
        <f>IF(AP214&gt;0,INDEX('Lookup Tables'!$AK$158:$AK$172,MATCH('Lighting Inventory'!Y214,'Lookup Tables'!$AI$158:$AI$172,0)),'Lighting Inventory'!Y214)</f>
        <v/>
      </c>
      <c r="AB214" s="105" t="str">
        <f t="array" ref="AB214">IF(V214="Custom", "Custom", IF(V214="", "", IF(V214="Not DLC or Energy Star", "General", IF(B214="New Construction", INDEX('Lookup Tables'!$AH$114:$AP$154,MATCH(1,('Lookup Tables'!$AH$114:$AH$154='Lighting Inventory'!V214)*('Lookup Tables'!$AI$114:$AI$154='Lighting Inventory'!W214),FALSE),8), INDEX('Lookup Tables'!$AH$6:$AP$102,MATCH(1,('Lookup Tables'!$AH$6:$AH$102='Lighting Inventory'!V214)*('Lookup Tables'!$AI$6:$AI$102='Lighting Inventory'!W214),FALSE),8)))))</f>
        <v/>
      </c>
      <c r="AC214" s="272" t="str">
        <f>IF(W214="","",IF(V214="Custom",CONCATENATE("$",'Lookup Tables'!$AM$101," ",'Lookup Tables'!$AN$101),CONCATENATE("$",INDEX('Lookup Tables'!$AM$6:$AM$102,MATCH('Lighting Inventory'!W214,'Lookup Tables'!$AI$6:$AI$102,0))," ",INDEX('Lookup Tables'!$AN$6:$AN$102,MATCH('Lighting Inventory'!W214,'Lookup Tables'!$AI$6:$AI$102,0)))))</f>
        <v/>
      </c>
      <c r="AD214" s="72"/>
      <c r="AE214" s="29"/>
      <c r="AF214" s="379"/>
      <c r="AG214" s="370" t="str">
        <f t="shared" si="504"/>
        <v/>
      </c>
      <c r="AH214" s="370" t="str">
        <f t="shared" si="557"/>
        <v/>
      </c>
      <c r="AI214" s="29"/>
      <c r="AJ214" s="29"/>
      <c r="AK214" s="110"/>
      <c r="AL214" s="375" t="str">
        <f>IF(OR(B214="", V214="", W214=""), "", IF(V214="No Change", K214, IF(V214="Remove Fixture", 0, IF(V214="Custom",VLOOKUP(W214,'Fixture Identities'!$A$6:$K$1023,10,FALSE),IF(AE214="", "← ENTER POST WATTS", 'Lighting Inventory'!AE214)))))</f>
        <v/>
      </c>
      <c r="AM214" s="376" t="str">
        <f t="shared" si="505"/>
        <v/>
      </c>
      <c r="AN214" s="29"/>
      <c r="AO214" s="671"/>
      <c r="AP214" s="29"/>
      <c r="AQ214" s="29"/>
      <c r="AR214" s="29"/>
      <c r="AS214" s="272" t="str">
        <f t="shared" si="558"/>
        <v/>
      </c>
      <c r="AT214" s="270" t="str">
        <f t="shared" si="506"/>
        <v/>
      </c>
      <c r="AU214" s="88" t="str">
        <f t="shared" si="606"/>
        <v/>
      </c>
      <c r="AV214" s="29"/>
      <c r="AW214" s="73"/>
      <c r="AX214" s="271" t="str">
        <f>IF(AND(AV214="Applicant",OR(AW214="", AW214="Use Default Facility Hours")),"← Choose Schedule",IF(F214="","",IF(W214="LED Exit Signs",8760,IF(OR(AV214="Prescribed",AV214=""),VLOOKUP(F214,'Lookup Tables'!$A$6:$G$59,IF(AB214="General", 6, 3),FALSE),VLOOKUP(AW214,'Lookup Tables'!$S$36:$U$43,2,FALSE)))))</f>
        <v/>
      </c>
      <c r="AY214" s="88" t="str">
        <f t="shared" si="507"/>
        <v/>
      </c>
      <c r="AZ214" s="270" t="str">
        <f>IFERROR(IF(F214="", "", IF(W214="LED Exit Signs", 1, IF(AV214="Applicant",VLOOKUP(AW214, 'Lookup Tables'!$S$36:$U$43,3, FALSE), VLOOKUP('Lighting Inventory'!F214, 'Lookup Tables'!$A$6:$H$59, IF('Lighting Inventory'!AB214="General",7,4), FALSE)))), "")</f>
        <v/>
      </c>
      <c r="BA214" s="522" t="str">
        <f>IFERROR(IF(F214="", "", IF(W214="LED Exit Signs", 1, VLOOKUP('Lighting Inventory'!F214, 'Lookup Tables'!$A$6:$H$59, IF('Lighting Inventory'!AB214="General",8,5), FALSE))), "")</f>
        <v/>
      </c>
      <c r="BB214" s="270" t="str">
        <f>IF(G214="", "", IF(E214="Exterior", 0, IF('Lighting Inventory'!G214="Air Conditioned", VLOOKUP(H214, 'Lookup Tables'!$R$6:$T$13, 2, FALSE), VLOOKUP('Lighting Inventory'!G214, 'Lookup Tables'!$R$6:$T$13, 2, FALSE))))</f>
        <v/>
      </c>
      <c r="BC214" s="522" t="str">
        <f>IF(G214="", "", IF(E214="Exterior", 0, IF('Lighting Inventory'!G214="Air Conditioned", VLOOKUP(H214, 'Lookup Tables'!$R$6:$T$13, 3, FALSE), VLOOKUP('Lighting Inventory'!G214, 'Lookup Tables'!$R$6:$T$13, 3, FALSE))))</f>
        <v/>
      </c>
      <c r="BD214" s="270" t="str">
        <f>IF(G214="", "", IF(E214="Exterior", 0, IF('Lighting Inventory'!G214="Air Conditioned", VLOOKUP(H214, 'Lookup Tables'!$R$6:$U$13, 4, FALSE), VLOOKUP('Lighting Inventory'!G214, 'Lookup Tables'!$R$6:$U$13, 4, FALSE))))</f>
        <v/>
      </c>
      <c r="BE214" s="270" t="str">
        <f>IFERROR(IF(B214="", "",  IF(B214="New Construction", VLOOKUP(F214, 'Lookup Tables'!$A$6:$K$59, 11, FALSE),IF(OR(AN214="", AN214="Light Switch"), 0, IF(OR(M214="",M214="None",V214= "LED Exit Signs"),0,_xlfn.XLOOKUP(M214,'Lookup Tables'!$R$91:$R$101,'Lookup Tables'!$V$91:$V$101))))), "")</f>
        <v/>
      </c>
      <c r="BF214" s="270" t="str">
        <f>IF(AND(OR(AN214="Light Switch",AN214=""),B214="New Construction"), VLOOKUP(F214, 'Lookup Tables'!$A$6:$K$59, 11, FALSE),IF(AN214="","",IF(B214="","",IF(OR(AN214="None",AN214="",V214="LED Exit Signs",AN214="Exterior Controls Not Eligible"),0,_xlfn.XLOOKUP(AN214,'Lookup Tables'!$R$91:$R$101,'Lookup Tables'!$V$91:$V$101)))))</f>
        <v/>
      </c>
      <c r="BG214" s="88" t="str">
        <f t="shared" si="559"/>
        <v/>
      </c>
      <c r="BH214" s="88" t="str">
        <f t="shared" si="560"/>
        <v/>
      </c>
      <c r="BI214" s="558" t="str">
        <f t="shared" si="604"/>
        <v/>
      </c>
      <c r="BJ214" s="82" t="str">
        <f t="shared" si="561"/>
        <v/>
      </c>
      <c r="BK214" s="82" t="str">
        <f t="shared" si="562"/>
        <v/>
      </c>
      <c r="BL214" s="559" t="str">
        <f t="shared" si="563"/>
        <v/>
      </c>
      <c r="BM214" s="521" t="str">
        <f t="shared" si="508"/>
        <v/>
      </c>
      <c r="BN214" s="521" t="str">
        <f t="shared" si="509"/>
        <v/>
      </c>
      <c r="BO214" s="522" t="str">
        <f t="shared" si="510"/>
        <v/>
      </c>
      <c r="BP214" s="83" t="str">
        <f t="shared" si="564"/>
        <v/>
      </c>
      <c r="BQ214" s="84" t="str">
        <f t="shared" si="565"/>
        <v/>
      </c>
      <c r="BR214" s="184" t="str">
        <f>IFERROR(IF(B214="", "", IF(OR(VLOOKUP(J214, 'Fixture Identities'!$A$6:$L$1023, 3, FALSE)="T12 Linear Fluorescent",VLOOKUP(J214, 'Fixture Identities'!$A$6:$L$1023, 3, FALSE)="T12 U-Tube Fluorescent"), "Y", "N")), "N")</f>
        <v/>
      </c>
      <c r="BS214" s="184" t="str">
        <f t="array" ref="BS214">IFERROR(IF(OR(B214="", V214="", W214=""), "", IF(V214="Custom", "N", IF(OR(W214="Freezer Case Lighting", W214="Refrigerated Case Lighting with Doors"), BT214, IF(B214="Retrofit", INDEX('Lookup Tables'!$AH$6:$AT$102,MATCH(1,('Lookup Tables'!$AH$6:$AH$102=V214)*('Lookup Tables'!$AI$6:$AI$102=W214),FALSE),IF(VLOOKUP(J214, 'Fixture Identities'!$A$6:$B$1023, 2, FALSE)="Incandescent",12, 13)), INDEX('Lookup Tables'!$AH$114:$AS$154,MATCH(1,('Lookup Tables'!$AH$114:$AH$154=V214)*('Lookup Tables'!$AI$114:$AI$154=W214),FALSE),12))))), "N")</f>
        <v/>
      </c>
      <c r="BT214" s="184" t="str">
        <f>IF(J214="", "", IF(AND(OR(W214="Freezer case Lighting", W214="Refrigerated Case Lighting with Doors"),'General Information'!$X$18="LCI"), "N", IF(OR(VLOOKUP(J214, 'Fixture Identities'!$A$6:$B$1023, 2, FALSE)="T12 EPACT/EISA Baseline", VLOOKUP(J214, 'Fixture Identities'!$A$6:$B$1023, 2, FALSE)="Linear Fluorescent", VLOOKUP(J214, 'Fixture Identities'!$A$6:$B$1023, 2, FALSE)="U-Tube Fluorescent"), "Y", "N")))</f>
        <v/>
      </c>
      <c r="BU214" s="184" t="str">
        <f>IFERROR(IF(B214="", "", IF(VLOOKUP(J214, 'Fixture Identities'!$A$6:$B$1023, 2, FALSE)="Exit Sign", "Y", "N")), "N")</f>
        <v/>
      </c>
      <c r="BV214" s="184" t="str">
        <f>IF(V214="Exit Signs", IF(VLOOKUP(J214, 'Fixture Identities'!$A$6:$B$1023, 2, FALSE)="Exit Sign", "N", "Y"), "")</f>
        <v/>
      </c>
      <c r="BW214" s="184" t="str">
        <f t="array" ref="BW214">IFERROR(IF(B214="", "", IF(B214="New Construction", "N", INDEX('Lookup Tables'!$AH$6:$AU$102, MATCH(1, ('Lookup Tables'!$AH$6:$AH$102='Lighting Inventory'!V214)*('Lookup Tables'!$AI$6:$AI$102='Lighting Inventory'!W214), 0), 14))), "N")</f>
        <v/>
      </c>
      <c r="BX214" s="598" t="str">
        <f t="shared" si="566"/>
        <v/>
      </c>
      <c r="BY214" s="598" t="str">
        <f t="shared" si="567"/>
        <v/>
      </c>
      <c r="BZ214" s="598" t="str">
        <f t="shared" si="568"/>
        <v/>
      </c>
      <c r="CA214" s="598" t="str">
        <f t="shared" si="569"/>
        <v/>
      </c>
      <c r="CB214" s="269" t="str">
        <f t="shared" si="570"/>
        <v/>
      </c>
      <c r="CC214" s="517" t="str">
        <f t="shared" si="571"/>
        <v/>
      </c>
      <c r="CD214" s="565" t="str">
        <f t="shared" si="511"/>
        <v/>
      </c>
      <c r="CE214" s="368">
        <v>0</v>
      </c>
      <c r="CF214" s="368" t="str" cm="1">
        <f t="array" ref="CF214">IFERROR(IF(V214="Custom", "$0.1 per kWh", IF(B214="New Construction", CONCATENATE("$",INDEX('Lookup Tables'!$AH$114:$AN$154,MATCH(1,('Lookup Tables'!$AH$114:$AH$154='Lighting Inventory'!V214)*('Lookup Tables'!$AI$114:$AI$154='Lighting Inventory'!W214),FALSE),6)," ",INDEX('Lookup Tables'!$AH$114:$AN$154,MATCH(1,('Lookup Tables'!$AH$114:$AH$154='Lighting Inventory'!V214)*('Lookup Tables'!$AI$114:$AI$154='Lighting Inventory'!W214),FALSE),7)), IF(AND(BU214="N", V214="Exit Signs"), "$0.025 per kWh", CONCATENATE("$",INDEX('Lookup Tables'!$AH$6:$AN$102,MATCH(1,('Lookup Tables'!$AH$6:$AH$102='Lighting Inventory'!V214)*('Lookup Tables'!$AI$6:$AI$102='Lighting Inventory'!W214),FALSE),6)," ",INDEX('Lookup Tables'!$AH$6:$AN$102,MATCH(1,('Lookup Tables'!$AH$6:$AH$102='Lighting Inventory'!V214)*('Lookup Tables'!$AI$6:$AI$102='Lighting Inventory'!W214),FALSE),7))))), "")</f>
        <v/>
      </c>
      <c r="CG214" s="366"/>
      <c r="CH214" s="248" t="str">
        <f t="shared" si="512"/>
        <v/>
      </c>
      <c r="CI214" s="248" t="str">
        <f t="shared" si="513"/>
        <v>Select_IE</v>
      </c>
      <c r="CJ214" s="248" t="str">
        <f t="shared" si="514"/>
        <v/>
      </c>
      <c r="CK214" s="248" t="str">
        <f t="shared" si="515"/>
        <v/>
      </c>
      <c r="CL214" s="248" t="str">
        <f t="shared" si="516"/>
        <v/>
      </c>
      <c r="CM214" s="248" t="str">
        <f>IFERROR(IF(B214="", "", IF(B214="New Construction", VLOOKUP(V214, 'Lookup Tables'!$AF$114:$AG$120, 2, FALSE), VLOOKUP(V214, 'Lookup Tables'!$AD$6:$AE$25, 2, FALSE))), "")</f>
        <v/>
      </c>
      <c r="CN214" s="248" t="str">
        <f t="shared" si="517"/>
        <v/>
      </c>
      <c r="CO214" s="248" t="str">
        <f t="shared" si="518"/>
        <v/>
      </c>
      <c r="CP214" s="592" t="str">
        <f t="shared" si="519"/>
        <v/>
      </c>
      <c r="CQ214" s="248" t="str">
        <f t="shared" si="572"/>
        <v/>
      </c>
      <c r="CR214" s="249"/>
      <c r="CS214" s="250" t="str">
        <f t="shared" si="520"/>
        <v/>
      </c>
      <c r="CT214" s="250" t="str">
        <f t="shared" si="573"/>
        <v/>
      </c>
      <c r="CU214" s="250" t="str">
        <f t="shared" si="574"/>
        <v/>
      </c>
      <c r="CV214" s="250" t="str">
        <f t="shared" si="575"/>
        <v/>
      </c>
      <c r="CW214" s="250" t="str">
        <f t="shared" si="576"/>
        <v/>
      </c>
      <c r="CX214" s="250" t="str">
        <f t="shared" si="521"/>
        <v/>
      </c>
      <c r="CY214" s="250" t="str">
        <f t="shared" si="522"/>
        <v/>
      </c>
      <c r="CZ214" s="250" t="str">
        <f t="shared" si="523"/>
        <v/>
      </c>
      <c r="DA214" s="250" t="str">
        <f t="shared" si="524"/>
        <v/>
      </c>
      <c r="DB214" s="250" t="str">
        <f t="shared" si="525"/>
        <v/>
      </c>
      <c r="DC214" s="250" t="str">
        <f t="shared" si="526"/>
        <v/>
      </c>
      <c r="DD214" s="250" t="str">
        <f t="shared" si="527"/>
        <v/>
      </c>
      <c r="DE214" s="250" t="str">
        <f t="shared" si="528"/>
        <v/>
      </c>
      <c r="DF214" s="250" t="str">
        <f t="shared" si="529"/>
        <v/>
      </c>
      <c r="DG214" s="250" t="str">
        <f t="shared" si="530"/>
        <v/>
      </c>
      <c r="DH214" s="250" t="str">
        <f t="shared" si="531"/>
        <v/>
      </c>
      <c r="DI214" s="250" t="str">
        <f t="shared" si="532"/>
        <v/>
      </c>
      <c r="DJ214" s="250" t="str">
        <f t="shared" si="533"/>
        <v/>
      </c>
      <c r="DK214" s="250" t="str">
        <f t="shared" si="534"/>
        <v/>
      </c>
      <c r="DL214" s="250" t="str">
        <f t="shared" si="535"/>
        <v/>
      </c>
      <c r="DM214" s="250" t="str">
        <f>IF(CD214="ERROR", "ERROR", IF(AND(OR(Y214=$DM$6, Y214='Lookup Tables'!$AD$21, Y214='Lookup Tables'!$AD$22), E214="Interior"), BJ214, ""))</f>
        <v/>
      </c>
      <c r="DN214" s="250" t="str">
        <f>IF(CD214="ERROR", "ERROR", IF(AND(OR(Y214=$DM$6, Y214='Lookup Tables'!$AD$21, Y214='Lookup Tables'!$AD$22), E214="Exterior"), BJ214, ""))</f>
        <v/>
      </c>
      <c r="DO214" s="249"/>
      <c r="DP214" s="250" t="str">
        <f t="shared" si="536"/>
        <v/>
      </c>
      <c r="DQ214" s="250" t="str">
        <f t="shared" si="577"/>
        <v/>
      </c>
      <c r="DR214" s="250" t="str">
        <f t="shared" si="578"/>
        <v/>
      </c>
      <c r="DS214" s="250" t="str">
        <f t="shared" si="579"/>
        <v/>
      </c>
      <c r="DT214" s="250" t="str">
        <f t="shared" si="580"/>
        <v/>
      </c>
      <c r="DU214" s="250" t="str">
        <f t="shared" si="537"/>
        <v/>
      </c>
      <c r="DV214" s="250" t="str">
        <f t="shared" si="538"/>
        <v/>
      </c>
      <c r="DW214" s="250" t="str">
        <f t="shared" si="539"/>
        <v/>
      </c>
      <c r="DX214" s="250" t="str">
        <f t="shared" si="540"/>
        <v/>
      </c>
      <c r="DY214" s="250" t="str">
        <f t="shared" si="541"/>
        <v/>
      </c>
      <c r="DZ214" s="250" t="str">
        <f t="shared" si="542"/>
        <v/>
      </c>
      <c r="EA214" s="250" t="str">
        <f t="shared" si="543"/>
        <v/>
      </c>
      <c r="EB214" s="250" t="str">
        <f t="shared" si="581"/>
        <v/>
      </c>
      <c r="EC214" s="250" t="str">
        <f t="shared" si="544"/>
        <v/>
      </c>
      <c r="ED214" s="250" t="str">
        <f t="shared" si="545"/>
        <v/>
      </c>
      <c r="EE214" s="250" t="str">
        <f t="shared" si="546"/>
        <v/>
      </c>
      <c r="EF214" s="250" t="str">
        <f t="shared" si="547"/>
        <v/>
      </c>
      <c r="EG214" s="250" t="str">
        <f t="shared" si="548"/>
        <v/>
      </c>
      <c r="EH214" s="250" t="str">
        <f>IF(CD214="ERROR", "ERROR", IF(AND(OR($EH$6=Y214, Y214='Lookup Tables'!$AD$21, Y214='Lookup Tables'!$AD$22),E214="Interior"), SUM(BP214:BP214), ""))</f>
        <v/>
      </c>
      <c r="EI214" s="250" t="str">
        <f>IF(CD214="ERROR", "ERROR", IF(AND(OR($EH$6=Y214, Y214='Lookup Tables'!$AD$21, Y214='Lookup Tables'!$AD$22),E214="Exterior"), SUM(BP214:BP214), ""))</f>
        <v/>
      </c>
      <c r="EJ214" s="109"/>
      <c r="EK214" s="485" t="str">
        <f t="shared" si="549"/>
        <v/>
      </c>
      <c r="EL214" s="252" t="str">
        <f t="shared" si="582"/>
        <v/>
      </c>
      <c r="EM214" s="252" t="str">
        <f t="shared" si="583"/>
        <v/>
      </c>
      <c r="EN214" s="252" t="str">
        <f t="shared" si="584"/>
        <v/>
      </c>
      <c r="EO214" s="252" t="str">
        <f t="shared" si="585"/>
        <v/>
      </c>
      <c r="EP214" s="252" t="str">
        <f t="shared" si="586"/>
        <v/>
      </c>
      <c r="EQ214" s="252" t="str">
        <f t="shared" si="587"/>
        <v/>
      </c>
      <c r="ER214" s="252" t="str">
        <f t="shared" si="588"/>
        <v/>
      </c>
      <c r="ES214" s="252" t="str">
        <f t="shared" si="589"/>
        <v/>
      </c>
      <c r="ET214" s="252" t="str">
        <f t="shared" si="590"/>
        <v/>
      </c>
      <c r="EU214" s="252" t="str">
        <f t="shared" si="591"/>
        <v/>
      </c>
      <c r="EV214" s="252" t="str">
        <f t="shared" si="592"/>
        <v/>
      </c>
      <c r="EW214" s="252" t="str">
        <f t="shared" si="593"/>
        <v/>
      </c>
      <c r="EX214" s="252" t="str">
        <f t="shared" si="594"/>
        <v/>
      </c>
      <c r="EY214" s="252" t="str">
        <f t="shared" si="595"/>
        <v/>
      </c>
      <c r="EZ214" s="252" t="str">
        <f t="shared" si="596"/>
        <v/>
      </c>
      <c r="FA214" s="252" t="str">
        <f t="shared" si="597"/>
        <v/>
      </c>
      <c r="FB214" s="252" t="str">
        <f t="shared" si="598"/>
        <v/>
      </c>
      <c r="FC214" s="252" t="str">
        <f>IF(CD214="ERROR", "ERROR", IF(OR(V214="No Change", V214="Not DLC or Energy Star"), "", IF(AND(OR($FC$6=Y214,Y214='Lookup Tables'!$AD$21, Y214='Lookup Tables'!$AD$22),E214="Interior"), S214, "")))</f>
        <v/>
      </c>
      <c r="FD214" s="252" t="str">
        <f t="shared" si="599"/>
        <v/>
      </c>
      <c r="FE214" s="1"/>
      <c r="FF214" s="579" t="str" cm="1">
        <f t="array" ref="FF214">IFERROR(IF(OR(BQ214&lt;=0,AQ214&lt;20,AND(V214="Exit Signs",AN214&gt;0)),"",IF(AND(AQ214&gt;=20,AN214='Lookup Tables'!$R$101),'Lookup Tables'!$U$101*BQ214,AP214*LOOKUP(2,1/((AN214='Lookup Tables'!$R$91:$R$111)*(AQ214&gt;='Lookup Tables'!$S$91:$S$111)*(AQ214&lt;='Lookup Tables'!$T$91:$T$111)),'Lookup Tables'!$U$91:$U$111))),"")</f>
        <v/>
      </c>
      <c r="FG214" s="579"/>
      <c r="FH214" s="579"/>
      <c r="FI214" s="253" t="str">
        <f>IFERROR(ROUND(IF(CD214="ERROR", "ERROR", IF(AND($FI$7=X214,E214="Interior"),VLOOKUP(W214, 'Lookup Tables'!$AI$6:$AM$102, 5, FALSE)*BP214, "")), 2), "")</f>
        <v/>
      </c>
      <c r="FJ214" s="253" t="str">
        <f>IFERROR(ROUND(IF(CD214="ERROR", "ERROR", IF(AND($FI$7=X214,E214="Exterior"),VLOOKUP(W214, 'Lookup Tables'!$AI$6:$AM$102, 5, FALSE)*BP214, "")), 2), "")</f>
        <v/>
      </c>
      <c r="FK214" s="253" t="str">
        <f>IFERROR(ROUND(IF(CD214="ERROR", "ERROR", IF(AND($FK$7=X214,E214="Interior"),VLOOKUP(W214, 'Lookup Tables'!$AI$6:$AM$102, 5, FALSE)*BP214, "")), 2), "")</f>
        <v/>
      </c>
      <c r="FL214" s="253" t="str">
        <f>IFERROR(ROUND(IF(CD214="ERROR", "ERROR", IF(AND($FK$7=X214,E214="Exterior"),VLOOKUP(W214, 'Lookup Tables'!$AI$6:$AM$102, 5, FALSE)*BP214, "")), 2), "")</f>
        <v/>
      </c>
      <c r="FM214" s="253" t="str">
        <f>IFERROR(ROUND(IF(CD214="ERROR", "ERROR", IF(AND($FM$6=Y214,E214="Interior"), IF(GB214=0, VLOOKUP(W214, 'Lookup Tables'!$AI$6:$AM$102, 5, FALSE)*BP214, IF(VLOOKUP(W214, 'Lookup Tables'!$AI$6:$AM$102, 5, FALSE)*BP214&gt;GB214*'Lighting Inventory'!S214, GB214*'Lighting Inventory'!S214,VLOOKUP(W214, 'Lookup Tables'!$AI$6:$AM$102, 5, FALSE)*BP214)), "")), 2), "")</f>
        <v/>
      </c>
      <c r="FN214" s="253" t="str">
        <f>IFERROR(ROUND(IF(CD214="ERROR", "ERROR", IF(AND($FM$6=Y214,E214="Exterior"), IF(GB214=0, VLOOKUP(W214, 'Lookup Tables'!$AI$6:$AM$102, 5, FALSE)*BP214, IF(VLOOKUP(W214, 'Lookup Tables'!$AI$6:$AM$102, 5, FALSE)*BP214&gt;GB214*'Lighting Inventory'!S214, GB214*'Lighting Inventory'!S214,VLOOKUP(W214, 'Lookup Tables'!$AI$6:$AM$102, 5, FALSE)*BP214)), "")), 2), "")</f>
        <v/>
      </c>
      <c r="FO214" s="253" t="str">
        <f>IFERROR(ROUND(IF(CD214="ERROR", "ERROR", IF(AND($FO$6=Y214,E214="Interior"),VLOOKUP(W214, 'Lookup Tables'!$AI$6:$AM$102, 5, FALSE)*'Lighting Inventory'!AI214, "")), 2), "")</f>
        <v/>
      </c>
      <c r="FP214" s="253" t="str">
        <f>IFERROR(ROUND(IF(CD214="ERROR", "ERROR", IF(AND($FO$6=Y214,E214="Exterior"),VLOOKUP(W214, 'Lookup Tables'!$AI$6:$AM$102, 5, FALSE)*'Lighting Inventory'!AI214, "")), 2), "")</f>
        <v/>
      </c>
      <c r="FQ214" s="253" t="str">
        <f>IFERROR(ROUND(IF(CD214="ERROR", "ERROR", IF(AND($FQ$6=Y214,E214="Interior", BU214="Y"), VLOOKUP('Lighting Inventory'!W214, 'Lookup Tables'!$AI$6:$AM$102, 5, FALSE)*'Lighting Inventory'!S214, IF(AND($FQ$7=Y214,E214="Interior", BU214="N"), 0.025*CD214, ""))), 2), "")</f>
        <v/>
      </c>
      <c r="FR214" s="253" t="str">
        <f>IFERROR(ROUND(IF(CD214="ERROR", "ERROR", IF(AND($FQ$6=Y214,E214="Exterior"), VLOOKUP('Lighting Inventory'!W214, 'Lookup Tables'!$AI$6:$AM$102, 5, FALSE)*'Lighting Inventory'!S214, "")), 2), "")</f>
        <v/>
      </c>
      <c r="FS214" s="253" t="str">
        <f>IFERROR(ROUND(IF(CD214="ERROR", "ERROR", IF(AND($FS$6=Y214,E214="Exterior"), IF(GB214=0, VLOOKUP(W214, 'Lookup Tables'!$AI$6:$AM$102, 5, FALSE)*BP214, IF(VLOOKUP(W214, 'Lookup Tables'!$AI$6:$AM$102, 5, FALSE)*BP214&gt;GB214*'Lighting Inventory'!S214, GB214*'Lighting Inventory'!S214,VLOOKUP(W214, 'Lookup Tables'!$AI$6:$AM$102, 5, FALSE)*BP214)), "")), 2), "")</f>
        <v/>
      </c>
      <c r="FT214" s="253" t="str">
        <f>IFERROR(ROUND(IF(CD214="ERROR", "ERROR", IF(AND($FT$6=Y214,E214="Interior"), IF(GB214=0, VLOOKUP(W214, 'Lookup Tables'!$AI$6:$AM$102, 5, FALSE)*BP214, IF(VLOOKUP(W214, 'Lookup Tables'!$AI$6:$AM$102, 5, FALSE)*BP214&gt;GB214*'Lighting Inventory'!S214, GB214*'Lighting Inventory'!S214,VLOOKUP(W214, 'Lookup Tables'!$AI$6:$AM$102, 5, FALSE)*BP214)), "")), 2), "")</f>
        <v/>
      </c>
      <c r="FU214" s="253" t="str">
        <f>IFERROR(ROUND(IF(CD214="ERROR", "ERROR", IF(AND(Y214=$FU$6, E214="Interior"), IF(BS214="N", 'Lookup Tables'!$AM$101*BP214, VLOOKUP(W214, 'Lookup Tables'!$AI$6:$AM$102, 5, FALSE)*S214*AD214), "")), 2), "")</f>
        <v/>
      </c>
      <c r="FV214" s="253" t="str">
        <f>IFERROR(ROUND(IF(CD214="ERROR", "ERROR", IF(AND(Y214=$FU$6, E214="Exterior"), IF(BS214="N", 'Lookup Tables'!$AM$101*BP214, VLOOKUP(W214, 'Lookup Tables'!$AI$6:$AM$102, 5, FALSE)*S214*AD214), "")), 2), "")</f>
        <v/>
      </c>
      <c r="FW214" s="253" t="str">
        <f>IFERROR(ROUND(IF(CD214="ERROR", "ERROR", IF($FW$6=Y214, IF(BS214="N", 'Lookup Tables'!$AM$101*BP214, MIN((VLOOKUP(W214, 'Lookup Tables'!$AI$6:$AM$102, 5, FALSE)*BP214),GB214*AJ214)), "")), 2), "")</f>
        <v/>
      </c>
      <c r="FX214" s="253" t="str">
        <f>IFERROR(ROUND(IF(CD214="ERROR", "ERROR", IF(AND($FX$6=Y214, E214="Interior"), IF(VLOOKUP(W214, 'Lookup Tables'!$AI$6:$AM$102, 5, FALSE)*BP214&gt;'Lookup Tables'!$AQ$97*'Lighting Inventory'!S214,'Lighting Inventory'!S214*'Lookup Tables'!$AQ$97,VLOOKUP(W214, 'Lookup Tables'!$AI$6:$AM$102, 5, FALSE)*BP214), "")), 2), "")</f>
        <v/>
      </c>
      <c r="FY214" s="253" t="str">
        <f>IFERROR(ROUND(IF(CD214="ERROR", "ERROR", IF(AND($FX$6=Y214, E214="Exterior"), IF(VLOOKUP(W214, 'Lookup Tables'!$AI$6:$AM$102, 5, FALSE)*BP214&gt;'Lookup Tables'!$AQ$97*'Lighting Inventory'!S214,'Lighting Inventory'!S214*'Lookup Tables'!$AQ$97,VLOOKUP(W214, 'Lookup Tables'!$AI$6:$AM$102, 5, FALSE)*BP214), "")), 2), "")</f>
        <v/>
      </c>
      <c r="FZ214" s="253" t="str">
        <f>IFERROR(ROUND(IF(CD214="ERROR", "ERROR", IF(AND($FZ$6=Y214, E214="Interior"), IF(AND(OR(W214="Refrigerated Case Lighting with Doors", W214="Freezer Case Lighting"),Y214="Custom - Process Improvement"),CD214*'Lookup Tables'!$AM$101, IF(B214="Retrofit", IF(VLOOKUP(IF(V214="Custom", V214, W214), 'Lookup Tables'!$AI$6:$AM$102, 5, FALSE)*BP214&gt;GE214, GE214, VLOOKUP(IF(V214="Custom", V214, W214), 'Lookup Tables'!$AI$6:$AM$102, 5, FALSE)*BP214), IF(VLOOKUP(IF(V214="Custom", V214, W214), 'Lookup Tables'!$AI$114:$AM$154, 5, FALSE)*BP214&gt;GE214, GE214, VLOOKUP(IF(V214="Custom", V214, W214), 'Lookup Tables'!$AI$114:$AM$154, 5, FALSE)*BP214))), "")), 2),"")</f>
        <v/>
      </c>
      <c r="GA214" s="253" t="str">
        <f>IFERROR(ROUND(IF(CD214="ERROR", "ERROR", IF(AND($FZ$6=Y214, E214="Exterior"), IF(B214="Retrofit", IF(VLOOKUP(IF(V214="Custom", V214, W214), 'Lookup Tables'!$AI$6:$AM$102, 5, FALSE)*BP214&gt;GE214, GE214, VLOOKUP(IF(V214="Custom", V214, W214), 'Lookup Tables'!$AI$6:$AM$102, 5, FALSE)*BP214), IF(VLOOKUP(IF(V214="Custom", V214, W214), 'Lookup Tables'!$AI$114:$AM$154, 5, FALSE)*BP214&gt;GE214, GE214, VLOOKUP(IF(V214="Custom", V214, W214), 'Lookup Tables'!$AI$114:$AM$154, 5, FALSE)*BP214)), "")), 2),"")</f>
        <v/>
      </c>
      <c r="GB214" s="254" t="str">
        <f t="array" ref="GB214">IF(B214="","",IF(OR(V214="Custom",V214="No Change"),0,IF(B214="Retrofit", INDEX('Lookup Tables'!$AH$6:$AQ$102,MATCH(1,('Lookup Tables'!$AH$6:$AH$102='Lighting Inventory'!V214)*('Lookup Tables'!$AI$6:$AI$102='Lighting Inventory'!W214),FALSE),10),INDEX('Lookup Tables'!$AH$114:$AQ$154,MATCH(1,('Lookup Tables'!$AH$114:$AH$154='Lighting Inventory'!V214)*('Lookup Tables'!$AI$114:$AI$154='Lighting Inventory'!W214),FALSE),10))))</f>
        <v/>
      </c>
      <c r="GC214" s="255" t="str">
        <f t="shared" si="550"/>
        <v/>
      </c>
      <c r="GD214" s="250" t="str">
        <f t="shared" si="551"/>
        <v/>
      </c>
      <c r="GE214" s="253" t="str">
        <f>IFERROR(IF(AND(AF214="", 'General Information'!$F$18="No"),"", IF(AF214="", ((GD214/$CD$266)*$CF$266)*0.5, AF214*S214*0.5)), "")</f>
        <v/>
      </c>
      <c r="GF214" s="255" t="str">
        <f>IF(AND('General Information'!$F$19="", 'General Information'!$F$18="Yes",AF214="",BW214="Y"), "Y", "N")</f>
        <v>N</v>
      </c>
      <c r="GG214" s="255" t="s">
        <v>2946</v>
      </c>
      <c r="GH214" s="255" t="str">
        <f>IFERROR(IF(B214="", "", VLOOKUP(J214, 'Fixture Identities'!$A$6:$N$908, 14, FALSE)), "")</f>
        <v/>
      </c>
      <c r="GI214" s="389" t="str">
        <f>IF(OR(B214="", V214="", W214=""), "", IF(AND(OR(M214='Lookup Tables'!$R$18, M214='Lookup Tables'!$R$19, M214='Lookup Tables'!$R$20, M214='Lookup Tables'!$R$21, M214='Lookup Tables'!$R$22), OR(AN214='Lookup Tables'!$R$17, AN214='Lookup Tables'!$R$17, AN214="")), "Y", "N"))</f>
        <v/>
      </c>
      <c r="GJ214" s="255" t="str">
        <f t="shared" si="552"/>
        <v/>
      </c>
      <c r="GK214" s="255" t="str">
        <f t="shared" si="553"/>
        <v/>
      </c>
      <c r="GL214" s="255" t="str">
        <f t="shared" si="554"/>
        <v/>
      </c>
      <c r="GM214" s="255" t="str">
        <f>IF(AN214="", "", IF(AND(IF(ISNA(VLOOKUP(AN214,'Lookup Tables'!$R$18:$R$22,1,FALSE)), "N", "Y")="Y", E214="Exterior"), "Y", "N"))</f>
        <v/>
      </c>
      <c r="GN214" s="395"/>
      <c r="GO214" s="428">
        <f t="shared" si="600"/>
        <v>0</v>
      </c>
      <c r="GP214" s="428">
        <f t="shared" si="603"/>
        <v>0</v>
      </c>
      <c r="GQ214" s="428">
        <f t="shared" si="601"/>
        <v>0</v>
      </c>
      <c r="GR214" s="428">
        <f t="shared" si="602"/>
        <v>0</v>
      </c>
    </row>
    <row r="215" spans="1:200" s="103" customFormat="1" ht="13.5" customHeight="1" x14ac:dyDescent="0.2">
      <c r="A215" s="272">
        <v>205</v>
      </c>
      <c r="B215" s="110"/>
      <c r="C215" s="110"/>
      <c r="D215" s="110"/>
      <c r="E215" s="110"/>
      <c r="F215" s="110"/>
      <c r="G215" s="110"/>
      <c r="H215" s="110"/>
      <c r="I215" s="29"/>
      <c r="J215" s="29"/>
      <c r="K215" s="272" t="str">
        <f>IFERROR(IF(OR(VLOOKUP(J215, 'Fixture Identities'!$A$6:$L$1023, 3, FALSE)="T12 Linear Fluorescent", VLOOKUP(J215, 'Fixture Identities'!$A$6:$L$1023, 3, FALSE)="T12 U-Tube Fluorescent"), VLOOKUP(VLOOKUP(J215, 'Fixture Identities'!$A$6:$L$1023, 11, FALSE), 'Fixture Identities'!$A$6:$L$1023, 10, FALSE), VLOOKUP(J215, 'Fixture Identities'!$A$6:$L$1023, 10, FALSE)), "")</f>
        <v/>
      </c>
      <c r="L215" s="270" t="str">
        <f t="shared" si="605"/>
        <v/>
      </c>
      <c r="M215" s="110"/>
      <c r="N215" s="110"/>
      <c r="O215" s="110"/>
      <c r="P215" s="272" t="str">
        <f>IFERROR(IF(OR(B215="Retrofit",B215=""),"",IF('Lighting Inventory'!E215="Exterior",VLOOKUP('Lighting Inventory'!N215,'Lookup Tables'!$B$83:$F$103,5,FALSE),IF(N215="Other - Please Estimate EFLH and CFs","Contact Prog. Rep.","ft^2"))), "")</f>
        <v/>
      </c>
      <c r="Q215" s="270" t="str">
        <f>IFERROR(IF(AND(B215="New Construction",E215="Interior",$F$5="Space-by-Space"),VLOOKUP('Lighting Inventory'!N215,'Lookup Tables'!$N$6:$O$97,2,FALSE),IF(AND(B215="New Construction",E215="Exterior"),VLOOKUP(N215,'Lookup Tables'!$B$83:$F$103,2,FALSE),IF(AND(B215="New Construction",'Lighting Inventory'!E215="Interior", $F$5="Building Area"),VLOOKUP(F215,'Lookup Tables'!$A$6:$J$59,10,FALSE),""))), "")</f>
        <v/>
      </c>
      <c r="R215" s="270" t="str">
        <f>IFERROR(IF(P215="Contact Prog. Rep.", "ERROR", IF(OR(B215="",B215="Retrofit"),"",IF(N215="Automated teller machines", ('Lookup Tables'!$A$82:$E$100+('Lighting Inventory'!O215-1)*'Lookup Tables'!$A$82:$E$100)/1000, (Q215*O215)/1000))), "")</f>
        <v/>
      </c>
      <c r="S215" s="595"/>
      <c r="T215" s="105" t="str">
        <f t="shared" si="555"/>
        <v/>
      </c>
      <c r="U215" s="105" t="str">
        <f>IF(S215="","",COUNT($S$11:S215))</f>
        <v/>
      </c>
      <c r="V215" s="111"/>
      <c r="W215" s="112"/>
      <c r="X215" s="105" t="str">
        <f t="shared" si="556"/>
        <v/>
      </c>
      <c r="Y215" s="105" t="str">
        <f t="array" ref="Y215">IF(AND(OR(W215="Freezer Case Lighting", W215="Refrigerated Case Lighting with Doors"), 'General Information'!$X$18="LCI"),'Lookup Tables'!$Y$34, IF(V215="Custom", VLOOKUP(W215, 'Fixture Identities'!$A$974:$M$1023, 13, FALSE), IF(V215="No Change",'Lookup Tables'!$Y$29,IF(OR(V215="",W215=""),"",IF(AND(S215=0,S215&lt;I215,B215="Retrofit"),'Lookup Tables'!$Y$25, IF(B215="Retrofit", INDEX('Lookup Tables'!$AH$6:$AP$102, MATCH(1, ('Lookup Tables'!$AH$6:$AH$102=V215)*('Lookup Tables'!$AI$6:$AI$102=W215), 0), IF('Lighting Inventory'!E215="Interior", 4, 5)), INDEX('Lookup Tables'!$AH$114:$AP$154, MATCH(1, ('Lookup Tables'!$AH$114:$AH$154=V215)*('Lookup Tables'!$AI$114:$AI$154=W215), 0), IF('Lighting Inventory'!E215="Interior", 4, 5))))))))</f>
        <v/>
      </c>
      <c r="Z215" s="105" t="str">
        <f>IFERROR(INDEX('Lookup Tables'!$AH$158:$AH$172,MATCH('Lighting Inventory'!Y215,'Lookup Tables'!$AI$158:$AI$172,0)),"")</f>
        <v/>
      </c>
      <c r="AA215" s="105" t="str">
        <f>IF(AP215&gt;0,INDEX('Lookup Tables'!$AK$158:$AK$172,MATCH('Lighting Inventory'!Y215,'Lookup Tables'!$AI$158:$AI$172,0)),'Lighting Inventory'!Y215)</f>
        <v/>
      </c>
      <c r="AB215" s="105" t="str">
        <f t="array" ref="AB215">IF(V215="Custom", "Custom", IF(V215="", "", IF(V215="Not DLC or Energy Star", "General", IF(B215="New Construction", INDEX('Lookup Tables'!$AH$114:$AP$154,MATCH(1,('Lookup Tables'!$AH$114:$AH$154='Lighting Inventory'!V215)*('Lookup Tables'!$AI$114:$AI$154='Lighting Inventory'!W215),FALSE),8), INDEX('Lookup Tables'!$AH$6:$AP$102,MATCH(1,('Lookup Tables'!$AH$6:$AH$102='Lighting Inventory'!V215)*('Lookup Tables'!$AI$6:$AI$102='Lighting Inventory'!W215),FALSE),8)))))</f>
        <v/>
      </c>
      <c r="AC215" s="272" t="str">
        <f>IF(W215="","",IF(V215="Custom",CONCATENATE("$",'Lookup Tables'!$AM$101," ",'Lookup Tables'!$AN$101),CONCATENATE("$",INDEX('Lookup Tables'!$AM$6:$AM$102,MATCH('Lighting Inventory'!W215,'Lookup Tables'!$AI$6:$AI$102,0))," ",INDEX('Lookup Tables'!$AN$6:$AN$102,MATCH('Lighting Inventory'!W215,'Lookup Tables'!$AI$6:$AI$102,0)))))</f>
        <v/>
      </c>
      <c r="AD215" s="72"/>
      <c r="AE215" s="29"/>
      <c r="AF215" s="379"/>
      <c r="AG215" s="370" t="str">
        <f t="shared" si="504"/>
        <v/>
      </c>
      <c r="AH215" s="370" t="str">
        <f t="shared" si="557"/>
        <v/>
      </c>
      <c r="AI215" s="29"/>
      <c r="AJ215" s="29"/>
      <c r="AK215" s="110"/>
      <c r="AL215" s="375" t="str">
        <f>IF(OR(B215="", V215="", W215=""), "", IF(V215="No Change", K215, IF(V215="Remove Fixture", 0, IF(V215="Custom",VLOOKUP(W215,'Fixture Identities'!$A$6:$K$1023,10,FALSE),IF(AE215="", "← ENTER POST WATTS", 'Lighting Inventory'!AE215)))))</f>
        <v/>
      </c>
      <c r="AM215" s="376" t="str">
        <f t="shared" si="505"/>
        <v/>
      </c>
      <c r="AN215" s="29"/>
      <c r="AO215" s="671"/>
      <c r="AP215" s="29"/>
      <c r="AQ215" s="29"/>
      <c r="AR215" s="29"/>
      <c r="AS215" s="272" t="str">
        <f t="shared" si="558"/>
        <v/>
      </c>
      <c r="AT215" s="270" t="str">
        <f t="shared" si="506"/>
        <v/>
      </c>
      <c r="AU215" s="88" t="str">
        <f t="shared" si="606"/>
        <v/>
      </c>
      <c r="AV215" s="29"/>
      <c r="AW215" s="73"/>
      <c r="AX215" s="271" t="str">
        <f>IF(AND(AV215="Applicant",OR(AW215="", AW215="Use Default Facility Hours")),"← Choose Schedule",IF(F215="","",IF(W215="LED Exit Signs",8760,IF(OR(AV215="Prescribed",AV215=""),VLOOKUP(F215,'Lookup Tables'!$A$6:$G$59,IF(AB215="General", 6, 3),FALSE),VLOOKUP(AW215,'Lookup Tables'!$S$36:$U$43,2,FALSE)))))</f>
        <v/>
      </c>
      <c r="AY215" s="88" t="str">
        <f t="shared" si="507"/>
        <v/>
      </c>
      <c r="AZ215" s="270" t="str">
        <f>IFERROR(IF(F215="", "", IF(W215="LED Exit Signs", 1, IF(AV215="Applicant",VLOOKUP(AW215, 'Lookup Tables'!$S$36:$U$43,3, FALSE), VLOOKUP('Lighting Inventory'!F215, 'Lookup Tables'!$A$6:$H$59, IF('Lighting Inventory'!AB215="General",7,4), FALSE)))), "")</f>
        <v/>
      </c>
      <c r="BA215" s="522" t="str">
        <f>IFERROR(IF(F215="", "", IF(W215="LED Exit Signs", 1, VLOOKUP('Lighting Inventory'!F215, 'Lookup Tables'!$A$6:$H$59, IF('Lighting Inventory'!AB215="General",8,5), FALSE))), "")</f>
        <v/>
      </c>
      <c r="BB215" s="270" t="str">
        <f>IF(G215="", "", IF(E215="Exterior", 0, IF('Lighting Inventory'!G215="Air Conditioned", VLOOKUP(H215, 'Lookup Tables'!$R$6:$T$13, 2, FALSE), VLOOKUP('Lighting Inventory'!G215, 'Lookup Tables'!$R$6:$T$13, 2, FALSE))))</f>
        <v/>
      </c>
      <c r="BC215" s="522" t="str">
        <f>IF(G215="", "", IF(E215="Exterior", 0, IF('Lighting Inventory'!G215="Air Conditioned", VLOOKUP(H215, 'Lookup Tables'!$R$6:$T$13, 3, FALSE), VLOOKUP('Lighting Inventory'!G215, 'Lookup Tables'!$R$6:$T$13, 3, FALSE))))</f>
        <v/>
      </c>
      <c r="BD215" s="270" t="str">
        <f>IF(G215="", "", IF(E215="Exterior", 0, IF('Lighting Inventory'!G215="Air Conditioned", VLOOKUP(H215, 'Lookup Tables'!$R$6:$U$13, 4, FALSE), VLOOKUP('Lighting Inventory'!G215, 'Lookup Tables'!$R$6:$U$13, 4, FALSE))))</f>
        <v/>
      </c>
      <c r="BE215" s="270" t="str">
        <f>IFERROR(IF(B215="", "",  IF(B215="New Construction", VLOOKUP(F215, 'Lookup Tables'!$A$6:$K$59, 11, FALSE),IF(OR(AN215="", AN215="Light Switch"), 0, IF(OR(M215="",M215="None",V215= "LED Exit Signs"),0,_xlfn.XLOOKUP(M215,'Lookup Tables'!$R$91:$R$101,'Lookup Tables'!$V$91:$V$101))))), "")</f>
        <v/>
      </c>
      <c r="BF215" s="270" t="str">
        <f>IF(AND(OR(AN215="Light Switch",AN215=""),B215="New Construction"), VLOOKUP(F215, 'Lookup Tables'!$A$6:$K$59, 11, FALSE),IF(AN215="","",IF(B215="","",IF(OR(AN215="None",AN215="",V215="LED Exit Signs",AN215="Exterior Controls Not Eligible"),0,_xlfn.XLOOKUP(AN215,'Lookup Tables'!$R$91:$R$101,'Lookup Tables'!$V$91:$V$101)))))</f>
        <v/>
      </c>
      <c r="BG215" s="88" t="str">
        <f t="shared" si="559"/>
        <v/>
      </c>
      <c r="BH215" s="88" t="str">
        <f t="shared" si="560"/>
        <v/>
      </c>
      <c r="BI215" s="558" t="str">
        <f t="shared" si="604"/>
        <v/>
      </c>
      <c r="BJ215" s="82" t="str">
        <f t="shared" si="561"/>
        <v/>
      </c>
      <c r="BK215" s="82" t="str">
        <f t="shared" si="562"/>
        <v/>
      </c>
      <c r="BL215" s="559" t="str">
        <f t="shared" si="563"/>
        <v/>
      </c>
      <c r="BM215" s="521" t="str">
        <f t="shared" si="508"/>
        <v/>
      </c>
      <c r="BN215" s="521" t="str">
        <f t="shared" si="509"/>
        <v/>
      </c>
      <c r="BO215" s="522" t="str">
        <f t="shared" si="510"/>
        <v/>
      </c>
      <c r="BP215" s="83" t="str">
        <f t="shared" si="564"/>
        <v/>
      </c>
      <c r="BQ215" s="84" t="str">
        <f t="shared" si="565"/>
        <v/>
      </c>
      <c r="BR215" s="184" t="str">
        <f>IFERROR(IF(B215="", "", IF(OR(VLOOKUP(J215, 'Fixture Identities'!$A$6:$L$1023, 3, FALSE)="T12 Linear Fluorescent",VLOOKUP(J215, 'Fixture Identities'!$A$6:$L$1023, 3, FALSE)="T12 U-Tube Fluorescent"), "Y", "N")), "N")</f>
        <v/>
      </c>
      <c r="BS215" s="184" t="str">
        <f t="array" ref="BS215">IFERROR(IF(OR(B215="", V215="", W215=""), "", IF(V215="Custom", "N", IF(OR(W215="Freezer Case Lighting", W215="Refrigerated Case Lighting with Doors"), BT215, IF(B215="Retrofit", INDEX('Lookup Tables'!$AH$6:$AT$102,MATCH(1,('Lookup Tables'!$AH$6:$AH$102=V215)*('Lookup Tables'!$AI$6:$AI$102=W215),FALSE),IF(VLOOKUP(J215, 'Fixture Identities'!$A$6:$B$1023, 2, FALSE)="Incandescent",12, 13)), INDEX('Lookup Tables'!$AH$114:$AS$154,MATCH(1,('Lookup Tables'!$AH$114:$AH$154=V215)*('Lookup Tables'!$AI$114:$AI$154=W215),FALSE),12))))), "N")</f>
        <v/>
      </c>
      <c r="BT215" s="184" t="str">
        <f>IF(J215="", "", IF(AND(OR(W215="Freezer case Lighting", W215="Refrigerated Case Lighting with Doors"),'General Information'!$X$18="LCI"), "N", IF(OR(VLOOKUP(J215, 'Fixture Identities'!$A$6:$B$1023, 2, FALSE)="T12 EPACT/EISA Baseline", VLOOKUP(J215, 'Fixture Identities'!$A$6:$B$1023, 2, FALSE)="Linear Fluorescent", VLOOKUP(J215, 'Fixture Identities'!$A$6:$B$1023, 2, FALSE)="U-Tube Fluorescent"), "Y", "N")))</f>
        <v/>
      </c>
      <c r="BU215" s="184" t="str">
        <f>IFERROR(IF(B215="", "", IF(VLOOKUP(J215, 'Fixture Identities'!$A$6:$B$1023, 2, FALSE)="Exit Sign", "Y", "N")), "N")</f>
        <v/>
      </c>
      <c r="BV215" s="184" t="str">
        <f>IF(V215="Exit Signs", IF(VLOOKUP(J215, 'Fixture Identities'!$A$6:$B$1023, 2, FALSE)="Exit Sign", "N", "Y"), "")</f>
        <v/>
      </c>
      <c r="BW215" s="184" t="str">
        <f t="array" ref="BW215">IFERROR(IF(B215="", "", IF(B215="New Construction", "N", INDEX('Lookup Tables'!$AH$6:$AU$102, MATCH(1, ('Lookup Tables'!$AH$6:$AH$102='Lighting Inventory'!V215)*('Lookup Tables'!$AI$6:$AI$102='Lighting Inventory'!W215), 0), 14))), "N")</f>
        <v/>
      </c>
      <c r="BX215" s="598" t="str">
        <f t="shared" si="566"/>
        <v/>
      </c>
      <c r="BY215" s="598" t="str">
        <f t="shared" si="567"/>
        <v/>
      </c>
      <c r="BZ215" s="598" t="str">
        <f t="shared" si="568"/>
        <v/>
      </c>
      <c r="CA215" s="598" t="str">
        <f t="shared" si="569"/>
        <v/>
      </c>
      <c r="CB215" s="269" t="str">
        <f t="shared" si="570"/>
        <v/>
      </c>
      <c r="CC215" s="517" t="str">
        <f t="shared" si="571"/>
        <v/>
      </c>
      <c r="CD215" s="565" t="str">
        <f t="shared" si="511"/>
        <v/>
      </c>
      <c r="CE215" s="368">
        <v>0</v>
      </c>
      <c r="CF215" s="368" t="str" cm="1">
        <f t="array" ref="CF215">IFERROR(IF(V215="Custom", "$0.1 per kWh", IF(B215="New Construction", CONCATENATE("$",INDEX('Lookup Tables'!$AH$114:$AN$154,MATCH(1,('Lookup Tables'!$AH$114:$AH$154='Lighting Inventory'!V215)*('Lookup Tables'!$AI$114:$AI$154='Lighting Inventory'!W215),FALSE),6)," ",INDEX('Lookup Tables'!$AH$114:$AN$154,MATCH(1,('Lookup Tables'!$AH$114:$AH$154='Lighting Inventory'!V215)*('Lookup Tables'!$AI$114:$AI$154='Lighting Inventory'!W215),FALSE),7)), IF(AND(BU215="N", V215="Exit Signs"), "$0.025 per kWh", CONCATENATE("$",INDEX('Lookup Tables'!$AH$6:$AN$102,MATCH(1,('Lookup Tables'!$AH$6:$AH$102='Lighting Inventory'!V215)*('Lookup Tables'!$AI$6:$AI$102='Lighting Inventory'!W215),FALSE),6)," ",INDEX('Lookup Tables'!$AH$6:$AN$102,MATCH(1,('Lookup Tables'!$AH$6:$AH$102='Lighting Inventory'!V215)*('Lookup Tables'!$AI$6:$AI$102='Lighting Inventory'!W215),FALSE),7))))), "")</f>
        <v/>
      </c>
      <c r="CG215" s="366"/>
      <c r="CH215" s="248" t="str">
        <f t="shared" si="512"/>
        <v/>
      </c>
      <c r="CI215" s="248" t="str">
        <f t="shared" si="513"/>
        <v>Select_IE</v>
      </c>
      <c r="CJ215" s="248" t="str">
        <f t="shared" si="514"/>
        <v/>
      </c>
      <c r="CK215" s="248" t="str">
        <f t="shared" si="515"/>
        <v/>
      </c>
      <c r="CL215" s="248" t="str">
        <f t="shared" si="516"/>
        <v/>
      </c>
      <c r="CM215" s="248" t="str">
        <f>IFERROR(IF(B215="", "", IF(B215="New Construction", VLOOKUP(V215, 'Lookup Tables'!$AF$114:$AG$120, 2, FALSE), VLOOKUP(V215, 'Lookup Tables'!$AD$6:$AE$25, 2, FALSE))), "")</f>
        <v/>
      </c>
      <c r="CN215" s="248" t="str">
        <f t="shared" si="517"/>
        <v/>
      </c>
      <c r="CO215" s="248" t="str">
        <f t="shared" si="518"/>
        <v/>
      </c>
      <c r="CP215" s="592" t="str">
        <f t="shared" si="519"/>
        <v/>
      </c>
      <c r="CQ215" s="248" t="str">
        <f t="shared" si="572"/>
        <v/>
      </c>
      <c r="CR215" s="100"/>
      <c r="CS215" s="250" t="str">
        <f t="shared" si="520"/>
        <v/>
      </c>
      <c r="CT215" s="250" t="str">
        <f t="shared" si="573"/>
        <v/>
      </c>
      <c r="CU215" s="250" t="str">
        <f t="shared" si="574"/>
        <v/>
      </c>
      <c r="CV215" s="250" t="str">
        <f t="shared" si="575"/>
        <v/>
      </c>
      <c r="CW215" s="250" t="str">
        <f t="shared" si="576"/>
        <v/>
      </c>
      <c r="CX215" s="250" t="str">
        <f t="shared" si="521"/>
        <v/>
      </c>
      <c r="CY215" s="250" t="str">
        <f t="shared" si="522"/>
        <v/>
      </c>
      <c r="CZ215" s="250" t="str">
        <f t="shared" si="523"/>
        <v/>
      </c>
      <c r="DA215" s="250" t="str">
        <f t="shared" si="524"/>
        <v/>
      </c>
      <c r="DB215" s="250" t="str">
        <f t="shared" si="525"/>
        <v/>
      </c>
      <c r="DC215" s="250" t="str">
        <f t="shared" si="526"/>
        <v/>
      </c>
      <c r="DD215" s="250" t="str">
        <f t="shared" si="527"/>
        <v/>
      </c>
      <c r="DE215" s="250" t="str">
        <f t="shared" si="528"/>
        <v/>
      </c>
      <c r="DF215" s="250" t="str">
        <f t="shared" si="529"/>
        <v/>
      </c>
      <c r="DG215" s="250" t="str">
        <f t="shared" si="530"/>
        <v/>
      </c>
      <c r="DH215" s="250" t="str">
        <f t="shared" si="531"/>
        <v/>
      </c>
      <c r="DI215" s="250" t="str">
        <f t="shared" si="532"/>
        <v/>
      </c>
      <c r="DJ215" s="250" t="str">
        <f t="shared" si="533"/>
        <v/>
      </c>
      <c r="DK215" s="250" t="str">
        <f t="shared" si="534"/>
        <v/>
      </c>
      <c r="DL215" s="250" t="str">
        <f t="shared" si="535"/>
        <v/>
      </c>
      <c r="DM215" s="250" t="str">
        <f>IF(CD215="ERROR", "ERROR", IF(AND(OR(Y215=$DM$6, Y215='Lookup Tables'!$AD$21, Y215='Lookup Tables'!$AD$22), E215="Interior"), BJ215, ""))</f>
        <v/>
      </c>
      <c r="DN215" s="250" t="str">
        <f>IF(CD215="ERROR", "ERROR", IF(AND(OR(Y215=$DM$6, Y215='Lookup Tables'!$AD$21, Y215='Lookup Tables'!$AD$22), E215="Exterior"), BJ215, ""))</f>
        <v/>
      </c>
      <c r="DO215" s="100"/>
      <c r="DP215" s="250" t="str">
        <f t="shared" si="536"/>
        <v/>
      </c>
      <c r="DQ215" s="250" t="str">
        <f t="shared" si="577"/>
        <v/>
      </c>
      <c r="DR215" s="250" t="str">
        <f t="shared" si="578"/>
        <v/>
      </c>
      <c r="DS215" s="250" t="str">
        <f t="shared" si="579"/>
        <v/>
      </c>
      <c r="DT215" s="250" t="str">
        <f t="shared" si="580"/>
        <v/>
      </c>
      <c r="DU215" s="250" t="str">
        <f t="shared" si="537"/>
        <v/>
      </c>
      <c r="DV215" s="250" t="str">
        <f t="shared" si="538"/>
        <v/>
      </c>
      <c r="DW215" s="250" t="str">
        <f t="shared" si="539"/>
        <v/>
      </c>
      <c r="DX215" s="250" t="str">
        <f t="shared" si="540"/>
        <v/>
      </c>
      <c r="DY215" s="250" t="str">
        <f t="shared" si="541"/>
        <v/>
      </c>
      <c r="DZ215" s="250" t="str">
        <f t="shared" si="542"/>
        <v/>
      </c>
      <c r="EA215" s="250" t="str">
        <f t="shared" si="543"/>
        <v/>
      </c>
      <c r="EB215" s="250" t="str">
        <f t="shared" si="581"/>
        <v/>
      </c>
      <c r="EC215" s="250" t="str">
        <f t="shared" si="544"/>
        <v/>
      </c>
      <c r="ED215" s="250" t="str">
        <f t="shared" si="545"/>
        <v/>
      </c>
      <c r="EE215" s="250" t="str">
        <f t="shared" si="546"/>
        <v/>
      </c>
      <c r="EF215" s="250" t="str">
        <f t="shared" si="547"/>
        <v/>
      </c>
      <c r="EG215" s="250" t="str">
        <f t="shared" si="548"/>
        <v/>
      </c>
      <c r="EH215" s="250" t="str">
        <f>IF(CD215="ERROR", "ERROR", IF(AND(OR($EH$6=Y215, Y215='Lookup Tables'!$AD$21, Y215='Lookup Tables'!$AD$22),E215="Interior"), SUM(BP215:BP215), ""))</f>
        <v/>
      </c>
      <c r="EI215" s="250" t="str">
        <f>IF(CD215="ERROR", "ERROR", IF(AND(OR($EH$6=Y215, Y215='Lookup Tables'!$AD$21, Y215='Lookup Tables'!$AD$22),E215="Exterior"), SUM(BP215:BP215), ""))</f>
        <v/>
      </c>
      <c r="EJ215" s="109"/>
      <c r="EK215" s="485" t="str">
        <f t="shared" si="549"/>
        <v/>
      </c>
      <c r="EL215" s="252" t="str">
        <f t="shared" si="582"/>
        <v/>
      </c>
      <c r="EM215" s="252" t="str">
        <f t="shared" si="583"/>
        <v/>
      </c>
      <c r="EN215" s="252" t="str">
        <f t="shared" si="584"/>
        <v/>
      </c>
      <c r="EO215" s="252" t="str">
        <f t="shared" si="585"/>
        <v/>
      </c>
      <c r="EP215" s="252" t="str">
        <f t="shared" si="586"/>
        <v/>
      </c>
      <c r="EQ215" s="252" t="str">
        <f t="shared" si="587"/>
        <v/>
      </c>
      <c r="ER215" s="252" t="str">
        <f t="shared" si="588"/>
        <v/>
      </c>
      <c r="ES215" s="252" t="str">
        <f t="shared" si="589"/>
        <v/>
      </c>
      <c r="ET215" s="252" t="str">
        <f t="shared" si="590"/>
        <v/>
      </c>
      <c r="EU215" s="252" t="str">
        <f t="shared" si="591"/>
        <v/>
      </c>
      <c r="EV215" s="252" t="str">
        <f t="shared" si="592"/>
        <v/>
      </c>
      <c r="EW215" s="252" t="str">
        <f t="shared" si="593"/>
        <v/>
      </c>
      <c r="EX215" s="252" t="str">
        <f t="shared" si="594"/>
        <v/>
      </c>
      <c r="EY215" s="252" t="str">
        <f t="shared" si="595"/>
        <v/>
      </c>
      <c r="EZ215" s="252" t="str">
        <f t="shared" si="596"/>
        <v/>
      </c>
      <c r="FA215" s="252" t="str">
        <f t="shared" si="597"/>
        <v/>
      </c>
      <c r="FB215" s="252" t="str">
        <f t="shared" si="598"/>
        <v/>
      </c>
      <c r="FC215" s="252" t="str">
        <f>IF(CD215="ERROR", "ERROR", IF(OR(V215="No Change", V215="Not DLC or Energy Star"), "", IF(AND(OR($FC$6=Y215,Y215='Lookup Tables'!$AD$21, Y215='Lookup Tables'!$AD$22),E215="Interior"), S215, "")))</f>
        <v/>
      </c>
      <c r="FD215" s="252" t="str">
        <f t="shared" si="599"/>
        <v/>
      </c>
      <c r="FE215" s="101"/>
      <c r="FF215" s="579" t="str" cm="1">
        <f t="array" ref="FF215">IFERROR(IF(OR(BQ215&lt;=0,AQ215&lt;20,AND(V215="Exit Signs",AN215&gt;0)),"",IF(AND(AQ215&gt;=20,AN215='Lookup Tables'!$R$101),'Lookup Tables'!$U$101*BQ215,AP215*LOOKUP(2,1/((AN215='Lookup Tables'!$R$91:$R$111)*(AQ215&gt;='Lookup Tables'!$S$91:$S$111)*(AQ215&lt;='Lookup Tables'!$T$91:$T$111)),'Lookup Tables'!$U$91:$U$111))),"")</f>
        <v/>
      </c>
      <c r="FG215" s="579"/>
      <c r="FH215" s="579"/>
      <c r="FI215" s="253" t="str">
        <f>IFERROR(ROUND(IF(CD215="ERROR", "ERROR", IF(AND($FI$7=X215,E215="Interior"),VLOOKUP(W215, 'Lookup Tables'!$AI$6:$AM$102, 5, FALSE)*BP215, "")), 2), "")</f>
        <v/>
      </c>
      <c r="FJ215" s="253" t="str">
        <f>IFERROR(ROUND(IF(CD215="ERROR", "ERROR", IF(AND($FI$7=X215,E215="Exterior"),VLOOKUP(W215, 'Lookup Tables'!$AI$6:$AM$102, 5, FALSE)*BP215, "")), 2), "")</f>
        <v/>
      </c>
      <c r="FK215" s="253" t="str">
        <f>IFERROR(ROUND(IF(CD215="ERROR", "ERROR", IF(AND($FK$7=X215,E215="Interior"),VLOOKUP(W215, 'Lookup Tables'!$AI$6:$AM$102, 5, FALSE)*BP215, "")), 2), "")</f>
        <v/>
      </c>
      <c r="FL215" s="253" t="str">
        <f>IFERROR(ROUND(IF(CD215="ERROR", "ERROR", IF(AND($FK$7=X215,E215="Exterior"),VLOOKUP(W215, 'Lookup Tables'!$AI$6:$AM$102, 5, FALSE)*BP215, "")), 2), "")</f>
        <v/>
      </c>
      <c r="FM215" s="253" t="str">
        <f>IFERROR(ROUND(IF(CD215="ERROR", "ERROR", IF(AND($FM$6=Y215,E215="Interior"), IF(GB215=0, VLOOKUP(W215, 'Lookup Tables'!$AI$6:$AM$102, 5, FALSE)*BP215, IF(VLOOKUP(W215, 'Lookup Tables'!$AI$6:$AM$102, 5, FALSE)*BP215&gt;GB215*'Lighting Inventory'!S215, GB215*'Lighting Inventory'!S215,VLOOKUP(W215, 'Lookup Tables'!$AI$6:$AM$102, 5, FALSE)*BP215)), "")), 2), "")</f>
        <v/>
      </c>
      <c r="FN215" s="253" t="str">
        <f>IFERROR(ROUND(IF(CD215="ERROR", "ERROR", IF(AND($FM$6=Y215,E215="Exterior"), IF(GB215=0, VLOOKUP(W215, 'Lookup Tables'!$AI$6:$AM$102, 5, FALSE)*BP215, IF(VLOOKUP(W215, 'Lookup Tables'!$AI$6:$AM$102, 5, FALSE)*BP215&gt;GB215*'Lighting Inventory'!S215, GB215*'Lighting Inventory'!S215,VLOOKUP(W215, 'Lookup Tables'!$AI$6:$AM$102, 5, FALSE)*BP215)), "")), 2), "")</f>
        <v/>
      </c>
      <c r="FO215" s="253" t="str">
        <f>IFERROR(ROUND(IF(CD215="ERROR", "ERROR", IF(AND($FO$6=Y215,E215="Interior"),VLOOKUP(W215, 'Lookup Tables'!$AI$6:$AM$102, 5, FALSE)*'Lighting Inventory'!AI215, "")), 2), "")</f>
        <v/>
      </c>
      <c r="FP215" s="253" t="str">
        <f>IFERROR(ROUND(IF(CD215="ERROR", "ERROR", IF(AND($FO$6=Y215,E215="Exterior"),VLOOKUP(W215, 'Lookup Tables'!$AI$6:$AM$102, 5, FALSE)*'Lighting Inventory'!AI215, "")), 2), "")</f>
        <v/>
      </c>
      <c r="FQ215" s="253" t="str">
        <f>IFERROR(ROUND(IF(CD215="ERROR", "ERROR", IF(AND($FQ$6=Y215,E215="Interior", BU215="Y"), VLOOKUP('Lighting Inventory'!W215, 'Lookup Tables'!$AI$6:$AM$102, 5, FALSE)*'Lighting Inventory'!S215, IF(AND($FQ$7=Y215,E215="Interior", BU215="N"), 0.025*CD215, ""))), 2), "")</f>
        <v/>
      </c>
      <c r="FR215" s="253" t="str">
        <f>IFERROR(ROUND(IF(CD215="ERROR", "ERROR", IF(AND($FQ$6=Y215,E215="Exterior"), VLOOKUP('Lighting Inventory'!W215, 'Lookup Tables'!$AI$6:$AM$102, 5, FALSE)*'Lighting Inventory'!S215, "")), 2), "")</f>
        <v/>
      </c>
      <c r="FS215" s="253" t="str">
        <f>IFERROR(ROUND(IF(CD215="ERROR", "ERROR", IF(AND($FS$6=Y215,E215="Exterior"), IF(GB215=0, VLOOKUP(W215, 'Lookup Tables'!$AI$6:$AM$102, 5, FALSE)*BP215, IF(VLOOKUP(W215, 'Lookup Tables'!$AI$6:$AM$102, 5, FALSE)*BP215&gt;GB215*'Lighting Inventory'!S215, GB215*'Lighting Inventory'!S215,VLOOKUP(W215, 'Lookup Tables'!$AI$6:$AM$102, 5, FALSE)*BP215)), "")), 2), "")</f>
        <v/>
      </c>
      <c r="FT215" s="253" t="str">
        <f>IFERROR(ROUND(IF(CD215="ERROR", "ERROR", IF(AND($FT$6=Y215,E215="Interior"), IF(GB215=0, VLOOKUP(W215, 'Lookup Tables'!$AI$6:$AM$102, 5, FALSE)*BP215, IF(VLOOKUP(W215, 'Lookup Tables'!$AI$6:$AM$102, 5, FALSE)*BP215&gt;GB215*'Lighting Inventory'!S215, GB215*'Lighting Inventory'!S215,VLOOKUP(W215, 'Lookup Tables'!$AI$6:$AM$102, 5, FALSE)*BP215)), "")), 2), "")</f>
        <v/>
      </c>
      <c r="FU215" s="253" t="str">
        <f>IFERROR(ROUND(IF(CD215="ERROR", "ERROR", IF(AND(Y215=$FU$6, E215="Interior"), IF(BS215="N", 'Lookup Tables'!$AM$101*BP215, VLOOKUP(W215, 'Lookup Tables'!$AI$6:$AM$102, 5, FALSE)*S215*AD215), "")), 2), "")</f>
        <v/>
      </c>
      <c r="FV215" s="253" t="str">
        <f>IFERROR(ROUND(IF(CD215="ERROR", "ERROR", IF(AND(Y215=$FU$6, E215="Exterior"), IF(BS215="N", 'Lookup Tables'!$AM$101*BP215, VLOOKUP(W215, 'Lookup Tables'!$AI$6:$AM$102, 5, FALSE)*S215*AD215), "")), 2), "")</f>
        <v/>
      </c>
      <c r="FW215" s="253" t="str">
        <f>IFERROR(ROUND(IF(CD215="ERROR", "ERROR", IF($FW$6=Y215, IF(BS215="N", 'Lookup Tables'!$AM$101*BP215, MIN((VLOOKUP(W215, 'Lookup Tables'!$AI$6:$AM$102, 5, FALSE)*BP215),GB215*AJ215)), "")), 2), "")</f>
        <v/>
      </c>
      <c r="FX215" s="253" t="str">
        <f>IFERROR(ROUND(IF(CD215="ERROR", "ERROR", IF(AND($FX$6=Y215, E215="Interior"), IF(VLOOKUP(W215, 'Lookup Tables'!$AI$6:$AM$102, 5, FALSE)*BP215&gt;'Lookup Tables'!$AQ$97*'Lighting Inventory'!S215,'Lighting Inventory'!S215*'Lookup Tables'!$AQ$97,VLOOKUP(W215, 'Lookup Tables'!$AI$6:$AM$102, 5, FALSE)*BP215), "")), 2), "")</f>
        <v/>
      </c>
      <c r="FY215" s="253" t="str">
        <f>IFERROR(ROUND(IF(CD215="ERROR", "ERROR", IF(AND($FX$6=Y215, E215="Exterior"), IF(VLOOKUP(W215, 'Lookup Tables'!$AI$6:$AM$102, 5, FALSE)*BP215&gt;'Lookup Tables'!$AQ$97*'Lighting Inventory'!S215,'Lighting Inventory'!S215*'Lookup Tables'!$AQ$97,VLOOKUP(W215, 'Lookup Tables'!$AI$6:$AM$102, 5, FALSE)*BP215), "")), 2), "")</f>
        <v/>
      </c>
      <c r="FZ215" s="253" t="str">
        <f>IFERROR(ROUND(IF(CD215="ERROR", "ERROR", IF(AND($FZ$6=Y215, E215="Interior"), IF(AND(OR(W215="Refrigerated Case Lighting with Doors", W215="Freezer Case Lighting"),Y215="Custom - Process Improvement"),CD215*'Lookup Tables'!$AM$101, IF(B215="Retrofit", IF(VLOOKUP(IF(V215="Custom", V215, W215), 'Lookup Tables'!$AI$6:$AM$102, 5, FALSE)*BP215&gt;GE215, GE215, VLOOKUP(IF(V215="Custom", V215, W215), 'Lookup Tables'!$AI$6:$AM$102, 5, FALSE)*BP215), IF(VLOOKUP(IF(V215="Custom", V215, W215), 'Lookup Tables'!$AI$114:$AM$154, 5, FALSE)*BP215&gt;GE215, GE215, VLOOKUP(IF(V215="Custom", V215, W215), 'Lookup Tables'!$AI$114:$AM$154, 5, FALSE)*BP215))), "")), 2),"")</f>
        <v/>
      </c>
      <c r="GA215" s="253" t="str">
        <f>IFERROR(ROUND(IF(CD215="ERROR", "ERROR", IF(AND($FZ$6=Y215, E215="Exterior"), IF(B215="Retrofit", IF(VLOOKUP(IF(V215="Custom", V215, W215), 'Lookup Tables'!$AI$6:$AM$102, 5, FALSE)*BP215&gt;GE215, GE215, VLOOKUP(IF(V215="Custom", V215, W215), 'Lookup Tables'!$AI$6:$AM$102, 5, FALSE)*BP215), IF(VLOOKUP(IF(V215="Custom", V215, W215), 'Lookup Tables'!$AI$114:$AM$154, 5, FALSE)*BP215&gt;GE215, GE215, VLOOKUP(IF(V215="Custom", V215, W215), 'Lookup Tables'!$AI$114:$AM$154, 5, FALSE)*BP215)), "")), 2),"")</f>
        <v/>
      </c>
      <c r="GB215" s="254" t="str">
        <f t="array" ref="GB215">IF(B215="","",IF(OR(V215="Custom",V215="No Change"),0,IF(B215="Retrofit", INDEX('Lookup Tables'!$AH$6:$AQ$102,MATCH(1,('Lookup Tables'!$AH$6:$AH$102='Lighting Inventory'!V215)*('Lookup Tables'!$AI$6:$AI$102='Lighting Inventory'!W215),FALSE),10),INDEX('Lookup Tables'!$AH$114:$AQ$154,MATCH(1,('Lookup Tables'!$AH$114:$AH$154='Lighting Inventory'!V215)*('Lookup Tables'!$AI$114:$AI$154='Lighting Inventory'!W215),FALSE),10))))</f>
        <v/>
      </c>
      <c r="GC215" s="255" t="str">
        <f t="shared" si="550"/>
        <v/>
      </c>
      <c r="GD215" s="250" t="str">
        <f t="shared" si="551"/>
        <v/>
      </c>
      <c r="GE215" s="253" t="str">
        <f>IFERROR(IF(AND(AF215="", 'General Information'!$F$18="No"),"", IF(AF215="", ((GD215/$CD$266)*$CF$266)*0.5, AF215*S215*0.5)), "")</f>
        <v/>
      </c>
      <c r="GF215" s="255" t="str">
        <f>IF(AND('General Information'!$F$19="", 'General Information'!$F$18="Yes",AF215="",BW215="Y"), "Y", "N")</f>
        <v>N</v>
      </c>
      <c r="GG215" s="255" t="s">
        <v>2946</v>
      </c>
      <c r="GH215" s="255" t="str">
        <f>IFERROR(IF(B215="", "", VLOOKUP(J215, 'Fixture Identities'!$A$6:$N$908, 14, FALSE)), "")</f>
        <v/>
      </c>
      <c r="GI215" s="389" t="str">
        <f>IF(OR(B215="", V215="", W215=""), "", IF(AND(OR(M215='Lookup Tables'!$R$18, M215='Lookup Tables'!$R$19, M215='Lookup Tables'!$R$20, M215='Lookup Tables'!$R$21, M215='Lookup Tables'!$R$22), OR(AN215='Lookup Tables'!$R$17, AN215='Lookup Tables'!$R$17, AN215="")), "Y", "N"))</f>
        <v/>
      </c>
      <c r="GJ215" s="255" t="str">
        <f t="shared" si="552"/>
        <v/>
      </c>
      <c r="GK215" s="255" t="str">
        <f t="shared" si="553"/>
        <v/>
      </c>
      <c r="GL215" s="255" t="str">
        <f t="shared" si="554"/>
        <v/>
      </c>
      <c r="GM215" s="255" t="str">
        <f>IF(AN215="", "", IF(AND(IF(ISNA(VLOOKUP(AN215,'Lookup Tables'!$R$18:$R$22,1,FALSE)), "N", "Y")="Y", E215="Exterior"), "Y", "N"))</f>
        <v/>
      </c>
      <c r="GN215" s="395"/>
      <c r="GO215" s="428">
        <f t="shared" si="600"/>
        <v>0</v>
      </c>
      <c r="GP215" s="428">
        <f t="shared" si="603"/>
        <v>0</v>
      </c>
      <c r="GQ215" s="428">
        <f t="shared" si="601"/>
        <v>0</v>
      </c>
      <c r="GR215" s="428">
        <f t="shared" si="602"/>
        <v>0</v>
      </c>
    </row>
    <row r="216" spans="1:200" s="103" customFormat="1" ht="13.5" customHeight="1" x14ac:dyDescent="0.2">
      <c r="A216" s="272">
        <v>206</v>
      </c>
      <c r="B216" s="110"/>
      <c r="C216" s="110"/>
      <c r="D216" s="110"/>
      <c r="E216" s="110"/>
      <c r="F216" s="110"/>
      <c r="G216" s="110"/>
      <c r="H216" s="110"/>
      <c r="I216" s="29"/>
      <c r="J216" s="29"/>
      <c r="K216" s="272" t="str">
        <f>IFERROR(IF(OR(VLOOKUP(J216, 'Fixture Identities'!$A$6:$L$1023, 3, FALSE)="T12 Linear Fluorescent", VLOOKUP(J216, 'Fixture Identities'!$A$6:$L$1023, 3, FALSE)="T12 U-Tube Fluorescent"), VLOOKUP(VLOOKUP(J216, 'Fixture Identities'!$A$6:$L$1023, 11, FALSE), 'Fixture Identities'!$A$6:$L$1023, 10, FALSE), VLOOKUP(J216, 'Fixture Identities'!$A$6:$L$1023, 10, FALSE)), "")</f>
        <v/>
      </c>
      <c r="L216" s="270" t="str">
        <f t="shared" si="605"/>
        <v/>
      </c>
      <c r="M216" s="110"/>
      <c r="N216" s="110"/>
      <c r="O216" s="110"/>
      <c r="P216" s="272" t="str">
        <f>IFERROR(IF(OR(B216="Retrofit",B216=""),"",IF('Lighting Inventory'!E216="Exterior",VLOOKUP('Lighting Inventory'!N216,'Lookup Tables'!$B$83:$F$103,5,FALSE),IF(N216="Other - Please Estimate EFLH and CFs","Contact Prog. Rep.","ft^2"))), "")</f>
        <v/>
      </c>
      <c r="Q216" s="270" t="str">
        <f>IFERROR(IF(AND(B216="New Construction",E216="Interior",$F$5="Space-by-Space"),VLOOKUP('Lighting Inventory'!N216,'Lookup Tables'!$N$6:$O$97,2,FALSE),IF(AND(B216="New Construction",E216="Exterior"),VLOOKUP(N216,'Lookup Tables'!$B$83:$F$103,2,FALSE),IF(AND(B216="New Construction",'Lighting Inventory'!E216="Interior", $F$5="Building Area"),VLOOKUP(F216,'Lookup Tables'!$A$6:$J$59,10,FALSE),""))), "")</f>
        <v/>
      </c>
      <c r="R216" s="270" t="str">
        <f>IFERROR(IF(P216="Contact Prog. Rep.", "ERROR", IF(OR(B216="",B216="Retrofit"),"",IF(N216="Automated teller machines", ('Lookup Tables'!$A$82:$E$100+('Lighting Inventory'!O216-1)*'Lookup Tables'!$A$82:$E$100)/1000, (Q216*O216)/1000))), "")</f>
        <v/>
      </c>
      <c r="S216" s="595"/>
      <c r="T216" s="105" t="str">
        <f t="shared" si="555"/>
        <v/>
      </c>
      <c r="U216" s="105" t="str">
        <f>IF(S216="","",COUNT($S$11:S216))</f>
        <v/>
      </c>
      <c r="V216" s="111"/>
      <c r="W216" s="112"/>
      <c r="X216" s="105" t="str">
        <f t="shared" si="556"/>
        <v/>
      </c>
      <c r="Y216" s="105" t="str">
        <f t="array" ref="Y216">IF(AND(OR(W216="Freezer Case Lighting", W216="Refrigerated Case Lighting with Doors"), 'General Information'!$X$18="LCI"),'Lookup Tables'!$Y$34, IF(V216="Custom", VLOOKUP(W216, 'Fixture Identities'!$A$974:$M$1023, 13, FALSE), IF(V216="No Change",'Lookup Tables'!$Y$29,IF(OR(V216="",W216=""),"",IF(AND(S216=0,S216&lt;I216,B216="Retrofit"),'Lookup Tables'!$Y$25, IF(B216="Retrofit", INDEX('Lookup Tables'!$AH$6:$AP$102, MATCH(1, ('Lookup Tables'!$AH$6:$AH$102=V216)*('Lookup Tables'!$AI$6:$AI$102=W216), 0), IF('Lighting Inventory'!E216="Interior", 4, 5)), INDEX('Lookup Tables'!$AH$114:$AP$154, MATCH(1, ('Lookup Tables'!$AH$114:$AH$154=V216)*('Lookup Tables'!$AI$114:$AI$154=W216), 0), IF('Lighting Inventory'!E216="Interior", 4, 5))))))))</f>
        <v/>
      </c>
      <c r="Z216" s="105" t="str">
        <f>IFERROR(INDEX('Lookup Tables'!$AH$158:$AH$172,MATCH('Lighting Inventory'!Y216,'Lookup Tables'!$AI$158:$AI$172,0)),"")</f>
        <v/>
      </c>
      <c r="AA216" s="105" t="str">
        <f>IF(AP216&gt;0,INDEX('Lookup Tables'!$AK$158:$AK$172,MATCH('Lighting Inventory'!Y216,'Lookup Tables'!$AI$158:$AI$172,0)),'Lighting Inventory'!Y216)</f>
        <v/>
      </c>
      <c r="AB216" s="105" t="str">
        <f t="array" ref="AB216">IF(V216="Custom", "Custom", IF(V216="", "", IF(V216="Not DLC or Energy Star", "General", IF(B216="New Construction", INDEX('Lookup Tables'!$AH$114:$AP$154,MATCH(1,('Lookup Tables'!$AH$114:$AH$154='Lighting Inventory'!V216)*('Lookup Tables'!$AI$114:$AI$154='Lighting Inventory'!W216),FALSE),8), INDEX('Lookup Tables'!$AH$6:$AP$102,MATCH(1,('Lookup Tables'!$AH$6:$AH$102='Lighting Inventory'!V216)*('Lookup Tables'!$AI$6:$AI$102='Lighting Inventory'!W216),FALSE),8)))))</f>
        <v/>
      </c>
      <c r="AC216" s="272" t="str">
        <f>IF(W216="","",IF(V216="Custom",CONCATENATE("$",'Lookup Tables'!$AM$101," ",'Lookup Tables'!$AN$101),CONCATENATE("$",INDEX('Lookup Tables'!$AM$6:$AM$102,MATCH('Lighting Inventory'!W216,'Lookup Tables'!$AI$6:$AI$102,0))," ",INDEX('Lookup Tables'!$AN$6:$AN$102,MATCH('Lighting Inventory'!W216,'Lookup Tables'!$AI$6:$AI$102,0)))))</f>
        <v/>
      </c>
      <c r="AD216" s="72"/>
      <c r="AE216" s="29"/>
      <c r="AF216" s="379"/>
      <c r="AG216" s="370" t="str">
        <f t="shared" si="504"/>
        <v/>
      </c>
      <c r="AH216" s="370" t="str">
        <f t="shared" si="557"/>
        <v/>
      </c>
      <c r="AI216" s="29"/>
      <c r="AJ216" s="29"/>
      <c r="AK216" s="110"/>
      <c r="AL216" s="375" t="str">
        <f>IF(OR(B216="", V216="", W216=""), "", IF(V216="No Change", K216, IF(V216="Remove Fixture", 0, IF(V216="Custom",VLOOKUP(W216,'Fixture Identities'!$A$6:$K$1023,10,FALSE),IF(AE216="", "← ENTER POST WATTS", 'Lighting Inventory'!AE216)))))</f>
        <v/>
      </c>
      <c r="AM216" s="376" t="str">
        <f t="shared" si="505"/>
        <v/>
      </c>
      <c r="AN216" s="29"/>
      <c r="AO216" s="671"/>
      <c r="AP216" s="29"/>
      <c r="AQ216" s="29"/>
      <c r="AR216" s="29"/>
      <c r="AS216" s="272" t="str">
        <f t="shared" si="558"/>
        <v/>
      </c>
      <c r="AT216" s="270" t="str">
        <f t="shared" si="506"/>
        <v/>
      </c>
      <c r="AU216" s="88" t="str">
        <f t="shared" si="606"/>
        <v/>
      </c>
      <c r="AV216" s="29"/>
      <c r="AW216" s="73"/>
      <c r="AX216" s="271" t="str">
        <f>IF(AND(AV216="Applicant",OR(AW216="", AW216="Use Default Facility Hours")),"← Choose Schedule",IF(F216="","",IF(W216="LED Exit Signs",8760,IF(OR(AV216="Prescribed",AV216=""),VLOOKUP(F216,'Lookup Tables'!$A$6:$G$59,IF(AB216="General", 6, 3),FALSE),VLOOKUP(AW216,'Lookup Tables'!$S$36:$U$43,2,FALSE)))))</f>
        <v/>
      </c>
      <c r="AY216" s="88" t="str">
        <f t="shared" si="507"/>
        <v/>
      </c>
      <c r="AZ216" s="270" t="str">
        <f>IFERROR(IF(F216="", "", IF(W216="LED Exit Signs", 1, IF(AV216="Applicant",VLOOKUP(AW216, 'Lookup Tables'!$S$36:$U$43,3, FALSE), VLOOKUP('Lighting Inventory'!F216, 'Lookup Tables'!$A$6:$H$59, IF('Lighting Inventory'!AB216="General",7,4), FALSE)))), "")</f>
        <v/>
      </c>
      <c r="BA216" s="522" t="str">
        <f>IFERROR(IF(F216="", "", IF(W216="LED Exit Signs", 1, VLOOKUP('Lighting Inventory'!F216, 'Lookup Tables'!$A$6:$H$59, IF('Lighting Inventory'!AB216="General",8,5), FALSE))), "")</f>
        <v/>
      </c>
      <c r="BB216" s="270" t="str">
        <f>IF(G216="", "", IF(E216="Exterior", 0, IF('Lighting Inventory'!G216="Air Conditioned", VLOOKUP(H216, 'Lookup Tables'!$R$6:$T$13, 2, FALSE), VLOOKUP('Lighting Inventory'!G216, 'Lookup Tables'!$R$6:$T$13, 2, FALSE))))</f>
        <v/>
      </c>
      <c r="BC216" s="522" t="str">
        <f>IF(G216="", "", IF(E216="Exterior", 0, IF('Lighting Inventory'!G216="Air Conditioned", VLOOKUP(H216, 'Lookup Tables'!$R$6:$T$13, 3, FALSE), VLOOKUP('Lighting Inventory'!G216, 'Lookup Tables'!$R$6:$T$13, 3, FALSE))))</f>
        <v/>
      </c>
      <c r="BD216" s="270" t="str">
        <f>IF(G216="", "", IF(E216="Exterior", 0, IF('Lighting Inventory'!G216="Air Conditioned", VLOOKUP(H216, 'Lookup Tables'!$R$6:$U$13, 4, FALSE), VLOOKUP('Lighting Inventory'!G216, 'Lookup Tables'!$R$6:$U$13, 4, FALSE))))</f>
        <v/>
      </c>
      <c r="BE216" s="270" t="str">
        <f>IFERROR(IF(B216="", "",  IF(B216="New Construction", VLOOKUP(F216, 'Lookup Tables'!$A$6:$K$59, 11, FALSE),IF(OR(AN216="", AN216="Light Switch"), 0, IF(OR(M216="",M216="None",V216= "LED Exit Signs"),0,_xlfn.XLOOKUP(M216,'Lookup Tables'!$R$91:$R$101,'Lookup Tables'!$V$91:$V$101))))), "")</f>
        <v/>
      </c>
      <c r="BF216" s="270" t="str">
        <f>IF(AND(OR(AN216="Light Switch",AN216=""),B216="New Construction"), VLOOKUP(F216, 'Lookup Tables'!$A$6:$K$59, 11, FALSE),IF(AN216="","",IF(B216="","",IF(OR(AN216="None",AN216="",V216="LED Exit Signs",AN216="Exterior Controls Not Eligible"),0,_xlfn.XLOOKUP(AN216,'Lookup Tables'!$R$91:$R$101,'Lookup Tables'!$V$91:$V$101)))))</f>
        <v/>
      </c>
      <c r="BG216" s="88" t="str">
        <f t="shared" si="559"/>
        <v/>
      </c>
      <c r="BH216" s="88" t="str">
        <f t="shared" si="560"/>
        <v/>
      </c>
      <c r="BI216" s="558" t="str">
        <f t="shared" si="604"/>
        <v/>
      </c>
      <c r="BJ216" s="82" t="str">
        <f t="shared" si="561"/>
        <v/>
      </c>
      <c r="BK216" s="82" t="str">
        <f t="shared" si="562"/>
        <v/>
      </c>
      <c r="BL216" s="559" t="str">
        <f t="shared" si="563"/>
        <v/>
      </c>
      <c r="BM216" s="521" t="str">
        <f t="shared" si="508"/>
        <v/>
      </c>
      <c r="BN216" s="521" t="str">
        <f t="shared" si="509"/>
        <v/>
      </c>
      <c r="BO216" s="522" t="str">
        <f t="shared" si="510"/>
        <v/>
      </c>
      <c r="BP216" s="83" t="str">
        <f t="shared" si="564"/>
        <v/>
      </c>
      <c r="BQ216" s="84" t="str">
        <f t="shared" si="565"/>
        <v/>
      </c>
      <c r="BR216" s="184" t="str">
        <f>IFERROR(IF(B216="", "", IF(OR(VLOOKUP(J216, 'Fixture Identities'!$A$6:$L$1023, 3, FALSE)="T12 Linear Fluorescent",VLOOKUP(J216, 'Fixture Identities'!$A$6:$L$1023, 3, FALSE)="T12 U-Tube Fluorescent"), "Y", "N")), "N")</f>
        <v/>
      </c>
      <c r="BS216" s="184" t="str">
        <f t="array" ref="BS216">IFERROR(IF(OR(B216="", V216="", W216=""), "", IF(V216="Custom", "N", IF(OR(W216="Freezer Case Lighting", W216="Refrigerated Case Lighting with Doors"), BT216, IF(B216="Retrofit", INDEX('Lookup Tables'!$AH$6:$AT$102,MATCH(1,('Lookup Tables'!$AH$6:$AH$102=V216)*('Lookup Tables'!$AI$6:$AI$102=W216),FALSE),IF(VLOOKUP(J216, 'Fixture Identities'!$A$6:$B$1023, 2, FALSE)="Incandescent",12, 13)), INDEX('Lookup Tables'!$AH$114:$AS$154,MATCH(1,('Lookup Tables'!$AH$114:$AH$154=V216)*('Lookup Tables'!$AI$114:$AI$154=W216),FALSE),12))))), "N")</f>
        <v/>
      </c>
      <c r="BT216" s="184" t="str">
        <f>IF(J216="", "", IF(AND(OR(W216="Freezer case Lighting", W216="Refrigerated Case Lighting with Doors"),'General Information'!$X$18="LCI"), "N", IF(OR(VLOOKUP(J216, 'Fixture Identities'!$A$6:$B$1023, 2, FALSE)="T12 EPACT/EISA Baseline", VLOOKUP(J216, 'Fixture Identities'!$A$6:$B$1023, 2, FALSE)="Linear Fluorescent", VLOOKUP(J216, 'Fixture Identities'!$A$6:$B$1023, 2, FALSE)="U-Tube Fluorescent"), "Y", "N")))</f>
        <v/>
      </c>
      <c r="BU216" s="184" t="str">
        <f>IFERROR(IF(B216="", "", IF(VLOOKUP(J216, 'Fixture Identities'!$A$6:$B$1023, 2, FALSE)="Exit Sign", "Y", "N")), "N")</f>
        <v/>
      </c>
      <c r="BV216" s="184" t="str">
        <f>IF(V216="Exit Signs", IF(VLOOKUP(J216, 'Fixture Identities'!$A$6:$B$1023, 2, FALSE)="Exit Sign", "N", "Y"), "")</f>
        <v/>
      </c>
      <c r="BW216" s="184" t="str">
        <f t="array" ref="BW216">IFERROR(IF(B216="", "", IF(B216="New Construction", "N", INDEX('Lookup Tables'!$AH$6:$AU$102, MATCH(1, ('Lookup Tables'!$AH$6:$AH$102='Lighting Inventory'!V216)*('Lookup Tables'!$AI$6:$AI$102='Lighting Inventory'!W216), 0), 14))), "N")</f>
        <v/>
      </c>
      <c r="BX216" s="598" t="str">
        <f t="shared" si="566"/>
        <v/>
      </c>
      <c r="BY216" s="598" t="str">
        <f t="shared" si="567"/>
        <v/>
      </c>
      <c r="BZ216" s="598" t="str">
        <f t="shared" si="568"/>
        <v/>
      </c>
      <c r="CA216" s="598" t="str">
        <f t="shared" si="569"/>
        <v/>
      </c>
      <c r="CB216" s="269" t="str">
        <f t="shared" si="570"/>
        <v/>
      </c>
      <c r="CC216" s="517" t="str">
        <f t="shared" si="571"/>
        <v/>
      </c>
      <c r="CD216" s="565" t="str">
        <f t="shared" si="511"/>
        <v/>
      </c>
      <c r="CE216" s="368">
        <v>0</v>
      </c>
      <c r="CF216" s="368" t="str" cm="1">
        <f t="array" ref="CF216">IFERROR(IF(V216="Custom", "$0.1 per kWh", IF(B216="New Construction", CONCATENATE("$",INDEX('Lookup Tables'!$AH$114:$AN$154,MATCH(1,('Lookup Tables'!$AH$114:$AH$154='Lighting Inventory'!V216)*('Lookup Tables'!$AI$114:$AI$154='Lighting Inventory'!W216),FALSE),6)," ",INDEX('Lookup Tables'!$AH$114:$AN$154,MATCH(1,('Lookup Tables'!$AH$114:$AH$154='Lighting Inventory'!V216)*('Lookup Tables'!$AI$114:$AI$154='Lighting Inventory'!W216),FALSE),7)), IF(AND(BU216="N", V216="Exit Signs"), "$0.025 per kWh", CONCATENATE("$",INDEX('Lookup Tables'!$AH$6:$AN$102,MATCH(1,('Lookup Tables'!$AH$6:$AH$102='Lighting Inventory'!V216)*('Lookup Tables'!$AI$6:$AI$102='Lighting Inventory'!W216),FALSE),6)," ",INDEX('Lookup Tables'!$AH$6:$AN$102,MATCH(1,('Lookup Tables'!$AH$6:$AH$102='Lighting Inventory'!V216)*('Lookup Tables'!$AI$6:$AI$102='Lighting Inventory'!W216),FALSE),7))))), "")</f>
        <v/>
      </c>
      <c r="CG216" s="366"/>
      <c r="CH216" s="248" t="str">
        <f t="shared" si="512"/>
        <v/>
      </c>
      <c r="CI216" s="248" t="str">
        <f t="shared" si="513"/>
        <v>Select_IE</v>
      </c>
      <c r="CJ216" s="248" t="str">
        <f t="shared" si="514"/>
        <v/>
      </c>
      <c r="CK216" s="248" t="str">
        <f t="shared" si="515"/>
        <v/>
      </c>
      <c r="CL216" s="248" t="str">
        <f t="shared" si="516"/>
        <v/>
      </c>
      <c r="CM216" s="248" t="str">
        <f>IFERROR(IF(B216="", "", IF(B216="New Construction", VLOOKUP(V216, 'Lookup Tables'!$AF$114:$AG$120, 2, FALSE), VLOOKUP(V216, 'Lookup Tables'!$AD$6:$AE$25, 2, FALSE))), "")</f>
        <v/>
      </c>
      <c r="CN216" s="248" t="str">
        <f t="shared" si="517"/>
        <v/>
      </c>
      <c r="CO216" s="248" t="str">
        <f t="shared" si="518"/>
        <v/>
      </c>
      <c r="CP216" s="592" t="str">
        <f t="shared" si="519"/>
        <v/>
      </c>
      <c r="CQ216" s="248" t="str">
        <f t="shared" si="572"/>
        <v/>
      </c>
      <c r="CR216" s="100"/>
      <c r="CS216" s="250" t="str">
        <f t="shared" si="520"/>
        <v/>
      </c>
      <c r="CT216" s="250" t="str">
        <f t="shared" si="573"/>
        <v/>
      </c>
      <c r="CU216" s="250" t="str">
        <f t="shared" si="574"/>
        <v/>
      </c>
      <c r="CV216" s="250" t="str">
        <f t="shared" si="575"/>
        <v/>
      </c>
      <c r="CW216" s="250" t="str">
        <f t="shared" si="576"/>
        <v/>
      </c>
      <c r="CX216" s="250" t="str">
        <f t="shared" si="521"/>
        <v/>
      </c>
      <c r="CY216" s="250" t="str">
        <f t="shared" si="522"/>
        <v/>
      </c>
      <c r="CZ216" s="250" t="str">
        <f t="shared" si="523"/>
        <v/>
      </c>
      <c r="DA216" s="250" t="str">
        <f t="shared" si="524"/>
        <v/>
      </c>
      <c r="DB216" s="250" t="str">
        <f t="shared" si="525"/>
        <v/>
      </c>
      <c r="DC216" s="250" t="str">
        <f t="shared" si="526"/>
        <v/>
      </c>
      <c r="DD216" s="250" t="str">
        <f t="shared" si="527"/>
        <v/>
      </c>
      <c r="DE216" s="250" t="str">
        <f t="shared" si="528"/>
        <v/>
      </c>
      <c r="DF216" s="250" t="str">
        <f t="shared" si="529"/>
        <v/>
      </c>
      <c r="DG216" s="250" t="str">
        <f t="shared" si="530"/>
        <v/>
      </c>
      <c r="DH216" s="250" t="str">
        <f t="shared" si="531"/>
        <v/>
      </c>
      <c r="DI216" s="250" t="str">
        <f t="shared" si="532"/>
        <v/>
      </c>
      <c r="DJ216" s="250" t="str">
        <f t="shared" si="533"/>
        <v/>
      </c>
      <c r="DK216" s="250" t="str">
        <f t="shared" si="534"/>
        <v/>
      </c>
      <c r="DL216" s="250" t="str">
        <f t="shared" si="535"/>
        <v/>
      </c>
      <c r="DM216" s="250" t="str">
        <f>IF(CD216="ERROR", "ERROR", IF(AND(OR(Y216=$DM$6, Y216='Lookup Tables'!$AD$21, Y216='Lookup Tables'!$AD$22), E216="Interior"), BJ216, ""))</f>
        <v/>
      </c>
      <c r="DN216" s="250" t="str">
        <f>IF(CD216="ERROR", "ERROR", IF(AND(OR(Y216=$DM$6, Y216='Lookup Tables'!$AD$21, Y216='Lookup Tables'!$AD$22), E216="Exterior"), BJ216, ""))</f>
        <v/>
      </c>
      <c r="DO216" s="100"/>
      <c r="DP216" s="250" t="str">
        <f t="shared" si="536"/>
        <v/>
      </c>
      <c r="DQ216" s="250" t="str">
        <f t="shared" si="577"/>
        <v/>
      </c>
      <c r="DR216" s="250" t="str">
        <f t="shared" si="578"/>
        <v/>
      </c>
      <c r="DS216" s="250" t="str">
        <f t="shared" si="579"/>
        <v/>
      </c>
      <c r="DT216" s="250" t="str">
        <f t="shared" si="580"/>
        <v/>
      </c>
      <c r="DU216" s="250" t="str">
        <f t="shared" si="537"/>
        <v/>
      </c>
      <c r="DV216" s="250" t="str">
        <f t="shared" si="538"/>
        <v/>
      </c>
      <c r="DW216" s="250" t="str">
        <f t="shared" si="539"/>
        <v/>
      </c>
      <c r="DX216" s="250" t="str">
        <f t="shared" si="540"/>
        <v/>
      </c>
      <c r="DY216" s="250" t="str">
        <f t="shared" si="541"/>
        <v/>
      </c>
      <c r="DZ216" s="250" t="str">
        <f t="shared" si="542"/>
        <v/>
      </c>
      <c r="EA216" s="250" t="str">
        <f t="shared" si="543"/>
        <v/>
      </c>
      <c r="EB216" s="250" t="str">
        <f t="shared" si="581"/>
        <v/>
      </c>
      <c r="EC216" s="250" t="str">
        <f t="shared" si="544"/>
        <v/>
      </c>
      <c r="ED216" s="250" t="str">
        <f t="shared" si="545"/>
        <v/>
      </c>
      <c r="EE216" s="250" t="str">
        <f t="shared" si="546"/>
        <v/>
      </c>
      <c r="EF216" s="250" t="str">
        <f t="shared" si="547"/>
        <v/>
      </c>
      <c r="EG216" s="250" t="str">
        <f t="shared" si="548"/>
        <v/>
      </c>
      <c r="EH216" s="250" t="str">
        <f>IF(CD216="ERROR", "ERROR", IF(AND(OR($EH$6=Y216, Y216='Lookup Tables'!$AD$21, Y216='Lookup Tables'!$AD$22),E216="Interior"), SUM(BP216:BP216), ""))</f>
        <v/>
      </c>
      <c r="EI216" s="250" t="str">
        <f>IF(CD216="ERROR", "ERROR", IF(AND(OR($EH$6=Y216, Y216='Lookup Tables'!$AD$21, Y216='Lookup Tables'!$AD$22),E216="Exterior"), SUM(BP216:BP216), ""))</f>
        <v/>
      </c>
      <c r="EJ216" s="109"/>
      <c r="EK216" s="485" t="str">
        <f t="shared" si="549"/>
        <v/>
      </c>
      <c r="EL216" s="252" t="str">
        <f t="shared" si="582"/>
        <v/>
      </c>
      <c r="EM216" s="252" t="str">
        <f t="shared" si="583"/>
        <v/>
      </c>
      <c r="EN216" s="252" t="str">
        <f t="shared" si="584"/>
        <v/>
      </c>
      <c r="EO216" s="252" t="str">
        <f t="shared" si="585"/>
        <v/>
      </c>
      <c r="EP216" s="252" t="str">
        <f t="shared" si="586"/>
        <v/>
      </c>
      <c r="EQ216" s="252" t="str">
        <f t="shared" si="587"/>
        <v/>
      </c>
      <c r="ER216" s="252" t="str">
        <f t="shared" si="588"/>
        <v/>
      </c>
      <c r="ES216" s="252" t="str">
        <f t="shared" si="589"/>
        <v/>
      </c>
      <c r="ET216" s="252" t="str">
        <f t="shared" si="590"/>
        <v/>
      </c>
      <c r="EU216" s="252" t="str">
        <f t="shared" si="591"/>
        <v/>
      </c>
      <c r="EV216" s="252" t="str">
        <f t="shared" si="592"/>
        <v/>
      </c>
      <c r="EW216" s="252" t="str">
        <f t="shared" si="593"/>
        <v/>
      </c>
      <c r="EX216" s="252" t="str">
        <f t="shared" si="594"/>
        <v/>
      </c>
      <c r="EY216" s="252" t="str">
        <f t="shared" si="595"/>
        <v/>
      </c>
      <c r="EZ216" s="252" t="str">
        <f t="shared" si="596"/>
        <v/>
      </c>
      <c r="FA216" s="252" t="str">
        <f t="shared" si="597"/>
        <v/>
      </c>
      <c r="FB216" s="252" t="str">
        <f t="shared" si="598"/>
        <v/>
      </c>
      <c r="FC216" s="252" t="str">
        <f>IF(CD216="ERROR", "ERROR", IF(OR(V216="No Change", V216="Not DLC or Energy Star"), "", IF(AND(OR($FC$6=Y216,Y216='Lookup Tables'!$AD$21, Y216='Lookup Tables'!$AD$22),E216="Interior"), S216, "")))</f>
        <v/>
      </c>
      <c r="FD216" s="252" t="str">
        <f t="shared" si="599"/>
        <v/>
      </c>
      <c r="FE216" s="101"/>
      <c r="FF216" s="579" t="str" cm="1">
        <f t="array" ref="FF216">IFERROR(IF(OR(BQ216&lt;=0,AQ216&lt;20,AND(V216="Exit Signs",AN216&gt;0)),"",IF(AND(AQ216&gt;=20,AN216='Lookup Tables'!$R$101),'Lookup Tables'!$U$101*BQ216,AP216*LOOKUP(2,1/((AN216='Lookup Tables'!$R$91:$R$111)*(AQ216&gt;='Lookup Tables'!$S$91:$S$111)*(AQ216&lt;='Lookup Tables'!$T$91:$T$111)),'Lookup Tables'!$U$91:$U$111))),"")</f>
        <v/>
      </c>
      <c r="FG216" s="579"/>
      <c r="FH216" s="579"/>
      <c r="FI216" s="253" t="str">
        <f>IFERROR(ROUND(IF(CD216="ERROR", "ERROR", IF(AND($FI$7=X216,E216="Interior"),VLOOKUP(W216, 'Lookup Tables'!$AI$6:$AM$102, 5, FALSE)*BP216, "")), 2), "")</f>
        <v/>
      </c>
      <c r="FJ216" s="253" t="str">
        <f>IFERROR(ROUND(IF(CD216="ERROR", "ERROR", IF(AND($FI$7=X216,E216="Exterior"),VLOOKUP(W216, 'Lookup Tables'!$AI$6:$AM$102, 5, FALSE)*BP216, "")), 2), "")</f>
        <v/>
      </c>
      <c r="FK216" s="253" t="str">
        <f>IFERROR(ROUND(IF(CD216="ERROR", "ERROR", IF(AND($FK$7=X216,E216="Interior"),VLOOKUP(W216, 'Lookup Tables'!$AI$6:$AM$102, 5, FALSE)*BP216, "")), 2), "")</f>
        <v/>
      </c>
      <c r="FL216" s="253" t="str">
        <f>IFERROR(ROUND(IF(CD216="ERROR", "ERROR", IF(AND($FK$7=X216,E216="Exterior"),VLOOKUP(W216, 'Lookup Tables'!$AI$6:$AM$102, 5, FALSE)*BP216, "")), 2), "")</f>
        <v/>
      </c>
      <c r="FM216" s="253" t="str">
        <f>IFERROR(ROUND(IF(CD216="ERROR", "ERROR", IF(AND($FM$6=Y216,E216="Interior"), IF(GB216=0, VLOOKUP(W216, 'Lookup Tables'!$AI$6:$AM$102, 5, FALSE)*BP216, IF(VLOOKUP(W216, 'Lookup Tables'!$AI$6:$AM$102, 5, FALSE)*BP216&gt;GB216*'Lighting Inventory'!S216, GB216*'Lighting Inventory'!S216,VLOOKUP(W216, 'Lookup Tables'!$AI$6:$AM$102, 5, FALSE)*BP216)), "")), 2), "")</f>
        <v/>
      </c>
      <c r="FN216" s="253" t="str">
        <f>IFERROR(ROUND(IF(CD216="ERROR", "ERROR", IF(AND($FM$6=Y216,E216="Exterior"), IF(GB216=0, VLOOKUP(W216, 'Lookup Tables'!$AI$6:$AM$102, 5, FALSE)*BP216, IF(VLOOKUP(W216, 'Lookup Tables'!$AI$6:$AM$102, 5, FALSE)*BP216&gt;GB216*'Lighting Inventory'!S216, GB216*'Lighting Inventory'!S216,VLOOKUP(W216, 'Lookup Tables'!$AI$6:$AM$102, 5, FALSE)*BP216)), "")), 2), "")</f>
        <v/>
      </c>
      <c r="FO216" s="253" t="str">
        <f>IFERROR(ROUND(IF(CD216="ERROR", "ERROR", IF(AND($FO$6=Y216,E216="Interior"),VLOOKUP(W216, 'Lookup Tables'!$AI$6:$AM$102, 5, FALSE)*'Lighting Inventory'!AI216, "")), 2), "")</f>
        <v/>
      </c>
      <c r="FP216" s="253" t="str">
        <f>IFERROR(ROUND(IF(CD216="ERROR", "ERROR", IF(AND($FO$6=Y216,E216="Exterior"),VLOOKUP(W216, 'Lookup Tables'!$AI$6:$AM$102, 5, FALSE)*'Lighting Inventory'!AI216, "")), 2), "")</f>
        <v/>
      </c>
      <c r="FQ216" s="253" t="str">
        <f>IFERROR(ROUND(IF(CD216="ERROR", "ERROR", IF(AND($FQ$6=Y216,E216="Interior", BU216="Y"), VLOOKUP('Lighting Inventory'!W216, 'Lookup Tables'!$AI$6:$AM$102, 5, FALSE)*'Lighting Inventory'!S216, IF(AND($FQ$7=Y216,E216="Interior", BU216="N"), 0.025*CD216, ""))), 2), "")</f>
        <v/>
      </c>
      <c r="FR216" s="253" t="str">
        <f>IFERROR(ROUND(IF(CD216="ERROR", "ERROR", IF(AND($FQ$6=Y216,E216="Exterior"), VLOOKUP('Lighting Inventory'!W216, 'Lookup Tables'!$AI$6:$AM$102, 5, FALSE)*'Lighting Inventory'!S216, "")), 2), "")</f>
        <v/>
      </c>
      <c r="FS216" s="253" t="str">
        <f>IFERROR(ROUND(IF(CD216="ERROR", "ERROR", IF(AND($FS$6=Y216,E216="Exterior"), IF(GB216=0, VLOOKUP(W216, 'Lookup Tables'!$AI$6:$AM$102, 5, FALSE)*BP216, IF(VLOOKUP(W216, 'Lookup Tables'!$AI$6:$AM$102, 5, FALSE)*BP216&gt;GB216*'Lighting Inventory'!S216, GB216*'Lighting Inventory'!S216,VLOOKUP(W216, 'Lookup Tables'!$AI$6:$AM$102, 5, FALSE)*BP216)), "")), 2), "")</f>
        <v/>
      </c>
      <c r="FT216" s="253" t="str">
        <f>IFERROR(ROUND(IF(CD216="ERROR", "ERROR", IF(AND($FT$6=Y216,E216="Interior"), IF(GB216=0, VLOOKUP(W216, 'Lookup Tables'!$AI$6:$AM$102, 5, FALSE)*BP216, IF(VLOOKUP(W216, 'Lookup Tables'!$AI$6:$AM$102, 5, FALSE)*BP216&gt;GB216*'Lighting Inventory'!S216, GB216*'Lighting Inventory'!S216,VLOOKUP(W216, 'Lookup Tables'!$AI$6:$AM$102, 5, FALSE)*BP216)), "")), 2), "")</f>
        <v/>
      </c>
      <c r="FU216" s="253" t="str">
        <f>IFERROR(ROUND(IF(CD216="ERROR", "ERROR", IF(AND(Y216=$FU$6, E216="Interior"), IF(BS216="N", 'Lookup Tables'!$AM$101*BP216, VLOOKUP(W216, 'Lookup Tables'!$AI$6:$AM$102, 5, FALSE)*S216*AD216), "")), 2), "")</f>
        <v/>
      </c>
      <c r="FV216" s="253" t="str">
        <f>IFERROR(ROUND(IF(CD216="ERROR", "ERROR", IF(AND(Y216=$FU$6, E216="Exterior"), IF(BS216="N", 'Lookup Tables'!$AM$101*BP216, VLOOKUP(W216, 'Lookup Tables'!$AI$6:$AM$102, 5, FALSE)*S216*AD216), "")), 2), "")</f>
        <v/>
      </c>
      <c r="FW216" s="253" t="str">
        <f>IFERROR(ROUND(IF(CD216="ERROR", "ERROR", IF($FW$6=Y216, IF(BS216="N", 'Lookup Tables'!$AM$101*BP216, MIN((VLOOKUP(W216, 'Lookup Tables'!$AI$6:$AM$102, 5, FALSE)*BP216),GB216*AJ216)), "")), 2), "")</f>
        <v/>
      </c>
      <c r="FX216" s="253" t="str">
        <f>IFERROR(ROUND(IF(CD216="ERROR", "ERROR", IF(AND($FX$6=Y216, E216="Interior"), IF(VLOOKUP(W216, 'Lookup Tables'!$AI$6:$AM$102, 5, FALSE)*BP216&gt;'Lookup Tables'!$AQ$97*'Lighting Inventory'!S216,'Lighting Inventory'!S216*'Lookup Tables'!$AQ$97,VLOOKUP(W216, 'Lookup Tables'!$AI$6:$AM$102, 5, FALSE)*BP216), "")), 2), "")</f>
        <v/>
      </c>
      <c r="FY216" s="253" t="str">
        <f>IFERROR(ROUND(IF(CD216="ERROR", "ERROR", IF(AND($FX$6=Y216, E216="Exterior"), IF(VLOOKUP(W216, 'Lookup Tables'!$AI$6:$AM$102, 5, FALSE)*BP216&gt;'Lookup Tables'!$AQ$97*'Lighting Inventory'!S216,'Lighting Inventory'!S216*'Lookup Tables'!$AQ$97,VLOOKUP(W216, 'Lookup Tables'!$AI$6:$AM$102, 5, FALSE)*BP216), "")), 2), "")</f>
        <v/>
      </c>
      <c r="FZ216" s="253" t="str">
        <f>IFERROR(ROUND(IF(CD216="ERROR", "ERROR", IF(AND($FZ$6=Y216, E216="Interior"), IF(AND(OR(W216="Refrigerated Case Lighting with Doors", W216="Freezer Case Lighting"),Y216="Custom - Process Improvement"),CD216*'Lookup Tables'!$AM$101, IF(B216="Retrofit", IF(VLOOKUP(IF(V216="Custom", V216, W216), 'Lookup Tables'!$AI$6:$AM$102, 5, FALSE)*BP216&gt;GE216, GE216, VLOOKUP(IF(V216="Custom", V216, W216), 'Lookup Tables'!$AI$6:$AM$102, 5, FALSE)*BP216), IF(VLOOKUP(IF(V216="Custom", V216, W216), 'Lookup Tables'!$AI$114:$AM$154, 5, FALSE)*BP216&gt;GE216, GE216, VLOOKUP(IF(V216="Custom", V216, W216), 'Lookup Tables'!$AI$114:$AM$154, 5, FALSE)*BP216))), "")), 2),"")</f>
        <v/>
      </c>
      <c r="GA216" s="253" t="str">
        <f>IFERROR(ROUND(IF(CD216="ERROR", "ERROR", IF(AND($FZ$6=Y216, E216="Exterior"), IF(B216="Retrofit", IF(VLOOKUP(IF(V216="Custom", V216, W216), 'Lookup Tables'!$AI$6:$AM$102, 5, FALSE)*BP216&gt;GE216, GE216, VLOOKUP(IF(V216="Custom", V216, W216), 'Lookup Tables'!$AI$6:$AM$102, 5, FALSE)*BP216), IF(VLOOKUP(IF(V216="Custom", V216, W216), 'Lookup Tables'!$AI$114:$AM$154, 5, FALSE)*BP216&gt;GE216, GE216, VLOOKUP(IF(V216="Custom", V216, W216), 'Lookup Tables'!$AI$114:$AM$154, 5, FALSE)*BP216)), "")), 2),"")</f>
        <v/>
      </c>
      <c r="GB216" s="254" t="str">
        <f t="array" ref="GB216">IF(B216="","",IF(OR(V216="Custom",V216="No Change"),0,IF(B216="Retrofit", INDEX('Lookup Tables'!$AH$6:$AQ$102,MATCH(1,('Lookup Tables'!$AH$6:$AH$102='Lighting Inventory'!V216)*('Lookup Tables'!$AI$6:$AI$102='Lighting Inventory'!W216),FALSE),10),INDEX('Lookup Tables'!$AH$114:$AQ$154,MATCH(1,('Lookup Tables'!$AH$114:$AH$154='Lighting Inventory'!V216)*('Lookup Tables'!$AI$114:$AI$154='Lighting Inventory'!W216),FALSE),10))))</f>
        <v/>
      </c>
      <c r="GC216" s="255" t="str">
        <f t="shared" si="550"/>
        <v/>
      </c>
      <c r="GD216" s="250" t="str">
        <f t="shared" si="551"/>
        <v/>
      </c>
      <c r="GE216" s="253" t="str">
        <f>IFERROR(IF(AND(AF216="", 'General Information'!$F$18="No"),"", IF(AF216="", ((GD216/$CD$266)*$CF$266)*0.5, AF216*S216*0.5)), "")</f>
        <v/>
      </c>
      <c r="GF216" s="255" t="str">
        <f>IF(AND('General Information'!$F$19="", 'General Information'!$F$18="Yes",AF216="",BW216="Y"), "Y", "N")</f>
        <v>N</v>
      </c>
      <c r="GG216" s="255" t="s">
        <v>2946</v>
      </c>
      <c r="GH216" s="255" t="str">
        <f>IFERROR(IF(B216="", "", VLOOKUP(J216, 'Fixture Identities'!$A$6:$N$908, 14, FALSE)), "")</f>
        <v/>
      </c>
      <c r="GI216" s="389" t="str">
        <f>IF(OR(B216="", V216="", W216=""), "", IF(AND(OR(M216='Lookup Tables'!$R$18, M216='Lookup Tables'!$R$19, M216='Lookup Tables'!$R$20, M216='Lookup Tables'!$R$21, M216='Lookup Tables'!$R$22), OR(AN216='Lookup Tables'!$R$17, AN216='Lookup Tables'!$R$17, AN216="")), "Y", "N"))</f>
        <v/>
      </c>
      <c r="GJ216" s="255" t="str">
        <f t="shared" si="552"/>
        <v/>
      </c>
      <c r="GK216" s="255" t="str">
        <f t="shared" si="553"/>
        <v/>
      </c>
      <c r="GL216" s="255" t="str">
        <f t="shared" si="554"/>
        <v/>
      </c>
      <c r="GM216" s="255" t="str">
        <f>IF(AN216="", "", IF(AND(IF(ISNA(VLOOKUP(AN216,'Lookup Tables'!$R$18:$R$22,1,FALSE)), "N", "Y")="Y", E216="Exterior"), "Y", "N"))</f>
        <v/>
      </c>
      <c r="GN216" s="395"/>
      <c r="GO216" s="428">
        <f t="shared" si="600"/>
        <v>0</v>
      </c>
      <c r="GP216" s="428">
        <f t="shared" si="603"/>
        <v>0</v>
      </c>
      <c r="GQ216" s="428">
        <f t="shared" si="601"/>
        <v>0</v>
      </c>
      <c r="GR216" s="428">
        <f t="shared" si="602"/>
        <v>0</v>
      </c>
    </row>
    <row r="217" spans="1:200" s="103" customFormat="1" ht="13.5" customHeight="1" x14ac:dyDescent="0.2">
      <c r="A217" s="272">
        <v>207</v>
      </c>
      <c r="B217" s="110"/>
      <c r="C217" s="110"/>
      <c r="D217" s="110"/>
      <c r="E217" s="110"/>
      <c r="F217" s="110"/>
      <c r="G217" s="110"/>
      <c r="H217" s="110"/>
      <c r="I217" s="29"/>
      <c r="J217" s="29"/>
      <c r="K217" s="272" t="str">
        <f>IFERROR(IF(OR(VLOOKUP(J217, 'Fixture Identities'!$A$6:$L$1023, 3, FALSE)="T12 Linear Fluorescent", VLOOKUP(J217, 'Fixture Identities'!$A$6:$L$1023, 3, FALSE)="T12 U-Tube Fluorescent"), VLOOKUP(VLOOKUP(J217, 'Fixture Identities'!$A$6:$L$1023, 11, FALSE), 'Fixture Identities'!$A$6:$L$1023, 10, FALSE), VLOOKUP(J217, 'Fixture Identities'!$A$6:$L$1023, 10, FALSE)), "")</f>
        <v/>
      </c>
      <c r="L217" s="270" t="str">
        <f t="shared" si="605"/>
        <v/>
      </c>
      <c r="M217" s="110"/>
      <c r="N217" s="110"/>
      <c r="O217" s="110"/>
      <c r="P217" s="272" t="str">
        <f>IFERROR(IF(OR(B217="Retrofit",B217=""),"",IF('Lighting Inventory'!E217="Exterior",VLOOKUP('Lighting Inventory'!N217,'Lookup Tables'!$B$83:$F$103,5,FALSE),IF(N217="Other - Please Estimate EFLH and CFs","Contact Prog. Rep.","ft^2"))), "")</f>
        <v/>
      </c>
      <c r="Q217" s="270" t="str">
        <f>IFERROR(IF(AND(B217="New Construction",E217="Interior",$F$5="Space-by-Space"),VLOOKUP('Lighting Inventory'!N217,'Lookup Tables'!$N$6:$O$97,2,FALSE),IF(AND(B217="New Construction",E217="Exterior"),VLOOKUP(N217,'Lookup Tables'!$B$83:$F$103,2,FALSE),IF(AND(B217="New Construction",'Lighting Inventory'!E217="Interior", $F$5="Building Area"),VLOOKUP(F217,'Lookup Tables'!$A$6:$J$59,10,FALSE),""))), "")</f>
        <v/>
      </c>
      <c r="R217" s="270" t="str">
        <f>IFERROR(IF(P217="Contact Prog. Rep.", "ERROR", IF(OR(B217="",B217="Retrofit"),"",IF(N217="Automated teller machines", ('Lookup Tables'!$A$82:$E$100+('Lighting Inventory'!O217-1)*'Lookup Tables'!$A$82:$E$100)/1000, (Q217*O217)/1000))), "")</f>
        <v/>
      </c>
      <c r="S217" s="595"/>
      <c r="T217" s="105" t="str">
        <f t="shared" si="555"/>
        <v/>
      </c>
      <c r="U217" s="105" t="str">
        <f>IF(S217="","",COUNT($S$11:S217))</f>
        <v/>
      </c>
      <c r="V217" s="111"/>
      <c r="W217" s="112"/>
      <c r="X217" s="105" t="str">
        <f t="shared" si="556"/>
        <v/>
      </c>
      <c r="Y217" s="105" t="str">
        <f t="array" ref="Y217">IF(AND(OR(W217="Freezer Case Lighting", W217="Refrigerated Case Lighting with Doors"), 'General Information'!$X$18="LCI"),'Lookup Tables'!$Y$34, IF(V217="Custom", VLOOKUP(W217, 'Fixture Identities'!$A$974:$M$1023, 13, FALSE), IF(V217="No Change",'Lookup Tables'!$Y$29,IF(OR(V217="",W217=""),"",IF(AND(S217=0,S217&lt;I217,B217="Retrofit"),'Lookup Tables'!$Y$25, IF(B217="Retrofit", INDEX('Lookup Tables'!$AH$6:$AP$102, MATCH(1, ('Lookup Tables'!$AH$6:$AH$102=V217)*('Lookup Tables'!$AI$6:$AI$102=W217), 0), IF('Lighting Inventory'!E217="Interior", 4, 5)), INDEX('Lookup Tables'!$AH$114:$AP$154, MATCH(1, ('Lookup Tables'!$AH$114:$AH$154=V217)*('Lookup Tables'!$AI$114:$AI$154=W217), 0), IF('Lighting Inventory'!E217="Interior", 4, 5))))))))</f>
        <v/>
      </c>
      <c r="Z217" s="105" t="str">
        <f>IFERROR(INDEX('Lookup Tables'!$AH$158:$AH$172,MATCH('Lighting Inventory'!Y217,'Lookup Tables'!$AI$158:$AI$172,0)),"")</f>
        <v/>
      </c>
      <c r="AA217" s="105" t="str">
        <f>IF(AP217&gt;0,INDEX('Lookup Tables'!$AK$158:$AK$172,MATCH('Lighting Inventory'!Y217,'Lookup Tables'!$AI$158:$AI$172,0)),'Lighting Inventory'!Y217)</f>
        <v/>
      </c>
      <c r="AB217" s="105" t="str">
        <f t="array" ref="AB217">IF(V217="Custom", "Custom", IF(V217="", "", IF(V217="Not DLC or Energy Star", "General", IF(B217="New Construction", INDEX('Lookup Tables'!$AH$114:$AP$154,MATCH(1,('Lookup Tables'!$AH$114:$AH$154='Lighting Inventory'!V217)*('Lookup Tables'!$AI$114:$AI$154='Lighting Inventory'!W217),FALSE),8), INDEX('Lookup Tables'!$AH$6:$AP$102,MATCH(1,('Lookup Tables'!$AH$6:$AH$102='Lighting Inventory'!V217)*('Lookup Tables'!$AI$6:$AI$102='Lighting Inventory'!W217),FALSE),8)))))</f>
        <v/>
      </c>
      <c r="AC217" s="272" t="str">
        <f>IF(W217="","",IF(V217="Custom",CONCATENATE("$",'Lookup Tables'!$AM$101," ",'Lookup Tables'!$AN$101),CONCATENATE("$",INDEX('Lookup Tables'!$AM$6:$AM$102,MATCH('Lighting Inventory'!W217,'Lookup Tables'!$AI$6:$AI$102,0))," ",INDEX('Lookup Tables'!$AN$6:$AN$102,MATCH('Lighting Inventory'!W217,'Lookup Tables'!$AI$6:$AI$102,0)))))</f>
        <v/>
      </c>
      <c r="AD217" s="72"/>
      <c r="AE217" s="29"/>
      <c r="AF217" s="379"/>
      <c r="AG217" s="370" t="str">
        <f t="shared" si="504"/>
        <v/>
      </c>
      <c r="AH217" s="370" t="str">
        <f t="shared" si="557"/>
        <v/>
      </c>
      <c r="AI217" s="29"/>
      <c r="AJ217" s="29"/>
      <c r="AK217" s="110"/>
      <c r="AL217" s="375" t="str">
        <f>IF(OR(B217="", V217="", W217=""), "", IF(V217="No Change", K217, IF(V217="Remove Fixture", 0, IF(V217="Custom",VLOOKUP(W217,'Fixture Identities'!$A$6:$K$1023,10,FALSE),IF(AE217="", "← ENTER POST WATTS", 'Lighting Inventory'!AE217)))))</f>
        <v/>
      </c>
      <c r="AM217" s="376" t="str">
        <f t="shared" si="505"/>
        <v/>
      </c>
      <c r="AN217" s="29"/>
      <c r="AO217" s="671"/>
      <c r="AP217" s="29"/>
      <c r="AQ217" s="29"/>
      <c r="AR217" s="29"/>
      <c r="AS217" s="272" t="str">
        <f t="shared" si="558"/>
        <v/>
      </c>
      <c r="AT217" s="270" t="str">
        <f t="shared" si="506"/>
        <v/>
      </c>
      <c r="AU217" s="88" t="str">
        <f t="shared" si="606"/>
        <v/>
      </c>
      <c r="AV217" s="29"/>
      <c r="AW217" s="73"/>
      <c r="AX217" s="271" t="str">
        <f>IF(AND(AV217="Applicant",OR(AW217="", AW217="Use Default Facility Hours")),"← Choose Schedule",IF(F217="","",IF(W217="LED Exit Signs",8760,IF(OR(AV217="Prescribed",AV217=""),VLOOKUP(F217,'Lookup Tables'!$A$6:$G$59,IF(AB217="General", 6, 3),FALSE),VLOOKUP(AW217,'Lookup Tables'!$S$36:$U$43,2,FALSE)))))</f>
        <v/>
      </c>
      <c r="AY217" s="88" t="str">
        <f t="shared" si="507"/>
        <v/>
      </c>
      <c r="AZ217" s="270" t="str">
        <f>IFERROR(IF(F217="", "", IF(W217="LED Exit Signs", 1, IF(AV217="Applicant",VLOOKUP(AW217, 'Lookup Tables'!$S$36:$U$43,3, FALSE), VLOOKUP('Lighting Inventory'!F217, 'Lookup Tables'!$A$6:$H$59, IF('Lighting Inventory'!AB217="General",7,4), FALSE)))), "")</f>
        <v/>
      </c>
      <c r="BA217" s="522" t="str">
        <f>IFERROR(IF(F217="", "", IF(W217="LED Exit Signs", 1, VLOOKUP('Lighting Inventory'!F217, 'Lookup Tables'!$A$6:$H$59, IF('Lighting Inventory'!AB217="General",8,5), FALSE))), "")</f>
        <v/>
      </c>
      <c r="BB217" s="270" t="str">
        <f>IF(G217="", "", IF(E217="Exterior", 0, IF('Lighting Inventory'!G217="Air Conditioned", VLOOKUP(H217, 'Lookup Tables'!$R$6:$T$13, 2, FALSE), VLOOKUP('Lighting Inventory'!G217, 'Lookup Tables'!$R$6:$T$13, 2, FALSE))))</f>
        <v/>
      </c>
      <c r="BC217" s="522" t="str">
        <f>IF(G217="", "", IF(E217="Exterior", 0, IF('Lighting Inventory'!G217="Air Conditioned", VLOOKUP(H217, 'Lookup Tables'!$R$6:$T$13, 3, FALSE), VLOOKUP('Lighting Inventory'!G217, 'Lookup Tables'!$R$6:$T$13, 3, FALSE))))</f>
        <v/>
      </c>
      <c r="BD217" s="270" t="str">
        <f>IF(G217="", "", IF(E217="Exterior", 0, IF('Lighting Inventory'!G217="Air Conditioned", VLOOKUP(H217, 'Lookup Tables'!$R$6:$U$13, 4, FALSE), VLOOKUP('Lighting Inventory'!G217, 'Lookup Tables'!$R$6:$U$13, 4, FALSE))))</f>
        <v/>
      </c>
      <c r="BE217" s="270" t="str">
        <f>IFERROR(IF(B217="", "",  IF(B217="New Construction", VLOOKUP(F217, 'Lookup Tables'!$A$6:$K$59, 11, FALSE),IF(OR(AN217="", AN217="Light Switch"), 0, IF(OR(M217="",M217="None",V217= "LED Exit Signs"),0,_xlfn.XLOOKUP(M217,'Lookup Tables'!$R$91:$R$101,'Lookup Tables'!$V$91:$V$101))))), "")</f>
        <v/>
      </c>
      <c r="BF217" s="270" t="str">
        <f>IF(AND(OR(AN217="Light Switch",AN217=""),B217="New Construction"), VLOOKUP(F217, 'Lookup Tables'!$A$6:$K$59, 11, FALSE),IF(AN217="","",IF(B217="","",IF(OR(AN217="None",AN217="",V217="LED Exit Signs",AN217="Exterior Controls Not Eligible"),0,_xlfn.XLOOKUP(AN217,'Lookup Tables'!$R$91:$R$101,'Lookup Tables'!$V$91:$V$101)))))</f>
        <v/>
      </c>
      <c r="BG217" s="88" t="str">
        <f t="shared" si="559"/>
        <v/>
      </c>
      <c r="BH217" s="88" t="str">
        <f t="shared" si="560"/>
        <v/>
      </c>
      <c r="BI217" s="558" t="str">
        <f t="shared" si="604"/>
        <v/>
      </c>
      <c r="BJ217" s="82" t="str">
        <f t="shared" si="561"/>
        <v/>
      </c>
      <c r="BK217" s="82" t="str">
        <f t="shared" si="562"/>
        <v/>
      </c>
      <c r="BL217" s="559" t="str">
        <f t="shared" si="563"/>
        <v/>
      </c>
      <c r="BM217" s="521" t="str">
        <f t="shared" si="508"/>
        <v/>
      </c>
      <c r="BN217" s="521" t="str">
        <f t="shared" si="509"/>
        <v/>
      </c>
      <c r="BO217" s="522" t="str">
        <f t="shared" si="510"/>
        <v/>
      </c>
      <c r="BP217" s="83" t="str">
        <f t="shared" si="564"/>
        <v/>
      </c>
      <c r="BQ217" s="84" t="str">
        <f t="shared" si="565"/>
        <v/>
      </c>
      <c r="BR217" s="184" t="str">
        <f>IFERROR(IF(B217="", "", IF(OR(VLOOKUP(J217, 'Fixture Identities'!$A$6:$L$1023, 3, FALSE)="T12 Linear Fluorescent",VLOOKUP(J217, 'Fixture Identities'!$A$6:$L$1023, 3, FALSE)="T12 U-Tube Fluorescent"), "Y", "N")), "N")</f>
        <v/>
      </c>
      <c r="BS217" s="184" t="str">
        <f t="array" ref="BS217">IFERROR(IF(OR(B217="", V217="", W217=""), "", IF(V217="Custom", "N", IF(OR(W217="Freezer Case Lighting", W217="Refrigerated Case Lighting with Doors"), BT217, IF(B217="Retrofit", INDEX('Lookup Tables'!$AH$6:$AT$102,MATCH(1,('Lookup Tables'!$AH$6:$AH$102=V217)*('Lookup Tables'!$AI$6:$AI$102=W217),FALSE),IF(VLOOKUP(J217, 'Fixture Identities'!$A$6:$B$1023, 2, FALSE)="Incandescent",12, 13)), INDEX('Lookup Tables'!$AH$114:$AS$154,MATCH(1,('Lookup Tables'!$AH$114:$AH$154=V217)*('Lookup Tables'!$AI$114:$AI$154=W217),FALSE),12))))), "N")</f>
        <v/>
      </c>
      <c r="BT217" s="184" t="str">
        <f>IF(J217="", "", IF(AND(OR(W217="Freezer case Lighting", W217="Refrigerated Case Lighting with Doors"),'General Information'!$X$18="LCI"), "N", IF(OR(VLOOKUP(J217, 'Fixture Identities'!$A$6:$B$1023, 2, FALSE)="T12 EPACT/EISA Baseline", VLOOKUP(J217, 'Fixture Identities'!$A$6:$B$1023, 2, FALSE)="Linear Fluorescent", VLOOKUP(J217, 'Fixture Identities'!$A$6:$B$1023, 2, FALSE)="U-Tube Fluorescent"), "Y", "N")))</f>
        <v/>
      </c>
      <c r="BU217" s="184" t="str">
        <f>IFERROR(IF(B217="", "", IF(VLOOKUP(J217, 'Fixture Identities'!$A$6:$B$1023, 2, FALSE)="Exit Sign", "Y", "N")), "N")</f>
        <v/>
      </c>
      <c r="BV217" s="184" t="str">
        <f>IF(V217="Exit Signs", IF(VLOOKUP(J217, 'Fixture Identities'!$A$6:$B$1023, 2, FALSE)="Exit Sign", "N", "Y"), "")</f>
        <v/>
      </c>
      <c r="BW217" s="184" t="str">
        <f t="array" ref="BW217">IFERROR(IF(B217="", "", IF(B217="New Construction", "N", INDEX('Lookup Tables'!$AH$6:$AU$102, MATCH(1, ('Lookup Tables'!$AH$6:$AH$102='Lighting Inventory'!V217)*('Lookup Tables'!$AI$6:$AI$102='Lighting Inventory'!W217), 0), 14))), "N")</f>
        <v/>
      </c>
      <c r="BX217" s="598" t="str">
        <f t="shared" si="566"/>
        <v/>
      </c>
      <c r="BY217" s="598" t="str">
        <f t="shared" si="567"/>
        <v/>
      </c>
      <c r="BZ217" s="598" t="str">
        <f t="shared" si="568"/>
        <v/>
      </c>
      <c r="CA217" s="598" t="str">
        <f t="shared" si="569"/>
        <v/>
      </c>
      <c r="CB217" s="269" t="str">
        <f t="shared" si="570"/>
        <v/>
      </c>
      <c r="CC217" s="517" t="str">
        <f t="shared" si="571"/>
        <v/>
      </c>
      <c r="CD217" s="565" t="str">
        <f t="shared" si="511"/>
        <v/>
      </c>
      <c r="CE217" s="368">
        <v>0</v>
      </c>
      <c r="CF217" s="368" t="str" cm="1">
        <f t="array" ref="CF217">IFERROR(IF(V217="Custom", "$0.1 per kWh", IF(B217="New Construction", CONCATENATE("$",INDEX('Lookup Tables'!$AH$114:$AN$154,MATCH(1,('Lookup Tables'!$AH$114:$AH$154='Lighting Inventory'!V217)*('Lookup Tables'!$AI$114:$AI$154='Lighting Inventory'!W217),FALSE),6)," ",INDEX('Lookup Tables'!$AH$114:$AN$154,MATCH(1,('Lookup Tables'!$AH$114:$AH$154='Lighting Inventory'!V217)*('Lookup Tables'!$AI$114:$AI$154='Lighting Inventory'!W217),FALSE),7)), IF(AND(BU217="N", V217="Exit Signs"), "$0.025 per kWh", CONCATENATE("$",INDEX('Lookup Tables'!$AH$6:$AN$102,MATCH(1,('Lookup Tables'!$AH$6:$AH$102='Lighting Inventory'!V217)*('Lookup Tables'!$AI$6:$AI$102='Lighting Inventory'!W217),FALSE),6)," ",INDEX('Lookup Tables'!$AH$6:$AN$102,MATCH(1,('Lookup Tables'!$AH$6:$AH$102='Lighting Inventory'!V217)*('Lookup Tables'!$AI$6:$AI$102='Lighting Inventory'!W217),FALSE),7))))), "")</f>
        <v/>
      </c>
      <c r="CG217" s="366"/>
      <c r="CH217" s="248" t="str">
        <f t="shared" si="512"/>
        <v/>
      </c>
      <c r="CI217" s="248" t="str">
        <f t="shared" si="513"/>
        <v>Select_IE</v>
      </c>
      <c r="CJ217" s="248" t="str">
        <f t="shared" si="514"/>
        <v/>
      </c>
      <c r="CK217" s="248" t="str">
        <f t="shared" si="515"/>
        <v/>
      </c>
      <c r="CL217" s="248" t="str">
        <f t="shared" si="516"/>
        <v/>
      </c>
      <c r="CM217" s="248" t="str">
        <f>IFERROR(IF(B217="", "", IF(B217="New Construction", VLOOKUP(V217, 'Lookup Tables'!$AF$114:$AG$120, 2, FALSE), VLOOKUP(V217, 'Lookup Tables'!$AD$6:$AE$25, 2, FALSE))), "")</f>
        <v/>
      </c>
      <c r="CN217" s="248" t="str">
        <f t="shared" si="517"/>
        <v/>
      </c>
      <c r="CO217" s="248" t="str">
        <f t="shared" si="518"/>
        <v/>
      </c>
      <c r="CP217" s="592" t="str">
        <f t="shared" si="519"/>
        <v/>
      </c>
      <c r="CQ217" s="248" t="str">
        <f t="shared" si="572"/>
        <v/>
      </c>
      <c r="CR217" s="100"/>
      <c r="CS217" s="250" t="str">
        <f t="shared" si="520"/>
        <v/>
      </c>
      <c r="CT217" s="250" t="str">
        <f t="shared" si="573"/>
        <v/>
      </c>
      <c r="CU217" s="250" t="str">
        <f t="shared" si="574"/>
        <v/>
      </c>
      <c r="CV217" s="250" t="str">
        <f t="shared" si="575"/>
        <v/>
      </c>
      <c r="CW217" s="250" t="str">
        <f t="shared" si="576"/>
        <v/>
      </c>
      <c r="CX217" s="250" t="str">
        <f t="shared" si="521"/>
        <v/>
      </c>
      <c r="CY217" s="250" t="str">
        <f t="shared" si="522"/>
        <v/>
      </c>
      <c r="CZ217" s="250" t="str">
        <f t="shared" si="523"/>
        <v/>
      </c>
      <c r="DA217" s="250" t="str">
        <f t="shared" si="524"/>
        <v/>
      </c>
      <c r="DB217" s="250" t="str">
        <f t="shared" si="525"/>
        <v/>
      </c>
      <c r="DC217" s="250" t="str">
        <f t="shared" si="526"/>
        <v/>
      </c>
      <c r="DD217" s="250" t="str">
        <f t="shared" si="527"/>
        <v/>
      </c>
      <c r="DE217" s="250" t="str">
        <f t="shared" si="528"/>
        <v/>
      </c>
      <c r="DF217" s="250" t="str">
        <f t="shared" si="529"/>
        <v/>
      </c>
      <c r="DG217" s="250" t="str">
        <f t="shared" si="530"/>
        <v/>
      </c>
      <c r="DH217" s="250" t="str">
        <f t="shared" si="531"/>
        <v/>
      </c>
      <c r="DI217" s="250" t="str">
        <f t="shared" si="532"/>
        <v/>
      </c>
      <c r="DJ217" s="250" t="str">
        <f t="shared" si="533"/>
        <v/>
      </c>
      <c r="DK217" s="250" t="str">
        <f t="shared" si="534"/>
        <v/>
      </c>
      <c r="DL217" s="250" t="str">
        <f t="shared" si="535"/>
        <v/>
      </c>
      <c r="DM217" s="250" t="str">
        <f>IF(CD217="ERROR", "ERROR", IF(AND(OR(Y217=$DM$6, Y217='Lookup Tables'!$AD$21, Y217='Lookup Tables'!$AD$22), E217="Interior"), BJ217, ""))</f>
        <v/>
      </c>
      <c r="DN217" s="250" t="str">
        <f>IF(CD217="ERROR", "ERROR", IF(AND(OR(Y217=$DM$6, Y217='Lookup Tables'!$AD$21, Y217='Lookup Tables'!$AD$22), E217="Exterior"), BJ217, ""))</f>
        <v/>
      </c>
      <c r="DO217" s="100"/>
      <c r="DP217" s="250" t="str">
        <f t="shared" si="536"/>
        <v/>
      </c>
      <c r="DQ217" s="250" t="str">
        <f t="shared" si="577"/>
        <v/>
      </c>
      <c r="DR217" s="250" t="str">
        <f t="shared" si="578"/>
        <v/>
      </c>
      <c r="DS217" s="250" t="str">
        <f t="shared" si="579"/>
        <v/>
      </c>
      <c r="DT217" s="250" t="str">
        <f t="shared" si="580"/>
        <v/>
      </c>
      <c r="DU217" s="250" t="str">
        <f t="shared" si="537"/>
        <v/>
      </c>
      <c r="DV217" s="250" t="str">
        <f t="shared" si="538"/>
        <v/>
      </c>
      <c r="DW217" s="250" t="str">
        <f t="shared" si="539"/>
        <v/>
      </c>
      <c r="DX217" s="250" t="str">
        <f t="shared" si="540"/>
        <v/>
      </c>
      <c r="DY217" s="250" t="str">
        <f t="shared" si="541"/>
        <v/>
      </c>
      <c r="DZ217" s="250" t="str">
        <f t="shared" si="542"/>
        <v/>
      </c>
      <c r="EA217" s="250" t="str">
        <f t="shared" si="543"/>
        <v/>
      </c>
      <c r="EB217" s="250" t="str">
        <f t="shared" si="581"/>
        <v/>
      </c>
      <c r="EC217" s="250" t="str">
        <f t="shared" si="544"/>
        <v/>
      </c>
      <c r="ED217" s="250" t="str">
        <f t="shared" si="545"/>
        <v/>
      </c>
      <c r="EE217" s="250" t="str">
        <f t="shared" si="546"/>
        <v/>
      </c>
      <c r="EF217" s="250" t="str">
        <f t="shared" si="547"/>
        <v/>
      </c>
      <c r="EG217" s="250" t="str">
        <f t="shared" si="548"/>
        <v/>
      </c>
      <c r="EH217" s="250" t="str">
        <f>IF(CD217="ERROR", "ERROR", IF(AND(OR($EH$6=Y217, Y217='Lookup Tables'!$AD$21, Y217='Lookup Tables'!$AD$22),E217="Interior"), SUM(BP217:BP217), ""))</f>
        <v/>
      </c>
      <c r="EI217" s="250" t="str">
        <f>IF(CD217="ERROR", "ERROR", IF(AND(OR($EH$6=Y217, Y217='Lookup Tables'!$AD$21, Y217='Lookup Tables'!$AD$22),E217="Exterior"), SUM(BP217:BP217), ""))</f>
        <v/>
      </c>
      <c r="EJ217" s="109"/>
      <c r="EK217" s="485" t="str">
        <f t="shared" si="549"/>
        <v/>
      </c>
      <c r="EL217" s="252" t="str">
        <f t="shared" si="582"/>
        <v/>
      </c>
      <c r="EM217" s="252" t="str">
        <f t="shared" si="583"/>
        <v/>
      </c>
      <c r="EN217" s="252" t="str">
        <f t="shared" si="584"/>
        <v/>
      </c>
      <c r="EO217" s="252" t="str">
        <f t="shared" si="585"/>
        <v/>
      </c>
      <c r="EP217" s="252" t="str">
        <f t="shared" si="586"/>
        <v/>
      </c>
      <c r="EQ217" s="252" t="str">
        <f t="shared" si="587"/>
        <v/>
      </c>
      <c r="ER217" s="252" t="str">
        <f t="shared" si="588"/>
        <v/>
      </c>
      <c r="ES217" s="252" t="str">
        <f t="shared" si="589"/>
        <v/>
      </c>
      <c r="ET217" s="252" t="str">
        <f t="shared" si="590"/>
        <v/>
      </c>
      <c r="EU217" s="252" t="str">
        <f t="shared" si="591"/>
        <v/>
      </c>
      <c r="EV217" s="252" t="str">
        <f t="shared" si="592"/>
        <v/>
      </c>
      <c r="EW217" s="252" t="str">
        <f t="shared" si="593"/>
        <v/>
      </c>
      <c r="EX217" s="252" t="str">
        <f t="shared" si="594"/>
        <v/>
      </c>
      <c r="EY217" s="252" t="str">
        <f t="shared" si="595"/>
        <v/>
      </c>
      <c r="EZ217" s="252" t="str">
        <f t="shared" si="596"/>
        <v/>
      </c>
      <c r="FA217" s="252" t="str">
        <f t="shared" si="597"/>
        <v/>
      </c>
      <c r="FB217" s="252" t="str">
        <f t="shared" si="598"/>
        <v/>
      </c>
      <c r="FC217" s="252" t="str">
        <f>IF(CD217="ERROR", "ERROR", IF(OR(V217="No Change", V217="Not DLC or Energy Star"), "", IF(AND(OR($FC$6=Y217,Y217='Lookup Tables'!$AD$21, Y217='Lookup Tables'!$AD$22),E217="Interior"), S217, "")))</f>
        <v/>
      </c>
      <c r="FD217" s="252" t="str">
        <f t="shared" si="599"/>
        <v/>
      </c>
      <c r="FE217" s="101"/>
      <c r="FF217" s="579" t="str" cm="1">
        <f t="array" ref="FF217">IFERROR(IF(OR(BQ217&lt;=0,AQ217&lt;20,AND(V217="Exit Signs",AN217&gt;0)),"",IF(AND(AQ217&gt;=20,AN217='Lookup Tables'!$R$101),'Lookup Tables'!$U$101*BQ217,AP217*LOOKUP(2,1/((AN217='Lookup Tables'!$R$91:$R$111)*(AQ217&gt;='Lookup Tables'!$S$91:$S$111)*(AQ217&lt;='Lookup Tables'!$T$91:$T$111)),'Lookup Tables'!$U$91:$U$111))),"")</f>
        <v/>
      </c>
      <c r="FG217" s="579"/>
      <c r="FH217" s="579"/>
      <c r="FI217" s="253" t="str">
        <f>IFERROR(ROUND(IF(CD217="ERROR", "ERROR", IF(AND($FI$7=X217,E217="Interior"),VLOOKUP(W217, 'Lookup Tables'!$AI$6:$AM$102, 5, FALSE)*BP217, "")), 2), "")</f>
        <v/>
      </c>
      <c r="FJ217" s="253" t="str">
        <f>IFERROR(ROUND(IF(CD217="ERROR", "ERROR", IF(AND($FI$7=X217,E217="Exterior"),VLOOKUP(W217, 'Lookup Tables'!$AI$6:$AM$102, 5, FALSE)*BP217, "")), 2), "")</f>
        <v/>
      </c>
      <c r="FK217" s="253" t="str">
        <f>IFERROR(ROUND(IF(CD217="ERROR", "ERROR", IF(AND($FK$7=X217,E217="Interior"),VLOOKUP(W217, 'Lookup Tables'!$AI$6:$AM$102, 5, FALSE)*BP217, "")), 2), "")</f>
        <v/>
      </c>
      <c r="FL217" s="253" t="str">
        <f>IFERROR(ROUND(IF(CD217="ERROR", "ERROR", IF(AND($FK$7=X217,E217="Exterior"),VLOOKUP(W217, 'Lookup Tables'!$AI$6:$AM$102, 5, FALSE)*BP217, "")), 2), "")</f>
        <v/>
      </c>
      <c r="FM217" s="253" t="str">
        <f>IFERROR(ROUND(IF(CD217="ERROR", "ERROR", IF(AND($FM$6=Y217,E217="Interior"), IF(GB217=0, VLOOKUP(W217, 'Lookup Tables'!$AI$6:$AM$102, 5, FALSE)*BP217, IF(VLOOKUP(W217, 'Lookup Tables'!$AI$6:$AM$102, 5, FALSE)*BP217&gt;GB217*'Lighting Inventory'!S217, GB217*'Lighting Inventory'!S217,VLOOKUP(W217, 'Lookup Tables'!$AI$6:$AM$102, 5, FALSE)*BP217)), "")), 2), "")</f>
        <v/>
      </c>
      <c r="FN217" s="253" t="str">
        <f>IFERROR(ROUND(IF(CD217="ERROR", "ERROR", IF(AND($FM$6=Y217,E217="Exterior"), IF(GB217=0, VLOOKUP(W217, 'Lookup Tables'!$AI$6:$AM$102, 5, FALSE)*BP217, IF(VLOOKUP(W217, 'Lookup Tables'!$AI$6:$AM$102, 5, FALSE)*BP217&gt;GB217*'Lighting Inventory'!S217, GB217*'Lighting Inventory'!S217,VLOOKUP(W217, 'Lookup Tables'!$AI$6:$AM$102, 5, FALSE)*BP217)), "")), 2), "")</f>
        <v/>
      </c>
      <c r="FO217" s="253" t="str">
        <f>IFERROR(ROUND(IF(CD217="ERROR", "ERROR", IF(AND($FO$6=Y217,E217="Interior"),VLOOKUP(W217, 'Lookup Tables'!$AI$6:$AM$102, 5, FALSE)*'Lighting Inventory'!AI217, "")), 2), "")</f>
        <v/>
      </c>
      <c r="FP217" s="253" t="str">
        <f>IFERROR(ROUND(IF(CD217="ERROR", "ERROR", IF(AND($FO$6=Y217,E217="Exterior"),VLOOKUP(W217, 'Lookup Tables'!$AI$6:$AM$102, 5, FALSE)*'Lighting Inventory'!AI217, "")), 2), "")</f>
        <v/>
      </c>
      <c r="FQ217" s="253" t="str">
        <f>IFERROR(ROUND(IF(CD217="ERROR", "ERROR", IF(AND($FQ$6=Y217,E217="Interior", BU217="Y"), VLOOKUP('Lighting Inventory'!W217, 'Lookup Tables'!$AI$6:$AM$102, 5, FALSE)*'Lighting Inventory'!S217, IF(AND($FQ$7=Y217,E217="Interior", BU217="N"), 0.025*CD217, ""))), 2), "")</f>
        <v/>
      </c>
      <c r="FR217" s="253" t="str">
        <f>IFERROR(ROUND(IF(CD217="ERROR", "ERROR", IF(AND($FQ$6=Y217,E217="Exterior"), VLOOKUP('Lighting Inventory'!W217, 'Lookup Tables'!$AI$6:$AM$102, 5, FALSE)*'Lighting Inventory'!S217, "")), 2), "")</f>
        <v/>
      </c>
      <c r="FS217" s="253" t="str">
        <f>IFERROR(ROUND(IF(CD217="ERROR", "ERROR", IF(AND($FS$6=Y217,E217="Exterior"), IF(GB217=0, VLOOKUP(W217, 'Lookup Tables'!$AI$6:$AM$102, 5, FALSE)*BP217, IF(VLOOKUP(W217, 'Lookup Tables'!$AI$6:$AM$102, 5, FALSE)*BP217&gt;GB217*'Lighting Inventory'!S217, GB217*'Lighting Inventory'!S217,VLOOKUP(W217, 'Lookup Tables'!$AI$6:$AM$102, 5, FALSE)*BP217)), "")), 2), "")</f>
        <v/>
      </c>
      <c r="FT217" s="253" t="str">
        <f>IFERROR(ROUND(IF(CD217="ERROR", "ERROR", IF(AND($FT$6=Y217,E217="Interior"), IF(GB217=0, VLOOKUP(W217, 'Lookup Tables'!$AI$6:$AM$102, 5, FALSE)*BP217, IF(VLOOKUP(W217, 'Lookup Tables'!$AI$6:$AM$102, 5, FALSE)*BP217&gt;GB217*'Lighting Inventory'!S217, GB217*'Lighting Inventory'!S217,VLOOKUP(W217, 'Lookup Tables'!$AI$6:$AM$102, 5, FALSE)*BP217)), "")), 2), "")</f>
        <v/>
      </c>
      <c r="FU217" s="253" t="str">
        <f>IFERROR(ROUND(IF(CD217="ERROR", "ERROR", IF(AND(Y217=$FU$6, E217="Interior"), IF(BS217="N", 'Lookup Tables'!$AM$101*BP217, VLOOKUP(W217, 'Lookup Tables'!$AI$6:$AM$102, 5, FALSE)*S217*AD217), "")), 2), "")</f>
        <v/>
      </c>
      <c r="FV217" s="253" t="str">
        <f>IFERROR(ROUND(IF(CD217="ERROR", "ERROR", IF(AND(Y217=$FU$6, E217="Exterior"), IF(BS217="N", 'Lookup Tables'!$AM$101*BP217, VLOOKUP(W217, 'Lookup Tables'!$AI$6:$AM$102, 5, FALSE)*S217*AD217), "")), 2), "")</f>
        <v/>
      </c>
      <c r="FW217" s="253" t="str">
        <f>IFERROR(ROUND(IF(CD217="ERROR", "ERROR", IF($FW$6=Y217, IF(BS217="N", 'Lookup Tables'!$AM$101*BP217, MIN((VLOOKUP(W217, 'Lookup Tables'!$AI$6:$AM$102, 5, FALSE)*BP217),GB217*AJ217)), "")), 2), "")</f>
        <v/>
      </c>
      <c r="FX217" s="253" t="str">
        <f>IFERROR(ROUND(IF(CD217="ERROR", "ERROR", IF(AND($FX$6=Y217, E217="Interior"), IF(VLOOKUP(W217, 'Lookup Tables'!$AI$6:$AM$102, 5, FALSE)*BP217&gt;'Lookup Tables'!$AQ$97*'Lighting Inventory'!S217,'Lighting Inventory'!S217*'Lookup Tables'!$AQ$97,VLOOKUP(W217, 'Lookup Tables'!$AI$6:$AM$102, 5, FALSE)*BP217), "")), 2), "")</f>
        <v/>
      </c>
      <c r="FY217" s="253" t="str">
        <f>IFERROR(ROUND(IF(CD217="ERROR", "ERROR", IF(AND($FX$6=Y217, E217="Exterior"), IF(VLOOKUP(W217, 'Lookup Tables'!$AI$6:$AM$102, 5, FALSE)*BP217&gt;'Lookup Tables'!$AQ$97*'Lighting Inventory'!S217,'Lighting Inventory'!S217*'Lookup Tables'!$AQ$97,VLOOKUP(W217, 'Lookup Tables'!$AI$6:$AM$102, 5, FALSE)*BP217), "")), 2), "")</f>
        <v/>
      </c>
      <c r="FZ217" s="253" t="str">
        <f>IFERROR(ROUND(IF(CD217="ERROR", "ERROR", IF(AND($FZ$6=Y217, E217="Interior"), IF(AND(OR(W217="Refrigerated Case Lighting with Doors", W217="Freezer Case Lighting"),Y217="Custom - Process Improvement"),CD217*'Lookup Tables'!$AM$101, IF(B217="Retrofit", IF(VLOOKUP(IF(V217="Custom", V217, W217), 'Lookup Tables'!$AI$6:$AM$102, 5, FALSE)*BP217&gt;GE217, GE217, VLOOKUP(IF(V217="Custom", V217, W217), 'Lookup Tables'!$AI$6:$AM$102, 5, FALSE)*BP217), IF(VLOOKUP(IF(V217="Custom", V217, W217), 'Lookup Tables'!$AI$114:$AM$154, 5, FALSE)*BP217&gt;GE217, GE217, VLOOKUP(IF(V217="Custom", V217, W217), 'Lookup Tables'!$AI$114:$AM$154, 5, FALSE)*BP217))), "")), 2),"")</f>
        <v/>
      </c>
      <c r="GA217" s="253" t="str">
        <f>IFERROR(ROUND(IF(CD217="ERROR", "ERROR", IF(AND($FZ$6=Y217, E217="Exterior"), IF(B217="Retrofit", IF(VLOOKUP(IF(V217="Custom", V217, W217), 'Lookup Tables'!$AI$6:$AM$102, 5, FALSE)*BP217&gt;GE217, GE217, VLOOKUP(IF(V217="Custom", V217, W217), 'Lookup Tables'!$AI$6:$AM$102, 5, FALSE)*BP217), IF(VLOOKUP(IF(V217="Custom", V217, W217), 'Lookup Tables'!$AI$114:$AM$154, 5, FALSE)*BP217&gt;GE217, GE217, VLOOKUP(IF(V217="Custom", V217, W217), 'Lookup Tables'!$AI$114:$AM$154, 5, FALSE)*BP217)), "")), 2),"")</f>
        <v/>
      </c>
      <c r="GB217" s="254" t="str">
        <f t="array" ref="GB217">IF(B217="","",IF(OR(V217="Custom",V217="No Change"),0,IF(B217="Retrofit", INDEX('Lookup Tables'!$AH$6:$AQ$102,MATCH(1,('Lookup Tables'!$AH$6:$AH$102='Lighting Inventory'!V217)*('Lookup Tables'!$AI$6:$AI$102='Lighting Inventory'!W217),FALSE),10),INDEX('Lookup Tables'!$AH$114:$AQ$154,MATCH(1,('Lookup Tables'!$AH$114:$AH$154='Lighting Inventory'!V217)*('Lookup Tables'!$AI$114:$AI$154='Lighting Inventory'!W217),FALSE),10))))</f>
        <v/>
      </c>
      <c r="GC217" s="255" t="str">
        <f t="shared" si="550"/>
        <v/>
      </c>
      <c r="GD217" s="250" t="str">
        <f t="shared" si="551"/>
        <v/>
      </c>
      <c r="GE217" s="253" t="str">
        <f>IFERROR(IF(AND(AF217="", 'General Information'!$F$18="No"),"", IF(AF217="", ((GD217/$CD$266)*$CF$266)*0.5, AF217*S217*0.5)), "")</f>
        <v/>
      </c>
      <c r="GF217" s="255" t="str">
        <f>IF(AND('General Information'!$F$19="", 'General Information'!$F$18="Yes",AF217="",BW217="Y"), "Y", "N")</f>
        <v>N</v>
      </c>
      <c r="GG217" s="255" t="s">
        <v>2946</v>
      </c>
      <c r="GH217" s="255" t="str">
        <f>IFERROR(IF(B217="", "", VLOOKUP(J217, 'Fixture Identities'!$A$6:$N$908, 14, FALSE)), "")</f>
        <v/>
      </c>
      <c r="GI217" s="389" t="str">
        <f>IF(OR(B217="", V217="", W217=""), "", IF(AND(OR(M217='Lookup Tables'!$R$18, M217='Lookup Tables'!$R$19, M217='Lookup Tables'!$R$20, M217='Lookup Tables'!$R$21, M217='Lookup Tables'!$R$22), OR(AN217='Lookup Tables'!$R$17, AN217='Lookup Tables'!$R$17, AN217="")), "Y", "N"))</f>
        <v/>
      </c>
      <c r="GJ217" s="255" t="str">
        <f t="shared" si="552"/>
        <v/>
      </c>
      <c r="GK217" s="255" t="str">
        <f t="shared" si="553"/>
        <v/>
      </c>
      <c r="GL217" s="255" t="str">
        <f t="shared" si="554"/>
        <v/>
      </c>
      <c r="GM217" s="255" t="str">
        <f>IF(AN217="", "", IF(AND(IF(ISNA(VLOOKUP(AN217,'Lookup Tables'!$R$18:$R$22,1,FALSE)), "N", "Y")="Y", E217="Exterior"), "Y", "N"))</f>
        <v/>
      </c>
      <c r="GN217" s="395"/>
      <c r="GO217" s="428">
        <f t="shared" si="600"/>
        <v>0</v>
      </c>
      <c r="GP217" s="428">
        <f t="shared" si="603"/>
        <v>0</v>
      </c>
      <c r="GQ217" s="428">
        <f t="shared" si="601"/>
        <v>0</v>
      </c>
      <c r="GR217" s="428">
        <f t="shared" si="602"/>
        <v>0</v>
      </c>
    </row>
    <row r="218" spans="1:200" s="103" customFormat="1" ht="13.5" customHeight="1" x14ac:dyDescent="0.2">
      <c r="A218" s="272">
        <v>208</v>
      </c>
      <c r="B218" s="110"/>
      <c r="C218" s="110"/>
      <c r="D218" s="110"/>
      <c r="E218" s="110"/>
      <c r="F218" s="110"/>
      <c r="G218" s="110"/>
      <c r="H218" s="110"/>
      <c r="I218" s="29"/>
      <c r="J218" s="29"/>
      <c r="K218" s="272" t="str">
        <f>IFERROR(IF(OR(VLOOKUP(J218, 'Fixture Identities'!$A$6:$L$1023, 3, FALSE)="T12 Linear Fluorescent", VLOOKUP(J218, 'Fixture Identities'!$A$6:$L$1023, 3, FALSE)="T12 U-Tube Fluorescent"), VLOOKUP(VLOOKUP(J218, 'Fixture Identities'!$A$6:$L$1023, 11, FALSE), 'Fixture Identities'!$A$6:$L$1023, 10, FALSE), VLOOKUP(J218, 'Fixture Identities'!$A$6:$L$1023, 10, FALSE)), "")</f>
        <v/>
      </c>
      <c r="L218" s="270" t="str">
        <f t="shared" si="605"/>
        <v/>
      </c>
      <c r="M218" s="110"/>
      <c r="N218" s="110"/>
      <c r="O218" s="110"/>
      <c r="P218" s="272" t="str">
        <f>IFERROR(IF(OR(B218="Retrofit",B218=""),"",IF('Lighting Inventory'!E218="Exterior",VLOOKUP('Lighting Inventory'!N218,'Lookup Tables'!$B$83:$F$103,5,FALSE),IF(N218="Other - Please Estimate EFLH and CFs","Contact Prog. Rep.","ft^2"))), "")</f>
        <v/>
      </c>
      <c r="Q218" s="270" t="str">
        <f>IFERROR(IF(AND(B218="New Construction",E218="Interior",$F$5="Space-by-Space"),VLOOKUP('Lighting Inventory'!N218,'Lookup Tables'!$N$6:$O$97,2,FALSE),IF(AND(B218="New Construction",E218="Exterior"),VLOOKUP(N218,'Lookup Tables'!$B$83:$F$103,2,FALSE),IF(AND(B218="New Construction",'Lighting Inventory'!E218="Interior", $F$5="Building Area"),VLOOKUP(F218,'Lookup Tables'!$A$6:$J$59,10,FALSE),""))), "")</f>
        <v/>
      </c>
      <c r="R218" s="270" t="str">
        <f>IFERROR(IF(P218="Contact Prog. Rep.", "ERROR", IF(OR(B218="",B218="Retrofit"),"",IF(N218="Automated teller machines", ('Lookup Tables'!$A$82:$E$100+('Lighting Inventory'!O218-1)*'Lookup Tables'!$A$82:$E$100)/1000, (Q218*O218)/1000))), "")</f>
        <v/>
      </c>
      <c r="S218" s="595"/>
      <c r="T218" s="105" t="str">
        <f t="shared" si="555"/>
        <v/>
      </c>
      <c r="U218" s="105" t="str">
        <f>IF(S218="","",COUNT($S$11:S218))</f>
        <v/>
      </c>
      <c r="V218" s="111"/>
      <c r="W218" s="112"/>
      <c r="X218" s="105" t="str">
        <f t="shared" si="556"/>
        <v/>
      </c>
      <c r="Y218" s="105" t="str">
        <f t="array" ref="Y218">IF(AND(OR(W218="Freezer Case Lighting", W218="Refrigerated Case Lighting with Doors"), 'General Information'!$X$18="LCI"),'Lookup Tables'!$Y$34, IF(V218="Custom", VLOOKUP(W218, 'Fixture Identities'!$A$974:$M$1023, 13, FALSE), IF(V218="No Change",'Lookup Tables'!$Y$29,IF(OR(V218="",W218=""),"",IF(AND(S218=0,S218&lt;I218,B218="Retrofit"),'Lookup Tables'!$Y$25, IF(B218="Retrofit", INDEX('Lookup Tables'!$AH$6:$AP$102, MATCH(1, ('Lookup Tables'!$AH$6:$AH$102=V218)*('Lookup Tables'!$AI$6:$AI$102=W218), 0), IF('Lighting Inventory'!E218="Interior", 4, 5)), INDEX('Lookup Tables'!$AH$114:$AP$154, MATCH(1, ('Lookup Tables'!$AH$114:$AH$154=V218)*('Lookup Tables'!$AI$114:$AI$154=W218), 0), IF('Lighting Inventory'!E218="Interior", 4, 5))))))))</f>
        <v/>
      </c>
      <c r="Z218" s="105" t="str">
        <f>IFERROR(INDEX('Lookup Tables'!$AH$158:$AH$172,MATCH('Lighting Inventory'!Y218,'Lookup Tables'!$AI$158:$AI$172,0)),"")</f>
        <v/>
      </c>
      <c r="AA218" s="105" t="str">
        <f>IF(AP218&gt;0,INDEX('Lookup Tables'!$AK$158:$AK$172,MATCH('Lighting Inventory'!Y218,'Lookup Tables'!$AI$158:$AI$172,0)),'Lighting Inventory'!Y218)</f>
        <v/>
      </c>
      <c r="AB218" s="105" t="str">
        <f t="array" ref="AB218">IF(V218="Custom", "Custom", IF(V218="", "", IF(V218="Not DLC or Energy Star", "General", IF(B218="New Construction", INDEX('Lookup Tables'!$AH$114:$AP$154,MATCH(1,('Lookup Tables'!$AH$114:$AH$154='Lighting Inventory'!V218)*('Lookup Tables'!$AI$114:$AI$154='Lighting Inventory'!W218),FALSE),8), INDEX('Lookup Tables'!$AH$6:$AP$102,MATCH(1,('Lookup Tables'!$AH$6:$AH$102='Lighting Inventory'!V218)*('Lookup Tables'!$AI$6:$AI$102='Lighting Inventory'!W218),FALSE),8)))))</f>
        <v/>
      </c>
      <c r="AC218" s="272" t="str">
        <f>IF(W218="","",IF(V218="Custom",CONCATENATE("$",'Lookup Tables'!$AM$101," ",'Lookup Tables'!$AN$101),CONCATENATE("$",INDEX('Lookup Tables'!$AM$6:$AM$102,MATCH('Lighting Inventory'!W218,'Lookup Tables'!$AI$6:$AI$102,0))," ",INDEX('Lookup Tables'!$AN$6:$AN$102,MATCH('Lighting Inventory'!W218,'Lookup Tables'!$AI$6:$AI$102,0)))))</f>
        <v/>
      </c>
      <c r="AD218" s="72"/>
      <c r="AE218" s="29"/>
      <c r="AF218" s="379"/>
      <c r="AG218" s="370" t="str">
        <f t="shared" si="504"/>
        <v/>
      </c>
      <c r="AH218" s="370" t="str">
        <f t="shared" si="557"/>
        <v/>
      </c>
      <c r="AI218" s="29"/>
      <c r="AJ218" s="29"/>
      <c r="AK218" s="110"/>
      <c r="AL218" s="375" t="str">
        <f>IF(OR(B218="", V218="", W218=""), "", IF(V218="No Change", K218, IF(V218="Remove Fixture", 0, IF(V218="Custom",VLOOKUP(W218,'Fixture Identities'!$A$6:$K$1023,10,FALSE),IF(AE218="", "← ENTER POST WATTS", 'Lighting Inventory'!AE218)))))</f>
        <v/>
      </c>
      <c r="AM218" s="376" t="str">
        <f t="shared" si="505"/>
        <v/>
      </c>
      <c r="AN218" s="29"/>
      <c r="AO218" s="671"/>
      <c r="AP218" s="29"/>
      <c r="AQ218" s="29"/>
      <c r="AR218" s="29"/>
      <c r="AS218" s="272" t="str">
        <f t="shared" si="558"/>
        <v/>
      </c>
      <c r="AT218" s="270" t="str">
        <f t="shared" si="506"/>
        <v/>
      </c>
      <c r="AU218" s="88" t="str">
        <f t="shared" si="606"/>
        <v/>
      </c>
      <c r="AV218" s="29"/>
      <c r="AW218" s="73"/>
      <c r="AX218" s="271" t="str">
        <f>IF(AND(AV218="Applicant",OR(AW218="", AW218="Use Default Facility Hours")),"← Choose Schedule",IF(F218="","",IF(W218="LED Exit Signs",8760,IF(OR(AV218="Prescribed",AV218=""),VLOOKUP(F218,'Lookup Tables'!$A$6:$G$59,IF(AB218="General", 6, 3),FALSE),VLOOKUP(AW218,'Lookup Tables'!$S$36:$U$43,2,FALSE)))))</f>
        <v/>
      </c>
      <c r="AY218" s="88" t="str">
        <f t="shared" si="507"/>
        <v/>
      </c>
      <c r="AZ218" s="270" t="str">
        <f>IFERROR(IF(F218="", "", IF(W218="LED Exit Signs", 1, IF(AV218="Applicant",VLOOKUP(AW218, 'Lookup Tables'!$S$36:$U$43,3, FALSE), VLOOKUP('Lighting Inventory'!F218, 'Lookup Tables'!$A$6:$H$59, IF('Lighting Inventory'!AB218="General",7,4), FALSE)))), "")</f>
        <v/>
      </c>
      <c r="BA218" s="522" t="str">
        <f>IFERROR(IF(F218="", "", IF(W218="LED Exit Signs", 1, VLOOKUP('Lighting Inventory'!F218, 'Lookup Tables'!$A$6:$H$59, IF('Lighting Inventory'!AB218="General",8,5), FALSE))), "")</f>
        <v/>
      </c>
      <c r="BB218" s="270" t="str">
        <f>IF(G218="", "", IF(E218="Exterior", 0, IF('Lighting Inventory'!G218="Air Conditioned", VLOOKUP(H218, 'Lookup Tables'!$R$6:$T$13, 2, FALSE), VLOOKUP('Lighting Inventory'!G218, 'Lookup Tables'!$R$6:$T$13, 2, FALSE))))</f>
        <v/>
      </c>
      <c r="BC218" s="522" t="str">
        <f>IF(G218="", "", IF(E218="Exterior", 0, IF('Lighting Inventory'!G218="Air Conditioned", VLOOKUP(H218, 'Lookup Tables'!$R$6:$T$13, 3, FALSE), VLOOKUP('Lighting Inventory'!G218, 'Lookup Tables'!$R$6:$T$13, 3, FALSE))))</f>
        <v/>
      </c>
      <c r="BD218" s="270" t="str">
        <f>IF(G218="", "", IF(E218="Exterior", 0, IF('Lighting Inventory'!G218="Air Conditioned", VLOOKUP(H218, 'Lookup Tables'!$R$6:$U$13, 4, FALSE), VLOOKUP('Lighting Inventory'!G218, 'Lookup Tables'!$R$6:$U$13, 4, FALSE))))</f>
        <v/>
      </c>
      <c r="BE218" s="270" t="str">
        <f>IFERROR(IF(B218="", "",  IF(B218="New Construction", VLOOKUP(F218, 'Lookup Tables'!$A$6:$K$59, 11, FALSE),IF(OR(AN218="", AN218="Light Switch"), 0, IF(OR(M218="",M218="None",V218= "LED Exit Signs"),0,_xlfn.XLOOKUP(M218,'Lookup Tables'!$R$91:$R$101,'Lookup Tables'!$V$91:$V$101))))), "")</f>
        <v/>
      </c>
      <c r="BF218" s="270" t="str">
        <f>IF(AND(OR(AN218="Light Switch",AN218=""),B218="New Construction"), VLOOKUP(F218, 'Lookup Tables'!$A$6:$K$59, 11, FALSE),IF(AN218="","",IF(B218="","",IF(OR(AN218="None",AN218="",V218="LED Exit Signs",AN218="Exterior Controls Not Eligible"),0,_xlfn.XLOOKUP(AN218,'Lookup Tables'!$R$91:$R$101,'Lookup Tables'!$V$91:$V$101)))))</f>
        <v/>
      </c>
      <c r="BG218" s="88" t="str">
        <f t="shared" si="559"/>
        <v/>
      </c>
      <c r="BH218" s="88" t="str">
        <f t="shared" si="560"/>
        <v/>
      </c>
      <c r="BI218" s="558" t="str">
        <f t="shared" si="604"/>
        <v/>
      </c>
      <c r="BJ218" s="82" t="str">
        <f t="shared" si="561"/>
        <v/>
      </c>
      <c r="BK218" s="82" t="str">
        <f t="shared" si="562"/>
        <v/>
      </c>
      <c r="BL218" s="559" t="str">
        <f t="shared" si="563"/>
        <v/>
      </c>
      <c r="BM218" s="521" t="str">
        <f t="shared" si="508"/>
        <v/>
      </c>
      <c r="BN218" s="521" t="str">
        <f t="shared" si="509"/>
        <v/>
      </c>
      <c r="BO218" s="522" t="str">
        <f t="shared" si="510"/>
        <v/>
      </c>
      <c r="BP218" s="83" t="str">
        <f t="shared" si="564"/>
        <v/>
      </c>
      <c r="BQ218" s="84" t="str">
        <f t="shared" si="565"/>
        <v/>
      </c>
      <c r="BR218" s="184" t="str">
        <f>IFERROR(IF(B218="", "", IF(OR(VLOOKUP(J218, 'Fixture Identities'!$A$6:$L$1023, 3, FALSE)="T12 Linear Fluorescent",VLOOKUP(J218, 'Fixture Identities'!$A$6:$L$1023, 3, FALSE)="T12 U-Tube Fluorescent"), "Y", "N")), "N")</f>
        <v/>
      </c>
      <c r="BS218" s="184" t="str">
        <f t="array" ref="BS218">IFERROR(IF(OR(B218="", V218="", W218=""), "", IF(V218="Custom", "N", IF(OR(W218="Freezer Case Lighting", W218="Refrigerated Case Lighting with Doors"), BT218, IF(B218="Retrofit", INDEX('Lookup Tables'!$AH$6:$AT$102,MATCH(1,('Lookup Tables'!$AH$6:$AH$102=V218)*('Lookup Tables'!$AI$6:$AI$102=W218),FALSE),IF(VLOOKUP(J218, 'Fixture Identities'!$A$6:$B$1023, 2, FALSE)="Incandescent",12, 13)), INDEX('Lookup Tables'!$AH$114:$AS$154,MATCH(1,('Lookup Tables'!$AH$114:$AH$154=V218)*('Lookup Tables'!$AI$114:$AI$154=W218),FALSE),12))))), "N")</f>
        <v/>
      </c>
      <c r="BT218" s="184" t="str">
        <f>IF(J218="", "", IF(AND(OR(W218="Freezer case Lighting", W218="Refrigerated Case Lighting with Doors"),'General Information'!$X$18="LCI"), "N", IF(OR(VLOOKUP(J218, 'Fixture Identities'!$A$6:$B$1023, 2, FALSE)="T12 EPACT/EISA Baseline", VLOOKUP(J218, 'Fixture Identities'!$A$6:$B$1023, 2, FALSE)="Linear Fluorescent", VLOOKUP(J218, 'Fixture Identities'!$A$6:$B$1023, 2, FALSE)="U-Tube Fluorescent"), "Y", "N")))</f>
        <v/>
      </c>
      <c r="BU218" s="184" t="str">
        <f>IFERROR(IF(B218="", "", IF(VLOOKUP(J218, 'Fixture Identities'!$A$6:$B$1023, 2, FALSE)="Exit Sign", "Y", "N")), "N")</f>
        <v/>
      </c>
      <c r="BV218" s="184" t="str">
        <f>IF(V218="Exit Signs", IF(VLOOKUP(J218, 'Fixture Identities'!$A$6:$B$1023, 2, FALSE)="Exit Sign", "N", "Y"), "")</f>
        <v/>
      </c>
      <c r="BW218" s="184" t="str">
        <f t="array" ref="BW218">IFERROR(IF(B218="", "", IF(B218="New Construction", "N", INDEX('Lookup Tables'!$AH$6:$AU$102, MATCH(1, ('Lookup Tables'!$AH$6:$AH$102='Lighting Inventory'!V218)*('Lookup Tables'!$AI$6:$AI$102='Lighting Inventory'!W218), 0), 14))), "N")</f>
        <v/>
      </c>
      <c r="BX218" s="598" t="str">
        <f t="shared" si="566"/>
        <v/>
      </c>
      <c r="BY218" s="598" t="str">
        <f t="shared" si="567"/>
        <v/>
      </c>
      <c r="BZ218" s="598" t="str">
        <f t="shared" si="568"/>
        <v/>
      </c>
      <c r="CA218" s="598" t="str">
        <f t="shared" si="569"/>
        <v/>
      </c>
      <c r="CB218" s="269" t="str">
        <f t="shared" si="570"/>
        <v/>
      </c>
      <c r="CC218" s="517" t="str">
        <f t="shared" si="571"/>
        <v/>
      </c>
      <c r="CD218" s="565" t="str">
        <f t="shared" si="511"/>
        <v/>
      </c>
      <c r="CE218" s="368">
        <v>0</v>
      </c>
      <c r="CF218" s="368" t="str" cm="1">
        <f t="array" ref="CF218">IFERROR(IF(V218="Custom", "$0.1 per kWh", IF(B218="New Construction", CONCATENATE("$",INDEX('Lookup Tables'!$AH$114:$AN$154,MATCH(1,('Lookup Tables'!$AH$114:$AH$154='Lighting Inventory'!V218)*('Lookup Tables'!$AI$114:$AI$154='Lighting Inventory'!W218),FALSE),6)," ",INDEX('Lookup Tables'!$AH$114:$AN$154,MATCH(1,('Lookup Tables'!$AH$114:$AH$154='Lighting Inventory'!V218)*('Lookup Tables'!$AI$114:$AI$154='Lighting Inventory'!W218),FALSE),7)), IF(AND(BU218="N", V218="Exit Signs"), "$0.025 per kWh", CONCATENATE("$",INDEX('Lookup Tables'!$AH$6:$AN$102,MATCH(1,('Lookup Tables'!$AH$6:$AH$102='Lighting Inventory'!V218)*('Lookup Tables'!$AI$6:$AI$102='Lighting Inventory'!W218),FALSE),6)," ",INDEX('Lookup Tables'!$AH$6:$AN$102,MATCH(1,('Lookup Tables'!$AH$6:$AH$102='Lighting Inventory'!V218)*('Lookup Tables'!$AI$6:$AI$102='Lighting Inventory'!W218),FALSE),7))))), "")</f>
        <v/>
      </c>
      <c r="CG218" s="366"/>
      <c r="CH218" s="248" t="str">
        <f t="shared" si="512"/>
        <v/>
      </c>
      <c r="CI218" s="248" t="str">
        <f t="shared" si="513"/>
        <v>Select_IE</v>
      </c>
      <c r="CJ218" s="248" t="str">
        <f t="shared" si="514"/>
        <v/>
      </c>
      <c r="CK218" s="248" t="str">
        <f t="shared" si="515"/>
        <v/>
      </c>
      <c r="CL218" s="248" t="str">
        <f t="shared" si="516"/>
        <v/>
      </c>
      <c r="CM218" s="248" t="str">
        <f>IFERROR(IF(B218="", "", IF(B218="New Construction", VLOOKUP(V218, 'Lookup Tables'!$AF$114:$AG$120, 2, FALSE), VLOOKUP(V218, 'Lookup Tables'!$AD$6:$AE$25, 2, FALSE))), "")</f>
        <v/>
      </c>
      <c r="CN218" s="248" t="str">
        <f t="shared" si="517"/>
        <v/>
      </c>
      <c r="CO218" s="248" t="str">
        <f t="shared" si="518"/>
        <v/>
      </c>
      <c r="CP218" s="592" t="str">
        <f t="shared" si="519"/>
        <v/>
      </c>
      <c r="CQ218" s="248" t="str">
        <f t="shared" si="572"/>
        <v/>
      </c>
      <c r="CR218" s="249"/>
      <c r="CS218" s="250" t="str">
        <f t="shared" si="520"/>
        <v/>
      </c>
      <c r="CT218" s="250" t="str">
        <f t="shared" si="573"/>
        <v/>
      </c>
      <c r="CU218" s="250" t="str">
        <f t="shared" si="574"/>
        <v/>
      </c>
      <c r="CV218" s="250" t="str">
        <f t="shared" si="575"/>
        <v/>
      </c>
      <c r="CW218" s="250" t="str">
        <f t="shared" si="576"/>
        <v/>
      </c>
      <c r="CX218" s="250" t="str">
        <f t="shared" si="521"/>
        <v/>
      </c>
      <c r="CY218" s="250" t="str">
        <f t="shared" si="522"/>
        <v/>
      </c>
      <c r="CZ218" s="250" t="str">
        <f t="shared" si="523"/>
        <v/>
      </c>
      <c r="DA218" s="250" t="str">
        <f t="shared" si="524"/>
        <v/>
      </c>
      <c r="DB218" s="250" t="str">
        <f t="shared" si="525"/>
        <v/>
      </c>
      <c r="DC218" s="250" t="str">
        <f t="shared" si="526"/>
        <v/>
      </c>
      <c r="DD218" s="250" t="str">
        <f t="shared" si="527"/>
        <v/>
      </c>
      <c r="DE218" s="250" t="str">
        <f t="shared" si="528"/>
        <v/>
      </c>
      <c r="DF218" s="250" t="str">
        <f t="shared" si="529"/>
        <v/>
      </c>
      <c r="DG218" s="250" t="str">
        <f t="shared" si="530"/>
        <v/>
      </c>
      <c r="DH218" s="250" t="str">
        <f t="shared" si="531"/>
        <v/>
      </c>
      <c r="DI218" s="250" t="str">
        <f t="shared" si="532"/>
        <v/>
      </c>
      <c r="DJ218" s="250" t="str">
        <f t="shared" si="533"/>
        <v/>
      </c>
      <c r="DK218" s="250" t="str">
        <f t="shared" si="534"/>
        <v/>
      </c>
      <c r="DL218" s="250" t="str">
        <f t="shared" si="535"/>
        <v/>
      </c>
      <c r="DM218" s="250" t="str">
        <f>IF(CD218="ERROR", "ERROR", IF(AND(OR(Y218=$DM$6, Y218='Lookup Tables'!$AD$21, Y218='Lookup Tables'!$AD$22), E218="Interior"), BJ218, ""))</f>
        <v/>
      </c>
      <c r="DN218" s="250" t="str">
        <f>IF(CD218="ERROR", "ERROR", IF(AND(OR(Y218=$DM$6, Y218='Lookup Tables'!$AD$21, Y218='Lookup Tables'!$AD$22), E218="Exterior"), BJ218, ""))</f>
        <v/>
      </c>
      <c r="DO218" s="249"/>
      <c r="DP218" s="250" t="str">
        <f t="shared" si="536"/>
        <v/>
      </c>
      <c r="DQ218" s="250" t="str">
        <f t="shared" si="577"/>
        <v/>
      </c>
      <c r="DR218" s="250" t="str">
        <f t="shared" si="578"/>
        <v/>
      </c>
      <c r="DS218" s="250" t="str">
        <f t="shared" si="579"/>
        <v/>
      </c>
      <c r="DT218" s="250" t="str">
        <f t="shared" si="580"/>
        <v/>
      </c>
      <c r="DU218" s="250" t="str">
        <f t="shared" si="537"/>
        <v/>
      </c>
      <c r="DV218" s="250" t="str">
        <f t="shared" si="538"/>
        <v/>
      </c>
      <c r="DW218" s="250" t="str">
        <f t="shared" si="539"/>
        <v/>
      </c>
      <c r="DX218" s="250" t="str">
        <f t="shared" si="540"/>
        <v/>
      </c>
      <c r="DY218" s="250" t="str">
        <f t="shared" si="541"/>
        <v/>
      </c>
      <c r="DZ218" s="250" t="str">
        <f t="shared" si="542"/>
        <v/>
      </c>
      <c r="EA218" s="250" t="str">
        <f t="shared" si="543"/>
        <v/>
      </c>
      <c r="EB218" s="250" t="str">
        <f t="shared" si="581"/>
        <v/>
      </c>
      <c r="EC218" s="250" t="str">
        <f t="shared" si="544"/>
        <v/>
      </c>
      <c r="ED218" s="250" t="str">
        <f t="shared" si="545"/>
        <v/>
      </c>
      <c r="EE218" s="250" t="str">
        <f t="shared" si="546"/>
        <v/>
      </c>
      <c r="EF218" s="250" t="str">
        <f t="shared" si="547"/>
        <v/>
      </c>
      <c r="EG218" s="250" t="str">
        <f t="shared" si="548"/>
        <v/>
      </c>
      <c r="EH218" s="250" t="str">
        <f>IF(CD218="ERROR", "ERROR", IF(AND(OR($EH$6=Y218, Y218='Lookup Tables'!$AD$21, Y218='Lookup Tables'!$AD$22),E218="Interior"), SUM(BP218:BP218), ""))</f>
        <v/>
      </c>
      <c r="EI218" s="250" t="str">
        <f>IF(CD218="ERROR", "ERROR", IF(AND(OR($EH$6=Y218, Y218='Lookup Tables'!$AD$21, Y218='Lookup Tables'!$AD$22),E218="Exterior"), SUM(BP218:BP218), ""))</f>
        <v/>
      </c>
      <c r="EJ218" s="109"/>
      <c r="EK218" s="485" t="str">
        <f t="shared" si="549"/>
        <v/>
      </c>
      <c r="EL218" s="252" t="str">
        <f t="shared" si="582"/>
        <v/>
      </c>
      <c r="EM218" s="252" t="str">
        <f t="shared" si="583"/>
        <v/>
      </c>
      <c r="EN218" s="252" t="str">
        <f t="shared" si="584"/>
        <v/>
      </c>
      <c r="EO218" s="252" t="str">
        <f t="shared" si="585"/>
        <v/>
      </c>
      <c r="EP218" s="252" t="str">
        <f t="shared" si="586"/>
        <v/>
      </c>
      <c r="EQ218" s="252" t="str">
        <f t="shared" si="587"/>
        <v/>
      </c>
      <c r="ER218" s="252" t="str">
        <f t="shared" si="588"/>
        <v/>
      </c>
      <c r="ES218" s="252" t="str">
        <f t="shared" si="589"/>
        <v/>
      </c>
      <c r="ET218" s="252" t="str">
        <f t="shared" si="590"/>
        <v/>
      </c>
      <c r="EU218" s="252" t="str">
        <f t="shared" si="591"/>
        <v/>
      </c>
      <c r="EV218" s="252" t="str">
        <f t="shared" si="592"/>
        <v/>
      </c>
      <c r="EW218" s="252" t="str">
        <f t="shared" si="593"/>
        <v/>
      </c>
      <c r="EX218" s="252" t="str">
        <f t="shared" si="594"/>
        <v/>
      </c>
      <c r="EY218" s="252" t="str">
        <f t="shared" si="595"/>
        <v/>
      </c>
      <c r="EZ218" s="252" t="str">
        <f t="shared" si="596"/>
        <v/>
      </c>
      <c r="FA218" s="252" t="str">
        <f t="shared" si="597"/>
        <v/>
      </c>
      <c r="FB218" s="252" t="str">
        <f t="shared" si="598"/>
        <v/>
      </c>
      <c r="FC218" s="252" t="str">
        <f>IF(CD218="ERROR", "ERROR", IF(OR(V218="No Change", V218="Not DLC or Energy Star"), "", IF(AND(OR($FC$6=Y218,Y218='Lookup Tables'!$AD$21, Y218='Lookup Tables'!$AD$22),E218="Interior"), S218, "")))</f>
        <v/>
      </c>
      <c r="FD218" s="252" t="str">
        <f t="shared" si="599"/>
        <v/>
      </c>
      <c r="FE218" s="1"/>
      <c r="FF218" s="579" t="str" cm="1">
        <f t="array" ref="FF218">IFERROR(IF(OR(BQ218&lt;=0,AQ218&lt;20,AND(V218="Exit Signs",AN218&gt;0)),"",IF(AND(AQ218&gt;=20,AN218='Lookup Tables'!$R$101),'Lookup Tables'!$U$101*BQ218,AP218*LOOKUP(2,1/((AN218='Lookup Tables'!$R$91:$R$111)*(AQ218&gt;='Lookup Tables'!$S$91:$S$111)*(AQ218&lt;='Lookup Tables'!$T$91:$T$111)),'Lookup Tables'!$U$91:$U$111))),"")</f>
        <v/>
      </c>
      <c r="FG218" s="579"/>
      <c r="FH218" s="579"/>
      <c r="FI218" s="253" t="str">
        <f>IFERROR(ROUND(IF(CD218="ERROR", "ERROR", IF(AND($FI$7=X218,E218="Interior"),VLOOKUP(W218, 'Lookup Tables'!$AI$6:$AM$102, 5, FALSE)*BP218, "")), 2), "")</f>
        <v/>
      </c>
      <c r="FJ218" s="253" t="str">
        <f>IFERROR(ROUND(IF(CD218="ERROR", "ERROR", IF(AND($FI$7=X218,E218="Exterior"),VLOOKUP(W218, 'Lookup Tables'!$AI$6:$AM$102, 5, FALSE)*BP218, "")), 2), "")</f>
        <v/>
      </c>
      <c r="FK218" s="253" t="str">
        <f>IFERROR(ROUND(IF(CD218="ERROR", "ERROR", IF(AND($FK$7=X218,E218="Interior"),VLOOKUP(W218, 'Lookup Tables'!$AI$6:$AM$102, 5, FALSE)*BP218, "")), 2), "")</f>
        <v/>
      </c>
      <c r="FL218" s="253" t="str">
        <f>IFERROR(ROUND(IF(CD218="ERROR", "ERROR", IF(AND($FK$7=X218,E218="Exterior"),VLOOKUP(W218, 'Lookup Tables'!$AI$6:$AM$102, 5, FALSE)*BP218, "")), 2), "")</f>
        <v/>
      </c>
      <c r="FM218" s="253" t="str">
        <f>IFERROR(ROUND(IF(CD218="ERROR", "ERROR", IF(AND($FM$6=Y218,E218="Interior"), IF(GB218=0, VLOOKUP(W218, 'Lookup Tables'!$AI$6:$AM$102, 5, FALSE)*BP218, IF(VLOOKUP(W218, 'Lookup Tables'!$AI$6:$AM$102, 5, FALSE)*BP218&gt;GB218*'Lighting Inventory'!S218, GB218*'Lighting Inventory'!S218,VLOOKUP(W218, 'Lookup Tables'!$AI$6:$AM$102, 5, FALSE)*BP218)), "")), 2), "")</f>
        <v/>
      </c>
      <c r="FN218" s="253" t="str">
        <f>IFERROR(ROUND(IF(CD218="ERROR", "ERROR", IF(AND($FM$6=Y218,E218="Exterior"), IF(GB218=0, VLOOKUP(W218, 'Lookup Tables'!$AI$6:$AM$102, 5, FALSE)*BP218, IF(VLOOKUP(W218, 'Lookup Tables'!$AI$6:$AM$102, 5, FALSE)*BP218&gt;GB218*'Lighting Inventory'!S218, GB218*'Lighting Inventory'!S218,VLOOKUP(W218, 'Lookup Tables'!$AI$6:$AM$102, 5, FALSE)*BP218)), "")), 2), "")</f>
        <v/>
      </c>
      <c r="FO218" s="253" t="str">
        <f>IFERROR(ROUND(IF(CD218="ERROR", "ERROR", IF(AND($FO$6=Y218,E218="Interior"),VLOOKUP(W218, 'Lookup Tables'!$AI$6:$AM$102, 5, FALSE)*'Lighting Inventory'!AI218, "")), 2), "")</f>
        <v/>
      </c>
      <c r="FP218" s="253" t="str">
        <f>IFERROR(ROUND(IF(CD218="ERROR", "ERROR", IF(AND($FO$6=Y218,E218="Exterior"),VLOOKUP(W218, 'Lookup Tables'!$AI$6:$AM$102, 5, FALSE)*'Lighting Inventory'!AI218, "")), 2), "")</f>
        <v/>
      </c>
      <c r="FQ218" s="253" t="str">
        <f>IFERROR(ROUND(IF(CD218="ERROR", "ERROR", IF(AND($FQ$6=Y218,E218="Interior", BU218="Y"), VLOOKUP('Lighting Inventory'!W218, 'Lookup Tables'!$AI$6:$AM$102, 5, FALSE)*'Lighting Inventory'!S218, IF(AND($FQ$7=Y218,E218="Interior", BU218="N"), 0.025*CD218, ""))), 2), "")</f>
        <v/>
      </c>
      <c r="FR218" s="253" t="str">
        <f>IFERROR(ROUND(IF(CD218="ERROR", "ERROR", IF(AND($FQ$6=Y218,E218="Exterior"), VLOOKUP('Lighting Inventory'!W218, 'Lookup Tables'!$AI$6:$AM$102, 5, FALSE)*'Lighting Inventory'!S218, "")), 2), "")</f>
        <v/>
      </c>
      <c r="FS218" s="253" t="str">
        <f>IFERROR(ROUND(IF(CD218="ERROR", "ERROR", IF(AND($FS$6=Y218,E218="Exterior"), IF(GB218=0, VLOOKUP(W218, 'Lookup Tables'!$AI$6:$AM$102, 5, FALSE)*BP218, IF(VLOOKUP(W218, 'Lookup Tables'!$AI$6:$AM$102, 5, FALSE)*BP218&gt;GB218*'Lighting Inventory'!S218, GB218*'Lighting Inventory'!S218,VLOOKUP(W218, 'Lookup Tables'!$AI$6:$AM$102, 5, FALSE)*BP218)), "")), 2), "")</f>
        <v/>
      </c>
      <c r="FT218" s="253" t="str">
        <f>IFERROR(ROUND(IF(CD218="ERROR", "ERROR", IF(AND($FT$6=Y218,E218="Interior"), IF(GB218=0, VLOOKUP(W218, 'Lookup Tables'!$AI$6:$AM$102, 5, FALSE)*BP218, IF(VLOOKUP(W218, 'Lookup Tables'!$AI$6:$AM$102, 5, FALSE)*BP218&gt;GB218*'Lighting Inventory'!S218, GB218*'Lighting Inventory'!S218,VLOOKUP(W218, 'Lookup Tables'!$AI$6:$AM$102, 5, FALSE)*BP218)), "")), 2), "")</f>
        <v/>
      </c>
      <c r="FU218" s="253" t="str">
        <f>IFERROR(ROUND(IF(CD218="ERROR", "ERROR", IF(AND(Y218=$FU$6, E218="Interior"), IF(BS218="N", 'Lookup Tables'!$AM$101*BP218, VLOOKUP(W218, 'Lookup Tables'!$AI$6:$AM$102, 5, FALSE)*S218*AD218), "")), 2), "")</f>
        <v/>
      </c>
      <c r="FV218" s="253" t="str">
        <f>IFERROR(ROUND(IF(CD218="ERROR", "ERROR", IF(AND(Y218=$FU$6, E218="Exterior"), IF(BS218="N", 'Lookup Tables'!$AM$101*BP218, VLOOKUP(W218, 'Lookup Tables'!$AI$6:$AM$102, 5, FALSE)*S218*AD218), "")), 2), "")</f>
        <v/>
      </c>
      <c r="FW218" s="253" t="str">
        <f>IFERROR(ROUND(IF(CD218="ERROR", "ERROR", IF($FW$6=Y218, IF(BS218="N", 'Lookup Tables'!$AM$101*BP218, MIN((VLOOKUP(W218, 'Lookup Tables'!$AI$6:$AM$102, 5, FALSE)*BP218),GB218*AJ218)), "")), 2), "")</f>
        <v/>
      </c>
      <c r="FX218" s="253" t="str">
        <f>IFERROR(ROUND(IF(CD218="ERROR", "ERROR", IF(AND($FX$6=Y218, E218="Interior"), IF(VLOOKUP(W218, 'Lookup Tables'!$AI$6:$AM$102, 5, FALSE)*BP218&gt;'Lookup Tables'!$AQ$97*'Lighting Inventory'!S218,'Lighting Inventory'!S218*'Lookup Tables'!$AQ$97,VLOOKUP(W218, 'Lookup Tables'!$AI$6:$AM$102, 5, FALSE)*BP218), "")), 2), "")</f>
        <v/>
      </c>
      <c r="FY218" s="253" t="str">
        <f>IFERROR(ROUND(IF(CD218="ERROR", "ERROR", IF(AND($FX$6=Y218, E218="Exterior"), IF(VLOOKUP(W218, 'Lookup Tables'!$AI$6:$AM$102, 5, FALSE)*BP218&gt;'Lookup Tables'!$AQ$97*'Lighting Inventory'!S218,'Lighting Inventory'!S218*'Lookup Tables'!$AQ$97,VLOOKUP(W218, 'Lookup Tables'!$AI$6:$AM$102, 5, FALSE)*BP218), "")), 2), "")</f>
        <v/>
      </c>
      <c r="FZ218" s="253" t="str">
        <f>IFERROR(ROUND(IF(CD218="ERROR", "ERROR", IF(AND($FZ$6=Y218, E218="Interior"), IF(AND(OR(W218="Refrigerated Case Lighting with Doors", W218="Freezer Case Lighting"),Y218="Custom - Process Improvement"),CD218*'Lookup Tables'!$AM$101, IF(B218="Retrofit", IF(VLOOKUP(IF(V218="Custom", V218, W218), 'Lookup Tables'!$AI$6:$AM$102, 5, FALSE)*BP218&gt;GE218, GE218, VLOOKUP(IF(V218="Custom", V218, W218), 'Lookup Tables'!$AI$6:$AM$102, 5, FALSE)*BP218), IF(VLOOKUP(IF(V218="Custom", V218, W218), 'Lookup Tables'!$AI$114:$AM$154, 5, FALSE)*BP218&gt;GE218, GE218, VLOOKUP(IF(V218="Custom", V218, W218), 'Lookup Tables'!$AI$114:$AM$154, 5, FALSE)*BP218))), "")), 2),"")</f>
        <v/>
      </c>
      <c r="GA218" s="253" t="str">
        <f>IFERROR(ROUND(IF(CD218="ERROR", "ERROR", IF(AND($FZ$6=Y218, E218="Exterior"), IF(B218="Retrofit", IF(VLOOKUP(IF(V218="Custom", V218, W218), 'Lookup Tables'!$AI$6:$AM$102, 5, FALSE)*BP218&gt;GE218, GE218, VLOOKUP(IF(V218="Custom", V218, W218), 'Lookup Tables'!$AI$6:$AM$102, 5, FALSE)*BP218), IF(VLOOKUP(IF(V218="Custom", V218, W218), 'Lookup Tables'!$AI$114:$AM$154, 5, FALSE)*BP218&gt;GE218, GE218, VLOOKUP(IF(V218="Custom", V218, W218), 'Lookup Tables'!$AI$114:$AM$154, 5, FALSE)*BP218)), "")), 2),"")</f>
        <v/>
      </c>
      <c r="GB218" s="254" t="str">
        <f t="array" ref="GB218">IF(B218="","",IF(OR(V218="Custom",V218="No Change"),0,IF(B218="Retrofit", INDEX('Lookup Tables'!$AH$6:$AQ$102,MATCH(1,('Lookup Tables'!$AH$6:$AH$102='Lighting Inventory'!V218)*('Lookup Tables'!$AI$6:$AI$102='Lighting Inventory'!W218),FALSE),10),INDEX('Lookup Tables'!$AH$114:$AQ$154,MATCH(1,('Lookup Tables'!$AH$114:$AH$154='Lighting Inventory'!V218)*('Lookup Tables'!$AI$114:$AI$154='Lighting Inventory'!W218),FALSE),10))))</f>
        <v/>
      </c>
      <c r="GC218" s="255" t="str">
        <f t="shared" si="550"/>
        <v/>
      </c>
      <c r="GD218" s="250" t="str">
        <f t="shared" si="551"/>
        <v/>
      </c>
      <c r="GE218" s="253" t="str">
        <f>IFERROR(IF(AND(AF218="", 'General Information'!$F$18="No"),"", IF(AF218="", ((GD218/$CD$266)*$CF$266)*0.5, AF218*S218*0.5)), "")</f>
        <v/>
      </c>
      <c r="GF218" s="255" t="str">
        <f>IF(AND('General Information'!$F$19="", 'General Information'!$F$18="Yes",AF218="",BW218="Y"), "Y", "N")</f>
        <v>N</v>
      </c>
      <c r="GG218" s="255" t="s">
        <v>2946</v>
      </c>
      <c r="GH218" s="255" t="str">
        <f>IFERROR(IF(B218="", "", VLOOKUP(J218, 'Fixture Identities'!$A$6:$N$908, 14, FALSE)), "")</f>
        <v/>
      </c>
      <c r="GI218" s="389" t="str">
        <f>IF(OR(B218="", V218="", W218=""), "", IF(AND(OR(M218='Lookup Tables'!$R$18, M218='Lookup Tables'!$R$19, M218='Lookup Tables'!$R$20, M218='Lookup Tables'!$R$21, M218='Lookup Tables'!$R$22), OR(AN218='Lookup Tables'!$R$17, AN218='Lookup Tables'!$R$17, AN218="")), "Y", "N"))</f>
        <v/>
      </c>
      <c r="GJ218" s="255" t="str">
        <f t="shared" si="552"/>
        <v/>
      </c>
      <c r="GK218" s="255" t="str">
        <f t="shared" si="553"/>
        <v/>
      </c>
      <c r="GL218" s="255" t="str">
        <f t="shared" si="554"/>
        <v/>
      </c>
      <c r="GM218" s="255" t="str">
        <f>IF(AN218="", "", IF(AND(IF(ISNA(VLOOKUP(AN218,'Lookup Tables'!$R$18:$R$22,1,FALSE)), "N", "Y")="Y", E218="Exterior"), "Y", "N"))</f>
        <v/>
      </c>
      <c r="GN218" s="395"/>
      <c r="GO218" s="428">
        <f t="shared" si="600"/>
        <v>0</v>
      </c>
      <c r="GP218" s="428">
        <f t="shared" si="603"/>
        <v>0</v>
      </c>
      <c r="GQ218" s="428">
        <f t="shared" si="601"/>
        <v>0</v>
      </c>
      <c r="GR218" s="428">
        <f t="shared" si="602"/>
        <v>0</v>
      </c>
    </row>
    <row r="219" spans="1:200" s="103" customFormat="1" ht="13.5" customHeight="1" x14ac:dyDescent="0.2">
      <c r="A219" s="272">
        <v>209</v>
      </c>
      <c r="B219" s="110"/>
      <c r="C219" s="110"/>
      <c r="D219" s="110"/>
      <c r="E219" s="110"/>
      <c r="F219" s="110"/>
      <c r="G219" s="110"/>
      <c r="H219" s="110"/>
      <c r="I219" s="29"/>
      <c r="J219" s="29"/>
      <c r="K219" s="272" t="str">
        <f>IFERROR(IF(OR(VLOOKUP(J219, 'Fixture Identities'!$A$6:$L$1023, 3, FALSE)="T12 Linear Fluorescent", VLOOKUP(J219, 'Fixture Identities'!$A$6:$L$1023, 3, FALSE)="T12 U-Tube Fluorescent"), VLOOKUP(VLOOKUP(J219, 'Fixture Identities'!$A$6:$L$1023, 11, FALSE), 'Fixture Identities'!$A$6:$L$1023, 10, FALSE), VLOOKUP(J219, 'Fixture Identities'!$A$6:$L$1023, 10, FALSE)), "")</f>
        <v/>
      </c>
      <c r="L219" s="270" t="str">
        <f t="shared" si="605"/>
        <v/>
      </c>
      <c r="M219" s="110"/>
      <c r="N219" s="110"/>
      <c r="O219" s="110"/>
      <c r="P219" s="272" t="str">
        <f>IFERROR(IF(OR(B219="Retrofit",B219=""),"",IF('Lighting Inventory'!E219="Exterior",VLOOKUP('Lighting Inventory'!N219,'Lookup Tables'!$B$83:$F$103,5,FALSE),IF(N219="Other - Please Estimate EFLH and CFs","Contact Prog. Rep.","ft^2"))), "")</f>
        <v/>
      </c>
      <c r="Q219" s="270" t="str">
        <f>IFERROR(IF(AND(B219="New Construction",E219="Interior",$F$5="Space-by-Space"),VLOOKUP('Lighting Inventory'!N219,'Lookup Tables'!$N$6:$O$97,2,FALSE),IF(AND(B219="New Construction",E219="Exterior"),VLOOKUP(N219,'Lookup Tables'!$B$83:$F$103,2,FALSE),IF(AND(B219="New Construction",'Lighting Inventory'!E219="Interior", $F$5="Building Area"),VLOOKUP(F219,'Lookup Tables'!$A$6:$J$59,10,FALSE),""))), "")</f>
        <v/>
      </c>
      <c r="R219" s="270" t="str">
        <f>IFERROR(IF(P219="Contact Prog. Rep.", "ERROR", IF(OR(B219="",B219="Retrofit"),"",IF(N219="Automated teller machines", ('Lookup Tables'!$A$82:$E$100+('Lighting Inventory'!O219-1)*'Lookup Tables'!$A$82:$E$100)/1000, (Q219*O219)/1000))), "")</f>
        <v/>
      </c>
      <c r="S219" s="595"/>
      <c r="T219" s="105" t="str">
        <f t="shared" si="555"/>
        <v/>
      </c>
      <c r="U219" s="105" t="str">
        <f>IF(S219="","",COUNT($S$11:S219))</f>
        <v/>
      </c>
      <c r="V219" s="111"/>
      <c r="W219" s="112"/>
      <c r="X219" s="105" t="str">
        <f t="shared" si="556"/>
        <v/>
      </c>
      <c r="Y219" s="105" t="str">
        <f t="array" ref="Y219">IF(AND(OR(W219="Freezer Case Lighting", W219="Refrigerated Case Lighting with Doors"), 'General Information'!$X$18="LCI"),'Lookup Tables'!$Y$34, IF(V219="Custom", VLOOKUP(W219, 'Fixture Identities'!$A$974:$M$1023, 13, FALSE), IF(V219="No Change",'Lookup Tables'!$Y$29,IF(OR(V219="",W219=""),"",IF(AND(S219=0,S219&lt;I219,B219="Retrofit"),'Lookup Tables'!$Y$25, IF(B219="Retrofit", INDEX('Lookup Tables'!$AH$6:$AP$102, MATCH(1, ('Lookup Tables'!$AH$6:$AH$102=V219)*('Lookup Tables'!$AI$6:$AI$102=W219), 0), IF('Lighting Inventory'!E219="Interior", 4, 5)), INDEX('Lookup Tables'!$AH$114:$AP$154, MATCH(1, ('Lookup Tables'!$AH$114:$AH$154=V219)*('Lookup Tables'!$AI$114:$AI$154=W219), 0), IF('Lighting Inventory'!E219="Interior", 4, 5))))))))</f>
        <v/>
      </c>
      <c r="Z219" s="105" t="str">
        <f>IFERROR(INDEX('Lookup Tables'!$AH$158:$AH$172,MATCH('Lighting Inventory'!Y219,'Lookup Tables'!$AI$158:$AI$172,0)),"")</f>
        <v/>
      </c>
      <c r="AA219" s="105" t="str">
        <f>IF(AP219&gt;0,INDEX('Lookup Tables'!$AK$158:$AK$172,MATCH('Lighting Inventory'!Y219,'Lookup Tables'!$AI$158:$AI$172,0)),'Lighting Inventory'!Y219)</f>
        <v/>
      </c>
      <c r="AB219" s="105" t="str">
        <f t="array" ref="AB219">IF(V219="Custom", "Custom", IF(V219="", "", IF(V219="Not DLC or Energy Star", "General", IF(B219="New Construction", INDEX('Lookup Tables'!$AH$114:$AP$154,MATCH(1,('Lookup Tables'!$AH$114:$AH$154='Lighting Inventory'!V219)*('Lookup Tables'!$AI$114:$AI$154='Lighting Inventory'!W219),FALSE),8), INDEX('Lookup Tables'!$AH$6:$AP$102,MATCH(1,('Lookup Tables'!$AH$6:$AH$102='Lighting Inventory'!V219)*('Lookup Tables'!$AI$6:$AI$102='Lighting Inventory'!W219),FALSE),8)))))</f>
        <v/>
      </c>
      <c r="AC219" s="272" t="str">
        <f>IF(W219="","",IF(V219="Custom",CONCATENATE("$",'Lookup Tables'!$AM$101," ",'Lookup Tables'!$AN$101),CONCATENATE("$",INDEX('Lookup Tables'!$AM$6:$AM$102,MATCH('Lighting Inventory'!W219,'Lookup Tables'!$AI$6:$AI$102,0))," ",INDEX('Lookup Tables'!$AN$6:$AN$102,MATCH('Lighting Inventory'!W219,'Lookup Tables'!$AI$6:$AI$102,0)))))</f>
        <v/>
      </c>
      <c r="AD219" s="72"/>
      <c r="AE219" s="29"/>
      <c r="AF219" s="379"/>
      <c r="AG219" s="370" t="str">
        <f t="shared" si="504"/>
        <v/>
      </c>
      <c r="AH219" s="370" t="str">
        <f t="shared" si="557"/>
        <v/>
      </c>
      <c r="AI219" s="29"/>
      <c r="AJ219" s="29"/>
      <c r="AK219" s="110"/>
      <c r="AL219" s="375" t="str">
        <f>IF(OR(B219="", V219="", W219=""), "", IF(V219="No Change", K219, IF(V219="Remove Fixture", 0, IF(V219="Custom",VLOOKUP(W219,'Fixture Identities'!$A$6:$K$1023,10,FALSE),IF(AE219="", "← ENTER POST WATTS", 'Lighting Inventory'!AE219)))))</f>
        <v/>
      </c>
      <c r="AM219" s="376" t="str">
        <f t="shared" si="505"/>
        <v/>
      </c>
      <c r="AN219" s="29"/>
      <c r="AO219" s="671"/>
      <c r="AP219" s="29"/>
      <c r="AQ219" s="29"/>
      <c r="AR219" s="29"/>
      <c r="AS219" s="272" t="str">
        <f t="shared" si="558"/>
        <v/>
      </c>
      <c r="AT219" s="270" t="str">
        <f t="shared" si="506"/>
        <v/>
      </c>
      <c r="AU219" s="88" t="str">
        <f t="shared" si="606"/>
        <v/>
      </c>
      <c r="AV219" s="29"/>
      <c r="AW219" s="73"/>
      <c r="AX219" s="271" t="str">
        <f>IF(AND(AV219="Applicant",OR(AW219="", AW219="Use Default Facility Hours")),"← Choose Schedule",IF(F219="","",IF(W219="LED Exit Signs",8760,IF(OR(AV219="Prescribed",AV219=""),VLOOKUP(F219,'Lookup Tables'!$A$6:$G$59,IF(AB219="General", 6, 3),FALSE),VLOOKUP(AW219,'Lookup Tables'!$S$36:$U$43,2,FALSE)))))</f>
        <v/>
      </c>
      <c r="AY219" s="88" t="str">
        <f t="shared" si="507"/>
        <v/>
      </c>
      <c r="AZ219" s="270" t="str">
        <f>IFERROR(IF(F219="", "", IF(W219="LED Exit Signs", 1, IF(AV219="Applicant",VLOOKUP(AW219, 'Lookup Tables'!$S$36:$U$43,3, FALSE), VLOOKUP('Lighting Inventory'!F219, 'Lookup Tables'!$A$6:$H$59, IF('Lighting Inventory'!AB219="General",7,4), FALSE)))), "")</f>
        <v/>
      </c>
      <c r="BA219" s="522" t="str">
        <f>IFERROR(IF(F219="", "", IF(W219="LED Exit Signs", 1, VLOOKUP('Lighting Inventory'!F219, 'Lookup Tables'!$A$6:$H$59, IF('Lighting Inventory'!AB219="General",8,5), FALSE))), "")</f>
        <v/>
      </c>
      <c r="BB219" s="270" t="str">
        <f>IF(G219="", "", IF(E219="Exterior", 0, IF('Lighting Inventory'!G219="Air Conditioned", VLOOKUP(H219, 'Lookup Tables'!$R$6:$T$13, 2, FALSE), VLOOKUP('Lighting Inventory'!G219, 'Lookup Tables'!$R$6:$T$13, 2, FALSE))))</f>
        <v/>
      </c>
      <c r="BC219" s="522" t="str">
        <f>IF(G219="", "", IF(E219="Exterior", 0, IF('Lighting Inventory'!G219="Air Conditioned", VLOOKUP(H219, 'Lookup Tables'!$R$6:$T$13, 3, FALSE), VLOOKUP('Lighting Inventory'!G219, 'Lookup Tables'!$R$6:$T$13, 3, FALSE))))</f>
        <v/>
      </c>
      <c r="BD219" s="270" t="str">
        <f>IF(G219="", "", IF(E219="Exterior", 0, IF('Lighting Inventory'!G219="Air Conditioned", VLOOKUP(H219, 'Lookup Tables'!$R$6:$U$13, 4, FALSE), VLOOKUP('Lighting Inventory'!G219, 'Lookup Tables'!$R$6:$U$13, 4, FALSE))))</f>
        <v/>
      </c>
      <c r="BE219" s="270" t="str">
        <f>IFERROR(IF(B219="", "",  IF(B219="New Construction", VLOOKUP(F219, 'Lookup Tables'!$A$6:$K$59, 11, FALSE),IF(OR(AN219="", AN219="Light Switch"), 0, IF(OR(M219="",M219="None",V219= "LED Exit Signs"),0,_xlfn.XLOOKUP(M219,'Lookup Tables'!$R$91:$R$101,'Lookup Tables'!$V$91:$V$101))))), "")</f>
        <v/>
      </c>
      <c r="BF219" s="270" t="str">
        <f>IF(AND(OR(AN219="Light Switch",AN219=""),B219="New Construction"), VLOOKUP(F219, 'Lookup Tables'!$A$6:$K$59, 11, FALSE),IF(AN219="","",IF(B219="","",IF(OR(AN219="None",AN219="",V219="LED Exit Signs",AN219="Exterior Controls Not Eligible"),0,_xlfn.XLOOKUP(AN219,'Lookup Tables'!$R$91:$R$101,'Lookup Tables'!$V$91:$V$101)))))</f>
        <v/>
      </c>
      <c r="BG219" s="88" t="str">
        <f t="shared" si="559"/>
        <v/>
      </c>
      <c r="BH219" s="88" t="str">
        <f t="shared" si="560"/>
        <v/>
      </c>
      <c r="BI219" s="558" t="str">
        <f t="shared" si="604"/>
        <v/>
      </c>
      <c r="BJ219" s="82" t="str">
        <f t="shared" si="561"/>
        <v/>
      </c>
      <c r="BK219" s="82" t="str">
        <f t="shared" si="562"/>
        <v/>
      </c>
      <c r="BL219" s="559" t="str">
        <f t="shared" si="563"/>
        <v/>
      </c>
      <c r="BM219" s="521" t="str">
        <f t="shared" si="508"/>
        <v/>
      </c>
      <c r="BN219" s="521" t="str">
        <f t="shared" si="509"/>
        <v/>
      </c>
      <c r="BO219" s="522" t="str">
        <f t="shared" si="510"/>
        <v/>
      </c>
      <c r="BP219" s="83" t="str">
        <f t="shared" si="564"/>
        <v/>
      </c>
      <c r="BQ219" s="84" t="str">
        <f t="shared" si="565"/>
        <v/>
      </c>
      <c r="BR219" s="184" t="str">
        <f>IFERROR(IF(B219="", "", IF(OR(VLOOKUP(J219, 'Fixture Identities'!$A$6:$L$1023, 3, FALSE)="T12 Linear Fluorescent",VLOOKUP(J219, 'Fixture Identities'!$A$6:$L$1023, 3, FALSE)="T12 U-Tube Fluorescent"), "Y", "N")), "N")</f>
        <v/>
      </c>
      <c r="BS219" s="184" t="str">
        <f t="array" ref="BS219">IFERROR(IF(OR(B219="", V219="", W219=""), "", IF(V219="Custom", "N", IF(OR(W219="Freezer Case Lighting", W219="Refrigerated Case Lighting with Doors"), BT219, IF(B219="Retrofit", INDEX('Lookup Tables'!$AH$6:$AT$102,MATCH(1,('Lookup Tables'!$AH$6:$AH$102=V219)*('Lookup Tables'!$AI$6:$AI$102=W219),FALSE),IF(VLOOKUP(J219, 'Fixture Identities'!$A$6:$B$1023, 2, FALSE)="Incandescent",12, 13)), INDEX('Lookup Tables'!$AH$114:$AS$154,MATCH(1,('Lookup Tables'!$AH$114:$AH$154=V219)*('Lookup Tables'!$AI$114:$AI$154=W219),FALSE),12))))), "N")</f>
        <v/>
      </c>
      <c r="BT219" s="184" t="str">
        <f>IF(J219="", "", IF(AND(OR(W219="Freezer case Lighting", W219="Refrigerated Case Lighting with Doors"),'General Information'!$X$18="LCI"), "N", IF(OR(VLOOKUP(J219, 'Fixture Identities'!$A$6:$B$1023, 2, FALSE)="T12 EPACT/EISA Baseline", VLOOKUP(J219, 'Fixture Identities'!$A$6:$B$1023, 2, FALSE)="Linear Fluorescent", VLOOKUP(J219, 'Fixture Identities'!$A$6:$B$1023, 2, FALSE)="U-Tube Fluorescent"), "Y", "N")))</f>
        <v/>
      </c>
      <c r="BU219" s="184" t="str">
        <f>IFERROR(IF(B219="", "", IF(VLOOKUP(J219, 'Fixture Identities'!$A$6:$B$1023, 2, FALSE)="Exit Sign", "Y", "N")), "N")</f>
        <v/>
      </c>
      <c r="BV219" s="184" t="str">
        <f>IF(V219="Exit Signs", IF(VLOOKUP(J219, 'Fixture Identities'!$A$6:$B$1023, 2, FALSE)="Exit Sign", "N", "Y"), "")</f>
        <v/>
      </c>
      <c r="BW219" s="184" t="str">
        <f t="array" ref="BW219">IFERROR(IF(B219="", "", IF(B219="New Construction", "N", INDEX('Lookup Tables'!$AH$6:$AU$102, MATCH(1, ('Lookup Tables'!$AH$6:$AH$102='Lighting Inventory'!V219)*('Lookup Tables'!$AI$6:$AI$102='Lighting Inventory'!W219), 0), 14))), "N")</f>
        <v/>
      </c>
      <c r="BX219" s="598" t="str">
        <f t="shared" si="566"/>
        <v/>
      </c>
      <c r="BY219" s="598" t="str">
        <f t="shared" si="567"/>
        <v/>
      </c>
      <c r="BZ219" s="598" t="str">
        <f t="shared" si="568"/>
        <v/>
      </c>
      <c r="CA219" s="598" t="str">
        <f t="shared" si="569"/>
        <v/>
      </c>
      <c r="CB219" s="269" t="str">
        <f t="shared" si="570"/>
        <v/>
      </c>
      <c r="CC219" s="517" t="str">
        <f t="shared" si="571"/>
        <v/>
      </c>
      <c r="CD219" s="565" t="str">
        <f t="shared" si="511"/>
        <v/>
      </c>
      <c r="CE219" s="368">
        <v>0</v>
      </c>
      <c r="CF219" s="368" t="str" cm="1">
        <f t="array" ref="CF219">IFERROR(IF(V219="Custom", "$0.1 per kWh", IF(B219="New Construction", CONCATENATE("$",INDEX('Lookup Tables'!$AH$114:$AN$154,MATCH(1,('Lookup Tables'!$AH$114:$AH$154='Lighting Inventory'!V219)*('Lookup Tables'!$AI$114:$AI$154='Lighting Inventory'!W219),FALSE),6)," ",INDEX('Lookup Tables'!$AH$114:$AN$154,MATCH(1,('Lookup Tables'!$AH$114:$AH$154='Lighting Inventory'!V219)*('Lookup Tables'!$AI$114:$AI$154='Lighting Inventory'!W219),FALSE),7)), IF(AND(BU219="N", V219="Exit Signs"), "$0.025 per kWh", CONCATENATE("$",INDEX('Lookup Tables'!$AH$6:$AN$102,MATCH(1,('Lookup Tables'!$AH$6:$AH$102='Lighting Inventory'!V219)*('Lookup Tables'!$AI$6:$AI$102='Lighting Inventory'!W219),FALSE),6)," ",INDEX('Lookup Tables'!$AH$6:$AN$102,MATCH(1,('Lookup Tables'!$AH$6:$AH$102='Lighting Inventory'!V219)*('Lookup Tables'!$AI$6:$AI$102='Lighting Inventory'!W219),FALSE),7))))), "")</f>
        <v/>
      </c>
      <c r="CG219" s="366"/>
      <c r="CH219" s="248" t="str">
        <f t="shared" si="512"/>
        <v/>
      </c>
      <c r="CI219" s="248" t="str">
        <f t="shared" si="513"/>
        <v>Select_IE</v>
      </c>
      <c r="CJ219" s="248" t="str">
        <f t="shared" si="514"/>
        <v/>
      </c>
      <c r="CK219" s="248" t="str">
        <f t="shared" si="515"/>
        <v/>
      </c>
      <c r="CL219" s="248" t="str">
        <f t="shared" si="516"/>
        <v/>
      </c>
      <c r="CM219" s="248" t="str">
        <f>IFERROR(IF(B219="", "", IF(B219="New Construction", VLOOKUP(V219, 'Lookup Tables'!$AF$114:$AG$120, 2, FALSE), VLOOKUP(V219, 'Lookup Tables'!$AD$6:$AE$25, 2, FALSE))), "")</f>
        <v/>
      </c>
      <c r="CN219" s="248" t="str">
        <f t="shared" si="517"/>
        <v/>
      </c>
      <c r="CO219" s="248" t="str">
        <f t="shared" si="518"/>
        <v/>
      </c>
      <c r="CP219" s="592" t="str">
        <f t="shared" si="519"/>
        <v/>
      </c>
      <c r="CQ219" s="248" t="str">
        <f t="shared" si="572"/>
        <v/>
      </c>
      <c r="CR219" s="100"/>
      <c r="CS219" s="250" t="str">
        <f t="shared" si="520"/>
        <v/>
      </c>
      <c r="CT219" s="250" t="str">
        <f t="shared" si="573"/>
        <v/>
      </c>
      <c r="CU219" s="250" t="str">
        <f t="shared" si="574"/>
        <v/>
      </c>
      <c r="CV219" s="250" t="str">
        <f t="shared" si="575"/>
        <v/>
      </c>
      <c r="CW219" s="250" t="str">
        <f t="shared" si="576"/>
        <v/>
      </c>
      <c r="CX219" s="250" t="str">
        <f t="shared" si="521"/>
        <v/>
      </c>
      <c r="CY219" s="250" t="str">
        <f t="shared" si="522"/>
        <v/>
      </c>
      <c r="CZ219" s="250" t="str">
        <f t="shared" si="523"/>
        <v/>
      </c>
      <c r="DA219" s="250" t="str">
        <f t="shared" si="524"/>
        <v/>
      </c>
      <c r="DB219" s="250" t="str">
        <f t="shared" si="525"/>
        <v/>
      </c>
      <c r="DC219" s="250" t="str">
        <f t="shared" si="526"/>
        <v/>
      </c>
      <c r="DD219" s="250" t="str">
        <f t="shared" si="527"/>
        <v/>
      </c>
      <c r="DE219" s="250" t="str">
        <f t="shared" si="528"/>
        <v/>
      </c>
      <c r="DF219" s="250" t="str">
        <f t="shared" si="529"/>
        <v/>
      </c>
      <c r="DG219" s="250" t="str">
        <f t="shared" si="530"/>
        <v/>
      </c>
      <c r="DH219" s="250" t="str">
        <f t="shared" si="531"/>
        <v/>
      </c>
      <c r="DI219" s="250" t="str">
        <f t="shared" si="532"/>
        <v/>
      </c>
      <c r="DJ219" s="250" t="str">
        <f t="shared" si="533"/>
        <v/>
      </c>
      <c r="DK219" s="250" t="str">
        <f t="shared" si="534"/>
        <v/>
      </c>
      <c r="DL219" s="250" t="str">
        <f t="shared" si="535"/>
        <v/>
      </c>
      <c r="DM219" s="250" t="str">
        <f>IF(CD219="ERROR", "ERROR", IF(AND(OR(Y219=$DM$6, Y219='Lookup Tables'!$AD$21, Y219='Lookup Tables'!$AD$22), E219="Interior"), BJ219, ""))</f>
        <v/>
      </c>
      <c r="DN219" s="250" t="str">
        <f>IF(CD219="ERROR", "ERROR", IF(AND(OR(Y219=$DM$6, Y219='Lookup Tables'!$AD$21, Y219='Lookup Tables'!$AD$22), E219="Exterior"), BJ219, ""))</f>
        <v/>
      </c>
      <c r="DO219" s="100"/>
      <c r="DP219" s="250" t="str">
        <f t="shared" si="536"/>
        <v/>
      </c>
      <c r="DQ219" s="250" t="str">
        <f t="shared" si="577"/>
        <v/>
      </c>
      <c r="DR219" s="250" t="str">
        <f t="shared" si="578"/>
        <v/>
      </c>
      <c r="DS219" s="250" t="str">
        <f t="shared" si="579"/>
        <v/>
      </c>
      <c r="DT219" s="250" t="str">
        <f t="shared" si="580"/>
        <v/>
      </c>
      <c r="DU219" s="250" t="str">
        <f t="shared" si="537"/>
        <v/>
      </c>
      <c r="DV219" s="250" t="str">
        <f t="shared" si="538"/>
        <v/>
      </c>
      <c r="DW219" s="250" t="str">
        <f t="shared" si="539"/>
        <v/>
      </c>
      <c r="DX219" s="250" t="str">
        <f t="shared" si="540"/>
        <v/>
      </c>
      <c r="DY219" s="250" t="str">
        <f t="shared" si="541"/>
        <v/>
      </c>
      <c r="DZ219" s="250" t="str">
        <f t="shared" si="542"/>
        <v/>
      </c>
      <c r="EA219" s="250" t="str">
        <f t="shared" si="543"/>
        <v/>
      </c>
      <c r="EB219" s="250" t="str">
        <f t="shared" si="581"/>
        <v/>
      </c>
      <c r="EC219" s="250" t="str">
        <f t="shared" si="544"/>
        <v/>
      </c>
      <c r="ED219" s="250" t="str">
        <f t="shared" si="545"/>
        <v/>
      </c>
      <c r="EE219" s="250" t="str">
        <f t="shared" si="546"/>
        <v/>
      </c>
      <c r="EF219" s="250" t="str">
        <f t="shared" si="547"/>
        <v/>
      </c>
      <c r="EG219" s="250" t="str">
        <f t="shared" si="548"/>
        <v/>
      </c>
      <c r="EH219" s="250" t="str">
        <f>IF(CD219="ERROR", "ERROR", IF(AND(OR($EH$6=Y219, Y219='Lookup Tables'!$AD$21, Y219='Lookup Tables'!$AD$22),E219="Interior"), SUM(BP219:BP219), ""))</f>
        <v/>
      </c>
      <c r="EI219" s="250" t="str">
        <f>IF(CD219="ERROR", "ERROR", IF(AND(OR($EH$6=Y219, Y219='Lookup Tables'!$AD$21, Y219='Lookup Tables'!$AD$22),E219="Exterior"), SUM(BP219:BP219), ""))</f>
        <v/>
      </c>
      <c r="EJ219" s="109"/>
      <c r="EK219" s="485" t="str">
        <f t="shared" si="549"/>
        <v/>
      </c>
      <c r="EL219" s="252" t="str">
        <f t="shared" si="582"/>
        <v/>
      </c>
      <c r="EM219" s="252" t="str">
        <f t="shared" si="583"/>
        <v/>
      </c>
      <c r="EN219" s="252" t="str">
        <f t="shared" si="584"/>
        <v/>
      </c>
      <c r="EO219" s="252" t="str">
        <f t="shared" si="585"/>
        <v/>
      </c>
      <c r="EP219" s="252" t="str">
        <f t="shared" si="586"/>
        <v/>
      </c>
      <c r="EQ219" s="252" t="str">
        <f t="shared" si="587"/>
        <v/>
      </c>
      <c r="ER219" s="252" t="str">
        <f t="shared" si="588"/>
        <v/>
      </c>
      <c r="ES219" s="252" t="str">
        <f t="shared" si="589"/>
        <v/>
      </c>
      <c r="ET219" s="252" t="str">
        <f t="shared" si="590"/>
        <v/>
      </c>
      <c r="EU219" s="252" t="str">
        <f t="shared" si="591"/>
        <v/>
      </c>
      <c r="EV219" s="252" t="str">
        <f t="shared" si="592"/>
        <v/>
      </c>
      <c r="EW219" s="252" t="str">
        <f t="shared" si="593"/>
        <v/>
      </c>
      <c r="EX219" s="252" t="str">
        <f t="shared" si="594"/>
        <v/>
      </c>
      <c r="EY219" s="252" t="str">
        <f t="shared" si="595"/>
        <v/>
      </c>
      <c r="EZ219" s="252" t="str">
        <f t="shared" si="596"/>
        <v/>
      </c>
      <c r="FA219" s="252" t="str">
        <f t="shared" si="597"/>
        <v/>
      </c>
      <c r="FB219" s="252" t="str">
        <f t="shared" si="598"/>
        <v/>
      </c>
      <c r="FC219" s="252" t="str">
        <f>IF(CD219="ERROR", "ERROR", IF(OR(V219="No Change", V219="Not DLC or Energy Star"), "", IF(AND(OR($FC$6=Y219,Y219='Lookup Tables'!$AD$21, Y219='Lookup Tables'!$AD$22),E219="Interior"), S219, "")))</f>
        <v/>
      </c>
      <c r="FD219" s="252" t="str">
        <f t="shared" si="599"/>
        <v/>
      </c>
      <c r="FE219" s="101"/>
      <c r="FF219" s="579" t="str" cm="1">
        <f t="array" ref="FF219">IFERROR(IF(OR(BQ219&lt;=0,AQ219&lt;20,AND(V219="Exit Signs",AN219&gt;0)),"",IF(AND(AQ219&gt;=20,AN219='Lookup Tables'!$R$101),'Lookup Tables'!$U$101*BQ219,AP219*LOOKUP(2,1/((AN219='Lookup Tables'!$R$91:$R$111)*(AQ219&gt;='Lookup Tables'!$S$91:$S$111)*(AQ219&lt;='Lookup Tables'!$T$91:$T$111)),'Lookup Tables'!$U$91:$U$111))),"")</f>
        <v/>
      </c>
      <c r="FG219" s="579"/>
      <c r="FH219" s="579"/>
      <c r="FI219" s="253" t="str">
        <f>IFERROR(ROUND(IF(CD219="ERROR", "ERROR", IF(AND($FI$7=X219,E219="Interior"),VLOOKUP(W219, 'Lookup Tables'!$AI$6:$AM$102, 5, FALSE)*BP219, "")), 2), "")</f>
        <v/>
      </c>
      <c r="FJ219" s="253" t="str">
        <f>IFERROR(ROUND(IF(CD219="ERROR", "ERROR", IF(AND($FI$7=X219,E219="Exterior"),VLOOKUP(W219, 'Lookup Tables'!$AI$6:$AM$102, 5, FALSE)*BP219, "")), 2), "")</f>
        <v/>
      </c>
      <c r="FK219" s="253" t="str">
        <f>IFERROR(ROUND(IF(CD219="ERROR", "ERROR", IF(AND($FK$7=X219,E219="Interior"),VLOOKUP(W219, 'Lookup Tables'!$AI$6:$AM$102, 5, FALSE)*BP219, "")), 2), "")</f>
        <v/>
      </c>
      <c r="FL219" s="253" t="str">
        <f>IFERROR(ROUND(IF(CD219="ERROR", "ERROR", IF(AND($FK$7=X219,E219="Exterior"),VLOOKUP(W219, 'Lookup Tables'!$AI$6:$AM$102, 5, FALSE)*BP219, "")), 2), "")</f>
        <v/>
      </c>
      <c r="FM219" s="253" t="str">
        <f>IFERROR(ROUND(IF(CD219="ERROR", "ERROR", IF(AND($FM$6=Y219,E219="Interior"), IF(GB219=0, VLOOKUP(W219, 'Lookup Tables'!$AI$6:$AM$102, 5, FALSE)*BP219, IF(VLOOKUP(W219, 'Lookup Tables'!$AI$6:$AM$102, 5, FALSE)*BP219&gt;GB219*'Lighting Inventory'!S219, GB219*'Lighting Inventory'!S219,VLOOKUP(W219, 'Lookup Tables'!$AI$6:$AM$102, 5, FALSE)*BP219)), "")), 2), "")</f>
        <v/>
      </c>
      <c r="FN219" s="253" t="str">
        <f>IFERROR(ROUND(IF(CD219="ERROR", "ERROR", IF(AND($FM$6=Y219,E219="Exterior"), IF(GB219=0, VLOOKUP(W219, 'Lookup Tables'!$AI$6:$AM$102, 5, FALSE)*BP219, IF(VLOOKUP(W219, 'Lookup Tables'!$AI$6:$AM$102, 5, FALSE)*BP219&gt;GB219*'Lighting Inventory'!S219, GB219*'Lighting Inventory'!S219,VLOOKUP(W219, 'Lookup Tables'!$AI$6:$AM$102, 5, FALSE)*BP219)), "")), 2), "")</f>
        <v/>
      </c>
      <c r="FO219" s="253" t="str">
        <f>IFERROR(ROUND(IF(CD219="ERROR", "ERROR", IF(AND($FO$6=Y219,E219="Interior"),VLOOKUP(W219, 'Lookup Tables'!$AI$6:$AM$102, 5, FALSE)*'Lighting Inventory'!AI219, "")), 2), "")</f>
        <v/>
      </c>
      <c r="FP219" s="253" t="str">
        <f>IFERROR(ROUND(IF(CD219="ERROR", "ERROR", IF(AND($FO$6=Y219,E219="Exterior"),VLOOKUP(W219, 'Lookup Tables'!$AI$6:$AM$102, 5, FALSE)*'Lighting Inventory'!AI219, "")), 2), "")</f>
        <v/>
      </c>
      <c r="FQ219" s="253" t="str">
        <f>IFERROR(ROUND(IF(CD219="ERROR", "ERROR", IF(AND($FQ$6=Y219,E219="Interior", BU219="Y"), VLOOKUP('Lighting Inventory'!W219, 'Lookup Tables'!$AI$6:$AM$102, 5, FALSE)*'Lighting Inventory'!S219, IF(AND($FQ$7=Y219,E219="Interior", BU219="N"), 0.025*CD219, ""))), 2), "")</f>
        <v/>
      </c>
      <c r="FR219" s="253" t="str">
        <f>IFERROR(ROUND(IF(CD219="ERROR", "ERROR", IF(AND($FQ$6=Y219,E219="Exterior"), VLOOKUP('Lighting Inventory'!W219, 'Lookup Tables'!$AI$6:$AM$102, 5, FALSE)*'Lighting Inventory'!S219, "")), 2), "")</f>
        <v/>
      </c>
      <c r="FS219" s="253" t="str">
        <f>IFERROR(ROUND(IF(CD219="ERROR", "ERROR", IF(AND($FS$6=Y219,E219="Exterior"), IF(GB219=0, VLOOKUP(W219, 'Lookup Tables'!$AI$6:$AM$102, 5, FALSE)*BP219, IF(VLOOKUP(W219, 'Lookup Tables'!$AI$6:$AM$102, 5, FALSE)*BP219&gt;GB219*'Lighting Inventory'!S219, GB219*'Lighting Inventory'!S219,VLOOKUP(W219, 'Lookup Tables'!$AI$6:$AM$102, 5, FALSE)*BP219)), "")), 2), "")</f>
        <v/>
      </c>
      <c r="FT219" s="253" t="str">
        <f>IFERROR(ROUND(IF(CD219="ERROR", "ERROR", IF(AND($FT$6=Y219,E219="Interior"), IF(GB219=0, VLOOKUP(W219, 'Lookup Tables'!$AI$6:$AM$102, 5, FALSE)*BP219, IF(VLOOKUP(W219, 'Lookup Tables'!$AI$6:$AM$102, 5, FALSE)*BP219&gt;GB219*'Lighting Inventory'!S219, GB219*'Lighting Inventory'!S219,VLOOKUP(W219, 'Lookup Tables'!$AI$6:$AM$102, 5, FALSE)*BP219)), "")), 2), "")</f>
        <v/>
      </c>
      <c r="FU219" s="253" t="str">
        <f>IFERROR(ROUND(IF(CD219="ERROR", "ERROR", IF(AND(Y219=$FU$6, E219="Interior"), IF(BS219="N", 'Lookup Tables'!$AM$101*BP219, VLOOKUP(W219, 'Lookup Tables'!$AI$6:$AM$102, 5, FALSE)*S219*AD219), "")), 2), "")</f>
        <v/>
      </c>
      <c r="FV219" s="253" t="str">
        <f>IFERROR(ROUND(IF(CD219="ERROR", "ERROR", IF(AND(Y219=$FU$6, E219="Exterior"), IF(BS219="N", 'Lookup Tables'!$AM$101*BP219, VLOOKUP(W219, 'Lookup Tables'!$AI$6:$AM$102, 5, FALSE)*S219*AD219), "")), 2), "")</f>
        <v/>
      </c>
      <c r="FW219" s="253" t="str">
        <f>IFERROR(ROUND(IF(CD219="ERROR", "ERROR", IF($FW$6=Y219, IF(BS219="N", 'Lookup Tables'!$AM$101*BP219, MIN((VLOOKUP(W219, 'Lookup Tables'!$AI$6:$AM$102, 5, FALSE)*BP219),GB219*AJ219)), "")), 2), "")</f>
        <v/>
      </c>
      <c r="FX219" s="253" t="str">
        <f>IFERROR(ROUND(IF(CD219="ERROR", "ERROR", IF(AND($FX$6=Y219, E219="Interior"), IF(VLOOKUP(W219, 'Lookup Tables'!$AI$6:$AM$102, 5, FALSE)*BP219&gt;'Lookup Tables'!$AQ$97*'Lighting Inventory'!S219,'Lighting Inventory'!S219*'Lookup Tables'!$AQ$97,VLOOKUP(W219, 'Lookup Tables'!$AI$6:$AM$102, 5, FALSE)*BP219), "")), 2), "")</f>
        <v/>
      </c>
      <c r="FY219" s="253" t="str">
        <f>IFERROR(ROUND(IF(CD219="ERROR", "ERROR", IF(AND($FX$6=Y219, E219="Exterior"), IF(VLOOKUP(W219, 'Lookup Tables'!$AI$6:$AM$102, 5, FALSE)*BP219&gt;'Lookup Tables'!$AQ$97*'Lighting Inventory'!S219,'Lighting Inventory'!S219*'Lookup Tables'!$AQ$97,VLOOKUP(W219, 'Lookup Tables'!$AI$6:$AM$102, 5, FALSE)*BP219), "")), 2), "")</f>
        <v/>
      </c>
      <c r="FZ219" s="253" t="str">
        <f>IFERROR(ROUND(IF(CD219="ERROR", "ERROR", IF(AND($FZ$6=Y219, E219="Interior"), IF(AND(OR(W219="Refrigerated Case Lighting with Doors", W219="Freezer Case Lighting"),Y219="Custom - Process Improvement"),CD219*'Lookup Tables'!$AM$101, IF(B219="Retrofit", IF(VLOOKUP(IF(V219="Custom", V219, W219), 'Lookup Tables'!$AI$6:$AM$102, 5, FALSE)*BP219&gt;GE219, GE219, VLOOKUP(IF(V219="Custom", V219, W219), 'Lookup Tables'!$AI$6:$AM$102, 5, FALSE)*BP219), IF(VLOOKUP(IF(V219="Custom", V219, W219), 'Lookup Tables'!$AI$114:$AM$154, 5, FALSE)*BP219&gt;GE219, GE219, VLOOKUP(IF(V219="Custom", V219, W219), 'Lookup Tables'!$AI$114:$AM$154, 5, FALSE)*BP219))), "")), 2),"")</f>
        <v/>
      </c>
      <c r="GA219" s="253" t="str">
        <f>IFERROR(ROUND(IF(CD219="ERROR", "ERROR", IF(AND($FZ$6=Y219, E219="Exterior"), IF(B219="Retrofit", IF(VLOOKUP(IF(V219="Custom", V219, W219), 'Lookup Tables'!$AI$6:$AM$102, 5, FALSE)*BP219&gt;GE219, GE219, VLOOKUP(IF(V219="Custom", V219, W219), 'Lookup Tables'!$AI$6:$AM$102, 5, FALSE)*BP219), IF(VLOOKUP(IF(V219="Custom", V219, W219), 'Lookup Tables'!$AI$114:$AM$154, 5, FALSE)*BP219&gt;GE219, GE219, VLOOKUP(IF(V219="Custom", V219, W219), 'Lookup Tables'!$AI$114:$AM$154, 5, FALSE)*BP219)), "")), 2),"")</f>
        <v/>
      </c>
      <c r="GB219" s="254" t="str">
        <f t="array" ref="GB219">IF(B219="","",IF(OR(V219="Custom",V219="No Change"),0,IF(B219="Retrofit", INDEX('Lookup Tables'!$AH$6:$AQ$102,MATCH(1,('Lookup Tables'!$AH$6:$AH$102='Lighting Inventory'!V219)*('Lookup Tables'!$AI$6:$AI$102='Lighting Inventory'!W219),FALSE),10),INDEX('Lookup Tables'!$AH$114:$AQ$154,MATCH(1,('Lookup Tables'!$AH$114:$AH$154='Lighting Inventory'!V219)*('Lookup Tables'!$AI$114:$AI$154='Lighting Inventory'!W219),FALSE),10))))</f>
        <v/>
      </c>
      <c r="GC219" s="255" t="str">
        <f t="shared" si="550"/>
        <v/>
      </c>
      <c r="GD219" s="250" t="str">
        <f t="shared" si="551"/>
        <v/>
      </c>
      <c r="GE219" s="253" t="str">
        <f>IFERROR(IF(AND(AF219="", 'General Information'!$F$18="No"),"", IF(AF219="", ((GD219/$CD$266)*$CF$266)*0.5, AF219*S219*0.5)), "")</f>
        <v/>
      </c>
      <c r="GF219" s="255" t="str">
        <f>IF(AND('General Information'!$F$19="", 'General Information'!$F$18="Yes",AF219="",BW219="Y"), "Y", "N")</f>
        <v>N</v>
      </c>
      <c r="GG219" s="255" t="s">
        <v>2946</v>
      </c>
      <c r="GH219" s="255" t="str">
        <f>IFERROR(IF(B219="", "", VLOOKUP(J219, 'Fixture Identities'!$A$6:$N$908, 14, FALSE)), "")</f>
        <v/>
      </c>
      <c r="GI219" s="389" t="str">
        <f>IF(OR(B219="", V219="", W219=""), "", IF(AND(OR(M219='Lookup Tables'!$R$18, M219='Lookup Tables'!$R$19, M219='Lookup Tables'!$R$20, M219='Lookup Tables'!$R$21, M219='Lookup Tables'!$R$22), OR(AN219='Lookup Tables'!$R$17, AN219='Lookup Tables'!$R$17, AN219="")), "Y", "N"))</f>
        <v/>
      </c>
      <c r="GJ219" s="255" t="str">
        <f t="shared" si="552"/>
        <v/>
      </c>
      <c r="GK219" s="255" t="str">
        <f t="shared" si="553"/>
        <v/>
      </c>
      <c r="GL219" s="255" t="str">
        <f t="shared" si="554"/>
        <v/>
      </c>
      <c r="GM219" s="255" t="str">
        <f>IF(AN219="", "", IF(AND(IF(ISNA(VLOOKUP(AN219,'Lookup Tables'!$R$18:$R$22,1,FALSE)), "N", "Y")="Y", E219="Exterior"), "Y", "N"))</f>
        <v/>
      </c>
      <c r="GN219" s="395"/>
      <c r="GO219" s="428">
        <f t="shared" si="600"/>
        <v>0</v>
      </c>
      <c r="GP219" s="428">
        <f t="shared" si="603"/>
        <v>0</v>
      </c>
      <c r="GQ219" s="428">
        <f t="shared" si="601"/>
        <v>0</v>
      </c>
      <c r="GR219" s="428">
        <f t="shared" si="602"/>
        <v>0</v>
      </c>
    </row>
    <row r="220" spans="1:200" s="103" customFormat="1" ht="13.5" customHeight="1" x14ac:dyDescent="0.2">
      <c r="A220" s="272">
        <v>210</v>
      </c>
      <c r="B220" s="110"/>
      <c r="C220" s="110"/>
      <c r="D220" s="110"/>
      <c r="E220" s="110"/>
      <c r="F220" s="110"/>
      <c r="G220" s="110"/>
      <c r="H220" s="110"/>
      <c r="I220" s="29"/>
      <c r="J220" s="29"/>
      <c r="K220" s="272" t="str">
        <f>IFERROR(IF(OR(VLOOKUP(J220, 'Fixture Identities'!$A$6:$L$1023, 3, FALSE)="T12 Linear Fluorescent", VLOOKUP(J220, 'Fixture Identities'!$A$6:$L$1023, 3, FALSE)="T12 U-Tube Fluorescent"), VLOOKUP(VLOOKUP(J220, 'Fixture Identities'!$A$6:$L$1023, 11, FALSE), 'Fixture Identities'!$A$6:$L$1023, 10, FALSE), VLOOKUP(J220, 'Fixture Identities'!$A$6:$L$1023, 10, FALSE)), "")</f>
        <v/>
      </c>
      <c r="L220" s="270" t="str">
        <f t="shared" si="605"/>
        <v/>
      </c>
      <c r="M220" s="110"/>
      <c r="N220" s="110"/>
      <c r="O220" s="110"/>
      <c r="P220" s="272" t="str">
        <f>IFERROR(IF(OR(B220="Retrofit",B220=""),"",IF('Lighting Inventory'!E220="Exterior",VLOOKUP('Lighting Inventory'!N220,'Lookup Tables'!$B$83:$F$103,5,FALSE),IF(N220="Other - Please Estimate EFLH and CFs","Contact Prog. Rep.","ft^2"))), "")</f>
        <v/>
      </c>
      <c r="Q220" s="270" t="str">
        <f>IFERROR(IF(AND(B220="New Construction",E220="Interior",$F$5="Space-by-Space"),VLOOKUP('Lighting Inventory'!N220,'Lookup Tables'!$N$6:$O$97,2,FALSE),IF(AND(B220="New Construction",E220="Exterior"),VLOOKUP(N220,'Lookup Tables'!$B$83:$F$103,2,FALSE),IF(AND(B220="New Construction",'Lighting Inventory'!E220="Interior", $F$5="Building Area"),VLOOKUP(F220,'Lookup Tables'!$A$6:$J$59,10,FALSE),""))), "")</f>
        <v/>
      </c>
      <c r="R220" s="270" t="str">
        <f>IFERROR(IF(P220="Contact Prog. Rep.", "ERROR", IF(OR(B220="",B220="Retrofit"),"",IF(N220="Automated teller machines", ('Lookup Tables'!$A$82:$E$100+('Lighting Inventory'!O220-1)*'Lookup Tables'!$A$82:$E$100)/1000, (Q220*O220)/1000))), "")</f>
        <v/>
      </c>
      <c r="S220" s="595"/>
      <c r="T220" s="105" t="str">
        <f t="shared" si="555"/>
        <v/>
      </c>
      <c r="U220" s="105" t="str">
        <f>IF(S220="","",COUNT($S$11:S220))</f>
        <v/>
      </c>
      <c r="V220" s="111"/>
      <c r="W220" s="112"/>
      <c r="X220" s="105" t="str">
        <f t="shared" si="556"/>
        <v/>
      </c>
      <c r="Y220" s="105" t="str">
        <f t="array" ref="Y220">IF(AND(OR(W220="Freezer Case Lighting", W220="Refrigerated Case Lighting with Doors"), 'General Information'!$X$18="LCI"),'Lookup Tables'!$Y$34, IF(V220="Custom", VLOOKUP(W220, 'Fixture Identities'!$A$974:$M$1023, 13, FALSE), IF(V220="No Change",'Lookup Tables'!$Y$29,IF(OR(V220="",W220=""),"",IF(AND(S220=0,S220&lt;I220,B220="Retrofit"),'Lookup Tables'!$Y$25, IF(B220="Retrofit", INDEX('Lookup Tables'!$AH$6:$AP$102, MATCH(1, ('Lookup Tables'!$AH$6:$AH$102=V220)*('Lookup Tables'!$AI$6:$AI$102=W220), 0), IF('Lighting Inventory'!E220="Interior", 4, 5)), INDEX('Lookup Tables'!$AH$114:$AP$154, MATCH(1, ('Lookup Tables'!$AH$114:$AH$154=V220)*('Lookup Tables'!$AI$114:$AI$154=W220), 0), IF('Lighting Inventory'!E220="Interior", 4, 5))))))))</f>
        <v/>
      </c>
      <c r="Z220" s="105" t="str">
        <f>IFERROR(INDEX('Lookup Tables'!$AH$158:$AH$172,MATCH('Lighting Inventory'!Y220,'Lookup Tables'!$AI$158:$AI$172,0)),"")</f>
        <v/>
      </c>
      <c r="AA220" s="105" t="str">
        <f>IF(AP220&gt;0,INDEX('Lookup Tables'!$AK$158:$AK$172,MATCH('Lighting Inventory'!Y220,'Lookup Tables'!$AI$158:$AI$172,0)),'Lighting Inventory'!Y220)</f>
        <v/>
      </c>
      <c r="AB220" s="105" t="str">
        <f t="array" ref="AB220">IF(V220="Custom", "Custom", IF(V220="", "", IF(V220="Not DLC or Energy Star", "General", IF(B220="New Construction", INDEX('Lookup Tables'!$AH$114:$AP$154,MATCH(1,('Lookup Tables'!$AH$114:$AH$154='Lighting Inventory'!V220)*('Lookup Tables'!$AI$114:$AI$154='Lighting Inventory'!W220),FALSE),8), INDEX('Lookup Tables'!$AH$6:$AP$102,MATCH(1,('Lookup Tables'!$AH$6:$AH$102='Lighting Inventory'!V220)*('Lookup Tables'!$AI$6:$AI$102='Lighting Inventory'!W220),FALSE),8)))))</f>
        <v/>
      </c>
      <c r="AC220" s="272" t="str">
        <f>IF(W220="","",IF(V220="Custom",CONCATENATE("$",'Lookup Tables'!$AM$101," ",'Lookup Tables'!$AN$101),CONCATENATE("$",INDEX('Lookup Tables'!$AM$6:$AM$102,MATCH('Lighting Inventory'!W220,'Lookup Tables'!$AI$6:$AI$102,0))," ",INDEX('Lookup Tables'!$AN$6:$AN$102,MATCH('Lighting Inventory'!W220,'Lookup Tables'!$AI$6:$AI$102,0)))))</f>
        <v/>
      </c>
      <c r="AD220" s="72"/>
      <c r="AE220" s="29"/>
      <c r="AF220" s="379"/>
      <c r="AG220" s="370" t="str">
        <f t="shared" si="504"/>
        <v/>
      </c>
      <c r="AH220" s="370" t="str">
        <f t="shared" si="557"/>
        <v/>
      </c>
      <c r="AI220" s="29"/>
      <c r="AJ220" s="29"/>
      <c r="AK220" s="110"/>
      <c r="AL220" s="375" t="str">
        <f>IF(OR(B220="", V220="", W220=""), "", IF(V220="No Change", K220, IF(V220="Remove Fixture", 0, IF(V220="Custom",VLOOKUP(W220,'Fixture Identities'!$A$6:$K$1023,10,FALSE),IF(AE220="", "← ENTER POST WATTS", 'Lighting Inventory'!AE220)))))</f>
        <v/>
      </c>
      <c r="AM220" s="376" t="str">
        <f t="shared" si="505"/>
        <v/>
      </c>
      <c r="AN220" s="29"/>
      <c r="AO220" s="671"/>
      <c r="AP220" s="29"/>
      <c r="AQ220" s="29"/>
      <c r="AR220" s="29"/>
      <c r="AS220" s="272" t="str">
        <f t="shared" si="558"/>
        <v/>
      </c>
      <c r="AT220" s="270" t="str">
        <f t="shared" si="506"/>
        <v/>
      </c>
      <c r="AU220" s="88" t="str">
        <f t="shared" si="606"/>
        <v/>
      </c>
      <c r="AV220" s="29"/>
      <c r="AW220" s="73"/>
      <c r="AX220" s="271" t="str">
        <f>IF(AND(AV220="Applicant",OR(AW220="", AW220="Use Default Facility Hours")),"← Choose Schedule",IF(F220="","",IF(W220="LED Exit Signs",8760,IF(OR(AV220="Prescribed",AV220=""),VLOOKUP(F220,'Lookup Tables'!$A$6:$G$59,IF(AB220="General", 6, 3),FALSE),VLOOKUP(AW220,'Lookup Tables'!$S$36:$U$43,2,FALSE)))))</f>
        <v/>
      </c>
      <c r="AY220" s="88" t="str">
        <f t="shared" si="507"/>
        <v/>
      </c>
      <c r="AZ220" s="270" t="str">
        <f>IFERROR(IF(F220="", "", IF(W220="LED Exit Signs", 1, IF(AV220="Applicant",VLOOKUP(AW220, 'Lookup Tables'!$S$36:$U$43,3, FALSE), VLOOKUP('Lighting Inventory'!F220, 'Lookup Tables'!$A$6:$H$59, IF('Lighting Inventory'!AB220="General",7,4), FALSE)))), "")</f>
        <v/>
      </c>
      <c r="BA220" s="522" t="str">
        <f>IFERROR(IF(F220="", "", IF(W220="LED Exit Signs", 1, VLOOKUP('Lighting Inventory'!F220, 'Lookup Tables'!$A$6:$H$59, IF('Lighting Inventory'!AB220="General",8,5), FALSE))), "")</f>
        <v/>
      </c>
      <c r="BB220" s="270" t="str">
        <f>IF(G220="", "", IF(E220="Exterior", 0, IF('Lighting Inventory'!G220="Air Conditioned", VLOOKUP(H220, 'Lookup Tables'!$R$6:$T$13, 2, FALSE), VLOOKUP('Lighting Inventory'!G220, 'Lookup Tables'!$R$6:$T$13, 2, FALSE))))</f>
        <v/>
      </c>
      <c r="BC220" s="522" t="str">
        <f>IF(G220="", "", IF(E220="Exterior", 0, IF('Lighting Inventory'!G220="Air Conditioned", VLOOKUP(H220, 'Lookup Tables'!$R$6:$T$13, 3, FALSE), VLOOKUP('Lighting Inventory'!G220, 'Lookup Tables'!$R$6:$T$13, 3, FALSE))))</f>
        <v/>
      </c>
      <c r="BD220" s="270" t="str">
        <f>IF(G220="", "", IF(E220="Exterior", 0, IF('Lighting Inventory'!G220="Air Conditioned", VLOOKUP(H220, 'Lookup Tables'!$R$6:$U$13, 4, FALSE), VLOOKUP('Lighting Inventory'!G220, 'Lookup Tables'!$R$6:$U$13, 4, FALSE))))</f>
        <v/>
      </c>
      <c r="BE220" s="270" t="str">
        <f>IFERROR(IF(B220="", "",  IF(B220="New Construction", VLOOKUP(F220, 'Lookup Tables'!$A$6:$K$59, 11, FALSE),IF(OR(AN220="", AN220="Light Switch"), 0, IF(OR(M220="",M220="None",V220= "LED Exit Signs"),0,_xlfn.XLOOKUP(M220,'Lookup Tables'!$R$91:$R$101,'Lookup Tables'!$V$91:$V$101))))), "")</f>
        <v/>
      </c>
      <c r="BF220" s="270" t="str">
        <f>IF(AND(OR(AN220="Light Switch",AN220=""),B220="New Construction"), VLOOKUP(F220, 'Lookup Tables'!$A$6:$K$59, 11, FALSE),IF(AN220="","",IF(B220="","",IF(OR(AN220="None",AN220="",V220="LED Exit Signs",AN220="Exterior Controls Not Eligible"),0,_xlfn.XLOOKUP(AN220,'Lookup Tables'!$R$91:$R$101,'Lookup Tables'!$V$91:$V$101)))))</f>
        <v/>
      </c>
      <c r="BG220" s="88" t="str">
        <f t="shared" si="559"/>
        <v/>
      </c>
      <c r="BH220" s="88" t="str">
        <f t="shared" si="560"/>
        <v/>
      </c>
      <c r="BI220" s="558" t="str">
        <f t="shared" si="604"/>
        <v/>
      </c>
      <c r="BJ220" s="82" t="str">
        <f t="shared" si="561"/>
        <v/>
      </c>
      <c r="BK220" s="82" t="str">
        <f t="shared" si="562"/>
        <v/>
      </c>
      <c r="BL220" s="559" t="str">
        <f t="shared" si="563"/>
        <v/>
      </c>
      <c r="BM220" s="521" t="str">
        <f t="shared" si="508"/>
        <v/>
      </c>
      <c r="BN220" s="521" t="str">
        <f t="shared" si="509"/>
        <v/>
      </c>
      <c r="BO220" s="522" t="str">
        <f t="shared" si="510"/>
        <v/>
      </c>
      <c r="BP220" s="83" t="str">
        <f t="shared" si="564"/>
        <v/>
      </c>
      <c r="BQ220" s="84" t="str">
        <f t="shared" si="565"/>
        <v/>
      </c>
      <c r="BR220" s="184" t="str">
        <f>IFERROR(IF(B220="", "", IF(OR(VLOOKUP(J220, 'Fixture Identities'!$A$6:$L$1023, 3, FALSE)="T12 Linear Fluorescent",VLOOKUP(J220, 'Fixture Identities'!$A$6:$L$1023, 3, FALSE)="T12 U-Tube Fluorescent"), "Y", "N")), "N")</f>
        <v/>
      </c>
      <c r="BS220" s="184" t="str">
        <f t="array" ref="BS220">IFERROR(IF(OR(B220="", V220="", W220=""), "", IF(V220="Custom", "N", IF(OR(W220="Freezer Case Lighting", W220="Refrigerated Case Lighting with Doors"), BT220, IF(B220="Retrofit", INDEX('Lookup Tables'!$AH$6:$AT$102,MATCH(1,('Lookup Tables'!$AH$6:$AH$102=V220)*('Lookup Tables'!$AI$6:$AI$102=W220),FALSE),IF(VLOOKUP(J220, 'Fixture Identities'!$A$6:$B$1023, 2, FALSE)="Incandescent",12, 13)), INDEX('Lookup Tables'!$AH$114:$AS$154,MATCH(1,('Lookup Tables'!$AH$114:$AH$154=V220)*('Lookup Tables'!$AI$114:$AI$154=W220),FALSE),12))))), "N")</f>
        <v/>
      </c>
      <c r="BT220" s="184" t="str">
        <f>IF(J220="", "", IF(AND(OR(W220="Freezer case Lighting", W220="Refrigerated Case Lighting with Doors"),'General Information'!$X$18="LCI"), "N", IF(OR(VLOOKUP(J220, 'Fixture Identities'!$A$6:$B$1023, 2, FALSE)="T12 EPACT/EISA Baseline", VLOOKUP(J220, 'Fixture Identities'!$A$6:$B$1023, 2, FALSE)="Linear Fluorescent", VLOOKUP(J220, 'Fixture Identities'!$A$6:$B$1023, 2, FALSE)="U-Tube Fluorescent"), "Y", "N")))</f>
        <v/>
      </c>
      <c r="BU220" s="184" t="str">
        <f>IFERROR(IF(B220="", "", IF(VLOOKUP(J220, 'Fixture Identities'!$A$6:$B$1023, 2, FALSE)="Exit Sign", "Y", "N")), "N")</f>
        <v/>
      </c>
      <c r="BV220" s="184" t="str">
        <f>IF(V220="Exit Signs", IF(VLOOKUP(J220, 'Fixture Identities'!$A$6:$B$1023, 2, FALSE)="Exit Sign", "N", "Y"), "")</f>
        <v/>
      </c>
      <c r="BW220" s="184" t="str">
        <f t="array" ref="BW220">IFERROR(IF(B220="", "", IF(B220="New Construction", "N", INDEX('Lookup Tables'!$AH$6:$AU$102, MATCH(1, ('Lookup Tables'!$AH$6:$AH$102='Lighting Inventory'!V220)*('Lookup Tables'!$AI$6:$AI$102='Lighting Inventory'!W220), 0), 14))), "N")</f>
        <v/>
      </c>
      <c r="BX220" s="598" t="str">
        <f t="shared" si="566"/>
        <v/>
      </c>
      <c r="BY220" s="598" t="str">
        <f t="shared" si="567"/>
        <v/>
      </c>
      <c r="BZ220" s="598" t="str">
        <f t="shared" si="568"/>
        <v/>
      </c>
      <c r="CA220" s="598" t="str">
        <f t="shared" si="569"/>
        <v/>
      </c>
      <c r="CB220" s="269" t="str">
        <f t="shared" si="570"/>
        <v/>
      </c>
      <c r="CC220" s="517" t="str">
        <f t="shared" si="571"/>
        <v/>
      </c>
      <c r="CD220" s="565" t="str">
        <f t="shared" si="511"/>
        <v/>
      </c>
      <c r="CE220" s="368">
        <v>0</v>
      </c>
      <c r="CF220" s="368" t="str" cm="1">
        <f t="array" ref="CF220">IFERROR(IF(V220="Custom", "$0.1 per kWh", IF(B220="New Construction", CONCATENATE("$",INDEX('Lookup Tables'!$AH$114:$AN$154,MATCH(1,('Lookup Tables'!$AH$114:$AH$154='Lighting Inventory'!V220)*('Lookup Tables'!$AI$114:$AI$154='Lighting Inventory'!W220),FALSE),6)," ",INDEX('Lookup Tables'!$AH$114:$AN$154,MATCH(1,('Lookup Tables'!$AH$114:$AH$154='Lighting Inventory'!V220)*('Lookup Tables'!$AI$114:$AI$154='Lighting Inventory'!W220),FALSE),7)), IF(AND(BU220="N", V220="Exit Signs"), "$0.025 per kWh", CONCATENATE("$",INDEX('Lookup Tables'!$AH$6:$AN$102,MATCH(1,('Lookup Tables'!$AH$6:$AH$102='Lighting Inventory'!V220)*('Lookup Tables'!$AI$6:$AI$102='Lighting Inventory'!W220),FALSE),6)," ",INDEX('Lookup Tables'!$AH$6:$AN$102,MATCH(1,('Lookup Tables'!$AH$6:$AH$102='Lighting Inventory'!V220)*('Lookup Tables'!$AI$6:$AI$102='Lighting Inventory'!W220),FALSE),7))))), "")</f>
        <v/>
      </c>
      <c r="CG220" s="366"/>
      <c r="CH220" s="248" t="str">
        <f t="shared" si="512"/>
        <v/>
      </c>
      <c r="CI220" s="248" t="str">
        <f t="shared" si="513"/>
        <v>Select_IE</v>
      </c>
      <c r="CJ220" s="248" t="str">
        <f t="shared" si="514"/>
        <v/>
      </c>
      <c r="CK220" s="248" t="str">
        <f t="shared" si="515"/>
        <v/>
      </c>
      <c r="CL220" s="248" t="str">
        <f t="shared" si="516"/>
        <v/>
      </c>
      <c r="CM220" s="248" t="str">
        <f>IFERROR(IF(B220="", "", IF(B220="New Construction", VLOOKUP(V220, 'Lookup Tables'!$AF$114:$AG$120, 2, FALSE), VLOOKUP(V220, 'Lookup Tables'!$AD$6:$AE$25, 2, FALSE))), "")</f>
        <v/>
      </c>
      <c r="CN220" s="248" t="str">
        <f t="shared" si="517"/>
        <v/>
      </c>
      <c r="CO220" s="248" t="str">
        <f t="shared" si="518"/>
        <v/>
      </c>
      <c r="CP220" s="592" t="str">
        <f t="shared" si="519"/>
        <v/>
      </c>
      <c r="CQ220" s="248" t="str">
        <f t="shared" si="572"/>
        <v/>
      </c>
      <c r="CR220" s="100"/>
      <c r="CS220" s="250" t="str">
        <f t="shared" si="520"/>
        <v/>
      </c>
      <c r="CT220" s="250" t="str">
        <f t="shared" si="573"/>
        <v/>
      </c>
      <c r="CU220" s="250" t="str">
        <f t="shared" si="574"/>
        <v/>
      </c>
      <c r="CV220" s="250" t="str">
        <f t="shared" si="575"/>
        <v/>
      </c>
      <c r="CW220" s="250" t="str">
        <f t="shared" si="576"/>
        <v/>
      </c>
      <c r="CX220" s="250" t="str">
        <f t="shared" si="521"/>
        <v/>
      </c>
      <c r="CY220" s="250" t="str">
        <f t="shared" si="522"/>
        <v/>
      </c>
      <c r="CZ220" s="250" t="str">
        <f t="shared" si="523"/>
        <v/>
      </c>
      <c r="DA220" s="250" t="str">
        <f t="shared" si="524"/>
        <v/>
      </c>
      <c r="DB220" s="250" t="str">
        <f t="shared" si="525"/>
        <v/>
      </c>
      <c r="DC220" s="250" t="str">
        <f t="shared" si="526"/>
        <v/>
      </c>
      <c r="DD220" s="250" t="str">
        <f t="shared" si="527"/>
        <v/>
      </c>
      <c r="DE220" s="250" t="str">
        <f t="shared" si="528"/>
        <v/>
      </c>
      <c r="DF220" s="250" t="str">
        <f t="shared" si="529"/>
        <v/>
      </c>
      <c r="DG220" s="250" t="str">
        <f t="shared" si="530"/>
        <v/>
      </c>
      <c r="DH220" s="250" t="str">
        <f t="shared" si="531"/>
        <v/>
      </c>
      <c r="DI220" s="250" t="str">
        <f t="shared" si="532"/>
        <v/>
      </c>
      <c r="DJ220" s="250" t="str">
        <f t="shared" si="533"/>
        <v/>
      </c>
      <c r="DK220" s="250" t="str">
        <f t="shared" si="534"/>
        <v/>
      </c>
      <c r="DL220" s="250" t="str">
        <f t="shared" si="535"/>
        <v/>
      </c>
      <c r="DM220" s="250" t="str">
        <f>IF(CD220="ERROR", "ERROR", IF(AND(OR(Y220=$DM$6, Y220='Lookup Tables'!$AD$21, Y220='Lookup Tables'!$AD$22), E220="Interior"), BJ220, ""))</f>
        <v/>
      </c>
      <c r="DN220" s="250" t="str">
        <f>IF(CD220="ERROR", "ERROR", IF(AND(OR(Y220=$DM$6, Y220='Lookup Tables'!$AD$21, Y220='Lookup Tables'!$AD$22), E220="Exterior"), BJ220, ""))</f>
        <v/>
      </c>
      <c r="DO220" s="100"/>
      <c r="DP220" s="250" t="str">
        <f t="shared" si="536"/>
        <v/>
      </c>
      <c r="DQ220" s="250" t="str">
        <f t="shared" si="577"/>
        <v/>
      </c>
      <c r="DR220" s="250" t="str">
        <f t="shared" si="578"/>
        <v/>
      </c>
      <c r="DS220" s="250" t="str">
        <f t="shared" si="579"/>
        <v/>
      </c>
      <c r="DT220" s="250" t="str">
        <f t="shared" si="580"/>
        <v/>
      </c>
      <c r="DU220" s="250" t="str">
        <f t="shared" si="537"/>
        <v/>
      </c>
      <c r="DV220" s="250" t="str">
        <f t="shared" si="538"/>
        <v/>
      </c>
      <c r="DW220" s="250" t="str">
        <f t="shared" si="539"/>
        <v/>
      </c>
      <c r="DX220" s="250" t="str">
        <f t="shared" si="540"/>
        <v/>
      </c>
      <c r="DY220" s="250" t="str">
        <f t="shared" si="541"/>
        <v/>
      </c>
      <c r="DZ220" s="250" t="str">
        <f t="shared" si="542"/>
        <v/>
      </c>
      <c r="EA220" s="250" t="str">
        <f t="shared" si="543"/>
        <v/>
      </c>
      <c r="EB220" s="250" t="str">
        <f t="shared" si="581"/>
        <v/>
      </c>
      <c r="EC220" s="250" t="str">
        <f t="shared" si="544"/>
        <v/>
      </c>
      <c r="ED220" s="250" t="str">
        <f t="shared" si="545"/>
        <v/>
      </c>
      <c r="EE220" s="250" t="str">
        <f t="shared" si="546"/>
        <v/>
      </c>
      <c r="EF220" s="250" t="str">
        <f t="shared" si="547"/>
        <v/>
      </c>
      <c r="EG220" s="250" t="str">
        <f t="shared" si="548"/>
        <v/>
      </c>
      <c r="EH220" s="250" t="str">
        <f>IF(CD220="ERROR", "ERROR", IF(AND(OR($EH$6=Y220, Y220='Lookup Tables'!$AD$21, Y220='Lookup Tables'!$AD$22),E220="Interior"), SUM(BP220:BP220), ""))</f>
        <v/>
      </c>
      <c r="EI220" s="250" t="str">
        <f>IF(CD220="ERROR", "ERROR", IF(AND(OR($EH$6=Y220, Y220='Lookup Tables'!$AD$21, Y220='Lookup Tables'!$AD$22),E220="Exterior"), SUM(BP220:BP220), ""))</f>
        <v/>
      </c>
      <c r="EJ220" s="109"/>
      <c r="EK220" s="485" t="str">
        <f t="shared" si="549"/>
        <v/>
      </c>
      <c r="EL220" s="252" t="str">
        <f t="shared" si="582"/>
        <v/>
      </c>
      <c r="EM220" s="252" t="str">
        <f t="shared" si="583"/>
        <v/>
      </c>
      <c r="EN220" s="252" t="str">
        <f t="shared" si="584"/>
        <v/>
      </c>
      <c r="EO220" s="252" t="str">
        <f t="shared" si="585"/>
        <v/>
      </c>
      <c r="EP220" s="252" t="str">
        <f t="shared" si="586"/>
        <v/>
      </c>
      <c r="EQ220" s="252" t="str">
        <f t="shared" si="587"/>
        <v/>
      </c>
      <c r="ER220" s="252" t="str">
        <f t="shared" si="588"/>
        <v/>
      </c>
      <c r="ES220" s="252" t="str">
        <f t="shared" si="589"/>
        <v/>
      </c>
      <c r="ET220" s="252" t="str">
        <f t="shared" si="590"/>
        <v/>
      </c>
      <c r="EU220" s="252" t="str">
        <f t="shared" si="591"/>
        <v/>
      </c>
      <c r="EV220" s="252" t="str">
        <f t="shared" si="592"/>
        <v/>
      </c>
      <c r="EW220" s="252" t="str">
        <f t="shared" si="593"/>
        <v/>
      </c>
      <c r="EX220" s="252" t="str">
        <f t="shared" si="594"/>
        <v/>
      </c>
      <c r="EY220" s="252" t="str">
        <f t="shared" si="595"/>
        <v/>
      </c>
      <c r="EZ220" s="252" t="str">
        <f t="shared" si="596"/>
        <v/>
      </c>
      <c r="FA220" s="252" t="str">
        <f t="shared" si="597"/>
        <v/>
      </c>
      <c r="FB220" s="252" t="str">
        <f t="shared" si="598"/>
        <v/>
      </c>
      <c r="FC220" s="252" t="str">
        <f>IF(CD220="ERROR", "ERROR", IF(OR(V220="No Change", V220="Not DLC or Energy Star"), "", IF(AND(OR($FC$6=Y220,Y220='Lookup Tables'!$AD$21, Y220='Lookup Tables'!$AD$22),E220="Interior"), S220, "")))</f>
        <v/>
      </c>
      <c r="FD220" s="252" t="str">
        <f t="shared" si="599"/>
        <v/>
      </c>
      <c r="FE220" s="101"/>
      <c r="FF220" s="579" t="str" cm="1">
        <f t="array" ref="FF220">IFERROR(IF(OR(BQ220&lt;=0,AQ220&lt;20,AND(V220="Exit Signs",AN220&gt;0)),"",IF(AND(AQ220&gt;=20,AN220='Lookup Tables'!$R$101),'Lookup Tables'!$U$101*BQ220,AP220*LOOKUP(2,1/((AN220='Lookup Tables'!$R$91:$R$111)*(AQ220&gt;='Lookup Tables'!$S$91:$S$111)*(AQ220&lt;='Lookup Tables'!$T$91:$T$111)),'Lookup Tables'!$U$91:$U$111))),"")</f>
        <v/>
      </c>
      <c r="FG220" s="579"/>
      <c r="FH220" s="579"/>
      <c r="FI220" s="253" t="str">
        <f>IFERROR(ROUND(IF(CD220="ERROR", "ERROR", IF(AND($FI$7=X220,E220="Interior"),VLOOKUP(W220, 'Lookup Tables'!$AI$6:$AM$102, 5, FALSE)*BP220, "")), 2), "")</f>
        <v/>
      </c>
      <c r="FJ220" s="253" t="str">
        <f>IFERROR(ROUND(IF(CD220="ERROR", "ERROR", IF(AND($FI$7=X220,E220="Exterior"),VLOOKUP(W220, 'Lookup Tables'!$AI$6:$AM$102, 5, FALSE)*BP220, "")), 2), "")</f>
        <v/>
      </c>
      <c r="FK220" s="253" t="str">
        <f>IFERROR(ROUND(IF(CD220="ERROR", "ERROR", IF(AND($FK$7=X220,E220="Interior"),VLOOKUP(W220, 'Lookup Tables'!$AI$6:$AM$102, 5, FALSE)*BP220, "")), 2), "")</f>
        <v/>
      </c>
      <c r="FL220" s="253" t="str">
        <f>IFERROR(ROUND(IF(CD220="ERROR", "ERROR", IF(AND($FK$7=X220,E220="Exterior"),VLOOKUP(W220, 'Lookup Tables'!$AI$6:$AM$102, 5, FALSE)*BP220, "")), 2), "")</f>
        <v/>
      </c>
      <c r="FM220" s="253" t="str">
        <f>IFERROR(ROUND(IF(CD220="ERROR", "ERROR", IF(AND($FM$6=Y220,E220="Interior"), IF(GB220=0, VLOOKUP(W220, 'Lookup Tables'!$AI$6:$AM$102, 5, FALSE)*BP220, IF(VLOOKUP(W220, 'Lookup Tables'!$AI$6:$AM$102, 5, FALSE)*BP220&gt;GB220*'Lighting Inventory'!S220, GB220*'Lighting Inventory'!S220,VLOOKUP(W220, 'Lookup Tables'!$AI$6:$AM$102, 5, FALSE)*BP220)), "")), 2), "")</f>
        <v/>
      </c>
      <c r="FN220" s="253" t="str">
        <f>IFERROR(ROUND(IF(CD220="ERROR", "ERROR", IF(AND($FM$6=Y220,E220="Exterior"), IF(GB220=0, VLOOKUP(W220, 'Lookup Tables'!$AI$6:$AM$102, 5, FALSE)*BP220, IF(VLOOKUP(W220, 'Lookup Tables'!$AI$6:$AM$102, 5, FALSE)*BP220&gt;GB220*'Lighting Inventory'!S220, GB220*'Lighting Inventory'!S220,VLOOKUP(W220, 'Lookup Tables'!$AI$6:$AM$102, 5, FALSE)*BP220)), "")), 2), "")</f>
        <v/>
      </c>
      <c r="FO220" s="253" t="str">
        <f>IFERROR(ROUND(IF(CD220="ERROR", "ERROR", IF(AND($FO$6=Y220,E220="Interior"),VLOOKUP(W220, 'Lookup Tables'!$AI$6:$AM$102, 5, FALSE)*'Lighting Inventory'!AI220, "")), 2), "")</f>
        <v/>
      </c>
      <c r="FP220" s="253" t="str">
        <f>IFERROR(ROUND(IF(CD220="ERROR", "ERROR", IF(AND($FO$6=Y220,E220="Exterior"),VLOOKUP(W220, 'Lookup Tables'!$AI$6:$AM$102, 5, FALSE)*'Lighting Inventory'!AI220, "")), 2), "")</f>
        <v/>
      </c>
      <c r="FQ220" s="253" t="str">
        <f>IFERROR(ROUND(IF(CD220="ERROR", "ERROR", IF(AND($FQ$6=Y220,E220="Interior", BU220="Y"), VLOOKUP('Lighting Inventory'!W220, 'Lookup Tables'!$AI$6:$AM$102, 5, FALSE)*'Lighting Inventory'!S220, IF(AND($FQ$7=Y220,E220="Interior", BU220="N"), 0.025*CD220, ""))), 2), "")</f>
        <v/>
      </c>
      <c r="FR220" s="253" t="str">
        <f>IFERROR(ROUND(IF(CD220="ERROR", "ERROR", IF(AND($FQ$6=Y220,E220="Exterior"), VLOOKUP('Lighting Inventory'!W220, 'Lookup Tables'!$AI$6:$AM$102, 5, FALSE)*'Lighting Inventory'!S220, "")), 2), "")</f>
        <v/>
      </c>
      <c r="FS220" s="253" t="str">
        <f>IFERROR(ROUND(IF(CD220="ERROR", "ERROR", IF(AND($FS$6=Y220,E220="Exterior"), IF(GB220=0, VLOOKUP(W220, 'Lookup Tables'!$AI$6:$AM$102, 5, FALSE)*BP220, IF(VLOOKUP(W220, 'Lookup Tables'!$AI$6:$AM$102, 5, FALSE)*BP220&gt;GB220*'Lighting Inventory'!S220, GB220*'Lighting Inventory'!S220,VLOOKUP(W220, 'Lookup Tables'!$AI$6:$AM$102, 5, FALSE)*BP220)), "")), 2), "")</f>
        <v/>
      </c>
      <c r="FT220" s="253" t="str">
        <f>IFERROR(ROUND(IF(CD220="ERROR", "ERROR", IF(AND($FT$6=Y220,E220="Interior"), IF(GB220=0, VLOOKUP(W220, 'Lookup Tables'!$AI$6:$AM$102, 5, FALSE)*BP220, IF(VLOOKUP(W220, 'Lookup Tables'!$AI$6:$AM$102, 5, FALSE)*BP220&gt;GB220*'Lighting Inventory'!S220, GB220*'Lighting Inventory'!S220,VLOOKUP(W220, 'Lookup Tables'!$AI$6:$AM$102, 5, FALSE)*BP220)), "")), 2), "")</f>
        <v/>
      </c>
      <c r="FU220" s="253" t="str">
        <f>IFERROR(ROUND(IF(CD220="ERROR", "ERROR", IF(AND(Y220=$FU$6, E220="Interior"), IF(BS220="N", 'Lookup Tables'!$AM$101*BP220, VLOOKUP(W220, 'Lookup Tables'!$AI$6:$AM$102, 5, FALSE)*S220*AD220), "")), 2), "")</f>
        <v/>
      </c>
      <c r="FV220" s="253" t="str">
        <f>IFERROR(ROUND(IF(CD220="ERROR", "ERROR", IF(AND(Y220=$FU$6, E220="Exterior"), IF(BS220="N", 'Lookup Tables'!$AM$101*BP220, VLOOKUP(W220, 'Lookup Tables'!$AI$6:$AM$102, 5, FALSE)*S220*AD220), "")), 2), "")</f>
        <v/>
      </c>
      <c r="FW220" s="253" t="str">
        <f>IFERROR(ROUND(IF(CD220="ERROR", "ERROR", IF($FW$6=Y220, IF(BS220="N", 'Lookup Tables'!$AM$101*BP220, MIN((VLOOKUP(W220, 'Lookup Tables'!$AI$6:$AM$102, 5, FALSE)*BP220),GB220*AJ220)), "")), 2), "")</f>
        <v/>
      </c>
      <c r="FX220" s="253" t="str">
        <f>IFERROR(ROUND(IF(CD220="ERROR", "ERROR", IF(AND($FX$6=Y220, E220="Interior"), IF(VLOOKUP(W220, 'Lookup Tables'!$AI$6:$AM$102, 5, FALSE)*BP220&gt;'Lookup Tables'!$AQ$97*'Lighting Inventory'!S220,'Lighting Inventory'!S220*'Lookup Tables'!$AQ$97,VLOOKUP(W220, 'Lookup Tables'!$AI$6:$AM$102, 5, FALSE)*BP220), "")), 2), "")</f>
        <v/>
      </c>
      <c r="FY220" s="253" t="str">
        <f>IFERROR(ROUND(IF(CD220="ERROR", "ERROR", IF(AND($FX$6=Y220, E220="Exterior"), IF(VLOOKUP(W220, 'Lookup Tables'!$AI$6:$AM$102, 5, FALSE)*BP220&gt;'Lookup Tables'!$AQ$97*'Lighting Inventory'!S220,'Lighting Inventory'!S220*'Lookup Tables'!$AQ$97,VLOOKUP(W220, 'Lookup Tables'!$AI$6:$AM$102, 5, FALSE)*BP220), "")), 2), "")</f>
        <v/>
      </c>
      <c r="FZ220" s="253" t="str">
        <f>IFERROR(ROUND(IF(CD220="ERROR", "ERROR", IF(AND($FZ$6=Y220, E220="Interior"), IF(AND(OR(W220="Refrigerated Case Lighting with Doors", W220="Freezer Case Lighting"),Y220="Custom - Process Improvement"),CD220*'Lookup Tables'!$AM$101, IF(B220="Retrofit", IF(VLOOKUP(IF(V220="Custom", V220, W220), 'Lookup Tables'!$AI$6:$AM$102, 5, FALSE)*BP220&gt;GE220, GE220, VLOOKUP(IF(V220="Custom", V220, W220), 'Lookup Tables'!$AI$6:$AM$102, 5, FALSE)*BP220), IF(VLOOKUP(IF(V220="Custom", V220, W220), 'Lookup Tables'!$AI$114:$AM$154, 5, FALSE)*BP220&gt;GE220, GE220, VLOOKUP(IF(V220="Custom", V220, W220), 'Lookup Tables'!$AI$114:$AM$154, 5, FALSE)*BP220))), "")), 2),"")</f>
        <v/>
      </c>
      <c r="GA220" s="253" t="str">
        <f>IFERROR(ROUND(IF(CD220="ERROR", "ERROR", IF(AND($FZ$6=Y220, E220="Exterior"), IF(B220="Retrofit", IF(VLOOKUP(IF(V220="Custom", V220, W220), 'Lookup Tables'!$AI$6:$AM$102, 5, FALSE)*BP220&gt;GE220, GE220, VLOOKUP(IF(V220="Custom", V220, W220), 'Lookup Tables'!$AI$6:$AM$102, 5, FALSE)*BP220), IF(VLOOKUP(IF(V220="Custom", V220, W220), 'Lookup Tables'!$AI$114:$AM$154, 5, FALSE)*BP220&gt;GE220, GE220, VLOOKUP(IF(V220="Custom", V220, W220), 'Lookup Tables'!$AI$114:$AM$154, 5, FALSE)*BP220)), "")), 2),"")</f>
        <v/>
      </c>
      <c r="GB220" s="254" t="str">
        <f t="array" ref="GB220">IF(B220="","",IF(OR(V220="Custom",V220="No Change"),0,IF(B220="Retrofit", INDEX('Lookup Tables'!$AH$6:$AQ$102,MATCH(1,('Lookup Tables'!$AH$6:$AH$102='Lighting Inventory'!V220)*('Lookup Tables'!$AI$6:$AI$102='Lighting Inventory'!W220),FALSE),10),INDEX('Lookup Tables'!$AH$114:$AQ$154,MATCH(1,('Lookup Tables'!$AH$114:$AH$154='Lighting Inventory'!V220)*('Lookup Tables'!$AI$114:$AI$154='Lighting Inventory'!W220),FALSE),10))))</f>
        <v/>
      </c>
      <c r="GC220" s="255" t="str">
        <f t="shared" si="550"/>
        <v/>
      </c>
      <c r="GD220" s="250" t="str">
        <f t="shared" si="551"/>
        <v/>
      </c>
      <c r="GE220" s="253" t="str">
        <f>IFERROR(IF(AND(AF220="", 'General Information'!$F$18="No"),"", IF(AF220="", ((GD220/$CD$266)*$CF$266)*0.5, AF220*S220*0.5)), "")</f>
        <v/>
      </c>
      <c r="GF220" s="255" t="str">
        <f>IF(AND('General Information'!$F$19="", 'General Information'!$F$18="Yes",AF220="",BW220="Y"), "Y", "N")</f>
        <v>N</v>
      </c>
      <c r="GG220" s="255" t="s">
        <v>2946</v>
      </c>
      <c r="GH220" s="255" t="str">
        <f>IFERROR(IF(B220="", "", VLOOKUP(J220, 'Fixture Identities'!$A$6:$N$908, 14, FALSE)), "")</f>
        <v/>
      </c>
      <c r="GI220" s="389" t="str">
        <f>IF(OR(B220="", V220="", W220=""), "", IF(AND(OR(M220='Lookup Tables'!$R$18, M220='Lookup Tables'!$R$19, M220='Lookup Tables'!$R$20, M220='Lookup Tables'!$R$21, M220='Lookup Tables'!$R$22), OR(AN220='Lookup Tables'!$R$17, AN220='Lookup Tables'!$R$17, AN220="")), "Y", "N"))</f>
        <v/>
      </c>
      <c r="GJ220" s="255" t="str">
        <f t="shared" si="552"/>
        <v/>
      </c>
      <c r="GK220" s="255" t="str">
        <f t="shared" si="553"/>
        <v/>
      </c>
      <c r="GL220" s="255" t="str">
        <f t="shared" si="554"/>
        <v/>
      </c>
      <c r="GM220" s="255" t="str">
        <f>IF(AN220="", "", IF(AND(IF(ISNA(VLOOKUP(AN220,'Lookup Tables'!$R$18:$R$22,1,FALSE)), "N", "Y")="Y", E220="Exterior"), "Y", "N"))</f>
        <v/>
      </c>
      <c r="GN220" s="395"/>
      <c r="GO220" s="428">
        <f t="shared" si="600"/>
        <v>0</v>
      </c>
      <c r="GP220" s="428">
        <f t="shared" si="603"/>
        <v>0</v>
      </c>
      <c r="GQ220" s="428">
        <f t="shared" si="601"/>
        <v>0</v>
      </c>
      <c r="GR220" s="428">
        <f t="shared" si="602"/>
        <v>0</v>
      </c>
    </row>
    <row r="221" spans="1:200" s="103" customFormat="1" ht="13.5" customHeight="1" x14ac:dyDescent="0.2">
      <c r="A221" s="272">
        <v>211</v>
      </c>
      <c r="B221" s="110"/>
      <c r="C221" s="110"/>
      <c r="D221" s="110"/>
      <c r="E221" s="110"/>
      <c r="F221" s="110"/>
      <c r="G221" s="110"/>
      <c r="H221" s="110"/>
      <c r="I221" s="29"/>
      <c r="J221" s="29"/>
      <c r="K221" s="272" t="str">
        <f>IFERROR(IF(OR(VLOOKUP(J221, 'Fixture Identities'!$A$6:$L$1023, 3, FALSE)="T12 Linear Fluorescent", VLOOKUP(J221, 'Fixture Identities'!$A$6:$L$1023, 3, FALSE)="T12 U-Tube Fluorescent"), VLOOKUP(VLOOKUP(J221, 'Fixture Identities'!$A$6:$L$1023, 11, FALSE), 'Fixture Identities'!$A$6:$L$1023, 10, FALSE), VLOOKUP(J221, 'Fixture Identities'!$A$6:$L$1023, 10, FALSE)), "")</f>
        <v/>
      </c>
      <c r="L221" s="270" t="str">
        <f t="shared" si="605"/>
        <v/>
      </c>
      <c r="M221" s="110"/>
      <c r="N221" s="110"/>
      <c r="O221" s="110"/>
      <c r="P221" s="272" t="str">
        <f>IFERROR(IF(OR(B221="Retrofit",B221=""),"",IF('Lighting Inventory'!E221="Exterior",VLOOKUP('Lighting Inventory'!N221,'Lookup Tables'!$B$83:$F$103,5,FALSE),IF(N221="Other - Please Estimate EFLH and CFs","Contact Prog. Rep.","ft^2"))), "")</f>
        <v/>
      </c>
      <c r="Q221" s="270" t="str">
        <f>IFERROR(IF(AND(B221="New Construction",E221="Interior",$F$5="Space-by-Space"),VLOOKUP('Lighting Inventory'!N221,'Lookup Tables'!$N$6:$O$97,2,FALSE),IF(AND(B221="New Construction",E221="Exterior"),VLOOKUP(N221,'Lookup Tables'!$B$83:$F$103,2,FALSE),IF(AND(B221="New Construction",'Lighting Inventory'!E221="Interior", $F$5="Building Area"),VLOOKUP(F221,'Lookup Tables'!$A$6:$J$59,10,FALSE),""))), "")</f>
        <v/>
      </c>
      <c r="R221" s="270" t="str">
        <f>IFERROR(IF(P221="Contact Prog. Rep.", "ERROR", IF(OR(B221="",B221="Retrofit"),"",IF(N221="Automated teller machines", ('Lookup Tables'!$A$82:$E$100+('Lighting Inventory'!O221-1)*'Lookup Tables'!$A$82:$E$100)/1000, (Q221*O221)/1000))), "")</f>
        <v/>
      </c>
      <c r="S221" s="595"/>
      <c r="T221" s="105" t="str">
        <f t="shared" si="555"/>
        <v/>
      </c>
      <c r="U221" s="105" t="str">
        <f>IF(S221="","",COUNT($S$11:S221))</f>
        <v/>
      </c>
      <c r="V221" s="111"/>
      <c r="W221" s="112"/>
      <c r="X221" s="105" t="str">
        <f t="shared" si="556"/>
        <v/>
      </c>
      <c r="Y221" s="105" t="str">
        <f t="array" ref="Y221">IF(AND(OR(W221="Freezer Case Lighting", W221="Refrigerated Case Lighting with Doors"), 'General Information'!$X$18="LCI"),'Lookup Tables'!$Y$34, IF(V221="Custom", VLOOKUP(W221, 'Fixture Identities'!$A$974:$M$1023, 13, FALSE), IF(V221="No Change",'Lookup Tables'!$Y$29,IF(OR(V221="",W221=""),"",IF(AND(S221=0,S221&lt;I221,B221="Retrofit"),'Lookup Tables'!$Y$25, IF(B221="Retrofit", INDEX('Lookup Tables'!$AH$6:$AP$102, MATCH(1, ('Lookup Tables'!$AH$6:$AH$102=V221)*('Lookup Tables'!$AI$6:$AI$102=W221), 0), IF('Lighting Inventory'!E221="Interior", 4, 5)), INDEX('Lookup Tables'!$AH$114:$AP$154, MATCH(1, ('Lookup Tables'!$AH$114:$AH$154=V221)*('Lookup Tables'!$AI$114:$AI$154=W221), 0), IF('Lighting Inventory'!E221="Interior", 4, 5))))))))</f>
        <v/>
      </c>
      <c r="Z221" s="105" t="str">
        <f>IFERROR(INDEX('Lookup Tables'!$AH$158:$AH$172,MATCH('Lighting Inventory'!Y221,'Lookup Tables'!$AI$158:$AI$172,0)),"")</f>
        <v/>
      </c>
      <c r="AA221" s="105" t="str">
        <f>IF(AP221&gt;0,INDEX('Lookup Tables'!$AK$158:$AK$172,MATCH('Lighting Inventory'!Y221,'Lookup Tables'!$AI$158:$AI$172,0)),'Lighting Inventory'!Y221)</f>
        <v/>
      </c>
      <c r="AB221" s="105" t="str">
        <f t="array" ref="AB221">IF(V221="Custom", "Custom", IF(V221="", "", IF(V221="Not DLC or Energy Star", "General", IF(B221="New Construction", INDEX('Lookup Tables'!$AH$114:$AP$154,MATCH(1,('Lookup Tables'!$AH$114:$AH$154='Lighting Inventory'!V221)*('Lookup Tables'!$AI$114:$AI$154='Lighting Inventory'!W221),FALSE),8), INDEX('Lookup Tables'!$AH$6:$AP$102,MATCH(1,('Lookup Tables'!$AH$6:$AH$102='Lighting Inventory'!V221)*('Lookup Tables'!$AI$6:$AI$102='Lighting Inventory'!W221),FALSE),8)))))</f>
        <v/>
      </c>
      <c r="AC221" s="272" t="str">
        <f>IF(W221="","",IF(V221="Custom",CONCATENATE("$",'Lookup Tables'!$AM$101," ",'Lookup Tables'!$AN$101),CONCATENATE("$",INDEX('Lookup Tables'!$AM$6:$AM$102,MATCH('Lighting Inventory'!W221,'Lookup Tables'!$AI$6:$AI$102,0))," ",INDEX('Lookup Tables'!$AN$6:$AN$102,MATCH('Lighting Inventory'!W221,'Lookup Tables'!$AI$6:$AI$102,0)))))</f>
        <v/>
      </c>
      <c r="AD221" s="72"/>
      <c r="AE221" s="29"/>
      <c r="AF221" s="379"/>
      <c r="AG221" s="370" t="str">
        <f t="shared" si="504"/>
        <v/>
      </c>
      <c r="AH221" s="370" t="str">
        <f t="shared" si="557"/>
        <v/>
      </c>
      <c r="AI221" s="29"/>
      <c r="AJ221" s="29"/>
      <c r="AK221" s="110"/>
      <c r="AL221" s="375" t="str">
        <f>IF(OR(B221="", V221="", W221=""), "", IF(V221="No Change", K221, IF(V221="Remove Fixture", 0, IF(V221="Custom",VLOOKUP(W221,'Fixture Identities'!$A$6:$K$1023,10,FALSE),IF(AE221="", "← ENTER POST WATTS", 'Lighting Inventory'!AE221)))))</f>
        <v/>
      </c>
      <c r="AM221" s="376" t="str">
        <f t="shared" si="505"/>
        <v/>
      </c>
      <c r="AN221" s="29"/>
      <c r="AO221" s="671"/>
      <c r="AP221" s="29"/>
      <c r="AQ221" s="29"/>
      <c r="AR221" s="29"/>
      <c r="AS221" s="272" t="str">
        <f t="shared" si="558"/>
        <v/>
      </c>
      <c r="AT221" s="270" t="str">
        <f t="shared" si="506"/>
        <v/>
      </c>
      <c r="AU221" s="88" t="str">
        <f t="shared" si="606"/>
        <v/>
      </c>
      <c r="AV221" s="29"/>
      <c r="AW221" s="73"/>
      <c r="AX221" s="271" t="str">
        <f>IF(AND(AV221="Applicant",OR(AW221="", AW221="Use Default Facility Hours")),"← Choose Schedule",IF(F221="","",IF(W221="LED Exit Signs",8760,IF(OR(AV221="Prescribed",AV221=""),VLOOKUP(F221,'Lookup Tables'!$A$6:$G$59,IF(AB221="General", 6, 3),FALSE),VLOOKUP(AW221,'Lookup Tables'!$S$36:$U$43,2,FALSE)))))</f>
        <v/>
      </c>
      <c r="AY221" s="88" t="str">
        <f t="shared" si="507"/>
        <v/>
      </c>
      <c r="AZ221" s="270" t="str">
        <f>IFERROR(IF(F221="", "", IF(W221="LED Exit Signs", 1, IF(AV221="Applicant",VLOOKUP(AW221, 'Lookup Tables'!$S$36:$U$43,3, FALSE), VLOOKUP('Lighting Inventory'!F221, 'Lookup Tables'!$A$6:$H$59, IF('Lighting Inventory'!AB221="General",7,4), FALSE)))), "")</f>
        <v/>
      </c>
      <c r="BA221" s="522" t="str">
        <f>IFERROR(IF(F221="", "", IF(W221="LED Exit Signs", 1, VLOOKUP('Lighting Inventory'!F221, 'Lookup Tables'!$A$6:$H$59, IF('Lighting Inventory'!AB221="General",8,5), FALSE))), "")</f>
        <v/>
      </c>
      <c r="BB221" s="270" t="str">
        <f>IF(G221="", "", IF(E221="Exterior", 0, IF('Lighting Inventory'!G221="Air Conditioned", VLOOKUP(H221, 'Lookup Tables'!$R$6:$T$13, 2, FALSE), VLOOKUP('Lighting Inventory'!G221, 'Lookup Tables'!$R$6:$T$13, 2, FALSE))))</f>
        <v/>
      </c>
      <c r="BC221" s="522" t="str">
        <f>IF(G221="", "", IF(E221="Exterior", 0, IF('Lighting Inventory'!G221="Air Conditioned", VLOOKUP(H221, 'Lookup Tables'!$R$6:$T$13, 3, FALSE), VLOOKUP('Lighting Inventory'!G221, 'Lookup Tables'!$R$6:$T$13, 3, FALSE))))</f>
        <v/>
      </c>
      <c r="BD221" s="270" t="str">
        <f>IF(G221="", "", IF(E221="Exterior", 0, IF('Lighting Inventory'!G221="Air Conditioned", VLOOKUP(H221, 'Lookup Tables'!$R$6:$U$13, 4, FALSE), VLOOKUP('Lighting Inventory'!G221, 'Lookup Tables'!$R$6:$U$13, 4, FALSE))))</f>
        <v/>
      </c>
      <c r="BE221" s="270" t="str">
        <f>IFERROR(IF(B221="", "",  IF(B221="New Construction", VLOOKUP(F221, 'Lookup Tables'!$A$6:$K$59, 11, FALSE),IF(OR(AN221="", AN221="Light Switch"), 0, IF(OR(M221="",M221="None",V221= "LED Exit Signs"),0,_xlfn.XLOOKUP(M221,'Lookup Tables'!$R$91:$R$101,'Lookup Tables'!$V$91:$V$101))))), "")</f>
        <v/>
      </c>
      <c r="BF221" s="270" t="str">
        <f>IF(AND(OR(AN221="Light Switch",AN221=""),B221="New Construction"), VLOOKUP(F221, 'Lookup Tables'!$A$6:$K$59, 11, FALSE),IF(AN221="","",IF(B221="","",IF(OR(AN221="None",AN221="",V221="LED Exit Signs",AN221="Exterior Controls Not Eligible"),0,_xlfn.XLOOKUP(AN221,'Lookup Tables'!$R$91:$R$101,'Lookup Tables'!$V$91:$V$101)))))</f>
        <v/>
      </c>
      <c r="BG221" s="88" t="str">
        <f t="shared" si="559"/>
        <v/>
      </c>
      <c r="BH221" s="88" t="str">
        <f t="shared" si="560"/>
        <v/>
      </c>
      <c r="BI221" s="558" t="str">
        <f t="shared" si="604"/>
        <v/>
      </c>
      <c r="BJ221" s="82" t="str">
        <f t="shared" si="561"/>
        <v/>
      </c>
      <c r="BK221" s="82" t="str">
        <f t="shared" si="562"/>
        <v/>
      </c>
      <c r="BL221" s="559" t="str">
        <f t="shared" si="563"/>
        <v/>
      </c>
      <c r="BM221" s="521" t="str">
        <f t="shared" si="508"/>
        <v/>
      </c>
      <c r="BN221" s="521" t="str">
        <f t="shared" si="509"/>
        <v/>
      </c>
      <c r="BO221" s="522" t="str">
        <f t="shared" si="510"/>
        <v/>
      </c>
      <c r="BP221" s="83" t="str">
        <f t="shared" si="564"/>
        <v/>
      </c>
      <c r="BQ221" s="84" t="str">
        <f t="shared" si="565"/>
        <v/>
      </c>
      <c r="BR221" s="184" t="str">
        <f>IFERROR(IF(B221="", "", IF(OR(VLOOKUP(J221, 'Fixture Identities'!$A$6:$L$1023, 3, FALSE)="T12 Linear Fluorescent",VLOOKUP(J221, 'Fixture Identities'!$A$6:$L$1023, 3, FALSE)="T12 U-Tube Fluorescent"), "Y", "N")), "N")</f>
        <v/>
      </c>
      <c r="BS221" s="184" t="str">
        <f t="array" ref="BS221">IFERROR(IF(OR(B221="", V221="", W221=""), "", IF(V221="Custom", "N", IF(OR(W221="Freezer Case Lighting", W221="Refrigerated Case Lighting with Doors"), BT221, IF(B221="Retrofit", INDEX('Lookup Tables'!$AH$6:$AT$102,MATCH(1,('Lookup Tables'!$AH$6:$AH$102=V221)*('Lookup Tables'!$AI$6:$AI$102=W221),FALSE),IF(VLOOKUP(J221, 'Fixture Identities'!$A$6:$B$1023, 2, FALSE)="Incandescent",12, 13)), INDEX('Lookup Tables'!$AH$114:$AS$154,MATCH(1,('Lookup Tables'!$AH$114:$AH$154=V221)*('Lookup Tables'!$AI$114:$AI$154=W221),FALSE),12))))), "N")</f>
        <v/>
      </c>
      <c r="BT221" s="184" t="str">
        <f>IF(J221="", "", IF(AND(OR(W221="Freezer case Lighting", W221="Refrigerated Case Lighting with Doors"),'General Information'!$X$18="LCI"), "N", IF(OR(VLOOKUP(J221, 'Fixture Identities'!$A$6:$B$1023, 2, FALSE)="T12 EPACT/EISA Baseline", VLOOKUP(J221, 'Fixture Identities'!$A$6:$B$1023, 2, FALSE)="Linear Fluorescent", VLOOKUP(J221, 'Fixture Identities'!$A$6:$B$1023, 2, FALSE)="U-Tube Fluorescent"), "Y", "N")))</f>
        <v/>
      </c>
      <c r="BU221" s="184" t="str">
        <f>IFERROR(IF(B221="", "", IF(VLOOKUP(J221, 'Fixture Identities'!$A$6:$B$1023, 2, FALSE)="Exit Sign", "Y", "N")), "N")</f>
        <v/>
      </c>
      <c r="BV221" s="184" t="str">
        <f>IF(V221="Exit Signs", IF(VLOOKUP(J221, 'Fixture Identities'!$A$6:$B$1023, 2, FALSE)="Exit Sign", "N", "Y"), "")</f>
        <v/>
      </c>
      <c r="BW221" s="184" t="str">
        <f t="array" ref="BW221">IFERROR(IF(B221="", "", IF(B221="New Construction", "N", INDEX('Lookup Tables'!$AH$6:$AU$102, MATCH(1, ('Lookup Tables'!$AH$6:$AH$102='Lighting Inventory'!V221)*('Lookup Tables'!$AI$6:$AI$102='Lighting Inventory'!W221), 0), 14))), "N")</f>
        <v/>
      </c>
      <c r="BX221" s="598" t="str">
        <f t="shared" si="566"/>
        <v/>
      </c>
      <c r="BY221" s="598" t="str">
        <f t="shared" si="567"/>
        <v/>
      </c>
      <c r="BZ221" s="598" t="str">
        <f t="shared" si="568"/>
        <v/>
      </c>
      <c r="CA221" s="598" t="str">
        <f t="shared" si="569"/>
        <v/>
      </c>
      <c r="CB221" s="269" t="str">
        <f t="shared" si="570"/>
        <v/>
      </c>
      <c r="CC221" s="517" t="str">
        <f t="shared" si="571"/>
        <v/>
      </c>
      <c r="CD221" s="565" t="str">
        <f t="shared" si="511"/>
        <v/>
      </c>
      <c r="CE221" s="368">
        <v>0</v>
      </c>
      <c r="CF221" s="368" t="str" cm="1">
        <f t="array" ref="CF221">IFERROR(IF(V221="Custom", "$0.1 per kWh", IF(B221="New Construction", CONCATENATE("$",INDEX('Lookup Tables'!$AH$114:$AN$154,MATCH(1,('Lookup Tables'!$AH$114:$AH$154='Lighting Inventory'!V221)*('Lookup Tables'!$AI$114:$AI$154='Lighting Inventory'!W221),FALSE),6)," ",INDEX('Lookup Tables'!$AH$114:$AN$154,MATCH(1,('Lookup Tables'!$AH$114:$AH$154='Lighting Inventory'!V221)*('Lookup Tables'!$AI$114:$AI$154='Lighting Inventory'!W221),FALSE),7)), IF(AND(BU221="N", V221="Exit Signs"), "$0.025 per kWh", CONCATENATE("$",INDEX('Lookup Tables'!$AH$6:$AN$102,MATCH(1,('Lookup Tables'!$AH$6:$AH$102='Lighting Inventory'!V221)*('Lookup Tables'!$AI$6:$AI$102='Lighting Inventory'!W221),FALSE),6)," ",INDEX('Lookup Tables'!$AH$6:$AN$102,MATCH(1,('Lookup Tables'!$AH$6:$AH$102='Lighting Inventory'!V221)*('Lookup Tables'!$AI$6:$AI$102='Lighting Inventory'!W221),FALSE),7))))), "")</f>
        <v/>
      </c>
      <c r="CG221" s="366"/>
      <c r="CH221" s="248" t="str">
        <f t="shared" si="512"/>
        <v/>
      </c>
      <c r="CI221" s="248" t="str">
        <f t="shared" si="513"/>
        <v>Select_IE</v>
      </c>
      <c r="CJ221" s="248" t="str">
        <f t="shared" si="514"/>
        <v/>
      </c>
      <c r="CK221" s="248" t="str">
        <f t="shared" si="515"/>
        <v/>
      </c>
      <c r="CL221" s="248" t="str">
        <f t="shared" si="516"/>
        <v/>
      </c>
      <c r="CM221" s="248" t="str">
        <f>IFERROR(IF(B221="", "", IF(B221="New Construction", VLOOKUP(V221, 'Lookup Tables'!$AF$114:$AG$120, 2, FALSE), VLOOKUP(V221, 'Lookup Tables'!$AD$6:$AE$25, 2, FALSE))), "")</f>
        <v/>
      </c>
      <c r="CN221" s="248" t="str">
        <f t="shared" si="517"/>
        <v/>
      </c>
      <c r="CO221" s="248" t="str">
        <f t="shared" si="518"/>
        <v/>
      </c>
      <c r="CP221" s="592" t="str">
        <f t="shared" si="519"/>
        <v/>
      </c>
      <c r="CQ221" s="248" t="str">
        <f t="shared" si="572"/>
        <v/>
      </c>
      <c r="CR221" s="100"/>
      <c r="CS221" s="250" t="str">
        <f t="shared" si="520"/>
        <v/>
      </c>
      <c r="CT221" s="250" t="str">
        <f t="shared" si="573"/>
        <v/>
      </c>
      <c r="CU221" s="250" t="str">
        <f t="shared" si="574"/>
        <v/>
      </c>
      <c r="CV221" s="250" t="str">
        <f t="shared" si="575"/>
        <v/>
      </c>
      <c r="CW221" s="250" t="str">
        <f t="shared" si="576"/>
        <v/>
      </c>
      <c r="CX221" s="250" t="str">
        <f t="shared" si="521"/>
        <v/>
      </c>
      <c r="CY221" s="250" t="str">
        <f t="shared" si="522"/>
        <v/>
      </c>
      <c r="CZ221" s="250" t="str">
        <f t="shared" si="523"/>
        <v/>
      </c>
      <c r="DA221" s="250" t="str">
        <f t="shared" si="524"/>
        <v/>
      </c>
      <c r="DB221" s="250" t="str">
        <f t="shared" si="525"/>
        <v/>
      </c>
      <c r="DC221" s="250" t="str">
        <f t="shared" si="526"/>
        <v/>
      </c>
      <c r="DD221" s="250" t="str">
        <f t="shared" si="527"/>
        <v/>
      </c>
      <c r="DE221" s="250" t="str">
        <f t="shared" si="528"/>
        <v/>
      </c>
      <c r="DF221" s="250" t="str">
        <f t="shared" si="529"/>
        <v/>
      </c>
      <c r="DG221" s="250" t="str">
        <f t="shared" si="530"/>
        <v/>
      </c>
      <c r="DH221" s="250" t="str">
        <f t="shared" si="531"/>
        <v/>
      </c>
      <c r="DI221" s="250" t="str">
        <f t="shared" si="532"/>
        <v/>
      </c>
      <c r="DJ221" s="250" t="str">
        <f t="shared" si="533"/>
        <v/>
      </c>
      <c r="DK221" s="250" t="str">
        <f t="shared" si="534"/>
        <v/>
      </c>
      <c r="DL221" s="250" t="str">
        <f t="shared" si="535"/>
        <v/>
      </c>
      <c r="DM221" s="250" t="str">
        <f>IF(CD221="ERROR", "ERROR", IF(AND(OR(Y221=$DM$6, Y221='Lookup Tables'!$AD$21, Y221='Lookup Tables'!$AD$22), E221="Interior"), BJ221, ""))</f>
        <v/>
      </c>
      <c r="DN221" s="250" t="str">
        <f>IF(CD221="ERROR", "ERROR", IF(AND(OR(Y221=$DM$6, Y221='Lookup Tables'!$AD$21, Y221='Lookup Tables'!$AD$22), E221="Exterior"), BJ221, ""))</f>
        <v/>
      </c>
      <c r="DO221" s="100"/>
      <c r="DP221" s="250" t="str">
        <f t="shared" si="536"/>
        <v/>
      </c>
      <c r="DQ221" s="250" t="str">
        <f t="shared" si="577"/>
        <v/>
      </c>
      <c r="DR221" s="250" t="str">
        <f t="shared" si="578"/>
        <v/>
      </c>
      <c r="DS221" s="250" t="str">
        <f t="shared" si="579"/>
        <v/>
      </c>
      <c r="DT221" s="250" t="str">
        <f t="shared" si="580"/>
        <v/>
      </c>
      <c r="DU221" s="250" t="str">
        <f t="shared" si="537"/>
        <v/>
      </c>
      <c r="DV221" s="250" t="str">
        <f t="shared" si="538"/>
        <v/>
      </c>
      <c r="DW221" s="250" t="str">
        <f t="shared" si="539"/>
        <v/>
      </c>
      <c r="DX221" s="250" t="str">
        <f t="shared" si="540"/>
        <v/>
      </c>
      <c r="DY221" s="250" t="str">
        <f t="shared" si="541"/>
        <v/>
      </c>
      <c r="DZ221" s="250" t="str">
        <f t="shared" si="542"/>
        <v/>
      </c>
      <c r="EA221" s="250" t="str">
        <f t="shared" si="543"/>
        <v/>
      </c>
      <c r="EB221" s="250" t="str">
        <f t="shared" si="581"/>
        <v/>
      </c>
      <c r="EC221" s="250" t="str">
        <f t="shared" si="544"/>
        <v/>
      </c>
      <c r="ED221" s="250" t="str">
        <f t="shared" si="545"/>
        <v/>
      </c>
      <c r="EE221" s="250" t="str">
        <f t="shared" si="546"/>
        <v/>
      </c>
      <c r="EF221" s="250" t="str">
        <f t="shared" si="547"/>
        <v/>
      </c>
      <c r="EG221" s="250" t="str">
        <f t="shared" si="548"/>
        <v/>
      </c>
      <c r="EH221" s="250" t="str">
        <f>IF(CD221="ERROR", "ERROR", IF(AND(OR($EH$6=Y221, Y221='Lookup Tables'!$AD$21, Y221='Lookup Tables'!$AD$22),E221="Interior"), SUM(BP221:BP221), ""))</f>
        <v/>
      </c>
      <c r="EI221" s="250" t="str">
        <f>IF(CD221="ERROR", "ERROR", IF(AND(OR($EH$6=Y221, Y221='Lookup Tables'!$AD$21, Y221='Lookup Tables'!$AD$22),E221="Exterior"), SUM(BP221:BP221), ""))</f>
        <v/>
      </c>
      <c r="EJ221" s="109"/>
      <c r="EK221" s="485" t="str">
        <f t="shared" si="549"/>
        <v/>
      </c>
      <c r="EL221" s="252" t="str">
        <f t="shared" si="582"/>
        <v/>
      </c>
      <c r="EM221" s="252" t="str">
        <f t="shared" si="583"/>
        <v/>
      </c>
      <c r="EN221" s="252" t="str">
        <f t="shared" si="584"/>
        <v/>
      </c>
      <c r="EO221" s="252" t="str">
        <f t="shared" si="585"/>
        <v/>
      </c>
      <c r="EP221" s="252" t="str">
        <f t="shared" si="586"/>
        <v/>
      </c>
      <c r="EQ221" s="252" t="str">
        <f t="shared" si="587"/>
        <v/>
      </c>
      <c r="ER221" s="252" t="str">
        <f t="shared" si="588"/>
        <v/>
      </c>
      <c r="ES221" s="252" t="str">
        <f t="shared" si="589"/>
        <v/>
      </c>
      <c r="ET221" s="252" t="str">
        <f t="shared" si="590"/>
        <v/>
      </c>
      <c r="EU221" s="252" t="str">
        <f t="shared" si="591"/>
        <v/>
      </c>
      <c r="EV221" s="252" t="str">
        <f t="shared" si="592"/>
        <v/>
      </c>
      <c r="EW221" s="252" t="str">
        <f t="shared" si="593"/>
        <v/>
      </c>
      <c r="EX221" s="252" t="str">
        <f t="shared" si="594"/>
        <v/>
      </c>
      <c r="EY221" s="252" t="str">
        <f t="shared" si="595"/>
        <v/>
      </c>
      <c r="EZ221" s="252" t="str">
        <f t="shared" si="596"/>
        <v/>
      </c>
      <c r="FA221" s="252" t="str">
        <f t="shared" si="597"/>
        <v/>
      </c>
      <c r="FB221" s="252" t="str">
        <f t="shared" si="598"/>
        <v/>
      </c>
      <c r="FC221" s="252" t="str">
        <f>IF(CD221="ERROR", "ERROR", IF(OR(V221="No Change", V221="Not DLC or Energy Star"), "", IF(AND(OR($FC$6=Y221,Y221='Lookup Tables'!$AD$21, Y221='Lookup Tables'!$AD$22),E221="Interior"), S221, "")))</f>
        <v/>
      </c>
      <c r="FD221" s="252" t="str">
        <f t="shared" si="599"/>
        <v/>
      </c>
      <c r="FE221" s="101"/>
      <c r="FF221" s="579" t="str" cm="1">
        <f t="array" ref="FF221">IFERROR(IF(OR(BQ221&lt;=0,AQ221&lt;20,AND(V221="Exit Signs",AN221&gt;0)),"",IF(AND(AQ221&gt;=20,AN221='Lookup Tables'!$R$101),'Lookup Tables'!$U$101*BQ221,AP221*LOOKUP(2,1/((AN221='Lookup Tables'!$R$91:$R$111)*(AQ221&gt;='Lookup Tables'!$S$91:$S$111)*(AQ221&lt;='Lookup Tables'!$T$91:$T$111)),'Lookup Tables'!$U$91:$U$111))),"")</f>
        <v/>
      </c>
      <c r="FG221" s="579"/>
      <c r="FH221" s="579"/>
      <c r="FI221" s="253" t="str">
        <f>IFERROR(ROUND(IF(CD221="ERROR", "ERROR", IF(AND($FI$7=X221,E221="Interior"),VLOOKUP(W221, 'Lookup Tables'!$AI$6:$AM$102, 5, FALSE)*BP221, "")), 2), "")</f>
        <v/>
      </c>
      <c r="FJ221" s="253" t="str">
        <f>IFERROR(ROUND(IF(CD221="ERROR", "ERROR", IF(AND($FI$7=X221,E221="Exterior"),VLOOKUP(W221, 'Lookup Tables'!$AI$6:$AM$102, 5, FALSE)*BP221, "")), 2), "")</f>
        <v/>
      </c>
      <c r="FK221" s="253" t="str">
        <f>IFERROR(ROUND(IF(CD221="ERROR", "ERROR", IF(AND($FK$7=X221,E221="Interior"),VLOOKUP(W221, 'Lookup Tables'!$AI$6:$AM$102, 5, FALSE)*BP221, "")), 2), "")</f>
        <v/>
      </c>
      <c r="FL221" s="253" t="str">
        <f>IFERROR(ROUND(IF(CD221="ERROR", "ERROR", IF(AND($FK$7=X221,E221="Exterior"),VLOOKUP(W221, 'Lookup Tables'!$AI$6:$AM$102, 5, FALSE)*BP221, "")), 2), "")</f>
        <v/>
      </c>
      <c r="FM221" s="253" t="str">
        <f>IFERROR(ROUND(IF(CD221="ERROR", "ERROR", IF(AND($FM$6=Y221,E221="Interior"), IF(GB221=0, VLOOKUP(W221, 'Lookup Tables'!$AI$6:$AM$102, 5, FALSE)*BP221, IF(VLOOKUP(W221, 'Lookup Tables'!$AI$6:$AM$102, 5, FALSE)*BP221&gt;GB221*'Lighting Inventory'!S221, GB221*'Lighting Inventory'!S221,VLOOKUP(W221, 'Lookup Tables'!$AI$6:$AM$102, 5, FALSE)*BP221)), "")), 2), "")</f>
        <v/>
      </c>
      <c r="FN221" s="253" t="str">
        <f>IFERROR(ROUND(IF(CD221="ERROR", "ERROR", IF(AND($FM$6=Y221,E221="Exterior"), IF(GB221=0, VLOOKUP(W221, 'Lookup Tables'!$AI$6:$AM$102, 5, FALSE)*BP221, IF(VLOOKUP(W221, 'Lookup Tables'!$AI$6:$AM$102, 5, FALSE)*BP221&gt;GB221*'Lighting Inventory'!S221, GB221*'Lighting Inventory'!S221,VLOOKUP(W221, 'Lookup Tables'!$AI$6:$AM$102, 5, FALSE)*BP221)), "")), 2), "")</f>
        <v/>
      </c>
      <c r="FO221" s="253" t="str">
        <f>IFERROR(ROUND(IF(CD221="ERROR", "ERROR", IF(AND($FO$6=Y221,E221="Interior"),VLOOKUP(W221, 'Lookup Tables'!$AI$6:$AM$102, 5, FALSE)*'Lighting Inventory'!AI221, "")), 2), "")</f>
        <v/>
      </c>
      <c r="FP221" s="253" t="str">
        <f>IFERROR(ROUND(IF(CD221="ERROR", "ERROR", IF(AND($FO$6=Y221,E221="Exterior"),VLOOKUP(W221, 'Lookup Tables'!$AI$6:$AM$102, 5, FALSE)*'Lighting Inventory'!AI221, "")), 2), "")</f>
        <v/>
      </c>
      <c r="FQ221" s="253" t="str">
        <f>IFERROR(ROUND(IF(CD221="ERROR", "ERROR", IF(AND($FQ$6=Y221,E221="Interior", BU221="Y"), VLOOKUP('Lighting Inventory'!W221, 'Lookup Tables'!$AI$6:$AM$102, 5, FALSE)*'Lighting Inventory'!S221, IF(AND($FQ$7=Y221,E221="Interior", BU221="N"), 0.025*CD221, ""))), 2), "")</f>
        <v/>
      </c>
      <c r="FR221" s="253" t="str">
        <f>IFERROR(ROUND(IF(CD221="ERROR", "ERROR", IF(AND($FQ$6=Y221,E221="Exterior"), VLOOKUP('Lighting Inventory'!W221, 'Lookup Tables'!$AI$6:$AM$102, 5, FALSE)*'Lighting Inventory'!S221, "")), 2), "")</f>
        <v/>
      </c>
      <c r="FS221" s="253" t="str">
        <f>IFERROR(ROUND(IF(CD221="ERROR", "ERROR", IF(AND($FS$6=Y221,E221="Exterior"), IF(GB221=0, VLOOKUP(W221, 'Lookup Tables'!$AI$6:$AM$102, 5, FALSE)*BP221, IF(VLOOKUP(W221, 'Lookup Tables'!$AI$6:$AM$102, 5, FALSE)*BP221&gt;GB221*'Lighting Inventory'!S221, GB221*'Lighting Inventory'!S221,VLOOKUP(W221, 'Lookup Tables'!$AI$6:$AM$102, 5, FALSE)*BP221)), "")), 2), "")</f>
        <v/>
      </c>
      <c r="FT221" s="253" t="str">
        <f>IFERROR(ROUND(IF(CD221="ERROR", "ERROR", IF(AND($FT$6=Y221,E221="Interior"), IF(GB221=0, VLOOKUP(W221, 'Lookup Tables'!$AI$6:$AM$102, 5, FALSE)*BP221, IF(VLOOKUP(W221, 'Lookup Tables'!$AI$6:$AM$102, 5, FALSE)*BP221&gt;GB221*'Lighting Inventory'!S221, GB221*'Lighting Inventory'!S221,VLOOKUP(W221, 'Lookup Tables'!$AI$6:$AM$102, 5, FALSE)*BP221)), "")), 2), "")</f>
        <v/>
      </c>
      <c r="FU221" s="253" t="str">
        <f>IFERROR(ROUND(IF(CD221="ERROR", "ERROR", IF(AND(Y221=$FU$6, E221="Interior"), IF(BS221="N", 'Lookup Tables'!$AM$101*BP221, VLOOKUP(W221, 'Lookup Tables'!$AI$6:$AM$102, 5, FALSE)*S221*AD221), "")), 2), "")</f>
        <v/>
      </c>
      <c r="FV221" s="253" t="str">
        <f>IFERROR(ROUND(IF(CD221="ERROR", "ERROR", IF(AND(Y221=$FU$6, E221="Exterior"), IF(BS221="N", 'Lookup Tables'!$AM$101*BP221, VLOOKUP(W221, 'Lookup Tables'!$AI$6:$AM$102, 5, FALSE)*S221*AD221), "")), 2), "")</f>
        <v/>
      </c>
      <c r="FW221" s="253" t="str">
        <f>IFERROR(ROUND(IF(CD221="ERROR", "ERROR", IF($FW$6=Y221, IF(BS221="N", 'Lookup Tables'!$AM$101*BP221, MIN((VLOOKUP(W221, 'Lookup Tables'!$AI$6:$AM$102, 5, FALSE)*BP221),GB221*AJ221)), "")), 2), "")</f>
        <v/>
      </c>
      <c r="FX221" s="253" t="str">
        <f>IFERROR(ROUND(IF(CD221="ERROR", "ERROR", IF(AND($FX$6=Y221, E221="Interior"), IF(VLOOKUP(W221, 'Lookup Tables'!$AI$6:$AM$102, 5, FALSE)*BP221&gt;'Lookup Tables'!$AQ$97*'Lighting Inventory'!S221,'Lighting Inventory'!S221*'Lookup Tables'!$AQ$97,VLOOKUP(W221, 'Lookup Tables'!$AI$6:$AM$102, 5, FALSE)*BP221), "")), 2), "")</f>
        <v/>
      </c>
      <c r="FY221" s="253" t="str">
        <f>IFERROR(ROUND(IF(CD221="ERROR", "ERROR", IF(AND($FX$6=Y221, E221="Exterior"), IF(VLOOKUP(W221, 'Lookup Tables'!$AI$6:$AM$102, 5, FALSE)*BP221&gt;'Lookup Tables'!$AQ$97*'Lighting Inventory'!S221,'Lighting Inventory'!S221*'Lookup Tables'!$AQ$97,VLOOKUP(W221, 'Lookup Tables'!$AI$6:$AM$102, 5, FALSE)*BP221), "")), 2), "")</f>
        <v/>
      </c>
      <c r="FZ221" s="253" t="str">
        <f>IFERROR(ROUND(IF(CD221="ERROR", "ERROR", IF(AND($FZ$6=Y221, E221="Interior"), IF(AND(OR(W221="Refrigerated Case Lighting with Doors", W221="Freezer Case Lighting"),Y221="Custom - Process Improvement"),CD221*'Lookup Tables'!$AM$101, IF(B221="Retrofit", IF(VLOOKUP(IF(V221="Custom", V221, W221), 'Lookup Tables'!$AI$6:$AM$102, 5, FALSE)*BP221&gt;GE221, GE221, VLOOKUP(IF(V221="Custom", V221, W221), 'Lookup Tables'!$AI$6:$AM$102, 5, FALSE)*BP221), IF(VLOOKUP(IF(V221="Custom", V221, W221), 'Lookup Tables'!$AI$114:$AM$154, 5, FALSE)*BP221&gt;GE221, GE221, VLOOKUP(IF(V221="Custom", V221, W221), 'Lookup Tables'!$AI$114:$AM$154, 5, FALSE)*BP221))), "")), 2),"")</f>
        <v/>
      </c>
      <c r="GA221" s="253" t="str">
        <f>IFERROR(ROUND(IF(CD221="ERROR", "ERROR", IF(AND($FZ$6=Y221, E221="Exterior"), IF(B221="Retrofit", IF(VLOOKUP(IF(V221="Custom", V221, W221), 'Lookup Tables'!$AI$6:$AM$102, 5, FALSE)*BP221&gt;GE221, GE221, VLOOKUP(IF(V221="Custom", V221, W221), 'Lookup Tables'!$AI$6:$AM$102, 5, FALSE)*BP221), IF(VLOOKUP(IF(V221="Custom", V221, W221), 'Lookup Tables'!$AI$114:$AM$154, 5, FALSE)*BP221&gt;GE221, GE221, VLOOKUP(IF(V221="Custom", V221, W221), 'Lookup Tables'!$AI$114:$AM$154, 5, FALSE)*BP221)), "")), 2),"")</f>
        <v/>
      </c>
      <c r="GB221" s="254" t="str">
        <f t="array" ref="GB221">IF(B221="","",IF(OR(V221="Custom",V221="No Change"),0,IF(B221="Retrofit", INDEX('Lookup Tables'!$AH$6:$AQ$102,MATCH(1,('Lookup Tables'!$AH$6:$AH$102='Lighting Inventory'!V221)*('Lookup Tables'!$AI$6:$AI$102='Lighting Inventory'!W221),FALSE),10),INDEX('Lookup Tables'!$AH$114:$AQ$154,MATCH(1,('Lookup Tables'!$AH$114:$AH$154='Lighting Inventory'!V221)*('Lookup Tables'!$AI$114:$AI$154='Lighting Inventory'!W221),FALSE),10))))</f>
        <v/>
      </c>
      <c r="GC221" s="255" t="str">
        <f t="shared" si="550"/>
        <v/>
      </c>
      <c r="GD221" s="250" t="str">
        <f t="shared" si="551"/>
        <v/>
      </c>
      <c r="GE221" s="253" t="str">
        <f>IFERROR(IF(AND(AF221="", 'General Information'!$F$18="No"),"", IF(AF221="", ((GD221/$CD$266)*$CF$266)*0.5, AF221*S221*0.5)), "")</f>
        <v/>
      </c>
      <c r="GF221" s="255" t="str">
        <f>IF(AND('General Information'!$F$19="", 'General Information'!$F$18="Yes",AF221="",BW221="Y"), "Y", "N")</f>
        <v>N</v>
      </c>
      <c r="GG221" s="255" t="s">
        <v>2946</v>
      </c>
      <c r="GH221" s="255" t="str">
        <f>IFERROR(IF(B221="", "", VLOOKUP(J221, 'Fixture Identities'!$A$6:$N$908, 14, FALSE)), "")</f>
        <v/>
      </c>
      <c r="GI221" s="389" t="str">
        <f>IF(OR(B221="", V221="", W221=""), "", IF(AND(OR(M221='Lookup Tables'!$R$18, M221='Lookup Tables'!$R$19, M221='Lookup Tables'!$R$20, M221='Lookup Tables'!$R$21, M221='Lookup Tables'!$R$22), OR(AN221='Lookup Tables'!$R$17, AN221='Lookup Tables'!$R$17, AN221="")), "Y", "N"))</f>
        <v/>
      </c>
      <c r="GJ221" s="255" t="str">
        <f t="shared" si="552"/>
        <v/>
      </c>
      <c r="GK221" s="255" t="str">
        <f t="shared" si="553"/>
        <v/>
      </c>
      <c r="GL221" s="255" t="str">
        <f t="shared" si="554"/>
        <v/>
      </c>
      <c r="GM221" s="255" t="str">
        <f>IF(AN221="", "", IF(AND(IF(ISNA(VLOOKUP(AN221,'Lookup Tables'!$R$18:$R$22,1,FALSE)), "N", "Y")="Y", E221="Exterior"), "Y", "N"))</f>
        <v/>
      </c>
      <c r="GN221" s="395"/>
      <c r="GO221" s="428">
        <f t="shared" si="600"/>
        <v>0</v>
      </c>
      <c r="GP221" s="428">
        <f t="shared" si="603"/>
        <v>0</v>
      </c>
      <c r="GQ221" s="428">
        <f t="shared" si="601"/>
        <v>0</v>
      </c>
      <c r="GR221" s="428">
        <f t="shared" si="602"/>
        <v>0</v>
      </c>
    </row>
    <row r="222" spans="1:200" s="103" customFormat="1" ht="13.5" customHeight="1" x14ac:dyDescent="0.2">
      <c r="A222" s="272">
        <v>212</v>
      </c>
      <c r="B222" s="110"/>
      <c r="C222" s="110"/>
      <c r="D222" s="110"/>
      <c r="E222" s="110"/>
      <c r="F222" s="110"/>
      <c r="G222" s="110"/>
      <c r="H222" s="110"/>
      <c r="I222" s="29"/>
      <c r="J222" s="29"/>
      <c r="K222" s="272" t="str">
        <f>IFERROR(IF(OR(VLOOKUP(J222, 'Fixture Identities'!$A$6:$L$1023, 3, FALSE)="T12 Linear Fluorescent", VLOOKUP(J222, 'Fixture Identities'!$A$6:$L$1023, 3, FALSE)="T12 U-Tube Fluorescent"), VLOOKUP(VLOOKUP(J222, 'Fixture Identities'!$A$6:$L$1023, 11, FALSE), 'Fixture Identities'!$A$6:$L$1023, 10, FALSE), VLOOKUP(J222, 'Fixture Identities'!$A$6:$L$1023, 10, FALSE)), "")</f>
        <v/>
      </c>
      <c r="L222" s="270" t="str">
        <f t="shared" si="605"/>
        <v/>
      </c>
      <c r="M222" s="110"/>
      <c r="N222" s="110"/>
      <c r="O222" s="110"/>
      <c r="P222" s="272" t="str">
        <f>IFERROR(IF(OR(B222="Retrofit",B222=""),"",IF('Lighting Inventory'!E222="Exterior",VLOOKUP('Lighting Inventory'!N222,'Lookup Tables'!$B$83:$F$103,5,FALSE),IF(N222="Other - Please Estimate EFLH and CFs","Contact Prog. Rep.","ft^2"))), "")</f>
        <v/>
      </c>
      <c r="Q222" s="270" t="str">
        <f>IFERROR(IF(AND(B222="New Construction",E222="Interior",$F$5="Space-by-Space"),VLOOKUP('Lighting Inventory'!N222,'Lookup Tables'!$N$6:$O$97,2,FALSE),IF(AND(B222="New Construction",E222="Exterior"),VLOOKUP(N222,'Lookup Tables'!$B$83:$F$103,2,FALSE),IF(AND(B222="New Construction",'Lighting Inventory'!E222="Interior", $F$5="Building Area"),VLOOKUP(F222,'Lookup Tables'!$A$6:$J$59,10,FALSE),""))), "")</f>
        <v/>
      </c>
      <c r="R222" s="270" t="str">
        <f>IFERROR(IF(P222="Contact Prog. Rep.", "ERROR", IF(OR(B222="",B222="Retrofit"),"",IF(N222="Automated teller machines", ('Lookup Tables'!$A$82:$E$100+('Lighting Inventory'!O222-1)*'Lookup Tables'!$A$82:$E$100)/1000, (Q222*O222)/1000))), "")</f>
        <v/>
      </c>
      <c r="S222" s="595"/>
      <c r="T222" s="105" t="str">
        <f t="shared" si="555"/>
        <v/>
      </c>
      <c r="U222" s="105" t="str">
        <f>IF(S222="","",COUNT($S$11:S222))</f>
        <v/>
      </c>
      <c r="V222" s="111"/>
      <c r="W222" s="112"/>
      <c r="X222" s="105" t="str">
        <f t="shared" si="556"/>
        <v/>
      </c>
      <c r="Y222" s="105" t="str">
        <f t="array" ref="Y222">IF(AND(OR(W222="Freezer Case Lighting", W222="Refrigerated Case Lighting with Doors"), 'General Information'!$X$18="LCI"),'Lookup Tables'!$Y$34, IF(V222="Custom", VLOOKUP(W222, 'Fixture Identities'!$A$974:$M$1023, 13, FALSE), IF(V222="No Change",'Lookup Tables'!$Y$29,IF(OR(V222="",W222=""),"",IF(AND(S222=0,S222&lt;I222,B222="Retrofit"),'Lookup Tables'!$Y$25, IF(B222="Retrofit", INDEX('Lookup Tables'!$AH$6:$AP$102, MATCH(1, ('Lookup Tables'!$AH$6:$AH$102=V222)*('Lookup Tables'!$AI$6:$AI$102=W222), 0), IF('Lighting Inventory'!E222="Interior", 4, 5)), INDEX('Lookup Tables'!$AH$114:$AP$154, MATCH(1, ('Lookup Tables'!$AH$114:$AH$154=V222)*('Lookup Tables'!$AI$114:$AI$154=W222), 0), IF('Lighting Inventory'!E222="Interior", 4, 5))))))))</f>
        <v/>
      </c>
      <c r="Z222" s="105" t="str">
        <f>IFERROR(INDEX('Lookup Tables'!$AH$158:$AH$172,MATCH('Lighting Inventory'!Y222,'Lookup Tables'!$AI$158:$AI$172,0)),"")</f>
        <v/>
      </c>
      <c r="AA222" s="105" t="str">
        <f>IF(AP222&gt;0,INDEX('Lookup Tables'!$AK$158:$AK$172,MATCH('Lighting Inventory'!Y222,'Lookup Tables'!$AI$158:$AI$172,0)),'Lighting Inventory'!Y222)</f>
        <v/>
      </c>
      <c r="AB222" s="105" t="str">
        <f t="array" ref="AB222">IF(V222="Custom", "Custom", IF(V222="", "", IF(V222="Not DLC or Energy Star", "General", IF(B222="New Construction", INDEX('Lookup Tables'!$AH$114:$AP$154,MATCH(1,('Lookup Tables'!$AH$114:$AH$154='Lighting Inventory'!V222)*('Lookup Tables'!$AI$114:$AI$154='Lighting Inventory'!W222),FALSE),8), INDEX('Lookup Tables'!$AH$6:$AP$102,MATCH(1,('Lookup Tables'!$AH$6:$AH$102='Lighting Inventory'!V222)*('Lookup Tables'!$AI$6:$AI$102='Lighting Inventory'!W222),FALSE),8)))))</f>
        <v/>
      </c>
      <c r="AC222" s="272" t="str">
        <f>IF(W222="","",IF(V222="Custom",CONCATENATE("$",'Lookup Tables'!$AM$101," ",'Lookup Tables'!$AN$101),CONCATENATE("$",INDEX('Lookup Tables'!$AM$6:$AM$102,MATCH('Lighting Inventory'!W222,'Lookup Tables'!$AI$6:$AI$102,0))," ",INDEX('Lookup Tables'!$AN$6:$AN$102,MATCH('Lighting Inventory'!W222,'Lookup Tables'!$AI$6:$AI$102,0)))))</f>
        <v/>
      </c>
      <c r="AD222" s="72"/>
      <c r="AE222" s="29"/>
      <c r="AF222" s="379"/>
      <c r="AG222" s="370" t="str">
        <f t="shared" si="504"/>
        <v/>
      </c>
      <c r="AH222" s="370" t="str">
        <f t="shared" si="557"/>
        <v/>
      </c>
      <c r="AI222" s="29"/>
      <c r="AJ222" s="29"/>
      <c r="AK222" s="110"/>
      <c r="AL222" s="375" t="str">
        <f>IF(OR(B222="", V222="", W222=""), "", IF(V222="No Change", K222, IF(V222="Remove Fixture", 0, IF(V222="Custom",VLOOKUP(W222,'Fixture Identities'!$A$6:$K$1023,10,FALSE),IF(AE222="", "← ENTER POST WATTS", 'Lighting Inventory'!AE222)))))</f>
        <v/>
      </c>
      <c r="AM222" s="376" t="str">
        <f t="shared" si="505"/>
        <v/>
      </c>
      <c r="AN222" s="29"/>
      <c r="AO222" s="671"/>
      <c r="AP222" s="29"/>
      <c r="AQ222" s="29"/>
      <c r="AR222" s="29"/>
      <c r="AS222" s="272" t="str">
        <f t="shared" si="558"/>
        <v/>
      </c>
      <c r="AT222" s="270" t="str">
        <f t="shared" si="506"/>
        <v/>
      </c>
      <c r="AU222" s="88" t="str">
        <f t="shared" si="606"/>
        <v/>
      </c>
      <c r="AV222" s="29"/>
      <c r="AW222" s="73"/>
      <c r="AX222" s="271" t="str">
        <f>IF(AND(AV222="Applicant",OR(AW222="", AW222="Use Default Facility Hours")),"← Choose Schedule",IF(F222="","",IF(W222="LED Exit Signs",8760,IF(OR(AV222="Prescribed",AV222=""),VLOOKUP(F222,'Lookup Tables'!$A$6:$G$59,IF(AB222="General", 6, 3),FALSE),VLOOKUP(AW222,'Lookup Tables'!$S$36:$U$43,2,FALSE)))))</f>
        <v/>
      </c>
      <c r="AY222" s="88" t="str">
        <f t="shared" si="507"/>
        <v/>
      </c>
      <c r="AZ222" s="270" t="str">
        <f>IFERROR(IF(F222="", "", IF(W222="LED Exit Signs", 1, IF(AV222="Applicant",VLOOKUP(AW222, 'Lookup Tables'!$S$36:$U$43,3, FALSE), VLOOKUP('Lighting Inventory'!F222, 'Lookup Tables'!$A$6:$H$59, IF('Lighting Inventory'!AB222="General",7,4), FALSE)))), "")</f>
        <v/>
      </c>
      <c r="BA222" s="522" t="str">
        <f>IFERROR(IF(F222="", "", IF(W222="LED Exit Signs", 1, VLOOKUP('Lighting Inventory'!F222, 'Lookup Tables'!$A$6:$H$59, IF('Lighting Inventory'!AB222="General",8,5), FALSE))), "")</f>
        <v/>
      </c>
      <c r="BB222" s="270" t="str">
        <f>IF(G222="", "", IF(E222="Exterior", 0, IF('Lighting Inventory'!G222="Air Conditioned", VLOOKUP(H222, 'Lookup Tables'!$R$6:$T$13, 2, FALSE), VLOOKUP('Lighting Inventory'!G222, 'Lookup Tables'!$R$6:$T$13, 2, FALSE))))</f>
        <v/>
      </c>
      <c r="BC222" s="522" t="str">
        <f>IF(G222="", "", IF(E222="Exterior", 0, IF('Lighting Inventory'!G222="Air Conditioned", VLOOKUP(H222, 'Lookup Tables'!$R$6:$T$13, 3, FALSE), VLOOKUP('Lighting Inventory'!G222, 'Lookup Tables'!$R$6:$T$13, 3, FALSE))))</f>
        <v/>
      </c>
      <c r="BD222" s="270" t="str">
        <f>IF(G222="", "", IF(E222="Exterior", 0, IF('Lighting Inventory'!G222="Air Conditioned", VLOOKUP(H222, 'Lookup Tables'!$R$6:$U$13, 4, FALSE), VLOOKUP('Lighting Inventory'!G222, 'Lookup Tables'!$R$6:$U$13, 4, FALSE))))</f>
        <v/>
      </c>
      <c r="BE222" s="270" t="str">
        <f>IFERROR(IF(B222="", "",  IF(B222="New Construction", VLOOKUP(F222, 'Lookup Tables'!$A$6:$K$59, 11, FALSE),IF(OR(AN222="", AN222="Light Switch"), 0, IF(OR(M222="",M222="None",V222= "LED Exit Signs"),0,_xlfn.XLOOKUP(M222,'Lookup Tables'!$R$91:$R$101,'Lookup Tables'!$V$91:$V$101))))), "")</f>
        <v/>
      </c>
      <c r="BF222" s="270" t="str">
        <f>IF(AND(OR(AN222="Light Switch",AN222=""),B222="New Construction"), VLOOKUP(F222, 'Lookup Tables'!$A$6:$K$59, 11, FALSE),IF(AN222="","",IF(B222="","",IF(OR(AN222="None",AN222="",V222="LED Exit Signs",AN222="Exterior Controls Not Eligible"),0,_xlfn.XLOOKUP(AN222,'Lookup Tables'!$R$91:$R$101,'Lookup Tables'!$V$91:$V$101)))))</f>
        <v/>
      </c>
      <c r="BG222" s="88" t="str">
        <f t="shared" si="559"/>
        <v/>
      </c>
      <c r="BH222" s="88" t="str">
        <f t="shared" si="560"/>
        <v/>
      </c>
      <c r="BI222" s="558" t="str">
        <f t="shared" si="604"/>
        <v/>
      </c>
      <c r="BJ222" s="82" t="str">
        <f t="shared" si="561"/>
        <v/>
      </c>
      <c r="BK222" s="82" t="str">
        <f t="shared" si="562"/>
        <v/>
      </c>
      <c r="BL222" s="559" t="str">
        <f t="shared" si="563"/>
        <v/>
      </c>
      <c r="BM222" s="521" t="str">
        <f t="shared" si="508"/>
        <v/>
      </c>
      <c r="BN222" s="521" t="str">
        <f t="shared" si="509"/>
        <v/>
      </c>
      <c r="BO222" s="522" t="str">
        <f t="shared" si="510"/>
        <v/>
      </c>
      <c r="BP222" s="83" t="str">
        <f t="shared" si="564"/>
        <v/>
      </c>
      <c r="BQ222" s="84" t="str">
        <f t="shared" si="565"/>
        <v/>
      </c>
      <c r="BR222" s="184" t="str">
        <f>IFERROR(IF(B222="", "", IF(OR(VLOOKUP(J222, 'Fixture Identities'!$A$6:$L$1023, 3, FALSE)="T12 Linear Fluorescent",VLOOKUP(J222, 'Fixture Identities'!$A$6:$L$1023, 3, FALSE)="T12 U-Tube Fluorescent"), "Y", "N")), "N")</f>
        <v/>
      </c>
      <c r="BS222" s="184" t="str">
        <f t="array" ref="BS222">IFERROR(IF(OR(B222="", V222="", W222=""), "", IF(V222="Custom", "N", IF(OR(W222="Freezer Case Lighting", W222="Refrigerated Case Lighting with Doors"), BT222, IF(B222="Retrofit", INDEX('Lookup Tables'!$AH$6:$AT$102,MATCH(1,('Lookup Tables'!$AH$6:$AH$102=V222)*('Lookup Tables'!$AI$6:$AI$102=W222),FALSE),IF(VLOOKUP(J222, 'Fixture Identities'!$A$6:$B$1023, 2, FALSE)="Incandescent",12, 13)), INDEX('Lookup Tables'!$AH$114:$AS$154,MATCH(1,('Lookup Tables'!$AH$114:$AH$154=V222)*('Lookup Tables'!$AI$114:$AI$154=W222),FALSE),12))))), "N")</f>
        <v/>
      </c>
      <c r="BT222" s="184" t="str">
        <f>IF(J222="", "", IF(AND(OR(W222="Freezer case Lighting", W222="Refrigerated Case Lighting with Doors"),'General Information'!$X$18="LCI"), "N", IF(OR(VLOOKUP(J222, 'Fixture Identities'!$A$6:$B$1023, 2, FALSE)="T12 EPACT/EISA Baseline", VLOOKUP(J222, 'Fixture Identities'!$A$6:$B$1023, 2, FALSE)="Linear Fluorescent", VLOOKUP(J222, 'Fixture Identities'!$A$6:$B$1023, 2, FALSE)="U-Tube Fluorescent"), "Y", "N")))</f>
        <v/>
      </c>
      <c r="BU222" s="184" t="str">
        <f>IFERROR(IF(B222="", "", IF(VLOOKUP(J222, 'Fixture Identities'!$A$6:$B$1023, 2, FALSE)="Exit Sign", "Y", "N")), "N")</f>
        <v/>
      </c>
      <c r="BV222" s="184" t="str">
        <f>IF(V222="Exit Signs", IF(VLOOKUP(J222, 'Fixture Identities'!$A$6:$B$1023, 2, FALSE)="Exit Sign", "N", "Y"), "")</f>
        <v/>
      </c>
      <c r="BW222" s="184" t="str">
        <f t="array" ref="BW222">IFERROR(IF(B222="", "", IF(B222="New Construction", "N", INDEX('Lookup Tables'!$AH$6:$AU$102, MATCH(1, ('Lookup Tables'!$AH$6:$AH$102='Lighting Inventory'!V222)*('Lookup Tables'!$AI$6:$AI$102='Lighting Inventory'!W222), 0), 14))), "N")</f>
        <v/>
      </c>
      <c r="BX222" s="598" t="str">
        <f t="shared" si="566"/>
        <v/>
      </c>
      <c r="BY222" s="598" t="str">
        <f t="shared" si="567"/>
        <v/>
      </c>
      <c r="BZ222" s="598" t="str">
        <f t="shared" si="568"/>
        <v/>
      </c>
      <c r="CA222" s="598" t="str">
        <f t="shared" si="569"/>
        <v/>
      </c>
      <c r="CB222" s="269" t="str">
        <f t="shared" si="570"/>
        <v/>
      </c>
      <c r="CC222" s="517" t="str">
        <f t="shared" si="571"/>
        <v/>
      </c>
      <c r="CD222" s="565" t="str">
        <f t="shared" si="511"/>
        <v/>
      </c>
      <c r="CE222" s="368">
        <v>0</v>
      </c>
      <c r="CF222" s="368" t="str" cm="1">
        <f t="array" ref="CF222">IFERROR(IF(V222="Custom", "$0.1 per kWh", IF(B222="New Construction", CONCATENATE("$",INDEX('Lookup Tables'!$AH$114:$AN$154,MATCH(1,('Lookup Tables'!$AH$114:$AH$154='Lighting Inventory'!V222)*('Lookup Tables'!$AI$114:$AI$154='Lighting Inventory'!W222),FALSE),6)," ",INDEX('Lookup Tables'!$AH$114:$AN$154,MATCH(1,('Lookup Tables'!$AH$114:$AH$154='Lighting Inventory'!V222)*('Lookup Tables'!$AI$114:$AI$154='Lighting Inventory'!W222),FALSE),7)), IF(AND(BU222="N", V222="Exit Signs"), "$0.025 per kWh", CONCATENATE("$",INDEX('Lookup Tables'!$AH$6:$AN$102,MATCH(1,('Lookup Tables'!$AH$6:$AH$102='Lighting Inventory'!V222)*('Lookup Tables'!$AI$6:$AI$102='Lighting Inventory'!W222),FALSE),6)," ",INDEX('Lookup Tables'!$AH$6:$AN$102,MATCH(1,('Lookup Tables'!$AH$6:$AH$102='Lighting Inventory'!V222)*('Lookup Tables'!$AI$6:$AI$102='Lighting Inventory'!W222),FALSE),7))))), "")</f>
        <v/>
      </c>
      <c r="CG222" s="366"/>
      <c r="CH222" s="248" t="str">
        <f t="shared" si="512"/>
        <v/>
      </c>
      <c r="CI222" s="248" t="str">
        <f t="shared" si="513"/>
        <v>Select_IE</v>
      </c>
      <c r="CJ222" s="248" t="str">
        <f t="shared" si="514"/>
        <v/>
      </c>
      <c r="CK222" s="248" t="str">
        <f t="shared" si="515"/>
        <v/>
      </c>
      <c r="CL222" s="248" t="str">
        <f t="shared" si="516"/>
        <v/>
      </c>
      <c r="CM222" s="248" t="str">
        <f>IFERROR(IF(B222="", "", IF(B222="New Construction", VLOOKUP(V222, 'Lookup Tables'!$AF$114:$AG$120, 2, FALSE), VLOOKUP(V222, 'Lookup Tables'!$AD$6:$AE$25, 2, FALSE))), "")</f>
        <v/>
      </c>
      <c r="CN222" s="248" t="str">
        <f t="shared" si="517"/>
        <v/>
      </c>
      <c r="CO222" s="248" t="str">
        <f t="shared" si="518"/>
        <v/>
      </c>
      <c r="CP222" s="592" t="str">
        <f t="shared" si="519"/>
        <v/>
      </c>
      <c r="CQ222" s="248" t="str">
        <f t="shared" si="572"/>
        <v/>
      </c>
      <c r="CR222" s="249"/>
      <c r="CS222" s="250" t="str">
        <f t="shared" si="520"/>
        <v/>
      </c>
      <c r="CT222" s="250" t="str">
        <f t="shared" si="573"/>
        <v/>
      </c>
      <c r="CU222" s="250" t="str">
        <f t="shared" si="574"/>
        <v/>
      </c>
      <c r="CV222" s="250" t="str">
        <f t="shared" si="575"/>
        <v/>
      </c>
      <c r="CW222" s="250" t="str">
        <f t="shared" si="576"/>
        <v/>
      </c>
      <c r="CX222" s="250" t="str">
        <f t="shared" si="521"/>
        <v/>
      </c>
      <c r="CY222" s="250" t="str">
        <f t="shared" si="522"/>
        <v/>
      </c>
      <c r="CZ222" s="250" t="str">
        <f t="shared" si="523"/>
        <v/>
      </c>
      <c r="DA222" s="250" t="str">
        <f t="shared" si="524"/>
        <v/>
      </c>
      <c r="DB222" s="250" t="str">
        <f t="shared" si="525"/>
        <v/>
      </c>
      <c r="DC222" s="250" t="str">
        <f t="shared" si="526"/>
        <v/>
      </c>
      <c r="DD222" s="250" t="str">
        <f t="shared" si="527"/>
        <v/>
      </c>
      <c r="DE222" s="250" t="str">
        <f t="shared" si="528"/>
        <v/>
      </c>
      <c r="DF222" s="250" t="str">
        <f t="shared" si="529"/>
        <v/>
      </c>
      <c r="DG222" s="250" t="str">
        <f t="shared" si="530"/>
        <v/>
      </c>
      <c r="DH222" s="250" t="str">
        <f t="shared" si="531"/>
        <v/>
      </c>
      <c r="DI222" s="250" t="str">
        <f t="shared" si="532"/>
        <v/>
      </c>
      <c r="DJ222" s="250" t="str">
        <f t="shared" si="533"/>
        <v/>
      </c>
      <c r="DK222" s="250" t="str">
        <f t="shared" si="534"/>
        <v/>
      </c>
      <c r="DL222" s="250" t="str">
        <f t="shared" si="535"/>
        <v/>
      </c>
      <c r="DM222" s="250" t="str">
        <f>IF(CD222="ERROR", "ERROR", IF(AND(OR(Y222=$DM$6, Y222='Lookup Tables'!$AD$21, Y222='Lookup Tables'!$AD$22), E222="Interior"), BJ222, ""))</f>
        <v/>
      </c>
      <c r="DN222" s="250" t="str">
        <f>IF(CD222="ERROR", "ERROR", IF(AND(OR(Y222=$DM$6, Y222='Lookup Tables'!$AD$21, Y222='Lookup Tables'!$AD$22), E222="Exterior"), BJ222, ""))</f>
        <v/>
      </c>
      <c r="DO222" s="249"/>
      <c r="DP222" s="250" t="str">
        <f t="shared" si="536"/>
        <v/>
      </c>
      <c r="DQ222" s="250" t="str">
        <f t="shared" si="577"/>
        <v/>
      </c>
      <c r="DR222" s="250" t="str">
        <f t="shared" si="578"/>
        <v/>
      </c>
      <c r="DS222" s="250" t="str">
        <f t="shared" si="579"/>
        <v/>
      </c>
      <c r="DT222" s="250" t="str">
        <f t="shared" si="580"/>
        <v/>
      </c>
      <c r="DU222" s="250" t="str">
        <f t="shared" si="537"/>
        <v/>
      </c>
      <c r="DV222" s="250" t="str">
        <f t="shared" si="538"/>
        <v/>
      </c>
      <c r="DW222" s="250" t="str">
        <f t="shared" si="539"/>
        <v/>
      </c>
      <c r="DX222" s="250" t="str">
        <f t="shared" si="540"/>
        <v/>
      </c>
      <c r="DY222" s="250" t="str">
        <f t="shared" si="541"/>
        <v/>
      </c>
      <c r="DZ222" s="250" t="str">
        <f t="shared" si="542"/>
        <v/>
      </c>
      <c r="EA222" s="250" t="str">
        <f t="shared" si="543"/>
        <v/>
      </c>
      <c r="EB222" s="250" t="str">
        <f t="shared" si="581"/>
        <v/>
      </c>
      <c r="EC222" s="250" t="str">
        <f t="shared" si="544"/>
        <v/>
      </c>
      <c r="ED222" s="250" t="str">
        <f t="shared" si="545"/>
        <v/>
      </c>
      <c r="EE222" s="250" t="str">
        <f t="shared" si="546"/>
        <v/>
      </c>
      <c r="EF222" s="250" t="str">
        <f t="shared" si="547"/>
        <v/>
      </c>
      <c r="EG222" s="250" t="str">
        <f t="shared" si="548"/>
        <v/>
      </c>
      <c r="EH222" s="250" t="str">
        <f>IF(CD222="ERROR", "ERROR", IF(AND(OR($EH$6=Y222, Y222='Lookup Tables'!$AD$21, Y222='Lookup Tables'!$AD$22),E222="Interior"), SUM(BP222:BP222), ""))</f>
        <v/>
      </c>
      <c r="EI222" s="250" t="str">
        <f>IF(CD222="ERROR", "ERROR", IF(AND(OR($EH$6=Y222, Y222='Lookup Tables'!$AD$21, Y222='Lookup Tables'!$AD$22),E222="Exterior"), SUM(BP222:BP222), ""))</f>
        <v/>
      </c>
      <c r="EJ222" s="109"/>
      <c r="EK222" s="485" t="str">
        <f t="shared" si="549"/>
        <v/>
      </c>
      <c r="EL222" s="252" t="str">
        <f t="shared" si="582"/>
        <v/>
      </c>
      <c r="EM222" s="252" t="str">
        <f t="shared" si="583"/>
        <v/>
      </c>
      <c r="EN222" s="252" t="str">
        <f t="shared" si="584"/>
        <v/>
      </c>
      <c r="EO222" s="252" t="str">
        <f t="shared" si="585"/>
        <v/>
      </c>
      <c r="EP222" s="252" t="str">
        <f t="shared" si="586"/>
        <v/>
      </c>
      <c r="EQ222" s="252" t="str">
        <f t="shared" si="587"/>
        <v/>
      </c>
      <c r="ER222" s="252" t="str">
        <f t="shared" si="588"/>
        <v/>
      </c>
      <c r="ES222" s="252" t="str">
        <f t="shared" si="589"/>
        <v/>
      </c>
      <c r="ET222" s="252" t="str">
        <f t="shared" si="590"/>
        <v/>
      </c>
      <c r="EU222" s="252" t="str">
        <f t="shared" si="591"/>
        <v/>
      </c>
      <c r="EV222" s="252" t="str">
        <f t="shared" si="592"/>
        <v/>
      </c>
      <c r="EW222" s="252" t="str">
        <f t="shared" si="593"/>
        <v/>
      </c>
      <c r="EX222" s="252" t="str">
        <f t="shared" si="594"/>
        <v/>
      </c>
      <c r="EY222" s="252" t="str">
        <f t="shared" si="595"/>
        <v/>
      </c>
      <c r="EZ222" s="252" t="str">
        <f t="shared" si="596"/>
        <v/>
      </c>
      <c r="FA222" s="252" t="str">
        <f t="shared" si="597"/>
        <v/>
      </c>
      <c r="FB222" s="252" t="str">
        <f t="shared" si="598"/>
        <v/>
      </c>
      <c r="FC222" s="252" t="str">
        <f>IF(CD222="ERROR", "ERROR", IF(OR(V222="No Change", V222="Not DLC or Energy Star"), "", IF(AND(OR($FC$6=Y222,Y222='Lookup Tables'!$AD$21, Y222='Lookup Tables'!$AD$22),E222="Interior"), S222, "")))</f>
        <v/>
      </c>
      <c r="FD222" s="252" t="str">
        <f t="shared" si="599"/>
        <v/>
      </c>
      <c r="FE222" s="1"/>
      <c r="FF222" s="579" t="str" cm="1">
        <f t="array" ref="FF222">IFERROR(IF(OR(BQ222&lt;=0,AQ222&lt;20,AND(V222="Exit Signs",AN222&gt;0)),"",IF(AND(AQ222&gt;=20,AN222='Lookup Tables'!$R$101),'Lookup Tables'!$U$101*BQ222,AP222*LOOKUP(2,1/((AN222='Lookup Tables'!$R$91:$R$111)*(AQ222&gt;='Lookup Tables'!$S$91:$S$111)*(AQ222&lt;='Lookup Tables'!$T$91:$T$111)),'Lookup Tables'!$U$91:$U$111))),"")</f>
        <v/>
      </c>
      <c r="FG222" s="579"/>
      <c r="FH222" s="579"/>
      <c r="FI222" s="253" t="str">
        <f>IFERROR(ROUND(IF(CD222="ERROR", "ERROR", IF(AND($FI$7=X222,E222="Interior"),VLOOKUP(W222, 'Lookup Tables'!$AI$6:$AM$102, 5, FALSE)*BP222, "")), 2), "")</f>
        <v/>
      </c>
      <c r="FJ222" s="253" t="str">
        <f>IFERROR(ROUND(IF(CD222="ERROR", "ERROR", IF(AND($FI$7=X222,E222="Exterior"),VLOOKUP(W222, 'Lookup Tables'!$AI$6:$AM$102, 5, FALSE)*BP222, "")), 2), "")</f>
        <v/>
      </c>
      <c r="FK222" s="253" t="str">
        <f>IFERROR(ROUND(IF(CD222="ERROR", "ERROR", IF(AND($FK$7=X222,E222="Interior"),VLOOKUP(W222, 'Lookup Tables'!$AI$6:$AM$102, 5, FALSE)*BP222, "")), 2), "")</f>
        <v/>
      </c>
      <c r="FL222" s="253" t="str">
        <f>IFERROR(ROUND(IF(CD222="ERROR", "ERROR", IF(AND($FK$7=X222,E222="Exterior"),VLOOKUP(W222, 'Lookup Tables'!$AI$6:$AM$102, 5, FALSE)*BP222, "")), 2), "")</f>
        <v/>
      </c>
      <c r="FM222" s="253" t="str">
        <f>IFERROR(ROUND(IF(CD222="ERROR", "ERROR", IF(AND($FM$6=Y222,E222="Interior"), IF(GB222=0, VLOOKUP(W222, 'Lookup Tables'!$AI$6:$AM$102, 5, FALSE)*BP222, IF(VLOOKUP(W222, 'Lookup Tables'!$AI$6:$AM$102, 5, FALSE)*BP222&gt;GB222*'Lighting Inventory'!S222, GB222*'Lighting Inventory'!S222,VLOOKUP(W222, 'Lookup Tables'!$AI$6:$AM$102, 5, FALSE)*BP222)), "")), 2), "")</f>
        <v/>
      </c>
      <c r="FN222" s="253" t="str">
        <f>IFERROR(ROUND(IF(CD222="ERROR", "ERROR", IF(AND($FM$6=Y222,E222="Exterior"), IF(GB222=0, VLOOKUP(W222, 'Lookup Tables'!$AI$6:$AM$102, 5, FALSE)*BP222, IF(VLOOKUP(W222, 'Lookup Tables'!$AI$6:$AM$102, 5, FALSE)*BP222&gt;GB222*'Lighting Inventory'!S222, GB222*'Lighting Inventory'!S222,VLOOKUP(W222, 'Lookup Tables'!$AI$6:$AM$102, 5, FALSE)*BP222)), "")), 2), "")</f>
        <v/>
      </c>
      <c r="FO222" s="253" t="str">
        <f>IFERROR(ROUND(IF(CD222="ERROR", "ERROR", IF(AND($FO$6=Y222,E222="Interior"),VLOOKUP(W222, 'Lookup Tables'!$AI$6:$AM$102, 5, FALSE)*'Lighting Inventory'!AI222, "")), 2), "")</f>
        <v/>
      </c>
      <c r="FP222" s="253" t="str">
        <f>IFERROR(ROUND(IF(CD222="ERROR", "ERROR", IF(AND($FO$6=Y222,E222="Exterior"),VLOOKUP(W222, 'Lookup Tables'!$AI$6:$AM$102, 5, FALSE)*'Lighting Inventory'!AI222, "")), 2), "")</f>
        <v/>
      </c>
      <c r="FQ222" s="253" t="str">
        <f>IFERROR(ROUND(IF(CD222="ERROR", "ERROR", IF(AND($FQ$6=Y222,E222="Interior", BU222="Y"), VLOOKUP('Lighting Inventory'!W222, 'Lookup Tables'!$AI$6:$AM$102, 5, FALSE)*'Lighting Inventory'!S222, IF(AND($FQ$7=Y222,E222="Interior", BU222="N"), 0.025*CD222, ""))), 2), "")</f>
        <v/>
      </c>
      <c r="FR222" s="253" t="str">
        <f>IFERROR(ROUND(IF(CD222="ERROR", "ERROR", IF(AND($FQ$6=Y222,E222="Exterior"), VLOOKUP('Lighting Inventory'!W222, 'Lookup Tables'!$AI$6:$AM$102, 5, FALSE)*'Lighting Inventory'!S222, "")), 2), "")</f>
        <v/>
      </c>
      <c r="FS222" s="253" t="str">
        <f>IFERROR(ROUND(IF(CD222="ERROR", "ERROR", IF(AND($FS$6=Y222,E222="Exterior"), IF(GB222=0, VLOOKUP(W222, 'Lookup Tables'!$AI$6:$AM$102, 5, FALSE)*BP222, IF(VLOOKUP(W222, 'Lookup Tables'!$AI$6:$AM$102, 5, FALSE)*BP222&gt;GB222*'Lighting Inventory'!S222, GB222*'Lighting Inventory'!S222,VLOOKUP(W222, 'Lookup Tables'!$AI$6:$AM$102, 5, FALSE)*BP222)), "")), 2), "")</f>
        <v/>
      </c>
      <c r="FT222" s="253" t="str">
        <f>IFERROR(ROUND(IF(CD222="ERROR", "ERROR", IF(AND($FT$6=Y222,E222="Interior"), IF(GB222=0, VLOOKUP(W222, 'Lookup Tables'!$AI$6:$AM$102, 5, FALSE)*BP222, IF(VLOOKUP(W222, 'Lookup Tables'!$AI$6:$AM$102, 5, FALSE)*BP222&gt;GB222*'Lighting Inventory'!S222, GB222*'Lighting Inventory'!S222,VLOOKUP(W222, 'Lookup Tables'!$AI$6:$AM$102, 5, FALSE)*BP222)), "")), 2), "")</f>
        <v/>
      </c>
      <c r="FU222" s="253" t="str">
        <f>IFERROR(ROUND(IF(CD222="ERROR", "ERROR", IF(AND(Y222=$FU$6, E222="Interior"), IF(BS222="N", 'Lookup Tables'!$AM$101*BP222, VLOOKUP(W222, 'Lookup Tables'!$AI$6:$AM$102, 5, FALSE)*S222*AD222), "")), 2), "")</f>
        <v/>
      </c>
      <c r="FV222" s="253" t="str">
        <f>IFERROR(ROUND(IF(CD222="ERROR", "ERROR", IF(AND(Y222=$FU$6, E222="Exterior"), IF(BS222="N", 'Lookup Tables'!$AM$101*BP222, VLOOKUP(W222, 'Lookup Tables'!$AI$6:$AM$102, 5, FALSE)*S222*AD222), "")), 2), "")</f>
        <v/>
      </c>
      <c r="FW222" s="253" t="str">
        <f>IFERROR(ROUND(IF(CD222="ERROR", "ERROR", IF($FW$6=Y222, IF(BS222="N", 'Lookup Tables'!$AM$101*BP222, MIN((VLOOKUP(W222, 'Lookup Tables'!$AI$6:$AM$102, 5, FALSE)*BP222),GB222*AJ222)), "")), 2), "")</f>
        <v/>
      </c>
      <c r="FX222" s="253" t="str">
        <f>IFERROR(ROUND(IF(CD222="ERROR", "ERROR", IF(AND($FX$6=Y222, E222="Interior"), IF(VLOOKUP(W222, 'Lookup Tables'!$AI$6:$AM$102, 5, FALSE)*BP222&gt;'Lookup Tables'!$AQ$97*'Lighting Inventory'!S222,'Lighting Inventory'!S222*'Lookup Tables'!$AQ$97,VLOOKUP(W222, 'Lookup Tables'!$AI$6:$AM$102, 5, FALSE)*BP222), "")), 2), "")</f>
        <v/>
      </c>
      <c r="FY222" s="253" t="str">
        <f>IFERROR(ROUND(IF(CD222="ERROR", "ERROR", IF(AND($FX$6=Y222, E222="Exterior"), IF(VLOOKUP(W222, 'Lookup Tables'!$AI$6:$AM$102, 5, FALSE)*BP222&gt;'Lookup Tables'!$AQ$97*'Lighting Inventory'!S222,'Lighting Inventory'!S222*'Lookup Tables'!$AQ$97,VLOOKUP(W222, 'Lookup Tables'!$AI$6:$AM$102, 5, FALSE)*BP222), "")), 2), "")</f>
        <v/>
      </c>
      <c r="FZ222" s="253" t="str">
        <f>IFERROR(ROUND(IF(CD222="ERROR", "ERROR", IF(AND($FZ$6=Y222, E222="Interior"), IF(AND(OR(W222="Refrigerated Case Lighting with Doors", W222="Freezer Case Lighting"),Y222="Custom - Process Improvement"),CD222*'Lookup Tables'!$AM$101, IF(B222="Retrofit", IF(VLOOKUP(IF(V222="Custom", V222, W222), 'Lookup Tables'!$AI$6:$AM$102, 5, FALSE)*BP222&gt;GE222, GE222, VLOOKUP(IF(V222="Custom", V222, W222), 'Lookup Tables'!$AI$6:$AM$102, 5, FALSE)*BP222), IF(VLOOKUP(IF(V222="Custom", V222, W222), 'Lookup Tables'!$AI$114:$AM$154, 5, FALSE)*BP222&gt;GE222, GE222, VLOOKUP(IF(V222="Custom", V222, W222), 'Lookup Tables'!$AI$114:$AM$154, 5, FALSE)*BP222))), "")), 2),"")</f>
        <v/>
      </c>
      <c r="GA222" s="253" t="str">
        <f>IFERROR(ROUND(IF(CD222="ERROR", "ERROR", IF(AND($FZ$6=Y222, E222="Exterior"), IF(B222="Retrofit", IF(VLOOKUP(IF(V222="Custom", V222, W222), 'Lookup Tables'!$AI$6:$AM$102, 5, FALSE)*BP222&gt;GE222, GE222, VLOOKUP(IF(V222="Custom", V222, W222), 'Lookup Tables'!$AI$6:$AM$102, 5, FALSE)*BP222), IF(VLOOKUP(IF(V222="Custom", V222, W222), 'Lookup Tables'!$AI$114:$AM$154, 5, FALSE)*BP222&gt;GE222, GE222, VLOOKUP(IF(V222="Custom", V222, W222), 'Lookup Tables'!$AI$114:$AM$154, 5, FALSE)*BP222)), "")), 2),"")</f>
        <v/>
      </c>
      <c r="GB222" s="254" t="str">
        <f t="array" ref="GB222">IF(B222="","",IF(OR(V222="Custom",V222="No Change"),0,IF(B222="Retrofit", INDEX('Lookup Tables'!$AH$6:$AQ$102,MATCH(1,('Lookup Tables'!$AH$6:$AH$102='Lighting Inventory'!V222)*('Lookup Tables'!$AI$6:$AI$102='Lighting Inventory'!W222),FALSE),10),INDEX('Lookup Tables'!$AH$114:$AQ$154,MATCH(1,('Lookup Tables'!$AH$114:$AH$154='Lighting Inventory'!V222)*('Lookup Tables'!$AI$114:$AI$154='Lighting Inventory'!W222),FALSE),10))))</f>
        <v/>
      </c>
      <c r="GC222" s="255" t="str">
        <f t="shared" si="550"/>
        <v/>
      </c>
      <c r="GD222" s="250" t="str">
        <f t="shared" si="551"/>
        <v/>
      </c>
      <c r="GE222" s="253" t="str">
        <f>IFERROR(IF(AND(AF222="", 'General Information'!$F$18="No"),"", IF(AF222="", ((GD222/$CD$266)*$CF$266)*0.5, AF222*S222*0.5)), "")</f>
        <v/>
      </c>
      <c r="GF222" s="255" t="str">
        <f>IF(AND('General Information'!$F$19="", 'General Information'!$F$18="Yes",AF222="",BW222="Y"), "Y", "N")</f>
        <v>N</v>
      </c>
      <c r="GG222" s="255" t="s">
        <v>2946</v>
      </c>
      <c r="GH222" s="255" t="str">
        <f>IFERROR(IF(B222="", "", VLOOKUP(J222, 'Fixture Identities'!$A$6:$N$908, 14, FALSE)), "")</f>
        <v/>
      </c>
      <c r="GI222" s="389" t="str">
        <f>IF(OR(B222="", V222="", W222=""), "", IF(AND(OR(M222='Lookup Tables'!$R$18, M222='Lookup Tables'!$R$19, M222='Lookup Tables'!$R$20, M222='Lookup Tables'!$R$21, M222='Lookup Tables'!$R$22), OR(AN222='Lookup Tables'!$R$17, AN222='Lookup Tables'!$R$17, AN222="")), "Y", "N"))</f>
        <v/>
      </c>
      <c r="GJ222" s="255" t="str">
        <f t="shared" si="552"/>
        <v/>
      </c>
      <c r="GK222" s="255" t="str">
        <f t="shared" si="553"/>
        <v/>
      </c>
      <c r="GL222" s="255" t="str">
        <f t="shared" si="554"/>
        <v/>
      </c>
      <c r="GM222" s="255" t="str">
        <f>IF(AN222="", "", IF(AND(IF(ISNA(VLOOKUP(AN222,'Lookup Tables'!$R$18:$R$22,1,FALSE)), "N", "Y")="Y", E222="Exterior"), "Y", "N"))</f>
        <v/>
      </c>
      <c r="GN222" s="395"/>
      <c r="GO222" s="428">
        <f t="shared" si="600"/>
        <v>0</v>
      </c>
      <c r="GP222" s="428">
        <f t="shared" si="603"/>
        <v>0</v>
      </c>
      <c r="GQ222" s="428">
        <f t="shared" si="601"/>
        <v>0</v>
      </c>
      <c r="GR222" s="428">
        <f t="shared" si="602"/>
        <v>0</v>
      </c>
    </row>
    <row r="223" spans="1:200" s="103" customFormat="1" ht="13.5" customHeight="1" x14ac:dyDescent="0.2">
      <c r="A223" s="272">
        <v>213</v>
      </c>
      <c r="B223" s="110"/>
      <c r="C223" s="110"/>
      <c r="D223" s="110"/>
      <c r="E223" s="110"/>
      <c r="F223" s="110"/>
      <c r="G223" s="110"/>
      <c r="H223" s="110"/>
      <c r="I223" s="29"/>
      <c r="J223" s="29"/>
      <c r="K223" s="272" t="str">
        <f>IFERROR(IF(OR(VLOOKUP(J223, 'Fixture Identities'!$A$6:$L$1023, 3, FALSE)="T12 Linear Fluorescent", VLOOKUP(J223, 'Fixture Identities'!$A$6:$L$1023, 3, FALSE)="T12 U-Tube Fluorescent"), VLOOKUP(VLOOKUP(J223, 'Fixture Identities'!$A$6:$L$1023, 11, FALSE), 'Fixture Identities'!$A$6:$L$1023, 10, FALSE), VLOOKUP(J223, 'Fixture Identities'!$A$6:$L$1023, 10, FALSE)), "")</f>
        <v/>
      </c>
      <c r="L223" s="270" t="str">
        <f t="shared" si="605"/>
        <v/>
      </c>
      <c r="M223" s="110"/>
      <c r="N223" s="110"/>
      <c r="O223" s="110"/>
      <c r="P223" s="272" t="str">
        <f>IFERROR(IF(OR(B223="Retrofit",B223=""),"",IF('Lighting Inventory'!E223="Exterior",VLOOKUP('Lighting Inventory'!N223,'Lookup Tables'!$B$83:$F$103,5,FALSE),IF(N223="Other - Please Estimate EFLH and CFs","Contact Prog. Rep.","ft^2"))), "")</f>
        <v/>
      </c>
      <c r="Q223" s="270" t="str">
        <f>IFERROR(IF(AND(B223="New Construction",E223="Interior",$F$5="Space-by-Space"),VLOOKUP('Lighting Inventory'!N223,'Lookup Tables'!$N$6:$O$97,2,FALSE),IF(AND(B223="New Construction",E223="Exterior"),VLOOKUP(N223,'Lookup Tables'!$B$83:$F$103,2,FALSE),IF(AND(B223="New Construction",'Lighting Inventory'!E223="Interior", $F$5="Building Area"),VLOOKUP(F223,'Lookup Tables'!$A$6:$J$59,10,FALSE),""))), "")</f>
        <v/>
      </c>
      <c r="R223" s="270" t="str">
        <f>IFERROR(IF(P223="Contact Prog. Rep.", "ERROR", IF(OR(B223="",B223="Retrofit"),"",IF(N223="Automated teller machines", ('Lookup Tables'!$A$82:$E$100+('Lighting Inventory'!O223-1)*'Lookup Tables'!$A$82:$E$100)/1000, (Q223*O223)/1000))), "")</f>
        <v/>
      </c>
      <c r="S223" s="595"/>
      <c r="T223" s="105" t="str">
        <f t="shared" si="555"/>
        <v/>
      </c>
      <c r="U223" s="105" t="str">
        <f>IF(S223="","",COUNT($S$11:S223))</f>
        <v/>
      </c>
      <c r="V223" s="111"/>
      <c r="W223" s="112"/>
      <c r="X223" s="105" t="str">
        <f t="shared" si="556"/>
        <v/>
      </c>
      <c r="Y223" s="105" t="str">
        <f t="array" ref="Y223">IF(AND(OR(W223="Freezer Case Lighting", W223="Refrigerated Case Lighting with Doors"), 'General Information'!$X$18="LCI"),'Lookup Tables'!$Y$34, IF(V223="Custom", VLOOKUP(W223, 'Fixture Identities'!$A$974:$M$1023, 13, FALSE), IF(V223="No Change",'Lookup Tables'!$Y$29,IF(OR(V223="",W223=""),"",IF(AND(S223=0,S223&lt;I223,B223="Retrofit"),'Lookup Tables'!$Y$25, IF(B223="Retrofit", INDEX('Lookup Tables'!$AH$6:$AP$102, MATCH(1, ('Lookup Tables'!$AH$6:$AH$102=V223)*('Lookup Tables'!$AI$6:$AI$102=W223), 0), IF('Lighting Inventory'!E223="Interior", 4, 5)), INDEX('Lookup Tables'!$AH$114:$AP$154, MATCH(1, ('Lookup Tables'!$AH$114:$AH$154=V223)*('Lookup Tables'!$AI$114:$AI$154=W223), 0), IF('Lighting Inventory'!E223="Interior", 4, 5))))))))</f>
        <v/>
      </c>
      <c r="Z223" s="105" t="str">
        <f>IFERROR(INDEX('Lookup Tables'!$AH$158:$AH$172,MATCH('Lighting Inventory'!Y223,'Lookup Tables'!$AI$158:$AI$172,0)),"")</f>
        <v/>
      </c>
      <c r="AA223" s="105" t="str">
        <f>IF(AP223&gt;0,INDEX('Lookup Tables'!$AK$158:$AK$172,MATCH('Lighting Inventory'!Y223,'Lookup Tables'!$AI$158:$AI$172,0)),'Lighting Inventory'!Y223)</f>
        <v/>
      </c>
      <c r="AB223" s="105" t="str">
        <f t="array" ref="AB223">IF(V223="Custom", "Custom", IF(V223="", "", IF(V223="Not DLC or Energy Star", "General", IF(B223="New Construction", INDEX('Lookup Tables'!$AH$114:$AP$154,MATCH(1,('Lookup Tables'!$AH$114:$AH$154='Lighting Inventory'!V223)*('Lookup Tables'!$AI$114:$AI$154='Lighting Inventory'!W223),FALSE),8), INDEX('Lookup Tables'!$AH$6:$AP$102,MATCH(1,('Lookup Tables'!$AH$6:$AH$102='Lighting Inventory'!V223)*('Lookup Tables'!$AI$6:$AI$102='Lighting Inventory'!W223),FALSE),8)))))</f>
        <v/>
      </c>
      <c r="AC223" s="272" t="str">
        <f>IF(W223="","",IF(V223="Custom",CONCATENATE("$",'Lookup Tables'!$AM$101," ",'Lookup Tables'!$AN$101),CONCATENATE("$",INDEX('Lookup Tables'!$AM$6:$AM$102,MATCH('Lighting Inventory'!W223,'Lookup Tables'!$AI$6:$AI$102,0))," ",INDEX('Lookup Tables'!$AN$6:$AN$102,MATCH('Lighting Inventory'!W223,'Lookup Tables'!$AI$6:$AI$102,0)))))</f>
        <v/>
      </c>
      <c r="AD223" s="72"/>
      <c r="AE223" s="29"/>
      <c r="AF223" s="379"/>
      <c r="AG223" s="370" t="str">
        <f t="shared" si="504"/>
        <v/>
      </c>
      <c r="AH223" s="370" t="str">
        <f t="shared" si="557"/>
        <v/>
      </c>
      <c r="AI223" s="29"/>
      <c r="AJ223" s="29"/>
      <c r="AK223" s="110"/>
      <c r="AL223" s="375" t="str">
        <f>IF(OR(B223="", V223="", W223=""), "", IF(V223="No Change", K223, IF(V223="Remove Fixture", 0, IF(V223="Custom",VLOOKUP(W223,'Fixture Identities'!$A$6:$K$1023,10,FALSE),IF(AE223="", "← ENTER POST WATTS", 'Lighting Inventory'!AE223)))))</f>
        <v/>
      </c>
      <c r="AM223" s="376" t="str">
        <f t="shared" si="505"/>
        <v/>
      </c>
      <c r="AN223" s="29"/>
      <c r="AO223" s="671"/>
      <c r="AP223" s="29"/>
      <c r="AQ223" s="29"/>
      <c r="AR223" s="29"/>
      <c r="AS223" s="272" t="str">
        <f t="shared" si="558"/>
        <v/>
      </c>
      <c r="AT223" s="270" t="str">
        <f t="shared" si="506"/>
        <v/>
      </c>
      <c r="AU223" s="88" t="str">
        <f t="shared" si="606"/>
        <v/>
      </c>
      <c r="AV223" s="29"/>
      <c r="AW223" s="73"/>
      <c r="AX223" s="271" t="str">
        <f>IF(AND(AV223="Applicant",OR(AW223="", AW223="Use Default Facility Hours")),"← Choose Schedule",IF(F223="","",IF(W223="LED Exit Signs",8760,IF(OR(AV223="Prescribed",AV223=""),VLOOKUP(F223,'Lookup Tables'!$A$6:$G$59,IF(AB223="General", 6, 3),FALSE),VLOOKUP(AW223,'Lookup Tables'!$S$36:$U$43,2,FALSE)))))</f>
        <v/>
      </c>
      <c r="AY223" s="88" t="str">
        <f t="shared" si="507"/>
        <v/>
      </c>
      <c r="AZ223" s="270" t="str">
        <f>IFERROR(IF(F223="", "", IF(W223="LED Exit Signs", 1, IF(AV223="Applicant",VLOOKUP(AW223, 'Lookup Tables'!$S$36:$U$43,3, FALSE), VLOOKUP('Lighting Inventory'!F223, 'Lookup Tables'!$A$6:$H$59, IF('Lighting Inventory'!AB223="General",7,4), FALSE)))), "")</f>
        <v/>
      </c>
      <c r="BA223" s="522" t="str">
        <f>IFERROR(IF(F223="", "", IF(W223="LED Exit Signs", 1, VLOOKUP('Lighting Inventory'!F223, 'Lookup Tables'!$A$6:$H$59, IF('Lighting Inventory'!AB223="General",8,5), FALSE))), "")</f>
        <v/>
      </c>
      <c r="BB223" s="270" t="str">
        <f>IF(G223="", "", IF(E223="Exterior", 0, IF('Lighting Inventory'!G223="Air Conditioned", VLOOKUP(H223, 'Lookup Tables'!$R$6:$T$13, 2, FALSE), VLOOKUP('Lighting Inventory'!G223, 'Lookup Tables'!$R$6:$T$13, 2, FALSE))))</f>
        <v/>
      </c>
      <c r="BC223" s="522" t="str">
        <f>IF(G223="", "", IF(E223="Exterior", 0, IF('Lighting Inventory'!G223="Air Conditioned", VLOOKUP(H223, 'Lookup Tables'!$R$6:$T$13, 3, FALSE), VLOOKUP('Lighting Inventory'!G223, 'Lookup Tables'!$R$6:$T$13, 3, FALSE))))</f>
        <v/>
      </c>
      <c r="BD223" s="270" t="str">
        <f>IF(G223="", "", IF(E223="Exterior", 0, IF('Lighting Inventory'!G223="Air Conditioned", VLOOKUP(H223, 'Lookup Tables'!$R$6:$U$13, 4, FALSE), VLOOKUP('Lighting Inventory'!G223, 'Lookup Tables'!$R$6:$U$13, 4, FALSE))))</f>
        <v/>
      </c>
      <c r="BE223" s="270" t="str">
        <f>IFERROR(IF(B223="", "",  IF(B223="New Construction", VLOOKUP(F223, 'Lookup Tables'!$A$6:$K$59, 11, FALSE),IF(OR(AN223="", AN223="Light Switch"), 0, IF(OR(M223="",M223="None",V223= "LED Exit Signs"),0,_xlfn.XLOOKUP(M223,'Lookup Tables'!$R$91:$R$101,'Lookup Tables'!$V$91:$V$101))))), "")</f>
        <v/>
      </c>
      <c r="BF223" s="270" t="str">
        <f>IF(AND(OR(AN223="Light Switch",AN223=""),B223="New Construction"), VLOOKUP(F223, 'Lookup Tables'!$A$6:$K$59, 11, FALSE),IF(AN223="","",IF(B223="","",IF(OR(AN223="None",AN223="",V223="LED Exit Signs",AN223="Exterior Controls Not Eligible"),0,_xlfn.XLOOKUP(AN223,'Lookup Tables'!$R$91:$R$101,'Lookup Tables'!$V$91:$V$101)))))</f>
        <v/>
      </c>
      <c r="BG223" s="88" t="str">
        <f t="shared" si="559"/>
        <v/>
      </c>
      <c r="BH223" s="88" t="str">
        <f t="shared" si="560"/>
        <v/>
      </c>
      <c r="BI223" s="558" t="str">
        <f t="shared" si="604"/>
        <v/>
      </c>
      <c r="BJ223" s="82" t="str">
        <f t="shared" si="561"/>
        <v/>
      </c>
      <c r="BK223" s="82" t="str">
        <f t="shared" si="562"/>
        <v/>
      </c>
      <c r="BL223" s="559" t="str">
        <f t="shared" si="563"/>
        <v/>
      </c>
      <c r="BM223" s="521" t="str">
        <f t="shared" si="508"/>
        <v/>
      </c>
      <c r="BN223" s="521" t="str">
        <f t="shared" si="509"/>
        <v/>
      </c>
      <c r="BO223" s="522" t="str">
        <f t="shared" si="510"/>
        <v/>
      </c>
      <c r="BP223" s="83" t="str">
        <f t="shared" si="564"/>
        <v/>
      </c>
      <c r="BQ223" s="84" t="str">
        <f t="shared" si="565"/>
        <v/>
      </c>
      <c r="BR223" s="184" t="str">
        <f>IFERROR(IF(B223="", "", IF(OR(VLOOKUP(J223, 'Fixture Identities'!$A$6:$L$1023, 3, FALSE)="T12 Linear Fluorescent",VLOOKUP(J223, 'Fixture Identities'!$A$6:$L$1023, 3, FALSE)="T12 U-Tube Fluorescent"), "Y", "N")), "N")</f>
        <v/>
      </c>
      <c r="BS223" s="184" t="str">
        <f t="array" ref="BS223">IFERROR(IF(OR(B223="", V223="", W223=""), "", IF(V223="Custom", "N", IF(OR(W223="Freezer Case Lighting", W223="Refrigerated Case Lighting with Doors"), BT223, IF(B223="Retrofit", INDEX('Lookup Tables'!$AH$6:$AT$102,MATCH(1,('Lookup Tables'!$AH$6:$AH$102=V223)*('Lookup Tables'!$AI$6:$AI$102=W223),FALSE),IF(VLOOKUP(J223, 'Fixture Identities'!$A$6:$B$1023, 2, FALSE)="Incandescent",12, 13)), INDEX('Lookup Tables'!$AH$114:$AS$154,MATCH(1,('Lookup Tables'!$AH$114:$AH$154=V223)*('Lookup Tables'!$AI$114:$AI$154=W223),FALSE),12))))), "N")</f>
        <v/>
      </c>
      <c r="BT223" s="184" t="str">
        <f>IF(J223="", "", IF(AND(OR(W223="Freezer case Lighting", W223="Refrigerated Case Lighting with Doors"),'General Information'!$X$18="LCI"), "N", IF(OR(VLOOKUP(J223, 'Fixture Identities'!$A$6:$B$1023, 2, FALSE)="T12 EPACT/EISA Baseline", VLOOKUP(J223, 'Fixture Identities'!$A$6:$B$1023, 2, FALSE)="Linear Fluorescent", VLOOKUP(J223, 'Fixture Identities'!$A$6:$B$1023, 2, FALSE)="U-Tube Fluorescent"), "Y", "N")))</f>
        <v/>
      </c>
      <c r="BU223" s="184" t="str">
        <f>IFERROR(IF(B223="", "", IF(VLOOKUP(J223, 'Fixture Identities'!$A$6:$B$1023, 2, FALSE)="Exit Sign", "Y", "N")), "N")</f>
        <v/>
      </c>
      <c r="BV223" s="184" t="str">
        <f>IF(V223="Exit Signs", IF(VLOOKUP(J223, 'Fixture Identities'!$A$6:$B$1023, 2, FALSE)="Exit Sign", "N", "Y"), "")</f>
        <v/>
      </c>
      <c r="BW223" s="184" t="str">
        <f t="array" ref="BW223">IFERROR(IF(B223="", "", IF(B223="New Construction", "N", INDEX('Lookup Tables'!$AH$6:$AU$102, MATCH(1, ('Lookup Tables'!$AH$6:$AH$102='Lighting Inventory'!V223)*('Lookup Tables'!$AI$6:$AI$102='Lighting Inventory'!W223), 0), 14))), "N")</f>
        <v/>
      </c>
      <c r="BX223" s="598" t="str">
        <f t="shared" si="566"/>
        <v/>
      </c>
      <c r="BY223" s="598" t="str">
        <f t="shared" si="567"/>
        <v/>
      </c>
      <c r="BZ223" s="598" t="str">
        <f t="shared" si="568"/>
        <v/>
      </c>
      <c r="CA223" s="598" t="str">
        <f t="shared" si="569"/>
        <v/>
      </c>
      <c r="CB223" s="269" t="str">
        <f t="shared" si="570"/>
        <v/>
      </c>
      <c r="CC223" s="517" t="str">
        <f t="shared" si="571"/>
        <v/>
      </c>
      <c r="CD223" s="565" t="str">
        <f t="shared" si="511"/>
        <v/>
      </c>
      <c r="CE223" s="368">
        <v>0</v>
      </c>
      <c r="CF223" s="368" t="str" cm="1">
        <f t="array" ref="CF223">IFERROR(IF(V223="Custom", "$0.1 per kWh", IF(B223="New Construction", CONCATENATE("$",INDEX('Lookup Tables'!$AH$114:$AN$154,MATCH(1,('Lookup Tables'!$AH$114:$AH$154='Lighting Inventory'!V223)*('Lookup Tables'!$AI$114:$AI$154='Lighting Inventory'!W223),FALSE),6)," ",INDEX('Lookup Tables'!$AH$114:$AN$154,MATCH(1,('Lookup Tables'!$AH$114:$AH$154='Lighting Inventory'!V223)*('Lookup Tables'!$AI$114:$AI$154='Lighting Inventory'!W223),FALSE),7)), IF(AND(BU223="N", V223="Exit Signs"), "$0.025 per kWh", CONCATENATE("$",INDEX('Lookup Tables'!$AH$6:$AN$102,MATCH(1,('Lookup Tables'!$AH$6:$AH$102='Lighting Inventory'!V223)*('Lookup Tables'!$AI$6:$AI$102='Lighting Inventory'!W223),FALSE),6)," ",INDEX('Lookup Tables'!$AH$6:$AN$102,MATCH(1,('Lookup Tables'!$AH$6:$AH$102='Lighting Inventory'!V223)*('Lookup Tables'!$AI$6:$AI$102='Lighting Inventory'!W223),FALSE),7))))), "")</f>
        <v/>
      </c>
      <c r="CG223" s="366"/>
      <c r="CH223" s="248" t="str">
        <f t="shared" si="512"/>
        <v/>
      </c>
      <c r="CI223" s="248" t="str">
        <f t="shared" si="513"/>
        <v>Select_IE</v>
      </c>
      <c r="CJ223" s="248" t="str">
        <f t="shared" si="514"/>
        <v/>
      </c>
      <c r="CK223" s="248" t="str">
        <f t="shared" si="515"/>
        <v/>
      </c>
      <c r="CL223" s="248" t="str">
        <f t="shared" si="516"/>
        <v/>
      </c>
      <c r="CM223" s="248" t="str">
        <f>IFERROR(IF(B223="", "", IF(B223="New Construction", VLOOKUP(V223, 'Lookup Tables'!$AF$114:$AG$120, 2, FALSE), VLOOKUP(V223, 'Lookup Tables'!$AD$6:$AE$25, 2, FALSE))), "")</f>
        <v/>
      </c>
      <c r="CN223" s="248" t="str">
        <f t="shared" si="517"/>
        <v/>
      </c>
      <c r="CO223" s="248" t="str">
        <f t="shared" si="518"/>
        <v/>
      </c>
      <c r="CP223" s="592" t="str">
        <f t="shared" si="519"/>
        <v/>
      </c>
      <c r="CQ223" s="248" t="str">
        <f t="shared" si="572"/>
        <v/>
      </c>
      <c r="CR223" s="100"/>
      <c r="CS223" s="250" t="str">
        <f t="shared" si="520"/>
        <v/>
      </c>
      <c r="CT223" s="250" t="str">
        <f t="shared" si="573"/>
        <v/>
      </c>
      <c r="CU223" s="250" t="str">
        <f t="shared" si="574"/>
        <v/>
      </c>
      <c r="CV223" s="250" t="str">
        <f t="shared" si="575"/>
        <v/>
      </c>
      <c r="CW223" s="250" t="str">
        <f t="shared" si="576"/>
        <v/>
      </c>
      <c r="CX223" s="250" t="str">
        <f t="shared" si="521"/>
        <v/>
      </c>
      <c r="CY223" s="250" t="str">
        <f t="shared" si="522"/>
        <v/>
      </c>
      <c r="CZ223" s="250" t="str">
        <f t="shared" si="523"/>
        <v/>
      </c>
      <c r="DA223" s="250" t="str">
        <f t="shared" si="524"/>
        <v/>
      </c>
      <c r="DB223" s="250" t="str">
        <f t="shared" si="525"/>
        <v/>
      </c>
      <c r="DC223" s="250" t="str">
        <f t="shared" si="526"/>
        <v/>
      </c>
      <c r="DD223" s="250" t="str">
        <f t="shared" si="527"/>
        <v/>
      </c>
      <c r="DE223" s="250" t="str">
        <f t="shared" si="528"/>
        <v/>
      </c>
      <c r="DF223" s="250" t="str">
        <f t="shared" si="529"/>
        <v/>
      </c>
      <c r="DG223" s="250" t="str">
        <f t="shared" si="530"/>
        <v/>
      </c>
      <c r="DH223" s="250" t="str">
        <f t="shared" si="531"/>
        <v/>
      </c>
      <c r="DI223" s="250" t="str">
        <f t="shared" si="532"/>
        <v/>
      </c>
      <c r="DJ223" s="250" t="str">
        <f t="shared" si="533"/>
        <v/>
      </c>
      <c r="DK223" s="250" t="str">
        <f t="shared" si="534"/>
        <v/>
      </c>
      <c r="DL223" s="250" t="str">
        <f t="shared" si="535"/>
        <v/>
      </c>
      <c r="DM223" s="250" t="str">
        <f>IF(CD223="ERROR", "ERROR", IF(AND(OR(Y223=$DM$6, Y223='Lookup Tables'!$AD$21, Y223='Lookup Tables'!$AD$22), E223="Interior"), BJ223, ""))</f>
        <v/>
      </c>
      <c r="DN223" s="250" t="str">
        <f>IF(CD223="ERROR", "ERROR", IF(AND(OR(Y223=$DM$6, Y223='Lookup Tables'!$AD$21, Y223='Lookup Tables'!$AD$22), E223="Exterior"), BJ223, ""))</f>
        <v/>
      </c>
      <c r="DO223" s="100"/>
      <c r="DP223" s="250" t="str">
        <f t="shared" si="536"/>
        <v/>
      </c>
      <c r="DQ223" s="250" t="str">
        <f t="shared" si="577"/>
        <v/>
      </c>
      <c r="DR223" s="250" t="str">
        <f t="shared" si="578"/>
        <v/>
      </c>
      <c r="DS223" s="250" t="str">
        <f t="shared" si="579"/>
        <v/>
      </c>
      <c r="DT223" s="250" t="str">
        <f t="shared" si="580"/>
        <v/>
      </c>
      <c r="DU223" s="250" t="str">
        <f t="shared" si="537"/>
        <v/>
      </c>
      <c r="DV223" s="250" t="str">
        <f t="shared" si="538"/>
        <v/>
      </c>
      <c r="DW223" s="250" t="str">
        <f t="shared" si="539"/>
        <v/>
      </c>
      <c r="DX223" s="250" t="str">
        <f t="shared" si="540"/>
        <v/>
      </c>
      <c r="DY223" s="250" t="str">
        <f t="shared" si="541"/>
        <v/>
      </c>
      <c r="DZ223" s="250" t="str">
        <f t="shared" si="542"/>
        <v/>
      </c>
      <c r="EA223" s="250" t="str">
        <f t="shared" si="543"/>
        <v/>
      </c>
      <c r="EB223" s="250" t="str">
        <f t="shared" si="581"/>
        <v/>
      </c>
      <c r="EC223" s="250" t="str">
        <f t="shared" si="544"/>
        <v/>
      </c>
      <c r="ED223" s="250" t="str">
        <f t="shared" si="545"/>
        <v/>
      </c>
      <c r="EE223" s="250" t="str">
        <f t="shared" si="546"/>
        <v/>
      </c>
      <c r="EF223" s="250" t="str">
        <f t="shared" si="547"/>
        <v/>
      </c>
      <c r="EG223" s="250" t="str">
        <f t="shared" si="548"/>
        <v/>
      </c>
      <c r="EH223" s="250" t="str">
        <f>IF(CD223="ERROR", "ERROR", IF(AND(OR($EH$6=Y223, Y223='Lookup Tables'!$AD$21, Y223='Lookup Tables'!$AD$22),E223="Interior"), SUM(BP223:BP223), ""))</f>
        <v/>
      </c>
      <c r="EI223" s="250" t="str">
        <f>IF(CD223="ERROR", "ERROR", IF(AND(OR($EH$6=Y223, Y223='Lookup Tables'!$AD$21, Y223='Lookup Tables'!$AD$22),E223="Exterior"), SUM(BP223:BP223), ""))</f>
        <v/>
      </c>
      <c r="EJ223" s="109"/>
      <c r="EK223" s="485" t="str">
        <f t="shared" si="549"/>
        <v/>
      </c>
      <c r="EL223" s="252" t="str">
        <f t="shared" si="582"/>
        <v/>
      </c>
      <c r="EM223" s="252" t="str">
        <f t="shared" si="583"/>
        <v/>
      </c>
      <c r="EN223" s="252" t="str">
        <f t="shared" si="584"/>
        <v/>
      </c>
      <c r="EO223" s="252" t="str">
        <f t="shared" si="585"/>
        <v/>
      </c>
      <c r="EP223" s="252" t="str">
        <f t="shared" si="586"/>
        <v/>
      </c>
      <c r="EQ223" s="252" t="str">
        <f t="shared" si="587"/>
        <v/>
      </c>
      <c r="ER223" s="252" t="str">
        <f t="shared" si="588"/>
        <v/>
      </c>
      <c r="ES223" s="252" t="str">
        <f t="shared" si="589"/>
        <v/>
      </c>
      <c r="ET223" s="252" t="str">
        <f t="shared" si="590"/>
        <v/>
      </c>
      <c r="EU223" s="252" t="str">
        <f t="shared" si="591"/>
        <v/>
      </c>
      <c r="EV223" s="252" t="str">
        <f t="shared" si="592"/>
        <v/>
      </c>
      <c r="EW223" s="252" t="str">
        <f t="shared" si="593"/>
        <v/>
      </c>
      <c r="EX223" s="252" t="str">
        <f t="shared" si="594"/>
        <v/>
      </c>
      <c r="EY223" s="252" t="str">
        <f t="shared" si="595"/>
        <v/>
      </c>
      <c r="EZ223" s="252" t="str">
        <f t="shared" si="596"/>
        <v/>
      </c>
      <c r="FA223" s="252" t="str">
        <f t="shared" si="597"/>
        <v/>
      </c>
      <c r="FB223" s="252" t="str">
        <f t="shared" si="598"/>
        <v/>
      </c>
      <c r="FC223" s="252" t="str">
        <f>IF(CD223="ERROR", "ERROR", IF(OR(V223="No Change", V223="Not DLC or Energy Star"), "", IF(AND(OR($FC$6=Y223,Y223='Lookup Tables'!$AD$21, Y223='Lookup Tables'!$AD$22),E223="Interior"), S223, "")))</f>
        <v/>
      </c>
      <c r="FD223" s="252" t="str">
        <f t="shared" si="599"/>
        <v/>
      </c>
      <c r="FE223" s="101"/>
      <c r="FF223" s="579" t="str" cm="1">
        <f t="array" ref="FF223">IFERROR(IF(OR(BQ223&lt;=0,AQ223&lt;20,AND(V223="Exit Signs",AN223&gt;0)),"",IF(AND(AQ223&gt;=20,AN223='Lookup Tables'!$R$101),'Lookup Tables'!$U$101*BQ223,AP223*LOOKUP(2,1/((AN223='Lookup Tables'!$R$91:$R$111)*(AQ223&gt;='Lookup Tables'!$S$91:$S$111)*(AQ223&lt;='Lookup Tables'!$T$91:$T$111)),'Lookup Tables'!$U$91:$U$111))),"")</f>
        <v/>
      </c>
      <c r="FG223" s="579"/>
      <c r="FH223" s="579"/>
      <c r="FI223" s="253" t="str">
        <f>IFERROR(ROUND(IF(CD223="ERROR", "ERROR", IF(AND($FI$7=X223,E223="Interior"),VLOOKUP(W223, 'Lookup Tables'!$AI$6:$AM$102, 5, FALSE)*BP223, "")), 2), "")</f>
        <v/>
      </c>
      <c r="FJ223" s="253" t="str">
        <f>IFERROR(ROUND(IF(CD223="ERROR", "ERROR", IF(AND($FI$7=X223,E223="Exterior"),VLOOKUP(W223, 'Lookup Tables'!$AI$6:$AM$102, 5, FALSE)*BP223, "")), 2), "")</f>
        <v/>
      </c>
      <c r="FK223" s="253" t="str">
        <f>IFERROR(ROUND(IF(CD223="ERROR", "ERROR", IF(AND($FK$7=X223,E223="Interior"),VLOOKUP(W223, 'Lookup Tables'!$AI$6:$AM$102, 5, FALSE)*BP223, "")), 2), "")</f>
        <v/>
      </c>
      <c r="FL223" s="253" t="str">
        <f>IFERROR(ROUND(IF(CD223="ERROR", "ERROR", IF(AND($FK$7=X223,E223="Exterior"),VLOOKUP(W223, 'Lookup Tables'!$AI$6:$AM$102, 5, FALSE)*BP223, "")), 2), "")</f>
        <v/>
      </c>
      <c r="FM223" s="253" t="str">
        <f>IFERROR(ROUND(IF(CD223="ERROR", "ERROR", IF(AND($FM$6=Y223,E223="Interior"), IF(GB223=0, VLOOKUP(W223, 'Lookup Tables'!$AI$6:$AM$102, 5, FALSE)*BP223, IF(VLOOKUP(W223, 'Lookup Tables'!$AI$6:$AM$102, 5, FALSE)*BP223&gt;GB223*'Lighting Inventory'!S223, GB223*'Lighting Inventory'!S223,VLOOKUP(W223, 'Lookup Tables'!$AI$6:$AM$102, 5, FALSE)*BP223)), "")), 2), "")</f>
        <v/>
      </c>
      <c r="FN223" s="253" t="str">
        <f>IFERROR(ROUND(IF(CD223="ERROR", "ERROR", IF(AND($FM$6=Y223,E223="Exterior"), IF(GB223=0, VLOOKUP(W223, 'Lookup Tables'!$AI$6:$AM$102, 5, FALSE)*BP223, IF(VLOOKUP(W223, 'Lookup Tables'!$AI$6:$AM$102, 5, FALSE)*BP223&gt;GB223*'Lighting Inventory'!S223, GB223*'Lighting Inventory'!S223,VLOOKUP(W223, 'Lookup Tables'!$AI$6:$AM$102, 5, FALSE)*BP223)), "")), 2), "")</f>
        <v/>
      </c>
      <c r="FO223" s="253" t="str">
        <f>IFERROR(ROUND(IF(CD223="ERROR", "ERROR", IF(AND($FO$6=Y223,E223="Interior"),VLOOKUP(W223, 'Lookup Tables'!$AI$6:$AM$102, 5, FALSE)*'Lighting Inventory'!AI223, "")), 2), "")</f>
        <v/>
      </c>
      <c r="FP223" s="253" t="str">
        <f>IFERROR(ROUND(IF(CD223="ERROR", "ERROR", IF(AND($FO$6=Y223,E223="Exterior"),VLOOKUP(W223, 'Lookup Tables'!$AI$6:$AM$102, 5, FALSE)*'Lighting Inventory'!AI223, "")), 2), "")</f>
        <v/>
      </c>
      <c r="FQ223" s="253" t="str">
        <f>IFERROR(ROUND(IF(CD223="ERROR", "ERROR", IF(AND($FQ$6=Y223,E223="Interior", BU223="Y"), VLOOKUP('Lighting Inventory'!W223, 'Lookup Tables'!$AI$6:$AM$102, 5, FALSE)*'Lighting Inventory'!S223, IF(AND($FQ$7=Y223,E223="Interior", BU223="N"), 0.025*CD223, ""))), 2), "")</f>
        <v/>
      </c>
      <c r="FR223" s="253" t="str">
        <f>IFERROR(ROUND(IF(CD223="ERROR", "ERROR", IF(AND($FQ$6=Y223,E223="Exterior"), VLOOKUP('Lighting Inventory'!W223, 'Lookup Tables'!$AI$6:$AM$102, 5, FALSE)*'Lighting Inventory'!S223, "")), 2), "")</f>
        <v/>
      </c>
      <c r="FS223" s="253" t="str">
        <f>IFERROR(ROUND(IF(CD223="ERROR", "ERROR", IF(AND($FS$6=Y223,E223="Exterior"), IF(GB223=0, VLOOKUP(W223, 'Lookup Tables'!$AI$6:$AM$102, 5, FALSE)*BP223, IF(VLOOKUP(W223, 'Lookup Tables'!$AI$6:$AM$102, 5, FALSE)*BP223&gt;GB223*'Lighting Inventory'!S223, GB223*'Lighting Inventory'!S223,VLOOKUP(W223, 'Lookup Tables'!$AI$6:$AM$102, 5, FALSE)*BP223)), "")), 2), "")</f>
        <v/>
      </c>
      <c r="FT223" s="253" t="str">
        <f>IFERROR(ROUND(IF(CD223="ERROR", "ERROR", IF(AND($FT$6=Y223,E223="Interior"), IF(GB223=0, VLOOKUP(W223, 'Lookup Tables'!$AI$6:$AM$102, 5, FALSE)*BP223, IF(VLOOKUP(W223, 'Lookup Tables'!$AI$6:$AM$102, 5, FALSE)*BP223&gt;GB223*'Lighting Inventory'!S223, GB223*'Lighting Inventory'!S223,VLOOKUP(W223, 'Lookup Tables'!$AI$6:$AM$102, 5, FALSE)*BP223)), "")), 2), "")</f>
        <v/>
      </c>
      <c r="FU223" s="253" t="str">
        <f>IFERROR(ROUND(IF(CD223="ERROR", "ERROR", IF(AND(Y223=$FU$6, E223="Interior"), IF(BS223="N", 'Lookup Tables'!$AM$101*BP223, VLOOKUP(W223, 'Lookup Tables'!$AI$6:$AM$102, 5, FALSE)*S223*AD223), "")), 2), "")</f>
        <v/>
      </c>
      <c r="FV223" s="253" t="str">
        <f>IFERROR(ROUND(IF(CD223="ERROR", "ERROR", IF(AND(Y223=$FU$6, E223="Exterior"), IF(BS223="N", 'Lookup Tables'!$AM$101*BP223, VLOOKUP(W223, 'Lookup Tables'!$AI$6:$AM$102, 5, FALSE)*S223*AD223), "")), 2), "")</f>
        <v/>
      </c>
      <c r="FW223" s="253" t="str">
        <f>IFERROR(ROUND(IF(CD223="ERROR", "ERROR", IF($FW$6=Y223, IF(BS223="N", 'Lookup Tables'!$AM$101*BP223, MIN((VLOOKUP(W223, 'Lookup Tables'!$AI$6:$AM$102, 5, FALSE)*BP223),GB223*AJ223)), "")), 2), "")</f>
        <v/>
      </c>
      <c r="FX223" s="253" t="str">
        <f>IFERROR(ROUND(IF(CD223="ERROR", "ERROR", IF(AND($FX$6=Y223, E223="Interior"), IF(VLOOKUP(W223, 'Lookup Tables'!$AI$6:$AM$102, 5, FALSE)*BP223&gt;'Lookup Tables'!$AQ$97*'Lighting Inventory'!S223,'Lighting Inventory'!S223*'Lookup Tables'!$AQ$97,VLOOKUP(W223, 'Lookup Tables'!$AI$6:$AM$102, 5, FALSE)*BP223), "")), 2), "")</f>
        <v/>
      </c>
      <c r="FY223" s="253" t="str">
        <f>IFERROR(ROUND(IF(CD223="ERROR", "ERROR", IF(AND($FX$6=Y223, E223="Exterior"), IF(VLOOKUP(W223, 'Lookup Tables'!$AI$6:$AM$102, 5, FALSE)*BP223&gt;'Lookup Tables'!$AQ$97*'Lighting Inventory'!S223,'Lighting Inventory'!S223*'Lookup Tables'!$AQ$97,VLOOKUP(W223, 'Lookup Tables'!$AI$6:$AM$102, 5, FALSE)*BP223), "")), 2), "")</f>
        <v/>
      </c>
      <c r="FZ223" s="253" t="str">
        <f>IFERROR(ROUND(IF(CD223="ERROR", "ERROR", IF(AND($FZ$6=Y223, E223="Interior"), IF(AND(OR(W223="Refrigerated Case Lighting with Doors", W223="Freezer Case Lighting"),Y223="Custom - Process Improvement"),CD223*'Lookup Tables'!$AM$101, IF(B223="Retrofit", IF(VLOOKUP(IF(V223="Custom", V223, W223), 'Lookup Tables'!$AI$6:$AM$102, 5, FALSE)*BP223&gt;GE223, GE223, VLOOKUP(IF(V223="Custom", V223, W223), 'Lookup Tables'!$AI$6:$AM$102, 5, FALSE)*BP223), IF(VLOOKUP(IF(V223="Custom", V223, W223), 'Lookup Tables'!$AI$114:$AM$154, 5, FALSE)*BP223&gt;GE223, GE223, VLOOKUP(IF(V223="Custom", V223, W223), 'Lookup Tables'!$AI$114:$AM$154, 5, FALSE)*BP223))), "")), 2),"")</f>
        <v/>
      </c>
      <c r="GA223" s="253" t="str">
        <f>IFERROR(ROUND(IF(CD223="ERROR", "ERROR", IF(AND($FZ$6=Y223, E223="Exterior"), IF(B223="Retrofit", IF(VLOOKUP(IF(V223="Custom", V223, W223), 'Lookup Tables'!$AI$6:$AM$102, 5, FALSE)*BP223&gt;GE223, GE223, VLOOKUP(IF(V223="Custom", V223, W223), 'Lookup Tables'!$AI$6:$AM$102, 5, FALSE)*BP223), IF(VLOOKUP(IF(V223="Custom", V223, W223), 'Lookup Tables'!$AI$114:$AM$154, 5, FALSE)*BP223&gt;GE223, GE223, VLOOKUP(IF(V223="Custom", V223, W223), 'Lookup Tables'!$AI$114:$AM$154, 5, FALSE)*BP223)), "")), 2),"")</f>
        <v/>
      </c>
      <c r="GB223" s="254" t="str">
        <f t="array" ref="GB223">IF(B223="","",IF(OR(V223="Custom",V223="No Change"),0,IF(B223="Retrofit", INDEX('Lookup Tables'!$AH$6:$AQ$102,MATCH(1,('Lookup Tables'!$AH$6:$AH$102='Lighting Inventory'!V223)*('Lookup Tables'!$AI$6:$AI$102='Lighting Inventory'!W223),FALSE),10),INDEX('Lookup Tables'!$AH$114:$AQ$154,MATCH(1,('Lookup Tables'!$AH$114:$AH$154='Lighting Inventory'!V223)*('Lookup Tables'!$AI$114:$AI$154='Lighting Inventory'!W223),FALSE),10))))</f>
        <v/>
      </c>
      <c r="GC223" s="255" t="str">
        <f t="shared" si="550"/>
        <v/>
      </c>
      <c r="GD223" s="250" t="str">
        <f t="shared" si="551"/>
        <v/>
      </c>
      <c r="GE223" s="253" t="str">
        <f>IFERROR(IF(AND(AF223="", 'General Information'!$F$18="No"),"", IF(AF223="", ((GD223/$CD$266)*$CF$266)*0.5, AF223*S223*0.5)), "")</f>
        <v/>
      </c>
      <c r="GF223" s="255" t="str">
        <f>IF(AND('General Information'!$F$19="", 'General Information'!$F$18="Yes",AF223="",BW223="Y"), "Y", "N")</f>
        <v>N</v>
      </c>
      <c r="GG223" s="255" t="s">
        <v>2946</v>
      </c>
      <c r="GH223" s="255" t="str">
        <f>IFERROR(IF(B223="", "", VLOOKUP(J223, 'Fixture Identities'!$A$6:$N$908, 14, FALSE)), "")</f>
        <v/>
      </c>
      <c r="GI223" s="389" t="str">
        <f>IF(OR(B223="", V223="", W223=""), "", IF(AND(OR(M223='Lookup Tables'!$R$18, M223='Lookup Tables'!$R$19, M223='Lookup Tables'!$R$20, M223='Lookup Tables'!$R$21, M223='Lookup Tables'!$R$22), OR(AN223='Lookup Tables'!$R$17, AN223='Lookup Tables'!$R$17, AN223="")), "Y", "N"))</f>
        <v/>
      </c>
      <c r="GJ223" s="255" t="str">
        <f t="shared" si="552"/>
        <v/>
      </c>
      <c r="GK223" s="255" t="str">
        <f t="shared" si="553"/>
        <v/>
      </c>
      <c r="GL223" s="255" t="str">
        <f t="shared" si="554"/>
        <v/>
      </c>
      <c r="GM223" s="255" t="str">
        <f>IF(AN223="", "", IF(AND(IF(ISNA(VLOOKUP(AN223,'Lookup Tables'!$R$18:$R$22,1,FALSE)), "N", "Y")="Y", E223="Exterior"), "Y", "N"))</f>
        <v/>
      </c>
      <c r="GN223" s="395"/>
      <c r="GO223" s="428">
        <f t="shared" si="600"/>
        <v>0</v>
      </c>
      <c r="GP223" s="428">
        <f t="shared" si="603"/>
        <v>0</v>
      </c>
      <c r="GQ223" s="428">
        <f t="shared" si="601"/>
        <v>0</v>
      </c>
      <c r="GR223" s="428">
        <f t="shared" si="602"/>
        <v>0</v>
      </c>
    </row>
    <row r="224" spans="1:200" s="103" customFormat="1" ht="13.5" customHeight="1" x14ac:dyDescent="0.2">
      <c r="A224" s="272">
        <v>214</v>
      </c>
      <c r="B224" s="110"/>
      <c r="C224" s="110"/>
      <c r="D224" s="110"/>
      <c r="E224" s="110"/>
      <c r="F224" s="110"/>
      <c r="G224" s="110"/>
      <c r="H224" s="110"/>
      <c r="I224" s="29"/>
      <c r="J224" s="29"/>
      <c r="K224" s="272" t="str">
        <f>IFERROR(IF(OR(VLOOKUP(J224, 'Fixture Identities'!$A$6:$L$1023, 3, FALSE)="T12 Linear Fluorescent", VLOOKUP(J224, 'Fixture Identities'!$A$6:$L$1023, 3, FALSE)="T12 U-Tube Fluorescent"), VLOOKUP(VLOOKUP(J224, 'Fixture Identities'!$A$6:$L$1023, 11, FALSE), 'Fixture Identities'!$A$6:$L$1023, 10, FALSE), VLOOKUP(J224, 'Fixture Identities'!$A$6:$L$1023, 10, FALSE)), "")</f>
        <v/>
      </c>
      <c r="L224" s="270" t="str">
        <f t="shared" si="605"/>
        <v/>
      </c>
      <c r="M224" s="110"/>
      <c r="N224" s="110"/>
      <c r="O224" s="110"/>
      <c r="P224" s="272" t="str">
        <f>IFERROR(IF(OR(B224="Retrofit",B224=""),"",IF('Lighting Inventory'!E224="Exterior",VLOOKUP('Lighting Inventory'!N224,'Lookup Tables'!$B$83:$F$103,5,FALSE),IF(N224="Other - Please Estimate EFLH and CFs","Contact Prog. Rep.","ft^2"))), "")</f>
        <v/>
      </c>
      <c r="Q224" s="270" t="str">
        <f>IFERROR(IF(AND(B224="New Construction",E224="Interior",$F$5="Space-by-Space"),VLOOKUP('Lighting Inventory'!N224,'Lookup Tables'!$N$6:$O$97,2,FALSE),IF(AND(B224="New Construction",E224="Exterior"),VLOOKUP(N224,'Lookup Tables'!$B$83:$F$103,2,FALSE),IF(AND(B224="New Construction",'Lighting Inventory'!E224="Interior", $F$5="Building Area"),VLOOKUP(F224,'Lookup Tables'!$A$6:$J$59,10,FALSE),""))), "")</f>
        <v/>
      </c>
      <c r="R224" s="270" t="str">
        <f>IFERROR(IF(P224="Contact Prog. Rep.", "ERROR", IF(OR(B224="",B224="Retrofit"),"",IF(N224="Automated teller machines", ('Lookup Tables'!$A$82:$E$100+('Lighting Inventory'!O224-1)*'Lookup Tables'!$A$82:$E$100)/1000, (Q224*O224)/1000))), "")</f>
        <v/>
      </c>
      <c r="S224" s="595"/>
      <c r="T224" s="105" t="str">
        <f t="shared" si="555"/>
        <v/>
      </c>
      <c r="U224" s="105" t="str">
        <f>IF(S224="","",COUNT($S$11:S224))</f>
        <v/>
      </c>
      <c r="V224" s="111"/>
      <c r="W224" s="112"/>
      <c r="X224" s="105" t="str">
        <f t="shared" si="556"/>
        <v/>
      </c>
      <c r="Y224" s="105" t="str">
        <f t="array" ref="Y224">IF(AND(OR(W224="Freezer Case Lighting", W224="Refrigerated Case Lighting with Doors"), 'General Information'!$X$18="LCI"),'Lookup Tables'!$Y$34, IF(V224="Custom", VLOOKUP(W224, 'Fixture Identities'!$A$974:$M$1023, 13, FALSE), IF(V224="No Change",'Lookup Tables'!$Y$29,IF(OR(V224="",W224=""),"",IF(AND(S224=0,S224&lt;I224,B224="Retrofit"),'Lookup Tables'!$Y$25, IF(B224="Retrofit", INDEX('Lookup Tables'!$AH$6:$AP$102, MATCH(1, ('Lookup Tables'!$AH$6:$AH$102=V224)*('Lookup Tables'!$AI$6:$AI$102=W224), 0), IF('Lighting Inventory'!E224="Interior", 4, 5)), INDEX('Lookup Tables'!$AH$114:$AP$154, MATCH(1, ('Lookup Tables'!$AH$114:$AH$154=V224)*('Lookup Tables'!$AI$114:$AI$154=W224), 0), IF('Lighting Inventory'!E224="Interior", 4, 5))))))))</f>
        <v/>
      </c>
      <c r="Z224" s="105" t="str">
        <f>IFERROR(INDEX('Lookup Tables'!$AH$158:$AH$172,MATCH('Lighting Inventory'!Y224,'Lookup Tables'!$AI$158:$AI$172,0)),"")</f>
        <v/>
      </c>
      <c r="AA224" s="105" t="str">
        <f>IF(AP224&gt;0,INDEX('Lookup Tables'!$AK$158:$AK$172,MATCH('Lighting Inventory'!Y224,'Lookup Tables'!$AI$158:$AI$172,0)),'Lighting Inventory'!Y224)</f>
        <v/>
      </c>
      <c r="AB224" s="105" t="str">
        <f t="array" ref="AB224">IF(V224="Custom", "Custom", IF(V224="", "", IF(V224="Not DLC or Energy Star", "General", IF(B224="New Construction", INDEX('Lookup Tables'!$AH$114:$AP$154,MATCH(1,('Lookup Tables'!$AH$114:$AH$154='Lighting Inventory'!V224)*('Lookup Tables'!$AI$114:$AI$154='Lighting Inventory'!W224),FALSE),8), INDEX('Lookup Tables'!$AH$6:$AP$102,MATCH(1,('Lookup Tables'!$AH$6:$AH$102='Lighting Inventory'!V224)*('Lookup Tables'!$AI$6:$AI$102='Lighting Inventory'!W224),FALSE),8)))))</f>
        <v/>
      </c>
      <c r="AC224" s="272" t="str">
        <f>IF(W224="","",IF(V224="Custom",CONCATENATE("$",'Lookup Tables'!$AM$101," ",'Lookup Tables'!$AN$101),CONCATENATE("$",INDEX('Lookup Tables'!$AM$6:$AM$102,MATCH('Lighting Inventory'!W224,'Lookup Tables'!$AI$6:$AI$102,0))," ",INDEX('Lookup Tables'!$AN$6:$AN$102,MATCH('Lighting Inventory'!W224,'Lookup Tables'!$AI$6:$AI$102,0)))))</f>
        <v/>
      </c>
      <c r="AD224" s="72"/>
      <c r="AE224" s="29"/>
      <c r="AF224" s="379"/>
      <c r="AG224" s="370" t="str">
        <f t="shared" si="504"/>
        <v/>
      </c>
      <c r="AH224" s="370" t="str">
        <f t="shared" si="557"/>
        <v/>
      </c>
      <c r="AI224" s="29"/>
      <c r="AJ224" s="29"/>
      <c r="AK224" s="110"/>
      <c r="AL224" s="375" t="str">
        <f>IF(OR(B224="", V224="", W224=""), "", IF(V224="No Change", K224, IF(V224="Remove Fixture", 0, IF(V224="Custom",VLOOKUP(W224,'Fixture Identities'!$A$6:$K$1023,10,FALSE),IF(AE224="", "← ENTER POST WATTS", 'Lighting Inventory'!AE224)))))</f>
        <v/>
      </c>
      <c r="AM224" s="376" t="str">
        <f t="shared" si="505"/>
        <v/>
      </c>
      <c r="AN224" s="29"/>
      <c r="AO224" s="671"/>
      <c r="AP224" s="29"/>
      <c r="AQ224" s="29"/>
      <c r="AR224" s="29"/>
      <c r="AS224" s="272" t="str">
        <f t="shared" si="558"/>
        <v/>
      </c>
      <c r="AT224" s="270" t="str">
        <f t="shared" si="506"/>
        <v/>
      </c>
      <c r="AU224" s="88" t="str">
        <f t="shared" si="606"/>
        <v/>
      </c>
      <c r="AV224" s="29"/>
      <c r="AW224" s="73"/>
      <c r="AX224" s="271" t="str">
        <f>IF(AND(AV224="Applicant",OR(AW224="", AW224="Use Default Facility Hours")),"← Choose Schedule",IF(F224="","",IF(W224="LED Exit Signs",8760,IF(OR(AV224="Prescribed",AV224=""),VLOOKUP(F224,'Lookup Tables'!$A$6:$G$59,IF(AB224="General", 6, 3),FALSE),VLOOKUP(AW224,'Lookup Tables'!$S$36:$U$43,2,FALSE)))))</f>
        <v/>
      </c>
      <c r="AY224" s="88" t="str">
        <f t="shared" si="507"/>
        <v/>
      </c>
      <c r="AZ224" s="270" t="str">
        <f>IFERROR(IF(F224="", "", IF(W224="LED Exit Signs", 1, IF(AV224="Applicant",VLOOKUP(AW224, 'Lookup Tables'!$S$36:$U$43,3, FALSE), VLOOKUP('Lighting Inventory'!F224, 'Lookup Tables'!$A$6:$H$59, IF('Lighting Inventory'!AB224="General",7,4), FALSE)))), "")</f>
        <v/>
      </c>
      <c r="BA224" s="522" t="str">
        <f>IFERROR(IF(F224="", "", IF(W224="LED Exit Signs", 1, VLOOKUP('Lighting Inventory'!F224, 'Lookup Tables'!$A$6:$H$59, IF('Lighting Inventory'!AB224="General",8,5), FALSE))), "")</f>
        <v/>
      </c>
      <c r="BB224" s="270" t="str">
        <f>IF(G224="", "", IF(E224="Exterior", 0, IF('Lighting Inventory'!G224="Air Conditioned", VLOOKUP(H224, 'Lookup Tables'!$R$6:$T$13, 2, FALSE), VLOOKUP('Lighting Inventory'!G224, 'Lookup Tables'!$R$6:$T$13, 2, FALSE))))</f>
        <v/>
      </c>
      <c r="BC224" s="522" t="str">
        <f>IF(G224="", "", IF(E224="Exterior", 0, IF('Lighting Inventory'!G224="Air Conditioned", VLOOKUP(H224, 'Lookup Tables'!$R$6:$T$13, 3, FALSE), VLOOKUP('Lighting Inventory'!G224, 'Lookup Tables'!$R$6:$T$13, 3, FALSE))))</f>
        <v/>
      </c>
      <c r="BD224" s="270" t="str">
        <f>IF(G224="", "", IF(E224="Exterior", 0, IF('Lighting Inventory'!G224="Air Conditioned", VLOOKUP(H224, 'Lookup Tables'!$R$6:$U$13, 4, FALSE), VLOOKUP('Lighting Inventory'!G224, 'Lookup Tables'!$R$6:$U$13, 4, FALSE))))</f>
        <v/>
      </c>
      <c r="BE224" s="270" t="str">
        <f>IFERROR(IF(B224="", "",  IF(B224="New Construction", VLOOKUP(F224, 'Lookup Tables'!$A$6:$K$59, 11, FALSE),IF(OR(AN224="", AN224="Light Switch"), 0, IF(OR(M224="",M224="None",V224= "LED Exit Signs"),0,_xlfn.XLOOKUP(M224,'Lookup Tables'!$R$91:$R$101,'Lookup Tables'!$V$91:$V$101))))), "")</f>
        <v/>
      </c>
      <c r="BF224" s="270" t="str">
        <f>IF(AND(OR(AN224="Light Switch",AN224=""),B224="New Construction"), VLOOKUP(F224, 'Lookup Tables'!$A$6:$K$59, 11, FALSE),IF(AN224="","",IF(B224="","",IF(OR(AN224="None",AN224="",V224="LED Exit Signs",AN224="Exterior Controls Not Eligible"),0,_xlfn.XLOOKUP(AN224,'Lookup Tables'!$R$91:$R$101,'Lookup Tables'!$V$91:$V$101)))))</f>
        <v/>
      </c>
      <c r="BG224" s="88" t="str">
        <f t="shared" si="559"/>
        <v/>
      </c>
      <c r="BH224" s="88" t="str">
        <f t="shared" si="560"/>
        <v/>
      </c>
      <c r="BI224" s="558" t="str">
        <f t="shared" si="604"/>
        <v/>
      </c>
      <c r="BJ224" s="82" t="str">
        <f t="shared" si="561"/>
        <v/>
      </c>
      <c r="BK224" s="82" t="str">
        <f t="shared" si="562"/>
        <v/>
      </c>
      <c r="BL224" s="559" t="str">
        <f t="shared" si="563"/>
        <v/>
      </c>
      <c r="BM224" s="521" t="str">
        <f t="shared" si="508"/>
        <v/>
      </c>
      <c r="BN224" s="521" t="str">
        <f t="shared" si="509"/>
        <v/>
      </c>
      <c r="BO224" s="522" t="str">
        <f t="shared" si="510"/>
        <v/>
      </c>
      <c r="BP224" s="83" t="str">
        <f t="shared" si="564"/>
        <v/>
      </c>
      <c r="BQ224" s="84" t="str">
        <f t="shared" si="565"/>
        <v/>
      </c>
      <c r="BR224" s="184" t="str">
        <f>IFERROR(IF(B224="", "", IF(OR(VLOOKUP(J224, 'Fixture Identities'!$A$6:$L$1023, 3, FALSE)="T12 Linear Fluorescent",VLOOKUP(J224, 'Fixture Identities'!$A$6:$L$1023, 3, FALSE)="T12 U-Tube Fluorescent"), "Y", "N")), "N")</f>
        <v/>
      </c>
      <c r="BS224" s="184" t="str">
        <f t="array" ref="BS224">IFERROR(IF(OR(B224="", V224="", W224=""), "", IF(V224="Custom", "N", IF(OR(W224="Freezer Case Lighting", W224="Refrigerated Case Lighting with Doors"), BT224, IF(B224="Retrofit", INDEX('Lookup Tables'!$AH$6:$AT$102,MATCH(1,('Lookup Tables'!$AH$6:$AH$102=V224)*('Lookup Tables'!$AI$6:$AI$102=W224),FALSE),IF(VLOOKUP(J224, 'Fixture Identities'!$A$6:$B$1023, 2, FALSE)="Incandescent",12, 13)), INDEX('Lookup Tables'!$AH$114:$AS$154,MATCH(1,('Lookup Tables'!$AH$114:$AH$154=V224)*('Lookup Tables'!$AI$114:$AI$154=W224),FALSE),12))))), "N")</f>
        <v/>
      </c>
      <c r="BT224" s="184" t="str">
        <f>IF(J224="", "", IF(AND(OR(W224="Freezer case Lighting", W224="Refrigerated Case Lighting with Doors"),'General Information'!$X$18="LCI"), "N", IF(OR(VLOOKUP(J224, 'Fixture Identities'!$A$6:$B$1023, 2, FALSE)="T12 EPACT/EISA Baseline", VLOOKUP(J224, 'Fixture Identities'!$A$6:$B$1023, 2, FALSE)="Linear Fluorescent", VLOOKUP(J224, 'Fixture Identities'!$A$6:$B$1023, 2, FALSE)="U-Tube Fluorescent"), "Y", "N")))</f>
        <v/>
      </c>
      <c r="BU224" s="184" t="str">
        <f>IFERROR(IF(B224="", "", IF(VLOOKUP(J224, 'Fixture Identities'!$A$6:$B$1023, 2, FALSE)="Exit Sign", "Y", "N")), "N")</f>
        <v/>
      </c>
      <c r="BV224" s="184" t="str">
        <f>IF(V224="Exit Signs", IF(VLOOKUP(J224, 'Fixture Identities'!$A$6:$B$1023, 2, FALSE)="Exit Sign", "N", "Y"), "")</f>
        <v/>
      </c>
      <c r="BW224" s="184" t="str">
        <f t="array" ref="BW224">IFERROR(IF(B224="", "", IF(B224="New Construction", "N", INDEX('Lookup Tables'!$AH$6:$AU$102, MATCH(1, ('Lookup Tables'!$AH$6:$AH$102='Lighting Inventory'!V224)*('Lookup Tables'!$AI$6:$AI$102='Lighting Inventory'!W224), 0), 14))), "N")</f>
        <v/>
      </c>
      <c r="BX224" s="598" t="str">
        <f t="shared" si="566"/>
        <v/>
      </c>
      <c r="BY224" s="598" t="str">
        <f t="shared" si="567"/>
        <v/>
      </c>
      <c r="BZ224" s="598" t="str">
        <f t="shared" si="568"/>
        <v/>
      </c>
      <c r="CA224" s="598" t="str">
        <f t="shared" si="569"/>
        <v/>
      </c>
      <c r="CB224" s="269" t="str">
        <f t="shared" si="570"/>
        <v/>
      </c>
      <c r="CC224" s="517" t="str">
        <f t="shared" si="571"/>
        <v/>
      </c>
      <c r="CD224" s="565" t="str">
        <f t="shared" si="511"/>
        <v/>
      </c>
      <c r="CE224" s="368">
        <v>0</v>
      </c>
      <c r="CF224" s="368" t="str" cm="1">
        <f t="array" ref="CF224">IFERROR(IF(V224="Custom", "$0.1 per kWh", IF(B224="New Construction", CONCATENATE("$",INDEX('Lookup Tables'!$AH$114:$AN$154,MATCH(1,('Lookup Tables'!$AH$114:$AH$154='Lighting Inventory'!V224)*('Lookup Tables'!$AI$114:$AI$154='Lighting Inventory'!W224),FALSE),6)," ",INDEX('Lookup Tables'!$AH$114:$AN$154,MATCH(1,('Lookup Tables'!$AH$114:$AH$154='Lighting Inventory'!V224)*('Lookup Tables'!$AI$114:$AI$154='Lighting Inventory'!W224),FALSE),7)), IF(AND(BU224="N", V224="Exit Signs"), "$0.025 per kWh", CONCATENATE("$",INDEX('Lookup Tables'!$AH$6:$AN$102,MATCH(1,('Lookup Tables'!$AH$6:$AH$102='Lighting Inventory'!V224)*('Lookup Tables'!$AI$6:$AI$102='Lighting Inventory'!W224),FALSE),6)," ",INDEX('Lookup Tables'!$AH$6:$AN$102,MATCH(1,('Lookup Tables'!$AH$6:$AH$102='Lighting Inventory'!V224)*('Lookup Tables'!$AI$6:$AI$102='Lighting Inventory'!W224),FALSE),7))))), "")</f>
        <v/>
      </c>
      <c r="CG224" s="366"/>
      <c r="CH224" s="248" t="str">
        <f t="shared" si="512"/>
        <v/>
      </c>
      <c r="CI224" s="248" t="str">
        <f t="shared" si="513"/>
        <v>Select_IE</v>
      </c>
      <c r="CJ224" s="248" t="str">
        <f t="shared" si="514"/>
        <v/>
      </c>
      <c r="CK224" s="248" t="str">
        <f t="shared" si="515"/>
        <v/>
      </c>
      <c r="CL224" s="248" t="str">
        <f t="shared" si="516"/>
        <v/>
      </c>
      <c r="CM224" s="248" t="str">
        <f>IFERROR(IF(B224="", "", IF(B224="New Construction", VLOOKUP(V224, 'Lookup Tables'!$AF$114:$AG$120, 2, FALSE), VLOOKUP(V224, 'Lookup Tables'!$AD$6:$AE$25, 2, FALSE))), "")</f>
        <v/>
      </c>
      <c r="CN224" s="248" t="str">
        <f t="shared" si="517"/>
        <v/>
      </c>
      <c r="CO224" s="248" t="str">
        <f t="shared" si="518"/>
        <v/>
      </c>
      <c r="CP224" s="592" t="str">
        <f t="shared" si="519"/>
        <v/>
      </c>
      <c r="CQ224" s="248" t="str">
        <f t="shared" si="572"/>
        <v/>
      </c>
      <c r="CR224" s="100"/>
      <c r="CS224" s="250" t="str">
        <f t="shared" si="520"/>
        <v/>
      </c>
      <c r="CT224" s="250" t="str">
        <f t="shared" si="573"/>
        <v/>
      </c>
      <c r="CU224" s="250" t="str">
        <f t="shared" si="574"/>
        <v/>
      </c>
      <c r="CV224" s="250" t="str">
        <f t="shared" si="575"/>
        <v/>
      </c>
      <c r="CW224" s="250" t="str">
        <f t="shared" si="576"/>
        <v/>
      </c>
      <c r="CX224" s="250" t="str">
        <f t="shared" si="521"/>
        <v/>
      </c>
      <c r="CY224" s="250" t="str">
        <f t="shared" si="522"/>
        <v/>
      </c>
      <c r="CZ224" s="250" t="str">
        <f t="shared" si="523"/>
        <v/>
      </c>
      <c r="DA224" s="250" t="str">
        <f t="shared" si="524"/>
        <v/>
      </c>
      <c r="DB224" s="250" t="str">
        <f t="shared" si="525"/>
        <v/>
      </c>
      <c r="DC224" s="250" t="str">
        <f t="shared" si="526"/>
        <v/>
      </c>
      <c r="DD224" s="250" t="str">
        <f t="shared" si="527"/>
        <v/>
      </c>
      <c r="DE224" s="250" t="str">
        <f t="shared" si="528"/>
        <v/>
      </c>
      <c r="DF224" s="250" t="str">
        <f t="shared" si="529"/>
        <v/>
      </c>
      <c r="DG224" s="250" t="str">
        <f t="shared" si="530"/>
        <v/>
      </c>
      <c r="DH224" s="250" t="str">
        <f t="shared" si="531"/>
        <v/>
      </c>
      <c r="DI224" s="250" t="str">
        <f t="shared" si="532"/>
        <v/>
      </c>
      <c r="DJ224" s="250" t="str">
        <f t="shared" si="533"/>
        <v/>
      </c>
      <c r="DK224" s="250" t="str">
        <f t="shared" si="534"/>
        <v/>
      </c>
      <c r="DL224" s="250" t="str">
        <f t="shared" si="535"/>
        <v/>
      </c>
      <c r="DM224" s="250" t="str">
        <f>IF(CD224="ERROR", "ERROR", IF(AND(OR(Y224=$DM$6, Y224='Lookup Tables'!$AD$21, Y224='Lookup Tables'!$AD$22), E224="Interior"), BJ224, ""))</f>
        <v/>
      </c>
      <c r="DN224" s="250" t="str">
        <f>IF(CD224="ERROR", "ERROR", IF(AND(OR(Y224=$DM$6, Y224='Lookup Tables'!$AD$21, Y224='Lookup Tables'!$AD$22), E224="Exterior"), BJ224, ""))</f>
        <v/>
      </c>
      <c r="DO224" s="100"/>
      <c r="DP224" s="250" t="str">
        <f t="shared" si="536"/>
        <v/>
      </c>
      <c r="DQ224" s="250" t="str">
        <f t="shared" si="577"/>
        <v/>
      </c>
      <c r="DR224" s="250" t="str">
        <f t="shared" si="578"/>
        <v/>
      </c>
      <c r="DS224" s="250" t="str">
        <f t="shared" si="579"/>
        <v/>
      </c>
      <c r="DT224" s="250" t="str">
        <f t="shared" si="580"/>
        <v/>
      </c>
      <c r="DU224" s="250" t="str">
        <f t="shared" si="537"/>
        <v/>
      </c>
      <c r="DV224" s="250" t="str">
        <f t="shared" si="538"/>
        <v/>
      </c>
      <c r="DW224" s="250" t="str">
        <f t="shared" si="539"/>
        <v/>
      </c>
      <c r="DX224" s="250" t="str">
        <f t="shared" si="540"/>
        <v/>
      </c>
      <c r="DY224" s="250" t="str">
        <f t="shared" si="541"/>
        <v/>
      </c>
      <c r="DZ224" s="250" t="str">
        <f t="shared" si="542"/>
        <v/>
      </c>
      <c r="EA224" s="250" t="str">
        <f t="shared" si="543"/>
        <v/>
      </c>
      <c r="EB224" s="250" t="str">
        <f t="shared" si="581"/>
        <v/>
      </c>
      <c r="EC224" s="250" t="str">
        <f t="shared" si="544"/>
        <v/>
      </c>
      <c r="ED224" s="250" t="str">
        <f t="shared" si="545"/>
        <v/>
      </c>
      <c r="EE224" s="250" t="str">
        <f t="shared" si="546"/>
        <v/>
      </c>
      <c r="EF224" s="250" t="str">
        <f t="shared" si="547"/>
        <v/>
      </c>
      <c r="EG224" s="250" t="str">
        <f t="shared" si="548"/>
        <v/>
      </c>
      <c r="EH224" s="250" t="str">
        <f>IF(CD224="ERROR", "ERROR", IF(AND(OR($EH$6=Y224, Y224='Lookup Tables'!$AD$21, Y224='Lookup Tables'!$AD$22),E224="Interior"), SUM(BP224:BP224), ""))</f>
        <v/>
      </c>
      <c r="EI224" s="250" t="str">
        <f>IF(CD224="ERROR", "ERROR", IF(AND(OR($EH$6=Y224, Y224='Lookup Tables'!$AD$21, Y224='Lookup Tables'!$AD$22),E224="Exterior"), SUM(BP224:BP224), ""))</f>
        <v/>
      </c>
      <c r="EJ224" s="109"/>
      <c r="EK224" s="485" t="str">
        <f t="shared" si="549"/>
        <v/>
      </c>
      <c r="EL224" s="252" t="str">
        <f t="shared" si="582"/>
        <v/>
      </c>
      <c r="EM224" s="252" t="str">
        <f t="shared" si="583"/>
        <v/>
      </c>
      <c r="EN224" s="252" t="str">
        <f t="shared" si="584"/>
        <v/>
      </c>
      <c r="EO224" s="252" t="str">
        <f t="shared" si="585"/>
        <v/>
      </c>
      <c r="EP224" s="252" t="str">
        <f t="shared" si="586"/>
        <v/>
      </c>
      <c r="EQ224" s="252" t="str">
        <f t="shared" si="587"/>
        <v/>
      </c>
      <c r="ER224" s="252" t="str">
        <f t="shared" si="588"/>
        <v/>
      </c>
      <c r="ES224" s="252" t="str">
        <f t="shared" si="589"/>
        <v/>
      </c>
      <c r="ET224" s="252" t="str">
        <f t="shared" si="590"/>
        <v/>
      </c>
      <c r="EU224" s="252" t="str">
        <f t="shared" si="591"/>
        <v/>
      </c>
      <c r="EV224" s="252" t="str">
        <f t="shared" si="592"/>
        <v/>
      </c>
      <c r="EW224" s="252" t="str">
        <f t="shared" si="593"/>
        <v/>
      </c>
      <c r="EX224" s="252" t="str">
        <f t="shared" si="594"/>
        <v/>
      </c>
      <c r="EY224" s="252" t="str">
        <f t="shared" si="595"/>
        <v/>
      </c>
      <c r="EZ224" s="252" t="str">
        <f t="shared" si="596"/>
        <v/>
      </c>
      <c r="FA224" s="252" t="str">
        <f t="shared" si="597"/>
        <v/>
      </c>
      <c r="FB224" s="252" t="str">
        <f t="shared" si="598"/>
        <v/>
      </c>
      <c r="FC224" s="252" t="str">
        <f>IF(CD224="ERROR", "ERROR", IF(OR(V224="No Change", V224="Not DLC or Energy Star"), "", IF(AND(OR($FC$6=Y224,Y224='Lookup Tables'!$AD$21, Y224='Lookup Tables'!$AD$22),E224="Interior"), S224, "")))</f>
        <v/>
      </c>
      <c r="FD224" s="252" t="str">
        <f t="shared" si="599"/>
        <v/>
      </c>
      <c r="FE224" s="101"/>
      <c r="FF224" s="579" t="str" cm="1">
        <f t="array" ref="FF224">IFERROR(IF(OR(BQ224&lt;=0,AQ224&lt;20,AND(V224="Exit Signs",AN224&gt;0)),"",IF(AND(AQ224&gt;=20,AN224='Lookup Tables'!$R$101),'Lookup Tables'!$U$101*BQ224,AP224*LOOKUP(2,1/((AN224='Lookup Tables'!$R$91:$R$111)*(AQ224&gt;='Lookup Tables'!$S$91:$S$111)*(AQ224&lt;='Lookup Tables'!$T$91:$T$111)),'Lookup Tables'!$U$91:$U$111))),"")</f>
        <v/>
      </c>
      <c r="FG224" s="579"/>
      <c r="FH224" s="579"/>
      <c r="FI224" s="253" t="str">
        <f>IFERROR(ROUND(IF(CD224="ERROR", "ERROR", IF(AND($FI$7=X224,E224="Interior"),VLOOKUP(W224, 'Lookup Tables'!$AI$6:$AM$102, 5, FALSE)*BP224, "")), 2), "")</f>
        <v/>
      </c>
      <c r="FJ224" s="253" t="str">
        <f>IFERROR(ROUND(IF(CD224="ERROR", "ERROR", IF(AND($FI$7=X224,E224="Exterior"),VLOOKUP(W224, 'Lookup Tables'!$AI$6:$AM$102, 5, FALSE)*BP224, "")), 2), "")</f>
        <v/>
      </c>
      <c r="FK224" s="253" t="str">
        <f>IFERROR(ROUND(IF(CD224="ERROR", "ERROR", IF(AND($FK$7=X224,E224="Interior"),VLOOKUP(W224, 'Lookup Tables'!$AI$6:$AM$102, 5, FALSE)*BP224, "")), 2), "")</f>
        <v/>
      </c>
      <c r="FL224" s="253" t="str">
        <f>IFERROR(ROUND(IF(CD224="ERROR", "ERROR", IF(AND($FK$7=X224,E224="Exterior"),VLOOKUP(W224, 'Lookup Tables'!$AI$6:$AM$102, 5, FALSE)*BP224, "")), 2), "")</f>
        <v/>
      </c>
      <c r="FM224" s="253" t="str">
        <f>IFERROR(ROUND(IF(CD224="ERROR", "ERROR", IF(AND($FM$6=Y224,E224="Interior"), IF(GB224=0, VLOOKUP(W224, 'Lookup Tables'!$AI$6:$AM$102, 5, FALSE)*BP224, IF(VLOOKUP(W224, 'Lookup Tables'!$AI$6:$AM$102, 5, FALSE)*BP224&gt;GB224*'Lighting Inventory'!S224, GB224*'Lighting Inventory'!S224,VLOOKUP(W224, 'Lookup Tables'!$AI$6:$AM$102, 5, FALSE)*BP224)), "")), 2), "")</f>
        <v/>
      </c>
      <c r="FN224" s="253" t="str">
        <f>IFERROR(ROUND(IF(CD224="ERROR", "ERROR", IF(AND($FM$6=Y224,E224="Exterior"), IF(GB224=0, VLOOKUP(W224, 'Lookup Tables'!$AI$6:$AM$102, 5, FALSE)*BP224, IF(VLOOKUP(W224, 'Lookup Tables'!$AI$6:$AM$102, 5, FALSE)*BP224&gt;GB224*'Lighting Inventory'!S224, GB224*'Lighting Inventory'!S224,VLOOKUP(W224, 'Lookup Tables'!$AI$6:$AM$102, 5, FALSE)*BP224)), "")), 2), "")</f>
        <v/>
      </c>
      <c r="FO224" s="253" t="str">
        <f>IFERROR(ROUND(IF(CD224="ERROR", "ERROR", IF(AND($FO$6=Y224,E224="Interior"),VLOOKUP(W224, 'Lookup Tables'!$AI$6:$AM$102, 5, FALSE)*'Lighting Inventory'!AI224, "")), 2), "")</f>
        <v/>
      </c>
      <c r="FP224" s="253" t="str">
        <f>IFERROR(ROUND(IF(CD224="ERROR", "ERROR", IF(AND($FO$6=Y224,E224="Exterior"),VLOOKUP(W224, 'Lookup Tables'!$AI$6:$AM$102, 5, FALSE)*'Lighting Inventory'!AI224, "")), 2), "")</f>
        <v/>
      </c>
      <c r="FQ224" s="253" t="str">
        <f>IFERROR(ROUND(IF(CD224="ERROR", "ERROR", IF(AND($FQ$6=Y224,E224="Interior", BU224="Y"), VLOOKUP('Lighting Inventory'!W224, 'Lookup Tables'!$AI$6:$AM$102, 5, FALSE)*'Lighting Inventory'!S224, IF(AND($FQ$7=Y224,E224="Interior", BU224="N"), 0.025*CD224, ""))), 2), "")</f>
        <v/>
      </c>
      <c r="FR224" s="253" t="str">
        <f>IFERROR(ROUND(IF(CD224="ERROR", "ERROR", IF(AND($FQ$6=Y224,E224="Exterior"), VLOOKUP('Lighting Inventory'!W224, 'Lookup Tables'!$AI$6:$AM$102, 5, FALSE)*'Lighting Inventory'!S224, "")), 2), "")</f>
        <v/>
      </c>
      <c r="FS224" s="253" t="str">
        <f>IFERROR(ROUND(IF(CD224="ERROR", "ERROR", IF(AND($FS$6=Y224,E224="Exterior"), IF(GB224=0, VLOOKUP(W224, 'Lookup Tables'!$AI$6:$AM$102, 5, FALSE)*BP224, IF(VLOOKUP(W224, 'Lookup Tables'!$AI$6:$AM$102, 5, FALSE)*BP224&gt;GB224*'Lighting Inventory'!S224, GB224*'Lighting Inventory'!S224,VLOOKUP(W224, 'Lookup Tables'!$AI$6:$AM$102, 5, FALSE)*BP224)), "")), 2), "")</f>
        <v/>
      </c>
      <c r="FT224" s="253" t="str">
        <f>IFERROR(ROUND(IF(CD224="ERROR", "ERROR", IF(AND($FT$6=Y224,E224="Interior"), IF(GB224=0, VLOOKUP(W224, 'Lookup Tables'!$AI$6:$AM$102, 5, FALSE)*BP224, IF(VLOOKUP(W224, 'Lookup Tables'!$AI$6:$AM$102, 5, FALSE)*BP224&gt;GB224*'Lighting Inventory'!S224, GB224*'Lighting Inventory'!S224,VLOOKUP(W224, 'Lookup Tables'!$AI$6:$AM$102, 5, FALSE)*BP224)), "")), 2), "")</f>
        <v/>
      </c>
      <c r="FU224" s="253" t="str">
        <f>IFERROR(ROUND(IF(CD224="ERROR", "ERROR", IF(AND(Y224=$FU$6, E224="Interior"), IF(BS224="N", 'Lookup Tables'!$AM$101*BP224, VLOOKUP(W224, 'Lookup Tables'!$AI$6:$AM$102, 5, FALSE)*S224*AD224), "")), 2), "")</f>
        <v/>
      </c>
      <c r="FV224" s="253" t="str">
        <f>IFERROR(ROUND(IF(CD224="ERROR", "ERROR", IF(AND(Y224=$FU$6, E224="Exterior"), IF(BS224="N", 'Lookup Tables'!$AM$101*BP224, VLOOKUP(W224, 'Lookup Tables'!$AI$6:$AM$102, 5, FALSE)*S224*AD224), "")), 2), "")</f>
        <v/>
      </c>
      <c r="FW224" s="253" t="str">
        <f>IFERROR(ROUND(IF(CD224="ERROR", "ERROR", IF($FW$6=Y224, IF(BS224="N", 'Lookup Tables'!$AM$101*BP224, MIN((VLOOKUP(W224, 'Lookup Tables'!$AI$6:$AM$102, 5, FALSE)*BP224),GB224*AJ224)), "")), 2), "")</f>
        <v/>
      </c>
      <c r="FX224" s="253" t="str">
        <f>IFERROR(ROUND(IF(CD224="ERROR", "ERROR", IF(AND($FX$6=Y224, E224="Interior"), IF(VLOOKUP(W224, 'Lookup Tables'!$AI$6:$AM$102, 5, FALSE)*BP224&gt;'Lookup Tables'!$AQ$97*'Lighting Inventory'!S224,'Lighting Inventory'!S224*'Lookup Tables'!$AQ$97,VLOOKUP(W224, 'Lookup Tables'!$AI$6:$AM$102, 5, FALSE)*BP224), "")), 2), "")</f>
        <v/>
      </c>
      <c r="FY224" s="253" t="str">
        <f>IFERROR(ROUND(IF(CD224="ERROR", "ERROR", IF(AND($FX$6=Y224, E224="Exterior"), IF(VLOOKUP(W224, 'Lookup Tables'!$AI$6:$AM$102, 5, FALSE)*BP224&gt;'Lookup Tables'!$AQ$97*'Lighting Inventory'!S224,'Lighting Inventory'!S224*'Lookup Tables'!$AQ$97,VLOOKUP(W224, 'Lookup Tables'!$AI$6:$AM$102, 5, FALSE)*BP224), "")), 2), "")</f>
        <v/>
      </c>
      <c r="FZ224" s="253" t="str">
        <f>IFERROR(ROUND(IF(CD224="ERROR", "ERROR", IF(AND($FZ$6=Y224, E224="Interior"), IF(AND(OR(W224="Refrigerated Case Lighting with Doors", W224="Freezer Case Lighting"),Y224="Custom - Process Improvement"),CD224*'Lookup Tables'!$AM$101, IF(B224="Retrofit", IF(VLOOKUP(IF(V224="Custom", V224, W224), 'Lookup Tables'!$AI$6:$AM$102, 5, FALSE)*BP224&gt;GE224, GE224, VLOOKUP(IF(V224="Custom", V224, W224), 'Lookup Tables'!$AI$6:$AM$102, 5, FALSE)*BP224), IF(VLOOKUP(IF(V224="Custom", V224, W224), 'Lookup Tables'!$AI$114:$AM$154, 5, FALSE)*BP224&gt;GE224, GE224, VLOOKUP(IF(V224="Custom", V224, W224), 'Lookup Tables'!$AI$114:$AM$154, 5, FALSE)*BP224))), "")), 2),"")</f>
        <v/>
      </c>
      <c r="GA224" s="253" t="str">
        <f>IFERROR(ROUND(IF(CD224="ERROR", "ERROR", IF(AND($FZ$6=Y224, E224="Exterior"), IF(B224="Retrofit", IF(VLOOKUP(IF(V224="Custom", V224, W224), 'Lookup Tables'!$AI$6:$AM$102, 5, FALSE)*BP224&gt;GE224, GE224, VLOOKUP(IF(V224="Custom", V224, W224), 'Lookup Tables'!$AI$6:$AM$102, 5, FALSE)*BP224), IF(VLOOKUP(IF(V224="Custom", V224, W224), 'Lookup Tables'!$AI$114:$AM$154, 5, FALSE)*BP224&gt;GE224, GE224, VLOOKUP(IF(V224="Custom", V224, W224), 'Lookup Tables'!$AI$114:$AM$154, 5, FALSE)*BP224)), "")), 2),"")</f>
        <v/>
      </c>
      <c r="GB224" s="254" t="str">
        <f t="array" ref="GB224">IF(B224="","",IF(OR(V224="Custom",V224="No Change"),0,IF(B224="Retrofit", INDEX('Lookup Tables'!$AH$6:$AQ$102,MATCH(1,('Lookup Tables'!$AH$6:$AH$102='Lighting Inventory'!V224)*('Lookup Tables'!$AI$6:$AI$102='Lighting Inventory'!W224),FALSE),10),INDEX('Lookup Tables'!$AH$114:$AQ$154,MATCH(1,('Lookup Tables'!$AH$114:$AH$154='Lighting Inventory'!V224)*('Lookup Tables'!$AI$114:$AI$154='Lighting Inventory'!W224),FALSE),10))))</f>
        <v/>
      </c>
      <c r="GC224" s="255" t="str">
        <f t="shared" si="550"/>
        <v/>
      </c>
      <c r="GD224" s="250" t="str">
        <f t="shared" si="551"/>
        <v/>
      </c>
      <c r="GE224" s="253" t="str">
        <f>IFERROR(IF(AND(AF224="", 'General Information'!$F$18="No"),"", IF(AF224="", ((GD224/$CD$266)*$CF$266)*0.5, AF224*S224*0.5)), "")</f>
        <v/>
      </c>
      <c r="GF224" s="255" t="str">
        <f>IF(AND('General Information'!$F$19="", 'General Information'!$F$18="Yes",AF224="",BW224="Y"), "Y", "N")</f>
        <v>N</v>
      </c>
      <c r="GG224" s="255" t="s">
        <v>2946</v>
      </c>
      <c r="GH224" s="255" t="str">
        <f>IFERROR(IF(B224="", "", VLOOKUP(J224, 'Fixture Identities'!$A$6:$N$908, 14, FALSE)), "")</f>
        <v/>
      </c>
      <c r="GI224" s="389" t="str">
        <f>IF(OR(B224="", V224="", W224=""), "", IF(AND(OR(M224='Lookup Tables'!$R$18, M224='Lookup Tables'!$R$19, M224='Lookup Tables'!$R$20, M224='Lookup Tables'!$R$21, M224='Lookup Tables'!$R$22), OR(AN224='Lookup Tables'!$R$17, AN224='Lookup Tables'!$R$17, AN224="")), "Y", "N"))</f>
        <v/>
      </c>
      <c r="GJ224" s="255" t="str">
        <f t="shared" si="552"/>
        <v/>
      </c>
      <c r="GK224" s="255" t="str">
        <f t="shared" si="553"/>
        <v/>
      </c>
      <c r="GL224" s="255" t="str">
        <f t="shared" si="554"/>
        <v/>
      </c>
      <c r="GM224" s="255" t="str">
        <f>IF(AN224="", "", IF(AND(IF(ISNA(VLOOKUP(AN224,'Lookup Tables'!$R$18:$R$22,1,FALSE)), "N", "Y")="Y", E224="Exterior"), "Y", "N"))</f>
        <v/>
      </c>
      <c r="GN224" s="395"/>
      <c r="GO224" s="428">
        <f t="shared" si="600"/>
        <v>0</v>
      </c>
      <c r="GP224" s="428">
        <f t="shared" si="603"/>
        <v>0</v>
      </c>
      <c r="GQ224" s="428">
        <f t="shared" si="601"/>
        <v>0</v>
      </c>
      <c r="GR224" s="428">
        <f t="shared" si="602"/>
        <v>0</v>
      </c>
    </row>
    <row r="225" spans="1:200" s="103" customFormat="1" ht="13.5" customHeight="1" x14ac:dyDescent="0.2">
      <c r="A225" s="272">
        <v>215</v>
      </c>
      <c r="B225" s="110"/>
      <c r="C225" s="110"/>
      <c r="D225" s="110"/>
      <c r="E225" s="110"/>
      <c r="F225" s="110"/>
      <c r="G225" s="110"/>
      <c r="H225" s="110"/>
      <c r="I225" s="29"/>
      <c r="J225" s="29"/>
      <c r="K225" s="272" t="str">
        <f>IFERROR(IF(OR(VLOOKUP(J225, 'Fixture Identities'!$A$6:$L$1023, 3, FALSE)="T12 Linear Fluorescent", VLOOKUP(J225, 'Fixture Identities'!$A$6:$L$1023, 3, FALSE)="T12 U-Tube Fluorescent"), VLOOKUP(VLOOKUP(J225, 'Fixture Identities'!$A$6:$L$1023, 11, FALSE), 'Fixture Identities'!$A$6:$L$1023, 10, FALSE), VLOOKUP(J225, 'Fixture Identities'!$A$6:$L$1023, 10, FALSE)), "")</f>
        <v/>
      </c>
      <c r="L225" s="270" t="str">
        <f t="shared" si="605"/>
        <v/>
      </c>
      <c r="M225" s="110"/>
      <c r="N225" s="110"/>
      <c r="O225" s="110"/>
      <c r="P225" s="272" t="str">
        <f>IFERROR(IF(OR(B225="Retrofit",B225=""),"",IF('Lighting Inventory'!E225="Exterior",VLOOKUP('Lighting Inventory'!N225,'Lookup Tables'!$B$83:$F$103,5,FALSE),IF(N225="Other - Please Estimate EFLH and CFs","Contact Prog. Rep.","ft^2"))), "")</f>
        <v/>
      </c>
      <c r="Q225" s="270" t="str">
        <f>IFERROR(IF(AND(B225="New Construction",E225="Interior",$F$5="Space-by-Space"),VLOOKUP('Lighting Inventory'!N225,'Lookup Tables'!$N$6:$O$97,2,FALSE),IF(AND(B225="New Construction",E225="Exterior"),VLOOKUP(N225,'Lookup Tables'!$B$83:$F$103,2,FALSE),IF(AND(B225="New Construction",'Lighting Inventory'!E225="Interior", $F$5="Building Area"),VLOOKUP(F225,'Lookup Tables'!$A$6:$J$59,10,FALSE),""))), "")</f>
        <v/>
      </c>
      <c r="R225" s="270" t="str">
        <f>IFERROR(IF(P225="Contact Prog. Rep.", "ERROR", IF(OR(B225="",B225="Retrofit"),"",IF(N225="Automated teller machines", ('Lookup Tables'!$A$82:$E$100+('Lighting Inventory'!O225-1)*'Lookup Tables'!$A$82:$E$100)/1000, (Q225*O225)/1000))), "")</f>
        <v/>
      </c>
      <c r="S225" s="595"/>
      <c r="T225" s="105" t="str">
        <f t="shared" si="555"/>
        <v/>
      </c>
      <c r="U225" s="105" t="str">
        <f>IF(S225="","",COUNT($S$11:S225))</f>
        <v/>
      </c>
      <c r="V225" s="111"/>
      <c r="W225" s="112"/>
      <c r="X225" s="105" t="str">
        <f t="shared" si="556"/>
        <v/>
      </c>
      <c r="Y225" s="105" t="str">
        <f t="array" ref="Y225">IF(AND(OR(W225="Freezer Case Lighting", W225="Refrigerated Case Lighting with Doors"), 'General Information'!$X$18="LCI"),'Lookup Tables'!$Y$34, IF(V225="Custom", VLOOKUP(W225, 'Fixture Identities'!$A$974:$M$1023, 13, FALSE), IF(V225="No Change",'Lookup Tables'!$Y$29,IF(OR(V225="",W225=""),"",IF(AND(S225=0,S225&lt;I225,B225="Retrofit"),'Lookup Tables'!$Y$25, IF(B225="Retrofit", INDEX('Lookup Tables'!$AH$6:$AP$102, MATCH(1, ('Lookup Tables'!$AH$6:$AH$102=V225)*('Lookup Tables'!$AI$6:$AI$102=W225), 0), IF('Lighting Inventory'!E225="Interior", 4, 5)), INDEX('Lookup Tables'!$AH$114:$AP$154, MATCH(1, ('Lookup Tables'!$AH$114:$AH$154=V225)*('Lookup Tables'!$AI$114:$AI$154=W225), 0), IF('Lighting Inventory'!E225="Interior", 4, 5))))))))</f>
        <v/>
      </c>
      <c r="Z225" s="105" t="str">
        <f>IFERROR(INDEX('Lookup Tables'!$AH$158:$AH$172,MATCH('Lighting Inventory'!Y225,'Lookup Tables'!$AI$158:$AI$172,0)),"")</f>
        <v/>
      </c>
      <c r="AA225" s="105" t="str">
        <f>IF(AP225&gt;0,INDEX('Lookup Tables'!$AK$158:$AK$172,MATCH('Lighting Inventory'!Y225,'Lookup Tables'!$AI$158:$AI$172,0)),'Lighting Inventory'!Y225)</f>
        <v/>
      </c>
      <c r="AB225" s="105" t="str">
        <f t="array" ref="AB225">IF(V225="Custom", "Custom", IF(V225="", "", IF(V225="Not DLC or Energy Star", "General", IF(B225="New Construction", INDEX('Lookup Tables'!$AH$114:$AP$154,MATCH(1,('Lookup Tables'!$AH$114:$AH$154='Lighting Inventory'!V225)*('Lookup Tables'!$AI$114:$AI$154='Lighting Inventory'!W225),FALSE),8), INDEX('Lookup Tables'!$AH$6:$AP$102,MATCH(1,('Lookup Tables'!$AH$6:$AH$102='Lighting Inventory'!V225)*('Lookup Tables'!$AI$6:$AI$102='Lighting Inventory'!W225),FALSE),8)))))</f>
        <v/>
      </c>
      <c r="AC225" s="272" t="str">
        <f>IF(W225="","",IF(V225="Custom",CONCATENATE("$",'Lookup Tables'!$AM$101," ",'Lookup Tables'!$AN$101),CONCATENATE("$",INDEX('Lookup Tables'!$AM$6:$AM$102,MATCH('Lighting Inventory'!W225,'Lookup Tables'!$AI$6:$AI$102,0))," ",INDEX('Lookup Tables'!$AN$6:$AN$102,MATCH('Lighting Inventory'!W225,'Lookup Tables'!$AI$6:$AI$102,0)))))</f>
        <v/>
      </c>
      <c r="AD225" s="72"/>
      <c r="AE225" s="29"/>
      <c r="AF225" s="379"/>
      <c r="AG225" s="370" t="str">
        <f t="shared" si="504"/>
        <v/>
      </c>
      <c r="AH225" s="370" t="str">
        <f t="shared" si="557"/>
        <v/>
      </c>
      <c r="AI225" s="29"/>
      <c r="AJ225" s="29"/>
      <c r="AK225" s="110"/>
      <c r="AL225" s="375" t="str">
        <f>IF(OR(B225="", V225="", W225=""), "", IF(V225="No Change", K225, IF(V225="Remove Fixture", 0, IF(V225="Custom",VLOOKUP(W225,'Fixture Identities'!$A$6:$K$1023,10,FALSE),IF(AE225="", "← ENTER POST WATTS", 'Lighting Inventory'!AE225)))))</f>
        <v/>
      </c>
      <c r="AM225" s="376" t="str">
        <f t="shared" si="505"/>
        <v/>
      </c>
      <c r="AN225" s="29"/>
      <c r="AO225" s="671"/>
      <c r="AP225" s="29"/>
      <c r="AQ225" s="29"/>
      <c r="AR225" s="29"/>
      <c r="AS225" s="272" t="str">
        <f t="shared" si="558"/>
        <v/>
      </c>
      <c r="AT225" s="270" t="str">
        <f t="shared" si="506"/>
        <v/>
      </c>
      <c r="AU225" s="88" t="str">
        <f t="shared" si="606"/>
        <v/>
      </c>
      <c r="AV225" s="29"/>
      <c r="AW225" s="73"/>
      <c r="AX225" s="271" t="str">
        <f>IF(AND(AV225="Applicant",OR(AW225="", AW225="Use Default Facility Hours")),"← Choose Schedule",IF(F225="","",IF(W225="LED Exit Signs",8760,IF(OR(AV225="Prescribed",AV225=""),VLOOKUP(F225,'Lookup Tables'!$A$6:$G$59,IF(AB225="General", 6, 3),FALSE),VLOOKUP(AW225,'Lookup Tables'!$S$36:$U$43,2,FALSE)))))</f>
        <v/>
      </c>
      <c r="AY225" s="88" t="str">
        <f t="shared" si="507"/>
        <v/>
      </c>
      <c r="AZ225" s="270" t="str">
        <f>IFERROR(IF(F225="", "", IF(W225="LED Exit Signs", 1, IF(AV225="Applicant",VLOOKUP(AW225, 'Lookup Tables'!$S$36:$U$43,3, FALSE), VLOOKUP('Lighting Inventory'!F225, 'Lookup Tables'!$A$6:$H$59, IF('Lighting Inventory'!AB225="General",7,4), FALSE)))), "")</f>
        <v/>
      </c>
      <c r="BA225" s="522" t="str">
        <f>IFERROR(IF(F225="", "", IF(W225="LED Exit Signs", 1, VLOOKUP('Lighting Inventory'!F225, 'Lookup Tables'!$A$6:$H$59, IF('Lighting Inventory'!AB225="General",8,5), FALSE))), "")</f>
        <v/>
      </c>
      <c r="BB225" s="270" t="str">
        <f>IF(G225="", "", IF(E225="Exterior", 0, IF('Lighting Inventory'!G225="Air Conditioned", VLOOKUP(H225, 'Lookup Tables'!$R$6:$T$13, 2, FALSE), VLOOKUP('Lighting Inventory'!G225, 'Lookup Tables'!$R$6:$T$13, 2, FALSE))))</f>
        <v/>
      </c>
      <c r="BC225" s="522" t="str">
        <f>IF(G225="", "", IF(E225="Exterior", 0, IF('Lighting Inventory'!G225="Air Conditioned", VLOOKUP(H225, 'Lookup Tables'!$R$6:$T$13, 3, FALSE), VLOOKUP('Lighting Inventory'!G225, 'Lookup Tables'!$R$6:$T$13, 3, FALSE))))</f>
        <v/>
      </c>
      <c r="BD225" s="270" t="str">
        <f>IF(G225="", "", IF(E225="Exterior", 0, IF('Lighting Inventory'!G225="Air Conditioned", VLOOKUP(H225, 'Lookup Tables'!$R$6:$U$13, 4, FALSE), VLOOKUP('Lighting Inventory'!G225, 'Lookup Tables'!$R$6:$U$13, 4, FALSE))))</f>
        <v/>
      </c>
      <c r="BE225" s="270" t="str">
        <f>IFERROR(IF(B225="", "",  IF(B225="New Construction", VLOOKUP(F225, 'Lookup Tables'!$A$6:$K$59, 11, FALSE),IF(OR(AN225="", AN225="Light Switch"), 0, IF(OR(M225="",M225="None",V225= "LED Exit Signs"),0,_xlfn.XLOOKUP(M225,'Lookup Tables'!$R$91:$R$101,'Lookup Tables'!$V$91:$V$101))))), "")</f>
        <v/>
      </c>
      <c r="BF225" s="270" t="str">
        <f>IF(AND(OR(AN225="Light Switch",AN225=""),B225="New Construction"), VLOOKUP(F225, 'Lookup Tables'!$A$6:$K$59, 11, FALSE),IF(AN225="","",IF(B225="","",IF(OR(AN225="None",AN225="",V225="LED Exit Signs",AN225="Exterior Controls Not Eligible"),0,_xlfn.XLOOKUP(AN225,'Lookup Tables'!$R$91:$R$101,'Lookup Tables'!$V$91:$V$101)))))</f>
        <v/>
      </c>
      <c r="BG225" s="88" t="str">
        <f t="shared" si="559"/>
        <v/>
      </c>
      <c r="BH225" s="88" t="str">
        <f t="shared" si="560"/>
        <v/>
      </c>
      <c r="BI225" s="558" t="str">
        <f t="shared" si="604"/>
        <v/>
      </c>
      <c r="BJ225" s="82" t="str">
        <f t="shared" si="561"/>
        <v/>
      </c>
      <c r="BK225" s="82" t="str">
        <f t="shared" si="562"/>
        <v/>
      </c>
      <c r="BL225" s="559" t="str">
        <f t="shared" si="563"/>
        <v/>
      </c>
      <c r="BM225" s="521" t="str">
        <f t="shared" si="508"/>
        <v/>
      </c>
      <c r="BN225" s="521" t="str">
        <f t="shared" si="509"/>
        <v/>
      </c>
      <c r="BO225" s="522" t="str">
        <f t="shared" si="510"/>
        <v/>
      </c>
      <c r="BP225" s="83" t="str">
        <f t="shared" si="564"/>
        <v/>
      </c>
      <c r="BQ225" s="84" t="str">
        <f t="shared" si="565"/>
        <v/>
      </c>
      <c r="BR225" s="184" t="str">
        <f>IFERROR(IF(B225="", "", IF(OR(VLOOKUP(J225, 'Fixture Identities'!$A$6:$L$1023, 3, FALSE)="T12 Linear Fluorescent",VLOOKUP(J225, 'Fixture Identities'!$A$6:$L$1023, 3, FALSE)="T12 U-Tube Fluorescent"), "Y", "N")), "N")</f>
        <v/>
      </c>
      <c r="BS225" s="184" t="str">
        <f t="array" ref="BS225">IFERROR(IF(OR(B225="", V225="", W225=""), "", IF(V225="Custom", "N", IF(OR(W225="Freezer Case Lighting", W225="Refrigerated Case Lighting with Doors"), BT225, IF(B225="Retrofit", INDEX('Lookup Tables'!$AH$6:$AT$102,MATCH(1,('Lookup Tables'!$AH$6:$AH$102=V225)*('Lookup Tables'!$AI$6:$AI$102=W225),FALSE),IF(VLOOKUP(J225, 'Fixture Identities'!$A$6:$B$1023, 2, FALSE)="Incandescent",12, 13)), INDEX('Lookup Tables'!$AH$114:$AS$154,MATCH(1,('Lookup Tables'!$AH$114:$AH$154=V225)*('Lookup Tables'!$AI$114:$AI$154=W225),FALSE),12))))), "N")</f>
        <v/>
      </c>
      <c r="BT225" s="184" t="str">
        <f>IF(J225="", "", IF(AND(OR(W225="Freezer case Lighting", W225="Refrigerated Case Lighting with Doors"),'General Information'!$X$18="LCI"), "N", IF(OR(VLOOKUP(J225, 'Fixture Identities'!$A$6:$B$1023, 2, FALSE)="T12 EPACT/EISA Baseline", VLOOKUP(J225, 'Fixture Identities'!$A$6:$B$1023, 2, FALSE)="Linear Fluorescent", VLOOKUP(J225, 'Fixture Identities'!$A$6:$B$1023, 2, FALSE)="U-Tube Fluorescent"), "Y", "N")))</f>
        <v/>
      </c>
      <c r="BU225" s="184" t="str">
        <f>IFERROR(IF(B225="", "", IF(VLOOKUP(J225, 'Fixture Identities'!$A$6:$B$1023, 2, FALSE)="Exit Sign", "Y", "N")), "N")</f>
        <v/>
      </c>
      <c r="BV225" s="184" t="str">
        <f>IF(V225="Exit Signs", IF(VLOOKUP(J225, 'Fixture Identities'!$A$6:$B$1023, 2, FALSE)="Exit Sign", "N", "Y"), "")</f>
        <v/>
      </c>
      <c r="BW225" s="184" t="str">
        <f t="array" ref="BW225">IFERROR(IF(B225="", "", IF(B225="New Construction", "N", INDEX('Lookup Tables'!$AH$6:$AU$102, MATCH(1, ('Lookup Tables'!$AH$6:$AH$102='Lighting Inventory'!V225)*('Lookup Tables'!$AI$6:$AI$102='Lighting Inventory'!W225), 0), 14))), "N")</f>
        <v/>
      </c>
      <c r="BX225" s="598" t="str">
        <f t="shared" si="566"/>
        <v/>
      </c>
      <c r="BY225" s="598" t="str">
        <f t="shared" si="567"/>
        <v/>
      </c>
      <c r="BZ225" s="598" t="str">
        <f t="shared" si="568"/>
        <v/>
      </c>
      <c r="CA225" s="598" t="str">
        <f t="shared" si="569"/>
        <v/>
      </c>
      <c r="CB225" s="269" t="str">
        <f t="shared" si="570"/>
        <v/>
      </c>
      <c r="CC225" s="517" t="str">
        <f t="shared" si="571"/>
        <v/>
      </c>
      <c r="CD225" s="565" t="str">
        <f t="shared" si="511"/>
        <v/>
      </c>
      <c r="CE225" s="368">
        <v>0</v>
      </c>
      <c r="CF225" s="368" t="str" cm="1">
        <f t="array" ref="CF225">IFERROR(IF(V225="Custom", "$0.1 per kWh", IF(B225="New Construction", CONCATENATE("$",INDEX('Lookup Tables'!$AH$114:$AN$154,MATCH(1,('Lookup Tables'!$AH$114:$AH$154='Lighting Inventory'!V225)*('Lookup Tables'!$AI$114:$AI$154='Lighting Inventory'!W225),FALSE),6)," ",INDEX('Lookup Tables'!$AH$114:$AN$154,MATCH(1,('Lookup Tables'!$AH$114:$AH$154='Lighting Inventory'!V225)*('Lookup Tables'!$AI$114:$AI$154='Lighting Inventory'!W225),FALSE),7)), IF(AND(BU225="N", V225="Exit Signs"), "$0.025 per kWh", CONCATENATE("$",INDEX('Lookup Tables'!$AH$6:$AN$102,MATCH(1,('Lookup Tables'!$AH$6:$AH$102='Lighting Inventory'!V225)*('Lookup Tables'!$AI$6:$AI$102='Lighting Inventory'!W225),FALSE),6)," ",INDEX('Lookup Tables'!$AH$6:$AN$102,MATCH(1,('Lookup Tables'!$AH$6:$AH$102='Lighting Inventory'!V225)*('Lookup Tables'!$AI$6:$AI$102='Lighting Inventory'!W225),FALSE),7))))), "")</f>
        <v/>
      </c>
      <c r="CG225" s="366"/>
      <c r="CH225" s="248" t="str">
        <f t="shared" si="512"/>
        <v/>
      </c>
      <c r="CI225" s="248" t="str">
        <f t="shared" si="513"/>
        <v>Select_IE</v>
      </c>
      <c r="CJ225" s="248" t="str">
        <f t="shared" si="514"/>
        <v/>
      </c>
      <c r="CK225" s="248" t="str">
        <f t="shared" si="515"/>
        <v/>
      </c>
      <c r="CL225" s="248" t="str">
        <f t="shared" si="516"/>
        <v/>
      </c>
      <c r="CM225" s="248" t="str">
        <f>IFERROR(IF(B225="", "", IF(B225="New Construction", VLOOKUP(V225, 'Lookup Tables'!$AF$114:$AG$120, 2, FALSE), VLOOKUP(V225, 'Lookup Tables'!$AD$6:$AE$25, 2, FALSE))), "")</f>
        <v/>
      </c>
      <c r="CN225" s="248" t="str">
        <f t="shared" si="517"/>
        <v/>
      </c>
      <c r="CO225" s="248" t="str">
        <f t="shared" si="518"/>
        <v/>
      </c>
      <c r="CP225" s="592" t="str">
        <f t="shared" si="519"/>
        <v/>
      </c>
      <c r="CQ225" s="248" t="str">
        <f t="shared" si="572"/>
        <v/>
      </c>
      <c r="CR225" s="100"/>
      <c r="CS225" s="250" t="str">
        <f t="shared" si="520"/>
        <v/>
      </c>
      <c r="CT225" s="250" t="str">
        <f t="shared" si="573"/>
        <v/>
      </c>
      <c r="CU225" s="250" t="str">
        <f t="shared" si="574"/>
        <v/>
      </c>
      <c r="CV225" s="250" t="str">
        <f t="shared" si="575"/>
        <v/>
      </c>
      <c r="CW225" s="250" t="str">
        <f t="shared" si="576"/>
        <v/>
      </c>
      <c r="CX225" s="250" t="str">
        <f t="shared" si="521"/>
        <v/>
      </c>
      <c r="CY225" s="250" t="str">
        <f t="shared" si="522"/>
        <v/>
      </c>
      <c r="CZ225" s="250" t="str">
        <f t="shared" si="523"/>
        <v/>
      </c>
      <c r="DA225" s="250" t="str">
        <f t="shared" si="524"/>
        <v/>
      </c>
      <c r="DB225" s="250" t="str">
        <f t="shared" si="525"/>
        <v/>
      </c>
      <c r="DC225" s="250" t="str">
        <f t="shared" si="526"/>
        <v/>
      </c>
      <c r="DD225" s="250" t="str">
        <f t="shared" si="527"/>
        <v/>
      </c>
      <c r="DE225" s="250" t="str">
        <f t="shared" si="528"/>
        <v/>
      </c>
      <c r="DF225" s="250" t="str">
        <f t="shared" si="529"/>
        <v/>
      </c>
      <c r="DG225" s="250" t="str">
        <f t="shared" si="530"/>
        <v/>
      </c>
      <c r="DH225" s="250" t="str">
        <f t="shared" si="531"/>
        <v/>
      </c>
      <c r="DI225" s="250" t="str">
        <f t="shared" si="532"/>
        <v/>
      </c>
      <c r="DJ225" s="250" t="str">
        <f t="shared" si="533"/>
        <v/>
      </c>
      <c r="DK225" s="250" t="str">
        <f t="shared" si="534"/>
        <v/>
      </c>
      <c r="DL225" s="250" t="str">
        <f t="shared" si="535"/>
        <v/>
      </c>
      <c r="DM225" s="250" t="str">
        <f>IF(CD225="ERROR", "ERROR", IF(AND(OR(Y225=$DM$6, Y225='Lookup Tables'!$AD$21, Y225='Lookup Tables'!$AD$22), E225="Interior"), BJ225, ""))</f>
        <v/>
      </c>
      <c r="DN225" s="250" t="str">
        <f>IF(CD225="ERROR", "ERROR", IF(AND(OR(Y225=$DM$6, Y225='Lookup Tables'!$AD$21, Y225='Lookup Tables'!$AD$22), E225="Exterior"), BJ225, ""))</f>
        <v/>
      </c>
      <c r="DO225" s="100"/>
      <c r="DP225" s="250" t="str">
        <f t="shared" si="536"/>
        <v/>
      </c>
      <c r="DQ225" s="250" t="str">
        <f t="shared" si="577"/>
        <v/>
      </c>
      <c r="DR225" s="250" t="str">
        <f t="shared" si="578"/>
        <v/>
      </c>
      <c r="DS225" s="250" t="str">
        <f t="shared" si="579"/>
        <v/>
      </c>
      <c r="DT225" s="250" t="str">
        <f t="shared" si="580"/>
        <v/>
      </c>
      <c r="DU225" s="250" t="str">
        <f t="shared" si="537"/>
        <v/>
      </c>
      <c r="DV225" s="250" t="str">
        <f t="shared" si="538"/>
        <v/>
      </c>
      <c r="DW225" s="250" t="str">
        <f t="shared" si="539"/>
        <v/>
      </c>
      <c r="DX225" s="250" t="str">
        <f t="shared" si="540"/>
        <v/>
      </c>
      <c r="DY225" s="250" t="str">
        <f t="shared" si="541"/>
        <v/>
      </c>
      <c r="DZ225" s="250" t="str">
        <f t="shared" si="542"/>
        <v/>
      </c>
      <c r="EA225" s="250" t="str">
        <f t="shared" si="543"/>
        <v/>
      </c>
      <c r="EB225" s="250" t="str">
        <f t="shared" si="581"/>
        <v/>
      </c>
      <c r="EC225" s="250" t="str">
        <f t="shared" si="544"/>
        <v/>
      </c>
      <c r="ED225" s="250" t="str">
        <f t="shared" si="545"/>
        <v/>
      </c>
      <c r="EE225" s="250" t="str">
        <f t="shared" si="546"/>
        <v/>
      </c>
      <c r="EF225" s="250" t="str">
        <f t="shared" si="547"/>
        <v/>
      </c>
      <c r="EG225" s="250" t="str">
        <f t="shared" si="548"/>
        <v/>
      </c>
      <c r="EH225" s="250" t="str">
        <f>IF(CD225="ERROR", "ERROR", IF(AND(OR($EH$6=Y225, Y225='Lookup Tables'!$AD$21, Y225='Lookup Tables'!$AD$22),E225="Interior"), SUM(BP225:BP225), ""))</f>
        <v/>
      </c>
      <c r="EI225" s="250" t="str">
        <f>IF(CD225="ERROR", "ERROR", IF(AND(OR($EH$6=Y225, Y225='Lookup Tables'!$AD$21, Y225='Lookup Tables'!$AD$22),E225="Exterior"), SUM(BP225:BP225), ""))</f>
        <v/>
      </c>
      <c r="EJ225" s="109"/>
      <c r="EK225" s="485" t="str">
        <f t="shared" si="549"/>
        <v/>
      </c>
      <c r="EL225" s="252" t="str">
        <f t="shared" si="582"/>
        <v/>
      </c>
      <c r="EM225" s="252" t="str">
        <f t="shared" si="583"/>
        <v/>
      </c>
      <c r="EN225" s="252" t="str">
        <f t="shared" si="584"/>
        <v/>
      </c>
      <c r="EO225" s="252" t="str">
        <f t="shared" si="585"/>
        <v/>
      </c>
      <c r="EP225" s="252" t="str">
        <f t="shared" si="586"/>
        <v/>
      </c>
      <c r="EQ225" s="252" t="str">
        <f t="shared" si="587"/>
        <v/>
      </c>
      <c r="ER225" s="252" t="str">
        <f t="shared" si="588"/>
        <v/>
      </c>
      <c r="ES225" s="252" t="str">
        <f t="shared" si="589"/>
        <v/>
      </c>
      <c r="ET225" s="252" t="str">
        <f t="shared" si="590"/>
        <v/>
      </c>
      <c r="EU225" s="252" t="str">
        <f t="shared" si="591"/>
        <v/>
      </c>
      <c r="EV225" s="252" t="str">
        <f t="shared" si="592"/>
        <v/>
      </c>
      <c r="EW225" s="252" t="str">
        <f t="shared" si="593"/>
        <v/>
      </c>
      <c r="EX225" s="252" t="str">
        <f t="shared" si="594"/>
        <v/>
      </c>
      <c r="EY225" s="252" t="str">
        <f t="shared" si="595"/>
        <v/>
      </c>
      <c r="EZ225" s="252" t="str">
        <f t="shared" si="596"/>
        <v/>
      </c>
      <c r="FA225" s="252" t="str">
        <f t="shared" si="597"/>
        <v/>
      </c>
      <c r="FB225" s="252" t="str">
        <f t="shared" si="598"/>
        <v/>
      </c>
      <c r="FC225" s="252" t="str">
        <f>IF(CD225="ERROR", "ERROR", IF(OR(V225="No Change", V225="Not DLC or Energy Star"), "", IF(AND(OR($FC$6=Y225,Y225='Lookup Tables'!$AD$21, Y225='Lookup Tables'!$AD$22),E225="Interior"), S225, "")))</f>
        <v/>
      </c>
      <c r="FD225" s="252" t="str">
        <f t="shared" si="599"/>
        <v/>
      </c>
      <c r="FE225" s="101"/>
      <c r="FF225" s="579" t="str" cm="1">
        <f t="array" ref="FF225">IFERROR(IF(OR(BQ225&lt;=0,AQ225&lt;20,AND(V225="Exit Signs",AN225&gt;0)),"",IF(AND(AQ225&gt;=20,AN225='Lookup Tables'!$R$101),'Lookup Tables'!$U$101*BQ225,AP225*LOOKUP(2,1/((AN225='Lookup Tables'!$R$91:$R$111)*(AQ225&gt;='Lookup Tables'!$S$91:$S$111)*(AQ225&lt;='Lookup Tables'!$T$91:$T$111)),'Lookup Tables'!$U$91:$U$111))),"")</f>
        <v/>
      </c>
      <c r="FG225" s="579"/>
      <c r="FH225" s="579"/>
      <c r="FI225" s="253" t="str">
        <f>IFERROR(ROUND(IF(CD225="ERROR", "ERROR", IF(AND($FI$7=X225,E225="Interior"),VLOOKUP(W225, 'Lookup Tables'!$AI$6:$AM$102, 5, FALSE)*BP225, "")), 2), "")</f>
        <v/>
      </c>
      <c r="FJ225" s="253" t="str">
        <f>IFERROR(ROUND(IF(CD225="ERROR", "ERROR", IF(AND($FI$7=X225,E225="Exterior"),VLOOKUP(W225, 'Lookup Tables'!$AI$6:$AM$102, 5, FALSE)*BP225, "")), 2), "")</f>
        <v/>
      </c>
      <c r="FK225" s="253" t="str">
        <f>IFERROR(ROUND(IF(CD225="ERROR", "ERROR", IF(AND($FK$7=X225,E225="Interior"),VLOOKUP(W225, 'Lookup Tables'!$AI$6:$AM$102, 5, FALSE)*BP225, "")), 2), "")</f>
        <v/>
      </c>
      <c r="FL225" s="253" t="str">
        <f>IFERROR(ROUND(IF(CD225="ERROR", "ERROR", IF(AND($FK$7=X225,E225="Exterior"),VLOOKUP(W225, 'Lookup Tables'!$AI$6:$AM$102, 5, FALSE)*BP225, "")), 2), "")</f>
        <v/>
      </c>
      <c r="FM225" s="253" t="str">
        <f>IFERROR(ROUND(IF(CD225="ERROR", "ERROR", IF(AND($FM$6=Y225,E225="Interior"), IF(GB225=0, VLOOKUP(W225, 'Lookup Tables'!$AI$6:$AM$102, 5, FALSE)*BP225, IF(VLOOKUP(W225, 'Lookup Tables'!$AI$6:$AM$102, 5, FALSE)*BP225&gt;GB225*'Lighting Inventory'!S225, GB225*'Lighting Inventory'!S225,VLOOKUP(W225, 'Lookup Tables'!$AI$6:$AM$102, 5, FALSE)*BP225)), "")), 2), "")</f>
        <v/>
      </c>
      <c r="FN225" s="253" t="str">
        <f>IFERROR(ROUND(IF(CD225="ERROR", "ERROR", IF(AND($FM$6=Y225,E225="Exterior"), IF(GB225=0, VLOOKUP(W225, 'Lookup Tables'!$AI$6:$AM$102, 5, FALSE)*BP225, IF(VLOOKUP(W225, 'Lookup Tables'!$AI$6:$AM$102, 5, FALSE)*BP225&gt;GB225*'Lighting Inventory'!S225, GB225*'Lighting Inventory'!S225,VLOOKUP(W225, 'Lookup Tables'!$AI$6:$AM$102, 5, FALSE)*BP225)), "")), 2), "")</f>
        <v/>
      </c>
      <c r="FO225" s="253" t="str">
        <f>IFERROR(ROUND(IF(CD225="ERROR", "ERROR", IF(AND($FO$6=Y225,E225="Interior"),VLOOKUP(W225, 'Lookup Tables'!$AI$6:$AM$102, 5, FALSE)*'Lighting Inventory'!AI225, "")), 2), "")</f>
        <v/>
      </c>
      <c r="FP225" s="253" t="str">
        <f>IFERROR(ROUND(IF(CD225="ERROR", "ERROR", IF(AND($FO$6=Y225,E225="Exterior"),VLOOKUP(W225, 'Lookup Tables'!$AI$6:$AM$102, 5, FALSE)*'Lighting Inventory'!AI225, "")), 2), "")</f>
        <v/>
      </c>
      <c r="FQ225" s="253" t="str">
        <f>IFERROR(ROUND(IF(CD225="ERROR", "ERROR", IF(AND($FQ$6=Y225,E225="Interior", BU225="Y"), VLOOKUP('Lighting Inventory'!W225, 'Lookup Tables'!$AI$6:$AM$102, 5, FALSE)*'Lighting Inventory'!S225, IF(AND($FQ$7=Y225,E225="Interior", BU225="N"), 0.025*CD225, ""))), 2), "")</f>
        <v/>
      </c>
      <c r="FR225" s="253" t="str">
        <f>IFERROR(ROUND(IF(CD225="ERROR", "ERROR", IF(AND($FQ$6=Y225,E225="Exterior"), VLOOKUP('Lighting Inventory'!W225, 'Lookup Tables'!$AI$6:$AM$102, 5, FALSE)*'Lighting Inventory'!S225, "")), 2), "")</f>
        <v/>
      </c>
      <c r="FS225" s="253" t="str">
        <f>IFERROR(ROUND(IF(CD225="ERROR", "ERROR", IF(AND($FS$6=Y225,E225="Exterior"), IF(GB225=0, VLOOKUP(W225, 'Lookup Tables'!$AI$6:$AM$102, 5, FALSE)*BP225, IF(VLOOKUP(W225, 'Lookup Tables'!$AI$6:$AM$102, 5, FALSE)*BP225&gt;GB225*'Lighting Inventory'!S225, GB225*'Lighting Inventory'!S225,VLOOKUP(W225, 'Lookup Tables'!$AI$6:$AM$102, 5, FALSE)*BP225)), "")), 2), "")</f>
        <v/>
      </c>
      <c r="FT225" s="253" t="str">
        <f>IFERROR(ROUND(IF(CD225="ERROR", "ERROR", IF(AND($FT$6=Y225,E225="Interior"), IF(GB225=0, VLOOKUP(W225, 'Lookup Tables'!$AI$6:$AM$102, 5, FALSE)*BP225, IF(VLOOKUP(W225, 'Lookup Tables'!$AI$6:$AM$102, 5, FALSE)*BP225&gt;GB225*'Lighting Inventory'!S225, GB225*'Lighting Inventory'!S225,VLOOKUP(W225, 'Lookup Tables'!$AI$6:$AM$102, 5, FALSE)*BP225)), "")), 2), "")</f>
        <v/>
      </c>
      <c r="FU225" s="253" t="str">
        <f>IFERROR(ROUND(IF(CD225="ERROR", "ERROR", IF(AND(Y225=$FU$6, E225="Interior"), IF(BS225="N", 'Lookup Tables'!$AM$101*BP225, VLOOKUP(W225, 'Lookup Tables'!$AI$6:$AM$102, 5, FALSE)*S225*AD225), "")), 2), "")</f>
        <v/>
      </c>
      <c r="FV225" s="253" t="str">
        <f>IFERROR(ROUND(IF(CD225="ERROR", "ERROR", IF(AND(Y225=$FU$6, E225="Exterior"), IF(BS225="N", 'Lookup Tables'!$AM$101*BP225, VLOOKUP(W225, 'Lookup Tables'!$AI$6:$AM$102, 5, FALSE)*S225*AD225), "")), 2), "")</f>
        <v/>
      </c>
      <c r="FW225" s="253" t="str">
        <f>IFERROR(ROUND(IF(CD225="ERROR", "ERROR", IF($FW$6=Y225, IF(BS225="N", 'Lookup Tables'!$AM$101*BP225, MIN((VLOOKUP(W225, 'Lookup Tables'!$AI$6:$AM$102, 5, FALSE)*BP225),GB225*AJ225)), "")), 2), "")</f>
        <v/>
      </c>
      <c r="FX225" s="253" t="str">
        <f>IFERROR(ROUND(IF(CD225="ERROR", "ERROR", IF(AND($FX$6=Y225, E225="Interior"), IF(VLOOKUP(W225, 'Lookup Tables'!$AI$6:$AM$102, 5, FALSE)*BP225&gt;'Lookup Tables'!$AQ$97*'Lighting Inventory'!S225,'Lighting Inventory'!S225*'Lookup Tables'!$AQ$97,VLOOKUP(W225, 'Lookup Tables'!$AI$6:$AM$102, 5, FALSE)*BP225), "")), 2), "")</f>
        <v/>
      </c>
      <c r="FY225" s="253" t="str">
        <f>IFERROR(ROUND(IF(CD225="ERROR", "ERROR", IF(AND($FX$6=Y225, E225="Exterior"), IF(VLOOKUP(W225, 'Lookup Tables'!$AI$6:$AM$102, 5, FALSE)*BP225&gt;'Lookup Tables'!$AQ$97*'Lighting Inventory'!S225,'Lighting Inventory'!S225*'Lookup Tables'!$AQ$97,VLOOKUP(W225, 'Lookup Tables'!$AI$6:$AM$102, 5, FALSE)*BP225), "")), 2), "")</f>
        <v/>
      </c>
      <c r="FZ225" s="253" t="str">
        <f>IFERROR(ROUND(IF(CD225="ERROR", "ERROR", IF(AND($FZ$6=Y225, E225="Interior"), IF(AND(OR(W225="Refrigerated Case Lighting with Doors", W225="Freezer Case Lighting"),Y225="Custom - Process Improvement"),CD225*'Lookup Tables'!$AM$101, IF(B225="Retrofit", IF(VLOOKUP(IF(V225="Custom", V225, W225), 'Lookup Tables'!$AI$6:$AM$102, 5, FALSE)*BP225&gt;GE225, GE225, VLOOKUP(IF(V225="Custom", V225, W225), 'Lookup Tables'!$AI$6:$AM$102, 5, FALSE)*BP225), IF(VLOOKUP(IF(V225="Custom", V225, W225), 'Lookup Tables'!$AI$114:$AM$154, 5, FALSE)*BP225&gt;GE225, GE225, VLOOKUP(IF(V225="Custom", V225, W225), 'Lookup Tables'!$AI$114:$AM$154, 5, FALSE)*BP225))), "")), 2),"")</f>
        <v/>
      </c>
      <c r="GA225" s="253" t="str">
        <f>IFERROR(ROUND(IF(CD225="ERROR", "ERROR", IF(AND($FZ$6=Y225, E225="Exterior"), IF(B225="Retrofit", IF(VLOOKUP(IF(V225="Custom", V225, W225), 'Lookup Tables'!$AI$6:$AM$102, 5, FALSE)*BP225&gt;GE225, GE225, VLOOKUP(IF(V225="Custom", V225, W225), 'Lookup Tables'!$AI$6:$AM$102, 5, FALSE)*BP225), IF(VLOOKUP(IF(V225="Custom", V225, W225), 'Lookup Tables'!$AI$114:$AM$154, 5, FALSE)*BP225&gt;GE225, GE225, VLOOKUP(IF(V225="Custom", V225, W225), 'Lookup Tables'!$AI$114:$AM$154, 5, FALSE)*BP225)), "")), 2),"")</f>
        <v/>
      </c>
      <c r="GB225" s="254" t="str">
        <f t="array" ref="GB225">IF(B225="","",IF(OR(V225="Custom",V225="No Change"),0,IF(B225="Retrofit", INDEX('Lookup Tables'!$AH$6:$AQ$102,MATCH(1,('Lookup Tables'!$AH$6:$AH$102='Lighting Inventory'!V225)*('Lookup Tables'!$AI$6:$AI$102='Lighting Inventory'!W225),FALSE),10),INDEX('Lookup Tables'!$AH$114:$AQ$154,MATCH(1,('Lookup Tables'!$AH$114:$AH$154='Lighting Inventory'!V225)*('Lookup Tables'!$AI$114:$AI$154='Lighting Inventory'!W225),FALSE),10))))</f>
        <v/>
      </c>
      <c r="GC225" s="255" t="str">
        <f t="shared" si="550"/>
        <v/>
      </c>
      <c r="GD225" s="250" t="str">
        <f t="shared" si="551"/>
        <v/>
      </c>
      <c r="GE225" s="253" t="str">
        <f>IFERROR(IF(AND(AF225="", 'General Information'!$F$18="No"),"", IF(AF225="", ((GD225/$CD$266)*$CF$266)*0.5, AF225*S225*0.5)), "")</f>
        <v/>
      </c>
      <c r="GF225" s="255" t="str">
        <f>IF(AND('General Information'!$F$19="", 'General Information'!$F$18="Yes",AF225="",BW225="Y"), "Y", "N")</f>
        <v>N</v>
      </c>
      <c r="GG225" s="255" t="s">
        <v>2946</v>
      </c>
      <c r="GH225" s="255" t="str">
        <f>IFERROR(IF(B225="", "", VLOOKUP(J225, 'Fixture Identities'!$A$6:$N$908, 14, FALSE)), "")</f>
        <v/>
      </c>
      <c r="GI225" s="389" t="str">
        <f>IF(OR(B225="", V225="", W225=""), "", IF(AND(OR(M225='Lookup Tables'!$R$18, M225='Lookup Tables'!$R$19, M225='Lookup Tables'!$R$20, M225='Lookup Tables'!$R$21, M225='Lookup Tables'!$R$22), OR(AN225='Lookup Tables'!$R$17, AN225='Lookup Tables'!$R$17, AN225="")), "Y", "N"))</f>
        <v/>
      </c>
      <c r="GJ225" s="255" t="str">
        <f t="shared" si="552"/>
        <v/>
      </c>
      <c r="GK225" s="255" t="str">
        <f t="shared" si="553"/>
        <v/>
      </c>
      <c r="GL225" s="255" t="str">
        <f t="shared" si="554"/>
        <v/>
      </c>
      <c r="GM225" s="255" t="str">
        <f>IF(AN225="", "", IF(AND(IF(ISNA(VLOOKUP(AN225,'Lookup Tables'!$R$18:$R$22,1,FALSE)), "N", "Y")="Y", E225="Exterior"), "Y", "N"))</f>
        <v/>
      </c>
      <c r="GN225" s="395"/>
      <c r="GO225" s="428">
        <f t="shared" si="600"/>
        <v>0</v>
      </c>
      <c r="GP225" s="428">
        <f t="shared" si="603"/>
        <v>0</v>
      </c>
      <c r="GQ225" s="428">
        <f t="shared" si="601"/>
        <v>0</v>
      </c>
      <c r="GR225" s="428">
        <f t="shared" si="602"/>
        <v>0</v>
      </c>
    </row>
    <row r="226" spans="1:200" s="103" customFormat="1" ht="13.5" customHeight="1" x14ac:dyDescent="0.2">
      <c r="A226" s="272">
        <v>216</v>
      </c>
      <c r="B226" s="110"/>
      <c r="C226" s="110"/>
      <c r="D226" s="110"/>
      <c r="E226" s="110"/>
      <c r="F226" s="110"/>
      <c r="G226" s="110"/>
      <c r="H226" s="110"/>
      <c r="I226" s="29"/>
      <c r="J226" s="29"/>
      <c r="K226" s="272" t="str">
        <f>IFERROR(IF(OR(VLOOKUP(J226, 'Fixture Identities'!$A$6:$L$1023, 3, FALSE)="T12 Linear Fluorescent", VLOOKUP(J226, 'Fixture Identities'!$A$6:$L$1023, 3, FALSE)="T12 U-Tube Fluorescent"), VLOOKUP(VLOOKUP(J226, 'Fixture Identities'!$A$6:$L$1023, 11, FALSE), 'Fixture Identities'!$A$6:$L$1023, 10, FALSE), VLOOKUP(J226, 'Fixture Identities'!$A$6:$L$1023, 10, FALSE)), "")</f>
        <v/>
      </c>
      <c r="L226" s="270" t="str">
        <f t="shared" si="605"/>
        <v/>
      </c>
      <c r="M226" s="110"/>
      <c r="N226" s="110"/>
      <c r="O226" s="110"/>
      <c r="P226" s="272" t="str">
        <f>IFERROR(IF(OR(B226="Retrofit",B226=""),"",IF('Lighting Inventory'!E226="Exterior",VLOOKUP('Lighting Inventory'!N226,'Lookup Tables'!$B$83:$F$103,5,FALSE),IF(N226="Other - Please Estimate EFLH and CFs","Contact Prog. Rep.","ft^2"))), "")</f>
        <v/>
      </c>
      <c r="Q226" s="270" t="str">
        <f>IFERROR(IF(AND(B226="New Construction",E226="Interior",$F$5="Space-by-Space"),VLOOKUP('Lighting Inventory'!N226,'Lookup Tables'!$N$6:$O$97,2,FALSE),IF(AND(B226="New Construction",E226="Exterior"),VLOOKUP(N226,'Lookup Tables'!$B$83:$F$103,2,FALSE),IF(AND(B226="New Construction",'Lighting Inventory'!E226="Interior", $F$5="Building Area"),VLOOKUP(F226,'Lookup Tables'!$A$6:$J$59,10,FALSE),""))), "")</f>
        <v/>
      </c>
      <c r="R226" s="270" t="str">
        <f>IFERROR(IF(P226="Contact Prog. Rep.", "ERROR", IF(OR(B226="",B226="Retrofit"),"",IF(N226="Automated teller machines", ('Lookup Tables'!$A$82:$E$100+('Lighting Inventory'!O226-1)*'Lookup Tables'!$A$82:$E$100)/1000, (Q226*O226)/1000))), "")</f>
        <v/>
      </c>
      <c r="S226" s="595"/>
      <c r="T226" s="105" t="str">
        <f t="shared" si="555"/>
        <v/>
      </c>
      <c r="U226" s="105" t="str">
        <f>IF(S226="","",COUNT($S$11:S226))</f>
        <v/>
      </c>
      <c r="V226" s="111"/>
      <c r="W226" s="112"/>
      <c r="X226" s="105" t="str">
        <f t="shared" si="556"/>
        <v/>
      </c>
      <c r="Y226" s="105" t="str">
        <f t="array" ref="Y226">IF(AND(OR(W226="Freezer Case Lighting", W226="Refrigerated Case Lighting with Doors"), 'General Information'!$X$18="LCI"),'Lookup Tables'!$Y$34, IF(V226="Custom", VLOOKUP(W226, 'Fixture Identities'!$A$974:$M$1023, 13, FALSE), IF(V226="No Change",'Lookup Tables'!$Y$29,IF(OR(V226="",W226=""),"",IF(AND(S226=0,S226&lt;I226,B226="Retrofit"),'Lookup Tables'!$Y$25, IF(B226="Retrofit", INDEX('Lookup Tables'!$AH$6:$AP$102, MATCH(1, ('Lookup Tables'!$AH$6:$AH$102=V226)*('Lookup Tables'!$AI$6:$AI$102=W226), 0), IF('Lighting Inventory'!E226="Interior", 4, 5)), INDEX('Lookup Tables'!$AH$114:$AP$154, MATCH(1, ('Lookup Tables'!$AH$114:$AH$154=V226)*('Lookup Tables'!$AI$114:$AI$154=W226), 0), IF('Lighting Inventory'!E226="Interior", 4, 5))))))))</f>
        <v/>
      </c>
      <c r="Z226" s="105" t="str">
        <f>IFERROR(INDEX('Lookup Tables'!$AH$158:$AH$172,MATCH('Lighting Inventory'!Y226,'Lookup Tables'!$AI$158:$AI$172,0)),"")</f>
        <v/>
      </c>
      <c r="AA226" s="105" t="str">
        <f>IF(AP226&gt;0,INDEX('Lookup Tables'!$AK$158:$AK$172,MATCH('Lighting Inventory'!Y226,'Lookup Tables'!$AI$158:$AI$172,0)),'Lighting Inventory'!Y226)</f>
        <v/>
      </c>
      <c r="AB226" s="105" t="str">
        <f t="array" ref="AB226">IF(V226="Custom", "Custom", IF(V226="", "", IF(V226="Not DLC or Energy Star", "General", IF(B226="New Construction", INDEX('Lookup Tables'!$AH$114:$AP$154,MATCH(1,('Lookup Tables'!$AH$114:$AH$154='Lighting Inventory'!V226)*('Lookup Tables'!$AI$114:$AI$154='Lighting Inventory'!W226),FALSE),8), INDEX('Lookup Tables'!$AH$6:$AP$102,MATCH(1,('Lookup Tables'!$AH$6:$AH$102='Lighting Inventory'!V226)*('Lookup Tables'!$AI$6:$AI$102='Lighting Inventory'!W226),FALSE),8)))))</f>
        <v/>
      </c>
      <c r="AC226" s="272" t="str">
        <f>IF(W226="","",IF(V226="Custom",CONCATENATE("$",'Lookup Tables'!$AM$101," ",'Lookup Tables'!$AN$101),CONCATENATE("$",INDEX('Lookup Tables'!$AM$6:$AM$102,MATCH('Lighting Inventory'!W226,'Lookup Tables'!$AI$6:$AI$102,0))," ",INDEX('Lookup Tables'!$AN$6:$AN$102,MATCH('Lighting Inventory'!W226,'Lookup Tables'!$AI$6:$AI$102,0)))))</f>
        <v/>
      </c>
      <c r="AD226" s="72"/>
      <c r="AE226" s="29"/>
      <c r="AF226" s="379"/>
      <c r="AG226" s="370" t="str">
        <f t="shared" si="504"/>
        <v/>
      </c>
      <c r="AH226" s="370" t="str">
        <f t="shared" si="557"/>
        <v/>
      </c>
      <c r="AI226" s="29"/>
      <c r="AJ226" s="29"/>
      <c r="AK226" s="110"/>
      <c r="AL226" s="375" t="str">
        <f>IF(OR(B226="", V226="", W226=""), "", IF(V226="No Change", K226, IF(V226="Remove Fixture", 0, IF(V226="Custom",VLOOKUP(W226,'Fixture Identities'!$A$6:$K$1023,10,FALSE),IF(AE226="", "← ENTER POST WATTS", 'Lighting Inventory'!AE226)))))</f>
        <v/>
      </c>
      <c r="AM226" s="376" t="str">
        <f t="shared" si="505"/>
        <v/>
      </c>
      <c r="AN226" s="29"/>
      <c r="AO226" s="671"/>
      <c r="AP226" s="29"/>
      <c r="AQ226" s="29"/>
      <c r="AR226" s="29"/>
      <c r="AS226" s="272" t="str">
        <f t="shared" si="558"/>
        <v/>
      </c>
      <c r="AT226" s="270" t="str">
        <f t="shared" si="506"/>
        <v/>
      </c>
      <c r="AU226" s="88" t="str">
        <f t="shared" si="606"/>
        <v/>
      </c>
      <c r="AV226" s="29"/>
      <c r="AW226" s="73"/>
      <c r="AX226" s="271" t="str">
        <f>IF(AND(AV226="Applicant",OR(AW226="", AW226="Use Default Facility Hours")),"← Choose Schedule",IF(F226="","",IF(W226="LED Exit Signs",8760,IF(OR(AV226="Prescribed",AV226=""),VLOOKUP(F226,'Lookup Tables'!$A$6:$G$59,IF(AB226="General", 6, 3),FALSE),VLOOKUP(AW226,'Lookup Tables'!$S$36:$U$43,2,FALSE)))))</f>
        <v/>
      </c>
      <c r="AY226" s="88" t="str">
        <f t="shared" si="507"/>
        <v/>
      </c>
      <c r="AZ226" s="270" t="str">
        <f>IFERROR(IF(F226="", "", IF(W226="LED Exit Signs", 1, IF(AV226="Applicant",VLOOKUP(AW226, 'Lookup Tables'!$S$36:$U$43,3, FALSE), VLOOKUP('Lighting Inventory'!F226, 'Lookup Tables'!$A$6:$H$59, IF('Lighting Inventory'!AB226="General",7,4), FALSE)))), "")</f>
        <v/>
      </c>
      <c r="BA226" s="522" t="str">
        <f>IFERROR(IF(F226="", "", IF(W226="LED Exit Signs", 1, VLOOKUP('Lighting Inventory'!F226, 'Lookup Tables'!$A$6:$H$59, IF('Lighting Inventory'!AB226="General",8,5), FALSE))), "")</f>
        <v/>
      </c>
      <c r="BB226" s="270" t="str">
        <f>IF(G226="", "", IF(E226="Exterior", 0, IF('Lighting Inventory'!G226="Air Conditioned", VLOOKUP(H226, 'Lookup Tables'!$R$6:$T$13, 2, FALSE), VLOOKUP('Lighting Inventory'!G226, 'Lookup Tables'!$R$6:$T$13, 2, FALSE))))</f>
        <v/>
      </c>
      <c r="BC226" s="522" t="str">
        <f>IF(G226="", "", IF(E226="Exterior", 0, IF('Lighting Inventory'!G226="Air Conditioned", VLOOKUP(H226, 'Lookup Tables'!$R$6:$T$13, 3, FALSE), VLOOKUP('Lighting Inventory'!G226, 'Lookup Tables'!$R$6:$T$13, 3, FALSE))))</f>
        <v/>
      </c>
      <c r="BD226" s="270" t="str">
        <f>IF(G226="", "", IF(E226="Exterior", 0, IF('Lighting Inventory'!G226="Air Conditioned", VLOOKUP(H226, 'Lookup Tables'!$R$6:$U$13, 4, FALSE), VLOOKUP('Lighting Inventory'!G226, 'Lookup Tables'!$R$6:$U$13, 4, FALSE))))</f>
        <v/>
      </c>
      <c r="BE226" s="270" t="str">
        <f>IFERROR(IF(B226="", "",  IF(B226="New Construction", VLOOKUP(F226, 'Lookup Tables'!$A$6:$K$59, 11, FALSE),IF(OR(AN226="", AN226="Light Switch"), 0, IF(OR(M226="",M226="None",V226= "LED Exit Signs"),0,_xlfn.XLOOKUP(M226,'Lookup Tables'!$R$91:$R$101,'Lookup Tables'!$V$91:$V$101))))), "")</f>
        <v/>
      </c>
      <c r="BF226" s="270" t="str">
        <f>IF(AND(OR(AN226="Light Switch",AN226=""),B226="New Construction"), VLOOKUP(F226, 'Lookup Tables'!$A$6:$K$59, 11, FALSE),IF(AN226="","",IF(B226="","",IF(OR(AN226="None",AN226="",V226="LED Exit Signs",AN226="Exterior Controls Not Eligible"),0,_xlfn.XLOOKUP(AN226,'Lookup Tables'!$R$91:$R$101,'Lookup Tables'!$V$91:$V$101)))))</f>
        <v/>
      </c>
      <c r="BG226" s="88" t="str">
        <f t="shared" si="559"/>
        <v/>
      </c>
      <c r="BH226" s="88" t="str">
        <f t="shared" si="560"/>
        <v/>
      </c>
      <c r="BI226" s="558" t="str">
        <f t="shared" si="604"/>
        <v/>
      </c>
      <c r="BJ226" s="82" t="str">
        <f t="shared" si="561"/>
        <v/>
      </c>
      <c r="BK226" s="82" t="str">
        <f t="shared" si="562"/>
        <v/>
      </c>
      <c r="BL226" s="559" t="str">
        <f t="shared" si="563"/>
        <v/>
      </c>
      <c r="BM226" s="521" t="str">
        <f t="shared" si="508"/>
        <v/>
      </c>
      <c r="BN226" s="521" t="str">
        <f t="shared" si="509"/>
        <v/>
      </c>
      <c r="BO226" s="522" t="str">
        <f t="shared" si="510"/>
        <v/>
      </c>
      <c r="BP226" s="83" t="str">
        <f t="shared" si="564"/>
        <v/>
      </c>
      <c r="BQ226" s="84" t="str">
        <f t="shared" si="565"/>
        <v/>
      </c>
      <c r="BR226" s="184" t="str">
        <f>IFERROR(IF(B226="", "", IF(OR(VLOOKUP(J226, 'Fixture Identities'!$A$6:$L$1023, 3, FALSE)="T12 Linear Fluorescent",VLOOKUP(J226, 'Fixture Identities'!$A$6:$L$1023, 3, FALSE)="T12 U-Tube Fluorescent"), "Y", "N")), "N")</f>
        <v/>
      </c>
      <c r="BS226" s="184" t="str">
        <f t="array" ref="BS226">IFERROR(IF(OR(B226="", V226="", W226=""), "", IF(V226="Custom", "N", IF(OR(W226="Freezer Case Lighting", W226="Refrigerated Case Lighting with Doors"), BT226, IF(B226="Retrofit", INDEX('Lookup Tables'!$AH$6:$AT$102,MATCH(1,('Lookup Tables'!$AH$6:$AH$102=V226)*('Lookup Tables'!$AI$6:$AI$102=W226),FALSE),IF(VLOOKUP(J226, 'Fixture Identities'!$A$6:$B$1023, 2, FALSE)="Incandescent",12, 13)), INDEX('Lookup Tables'!$AH$114:$AS$154,MATCH(1,('Lookup Tables'!$AH$114:$AH$154=V226)*('Lookup Tables'!$AI$114:$AI$154=W226),FALSE),12))))), "N")</f>
        <v/>
      </c>
      <c r="BT226" s="184" t="str">
        <f>IF(J226="", "", IF(AND(OR(W226="Freezer case Lighting", W226="Refrigerated Case Lighting with Doors"),'General Information'!$X$18="LCI"), "N", IF(OR(VLOOKUP(J226, 'Fixture Identities'!$A$6:$B$1023, 2, FALSE)="T12 EPACT/EISA Baseline", VLOOKUP(J226, 'Fixture Identities'!$A$6:$B$1023, 2, FALSE)="Linear Fluorescent", VLOOKUP(J226, 'Fixture Identities'!$A$6:$B$1023, 2, FALSE)="U-Tube Fluorescent"), "Y", "N")))</f>
        <v/>
      </c>
      <c r="BU226" s="184" t="str">
        <f>IFERROR(IF(B226="", "", IF(VLOOKUP(J226, 'Fixture Identities'!$A$6:$B$1023, 2, FALSE)="Exit Sign", "Y", "N")), "N")</f>
        <v/>
      </c>
      <c r="BV226" s="184" t="str">
        <f>IF(V226="Exit Signs", IF(VLOOKUP(J226, 'Fixture Identities'!$A$6:$B$1023, 2, FALSE)="Exit Sign", "N", "Y"), "")</f>
        <v/>
      </c>
      <c r="BW226" s="184" t="str">
        <f t="array" ref="BW226">IFERROR(IF(B226="", "", IF(B226="New Construction", "N", INDEX('Lookup Tables'!$AH$6:$AU$102, MATCH(1, ('Lookup Tables'!$AH$6:$AH$102='Lighting Inventory'!V226)*('Lookup Tables'!$AI$6:$AI$102='Lighting Inventory'!W226), 0), 14))), "N")</f>
        <v/>
      </c>
      <c r="BX226" s="598" t="str">
        <f t="shared" si="566"/>
        <v/>
      </c>
      <c r="BY226" s="598" t="str">
        <f t="shared" si="567"/>
        <v/>
      </c>
      <c r="BZ226" s="598" t="str">
        <f t="shared" si="568"/>
        <v/>
      </c>
      <c r="CA226" s="598" t="str">
        <f t="shared" si="569"/>
        <v/>
      </c>
      <c r="CB226" s="269" t="str">
        <f t="shared" si="570"/>
        <v/>
      </c>
      <c r="CC226" s="517" t="str">
        <f t="shared" si="571"/>
        <v/>
      </c>
      <c r="CD226" s="565" t="str">
        <f t="shared" si="511"/>
        <v/>
      </c>
      <c r="CE226" s="368">
        <v>0</v>
      </c>
      <c r="CF226" s="368" t="str" cm="1">
        <f t="array" ref="CF226">IFERROR(IF(V226="Custom", "$0.1 per kWh", IF(B226="New Construction", CONCATENATE("$",INDEX('Lookup Tables'!$AH$114:$AN$154,MATCH(1,('Lookup Tables'!$AH$114:$AH$154='Lighting Inventory'!V226)*('Lookup Tables'!$AI$114:$AI$154='Lighting Inventory'!W226),FALSE),6)," ",INDEX('Lookup Tables'!$AH$114:$AN$154,MATCH(1,('Lookup Tables'!$AH$114:$AH$154='Lighting Inventory'!V226)*('Lookup Tables'!$AI$114:$AI$154='Lighting Inventory'!W226),FALSE),7)), IF(AND(BU226="N", V226="Exit Signs"), "$0.025 per kWh", CONCATENATE("$",INDEX('Lookup Tables'!$AH$6:$AN$102,MATCH(1,('Lookup Tables'!$AH$6:$AH$102='Lighting Inventory'!V226)*('Lookup Tables'!$AI$6:$AI$102='Lighting Inventory'!W226),FALSE),6)," ",INDEX('Lookup Tables'!$AH$6:$AN$102,MATCH(1,('Lookup Tables'!$AH$6:$AH$102='Lighting Inventory'!V226)*('Lookup Tables'!$AI$6:$AI$102='Lighting Inventory'!W226),FALSE),7))))), "")</f>
        <v/>
      </c>
      <c r="CG226" s="366"/>
      <c r="CH226" s="248" t="str">
        <f t="shared" si="512"/>
        <v/>
      </c>
      <c r="CI226" s="248" t="str">
        <f t="shared" si="513"/>
        <v>Select_IE</v>
      </c>
      <c r="CJ226" s="248" t="str">
        <f t="shared" si="514"/>
        <v/>
      </c>
      <c r="CK226" s="248" t="str">
        <f t="shared" si="515"/>
        <v/>
      </c>
      <c r="CL226" s="248" t="str">
        <f t="shared" si="516"/>
        <v/>
      </c>
      <c r="CM226" s="248" t="str">
        <f>IFERROR(IF(B226="", "", IF(B226="New Construction", VLOOKUP(V226, 'Lookup Tables'!$AF$114:$AG$120, 2, FALSE), VLOOKUP(V226, 'Lookup Tables'!$AD$6:$AE$25, 2, FALSE))), "")</f>
        <v/>
      </c>
      <c r="CN226" s="248" t="str">
        <f t="shared" si="517"/>
        <v/>
      </c>
      <c r="CO226" s="248" t="str">
        <f t="shared" si="518"/>
        <v/>
      </c>
      <c r="CP226" s="592" t="str">
        <f t="shared" si="519"/>
        <v/>
      </c>
      <c r="CQ226" s="248" t="str">
        <f t="shared" si="572"/>
        <v/>
      </c>
      <c r="CR226" s="249"/>
      <c r="CS226" s="250" t="str">
        <f t="shared" si="520"/>
        <v/>
      </c>
      <c r="CT226" s="250" t="str">
        <f t="shared" si="573"/>
        <v/>
      </c>
      <c r="CU226" s="250" t="str">
        <f t="shared" si="574"/>
        <v/>
      </c>
      <c r="CV226" s="250" t="str">
        <f t="shared" si="575"/>
        <v/>
      </c>
      <c r="CW226" s="250" t="str">
        <f t="shared" si="576"/>
        <v/>
      </c>
      <c r="CX226" s="250" t="str">
        <f t="shared" si="521"/>
        <v/>
      </c>
      <c r="CY226" s="250" t="str">
        <f t="shared" si="522"/>
        <v/>
      </c>
      <c r="CZ226" s="250" t="str">
        <f t="shared" si="523"/>
        <v/>
      </c>
      <c r="DA226" s="250" t="str">
        <f t="shared" si="524"/>
        <v/>
      </c>
      <c r="DB226" s="250" t="str">
        <f t="shared" si="525"/>
        <v/>
      </c>
      <c r="DC226" s="250" t="str">
        <f t="shared" si="526"/>
        <v/>
      </c>
      <c r="DD226" s="250" t="str">
        <f t="shared" si="527"/>
        <v/>
      </c>
      <c r="DE226" s="250" t="str">
        <f t="shared" si="528"/>
        <v/>
      </c>
      <c r="DF226" s="250" t="str">
        <f t="shared" si="529"/>
        <v/>
      </c>
      <c r="DG226" s="250" t="str">
        <f t="shared" si="530"/>
        <v/>
      </c>
      <c r="DH226" s="250" t="str">
        <f t="shared" si="531"/>
        <v/>
      </c>
      <c r="DI226" s="250" t="str">
        <f t="shared" si="532"/>
        <v/>
      </c>
      <c r="DJ226" s="250" t="str">
        <f t="shared" si="533"/>
        <v/>
      </c>
      <c r="DK226" s="250" t="str">
        <f t="shared" si="534"/>
        <v/>
      </c>
      <c r="DL226" s="250" t="str">
        <f t="shared" si="535"/>
        <v/>
      </c>
      <c r="DM226" s="250" t="str">
        <f>IF(CD226="ERROR", "ERROR", IF(AND(OR(Y226=$DM$6, Y226='Lookup Tables'!$AD$21, Y226='Lookup Tables'!$AD$22), E226="Interior"), BJ226, ""))</f>
        <v/>
      </c>
      <c r="DN226" s="250" t="str">
        <f>IF(CD226="ERROR", "ERROR", IF(AND(OR(Y226=$DM$6, Y226='Lookup Tables'!$AD$21, Y226='Lookup Tables'!$AD$22), E226="Exterior"), BJ226, ""))</f>
        <v/>
      </c>
      <c r="DO226" s="249"/>
      <c r="DP226" s="250" t="str">
        <f t="shared" si="536"/>
        <v/>
      </c>
      <c r="DQ226" s="250" t="str">
        <f t="shared" si="577"/>
        <v/>
      </c>
      <c r="DR226" s="250" t="str">
        <f t="shared" si="578"/>
        <v/>
      </c>
      <c r="DS226" s="250" t="str">
        <f t="shared" si="579"/>
        <v/>
      </c>
      <c r="DT226" s="250" t="str">
        <f t="shared" si="580"/>
        <v/>
      </c>
      <c r="DU226" s="250" t="str">
        <f t="shared" si="537"/>
        <v/>
      </c>
      <c r="DV226" s="250" t="str">
        <f t="shared" si="538"/>
        <v/>
      </c>
      <c r="DW226" s="250" t="str">
        <f t="shared" si="539"/>
        <v/>
      </c>
      <c r="DX226" s="250" t="str">
        <f t="shared" si="540"/>
        <v/>
      </c>
      <c r="DY226" s="250" t="str">
        <f t="shared" si="541"/>
        <v/>
      </c>
      <c r="DZ226" s="250" t="str">
        <f t="shared" si="542"/>
        <v/>
      </c>
      <c r="EA226" s="250" t="str">
        <f t="shared" si="543"/>
        <v/>
      </c>
      <c r="EB226" s="250" t="str">
        <f t="shared" si="581"/>
        <v/>
      </c>
      <c r="EC226" s="250" t="str">
        <f t="shared" si="544"/>
        <v/>
      </c>
      <c r="ED226" s="250" t="str">
        <f t="shared" si="545"/>
        <v/>
      </c>
      <c r="EE226" s="250" t="str">
        <f t="shared" si="546"/>
        <v/>
      </c>
      <c r="EF226" s="250" t="str">
        <f t="shared" si="547"/>
        <v/>
      </c>
      <c r="EG226" s="250" t="str">
        <f t="shared" si="548"/>
        <v/>
      </c>
      <c r="EH226" s="250" t="str">
        <f>IF(CD226="ERROR", "ERROR", IF(AND(OR($EH$6=Y226, Y226='Lookup Tables'!$AD$21, Y226='Lookup Tables'!$AD$22),E226="Interior"), SUM(BP226:BP226), ""))</f>
        <v/>
      </c>
      <c r="EI226" s="250" t="str">
        <f>IF(CD226="ERROR", "ERROR", IF(AND(OR($EH$6=Y226, Y226='Lookup Tables'!$AD$21, Y226='Lookup Tables'!$AD$22),E226="Exterior"), SUM(BP226:BP226), ""))</f>
        <v/>
      </c>
      <c r="EJ226" s="109"/>
      <c r="EK226" s="485" t="str">
        <f t="shared" si="549"/>
        <v/>
      </c>
      <c r="EL226" s="252" t="str">
        <f t="shared" si="582"/>
        <v/>
      </c>
      <c r="EM226" s="252" t="str">
        <f t="shared" si="583"/>
        <v/>
      </c>
      <c r="EN226" s="252" t="str">
        <f t="shared" si="584"/>
        <v/>
      </c>
      <c r="EO226" s="252" t="str">
        <f t="shared" si="585"/>
        <v/>
      </c>
      <c r="EP226" s="252" t="str">
        <f t="shared" si="586"/>
        <v/>
      </c>
      <c r="EQ226" s="252" t="str">
        <f t="shared" si="587"/>
        <v/>
      </c>
      <c r="ER226" s="252" t="str">
        <f t="shared" si="588"/>
        <v/>
      </c>
      <c r="ES226" s="252" t="str">
        <f t="shared" si="589"/>
        <v/>
      </c>
      <c r="ET226" s="252" t="str">
        <f t="shared" si="590"/>
        <v/>
      </c>
      <c r="EU226" s="252" t="str">
        <f t="shared" si="591"/>
        <v/>
      </c>
      <c r="EV226" s="252" t="str">
        <f t="shared" si="592"/>
        <v/>
      </c>
      <c r="EW226" s="252" t="str">
        <f t="shared" si="593"/>
        <v/>
      </c>
      <c r="EX226" s="252" t="str">
        <f t="shared" si="594"/>
        <v/>
      </c>
      <c r="EY226" s="252" t="str">
        <f t="shared" si="595"/>
        <v/>
      </c>
      <c r="EZ226" s="252" t="str">
        <f t="shared" si="596"/>
        <v/>
      </c>
      <c r="FA226" s="252" t="str">
        <f t="shared" si="597"/>
        <v/>
      </c>
      <c r="FB226" s="252" t="str">
        <f t="shared" si="598"/>
        <v/>
      </c>
      <c r="FC226" s="252" t="str">
        <f>IF(CD226="ERROR", "ERROR", IF(OR(V226="No Change", V226="Not DLC or Energy Star"), "", IF(AND(OR($FC$6=Y226,Y226='Lookup Tables'!$AD$21, Y226='Lookup Tables'!$AD$22),E226="Interior"), S226, "")))</f>
        <v/>
      </c>
      <c r="FD226" s="252" t="str">
        <f t="shared" si="599"/>
        <v/>
      </c>
      <c r="FE226" s="1"/>
      <c r="FF226" s="579" t="str" cm="1">
        <f t="array" ref="FF226">IFERROR(IF(OR(BQ226&lt;=0,AQ226&lt;20,AND(V226="Exit Signs",AN226&gt;0)),"",IF(AND(AQ226&gt;=20,AN226='Lookup Tables'!$R$101),'Lookup Tables'!$U$101*BQ226,AP226*LOOKUP(2,1/((AN226='Lookup Tables'!$R$91:$R$111)*(AQ226&gt;='Lookup Tables'!$S$91:$S$111)*(AQ226&lt;='Lookup Tables'!$T$91:$T$111)),'Lookup Tables'!$U$91:$U$111))),"")</f>
        <v/>
      </c>
      <c r="FG226" s="579"/>
      <c r="FH226" s="579"/>
      <c r="FI226" s="253" t="str">
        <f>IFERROR(ROUND(IF(CD226="ERROR", "ERROR", IF(AND($FI$7=X226,E226="Interior"),VLOOKUP(W226, 'Lookup Tables'!$AI$6:$AM$102, 5, FALSE)*BP226, "")), 2), "")</f>
        <v/>
      </c>
      <c r="FJ226" s="253" t="str">
        <f>IFERROR(ROUND(IF(CD226="ERROR", "ERROR", IF(AND($FI$7=X226,E226="Exterior"),VLOOKUP(W226, 'Lookup Tables'!$AI$6:$AM$102, 5, FALSE)*BP226, "")), 2), "")</f>
        <v/>
      </c>
      <c r="FK226" s="253" t="str">
        <f>IFERROR(ROUND(IF(CD226="ERROR", "ERROR", IF(AND($FK$7=X226,E226="Interior"),VLOOKUP(W226, 'Lookup Tables'!$AI$6:$AM$102, 5, FALSE)*BP226, "")), 2), "")</f>
        <v/>
      </c>
      <c r="FL226" s="253" t="str">
        <f>IFERROR(ROUND(IF(CD226="ERROR", "ERROR", IF(AND($FK$7=X226,E226="Exterior"),VLOOKUP(W226, 'Lookup Tables'!$AI$6:$AM$102, 5, FALSE)*BP226, "")), 2), "")</f>
        <v/>
      </c>
      <c r="FM226" s="253" t="str">
        <f>IFERROR(ROUND(IF(CD226="ERROR", "ERROR", IF(AND($FM$6=Y226,E226="Interior"), IF(GB226=0, VLOOKUP(W226, 'Lookup Tables'!$AI$6:$AM$102, 5, FALSE)*BP226, IF(VLOOKUP(W226, 'Lookup Tables'!$AI$6:$AM$102, 5, FALSE)*BP226&gt;GB226*'Lighting Inventory'!S226, GB226*'Lighting Inventory'!S226,VLOOKUP(W226, 'Lookup Tables'!$AI$6:$AM$102, 5, FALSE)*BP226)), "")), 2), "")</f>
        <v/>
      </c>
      <c r="FN226" s="253" t="str">
        <f>IFERROR(ROUND(IF(CD226="ERROR", "ERROR", IF(AND($FM$6=Y226,E226="Exterior"), IF(GB226=0, VLOOKUP(W226, 'Lookup Tables'!$AI$6:$AM$102, 5, FALSE)*BP226, IF(VLOOKUP(W226, 'Lookup Tables'!$AI$6:$AM$102, 5, FALSE)*BP226&gt;GB226*'Lighting Inventory'!S226, GB226*'Lighting Inventory'!S226,VLOOKUP(W226, 'Lookup Tables'!$AI$6:$AM$102, 5, FALSE)*BP226)), "")), 2), "")</f>
        <v/>
      </c>
      <c r="FO226" s="253" t="str">
        <f>IFERROR(ROUND(IF(CD226="ERROR", "ERROR", IF(AND($FO$6=Y226,E226="Interior"),VLOOKUP(W226, 'Lookup Tables'!$AI$6:$AM$102, 5, FALSE)*'Lighting Inventory'!AI226, "")), 2), "")</f>
        <v/>
      </c>
      <c r="FP226" s="253" t="str">
        <f>IFERROR(ROUND(IF(CD226="ERROR", "ERROR", IF(AND($FO$6=Y226,E226="Exterior"),VLOOKUP(W226, 'Lookup Tables'!$AI$6:$AM$102, 5, FALSE)*'Lighting Inventory'!AI226, "")), 2), "")</f>
        <v/>
      </c>
      <c r="FQ226" s="253" t="str">
        <f>IFERROR(ROUND(IF(CD226="ERROR", "ERROR", IF(AND($FQ$6=Y226,E226="Interior", BU226="Y"), VLOOKUP('Lighting Inventory'!W226, 'Lookup Tables'!$AI$6:$AM$102, 5, FALSE)*'Lighting Inventory'!S226, IF(AND($FQ$7=Y226,E226="Interior", BU226="N"), 0.025*CD226, ""))), 2), "")</f>
        <v/>
      </c>
      <c r="FR226" s="253" t="str">
        <f>IFERROR(ROUND(IF(CD226="ERROR", "ERROR", IF(AND($FQ$6=Y226,E226="Exterior"), VLOOKUP('Lighting Inventory'!W226, 'Lookup Tables'!$AI$6:$AM$102, 5, FALSE)*'Lighting Inventory'!S226, "")), 2), "")</f>
        <v/>
      </c>
      <c r="FS226" s="253" t="str">
        <f>IFERROR(ROUND(IF(CD226="ERROR", "ERROR", IF(AND($FS$6=Y226,E226="Exterior"), IF(GB226=0, VLOOKUP(W226, 'Lookup Tables'!$AI$6:$AM$102, 5, FALSE)*BP226, IF(VLOOKUP(W226, 'Lookup Tables'!$AI$6:$AM$102, 5, FALSE)*BP226&gt;GB226*'Lighting Inventory'!S226, GB226*'Lighting Inventory'!S226,VLOOKUP(W226, 'Lookup Tables'!$AI$6:$AM$102, 5, FALSE)*BP226)), "")), 2), "")</f>
        <v/>
      </c>
      <c r="FT226" s="253" t="str">
        <f>IFERROR(ROUND(IF(CD226="ERROR", "ERROR", IF(AND($FT$6=Y226,E226="Interior"), IF(GB226=0, VLOOKUP(W226, 'Lookup Tables'!$AI$6:$AM$102, 5, FALSE)*BP226, IF(VLOOKUP(W226, 'Lookup Tables'!$AI$6:$AM$102, 5, FALSE)*BP226&gt;GB226*'Lighting Inventory'!S226, GB226*'Lighting Inventory'!S226,VLOOKUP(W226, 'Lookup Tables'!$AI$6:$AM$102, 5, FALSE)*BP226)), "")), 2), "")</f>
        <v/>
      </c>
      <c r="FU226" s="253" t="str">
        <f>IFERROR(ROUND(IF(CD226="ERROR", "ERROR", IF(AND(Y226=$FU$6, E226="Interior"), IF(BS226="N", 'Lookup Tables'!$AM$101*BP226, VLOOKUP(W226, 'Lookup Tables'!$AI$6:$AM$102, 5, FALSE)*S226*AD226), "")), 2), "")</f>
        <v/>
      </c>
      <c r="FV226" s="253" t="str">
        <f>IFERROR(ROUND(IF(CD226="ERROR", "ERROR", IF(AND(Y226=$FU$6, E226="Exterior"), IF(BS226="N", 'Lookup Tables'!$AM$101*BP226, VLOOKUP(W226, 'Lookup Tables'!$AI$6:$AM$102, 5, FALSE)*S226*AD226), "")), 2), "")</f>
        <v/>
      </c>
      <c r="FW226" s="253" t="str">
        <f>IFERROR(ROUND(IF(CD226="ERROR", "ERROR", IF($FW$6=Y226, IF(BS226="N", 'Lookup Tables'!$AM$101*BP226, MIN((VLOOKUP(W226, 'Lookup Tables'!$AI$6:$AM$102, 5, FALSE)*BP226),GB226*AJ226)), "")), 2), "")</f>
        <v/>
      </c>
      <c r="FX226" s="253" t="str">
        <f>IFERROR(ROUND(IF(CD226="ERROR", "ERROR", IF(AND($FX$6=Y226, E226="Interior"), IF(VLOOKUP(W226, 'Lookup Tables'!$AI$6:$AM$102, 5, FALSE)*BP226&gt;'Lookup Tables'!$AQ$97*'Lighting Inventory'!S226,'Lighting Inventory'!S226*'Lookup Tables'!$AQ$97,VLOOKUP(W226, 'Lookup Tables'!$AI$6:$AM$102, 5, FALSE)*BP226), "")), 2), "")</f>
        <v/>
      </c>
      <c r="FY226" s="253" t="str">
        <f>IFERROR(ROUND(IF(CD226="ERROR", "ERROR", IF(AND($FX$6=Y226, E226="Exterior"), IF(VLOOKUP(W226, 'Lookup Tables'!$AI$6:$AM$102, 5, FALSE)*BP226&gt;'Lookup Tables'!$AQ$97*'Lighting Inventory'!S226,'Lighting Inventory'!S226*'Lookup Tables'!$AQ$97,VLOOKUP(W226, 'Lookup Tables'!$AI$6:$AM$102, 5, FALSE)*BP226), "")), 2), "")</f>
        <v/>
      </c>
      <c r="FZ226" s="253" t="str">
        <f>IFERROR(ROUND(IF(CD226="ERROR", "ERROR", IF(AND($FZ$6=Y226, E226="Interior"), IF(AND(OR(W226="Refrigerated Case Lighting with Doors", W226="Freezer Case Lighting"),Y226="Custom - Process Improvement"),CD226*'Lookup Tables'!$AM$101, IF(B226="Retrofit", IF(VLOOKUP(IF(V226="Custom", V226, W226), 'Lookup Tables'!$AI$6:$AM$102, 5, FALSE)*BP226&gt;GE226, GE226, VLOOKUP(IF(V226="Custom", V226, W226), 'Lookup Tables'!$AI$6:$AM$102, 5, FALSE)*BP226), IF(VLOOKUP(IF(V226="Custom", V226, W226), 'Lookup Tables'!$AI$114:$AM$154, 5, FALSE)*BP226&gt;GE226, GE226, VLOOKUP(IF(V226="Custom", V226, W226), 'Lookup Tables'!$AI$114:$AM$154, 5, FALSE)*BP226))), "")), 2),"")</f>
        <v/>
      </c>
      <c r="GA226" s="253" t="str">
        <f>IFERROR(ROUND(IF(CD226="ERROR", "ERROR", IF(AND($FZ$6=Y226, E226="Exterior"), IF(B226="Retrofit", IF(VLOOKUP(IF(V226="Custom", V226, W226), 'Lookup Tables'!$AI$6:$AM$102, 5, FALSE)*BP226&gt;GE226, GE226, VLOOKUP(IF(V226="Custom", V226, W226), 'Lookup Tables'!$AI$6:$AM$102, 5, FALSE)*BP226), IF(VLOOKUP(IF(V226="Custom", V226, W226), 'Lookup Tables'!$AI$114:$AM$154, 5, FALSE)*BP226&gt;GE226, GE226, VLOOKUP(IF(V226="Custom", V226, W226), 'Lookup Tables'!$AI$114:$AM$154, 5, FALSE)*BP226)), "")), 2),"")</f>
        <v/>
      </c>
      <c r="GB226" s="254" t="str">
        <f t="array" ref="GB226">IF(B226="","",IF(OR(V226="Custom",V226="No Change"),0,IF(B226="Retrofit", INDEX('Lookup Tables'!$AH$6:$AQ$102,MATCH(1,('Lookup Tables'!$AH$6:$AH$102='Lighting Inventory'!V226)*('Lookup Tables'!$AI$6:$AI$102='Lighting Inventory'!W226),FALSE),10),INDEX('Lookup Tables'!$AH$114:$AQ$154,MATCH(1,('Lookup Tables'!$AH$114:$AH$154='Lighting Inventory'!V226)*('Lookup Tables'!$AI$114:$AI$154='Lighting Inventory'!W226),FALSE),10))))</f>
        <v/>
      </c>
      <c r="GC226" s="255" t="str">
        <f t="shared" si="550"/>
        <v/>
      </c>
      <c r="GD226" s="250" t="str">
        <f t="shared" si="551"/>
        <v/>
      </c>
      <c r="GE226" s="253" t="str">
        <f>IFERROR(IF(AND(AF226="", 'General Information'!$F$18="No"),"", IF(AF226="", ((GD226/$CD$266)*$CF$266)*0.5, AF226*S226*0.5)), "")</f>
        <v/>
      </c>
      <c r="GF226" s="255" t="str">
        <f>IF(AND('General Information'!$F$19="", 'General Information'!$F$18="Yes",AF226="",BW226="Y"), "Y", "N")</f>
        <v>N</v>
      </c>
      <c r="GG226" s="255" t="s">
        <v>2946</v>
      </c>
      <c r="GH226" s="255" t="str">
        <f>IFERROR(IF(B226="", "", VLOOKUP(J226, 'Fixture Identities'!$A$6:$N$908, 14, FALSE)), "")</f>
        <v/>
      </c>
      <c r="GI226" s="389" t="str">
        <f>IF(OR(B226="", V226="", W226=""), "", IF(AND(OR(M226='Lookup Tables'!$R$18, M226='Lookup Tables'!$R$19, M226='Lookup Tables'!$R$20, M226='Lookup Tables'!$R$21, M226='Lookup Tables'!$R$22), OR(AN226='Lookup Tables'!$R$17, AN226='Lookup Tables'!$R$17, AN226="")), "Y", "N"))</f>
        <v/>
      </c>
      <c r="GJ226" s="255" t="str">
        <f t="shared" si="552"/>
        <v/>
      </c>
      <c r="GK226" s="255" t="str">
        <f t="shared" si="553"/>
        <v/>
      </c>
      <c r="GL226" s="255" t="str">
        <f t="shared" si="554"/>
        <v/>
      </c>
      <c r="GM226" s="255" t="str">
        <f>IF(AN226="", "", IF(AND(IF(ISNA(VLOOKUP(AN226,'Lookup Tables'!$R$18:$R$22,1,FALSE)), "N", "Y")="Y", E226="Exterior"), "Y", "N"))</f>
        <v/>
      </c>
      <c r="GN226" s="395"/>
      <c r="GO226" s="428">
        <f t="shared" si="600"/>
        <v>0</v>
      </c>
      <c r="GP226" s="428">
        <f t="shared" si="603"/>
        <v>0</v>
      </c>
      <c r="GQ226" s="428">
        <f t="shared" si="601"/>
        <v>0</v>
      </c>
      <c r="GR226" s="428">
        <f t="shared" si="602"/>
        <v>0</v>
      </c>
    </row>
    <row r="227" spans="1:200" s="103" customFormat="1" ht="13.5" customHeight="1" x14ac:dyDescent="0.2">
      <c r="A227" s="272">
        <v>217</v>
      </c>
      <c r="B227" s="110"/>
      <c r="C227" s="110"/>
      <c r="D227" s="110"/>
      <c r="E227" s="110"/>
      <c r="F227" s="110"/>
      <c r="G227" s="110"/>
      <c r="H227" s="110"/>
      <c r="I227" s="29"/>
      <c r="J227" s="29"/>
      <c r="K227" s="272" t="str">
        <f>IFERROR(IF(OR(VLOOKUP(J227, 'Fixture Identities'!$A$6:$L$1023, 3, FALSE)="T12 Linear Fluorescent", VLOOKUP(J227, 'Fixture Identities'!$A$6:$L$1023, 3, FALSE)="T12 U-Tube Fluorescent"), VLOOKUP(VLOOKUP(J227, 'Fixture Identities'!$A$6:$L$1023, 11, FALSE), 'Fixture Identities'!$A$6:$L$1023, 10, FALSE), VLOOKUP(J227, 'Fixture Identities'!$A$6:$L$1023, 10, FALSE)), "")</f>
        <v/>
      </c>
      <c r="L227" s="270" t="str">
        <f t="shared" si="605"/>
        <v/>
      </c>
      <c r="M227" s="110"/>
      <c r="N227" s="110"/>
      <c r="O227" s="110"/>
      <c r="P227" s="272" t="str">
        <f>IFERROR(IF(OR(B227="Retrofit",B227=""),"",IF('Lighting Inventory'!E227="Exterior",VLOOKUP('Lighting Inventory'!N227,'Lookup Tables'!$B$83:$F$103,5,FALSE),IF(N227="Other - Please Estimate EFLH and CFs","Contact Prog. Rep.","ft^2"))), "")</f>
        <v/>
      </c>
      <c r="Q227" s="270" t="str">
        <f>IFERROR(IF(AND(B227="New Construction",E227="Interior",$F$5="Space-by-Space"),VLOOKUP('Lighting Inventory'!N227,'Lookup Tables'!$N$6:$O$97,2,FALSE),IF(AND(B227="New Construction",E227="Exterior"),VLOOKUP(N227,'Lookup Tables'!$B$83:$F$103,2,FALSE),IF(AND(B227="New Construction",'Lighting Inventory'!E227="Interior", $F$5="Building Area"),VLOOKUP(F227,'Lookup Tables'!$A$6:$J$59,10,FALSE),""))), "")</f>
        <v/>
      </c>
      <c r="R227" s="270" t="str">
        <f>IFERROR(IF(P227="Contact Prog. Rep.", "ERROR", IF(OR(B227="",B227="Retrofit"),"",IF(N227="Automated teller machines", ('Lookup Tables'!$A$82:$E$100+('Lighting Inventory'!O227-1)*'Lookup Tables'!$A$82:$E$100)/1000, (Q227*O227)/1000))), "")</f>
        <v/>
      </c>
      <c r="S227" s="595"/>
      <c r="T227" s="105" t="str">
        <f t="shared" si="555"/>
        <v/>
      </c>
      <c r="U227" s="105" t="str">
        <f>IF(S227="","",COUNT($S$11:S227))</f>
        <v/>
      </c>
      <c r="V227" s="111"/>
      <c r="W227" s="112"/>
      <c r="X227" s="105" t="str">
        <f t="shared" si="556"/>
        <v/>
      </c>
      <c r="Y227" s="105" t="str">
        <f t="array" ref="Y227">IF(AND(OR(W227="Freezer Case Lighting", W227="Refrigerated Case Lighting with Doors"), 'General Information'!$X$18="LCI"),'Lookup Tables'!$Y$34, IF(V227="Custom", VLOOKUP(W227, 'Fixture Identities'!$A$974:$M$1023, 13, FALSE), IF(V227="No Change",'Lookup Tables'!$Y$29,IF(OR(V227="",W227=""),"",IF(AND(S227=0,S227&lt;I227,B227="Retrofit"),'Lookup Tables'!$Y$25, IF(B227="Retrofit", INDEX('Lookup Tables'!$AH$6:$AP$102, MATCH(1, ('Lookup Tables'!$AH$6:$AH$102=V227)*('Lookup Tables'!$AI$6:$AI$102=W227), 0), IF('Lighting Inventory'!E227="Interior", 4, 5)), INDEX('Lookup Tables'!$AH$114:$AP$154, MATCH(1, ('Lookup Tables'!$AH$114:$AH$154=V227)*('Lookup Tables'!$AI$114:$AI$154=W227), 0), IF('Lighting Inventory'!E227="Interior", 4, 5))))))))</f>
        <v/>
      </c>
      <c r="Z227" s="105" t="str">
        <f>IFERROR(INDEX('Lookup Tables'!$AH$158:$AH$172,MATCH('Lighting Inventory'!Y227,'Lookup Tables'!$AI$158:$AI$172,0)),"")</f>
        <v/>
      </c>
      <c r="AA227" s="105" t="str">
        <f>IF(AP227&gt;0,INDEX('Lookup Tables'!$AK$158:$AK$172,MATCH('Lighting Inventory'!Y227,'Lookup Tables'!$AI$158:$AI$172,0)),'Lighting Inventory'!Y227)</f>
        <v/>
      </c>
      <c r="AB227" s="105" t="str">
        <f t="array" ref="AB227">IF(V227="Custom", "Custom", IF(V227="", "", IF(V227="Not DLC or Energy Star", "General", IF(B227="New Construction", INDEX('Lookup Tables'!$AH$114:$AP$154,MATCH(1,('Lookup Tables'!$AH$114:$AH$154='Lighting Inventory'!V227)*('Lookup Tables'!$AI$114:$AI$154='Lighting Inventory'!W227),FALSE),8), INDEX('Lookup Tables'!$AH$6:$AP$102,MATCH(1,('Lookup Tables'!$AH$6:$AH$102='Lighting Inventory'!V227)*('Lookup Tables'!$AI$6:$AI$102='Lighting Inventory'!W227),FALSE),8)))))</f>
        <v/>
      </c>
      <c r="AC227" s="272" t="str">
        <f>IF(W227="","",IF(V227="Custom",CONCATENATE("$",'Lookup Tables'!$AM$101," ",'Lookup Tables'!$AN$101),CONCATENATE("$",INDEX('Lookup Tables'!$AM$6:$AM$102,MATCH('Lighting Inventory'!W227,'Lookup Tables'!$AI$6:$AI$102,0))," ",INDEX('Lookup Tables'!$AN$6:$AN$102,MATCH('Lighting Inventory'!W227,'Lookup Tables'!$AI$6:$AI$102,0)))))</f>
        <v/>
      </c>
      <c r="AD227" s="72"/>
      <c r="AE227" s="29"/>
      <c r="AF227" s="379"/>
      <c r="AG227" s="370" t="str">
        <f t="shared" si="504"/>
        <v/>
      </c>
      <c r="AH227" s="370" t="str">
        <f t="shared" si="557"/>
        <v/>
      </c>
      <c r="AI227" s="29"/>
      <c r="AJ227" s="29"/>
      <c r="AK227" s="110"/>
      <c r="AL227" s="375" t="str">
        <f>IF(OR(B227="", V227="", W227=""), "", IF(V227="No Change", K227, IF(V227="Remove Fixture", 0, IF(V227="Custom",VLOOKUP(W227,'Fixture Identities'!$A$6:$K$1023,10,FALSE),IF(AE227="", "← ENTER POST WATTS", 'Lighting Inventory'!AE227)))))</f>
        <v/>
      </c>
      <c r="AM227" s="376" t="str">
        <f t="shared" si="505"/>
        <v/>
      </c>
      <c r="AN227" s="29"/>
      <c r="AO227" s="671"/>
      <c r="AP227" s="29"/>
      <c r="AQ227" s="29"/>
      <c r="AR227" s="29"/>
      <c r="AS227" s="272" t="str">
        <f t="shared" si="558"/>
        <v/>
      </c>
      <c r="AT227" s="270" t="str">
        <f t="shared" si="506"/>
        <v/>
      </c>
      <c r="AU227" s="88" t="str">
        <f t="shared" si="606"/>
        <v/>
      </c>
      <c r="AV227" s="29"/>
      <c r="AW227" s="73"/>
      <c r="AX227" s="271" t="str">
        <f>IF(AND(AV227="Applicant",OR(AW227="", AW227="Use Default Facility Hours")),"← Choose Schedule",IF(F227="","",IF(W227="LED Exit Signs",8760,IF(OR(AV227="Prescribed",AV227=""),VLOOKUP(F227,'Lookup Tables'!$A$6:$G$59,IF(AB227="General", 6, 3),FALSE),VLOOKUP(AW227,'Lookup Tables'!$S$36:$U$43,2,FALSE)))))</f>
        <v/>
      </c>
      <c r="AY227" s="88" t="str">
        <f t="shared" si="507"/>
        <v/>
      </c>
      <c r="AZ227" s="270" t="str">
        <f>IFERROR(IF(F227="", "", IF(W227="LED Exit Signs", 1, IF(AV227="Applicant",VLOOKUP(AW227, 'Lookup Tables'!$S$36:$U$43,3, FALSE), VLOOKUP('Lighting Inventory'!F227, 'Lookup Tables'!$A$6:$H$59, IF('Lighting Inventory'!AB227="General",7,4), FALSE)))), "")</f>
        <v/>
      </c>
      <c r="BA227" s="522" t="str">
        <f>IFERROR(IF(F227="", "", IF(W227="LED Exit Signs", 1, VLOOKUP('Lighting Inventory'!F227, 'Lookup Tables'!$A$6:$H$59, IF('Lighting Inventory'!AB227="General",8,5), FALSE))), "")</f>
        <v/>
      </c>
      <c r="BB227" s="270" t="str">
        <f>IF(G227="", "", IF(E227="Exterior", 0, IF('Lighting Inventory'!G227="Air Conditioned", VLOOKUP(H227, 'Lookup Tables'!$R$6:$T$13, 2, FALSE), VLOOKUP('Lighting Inventory'!G227, 'Lookup Tables'!$R$6:$T$13, 2, FALSE))))</f>
        <v/>
      </c>
      <c r="BC227" s="522" t="str">
        <f>IF(G227="", "", IF(E227="Exterior", 0, IF('Lighting Inventory'!G227="Air Conditioned", VLOOKUP(H227, 'Lookup Tables'!$R$6:$T$13, 3, FALSE), VLOOKUP('Lighting Inventory'!G227, 'Lookup Tables'!$R$6:$T$13, 3, FALSE))))</f>
        <v/>
      </c>
      <c r="BD227" s="270" t="str">
        <f>IF(G227="", "", IF(E227="Exterior", 0, IF('Lighting Inventory'!G227="Air Conditioned", VLOOKUP(H227, 'Lookup Tables'!$R$6:$U$13, 4, FALSE), VLOOKUP('Lighting Inventory'!G227, 'Lookup Tables'!$R$6:$U$13, 4, FALSE))))</f>
        <v/>
      </c>
      <c r="BE227" s="270" t="str">
        <f>IFERROR(IF(B227="", "",  IF(B227="New Construction", VLOOKUP(F227, 'Lookup Tables'!$A$6:$K$59, 11, FALSE),IF(OR(AN227="", AN227="Light Switch"), 0, IF(OR(M227="",M227="None",V227= "LED Exit Signs"),0,_xlfn.XLOOKUP(M227,'Lookup Tables'!$R$91:$R$101,'Lookup Tables'!$V$91:$V$101))))), "")</f>
        <v/>
      </c>
      <c r="BF227" s="270" t="str">
        <f>IF(AND(OR(AN227="Light Switch",AN227=""),B227="New Construction"), VLOOKUP(F227, 'Lookup Tables'!$A$6:$K$59, 11, FALSE),IF(AN227="","",IF(B227="","",IF(OR(AN227="None",AN227="",V227="LED Exit Signs",AN227="Exterior Controls Not Eligible"),0,_xlfn.XLOOKUP(AN227,'Lookup Tables'!$R$91:$R$101,'Lookup Tables'!$V$91:$V$101)))))</f>
        <v/>
      </c>
      <c r="BG227" s="88" t="str">
        <f t="shared" si="559"/>
        <v/>
      </c>
      <c r="BH227" s="88" t="str">
        <f t="shared" si="560"/>
        <v/>
      </c>
      <c r="BI227" s="558" t="str">
        <f t="shared" si="604"/>
        <v/>
      </c>
      <c r="BJ227" s="82" t="str">
        <f t="shared" si="561"/>
        <v/>
      </c>
      <c r="BK227" s="82" t="str">
        <f t="shared" si="562"/>
        <v/>
      </c>
      <c r="BL227" s="559" t="str">
        <f t="shared" si="563"/>
        <v/>
      </c>
      <c r="BM227" s="521" t="str">
        <f t="shared" si="508"/>
        <v/>
      </c>
      <c r="BN227" s="521" t="str">
        <f t="shared" si="509"/>
        <v/>
      </c>
      <c r="BO227" s="522" t="str">
        <f t="shared" si="510"/>
        <v/>
      </c>
      <c r="BP227" s="83" t="str">
        <f t="shared" si="564"/>
        <v/>
      </c>
      <c r="BQ227" s="84" t="str">
        <f t="shared" si="565"/>
        <v/>
      </c>
      <c r="BR227" s="184" t="str">
        <f>IFERROR(IF(B227="", "", IF(OR(VLOOKUP(J227, 'Fixture Identities'!$A$6:$L$1023, 3, FALSE)="T12 Linear Fluorescent",VLOOKUP(J227, 'Fixture Identities'!$A$6:$L$1023, 3, FALSE)="T12 U-Tube Fluorescent"), "Y", "N")), "N")</f>
        <v/>
      </c>
      <c r="BS227" s="184" t="str">
        <f t="array" ref="BS227">IFERROR(IF(OR(B227="", V227="", W227=""), "", IF(V227="Custom", "N", IF(OR(W227="Freezer Case Lighting", W227="Refrigerated Case Lighting with Doors"), BT227, IF(B227="Retrofit", INDEX('Lookup Tables'!$AH$6:$AT$102,MATCH(1,('Lookup Tables'!$AH$6:$AH$102=V227)*('Lookup Tables'!$AI$6:$AI$102=W227),FALSE),IF(VLOOKUP(J227, 'Fixture Identities'!$A$6:$B$1023, 2, FALSE)="Incandescent",12, 13)), INDEX('Lookup Tables'!$AH$114:$AS$154,MATCH(1,('Lookup Tables'!$AH$114:$AH$154=V227)*('Lookup Tables'!$AI$114:$AI$154=W227),FALSE),12))))), "N")</f>
        <v/>
      </c>
      <c r="BT227" s="184" t="str">
        <f>IF(J227="", "", IF(AND(OR(W227="Freezer case Lighting", W227="Refrigerated Case Lighting with Doors"),'General Information'!$X$18="LCI"), "N", IF(OR(VLOOKUP(J227, 'Fixture Identities'!$A$6:$B$1023, 2, FALSE)="T12 EPACT/EISA Baseline", VLOOKUP(J227, 'Fixture Identities'!$A$6:$B$1023, 2, FALSE)="Linear Fluorescent", VLOOKUP(J227, 'Fixture Identities'!$A$6:$B$1023, 2, FALSE)="U-Tube Fluorescent"), "Y", "N")))</f>
        <v/>
      </c>
      <c r="BU227" s="184" t="str">
        <f>IFERROR(IF(B227="", "", IF(VLOOKUP(J227, 'Fixture Identities'!$A$6:$B$1023, 2, FALSE)="Exit Sign", "Y", "N")), "N")</f>
        <v/>
      </c>
      <c r="BV227" s="184" t="str">
        <f>IF(V227="Exit Signs", IF(VLOOKUP(J227, 'Fixture Identities'!$A$6:$B$1023, 2, FALSE)="Exit Sign", "N", "Y"), "")</f>
        <v/>
      </c>
      <c r="BW227" s="184" t="str">
        <f t="array" ref="BW227">IFERROR(IF(B227="", "", IF(B227="New Construction", "N", INDEX('Lookup Tables'!$AH$6:$AU$102, MATCH(1, ('Lookup Tables'!$AH$6:$AH$102='Lighting Inventory'!V227)*('Lookup Tables'!$AI$6:$AI$102='Lighting Inventory'!W227), 0), 14))), "N")</f>
        <v/>
      </c>
      <c r="BX227" s="598" t="str">
        <f t="shared" si="566"/>
        <v/>
      </c>
      <c r="BY227" s="598" t="str">
        <f t="shared" si="567"/>
        <v/>
      </c>
      <c r="BZ227" s="598" t="str">
        <f t="shared" si="568"/>
        <v/>
      </c>
      <c r="CA227" s="598" t="str">
        <f t="shared" si="569"/>
        <v/>
      </c>
      <c r="CB227" s="269" t="str">
        <f t="shared" si="570"/>
        <v/>
      </c>
      <c r="CC227" s="517" t="str">
        <f t="shared" si="571"/>
        <v/>
      </c>
      <c r="CD227" s="565" t="str">
        <f t="shared" si="511"/>
        <v/>
      </c>
      <c r="CE227" s="368">
        <v>0</v>
      </c>
      <c r="CF227" s="368" t="str" cm="1">
        <f t="array" ref="CF227">IFERROR(IF(V227="Custom", "$0.1 per kWh", IF(B227="New Construction", CONCATENATE("$",INDEX('Lookup Tables'!$AH$114:$AN$154,MATCH(1,('Lookup Tables'!$AH$114:$AH$154='Lighting Inventory'!V227)*('Lookup Tables'!$AI$114:$AI$154='Lighting Inventory'!W227),FALSE),6)," ",INDEX('Lookup Tables'!$AH$114:$AN$154,MATCH(1,('Lookup Tables'!$AH$114:$AH$154='Lighting Inventory'!V227)*('Lookup Tables'!$AI$114:$AI$154='Lighting Inventory'!W227),FALSE),7)), IF(AND(BU227="N", V227="Exit Signs"), "$0.025 per kWh", CONCATENATE("$",INDEX('Lookup Tables'!$AH$6:$AN$102,MATCH(1,('Lookup Tables'!$AH$6:$AH$102='Lighting Inventory'!V227)*('Lookup Tables'!$AI$6:$AI$102='Lighting Inventory'!W227),FALSE),6)," ",INDEX('Lookup Tables'!$AH$6:$AN$102,MATCH(1,('Lookup Tables'!$AH$6:$AH$102='Lighting Inventory'!V227)*('Lookup Tables'!$AI$6:$AI$102='Lighting Inventory'!W227),FALSE),7))))), "")</f>
        <v/>
      </c>
      <c r="CG227" s="366"/>
      <c r="CH227" s="248" t="str">
        <f t="shared" si="512"/>
        <v/>
      </c>
      <c r="CI227" s="248" t="str">
        <f t="shared" si="513"/>
        <v>Select_IE</v>
      </c>
      <c r="CJ227" s="248" t="str">
        <f t="shared" si="514"/>
        <v/>
      </c>
      <c r="CK227" s="248" t="str">
        <f t="shared" si="515"/>
        <v/>
      </c>
      <c r="CL227" s="248" t="str">
        <f t="shared" si="516"/>
        <v/>
      </c>
      <c r="CM227" s="248" t="str">
        <f>IFERROR(IF(B227="", "", IF(B227="New Construction", VLOOKUP(V227, 'Lookup Tables'!$AF$114:$AG$120, 2, FALSE), VLOOKUP(V227, 'Lookup Tables'!$AD$6:$AE$25, 2, FALSE))), "")</f>
        <v/>
      </c>
      <c r="CN227" s="248" t="str">
        <f t="shared" si="517"/>
        <v/>
      </c>
      <c r="CO227" s="248" t="str">
        <f t="shared" si="518"/>
        <v/>
      </c>
      <c r="CP227" s="592" t="str">
        <f t="shared" si="519"/>
        <v/>
      </c>
      <c r="CQ227" s="248" t="str">
        <f t="shared" si="572"/>
        <v/>
      </c>
      <c r="CR227" s="100"/>
      <c r="CS227" s="250" t="str">
        <f t="shared" si="520"/>
        <v/>
      </c>
      <c r="CT227" s="250" t="str">
        <f t="shared" si="573"/>
        <v/>
      </c>
      <c r="CU227" s="250" t="str">
        <f t="shared" si="574"/>
        <v/>
      </c>
      <c r="CV227" s="250" t="str">
        <f t="shared" si="575"/>
        <v/>
      </c>
      <c r="CW227" s="250" t="str">
        <f t="shared" si="576"/>
        <v/>
      </c>
      <c r="CX227" s="250" t="str">
        <f t="shared" si="521"/>
        <v/>
      </c>
      <c r="CY227" s="250" t="str">
        <f t="shared" si="522"/>
        <v/>
      </c>
      <c r="CZ227" s="250" t="str">
        <f t="shared" si="523"/>
        <v/>
      </c>
      <c r="DA227" s="250" t="str">
        <f t="shared" si="524"/>
        <v/>
      </c>
      <c r="DB227" s="250" t="str">
        <f t="shared" si="525"/>
        <v/>
      </c>
      <c r="DC227" s="250" t="str">
        <f t="shared" si="526"/>
        <v/>
      </c>
      <c r="DD227" s="250" t="str">
        <f t="shared" si="527"/>
        <v/>
      </c>
      <c r="DE227" s="250" t="str">
        <f t="shared" si="528"/>
        <v/>
      </c>
      <c r="DF227" s="250" t="str">
        <f t="shared" si="529"/>
        <v/>
      </c>
      <c r="DG227" s="250" t="str">
        <f t="shared" si="530"/>
        <v/>
      </c>
      <c r="DH227" s="250" t="str">
        <f t="shared" si="531"/>
        <v/>
      </c>
      <c r="DI227" s="250" t="str">
        <f t="shared" si="532"/>
        <v/>
      </c>
      <c r="DJ227" s="250" t="str">
        <f t="shared" si="533"/>
        <v/>
      </c>
      <c r="DK227" s="250" t="str">
        <f t="shared" si="534"/>
        <v/>
      </c>
      <c r="DL227" s="250" t="str">
        <f t="shared" si="535"/>
        <v/>
      </c>
      <c r="DM227" s="250" t="str">
        <f>IF(CD227="ERROR", "ERROR", IF(AND(OR(Y227=$DM$6, Y227='Lookup Tables'!$AD$21, Y227='Lookup Tables'!$AD$22), E227="Interior"), BJ227, ""))</f>
        <v/>
      </c>
      <c r="DN227" s="250" t="str">
        <f>IF(CD227="ERROR", "ERROR", IF(AND(OR(Y227=$DM$6, Y227='Lookup Tables'!$AD$21, Y227='Lookup Tables'!$AD$22), E227="Exterior"), BJ227, ""))</f>
        <v/>
      </c>
      <c r="DO227" s="100"/>
      <c r="DP227" s="250" t="str">
        <f t="shared" si="536"/>
        <v/>
      </c>
      <c r="DQ227" s="250" t="str">
        <f t="shared" si="577"/>
        <v/>
      </c>
      <c r="DR227" s="250" t="str">
        <f t="shared" si="578"/>
        <v/>
      </c>
      <c r="DS227" s="250" t="str">
        <f t="shared" si="579"/>
        <v/>
      </c>
      <c r="DT227" s="250" t="str">
        <f t="shared" si="580"/>
        <v/>
      </c>
      <c r="DU227" s="250" t="str">
        <f t="shared" si="537"/>
        <v/>
      </c>
      <c r="DV227" s="250" t="str">
        <f t="shared" si="538"/>
        <v/>
      </c>
      <c r="DW227" s="250" t="str">
        <f t="shared" si="539"/>
        <v/>
      </c>
      <c r="DX227" s="250" t="str">
        <f t="shared" si="540"/>
        <v/>
      </c>
      <c r="DY227" s="250" t="str">
        <f t="shared" si="541"/>
        <v/>
      </c>
      <c r="DZ227" s="250" t="str">
        <f t="shared" si="542"/>
        <v/>
      </c>
      <c r="EA227" s="250" t="str">
        <f t="shared" si="543"/>
        <v/>
      </c>
      <c r="EB227" s="250" t="str">
        <f t="shared" si="581"/>
        <v/>
      </c>
      <c r="EC227" s="250" t="str">
        <f t="shared" si="544"/>
        <v/>
      </c>
      <c r="ED227" s="250" t="str">
        <f t="shared" si="545"/>
        <v/>
      </c>
      <c r="EE227" s="250" t="str">
        <f t="shared" si="546"/>
        <v/>
      </c>
      <c r="EF227" s="250" t="str">
        <f t="shared" si="547"/>
        <v/>
      </c>
      <c r="EG227" s="250" t="str">
        <f t="shared" si="548"/>
        <v/>
      </c>
      <c r="EH227" s="250" t="str">
        <f>IF(CD227="ERROR", "ERROR", IF(AND(OR($EH$6=Y227, Y227='Lookup Tables'!$AD$21, Y227='Lookup Tables'!$AD$22),E227="Interior"), SUM(BP227:BP227), ""))</f>
        <v/>
      </c>
      <c r="EI227" s="250" t="str">
        <f>IF(CD227="ERROR", "ERROR", IF(AND(OR($EH$6=Y227, Y227='Lookup Tables'!$AD$21, Y227='Lookup Tables'!$AD$22),E227="Exterior"), SUM(BP227:BP227), ""))</f>
        <v/>
      </c>
      <c r="EJ227" s="109"/>
      <c r="EK227" s="485" t="str">
        <f t="shared" si="549"/>
        <v/>
      </c>
      <c r="EL227" s="252" t="str">
        <f t="shared" si="582"/>
        <v/>
      </c>
      <c r="EM227" s="252" t="str">
        <f t="shared" si="583"/>
        <v/>
      </c>
      <c r="EN227" s="252" t="str">
        <f t="shared" si="584"/>
        <v/>
      </c>
      <c r="EO227" s="252" t="str">
        <f t="shared" si="585"/>
        <v/>
      </c>
      <c r="EP227" s="252" t="str">
        <f t="shared" si="586"/>
        <v/>
      </c>
      <c r="EQ227" s="252" t="str">
        <f t="shared" si="587"/>
        <v/>
      </c>
      <c r="ER227" s="252" t="str">
        <f t="shared" si="588"/>
        <v/>
      </c>
      <c r="ES227" s="252" t="str">
        <f t="shared" si="589"/>
        <v/>
      </c>
      <c r="ET227" s="252" t="str">
        <f t="shared" si="590"/>
        <v/>
      </c>
      <c r="EU227" s="252" t="str">
        <f t="shared" si="591"/>
        <v/>
      </c>
      <c r="EV227" s="252" t="str">
        <f t="shared" si="592"/>
        <v/>
      </c>
      <c r="EW227" s="252" t="str">
        <f t="shared" si="593"/>
        <v/>
      </c>
      <c r="EX227" s="252" t="str">
        <f t="shared" si="594"/>
        <v/>
      </c>
      <c r="EY227" s="252" t="str">
        <f t="shared" si="595"/>
        <v/>
      </c>
      <c r="EZ227" s="252" t="str">
        <f t="shared" si="596"/>
        <v/>
      </c>
      <c r="FA227" s="252" t="str">
        <f t="shared" si="597"/>
        <v/>
      </c>
      <c r="FB227" s="252" t="str">
        <f t="shared" si="598"/>
        <v/>
      </c>
      <c r="FC227" s="252" t="str">
        <f>IF(CD227="ERROR", "ERROR", IF(OR(V227="No Change", V227="Not DLC or Energy Star"), "", IF(AND(OR($FC$6=Y227,Y227='Lookup Tables'!$AD$21, Y227='Lookup Tables'!$AD$22),E227="Interior"), S227, "")))</f>
        <v/>
      </c>
      <c r="FD227" s="252" t="str">
        <f t="shared" si="599"/>
        <v/>
      </c>
      <c r="FE227" s="101"/>
      <c r="FF227" s="579" t="str" cm="1">
        <f t="array" ref="FF227">IFERROR(IF(OR(BQ227&lt;=0,AQ227&lt;20,AND(V227="Exit Signs",AN227&gt;0)),"",IF(AND(AQ227&gt;=20,AN227='Lookup Tables'!$R$101),'Lookup Tables'!$U$101*BQ227,AP227*LOOKUP(2,1/((AN227='Lookup Tables'!$R$91:$R$111)*(AQ227&gt;='Lookup Tables'!$S$91:$S$111)*(AQ227&lt;='Lookup Tables'!$T$91:$T$111)),'Lookup Tables'!$U$91:$U$111))),"")</f>
        <v/>
      </c>
      <c r="FG227" s="579"/>
      <c r="FH227" s="579"/>
      <c r="FI227" s="253" t="str">
        <f>IFERROR(ROUND(IF(CD227="ERROR", "ERROR", IF(AND($FI$7=X227,E227="Interior"),VLOOKUP(W227, 'Lookup Tables'!$AI$6:$AM$102, 5, FALSE)*BP227, "")), 2), "")</f>
        <v/>
      </c>
      <c r="FJ227" s="253" t="str">
        <f>IFERROR(ROUND(IF(CD227="ERROR", "ERROR", IF(AND($FI$7=X227,E227="Exterior"),VLOOKUP(W227, 'Lookup Tables'!$AI$6:$AM$102, 5, FALSE)*BP227, "")), 2), "")</f>
        <v/>
      </c>
      <c r="FK227" s="253" t="str">
        <f>IFERROR(ROUND(IF(CD227="ERROR", "ERROR", IF(AND($FK$7=X227,E227="Interior"),VLOOKUP(W227, 'Lookup Tables'!$AI$6:$AM$102, 5, FALSE)*BP227, "")), 2), "")</f>
        <v/>
      </c>
      <c r="FL227" s="253" t="str">
        <f>IFERROR(ROUND(IF(CD227="ERROR", "ERROR", IF(AND($FK$7=X227,E227="Exterior"),VLOOKUP(W227, 'Lookup Tables'!$AI$6:$AM$102, 5, FALSE)*BP227, "")), 2), "")</f>
        <v/>
      </c>
      <c r="FM227" s="253" t="str">
        <f>IFERROR(ROUND(IF(CD227="ERROR", "ERROR", IF(AND($FM$6=Y227,E227="Interior"), IF(GB227=0, VLOOKUP(W227, 'Lookup Tables'!$AI$6:$AM$102, 5, FALSE)*BP227, IF(VLOOKUP(W227, 'Lookup Tables'!$AI$6:$AM$102, 5, FALSE)*BP227&gt;GB227*'Lighting Inventory'!S227, GB227*'Lighting Inventory'!S227,VLOOKUP(W227, 'Lookup Tables'!$AI$6:$AM$102, 5, FALSE)*BP227)), "")), 2), "")</f>
        <v/>
      </c>
      <c r="FN227" s="253" t="str">
        <f>IFERROR(ROUND(IF(CD227="ERROR", "ERROR", IF(AND($FM$6=Y227,E227="Exterior"), IF(GB227=0, VLOOKUP(W227, 'Lookup Tables'!$AI$6:$AM$102, 5, FALSE)*BP227, IF(VLOOKUP(W227, 'Lookup Tables'!$AI$6:$AM$102, 5, FALSE)*BP227&gt;GB227*'Lighting Inventory'!S227, GB227*'Lighting Inventory'!S227,VLOOKUP(W227, 'Lookup Tables'!$AI$6:$AM$102, 5, FALSE)*BP227)), "")), 2), "")</f>
        <v/>
      </c>
      <c r="FO227" s="253" t="str">
        <f>IFERROR(ROUND(IF(CD227="ERROR", "ERROR", IF(AND($FO$6=Y227,E227="Interior"),VLOOKUP(W227, 'Lookup Tables'!$AI$6:$AM$102, 5, FALSE)*'Lighting Inventory'!AI227, "")), 2), "")</f>
        <v/>
      </c>
      <c r="FP227" s="253" t="str">
        <f>IFERROR(ROUND(IF(CD227="ERROR", "ERROR", IF(AND($FO$6=Y227,E227="Exterior"),VLOOKUP(W227, 'Lookup Tables'!$AI$6:$AM$102, 5, FALSE)*'Lighting Inventory'!AI227, "")), 2), "")</f>
        <v/>
      </c>
      <c r="FQ227" s="253" t="str">
        <f>IFERROR(ROUND(IF(CD227="ERROR", "ERROR", IF(AND($FQ$6=Y227,E227="Interior", BU227="Y"), VLOOKUP('Lighting Inventory'!W227, 'Lookup Tables'!$AI$6:$AM$102, 5, FALSE)*'Lighting Inventory'!S227, IF(AND($FQ$7=Y227,E227="Interior", BU227="N"), 0.025*CD227, ""))), 2), "")</f>
        <v/>
      </c>
      <c r="FR227" s="253" t="str">
        <f>IFERROR(ROUND(IF(CD227="ERROR", "ERROR", IF(AND($FQ$6=Y227,E227="Exterior"), VLOOKUP('Lighting Inventory'!W227, 'Lookup Tables'!$AI$6:$AM$102, 5, FALSE)*'Lighting Inventory'!S227, "")), 2), "")</f>
        <v/>
      </c>
      <c r="FS227" s="253" t="str">
        <f>IFERROR(ROUND(IF(CD227="ERROR", "ERROR", IF(AND($FS$6=Y227,E227="Exterior"), IF(GB227=0, VLOOKUP(W227, 'Lookup Tables'!$AI$6:$AM$102, 5, FALSE)*BP227, IF(VLOOKUP(W227, 'Lookup Tables'!$AI$6:$AM$102, 5, FALSE)*BP227&gt;GB227*'Lighting Inventory'!S227, GB227*'Lighting Inventory'!S227,VLOOKUP(W227, 'Lookup Tables'!$AI$6:$AM$102, 5, FALSE)*BP227)), "")), 2), "")</f>
        <v/>
      </c>
      <c r="FT227" s="253" t="str">
        <f>IFERROR(ROUND(IF(CD227="ERROR", "ERROR", IF(AND($FT$6=Y227,E227="Interior"), IF(GB227=0, VLOOKUP(W227, 'Lookup Tables'!$AI$6:$AM$102, 5, FALSE)*BP227, IF(VLOOKUP(W227, 'Lookup Tables'!$AI$6:$AM$102, 5, FALSE)*BP227&gt;GB227*'Lighting Inventory'!S227, GB227*'Lighting Inventory'!S227,VLOOKUP(W227, 'Lookup Tables'!$AI$6:$AM$102, 5, FALSE)*BP227)), "")), 2), "")</f>
        <v/>
      </c>
      <c r="FU227" s="253" t="str">
        <f>IFERROR(ROUND(IF(CD227="ERROR", "ERROR", IF(AND(Y227=$FU$6, E227="Interior"), IF(BS227="N", 'Lookup Tables'!$AM$101*BP227, VLOOKUP(W227, 'Lookup Tables'!$AI$6:$AM$102, 5, FALSE)*S227*AD227), "")), 2), "")</f>
        <v/>
      </c>
      <c r="FV227" s="253" t="str">
        <f>IFERROR(ROUND(IF(CD227="ERROR", "ERROR", IF(AND(Y227=$FU$6, E227="Exterior"), IF(BS227="N", 'Lookup Tables'!$AM$101*BP227, VLOOKUP(W227, 'Lookup Tables'!$AI$6:$AM$102, 5, FALSE)*S227*AD227), "")), 2), "")</f>
        <v/>
      </c>
      <c r="FW227" s="253" t="str">
        <f>IFERROR(ROUND(IF(CD227="ERROR", "ERROR", IF($FW$6=Y227, IF(BS227="N", 'Lookup Tables'!$AM$101*BP227, MIN((VLOOKUP(W227, 'Lookup Tables'!$AI$6:$AM$102, 5, FALSE)*BP227),GB227*AJ227)), "")), 2), "")</f>
        <v/>
      </c>
      <c r="FX227" s="253" t="str">
        <f>IFERROR(ROUND(IF(CD227="ERROR", "ERROR", IF(AND($FX$6=Y227, E227="Interior"), IF(VLOOKUP(W227, 'Lookup Tables'!$AI$6:$AM$102, 5, FALSE)*BP227&gt;'Lookup Tables'!$AQ$97*'Lighting Inventory'!S227,'Lighting Inventory'!S227*'Lookup Tables'!$AQ$97,VLOOKUP(W227, 'Lookup Tables'!$AI$6:$AM$102, 5, FALSE)*BP227), "")), 2), "")</f>
        <v/>
      </c>
      <c r="FY227" s="253" t="str">
        <f>IFERROR(ROUND(IF(CD227="ERROR", "ERROR", IF(AND($FX$6=Y227, E227="Exterior"), IF(VLOOKUP(W227, 'Lookup Tables'!$AI$6:$AM$102, 5, FALSE)*BP227&gt;'Lookup Tables'!$AQ$97*'Lighting Inventory'!S227,'Lighting Inventory'!S227*'Lookup Tables'!$AQ$97,VLOOKUP(W227, 'Lookup Tables'!$AI$6:$AM$102, 5, FALSE)*BP227), "")), 2), "")</f>
        <v/>
      </c>
      <c r="FZ227" s="253" t="str">
        <f>IFERROR(ROUND(IF(CD227="ERROR", "ERROR", IF(AND($FZ$6=Y227, E227="Interior"), IF(AND(OR(W227="Refrigerated Case Lighting with Doors", W227="Freezer Case Lighting"),Y227="Custom - Process Improvement"),CD227*'Lookup Tables'!$AM$101, IF(B227="Retrofit", IF(VLOOKUP(IF(V227="Custom", V227, W227), 'Lookup Tables'!$AI$6:$AM$102, 5, FALSE)*BP227&gt;GE227, GE227, VLOOKUP(IF(V227="Custom", V227, W227), 'Lookup Tables'!$AI$6:$AM$102, 5, FALSE)*BP227), IF(VLOOKUP(IF(V227="Custom", V227, W227), 'Lookup Tables'!$AI$114:$AM$154, 5, FALSE)*BP227&gt;GE227, GE227, VLOOKUP(IF(V227="Custom", V227, W227), 'Lookup Tables'!$AI$114:$AM$154, 5, FALSE)*BP227))), "")), 2),"")</f>
        <v/>
      </c>
      <c r="GA227" s="253" t="str">
        <f>IFERROR(ROUND(IF(CD227="ERROR", "ERROR", IF(AND($FZ$6=Y227, E227="Exterior"), IF(B227="Retrofit", IF(VLOOKUP(IF(V227="Custom", V227, W227), 'Lookup Tables'!$AI$6:$AM$102, 5, FALSE)*BP227&gt;GE227, GE227, VLOOKUP(IF(V227="Custom", V227, W227), 'Lookup Tables'!$AI$6:$AM$102, 5, FALSE)*BP227), IF(VLOOKUP(IF(V227="Custom", V227, W227), 'Lookup Tables'!$AI$114:$AM$154, 5, FALSE)*BP227&gt;GE227, GE227, VLOOKUP(IF(V227="Custom", V227, W227), 'Lookup Tables'!$AI$114:$AM$154, 5, FALSE)*BP227)), "")), 2),"")</f>
        <v/>
      </c>
      <c r="GB227" s="254" t="str">
        <f t="array" ref="GB227">IF(B227="","",IF(OR(V227="Custom",V227="No Change"),0,IF(B227="Retrofit", INDEX('Lookup Tables'!$AH$6:$AQ$102,MATCH(1,('Lookup Tables'!$AH$6:$AH$102='Lighting Inventory'!V227)*('Lookup Tables'!$AI$6:$AI$102='Lighting Inventory'!W227),FALSE),10),INDEX('Lookup Tables'!$AH$114:$AQ$154,MATCH(1,('Lookup Tables'!$AH$114:$AH$154='Lighting Inventory'!V227)*('Lookup Tables'!$AI$114:$AI$154='Lighting Inventory'!W227),FALSE),10))))</f>
        <v/>
      </c>
      <c r="GC227" s="255" t="str">
        <f t="shared" si="550"/>
        <v/>
      </c>
      <c r="GD227" s="250" t="str">
        <f t="shared" si="551"/>
        <v/>
      </c>
      <c r="GE227" s="253" t="str">
        <f>IFERROR(IF(AND(AF227="", 'General Information'!$F$18="No"),"", IF(AF227="", ((GD227/$CD$266)*$CF$266)*0.5, AF227*S227*0.5)), "")</f>
        <v/>
      </c>
      <c r="GF227" s="255" t="str">
        <f>IF(AND('General Information'!$F$19="", 'General Information'!$F$18="Yes",AF227="",BW227="Y"), "Y", "N")</f>
        <v>N</v>
      </c>
      <c r="GG227" s="255" t="s">
        <v>2946</v>
      </c>
      <c r="GH227" s="255" t="str">
        <f>IFERROR(IF(B227="", "", VLOOKUP(J227, 'Fixture Identities'!$A$6:$N$908, 14, FALSE)), "")</f>
        <v/>
      </c>
      <c r="GI227" s="389" t="str">
        <f>IF(OR(B227="", V227="", W227=""), "", IF(AND(OR(M227='Lookup Tables'!$R$18, M227='Lookup Tables'!$R$19, M227='Lookup Tables'!$R$20, M227='Lookup Tables'!$R$21, M227='Lookup Tables'!$R$22), OR(AN227='Lookup Tables'!$R$17, AN227='Lookup Tables'!$R$17, AN227="")), "Y", "N"))</f>
        <v/>
      </c>
      <c r="GJ227" s="255" t="str">
        <f t="shared" si="552"/>
        <v/>
      </c>
      <c r="GK227" s="255" t="str">
        <f t="shared" si="553"/>
        <v/>
      </c>
      <c r="GL227" s="255" t="str">
        <f t="shared" si="554"/>
        <v/>
      </c>
      <c r="GM227" s="255" t="str">
        <f>IF(AN227="", "", IF(AND(IF(ISNA(VLOOKUP(AN227,'Lookup Tables'!$R$18:$R$22,1,FALSE)), "N", "Y")="Y", E227="Exterior"), "Y", "N"))</f>
        <v/>
      </c>
      <c r="GN227" s="395"/>
      <c r="GO227" s="428">
        <f t="shared" si="600"/>
        <v>0</v>
      </c>
      <c r="GP227" s="428">
        <f t="shared" si="603"/>
        <v>0</v>
      </c>
      <c r="GQ227" s="428">
        <f t="shared" si="601"/>
        <v>0</v>
      </c>
      <c r="GR227" s="428">
        <f t="shared" si="602"/>
        <v>0</v>
      </c>
    </row>
    <row r="228" spans="1:200" s="103" customFormat="1" ht="13.5" customHeight="1" x14ac:dyDescent="0.2">
      <c r="A228" s="272">
        <v>218</v>
      </c>
      <c r="B228" s="110"/>
      <c r="C228" s="110"/>
      <c r="D228" s="110"/>
      <c r="E228" s="110"/>
      <c r="F228" s="110"/>
      <c r="G228" s="110"/>
      <c r="H228" s="110"/>
      <c r="I228" s="29"/>
      <c r="J228" s="29"/>
      <c r="K228" s="272" t="str">
        <f>IFERROR(IF(OR(VLOOKUP(J228, 'Fixture Identities'!$A$6:$L$1023, 3, FALSE)="T12 Linear Fluorescent", VLOOKUP(J228, 'Fixture Identities'!$A$6:$L$1023, 3, FALSE)="T12 U-Tube Fluorescent"), VLOOKUP(VLOOKUP(J228, 'Fixture Identities'!$A$6:$L$1023, 11, FALSE), 'Fixture Identities'!$A$6:$L$1023, 10, FALSE), VLOOKUP(J228, 'Fixture Identities'!$A$6:$L$1023, 10, FALSE)), "")</f>
        <v/>
      </c>
      <c r="L228" s="270" t="str">
        <f t="shared" si="605"/>
        <v/>
      </c>
      <c r="M228" s="110"/>
      <c r="N228" s="110"/>
      <c r="O228" s="110"/>
      <c r="P228" s="272" t="str">
        <f>IFERROR(IF(OR(B228="Retrofit",B228=""),"",IF('Lighting Inventory'!E228="Exterior",VLOOKUP('Lighting Inventory'!N228,'Lookup Tables'!$B$83:$F$103,5,FALSE),IF(N228="Other - Please Estimate EFLH and CFs","Contact Prog. Rep.","ft^2"))), "")</f>
        <v/>
      </c>
      <c r="Q228" s="270" t="str">
        <f>IFERROR(IF(AND(B228="New Construction",E228="Interior",$F$5="Space-by-Space"),VLOOKUP('Lighting Inventory'!N228,'Lookup Tables'!$N$6:$O$97,2,FALSE),IF(AND(B228="New Construction",E228="Exterior"),VLOOKUP(N228,'Lookup Tables'!$B$83:$F$103,2,FALSE),IF(AND(B228="New Construction",'Lighting Inventory'!E228="Interior", $F$5="Building Area"),VLOOKUP(F228,'Lookup Tables'!$A$6:$J$59,10,FALSE),""))), "")</f>
        <v/>
      </c>
      <c r="R228" s="270" t="str">
        <f>IFERROR(IF(P228="Contact Prog. Rep.", "ERROR", IF(OR(B228="",B228="Retrofit"),"",IF(N228="Automated teller machines", ('Lookup Tables'!$A$82:$E$100+('Lighting Inventory'!O228-1)*'Lookup Tables'!$A$82:$E$100)/1000, (Q228*O228)/1000))), "")</f>
        <v/>
      </c>
      <c r="S228" s="595"/>
      <c r="T228" s="105" t="str">
        <f t="shared" si="555"/>
        <v/>
      </c>
      <c r="U228" s="105" t="str">
        <f>IF(S228="","",COUNT($S$11:S228))</f>
        <v/>
      </c>
      <c r="V228" s="111"/>
      <c r="W228" s="112"/>
      <c r="X228" s="105" t="str">
        <f t="shared" si="556"/>
        <v/>
      </c>
      <c r="Y228" s="105" t="str">
        <f t="array" ref="Y228">IF(AND(OR(W228="Freezer Case Lighting", W228="Refrigerated Case Lighting with Doors"), 'General Information'!$X$18="LCI"),'Lookup Tables'!$Y$34, IF(V228="Custom", VLOOKUP(W228, 'Fixture Identities'!$A$974:$M$1023, 13, FALSE), IF(V228="No Change",'Lookup Tables'!$Y$29,IF(OR(V228="",W228=""),"",IF(AND(S228=0,S228&lt;I228,B228="Retrofit"),'Lookup Tables'!$Y$25, IF(B228="Retrofit", INDEX('Lookup Tables'!$AH$6:$AP$102, MATCH(1, ('Lookup Tables'!$AH$6:$AH$102=V228)*('Lookup Tables'!$AI$6:$AI$102=W228), 0), IF('Lighting Inventory'!E228="Interior", 4, 5)), INDEX('Lookup Tables'!$AH$114:$AP$154, MATCH(1, ('Lookup Tables'!$AH$114:$AH$154=V228)*('Lookup Tables'!$AI$114:$AI$154=W228), 0), IF('Lighting Inventory'!E228="Interior", 4, 5))))))))</f>
        <v/>
      </c>
      <c r="Z228" s="105" t="str">
        <f>IFERROR(INDEX('Lookup Tables'!$AH$158:$AH$172,MATCH('Lighting Inventory'!Y228,'Lookup Tables'!$AI$158:$AI$172,0)),"")</f>
        <v/>
      </c>
      <c r="AA228" s="105" t="str">
        <f>IF(AP228&gt;0,INDEX('Lookup Tables'!$AK$158:$AK$172,MATCH('Lighting Inventory'!Y228,'Lookup Tables'!$AI$158:$AI$172,0)),'Lighting Inventory'!Y228)</f>
        <v/>
      </c>
      <c r="AB228" s="105" t="str">
        <f t="array" ref="AB228">IF(V228="Custom", "Custom", IF(V228="", "", IF(V228="Not DLC or Energy Star", "General", IF(B228="New Construction", INDEX('Lookup Tables'!$AH$114:$AP$154,MATCH(1,('Lookup Tables'!$AH$114:$AH$154='Lighting Inventory'!V228)*('Lookup Tables'!$AI$114:$AI$154='Lighting Inventory'!W228),FALSE),8), INDEX('Lookup Tables'!$AH$6:$AP$102,MATCH(1,('Lookup Tables'!$AH$6:$AH$102='Lighting Inventory'!V228)*('Lookup Tables'!$AI$6:$AI$102='Lighting Inventory'!W228),FALSE),8)))))</f>
        <v/>
      </c>
      <c r="AC228" s="272" t="str">
        <f>IF(W228="","",IF(V228="Custom",CONCATENATE("$",'Lookup Tables'!$AM$101," ",'Lookup Tables'!$AN$101),CONCATENATE("$",INDEX('Lookup Tables'!$AM$6:$AM$102,MATCH('Lighting Inventory'!W228,'Lookup Tables'!$AI$6:$AI$102,0))," ",INDEX('Lookup Tables'!$AN$6:$AN$102,MATCH('Lighting Inventory'!W228,'Lookup Tables'!$AI$6:$AI$102,0)))))</f>
        <v/>
      </c>
      <c r="AD228" s="72"/>
      <c r="AE228" s="29"/>
      <c r="AF228" s="379"/>
      <c r="AG228" s="370" t="str">
        <f t="shared" si="504"/>
        <v/>
      </c>
      <c r="AH228" s="370" t="str">
        <f t="shared" si="557"/>
        <v/>
      </c>
      <c r="AI228" s="29"/>
      <c r="AJ228" s="29"/>
      <c r="AK228" s="110"/>
      <c r="AL228" s="375" t="str">
        <f>IF(OR(B228="", V228="", W228=""), "", IF(V228="No Change", K228, IF(V228="Remove Fixture", 0, IF(V228="Custom",VLOOKUP(W228,'Fixture Identities'!$A$6:$K$1023,10,FALSE),IF(AE228="", "← ENTER POST WATTS", 'Lighting Inventory'!AE228)))))</f>
        <v/>
      </c>
      <c r="AM228" s="376" t="str">
        <f t="shared" si="505"/>
        <v/>
      </c>
      <c r="AN228" s="29"/>
      <c r="AO228" s="671"/>
      <c r="AP228" s="29"/>
      <c r="AQ228" s="29"/>
      <c r="AR228" s="29"/>
      <c r="AS228" s="272" t="str">
        <f t="shared" si="558"/>
        <v/>
      </c>
      <c r="AT228" s="270" t="str">
        <f t="shared" si="506"/>
        <v/>
      </c>
      <c r="AU228" s="88" t="str">
        <f t="shared" si="606"/>
        <v/>
      </c>
      <c r="AV228" s="29"/>
      <c r="AW228" s="73"/>
      <c r="AX228" s="271" t="str">
        <f>IF(AND(AV228="Applicant",OR(AW228="", AW228="Use Default Facility Hours")),"← Choose Schedule",IF(F228="","",IF(W228="LED Exit Signs",8760,IF(OR(AV228="Prescribed",AV228=""),VLOOKUP(F228,'Lookup Tables'!$A$6:$G$59,IF(AB228="General", 6, 3),FALSE),VLOOKUP(AW228,'Lookup Tables'!$S$36:$U$43,2,FALSE)))))</f>
        <v/>
      </c>
      <c r="AY228" s="88" t="str">
        <f t="shared" si="507"/>
        <v/>
      </c>
      <c r="AZ228" s="270" t="str">
        <f>IFERROR(IF(F228="", "", IF(W228="LED Exit Signs", 1, IF(AV228="Applicant",VLOOKUP(AW228, 'Lookup Tables'!$S$36:$U$43,3, FALSE), VLOOKUP('Lighting Inventory'!F228, 'Lookup Tables'!$A$6:$H$59, IF('Lighting Inventory'!AB228="General",7,4), FALSE)))), "")</f>
        <v/>
      </c>
      <c r="BA228" s="522" t="str">
        <f>IFERROR(IF(F228="", "", IF(W228="LED Exit Signs", 1, VLOOKUP('Lighting Inventory'!F228, 'Lookup Tables'!$A$6:$H$59, IF('Lighting Inventory'!AB228="General",8,5), FALSE))), "")</f>
        <v/>
      </c>
      <c r="BB228" s="270" t="str">
        <f>IF(G228="", "", IF(E228="Exterior", 0, IF('Lighting Inventory'!G228="Air Conditioned", VLOOKUP(H228, 'Lookup Tables'!$R$6:$T$13, 2, FALSE), VLOOKUP('Lighting Inventory'!G228, 'Lookup Tables'!$R$6:$T$13, 2, FALSE))))</f>
        <v/>
      </c>
      <c r="BC228" s="522" t="str">
        <f>IF(G228="", "", IF(E228="Exterior", 0, IF('Lighting Inventory'!G228="Air Conditioned", VLOOKUP(H228, 'Lookup Tables'!$R$6:$T$13, 3, FALSE), VLOOKUP('Lighting Inventory'!G228, 'Lookup Tables'!$R$6:$T$13, 3, FALSE))))</f>
        <v/>
      </c>
      <c r="BD228" s="270" t="str">
        <f>IF(G228="", "", IF(E228="Exterior", 0, IF('Lighting Inventory'!G228="Air Conditioned", VLOOKUP(H228, 'Lookup Tables'!$R$6:$U$13, 4, FALSE), VLOOKUP('Lighting Inventory'!G228, 'Lookup Tables'!$R$6:$U$13, 4, FALSE))))</f>
        <v/>
      </c>
      <c r="BE228" s="270" t="str">
        <f>IFERROR(IF(B228="", "",  IF(B228="New Construction", VLOOKUP(F228, 'Lookup Tables'!$A$6:$K$59, 11, FALSE),IF(OR(AN228="", AN228="Light Switch"), 0, IF(OR(M228="",M228="None",V228= "LED Exit Signs"),0,_xlfn.XLOOKUP(M228,'Lookup Tables'!$R$91:$R$101,'Lookup Tables'!$V$91:$V$101))))), "")</f>
        <v/>
      </c>
      <c r="BF228" s="270" t="str">
        <f>IF(AND(OR(AN228="Light Switch",AN228=""),B228="New Construction"), VLOOKUP(F228, 'Lookup Tables'!$A$6:$K$59, 11, FALSE),IF(AN228="","",IF(B228="","",IF(OR(AN228="None",AN228="",V228="LED Exit Signs",AN228="Exterior Controls Not Eligible"),0,_xlfn.XLOOKUP(AN228,'Lookup Tables'!$R$91:$R$101,'Lookup Tables'!$V$91:$V$101)))))</f>
        <v/>
      </c>
      <c r="BG228" s="88" t="str">
        <f t="shared" si="559"/>
        <v/>
      </c>
      <c r="BH228" s="88" t="str">
        <f t="shared" si="560"/>
        <v/>
      </c>
      <c r="BI228" s="558" t="str">
        <f t="shared" si="604"/>
        <v/>
      </c>
      <c r="BJ228" s="82" t="str">
        <f t="shared" si="561"/>
        <v/>
      </c>
      <c r="BK228" s="82" t="str">
        <f t="shared" si="562"/>
        <v/>
      </c>
      <c r="BL228" s="559" t="str">
        <f t="shared" si="563"/>
        <v/>
      </c>
      <c r="BM228" s="521" t="str">
        <f t="shared" si="508"/>
        <v/>
      </c>
      <c r="BN228" s="521" t="str">
        <f t="shared" si="509"/>
        <v/>
      </c>
      <c r="BO228" s="522" t="str">
        <f t="shared" si="510"/>
        <v/>
      </c>
      <c r="BP228" s="83" t="str">
        <f t="shared" si="564"/>
        <v/>
      </c>
      <c r="BQ228" s="84" t="str">
        <f t="shared" si="565"/>
        <v/>
      </c>
      <c r="BR228" s="184" t="str">
        <f>IFERROR(IF(B228="", "", IF(OR(VLOOKUP(J228, 'Fixture Identities'!$A$6:$L$1023, 3, FALSE)="T12 Linear Fluorescent",VLOOKUP(J228, 'Fixture Identities'!$A$6:$L$1023, 3, FALSE)="T12 U-Tube Fluorescent"), "Y", "N")), "N")</f>
        <v/>
      </c>
      <c r="BS228" s="184" t="str">
        <f t="array" ref="BS228">IFERROR(IF(OR(B228="", V228="", W228=""), "", IF(V228="Custom", "N", IF(OR(W228="Freezer Case Lighting", W228="Refrigerated Case Lighting with Doors"), BT228, IF(B228="Retrofit", INDEX('Lookup Tables'!$AH$6:$AT$102,MATCH(1,('Lookup Tables'!$AH$6:$AH$102=V228)*('Lookup Tables'!$AI$6:$AI$102=W228),FALSE),IF(VLOOKUP(J228, 'Fixture Identities'!$A$6:$B$1023, 2, FALSE)="Incandescent",12, 13)), INDEX('Lookup Tables'!$AH$114:$AS$154,MATCH(1,('Lookup Tables'!$AH$114:$AH$154=V228)*('Lookup Tables'!$AI$114:$AI$154=W228),FALSE),12))))), "N")</f>
        <v/>
      </c>
      <c r="BT228" s="184" t="str">
        <f>IF(J228="", "", IF(AND(OR(W228="Freezer case Lighting", W228="Refrigerated Case Lighting with Doors"),'General Information'!$X$18="LCI"), "N", IF(OR(VLOOKUP(J228, 'Fixture Identities'!$A$6:$B$1023, 2, FALSE)="T12 EPACT/EISA Baseline", VLOOKUP(J228, 'Fixture Identities'!$A$6:$B$1023, 2, FALSE)="Linear Fluorescent", VLOOKUP(J228, 'Fixture Identities'!$A$6:$B$1023, 2, FALSE)="U-Tube Fluorescent"), "Y", "N")))</f>
        <v/>
      </c>
      <c r="BU228" s="184" t="str">
        <f>IFERROR(IF(B228="", "", IF(VLOOKUP(J228, 'Fixture Identities'!$A$6:$B$1023, 2, FALSE)="Exit Sign", "Y", "N")), "N")</f>
        <v/>
      </c>
      <c r="BV228" s="184" t="str">
        <f>IF(V228="Exit Signs", IF(VLOOKUP(J228, 'Fixture Identities'!$A$6:$B$1023, 2, FALSE)="Exit Sign", "N", "Y"), "")</f>
        <v/>
      </c>
      <c r="BW228" s="184" t="str">
        <f t="array" ref="BW228">IFERROR(IF(B228="", "", IF(B228="New Construction", "N", INDEX('Lookup Tables'!$AH$6:$AU$102, MATCH(1, ('Lookup Tables'!$AH$6:$AH$102='Lighting Inventory'!V228)*('Lookup Tables'!$AI$6:$AI$102='Lighting Inventory'!W228), 0), 14))), "N")</f>
        <v/>
      </c>
      <c r="BX228" s="598" t="str">
        <f t="shared" si="566"/>
        <v/>
      </c>
      <c r="BY228" s="598" t="str">
        <f t="shared" si="567"/>
        <v/>
      </c>
      <c r="BZ228" s="598" t="str">
        <f t="shared" si="568"/>
        <v/>
      </c>
      <c r="CA228" s="598" t="str">
        <f t="shared" si="569"/>
        <v/>
      </c>
      <c r="CB228" s="269" t="str">
        <f t="shared" si="570"/>
        <v/>
      </c>
      <c r="CC228" s="517" t="str">
        <f t="shared" si="571"/>
        <v/>
      </c>
      <c r="CD228" s="565" t="str">
        <f t="shared" si="511"/>
        <v/>
      </c>
      <c r="CE228" s="368">
        <v>0</v>
      </c>
      <c r="CF228" s="368" t="str" cm="1">
        <f t="array" ref="CF228">IFERROR(IF(V228="Custom", "$0.1 per kWh", IF(B228="New Construction", CONCATENATE("$",INDEX('Lookup Tables'!$AH$114:$AN$154,MATCH(1,('Lookup Tables'!$AH$114:$AH$154='Lighting Inventory'!V228)*('Lookup Tables'!$AI$114:$AI$154='Lighting Inventory'!W228),FALSE),6)," ",INDEX('Lookup Tables'!$AH$114:$AN$154,MATCH(1,('Lookup Tables'!$AH$114:$AH$154='Lighting Inventory'!V228)*('Lookup Tables'!$AI$114:$AI$154='Lighting Inventory'!W228),FALSE),7)), IF(AND(BU228="N", V228="Exit Signs"), "$0.025 per kWh", CONCATENATE("$",INDEX('Lookup Tables'!$AH$6:$AN$102,MATCH(1,('Lookup Tables'!$AH$6:$AH$102='Lighting Inventory'!V228)*('Lookup Tables'!$AI$6:$AI$102='Lighting Inventory'!W228),FALSE),6)," ",INDEX('Lookup Tables'!$AH$6:$AN$102,MATCH(1,('Lookup Tables'!$AH$6:$AH$102='Lighting Inventory'!V228)*('Lookup Tables'!$AI$6:$AI$102='Lighting Inventory'!W228),FALSE),7))))), "")</f>
        <v/>
      </c>
      <c r="CG228" s="366"/>
      <c r="CH228" s="248" t="str">
        <f t="shared" si="512"/>
        <v/>
      </c>
      <c r="CI228" s="248" t="str">
        <f t="shared" si="513"/>
        <v>Select_IE</v>
      </c>
      <c r="CJ228" s="248" t="str">
        <f t="shared" si="514"/>
        <v/>
      </c>
      <c r="CK228" s="248" t="str">
        <f t="shared" si="515"/>
        <v/>
      </c>
      <c r="CL228" s="248" t="str">
        <f t="shared" si="516"/>
        <v/>
      </c>
      <c r="CM228" s="248" t="str">
        <f>IFERROR(IF(B228="", "", IF(B228="New Construction", VLOOKUP(V228, 'Lookup Tables'!$AF$114:$AG$120, 2, FALSE), VLOOKUP(V228, 'Lookup Tables'!$AD$6:$AE$25, 2, FALSE))), "")</f>
        <v/>
      </c>
      <c r="CN228" s="248" t="str">
        <f t="shared" si="517"/>
        <v/>
      </c>
      <c r="CO228" s="248" t="str">
        <f t="shared" si="518"/>
        <v/>
      </c>
      <c r="CP228" s="592" t="str">
        <f t="shared" si="519"/>
        <v/>
      </c>
      <c r="CQ228" s="248" t="str">
        <f t="shared" si="572"/>
        <v/>
      </c>
      <c r="CR228" s="100"/>
      <c r="CS228" s="250" t="str">
        <f t="shared" si="520"/>
        <v/>
      </c>
      <c r="CT228" s="250" t="str">
        <f t="shared" si="573"/>
        <v/>
      </c>
      <c r="CU228" s="250" t="str">
        <f t="shared" si="574"/>
        <v/>
      </c>
      <c r="CV228" s="250" t="str">
        <f t="shared" si="575"/>
        <v/>
      </c>
      <c r="CW228" s="250" t="str">
        <f t="shared" si="576"/>
        <v/>
      </c>
      <c r="CX228" s="250" t="str">
        <f t="shared" si="521"/>
        <v/>
      </c>
      <c r="CY228" s="250" t="str">
        <f t="shared" si="522"/>
        <v/>
      </c>
      <c r="CZ228" s="250" t="str">
        <f t="shared" si="523"/>
        <v/>
      </c>
      <c r="DA228" s="250" t="str">
        <f t="shared" si="524"/>
        <v/>
      </c>
      <c r="DB228" s="250" t="str">
        <f t="shared" si="525"/>
        <v/>
      </c>
      <c r="DC228" s="250" t="str">
        <f t="shared" si="526"/>
        <v/>
      </c>
      <c r="DD228" s="250" t="str">
        <f t="shared" si="527"/>
        <v/>
      </c>
      <c r="DE228" s="250" t="str">
        <f t="shared" si="528"/>
        <v/>
      </c>
      <c r="DF228" s="250" t="str">
        <f t="shared" si="529"/>
        <v/>
      </c>
      <c r="DG228" s="250" t="str">
        <f t="shared" si="530"/>
        <v/>
      </c>
      <c r="DH228" s="250" t="str">
        <f t="shared" si="531"/>
        <v/>
      </c>
      <c r="DI228" s="250" t="str">
        <f t="shared" si="532"/>
        <v/>
      </c>
      <c r="DJ228" s="250" t="str">
        <f t="shared" si="533"/>
        <v/>
      </c>
      <c r="DK228" s="250" t="str">
        <f t="shared" si="534"/>
        <v/>
      </c>
      <c r="DL228" s="250" t="str">
        <f t="shared" si="535"/>
        <v/>
      </c>
      <c r="DM228" s="250" t="str">
        <f>IF(CD228="ERROR", "ERROR", IF(AND(OR(Y228=$DM$6, Y228='Lookup Tables'!$AD$21, Y228='Lookup Tables'!$AD$22), E228="Interior"), BJ228, ""))</f>
        <v/>
      </c>
      <c r="DN228" s="250" t="str">
        <f>IF(CD228="ERROR", "ERROR", IF(AND(OR(Y228=$DM$6, Y228='Lookup Tables'!$AD$21, Y228='Lookup Tables'!$AD$22), E228="Exterior"), BJ228, ""))</f>
        <v/>
      </c>
      <c r="DO228" s="100"/>
      <c r="DP228" s="250" t="str">
        <f t="shared" si="536"/>
        <v/>
      </c>
      <c r="DQ228" s="250" t="str">
        <f t="shared" si="577"/>
        <v/>
      </c>
      <c r="DR228" s="250" t="str">
        <f t="shared" si="578"/>
        <v/>
      </c>
      <c r="DS228" s="250" t="str">
        <f t="shared" si="579"/>
        <v/>
      </c>
      <c r="DT228" s="250" t="str">
        <f t="shared" si="580"/>
        <v/>
      </c>
      <c r="DU228" s="250" t="str">
        <f t="shared" si="537"/>
        <v/>
      </c>
      <c r="DV228" s="250" t="str">
        <f t="shared" si="538"/>
        <v/>
      </c>
      <c r="DW228" s="250" t="str">
        <f t="shared" si="539"/>
        <v/>
      </c>
      <c r="DX228" s="250" t="str">
        <f t="shared" si="540"/>
        <v/>
      </c>
      <c r="DY228" s="250" t="str">
        <f t="shared" si="541"/>
        <v/>
      </c>
      <c r="DZ228" s="250" t="str">
        <f t="shared" si="542"/>
        <v/>
      </c>
      <c r="EA228" s="250" t="str">
        <f t="shared" si="543"/>
        <v/>
      </c>
      <c r="EB228" s="250" t="str">
        <f t="shared" si="581"/>
        <v/>
      </c>
      <c r="EC228" s="250" t="str">
        <f t="shared" si="544"/>
        <v/>
      </c>
      <c r="ED228" s="250" t="str">
        <f t="shared" si="545"/>
        <v/>
      </c>
      <c r="EE228" s="250" t="str">
        <f t="shared" si="546"/>
        <v/>
      </c>
      <c r="EF228" s="250" t="str">
        <f t="shared" si="547"/>
        <v/>
      </c>
      <c r="EG228" s="250" t="str">
        <f t="shared" si="548"/>
        <v/>
      </c>
      <c r="EH228" s="250" t="str">
        <f>IF(CD228="ERROR", "ERROR", IF(AND(OR($EH$6=Y228, Y228='Lookup Tables'!$AD$21, Y228='Lookup Tables'!$AD$22),E228="Interior"), SUM(BP228:BP228), ""))</f>
        <v/>
      </c>
      <c r="EI228" s="250" t="str">
        <f>IF(CD228="ERROR", "ERROR", IF(AND(OR($EH$6=Y228, Y228='Lookup Tables'!$AD$21, Y228='Lookup Tables'!$AD$22),E228="Exterior"), SUM(BP228:BP228), ""))</f>
        <v/>
      </c>
      <c r="EJ228" s="109"/>
      <c r="EK228" s="485" t="str">
        <f t="shared" si="549"/>
        <v/>
      </c>
      <c r="EL228" s="252" t="str">
        <f t="shared" si="582"/>
        <v/>
      </c>
      <c r="EM228" s="252" t="str">
        <f t="shared" si="583"/>
        <v/>
      </c>
      <c r="EN228" s="252" t="str">
        <f t="shared" si="584"/>
        <v/>
      </c>
      <c r="EO228" s="252" t="str">
        <f t="shared" si="585"/>
        <v/>
      </c>
      <c r="EP228" s="252" t="str">
        <f t="shared" si="586"/>
        <v/>
      </c>
      <c r="EQ228" s="252" t="str">
        <f t="shared" si="587"/>
        <v/>
      </c>
      <c r="ER228" s="252" t="str">
        <f t="shared" si="588"/>
        <v/>
      </c>
      <c r="ES228" s="252" t="str">
        <f t="shared" si="589"/>
        <v/>
      </c>
      <c r="ET228" s="252" t="str">
        <f t="shared" si="590"/>
        <v/>
      </c>
      <c r="EU228" s="252" t="str">
        <f t="shared" si="591"/>
        <v/>
      </c>
      <c r="EV228" s="252" t="str">
        <f t="shared" si="592"/>
        <v/>
      </c>
      <c r="EW228" s="252" t="str">
        <f t="shared" si="593"/>
        <v/>
      </c>
      <c r="EX228" s="252" t="str">
        <f t="shared" si="594"/>
        <v/>
      </c>
      <c r="EY228" s="252" t="str">
        <f t="shared" si="595"/>
        <v/>
      </c>
      <c r="EZ228" s="252" t="str">
        <f t="shared" si="596"/>
        <v/>
      </c>
      <c r="FA228" s="252" t="str">
        <f t="shared" si="597"/>
        <v/>
      </c>
      <c r="FB228" s="252" t="str">
        <f t="shared" si="598"/>
        <v/>
      </c>
      <c r="FC228" s="252" t="str">
        <f>IF(CD228="ERROR", "ERROR", IF(OR(V228="No Change", V228="Not DLC or Energy Star"), "", IF(AND(OR($FC$6=Y228,Y228='Lookup Tables'!$AD$21, Y228='Lookup Tables'!$AD$22),E228="Interior"), S228, "")))</f>
        <v/>
      </c>
      <c r="FD228" s="252" t="str">
        <f t="shared" si="599"/>
        <v/>
      </c>
      <c r="FE228" s="101"/>
      <c r="FF228" s="579" t="str" cm="1">
        <f t="array" ref="FF228">IFERROR(IF(OR(BQ228&lt;=0,AQ228&lt;20,AND(V228="Exit Signs",AN228&gt;0)),"",IF(AND(AQ228&gt;=20,AN228='Lookup Tables'!$R$101),'Lookup Tables'!$U$101*BQ228,AP228*LOOKUP(2,1/((AN228='Lookup Tables'!$R$91:$R$111)*(AQ228&gt;='Lookup Tables'!$S$91:$S$111)*(AQ228&lt;='Lookup Tables'!$T$91:$T$111)),'Lookup Tables'!$U$91:$U$111))),"")</f>
        <v/>
      </c>
      <c r="FG228" s="579"/>
      <c r="FH228" s="579"/>
      <c r="FI228" s="253" t="str">
        <f>IFERROR(ROUND(IF(CD228="ERROR", "ERROR", IF(AND($FI$7=X228,E228="Interior"),VLOOKUP(W228, 'Lookup Tables'!$AI$6:$AM$102, 5, FALSE)*BP228, "")), 2), "")</f>
        <v/>
      </c>
      <c r="FJ228" s="253" t="str">
        <f>IFERROR(ROUND(IF(CD228="ERROR", "ERROR", IF(AND($FI$7=X228,E228="Exterior"),VLOOKUP(W228, 'Lookup Tables'!$AI$6:$AM$102, 5, FALSE)*BP228, "")), 2), "")</f>
        <v/>
      </c>
      <c r="FK228" s="253" t="str">
        <f>IFERROR(ROUND(IF(CD228="ERROR", "ERROR", IF(AND($FK$7=X228,E228="Interior"),VLOOKUP(W228, 'Lookup Tables'!$AI$6:$AM$102, 5, FALSE)*BP228, "")), 2), "")</f>
        <v/>
      </c>
      <c r="FL228" s="253" t="str">
        <f>IFERROR(ROUND(IF(CD228="ERROR", "ERROR", IF(AND($FK$7=X228,E228="Exterior"),VLOOKUP(W228, 'Lookup Tables'!$AI$6:$AM$102, 5, FALSE)*BP228, "")), 2), "")</f>
        <v/>
      </c>
      <c r="FM228" s="253" t="str">
        <f>IFERROR(ROUND(IF(CD228="ERROR", "ERROR", IF(AND($FM$6=Y228,E228="Interior"), IF(GB228=0, VLOOKUP(W228, 'Lookup Tables'!$AI$6:$AM$102, 5, FALSE)*BP228, IF(VLOOKUP(W228, 'Lookup Tables'!$AI$6:$AM$102, 5, FALSE)*BP228&gt;GB228*'Lighting Inventory'!S228, GB228*'Lighting Inventory'!S228,VLOOKUP(W228, 'Lookup Tables'!$AI$6:$AM$102, 5, FALSE)*BP228)), "")), 2), "")</f>
        <v/>
      </c>
      <c r="FN228" s="253" t="str">
        <f>IFERROR(ROUND(IF(CD228="ERROR", "ERROR", IF(AND($FM$6=Y228,E228="Exterior"), IF(GB228=0, VLOOKUP(W228, 'Lookup Tables'!$AI$6:$AM$102, 5, FALSE)*BP228, IF(VLOOKUP(W228, 'Lookup Tables'!$AI$6:$AM$102, 5, FALSE)*BP228&gt;GB228*'Lighting Inventory'!S228, GB228*'Lighting Inventory'!S228,VLOOKUP(W228, 'Lookup Tables'!$AI$6:$AM$102, 5, FALSE)*BP228)), "")), 2), "")</f>
        <v/>
      </c>
      <c r="FO228" s="253" t="str">
        <f>IFERROR(ROUND(IF(CD228="ERROR", "ERROR", IF(AND($FO$6=Y228,E228="Interior"),VLOOKUP(W228, 'Lookup Tables'!$AI$6:$AM$102, 5, FALSE)*'Lighting Inventory'!AI228, "")), 2), "")</f>
        <v/>
      </c>
      <c r="FP228" s="253" t="str">
        <f>IFERROR(ROUND(IF(CD228="ERROR", "ERROR", IF(AND($FO$6=Y228,E228="Exterior"),VLOOKUP(W228, 'Lookup Tables'!$AI$6:$AM$102, 5, FALSE)*'Lighting Inventory'!AI228, "")), 2), "")</f>
        <v/>
      </c>
      <c r="FQ228" s="253" t="str">
        <f>IFERROR(ROUND(IF(CD228="ERROR", "ERROR", IF(AND($FQ$6=Y228,E228="Interior", BU228="Y"), VLOOKUP('Lighting Inventory'!W228, 'Lookup Tables'!$AI$6:$AM$102, 5, FALSE)*'Lighting Inventory'!S228, IF(AND($FQ$7=Y228,E228="Interior", BU228="N"), 0.025*CD228, ""))), 2), "")</f>
        <v/>
      </c>
      <c r="FR228" s="253" t="str">
        <f>IFERROR(ROUND(IF(CD228="ERROR", "ERROR", IF(AND($FQ$6=Y228,E228="Exterior"), VLOOKUP('Lighting Inventory'!W228, 'Lookup Tables'!$AI$6:$AM$102, 5, FALSE)*'Lighting Inventory'!S228, "")), 2), "")</f>
        <v/>
      </c>
      <c r="FS228" s="253" t="str">
        <f>IFERROR(ROUND(IF(CD228="ERROR", "ERROR", IF(AND($FS$6=Y228,E228="Exterior"), IF(GB228=0, VLOOKUP(W228, 'Lookup Tables'!$AI$6:$AM$102, 5, FALSE)*BP228, IF(VLOOKUP(W228, 'Lookup Tables'!$AI$6:$AM$102, 5, FALSE)*BP228&gt;GB228*'Lighting Inventory'!S228, GB228*'Lighting Inventory'!S228,VLOOKUP(W228, 'Lookup Tables'!$AI$6:$AM$102, 5, FALSE)*BP228)), "")), 2), "")</f>
        <v/>
      </c>
      <c r="FT228" s="253" t="str">
        <f>IFERROR(ROUND(IF(CD228="ERROR", "ERROR", IF(AND($FT$6=Y228,E228="Interior"), IF(GB228=0, VLOOKUP(W228, 'Lookup Tables'!$AI$6:$AM$102, 5, FALSE)*BP228, IF(VLOOKUP(W228, 'Lookup Tables'!$AI$6:$AM$102, 5, FALSE)*BP228&gt;GB228*'Lighting Inventory'!S228, GB228*'Lighting Inventory'!S228,VLOOKUP(W228, 'Lookup Tables'!$AI$6:$AM$102, 5, FALSE)*BP228)), "")), 2), "")</f>
        <v/>
      </c>
      <c r="FU228" s="253" t="str">
        <f>IFERROR(ROUND(IF(CD228="ERROR", "ERROR", IF(AND(Y228=$FU$6, E228="Interior"), IF(BS228="N", 'Lookup Tables'!$AM$101*BP228, VLOOKUP(W228, 'Lookup Tables'!$AI$6:$AM$102, 5, FALSE)*S228*AD228), "")), 2), "")</f>
        <v/>
      </c>
      <c r="FV228" s="253" t="str">
        <f>IFERROR(ROUND(IF(CD228="ERROR", "ERROR", IF(AND(Y228=$FU$6, E228="Exterior"), IF(BS228="N", 'Lookup Tables'!$AM$101*BP228, VLOOKUP(W228, 'Lookup Tables'!$AI$6:$AM$102, 5, FALSE)*S228*AD228), "")), 2), "")</f>
        <v/>
      </c>
      <c r="FW228" s="253" t="str">
        <f>IFERROR(ROUND(IF(CD228="ERROR", "ERROR", IF($FW$6=Y228, IF(BS228="N", 'Lookup Tables'!$AM$101*BP228, MIN((VLOOKUP(W228, 'Lookup Tables'!$AI$6:$AM$102, 5, FALSE)*BP228),GB228*AJ228)), "")), 2), "")</f>
        <v/>
      </c>
      <c r="FX228" s="253" t="str">
        <f>IFERROR(ROUND(IF(CD228="ERROR", "ERROR", IF(AND($FX$6=Y228, E228="Interior"), IF(VLOOKUP(W228, 'Lookup Tables'!$AI$6:$AM$102, 5, FALSE)*BP228&gt;'Lookup Tables'!$AQ$97*'Lighting Inventory'!S228,'Lighting Inventory'!S228*'Lookup Tables'!$AQ$97,VLOOKUP(W228, 'Lookup Tables'!$AI$6:$AM$102, 5, FALSE)*BP228), "")), 2), "")</f>
        <v/>
      </c>
      <c r="FY228" s="253" t="str">
        <f>IFERROR(ROUND(IF(CD228="ERROR", "ERROR", IF(AND($FX$6=Y228, E228="Exterior"), IF(VLOOKUP(W228, 'Lookup Tables'!$AI$6:$AM$102, 5, FALSE)*BP228&gt;'Lookup Tables'!$AQ$97*'Lighting Inventory'!S228,'Lighting Inventory'!S228*'Lookup Tables'!$AQ$97,VLOOKUP(W228, 'Lookup Tables'!$AI$6:$AM$102, 5, FALSE)*BP228), "")), 2), "")</f>
        <v/>
      </c>
      <c r="FZ228" s="253" t="str">
        <f>IFERROR(ROUND(IF(CD228="ERROR", "ERROR", IF(AND($FZ$6=Y228, E228="Interior"), IF(AND(OR(W228="Refrigerated Case Lighting with Doors", W228="Freezer Case Lighting"),Y228="Custom - Process Improvement"),CD228*'Lookup Tables'!$AM$101, IF(B228="Retrofit", IF(VLOOKUP(IF(V228="Custom", V228, W228), 'Lookup Tables'!$AI$6:$AM$102, 5, FALSE)*BP228&gt;GE228, GE228, VLOOKUP(IF(V228="Custom", V228, W228), 'Lookup Tables'!$AI$6:$AM$102, 5, FALSE)*BP228), IF(VLOOKUP(IF(V228="Custom", V228, W228), 'Lookup Tables'!$AI$114:$AM$154, 5, FALSE)*BP228&gt;GE228, GE228, VLOOKUP(IF(V228="Custom", V228, W228), 'Lookup Tables'!$AI$114:$AM$154, 5, FALSE)*BP228))), "")), 2),"")</f>
        <v/>
      </c>
      <c r="GA228" s="253" t="str">
        <f>IFERROR(ROUND(IF(CD228="ERROR", "ERROR", IF(AND($FZ$6=Y228, E228="Exterior"), IF(B228="Retrofit", IF(VLOOKUP(IF(V228="Custom", V228, W228), 'Lookup Tables'!$AI$6:$AM$102, 5, FALSE)*BP228&gt;GE228, GE228, VLOOKUP(IF(V228="Custom", V228, W228), 'Lookup Tables'!$AI$6:$AM$102, 5, FALSE)*BP228), IF(VLOOKUP(IF(V228="Custom", V228, W228), 'Lookup Tables'!$AI$114:$AM$154, 5, FALSE)*BP228&gt;GE228, GE228, VLOOKUP(IF(V228="Custom", V228, W228), 'Lookup Tables'!$AI$114:$AM$154, 5, FALSE)*BP228)), "")), 2),"")</f>
        <v/>
      </c>
      <c r="GB228" s="254" t="str">
        <f t="array" ref="GB228">IF(B228="","",IF(OR(V228="Custom",V228="No Change"),0,IF(B228="Retrofit", INDEX('Lookup Tables'!$AH$6:$AQ$102,MATCH(1,('Lookup Tables'!$AH$6:$AH$102='Lighting Inventory'!V228)*('Lookup Tables'!$AI$6:$AI$102='Lighting Inventory'!W228),FALSE),10),INDEX('Lookup Tables'!$AH$114:$AQ$154,MATCH(1,('Lookup Tables'!$AH$114:$AH$154='Lighting Inventory'!V228)*('Lookup Tables'!$AI$114:$AI$154='Lighting Inventory'!W228),FALSE),10))))</f>
        <v/>
      </c>
      <c r="GC228" s="255" t="str">
        <f t="shared" si="550"/>
        <v/>
      </c>
      <c r="GD228" s="250" t="str">
        <f t="shared" si="551"/>
        <v/>
      </c>
      <c r="GE228" s="253" t="str">
        <f>IFERROR(IF(AND(AF228="", 'General Information'!$F$18="No"),"", IF(AF228="", ((GD228/$CD$266)*$CF$266)*0.5, AF228*S228*0.5)), "")</f>
        <v/>
      </c>
      <c r="GF228" s="255" t="str">
        <f>IF(AND('General Information'!$F$19="", 'General Information'!$F$18="Yes",AF228="",BW228="Y"), "Y", "N")</f>
        <v>N</v>
      </c>
      <c r="GG228" s="255" t="s">
        <v>2946</v>
      </c>
      <c r="GH228" s="255" t="str">
        <f>IFERROR(IF(B228="", "", VLOOKUP(J228, 'Fixture Identities'!$A$6:$N$908, 14, FALSE)), "")</f>
        <v/>
      </c>
      <c r="GI228" s="389" t="str">
        <f>IF(OR(B228="", V228="", W228=""), "", IF(AND(OR(M228='Lookup Tables'!$R$18, M228='Lookup Tables'!$R$19, M228='Lookup Tables'!$R$20, M228='Lookup Tables'!$R$21, M228='Lookup Tables'!$R$22), OR(AN228='Lookup Tables'!$R$17, AN228='Lookup Tables'!$R$17, AN228="")), "Y", "N"))</f>
        <v/>
      </c>
      <c r="GJ228" s="255" t="str">
        <f t="shared" si="552"/>
        <v/>
      </c>
      <c r="GK228" s="255" t="str">
        <f t="shared" si="553"/>
        <v/>
      </c>
      <c r="GL228" s="255" t="str">
        <f t="shared" si="554"/>
        <v/>
      </c>
      <c r="GM228" s="255" t="str">
        <f>IF(AN228="", "", IF(AND(IF(ISNA(VLOOKUP(AN228,'Lookup Tables'!$R$18:$R$22,1,FALSE)), "N", "Y")="Y", E228="Exterior"), "Y", "N"))</f>
        <v/>
      </c>
      <c r="GN228" s="395"/>
      <c r="GO228" s="428">
        <f t="shared" si="600"/>
        <v>0</v>
      </c>
      <c r="GP228" s="428">
        <f t="shared" si="603"/>
        <v>0</v>
      </c>
      <c r="GQ228" s="428">
        <f t="shared" si="601"/>
        <v>0</v>
      </c>
      <c r="GR228" s="428">
        <f t="shared" si="602"/>
        <v>0</v>
      </c>
    </row>
    <row r="229" spans="1:200" s="103" customFormat="1" ht="13.5" customHeight="1" x14ac:dyDescent="0.2">
      <c r="A229" s="272">
        <v>219</v>
      </c>
      <c r="B229" s="110"/>
      <c r="C229" s="110"/>
      <c r="D229" s="110"/>
      <c r="E229" s="110"/>
      <c r="F229" s="110"/>
      <c r="G229" s="110"/>
      <c r="H229" s="110"/>
      <c r="I229" s="29"/>
      <c r="J229" s="29"/>
      <c r="K229" s="272" t="str">
        <f>IFERROR(IF(OR(VLOOKUP(J229, 'Fixture Identities'!$A$6:$L$1023, 3, FALSE)="T12 Linear Fluorescent", VLOOKUP(J229, 'Fixture Identities'!$A$6:$L$1023, 3, FALSE)="T12 U-Tube Fluorescent"), VLOOKUP(VLOOKUP(J229, 'Fixture Identities'!$A$6:$L$1023, 11, FALSE), 'Fixture Identities'!$A$6:$L$1023, 10, FALSE), VLOOKUP(J229, 'Fixture Identities'!$A$6:$L$1023, 10, FALSE)), "")</f>
        <v/>
      </c>
      <c r="L229" s="270" t="str">
        <f t="shared" si="605"/>
        <v/>
      </c>
      <c r="M229" s="110"/>
      <c r="N229" s="110"/>
      <c r="O229" s="110"/>
      <c r="P229" s="272" t="str">
        <f>IFERROR(IF(OR(B229="Retrofit",B229=""),"",IF('Lighting Inventory'!E229="Exterior",VLOOKUP('Lighting Inventory'!N229,'Lookup Tables'!$B$83:$F$103,5,FALSE),IF(N229="Other - Please Estimate EFLH and CFs","Contact Prog. Rep.","ft^2"))), "")</f>
        <v/>
      </c>
      <c r="Q229" s="270" t="str">
        <f>IFERROR(IF(AND(B229="New Construction",E229="Interior",$F$5="Space-by-Space"),VLOOKUP('Lighting Inventory'!N229,'Lookup Tables'!$N$6:$O$97,2,FALSE),IF(AND(B229="New Construction",E229="Exterior"),VLOOKUP(N229,'Lookup Tables'!$B$83:$F$103,2,FALSE),IF(AND(B229="New Construction",'Lighting Inventory'!E229="Interior", $F$5="Building Area"),VLOOKUP(F229,'Lookup Tables'!$A$6:$J$59,10,FALSE),""))), "")</f>
        <v/>
      </c>
      <c r="R229" s="270" t="str">
        <f>IFERROR(IF(P229="Contact Prog. Rep.", "ERROR", IF(OR(B229="",B229="Retrofit"),"",IF(N229="Automated teller machines", ('Lookup Tables'!$A$82:$E$100+('Lighting Inventory'!O229-1)*'Lookup Tables'!$A$82:$E$100)/1000, (Q229*O229)/1000))), "")</f>
        <v/>
      </c>
      <c r="S229" s="595"/>
      <c r="T229" s="105" t="str">
        <f t="shared" si="555"/>
        <v/>
      </c>
      <c r="U229" s="105" t="str">
        <f>IF(S229="","",COUNT($S$11:S229))</f>
        <v/>
      </c>
      <c r="V229" s="111"/>
      <c r="W229" s="112"/>
      <c r="X229" s="105" t="str">
        <f t="shared" si="556"/>
        <v/>
      </c>
      <c r="Y229" s="105" t="str">
        <f t="array" ref="Y229">IF(AND(OR(W229="Freezer Case Lighting", W229="Refrigerated Case Lighting with Doors"), 'General Information'!$X$18="LCI"),'Lookup Tables'!$Y$34, IF(V229="Custom", VLOOKUP(W229, 'Fixture Identities'!$A$974:$M$1023, 13, FALSE), IF(V229="No Change",'Lookup Tables'!$Y$29,IF(OR(V229="",W229=""),"",IF(AND(S229=0,S229&lt;I229,B229="Retrofit"),'Lookup Tables'!$Y$25, IF(B229="Retrofit", INDEX('Lookup Tables'!$AH$6:$AP$102, MATCH(1, ('Lookup Tables'!$AH$6:$AH$102=V229)*('Lookup Tables'!$AI$6:$AI$102=W229), 0), IF('Lighting Inventory'!E229="Interior", 4, 5)), INDEX('Lookup Tables'!$AH$114:$AP$154, MATCH(1, ('Lookup Tables'!$AH$114:$AH$154=V229)*('Lookup Tables'!$AI$114:$AI$154=W229), 0), IF('Lighting Inventory'!E229="Interior", 4, 5))))))))</f>
        <v/>
      </c>
      <c r="Z229" s="105" t="str">
        <f>IFERROR(INDEX('Lookup Tables'!$AH$158:$AH$172,MATCH('Lighting Inventory'!Y229,'Lookup Tables'!$AI$158:$AI$172,0)),"")</f>
        <v/>
      </c>
      <c r="AA229" s="105" t="str">
        <f>IF(AP229&gt;0,INDEX('Lookup Tables'!$AK$158:$AK$172,MATCH('Lighting Inventory'!Y229,'Lookup Tables'!$AI$158:$AI$172,0)),'Lighting Inventory'!Y229)</f>
        <v/>
      </c>
      <c r="AB229" s="105" t="str">
        <f t="array" ref="AB229">IF(V229="Custom", "Custom", IF(V229="", "", IF(V229="Not DLC or Energy Star", "General", IF(B229="New Construction", INDEX('Lookup Tables'!$AH$114:$AP$154,MATCH(1,('Lookup Tables'!$AH$114:$AH$154='Lighting Inventory'!V229)*('Lookup Tables'!$AI$114:$AI$154='Lighting Inventory'!W229),FALSE),8), INDEX('Lookup Tables'!$AH$6:$AP$102,MATCH(1,('Lookup Tables'!$AH$6:$AH$102='Lighting Inventory'!V229)*('Lookup Tables'!$AI$6:$AI$102='Lighting Inventory'!W229),FALSE),8)))))</f>
        <v/>
      </c>
      <c r="AC229" s="272" t="str">
        <f>IF(W229="","",IF(V229="Custom",CONCATENATE("$",'Lookup Tables'!$AM$101," ",'Lookup Tables'!$AN$101),CONCATENATE("$",INDEX('Lookup Tables'!$AM$6:$AM$102,MATCH('Lighting Inventory'!W229,'Lookup Tables'!$AI$6:$AI$102,0))," ",INDEX('Lookup Tables'!$AN$6:$AN$102,MATCH('Lighting Inventory'!W229,'Lookup Tables'!$AI$6:$AI$102,0)))))</f>
        <v/>
      </c>
      <c r="AD229" s="72"/>
      <c r="AE229" s="29"/>
      <c r="AF229" s="379"/>
      <c r="AG229" s="370" t="str">
        <f t="shared" si="504"/>
        <v/>
      </c>
      <c r="AH229" s="370" t="str">
        <f t="shared" si="557"/>
        <v/>
      </c>
      <c r="AI229" s="29"/>
      <c r="AJ229" s="29"/>
      <c r="AK229" s="110"/>
      <c r="AL229" s="375" t="str">
        <f>IF(OR(B229="", V229="", W229=""), "", IF(V229="No Change", K229, IF(V229="Remove Fixture", 0, IF(V229="Custom",VLOOKUP(W229,'Fixture Identities'!$A$6:$K$1023,10,FALSE),IF(AE229="", "← ENTER POST WATTS", 'Lighting Inventory'!AE229)))))</f>
        <v/>
      </c>
      <c r="AM229" s="376" t="str">
        <f t="shared" si="505"/>
        <v/>
      </c>
      <c r="AN229" s="29"/>
      <c r="AO229" s="671"/>
      <c r="AP229" s="29"/>
      <c r="AQ229" s="29"/>
      <c r="AR229" s="29"/>
      <c r="AS229" s="272" t="str">
        <f t="shared" si="558"/>
        <v/>
      </c>
      <c r="AT229" s="270" t="str">
        <f t="shared" si="506"/>
        <v/>
      </c>
      <c r="AU229" s="88" t="str">
        <f t="shared" si="606"/>
        <v/>
      </c>
      <c r="AV229" s="29"/>
      <c r="AW229" s="73"/>
      <c r="AX229" s="271" t="str">
        <f>IF(AND(AV229="Applicant",OR(AW229="", AW229="Use Default Facility Hours")),"← Choose Schedule",IF(F229="","",IF(W229="LED Exit Signs",8760,IF(OR(AV229="Prescribed",AV229=""),VLOOKUP(F229,'Lookup Tables'!$A$6:$G$59,IF(AB229="General", 6, 3),FALSE),VLOOKUP(AW229,'Lookup Tables'!$S$36:$U$43,2,FALSE)))))</f>
        <v/>
      </c>
      <c r="AY229" s="88" t="str">
        <f t="shared" si="507"/>
        <v/>
      </c>
      <c r="AZ229" s="270" t="str">
        <f>IFERROR(IF(F229="", "", IF(W229="LED Exit Signs", 1, IF(AV229="Applicant",VLOOKUP(AW229, 'Lookup Tables'!$S$36:$U$43,3, FALSE), VLOOKUP('Lighting Inventory'!F229, 'Lookup Tables'!$A$6:$H$59, IF('Lighting Inventory'!AB229="General",7,4), FALSE)))), "")</f>
        <v/>
      </c>
      <c r="BA229" s="522" t="str">
        <f>IFERROR(IF(F229="", "", IF(W229="LED Exit Signs", 1, VLOOKUP('Lighting Inventory'!F229, 'Lookup Tables'!$A$6:$H$59, IF('Lighting Inventory'!AB229="General",8,5), FALSE))), "")</f>
        <v/>
      </c>
      <c r="BB229" s="270" t="str">
        <f>IF(G229="", "", IF(E229="Exterior", 0, IF('Lighting Inventory'!G229="Air Conditioned", VLOOKUP(H229, 'Lookup Tables'!$R$6:$T$13, 2, FALSE), VLOOKUP('Lighting Inventory'!G229, 'Lookup Tables'!$R$6:$T$13, 2, FALSE))))</f>
        <v/>
      </c>
      <c r="BC229" s="522" t="str">
        <f>IF(G229="", "", IF(E229="Exterior", 0, IF('Lighting Inventory'!G229="Air Conditioned", VLOOKUP(H229, 'Lookup Tables'!$R$6:$T$13, 3, FALSE), VLOOKUP('Lighting Inventory'!G229, 'Lookup Tables'!$R$6:$T$13, 3, FALSE))))</f>
        <v/>
      </c>
      <c r="BD229" s="270" t="str">
        <f>IF(G229="", "", IF(E229="Exterior", 0, IF('Lighting Inventory'!G229="Air Conditioned", VLOOKUP(H229, 'Lookup Tables'!$R$6:$U$13, 4, FALSE), VLOOKUP('Lighting Inventory'!G229, 'Lookup Tables'!$R$6:$U$13, 4, FALSE))))</f>
        <v/>
      </c>
      <c r="BE229" s="270" t="str">
        <f>IFERROR(IF(B229="", "",  IF(B229="New Construction", VLOOKUP(F229, 'Lookup Tables'!$A$6:$K$59, 11, FALSE),IF(OR(AN229="", AN229="Light Switch"), 0, IF(OR(M229="",M229="None",V229= "LED Exit Signs"),0,_xlfn.XLOOKUP(M229,'Lookup Tables'!$R$91:$R$101,'Lookup Tables'!$V$91:$V$101))))), "")</f>
        <v/>
      </c>
      <c r="BF229" s="270" t="str">
        <f>IF(AND(OR(AN229="Light Switch",AN229=""),B229="New Construction"), VLOOKUP(F229, 'Lookup Tables'!$A$6:$K$59, 11, FALSE),IF(AN229="","",IF(B229="","",IF(OR(AN229="None",AN229="",V229="LED Exit Signs",AN229="Exterior Controls Not Eligible"),0,_xlfn.XLOOKUP(AN229,'Lookup Tables'!$R$91:$R$101,'Lookup Tables'!$V$91:$V$101)))))</f>
        <v/>
      </c>
      <c r="BG229" s="88" t="str">
        <f t="shared" si="559"/>
        <v/>
      </c>
      <c r="BH229" s="88" t="str">
        <f t="shared" si="560"/>
        <v/>
      </c>
      <c r="BI229" s="558" t="str">
        <f t="shared" si="604"/>
        <v/>
      </c>
      <c r="BJ229" s="82" t="str">
        <f t="shared" si="561"/>
        <v/>
      </c>
      <c r="BK229" s="82" t="str">
        <f t="shared" si="562"/>
        <v/>
      </c>
      <c r="BL229" s="559" t="str">
        <f t="shared" si="563"/>
        <v/>
      </c>
      <c r="BM229" s="521" t="str">
        <f t="shared" si="508"/>
        <v/>
      </c>
      <c r="BN229" s="521" t="str">
        <f t="shared" si="509"/>
        <v/>
      </c>
      <c r="BO229" s="522" t="str">
        <f t="shared" si="510"/>
        <v/>
      </c>
      <c r="BP229" s="83" t="str">
        <f t="shared" si="564"/>
        <v/>
      </c>
      <c r="BQ229" s="84" t="str">
        <f t="shared" si="565"/>
        <v/>
      </c>
      <c r="BR229" s="184" t="str">
        <f>IFERROR(IF(B229="", "", IF(OR(VLOOKUP(J229, 'Fixture Identities'!$A$6:$L$1023, 3, FALSE)="T12 Linear Fluorescent",VLOOKUP(J229, 'Fixture Identities'!$A$6:$L$1023, 3, FALSE)="T12 U-Tube Fluorescent"), "Y", "N")), "N")</f>
        <v/>
      </c>
      <c r="BS229" s="184" t="str">
        <f t="array" ref="BS229">IFERROR(IF(OR(B229="", V229="", W229=""), "", IF(V229="Custom", "N", IF(OR(W229="Freezer Case Lighting", W229="Refrigerated Case Lighting with Doors"), BT229, IF(B229="Retrofit", INDEX('Lookup Tables'!$AH$6:$AT$102,MATCH(1,('Lookup Tables'!$AH$6:$AH$102=V229)*('Lookup Tables'!$AI$6:$AI$102=W229),FALSE),IF(VLOOKUP(J229, 'Fixture Identities'!$A$6:$B$1023, 2, FALSE)="Incandescent",12, 13)), INDEX('Lookup Tables'!$AH$114:$AS$154,MATCH(1,('Lookup Tables'!$AH$114:$AH$154=V229)*('Lookup Tables'!$AI$114:$AI$154=W229),FALSE),12))))), "N")</f>
        <v/>
      </c>
      <c r="BT229" s="184" t="str">
        <f>IF(J229="", "", IF(AND(OR(W229="Freezer case Lighting", W229="Refrigerated Case Lighting with Doors"),'General Information'!$X$18="LCI"), "N", IF(OR(VLOOKUP(J229, 'Fixture Identities'!$A$6:$B$1023, 2, FALSE)="T12 EPACT/EISA Baseline", VLOOKUP(J229, 'Fixture Identities'!$A$6:$B$1023, 2, FALSE)="Linear Fluorescent", VLOOKUP(J229, 'Fixture Identities'!$A$6:$B$1023, 2, FALSE)="U-Tube Fluorescent"), "Y", "N")))</f>
        <v/>
      </c>
      <c r="BU229" s="184" t="str">
        <f>IFERROR(IF(B229="", "", IF(VLOOKUP(J229, 'Fixture Identities'!$A$6:$B$1023, 2, FALSE)="Exit Sign", "Y", "N")), "N")</f>
        <v/>
      </c>
      <c r="BV229" s="184" t="str">
        <f>IF(V229="Exit Signs", IF(VLOOKUP(J229, 'Fixture Identities'!$A$6:$B$1023, 2, FALSE)="Exit Sign", "N", "Y"), "")</f>
        <v/>
      </c>
      <c r="BW229" s="184" t="str">
        <f t="array" ref="BW229">IFERROR(IF(B229="", "", IF(B229="New Construction", "N", INDEX('Lookup Tables'!$AH$6:$AU$102, MATCH(1, ('Lookup Tables'!$AH$6:$AH$102='Lighting Inventory'!V229)*('Lookup Tables'!$AI$6:$AI$102='Lighting Inventory'!W229), 0), 14))), "N")</f>
        <v/>
      </c>
      <c r="BX229" s="598" t="str">
        <f t="shared" si="566"/>
        <v/>
      </c>
      <c r="BY229" s="598" t="str">
        <f t="shared" si="567"/>
        <v/>
      </c>
      <c r="BZ229" s="598" t="str">
        <f t="shared" si="568"/>
        <v/>
      </c>
      <c r="CA229" s="598" t="str">
        <f t="shared" si="569"/>
        <v/>
      </c>
      <c r="CB229" s="269" t="str">
        <f t="shared" si="570"/>
        <v/>
      </c>
      <c r="CC229" s="517" t="str">
        <f t="shared" si="571"/>
        <v/>
      </c>
      <c r="CD229" s="565" t="str">
        <f t="shared" si="511"/>
        <v/>
      </c>
      <c r="CE229" s="368">
        <v>0</v>
      </c>
      <c r="CF229" s="368" t="str" cm="1">
        <f t="array" ref="CF229">IFERROR(IF(V229="Custom", "$0.1 per kWh", IF(B229="New Construction", CONCATENATE("$",INDEX('Lookup Tables'!$AH$114:$AN$154,MATCH(1,('Lookup Tables'!$AH$114:$AH$154='Lighting Inventory'!V229)*('Lookup Tables'!$AI$114:$AI$154='Lighting Inventory'!W229),FALSE),6)," ",INDEX('Lookup Tables'!$AH$114:$AN$154,MATCH(1,('Lookup Tables'!$AH$114:$AH$154='Lighting Inventory'!V229)*('Lookup Tables'!$AI$114:$AI$154='Lighting Inventory'!W229),FALSE),7)), IF(AND(BU229="N", V229="Exit Signs"), "$0.025 per kWh", CONCATENATE("$",INDEX('Lookup Tables'!$AH$6:$AN$102,MATCH(1,('Lookup Tables'!$AH$6:$AH$102='Lighting Inventory'!V229)*('Lookup Tables'!$AI$6:$AI$102='Lighting Inventory'!W229),FALSE),6)," ",INDEX('Lookup Tables'!$AH$6:$AN$102,MATCH(1,('Lookup Tables'!$AH$6:$AH$102='Lighting Inventory'!V229)*('Lookup Tables'!$AI$6:$AI$102='Lighting Inventory'!W229),FALSE),7))))), "")</f>
        <v/>
      </c>
      <c r="CG229" s="366"/>
      <c r="CH229" s="248" t="str">
        <f t="shared" si="512"/>
        <v/>
      </c>
      <c r="CI229" s="248" t="str">
        <f t="shared" si="513"/>
        <v>Select_IE</v>
      </c>
      <c r="CJ229" s="248" t="str">
        <f t="shared" si="514"/>
        <v/>
      </c>
      <c r="CK229" s="248" t="str">
        <f t="shared" si="515"/>
        <v/>
      </c>
      <c r="CL229" s="248" t="str">
        <f t="shared" si="516"/>
        <v/>
      </c>
      <c r="CM229" s="248" t="str">
        <f>IFERROR(IF(B229="", "", IF(B229="New Construction", VLOOKUP(V229, 'Lookup Tables'!$AF$114:$AG$120, 2, FALSE), VLOOKUP(V229, 'Lookup Tables'!$AD$6:$AE$25, 2, FALSE))), "")</f>
        <v/>
      </c>
      <c r="CN229" s="248" t="str">
        <f t="shared" si="517"/>
        <v/>
      </c>
      <c r="CO229" s="248" t="str">
        <f t="shared" si="518"/>
        <v/>
      </c>
      <c r="CP229" s="592" t="str">
        <f t="shared" si="519"/>
        <v/>
      </c>
      <c r="CQ229" s="248" t="str">
        <f t="shared" si="572"/>
        <v/>
      </c>
      <c r="CR229" s="100"/>
      <c r="CS229" s="250" t="str">
        <f t="shared" si="520"/>
        <v/>
      </c>
      <c r="CT229" s="250" t="str">
        <f t="shared" si="573"/>
        <v/>
      </c>
      <c r="CU229" s="250" t="str">
        <f t="shared" si="574"/>
        <v/>
      </c>
      <c r="CV229" s="250" t="str">
        <f t="shared" si="575"/>
        <v/>
      </c>
      <c r="CW229" s="250" t="str">
        <f t="shared" si="576"/>
        <v/>
      </c>
      <c r="CX229" s="250" t="str">
        <f t="shared" si="521"/>
        <v/>
      </c>
      <c r="CY229" s="250" t="str">
        <f t="shared" si="522"/>
        <v/>
      </c>
      <c r="CZ229" s="250" t="str">
        <f t="shared" si="523"/>
        <v/>
      </c>
      <c r="DA229" s="250" t="str">
        <f t="shared" si="524"/>
        <v/>
      </c>
      <c r="DB229" s="250" t="str">
        <f t="shared" si="525"/>
        <v/>
      </c>
      <c r="DC229" s="250" t="str">
        <f t="shared" si="526"/>
        <v/>
      </c>
      <c r="DD229" s="250" t="str">
        <f t="shared" si="527"/>
        <v/>
      </c>
      <c r="DE229" s="250" t="str">
        <f t="shared" si="528"/>
        <v/>
      </c>
      <c r="DF229" s="250" t="str">
        <f t="shared" si="529"/>
        <v/>
      </c>
      <c r="DG229" s="250" t="str">
        <f t="shared" si="530"/>
        <v/>
      </c>
      <c r="DH229" s="250" t="str">
        <f t="shared" si="531"/>
        <v/>
      </c>
      <c r="DI229" s="250" t="str">
        <f t="shared" si="532"/>
        <v/>
      </c>
      <c r="DJ229" s="250" t="str">
        <f t="shared" si="533"/>
        <v/>
      </c>
      <c r="DK229" s="250" t="str">
        <f t="shared" si="534"/>
        <v/>
      </c>
      <c r="DL229" s="250" t="str">
        <f t="shared" si="535"/>
        <v/>
      </c>
      <c r="DM229" s="250" t="str">
        <f>IF(CD229="ERROR", "ERROR", IF(AND(OR(Y229=$DM$6, Y229='Lookup Tables'!$AD$21, Y229='Lookup Tables'!$AD$22), E229="Interior"), BJ229, ""))</f>
        <v/>
      </c>
      <c r="DN229" s="250" t="str">
        <f>IF(CD229="ERROR", "ERROR", IF(AND(OR(Y229=$DM$6, Y229='Lookup Tables'!$AD$21, Y229='Lookup Tables'!$AD$22), E229="Exterior"), BJ229, ""))</f>
        <v/>
      </c>
      <c r="DO229" s="100"/>
      <c r="DP229" s="250" t="str">
        <f t="shared" si="536"/>
        <v/>
      </c>
      <c r="DQ229" s="250" t="str">
        <f t="shared" si="577"/>
        <v/>
      </c>
      <c r="DR229" s="250" t="str">
        <f t="shared" si="578"/>
        <v/>
      </c>
      <c r="DS229" s="250" t="str">
        <f t="shared" si="579"/>
        <v/>
      </c>
      <c r="DT229" s="250" t="str">
        <f t="shared" si="580"/>
        <v/>
      </c>
      <c r="DU229" s="250" t="str">
        <f t="shared" si="537"/>
        <v/>
      </c>
      <c r="DV229" s="250" t="str">
        <f t="shared" si="538"/>
        <v/>
      </c>
      <c r="DW229" s="250" t="str">
        <f t="shared" si="539"/>
        <v/>
      </c>
      <c r="DX229" s="250" t="str">
        <f t="shared" si="540"/>
        <v/>
      </c>
      <c r="DY229" s="250" t="str">
        <f t="shared" si="541"/>
        <v/>
      </c>
      <c r="DZ229" s="250" t="str">
        <f t="shared" si="542"/>
        <v/>
      </c>
      <c r="EA229" s="250" t="str">
        <f t="shared" si="543"/>
        <v/>
      </c>
      <c r="EB229" s="250" t="str">
        <f t="shared" si="581"/>
        <v/>
      </c>
      <c r="EC229" s="250" t="str">
        <f t="shared" si="544"/>
        <v/>
      </c>
      <c r="ED229" s="250" t="str">
        <f t="shared" si="545"/>
        <v/>
      </c>
      <c r="EE229" s="250" t="str">
        <f t="shared" si="546"/>
        <v/>
      </c>
      <c r="EF229" s="250" t="str">
        <f t="shared" si="547"/>
        <v/>
      </c>
      <c r="EG229" s="250" t="str">
        <f t="shared" si="548"/>
        <v/>
      </c>
      <c r="EH229" s="250" t="str">
        <f>IF(CD229="ERROR", "ERROR", IF(AND(OR($EH$6=Y229, Y229='Lookup Tables'!$AD$21, Y229='Lookup Tables'!$AD$22),E229="Interior"), SUM(BP229:BP229), ""))</f>
        <v/>
      </c>
      <c r="EI229" s="250" t="str">
        <f>IF(CD229="ERROR", "ERROR", IF(AND(OR($EH$6=Y229, Y229='Lookup Tables'!$AD$21, Y229='Lookup Tables'!$AD$22),E229="Exterior"), SUM(BP229:BP229), ""))</f>
        <v/>
      </c>
      <c r="EJ229" s="109"/>
      <c r="EK229" s="485" t="str">
        <f t="shared" si="549"/>
        <v/>
      </c>
      <c r="EL229" s="252" t="str">
        <f t="shared" si="582"/>
        <v/>
      </c>
      <c r="EM229" s="252" t="str">
        <f t="shared" si="583"/>
        <v/>
      </c>
      <c r="EN229" s="252" t="str">
        <f t="shared" si="584"/>
        <v/>
      </c>
      <c r="EO229" s="252" t="str">
        <f t="shared" si="585"/>
        <v/>
      </c>
      <c r="EP229" s="252" t="str">
        <f t="shared" si="586"/>
        <v/>
      </c>
      <c r="EQ229" s="252" t="str">
        <f t="shared" si="587"/>
        <v/>
      </c>
      <c r="ER229" s="252" t="str">
        <f t="shared" si="588"/>
        <v/>
      </c>
      <c r="ES229" s="252" t="str">
        <f t="shared" si="589"/>
        <v/>
      </c>
      <c r="ET229" s="252" t="str">
        <f t="shared" si="590"/>
        <v/>
      </c>
      <c r="EU229" s="252" t="str">
        <f t="shared" si="591"/>
        <v/>
      </c>
      <c r="EV229" s="252" t="str">
        <f t="shared" si="592"/>
        <v/>
      </c>
      <c r="EW229" s="252" t="str">
        <f t="shared" si="593"/>
        <v/>
      </c>
      <c r="EX229" s="252" t="str">
        <f t="shared" si="594"/>
        <v/>
      </c>
      <c r="EY229" s="252" t="str">
        <f t="shared" si="595"/>
        <v/>
      </c>
      <c r="EZ229" s="252" t="str">
        <f t="shared" si="596"/>
        <v/>
      </c>
      <c r="FA229" s="252" t="str">
        <f t="shared" si="597"/>
        <v/>
      </c>
      <c r="FB229" s="252" t="str">
        <f t="shared" si="598"/>
        <v/>
      </c>
      <c r="FC229" s="252" t="str">
        <f>IF(CD229="ERROR", "ERROR", IF(OR(V229="No Change", V229="Not DLC or Energy Star"), "", IF(AND(OR($FC$6=Y229,Y229='Lookup Tables'!$AD$21, Y229='Lookup Tables'!$AD$22),E229="Interior"), S229, "")))</f>
        <v/>
      </c>
      <c r="FD229" s="252" t="str">
        <f t="shared" si="599"/>
        <v/>
      </c>
      <c r="FE229" s="101"/>
      <c r="FF229" s="579" t="str" cm="1">
        <f t="array" ref="FF229">IFERROR(IF(OR(BQ229&lt;=0,AQ229&lt;20,AND(V229="Exit Signs",AN229&gt;0)),"",IF(AND(AQ229&gt;=20,AN229='Lookup Tables'!$R$101),'Lookup Tables'!$U$101*BQ229,AP229*LOOKUP(2,1/((AN229='Lookup Tables'!$R$91:$R$111)*(AQ229&gt;='Lookup Tables'!$S$91:$S$111)*(AQ229&lt;='Lookup Tables'!$T$91:$T$111)),'Lookup Tables'!$U$91:$U$111))),"")</f>
        <v/>
      </c>
      <c r="FG229" s="579"/>
      <c r="FH229" s="579"/>
      <c r="FI229" s="253" t="str">
        <f>IFERROR(ROUND(IF(CD229="ERROR", "ERROR", IF(AND($FI$7=X229,E229="Interior"),VLOOKUP(W229, 'Lookup Tables'!$AI$6:$AM$102, 5, FALSE)*BP229, "")), 2), "")</f>
        <v/>
      </c>
      <c r="FJ229" s="253" t="str">
        <f>IFERROR(ROUND(IF(CD229="ERROR", "ERROR", IF(AND($FI$7=X229,E229="Exterior"),VLOOKUP(W229, 'Lookup Tables'!$AI$6:$AM$102, 5, FALSE)*BP229, "")), 2), "")</f>
        <v/>
      </c>
      <c r="FK229" s="253" t="str">
        <f>IFERROR(ROUND(IF(CD229="ERROR", "ERROR", IF(AND($FK$7=X229,E229="Interior"),VLOOKUP(W229, 'Lookup Tables'!$AI$6:$AM$102, 5, FALSE)*BP229, "")), 2), "")</f>
        <v/>
      </c>
      <c r="FL229" s="253" t="str">
        <f>IFERROR(ROUND(IF(CD229="ERROR", "ERROR", IF(AND($FK$7=X229,E229="Exterior"),VLOOKUP(W229, 'Lookup Tables'!$AI$6:$AM$102, 5, FALSE)*BP229, "")), 2), "")</f>
        <v/>
      </c>
      <c r="FM229" s="253" t="str">
        <f>IFERROR(ROUND(IF(CD229="ERROR", "ERROR", IF(AND($FM$6=Y229,E229="Interior"), IF(GB229=0, VLOOKUP(W229, 'Lookup Tables'!$AI$6:$AM$102, 5, FALSE)*BP229, IF(VLOOKUP(W229, 'Lookup Tables'!$AI$6:$AM$102, 5, FALSE)*BP229&gt;GB229*'Lighting Inventory'!S229, GB229*'Lighting Inventory'!S229,VLOOKUP(W229, 'Lookup Tables'!$AI$6:$AM$102, 5, FALSE)*BP229)), "")), 2), "")</f>
        <v/>
      </c>
      <c r="FN229" s="253" t="str">
        <f>IFERROR(ROUND(IF(CD229="ERROR", "ERROR", IF(AND($FM$6=Y229,E229="Exterior"), IF(GB229=0, VLOOKUP(W229, 'Lookup Tables'!$AI$6:$AM$102, 5, FALSE)*BP229, IF(VLOOKUP(W229, 'Lookup Tables'!$AI$6:$AM$102, 5, FALSE)*BP229&gt;GB229*'Lighting Inventory'!S229, GB229*'Lighting Inventory'!S229,VLOOKUP(W229, 'Lookup Tables'!$AI$6:$AM$102, 5, FALSE)*BP229)), "")), 2), "")</f>
        <v/>
      </c>
      <c r="FO229" s="253" t="str">
        <f>IFERROR(ROUND(IF(CD229="ERROR", "ERROR", IF(AND($FO$6=Y229,E229="Interior"),VLOOKUP(W229, 'Lookup Tables'!$AI$6:$AM$102, 5, FALSE)*'Lighting Inventory'!AI229, "")), 2), "")</f>
        <v/>
      </c>
      <c r="FP229" s="253" t="str">
        <f>IFERROR(ROUND(IF(CD229="ERROR", "ERROR", IF(AND($FO$6=Y229,E229="Exterior"),VLOOKUP(W229, 'Lookup Tables'!$AI$6:$AM$102, 5, FALSE)*'Lighting Inventory'!AI229, "")), 2), "")</f>
        <v/>
      </c>
      <c r="FQ229" s="253" t="str">
        <f>IFERROR(ROUND(IF(CD229="ERROR", "ERROR", IF(AND($FQ$6=Y229,E229="Interior", BU229="Y"), VLOOKUP('Lighting Inventory'!W229, 'Lookup Tables'!$AI$6:$AM$102, 5, FALSE)*'Lighting Inventory'!S229, IF(AND($FQ$7=Y229,E229="Interior", BU229="N"), 0.025*CD229, ""))), 2), "")</f>
        <v/>
      </c>
      <c r="FR229" s="253" t="str">
        <f>IFERROR(ROUND(IF(CD229="ERROR", "ERROR", IF(AND($FQ$6=Y229,E229="Exterior"), VLOOKUP('Lighting Inventory'!W229, 'Lookup Tables'!$AI$6:$AM$102, 5, FALSE)*'Lighting Inventory'!S229, "")), 2), "")</f>
        <v/>
      </c>
      <c r="FS229" s="253" t="str">
        <f>IFERROR(ROUND(IF(CD229="ERROR", "ERROR", IF(AND($FS$6=Y229,E229="Exterior"), IF(GB229=0, VLOOKUP(W229, 'Lookup Tables'!$AI$6:$AM$102, 5, FALSE)*BP229, IF(VLOOKUP(W229, 'Lookup Tables'!$AI$6:$AM$102, 5, FALSE)*BP229&gt;GB229*'Lighting Inventory'!S229, GB229*'Lighting Inventory'!S229,VLOOKUP(W229, 'Lookup Tables'!$AI$6:$AM$102, 5, FALSE)*BP229)), "")), 2), "")</f>
        <v/>
      </c>
      <c r="FT229" s="253" t="str">
        <f>IFERROR(ROUND(IF(CD229="ERROR", "ERROR", IF(AND($FT$6=Y229,E229="Interior"), IF(GB229=0, VLOOKUP(W229, 'Lookup Tables'!$AI$6:$AM$102, 5, FALSE)*BP229, IF(VLOOKUP(W229, 'Lookup Tables'!$AI$6:$AM$102, 5, FALSE)*BP229&gt;GB229*'Lighting Inventory'!S229, GB229*'Lighting Inventory'!S229,VLOOKUP(W229, 'Lookup Tables'!$AI$6:$AM$102, 5, FALSE)*BP229)), "")), 2), "")</f>
        <v/>
      </c>
      <c r="FU229" s="253" t="str">
        <f>IFERROR(ROUND(IF(CD229="ERROR", "ERROR", IF(AND(Y229=$FU$6, E229="Interior"), IF(BS229="N", 'Lookup Tables'!$AM$101*BP229, VLOOKUP(W229, 'Lookup Tables'!$AI$6:$AM$102, 5, FALSE)*S229*AD229), "")), 2), "")</f>
        <v/>
      </c>
      <c r="FV229" s="253" t="str">
        <f>IFERROR(ROUND(IF(CD229="ERROR", "ERROR", IF(AND(Y229=$FU$6, E229="Exterior"), IF(BS229="N", 'Lookup Tables'!$AM$101*BP229, VLOOKUP(W229, 'Lookup Tables'!$AI$6:$AM$102, 5, FALSE)*S229*AD229), "")), 2), "")</f>
        <v/>
      </c>
      <c r="FW229" s="253" t="str">
        <f>IFERROR(ROUND(IF(CD229="ERROR", "ERROR", IF($FW$6=Y229, IF(BS229="N", 'Lookup Tables'!$AM$101*BP229, MIN((VLOOKUP(W229, 'Lookup Tables'!$AI$6:$AM$102, 5, FALSE)*BP229),GB229*AJ229)), "")), 2), "")</f>
        <v/>
      </c>
      <c r="FX229" s="253" t="str">
        <f>IFERROR(ROUND(IF(CD229="ERROR", "ERROR", IF(AND($FX$6=Y229, E229="Interior"), IF(VLOOKUP(W229, 'Lookup Tables'!$AI$6:$AM$102, 5, FALSE)*BP229&gt;'Lookup Tables'!$AQ$97*'Lighting Inventory'!S229,'Lighting Inventory'!S229*'Lookup Tables'!$AQ$97,VLOOKUP(W229, 'Lookup Tables'!$AI$6:$AM$102, 5, FALSE)*BP229), "")), 2), "")</f>
        <v/>
      </c>
      <c r="FY229" s="253" t="str">
        <f>IFERROR(ROUND(IF(CD229="ERROR", "ERROR", IF(AND($FX$6=Y229, E229="Exterior"), IF(VLOOKUP(W229, 'Lookup Tables'!$AI$6:$AM$102, 5, FALSE)*BP229&gt;'Lookup Tables'!$AQ$97*'Lighting Inventory'!S229,'Lighting Inventory'!S229*'Lookup Tables'!$AQ$97,VLOOKUP(W229, 'Lookup Tables'!$AI$6:$AM$102, 5, FALSE)*BP229), "")), 2), "")</f>
        <v/>
      </c>
      <c r="FZ229" s="253" t="str">
        <f>IFERROR(ROUND(IF(CD229="ERROR", "ERROR", IF(AND($FZ$6=Y229, E229="Interior"), IF(AND(OR(W229="Refrigerated Case Lighting with Doors", W229="Freezer Case Lighting"),Y229="Custom - Process Improvement"),CD229*'Lookup Tables'!$AM$101, IF(B229="Retrofit", IF(VLOOKUP(IF(V229="Custom", V229, W229), 'Lookup Tables'!$AI$6:$AM$102, 5, FALSE)*BP229&gt;GE229, GE229, VLOOKUP(IF(V229="Custom", V229, W229), 'Lookup Tables'!$AI$6:$AM$102, 5, FALSE)*BP229), IF(VLOOKUP(IF(V229="Custom", V229, W229), 'Lookup Tables'!$AI$114:$AM$154, 5, FALSE)*BP229&gt;GE229, GE229, VLOOKUP(IF(V229="Custom", V229, W229), 'Lookup Tables'!$AI$114:$AM$154, 5, FALSE)*BP229))), "")), 2),"")</f>
        <v/>
      </c>
      <c r="GA229" s="253" t="str">
        <f>IFERROR(ROUND(IF(CD229="ERROR", "ERROR", IF(AND($FZ$6=Y229, E229="Exterior"), IF(B229="Retrofit", IF(VLOOKUP(IF(V229="Custom", V229, W229), 'Lookup Tables'!$AI$6:$AM$102, 5, FALSE)*BP229&gt;GE229, GE229, VLOOKUP(IF(V229="Custom", V229, W229), 'Lookup Tables'!$AI$6:$AM$102, 5, FALSE)*BP229), IF(VLOOKUP(IF(V229="Custom", V229, W229), 'Lookup Tables'!$AI$114:$AM$154, 5, FALSE)*BP229&gt;GE229, GE229, VLOOKUP(IF(V229="Custom", V229, W229), 'Lookup Tables'!$AI$114:$AM$154, 5, FALSE)*BP229)), "")), 2),"")</f>
        <v/>
      </c>
      <c r="GB229" s="254" t="str">
        <f t="array" ref="GB229">IF(B229="","",IF(OR(V229="Custom",V229="No Change"),0,IF(B229="Retrofit", INDEX('Lookup Tables'!$AH$6:$AQ$102,MATCH(1,('Lookup Tables'!$AH$6:$AH$102='Lighting Inventory'!V229)*('Lookup Tables'!$AI$6:$AI$102='Lighting Inventory'!W229),FALSE),10),INDEX('Lookup Tables'!$AH$114:$AQ$154,MATCH(1,('Lookup Tables'!$AH$114:$AH$154='Lighting Inventory'!V229)*('Lookup Tables'!$AI$114:$AI$154='Lighting Inventory'!W229),FALSE),10))))</f>
        <v/>
      </c>
      <c r="GC229" s="255" t="str">
        <f t="shared" si="550"/>
        <v/>
      </c>
      <c r="GD229" s="250" t="str">
        <f t="shared" si="551"/>
        <v/>
      </c>
      <c r="GE229" s="253" t="str">
        <f>IFERROR(IF(AND(AF229="", 'General Information'!$F$18="No"),"", IF(AF229="", ((GD229/$CD$266)*$CF$266)*0.5, AF229*S229*0.5)), "")</f>
        <v/>
      </c>
      <c r="GF229" s="255" t="str">
        <f>IF(AND('General Information'!$F$19="", 'General Information'!$F$18="Yes",AF229="",BW229="Y"), "Y", "N")</f>
        <v>N</v>
      </c>
      <c r="GG229" s="255" t="s">
        <v>2946</v>
      </c>
      <c r="GH229" s="255" t="str">
        <f>IFERROR(IF(B229="", "", VLOOKUP(J229, 'Fixture Identities'!$A$6:$N$908, 14, FALSE)), "")</f>
        <v/>
      </c>
      <c r="GI229" s="389" t="str">
        <f>IF(OR(B229="", V229="", W229=""), "", IF(AND(OR(M229='Lookup Tables'!$R$18, M229='Lookup Tables'!$R$19, M229='Lookup Tables'!$R$20, M229='Lookup Tables'!$R$21, M229='Lookup Tables'!$R$22), OR(AN229='Lookup Tables'!$R$17, AN229='Lookup Tables'!$R$17, AN229="")), "Y", "N"))</f>
        <v/>
      </c>
      <c r="GJ229" s="255" t="str">
        <f t="shared" si="552"/>
        <v/>
      </c>
      <c r="GK229" s="255" t="str">
        <f t="shared" si="553"/>
        <v/>
      </c>
      <c r="GL229" s="255" t="str">
        <f t="shared" si="554"/>
        <v/>
      </c>
      <c r="GM229" s="255" t="str">
        <f>IF(AN229="", "", IF(AND(IF(ISNA(VLOOKUP(AN229,'Lookup Tables'!$R$18:$R$22,1,FALSE)), "N", "Y")="Y", E229="Exterior"), "Y", "N"))</f>
        <v/>
      </c>
      <c r="GN229" s="395"/>
      <c r="GO229" s="428">
        <f t="shared" si="600"/>
        <v>0</v>
      </c>
      <c r="GP229" s="428">
        <f t="shared" si="603"/>
        <v>0</v>
      </c>
      <c r="GQ229" s="428">
        <f t="shared" si="601"/>
        <v>0</v>
      </c>
      <c r="GR229" s="428">
        <f t="shared" si="602"/>
        <v>0</v>
      </c>
    </row>
    <row r="230" spans="1:200" s="103" customFormat="1" ht="13.5" customHeight="1" x14ac:dyDescent="0.2">
      <c r="A230" s="272">
        <v>220</v>
      </c>
      <c r="B230" s="110"/>
      <c r="C230" s="110"/>
      <c r="D230" s="110"/>
      <c r="E230" s="110"/>
      <c r="F230" s="110"/>
      <c r="G230" s="110"/>
      <c r="H230" s="110"/>
      <c r="I230" s="29"/>
      <c r="J230" s="29"/>
      <c r="K230" s="272" t="str">
        <f>IFERROR(IF(OR(VLOOKUP(J230, 'Fixture Identities'!$A$6:$L$1023, 3, FALSE)="T12 Linear Fluorescent", VLOOKUP(J230, 'Fixture Identities'!$A$6:$L$1023, 3, FALSE)="T12 U-Tube Fluorescent"), VLOOKUP(VLOOKUP(J230, 'Fixture Identities'!$A$6:$L$1023, 11, FALSE), 'Fixture Identities'!$A$6:$L$1023, 10, FALSE), VLOOKUP(J230, 'Fixture Identities'!$A$6:$L$1023, 10, FALSE)), "")</f>
        <v/>
      </c>
      <c r="L230" s="270" t="str">
        <f t="shared" si="605"/>
        <v/>
      </c>
      <c r="M230" s="110"/>
      <c r="N230" s="110"/>
      <c r="O230" s="110"/>
      <c r="P230" s="272" t="str">
        <f>IFERROR(IF(OR(B230="Retrofit",B230=""),"",IF('Lighting Inventory'!E230="Exterior",VLOOKUP('Lighting Inventory'!N230,'Lookup Tables'!$B$83:$F$103,5,FALSE),IF(N230="Other - Please Estimate EFLH and CFs","Contact Prog. Rep.","ft^2"))), "")</f>
        <v/>
      </c>
      <c r="Q230" s="270" t="str">
        <f>IFERROR(IF(AND(B230="New Construction",E230="Interior",$F$5="Space-by-Space"),VLOOKUP('Lighting Inventory'!N230,'Lookup Tables'!$N$6:$O$97,2,FALSE),IF(AND(B230="New Construction",E230="Exterior"),VLOOKUP(N230,'Lookup Tables'!$B$83:$F$103,2,FALSE),IF(AND(B230="New Construction",'Lighting Inventory'!E230="Interior", $F$5="Building Area"),VLOOKUP(F230,'Lookup Tables'!$A$6:$J$59,10,FALSE),""))), "")</f>
        <v/>
      </c>
      <c r="R230" s="270" t="str">
        <f>IFERROR(IF(P230="Contact Prog. Rep.", "ERROR", IF(OR(B230="",B230="Retrofit"),"",IF(N230="Automated teller machines", ('Lookup Tables'!$A$82:$E$100+('Lighting Inventory'!O230-1)*'Lookup Tables'!$A$82:$E$100)/1000, (Q230*O230)/1000))), "")</f>
        <v/>
      </c>
      <c r="S230" s="595"/>
      <c r="T230" s="105" t="str">
        <f t="shared" si="555"/>
        <v/>
      </c>
      <c r="U230" s="105" t="str">
        <f>IF(S230="","",COUNT($S$11:S230))</f>
        <v/>
      </c>
      <c r="V230" s="111"/>
      <c r="W230" s="112"/>
      <c r="X230" s="105" t="str">
        <f t="shared" si="556"/>
        <v/>
      </c>
      <c r="Y230" s="105" t="str">
        <f t="array" ref="Y230">IF(AND(OR(W230="Freezer Case Lighting", W230="Refrigerated Case Lighting with Doors"), 'General Information'!$X$18="LCI"),'Lookup Tables'!$Y$34, IF(V230="Custom", VLOOKUP(W230, 'Fixture Identities'!$A$974:$M$1023, 13, FALSE), IF(V230="No Change",'Lookup Tables'!$Y$29,IF(OR(V230="",W230=""),"",IF(AND(S230=0,S230&lt;I230,B230="Retrofit"),'Lookup Tables'!$Y$25, IF(B230="Retrofit", INDEX('Lookup Tables'!$AH$6:$AP$102, MATCH(1, ('Lookup Tables'!$AH$6:$AH$102=V230)*('Lookup Tables'!$AI$6:$AI$102=W230), 0), IF('Lighting Inventory'!E230="Interior", 4, 5)), INDEX('Lookup Tables'!$AH$114:$AP$154, MATCH(1, ('Lookup Tables'!$AH$114:$AH$154=V230)*('Lookup Tables'!$AI$114:$AI$154=W230), 0), IF('Lighting Inventory'!E230="Interior", 4, 5))))))))</f>
        <v/>
      </c>
      <c r="Z230" s="105" t="str">
        <f>IFERROR(INDEX('Lookup Tables'!$AH$158:$AH$172,MATCH('Lighting Inventory'!Y230,'Lookup Tables'!$AI$158:$AI$172,0)),"")</f>
        <v/>
      </c>
      <c r="AA230" s="105" t="str">
        <f>IF(AP230&gt;0,INDEX('Lookup Tables'!$AK$158:$AK$172,MATCH('Lighting Inventory'!Y230,'Lookup Tables'!$AI$158:$AI$172,0)),'Lighting Inventory'!Y230)</f>
        <v/>
      </c>
      <c r="AB230" s="105" t="str">
        <f t="array" ref="AB230">IF(V230="Custom", "Custom", IF(V230="", "", IF(V230="Not DLC or Energy Star", "General", IF(B230="New Construction", INDEX('Lookup Tables'!$AH$114:$AP$154,MATCH(1,('Lookup Tables'!$AH$114:$AH$154='Lighting Inventory'!V230)*('Lookup Tables'!$AI$114:$AI$154='Lighting Inventory'!W230),FALSE),8), INDEX('Lookup Tables'!$AH$6:$AP$102,MATCH(1,('Lookup Tables'!$AH$6:$AH$102='Lighting Inventory'!V230)*('Lookup Tables'!$AI$6:$AI$102='Lighting Inventory'!W230),FALSE),8)))))</f>
        <v/>
      </c>
      <c r="AC230" s="272" t="str">
        <f>IF(W230="","",IF(V230="Custom",CONCATENATE("$",'Lookup Tables'!$AM$101," ",'Lookup Tables'!$AN$101),CONCATENATE("$",INDEX('Lookup Tables'!$AM$6:$AM$102,MATCH('Lighting Inventory'!W230,'Lookup Tables'!$AI$6:$AI$102,0))," ",INDEX('Lookup Tables'!$AN$6:$AN$102,MATCH('Lighting Inventory'!W230,'Lookup Tables'!$AI$6:$AI$102,0)))))</f>
        <v/>
      </c>
      <c r="AD230" s="72"/>
      <c r="AE230" s="29"/>
      <c r="AF230" s="379"/>
      <c r="AG230" s="370" t="str">
        <f t="shared" si="504"/>
        <v/>
      </c>
      <c r="AH230" s="370" t="str">
        <f t="shared" si="557"/>
        <v/>
      </c>
      <c r="AI230" s="29"/>
      <c r="AJ230" s="29"/>
      <c r="AK230" s="110"/>
      <c r="AL230" s="375" t="str">
        <f>IF(OR(B230="", V230="", W230=""), "", IF(V230="No Change", K230, IF(V230="Remove Fixture", 0, IF(V230="Custom",VLOOKUP(W230,'Fixture Identities'!$A$6:$K$1023,10,FALSE),IF(AE230="", "← ENTER POST WATTS", 'Lighting Inventory'!AE230)))))</f>
        <v/>
      </c>
      <c r="AM230" s="376" t="str">
        <f t="shared" si="505"/>
        <v/>
      </c>
      <c r="AN230" s="29"/>
      <c r="AO230" s="671"/>
      <c r="AP230" s="29"/>
      <c r="AQ230" s="29"/>
      <c r="AR230" s="29"/>
      <c r="AS230" s="272" t="str">
        <f t="shared" si="558"/>
        <v/>
      </c>
      <c r="AT230" s="270" t="str">
        <f t="shared" si="506"/>
        <v/>
      </c>
      <c r="AU230" s="88" t="str">
        <f t="shared" si="606"/>
        <v/>
      </c>
      <c r="AV230" s="29"/>
      <c r="AW230" s="73"/>
      <c r="AX230" s="271" t="str">
        <f>IF(AND(AV230="Applicant",OR(AW230="", AW230="Use Default Facility Hours")),"← Choose Schedule",IF(F230="","",IF(W230="LED Exit Signs",8760,IF(OR(AV230="Prescribed",AV230=""),VLOOKUP(F230,'Lookup Tables'!$A$6:$G$59,IF(AB230="General", 6, 3),FALSE),VLOOKUP(AW230,'Lookup Tables'!$S$36:$U$43,2,FALSE)))))</f>
        <v/>
      </c>
      <c r="AY230" s="88" t="str">
        <f t="shared" si="507"/>
        <v/>
      </c>
      <c r="AZ230" s="270" t="str">
        <f>IFERROR(IF(F230="", "", IF(W230="LED Exit Signs", 1, IF(AV230="Applicant",VLOOKUP(AW230, 'Lookup Tables'!$S$36:$U$43,3, FALSE), VLOOKUP('Lighting Inventory'!F230, 'Lookup Tables'!$A$6:$H$59, IF('Lighting Inventory'!AB230="General",7,4), FALSE)))), "")</f>
        <v/>
      </c>
      <c r="BA230" s="522" t="str">
        <f>IFERROR(IF(F230="", "", IF(W230="LED Exit Signs", 1, VLOOKUP('Lighting Inventory'!F230, 'Lookup Tables'!$A$6:$H$59, IF('Lighting Inventory'!AB230="General",8,5), FALSE))), "")</f>
        <v/>
      </c>
      <c r="BB230" s="270" t="str">
        <f>IF(G230="", "", IF(E230="Exterior", 0, IF('Lighting Inventory'!G230="Air Conditioned", VLOOKUP(H230, 'Lookup Tables'!$R$6:$T$13, 2, FALSE), VLOOKUP('Lighting Inventory'!G230, 'Lookup Tables'!$R$6:$T$13, 2, FALSE))))</f>
        <v/>
      </c>
      <c r="BC230" s="522" t="str">
        <f>IF(G230="", "", IF(E230="Exterior", 0, IF('Lighting Inventory'!G230="Air Conditioned", VLOOKUP(H230, 'Lookup Tables'!$R$6:$T$13, 3, FALSE), VLOOKUP('Lighting Inventory'!G230, 'Lookup Tables'!$R$6:$T$13, 3, FALSE))))</f>
        <v/>
      </c>
      <c r="BD230" s="270" t="str">
        <f>IF(G230="", "", IF(E230="Exterior", 0, IF('Lighting Inventory'!G230="Air Conditioned", VLOOKUP(H230, 'Lookup Tables'!$R$6:$U$13, 4, FALSE), VLOOKUP('Lighting Inventory'!G230, 'Lookup Tables'!$R$6:$U$13, 4, FALSE))))</f>
        <v/>
      </c>
      <c r="BE230" s="270" t="str">
        <f>IFERROR(IF(B230="", "",  IF(B230="New Construction", VLOOKUP(F230, 'Lookup Tables'!$A$6:$K$59, 11, FALSE),IF(OR(AN230="", AN230="Light Switch"), 0, IF(OR(M230="",M230="None",V230= "LED Exit Signs"),0,_xlfn.XLOOKUP(M230,'Lookup Tables'!$R$91:$R$101,'Lookup Tables'!$V$91:$V$101))))), "")</f>
        <v/>
      </c>
      <c r="BF230" s="270" t="str">
        <f>IF(AND(OR(AN230="Light Switch",AN230=""),B230="New Construction"), VLOOKUP(F230, 'Lookup Tables'!$A$6:$K$59, 11, FALSE),IF(AN230="","",IF(B230="","",IF(OR(AN230="None",AN230="",V230="LED Exit Signs",AN230="Exterior Controls Not Eligible"),0,_xlfn.XLOOKUP(AN230,'Lookup Tables'!$R$91:$R$101,'Lookup Tables'!$V$91:$V$101)))))</f>
        <v/>
      </c>
      <c r="BG230" s="88" t="str">
        <f t="shared" si="559"/>
        <v/>
      </c>
      <c r="BH230" s="88" t="str">
        <f t="shared" si="560"/>
        <v/>
      </c>
      <c r="BI230" s="558" t="str">
        <f t="shared" si="604"/>
        <v/>
      </c>
      <c r="BJ230" s="82" t="str">
        <f t="shared" si="561"/>
        <v/>
      </c>
      <c r="BK230" s="82" t="str">
        <f t="shared" si="562"/>
        <v/>
      </c>
      <c r="BL230" s="559" t="str">
        <f t="shared" si="563"/>
        <v/>
      </c>
      <c r="BM230" s="521" t="str">
        <f t="shared" si="508"/>
        <v/>
      </c>
      <c r="BN230" s="521" t="str">
        <f t="shared" si="509"/>
        <v/>
      </c>
      <c r="BO230" s="522" t="str">
        <f t="shared" si="510"/>
        <v/>
      </c>
      <c r="BP230" s="83" t="str">
        <f t="shared" si="564"/>
        <v/>
      </c>
      <c r="BQ230" s="84" t="str">
        <f t="shared" si="565"/>
        <v/>
      </c>
      <c r="BR230" s="184" t="str">
        <f>IFERROR(IF(B230="", "", IF(OR(VLOOKUP(J230, 'Fixture Identities'!$A$6:$L$1023, 3, FALSE)="T12 Linear Fluorescent",VLOOKUP(J230, 'Fixture Identities'!$A$6:$L$1023, 3, FALSE)="T12 U-Tube Fluorescent"), "Y", "N")), "N")</f>
        <v/>
      </c>
      <c r="BS230" s="184" t="str">
        <f t="array" ref="BS230">IFERROR(IF(OR(B230="", V230="", W230=""), "", IF(V230="Custom", "N", IF(OR(W230="Freezer Case Lighting", W230="Refrigerated Case Lighting with Doors"), BT230, IF(B230="Retrofit", INDEX('Lookup Tables'!$AH$6:$AT$102,MATCH(1,('Lookup Tables'!$AH$6:$AH$102=V230)*('Lookup Tables'!$AI$6:$AI$102=W230),FALSE),IF(VLOOKUP(J230, 'Fixture Identities'!$A$6:$B$1023, 2, FALSE)="Incandescent",12, 13)), INDEX('Lookup Tables'!$AH$114:$AS$154,MATCH(1,('Lookup Tables'!$AH$114:$AH$154=V230)*('Lookup Tables'!$AI$114:$AI$154=W230),FALSE),12))))), "N")</f>
        <v/>
      </c>
      <c r="BT230" s="184" t="str">
        <f>IF(J230="", "", IF(AND(OR(W230="Freezer case Lighting", W230="Refrigerated Case Lighting with Doors"),'General Information'!$X$18="LCI"), "N", IF(OR(VLOOKUP(J230, 'Fixture Identities'!$A$6:$B$1023, 2, FALSE)="T12 EPACT/EISA Baseline", VLOOKUP(J230, 'Fixture Identities'!$A$6:$B$1023, 2, FALSE)="Linear Fluorescent", VLOOKUP(J230, 'Fixture Identities'!$A$6:$B$1023, 2, FALSE)="U-Tube Fluorescent"), "Y", "N")))</f>
        <v/>
      </c>
      <c r="BU230" s="184" t="str">
        <f>IFERROR(IF(B230="", "", IF(VLOOKUP(J230, 'Fixture Identities'!$A$6:$B$1023, 2, FALSE)="Exit Sign", "Y", "N")), "N")</f>
        <v/>
      </c>
      <c r="BV230" s="184" t="str">
        <f>IF(V230="Exit Signs", IF(VLOOKUP(J230, 'Fixture Identities'!$A$6:$B$1023, 2, FALSE)="Exit Sign", "N", "Y"), "")</f>
        <v/>
      </c>
      <c r="BW230" s="184" t="str">
        <f t="array" ref="BW230">IFERROR(IF(B230="", "", IF(B230="New Construction", "N", INDEX('Lookup Tables'!$AH$6:$AU$102, MATCH(1, ('Lookup Tables'!$AH$6:$AH$102='Lighting Inventory'!V230)*('Lookup Tables'!$AI$6:$AI$102='Lighting Inventory'!W230), 0), 14))), "N")</f>
        <v/>
      </c>
      <c r="BX230" s="598" t="str">
        <f t="shared" si="566"/>
        <v/>
      </c>
      <c r="BY230" s="598" t="str">
        <f t="shared" si="567"/>
        <v/>
      </c>
      <c r="BZ230" s="598" t="str">
        <f t="shared" si="568"/>
        <v/>
      </c>
      <c r="CA230" s="598" t="str">
        <f t="shared" si="569"/>
        <v/>
      </c>
      <c r="CB230" s="269" t="str">
        <f t="shared" si="570"/>
        <v/>
      </c>
      <c r="CC230" s="517" t="str">
        <f t="shared" si="571"/>
        <v/>
      </c>
      <c r="CD230" s="565" t="str">
        <f t="shared" si="511"/>
        <v/>
      </c>
      <c r="CE230" s="368">
        <v>0</v>
      </c>
      <c r="CF230" s="368" t="str" cm="1">
        <f t="array" ref="CF230">IFERROR(IF(V230="Custom", "$0.1 per kWh", IF(B230="New Construction", CONCATENATE("$",INDEX('Lookup Tables'!$AH$114:$AN$154,MATCH(1,('Lookup Tables'!$AH$114:$AH$154='Lighting Inventory'!V230)*('Lookup Tables'!$AI$114:$AI$154='Lighting Inventory'!W230),FALSE),6)," ",INDEX('Lookup Tables'!$AH$114:$AN$154,MATCH(1,('Lookup Tables'!$AH$114:$AH$154='Lighting Inventory'!V230)*('Lookup Tables'!$AI$114:$AI$154='Lighting Inventory'!W230),FALSE),7)), IF(AND(BU230="N", V230="Exit Signs"), "$0.025 per kWh", CONCATENATE("$",INDEX('Lookup Tables'!$AH$6:$AN$102,MATCH(1,('Lookup Tables'!$AH$6:$AH$102='Lighting Inventory'!V230)*('Lookup Tables'!$AI$6:$AI$102='Lighting Inventory'!W230),FALSE),6)," ",INDEX('Lookup Tables'!$AH$6:$AN$102,MATCH(1,('Lookup Tables'!$AH$6:$AH$102='Lighting Inventory'!V230)*('Lookup Tables'!$AI$6:$AI$102='Lighting Inventory'!W230),FALSE),7))))), "")</f>
        <v/>
      </c>
      <c r="CG230" s="366"/>
      <c r="CH230" s="248" t="str">
        <f t="shared" si="512"/>
        <v/>
      </c>
      <c r="CI230" s="248" t="str">
        <f t="shared" si="513"/>
        <v>Select_IE</v>
      </c>
      <c r="CJ230" s="248" t="str">
        <f t="shared" si="514"/>
        <v/>
      </c>
      <c r="CK230" s="248" t="str">
        <f t="shared" si="515"/>
        <v/>
      </c>
      <c r="CL230" s="248" t="str">
        <f t="shared" si="516"/>
        <v/>
      </c>
      <c r="CM230" s="248" t="str">
        <f>IFERROR(IF(B230="", "", IF(B230="New Construction", VLOOKUP(V230, 'Lookup Tables'!$AF$114:$AG$120, 2, FALSE), VLOOKUP(V230, 'Lookup Tables'!$AD$6:$AE$25, 2, FALSE))), "")</f>
        <v/>
      </c>
      <c r="CN230" s="248" t="str">
        <f t="shared" si="517"/>
        <v/>
      </c>
      <c r="CO230" s="248" t="str">
        <f t="shared" si="518"/>
        <v/>
      </c>
      <c r="CP230" s="592" t="str">
        <f t="shared" si="519"/>
        <v/>
      </c>
      <c r="CQ230" s="248" t="str">
        <f t="shared" si="572"/>
        <v/>
      </c>
      <c r="CR230" s="249"/>
      <c r="CS230" s="250" t="str">
        <f t="shared" si="520"/>
        <v/>
      </c>
      <c r="CT230" s="250" t="str">
        <f t="shared" si="573"/>
        <v/>
      </c>
      <c r="CU230" s="250" t="str">
        <f t="shared" si="574"/>
        <v/>
      </c>
      <c r="CV230" s="250" t="str">
        <f t="shared" si="575"/>
        <v/>
      </c>
      <c r="CW230" s="250" t="str">
        <f t="shared" si="576"/>
        <v/>
      </c>
      <c r="CX230" s="250" t="str">
        <f t="shared" si="521"/>
        <v/>
      </c>
      <c r="CY230" s="250" t="str">
        <f t="shared" si="522"/>
        <v/>
      </c>
      <c r="CZ230" s="250" t="str">
        <f t="shared" si="523"/>
        <v/>
      </c>
      <c r="DA230" s="250" t="str">
        <f t="shared" si="524"/>
        <v/>
      </c>
      <c r="DB230" s="250" t="str">
        <f t="shared" si="525"/>
        <v/>
      </c>
      <c r="DC230" s="250" t="str">
        <f t="shared" si="526"/>
        <v/>
      </c>
      <c r="DD230" s="250" t="str">
        <f t="shared" si="527"/>
        <v/>
      </c>
      <c r="DE230" s="250" t="str">
        <f t="shared" si="528"/>
        <v/>
      </c>
      <c r="DF230" s="250" t="str">
        <f t="shared" si="529"/>
        <v/>
      </c>
      <c r="DG230" s="250" t="str">
        <f t="shared" si="530"/>
        <v/>
      </c>
      <c r="DH230" s="250" t="str">
        <f t="shared" si="531"/>
        <v/>
      </c>
      <c r="DI230" s="250" t="str">
        <f t="shared" si="532"/>
        <v/>
      </c>
      <c r="DJ230" s="250" t="str">
        <f t="shared" si="533"/>
        <v/>
      </c>
      <c r="DK230" s="250" t="str">
        <f t="shared" si="534"/>
        <v/>
      </c>
      <c r="DL230" s="250" t="str">
        <f t="shared" si="535"/>
        <v/>
      </c>
      <c r="DM230" s="250" t="str">
        <f>IF(CD230="ERROR", "ERROR", IF(AND(OR(Y230=$DM$6, Y230='Lookup Tables'!$AD$21, Y230='Lookup Tables'!$AD$22), E230="Interior"), BJ230, ""))</f>
        <v/>
      </c>
      <c r="DN230" s="250" t="str">
        <f>IF(CD230="ERROR", "ERROR", IF(AND(OR(Y230=$DM$6, Y230='Lookup Tables'!$AD$21, Y230='Lookup Tables'!$AD$22), E230="Exterior"), BJ230, ""))</f>
        <v/>
      </c>
      <c r="DO230" s="249"/>
      <c r="DP230" s="250" t="str">
        <f t="shared" si="536"/>
        <v/>
      </c>
      <c r="DQ230" s="250" t="str">
        <f t="shared" si="577"/>
        <v/>
      </c>
      <c r="DR230" s="250" t="str">
        <f t="shared" si="578"/>
        <v/>
      </c>
      <c r="DS230" s="250" t="str">
        <f t="shared" si="579"/>
        <v/>
      </c>
      <c r="DT230" s="250" t="str">
        <f t="shared" si="580"/>
        <v/>
      </c>
      <c r="DU230" s="250" t="str">
        <f t="shared" si="537"/>
        <v/>
      </c>
      <c r="DV230" s="250" t="str">
        <f t="shared" si="538"/>
        <v/>
      </c>
      <c r="DW230" s="250" t="str">
        <f t="shared" si="539"/>
        <v/>
      </c>
      <c r="DX230" s="250" t="str">
        <f t="shared" si="540"/>
        <v/>
      </c>
      <c r="DY230" s="250" t="str">
        <f t="shared" si="541"/>
        <v/>
      </c>
      <c r="DZ230" s="250" t="str">
        <f t="shared" si="542"/>
        <v/>
      </c>
      <c r="EA230" s="250" t="str">
        <f t="shared" si="543"/>
        <v/>
      </c>
      <c r="EB230" s="250" t="str">
        <f t="shared" si="581"/>
        <v/>
      </c>
      <c r="EC230" s="250" t="str">
        <f t="shared" si="544"/>
        <v/>
      </c>
      <c r="ED230" s="250" t="str">
        <f t="shared" si="545"/>
        <v/>
      </c>
      <c r="EE230" s="250" t="str">
        <f t="shared" si="546"/>
        <v/>
      </c>
      <c r="EF230" s="250" t="str">
        <f t="shared" si="547"/>
        <v/>
      </c>
      <c r="EG230" s="250" t="str">
        <f t="shared" si="548"/>
        <v/>
      </c>
      <c r="EH230" s="250" t="str">
        <f>IF(CD230="ERROR", "ERROR", IF(AND(OR($EH$6=Y230, Y230='Lookup Tables'!$AD$21, Y230='Lookup Tables'!$AD$22),E230="Interior"), SUM(BP230:BP230), ""))</f>
        <v/>
      </c>
      <c r="EI230" s="250" t="str">
        <f>IF(CD230="ERROR", "ERROR", IF(AND(OR($EH$6=Y230, Y230='Lookup Tables'!$AD$21, Y230='Lookup Tables'!$AD$22),E230="Exterior"), SUM(BP230:BP230), ""))</f>
        <v/>
      </c>
      <c r="EJ230" s="109"/>
      <c r="EK230" s="485" t="str">
        <f t="shared" si="549"/>
        <v/>
      </c>
      <c r="EL230" s="252" t="str">
        <f t="shared" si="582"/>
        <v/>
      </c>
      <c r="EM230" s="252" t="str">
        <f t="shared" si="583"/>
        <v/>
      </c>
      <c r="EN230" s="252" t="str">
        <f t="shared" si="584"/>
        <v/>
      </c>
      <c r="EO230" s="252" t="str">
        <f t="shared" si="585"/>
        <v/>
      </c>
      <c r="EP230" s="252" t="str">
        <f t="shared" si="586"/>
        <v/>
      </c>
      <c r="EQ230" s="252" t="str">
        <f t="shared" si="587"/>
        <v/>
      </c>
      <c r="ER230" s="252" t="str">
        <f t="shared" si="588"/>
        <v/>
      </c>
      <c r="ES230" s="252" t="str">
        <f t="shared" si="589"/>
        <v/>
      </c>
      <c r="ET230" s="252" t="str">
        <f t="shared" si="590"/>
        <v/>
      </c>
      <c r="EU230" s="252" t="str">
        <f t="shared" si="591"/>
        <v/>
      </c>
      <c r="EV230" s="252" t="str">
        <f t="shared" si="592"/>
        <v/>
      </c>
      <c r="EW230" s="252" t="str">
        <f t="shared" si="593"/>
        <v/>
      </c>
      <c r="EX230" s="252" t="str">
        <f t="shared" si="594"/>
        <v/>
      </c>
      <c r="EY230" s="252" t="str">
        <f t="shared" si="595"/>
        <v/>
      </c>
      <c r="EZ230" s="252" t="str">
        <f t="shared" si="596"/>
        <v/>
      </c>
      <c r="FA230" s="252" t="str">
        <f t="shared" si="597"/>
        <v/>
      </c>
      <c r="FB230" s="252" t="str">
        <f t="shared" si="598"/>
        <v/>
      </c>
      <c r="FC230" s="252" t="str">
        <f>IF(CD230="ERROR", "ERROR", IF(OR(V230="No Change", V230="Not DLC or Energy Star"), "", IF(AND(OR($FC$6=Y230,Y230='Lookup Tables'!$AD$21, Y230='Lookup Tables'!$AD$22),E230="Interior"), S230, "")))</f>
        <v/>
      </c>
      <c r="FD230" s="252" t="str">
        <f t="shared" si="599"/>
        <v/>
      </c>
      <c r="FE230" s="1"/>
      <c r="FF230" s="579" t="str" cm="1">
        <f t="array" ref="FF230">IFERROR(IF(OR(BQ230&lt;=0,AQ230&lt;20,AND(V230="Exit Signs",AN230&gt;0)),"",IF(AND(AQ230&gt;=20,AN230='Lookup Tables'!$R$101),'Lookup Tables'!$U$101*BQ230,AP230*LOOKUP(2,1/((AN230='Lookup Tables'!$R$91:$R$111)*(AQ230&gt;='Lookup Tables'!$S$91:$S$111)*(AQ230&lt;='Lookup Tables'!$T$91:$T$111)),'Lookup Tables'!$U$91:$U$111))),"")</f>
        <v/>
      </c>
      <c r="FG230" s="579"/>
      <c r="FH230" s="579"/>
      <c r="FI230" s="253" t="str">
        <f>IFERROR(ROUND(IF(CD230="ERROR", "ERROR", IF(AND($FI$7=X230,E230="Interior"),VLOOKUP(W230, 'Lookup Tables'!$AI$6:$AM$102, 5, FALSE)*BP230, "")), 2), "")</f>
        <v/>
      </c>
      <c r="FJ230" s="253" t="str">
        <f>IFERROR(ROUND(IF(CD230="ERROR", "ERROR", IF(AND($FI$7=X230,E230="Exterior"),VLOOKUP(W230, 'Lookup Tables'!$AI$6:$AM$102, 5, FALSE)*BP230, "")), 2), "")</f>
        <v/>
      </c>
      <c r="FK230" s="253" t="str">
        <f>IFERROR(ROUND(IF(CD230="ERROR", "ERROR", IF(AND($FK$7=X230,E230="Interior"),VLOOKUP(W230, 'Lookup Tables'!$AI$6:$AM$102, 5, FALSE)*BP230, "")), 2), "")</f>
        <v/>
      </c>
      <c r="FL230" s="253" t="str">
        <f>IFERROR(ROUND(IF(CD230="ERROR", "ERROR", IF(AND($FK$7=X230,E230="Exterior"),VLOOKUP(W230, 'Lookup Tables'!$AI$6:$AM$102, 5, FALSE)*BP230, "")), 2), "")</f>
        <v/>
      </c>
      <c r="FM230" s="253" t="str">
        <f>IFERROR(ROUND(IF(CD230="ERROR", "ERROR", IF(AND($FM$6=Y230,E230="Interior"), IF(GB230=0, VLOOKUP(W230, 'Lookup Tables'!$AI$6:$AM$102, 5, FALSE)*BP230, IF(VLOOKUP(W230, 'Lookup Tables'!$AI$6:$AM$102, 5, FALSE)*BP230&gt;GB230*'Lighting Inventory'!S230, GB230*'Lighting Inventory'!S230,VLOOKUP(W230, 'Lookup Tables'!$AI$6:$AM$102, 5, FALSE)*BP230)), "")), 2), "")</f>
        <v/>
      </c>
      <c r="FN230" s="253" t="str">
        <f>IFERROR(ROUND(IF(CD230="ERROR", "ERROR", IF(AND($FM$6=Y230,E230="Exterior"), IF(GB230=0, VLOOKUP(W230, 'Lookup Tables'!$AI$6:$AM$102, 5, FALSE)*BP230, IF(VLOOKUP(W230, 'Lookup Tables'!$AI$6:$AM$102, 5, FALSE)*BP230&gt;GB230*'Lighting Inventory'!S230, GB230*'Lighting Inventory'!S230,VLOOKUP(W230, 'Lookup Tables'!$AI$6:$AM$102, 5, FALSE)*BP230)), "")), 2), "")</f>
        <v/>
      </c>
      <c r="FO230" s="253" t="str">
        <f>IFERROR(ROUND(IF(CD230="ERROR", "ERROR", IF(AND($FO$6=Y230,E230="Interior"),VLOOKUP(W230, 'Lookup Tables'!$AI$6:$AM$102, 5, FALSE)*'Lighting Inventory'!AI230, "")), 2), "")</f>
        <v/>
      </c>
      <c r="FP230" s="253" t="str">
        <f>IFERROR(ROUND(IF(CD230="ERROR", "ERROR", IF(AND($FO$6=Y230,E230="Exterior"),VLOOKUP(W230, 'Lookup Tables'!$AI$6:$AM$102, 5, FALSE)*'Lighting Inventory'!AI230, "")), 2), "")</f>
        <v/>
      </c>
      <c r="FQ230" s="253" t="str">
        <f>IFERROR(ROUND(IF(CD230="ERROR", "ERROR", IF(AND($FQ$6=Y230,E230="Interior", BU230="Y"), VLOOKUP('Lighting Inventory'!W230, 'Lookup Tables'!$AI$6:$AM$102, 5, FALSE)*'Lighting Inventory'!S230, IF(AND($FQ$7=Y230,E230="Interior", BU230="N"), 0.025*CD230, ""))), 2), "")</f>
        <v/>
      </c>
      <c r="FR230" s="253" t="str">
        <f>IFERROR(ROUND(IF(CD230="ERROR", "ERROR", IF(AND($FQ$6=Y230,E230="Exterior"), VLOOKUP('Lighting Inventory'!W230, 'Lookup Tables'!$AI$6:$AM$102, 5, FALSE)*'Lighting Inventory'!S230, "")), 2), "")</f>
        <v/>
      </c>
      <c r="FS230" s="253" t="str">
        <f>IFERROR(ROUND(IF(CD230="ERROR", "ERROR", IF(AND($FS$6=Y230,E230="Exterior"), IF(GB230=0, VLOOKUP(W230, 'Lookup Tables'!$AI$6:$AM$102, 5, FALSE)*BP230, IF(VLOOKUP(W230, 'Lookup Tables'!$AI$6:$AM$102, 5, FALSE)*BP230&gt;GB230*'Lighting Inventory'!S230, GB230*'Lighting Inventory'!S230,VLOOKUP(W230, 'Lookup Tables'!$AI$6:$AM$102, 5, FALSE)*BP230)), "")), 2), "")</f>
        <v/>
      </c>
      <c r="FT230" s="253" t="str">
        <f>IFERROR(ROUND(IF(CD230="ERROR", "ERROR", IF(AND($FT$6=Y230,E230="Interior"), IF(GB230=0, VLOOKUP(W230, 'Lookup Tables'!$AI$6:$AM$102, 5, FALSE)*BP230, IF(VLOOKUP(W230, 'Lookup Tables'!$AI$6:$AM$102, 5, FALSE)*BP230&gt;GB230*'Lighting Inventory'!S230, GB230*'Lighting Inventory'!S230,VLOOKUP(W230, 'Lookup Tables'!$AI$6:$AM$102, 5, FALSE)*BP230)), "")), 2), "")</f>
        <v/>
      </c>
      <c r="FU230" s="253" t="str">
        <f>IFERROR(ROUND(IF(CD230="ERROR", "ERROR", IF(AND(Y230=$FU$6, E230="Interior"), IF(BS230="N", 'Lookup Tables'!$AM$101*BP230, VLOOKUP(W230, 'Lookup Tables'!$AI$6:$AM$102, 5, FALSE)*S230*AD230), "")), 2), "")</f>
        <v/>
      </c>
      <c r="FV230" s="253" t="str">
        <f>IFERROR(ROUND(IF(CD230="ERROR", "ERROR", IF(AND(Y230=$FU$6, E230="Exterior"), IF(BS230="N", 'Lookup Tables'!$AM$101*BP230, VLOOKUP(W230, 'Lookup Tables'!$AI$6:$AM$102, 5, FALSE)*S230*AD230), "")), 2), "")</f>
        <v/>
      </c>
      <c r="FW230" s="253" t="str">
        <f>IFERROR(ROUND(IF(CD230="ERROR", "ERROR", IF($FW$6=Y230, IF(BS230="N", 'Lookup Tables'!$AM$101*BP230, MIN((VLOOKUP(W230, 'Lookup Tables'!$AI$6:$AM$102, 5, FALSE)*BP230),GB230*AJ230)), "")), 2), "")</f>
        <v/>
      </c>
      <c r="FX230" s="253" t="str">
        <f>IFERROR(ROUND(IF(CD230="ERROR", "ERROR", IF(AND($FX$6=Y230, E230="Interior"), IF(VLOOKUP(W230, 'Lookup Tables'!$AI$6:$AM$102, 5, FALSE)*BP230&gt;'Lookup Tables'!$AQ$97*'Lighting Inventory'!S230,'Lighting Inventory'!S230*'Lookup Tables'!$AQ$97,VLOOKUP(W230, 'Lookup Tables'!$AI$6:$AM$102, 5, FALSE)*BP230), "")), 2), "")</f>
        <v/>
      </c>
      <c r="FY230" s="253" t="str">
        <f>IFERROR(ROUND(IF(CD230="ERROR", "ERROR", IF(AND($FX$6=Y230, E230="Exterior"), IF(VLOOKUP(W230, 'Lookup Tables'!$AI$6:$AM$102, 5, FALSE)*BP230&gt;'Lookup Tables'!$AQ$97*'Lighting Inventory'!S230,'Lighting Inventory'!S230*'Lookup Tables'!$AQ$97,VLOOKUP(W230, 'Lookup Tables'!$AI$6:$AM$102, 5, FALSE)*BP230), "")), 2), "")</f>
        <v/>
      </c>
      <c r="FZ230" s="253" t="str">
        <f>IFERROR(ROUND(IF(CD230="ERROR", "ERROR", IF(AND($FZ$6=Y230, E230="Interior"), IF(AND(OR(W230="Refrigerated Case Lighting with Doors", W230="Freezer Case Lighting"),Y230="Custom - Process Improvement"),CD230*'Lookup Tables'!$AM$101, IF(B230="Retrofit", IF(VLOOKUP(IF(V230="Custom", V230, W230), 'Lookup Tables'!$AI$6:$AM$102, 5, FALSE)*BP230&gt;GE230, GE230, VLOOKUP(IF(V230="Custom", V230, W230), 'Lookup Tables'!$AI$6:$AM$102, 5, FALSE)*BP230), IF(VLOOKUP(IF(V230="Custom", V230, W230), 'Lookup Tables'!$AI$114:$AM$154, 5, FALSE)*BP230&gt;GE230, GE230, VLOOKUP(IF(V230="Custom", V230, W230), 'Lookup Tables'!$AI$114:$AM$154, 5, FALSE)*BP230))), "")), 2),"")</f>
        <v/>
      </c>
      <c r="GA230" s="253" t="str">
        <f>IFERROR(ROUND(IF(CD230="ERROR", "ERROR", IF(AND($FZ$6=Y230, E230="Exterior"), IF(B230="Retrofit", IF(VLOOKUP(IF(V230="Custom", V230, W230), 'Lookup Tables'!$AI$6:$AM$102, 5, FALSE)*BP230&gt;GE230, GE230, VLOOKUP(IF(V230="Custom", V230, W230), 'Lookup Tables'!$AI$6:$AM$102, 5, FALSE)*BP230), IF(VLOOKUP(IF(V230="Custom", V230, W230), 'Lookup Tables'!$AI$114:$AM$154, 5, FALSE)*BP230&gt;GE230, GE230, VLOOKUP(IF(V230="Custom", V230, W230), 'Lookup Tables'!$AI$114:$AM$154, 5, FALSE)*BP230)), "")), 2),"")</f>
        <v/>
      </c>
      <c r="GB230" s="254" t="str">
        <f t="array" ref="GB230">IF(B230="","",IF(OR(V230="Custom",V230="No Change"),0,IF(B230="Retrofit", INDEX('Lookup Tables'!$AH$6:$AQ$102,MATCH(1,('Lookup Tables'!$AH$6:$AH$102='Lighting Inventory'!V230)*('Lookup Tables'!$AI$6:$AI$102='Lighting Inventory'!W230),FALSE),10),INDEX('Lookup Tables'!$AH$114:$AQ$154,MATCH(1,('Lookup Tables'!$AH$114:$AH$154='Lighting Inventory'!V230)*('Lookup Tables'!$AI$114:$AI$154='Lighting Inventory'!W230),FALSE),10))))</f>
        <v/>
      </c>
      <c r="GC230" s="255" t="str">
        <f t="shared" si="550"/>
        <v/>
      </c>
      <c r="GD230" s="250" t="str">
        <f t="shared" si="551"/>
        <v/>
      </c>
      <c r="GE230" s="253" t="str">
        <f>IFERROR(IF(AND(AF230="", 'General Information'!$F$18="No"),"", IF(AF230="", ((GD230/$CD$266)*$CF$266)*0.5, AF230*S230*0.5)), "")</f>
        <v/>
      </c>
      <c r="GF230" s="255" t="str">
        <f>IF(AND('General Information'!$F$19="", 'General Information'!$F$18="Yes",AF230="",BW230="Y"), "Y", "N")</f>
        <v>N</v>
      </c>
      <c r="GG230" s="255" t="s">
        <v>2946</v>
      </c>
      <c r="GH230" s="255" t="str">
        <f>IFERROR(IF(B230="", "", VLOOKUP(J230, 'Fixture Identities'!$A$6:$N$908, 14, FALSE)), "")</f>
        <v/>
      </c>
      <c r="GI230" s="389" t="str">
        <f>IF(OR(B230="", V230="", W230=""), "", IF(AND(OR(M230='Lookup Tables'!$R$18, M230='Lookup Tables'!$R$19, M230='Lookup Tables'!$R$20, M230='Lookup Tables'!$R$21, M230='Lookup Tables'!$R$22), OR(AN230='Lookup Tables'!$R$17, AN230='Lookup Tables'!$R$17, AN230="")), "Y", "N"))</f>
        <v/>
      </c>
      <c r="GJ230" s="255" t="str">
        <f t="shared" si="552"/>
        <v/>
      </c>
      <c r="GK230" s="255" t="str">
        <f t="shared" si="553"/>
        <v/>
      </c>
      <c r="GL230" s="255" t="str">
        <f t="shared" si="554"/>
        <v/>
      </c>
      <c r="GM230" s="255" t="str">
        <f>IF(AN230="", "", IF(AND(IF(ISNA(VLOOKUP(AN230,'Lookup Tables'!$R$18:$R$22,1,FALSE)), "N", "Y")="Y", E230="Exterior"), "Y", "N"))</f>
        <v/>
      </c>
      <c r="GN230" s="395"/>
      <c r="GO230" s="428">
        <f t="shared" si="600"/>
        <v>0</v>
      </c>
      <c r="GP230" s="428">
        <f t="shared" si="603"/>
        <v>0</v>
      </c>
      <c r="GQ230" s="428">
        <f t="shared" si="601"/>
        <v>0</v>
      </c>
      <c r="GR230" s="428">
        <f t="shared" si="602"/>
        <v>0</v>
      </c>
    </row>
    <row r="231" spans="1:200" s="103" customFormat="1" ht="13.5" customHeight="1" x14ac:dyDescent="0.2">
      <c r="A231" s="272">
        <v>221</v>
      </c>
      <c r="B231" s="110"/>
      <c r="C231" s="110"/>
      <c r="D231" s="110"/>
      <c r="E231" s="110"/>
      <c r="F231" s="110"/>
      <c r="G231" s="110"/>
      <c r="H231" s="110"/>
      <c r="I231" s="29"/>
      <c r="J231" s="29"/>
      <c r="K231" s="272" t="str">
        <f>IFERROR(IF(OR(VLOOKUP(J231, 'Fixture Identities'!$A$6:$L$1023, 3, FALSE)="T12 Linear Fluorescent", VLOOKUP(J231, 'Fixture Identities'!$A$6:$L$1023, 3, FALSE)="T12 U-Tube Fluorescent"), VLOOKUP(VLOOKUP(J231, 'Fixture Identities'!$A$6:$L$1023, 11, FALSE), 'Fixture Identities'!$A$6:$L$1023, 10, FALSE), VLOOKUP(J231, 'Fixture Identities'!$A$6:$L$1023, 10, FALSE)), "")</f>
        <v/>
      </c>
      <c r="L231" s="270" t="str">
        <f t="shared" si="605"/>
        <v/>
      </c>
      <c r="M231" s="110"/>
      <c r="N231" s="110"/>
      <c r="O231" s="110"/>
      <c r="P231" s="272" t="str">
        <f>IFERROR(IF(OR(B231="Retrofit",B231=""),"",IF('Lighting Inventory'!E231="Exterior",VLOOKUP('Lighting Inventory'!N231,'Lookup Tables'!$B$83:$F$103,5,FALSE),IF(N231="Other - Please Estimate EFLH and CFs","Contact Prog. Rep.","ft^2"))), "")</f>
        <v/>
      </c>
      <c r="Q231" s="270" t="str">
        <f>IFERROR(IF(AND(B231="New Construction",E231="Interior",$F$5="Space-by-Space"),VLOOKUP('Lighting Inventory'!N231,'Lookup Tables'!$N$6:$O$97,2,FALSE),IF(AND(B231="New Construction",E231="Exterior"),VLOOKUP(N231,'Lookup Tables'!$B$83:$F$103,2,FALSE),IF(AND(B231="New Construction",'Lighting Inventory'!E231="Interior", $F$5="Building Area"),VLOOKUP(F231,'Lookup Tables'!$A$6:$J$59,10,FALSE),""))), "")</f>
        <v/>
      </c>
      <c r="R231" s="270" t="str">
        <f>IFERROR(IF(P231="Contact Prog. Rep.", "ERROR", IF(OR(B231="",B231="Retrofit"),"",IF(N231="Automated teller machines", ('Lookup Tables'!$A$82:$E$100+('Lighting Inventory'!O231-1)*'Lookup Tables'!$A$82:$E$100)/1000, (Q231*O231)/1000))), "")</f>
        <v/>
      </c>
      <c r="S231" s="595"/>
      <c r="T231" s="105" t="str">
        <f t="shared" si="555"/>
        <v/>
      </c>
      <c r="U231" s="105" t="str">
        <f>IF(S231="","",COUNT($S$11:S231))</f>
        <v/>
      </c>
      <c r="V231" s="111"/>
      <c r="W231" s="112"/>
      <c r="X231" s="105" t="str">
        <f t="shared" si="556"/>
        <v/>
      </c>
      <c r="Y231" s="105" t="str">
        <f t="array" ref="Y231">IF(AND(OR(W231="Freezer Case Lighting", W231="Refrigerated Case Lighting with Doors"), 'General Information'!$X$18="LCI"),'Lookup Tables'!$Y$34, IF(V231="Custom", VLOOKUP(W231, 'Fixture Identities'!$A$974:$M$1023, 13, FALSE), IF(V231="No Change",'Lookup Tables'!$Y$29,IF(OR(V231="",W231=""),"",IF(AND(S231=0,S231&lt;I231,B231="Retrofit"),'Lookup Tables'!$Y$25, IF(B231="Retrofit", INDEX('Lookup Tables'!$AH$6:$AP$102, MATCH(1, ('Lookup Tables'!$AH$6:$AH$102=V231)*('Lookup Tables'!$AI$6:$AI$102=W231), 0), IF('Lighting Inventory'!E231="Interior", 4, 5)), INDEX('Lookup Tables'!$AH$114:$AP$154, MATCH(1, ('Lookup Tables'!$AH$114:$AH$154=V231)*('Lookup Tables'!$AI$114:$AI$154=W231), 0), IF('Lighting Inventory'!E231="Interior", 4, 5))))))))</f>
        <v/>
      </c>
      <c r="Z231" s="105" t="str">
        <f>IFERROR(INDEX('Lookup Tables'!$AH$158:$AH$172,MATCH('Lighting Inventory'!Y231,'Lookup Tables'!$AI$158:$AI$172,0)),"")</f>
        <v/>
      </c>
      <c r="AA231" s="105" t="str">
        <f>IF(AP231&gt;0,INDEX('Lookup Tables'!$AK$158:$AK$172,MATCH('Lighting Inventory'!Y231,'Lookup Tables'!$AI$158:$AI$172,0)),'Lighting Inventory'!Y231)</f>
        <v/>
      </c>
      <c r="AB231" s="105" t="str">
        <f t="array" ref="AB231">IF(V231="Custom", "Custom", IF(V231="", "", IF(V231="Not DLC or Energy Star", "General", IF(B231="New Construction", INDEX('Lookup Tables'!$AH$114:$AP$154,MATCH(1,('Lookup Tables'!$AH$114:$AH$154='Lighting Inventory'!V231)*('Lookup Tables'!$AI$114:$AI$154='Lighting Inventory'!W231),FALSE),8), INDEX('Lookup Tables'!$AH$6:$AP$102,MATCH(1,('Lookup Tables'!$AH$6:$AH$102='Lighting Inventory'!V231)*('Lookup Tables'!$AI$6:$AI$102='Lighting Inventory'!W231),FALSE),8)))))</f>
        <v/>
      </c>
      <c r="AC231" s="272" t="str">
        <f>IF(W231="","",IF(V231="Custom",CONCATENATE("$",'Lookup Tables'!$AM$101," ",'Lookup Tables'!$AN$101),CONCATENATE("$",INDEX('Lookup Tables'!$AM$6:$AM$102,MATCH('Lighting Inventory'!W231,'Lookup Tables'!$AI$6:$AI$102,0))," ",INDEX('Lookup Tables'!$AN$6:$AN$102,MATCH('Lighting Inventory'!W231,'Lookup Tables'!$AI$6:$AI$102,0)))))</f>
        <v/>
      </c>
      <c r="AD231" s="72"/>
      <c r="AE231" s="29"/>
      <c r="AF231" s="379"/>
      <c r="AG231" s="370" t="str">
        <f t="shared" si="504"/>
        <v/>
      </c>
      <c r="AH231" s="370" t="str">
        <f t="shared" si="557"/>
        <v/>
      </c>
      <c r="AI231" s="29"/>
      <c r="AJ231" s="29"/>
      <c r="AK231" s="110"/>
      <c r="AL231" s="375" t="str">
        <f>IF(OR(B231="", V231="", W231=""), "", IF(V231="No Change", K231, IF(V231="Remove Fixture", 0, IF(V231="Custom",VLOOKUP(W231,'Fixture Identities'!$A$6:$K$1023,10,FALSE),IF(AE231="", "← ENTER POST WATTS", 'Lighting Inventory'!AE231)))))</f>
        <v/>
      </c>
      <c r="AM231" s="376" t="str">
        <f t="shared" si="505"/>
        <v/>
      </c>
      <c r="AN231" s="29"/>
      <c r="AO231" s="671"/>
      <c r="AP231" s="29"/>
      <c r="AQ231" s="29"/>
      <c r="AR231" s="29"/>
      <c r="AS231" s="272" t="str">
        <f t="shared" si="558"/>
        <v/>
      </c>
      <c r="AT231" s="270" t="str">
        <f t="shared" si="506"/>
        <v/>
      </c>
      <c r="AU231" s="88" t="str">
        <f t="shared" si="606"/>
        <v/>
      </c>
      <c r="AV231" s="29"/>
      <c r="AW231" s="73"/>
      <c r="AX231" s="271" t="str">
        <f>IF(AND(AV231="Applicant",OR(AW231="", AW231="Use Default Facility Hours")),"← Choose Schedule",IF(F231="","",IF(W231="LED Exit Signs",8760,IF(OR(AV231="Prescribed",AV231=""),VLOOKUP(F231,'Lookup Tables'!$A$6:$G$59,IF(AB231="General", 6, 3),FALSE),VLOOKUP(AW231,'Lookup Tables'!$S$36:$U$43,2,FALSE)))))</f>
        <v/>
      </c>
      <c r="AY231" s="88" t="str">
        <f t="shared" si="507"/>
        <v/>
      </c>
      <c r="AZ231" s="270" t="str">
        <f>IFERROR(IF(F231="", "", IF(W231="LED Exit Signs", 1, IF(AV231="Applicant",VLOOKUP(AW231, 'Lookup Tables'!$S$36:$U$43,3, FALSE), VLOOKUP('Lighting Inventory'!F231, 'Lookup Tables'!$A$6:$H$59, IF('Lighting Inventory'!AB231="General",7,4), FALSE)))), "")</f>
        <v/>
      </c>
      <c r="BA231" s="522" t="str">
        <f>IFERROR(IF(F231="", "", IF(W231="LED Exit Signs", 1, VLOOKUP('Lighting Inventory'!F231, 'Lookup Tables'!$A$6:$H$59, IF('Lighting Inventory'!AB231="General",8,5), FALSE))), "")</f>
        <v/>
      </c>
      <c r="BB231" s="270" t="str">
        <f>IF(G231="", "", IF(E231="Exterior", 0, IF('Lighting Inventory'!G231="Air Conditioned", VLOOKUP(H231, 'Lookup Tables'!$R$6:$T$13, 2, FALSE), VLOOKUP('Lighting Inventory'!G231, 'Lookup Tables'!$R$6:$T$13, 2, FALSE))))</f>
        <v/>
      </c>
      <c r="BC231" s="522" t="str">
        <f>IF(G231="", "", IF(E231="Exterior", 0, IF('Lighting Inventory'!G231="Air Conditioned", VLOOKUP(H231, 'Lookup Tables'!$R$6:$T$13, 3, FALSE), VLOOKUP('Lighting Inventory'!G231, 'Lookup Tables'!$R$6:$T$13, 3, FALSE))))</f>
        <v/>
      </c>
      <c r="BD231" s="270" t="str">
        <f>IF(G231="", "", IF(E231="Exterior", 0, IF('Lighting Inventory'!G231="Air Conditioned", VLOOKUP(H231, 'Lookup Tables'!$R$6:$U$13, 4, FALSE), VLOOKUP('Lighting Inventory'!G231, 'Lookup Tables'!$R$6:$U$13, 4, FALSE))))</f>
        <v/>
      </c>
      <c r="BE231" s="270" t="str">
        <f>IFERROR(IF(B231="", "",  IF(B231="New Construction", VLOOKUP(F231, 'Lookup Tables'!$A$6:$K$59, 11, FALSE),IF(OR(AN231="", AN231="Light Switch"), 0, IF(OR(M231="",M231="None",V231= "LED Exit Signs"),0,_xlfn.XLOOKUP(M231,'Lookup Tables'!$R$91:$R$101,'Lookup Tables'!$V$91:$V$101))))), "")</f>
        <v/>
      </c>
      <c r="BF231" s="270" t="str">
        <f>IF(AND(OR(AN231="Light Switch",AN231=""),B231="New Construction"), VLOOKUP(F231, 'Lookup Tables'!$A$6:$K$59, 11, FALSE),IF(AN231="","",IF(B231="","",IF(OR(AN231="None",AN231="",V231="LED Exit Signs",AN231="Exterior Controls Not Eligible"),0,_xlfn.XLOOKUP(AN231,'Lookup Tables'!$R$91:$R$101,'Lookup Tables'!$V$91:$V$101)))))</f>
        <v/>
      </c>
      <c r="BG231" s="88" t="str">
        <f t="shared" si="559"/>
        <v/>
      </c>
      <c r="BH231" s="88" t="str">
        <f t="shared" si="560"/>
        <v/>
      </c>
      <c r="BI231" s="558" t="str">
        <f t="shared" si="604"/>
        <v/>
      </c>
      <c r="BJ231" s="82" t="str">
        <f t="shared" si="561"/>
        <v/>
      </c>
      <c r="BK231" s="82" t="str">
        <f t="shared" si="562"/>
        <v/>
      </c>
      <c r="BL231" s="559" t="str">
        <f t="shared" si="563"/>
        <v/>
      </c>
      <c r="BM231" s="521" t="str">
        <f t="shared" si="508"/>
        <v/>
      </c>
      <c r="BN231" s="521" t="str">
        <f t="shared" si="509"/>
        <v/>
      </c>
      <c r="BO231" s="522" t="str">
        <f t="shared" si="510"/>
        <v/>
      </c>
      <c r="BP231" s="83" t="str">
        <f t="shared" si="564"/>
        <v/>
      </c>
      <c r="BQ231" s="84" t="str">
        <f t="shared" si="565"/>
        <v/>
      </c>
      <c r="BR231" s="184" t="str">
        <f>IFERROR(IF(B231="", "", IF(OR(VLOOKUP(J231, 'Fixture Identities'!$A$6:$L$1023, 3, FALSE)="T12 Linear Fluorescent",VLOOKUP(J231, 'Fixture Identities'!$A$6:$L$1023, 3, FALSE)="T12 U-Tube Fluorescent"), "Y", "N")), "N")</f>
        <v/>
      </c>
      <c r="BS231" s="184" t="str">
        <f t="array" ref="BS231">IFERROR(IF(OR(B231="", V231="", W231=""), "", IF(V231="Custom", "N", IF(OR(W231="Freezer Case Lighting", W231="Refrigerated Case Lighting with Doors"), BT231, IF(B231="Retrofit", INDEX('Lookup Tables'!$AH$6:$AT$102,MATCH(1,('Lookup Tables'!$AH$6:$AH$102=V231)*('Lookup Tables'!$AI$6:$AI$102=W231),FALSE),IF(VLOOKUP(J231, 'Fixture Identities'!$A$6:$B$1023, 2, FALSE)="Incandescent",12, 13)), INDEX('Lookup Tables'!$AH$114:$AS$154,MATCH(1,('Lookup Tables'!$AH$114:$AH$154=V231)*('Lookup Tables'!$AI$114:$AI$154=W231),FALSE),12))))), "N")</f>
        <v/>
      </c>
      <c r="BT231" s="184" t="str">
        <f>IF(J231="", "", IF(AND(OR(W231="Freezer case Lighting", W231="Refrigerated Case Lighting with Doors"),'General Information'!$X$18="LCI"), "N", IF(OR(VLOOKUP(J231, 'Fixture Identities'!$A$6:$B$1023, 2, FALSE)="T12 EPACT/EISA Baseline", VLOOKUP(J231, 'Fixture Identities'!$A$6:$B$1023, 2, FALSE)="Linear Fluorescent", VLOOKUP(J231, 'Fixture Identities'!$A$6:$B$1023, 2, FALSE)="U-Tube Fluorescent"), "Y", "N")))</f>
        <v/>
      </c>
      <c r="BU231" s="184" t="str">
        <f>IFERROR(IF(B231="", "", IF(VLOOKUP(J231, 'Fixture Identities'!$A$6:$B$1023, 2, FALSE)="Exit Sign", "Y", "N")), "N")</f>
        <v/>
      </c>
      <c r="BV231" s="184" t="str">
        <f>IF(V231="Exit Signs", IF(VLOOKUP(J231, 'Fixture Identities'!$A$6:$B$1023, 2, FALSE)="Exit Sign", "N", "Y"), "")</f>
        <v/>
      </c>
      <c r="BW231" s="184" t="str">
        <f t="array" ref="BW231">IFERROR(IF(B231="", "", IF(B231="New Construction", "N", INDEX('Lookup Tables'!$AH$6:$AU$102, MATCH(1, ('Lookup Tables'!$AH$6:$AH$102='Lighting Inventory'!V231)*('Lookup Tables'!$AI$6:$AI$102='Lighting Inventory'!W231), 0), 14))), "N")</f>
        <v/>
      </c>
      <c r="BX231" s="598" t="str">
        <f t="shared" si="566"/>
        <v/>
      </c>
      <c r="BY231" s="598" t="str">
        <f t="shared" si="567"/>
        <v/>
      </c>
      <c r="BZ231" s="598" t="str">
        <f t="shared" si="568"/>
        <v/>
      </c>
      <c r="CA231" s="598" t="str">
        <f t="shared" si="569"/>
        <v/>
      </c>
      <c r="CB231" s="269" t="str">
        <f t="shared" si="570"/>
        <v/>
      </c>
      <c r="CC231" s="517" t="str">
        <f t="shared" si="571"/>
        <v/>
      </c>
      <c r="CD231" s="565" t="str">
        <f t="shared" si="511"/>
        <v/>
      </c>
      <c r="CE231" s="368">
        <v>0</v>
      </c>
      <c r="CF231" s="368" t="str" cm="1">
        <f t="array" ref="CF231">IFERROR(IF(V231="Custom", "$0.1 per kWh", IF(B231="New Construction", CONCATENATE("$",INDEX('Lookup Tables'!$AH$114:$AN$154,MATCH(1,('Lookup Tables'!$AH$114:$AH$154='Lighting Inventory'!V231)*('Lookup Tables'!$AI$114:$AI$154='Lighting Inventory'!W231),FALSE),6)," ",INDEX('Lookup Tables'!$AH$114:$AN$154,MATCH(1,('Lookup Tables'!$AH$114:$AH$154='Lighting Inventory'!V231)*('Lookup Tables'!$AI$114:$AI$154='Lighting Inventory'!W231),FALSE),7)), IF(AND(BU231="N", V231="Exit Signs"), "$0.025 per kWh", CONCATENATE("$",INDEX('Lookup Tables'!$AH$6:$AN$102,MATCH(1,('Lookup Tables'!$AH$6:$AH$102='Lighting Inventory'!V231)*('Lookup Tables'!$AI$6:$AI$102='Lighting Inventory'!W231),FALSE),6)," ",INDEX('Lookup Tables'!$AH$6:$AN$102,MATCH(1,('Lookup Tables'!$AH$6:$AH$102='Lighting Inventory'!V231)*('Lookup Tables'!$AI$6:$AI$102='Lighting Inventory'!W231),FALSE),7))))), "")</f>
        <v/>
      </c>
      <c r="CG231" s="366"/>
      <c r="CH231" s="248" t="str">
        <f t="shared" si="512"/>
        <v/>
      </c>
      <c r="CI231" s="248" t="str">
        <f t="shared" si="513"/>
        <v>Select_IE</v>
      </c>
      <c r="CJ231" s="248" t="str">
        <f t="shared" si="514"/>
        <v/>
      </c>
      <c r="CK231" s="248" t="str">
        <f t="shared" si="515"/>
        <v/>
      </c>
      <c r="CL231" s="248" t="str">
        <f t="shared" si="516"/>
        <v/>
      </c>
      <c r="CM231" s="248" t="str">
        <f>IFERROR(IF(B231="", "", IF(B231="New Construction", VLOOKUP(V231, 'Lookup Tables'!$AF$114:$AG$120, 2, FALSE), VLOOKUP(V231, 'Lookup Tables'!$AD$6:$AE$25, 2, FALSE))), "")</f>
        <v/>
      </c>
      <c r="CN231" s="248" t="str">
        <f t="shared" si="517"/>
        <v/>
      </c>
      <c r="CO231" s="248" t="str">
        <f t="shared" si="518"/>
        <v/>
      </c>
      <c r="CP231" s="592" t="str">
        <f t="shared" si="519"/>
        <v/>
      </c>
      <c r="CQ231" s="248" t="str">
        <f t="shared" si="572"/>
        <v/>
      </c>
      <c r="CR231" s="100"/>
      <c r="CS231" s="250" t="str">
        <f t="shared" si="520"/>
        <v/>
      </c>
      <c r="CT231" s="250" t="str">
        <f t="shared" si="573"/>
        <v/>
      </c>
      <c r="CU231" s="250" t="str">
        <f t="shared" si="574"/>
        <v/>
      </c>
      <c r="CV231" s="250" t="str">
        <f t="shared" si="575"/>
        <v/>
      </c>
      <c r="CW231" s="250" t="str">
        <f t="shared" si="576"/>
        <v/>
      </c>
      <c r="CX231" s="250" t="str">
        <f t="shared" si="521"/>
        <v/>
      </c>
      <c r="CY231" s="250" t="str">
        <f t="shared" si="522"/>
        <v/>
      </c>
      <c r="CZ231" s="250" t="str">
        <f t="shared" si="523"/>
        <v/>
      </c>
      <c r="DA231" s="250" t="str">
        <f t="shared" si="524"/>
        <v/>
      </c>
      <c r="DB231" s="250" t="str">
        <f t="shared" si="525"/>
        <v/>
      </c>
      <c r="DC231" s="250" t="str">
        <f t="shared" si="526"/>
        <v/>
      </c>
      <c r="DD231" s="250" t="str">
        <f t="shared" si="527"/>
        <v/>
      </c>
      <c r="DE231" s="250" t="str">
        <f t="shared" si="528"/>
        <v/>
      </c>
      <c r="DF231" s="250" t="str">
        <f t="shared" si="529"/>
        <v/>
      </c>
      <c r="DG231" s="250" t="str">
        <f t="shared" si="530"/>
        <v/>
      </c>
      <c r="DH231" s="250" t="str">
        <f t="shared" si="531"/>
        <v/>
      </c>
      <c r="DI231" s="250" t="str">
        <f t="shared" si="532"/>
        <v/>
      </c>
      <c r="DJ231" s="250" t="str">
        <f t="shared" si="533"/>
        <v/>
      </c>
      <c r="DK231" s="250" t="str">
        <f t="shared" si="534"/>
        <v/>
      </c>
      <c r="DL231" s="250" t="str">
        <f t="shared" si="535"/>
        <v/>
      </c>
      <c r="DM231" s="250" t="str">
        <f>IF(CD231="ERROR", "ERROR", IF(AND(OR(Y231=$DM$6, Y231='Lookup Tables'!$AD$21, Y231='Lookup Tables'!$AD$22), E231="Interior"), BJ231, ""))</f>
        <v/>
      </c>
      <c r="DN231" s="250" t="str">
        <f>IF(CD231="ERROR", "ERROR", IF(AND(OR(Y231=$DM$6, Y231='Lookup Tables'!$AD$21, Y231='Lookup Tables'!$AD$22), E231="Exterior"), BJ231, ""))</f>
        <v/>
      </c>
      <c r="DO231" s="100"/>
      <c r="DP231" s="250" t="str">
        <f t="shared" si="536"/>
        <v/>
      </c>
      <c r="DQ231" s="250" t="str">
        <f t="shared" si="577"/>
        <v/>
      </c>
      <c r="DR231" s="250" t="str">
        <f t="shared" si="578"/>
        <v/>
      </c>
      <c r="DS231" s="250" t="str">
        <f t="shared" si="579"/>
        <v/>
      </c>
      <c r="DT231" s="250" t="str">
        <f t="shared" si="580"/>
        <v/>
      </c>
      <c r="DU231" s="250" t="str">
        <f t="shared" si="537"/>
        <v/>
      </c>
      <c r="DV231" s="250" t="str">
        <f t="shared" si="538"/>
        <v/>
      </c>
      <c r="DW231" s="250" t="str">
        <f t="shared" si="539"/>
        <v/>
      </c>
      <c r="DX231" s="250" t="str">
        <f t="shared" si="540"/>
        <v/>
      </c>
      <c r="DY231" s="250" t="str">
        <f t="shared" si="541"/>
        <v/>
      </c>
      <c r="DZ231" s="250" t="str">
        <f t="shared" si="542"/>
        <v/>
      </c>
      <c r="EA231" s="250" t="str">
        <f t="shared" si="543"/>
        <v/>
      </c>
      <c r="EB231" s="250" t="str">
        <f t="shared" si="581"/>
        <v/>
      </c>
      <c r="EC231" s="250" t="str">
        <f t="shared" si="544"/>
        <v/>
      </c>
      <c r="ED231" s="250" t="str">
        <f t="shared" si="545"/>
        <v/>
      </c>
      <c r="EE231" s="250" t="str">
        <f t="shared" si="546"/>
        <v/>
      </c>
      <c r="EF231" s="250" t="str">
        <f t="shared" si="547"/>
        <v/>
      </c>
      <c r="EG231" s="250" t="str">
        <f t="shared" si="548"/>
        <v/>
      </c>
      <c r="EH231" s="250" t="str">
        <f>IF(CD231="ERROR", "ERROR", IF(AND(OR($EH$6=Y231, Y231='Lookup Tables'!$AD$21, Y231='Lookup Tables'!$AD$22),E231="Interior"), SUM(BP231:BP231), ""))</f>
        <v/>
      </c>
      <c r="EI231" s="250" t="str">
        <f>IF(CD231="ERROR", "ERROR", IF(AND(OR($EH$6=Y231, Y231='Lookup Tables'!$AD$21, Y231='Lookup Tables'!$AD$22),E231="Exterior"), SUM(BP231:BP231), ""))</f>
        <v/>
      </c>
      <c r="EJ231" s="109"/>
      <c r="EK231" s="485" t="str">
        <f t="shared" si="549"/>
        <v/>
      </c>
      <c r="EL231" s="252" t="str">
        <f t="shared" si="582"/>
        <v/>
      </c>
      <c r="EM231" s="252" t="str">
        <f t="shared" si="583"/>
        <v/>
      </c>
      <c r="EN231" s="252" t="str">
        <f t="shared" si="584"/>
        <v/>
      </c>
      <c r="EO231" s="252" t="str">
        <f t="shared" si="585"/>
        <v/>
      </c>
      <c r="EP231" s="252" t="str">
        <f t="shared" si="586"/>
        <v/>
      </c>
      <c r="EQ231" s="252" t="str">
        <f t="shared" si="587"/>
        <v/>
      </c>
      <c r="ER231" s="252" t="str">
        <f t="shared" si="588"/>
        <v/>
      </c>
      <c r="ES231" s="252" t="str">
        <f t="shared" si="589"/>
        <v/>
      </c>
      <c r="ET231" s="252" t="str">
        <f t="shared" si="590"/>
        <v/>
      </c>
      <c r="EU231" s="252" t="str">
        <f t="shared" si="591"/>
        <v/>
      </c>
      <c r="EV231" s="252" t="str">
        <f t="shared" si="592"/>
        <v/>
      </c>
      <c r="EW231" s="252" t="str">
        <f t="shared" si="593"/>
        <v/>
      </c>
      <c r="EX231" s="252" t="str">
        <f t="shared" si="594"/>
        <v/>
      </c>
      <c r="EY231" s="252" t="str">
        <f t="shared" si="595"/>
        <v/>
      </c>
      <c r="EZ231" s="252" t="str">
        <f t="shared" si="596"/>
        <v/>
      </c>
      <c r="FA231" s="252" t="str">
        <f t="shared" si="597"/>
        <v/>
      </c>
      <c r="FB231" s="252" t="str">
        <f t="shared" si="598"/>
        <v/>
      </c>
      <c r="FC231" s="252" t="str">
        <f>IF(CD231="ERROR", "ERROR", IF(OR(V231="No Change", V231="Not DLC or Energy Star"), "", IF(AND(OR($FC$6=Y231,Y231='Lookup Tables'!$AD$21, Y231='Lookup Tables'!$AD$22),E231="Interior"), S231, "")))</f>
        <v/>
      </c>
      <c r="FD231" s="252" t="str">
        <f t="shared" si="599"/>
        <v/>
      </c>
      <c r="FE231" s="101"/>
      <c r="FF231" s="579" t="str" cm="1">
        <f t="array" ref="FF231">IFERROR(IF(OR(BQ231&lt;=0,AQ231&lt;20,AND(V231="Exit Signs",AN231&gt;0)),"",IF(AND(AQ231&gt;=20,AN231='Lookup Tables'!$R$101),'Lookup Tables'!$U$101*BQ231,AP231*LOOKUP(2,1/((AN231='Lookup Tables'!$R$91:$R$111)*(AQ231&gt;='Lookup Tables'!$S$91:$S$111)*(AQ231&lt;='Lookup Tables'!$T$91:$T$111)),'Lookup Tables'!$U$91:$U$111))),"")</f>
        <v/>
      </c>
      <c r="FG231" s="579"/>
      <c r="FH231" s="579"/>
      <c r="FI231" s="253" t="str">
        <f>IFERROR(ROUND(IF(CD231="ERROR", "ERROR", IF(AND($FI$7=X231,E231="Interior"),VLOOKUP(W231, 'Lookup Tables'!$AI$6:$AM$102, 5, FALSE)*BP231, "")), 2), "")</f>
        <v/>
      </c>
      <c r="FJ231" s="253" t="str">
        <f>IFERROR(ROUND(IF(CD231="ERROR", "ERROR", IF(AND($FI$7=X231,E231="Exterior"),VLOOKUP(W231, 'Lookup Tables'!$AI$6:$AM$102, 5, FALSE)*BP231, "")), 2), "")</f>
        <v/>
      </c>
      <c r="FK231" s="253" t="str">
        <f>IFERROR(ROUND(IF(CD231="ERROR", "ERROR", IF(AND($FK$7=X231,E231="Interior"),VLOOKUP(W231, 'Lookup Tables'!$AI$6:$AM$102, 5, FALSE)*BP231, "")), 2), "")</f>
        <v/>
      </c>
      <c r="FL231" s="253" t="str">
        <f>IFERROR(ROUND(IF(CD231="ERROR", "ERROR", IF(AND($FK$7=X231,E231="Exterior"),VLOOKUP(W231, 'Lookup Tables'!$AI$6:$AM$102, 5, FALSE)*BP231, "")), 2), "")</f>
        <v/>
      </c>
      <c r="FM231" s="253" t="str">
        <f>IFERROR(ROUND(IF(CD231="ERROR", "ERROR", IF(AND($FM$6=Y231,E231="Interior"), IF(GB231=0, VLOOKUP(W231, 'Lookup Tables'!$AI$6:$AM$102, 5, FALSE)*BP231, IF(VLOOKUP(W231, 'Lookup Tables'!$AI$6:$AM$102, 5, FALSE)*BP231&gt;GB231*'Lighting Inventory'!S231, GB231*'Lighting Inventory'!S231,VLOOKUP(W231, 'Lookup Tables'!$AI$6:$AM$102, 5, FALSE)*BP231)), "")), 2), "")</f>
        <v/>
      </c>
      <c r="FN231" s="253" t="str">
        <f>IFERROR(ROUND(IF(CD231="ERROR", "ERROR", IF(AND($FM$6=Y231,E231="Exterior"), IF(GB231=0, VLOOKUP(W231, 'Lookup Tables'!$AI$6:$AM$102, 5, FALSE)*BP231, IF(VLOOKUP(W231, 'Lookup Tables'!$AI$6:$AM$102, 5, FALSE)*BP231&gt;GB231*'Lighting Inventory'!S231, GB231*'Lighting Inventory'!S231,VLOOKUP(W231, 'Lookup Tables'!$AI$6:$AM$102, 5, FALSE)*BP231)), "")), 2), "")</f>
        <v/>
      </c>
      <c r="FO231" s="253" t="str">
        <f>IFERROR(ROUND(IF(CD231="ERROR", "ERROR", IF(AND($FO$6=Y231,E231="Interior"),VLOOKUP(W231, 'Lookup Tables'!$AI$6:$AM$102, 5, FALSE)*'Lighting Inventory'!AI231, "")), 2), "")</f>
        <v/>
      </c>
      <c r="FP231" s="253" t="str">
        <f>IFERROR(ROUND(IF(CD231="ERROR", "ERROR", IF(AND($FO$6=Y231,E231="Exterior"),VLOOKUP(W231, 'Lookup Tables'!$AI$6:$AM$102, 5, FALSE)*'Lighting Inventory'!AI231, "")), 2), "")</f>
        <v/>
      </c>
      <c r="FQ231" s="253" t="str">
        <f>IFERROR(ROUND(IF(CD231="ERROR", "ERROR", IF(AND($FQ$6=Y231,E231="Interior", BU231="Y"), VLOOKUP('Lighting Inventory'!W231, 'Lookup Tables'!$AI$6:$AM$102, 5, FALSE)*'Lighting Inventory'!S231, IF(AND($FQ$7=Y231,E231="Interior", BU231="N"), 0.025*CD231, ""))), 2), "")</f>
        <v/>
      </c>
      <c r="FR231" s="253" t="str">
        <f>IFERROR(ROUND(IF(CD231="ERROR", "ERROR", IF(AND($FQ$6=Y231,E231="Exterior"), VLOOKUP('Lighting Inventory'!W231, 'Lookup Tables'!$AI$6:$AM$102, 5, FALSE)*'Lighting Inventory'!S231, "")), 2), "")</f>
        <v/>
      </c>
      <c r="FS231" s="253" t="str">
        <f>IFERROR(ROUND(IF(CD231="ERROR", "ERROR", IF(AND($FS$6=Y231,E231="Exterior"), IF(GB231=0, VLOOKUP(W231, 'Lookup Tables'!$AI$6:$AM$102, 5, FALSE)*BP231, IF(VLOOKUP(W231, 'Lookup Tables'!$AI$6:$AM$102, 5, FALSE)*BP231&gt;GB231*'Lighting Inventory'!S231, GB231*'Lighting Inventory'!S231,VLOOKUP(W231, 'Lookup Tables'!$AI$6:$AM$102, 5, FALSE)*BP231)), "")), 2), "")</f>
        <v/>
      </c>
      <c r="FT231" s="253" t="str">
        <f>IFERROR(ROUND(IF(CD231="ERROR", "ERROR", IF(AND($FT$6=Y231,E231="Interior"), IF(GB231=0, VLOOKUP(W231, 'Lookup Tables'!$AI$6:$AM$102, 5, FALSE)*BP231, IF(VLOOKUP(W231, 'Lookup Tables'!$AI$6:$AM$102, 5, FALSE)*BP231&gt;GB231*'Lighting Inventory'!S231, GB231*'Lighting Inventory'!S231,VLOOKUP(W231, 'Lookup Tables'!$AI$6:$AM$102, 5, FALSE)*BP231)), "")), 2), "")</f>
        <v/>
      </c>
      <c r="FU231" s="253" t="str">
        <f>IFERROR(ROUND(IF(CD231="ERROR", "ERROR", IF(AND(Y231=$FU$6, E231="Interior"), IF(BS231="N", 'Lookup Tables'!$AM$101*BP231, VLOOKUP(W231, 'Lookup Tables'!$AI$6:$AM$102, 5, FALSE)*S231*AD231), "")), 2), "")</f>
        <v/>
      </c>
      <c r="FV231" s="253" t="str">
        <f>IFERROR(ROUND(IF(CD231="ERROR", "ERROR", IF(AND(Y231=$FU$6, E231="Exterior"), IF(BS231="N", 'Lookup Tables'!$AM$101*BP231, VLOOKUP(W231, 'Lookup Tables'!$AI$6:$AM$102, 5, FALSE)*S231*AD231), "")), 2), "")</f>
        <v/>
      </c>
      <c r="FW231" s="253" t="str">
        <f>IFERROR(ROUND(IF(CD231="ERROR", "ERROR", IF($FW$6=Y231, IF(BS231="N", 'Lookup Tables'!$AM$101*BP231, MIN((VLOOKUP(W231, 'Lookup Tables'!$AI$6:$AM$102, 5, FALSE)*BP231),GB231*AJ231)), "")), 2), "")</f>
        <v/>
      </c>
      <c r="FX231" s="253" t="str">
        <f>IFERROR(ROUND(IF(CD231="ERROR", "ERROR", IF(AND($FX$6=Y231, E231="Interior"), IF(VLOOKUP(W231, 'Lookup Tables'!$AI$6:$AM$102, 5, FALSE)*BP231&gt;'Lookup Tables'!$AQ$97*'Lighting Inventory'!S231,'Lighting Inventory'!S231*'Lookup Tables'!$AQ$97,VLOOKUP(W231, 'Lookup Tables'!$AI$6:$AM$102, 5, FALSE)*BP231), "")), 2), "")</f>
        <v/>
      </c>
      <c r="FY231" s="253" t="str">
        <f>IFERROR(ROUND(IF(CD231="ERROR", "ERROR", IF(AND($FX$6=Y231, E231="Exterior"), IF(VLOOKUP(W231, 'Lookup Tables'!$AI$6:$AM$102, 5, FALSE)*BP231&gt;'Lookup Tables'!$AQ$97*'Lighting Inventory'!S231,'Lighting Inventory'!S231*'Lookup Tables'!$AQ$97,VLOOKUP(W231, 'Lookup Tables'!$AI$6:$AM$102, 5, FALSE)*BP231), "")), 2), "")</f>
        <v/>
      </c>
      <c r="FZ231" s="253" t="str">
        <f>IFERROR(ROUND(IF(CD231="ERROR", "ERROR", IF(AND($FZ$6=Y231, E231="Interior"), IF(AND(OR(W231="Refrigerated Case Lighting with Doors", W231="Freezer Case Lighting"),Y231="Custom - Process Improvement"),CD231*'Lookup Tables'!$AM$101, IF(B231="Retrofit", IF(VLOOKUP(IF(V231="Custom", V231, W231), 'Lookup Tables'!$AI$6:$AM$102, 5, FALSE)*BP231&gt;GE231, GE231, VLOOKUP(IF(V231="Custom", V231, W231), 'Lookup Tables'!$AI$6:$AM$102, 5, FALSE)*BP231), IF(VLOOKUP(IF(V231="Custom", V231, W231), 'Lookup Tables'!$AI$114:$AM$154, 5, FALSE)*BP231&gt;GE231, GE231, VLOOKUP(IF(V231="Custom", V231, W231), 'Lookup Tables'!$AI$114:$AM$154, 5, FALSE)*BP231))), "")), 2),"")</f>
        <v/>
      </c>
      <c r="GA231" s="253" t="str">
        <f>IFERROR(ROUND(IF(CD231="ERROR", "ERROR", IF(AND($FZ$6=Y231, E231="Exterior"), IF(B231="Retrofit", IF(VLOOKUP(IF(V231="Custom", V231, W231), 'Lookup Tables'!$AI$6:$AM$102, 5, FALSE)*BP231&gt;GE231, GE231, VLOOKUP(IF(V231="Custom", V231, W231), 'Lookup Tables'!$AI$6:$AM$102, 5, FALSE)*BP231), IF(VLOOKUP(IF(V231="Custom", V231, W231), 'Lookup Tables'!$AI$114:$AM$154, 5, FALSE)*BP231&gt;GE231, GE231, VLOOKUP(IF(V231="Custom", V231, W231), 'Lookup Tables'!$AI$114:$AM$154, 5, FALSE)*BP231)), "")), 2),"")</f>
        <v/>
      </c>
      <c r="GB231" s="254" t="str">
        <f t="array" ref="GB231">IF(B231="","",IF(OR(V231="Custom",V231="No Change"),0,IF(B231="Retrofit", INDEX('Lookup Tables'!$AH$6:$AQ$102,MATCH(1,('Lookup Tables'!$AH$6:$AH$102='Lighting Inventory'!V231)*('Lookup Tables'!$AI$6:$AI$102='Lighting Inventory'!W231),FALSE),10),INDEX('Lookup Tables'!$AH$114:$AQ$154,MATCH(1,('Lookup Tables'!$AH$114:$AH$154='Lighting Inventory'!V231)*('Lookup Tables'!$AI$114:$AI$154='Lighting Inventory'!W231),FALSE),10))))</f>
        <v/>
      </c>
      <c r="GC231" s="255" t="str">
        <f t="shared" si="550"/>
        <v/>
      </c>
      <c r="GD231" s="250" t="str">
        <f t="shared" si="551"/>
        <v/>
      </c>
      <c r="GE231" s="253" t="str">
        <f>IFERROR(IF(AND(AF231="", 'General Information'!$F$18="No"),"", IF(AF231="", ((GD231/$CD$266)*$CF$266)*0.5, AF231*S231*0.5)), "")</f>
        <v/>
      </c>
      <c r="GF231" s="255" t="str">
        <f>IF(AND('General Information'!$F$19="", 'General Information'!$F$18="Yes",AF231="",BW231="Y"), "Y", "N")</f>
        <v>N</v>
      </c>
      <c r="GG231" s="255" t="s">
        <v>2946</v>
      </c>
      <c r="GH231" s="255" t="str">
        <f>IFERROR(IF(B231="", "", VLOOKUP(J231, 'Fixture Identities'!$A$6:$N$908, 14, FALSE)), "")</f>
        <v/>
      </c>
      <c r="GI231" s="389" t="str">
        <f>IF(OR(B231="", V231="", W231=""), "", IF(AND(OR(M231='Lookup Tables'!$R$18, M231='Lookup Tables'!$R$19, M231='Lookup Tables'!$R$20, M231='Lookup Tables'!$R$21, M231='Lookup Tables'!$R$22), OR(AN231='Lookup Tables'!$R$17, AN231='Lookup Tables'!$R$17, AN231="")), "Y", "N"))</f>
        <v/>
      </c>
      <c r="GJ231" s="255" t="str">
        <f t="shared" si="552"/>
        <v/>
      </c>
      <c r="GK231" s="255" t="str">
        <f t="shared" si="553"/>
        <v/>
      </c>
      <c r="GL231" s="255" t="str">
        <f t="shared" si="554"/>
        <v/>
      </c>
      <c r="GM231" s="255" t="str">
        <f>IF(AN231="", "", IF(AND(IF(ISNA(VLOOKUP(AN231,'Lookup Tables'!$R$18:$R$22,1,FALSE)), "N", "Y")="Y", E231="Exterior"), "Y", "N"))</f>
        <v/>
      </c>
      <c r="GN231" s="395"/>
      <c r="GO231" s="428">
        <f t="shared" si="600"/>
        <v>0</v>
      </c>
      <c r="GP231" s="428">
        <f t="shared" si="603"/>
        <v>0</v>
      </c>
      <c r="GQ231" s="428">
        <f t="shared" si="601"/>
        <v>0</v>
      </c>
      <c r="GR231" s="428">
        <f t="shared" si="602"/>
        <v>0</v>
      </c>
    </row>
    <row r="232" spans="1:200" s="103" customFormat="1" ht="13.5" customHeight="1" x14ac:dyDescent="0.2">
      <c r="A232" s="272">
        <v>222</v>
      </c>
      <c r="B232" s="110"/>
      <c r="C232" s="110"/>
      <c r="D232" s="110"/>
      <c r="E232" s="110"/>
      <c r="F232" s="110"/>
      <c r="G232" s="110"/>
      <c r="H232" s="110"/>
      <c r="I232" s="29"/>
      <c r="J232" s="29"/>
      <c r="K232" s="272" t="str">
        <f>IFERROR(IF(OR(VLOOKUP(J232, 'Fixture Identities'!$A$6:$L$1023, 3, FALSE)="T12 Linear Fluorescent", VLOOKUP(J232, 'Fixture Identities'!$A$6:$L$1023, 3, FALSE)="T12 U-Tube Fluorescent"), VLOOKUP(VLOOKUP(J232, 'Fixture Identities'!$A$6:$L$1023, 11, FALSE), 'Fixture Identities'!$A$6:$L$1023, 10, FALSE), VLOOKUP(J232, 'Fixture Identities'!$A$6:$L$1023, 10, FALSE)), "")</f>
        <v/>
      </c>
      <c r="L232" s="270" t="str">
        <f t="shared" si="605"/>
        <v/>
      </c>
      <c r="M232" s="110"/>
      <c r="N232" s="110"/>
      <c r="O232" s="110"/>
      <c r="P232" s="272" t="str">
        <f>IFERROR(IF(OR(B232="Retrofit",B232=""),"",IF('Lighting Inventory'!E232="Exterior",VLOOKUP('Lighting Inventory'!N232,'Lookup Tables'!$B$83:$F$103,5,FALSE),IF(N232="Other - Please Estimate EFLH and CFs","Contact Prog. Rep.","ft^2"))), "")</f>
        <v/>
      </c>
      <c r="Q232" s="270" t="str">
        <f>IFERROR(IF(AND(B232="New Construction",E232="Interior",$F$5="Space-by-Space"),VLOOKUP('Lighting Inventory'!N232,'Lookup Tables'!$N$6:$O$97,2,FALSE),IF(AND(B232="New Construction",E232="Exterior"),VLOOKUP(N232,'Lookup Tables'!$B$83:$F$103,2,FALSE),IF(AND(B232="New Construction",'Lighting Inventory'!E232="Interior", $F$5="Building Area"),VLOOKUP(F232,'Lookup Tables'!$A$6:$J$59,10,FALSE),""))), "")</f>
        <v/>
      </c>
      <c r="R232" s="270" t="str">
        <f>IFERROR(IF(P232="Contact Prog. Rep.", "ERROR", IF(OR(B232="",B232="Retrofit"),"",IF(N232="Automated teller machines", ('Lookup Tables'!$A$82:$E$100+('Lighting Inventory'!O232-1)*'Lookup Tables'!$A$82:$E$100)/1000, (Q232*O232)/1000))), "")</f>
        <v/>
      </c>
      <c r="S232" s="595"/>
      <c r="T232" s="105" t="str">
        <f t="shared" si="555"/>
        <v/>
      </c>
      <c r="U232" s="105" t="str">
        <f>IF(S232="","",COUNT($S$11:S232))</f>
        <v/>
      </c>
      <c r="V232" s="111"/>
      <c r="W232" s="112"/>
      <c r="X232" s="105" t="str">
        <f t="shared" si="556"/>
        <v/>
      </c>
      <c r="Y232" s="105" t="str">
        <f t="array" ref="Y232">IF(AND(OR(W232="Freezer Case Lighting", W232="Refrigerated Case Lighting with Doors"), 'General Information'!$X$18="LCI"),'Lookup Tables'!$Y$34, IF(V232="Custom", VLOOKUP(W232, 'Fixture Identities'!$A$974:$M$1023, 13, FALSE), IF(V232="No Change",'Lookup Tables'!$Y$29,IF(OR(V232="",W232=""),"",IF(AND(S232=0,S232&lt;I232,B232="Retrofit"),'Lookup Tables'!$Y$25, IF(B232="Retrofit", INDEX('Lookup Tables'!$AH$6:$AP$102, MATCH(1, ('Lookup Tables'!$AH$6:$AH$102=V232)*('Lookup Tables'!$AI$6:$AI$102=W232), 0), IF('Lighting Inventory'!E232="Interior", 4, 5)), INDEX('Lookup Tables'!$AH$114:$AP$154, MATCH(1, ('Lookup Tables'!$AH$114:$AH$154=V232)*('Lookup Tables'!$AI$114:$AI$154=W232), 0), IF('Lighting Inventory'!E232="Interior", 4, 5))))))))</f>
        <v/>
      </c>
      <c r="Z232" s="105" t="str">
        <f>IFERROR(INDEX('Lookup Tables'!$AH$158:$AH$172,MATCH('Lighting Inventory'!Y232,'Lookup Tables'!$AI$158:$AI$172,0)),"")</f>
        <v/>
      </c>
      <c r="AA232" s="105" t="str">
        <f>IF(AP232&gt;0,INDEX('Lookup Tables'!$AK$158:$AK$172,MATCH('Lighting Inventory'!Y232,'Lookup Tables'!$AI$158:$AI$172,0)),'Lighting Inventory'!Y232)</f>
        <v/>
      </c>
      <c r="AB232" s="105" t="str">
        <f t="array" ref="AB232">IF(V232="Custom", "Custom", IF(V232="", "", IF(V232="Not DLC or Energy Star", "General", IF(B232="New Construction", INDEX('Lookup Tables'!$AH$114:$AP$154,MATCH(1,('Lookup Tables'!$AH$114:$AH$154='Lighting Inventory'!V232)*('Lookup Tables'!$AI$114:$AI$154='Lighting Inventory'!W232),FALSE),8), INDEX('Lookup Tables'!$AH$6:$AP$102,MATCH(1,('Lookup Tables'!$AH$6:$AH$102='Lighting Inventory'!V232)*('Lookup Tables'!$AI$6:$AI$102='Lighting Inventory'!W232),FALSE),8)))))</f>
        <v/>
      </c>
      <c r="AC232" s="272" t="str">
        <f>IF(W232="","",IF(V232="Custom",CONCATENATE("$",'Lookup Tables'!$AM$101," ",'Lookup Tables'!$AN$101),CONCATENATE("$",INDEX('Lookup Tables'!$AM$6:$AM$102,MATCH('Lighting Inventory'!W232,'Lookup Tables'!$AI$6:$AI$102,0))," ",INDEX('Lookup Tables'!$AN$6:$AN$102,MATCH('Lighting Inventory'!W232,'Lookup Tables'!$AI$6:$AI$102,0)))))</f>
        <v/>
      </c>
      <c r="AD232" s="72"/>
      <c r="AE232" s="29"/>
      <c r="AF232" s="379"/>
      <c r="AG232" s="370" t="str">
        <f t="shared" si="504"/>
        <v/>
      </c>
      <c r="AH232" s="370" t="str">
        <f t="shared" si="557"/>
        <v/>
      </c>
      <c r="AI232" s="29"/>
      <c r="AJ232" s="29"/>
      <c r="AK232" s="110"/>
      <c r="AL232" s="375" t="str">
        <f>IF(OR(B232="", V232="", W232=""), "", IF(V232="No Change", K232, IF(V232="Remove Fixture", 0, IF(V232="Custom",VLOOKUP(W232,'Fixture Identities'!$A$6:$K$1023,10,FALSE),IF(AE232="", "← ENTER POST WATTS", 'Lighting Inventory'!AE232)))))</f>
        <v/>
      </c>
      <c r="AM232" s="376" t="str">
        <f t="shared" si="505"/>
        <v/>
      </c>
      <c r="AN232" s="29"/>
      <c r="AO232" s="671"/>
      <c r="AP232" s="29"/>
      <c r="AQ232" s="29"/>
      <c r="AR232" s="29"/>
      <c r="AS232" s="272" t="str">
        <f t="shared" si="558"/>
        <v/>
      </c>
      <c r="AT232" s="270" t="str">
        <f t="shared" si="506"/>
        <v/>
      </c>
      <c r="AU232" s="88" t="str">
        <f t="shared" si="606"/>
        <v/>
      </c>
      <c r="AV232" s="29"/>
      <c r="AW232" s="73"/>
      <c r="AX232" s="271" t="str">
        <f>IF(AND(AV232="Applicant",OR(AW232="", AW232="Use Default Facility Hours")),"← Choose Schedule",IF(F232="","",IF(W232="LED Exit Signs",8760,IF(OR(AV232="Prescribed",AV232=""),VLOOKUP(F232,'Lookup Tables'!$A$6:$G$59,IF(AB232="General", 6, 3),FALSE),VLOOKUP(AW232,'Lookup Tables'!$S$36:$U$43,2,FALSE)))))</f>
        <v/>
      </c>
      <c r="AY232" s="88" t="str">
        <f t="shared" si="507"/>
        <v/>
      </c>
      <c r="AZ232" s="270" t="str">
        <f>IFERROR(IF(F232="", "", IF(W232="LED Exit Signs", 1, IF(AV232="Applicant",VLOOKUP(AW232, 'Lookup Tables'!$S$36:$U$43,3, FALSE), VLOOKUP('Lighting Inventory'!F232, 'Lookup Tables'!$A$6:$H$59, IF('Lighting Inventory'!AB232="General",7,4), FALSE)))), "")</f>
        <v/>
      </c>
      <c r="BA232" s="522" t="str">
        <f>IFERROR(IF(F232="", "", IF(W232="LED Exit Signs", 1, VLOOKUP('Lighting Inventory'!F232, 'Lookup Tables'!$A$6:$H$59, IF('Lighting Inventory'!AB232="General",8,5), FALSE))), "")</f>
        <v/>
      </c>
      <c r="BB232" s="270" t="str">
        <f>IF(G232="", "", IF(E232="Exterior", 0, IF('Lighting Inventory'!G232="Air Conditioned", VLOOKUP(H232, 'Lookup Tables'!$R$6:$T$13, 2, FALSE), VLOOKUP('Lighting Inventory'!G232, 'Lookup Tables'!$R$6:$T$13, 2, FALSE))))</f>
        <v/>
      </c>
      <c r="BC232" s="522" t="str">
        <f>IF(G232="", "", IF(E232="Exterior", 0, IF('Lighting Inventory'!G232="Air Conditioned", VLOOKUP(H232, 'Lookup Tables'!$R$6:$T$13, 3, FALSE), VLOOKUP('Lighting Inventory'!G232, 'Lookup Tables'!$R$6:$T$13, 3, FALSE))))</f>
        <v/>
      </c>
      <c r="BD232" s="270" t="str">
        <f>IF(G232="", "", IF(E232="Exterior", 0, IF('Lighting Inventory'!G232="Air Conditioned", VLOOKUP(H232, 'Lookup Tables'!$R$6:$U$13, 4, FALSE), VLOOKUP('Lighting Inventory'!G232, 'Lookup Tables'!$R$6:$U$13, 4, FALSE))))</f>
        <v/>
      </c>
      <c r="BE232" s="270" t="str">
        <f>IFERROR(IF(B232="", "",  IF(B232="New Construction", VLOOKUP(F232, 'Lookup Tables'!$A$6:$K$59, 11, FALSE),IF(OR(AN232="", AN232="Light Switch"), 0, IF(OR(M232="",M232="None",V232= "LED Exit Signs"),0,_xlfn.XLOOKUP(M232,'Lookup Tables'!$R$91:$R$101,'Lookup Tables'!$V$91:$V$101))))), "")</f>
        <v/>
      </c>
      <c r="BF232" s="270" t="str">
        <f>IF(AND(OR(AN232="Light Switch",AN232=""),B232="New Construction"), VLOOKUP(F232, 'Lookup Tables'!$A$6:$K$59, 11, FALSE),IF(AN232="","",IF(B232="","",IF(OR(AN232="None",AN232="",V232="LED Exit Signs",AN232="Exterior Controls Not Eligible"),0,_xlfn.XLOOKUP(AN232,'Lookup Tables'!$R$91:$R$101,'Lookup Tables'!$V$91:$V$101)))))</f>
        <v/>
      </c>
      <c r="BG232" s="88" t="str">
        <f t="shared" si="559"/>
        <v/>
      </c>
      <c r="BH232" s="88" t="str">
        <f t="shared" si="560"/>
        <v/>
      </c>
      <c r="BI232" s="558" t="str">
        <f t="shared" si="604"/>
        <v/>
      </c>
      <c r="BJ232" s="82" t="str">
        <f t="shared" si="561"/>
        <v/>
      </c>
      <c r="BK232" s="82" t="str">
        <f t="shared" si="562"/>
        <v/>
      </c>
      <c r="BL232" s="559" t="str">
        <f t="shared" si="563"/>
        <v/>
      </c>
      <c r="BM232" s="521" t="str">
        <f t="shared" si="508"/>
        <v/>
      </c>
      <c r="BN232" s="521" t="str">
        <f t="shared" si="509"/>
        <v/>
      </c>
      <c r="BO232" s="522" t="str">
        <f t="shared" si="510"/>
        <v/>
      </c>
      <c r="BP232" s="83" t="str">
        <f t="shared" si="564"/>
        <v/>
      </c>
      <c r="BQ232" s="84" t="str">
        <f t="shared" si="565"/>
        <v/>
      </c>
      <c r="BR232" s="184" t="str">
        <f>IFERROR(IF(B232="", "", IF(OR(VLOOKUP(J232, 'Fixture Identities'!$A$6:$L$1023, 3, FALSE)="T12 Linear Fluorescent",VLOOKUP(J232, 'Fixture Identities'!$A$6:$L$1023, 3, FALSE)="T12 U-Tube Fluorescent"), "Y", "N")), "N")</f>
        <v/>
      </c>
      <c r="BS232" s="184" t="str">
        <f t="array" ref="BS232">IFERROR(IF(OR(B232="", V232="", W232=""), "", IF(V232="Custom", "N", IF(OR(W232="Freezer Case Lighting", W232="Refrigerated Case Lighting with Doors"), BT232, IF(B232="Retrofit", INDEX('Lookup Tables'!$AH$6:$AT$102,MATCH(1,('Lookup Tables'!$AH$6:$AH$102=V232)*('Lookup Tables'!$AI$6:$AI$102=W232),FALSE),IF(VLOOKUP(J232, 'Fixture Identities'!$A$6:$B$1023, 2, FALSE)="Incandescent",12, 13)), INDEX('Lookup Tables'!$AH$114:$AS$154,MATCH(1,('Lookup Tables'!$AH$114:$AH$154=V232)*('Lookup Tables'!$AI$114:$AI$154=W232),FALSE),12))))), "N")</f>
        <v/>
      </c>
      <c r="BT232" s="184" t="str">
        <f>IF(J232="", "", IF(AND(OR(W232="Freezer case Lighting", W232="Refrigerated Case Lighting with Doors"),'General Information'!$X$18="LCI"), "N", IF(OR(VLOOKUP(J232, 'Fixture Identities'!$A$6:$B$1023, 2, FALSE)="T12 EPACT/EISA Baseline", VLOOKUP(J232, 'Fixture Identities'!$A$6:$B$1023, 2, FALSE)="Linear Fluorescent", VLOOKUP(J232, 'Fixture Identities'!$A$6:$B$1023, 2, FALSE)="U-Tube Fluorescent"), "Y", "N")))</f>
        <v/>
      </c>
      <c r="BU232" s="184" t="str">
        <f>IFERROR(IF(B232="", "", IF(VLOOKUP(J232, 'Fixture Identities'!$A$6:$B$1023, 2, FALSE)="Exit Sign", "Y", "N")), "N")</f>
        <v/>
      </c>
      <c r="BV232" s="184" t="str">
        <f>IF(V232="Exit Signs", IF(VLOOKUP(J232, 'Fixture Identities'!$A$6:$B$1023, 2, FALSE)="Exit Sign", "N", "Y"), "")</f>
        <v/>
      </c>
      <c r="BW232" s="184" t="str">
        <f t="array" ref="BW232">IFERROR(IF(B232="", "", IF(B232="New Construction", "N", INDEX('Lookup Tables'!$AH$6:$AU$102, MATCH(1, ('Lookup Tables'!$AH$6:$AH$102='Lighting Inventory'!V232)*('Lookup Tables'!$AI$6:$AI$102='Lighting Inventory'!W232), 0), 14))), "N")</f>
        <v/>
      </c>
      <c r="BX232" s="598" t="str">
        <f t="shared" si="566"/>
        <v/>
      </c>
      <c r="BY232" s="598" t="str">
        <f t="shared" si="567"/>
        <v/>
      </c>
      <c r="BZ232" s="598" t="str">
        <f t="shared" si="568"/>
        <v/>
      </c>
      <c r="CA232" s="598" t="str">
        <f t="shared" si="569"/>
        <v/>
      </c>
      <c r="CB232" s="269" t="str">
        <f t="shared" si="570"/>
        <v/>
      </c>
      <c r="CC232" s="517" t="str">
        <f t="shared" si="571"/>
        <v/>
      </c>
      <c r="CD232" s="565" t="str">
        <f t="shared" si="511"/>
        <v/>
      </c>
      <c r="CE232" s="368">
        <v>0</v>
      </c>
      <c r="CF232" s="368" t="str" cm="1">
        <f t="array" ref="CF232">IFERROR(IF(V232="Custom", "$0.1 per kWh", IF(B232="New Construction", CONCATENATE("$",INDEX('Lookup Tables'!$AH$114:$AN$154,MATCH(1,('Lookup Tables'!$AH$114:$AH$154='Lighting Inventory'!V232)*('Lookup Tables'!$AI$114:$AI$154='Lighting Inventory'!W232),FALSE),6)," ",INDEX('Lookup Tables'!$AH$114:$AN$154,MATCH(1,('Lookup Tables'!$AH$114:$AH$154='Lighting Inventory'!V232)*('Lookup Tables'!$AI$114:$AI$154='Lighting Inventory'!W232),FALSE),7)), IF(AND(BU232="N", V232="Exit Signs"), "$0.025 per kWh", CONCATENATE("$",INDEX('Lookup Tables'!$AH$6:$AN$102,MATCH(1,('Lookup Tables'!$AH$6:$AH$102='Lighting Inventory'!V232)*('Lookup Tables'!$AI$6:$AI$102='Lighting Inventory'!W232),FALSE),6)," ",INDEX('Lookup Tables'!$AH$6:$AN$102,MATCH(1,('Lookup Tables'!$AH$6:$AH$102='Lighting Inventory'!V232)*('Lookup Tables'!$AI$6:$AI$102='Lighting Inventory'!W232),FALSE),7))))), "")</f>
        <v/>
      </c>
      <c r="CG232" s="366"/>
      <c r="CH232" s="248" t="str">
        <f t="shared" si="512"/>
        <v/>
      </c>
      <c r="CI232" s="248" t="str">
        <f t="shared" si="513"/>
        <v>Select_IE</v>
      </c>
      <c r="CJ232" s="248" t="str">
        <f t="shared" si="514"/>
        <v/>
      </c>
      <c r="CK232" s="248" t="str">
        <f t="shared" si="515"/>
        <v/>
      </c>
      <c r="CL232" s="248" t="str">
        <f t="shared" si="516"/>
        <v/>
      </c>
      <c r="CM232" s="248" t="str">
        <f>IFERROR(IF(B232="", "", IF(B232="New Construction", VLOOKUP(V232, 'Lookup Tables'!$AF$114:$AG$120, 2, FALSE), VLOOKUP(V232, 'Lookup Tables'!$AD$6:$AE$25, 2, FALSE))), "")</f>
        <v/>
      </c>
      <c r="CN232" s="248" t="str">
        <f t="shared" si="517"/>
        <v/>
      </c>
      <c r="CO232" s="248" t="str">
        <f t="shared" si="518"/>
        <v/>
      </c>
      <c r="CP232" s="592" t="str">
        <f t="shared" si="519"/>
        <v/>
      </c>
      <c r="CQ232" s="248" t="str">
        <f t="shared" si="572"/>
        <v/>
      </c>
      <c r="CR232" s="100"/>
      <c r="CS232" s="250" t="str">
        <f t="shared" si="520"/>
        <v/>
      </c>
      <c r="CT232" s="250" t="str">
        <f t="shared" si="573"/>
        <v/>
      </c>
      <c r="CU232" s="250" t="str">
        <f t="shared" si="574"/>
        <v/>
      </c>
      <c r="CV232" s="250" t="str">
        <f t="shared" si="575"/>
        <v/>
      </c>
      <c r="CW232" s="250" t="str">
        <f t="shared" si="576"/>
        <v/>
      </c>
      <c r="CX232" s="250" t="str">
        <f t="shared" si="521"/>
        <v/>
      </c>
      <c r="CY232" s="250" t="str">
        <f t="shared" si="522"/>
        <v/>
      </c>
      <c r="CZ232" s="250" t="str">
        <f t="shared" si="523"/>
        <v/>
      </c>
      <c r="DA232" s="250" t="str">
        <f t="shared" si="524"/>
        <v/>
      </c>
      <c r="DB232" s="250" t="str">
        <f t="shared" si="525"/>
        <v/>
      </c>
      <c r="DC232" s="250" t="str">
        <f t="shared" si="526"/>
        <v/>
      </c>
      <c r="DD232" s="250" t="str">
        <f t="shared" si="527"/>
        <v/>
      </c>
      <c r="DE232" s="250" t="str">
        <f t="shared" si="528"/>
        <v/>
      </c>
      <c r="DF232" s="250" t="str">
        <f t="shared" si="529"/>
        <v/>
      </c>
      <c r="DG232" s="250" t="str">
        <f t="shared" si="530"/>
        <v/>
      </c>
      <c r="DH232" s="250" t="str">
        <f t="shared" si="531"/>
        <v/>
      </c>
      <c r="DI232" s="250" t="str">
        <f t="shared" si="532"/>
        <v/>
      </c>
      <c r="DJ232" s="250" t="str">
        <f t="shared" si="533"/>
        <v/>
      </c>
      <c r="DK232" s="250" t="str">
        <f t="shared" si="534"/>
        <v/>
      </c>
      <c r="DL232" s="250" t="str">
        <f t="shared" si="535"/>
        <v/>
      </c>
      <c r="DM232" s="250" t="str">
        <f>IF(CD232="ERROR", "ERROR", IF(AND(OR(Y232=$DM$6, Y232='Lookup Tables'!$AD$21, Y232='Lookup Tables'!$AD$22), E232="Interior"), BJ232, ""))</f>
        <v/>
      </c>
      <c r="DN232" s="250" t="str">
        <f>IF(CD232="ERROR", "ERROR", IF(AND(OR(Y232=$DM$6, Y232='Lookup Tables'!$AD$21, Y232='Lookup Tables'!$AD$22), E232="Exterior"), BJ232, ""))</f>
        <v/>
      </c>
      <c r="DO232" s="100"/>
      <c r="DP232" s="250" t="str">
        <f t="shared" si="536"/>
        <v/>
      </c>
      <c r="DQ232" s="250" t="str">
        <f t="shared" si="577"/>
        <v/>
      </c>
      <c r="DR232" s="250" t="str">
        <f t="shared" si="578"/>
        <v/>
      </c>
      <c r="DS232" s="250" t="str">
        <f t="shared" si="579"/>
        <v/>
      </c>
      <c r="DT232" s="250" t="str">
        <f t="shared" si="580"/>
        <v/>
      </c>
      <c r="DU232" s="250" t="str">
        <f t="shared" si="537"/>
        <v/>
      </c>
      <c r="DV232" s="250" t="str">
        <f t="shared" si="538"/>
        <v/>
      </c>
      <c r="DW232" s="250" t="str">
        <f t="shared" si="539"/>
        <v/>
      </c>
      <c r="DX232" s="250" t="str">
        <f t="shared" si="540"/>
        <v/>
      </c>
      <c r="DY232" s="250" t="str">
        <f t="shared" si="541"/>
        <v/>
      </c>
      <c r="DZ232" s="250" t="str">
        <f t="shared" si="542"/>
        <v/>
      </c>
      <c r="EA232" s="250" t="str">
        <f t="shared" si="543"/>
        <v/>
      </c>
      <c r="EB232" s="250" t="str">
        <f t="shared" si="581"/>
        <v/>
      </c>
      <c r="EC232" s="250" t="str">
        <f t="shared" si="544"/>
        <v/>
      </c>
      <c r="ED232" s="250" t="str">
        <f t="shared" si="545"/>
        <v/>
      </c>
      <c r="EE232" s="250" t="str">
        <f t="shared" si="546"/>
        <v/>
      </c>
      <c r="EF232" s="250" t="str">
        <f t="shared" si="547"/>
        <v/>
      </c>
      <c r="EG232" s="250" t="str">
        <f t="shared" si="548"/>
        <v/>
      </c>
      <c r="EH232" s="250" t="str">
        <f>IF(CD232="ERROR", "ERROR", IF(AND(OR($EH$6=Y232, Y232='Lookup Tables'!$AD$21, Y232='Lookup Tables'!$AD$22),E232="Interior"), SUM(BP232:BP232), ""))</f>
        <v/>
      </c>
      <c r="EI232" s="250" t="str">
        <f>IF(CD232="ERROR", "ERROR", IF(AND(OR($EH$6=Y232, Y232='Lookup Tables'!$AD$21, Y232='Lookup Tables'!$AD$22),E232="Exterior"), SUM(BP232:BP232), ""))</f>
        <v/>
      </c>
      <c r="EJ232" s="109"/>
      <c r="EK232" s="485" t="str">
        <f t="shared" si="549"/>
        <v/>
      </c>
      <c r="EL232" s="252" t="str">
        <f t="shared" si="582"/>
        <v/>
      </c>
      <c r="EM232" s="252" t="str">
        <f t="shared" si="583"/>
        <v/>
      </c>
      <c r="EN232" s="252" t="str">
        <f t="shared" si="584"/>
        <v/>
      </c>
      <c r="EO232" s="252" t="str">
        <f t="shared" si="585"/>
        <v/>
      </c>
      <c r="EP232" s="252" t="str">
        <f t="shared" si="586"/>
        <v/>
      </c>
      <c r="EQ232" s="252" t="str">
        <f t="shared" si="587"/>
        <v/>
      </c>
      <c r="ER232" s="252" t="str">
        <f t="shared" si="588"/>
        <v/>
      </c>
      <c r="ES232" s="252" t="str">
        <f t="shared" si="589"/>
        <v/>
      </c>
      <c r="ET232" s="252" t="str">
        <f t="shared" si="590"/>
        <v/>
      </c>
      <c r="EU232" s="252" t="str">
        <f t="shared" si="591"/>
        <v/>
      </c>
      <c r="EV232" s="252" t="str">
        <f t="shared" si="592"/>
        <v/>
      </c>
      <c r="EW232" s="252" t="str">
        <f t="shared" si="593"/>
        <v/>
      </c>
      <c r="EX232" s="252" t="str">
        <f t="shared" si="594"/>
        <v/>
      </c>
      <c r="EY232" s="252" t="str">
        <f t="shared" si="595"/>
        <v/>
      </c>
      <c r="EZ232" s="252" t="str">
        <f t="shared" si="596"/>
        <v/>
      </c>
      <c r="FA232" s="252" t="str">
        <f t="shared" si="597"/>
        <v/>
      </c>
      <c r="FB232" s="252" t="str">
        <f t="shared" si="598"/>
        <v/>
      </c>
      <c r="FC232" s="252" t="str">
        <f>IF(CD232="ERROR", "ERROR", IF(OR(V232="No Change", V232="Not DLC or Energy Star"), "", IF(AND(OR($FC$6=Y232,Y232='Lookup Tables'!$AD$21, Y232='Lookup Tables'!$AD$22),E232="Interior"), S232, "")))</f>
        <v/>
      </c>
      <c r="FD232" s="252" t="str">
        <f t="shared" si="599"/>
        <v/>
      </c>
      <c r="FE232" s="101"/>
      <c r="FF232" s="579" t="str" cm="1">
        <f t="array" ref="FF232">IFERROR(IF(OR(BQ232&lt;=0,AQ232&lt;20,AND(V232="Exit Signs",AN232&gt;0)),"",IF(AND(AQ232&gt;=20,AN232='Lookup Tables'!$R$101),'Lookup Tables'!$U$101*BQ232,AP232*LOOKUP(2,1/((AN232='Lookup Tables'!$R$91:$R$111)*(AQ232&gt;='Lookup Tables'!$S$91:$S$111)*(AQ232&lt;='Lookup Tables'!$T$91:$T$111)),'Lookup Tables'!$U$91:$U$111))),"")</f>
        <v/>
      </c>
      <c r="FG232" s="579"/>
      <c r="FH232" s="579"/>
      <c r="FI232" s="253" t="str">
        <f>IFERROR(ROUND(IF(CD232="ERROR", "ERROR", IF(AND($FI$7=X232,E232="Interior"),VLOOKUP(W232, 'Lookup Tables'!$AI$6:$AM$102, 5, FALSE)*BP232, "")), 2), "")</f>
        <v/>
      </c>
      <c r="FJ232" s="253" t="str">
        <f>IFERROR(ROUND(IF(CD232="ERROR", "ERROR", IF(AND($FI$7=X232,E232="Exterior"),VLOOKUP(W232, 'Lookup Tables'!$AI$6:$AM$102, 5, FALSE)*BP232, "")), 2), "")</f>
        <v/>
      </c>
      <c r="FK232" s="253" t="str">
        <f>IFERROR(ROUND(IF(CD232="ERROR", "ERROR", IF(AND($FK$7=X232,E232="Interior"),VLOOKUP(W232, 'Lookup Tables'!$AI$6:$AM$102, 5, FALSE)*BP232, "")), 2), "")</f>
        <v/>
      </c>
      <c r="FL232" s="253" t="str">
        <f>IFERROR(ROUND(IF(CD232="ERROR", "ERROR", IF(AND($FK$7=X232,E232="Exterior"),VLOOKUP(W232, 'Lookup Tables'!$AI$6:$AM$102, 5, FALSE)*BP232, "")), 2), "")</f>
        <v/>
      </c>
      <c r="FM232" s="253" t="str">
        <f>IFERROR(ROUND(IF(CD232="ERROR", "ERROR", IF(AND($FM$6=Y232,E232="Interior"), IF(GB232=0, VLOOKUP(W232, 'Lookup Tables'!$AI$6:$AM$102, 5, FALSE)*BP232, IF(VLOOKUP(W232, 'Lookup Tables'!$AI$6:$AM$102, 5, FALSE)*BP232&gt;GB232*'Lighting Inventory'!S232, GB232*'Lighting Inventory'!S232,VLOOKUP(W232, 'Lookup Tables'!$AI$6:$AM$102, 5, FALSE)*BP232)), "")), 2), "")</f>
        <v/>
      </c>
      <c r="FN232" s="253" t="str">
        <f>IFERROR(ROUND(IF(CD232="ERROR", "ERROR", IF(AND($FM$6=Y232,E232="Exterior"), IF(GB232=0, VLOOKUP(W232, 'Lookup Tables'!$AI$6:$AM$102, 5, FALSE)*BP232, IF(VLOOKUP(W232, 'Lookup Tables'!$AI$6:$AM$102, 5, FALSE)*BP232&gt;GB232*'Lighting Inventory'!S232, GB232*'Lighting Inventory'!S232,VLOOKUP(W232, 'Lookup Tables'!$AI$6:$AM$102, 5, FALSE)*BP232)), "")), 2), "")</f>
        <v/>
      </c>
      <c r="FO232" s="253" t="str">
        <f>IFERROR(ROUND(IF(CD232="ERROR", "ERROR", IF(AND($FO$6=Y232,E232="Interior"),VLOOKUP(W232, 'Lookup Tables'!$AI$6:$AM$102, 5, FALSE)*'Lighting Inventory'!AI232, "")), 2), "")</f>
        <v/>
      </c>
      <c r="FP232" s="253" t="str">
        <f>IFERROR(ROUND(IF(CD232="ERROR", "ERROR", IF(AND($FO$6=Y232,E232="Exterior"),VLOOKUP(W232, 'Lookup Tables'!$AI$6:$AM$102, 5, FALSE)*'Lighting Inventory'!AI232, "")), 2), "")</f>
        <v/>
      </c>
      <c r="FQ232" s="253" t="str">
        <f>IFERROR(ROUND(IF(CD232="ERROR", "ERROR", IF(AND($FQ$6=Y232,E232="Interior", BU232="Y"), VLOOKUP('Lighting Inventory'!W232, 'Lookup Tables'!$AI$6:$AM$102, 5, FALSE)*'Lighting Inventory'!S232, IF(AND($FQ$7=Y232,E232="Interior", BU232="N"), 0.025*CD232, ""))), 2), "")</f>
        <v/>
      </c>
      <c r="FR232" s="253" t="str">
        <f>IFERROR(ROUND(IF(CD232="ERROR", "ERROR", IF(AND($FQ$6=Y232,E232="Exterior"), VLOOKUP('Lighting Inventory'!W232, 'Lookup Tables'!$AI$6:$AM$102, 5, FALSE)*'Lighting Inventory'!S232, "")), 2), "")</f>
        <v/>
      </c>
      <c r="FS232" s="253" t="str">
        <f>IFERROR(ROUND(IF(CD232="ERROR", "ERROR", IF(AND($FS$6=Y232,E232="Exterior"), IF(GB232=0, VLOOKUP(W232, 'Lookup Tables'!$AI$6:$AM$102, 5, FALSE)*BP232, IF(VLOOKUP(W232, 'Lookup Tables'!$AI$6:$AM$102, 5, FALSE)*BP232&gt;GB232*'Lighting Inventory'!S232, GB232*'Lighting Inventory'!S232,VLOOKUP(W232, 'Lookup Tables'!$AI$6:$AM$102, 5, FALSE)*BP232)), "")), 2), "")</f>
        <v/>
      </c>
      <c r="FT232" s="253" t="str">
        <f>IFERROR(ROUND(IF(CD232="ERROR", "ERROR", IF(AND($FT$6=Y232,E232="Interior"), IF(GB232=0, VLOOKUP(W232, 'Lookup Tables'!$AI$6:$AM$102, 5, FALSE)*BP232, IF(VLOOKUP(W232, 'Lookup Tables'!$AI$6:$AM$102, 5, FALSE)*BP232&gt;GB232*'Lighting Inventory'!S232, GB232*'Lighting Inventory'!S232,VLOOKUP(W232, 'Lookup Tables'!$AI$6:$AM$102, 5, FALSE)*BP232)), "")), 2), "")</f>
        <v/>
      </c>
      <c r="FU232" s="253" t="str">
        <f>IFERROR(ROUND(IF(CD232="ERROR", "ERROR", IF(AND(Y232=$FU$6, E232="Interior"), IF(BS232="N", 'Lookup Tables'!$AM$101*BP232, VLOOKUP(W232, 'Lookup Tables'!$AI$6:$AM$102, 5, FALSE)*S232*AD232), "")), 2), "")</f>
        <v/>
      </c>
      <c r="FV232" s="253" t="str">
        <f>IFERROR(ROUND(IF(CD232="ERROR", "ERROR", IF(AND(Y232=$FU$6, E232="Exterior"), IF(BS232="N", 'Lookup Tables'!$AM$101*BP232, VLOOKUP(W232, 'Lookup Tables'!$AI$6:$AM$102, 5, FALSE)*S232*AD232), "")), 2), "")</f>
        <v/>
      </c>
      <c r="FW232" s="253" t="str">
        <f>IFERROR(ROUND(IF(CD232="ERROR", "ERROR", IF($FW$6=Y232, IF(BS232="N", 'Lookup Tables'!$AM$101*BP232, MIN((VLOOKUP(W232, 'Lookup Tables'!$AI$6:$AM$102, 5, FALSE)*BP232),GB232*AJ232)), "")), 2), "")</f>
        <v/>
      </c>
      <c r="FX232" s="253" t="str">
        <f>IFERROR(ROUND(IF(CD232="ERROR", "ERROR", IF(AND($FX$6=Y232, E232="Interior"), IF(VLOOKUP(W232, 'Lookup Tables'!$AI$6:$AM$102, 5, FALSE)*BP232&gt;'Lookup Tables'!$AQ$97*'Lighting Inventory'!S232,'Lighting Inventory'!S232*'Lookup Tables'!$AQ$97,VLOOKUP(W232, 'Lookup Tables'!$AI$6:$AM$102, 5, FALSE)*BP232), "")), 2), "")</f>
        <v/>
      </c>
      <c r="FY232" s="253" t="str">
        <f>IFERROR(ROUND(IF(CD232="ERROR", "ERROR", IF(AND($FX$6=Y232, E232="Exterior"), IF(VLOOKUP(W232, 'Lookup Tables'!$AI$6:$AM$102, 5, FALSE)*BP232&gt;'Lookup Tables'!$AQ$97*'Lighting Inventory'!S232,'Lighting Inventory'!S232*'Lookup Tables'!$AQ$97,VLOOKUP(W232, 'Lookup Tables'!$AI$6:$AM$102, 5, FALSE)*BP232), "")), 2), "")</f>
        <v/>
      </c>
      <c r="FZ232" s="253" t="str">
        <f>IFERROR(ROUND(IF(CD232="ERROR", "ERROR", IF(AND($FZ$6=Y232, E232="Interior"), IF(AND(OR(W232="Refrigerated Case Lighting with Doors", W232="Freezer Case Lighting"),Y232="Custom - Process Improvement"),CD232*'Lookup Tables'!$AM$101, IF(B232="Retrofit", IF(VLOOKUP(IF(V232="Custom", V232, W232), 'Lookup Tables'!$AI$6:$AM$102, 5, FALSE)*BP232&gt;GE232, GE232, VLOOKUP(IF(V232="Custom", V232, W232), 'Lookup Tables'!$AI$6:$AM$102, 5, FALSE)*BP232), IF(VLOOKUP(IF(V232="Custom", V232, W232), 'Lookup Tables'!$AI$114:$AM$154, 5, FALSE)*BP232&gt;GE232, GE232, VLOOKUP(IF(V232="Custom", V232, W232), 'Lookup Tables'!$AI$114:$AM$154, 5, FALSE)*BP232))), "")), 2),"")</f>
        <v/>
      </c>
      <c r="GA232" s="253" t="str">
        <f>IFERROR(ROUND(IF(CD232="ERROR", "ERROR", IF(AND($FZ$6=Y232, E232="Exterior"), IF(B232="Retrofit", IF(VLOOKUP(IF(V232="Custom", V232, W232), 'Lookup Tables'!$AI$6:$AM$102, 5, FALSE)*BP232&gt;GE232, GE232, VLOOKUP(IF(V232="Custom", V232, W232), 'Lookup Tables'!$AI$6:$AM$102, 5, FALSE)*BP232), IF(VLOOKUP(IF(V232="Custom", V232, W232), 'Lookup Tables'!$AI$114:$AM$154, 5, FALSE)*BP232&gt;GE232, GE232, VLOOKUP(IF(V232="Custom", V232, W232), 'Lookup Tables'!$AI$114:$AM$154, 5, FALSE)*BP232)), "")), 2),"")</f>
        <v/>
      </c>
      <c r="GB232" s="254" t="str">
        <f t="array" ref="GB232">IF(B232="","",IF(OR(V232="Custom",V232="No Change"),0,IF(B232="Retrofit", INDEX('Lookup Tables'!$AH$6:$AQ$102,MATCH(1,('Lookup Tables'!$AH$6:$AH$102='Lighting Inventory'!V232)*('Lookup Tables'!$AI$6:$AI$102='Lighting Inventory'!W232),FALSE),10),INDEX('Lookup Tables'!$AH$114:$AQ$154,MATCH(1,('Lookup Tables'!$AH$114:$AH$154='Lighting Inventory'!V232)*('Lookup Tables'!$AI$114:$AI$154='Lighting Inventory'!W232),FALSE),10))))</f>
        <v/>
      </c>
      <c r="GC232" s="255" t="str">
        <f t="shared" si="550"/>
        <v/>
      </c>
      <c r="GD232" s="250" t="str">
        <f t="shared" si="551"/>
        <v/>
      </c>
      <c r="GE232" s="253" t="str">
        <f>IFERROR(IF(AND(AF232="", 'General Information'!$F$18="No"),"", IF(AF232="", ((GD232/$CD$266)*$CF$266)*0.5, AF232*S232*0.5)), "")</f>
        <v/>
      </c>
      <c r="GF232" s="255" t="str">
        <f>IF(AND('General Information'!$F$19="", 'General Information'!$F$18="Yes",AF232="",BW232="Y"), "Y", "N")</f>
        <v>N</v>
      </c>
      <c r="GG232" s="255" t="s">
        <v>2946</v>
      </c>
      <c r="GH232" s="255" t="str">
        <f>IFERROR(IF(B232="", "", VLOOKUP(J232, 'Fixture Identities'!$A$6:$N$908, 14, FALSE)), "")</f>
        <v/>
      </c>
      <c r="GI232" s="389" t="str">
        <f>IF(OR(B232="", V232="", W232=""), "", IF(AND(OR(M232='Lookup Tables'!$R$18, M232='Lookup Tables'!$R$19, M232='Lookup Tables'!$R$20, M232='Lookup Tables'!$R$21, M232='Lookup Tables'!$R$22), OR(AN232='Lookup Tables'!$R$17, AN232='Lookup Tables'!$R$17, AN232="")), "Y", "N"))</f>
        <v/>
      </c>
      <c r="GJ232" s="255" t="str">
        <f t="shared" si="552"/>
        <v/>
      </c>
      <c r="GK232" s="255" t="str">
        <f t="shared" si="553"/>
        <v/>
      </c>
      <c r="GL232" s="255" t="str">
        <f t="shared" si="554"/>
        <v/>
      </c>
      <c r="GM232" s="255" t="str">
        <f>IF(AN232="", "", IF(AND(IF(ISNA(VLOOKUP(AN232,'Lookup Tables'!$R$18:$R$22,1,FALSE)), "N", "Y")="Y", E232="Exterior"), "Y", "N"))</f>
        <v/>
      </c>
      <c r="GN232" s="395"/>
      <c r="GO232" s="428">
        <f t="shared" si="600"/>
        <v>0</v>
      </c>
      <c r="GP232" s="428">
        <f t="shared" si="603"/>
        <v>0</v>
      </c>
      <c r="GQ232" s="428">
        <f t="shared" si="601"/>
        <v>0</v>
      </c>
      <c r="GR232" s="428">
        <f t="shared" si="602"/>
        <v>0</v>
      </c>
    </row>
    <row r="233" spans="1:200" s="103" customFormat="1" ht="13.5" customHeight="1" x14ac:dyDescent="0.2">
      <c r="A233" s="272">
        <v>223</v>
      </c>
      <c r="B233" s="110"/>
      <c r="C233" s="110"/>
      <c r="D233" s="110"/>
      <c r="E233" s="110"/>
      <c r="F233" s="110"/>
      <c r="G233" s="110"/>
      <c r="H233" s="110"/>
      <c r="I233" s="29"/>
      <c r="J233" s="29"/>
      <c r="K233" s="272" t="str">
        <f>IFERROR(IF(OR(VLOOKUP(J233, 'Fixture Identities'!$A$6:$L$1023, 3, FALSE)="T12 Linear Fluorescent", VLOOKUP(J233, 'Fixture Identities'!$A$6:$L$1023, 3, FALSE)="T12 U-Tube Fluorescent"), VLOOKUP(VLOOKUP(J233, 'Fixture Identities'!$A$6:$L$1023, 11, FALSE), 'Fixture Identities'!$A$6:$L$1023, 10, FALSE), VLOOKUP(J233, 'Fixture Identities'!$A$6:$L$1023, 10, FALSE)), "")</f>
        <v/>
      </c>
      <c r="L233" s="270" t="str">
        <f t="shared" si="605"/>
        <v/>
      </c>
      <c r="M233" s="110"/>
      <c r="N233" s="110"/>
      <c r="O233" s="110"/>
      <c r="P233" s="272" t="str">
        <f>IFERROR(IF(OR(B233="Retrofit",B233=""),"",IF('Lighting Inventory'!E233="Exterior",VLOOKUP('Lighting Inventory'!N233,'Lookup Tables'!$B$83:$F$103,5,FALSE),IF(N233="Other - Please Estimate EFLH and CFs","Contact Prog. Rep.","ft^2"))), "")</f>
        <v/>
      </c>
      <c r="Q233" s="270" t="str">
        <f>IFERROR(IF(AND(B233="New Construction",E233="Interior",$F$5="Space-by-Space"),VLOOKUP('Lighting Inventory'!N233,'Lookup Tables'!$N$6:$O$97,2,FALSE),IF(AND(B233="New Construction",E233="Exterior"),VLOOKUP(N233,'Lookup Tables'!$B$83:$F$103,2,FALSE),IF(AND(B233="New Construction",'Lighting Inventory'!E233="Interior", $F$5="Building Area"),VLOOKUP(F233,'Lookup Tables'!$A$6:$J$59,10,FALSE),""))), "")</f>
        <v/>
      </c>
      <c r="R233" s="270" t="str">
        <f>IFERROR(IF(P233="Contact Prog. Rep.", "ERROR", IF(OR(B233="",B233="Retrofit"),"",IF(N233="Automated teller machines", ('Lookup Tables'!$A$82:$E$100+('Lighting Inventory'!O233-1)*'Lookup Tables'!$A$82:$E$100)/1000, (Q233*O233)/1000))), "")</f>
        <v/>
      </c>
      <c r="S233" s="595"/>
      <c r="T233" s="105" t="str">
        <f t="shared" si="555"/>
        <v/>
      </c>
      <c r="U233" s="105" t="str">
        <f>IF(S233="","",COUNT($S$11:S233))</f>
        <v/>
      </c>
      <c r="V233" s="111"/>
      <c r="W233" s="112"/>
      <c r="X233" s="105" t="str">
        <f t="shared" si="556"/>
        <v/>
      </c>
      <c r="Y233" s="105" t="str">
        <f t="array" ref="Y233">IF(AND(OR(W233="Freezer Case Lighting", W233="Refrigerated Case Lighting with Doors"), 'General Information'!$X$18="LCI"),'Lookup Tables'!$Y$34, IF(V233="Custom", VLOOKUP(W233, 'Fixture Identities'!$A$974:$M$1023, 13, FALSE), IF(V233="No Change",'Lookup Tables'!$Y$29,IF(OR(V233="",W233=""),"",IF(AND(S233=0,S233&lt;I233,B233="Retrofit"),'Lookup Tables'!$Y$25, IF(B233="Retrofit", INDEX('Lookup Tables'!$AH$6:$AP$102, MATCH(1, ('Lookup Tables'!$AH$6:$AH$102=V233)*('Lookup Tables'!$AI$6:$AI$102=W233), 0), IF('Lighting Inventory'!E233="Interior", 4, 5)), INDEX('Lookup Tables'!$AH$114:$AP$154, MATCH(1, ('Lookup Tables'!$AH$114:$AH$154=V233)*('Lookup Tables'!$AI$114:$AI$154=W233), 0), IF('Lighting Inventory'!E233="Interior", 4, 5))))))))</f>
        <v/>
      </c>
      <c r="Z233" s="105" t="str">
        <f>IFERROR(INDEX('Lookup Tables'!$AH$158:$AH$172,MATCH('Lighting Inventory'!Y233,'Lookup Tables'!$AI$158:$AI$172,0)),"")</f>
        <v/>
      </c>
      <c r="AA233" s="105" t="str">
        <f>IF(AP233&gt;0,INDEX('Lookup Tables'!$AK$158:$AK$172,MATCH('Lighting Inventory'!Y233,'Lookup Tables'!$AI$158:$AI$172,0)),'Lighting Inventory'!Y233)</f>
        <v/>
      </c>
      <c r="AB233" s="105" t="str">
        <f t="array" ref="AB233">IF(V233="Custom", "Custom", IF(V233="", "", IF(V233="Not DLC or Energy Star", "General", IF(B233="New Construction", INDEX('Lookup Tables'!$AH$114:$AP$154,MATCH(1,('Lookup Tables'!$AH$114:$AH$154='Lighting Inventory'!V233)*('Lookup Tables'!$AI$114:$AI$154='Lighting Inventory'!W233),FALSE),8), INDEX('Lookup Tables'!$AH$6:$AP$102,MATCH(1,('Lookup Tables'!$AH$6:$AH$102='Lighting Inventory'!V233)*('Lookup Tables'!$AI$6:$AI$102='Lighting Inventory'!W233),FALSE),8)))))</f>
        <v/>
      </c>
      <c r="AC233" s="272" t="str">
        <f>IF(W233="","",IF(V233="Custom",CONCATENATE("$",'Lookup Tables'!$AM$101," ",'Lookup Tables'!$AN$101),CONCATENATE("$",INDEX('Lookup Tables'!$AM$6:$AM$102,MATCH('Lighting Inventory'!W233,'Lookup Tables'!$AI$6:$AI$102,0))," ",INDEX('Lookup Tables'!$AN$6:$AN$102,MATCH('Lighting Inventory'!W233,'Lookup Tables'!$AI$6:$AI$102,0)))))</f>
        <v/>
      </c>
      <c r="AD233" s="72"/>
      <c r="AE233" s="29"/>
      <c r="AF233" s="379"/>
      <c r="AG233" s="370" t="str">
        <f t="shared" si="504"/>
        <v/>
      </c>
      <c r="AH233" s="370" t="str">
        <f t="shared" si="557"/>
        <v/>
      </c>
      <c r="AI233" s="29"/>
      <c r="AJ233" s="29"/>
      <c r="AK233" s="110"/>
      <c r="AL233" s="375" t="str">
        <f>IF(OR(B233="", V233="", W233=""), "", IF(V233="No Change", K233, IF(V233="Remove Fixture", 0, IF(V233="Custom",VLOOKUP(W233,'Fixture Identities'!$A$6:$K$1023,10,FALSE),IF(AE233="", "← ENTER POST WATTS", 'Lighting Inventory'!AE233)))))</f>
        <v/>
      </c>
      <c r="AM233" s="376" t="str">
        <f t="shared" si="505"/>
        <v/>
      </c>
      <c r="AN233" s="29"/>
      <c r="AO233" s="671"/>
      <c r="AP233" s="29"/>
      <c r="AQ233" s="29"/>
      <c r="AR233" s="29"/>
      <c r="AS233" s="272" t="str">
        <f t="shared" si="558"/>
        <v/>
      </c>
      <c r="AT233" s="270" t="str">
        <f t="shared" si="506"/>
        <v/>
      </c>
      <c r="AU233" s="88" t="str">
        <f t="shared" si="606"/>
        <v/>
      </c>
      <c r="AV233" s="29"/>
      <c r="AW233" s="73"/>
      <c r="AX233" s="271" t="str">
        <f>IF(AND(AV233="Applicant",OR(AW233="", AW233="Use Default Facility Hours")),"← Choose Schedule",IF(F233="","",IF(W233="LED Exit Signs",8760,IF(OR(AV233="Prescribed",AV233=""),VLOOKUP(F233,'Lookup Tables'!$A$6:$G$59,IF(AB233="General", 6, 3),FALSE),VLOOKUP(AW233,'Lookup Tables'!$S$36:$U$43,2,FALSE)))))</f>
        <v/>
      </c>
      <c r="AY233" s="88" t="str">
        <f t="shared" si="507"/>
        <v/>
      </c>
      <c r="AZ233" s="270" t="str">
        <f>IFERROR(IF(F233="", "", IF(W233="LED Exit Signs", 1, IF(AV233="Applicant",VLOOKUP(AW233, 'Lookup Tables'!$S$36:$U$43,3, FALSE), VLOOKUP('Lighting Inventory'!F233, 'Lookup Tables'!$A$6:$H$59, IF('Lighting Inventory'!AB233="General",7,4), FALSE)))), "")</f>
        <v/>
      </c>
      <c r="BA233" s="522" t="str">
        <f>IFERROR(IF(F233="", "", IF(W233="LED Exit Signs", 1, VLOOKUP('Lighting Inventory'!F233, 'Lookup Tables'!$A$6:$H$59, IF('Lighting Inventory'!AB233="General",8,5), FALSE))), "")</f>
        <v/>
      </c>
      <c r="BB233" s="270" t="str">
        <f>IF(G233="", "", IF(E233="Exterior", 0, IF('Lighting Inventory'!G233="Air Conditioned", VLOOKUP(H233, 'Lookup Tables'!$R$6:$T$13, 2, FALSE), VLOOKUP('Lighting Inventory'!G233, 'Lookup Tables'!$R$6:$T$13, 2, FALSE))))</f>
        <v/>
      </c>
      <c r="BC233" s="522" t="str">
        <f>IF(G233="", "", IF(E233="Exterior", 0, IF('Lighting Inventory'!G233="Air Conditioned", VLOOKUP(H233, 'Lookup Tables'!$R$6:$T$13, 3, FALSE), VLOOKUP('Lighting Inventory'!G233, 'Lookup Tables'!$R$6:$T$13, 3, FALSE))))</f>
        <v/>
      </c>
      <c r="BD233" s="270" t="str">
        <f>IF(G233="", "", IF(E233="Exterior", 0, IF('Lighting Inventory'!G233="Air Conditioned", VLOOKUP(H233, 'Lookup Tables'!$R$6:$U$13, 4, FALSE), VLOOKUP('Lighting Inventory'!G233, 'Lookup Tables'!$R$6:$U$13, 4, FALSE))))</f>
        <v/>
      </c>
      <c r="BE233" s="270" t="str">
        <f>IFERROR(IF(B233="", "",  IF(B233="New Construction", VLOOKUP(F233, 'Lookup Tables'!$A$6:$K$59, 11, FALSE),IF(OR(AN233="", AN233="Light Switch"), 0, IF(OR(M233="",M233="None",V233= "LED Exit Signs"),0,_xlfn.XLOOKUP(M233,'Lookup Tables'!$R$91:$R$101,'Lookup Tables'!$V$91:$V$101))))), "")</f>
        <v/>
      </c>
      <c r="BF233" s="270" t="str">
        <f>IF(AND(OR(AN233="Light Switch",AN233=""),B233="New Construction"), VLOOKUP(F233, 'Lookup Tables'!$A$6:$K$59, 11, FALSE),IF(AN233="","",IF(B233="","",IF(OR(AN233="None",AN233="",V233="LED Exit Signs",AN233="Exterior Controls Not Eligible"),0,_xlfn.XLOOKUP(AN233,'Lookup Tables'!$R$91:$R$101,'Lookup Tables'!$V$91:$V$101)))))</f>
        <v/>
      </c>
      <c r="BG233" s="88" t="str">
        <f t="shared" si="559"/>
        <v/>
      </c>
      <c r="BH233" s="88" t="str">
        <f t="shared" si="560"/>
        <v/>
      </c>
      <c r="BI233" s="558" t="str">
        <f t="shared" si="604"/>
        <v/>
      </c>
      <c r="BJ233" s="82" t="str">
        <f t="shared" si="561"/>
        <v/>
      </c>
      <c r="BK233" s="82" t="str">
        <f t="shared" si="562"/>
        <v/>
      </c>
      <c r="BL233" s="559" t="str">
        <f t="shared" si="563"/>
        <v/>
      </c>
      <c r="BM233" s="521" t="str">
        <f t="shared" si="508"/>
        <v/>
      </c>
      <c r="BN233" s="521" t="str">
        <f t="shared" si="509"/>
        <v/>
      </c>
      <c r="BO233" s="522" t="str">
        <f t="shared" si="510"/>
        <v/>
      </c>
      <c r="BP233" s="83" t="str">
        <f t="shared" si="564"/>
        <v/>
      </c>
      <c r="BQ233" s="84" t="str">
        <f t="shared" si="565"/>
        <v/>
      </c>
      <c r="BR233" s="184" t="str">
        <f>IFERROR(IF(B233="", "", IF(OR(VLOOKUP(J233, 'Fixture Identities'!$A$6:$L$1023, 3, FALSE)="T12 Linear Fluorescent",VLOOKUP(J233, 'Fixture Identities'!$A$6:$L$1023, 3, FALSE)="T12 U-Tube Fluorescent"), "Y", "N")), "N")</f>
        <v/>
      </c>
      <c r="BS233" s="184" t="str">
        <f t="array" ref="BS233">IFERROR(IF(OR(B233="", V233="", W233=""), "", IF(V233="Custom", "N", IF(OR(W233="Freezer Case Lighting", W233="Refrigerated Case Lighting with Doors"), BT233, IF(B233="Retrofit", INDEX('Lookup Tables'!$AH$6:$AT$102,MATCH(1,('Lookup Tables'!$AH$6:$AH$102=V233)*('Lookup Tables'!$AI$6:$AI$102=W233),FALSE),IF(VLOOKUP(J233, 'Fixture Identities'!$A$6:$B$1023, 2, FALSE)="Incandescent",12, 13)), INDEX('Lookup Tables'!$AH$114:$AS$154,MATCH(1,('Lookup Tables'!$AH$114:$AH$154=V233)*('Lookup Tables'!$AI$114:$AI$154=W233),FALSE),12))))), "N")</f>
        <v/>
      </c>
      <c r="BT233" s="184" t="str">
        <f>IF(J233="", "", IF(AND(OR(W233="Freezer case Lighting", W233="Refrigerated Case Lighting with Doors"),'General Information'!$X$18="LCI"), "N", IF(OR(VLOOKUP(J233, 'Fixture Identities'!$A$6:$B$1023, 2, FALSE)="T12 EPACT/EISA Baseline", VLOOKUP(J233, 'Fixture Identities'!$A$6:$B$1023, 2, FALSE)="Linear Fluorescent", VLOOKUP(J233, 'Fixture Identities'!$A$6:$B$1023, 2, FALSE)="U-Tube Fluorescent"), "Y", "N")))</f>
        <v/>
      </c>
      <c r="BU233" s="184" t="str">
        <f>IFERROR(IF(B233="", "", IF(VLOOKUP(J233, 'Fixture Identities'!$A$6:$B$1023, 2, FALSE)="Exit Sign", "Y", "N")), "N")</f>
        <v/>
      </c>
      <c r="BV233" s="184" t="str">
        <f>IF(V233="Exit Signs", IF(VLOOKUP(J233, 'Fixture Identities'!$A$6:$B$1023, 2, FALSE)="Exit Sign", "N", "Y"), "")</f>
        <v/>
      </c>
      <c r="BW233" s="184" t="str">
        <f t="array" ref="BW233">IFERROR(IF(B233="", "", IF(B233="New Construction", "N", INDEX('Lookup Tables'!$AH$6:$AU$102, MATCH(1, ('Lookup Tables'!$AH$6:$AH$102='Lighting Inventory'!V233)*('Lookup Tables'!$AI$6:$AI$102='Lighting Inventory'!W233), 0), 14))), "N")</f>
        <v/>
      </c>
      <c r="BX233" s="598" t="str">
        <f t="shared" si="566"/>
        <v/>
      </c>
      <c r="BY233" s="598" t="str">
        <f t="shared" si="567"/>
        <v/>
      </c>
      <c r="BZ233" s="598" t="str">
        <f t="shared" si="568"/>
        <v/>
      </c>
      <c r="CA233" s="598" t="str">
        <f t="shared" si="569"/>
        <v/>
      </c>
      <c r="CB233" s="269" t="str">
        <f t="shared" si="570"/>
        <v/>
      </c>
      <c r="CC233" s="517" t="str">
        <f t="shared" si="571"/>
        <v/>
      </c>
      <c r="CD233" s="565" t="str">
        <f t="shared" si="511"/>
        <v/>
      </c>
      <c r="CE233" s="368">
        <v>0</v>
      </c>
      <c r="CF233" s="368" t="str" cm="1">
        <f t="array" ref="CF233">IFERROR(IF(V233="Custom", "$0.1 per kWh", IF(B233="New Construction", CONCATENATE("$",INDEX('Lookup Tables'!$AH$114:$AN$154,MATCH(1,('Lookup Tables'!$AH$114:$AH$154='Lighting Inventory'!V233)*('Lookup Tables'!$AI$114:$AI$154='Lighting Inventory'!W233),FALSE),6)," ",INDEX('Lookup Tables'!$AH$114:$AN$154,MATCH(1,('Lookup Tables'!$AH$114:$AH$154='Lighting Inventory'!V233)*('Lookup Tables'!$AI$114:$AI$154='Lighting Inventory'!W233),FALSE),7)), IF(AND(BU233="N", V233="Exit Signs"), "$0.025 per kWh", CONCATENATE("$",INDEX('Lookup Tables'!$AH$6:$AN$102,MATCH(1,('Lookup Tables'!$AH$6:$AH$102='Lighting Inventory'!V233)*('Lookup Tables'!$AI$6:$AI$102='Lighting Inventory'!W233),FALSE),6)," ",INDEX('Lookup Tables'!$AH$6:$AN$102,MATCH(1,('Lookup Tables'!$AH$6:$AH$102='Lighting Inventory'!V233)*('Lookup Tables'!$AI$6:$AI$102='Lighting Inventory'!W233),FALSE),7))))), "")</f>
        <v/>
      </c>
      <c r="CG233" s="366"/>
      <c r="CH233" s="248" t="str">
        <f t="shared" si="512"/>
        <v/>
      </c>
      <c r="CI233" s="248" t="str">
        <f t="shared" si="513"/>
        <v>Select_IE</v>
      </c>
      <c r="CJ233" s="248" t="str">
        <f t="shared" si="514"/>
        <v/>
      </c>
      <c r="CK233" s="248" t="str">
        <f t="shared" si="515"/>
        <v/>
      </c>
      <c r="CL233" s="248" t="str">
        <f t="shared" si="516"/>
        <v/>
      </c>
      <c r="CM233" s="248" t="str">
        <f>IFERROR(IF(B233="", "", IF(B233="New Construction", VLOOKUP(V233, 'Lookup Tables'!$AF$114:$AG$120, 2, FALSE), VLOOKUP(V233, 'Lookup Tables'!$AD$6:$AE$25, 2, FALSE))), "")</f>
        <v/>
      </c>
      <c r="CN233" s="248" t="str">
        <f t="shared" si="517"/>
        <v/>
      </c>
      <c r="CO233" s="248" t="str">
        <f t="shared" si="518"/>
        <v/>
      </c>
      <c r="CP233" s="592" t="str">
        <f t="shared" si="519"/>
        <v/>
      </c>
      <c r="CQ233" s="248" t="str">
        <f t="shared" si="572"/>
        <v/>
      </c>
      <c r="CR233" s="100"/>
      <c r="CS233" s="250" t="str">
        <f t="shared" si="520"/>
        <v/>
      </c>
      <c r="CT233" s="250" t="str">
        <f t="shared" si="573"/>
        <v/>
      </c>
      <c r="CU233" s="250" t="str">
        <f t="shared" si="574"/>
        <v/>
      </c>
      <c r="CV233" s="250" t="str">
        <f t="shared" si="575"/>
        <v/>
      </c>
      <c r="CW233" s="250" t="str">
        <f t="shared" si="576"/>
        <v/>
      </c>
      <c r="CX233" s="250" t="str">
        <f t="shared" si="521"/>
        <v/>
      </c>
      <c r="CY233" s="250" t="str">
        <f t="shared" si="522"/>
        <v/>
      </c>
      <c r="CZ233" s="250" t="str">
        <f t="shared" si="523"/>
        <v/>
      </c>
      <c r="DA233" s="250" t="str">
        <f t="shared" si="524"/>
        <v/>
      </c>
      <c r="DB233" s="250" t="str">
        <f t="shared" si="525"/>
        <v/>
      </c>
      <c r="DC233" s="250" t="str">
        <f t="shared" si="526"/>
        <v/>
      </c>
      <c r="DD233" s="250" t="str">
        <f t="shared" si="527"/>
        <v/>
      </c>
      <c r="DE233" s="250" t="str">
        <f t="shared" si="528"/>
        <v/>
      </c>
      <c r="DF233" s="250" t="str">
        <f t="shared" si="529"/>
        <v/>
      </c>
      <c r="DG233" s="250" t="str">
        <f t="shared" si="530"/>
        <v/>
      </c>
      <c r="DH233" s="250" t="str">
        <f t="shared" si="531"/>
        <v/>
      </c>
      <c r="DI233" s="250" t="str">
        <f t="shared" si="532"/>
        <v/>
      </c>
      <c r="DJ233" s="250" t="str">
        <f t="shared" si="533"/>
        <v/>
      </c>
      <c r="DK233" s="250" t="str">
        <f t="shared" si="534"/>
        <v/>
      </c>
      <c r="DL233" s="250" t="str">
        <f t="shared" si="535"/>
        <v/>
      </c>
      <c r="DM233" s="250" t="str">
        <f>IF(CD233="ERROR", "ERROR", IF(AND(OR(Y233=$DM$6, Y233='Lookup Tables'!$AD$21, Y233='Lookup Tables'!$AD$22), E233="Interior"), BJ233, ""))</f>
        <v/>
      </c>
      <c r="DN233" s="250" t="str">
        <f>IF(CD233="ERROR", "ERROR", IF(AND(OR(Y233=$DM$6, Y233='Lookup Tables'!$AD$21, Y233='Lookup Tables'!$AD$22), E233="Exterior"), BJ233, ""))</f>
        <v/>
      </c>
      <c r="DO233" s="100"/>
      <c r="DP233" s="250" t="str">
        <f t="shared" si="536"/>
        <v/>
      </c>
      <c r="DQ233" s="250" t="str">
        <f t="shared" si="577"/>
        <v/>
      </c>
      <c r="DR233" s="250" t="str">
        <f t="shared" si="578"/>
        <v/>
      </c>
      <c r="DS233" s="250" t="str">
        <f t="shared" si="579"/>
        <v/>
      </c>
      <c r="DT233" s="250" t="str">
        <f t="shared" si="580"/>
        <v/>
      </c>
      <c r="DU233" s="250" t="str">
        <f t="shared" si="537"/>
        <v/>
      </c>
      <c r="DV233" s="250" t="str">
        <f t="shared" si="538"/>
        <v/>
      </c>
      <c r="DW233" s="250" t="str">
        <f t="shared" si="539"/>
        <v/>
      </c>
      <c r="DX233" s="250" t="str">
        <f t="shared" si="540"/>
        <v/>
      </c>
      <c r="DY233" s="250" t="str">
        <f t="shared" si="541"/>
        <v/>
      </c>
      <c r="DZ233" s="250" t="str">
        <f t="shared" si="542"/>
        <v/>
      </c>
      <c r="EA233" s="250" t="str">
        <f t="shared" si="543"/>
        <v/>
      </c>
      <c r="EB233" s="250" t="str">
        <f t="shared" si="581"/>
        <v/>
      </c>
      <c r="EC233" s="250" t="str">
        <f t="shared" si="544"/>
        <v/>
      </c>
      <c r="ED233" s="250" t="str">
        <f t="shared" si="545"/>
        <v/>
      </c>
      <c r="EE233" s="250" t="str">
        <f t="shared" si="546"/>
        <v/>
      </c>
      <c r="EF233" s="250" t="str">
        <f t="shared" si="547"/>
        <v/>
      </c>
      <c r="EG233" s="250" t="str">
        <f t="shared" si="548"/>
        <v/>
      </c>
      <c r="EH233" s="250" t="str">
        <f>IF(CD233="ERROR", "ERROR", IF(AND(OR($EH$6=Y233, Y233='Lookup Tables'!$AD$21, Y233='Lookup Tables'!$AD$22),E233="Interior"), SUM(BP233:BP233), ""))</f>
        <v/>
      </c>
      <c r="EI233" s="250" t="str">
        <f>IF(CD233="ERROR", "ERROR", IF(AND(OR($EH$6=Y233, Y233='Lookup Tables'!$AD$21, Y233='Lookup Tables'!$AD$22),E233="Exterior"), SUM(BP233:BP233), ""))</f>
        <v/>
      </c>
      <c r="EJ233" s="109"/>
      <c r="EK233" s="485" t="str">
        <f t="shared" si="549"/>
        <v/>
      </c>
      <c r="EL233" s="252" t="str">
        <f t="shared" si="582"/>
        <v/>
      </c>
      <c r="EM233" s="252" t="str">
        <f t="shared" si="583"/>
        <v/>
      </c>
      <c r="EN233" s="252" t="str">
        <f t="shared" si="584"/>
        <v/>
      </c>
      <c r="EO233" s="252" t="str">
        <f t="shared" si="585"/>
        <v/>
      </c>
      <c r="EP233" s="252" t="str">
        <f t="shared" si="586"/>
        <v/>
      </c>
      <c r="EQ233" s="252" t="str">
        <f t="shared" si="587"/>
        <v/>
      </c>
      <c r="ER233" s="252" t="str">
        <f t="shared" si="588"/>
        <v/>
      </c>
      <c r="ES233" s="252" t="str">
        <f t="shared" si="589"/>
        <v/>
      </c>
      <c r="ET233" s="252" t="str">
        <f t="shared" si="590"/>
        <v/>
      </c>
      <c r="EU233" s="252" t="str">
        <f t="shared" si="591"/>
        <v/>
      </c>
      <c r="EV233" s="252" t="str">
        <f t="shared" si="592"/>
        <v/>
      </c>
      <c r="EW233" s="252" t="str">
        <f t="shared" si="593"/>
        <v/>
      </c>
      <c r="EX233" s="252" t="str">
        <f t="shared" si="594"/>
        <v/>
      </c>
      <c r="EY233" s="252" t="str">
        <f t="shared" si="595"/>
        <v/>
      </c>
      <c r="EZ233" s="252" t="str">
        <f t="shared" si="596"/>
        <v/>
      </c>
      <c r="FA233" s="252" t="str">
        <f t="shared" si="597"/>
        <v/>
      </c>
      <c r="FB233" s="252" t="str">
        <f t="shared" si="598"/>
        <v/>
      </c>
      <c r="FC233" s="252" t="str">
        <f>IF(CD233="ERROR", "ERROR", IF(OR(V233="No Change", V233="Not DLC or Energy Star"), "", IF(AND(OR($FC$6=Y233,Y233='Lookup Tables'!$AD$21, Y233='Lookup Tables'!$AD$22),E233="Interior"), S233, "")))</f>
        <v/>
      </c>
      <c r="FD233" s="252" t="str">
        <f t="shared" si="599"/>
        <v/>
      </c>
      <c r="FE233" s="101"/>
      <c r="FF233" s="579" t="str" cm="1">
        <f t="array" ref="FF233">IFERROR(IF(OR(BQ233&lt;=0,AQ233&lt;20,AND(V233="Exit Signs",AN233&gt;0)),"",IF(AND(AQ233&gt;=20,AN233='Lookup Tables'!$R$101),'Lookup Tables'!$U$101*BQ233,AP233*LOOKUP(2,1/((AN233='Lookup Tables'!$R$91:$R$111)*(AQ233&gt;='Lookup Tables'!$S$91:$S$111)*(AQ233&lt;='Lookup Tables'!$T$91:$T$111)),'Lookup Tables'!$U$91:$U$111))),"")</f>
        <v/>
      </c>
      <c r="FG233" s="579"/>
      <c r="FH233" s="579"/>
      <c r="FI233" s="253" t="str">
        <f>IFERROR(ROUND(IF(CD233="ERROR", "ERROR", IF(AND($FI$7=X233,E233="Interior"),VLOOKUP(W233, 'Lookup Tables'!$AI$6:$AM$102, 5, FALSE)*BP233, "")), 2), "")</f>
        <v/>
      </c>
      <c r="FJ233" s="253" t="str">
        <f>IFERROR(ROUND(IF(CD233="ERROR", "ERROR", IF(AND($FI$7=X233,E233="Exterior"),VLOOKUP(W233, 'Lookup Tables'!$AI$6:$AM$102, 5, FALSE)*BP233, "")), 2), "")</f>
        <v/>
      </c>
      <c r="FK233" s="253" t="str">
        <f>IFERROR(ROUND(IF(CD233="ERROR", "ERROR", IF(AND($FK$7=X233,E233="Interior"),VLOOKUP(W233, 'Lookup Tables'!$AI$6:$AM$102, 5, FALSE)*BP233, "")), 2), "")</f>
        <v/>
      </c>
      <c r="FL233" s="253" t="str">
        <f>IFERROR(ROUND(IF(CD233="ERROR", "ERROR", IF(AND($FK$7=X233,E233="Exterior"),VLOOKUP(W233, 'Lookup Tables'!$AI$6:$AM$102, 5, FALSE)*BP233, "")), 2), "")</f>
        <v/>
      </c>
      <c r="FM233" s="253" t="str">
        <f>IFERROR(ROUND(IF(CD233="ERROR", "ERROR", IF(AND($FM$6=Y233,E233="Interior"), IF(GB233=0, VLOOKUP(W233, 'Lookup Tables'!$AI$6:$AM$102, 5, FALSE)*BP233, IF(VLOOKUP(W233, 'Lookup Tables'!$AI$6:$AM$102, 5, FALSE)*BP233&gt;GB233*'Lighting Inventory'!S233, GB233*'Lighting Inventory'!S233,VLOOKUP(W233, 'Lookup Tables'!$AI$6:$AM$102, 5, FALSE)*BP233)), "")), 2), "")</f>
        <v/>
      </c>
      <c r="FN233" s="253" t="str">
        <f>IFERROR(ROUND(IF(CD233="ERROR", "ERROR", IF(AND($FM$6=Y233,E233="Exterior"), IF(GB233=0, VLOOKUP(W233, 'Lookup Tables'!$AI$6:$AM$102, 5, FALSE)*BP233, IF(VLOOKUP(W233, 'Lookup Tables'!$AI$6:$AM$102, 5, FALSE)*BP233&gt;GB233*'Lighting Inventory'!S233, GB233*'Lighting Inventory'!S233,VLOOKUP(W233, 'Lookup Tables'!$AI$6:$AM$102, 5, FALSE)*BP233)), "")), 2), "")</f>
        <v/>
      </c>
      <c r="FO233" s="253" t="str">
        <f>IFERROR(ROUND(IF(CD233="ERROR", "ERROR", IF(AND($FO$6=Y233,E233="Interior"),VLOOKUP(W233, 'Lookup Tables'!$AI$6:$AM$102, 5, FALSE)*'Lighting Inventory'!AI233, "")), 2), "")</f>
        <v/>
      </c>
      <c r="FP233" s="253" t="str">
        <f>IFERROR(ROUND(IF(CD233="ERROR", "ERROR", IF(AND($FO$6=Y233,E233="Exterior"),VLOOKUP(W233, 'Lookup Tables'!$AI$6:$AM$102, 5, FALSE)*'Lighting Inventory'!AI233, "")), 2), "")</f>
        <v/>
      </c>
      <c r="FQ233" s="253" t="str">
        <f>IFERROR(ROUND(IF(CD233="ERROR", "ERROR", IF(AND($FQ$6=Y233,E233="Interior", BU233="Y"), VLOOKUP('Lighting Inventory'!W233, 'Lookup Tables'!$AI$6:$AM$102, 5, FALSE)*'Lighting Inventory'!S233, IF(AND($FQ$7=Y233,E233="Interior", BU233="N"), 0.025*CD233, ""))), 2), "")</f>
        <v/>
      </c>
      <c r="FR233" s="253" t="str">
        <f>IFERROR(ROUND(IF(CD233="ERROR", "ERROR", IF(AND($FQ$6=Y233,E233="Exterior"), VLOOKUP('Lighting Inventory'!W233, 'Lookup Tables'!$AI$6:$AM$102, 5, FALSE)*'Lighting Inventory'!S233, "")), 2), "")</f>
        <v/>
      </c>
      <c r="FS233" s="253" t="str">
        <f>IFERROR(ROUND(IF(CD233="ERROR", "ERROR", IF(AND($FS$6=Y233,E233="Exterior"), IF(GB233=0, VLOOKUP(W233, 'Lookup Tables'!$AI$6:$AM$102, 5, FALSE)*BP233, IF(VLOOKUP(W233, 'Lookup Tables'!$AI$6:$AM$102, 5, FALSE)*BP233&gt;GB233*'Lighting Inventory'!S233, GB233*'Lighting Inventory'!S233,VLOOKUP(W233, 'Lookup Tables'!$AI$6:$AM$102, 5, FALSE)*BP233)), "")), 2), "")</f>
        <v/>
      </c>
      <c r="FT233" s="253" t="str">
        <f>IFERROR(ROUND(IF(CD233="ERROR", "ERROR", IF(AND($FT$6=Y233,E233="Interior"), IF(GB233=0, VLOOKUP(W233, 'Lookup Tables'!$AI$6:$AM$102, 5, FALSE)*BP233, IF(VLOOKUP(W233, 'Lookup Tables'!$AI$6:$AM$102, 5, FALSE)*BP233&gt;GB233*'Lighting Inventory'!S233, GB233*'Lighting Inventory'!S233,VLOOKUP(W233, 'Lookup Tables'!$AI$6:$AM$102, 5, FALSE)*BP233)), "")), 2), "")</f>
        <v/>
      </c>
      <c r="FU233" s="253" t="str">
        <f>IFERROR(ROUND(IF(CD233="ERROR", "ERROR", IF(AND(Y233=$FU$6, E233="Interior"), IF(BS233="N", 'Lookup Tables'!$AM$101*BP233, VLOOKUP(W233, 'Lookup Tables'!$AI$6:$AM$102, 5, FALSE)*S233*AD233), "")), 2), "")</f>
        <v/>
      </c>
      <c r="FV233" s="253" t="str">
        <f>IFERROR(ROUND(IF(CD233="ERROR", "ERROR", IF(AND(Y233=$FU$6, E233="Exterior"), IF(BS233="N", 'Lookup Tables'!$AM$101*BP233, VLOOKUP(W233, 'Lookup Tables'!$AI$6:$AM$102, 5, FALSE)*S233*AD233), "")), 2), "")</f>
        <v/>
      </c>
      <c r="FW233" s="253" t="str">
        <f>IFERROR(ROUND(IF(CD233="ERROR", "ERROR", IF($FW$6=Y233, IF(BS233="N", 'Lookup Tables'!$AM$101*BP233, MIN((VLOOKUP(W233, 'Lookup Tables'!$AI$6:$AM$102, 5, FALSE)*BP233),GB233*AJ233)), "")), 2), "")</f>
        <v/>
      </c>
      <c r="FX233" s="253" t="str">
        <f>IFERROR(ROUND(IF(CD233="ERROR", "ERROR", IF(AND($FX$6=Y233, E233="Interior"), IF(VLOOKUP(W233, 'Lookup Tables'!$AI$6:$AM$102, 5, FALSE)*BP233&gt;'Lookup Tables'!$AQ$97*'Lighting Inventory'!S233,'Lighting Inventory'!S233*'Lookup Tables'!$AQ$97,VLOOKUP(W233, 'Lookup Tables'!$AI$6:$AM$102, 5, FALSE)*BP233), "")), 2), "")</f>
        <v/>
      </c>
      <c r="FY233" s="253" t="str">
        <f>IFERROR(ROUND(IF(CD233="ERROR", "ERROR", IF(AND($FX$6=Y233, E233="Exterior"), IF(VLOOKUP(W233, 'Lookup Tables'!$AI$6:$AM$102, 5, FALSE)*BP233&gt;'Lookup Tables'!$AQ$97*'Lighting Inventory'!S233,'Lighting Inventory'!S233*'Lookup Tables'!$AQ$97,VLOOKUP(W233, 'Lookup Tables'!$AI$6:$AM$102, 5, FALSE)*BP233), "")), 2), "")</f>
        <v/>
      </c>
      <c r="FZ233" s="253" t="str">
        <f>IFERROR(ROUND(IF(CD233="ERROR", "ERROR", IF(AND($FZ$6=Y233, E233="Interior"), IF(AND(OR(W233="Refrigerated Case Lighting with Doors", W233="Freezer Case Lighting"),Y233="Custom - Process Improvement"),CD233*'Lookup Tables'!$AM$101, IF(B233="Retrofit", IF(VLOOKUP(IF(V233="Custom", V233, W233), 'Lookup Tables'!$AI$6:$AM$102, 5, FALSE)*BP233&gt;GE233, GE233, VLOOKUP(IF(V233="Custom", V233, W233), 'Lookup Tables'!$AI$6:$AM$102, 5, FALSE)*BP233), IF(VLOOKUP(IF(V233="Custom", V233, W233), 'Lookup Tables'!$AI$114:$AM$154, 5, FALSE)*BP233&gt;GE233, GE233, VLOOKUP(IF(V233="Custom", V233, W233), 'Lookup Tables'!$AI$114:$AM$154, 5, FALSE)*BP233))), "")), 2),"")</f>
        <v/>
      </c>
      <c r="GA233" s="253" t="str">
        <f>IFERROR(ROUND(IF(CD233="ERROR", "ERROR", IF(AND($FZ$6=Y233, E233="Exterior"), IF(B233="Retrofit", IF(VLOOKUP(IF(V233="Custom", V233, W233), 'Lookup Tables'!$AI$6:$AM$102, 5, FALSE)*BP233&gt;GE233, GE233, VLOOKUP(IF(V233="Custom", V233, W233), 'Lookup Tables'!$AI$6:$AM$102, 5, FALSE)*BP233), IF(VLOOKUP(IF(V233="Custom", V233, W233), 'Lookup Tables'!$AI$114:$AM$154, 5, FALSE)*BP233&gt;GE233, GE233, VLOOKUP(IF(V233="Custom", V233, W233), 'Lookup Tables'!$AI$114:$AM$154, 5, FALSE)*BP233)), "")), 2),"")</f>
        <v/>
      </c>
      <c r="GB233" s="254" t="str">
        <f t="array" ref="GB233">IF(B233="","",IF(OR(V233="Custom",V233="No Change"),0,IF(B233="Retrofit", INDEX('Lookup Tables'!$AH$6:$AQ$102,MATCH(1,('Lookup Tables'!$AH$6:$AH$102='Lighting Inventory'!V233)*('Lookup Tables'!$AI$6:$AI$102='Lighting Inventory'!W233),FALSE),10),INDEX('Lookup Tables'!$AH$114:$AQ$154,MATCH(1,('Lookup Tables'!$AH$114:$AH$154='Lighting Inventory'!V233)*('Lookup Tables'!$AI$114:$AI$154='Lighting Inventory'!W233),FALSE),10))))</f>
        <v/>
      </c>
      <c r="GC233" s="255" t="str">
        <f t="shared" si="550"/>
        <v/>
      </c>
      <c r="GD233" s="250" t="str">
        <f t="shared" si="551"/>
        <v/>
      </c>
      <c r="GE233" s="253" t="str">
        <f>IFERROR(IF(AND(AF233="", 'General Information'!$F$18="No"),"", IF(AF233="", ((GD233/$CD$266)*$CF$266)*0.5, AF233*S233*0.5)), "")</f>
        <v/>
      </c>
      <c r="GF233" s="255" t="str">
        <f>IF(AND('General Information'!$F$19="", 'General Information'!$F$18="Yes",AF233="",BW233="Y"), "Y", "N")</f>
        <v>N</v>
      </c>
      <c r="GG233" s="255" t="s">
        <v>2946</v>
      </c>
      <c r="GH233" s="255" t="str">
        <f>IFERROR(IF(B233="", "", VLOOKUP(J233, 'Fixture Identities'!$A$6:$N$908, 14, FALSE)), "")</f>
        <v/>
      </c>
      <c r="GI233" s="389" t="str">
        <f>IF(OR(B233="", V233="", W233=""), "", IF(AND(OR(M233='Lookup Tables'!$R$18, M233='Lookup Tables'!$R$19, M233='Lookup Tables'!$R$20, M233='Lookup Tables'!$R$21, M233='Lookup Tables'!$R$22), OR(AN233='Lookup Tables'!$R$17, AN233='Lookup Tables'!$R$17, AN233="")), "Y", "N"))</f>
        <v/>
      </c>
      <c r="GJ233" s="255" t="str">
        <f t="shared" si="552"/>
        <v/>
      </c>
      <c r="GK233" s="255" t="str">
        <f t="shared" si="553"/>
        <v/>
      </c>
      <c r="GL233" s="255" t="str">
        <f t="shared" si="554"/>
        <v/>
      </c>
      <c r="GM233" s="255" t="str">
        <f>IF(AN233="", "", IF(AND(IF(ISNA(VLOOKUP(AN233,'Lookup Tables'!$R$18:$R$22,1,FALSE)), "N", "Y")="Y", E233="Exterior"), "Y", "N"))</f>
        <v/>
      </c>
      <c r="GN233" s="395"/>
      <c r="GO233" s="428">
        <f t="shared" si="600"/>
        <v>0</v>
      </c>
      <c r="GP233" s="428">
        <f t="shared" si="603"/>
        <v>0</v>
      </c>
      <c r="GQ233" s="428">
        <f t="shared" si="601"/>
        <v>0</v>
      </c>
      <c r="GR233" s="428">
        <f t="shared" si="602"/>
        <v>0</v>
      </c>
    </row>
    <row r="234" spans="1:200" s="103" customFormat="1" ht="13.5" customHeight="1" x14ac:dyDescent="0.2">
      <c r="A234" s="272">
        <v>224</v>
      </c>
      <c r="B234" s="110"/>
      <c r="C234" s="110"/>
      <c r="D234" s="110"/>
      <c r="E234" s="110"/>
      <c r="F234" s="110"/>
      <c r="G234" s="110"/>
      <c r="H234" s="110"/>
      <c r="I234" s="29"/>
      <c r="J234" s="29"/>
      <c r="K234" s="272" t="str">
        <f>IFERROR(IF(OR(VLOOKUP(J234, 'Fixture Identities'!$A$6:$L$1023, 3, FALSE)="T12 Linear Fluorescent", VLOOKUP(J234, 'Fixture Identities'!$A$6:$L$1023, 3, FALSE)="T12 U-Tube Fluorescent"), VLOOKUP(VLOOKUP(J234, 'Fixture Identities'!$A$6:$L$1023, 11, FALSE), 'Fixture Identities'!$A$6:$L$1023, 10, FALSE), VLOOKUP(J234, 'Fixture Identities'!$A$6:$L$1023, 10, FALSE)), "")</f>
        <v/>
      </c>
      <c r="L234" s="270" t="str">
        <f t="shared" si="605"/>
        <v/>
      </c>
      <c r="M234" s="110"/>
      <c r="N234" s="110"/>
      <c r="O234" s="110"/>
      <c r="P234" s="272" t="str">
        <f>IFERROR(IF(OR(B234="Retrofit",B234=""),"",IF('Lighting Inventory'!E234="Exterior",VLOOKUP('Lighting Inventory'!N234,'Lookup Tables'!$B$83:$F$103,5,FALSE),IF(N234="Other - Please Estimate EFLH and CFs","Contact Prog. Rep.","ft^2"))), "")</f>
        <v/>
      </c>
      <c r="Q234" s="270" t="str">
        <f>IFERROR(IF(AND(B234="New Construction",E234="Interior",$F$5="Space-by-Space"),VLOOKUP('Lighting Inventory'!N234,'Lookup Tables'!$N$6:$O$97,2,FALSE),IF(AND(B234="New Construction",E234="Exterior"),VLOOKUP(N234,'Lookup Tables'!$B$83:$F$103,2,FALSE),IF(AND(B234="New Construction",'Lighting Inventory'!E234="Interior", $F$5="Building Area"),VLOOKUP(F234,'Lookup Tables'!$A$6:$J$59,10,FALSE),""))), "")</f>
        <v/>
      </c>
      <c r="R234" s="270" t="str">
        <f>IFERROR(IF(P234="Contact Prog. Rep.", "ERROR", IF(OR(B234="",B234="Retrofit"),"",IF(N234="Automated teller machines", ('Lookup Tables'!$A$82:$E$100+('Lighting Inventory'!O234-1)*'Lookup Tables'!$A$82:$E$100)/1000, (Q234*O234)/1000))), "")</f>
        <v/>
      </c>
      <c r="S234" s="595"/>
      <c r="T234" s="105" t="str">
        <f t="shared" si="555"/>
        <v/>
      </c>
      <c r="U234" s="105" t="str">
        <f>IF(S234="","",COUNT($S$11:S234))</f>
        <v/>
      </c>
      <c r="V234" s="111"/>
      <c r="W234" s="112"/>
      <c r="X234" s="105" t="str">
        <f t="shared" si="556"/>
        <v/>
      </c>
      <c r="Y234" s="105" t="str">
        <f t="array" ref="Y234">IF(AND(OR(W234="Freezer Case Lighting", W234="Refrigerated Case Lighting with Doors"), 'General Information'!$X$18="LCI"),'Lookup Tables'!$Y$34, IF(V234="Custom", VLOOKUP(W234, 'Fixture Identities'!$A$974:$M$1023, 13, FALSE), IF(V234="No Change",'Lookup Tables'!$Y$29,IF(OR(V234="",W234=""),"",IF(AND(S234=0,S234&lt;I234,B234="Retrofit"),'Lookup Tables'!$Y$25, IF(B234="Retrofit", INDEX('Lookup Tables'!$AH$6:$AP$102, MATCH(1, ('Lookup Tables'!$AH$6:$AH$102=V234)*('Lookup Tables'!$AI$6:$AI$102=W234), 0), IF('Lighting Inventory'!E234="Interior", 4, 5)), INDEX('Lookup Tables'!$AH$114:$AP$154, MATCH(1, ('Lookup Tables'!$AH$114:$AH$154=V234)*('Lookup Tables'!$AI$114:$AI$154=W234), 0), IF('Lighting Inventory'!E234="Interior", 4, 5))))))))</f>
        <v/>
      </c>
      <c r="Z234" s="105" t="str">
        <f>IFERROR(INDEX('Lookup Tables'!$AH$158:$AH$172,MATCH('Lighting Inventory'!Y234,'Lookup Tables'!$AI$158:$AI$172,0)),"")</f>
        <v/>
      </c>
      <c r="AA234" s="105" t="str">
        <f>IF(AP234&gt;0,INDEX('Lookup Tables'!$AK$158:$AK$172,MATCH('Lighting Inventory'!Y234,'Lookup Tables'!$AI$158:$AI$172,0)),'Lighting Inventory'!Y234)</f>
        <v/>
      </c>
      <c r="AB234" s="105" t="str">
        <f t="array" ref="AB234">IF(V234="Custom", "Custom", IF(V234="", "", IF(V234="Not DLC or Energy Star", "General", IF(B234="New Construction", INDEX('Lookup Tables'!$AH$114:$AP$154,MATCH(1,('Lookup Tables'!$AH$114:$AH$154='Lighting Inventory'!V234)*('Lookup Tables'!$AI$114:$AI$154='Lighting Inventory'!W234),FALSE),8), INDEX('Lookup Tables'!$AH$6:$AP$102,MATCH(1,('Lookup Tables'!$AH$6:$AH$102='Lighting Inventory'!V234)*('Lookup Tables'!$AI$6:$AI$102='Lighting Inventory'!W234),FALSE),8)))))</f>
        <v/>
      </c>
      <c r="AC234" s="272" t="str">
        <f>IF(W234="","",IF(V234="Custom",CONCATENATE("$",'Lookup Tables'!$AM$101," ",'Lookup Tables'!$AN$101),CONCATENATE("$",INDEX('Lookup Tables'!$AM$6:$AM$102,MATCH('Lighting Inventory'!W234,'Lookup Tables'!$AI$6:$AI$102,0))," ",INDEX('Lookup Tables'!$AN$6:$AN$102,MATCH('Lighting Inventory'!W234,'Lookup Tables'!$AI$6:$AI$102,0)))))</f>
        <v/>
      </c>
      <c r="AD234" s="72"/>
      <c r="AE234" s="29"/>
      <c r="AF234" s="379"/>
      <c r="AG234" s="370" t="str">
        <f t="shared" si="504"/>
        <v/>
      </c>
      <c r="AH234" s="370" t="str">
        <f t="shared" si="557"/>
        <v/>
      </c>
      <c r="AI234" s="29"/>
      <c r="AJ234" s="29"/>
      <c r="AK234" s="110"/>
      <c r="AL234" s="375" t="str">
        <f>IF(OR(B234="", V234="", W234=""), "", IF(V234="No Change", K234, IF(V234="Remove Fixture", 0, IF(V234="Custom",VLOOKUP(W234,'Fixture Identities'!$A$6:$K$1023,10,FALSE),IF(AE234="", "← ENTER POST WATTS", 'Lighting Inventory'!AE234)))))</f>
        <v/>
      </c>
      <c r="AM234" s="376" t="str">
        <f t="shared" si="505"/>
        <v/>
      </c>
      <c r="AN234" s="29"/>
      <c r="AO234" s="671"/>
      <c r="AP234" s="29"/>
      <c r="AQ234" s="29"/>
      <c r="AR234" s="29"/>
      <c r="AS234" s="272" t="str">
        <f t="shared" si="558"/>
        <v/>
      </c>
      <c r="AT234" s="270" t="str">
        <f t="shared" si="506"/>
        <v/>
      </c>
      <c r="AU234" s="88" t="str">
        <f t="shared" si="606"/>
        <v/>
      </c>
      <c r="AV234" s="29"/>
      <c r="AW234" s="73"/>
      <c r="AX234" s="271" t="str">
        <f>IF(AND(AV234="Applicant",OR(AW234="", AW234="Use Default Facility Hours")),"← Choose Schedule",IF(F234="","",IF(W234="LED Exit Signs",8760,IF(OR(AV234="Prescribed",AV234=""),VLOOKUP(F234,'Lookup Tables'!$A$6:$G$59,IF(AB234="General", 6, 3),FALSE),VLOOKUP(AW234,'Lookup Tables'!$S$36:$U$43,2,FALSE)))))</f>
        <v/>
      </c>
      <c r="AY234" s="88" t="str">
        <f t="shared" si="507"/>
        <v/>
      </c>
      <c r="AZ234" s="270" t="str">
        <f>IFERROR(IF(F234="", "", IF(W234="LED Exit Signs", 1, IF(AV234="Applicant",VLOOKUP(AW234, 'Lookup Tables'!$S$36:$U$43,3, FALSE), VLOOKUP('Lighting Inventory'!F234, 'Lookup Tables'!$A$6:$H$59, IF('Lighting Inventory'!AB234="General",7,4), FALSE)))), "")</f>
        <v/>
      </c>
      <c r="BA234" s="522" t="str">
        <f>IFERROR(IF(F234="", "", IF(W234="LED Exit Signs", 1, VLOOKUP('Lighting Inventory'!F234, 'Lookup Tables'!$A$6:$H$59, IF('Lighting Inventory'!AB234="General",8,5), FALSE))), "")</f>
        <v/>
      </c>
      <c r="BB234" s="270" t="str">
        <f>IF(G234="", "", IF(E234="Exterior", 0, IF('Lighting Inventory'!G234="Air Conditioned", VLOOKUP(H234, 'Lookup Tables'!$R$6:$T$13, 2, FALSE), VLOOKUP('Lighting Inventory'!G234, 'Lookup Tables'!$R$6:$T$13, 2, FALSE))))</f>
        <v/>
      </c>
      <c r="BC234" s="522" t="str">
        <f>IF(G234="", "", IF(E234="Exterior", 0, IF('Lighting Inventory'!G234="Air Conditioned", VLOOKUP(H234, 'Lookup Tables'!$R$6:$T$13, 3, FALSE), VLOOKUP('Lighting Inventory'!G234, 'Lookup Tables'!$R$6:$T$13, 3, FALSE))))</f>
        <v/>
      </c>
      <c r="BD234" s="270" t="str">
        <f>IF(G234="", "", IF(E234="Exterior", 0, IF('Lighting Inventory'!G234="Air Conditioned", VLOOKUP(H234, 'Lookup Tables'!$R$6:$U$13, 4, FALSE), VLOOKUP('Lighting Inventory'!G234, 'Lookup Tables'!$R$6:$U$13, 4, FALSE))))</f>
        <v/>
      </c>
      <c r="BE234" s="270" t="str">
        <f>IFERROR(IF(B234="", "",  IF(B234="New Construction", VLOOKUP(F234, 'Lookup Tables'!$A$6:$K$59, 11, FALSE),IF(OR(AN234="", AN234="Light Switch"), 0, IF(OR(M234="",M234="None",V234= "LED Exit Signs"),0,_xlfn.XLOOKUP(M234,'Lookup Tables'!$R$91:$R$101,'Lookup Tables'!$V$91:$V$101))))), "")</f>
        <v/>
      </c>
      <c r="BF234" s="270" t="str">
        <f>IF(AND(OR(AN234="Light Switch",AN234=""),B234="New Construction"), VLOOKUP(F234, 'Lookup Tables'!$A$6:$K$59, 11, FALSE),IF(AN234="","",IF(B234="","",IF(OR(AN234="None",AN234="",V234="LED Exit Signs",AN234="Exterior Controls Not Eligible"),0,_xlfn.XLOOKUP(AN234,'Lookup Tables'!$R$91:$R$101,'Lookup Tables'!$V$91:$V$101)))))</f>
        <v/>
      </c>
      <c r="BG234" s="88" t="str">
        <f t="shared" si="559"/>
        <v/>
      </c>
      <c r="BH234" s="88" t="str">
        <f t="shared" si="560"/>
        <v/>
      </c>
      <c r="BI234" s="558" t="str">
        <f t="shared" si="604"/>
        <v/>
      </c>
      <c r="BJ234" s="82" t="str">
        <f t="shared" si="561"/>
        <v/>
      </c>
      <c r="BK234" s="82" t="str">
        <f t="shared" si="562"/>
        <v/>
      </c>
      <c r="BL234" s="559" t="str">
        <f t="shared" si="563"/>
        <v/>
      </c>
      <c r="BM234" s="521" t="str">
        <f t="shared" si="508"/>
        <v/>
      </c>
      <c r="BN234" s="521" t="str">
        <f t="shared" si="509"/>
        <v/>
      </c>
      <c r="BO234" s="522" t="str">
        <f t="shared" si="510"/>
        <v/>
      </c>
      <c r="BP234" s="83" t="str">
        <f t="shared" si="564"/>
        <v/>
      </c>
      <c r="BQ234" s="84" t="str">
        <f t="shared" si="565"/>
        <v/>
      </c>
      <c r="BR234" s="184" t="str">
        <f>IFERROR(IF(B234="", "", IF(OR(VLOOKUP(J234, 'Fixture Identities'!$A$6:$L$1023, 3, FALSE)="T12 Linear Fluorescent",VLOOKUP(J234, 'Fixture Identities'!$A$6:$L$1023, 3, FALSE)="T12 U-Tube Fluorescent"), "Y", "N")), "N")</f>
        <v/>
      </c>
      <c r="BS234" s="184" t="str">
        <f t="array" ref="BS234">IFERROR(IF(OR(B234="", V234="", W234=""), "", IF(V234="Custom", "N", IF(OR(W234="Freezer Case Lighting", W234="Refrigerated Case Lighting with Doors"), BT234, IF(B234="Retrofit", INDEX('Lookup Tables'!$AH$6:$AT$102,MATCH(1,('Lookup Tables'!$AH$6:$AH$102=V234)*('Lookup Tables'!$AI$6:$AI$102=W234),FALSE),IF(VLOOKUP(J234, 'Fixture Identities'!$A$6:$B$1023, 2, FALSE)="Incandescent",12, 13)), INDEX('Lookup Tables'!$AH$114:$AS$154,MATCH(1,('Lookup Tables'!$AH$114:$AH$154=V234)*('Lookup Tables'!$AI$114:$AI$154=W234),FALSE),12))))), "N")</f>
        <v/>
      </c>
      <c r="BT234" s="184" t="str">
        <f>IF(J234="", "", IF(AND(OR(W234="Freezer case Lighting", W234="Refrigerated Case Lighting with Doors"),'General Information'!$X$18="LCI"), "N", IF(OR(VLOOKUP(J234, 'Fixture Identities'!$A$6:$B$1023, 2, FALSE)="T12 EPACT/EISA Baseline", VLOOKUP(J234, 'Fixture Identities'!$A$6:$B$1023, 2, FALSE)="Linear Fluorescent", VLOOKUP(J234, 'Fixture Identities'!$A$6:$B$1023, 2, FALSE)="U-Tube Fluorescent"), "Y", "N")))</f>
        <v/>
      </c>
      <c r="BU234" s="184" t="str">
        <f>IFERROR(IF(B234="", "", IF(VLOOKUP(J234, 'Fixture Identities'!$A$6:$B$1023, 2, FALSE)="Exit Sign", "Y", "N")), "N")</f>
        <v/>
      </c>
      <c r="BV234" s="184" t="str">
        <f>IF(V234="Exit Signs", IF(VLOOKUP(J234, 'Fixture Identities'!$A$6:$B$1023, 2, FALSE)="Exit Sign", "N", "Y"), "")</f>
        <v/>
      </c>
      <c r="BW234" s="184" t="str">
        <f t="array" ref="BW234">IFERROR(IF(B234="", "", IF(B234="New Construction", "N", INDEX('Lookup Tables'!$AH$6:$AU$102, MATCH(1, ('Lookup Tables'!$AH$6:$AH$102='Lighting Inventory'!V234)*('Lookup Tables'!$AI$6:$AI$102='Lighting Inventory'!W234), 0), 14))), "N")</f>
        <v/>
      </c>
      <c r="BX234" s="598" t="str">
        <f t="shared" si="566"/>
        <v/>
      </c>
      <c r="BY234" s="598" t="str">
        <f t="shared" si="567"/>
        <v/>
      </c>
      <c r="BZ234" s="598" t="str">
        <f t="shared" si="568"/>
        <v/>
      </c>
      <c r="CA234" s="598" t="str">
        <f t="shared" si="569"/>
        <v/>
      </c>
      <c r="CB234" s="269" t="str">
        <f t="shared" si="570"/>
        <v/>
      </c>
      <c r="CC234" s="517" t="str">
        <f t="shared" si="571"/>
        <v/>
      </c>
      <c r="CD234" s="565" t="str">
        <f t="shared" si="511"/>
        <v/>
      </c>
      <c r="CE234" s="368">
        <v>0</v>
      </c>
      <c r="CF234" s="368" t="str" cm="1">
        <f t="array" ref="CF234">IFERROR(IF(V234="Custom", "$0.1 per kWh", IF(B234="New Construction", CONCATENATE("$",INDEX('Lookup Tables'!$AH$114:$AN$154,MATCH(1,('Lookup Tables'!$AH$114:$AH$154='Lighting Inventory'!V234)*('Lookup Tables'!$AI$114:$AI$154='Lighting Inventory'!W234),FALSE),6)," ",INDEX('Lookup Tables'!$AH$114:$AN$154,MATCH(1,('Lookup Tables'!$AH$114:$AH$154='Lighting Inventory'!V234)*('Lookup Tables'!$AI$114:$AI$154='Lighting Inventory'!W234),FALSE),7)), IF(AND(BU234="N", V234="Exit Signs"), "$0.025 per kWh", CONCATENATE("$",INDEX('Lookup Tables'!$AH$6:$AN$102,MATCH(1,('Lookup Tables'!$AH$6:$AH$102='Lighting Inventory'!V234)*('Lookup Tables'!$AI$6:$AI$102='Lighting Inventory'!W234),FALSE),6)," ",INDEX('Lookup Tables'!$AH$6:$AN$102,MATCH(1,('Lookup Tables'!$AH$6:$AH$102='Lighting Inventory'!V234)*('Lookup Tables'!$AI$6:$AI$102='Lighting Inventory'!W234),FALSE),7))))), "")</f>
        <v/>
      </c>
      <c r="CG234" s="366"/>
      <c r="CH234" s="248" t="str">
        <f t="shared" si="512"/>
        <v/>
      </c>
      <c r="CI234" s="248" t="str">
        <f t="shared" si="513"/>
        <v>Select_IE</v>
      </c>
      <c r="CJ234" s="248" t="str">
        <f t="shared" si="514"/>
        <v/>
      </c>
      <c r="CK234" s="248" t="str">
        <f t="shared" si="515"/>
        <v/>
      </c>
      <c r="CL234" s="248" t="str">
        <f t="shared" si="516"/>
        <v/>
      </c>
      <c r="CM234" s="248" t="str">
        <f>IFERROR(IF(B234="", "", IF(B234="New Construction", VLOOKUP(V234, 'Lookup Tables'!$AF$114:$AG$120, 2, FALSE), VLOOKUP(V234, 'Lookup Tables'!$AD$6:$AE$25, 2, FALSE))), "")</f>
        <v/>
      </c>
      <c r="CN234" s="248" t="str">
        <f t="shared" si="517"/>
        <v/>
      </c>
      <c r="CO234" s="248" t="str">
        <f t="shared" si="518"/>
        <v/>
      </c>
      <c r="CP234" s="592" t="str">
        <f t="shared" si="519"/>
        <v/>
      </c>
      <c r="CQ234" s="248" t="str">
        <f t="shared" si="572"/>
        <v/>
      </c>
      <c r="CR234" s="249"/>
      <c r="CS234" s="250" t="str">
        <f t="shared" si="520"/>
        <v/>
      </c>
      <c r="CT234" s="250" t="str">
        <f t="shared" si="573"/>
        <v/>
      </c>
      <c r="CU234" s="250" t="str">
        <f t="shared" si="574"/>
        <v/>
      </c>
      <c r="CV234" s="250" t="str">
        <f t="shared" si="575"/>
        <v/>
      </c>
      <c r="CW234" s="250" t="str">
        <f t="shared" si="576"/>
        <v/>
      </c>
      <c r="CX234" s="250" t="str">
        <f t="shared" si="521"/>
        <v/>
      </c>
      <c r="CY234" s="250" t="str">
        <f t="shared" si="522"/>
        <v/>
      </c>
      <c r="CZ234" s="250" t="str">
        <f t="shared" si="523"/>
        <v/>
      </c>
      <c r="DA234" s="250" t="str">
        <f t="shared" si="524"/>
        <v/>
      </c>
      <c r="DB234" s="250" t="str">
        <f t="shared" si="525"/>
        <v/>
      </c>
      <c r="DC234" s="250" t="str">
        <f t="shared" si="526"/>
        <v/>
      </c>
      <c r="DD234" s="250" t="str">
        <f t="shared" si="527"/>
        <v/>
      </c>
      <c r="DE234" s="250" t="str">
        <f t="shared" si="528"/>
        <v/>
      </c>
      <c r="DF234" s="250" t="str">
        <f t="shared" si="529"/>
        <v/>
      </c>
      <c r="DG234" s="250" t="str">
        <f t="shared" si="530"/>
        <v/>
      </c>
      <c r="DH234" s="250" t="str">
        <f t="shared" si="531"/>
        <v/>
      </c>
      <c r="DI234" s="250" t="str">
        <f t="shared" si="532"/>
        <v/>
      </c>
      <c r="DJ234" s="250" t="str">
        <f t="shared" si="533"/>
        <v/>
      </c>
      <c r="DK234" s="250" t="str">
        <f t="shared" si="534"/>
        <v/>
      </c>
      <c r="DL234" s="250" t="str">
        <f t="shared" si="535"/>
        <v/>
      </c>
      <c r="DM234" s="250" t="str">
        <f>IF(CD234="ERROR", "ERROR", IF(AND(OR(Y234=$DM$6, Y234='Lookup Tables'!$AD$21, Y234='Lookup Tables'!$AD$22), E234="Interior"), BJ234, ""))</f>
        <v/>
      </c>
      <c r="DN234" s="250" t="str">
        <f>IF(CD234="ERROR", "ERROR", IF(AND(OR(Y234=$DM$6, Y234='Lookup Tables'!$AD$21, Y234='Lookup Tables'!$AD$22), E234="Exterior"), BJ234, ""))</f>
        <v/>
      </c>
      <c r="DO234" s="249"/>
      <c r="DP234" s="250" t="str">
        <f t="shared" si="536"/>
        <v/>
      </c>
      <c r="DQ234" s="250" t="str">
        <f t="shared" si="577"/>
        <v/>
      </c>
      <c r="DR234" s="250" t="str">
        <f t="shared" si="578"/>
        <v/>
      </c>
      <c r="DS234" s="250" t="str">
        <f t="shared" si="579"/>
        <v/>
      </c>
      <c r="DT234" s="250" t="str">
        <f t="shared" si="580"/>
        <v/>
      </c>
      <c r="DU234" s="250" t="str">
        <f t="shared" si="537"/>
        <v/>
      </c>
      <c r="DV234" s="250" t="str">
        <f t="shared" si="538"/>
        <v/>
      </c>
      <c r="DW234" s="250" t="str">
        <f t="shared" si="539"/>
        <v/>
      </c>
      <c r="DX234" s="250" t="str">
        <f t="shared" si="540"/>
        <v/>
      </c>
      <c r="DY234" s="250" t="str">
        <f t="shared" si="541"/>
        <v/>
      </c>
      <c r="DZ234" s="250" t="str">
        <f t="shared" si="542"/>
        <v/>
      </c>
      <c r="EA234" s="250" t="str">
        <f t="shared" si="543"/>
        <v/>
      </c>
      <c r="EB234" s="250" t="str">
        <f t="shared" si="581"/>
        <v/>
      </c>
      <c r="EC234" s="250" t="str">
        <f t="shared" si="544"/>
        <v/>
      </c>
      <c r="ED234" s="250" t="str">
        <f t="shared" si="545"/>
        <v/>
      </c>
      <c r="EE234" s="250" t="str">
        <f t="shared" si="546"/>
        <v/>
      </c>
      <c r="EF234" s="250" t="str">
        <f t="shared" si="547"/>
        <v/>
      </c>
      <c r="EG234" s="250" t="str">
        <f t="shared" si="548"/>
        <v/>
      </c>
      <c r="EH234" s="250" t="str">
        <f>IF(CD234="ERROR", "ERROR", IF(AND(OR($EH$6=Y234, Y234='Lookup Tables'!$AD$21, Y234='Lookup Tables'!$AD$22),E234="Interior"), SUM(BP234:BP234), ""))</f>
        <v/>
      </c>
      <c r="EI234" s="250" t="str">
        <f>IF(CD234="ERROR", "ERROR", IF(AND(OR($EH$6=Y234, Y234='Lookup Tables'!$AD$21, Y234='Lookup Tables'!$AD$22),E234="Exterior"), SUM(BP234:BP234), ""))</f>
        <v/>
      </c>
      <c r="EJ234" s="109"/>
      <c r="EK234" s="485" t="str">
        <f t="shared" si="549"/>
        <v/>
      </c>
      <c r="EL234" s="252" t="str">
        <f t="shared" si="582"/>
        <v/>
      </c>
      <c r="EM234" s="252" t="str">
        <f t="shared" si="583"/>
        <v/>
      </c>
      <c r="EN234" s="252" t="str">
        <f t="shared" si="584"/>
        <v/>
      </c>
      <c r="EO234" s="252" t="str">
        <f t="shared" si="585"/>
        <v/>
      </c>
      <c r="EP234" s="252" t="str">
        <f t="shared" si="586"/>
        <v/>
      </c>
      <c r="EQ234" s="252" t="str">
        <f t="shared" si="587"/>
        <v/>
      </c>
      <c r="ER234" s="252" t="str">
        <f t="shared" si="588"/>
        <v/>
      </c>
      <c r="ES234" s="252" t="str">
        <f t="shared" si="589"/>
        <v/>
      </c>
      <c r="ET234" s="252" t="str">
        <f t="shared" si="590"/>
        <v/>
      </c>
      <c r="EU234" s="252" t="str">
        <f t="shared" si="591"/>
        <v/>
      </c>
      <c r="EV234" s="252" t="str">
        <f t="shared" si="592"/>
        <v/>
      </c>
      <c r="EW234" s="252" t="str">
        <f t="shared" si="593"/>
        <v/>
      </c>
      <c r="EX234" s="252" t="str">
        <f t="shared" si="594"/>
        <v/>
      </c>
      <c r="EY234" s="252" t="str">
        <f t="shared" si="595"/>
        <v/>
      </c>
      <c r="EZ234" s="252" t="str">
        <f t="shared" si="596"/>
        <v/>
      </c>
      <c r="FA234" s="252" t="str">
        <f t="shared" si="597"/>
        <v/>
      </c>
      <c r="FB234" s="252" t="str">
        <f t="shared" si="598"/>
        <v/>
      </c>
      <c r="FC234" s="252" t="str">
        <f>IF(CD234="ERROR", "ERROR", IF(OR(V234="No Change", V234="Not DLC or Energy Star"), "", IF(AND(OR($FC$6=Y234,Y234='Lookup Tables'!$AD$21, Y234='Lookup Tables'!$AD$22),E234="Interior"), S234, "")))</f>
        <v/>
      </c>
      <c r="FD234" s="252" t="str">
        <f t="shared" si="599"/>
        <v/>
      </c>
      <c r="FE234" s="1"/>
      <c r="FF234" s="579" t="str" cm="1">
        <f t="array" ref="FF234">IFERROR(IF(OR(BQ234&lt;=0,AQ234&lt;20,AND(V234="Exit Signs",AN234&gt;0)),"",IF(AND(AQ234&gt;=20,AN234='Lookup Tables'!$R$101),'Lookup Tables'!$U$101*BQ234,AP234*LOOKUP(2,1/((AN234='Lookup Tables'!$R$91:$R$111)*(AQ234&gt;='Lookup Tables'!$S$91:$S$111)*(AQ234&lt;='Lookup Tables'!$T$91:$T$111)),'Lookup Tables'!$U$91:$U$111))),"")</f>
        <v/>
      </c>
      <c r="FG234" s="579"/>
      <c r="FH234" s="579"/>
      <c r="FI234" s="253" t="str">
        <f>IFERROR(ROUND(IF(CD234="ERROR", "ERROR", IF(AND($FI$7=X234,E234="Interior"),VLOOKUP(W234, 'Lookup Tables'!$AI$6:$AM$102, 5, FALSE)*BP234, "")), 2), "")</f>
        <v/>
      </c>
      <c r="FJ234" s="253" t="str">
        <f>IFERROR(ROUND(IF(CD234="ERROR", "ERROR", IF(AND($FI$7=X234,E234="Exterior"),VLOOKUP(W234, 'Lookup Tables'!$AI$6:$AM$102, 5, FALSE)*BP234, "")), 2), "")</f>
        <v/>
      </c>
      <c r="FK234" s="253" t="str">
        <f>IFERROR(ROUND(IF(CD234="ERROR", "ERROR", IF(AND($FK$7=X234,E234="Interior"),VLOOKUP(W234, 'Lookup Tables'!$AI$6:$AM$102, 5, FALSE)*BP234, "")), 2), "")</f>
        <v/>
      </c>
      <c r="FL234" s="253" t="str">
        <f>IFERROR(ROUND(IF(CD234="ERROR", "ERROR", IF(AND($FK$7=X234,E234="Exterior"),VLOOKUP(W234, 'Lookup Tables'!$AI$6:$AM$102, 5, FALSE)*BP234, "")), 2), "")</f>
        <v/>
      </c>
      <c r="FM234" s="253" t="str">
        <f>IFERROR(ROUND(IF(CD234="ERROR", "ERROR", IF(AND($FM$6=Y234,E234="Interior"), IF(GB234=0, VLOOKUP(W234, 'Lookup Tables'!$AI$6:$AM$102, 5, FALSE)*BP234, IF(VLOOKUP(W234, 'Lookup Tables'!$AI$6:$AM$102, 5, FALSE)*BP234&gt;GB234*'Lighting Inventory'!S234, GB234*'Lighting Inventory'!S234,VLOOKUP(W234, 'Lookup Tables'!$AI$6:$AM$102, 5, FALSE)*BP234)), "")), 2), "")</f>
        <v/>
      </c>
      <c r="FN234" s="253" t="str">
        <f>IFERROR(ROUND(IF(CD234="ERROR", "ERROR", IF(AND($FM$6=Y234,E234="Exterior"), IF(GB234=0, VLOOKUP(W234, 'Lookup Tables'!$AI$6:$AM$102, 5, FALSE)*BP234, IF(VLOOKUP(W234, 'Lookup Tables'!$AI$6:$AM$102, 5, FALSE)*BP234&gt;GB234*'Lighting Inventory'!S234, GB234*'Lighting Inventory'!S234,VLOOKUP(W234, 'Lookup Tables'!$AI$6:$AM$102, 5, FALSE)*BP234)), "")), 2), "")</f>
        <v/>
      </c>
      <c r="FO234" s="253" t="str">
        <f>IFERROR(ROUND(IF(CD234="ERROR", "ERROR", IF(AND($FO$6=Y234,E234="Interior"),VLOOKUP(W234, 'Lookup Tables'!$AI$6:$AM$102, 5, FALSE)*'Lighting Inventory'!AI234, "")), 2), "")</f>
        <v/>
      </c>
      <c r="FP234" s="253" t="str">
        <f>IFERROR(ROUND(IF(CD234="ERROR", "ERROR", IF(AND($FO$6=Y234,E234="Exterior"),VLOOKUP(W234, 'Lookup Tables'!$AI$6:$AM$102, 5, FALSE)*'Lighting Inventory'!AI234, "")), 2), "")</f>
        <v/>
      </c>
      <c r="FQ234" s="253" t="str">
        <f>IFERROR(ROUND(IF(CD234="ERROR", "ERROR", IF(AND($FQ$6=Y234,E234="Interior", BU234="Y"), VLOOKUP('Lighting Inventory'!W234, 'Lookup Tables'!$AI$6:$AM$102, 5, FALSE)*'Lighting Inventory'!S234, IF(AND($FQ$7=Y234,E234="Interior", BU234="N"), 0.025*CD234, ""))), 2), "")</f>
        <v/>
      </c>
      <c r="FR234" s="253" t="str">
        <f>IFERROR(ROUND(IF(CD234="ERROR", "ERROR", IF(AND($FQ$6=Y234,E234="Exterior"), VLOOKUP('Lighting Inventory'!W234, 'Lookup Tables'!$AI$6:$AM$102, 5, FALSE)*'Lighting Inventory'!S234, "")), 2), "")</f>
        <v/>
      </c>
      <c r="FS234" s="253" t="str">
        <f>IFERROR(ROUND(IF(CD234="ERROR", "ERROR", IF(AND($FS$6=Y234,E234="Exterior"), IF(GB234=0, VLOOKUP(W234, 'Lookup Tables'!$AI$6:$AM$102, 5, FALSE)*BP234, IF(VLOOKUP(W234, 'Lookup Tables'!$AI$6:$AM$102, 5, FALSE)*BP234&gt;GB234*'Lighting Inventory'!S234, GB234*'Lighting Inventory'!S234,VLOOKUP(W234, 'Lookup Tables'!$AI$6:$AM$102, 5, FALSE)*BP234)), "")), 2), "")</f>
        <v/>
      </c>
      <c r="FT234" s="253" t="str">
        <f>IFERROR(ROUND(IF(CD234="ERROR", "ERROR", IF(AND($FT$6=Y234,E234="Interior"), IF(GB234=0, VLOOKUP(W234, 'Lookup Tables'!$AI$6:$AM$102, 5, FALSE)*BP234, IF(VLOOKUP(W234, 'Lookup Tables'!$AI$6:$AM$102, 5, FALSE)*BP234&gt;GB234*'Lighting Inventory'!S234, GB234*'Lighting Inventory'!S234,VLOOKUP(W234, 'Lookup Tables'!$AI$6:$AM$102, 5, FALSE)*BP234)), "")), 2), "")</f>
        <v/>
      </c>
      <c r="FU234" s="253" t="str">
        <f>IFERROR(ROUND(IF(CD234="ERROR", "ERROR", IF(AND(Y234=$FU$6, E234="Interior"), IF(BS234="N", 'Lookup Tables'!$AM$101*BP234, VLOOKUP(W234, 'Lookup Tables'!$AI$6:$AM$102, 5, FALSE)*S234*AD234), "")), 2), "")</f>
        <v/>
      </c>
      <c r="FV234" s="253" t="str">
        <f>IFERROR(ROUND(IF(CD234="ERROR", "ERROR", IF(AND(Y234=$FU$6, E234="Exterior"), IF(BS234="N", 'Lookup Tables'!$AM$101*BP234, VLOOKUP(W234, 'Lookup Tables'!$AI$6:$AM$102, 5, FALSE)*S234*AD234), "")), 2), "")</f>
        <v/>
      </c>
      <c r="FW234" s="253" t="str">
        <f>IFERROR(ROUND(IF(CD234="ERROR", "ERROR", IF($FW$6=Y234, IF(BS234="N", 'Lookup Tables'!$AM$101*BP234, MIN((VLOOKUP(W234, 'Lookup Tables'!$AI$6:$AM$102, 5, FALSE)*BP234),GB234*AJ234)), "")), 2), "")</f>
        <v/>
      </c>
      <c r="FX234" s="253" t="str">
        <f>IFERROR(ROUND(IF(CD234="ERROR", "ERROR", IF(AND($FX$6=Y234, E234="Interior"), IF(VLOOKUP(W234, 'Lookup Tables'!$AI$6:$AM$102, 5, FALSE)*BP234&gt;'Lookup Tables'!$AQ$97*'Lighting Inventory'!S234,'Lighting Inventory'!S234*'Lookup Tables'!$AQ$97,VLOOKUP(W234, 'Lookup Tables'!$AI$6:$AM$102, 5, FALSE)*BP234), "")), 2), "")</f>
        <v/>
      </c>
      <c r="FY234" s="253" t="str">
        <f>IFERROR(ROUND(IF(CD234="ERROR", "ERROR", IF(AND($FX$6=Y234, E234="Exterior"), IF(VLOOKUP(W234, 'Lookup Tables'!$AI$6:$AM$102, 5, FALSE)*BP234&gt;'Lookup Tables'!$AQ$97*'Lighting Inventory'!S234,'Lighting Inventory'!S234*'Lookup Tables'!$AQ$97,VLOOKUP(W234, 'Lookup Tables'!$AI$6:$AM$102, 5, FALSE)*BP234), "")), 2), "")</f>
        <v/>
      </c>
      <c r="FZ234" s="253" t="str">
        <f>IFERROR(ROUND(IF(CD234="ERROR", "ERROR", IF(AND($FZ$6=Y234, E234="Interior"), IF(AND(OR(W234="Refrigerated Case Lighting with Doors", W234="Freezer Case Lighting"),Y234="Custom - Process Improvement"),CD234*'Lookup Tables'!$AM$101, IF(B234="Retrofit", IF(VLOOKUP(IF(V234="Custom", V234, W234), 'Lookup Tables'!$AI$6:$AM$102, 5, FALSE)*BP234&gt;GE234, GE234, VLOOKUP(IF(V234="Custom", V234, W234), 'Lookup Tables'!$AI$6:$AM$102, 5, FALSE)*BP234), IF(VLOOKUP(IF(V234="Custom", V234, W234), 'Lookup Tables'!$AI$114:$AM$154, 5, FALSE)*BP234&gt;GE234, GE234, VLOOKUP(IF(V234="Custom", V234, W234), 'Lookup Tables'!$AI$114:$AM$154, 5, FALSE)*BP234))), "")), 2),"")</f>
        <v/>
      </c>
      <c r="GA234" s="253" t="str">
        <f>IFERROR(ROUND(IF(CD234="ERROR", "ERROR", IF(AND($FZ$6=Y234, E234="Exterior"), IF(B234="Retrofit", IF(VLOOKUP(IF(V234="Custom", V234, W234), 'Lookup Tables'!$AI$6:$AM$102, 5, FALSE)*BP234&gt;GE234, GE234, VLOOKUP(IF(V234="Custom", V234, W234), 'Lookup Tables'!$AI$6:$AM$102, 5, FALSE)*BP234), IF(VLOOKUP(IF(V234="Custom", V234, W234), 'Lookup Tables'!$AI$114:$AM$154, 5, FALSE)*BP234&gt;GE234, GE234, VLOOKUP(IF(V234="Custom", V234, W234), 'Lookup Tables'!$AI$114:$AM$154, 5, FALSE)*BP234)), "")), 2),"")</f>
        <v/>
      </c>
      <c r="GB234" s="254" t="str">
        <f t="array" ref="GB234">IF(B234="","",IF(OR(V234="Custom",V234="No Change"),0,IF(B234="Retrofit", INDEX('Lookup Tables'!$AH$6:$AQ$102,MATCH(1,('Lookup Tables'!$AH$6:$AH$102='Lighting Inventory'!V234)*('Lookup Tables'!$AI$6:$AI$102='Lighting Inventory'!W234),FALSE),10),INDEX('Lookup Tables'!$AH$114:$AQ$154,MATCH(1,('Lookup Tables'!$AH$114:$AH$154='Lighting Inventory'!V234)*('Lookup Tables'!$AI$114:$AI$154='Lighting Inventory'!W234),FALSE),10))))</f>
        <v/>
      </c>
      <c r="GC234" s="255" t="str">
        <f t="shared" si="550"/>
        <v/>
      </c>
      <c r="GD234" s="250" t="str">
        <f t="shared" si="551"/>
        <v/>
      </c>
      <c r="GE234" s="253" t="str">
        <f>IFERROR(IF(AND(AF234="", 'General Information'!$F$18="No"),"", IF(AF234="", ((GD234/$CD$266)*$CF$266)*0.5, AF234*S234*0.5)), "")</f>
        <v/>
      </c>
      <c r="GF234" s="255" t="str">
        <f>IF(AND('General Information'!$F$19="", 'General Information'!$F$18="Yes",AF234="",BW234="Y"), "Y", "N")</f>
        <v>N</v>
      </c>
      <c r="GG234" s="255" t="s">
        <v>2946</v>
      </c>
      <c r="GH234" s="255" t="str">
        <f>IFERROR(IF(B234="", "", VLOOKUP(J234, 'Fixture Identities'!$A$6:$N$908, 14, FALSE)), "")</f>
        <v/>
      </c>
      <c r="GI234" s="389" t="str">
        <f>IF(OR(B234="", V234="", W234=""), "", IF(AND(OR(M234='Lookup Tables'!$R$18, M234='Lookup Tables'!$R$19, M234='Lookup Tables'!$R$20, M234='Lookup Tables'!$R$21, M234='Lookup Tables'!$R$22), OR(AN234='Lookup Tables'!$R$17, AN234='Lookup Tables'!$R$17, AN234="")), "Y", "N"))</f>
        <v/>
      </c>
      <c r="GJ234" s="255" t="str">
        <f t="shared" si="552"/>
        <v/>
      </c>
      <c r="GK234" s="255" t="str">
        <f t="shared" si="553"/>
        <v/>
      </c>
      <c r="GL234" s="255" t="str">
        <f t="shared" si="554"/>
        <v/>
      </c>
      <c r="GM234" s="255" t="str">
        <f>IF(AN234="", "", IF(AND(IF(ISNA(VLOOKUP(AN234,'Lookup Tables'!$R$18:$R$22,1,FALSE)), "N", "Y")="Y", E234="Exterior"), "Y", "N"))</f>
        <v/>
      </c>
      <c r="GN234" s="395"/>
      <c r="GO234" s="428">
        <f t="shared" si="600"/>
        <v>0</v>
      </c>
      <c r="GP234" s="428">
        <f t="shared" si="603"/>
        <v>0</v>
      </c>
      <c r="GQ234" s="428">
        <f t="shared" si="601"/>
        <v>0</v>
      </c>
      <c r="GR234" s="428">
        <f t="shared" si="602"/>
        <v>0</v>
      </c>
    </row>
    <row r="235" spans="1:200" s="103" customFormat="1" ht="13.5" customHeight="1" x14ac:dyDescent="0.2">
      <c r="A235" s="272">
        <v>225</v>
      </c>
      <c r="B235" s="110"/>
      <c r="C235" s="110"/>
      <c r="D235" s="110"/>
      <c r="E235" s="110"/>
      <c r="F235" s="110"/>
      <c r="G235" s="110"/>
      <c r="H235" s="110"/>
      <c r="I235" s="29"/>
      <c r="J235" s="29"/>
      <c r="K235" s="272" t="str">
        <f>IFERROR(IF(OR(VLOOKUP(J235, 'Fixture Identities'!$A$6:$L$1023, 3, FALSE)="T12 Linear Fluorescent", VLOOKUP(J235, 'Fixture Identities'!$A$6:$L$1023, 3, FALSE)="T12 U-Tube Fluorescent"), VLOOKUP(VLOOKUP(J235, 'Fixture Identities'!$A$6:$L$1023, 11, FALSE), 'Fixture Identities'!$A$6:$L$1023, 10, FALSE), VLOOKUP(J235, 'Fixture Identities'!$A$6:$L$1023, 10, FALSE)), "")</f>
        <v/>
      </c>
      <c r="L235" s="270" t="str">
        <f t="shared" si="605"/>
        <v/>
      </c>
      <c r="M235" s="110"/>
      <c r="N235" s="110"/>
      <c r="O235" s="110"/>
      <c r="P235" s="272" t="str">
        <f>IFERROR(IF(OR(B235="Retrofit",B235=""),"",IF('Lighting Inventory'!E235="Exterior",VLOOKUP('Lighting Inventory'!N235,'Lookup Tables'!$B$83:$F$103,5,FALSE),IF(N235="Other - Please Estimate EFLH and CFs","Contact Prog. Rep.","ft^2"))), "")</f>
        <v/>
      </c>
      <c r="Q235" s="270" t="str">
        <f>IFERROR(IF(AND(B235="New Construction",E235="Interior",$F$5="Space-by-Space"),VLOOKUP('Lighting Inventory'!N235,'Lookup Tables'!$N$6:$O$97,2,FALSE),IF(AND(B235="New Construction",E235="Exterior"),VLOOKUP(N235,'Lookup Tables'!$B$83:$F$103,2,FALSE),IF(AND(B235="New Construction",'Lighting Inventory'!E235="Interior", $F$5="Building Area"),VLOOKUP(F235,'Lookup Tables'!$A$6:$J$59,10,FALSE),""))), "")</f>
        <v/>
      </c>
      <c r="R235" s="270" t="str">
        <f>IFERROR(IF(P235="Contact Prog. Rep.", "ERROR", IF(OR(B235="",B235="Retrofit"),"",IF(N235="Automated teller machines", ('Lookup Tables'!$A$82:$E$100+('Lighting Inventory'!O235-1)*'Lookup Tables'!$A$82:$E$100)/1000, (Q235*O235)/1000))), "")</f>
        <v/>
      </c>
      <c r="S235" s="595"/>
      <c r="T235" s="105" t="str">
        <f t="shared" si="555"/>
        <v/>
      </c>
      <c r="U235" s="105" t="str">
        <f>IF(S235="","",COUNT($S$11:S235))</f>
        <v/>
      </c>
      <c r="V235" s="111"/>
      <c r="W235" s="112"/>
      <c r="X235" s="105" t="str">
        <f t="shared" si="556"/>
        <v/>
      </c>
      <c r="Y235" s="105" t="str">
        <f t="array" ref="Y235">IF(AND(OR(W235="Freezer Case Lighting", W235="Refrigerated Case Lighting with Doors"), 'General Information'!$X$18="LCI"),'Lookup Tables'!$Y$34, IF(V235="Custom", VLOOKUP(W235, 'Fixture Identities'!$A$974:$M$1023, 13, FALSE), IF(V235="No Change",'Lookup Tables'!$Y$29,IF(OR(V235="",W235=""),"",IF(AND(S235=0,S235&lt;I235,B235="Retrofit"),'Lookup Tables'!$Y$25, IF(B235="Retrofit", INDEX('Lookup Tables'!$AH$6:$AP$102, MATCH(1, ('Lookup Tables'!$AH$6:$AH$102=V235)*('Lookup Tables'!$AI$6:$AI$102=W235), 0), IF('Lighting Inventory'!E235="Interior", 4, 5)), INDEX('Lookup Tables'!$AH$114:$AP$154, MATCH(1, ('Lookup Tables'!$AH$114:$AH$154=V235)*('Lookup Tables'!$AI$114:$AI$154=W235), 0), IF('Lighting Inventory'!E235="Interior", 4, 5))))))))</f>
        <v/>
      </c>
      <c r="Z235" s="105" t="str">
        <f>IFERROR(INDEX('Lookup Tables'!$AH$158:$AH$172,MATCH('Lighting Inventory'!Y235,'Lookup Tables'!$AI$158:$AI$172,0)),"")</f>
        <v/>
      </c>
      <c r="AA235" s="105" t="str">
        <f>IF(AP235&gt;0,INDEX('Lookup Tables'!$AK$158:$AK$172,MATCH('Lighting Inventory'!Y235,'Lookup Tables'!$AI$158:$AI$172,0)),'Lighting Inventory'!Y235)</f>
        <v/>
      </c>
      <c r="AB235" s="105" t="str">
        <f t="array" ref="AB235">IF(V235="Custom", "Custom", IF(V235="", "", IF(V235="Not DLC or Energy Star", "General", IF(B235="New Construction", INDEX('Lookup Tables'!$AH$114:$AP$154,MATCH(1,('Lookup Tables'!$AH$114:$AH$154='Lighting Inventory'!V235)*('Lookup Tables'!$AI$114:$AI$154='Lighting Inventory'!W235),FALSE),8), INDEX('Lookup Tables'!$AH$6:$AP$102,MATCH(1,('Lookup Tables'!$AH$6:$AH$102='Lighting Inventory'!V235)*('Lookup Tables'!$AI$6:$AI$102='Lighting Inventory'!W235),FALSE),8)))))</f>
        <v/>
      </c>
      <c r="AC235" s="272" t="str">
        <f>IF(W235="","",IF(V235="Custom",CONCATENATE("$",'Lookup Tables'!$AM$101," ",'Lookup Tables'!$AN$101),CONCATENATE("$",INDEX('Lookup Tables'!$AM$6:$AM$102,MATCH('Lighting Inventory'!W235,'Lookup Tables'!$AI$6:$AI$102,0))," ",INDEX('Lookup Tables'!$AN$6:$AN$102,MATCH('Lighting Inventory'!W235,'Lookup Tables'!$AI$6:$AI$102,0)))))</f>
        <v/>
      </c>
      <c r="AD235" s="72"/>
      <c r="AE235" s="29"/>
      <c r="AF235" s="379"/>
      <c r="AG235" s="370" t="str">
        <f t="shared" si="504"/>
        <v/>
      </c>
      <c r="AH235" s="370" t="str">
        <f t="shared" si="557"/>
        <v/>
      </c>
      <c r="AI235" s="29"/>
      <c r="AJ235" s="29"/>
      <c r="AK235" s="110"/>
      <c r="AL235" s="375" t="str">
        <f>IF(OR(B235="", V235="", W235=""), "", IF(V235="No Change", K235, IF(V235="Remove Fixture", 0, IF(V235="Custom",VLOOKUP(W235,'Fixture Identities'!$A$6:$K$1023,10,FALSE),IF(AE235="", "← ENTER POST WATTS", 'Lighting Inventory'!AE235)))))</f>
        <v/>
      </c>
      <c r="AM235" s="376" t="str">
        <f t="shared" si="505"/>
        <v/>
      </c>
      <c r="AN235" s="29"/>
      <c r="AO235" s="671"/>
      <c r="AP235" s="29"/>
      <c r="AQ235" s="29"/>
      <c r="AR235" s="29"/>
      <c r="AS235" s="272" t="str">
        <f t="shared" si="558"/>
        <v/>
      </c>
      <c r="AT235" s="270" t="str">
        <f t="shared" si="506"/>
        <v/>
      </c>
      <c r="AU235" s="88" t="str">
        <f t="shared" si="606"/>
        <v/>
      </c>
      <c r="AV235" s="29"/>
      <c r="AW235" s="73"/>
      <c r="AX235" s="271" t="str">
        <f>IF(AND(AV235="Applicant",OR(AW235="", AW235="Use Default Facility Hours")),"← Choose Schedule",IF(F235="","",IF(W235="LED Exit Signs",8760,IF(OR(AV235="Prescribed",AV235=""),VLOOKUP(F235,'Lookup Tables'!$A$6:$G$59,IF(AB235="General", 6, 3),FALSE),VLOOKUP(AW235,'Lookup Tables'!$S$36:$U$43,2,FALSE)))))</f>
        <v/>
      </c>
      <c r="AY235" s="88" t="str">
        <f t="shared" si="507"/>
        <v/>
      </c>
      <c r="AZ235" s="270" t="str">
        <f>IFERROR(IF(F235="", "", IF(W235="LED Exit Signs", 1, IF(AV235="Applicant",VLOOKUP(AW235, 'Lookup Tables'!$S$36:$U$43,3, FALSE), VLOOKUP('Lighting Inventory'!F235, 'Lookup Tables'!$A$6:$H$59, IF('Lighting Inventory'!AB235="General",7,4), FALSE)))), "")</f>
        <v/>
      </c>
      <c r="BA235" s="522" t="str">
        <f>IFERROR(IF(F235="", "", IF(W235="LED Exit Signs", 1, VLOOKUP('Lighting Inventory'!F235, 'Lookup Tables'!$A$6:$H$59, IF('Lighting Inventory'!AB235="General",8,5), FALSE))), "")</f>
        <v/>
      </c>
      <c r="BB235" s="270" t="str">
        <f>IF(G235="", "", IF(E235="Exterior", 0, IF('Lighting Inventory'!G235="Air Conditioned", VLOOKUP(H235, 'Lookup Tables'!$R$6:$T$13, 2, FALSE), VLOOKUP('Lighting Inventory'!G235, 'Lookup Tables'!$R$6:$T$13, 2, FALSE))))</f>
        <v/>
      </c>
      <c r="BC235" s="522" t="str">
        <f>IF(G235="", "", IF(E235="Exterior", 0, IF('Lighting Inventory'!G235="Air Conditioned", VLOOKUP(H235, 'Lookup Tables'!$R$6:$T$13, 3, FALSE), VLOOKUP('Lighting Inventory'!G235, 'Lookup Tables'!$R$6:$T$13, 3, FALSE))))</f>
        <v/>
      </c>
      <c r="BD235" s="270" t="str">
        <f>IF(G235="", "", IF(E235="Exterior", 0, IF('Lighting Inventory'!G235="Air Conditioned", VLOOKUP(H235, 'Lookup Tables'!$R$6:$U$13, 4, FALSE), VLOOKUP('Lighting Inventory'!G235, 'Lookup Tables'!$R$6:$U$13, 4, FALSE))))</f>
        <v/>
      </c>
      <c r="BE235" s="270" t="str">
        <f>IFERROR(IF(B235="", "",  IF(B235="New Construction", VLOOKUP(F235, 'Lookup Tables'!$A$6:$K$59, 11, FALSE),IF(OR(AN235="", AN235="Light Switch"), 0, IF(OR(M235="",M235="None",V235= "LED Exit Signs"),0,_xlfn.XLOOKUP(M235,'Lookup Tables'!$R$91:$R$101,'Lookup Tables'!$V$91:$V$101))))), "")</f>
        <v/>
      </c>
      <c r="BF235" s="270" t="str">
        <f>IF(AND(OR(AN235="Light Switch",AN235=""),B235="New Construction"), VLOOKUP(F235, 'Lookup Tables'!$A$6:$K$59, 11, FALSE),IF(AN235="","",IF(B235="","",IF(OR(AN235="None",AN235="",V235="LED Exit Signs",AN235="Exterior Controls Not Eligible"),0,_xlfn.XLOOKUP(AN235,'Lookup Tables'!$R$91:$R$101,'Lookup Tables'!$V$91:$V$101)))))</f>
        <v/>
      </c>
      <c r="BG235" s="88" t="str">
        <f t="shared" si="559"/>
        <v/>
      </c>
      <c r="BH235" s="88" t="str">
        <f t="shared" si="560"/>
        <v/>
      </c>
      <c r="BI235" s="558" t="str">
        <f t="shared" si="604"/>
        <v/>
      </c>
      <c r="BJ235" s="82" t="str">
        <f t="shared" si="561"/>
        <v/>
      </c>
      <c r="BK235" s="82" t="str">
        <f t="shared" si="562"/>
        <v/>
      </c>
      <c r="BL235" s="559" t="str">
        <f t="shared" si="563"/>
        <v/>
      </c>
      <c r="BM235" s="521" t="str">
        <f t="shared" si="508"/>
        <v/>
      </c>
      <c r="BN235" s="521" t="str">
        <f t="shared" si="509"/>
        <v/>
      </c>
      <c r="BO235" s="522" t="str">
        <f t="shared" si="510"/>
        <v/>
      </c>
      <c r="BP235" s="83" t="str">
        <f t="shared" si="564"/>
        <v/>
      </c>
      <c r="BQ235" s="84" t="str">
        <f t="shared" si="565"/>
        <v/>
      </c>
      <c r="BR235" s="184" t="str">
        <f>IFERROR(IF(B235="", "", IF(OR(VLOOKUP(J235, 'Fixture Identities'!$A$6:$L$1023, 3, FALSE)="T12 Linear Fluorescent",VLOOKUP(J235, 'Fixture Identities'!$A$6:$L$1023, 3, FALSE)="T12 U-Tube Fluorescent"), "Y", "N")), "N")</f>
        <v/>
      </c>
      <c r="BS235" s="184" t="str">
        <f t="array" ref="BS235">IFERROR(IF(OR(B235="", V235="", W235=""), "", IF(V235="Custom", "N", IF(OR(W235="Freezer Case Lighting", W235="Refrigerated Case Lighting with Doors"), BT235, IF(B235="Retrofit", INDEX('Lookup Tables'!$AH$6:$AT$102,MATCH(1,('Lookup Tables'!$AH$6:$AH$102=V235)*('Lookup Tables'!$AI$6:$AI$102=W235),FALSE),IF(VLOOKUP(J235, 'Fixture Identities'!$A$6:$B$1023, 2, FALSE)="Incandescent",12, 13)), INDEX('Lookup Tables'!$AH$114:$AS$154,MATCH(1,('Lookup Tables'!$AH$114:$AH$154=V235)*('Lookup Tables'!$AI$114:$AI$154=W235),FALSE),12))))), "N")</f>
        <v/>
      </c>
      <c r="BT235" s="184" t="str">
        <f>IF(J235="", "", IF(AND(OR(W235="Freezer case Lighting", W235="Refrigerated Case Lighting with Doors"),'General Information'!$X$18="LCI"), "N", IF(OR(VLOOKUP(J235, 'Fixture Identities'!$A$6:$B$1023, 2, FALSE)="T12 EPACT/EISA Baseline", VLOOKUP(J235, 'Fixture Identities'!$A$6:$B$1023, 2, FALSE)="Linear Fluorescent", VLOOKUP(J235, 'Fixture Identities'!$A$6:$B$1023, 2, FALSE)="U-Tube Fluorescent"), "Y", "N")))</f>
        <v/>
      </c>
      <c r="BU235" s="184" t="str">
        <f>IFERROR(IF(B235="", "", IF(VLOOKUP(J235, 'Fixture Identities'!$A$6:$B$1023, 2, FALSE)="Exit Sign", "Y", "N")), "N")</f>
        <v/>
      </c>
      <c r="BV235" s="184" t="str">
        <f>IF(V235="Exit Signs", IF(VLOOKUP(J235, 'Fixture Identities'!$A$6:$B$1023, 2, FALSE)="Exit Sign", "N", "Y"), "")</f>
        <v/>
      </c>
      <c r="BW235" s="184" t="str">
        <f t="array" ref="BW235">IFERROR(IF(B235="", "", IF(B235="New Construction", "N", INDEX('Lookup Tables'!$AH$6:$AU$102, MATCH(1, ('Lookup Tables'!$AH$6:$AH$102='Lighting Inventory'!V235)*('Lookup Tables'!$AI$6:$AI$102='Lighting Inventory'!W235), 0), 14))), "N")</f>
        <v/>
      </c>
      <c r="BX235" s="598" t="str">
        <f t="shared" si="566"/>
        <v/>
      </c>
      <c r="BY235" s="598" t="str">
        <f t="shared" si="567"/>
        <v/>
      </c>
      <c r="BZ235" s="598" t="str">
        <f t="shared" si="568"/>
        <v/>
      </c>
      <c r="CA235" s="598" t="str">
        <f t="shared" si="569"/>
        <v/>
      </c>
      <c r="CB235" s="269" t="str">
        <f t="shared" si="570"/>
        <v/>
      </c>
      <c r="CC235" s="517" t="str">
        <f t="shared" si="571"/>
        <v/>
      </c>
      <c r="CD235" s="565" t="str">
        <f t="shared" si="511"/>
        <v/>
      </c>
      <c r="CE235" s="368">
        <v>0</v>
      </c>
      <c r="CF235" s="368" t="str" cm="1">
        <f t="array" ref="CF235">IFERROR(IF(V235="Custom", "$0.1 per kWh", IF(B235="New Construction", CONCATENATE("$",INDEX('Lookup Tables'!$AH$114:$AN$154,MATCH(1,('Lookup Tables'!$AH$114:$AH$154='Lighting Inventory'!V235)*('Lookup Tables'!$AI$114:$AI$154='Lighting Inventory'!W235),FALSE),6)," ",INDEX('Lookup Tables'!$AH$114:$AN$154,MATCH(1,('Lookup Tables'!$AH$114:$AH$154='Lighting Inventory'!V235)*('Lookup Tables'!$AI$114:$AI$154='Lighting Inventory'!W235),FALSE),7)), IF(AND(BU235="N", V235="Exit Signs"), "$0.025 per kWh", CONCATENATE("$",INDEX('Lookup Tables'!$AH$6:$AN$102,MATCH(1,('Lookup Tables'!$AH$6:$AH$102='Lighting Inventory'!V235)*('Lookup Tables'!$AI$6:$AI$102='Lighting Inventory'!W235),FALSE),6)," ",INDEX('Lookup Tables'!$AH$6:$AN$102,MATCH(1,('Lookup Tables'!$AH$6:$AH$102='Lighting Inventory'!V235)*('Lookup Tables'!$AI$6:$AI$102='Lighting Inventory'!W235),FALSE),7))))), "")</f>
        <v/>
      </c>
      <c r="CG235" s="366"/>
      <c r="CH235" s="248" t="str">
        <f t="shared" si="512"/>
        <v/>
      </c>
      <c r="CI235" s="248" t="str">
        <f t="shared" si="513"/>
        <v>Select_IE</v>
      </c>
      <c r="CJ235" s="248" t="str">
        <f t="shared" si="514"/>
        <v/>
      </c>
      <c r="CK235" s="248" t="str">
        <f t="shared" si="515"/>
        <v/>
      </c>
      <c r="CL235" s="248" t="str">
        <f t="shared" si="516"/>
        <v/>
      </c>
      <c r="CM235" s="248" t="str">
        <f>IFERROR(IF(B235="", "", IF(B235="New Construction", VLOOKUP(V235, 'Lookup Tables'!$AF$114:$AG$120, 2, FALSE), VLOOKUP(V235, 'Lookup Tables'!$AD$6:$AE$25, 2, FALSE))), "")</f>
        <v/>
      </c>
      <c r="CN235" s="248" t="str">
        <f t="shared" si="517"/>
        <v/>
      </c>
      <c r="CO235" s="248" t="str">
        <f t="shared" si="518"/>
        <v/>
      </c>
      <c r="CP235" s="592" t="str">
        <f t="shared" si="519"/>
        <v/>
      </c>
      <c r="CQ235" s="248" t="str">
        <f t="shared" si="572"/>
        <v/>
      </c>
      <c r="CR235" s="100"/>
      <c r="CS235" s="250" t="str">
        <f t="shared" si="520"/>
        <v/>
      </c>
      <c r="CT235" s="250" t="str">
        <f t="shared" si="573"/>
        <v/>
      </c>
      <c r="CU235" s="250" t="str">
        <f t="shared" si="574"/>
        <v/>
      </c>
      <c r="CV235" s="250" t="str">
        <f t="shared" si="575"/>
        <v/>
      </c>
      <c r="CW235" s="250" t="str">
        <f t="shared" si="576"/>
        <v/>
      </c>
      <c r="CX235" s="250" t="str">
        <f t="shared" si="521"/>
        <v/>
      </c>
      <c r="CY235" s="250" t="str">
        <f t="shared" si="522"/>
        <v/>
      </c>
      <c r="CZ235" s="250" t="str">
        <f t="shared" si="523"/>
        <v/>
      </c>
      <c r="DA235" s="250" t="str">
        <f t="shared" si="524"/>
        <v/>
      </c>
      <c r="DB235" s="250" t="str">
        <f t="shared" si="525"/>
        <v/>
      </c>
      <c r="DC235" s="250" t="str">
        <f t="shared" si="526"/>
        <v/>
      </c>
      <c r="DD235" s="250" t="str">
        <f t="shared" si="527"/>
        <v/>
      </c>
      <c r="DE235" s="250" t="str">
        <f t="shared" si="528"/>
        <v/>
      </c>
      <c r="DF235" s="250" t="str">
        <f t="shared" si="529"/>
        <v/>
      </c>
      <c r="DG235" s="250" t="str">
        <f t="shared" si="530"/>
        <v/>
      </c>
      <c r="DH235" s="250" t="str">
        <f t="shared" si="531"/>
        <v/>
      </c>
      <c r="DI235" s="250" t="str">
        <f t="shared" si="532"/>
        <v/>
      </c>
      <c r="DJ235" s="250" t="str">
        <f t="shared" si="533"/>
        <v/>
      </c>
      <c r="DK235" s="250" t="str">
        <f t="shared" si="534"/>
        <v/>
      </c>
      <c r="DL235" s="250" t="str">
        <f t="shared" si="535"/>
        <v/>
      </c>
      <c r="DM235" s="250" t="str">
        <f>IF(CD235="ERROR", "ERROR", IF(AND(OR(Y235=$DM$6, Y235='Lookup Tables'!$AD$21, Y235='Lookup Tables'!$AD$22), E235="Interior"), BJ235, ""))</f>
        <v/>
      </c>
      <c r="DN235" s="250" t="str">
        <f>IF(CD235="ERROR", "ERROR", IF(AND(OR(Y235=$DM$6, Y235='Lookup Tables'!$AD$21, Y235='Lookup Tables'!$AD$22), E235="Exterior"), BJ235, ""))</f>
        <v/>
      </c>
      <c r="DO235" s="100"/>
      <c r="DP235" s="250" t="str">
        <f t="shared" si="536"/>
        <v/>
      </c>
      <c r="DQ235" s="250" t="str">
        <f t="shared" si="577"/>
        <v/>
      </c>
      <c r="DR235" s="250" t="str">
        <f t="shared" si="578"/>
        <v/>
      </c>
      <c r="DS235" s="250" t="str">
        <f t="shared" si="579"/>
        <v/>
      </c>
      <c r="DT235" s="250" t="str">
        <f t="shared" si="580"/>
        <v/>
      </c>
      <c r="DU235" s="250" t="str">
        <f t="shared" si="537"/>
        <v/>
      </c>
      <c r="DV235" s="250" t="str">
        <f t="shared" si="538"/>
        <v/>
      </c>
      <c r="DW235" s="250" t="str">
        <f t="shared" si="539"/>
        <v/>
      </c>
      <c r="DX235" s="250" t="str">
        <f t="shared" si="540"/>
        <v/>
      </c>
      <c r="DY235" s="250" t="str">
        <f t="shared" si="541"/>
        <v/>
      </c>
      <c r="DZ235" s="250" t="str">
        <f t="shared" si="542"/>
        <v/>
      </c>
      <c r="EA235" s="250" t="str">
        <f t="shared" si="543"/>
        <v/>
      </c>
      <c r="EB235" s="250" t="str">
        <f t="shared" si="581"/>
        <v/>
      </c>
      <c r="EC235" s="250" t="str">
        <f t="shared" si="544"/>
        <v/>
      </c>
      <c r="ED235" s="250" t="str">
        <f t="shared" si="545"/>
        <v/>
      </c>
      <c r="EE235" s="250" t="str">
        <f t="shared" si="546"/>
        <v/>
      </c>
      <c r="EF235" s="250" t="str">
        <f t="shared" si="547"/>
        <v/>
      </c>
      <c r="EG235" s="250" t="str">
        <f t="shared" si="548"/>
        <v/>
      </c>
      <c r="EH235" s="250" t="str">
        <f>IF(CD235="ERROR", "ERROR", IF(AND(OR($EH$6=Y235, Y235='Lookup Tables'!$AD$21, Y235='Lookup Tables'!$AD$22),E235="Interior"), SUM(BP235:BP235), ""))</f>
        <v/>
      </c>
      <c r="EI235" s="250" t="str">
        <f>IF(CD235="ERROR", "ERROR", IF(AND(OR($EH$6=Y235, Y235='Lookup Tables'!$AD$21, Y235='Lookup Tables'!$AD$22),E235="Exterior"), SUM(BP235:BP235), ""))</f>
        <v/>
      </c>
      <c r="EJ235" s="109"/>
      <c r="EK235" s="485" t="str">
        <f t="shared" si="549"/>
        <v/>
      </c>
      <c r="EL235" s="252" t="str">
        <f t="shared" si="582"/>
        <v/>
      </c>
      <c r="EM235" s="252" t="str">
        <f t="shared" si="583"/>
        <v/>
      </c>
      <c r="EN235" s="252" t="str">
        <f t="shared" si="584"/>
        <v/>
      </c>
      <c r="EO235" s="252" t="str">
        <f t="shared" si="585"/>
        <v/>
      </c>
      <c r="EP235" s="252" t="str">
        <f t="shared" si="586"/>
        <v/>
      </c>
      <c r="EQ235" s="252" t="str">
        <f t="shared" si="587"/>
        <v/>
      </c>
      <c r="ER235" s="252" t="str">
        <f t="shared" si="588"/>
        <v/>
      </c>
      <c r="ES235" s="252" t="str">
        <f t="shared" si="589"/>
        <v/>
      </c>
      <c r="ET235" s="252" t="str">
        <f t="shared" si="590"/>
        <v/>
      </c>
      <c r="EU235" s="252" t="str">
        <f t="shared" si="591"/>
        <v/>
      </c>
      <c r="EV235" s="252" t="str">
        <f t="shared" si="592"/>
        <v/>
      </c>
      <c r="EW235" s="252" t="str">
        <f t="shared" si="593"/>
        <v/>
      </c>
      <c r="EX235" s="252" t="str">
        <f t="shared" si="594"/>
        <v/>
      </c>
      <c r="EY235" s="252" t="str">
        <f t="shared" si="595"/>
        <v/>
      </c>
      <c r="EZ235" s="252" t="str">
        <f t="shared" si="596"/>
        <v/>
      </c>
      <c r="FA235" s="252" t="str">
        <f t="shared" si="597"/>
        <v/>
      </c>
      <c r="FB235" s="252" t="str">
        <f t="shared" si="598"/>
        <v/>
      </c>
      <c r="FC235" s="252" t="str">
        <f>IF(CD235="ERROR", "ERROR", IF(OR(V235="No Change", V235="Not DLC or Energy Star"), "", IF(AND(OR($FC$6=Y235,Y235='Lookup Tables'!$AD$21, Y235='Lookup Tables'!$AD$22),E235="Interior"), S235, "")))</f>
        <v/>
      </c>
      <c r="FD235" s="252" t="str">
        <f t="shared" si="599"/>
        <v/>
      </c>
      <c r="FE235" s="101"/>
      <c r="FF235" s="579" t="str" cm="1">
        <f t="array" ref="FF235">IFERROR(IF(OR(BQ235&lt;=0,AQ235&lt;20,AND(V235="Exit Signs",AN235&gt;0)),"",IF(AND(AQ235&gt;=20,AN235='Lookup Tables'!$R$101),'Lookup Tables'!$U$101*BQ235,AP235*LOOKUP(2,1/((AN235='Lookup Tables'!$R$91:$R$111)*(AQ235&gt;='Lookup Tables'!$S$91:$S$111)*(AQ235&lt;='Lookup Tables'!$T$91:$T$111)),'Lookup Tables'!$U$91:$U$111))),"")</f>
        <v/>
      </c>
      <c r="FG235" s="579"/>
      <c r="FH235" s="579"/>
      <c r="FI235" s="253" t="str">
        <f>IFERROR(ROUND(IF(CD235="ERROR", "ERROR", IF(AND($FI$7=X235,E235="Interior"),VLOOKUP(W235, 'Lookup Tables'!$AI$6:$AM$102, 5, FALSE)*BP235, "")), 2), "")</f>
        <v/>
      </c>
      <c r="FJ235" s="253" t="str">
        <f>IFERROR(ROUND(IF(CD235="ERROR", "ERROR", IF(AND($FI$7=X235,E235="Exterior"),VLOOKUP(W235, 'Lookup Tables'!$AI$6:$AM$102, 5, FALSE)*BP235, "")), 2), "")</f>
        <v/>
      </c>
      <c r="FK235" s="253" t="str">
        <f>IFERROR(ROUND(IF(CD235="ERROR", "ERROR", IF(AND($FK$7=X235,E235="Interior"),VLOOKUP(W235, 'Lookup Tables'!$AI$6:$AM$102, 5, FALSE)*BP235, "")), 2), "")</f>
        <v/>
      </c>
      <c r="FL235" s="253" t="str">
        <f>IFERROR(ROUND(IF(CD235="ERROR", "ERROR", IF(AND($FK$7=X235,E235="Exterior"),VLOOKUP(W235, 'Lookup Tables'!$AI$6:$AM$102, 5, FALSE)*BP235, "")), 2), "")</f>
        <v/>
      </c>
      <c r="FM235" s="253" t="str">
        <f>IFERROR(ROUND(IF(CD235="ERROR", "ERROR", IF(AND($FM$6=Y235,E235="Interior"), IF(GB235=0, VLOOKUP(W235, 'Lookup Tables'!$AI$6:$AM$102, 5, FALSE)*BP235, IF(VLOOKUP(W235, 'Lookup Tables'!$AI$6:$AM$102, 5, FALSE)*BP235&gt;GB235*'Lighting Inventory'!S235, GB235*'Lighting Inventory'!S235,VLOOKUP(W235, 'Lookup Tables'!$AI$6:$AM$102, 5, FALSE)*BP235)), "")), 2), "")</f>
        <v/>
      </c>
      <c r="FN235" s="253" t="str">
        <f>IFERROR(ROUND(IF(CD235="ERROR", "ERROR", IF(AND($FM$6=Y235,E235="Exterior"), IF(GB235=0, VLOOKUP(W235, 'Lookup Tables'!$AI$6:$AM$102, 5, FALSE)*BP235, IF(VLOOKUP(W235, 'Lookup Tables'!$AI$6:$AM$102, 5, FALSE)*BP235&gt;GB235*'Lighting Inventory'!S235, GB235*'Lighting Inventory'!S235,VLOOKUP(W235, 'Lookup Tables'!$AI$6:$AM$102, 5, FALSE)*BP235)), "")), 2), "")</f>
        <v/>
      </c>
      <c r="FO235" s="253" t="str">
        <f>IFERROR(ROUND(IF(CD235="ERROR", "ERROR", IF(AND($FO$6=Y235,E235="Interior"),VLOOKUP(W235, 'Lookup Tables'!$AI$6:$AM$102, 5, FALSE)*'Lighting Inventory'!AI235, "")), 2), "")</f>
        <v/>
      </c>
      <c r="FP235" s="253" t="str">
        <f>IFERROR(ROUND(IF(CD235="ERROR", "ERROR", IF(AND($FO$6=Y235,E235="Exterior"),VLOOKUP(W235, 'Lookup Tables'!$AI$6:$AM$102, 5, FALSE)*'Lighting Inventory'!AI235, "")), 2), "")</f>
        <v/>
      </c>
      <c r="FQ235" s="253" t="str">
        <f>IFERROR(ROUND(IF(CD235="ERROR", "ERROR", IF(AND($FQ$6=Y235,E235="Interior", BU235="Y"), VLOOKUP('Lighting Inventory'!W235, 'Lookup Tables'!$AI$6:$AM$102, 5, FALSE)*'Lighting Inventory'!S235, IF(AND($FQ$7=Y235,E235="Interior", BU235="N"), 0.025*CD235, ""))), 2), "")</f>
        <v/>
      </c>
      <c r="FR235" s="253" t="str">
        <f>IFERROR(ROUND(IF(CD235="ERROR", "ERROR", IF(AND($FQ$6=Y235,E235="Exterior"), VLOOKUP('Lighting Inventory'!W235, 'Lookup Tables'!$AI$6:$AM$102, 5, FALSE)*'Lighting Inventory'!S235, "")), 2), "")</f>
        <v/>
      </c>
      <c r="FS235" s="253" t="str">
        <f>IFERROR(ROUND(IF(CD235="ERROR", "ERROR", IF(AND($FS$6=Y235,E235="Exterior"), IF(GB235=0, VLOOKUP(W235, 'Lookup Tables'!$AI$6:$AM$102, 5, FALSE)*BP235, IF(VLOOKUP(W235, 'Lookup Tables'!$AI$6:$AM$102, 5, FALSE)*BP235&gt;GB235*'Lighting Inventory'!S235, GB235*'Lighting Inventory'!S235,VLOOKUP(W235, 'Lookup Tables'!$AI$6:$AM$102, 5, FALSE)*BP235)), "")), 2), "")</f>
        <v/>
      </c>
      <c r="FT235" s="253" t="str">
        <f>IFERROR(ROUND(IF(CD235="ERROR", "ERROR", IF(AND($FT$6=Y235,E235="Interior"), IF(GB235=0, VLOOKUP(W235, 'Lookup Tables'!$AI$6:$AM$102, 5, FALSE)*BP235, IF(VLOOKUP(W235, 'Lookup Tables'!$AI$6:$AM$102, 5, FALSE)*BP235&gt;GB235*'Lighting Inventory'!S235, GB235*'Lighting Inventory'!S235,VLOOKUP(W235, 'Lookup Tables'!$AI$6:$AM$102, 5, FALSE)*BP235)), "")), 2), "")</f>
        <v/>
      </c>
      <c r="FU235" s="253" t="str">
        <f>IFERROR(ROUND(IF(CD235="ERROR", "ERROR", IF(AND(Y235=$FU$6, E235="Interior"), IF(BS235="N", 'Lookup Tables'!$AM$101*BP235, VLOOKUP(W235, 'Lookup Tables'!$AI$6:$AM$102, 5, FALSE)*S235*AD235), "")), 2), "")</f>
        <v/>
      </c>
      <c r="FV235" s="253" t="str">
        <f>IFERROR(ROUND(IF(CD235="ERROR", "ERROR", IF(AND(Y235=$FU$6, E235="Exterior"), IF(BS235="N", 'Lookup Tables'!$AM$101*BP235, VLOOKUP(W235, 'Lookup Tables'!$AI$6:$AM$102, 5, FALSE)*S235*AD235), "")), 2), "")</f>
        <v/>
      </c>
      <c r="FW235" s="253" t="str">
        <f>IFERROR(ROUND(IF(CD235="ERROR", "ERROR", IF($FW$6=Y235, IF(BS235="N", 'Lookup Tables'!$AM$101*BP235, MIN((VLOOKUP(W235, 'Lookup Tables'!$AI$6:$AM$102, 5, FALSE)*BP235),GB235*AJ235)), "")), 2), "")</f>
        <v/>
      </c>
      <c r="FX235" s="253" t="str">
        <f>IFERROR(ROUND(IF(CD235="ERROR", "ERROR", IF(AND($FX$6=Y235, E235="Interior"), IF(VLOOKUP(W235, 'Lookup Tables'!$AI$6:$AM$102, 5, FALSE)*BP235&gt;'Lookup Tables'!$AQ$97*'Lighting Inventory'!S235,'Lighting Inventory'!S235*'Lookup Tables'!$AQ$97,VLOOKUP(W235, 'Lookup Tables'!$AI$6:$AM$102, 5, FALSE)*BP235), "")), 2), "")</f>
        <v/>
      </c>
      <c r="FY235" s="253" t="str">
        <f>IFERROR(ROUND(IF(CD235="ERROR", "ERROR", IF(AND($FX$6=Y235, E235="Exterior"), IF(VLOOKUP(W235, 'Lookup Tables'!$AI$6:$AM$102, 5, FALSE)*BP235&gt;'Lookup Tables'!$AQ$97*'Lighting Inventory'!S235,'Lighting Inventory'!S235*'Lookup Tables'!$AQ$97,VLOOKUP(W235, 'Lookup Tables'!$AI$6:$AM$102, 5, FALSE)*BP235), "")), 2), "")</f>
        <v/>
      </c>
      <c r="FZ235" s="253" t="str">
        <f>IFERROR(ROUND(IF(CD235="ERROR", "ERROR", IF(AND($FZ$6=Y235, E235="Interior"), IF(AND(OR(W235="Refrigerated Case Lighting with Doors", W235="Freezer Case Lighting"),Y235="Custom - Process Improvement"),CD235*'Lookup Tables'!$AM$101, IF(B235="Retrofit", IF(VLOOKUP(IF(V235="Custom", V235, W235), 'Lookup Tables'!$AI$6:$AM$102, 5, FALSE)*BP235&gt;GE235, GE235, VLOOKUP(IF(V235="Custom", V235, W235), 'Lookup Tables'!$AI$6:$AM$102, 5, FALSE)*BP235), IF(VLOOKUP(IF(V235="Custom", V235, W235), 'Lookup Tables'!$AI$114:$AM$154, 5, FALSE)*BP235&gt;GE235, GE235, VLOOKUP(IF(V235="Custom", V235, W235), 'Lookup Tables'!$AI$114:$AM$154, 5, FALSE)*BP235))), "")), 2),"")</f>
        <v/>
      </c>
      <c r="GA235" s="253" t="str">
        <f>IFERROR(ROUND(IF(CD235="ERROR", "ERROR", IF(AND($FZ$6=Y235, E235="Exterior"), IF(B235="Retrofit", IF(VLOOKUP(IF(V235="Custom", V235, W235), 'Lookup Tables'!$AI$6:$AM$102, 5, FALSE)*BP235&gt;GE235, GE235, VLOOKUP(IF(V235="Custom", V235, W235), 'Lookup Tables'!$AI$6:$AM$102, 5, FALSE)*BP235), IF(VLOOKUP(IF(V235="Custom", V235, W235), 'Lookup Tables'!$AI$114:$AM$154, 5, FALSE)*BP235&gt;GE235, GE235, VLOOKUP(IF(V235="Custom", V235, W235), 'Lookup Tables'!$AI$114:$AM$154, 5, FALSE)*BP235)), "")), 2),"")</f>
        <v/>
      </c>
      <c r="GB235" s="254" t="str">
        <f t="array" ref="GB235">IF(B235="","",IF(OR(V235="Custom",V235="No Change"),0,IF(B235="Retrofit", INDEX('Lookup Tables'!$AH$6:$AQ$102,MATCH(1,('Lookup Tables'!$AH$6:$AH$102='Lighting Inventory'!V235)*('Lookup Tables'!$AI$6:$AI$102='Lighting Inventory'!W235),FALSE),10),INDEX('Lookup Tables'!$AH$114:$AQ$154,MATCH(1,('Lookup Tables'!$AH$114:$AH$154='Lighting Inventory'!V235)*('Lookup Tables'!$AI$114:$AI$154='Lighting Inventory'!W235),FALSE),10))))</f>
        <v/>
      </c>
      <c r="GC235" s="255" t="str">
        <f t="shared" si="550"/>
        <v/>
      </c>
      <c r="GD235" s="250" t="str">
        <f t="shared" si="551"/>
        <v/>
      </c>
      <c r="GE235" s="253" t="str">
        <f>IFERROR(IF(AND(AF235="", 'General Information'!$F$18="No"),"", IF(AF235="", ((GD235/$CD$266)*$CF$266)*0.5, AF235*S235*0.5)), "")</f>
        <v/>
      </c>
      <c r="GF235" s="255" t="str">
        <f>IF(AND('General Information'!$F$19="", 'General Information'!$F$18="Yes",AF235="",BW235="Y"), "Y", "N")</f>
        <v>N</v>
      </c>
      <c r="GG235" s="255" t="s">
        <v>2946</v>
      </c>
      <c r="GH235" s="255" t="str">
        <f>IFERROR(IF(B235="", "", VLOOKUP(J235, 'Fixture Identities'!$A$6:$N$908, 14, FALSE)), "")</f>
        <v/>
      </c>
      <c r="GI235" s="389" t="str">
        <f>IF(OR(B235="", V235="", W235=""), "", IF(AND(OR(M235='Lookup Tables'!$R$18, M235='Lookup Tables'!$R$19, M235='Lookup Tables'!$R$20, M235='Lookup Tables'!$R$21, M235='Lookup Tables'!$R$22), OR(AN235='Lookup Tables'!$R$17, AN235='Lookup Tables'!$R$17, AN235="")), "Y", "N"))</f>
        <v/>
      </c>
      <c r="GJ235" s="255" t="str">
        <f t="shared" si="552"/>
        <v/>
      </c>
      <c r="GK235" s="255" t="str">
        <f t="shared" si="553"/>
        <v/>
      </c>
      <c r="GL235" s="255" t="str">
        <f t="shared" si="554"/>
        <v/>
      </c>
      <c r="GM235" s="255" t="str">
        <f>IF(AN235="", "", IF(AND(IF(ISNA(VLOOKUP(AN235,'Lookup Tables'!$R$18:$R$22,1,FALSE)), "N", "Y")="Y", E235="Exterior"), "Y", "N"))</f>
        <v/>
      </c>
      <c r="GN235" s="395"/>
      <c r="GO235" s="428">
        <f t="shared" si="600"/>
        <v>0</v>
      </c>
      <c r="GP235" s="428">
        <f t="shared" si="603"/>
        <v>0</v>
      </c>
      <c r="GQ235" s="428">
        <f t="shared" si="601"/>
        <v>0</v>
      </c>
      <c r="GR235" s="428">
        <f t="shared" si="602"/>
        <v>0</v>
      </c>
    </row>
    <row r="236" spans="1:200" s="103" customFormat="1" ht="13.5" customHeight="1" x14ac:dyDescent="0.2">
      <c r="A236" s="272">
        <v>226</v>
      </c>
      <c r="B236" s="110"/>
      <c r="C236" s="110"/>
      <c r="D236" s="110"/>
      <c r="E236" s="110"/>
      <c r="F236" s="110"/>
      <c r="G236" s="110"/>
      <c r="H236" s="110"/>
      <c r="I236" s="29"/>
      <c r="J236" s="29"/>
      <c r="K236" s="272" t="str">
        <f>IFERROR(IF(OR(VLOOKUP(J236, 'Fixture Identities'!$A$6:$L$1023, 3, FALSE)="T12 Linear Fluorescent", VLOOKUP(J236, 'Fixture Identities'!$A$6:$L$1023, 3, FALSE)="T12 U-Tube Fluorescent"), VLOOKUP(VLOOKUP(J236, 'Fixture Identities'!$A$6:$L$1023, 11, FALSE), 'Fixture Identities'!$A$6:$L$1023, 10, FALSE), VLOOKUP(J236, 'Fixture Identities'!$A$6:$L$1023, 10, FALSE)), "")</f>
        <v/>
      </c>
      <c r="L236" s="270" t="str">
        <f t="shared" si="605"/>
        <v/>
      </c>
      <c r="M236" s="110"/>
      <c r="N236" s="110"/>
      <c r="O236" s="110"/>
      <c r="P236" s="272" t="str">
        <f>IFERROR(IF(OR(B236="Retrofit",B236=""),"",IF('Lighting Inventory'!E236="Exterior",VLOOKUP('Lighting Inventory'!N236,'Lookup Tables'!$B$83:$F$103,5,FALSE),IF(N236="Other - Please Estimate EFLH and CFs","Contact Prog. Rep.","ft^2"))), "")</f>
        <v/>
      </c>
      <c r="Q236" s="270" t="str">
        <f>IFERROR(IF(AND(B236="New Construction",E236="Interior",$F$5="Space-by-Space"),VLOOKUP('Lighting Inventory'!N236,'Lookup Tables'!$N$6:$O$97,2,FALSE),IF(AND(B236="New Construction",E236="Exterior"),VLOOKUP(N236,'Lookup Tables'!$B$83:$F$103,2,FALSE),IF(AND(B236="New Construction",'Lighting Inventory'!E236="Interior", $F$5="Building Area"),VLOOKUP(F236,'Lookup Tables'!$A$6:$J$59,10,FALSE),""))), "")</f>
        <v/>
      </c>
      <c r="R236" s="270" t="str">
        <f>IFERROR(IF(P236="Contact Prog. Rep.", "ERROR", IF(OR(B236="",B236="Retrofit"),"",IF(N236="Automated teller machines", ('Lookup Tables'!$A$82:$E$100+('Lighting Inventory'!O236-1)*'Lookup Tables'!$A$82:$E$100)/1000, (Q236*O236)/1000))), "")</f>
        <v/>
      </c>
      <c r="S236" s="595"/>
      <c r="T236" s="105" t="str">
        <f t="shared" si="555"/>
        <v/>
      </c>
      <c r="U236" s="105" t="str">
        <f>IF(S236="","",COUNT($S$11:S236))</f>
        <v/>
      </c>
      <c r="V236" s="111"/>
      <c r="W236" s="112"/>
      <c r="X236" s="105" t="str">
        <f t="shared" si="556"/>
        <v/>
      </c>
      <c r="Y236" s="105" t="str">
        <f t="array" ref="Y236">IF(AND(OR(W236="Freezer Case Lighting", W236="Refrigerated Case Lighting with Doors"), 'General Information'!$X$18="LCI"),'Lookup Tables'!$Y$34, IF(V236="Custom", VLOOKUP(W236, 'Fixture Identities'!$A$974:$M$1023, 13, FALSE), IF(V236="No Change",'Lookup Tables'!$Y$29,IF(OR(V236="",W236=""),"",IF(AND(S236=0,S236&lt;I236,B236="Retrofit"),'Lookup Tables'!$Y$25, IF(B236="Retrofit", INDEX('Lookup Tables'!$AH$6:$AP$102, MATCH(1, ('Lookup Tables'!$AH$6:$AH$102=V236)*('Lookup Tables'!$AI$6:$AI$102=W236), 0), IF('Lighting Inventory'!E236="Interior", 4, 5)), INDEX('Lookup Tables'!$AH$114:$AP$154, MATCH(1, ('Lookup Tables'!$AH$114:$AH$154=V236)*('Lookup Tables'!$AI$114:$AI$154=W236), 0), IF('Lighting Inventory'!E236="Interior", 4, 5))))))))</f>
        <v/>
      </c>
      <c r="Z236" s="105" t="str">
        <f>IFERROR(INDEX('Lookup Tables'!$AH$158:$AH$172,MATCH('Lighting Inventory'!Y236,'Lookup Tables'!$AI$158:$AI$172,0)),"")</f>
        <v/>
      </c>
      <c r="AA236" s="105" t="str">
        <f>IF(AP236&gt;0,INDEX('Lookup Tables'!$AK$158:$AK$172,MATCH('Lighting Inventory'!Y236,'Lookup Tables'!$AI$158:$AI$172,0)),'Lighting Inventory'!Y236)</f>
        <v/>
      </c>
      <c r="AB236" s="105" t="str">
        <f t="array" ref="AB236">IF(V236="Custom", "Custom", IF(V236="", "", IF(V236="Not DLC or Energy Star", "General", IF(B236="New Construction", INDEX('Lookup Tables'!$AH$114:$AP$154,MATCH(1,('Lookup Tables'!$AH$114:$AH$154='Lighting Inventory'!V236)*('Lookup Tables'!$AI$114:$AI$154='Lighting Inventory'!W236),FALSE),8), INDEX('Lookup Tables'!$AH$6:$AP$102,MATCH(1,('Lookup Tables'!$AH$6:$AH$102='Lighting Inventory'!V236)*('Lookup Tables'!$AI$6:$AI$102='Lighting Inventory'!W236),FALSE),8)))))</f>
        <v/>
      </c>
      <c r="AC236" s="272" t="str">
        <f>IF(W236="","",IF(V236="Custom",CONCATENATE("$",'Lookup Tables'!$AM$101," ",'Lookup Tables'!$AN$101),CONCATENATE("$",INDEX('Lookup Tables'!$AM$6:$AM$102,MATCH('Lighting Inventory'!W236,'Lookup Tables'!$AI$6:$AI$102,0))," ",INDEX('Lookup Tables'!$AN$6:$AN$102,MATCH('Lighting Inventory'!W236,'Lookup Tables'!$AI$6:$AI$102,0)))))</f>
        <v/>
      </c>
      <c r="AD236" s="72"/>
      <c r="AE236" s="29"/>
      <c r="AF236" s="379"/>
      <c r="AG236" s="370" t="str">
        <f t="shared" si="504"/>
        <v/>
      </c>
      <c r="AH236" s="370" t="str">
        <f t="shared" si="557"/>
        <v/>
      </c>
      <c r="AI236" s="29"/>
      <c r="AJ236" s="29"/>
      <c r="AK236" s="110"/>
      <c r="AL236" s="375" t="str">
        <f>IF(OR(B236="", V236="", W236=""), "", IF(V236="No Change", K236, IF(V236="Remove Fixture", 0, IF(V236="Custom",VLOOKUP(W236,'Fixture Identities'!$A$6:$K$1023,10,FALSE),IF(AE236="", "← ENTER POST WATTS", 'Lighting Inventory'!AE236)))))</f>
        <v/>
      </c>
      <c r="AM236" s="376" t="str">
        <f t="shared" si="505"/>
        <v/>
      </c>
      <c r="AN236" s="29"/>
      <c r="AO236" s="671"/>
      <c r="AP236" s="29"/>
      <c r="AQ236" s="29"/>
      <c r="AR236" s="29"/>
      <c r="AS236" s="272" t="str">
        <f t="shared" si="558"/>
        <v/>
      </c>
      <c r="AT236" s="270" t="str">
        <f t="shared" si="506"/>
        <v/>
      </c>
      <c r="AU236" s="88" t="str">
        <f t="shared" si="606"/>
        <v/>
      </c>
      <c r="AV236" s="29"/>
      <c r="AW236" s="73"/>
      <c r="AX236" s="271" t="str">
        <f>IF(AND(AV236="Applicant",OR(AW236="", AW236="Use Default Facility Hours")),"← Choose Schedule",IF(F236="","",IF(W236="LED Exit Signs",8760,IF(OR(AV236="Prescribed",AV236=""),VLOOKUP(F236,'Lookup Tables'!$A$6:$G$59,IF(AB236="General", 6, 3),FALSE),VLOOKUP(AW236,'Lookup Tables'!$S$36:$U$43,2,FALSE)))))</f>
        <v/>
      </c>
      <c r="AY236" s="88" t="str">
        <f t="shared" si="507"/>
        <v/>
      </c>
      <c r="AZ236" s="270" t="str">
        <f>IFERROR(IF(F236="", "", IF(W236="LED Exit Signs", 1, IF(AV236="Applicant",VLOOKUP(AW236, 'Lookup Tables'!$S$36:$U$43,3, FALSE), VLOOKUP('Lighting Inventory'!F236, 'Lookup Tables'!$A$6:$H$59, IF('Lighting Inventory'!AB236="General",7,4), FALSE)))), "")</f>
        <v/>
      </c>
      <c r="BA236" s="522" t="str">
        <f>IFERROR(IF(F236="", "", IF(W236="LED Exit Signs", 1, VLOOKUP('Lighting Inventory'!F236, 'Lookup Tables'!$A$6:$H$59, IF('Lighting Inventory'!AB236="General",8,5), FALSE))), "")</f>
        <v/>
      </c>
      <c r="BB236" s="270" t="str">
        <f>IF(G236="", "", IF(E236="Exterior", 0, IF('Lighting Inventory'!G236="Air Conditioned", VLOOKUP(H236, 'Lookup Tables'!$R$6:$T$13, 2, FALSE), VLOOKUP('Lighting Inventory'!G236, 'Lookup Tables'!$R$6:$T$13, 2, FALSE))))</f>
        <v/>
      </c>
      <c r="BC236" s="522" t="str">
        <f>IF(G236="", "", IF(E236="Exterior", 0, IF('Lighting Inventory'!G236="Air Conditioned", VLOOKUP(H236, 'Lookup Tables'!$R$6:$T$13, 3, FALSE), VLOOKUP('Lighting Inventory'!G236, 'Lookup Tables'!$R$6:$T$13, 3, FALSE))))</f>
        <v/>
      </c>
      <c r="BD236" s="270" t="str">
        <f>IF(G236="", "", IF(E236="Exterior", 0, IF('Lighting Inventory'!G236="Air Conditioned", VLOOKUP(H236, 'Lookup Tables'!$R$6:$U$13, 4, FALSE), VLOOKUP('Lighting Inventory'!G236, 'Lookup Tables'!$R$6:$U$13, 4, FALSE))))</f>
        <v/>
      </c>
      <c r="BE236" s="270" t="str">
        <f>IFERROR(IF(B236="", "",  IF(B236="New Construction", VLOOKUP(F236, 'Lookup Tables'!$A$6:$K$59, 11, FALSE),IF(OR(AN236="", AN236="Light Switch"), 0, IF(OR(M236="",M236="None",V236= "LED Exit Signs"),0,_xlfn.XLOOKUP(M236,'Lookup Tables'!$R$91:$R$101,'Lookup Tables'!$V$91:$V$101))))), "")</f>
        <v/>
      </c>
      <c r="BF236" s="270" t="str">
        <f>IF(AND(OR(AN236="Light Switch",AN236=""),B236="New Construction"), VLOOKUP(F236, 'Lookup Tables'!$A$6:$K$59, 11, FALSE),IF(AN236="","",IF(B236="","",IF(OR(AN236="None",AN236="",V236="LED Exit Signs",AN236="Exterior Controls Not Eligible"),0,_xlfn.XLOOKUP(AN236,'Lookup Tables'!$R$91:$R$101,'Lookup Tables'!$V$91:$V$101)))))</f>
        <v/>
      </c>
      <c r="BG236" s="88" t="str">
        <f t="shared" si="559"/>
        <v/>
      </c>
      <c r="BH236" s="88" t="str">
        <f t="shared" si="560"/>
        <v/>
      </c>
      <c r="BI236" s="558" t="str">
        <f t="shared" si="604"/>
        <v/>
      </c>
      <c r="BJ236" s="82" t="str">
        <f t="shared" si="561"/>
        <v/>
      </c>
      <c r="BK236" s="82" t="str">
        <f t="shared" si="562"/>
        <v/>
      </c>
      <c r="BL236" s="559" t="str">
        <f t="shared" si="563"/>
        <v/>
      </c>
      <c r="BM236" s="521" t="str">
        <f t="shared" si="508"/>
        <v/>
      </c>
      <c r="BN236" s="521" t="str">
        <f t="shared" si="509"/>
        <v/>
      </c>
      <c r="BO236" s="522" t="str">
        <f t="shared" si="510"/>
        <v/>
      </c>
      <c r="BP236" s="83" t="str">
        <f t="shared" si="564"/>
        <v/>
      </c>
      <c r="BQ236" s="84" t="str">
        <f t="shared" si="565"/>
        <v/>
      </c>
      <c r="BR236" s="184" t="str">
        <f>IFERROR(IF(B236="", "", IF(OR(VLOOKUP(J236, 'Fixture Identities'!$A$6:$L$1023, 3, FALSE)="T12 Linear Fluorescent",VLOOKUP(J236, 'Fixture Identities'!$A$6:$L$1023, 3, FALSE)="T12 U-Tube Fluorescent"), "Y", "N")), "N")</f>
        <v/>
      </c>
      <c r="BS236" s="184" t="str">
        <f t="array" ref="BS236">IFERROR(IF(OR(B236="", V236="", W236=""), "", IF(V236="Custom", "N", IF(OR(W236="Freezer Case Lighting", W236="Refrigerated Case Lighting with Doors"), BT236, IF(B236="Retrofit", INDEX('Lookup Tables'!$AH$6:$AT$102,MATCH(1,('Lookup Tables'!$AH$6:$AH$102=V236)*('Lookup Tables'!$AI$6:$AI$102=W236),FALSE),IF(VLOOKUP(J236, 'Fixture Identities'!$A$6:$B$1023, 2, FALSE)="Incandescent",12, 13)), INDEX('Lookup Tables'!$AH$114:$AS$154,MATCH(1,('Lookup Tables'!$AH$114:$AH$154=V236)*('Lookup Tables'!$AI$114:$AI$154=W236),FALSE),12))))), "N")</f>
        <v/>
      </c>
      <c r="BT236" s="184" t="str">
        <f>IF(J236="", "", IF(AND(OR(W236="Freezer case Lighting", W236="Refrigerated Case Lighting with Doors"),'General Information'!$X$18="LCI"), "N", IF(OR(VLOOKUP(J236, 'Fixture Identities'!$A$6:$B$1023, 2, FALSE)="T12 EPACT/EISA Baseline", VLOOKUP(J236, 'Fixture Identities'!$A$6:$B$1023, 2, FALSE)="Linear Fluorescent", VLOOKUP(J236, 'Fixture Identities'!$A$6:$B$1023, 2, FALSE)="U-Tube Fluorescent"), "Y", "N")))</f>
        <v/>
      </c>
      <c r="BU236" s="184" t="str">
        <f>IFERROR(IF(B236="", "", IF(VLOOKUP(J236, 'Fixture Identities'!$A$6:$B$1023, 2, FALSE)="Exit Sign", "Y", "N")), "N")</f>
        <v/>
      </c>
      <c r="BV236" s="184" t="str">
        <f>IF(V236="Exit Signs", IF(VLOOKUP(J236, 'Fixture Identities'!$A$6:$B$1023, 2, FALSE)="Exit Sign", "N", "Y"), "")</f>
        <v/>
      </c>
      <c r="BW236" s="184" t="str">
        <f t="array" ref="BW236">IFERROR(IF(B236="", "", IF(B236="New Construction", "N", INDEX('Lookup Tables'!$AH$6:$AU$102, MATCH(1, ('Lookup Tables'!$AH$6:$AH$102='Lighting Inventory'!V236)*('Lookup Tables'!$AI$6:$AI$102='Lighting Inventory'!W236), 0), 14))), "N")</f>
        <v/>
      </c>
      <c r="BX236" s="598" t="str">
        <f t="shared" si="566"/>
        <v/>
      </c>
      <c r="BY236" s="598" t="str">
        <f t="shared" si="567"/>
        <v/>
      </c>
      <c r="BZ236" s="598" t="str">
        <f t="shared" si="568"/>
        <v/>
      </c>
      <c r="CA236" s="598" t="str">
        <f t="shared" si="569"/>
        <v/>
      </c>
      <c r="CB236" s="269" t="str">
        <f t="shared" si="570"/>
        <v/>
      </c>
      <c r="CC236" s="517" t="str">
        <f t="shared" si="571"/>
        <v/>
      </c>
      <c r="CD236" s="565" t="str">
        <f t="shared" si="511"/>
        <v/>
      </c>
      <c r="CE236" s="368">
        <v>0</v>
      </c>
      <c r="CF236" s="368" t="str" cm="1">
        <f t="array" ref="CF236">IFERROR(IF(V236="Custom", "$0.1 per kWh", IF(B236="New Construction", CONCATENATE("$",INDEX('Lookup Tables'!$AH$114:$AN$154,MATCH(1,('Lookup Tables'!$AH$114:$AH$154='Lighting Inventory'!V236)*('Lookup Tables'!$AI$114:$AI$154='Lighting Inventory'!W236),FALSE),6)," ",INDEX('Lookup Tables'!$AH$114:$AN$154,MATCH(1,('Lookup Tables'!$AH$114:$AH$154='Lighting Inventory'!V236)*('Lookup Tables'!$AI$114:$AI$154='Lighting Inventory'!W236),FALSE),7)), IF(AND(BU236="N", V236="Exit Signs"), "$0.025 per kWh", CONCATENATE("$",INDEX('Lookup Tables'!$AH$6:$AN$102,MATCH(1,('Lookup Tables'!$AH$6:$AH$102='Lighting Inventory'!V236)*('Lookup Tables'!$AI$6:$AI$102='Lighting Inventory'!W236),FALSE),6)," ",INDEX('Lookup Tables'!$AH$6:$AN$102,MATCH(1,('Lookup Tables'!$AH$6:$AH$102='Lighting Inventory'!V236)*('Lookup Tables'!$AI$6:$AI$102='Lighting Inventory'!W236),FALSE),7))))), "")</f>
        <v/>
      </c>
      <c r="CG236" s="366"/>
      <c r="CH236" s="248" t="str">
        <f t="shared" si="512"/>
        <v/>
      </c>
      <c r="CI236" s="248" t="str">
        <f t="shared" si="513"/>
        <v>Select_IE</v>
      </c>
      <c r="CJ236" s="248" t="str">
        <f t="shared" si="514"/>
        <v/>
      </c>
      <c r="CK236" s="248" t="str">
        <f t="shared" si="515"/>
        <v/>
      </c>
      <c r="CL236" s="248" t="str">
        <f t="shared" si="516"/>
        <v/>
      </c>
      <c r="CM236" s="248" t="str">
        <f>IFERROR(IF(B236="", "", IF(B236="New Construction", VLOOKUP(V236, 'Lookup Tables'!$AF$114:$AG$120, 2, FALSE), VLOOKUP(V236, 'Lookup Tables'!$AD$6:$AE$25, 2, FALSE))), "")</f>
        <v/>
      </c>
      <c r="CN236" s="248" t="str">
        <f t="shared" si="517"/>
        <v/>
      </c>
      <c r="CO236" s="248" t="str">
        <f t="shared" si="518"/>
        <v/>
      </c>
      <c r="CP236" s="592" t="str">
        <f t="shared" si="519"/>
        <v/>
      </c>
      <c r="CQ236" s="248" t="str">
        <f t="shared" si="572"/>
        <v/>
      </c>
      <c r="CR236" s="100"/>
      <c r="CS236" s="250" t="str">
        <f t="shared" si="520"/>
        <v/>
      </c>
      <c r="CT236" s="250" t="str">
        <f t="shared" si="573"/>
        <v/>
      </c>
      <c r="CU236" s="250" t="str">
        <f t="shared" si="574"/>
        <v/>
      </c>
      <c r="CV236" s="250" t="str">
        <f t="shared" si="575"/>
        <v/>
      </c>
      <c r="CW236" s="250" t="str">
        <f t="shared" si="576"/>
        <v/>
      </c>
      <c r="CX236" s="250" t="str">
        <f t="shared" si="521"/>
        <v/>
      </c>
      <c r="CY236" s="250" t="str">
        <f t="shared" si="522"/>
        <v/>
      </c>
      <c r="CZ236" s="250" t="str">
        <f t="shared" si="523"/>
        <v/>
      </c>
      <c r="DA236" s="250" t="str">
        <f t="shared" si="524"/>
        <v/>
      </c>
      <c r="DB236" s="250" t="str">
        <f t="shared" si="525"/>
        <v/>
      </c>
      <c r="DC236" s="250" t="str">
        <f t="shared" si="526"/>
        <v/>
      </c>
      <c r="DD236" s="250" t="str">
        <f t="shared" si="527"/>
        <v/>
      </c>
      <c r="DE236" s="250" t="str">
        <f t="shared" si="528"/>
        <v/>
      </c>
      <c r="DF236" s="250" t="str">
        <f t="shared" si="529"/>
        <v/>
      </c>
      <c r="DG236" s="250" t="str">
        <f t="shared" si="530"/>
        <v/>
      </c>
      <c r="DH236" s="250" t="str">
        <f t="shared" si="531"/>
        <v/>
      </c>
      <c r="DI236" s="250" t="str">
        <f t="shared" si="532"/>
        <v/>
      </c>
      <c r="DJ236" s="250" t="str">
        <f t="shared" si="533"/>
        <v/>
      </c>
      <c r="DK236" s="250" t="str">
        <f t="shared" si="534"/>
        <v/>
      </c>
      <c r="DL236" s="250" t="str">
        <f t="shared" si="535"/>
        <v/>
      </c>
      <c r="DM236" s="250" t="str">
        <f>IF(CD236="ERROR", "ERROR", IF(AND(OR(Y236=$DM$6, Y236='Lookup Tables'!$AD$21, Y236='Lookup Tables'!$AD$22), E236="Interior"), BJ236, ""))</f>
        <v/>
      </c>
      <c r="DN236" s="250" t="str">
        <f>IF(CD236="ERROR", "ERROR", IF(AND(OR(Y236=$DM$6, Y236='Lookup Tables'!$AD$21, Y236='Lookup Tables'!$AD$22), E236="Exterior"), BJ236, ""))</f>
        <v/>
      </c>
      <c r="DO236" s="100"/>
      <c r="DP236" s="250" t="str">
        <f t="shared" si="536"/>
        <v/>
      </c>
      <c r="DQ236" s="250" t="str">
        <f t="shared" si="577"/>
        <v/>
      </c>
      <c r="DR236" s="250" t="str">
        <f t="shared" si="578"/>
        <v/>
      </c>
      <c r="DS236" s="250" t="str">
        <f t="shared" si="579"/>
        <v/>
      </c>
      <c r="DT236" s="250" t="str">
        <f t="shared" si="580"/>
        <v/>
      </c>
      <c r="DU236" s="250" t="str">
        <f t="shared" si="537"/>
        <v/>
      </c>
      <c r="DV236" s="250" t="str">
        <f t="shared" si="538"/>
        <v/>
      </c>
      <c r="DW236" s="250" t="str">
        <f t="shared" si="539"/>
        <v/>
      </c>
      <c r="DX236" s="250" t="str">
        <f t="shared" si="540"/>
        <v/>
      </c>
      <c r="DY236" s="250" t="str">
        <f t="shared" si="541"/>
        <v/>
      </c>
      <c r="DZ236" s="250" t="str">
        <f t="shared" si="542"/>
        <v/>
      </c>
      <c r="EA236" s="250" t="str">
        <f t="shared" si="543"/>
        <v/>
      </c>
      <c r="EB236" s="250" t="str">
        <f t="shared" si="581"/>
        <v/>
      </c>
      <c r="EC236" s="250" t="str">
        <f t="shared" si="544"/>
        <v/>
      </c>
      <c r="ED236" s="250" t="str">
        <f t="shared" si="545"/>
        <v/>
      </c>
      <c r="EE236" s="250" t="str">
        <f t="shared" si="546"/>
        <v/>
      </c>
      <c r="EF236" s="250" t="str">
        <f t="shared" si="547"/>
        <v/>
      </c>
      <c r="EG236" s="250" t="str">
        <f t="shared" si="548"/>
        <v/>
      </c>
      <c r="EH236" s="250" t="str">
        <f>IF(CD236="ERROR", "ERROR", IF(AND(OR($EH$6=Y236, Y236='Lookup Tables'!$AD$21, Y236='Lookup Tables'!$AD$22),E236="Interior"), SUM(BP236:BP236), ""))</f>
        <v/>
      </c>
      <c r="EI236" s="250" t="str">
        <f>IF(CD236="ERROR", "ERROR", IF(AND(OR($EH$6=Y236, Y236='Lookup Tables'!$AD$21, Y236='Lookup Tables'!$AD$22),E236="Exterior"), SUM(BP236:BP236), ""))</f>
        <v/>
      </c>
      <c r="EJ236" s="109"/>
      <c r="EK236" s="485" t="str">
        <f t="shared" si="549"/>
        <v/>
      </c>
      <c r="EL236" s="252" t="str">
        <f t="shared" si="582"/>
        <v/>
      </c>
      <c r="EM236" s="252" t="str">
        <f t="shared" si="583"/>
        <v/>
      </c>
      <c r="EN236" s="252" t="str">
        <f t="shared" si="584"/>
        <v/>
      </c>
      <c r="EO236" s="252" t="str">
        <f t="shared" si="585"/>
        <v/>
      </c>
      <c r="EP236" s="252" t="str">
        <f t="shared" si="586"/>
        <v/>
      </c>
      <c r="EQ236" s="252" t="str">
        <f t="shared" si="587"/>
        <v/>
      </c>
      <c r="ER236" s="252" t="str">
        <f t="shared" si="588"/>
        <v/>
      </c>
      <c r="ES236" s="252" t="str">
        <f t="shared" si="589"/>
        <v/>
      </c>
      <c r="ET236" s="252" t="str">
        <f t="shared" si="590"/>
        <v/>
      </c>
      <c r="EU236" s="252" t="str">
        <f t="shared" si="591"/>
        <v/>
      </c>
      <c r="EV236" s="252" t="str">
        <f t="shared" si="592"/>
        <v/>
      </c>
      <c r="EW236" s="252" t="str">
        <f t="shared" si="593"/>
        <v/>
      </c>
      <c r="EX236" s="252" t="str">
        <f t="shared" si="594"/>
        <v/>
      </c>
      <c r="EY236" s="252" t="str">
        <f t="shared" si="595"/>
        <v/>
      </c>
      <c r="EZ236" s="252" t="str">
        <f t="shared" si="596"/>
        <v/>
      </c>
      <c r="FA236" s="252" t="str">
        <f t="shared" si="597"/>
        <v/>
      </c>
      <c r="FB236" s="252" t="str">
        <f t="shared" si="598"/>
        <v/>
      </c>
      <c r="FC236" s="252" t="str">
        <f>IF(CD236="ERROR", "ERROR", IF(OR(V236="No Change", V236="Not DLC or Energy Star"), "", IF(AND(OR($FC$6=Y236,Y236='Lookup Tables'!$AD$21, Y236='Lookup Tables'!$AD$22),E236="Interior"), S236, "")))</f>
        <v/>
      </c>
      <c r="FD236" s="252" t="str">
        <f t="shared" si="599"/>
        <v/>
      </c>
      <c r="FE236" s="101"/>
      <c r="FF236" s="579" t="str" cm="1">
        <f t="array" ref="FF236">IFERROR(IF(OR(BQ236&lt;=0,AQ236&lt;20,AND(V236="Exit Signs",AN236&gt;0)),"",IF(AND(AQ236&gt;=20,AN236='Lookup Tables'!$R$101),'Lookup Tables'!$U$101*BQ236,AP236*LOOKUP(2,1/((AN236='Lookup Tables'!$R$91:$R$111)*(AQ236&gt;='Lookup Tables'!$S$91:$S$111)*(AQ236&lt;='Lookup Tables'!$T$91:$T$111)),'Lookup Tables'!$U$91:$U$111))),"")</f>
        <v/>
      </c>
      <c r="FG236" s="579"/>
      <c r="FH236" s="579"/>
      <c r="FI236" s="253" t="str">
        <f>IFERROR(ROUND(IF(CD236="ERROR", "ERROR", IF(AND($FI$7=X236,E236="Interior"),VLOOKUP(W236, 'Lookup Tables'!$AI$6:$AM$102, 5, FALSE)*BP236, "")), 2), "")</f>
        <v/>
      </c>
      <c r="FJ236" s="253" t="str">
        <f>IFERROR(ROUND(IF(CD236="ERROR", "ERROR", IF(AND($FI$7=X236,E236="Exterior"),VLOOKUP(W236, 'Lookup Tables'!$AI$6:$AM$102, 5, FALSE)*BP236, "")), 2), "")</f>
        <v/>
      </c>
      <c r="FK236" s="253" t="str">
        <f>IFERROR(ROUND(IF(CD236="ERROR", "ERROR", IF(AND($FK$7=X236,E236="Interior"),VLOOKUP(W236, 'Lookup Tables'!$AI$6:$AM$102, 5, FALSE)*BP236, "")), 2), "")</f>
        <v/>
      </c>
      <c r="FL236" s="253" t="str">
        <f>IFERROR(ROUND(IF(CD236="ERROR", "ERROR", IF(AND($FK$7=X236,E236="Exterior"),VLOOKUP(W236, 'Lookup Tables'!$AI$6:$AM$102, 5, FALSE)*BP236, "")), 2), "")</f>
        <v/>
      </c>
      <c r="FM236" s="253" t="str">
        <f>IFERROR(ROUND(IF(CD236="ERROR", "ERROR", IF(AND($FM$6=Y236,E236="Interior"), IF(GB236=0, VLOOKUP(W236, 'Lookup Tables'!$AI$6:$AM$102, 5, FALSE)*BP236, IF(VLOOKUP(W236, 'Lookup Tables'!$AI$6:$AM$102, 5, FALSE)*BP236&gt;GB236*'Lighting Inventory'!S236, GB236*'Lighting Inventory'!S236,VLOOKUP(W236, 'Lookup Tables'!$AI$6:$AM$102, 5, FALSE)*BP236)), "")), 2), "")</f>
        <v/>
      </c>
      <c r="FN236" s="253" t="str">
        <f>IFERROR(ROUND(IF(CD236="ERROR", "ERROR", IF(AND($FM$6=Y236,E236="Exterior"), IF(GB236=0, VLOOKUP(W236, 'Lookup Tables'!$AI$6:$AM$102, 5, FALSE)*BP236, IF(VLOOKUP(W236, 'Lookup Tables'!$AI$6:$AM$102, 5, FALSE)*BP236&gt;GB236*'Lighting Inventory'!S236, GB236*'Lighting Inventory'!S236,VLOOKUP(W236, 'Lookup Tables'!$AI$6:$AM$102, 5, FALSE)*BP236)), "")), 2), "")</f>
        <v/>
      </c>
      <c r="FO236" s="253" t="str">
        <f>IFERROR(ROUND(IF(CD236="ERROR", "ERROR", IF(AND($FO$6=Y236,E236="Interior"),VLOOKUP(W236, 'Lookup Tables'!$AI$6:$AM$102, 5, FALSE)*'Lighting Inventory'!AI236, "")), 2), "")</f>
        <v/>
      </c>
      <c r="FP236" s="253" t="str">
        <f>IFERROR(ROUND(IF(CD236="ERROR", "ERROR", IF(AND($FO$6=Y236,E236="Exterior"),VLOOKUP(W236, 'Lookup Tables'!$AI$6:$AM$102, 5, FALSE)*'Lighting Inventory'!AI236, "")), 2), "")</f>
        <v/>
      </c>
      <c r="FQ236" s="253" t="str">
        <f>IFERROR(ROUND(IF(CD236="ERROR", "ERROR", IF(AND($FQ$6=Y236,E236="Interior", BU236="Y"), VLOOKUP('Lighting Inventory'!W236, 'Lookup Tables'!$AI$6:$AM$102, 5, FALSE)*'Lighting Inventory'!S236, IF(AND($FQ$7=Y236,E236="Interior", BU236="N"), 0.025*CD236, ""))), 2), "")</f>
        <v/>
      </c>
      <c r="FR236" s="253" t="str">
        <f>IFERROR(ROUND(IF(CD236="ERROR", "ERROR", IF(AND($FQ$6=Y236,E236="Exterior"), VLOOKUP('Lighting Inventory'!W236, 'Lookup Tables'!$AI$6:$AM$102, 5, FALSE)*'Lighting Inventory'!S236, "")), 2), "")</f>
        <v/>
      </c>
      <c r="FS236" s="253" t="str">
        <f>IFERROR(ROUND(IF(CD236="ERROR", "ERROR", IF(AND($FS$6=Y236,E236="Exterior"), IF(GB236=0, VLOOKUP(W236, 'Lookup Tables'!$AI$6:$AM$102, 5, FALSE)*BP236, IF(VLOOKUP(W236, 'Lookup Tables'!$AI$6:$AM$102, 5, FALSE)*BP236&gt;GB236*'Lighting Inventory'!S236, GB236*'Lighting Inventory'!S236,VLOOKUP(W236, 'Lookup Tables'!$AI$6:$AM$102, 5, FALSE)*BP236)), "")), 2), "")</f>
        <v/>
      </c>
      <c r="FT236" s="253" t="str">
        <f>IFERROR(ROUND(IF(CD236="ERROR", "ERROR", IF(AND($FT$6=Y236,E236="Interior"), IF(GB236=0, VLOOKUP(W236, 'Lookup Tables'!$AI$6:$AM$102, 5, FALSE)*BP236, IF(VLOOKUP(W236, 'Lookup Tables'!$AI$6:$AM$102, 5, FALSE)*BP236&gt;GB236*'Lighting Inventory'!S236, GB236*'Lighting Inventory'!S236,VLOOKUP(W236, 'Lookup Tables'!$AI$6:$AM$102, 5, FALSE)*BP236)), "")), 2), "")</f>
        <v/>
      </c>
      <c r="FU236" s="253" t="str">
        <f>IFERROR(ROUND(IF(CD236="ERROR", "ERROR", IF(AND(Y236=$FU$6, E236="Interior"), IF(BS236="N", 'Lookup Tables'!$AM$101*BP236, VLOOKUP(W236, 'Lookup Tables'!$AI$6:$AM$102, 5, FALSE)*S236*AD236), "")), 2), "")</f>
        <v/>
      </c>
      <c r="FV236" s="253" t="str">
        <f>IFERROR(ROUND(IF(CD236="ERROR", "ERROR", IF(AND(Y236=$FU$6, E236="Exterior"), IF(BS236="N", 'Lookup Tables'!$AM$101*BP236, VLOOKUP(W236, 'Lookup Tables'!$AI$6:$AM$102, 5, FALSE)*S236*AD236), "")), 2), "")</f>
        <v/>
      </c>
      <c r="FW236" s="253" t="str">
        <f>IFERROR(ROUND(IF(CD236="ERROR", "ERROR", IF($FW$6=Y236, IF(BS236="N", 'Lookup Tables'!$AM$101*BP236, MIN((VLOOKUP(W236, 'Lookup Tables'!$AI$6:$AM$102, 5, FALSE)*BP236),GB236*AJ236)), "")), 2), "")</f>
        <v/>
      </c>
      <c r="FX236" s="253" t="str">
        <f>IFERROR(ROUND(IF(CD236="ERROR", "ERROR", IF(AND($FX$6=Y236, E236="Interior"), IF(VLOOKUP(W236, 'Lookup Tables'!$AI$6:$AM$102, 5, FALSE)*BP236&gt;'Lookup Tables'!$AQ$97*'Lighting Inventory'!S236,'Lighting Inventory'!S236*'Lookup Tables'!$AQ$97,VLOOKUP(W236, 'Lookup Tables'!$AI$6:$AM$102, 5, FALSE)*BP236), "")), 2), "")</f>
        <v/>
      </c>
      <c r="FY236" s="253" t="str">
        <f>IFERROR(ROUND(IF(CD236="ERROR", "ERROR", IF(AND($FX$6=Y236, E236="Exterior"), IF(VLOOKUP(W236, 'Lookup Tables'!$AI$6:$AM$102, 5, FALSE)*BP236&gt;'Lookup Tables'!$AQ$97*'Lighting Inventory'!S236,'Lighting Inventory'!S236*'Lookup Tables'!$AQ$97,VLOOKUP(W236, 'Lookup Tables'!$AI$6:$AM$102, 5, FALSE)*BP236), "")), 2), "")</f>
        <v/>
      </c>
      <c r="FZ236" s="253" t="str">
        <f>IFERROR(ROUND(IF(CD236="ERROR", "ERROR", IF(AND($FZ$6=Y236, E236="Interior"), IF(AND(OR(W236="Refrigerated Case Lighting with Doors", W236="Freezer Case Lighting"),Y236="Custom - Process Improvement"),CD236*'Lookup Tables'!$AM$101, IF(B236="Retrofit", IF(VLOOKUP(IF(V236="Custom", V236, W236), 'Lookup Tables'!$AI$6:$AM$102, 5, FALSE)*BP236&gt;GE236, GE236, VLOOKUP(IF(V236="Custom", V236, W236), 'Lookup Tables'!$AI$6:$AM$102, 5, FALSE)*BP236), IF(VLOOKUP(IF(V236="Custom", V236, W236), 'Lookup Tables'!$AI$114:$AM$154, 5, FALSE)*BP236&gt;GE236, GE236, VLOOKUP(IF(V236="Custom", V236, W236), 'Lookup Tables'!$AI$114:$AM$154, 5, FALSE)*BP236))), "")), 2),"")</f>
        <v/>
      </c>
      <c r="GA236" s="253" t="str">
        <f>IFERROR(ROUND(IF(CD236="ERROR", "ERROR", IF(AND($FZ$6=Y236, E236="Exterior"), IF(B236="Retrofit", IF(VLOOKUP(IF(V236="Custom", V236, W236), 'Lookup Tables'!$AI$6:$AM$102, 5, FALSE)*BP236&gt;GE236, GE236, VLOOKUP(IF(V236="Custom", V236, W236), 'Lookup Tables'!$AI$6:$AM$102, 5, FALSE)*BP236), IF(VLOOKUP(IF(V236="Custom", V236, W236), 'Lookup Tables'!$AI$114:$AM$154, 5, FALSE)*BP236&gt;GE236, GE236, VLOOKUP(IF(V236="Custom", V236, W236), 'Lookup Tables'!$AI$114:$AM$154, 5, FALSE)*BP236)), "")), 2),"")</f>
        <v/>
      </c>
      <c r="GB236" s="254" t="str">
        <f t="array" ref="GB236">IF(B236="","",IF(OR(V236="Custom",V236="No Change"),0,IF(B236="Retrofit", INDEX('Lookup Tables'!$AH$6:$AQ$102,MATCH(1,('Lookup Tables'!$AH$6:$AH$102='Lighting Inventory'!V236)*('Lookup Tables'!$AI$6:$AI$102='Lighting Inventory'!W236),FALSE),10),INDEX('Lookup Tables'!$AH$114:$AQ$154,MATCH(1,('Lookup Tables'!$AH$114:$AH$154='Lighting Inventory'!V236)*('Lookup Tables'!$AI$114:$AI$154='Lighting Inventory'!W236),FALSE),10))))</f>
        <v/>
      </c>
      <c r="GC236" s="255" t="str">
        <f t="shared" si="550"/>
        <v/>
      </c>
      <c r="GD236" s="250" t="str">
        <f t="shared" si="551"/>
        <v/>
      </c>
      <c r="GE236" s="253" t="str">
        <f>IFERROR(IF(AND(AF236="", 'General Information'!$F$18="No"),"", IF(AF236="", ((GD236/$CD$266)*$CF$266)*0.5, AF236*S236*0.5)), "")</f>
        <v/>
      </c>
      <c r="GF236" s="255" t="str">
        <f>IF(AND('General Information'!$F$19="", 'General Information'!$F$18="Yes",AF236="",BW236="Y"), "Y", "N")</f>
        <v>N</v>
      </c>
      <c r="GG236" s="255" t="s">
        <v>2946</v>
      </c>
      <c r="GH236" s="255" t="str">
        <f>IFERROR(IF(B236="", "", VLOOKUP(J236, 'Fixture Identities'!$A$6:$N$908, 14, FALSE)), "")</f>
        <v/>
      </c>
      <c r="GI236" s="389" t="str">
        <f>IF(OR(B236="", V236="", W236=""), "", IF(AND(OR(M236='Lookup Tables'!$R$18, M236='Lookup Tables'!$R$19, M236='Lookup Tables'!$R$20, M236='Lookup Tables'!$R$21, M236='Lookup Tables'!$R$22), OR(AN236='Lookup Tables'!$R$17, AN236='Lookup Tables'!$R$17, AN236="")), "Y", "N"))</f>
        <v/>
      </c>
      <c r="GJ236" s="255" t="str">
        <f t="shared" si="552"/>
        <v/>
      </c>
      <c r="GK236" s="255" t="str">
        <f t="shared" si="553"/>
        <v/>
      </c>
      <c r="GL236" s="255" t="str">
        <f t="shared" si="554"/>
        <v/>
      </c>
      <c r="GM236" s="255" t="str">
        <f>IF(AN236="", "", IF(AND(IF(ISNA(VLOOKUP(AN236,'Lookup Tables'!$R$18:$R$22,1,FALSE)), "N", "Y")="Y", E236="Exterior"), "Y", "N"))</f>
        <v/>
      </c>
      <c r="GN236" s="395"/>
      <c r="GO236" s="428">
        <f t="shared" si="600"/>
        <v>0</v>
      </c>
      <c r="GP236" s="428">
        <f t="shared" si="603"/>
        <v>0</v>
      </c>
      <c r="GQ236" s="428">
        <f t="shared" si="601"/>
        <v>0</v>
      </c>
      <c r="GR236" s="428">
        <f t="shared" si="602"/>
        <v>0</v>
      </c>
    </row>
    <row r="237" spans="1:200" s="103" customFormat="1" ht="13.5" customHeight="1" x14ac:dyDescent="0.2">
      <c r="A237" s="272">
        <v>227</v>
      </c>
      <c r="B237" s="110"/>
      <c r="C237" s="110"/>
      <c r="D237" s="110"/>
      <c r="E237" s="110"/>
      <c r="F237" s="110"/>
      <c r="G237" s="110"/>
      <c r="H237" s="110"/>
      <c r="I237" s="29"/>
      <c r="J237" s="29"/>
      <c r="K237" s="272" t="str">
        <f>IFERROR(IF(OR(VLOOKUP(J237, 'Fixture Identities'!$A$6:$L$1023, 3, FALSE)="T12 Linear Fluorescent", VLOOKUP(J237, 'Fixture Identities'!$A$6:$L$1023, 3, FALSE)="T12 U-Tube Fluorescent"), VLOOKUP(VLOOKUP(J237, 'Fixture Identities'!$A$6:$L$1023, 11, FALSE), 'Fixture Identities'!$A$6:$L$1023, 10, FALSE), VLOOKUP(J237, 'Fixture Identities'!$A$6:$L$1023, 10, FALSE)), "")</f>
        <v/>
      </c>
      <c r="L237" s="270" t="str">
        <f t="shared" si="605"/>
        <v/>
      </c>
      <c r="M237" s="110"/>
      <c r="N237" s="110"/>
      <c r="O237" s="110"/>
      <c r="P237" s="272" t="str">
        <f>IFERROR(IF(OR(B237="Retrofit",B237=""),"",IF('Lighting Inventory'!E237="Exterior",VLOOKUP('Lighting Inventory'!N237,'Lookup Tables'!$B$83:$F$103,5,FALSE),IF(N237="Other - Please Estimate EFLH and CFs","Contact Prog. Rep.","ft^2"))), "")</f>
        <v/>
      </c>
      <c r="Q237" s="270" t="str">
        <f>IFERROR(IF(AND(B237="New Construction",E237="Interior",$F$5="Space-by-Space"),VLOOKUP('Lighting Inventory'!N237,'Lookup Tables'!$N$6:$O$97,2,FALSE),IF(AND(B237="New Construction",E237="Exterior"),VLOOKUP(N237,'Lookup Tables'!$B$83:$F$103,2,FALSE),IF(AND(B237="New Construction",'Lighting Inventory'!E237="Interior", $F$5="Building Area"),VLOOKUP(F237,'Lookup Tables'!$A$6:$J$59,10,FALSE),""))), "")</f>
        <v/>
      </c>
      <c r="R237" s="270" t="str">
        <f>IFERROR(IF(P237="Contact Prog. Rep.", "ERROR", IF(OR(B237="",B237="Retrofit"),"",IF(N237="Automated teller machines", ('Lookup Tables'!$A$82:$E$100+('Lighting Inventory'!O237-1)*'Lookup Tables'!$A$82:$E$100)/1000, (Q237*O237)/1000))), "")</f>
        <v/>
      </c>
      <c r="S237" s="595"/>
      <c r="T237" s="105" t="str">
        <f t="shared" si="555"/>
        <v/>
      </c>
      <c r="U237" s="105" t="str">
        <f>IF(S237="","",COUNT($S$11:S237))</f>
        <v/>
      </c>
      <c r="V237" s="111"/>
      <c r="W237" s="112"/>
      <c r="X237" s="105" t="str">
        <f t="shared" si="556"/>
        <v/>
      </c>
      <c r="Y237" s="105" t="str">
        <f t="array" ref="Y237">IF(AND(OR(W237="Freezer Case Lighting", W237="Refrigerated Case Lighting with Doors"), 'General Information'!$X$18="LCI"),'Lookup Tables'!$Y$34, IF(V237="Custom", VLOOKUP(W237, 'Fixture Identities'!$A$974:$M$1023, 13, FALSE), IF(V237="No Change",'Lookup Tables'!$Y$29,IF(OR(V237="",W237=""),"",IF(AND(S237=0,S237&lt;I237,B237="Retrofit"),'Lookup Tables'!$Y$25, IF(B237="Retrofit", INDEX('Lookup Tables'!$AH$6:$AP$102, MATCH(1, ('Lookup Tables'!$AH$6:$AH$102=V237)*('Lookup Tables'!$AI$6:$AI$102=W237), 0), IF('Lighting Inventory'!E237="Interior", 4, 5)), INDEX('Lookup Tables'!$AH$114:$AP$154, MATCH(1, ('Lookup Tables'!$AH$114:$AH$154=V237)*('Lookup Tables'!$AI$114:$AI$154=W237), 0), IF('Lighting Inventory'!E237="Interior", 4, 5))))))))</f>
        <v/>
      </c>
      <c r="Z237" s="105" t="str">
        <f>IFERROR(INDEX('Lookup Tables'!$AH$158:$AH$172,MATCH('Lighting Inventory'!Y237,'Lookup Tables'!$AI$158:$AI$172,0)),"")</f>
        <v/>
      </c>
      <c r="AA237" s="105" t="str">
        <f>IF(AP237&gt;0,INDEX('Lookup Tables'!$AK$158:$AK$172,MATCH('Lighting Inventory'!Y237,'Lookup Tables'!$AI$158:$AI$172,0)),'Lighting Inventory'!Y237)</f>
        <v/>
      </c>
      <c r="AB237" s="105" t="str">
        <f t="array" ref="AB237">IF(V237="Custom", "Custom", IF(V237="", "", IF(V237="Not DLC or Energy Star", "General", IF(B237="New Construction", INDEX('Lookup Tables'!$AH$114:$AP$154,MATCH(1,('Lookup Tables'!$AH$114:$AH$154='Lighting Inventory'!V237)*('Lookup Tables'!$AI$114:$AI$154='Lighting Inventory'!W237),FALSE),8), INDEX('Lookup Tables'!$AH$6:$AP$102,MATCH(1,('Lookup Tables'!$AH$6:$AH$102='Lighting Inventory'!V237)*('Lookup Tables'!$AI$6:$AI$102='Lighting Inventory'!W237),FALSE),8)))))</f>
        <v/>
      </c>
      <c r="AC237" s="272" t="str">
        <f>IF(W237="","",IF(V237="Custom",CONCATENATE("$",'Lookup Tables'!$AM$101," ",'Lookup Tables'!$AN$101),CONCATENATE("$",INDEX('Lookup Tables'!$AM$6:$AM$102,MATCH('Lighting Inventory'!W237,'Lookup Tables'!$AI$6:$AI$102,0))," ",INDEX('Lookup Tables'!$AN$6:$AN$102,MATCH('Lighting Inventory'!W237,'Lookup Tables'!$AI$6:$AI$102,0)))))</f>
        <v/>
      </c>
      <c r="AD237" s="72"/>
      <c r="AE237" s="29"/>
      <c r="AF237" s="379"/>
      <c r="AG237" s="370" t="str">
        <f t="shared" si="504"/>
        <v/>
      </c>
      <c r="AH237" s="370" t="str">
        <f t="shared" si="557"/>
        <v/>
      </c>
      <c r="AI237" s="29"/>
      <c r="AJ237" s="29"/>
      <c r="AK237" s="110"/>
      <c r="AL237" s="375" t="str">
        <f>IF(OR(B237="", V237="", W237=""), "", IF(V237="No Change", K237, IF(V237="Remove Fixture", 0, IF(V237="Custom",VLOOKUP(W237,'Fixture Identities'!$A$6:$K$1023,10,FALSE),IF(AE237="", "← ENTER POST WATTS", 'Lighting Inventory'!AE237)))))</f>
        <v/>
      </c>
      <c r="AM237" s="376" t="str">
        <f t="shared" si="505"/>
        <v/>
      </c>
      <c r="AN237" s="29"/>
      <c r="AO237" s="671"/>
      <c r="AP237" s="29"/>
      <c r="AQ237" s="29"/>
      <c r="AR237" s="29"/>
      <c r="AS237" s="272" t="str">
        <f t="shared" si="558"/>
        <v/>
      </c>
      <c r="AT237" s="270" t="str">
        <f t="shared" si="506"/>
        <v/>
      </c>
      <c r="AU237" s="88" t="str">
        <f t="shared" si="606"/>
        <v/>
      </c>
      <c r="AV237" s="29"/>
      <c r="AW237" s="73"/>
      <c r="AX237" s="271" t="str">
        <f>IF(AND(AV237="Applicant",OR(AW237="", AW237="Use Default Facility Hours")),"← Choose Schedule",IF(F237="","",IF(W237="LED Exit Signs",8760,IF(OR(AV237="Prescribed",AV237=""),VLOOKUP(F237,'Lookup Tables'!$A$6:$G$59,IF(AB237="General", 6, 3),FALSE),VLOOKUP(AW237,'Lookup Tables'!$S$36:$U$43,2,FALSE)))))</f>
        <v/>
      </c>
      <c r="AY237" s="88" t="str">
        <f t="shared" si="507"/>
        <v/>
      </c>
      <c r="AZ237" s="270" t="str">
        <f>IFERROR(IF(F237="", "", IF(W237="LED Exit Signs", 1, IF(AV237="Applicant",VLOOKUP(AW237, 'Lookup Tables'!$S$36:$U$43,3, FALSE), VLOOKUP('Lighting Inventory'!F237, 'Lookup Tables'!$A$6:$H$59, IF('Lighting Inventory'!AB237="General",7,4), FALSE)))), "")</f>
        <v/>
      </c>
      <c r="BA237" s="522" t="str">
        <f>IFERROR(IF(F237="", "", IF(W237="LED Exit Signs", 1, VLOOKUP('Lighting Inventory'!F237, 'Lookup Tables'!$A$6:$H$59, IF('Lighting Inventory'!AB237="General",8,5), FALSE))), "")</f>
        <v/>
      </c>
      <c r="BB237" s="270" t="str">
        <f>IF(G237="", "", IF(E237="Exterior", 0, IF('Lighting Inventory'!G237="Air Conditioned", VLOOKUP(H237, 'Lookup Tables'!$R$6:$T$13, 2, FALSE), VLOOKUP('Lighting Inventory'!G237, 'Lookup Tables'!$R$6:$T$13, 2, FALSE))))</f>
        <v/>
      </c>
      <c r="BC237" s="522" t="str">
        <f>IF(G237="", "", IF(E237="Exterior", 0, IF('Lighting Inventory'!G237="Air Conditioned", VLOOKUP(H237, 'Lookup Tables'!$R$6:$T$13, 3, FALSE), VLOOKUP('Lighting Inventory'!G237, 'Lookup Tables'!$R$6:$T$13, 3, FALSE))))</f>
        <v/>
      </c>
      <c r="BD237" s="270" t="str">
        <f>IF(G237="", "", IF(E237="Exterior", 0, IF('Lighting Inventory'!G237="Air Conditioned", VLOOKUP(H237, 'Lookup Tables'!$R$6:$U$13, 4, FALSE), VLOOKUP('Lighting Inventory'!G237, 'Lookup Tables'!$R$6:$U$13, 4, FALSE))))</f>
        <v/>
      </c>
      <c r="BE237" s="270" t="str">
        <f>IFERROR(IF(B237="", "",  IF(B237="New Construction", VLOOKUP(F237, 'Lookup Tables'!$A$6:$K$59, 11, FALSE),IF(OR(AN237="", AN237="Light Switch"), 0, IF(OR(M237="",M237="None",V237= "LED Exit Signs"),0,_xlfn.XLOOKUP(M237,'Lookup Tables'!$R$91:$R$101,'Lookup Tables'!$V$91:$V$101))))), "")</f>
        <v/>
      </c>
      <c r="BF237" s="270" t="str">
        <f>IF(AND(OR(AN237="Light Switch",AN237=""),B237="New Construction"), VLOOKUP(F237, 'Lookup Tables'!$A$6:$K$59, 11, FALSE),IF(AN237="","",IF(B237="","",IF(OR(AN237="None",AN237="",V237="LED Exit Signs",AN237="Exterior Controls Not Eligible"),0,_xlfn.XLOOKUP(AN237,'Lookup Tables'!$R$91:$R$101,'Lookup Tables'!$V$91:$V$101)))))</f>
        <v/>
      </c>
      <c r="BG237" s="88" t="str">
        <f t="shared" si="559"/>
        <v/>
      </c>
      <c r="BH237" s="88" t="str">
        <f t="shared" si="560"/>
        <v/>
      </c>
      <c r="BI237" s="558" t="str">
        <f t="shared" si="604"/>
        <v/>
      </c>
      <c r="BJ237" s="82" t="str">
        <f t="shared" si="561"/>
        <v/>
      </c>
      <c r="BK237" s="82" t="str">
        <f t="shared" si="562"/>
        <v/>
      </c>
      <c r="BL237" s="559" t="str">
        <f t="shared" si="563"/>
        <v/>
      </c>
      <c r="BM237" s="521" t="str">
        <f t="shared" si="508"/>
        <v/>
      </c>
      <c r="BN237" s="521" t="str">
        <f t="shared" si="509"/>
        <v/>
      </c>
      <c r="BO237" s="522" t="str">
        <f t="shared" si="510"/>
        <v/>
      </c>
      <c r="BP237" s="83" t="str">
        <f t="shared" si="564"/>
        <v/>
      </c>
      <c r="BQ237" s="84" t="str">
        <f t="shared" si="565"/>
        <v/>
      </c>
      <c r="BR237" s="184" t="str">
        <f>IFERROR(IF(B237="", "", IF(OR(VLOOKUP(J237, 'Fixture Identities'!$A$6:$L$1023, 3, FALSE)="T12 Linear Fluorescent",VLOOKUP(J237, 'Fixture Identities'!$A$6:$L$1023, 3, FALSE)="T12 U-Tube Fluorescent"), "Y", "N")), "N")</f>
        <v/>
      </c>
      <c r="BS237" s="184" t="str">
        <f t="array" ref="BS237">IFERROR(IF(OR(B237="", V237="", W237=""), "", IF(V237="Custom", "N", IF(OR(W237="Freezer Case Lighting", W237="Refrigerated Case Lighting with Doors"), BT237, IF(B237="Retrofit", INDEX('Lookup Tables'!$AH$6:$AT$102,MATCH(1,('Lookup Tables'!$AH$6:$AH$102=V237)*('Lookup Tables'!$AI$6:$AI$102=W237),FALSE),IF(VLOOKUP(J237, 'Fixture Identities'!$A$6:$B$1023, 2, FALSE)="Incandescent",12, 13)), INDEX('Lookup Tables'!$AH$114:$AS$154,MATCH(1,('Lookup Tables'!$AH$114:$AH$154=V237)*('Lookup Tables'!$AI$114:$AI$154=W237),FALSE),12))))), "N")</f>
        <v/>
      </c>
      <c r="BT237" s="184" t="str">
        <f>IF(J237="", "", IF(AND(OR(W237="Freezer case Lighting", W237="Refrigerated Case Lighting with Doors"),'General Information'!$X$18="LCI"), "N", IF(OR(VLOOKUP(J237, 'Fixture Identities'!$A$6:$B$1023, 2, FALSE)="T12 EPACT/EISA Baseline", VLOOKUP(J237, 'Fixture Identities'!$A$6:$B$1023, 2, FALSE)="Linear Fluorescent", VLOOKUP(J237, 'Fixture Identities'!$A$6:$B$1023, 2, FALSE)="U-Tube Fluorescent"), "Y", "N")))</f>
        <v/>
      </c>
      <c r="BU237" s="184" t="str">
        <f>IFERROR(IF(B237="", "", IF(VLOOKUP(J237, 'Fixture Identities'!$A$6:$B$1023, 2, FALSE)="Exit Sign", "Y", "N")), "N")</f>
        <v/>
      </c>
      <c r="BV237" s="184" t="str">
        <f>IF(V237="Exit Signs", IF(VLOOKUP(J237, 'Fixture Identities'!$A$6:$B$1023, 2, FALSE)="Exit Sign", "N", "Y"), "")</f>
        <v/>
      </c>
      <c r="BW237" s="184" t="str">
        <f t="array" ref="BW237">IFERROR(IF(B237="", "", IF(B237="New Construction", "N", INDEX('Lookup Tables'!$AH$6:$AU$102, MATCH(1, ('Lookup Tables'!$AH$6:$AH$102='Lighting Inventory'!V237)*('Lookup Tables'!$AI$6:$AI$102='Lighting Inventory'!W237), 0), 14))), "N")</f>
        <v/>
      </c>
      <c r="BX237" s="598" t="str">
        <f t="shared" si="566"/>
        <v/>
      </c>
      <c r="BY237" s="598" t="str">
        <f t="shared" si="567"/>
        <v/>
      </c>
      <c r="BZ237" s="598" t="str">
        <f t="shared" si="568"/>
        <v/>
      </c>
      <c r="CA237" s="598" t="str">
        <f t="shared" si="569"/>
        <v/>
      </c>
      <c r="CB237" s="269" t="str">
        <f t="shared" si="570"/>
        <v/>
      </c>
      <c r="CC237" s="517" t="str">
        <f t="shared" si="571"/>
        <v/>
      </c>
      <c r="CD237" s="565" t="str">
        <f t="shared" si="511"/>
        <v/>
      </c>
      <c r="CE237" s="368">
        <v>0</v>
      </c>
      <c r="CF237" s="368" t="str" cm="1">
        <f t="array" ref="CF237">IFERROR(IF(V237="Custom", "$0.1 per kWh", IF(B237="New Construction", CONCATENATE("$",INDEX('Lookup Tables'!$AH$114:$AN$154,MATCH(1,('Lookup Tables'!$AH$114:$AH$154='Lighting Inventory'!V237)*('Lookup Tables'!$AI$114:$AI$154='Lighting Inventory'!W237),FALSE),6)," ",INDEX('Lookup Tables'!$AH$114:$AN$154,MATCH(1,('Lookup Tables'!$AH$114:$AH$154='Lighting Inventory'!V237)*('Lookup Tables'!$AI$114:$AI$154='Lighting Inventory'!W237),FALSE),7)), IF(AND(BU237="N", V237="Exit Signs"), "$0.025 per kWh", CONCATENATE("$",INDEX('Lookup Tables'!$AH$6:$AN$102,MATCH(1,('Lookup Tables'!$AH$6:$AH$102='Lighting Inventory'!V237)*('Lookup Tables'!$AI$6:$AI$102='Lighting Inventory'!W237),FALSE),6)," ",INDEX('Lookup Tables'!$AH$6:$AN$102,MATCH(1,('Lookup Tables'!$AH$6:$AH$102='Lighting Inventory'!V237)*('Lookup Tables'!$AI$6:$AI$102='Lighting Inventory'!W237),FALSE),7))))), "")</f>
        <v/>
      </c>
      <c r="CG237" s="366"/>
      <c r="CH237" s="248" t="str">
        <f t="shared" si="512"/>
        <v/>
      </c>
      <c r="CI237" s="248" t="str">
        <f t="shared" si="513"/>
        <v>Select_IE</v>
      </c>
      <c r="CJ237" s="248" t="str">
        <f t="shared" si="514"/>
        <v/>
      </c>
      <c r="CK237" s="248" t="str">
        <f t="shared" si="515"/>
        <v/>
      </c>
      <c r="CL237" s="248" t="str">
        <f t="shared" si="516"/>
        <v/>
      </c>
      <c r="CM237" s="248" t="str">
        <f>IFERROR(IF(B237="", "", IF(B237="New Construction", VLOOKUP(V237, 'Lookup Tables'!$AF$114:$AG$120, 2, FALSE), VLOOKUP(V237, 'Lookup Tables'!$AD$6:$AE$25, 2, FALSE))), "")</f>
        <v/>
      </c>
      <c r="CN237" s="248" t="str">
        <f t="shared" si="517"/>
        <v/>
      </c>
      <c r="CO237" s="248" t="str">
        <f t="shared" si="518"/>
        <v/>
      </c>
      <c r="CP237" s="592" t="str">
        <f t="shared" si="519"/>
        <v/>
      </c>
      <c r="CQ237" s="248" t="str">
        <f t="shared" si="572"/>
        <v/>
      </c>
      <c r="CR237" s="100"/>
      <c r="CS237" s="250" t="str">
        <f t="shared" si="520"/>
        <v/>
      </c>
      <c r="CT237" s="250" t="str">
        <f t="shared" si="573"/>
        <v/>
      </c>
      <c r="CU237" s="250" t="str">
        <f t="shared" si="574"/>
        <v/>
      </c>
      <c r="CV237" s="250" t="str">
        <f t="shared" si="575"/>
        <v/>
      </c>
      <c r="CW237" s="250" t="str">
        <f t="shared" si="576"/>
        <v/>
      </c>
      <c r="CX237" s="250" t="str">
        <f t="shared" si="521"/>
        <v/>
      </c>
      <c r="CY237" s="250" t="str">
        <f t="shared" si="522"/>
        <v/>
      </c>
      <c r="CZ237" s="250" t="str">
        <f t="shared" si="523"/>
        <v/>
      </c>
      <c r="DA237" s="250" t="str">
        <f t="shared" si="524"/>
        <v/>
      </c>
      <c r="DB237" s="250" t="str">
        <f t="shared" si="525"/>
        <v/>
      </c>
      <c r="DC237" s="250" t="str">
        <f t="shared" si="526"/>
        <v/>
      </c>
      <c r="DD237" s="250" t="str">
        <f t="shared" si="527"/>
        <v/>
      </c>
      <c r="DE237" s="250" t="str">
        <f t="shared" si="528"/>
        <v/>
      </c>
      <c r="DF237" s="250" t="str">
        <f t="shared" si="529"/>
        <v/>
      </c>
      <c r="DG237" s="250" t="str">
        <f t="shared" si="530"/>
        <v/>
      </c>
      <c r="DH237" s="250" t="str">
        <f t="shared" si="531"/>
        <v/>
      </c>
      <c r="DI237" s="250" t="str">
        <f t="shared" si="532"/>
        <v/>
      </c>
      <c r="DJ237" s="250" t="str">
        <f t="shared" si="533"/>
        <v/>
      </c>
      <c r="DK237" s="250" t="str">
        <f t="shared" si="534"/>
        <v/>
      </c>
      <c r="DL237" s="250" t="str">
        <f t="shared" si="535"/>
        <v/>
      </c>
      <c r="DM237" s="250" t="str">
        <f>IF(CD237="ERROR", "ERROR", IF(AND(OR(Y237=$DM$6, Y237='Lookup Tables'!$AD$21, Y237='Lookup Tables'!$AD$22), E237="Interior"), BJ237, ""))</f>
        <v/>
      </c>
      <c r="DN237" s="250" t="str">
        <f>IF(CD237="ERROR", "ERROR", IF(AND(OR(Y237=$DM$6, Y237='Lookup Tables'!$AD$21, Y237='Lookup Tables'!$AD$22), E237="Exterior"), BJ237, ""))</f>
        <v/>
      </c>
      <c r="DO237" s="100"/>
      <c r="DP237" s="250" t="str">
        <f t="shared" si="536"/>
        <v/>
      </c>
      <c r="DQ237" s="250" t="str">
        <f t="shared" si="577"/>
        <v/>
      </c>
      <c r="DR237" s="250" t="str">
        <f t="shared" si="578"/>
        <v/>
      </c>
      <c r="DS237" s="250" t="str">
        <f t="shared" si="579"/>
        <v/>
      </c>
      <c r="DT237" s="250" t="str">
        <f t="shared" si="580"/>
        <v/>
      </c>
      <c r="DU237" s="250" t="str">
        <f t="shared" si="537"/>
        <v/>
      </c>
      <c r="DV237" s="250" t="str">
        <f t="shared" si="538"/>
        <v/>
      </c>
      <c r="DW237" s="250" t="str">
        <f t="shared" si="539"/>
        <v/>
      </c>
      <c r="DX237" s="250" t="str">
        <f t="shared" si="540"/>
        <v/>
      </c>
      <c r="DY237" s="250" t="str">
        <f t="shared" si="541"/>
        <v/>
      </c>
      <c r="DZ237" s="250" t="str">
        <f t="shared" si="542"/>
        <v/>
      </c>
      <c r="EA237" s="250" t="str">
        <f t="shared" si="543"/>
        <v/>
      </c>
      <c r="EB237" s="250" t="str">
        <f t="shared" si="581"/>
        <v/>
      </c>
      <c r="EC237" s="250" t="str">
        <f t="shared" si="544"/>
        <v/>
      </c>
      <c r="ED237" s="250" t="str">
        <f t="shared" si="545"/>
        <v/>
      </c>
      <c r="EE237" s="250" t="str">
        <f t="shared" si="546"/>
        <v/>
      </c>
      <c r="EF237" s="250" t="str">
        <f t="shared" si="547"/>
        <v/>
      </c>
      <c r="EG237" s="250" t="str">
        <f t="shared" si="548"/>
        <v/>
      </c>
      <c r="EH237" s="250" t="str">
        <f>IF(CD237="ERROR", "ERROR", IF(AND(OR($EH$6=Y237, Y237='Lookup Tables'!$AD$21, Y237='Lookup Tables'!$AD$22),E237="Interior"), SUM(BP237:BP237), ""))</f>
        <v/>
      </c>
      <c r="EI237" s="250" t="str">
        <f>IF(CD237="ERROR", "ERROR", IF(AND(OR($EH$6=Y237, Y237='Lookup Tables'!$AD$21, Y237='Lookup Tables'!$AD$22),E237="Exterior"), SUM(BP237:BP237), ""))</f>
        <v/>
      </c>
      <c r="EJ237" s="109"/>
      <c r="EK237" s="485" t="str">
        <f t="shared" si="549"/>
        <v/>
      </c>
      <c r="EL237" s="252" t="str">
        <f t="shared" si="582"/>
        <v/>
      </c>
      <c r="EM237" s="252" t="str">
        <f t="shared" si="583"/>
        <v/>
      </c>
      <c r="EN237" s="252" t="str">
        <f t="shared" si="584"/>
        <v/>
      </c>
      <c r="EO237" s="252" t="str">
        <f t="shared" si="585"/>
        <v/>
      </c>
      <c r="EP237" s="252" t="str">
        <f t="shared" si="586"/>
        <v/>
      </c>
      <c r="EQ237" s="252" t="str">
        <f t="shared" si="587"/>
        <v/>
      </c>
      <c r="ER237" s="252" t="str">
        <f t="shared" si="588"/>
        <v/>
      </c>
      <c r="ES237" s="252" t="str">
        <f t="shared" si="589"/>
        <v/>
      </c>
      <c r="ET237" s="252" t="str">
        <f t="shared" si="590"/>
        <v/>
      </c>
      <c r="EU237" s="252" t="str">
        <f t="shared" si="591"/>
        <v/>
      </c>
      <c r="EV237" s="252" t="str">
        <f t="shared" si="592"/>
        <v/>
      </c>
      <c r="EW237" s="252" t="str">
        <f t="shared" si="593"/>
        <v/>
      </c>
      <c r="EX237" s="252" t="str">
        <f t="shared" si="594"/>
        <v/>
      </c>
      <c r="EY237" s="252" t="str">
        <f t="shared" si="595"/>
        <v/>
      </c>
      <c r="EZ237" s="252" t="str">
        <f t="shared" si="596"/>
        <v/>
      </c>
      <c r="FA237" s="252" t="str">
        <f t="shared" si="597"/>
        <v/>
      </c>
      <c r="FB237" s="252" t="str">
        <f t="shared" si="598"/>
        <v/>
      </c>
      <c r="FC237" s="252" t="str">
        <f>IF(CD237="ERROR", "ERROR", IF(OR(V237="No Change", V237="Not DLC or Energy Star"), "", IF(AND(OR($FC$6=Y237,Y237='Lookup Tables'!$AD$21, Y237='Lookup Tables'!$AD$22),E237="Interior"), S237, "")))</f>
        <v/>
      </c>
      <c r="FD237" s="252" t="str">
        <f t="shared" si="599"/>
        <v/>
      </c>
      <c r="FE237" s="101"/>
      <c r="FF237" s="579" t="str" cm="1">
        <f t="array" ref="FF237">IFERROR(IF(OR(BQ237&lt;=0,AQ237&lt;20,AND(V237="Exit Signs",AN237&gt;0)),"",IF(AND(AQ237&gt;=20,AN237='Lookup Tables'!$R$101),'Lookup Tables'!$U$101*BQ237,AP237*LOOKUP(2,1/((AN237='Lookup Tables'!$R$91:$R$111)*(AQ237&gt;='Lookup Tables'!$S$91:$S$111)*(AQ237&lt;='Lookup Tables'!$T$91:$T$111)),'Lookup Tables'!$U$91:$U$111))),"")</f>
        <v/>
      </c>
      <c r="FG237" s="579"/>
      <c r="FH237" s="579"/>
      <c r="FI237" s="253" t="str">
        <f>IFERROR(ROUND(IF(CD237="ERROR", "ERROR", IF(AND($FI$7=X237,E237="Interior"),VLOOKUP(W237, 'Lookup Tables'!$AI$6:$AM$102, 5, FALSE)*BP237, "")), 2), "")</f>
        <v/>
      </c>
      <c r="FJ237" s="253" t="str">
        <f>IFERROR(ROUND(IF(CD237="ERROR", "ERROR", IF(AND($FI$7=X237,E237="Exterior"),VLOOKUP(W237, 'Lookup Tables'!$AI$6:$AM$102, 5, FALSE)*BP237, "")), 2), "")</f>
        <v/>
      </c>
      <c r="FK237" s="253" t="str">
        <f>IFERROR(ROUND(IF(CD237="ERROR", "ERROR", IF(AND($FK$7=X237,E237="Interior"),VLOOKUP(W237, 'Lookup Tables'!$AI$6:$AM$102, 5, FALSE)*BP237, "")), 2), "")</f>
        <v/>
      </c>
      <c r="FL237" s="253" t="str">
        <f>IFERROR(ROUND(IF(CD237="ERROR", "ERROR", IF(AND($FK$7=X237,E237="Exterior"),VLOOKUP(W237, 'Lookup Tables'!$AI$6:$AM$102, 5, FALSE)*BP237, "")), 2), "")</f>
        <v/>
      </c>
      <c r="FM237" s="253" t="str">
        <f>IFERROR(ROUND(IF(CD237="ERROR", "ERROR", IF(AND($FM$6=Y237,E237="Interior"), IF(GB237=0, VLOOKUP(W237, 'Lookup Tables'!$AI$6:$AM$102, 5, FALSE)*BP237, IF(VLOOKUP(W237, 'Lookup Tables'!$AI$6:$AM$102, 5, FALSE)*BP237&gt;GB237*'Lighting Inventory'!S237, GB237*'Lighting Inventory'!S237,VLOOKUP(W237, 'Lookup Tables'!$AI$6:$AM$102, 5, FALSE)*BP237)), "")), 2), "")</f>
        <v/>
      </c>
      <c r="FN237" s="253" t="str">
        <f>IFERROR(ROUND(IF(CD237="ERROR", "ERROR", IF(AND($FM$6=Y237,E237="Exterior"), IF(GB237=0, VLOOKUP(W237, 'Lookup Tables'!$AI$6:$AM$102, 5, FALSE)*BP237, IF(VLOOKUP(W237, 'Lookup Tables'!$AI$6:$AM$102, 5, FALSE)*BP237&gt;GB237*'Lighting Inventory'!S237, GB237*'Lighting Inventory'!S237,VLOOKUP(W237, 'Lookup Tables'!$AI$6:$AM$102, 5, FALSE)*BP237)), "")), 2), "")</f>
        <v/>
      </c>
      <c r="FO237" s="253" t="str">
        <f>IFERROR(ROUND(IF(CD237="ERROR", "ERROR", IF(AND($FO$6=Y237,E237="Interior"),VLOOKUP(W237, 'Lookup Tables'!$AI$6:$AM$102, 5, FALSE)*'Lighting Inventory'!AI237, "")), 2), "")</f>
        <v/>
      </c>
      <c r="FP237" s="253" t="str">
        <f>IFERROR(ROUND(IF(CD237="ERROR", "ERROR", IF(AND($FO$6=Y237,E237="Exterior"),VLOOKUP(W237, 'Lookup Tables'!$AI$6:$AM$102, 5, FALSE)*'Lighting Inventory'!AI237, "")), 2), "")</f>
        <v/>
      </c>
      <c r="FQ237" s="253" t="str">
        <f>IFERROR(ROUND(IF(CD237="ERROR", "ERROR", IF(AND($FQ$6=Y237,E237="Interior", BU237="Y"), VLOOKUP('Lighting Inventory'!W237, 'Lookup Tables'!$AI$6:$AM$102, 5, FALSE)*'Lighting Inventory'!S237, IF(AND($FQ$7=Y237,E237="Interior", BU237="N"), 0.025*CD237, ""))), 2), "")</f>
        <v/>
      </c>
      <c r="FR237" s="253" t="str">
        <f>IFERROR(ROUND(IF(CD237="ERROR", "ERROR", IF(AND($FQ$6=Y237,E237="Exterior"), VLOOKUP('Lighting Inventory'!W237, 'Lookup Tables'!$AI$6:$AM$102, 5, FALSE)*'Lighting Inventory'!S237, "")), 2), "")</f>
        <v/>
      </c>
      <c r="FS237" s="253" t="str">
        <f>IFERROR(ROUND(IF(CD237="ERROR", "ERROR", IF(AND($FS$6=Y237,E237="Exterior"), IF(GB237=0, VLOOKUP(W237, 'Lookup Tables'!$AI$6:$AM$102, 5, FALSE)*BP237, IF(VLOOKUP(W237, 'Lookup Tables'!$AI$6:$AM$102, 5, FALSE)*BP237&gt;GB237*'Lighting Inventory'!S237, GB237*'Lighting Inventory'!S237,VLOOKUP(W237, 'Lookup Tables'!$AI$6:$AM$102, 5, FALSE)*BP237)), "")), 2), "")</f>
        <v/>
      </c>
      <c r="FT237" s="253" t="str">
        <f>IFERROR(ROUND(IF(CD237="ERROR", "ERROR", IF(AND($FT$6=Y237,E237="Interior"), IF(GB237=0, VLOOKUP(W237, 'Lookup Tables'!$AI$6:$AM$102, 5, FALSE)*BP237, IF(VLOOKUP(W237, 'Lookup Tables'!$AI$6:$AM$102, 5, FALSE)*BP237&gt;GB237*'Lighting Inventory'!S237, GB237*'Lighting Inventory'!S237,VLOOKUP(W237, 'Lookup Tables'!$AI$6:$AM$102, 5, FALSE)*BP237)), "")), 2), "")</f>
        <v/>
      </c>
      <c r="FU237" s="253" t="str">
        <f>IFERROR(ROUND(IF(CD237="ERROR", "ERROR", IF(AND(Y237=$FU$6, E237="Interior"), IF(BS237="N", 'Lookup Tables'!$AM$101*BP237, VLOOKUP(W237, 'Lookup Tables'!$AI$6:$AM$102, 5, FALSE)*S237*AD237), "")), 2), "")</f>
        <v/>
      </c>
      <c r="FV237" s="253" t="str">
        <f>IFERROR(ROUND(IF(CD237="ERROR", "ERROR", IF(AND(Y237=$FU$6, E237="Exterior"), IF(BS237="N", 'Lookup Tables'!$AM$101*BP237, VLOOKUP(W237, 'Lookup Tables'!$AI$6:$AM$102, 5, FALSE)*S237*AD237), "")), 2), "")</f>
        <v/>
      </c>
      <c r="FW237" s="253" t="str">
        <f>IFERROR(ROUND(IF(CD237="ERROR", "ERROR", IF($FW$6=Y237, IF(BS237="N", 'Lookup Tables'!$AM$101*BP237, MIN((VLOOKUP(W237, 'Lookup Tables'!$AI$6:$AM$102, 5, FALSE)*BP237),GB237*AJ237)), "")), 2), "")</f>
        <v/>
      </c>
      <c r="FX237" s="253" t="str">
        <f>IFERROR(ROUND(IF(CD237="ERROR", "ERROR", IF(AND($FX$6=Y237, E237="Interior"), IF(VLOOKUP(W237, 'Lookup Tables'!$AI$6:$AM$102, 5, FALSE)*BP237&gt;'Lookup Tables'!$AQ$97*'Lighting Inventory'!S237,'Lighting Inventory'!S237*'Lookup Tables'!$AQ$97,VLOOKUP(W237, 'Lookup Tables'!$AI$6:$AM$102, 5, FALSE)*BP237), "")), 2), "")</f>
        <v/>
      </c>
      <c r="FY237" s="253" t="str">
        <f>IFERROR(ROUND(IF(CD237="ERROR", "ERROR", IF(AND($FX$6=Y237, E237="Exterior"), IF(VLOOKUP(W237, 'Lookup Tables'!$AI$6:$AM$102, 5, FALSE)*BP237&gt;'Lookup Tables'!$AQ$97*'Lighting Inventory'!S237,'Lighting Inventory'!S237*'Lookup Tables'!$AQ$97,VLOOKUP(W237, 'Lookup Tables'!$AI$6:$AM$102, 5, FALSE)*BP237), "")), 2), "")</f>
        <v/>
      </c>
      <c r="FZ237" s="253" t="str">
        <f>IFERROR(ROUND(IF(CD237="ERROR", "ERROR", IF(AND($FZ$6=Y237, E237="Interior"), IF(AND(OR(W237="Refrigerated Case Lighting with Doors", W237="Freezer Case Lighting"),Y237="Custom - Process Improvement"),CD237*'Lookup Tables'!$AM$101, IF(B237="Retrofit", IF(VLOOKUP(IF(V237="Custom", V237, W237), 'Lookup Tables'!$AI$6:$AM$102, 5, FALSE)*BP237&gt;GE237, GE237, VLOOKUP(IF(V237="Custom", V237, W237), 'Lookup Tables'!$AI$6:$AM$102, 5, FALSE)*BP237), IF(VLOOKUP(IF(V237="Custom", V237, W237), 'Lookup Tables'!$AI$114:$AM$154, 5, FALSE)*BP237&gt;GE237, GE237, VLOOKUP(IF(V237="Custom", V237, W237), 'Lookup Tables'!$AI$114:$AM$154, 5, FALSE)*BP237))), "")), 2),"")</f>
        <v/>
      </c>
      <c r="GA237" s="253" t="str">
        <f>IFERROR(ROUND(IF(CD237="ERROR", "ERROR", IF(AND($FZ$6=Y237, E237="Exterior"), IF(B237="Retrofit", IF(VLOOKUP(IF(V237="Custom", V237, W237), 'Lookup Tables'!$AI$6:$AM$102, 5, FALSE)*BP237&gt;GE237, GE237, VLOOKUP(IF(V237="Custom", V237, W237), 'Lookup Tables'!$AI$6:$AM$102, 5, FALSE)*BP237), IF(VLOOKUP(IF(V237="Custom", V237, W237), 'Lookup Tables'!$AI$114:$AM$154, 5, FALSE)*BP237&gt;GE237, GE237, VLOOKUP(IF(V237="Custom", V237, W237), 'Lookup Tables'!$AI$114:$AM$154, 5, FALSE)*BP237)), "")), 2),"")</f>
        <v/>
      </c>
      <c r="GB237" s="254" t="str">
        <f t="array" ref="GB237">IF(B237="","",IF(OR(V237="Custom",V237="No Change"),0,IF(B237="Retrofit", INDEX('Lookup Tables'!$AH$6:$AQ$102,MATCH(1,('Lookup Tables'!$AH$6:$AH$102='Lighting Inventory'!V237)*('Lookup Tables'!$AI$6:$AI$102='Lighting Inventory'!W237),FALSE),10),INDEX('Lookup Tables'!$AH$114:$AQ$154,MATCH(1,('Lookup Tables'!$AH$114:$AH$154='Lighting Inventory'!V237)*('Lookup Tables'!$AI$114:$AI$154='Lighting Inventory'!W237),FALSE),10))))</f>
        <v/>
      </c>
      <c r="GC237" s="255" t="str">
        <f t="shared" si="550"/>
        <v/>
      </c>
      <c r="GD237" s="250" t="str">
        <f t="shared" si="551"/>
        <v/>
      </c>
      <c r="GE237" s="253" t="str">
        <f>IFERROR(IF(AND(AF237="", 'General Information'!$F$18="No"),"", IF(AF237="", ((GD237/$CD$266)*$CF$266)*0.5, AF237*S237*0.5)), "")</f>
        <v/>
      </c>
      <c r="GF237" s="255" t="str">
        <f>IF(AND('General Information'!$F$19="", 'General Information'!$F$18="Yes",AF237="",BW237="Y"), "Y", "N")</f>
        <v>N</v>
      </c>
      <c r="GG237" s="255" t="s">
        <v>2946</v>
      </c>
      <c r="GH237" s="255" t="str">
        <f>IFERROR(IF(B237="", "", VLOOKUP(J237, 'Fixture Identities'!$A$6:$N$908, 14, FALSE)), "")</f>
        <v/>
      </c>
      <c r="GI237" s="389" t="str">
        <f>IF(OR(B237="", V237="", W237=""), "", IF(AND(OR(M237='Lookup Tables'!$R$18, M237='Lookup Tables'!$R$19, M237='Lookup Tables'!$R$20, M237='Lookup Tables'!$R$21, M237='Lookup Tables'!$R$22), OR(AN237='Lookup Tables'!$R$17, AN237='Lookup Tables'!$R$17, AN237="")), "Y", "N"))</f>
        <v/>
      </c>
      <c r="GJ237" s="255" t="str">
        <f t="shared" si="552"/>
        <v/>
      </c>
      <c r="GK237" s="255" t="str">
        <f t="shared" si="553"/>
        <v/>
      </c>
      <c r="GL237" s="255" t="str">
        <f t="shared" si="554"/>
        <v/>
      </c>
      <c r="GM237" s="255" t="str">
        <f>IF(AN237="", "", IF(AND(IF(ISNA(VLOOKUP(AN237,'Lookup Tables'!$R$18:$R$22,1,FALSE)), "N", "Y")="Y", E237="Exterior"), "Y", "N"))</f>
        <v/>
      </c>
      <c r="GN237" s="395"/>
      <c r="GO237" s="428">
        <f t="shared" si="600"/>
        <v>0</v>
      </c>
      <c r="GP237" s="428">
        <f t="shared" si="603"/>
        <v>0</v>
      </c>
      <c r="GQ237" s="428">
        <f t="shared" si="601"/>
        <v>0</v>
      </c>
      <c r="GR237" s="428">
        <f t="shared" si="602"/>
        <v>0</v>
      </c>
    </row>
    <row r="238" spans="1:200" s="103" customFormat="1" ht="13.5" customHeight="1" x14ac:dyDescent="0.2">
      <c r="A238" s="272">
        <v>228</v>
      </c>
      <c r="B238" s="110"/>
      <c r="C238" s="110"/>
      <c r="D238" s="110"/>
      <c r="E238" s="110"/>
      <c r="F238" s="110"/>
      <c r="G238" s="110"/>
      <c r="H238" s="110"/>
      <c r="I238" s="29"/>
      <c r="J238" s="29"/>
      <c r="K238" s="272" t="str">
        <f>IFERROR(IF(OR(VLOOKUP(J238, 'Fixture Identities'!$A$6:$L$1023, 3, FALSE)="T12 Linear Fluorescent", VLOOKUP(J238, 'Fixture Identities'!$A$6:$L$1023, 3, FALSE)="T12 U-Tube Fluorescent"), VLOOKUP(VLOOKUP(J238, 'Fixture Identities'!$A$6:$L$1023, 11, FALSE), 'Fixture Identities'!$A$6:$L$1023, 10, FALSE), VLOOKUP(J238, 'Fixture Identities'!$A$6:$L$1023, 10, FALSE)), "")</f>
        <v/>
      </c>
      <c r="L238" s="270" t="str">
        <f t="shared" si="605"/>
        <v/>
      </c>
      <c r="M238" s="110"/>
      <c r="N238" s="110"/>
      <c r="O238" s="110"/>
      <c r="P238" s="272" t="str">
        <f>IFERROR(IF(OR(B238="Retrofit",B238=""),"",IF('Lighting Inventory'!E238="Exterior",VLOOKUP('Lighting Inventory'!N238,'Lookup Tables'!$B$83:$F$103,5,FALSE),IF(N238="Other - Please Estimate EFLH and CFs","Contact Prog. Rep.","ft^2"))), "")</f>
        <v/>
      </c>
      <c r="Q238" s="270" t="str">
        <f>IFERROR(IF(AND(B238="New Construction",E238="Interior",$F$5="Space-by-Space"),VLOOKUP('Lighting Inventory'!N238,'Lookup Tables'!$N$6:$O$97,2,FALSE),IF(AND(B238="New Construction",E238="Exterior"),VLOOKUP(N238,'Lookup Tables'!$B$83:$F$103,2,FALSE),IF(AND(B238="New Construction",'Lighting Inventory'!E238="Interior", $F$5="Building Area"),VLOOKUP(F238,'Lookup Tables'!$A$6:$J$59,10,FALSE),""))), "")</f>
        <v/>
      </c>
      <c r="R238" s="270" t="str">
        <f>IFERROR(IF(P238="Contact Prog. Rep.", "ERROR", IF(OR(B238="",B238="Retrofit"),"",IF(N238="Automated teller machines", ('Lookup Tables'!$A$82:$E$100+('Lighting Inventory'!O238-1)*'Lookup Tables'!$A$82:$E$100)/1000, (Q238*O238)/1000))), "")</f>
        <v/>
      </c>
      <c r="S238" s="595"/>
      <c r="T238" s="105" t="str">
        <f t="shared" si="555"/>
        <v/>
      </c>
      <c r="U238" s="105" t="str">
        <f>IF(S238="","",COUNT($S$11:S238))</f>
        <v/>
      </c>
      <c r="V238" s="111"/>
      <c r="W238" s="112"/>
      <c r="X238" s="105" t="str">
        <f t="shared" si="556"/>
        <v/>
      </c>
      <c r="Y238" s="105" t="str">
        <f t="array" ref="Y238">IF(AND(OR(W238="Freezer Case Lighting", W238="Refrigerated Case Lighting with Doors"), 'General Information'!$X$18="LCI"),'Lookup Tables'!$Y$34, IF(V238="Custom", VLOOKUP(W238, 'Fixture Identities'!$A$974:$M$1023, 13, FALSE), IF(V238="No Change",'Lookup Tables'!$Y$29,IF(OR(V238="",W238=""),"",IF(AND(S238=0,S238&lt;I238,B238="Retrofit"),'Lookup Tables'!$Y$25, IF(B238="Retrofit", INDEX('Lookup Tables'!$AH$6:$AP$102, MATCH(1, ('Lookup Tables'!$AH$6:$AH$102=V238)*('Lookup Tables'!$AI$6:$AI$102=W238), 0), IF('Lighting Inventory'!E238="Interior", 4, 5)), INDEX('Lookup Tables'!$AH$114:$AP$154, MATCH(1, ('Lookup Tables'!$AH$114:$AH$154=V238)*('Lookup Tables'!$AI$114:$AI$154=W238), 0), IF('Lighting Inventory'!E238="Interior", 4, 5))))))))</f>
        <v/>
      </c>
      <c r="Z238" s="105" t="str">
        <f>IFERROR(INDEX('Lookup Tables'!$AH$158:$AH$172,MATCH('Lighting Inventory'!Y238,'Lookup Tables'!$AI$158:$AI$172,0)),"")</f>
        <v/>
      </c>
      <c r="AA238" s="105" t="str">
        <f>IF(AP238&gt;0,INDEX('Lookup Tables'!$AK$158:$AK$172,MATCH('Lighting Inventory'!Y238,'Lookup Tables'!$AI$158:$AI$172,0)),'Lighting Inventory'!Y238)</f>
        <v/>
      </c>
      <c r="AB238" s="105" t="str">
        <f t="array" ref="AB238">IF(V238="Custom", "Custom", IF(V238="", "", IF(V238="Not DLC or Energy Star", "General", IF(B238="New Construction", INDEX('Lookup Tables'!$AH$114:$AP$154,MATCH(1,('Lookup Tables'!$AH$114:$AH$154='Lighting Inventory'!V238)*('Lookup Tables'!$AI$114:$AI$154='Lighting Inventory'!W238),FALSE),8), INDEX('Lookup Tables'!$AH$6:$AP$102,MATCH(1,('Lookup Tables'!$AH$6:$AH$102='Lighting Inventory'!V238)*('Lookup Tables'!$AI$6:$AI$102='Lighting Inventory'!W238),FALSE),8)))))</f>
        <v/>
      </c>
      <c r="AC238" s="272" t="str">
        <f>IF(W238="","",IF(V238="Custom",CONCATENATE("$",'Lookup Tables'!$AM$101," ",'Lookup Tables'!$AN$101),CONCATENATE("$",INDEX('Lookup Tables'!$AM$6:$AM$102,MATCH('Lighting Inventory'!W238,'Lookup Tables'!$AI$6:$AI$102,0))," ",INDEX('Lookup Tables'!$AN$6:$AN$102,MATCH('Lighting Inventory'!W238,'Lookup Tables'!$AI$6:$AI$102,0)))))</f>
        <v/>
      </c>
      <c r="AD238" s="72"/>
      <c r="AE238" s="29"/>
      <c r="AF238" s="379"/>
      <c r="AG238" s="370" t="str">
        <f t="shared" si="504"/>
        <v/>
      </c>
      <c r="AH238" s="370" t="str">
        <f t="shared" si="557"/>
        <v/>
      </c>
      <c r="AI238" s="29"/>
      <c r="AJ238" s="29"/>
      <c r="AK238" s="110"/>
      <c r="AL238" s="375" t="str">
        <f>IF(OR(B238="", V238="", W238=""), "", IF(V238="No Change", K238, IF(V238="Remove Fixture", 0, IF(V238="Custom",VLOOKUP(W238,'Fixture Identities'!$A$6:$K$1023,10,FALSE),IF(AE238="", "← ENTER POST WATTS", 'Lighting Inventory'!AE238)))))</f>
        <v/>
      </c>
      <c r="AM238" s="376" t="str">
        <f t="shared" si="505"/>
        <v/>
      </c>
      <c r="AN238" s="29"/>
      <c r="AO238" s="671"/>
      <c r="AP238" s="29"/>
      <c r="AQ238" s="29"/>
      <c r="AR238" s="29"/>
      <c r="AS238" s="272" t="str">
        <f t="shared" si="558"/>
        <v/>
      </c>
      <c r="AT238" s="270" t="str">
        <f t="shared" si="506"/>
        <v/>
      </c>
      <c r="AU238" s="88" t="str">
        <f t="shared" si="606"/>
        <v/>
      </c>
      <c r="AV238" s="29"/>
      <c r="AW238" s="73"/>
      <c r="AX238" s="271" t="str">
        <f>IF(AND(AV238="Applicant",OR(AW238="", AW238="Use Default Facility Hours")),"← Choose Schedule",IF(F238="","",IF(W238="LED Exit Signs",8760,IF(OR(AV238="Prescribed",AV238=""),VLOOKUP(F238,'Lookup Tables'!$A$6:$G$59,IF(AB238="General", 6, 3),FALSE),VLOOKUP(AW238,'Lookup Tables'!$S$36:$U$43,2,FALSE)))))</f>
        <v/>
      </c>
      <c r="AY238" s="88" t="str">
        <f t="shared" si="507"/>
        <v/>
      </c>
      <c r="AZ238" s="270" t="str">
        <f>IFERROR(IF(F238="", "", IF(W238="LED Exit Signs", 1, IF(AV238="Applicant",VLOOKUP(AW238, 'Lookup Tables'!$S$36:$U$43,3, FALSE), VLOOKUP('Lighting Inventory'!F238, 'Lookup Tables'!$A$6:$H$59, IF('Lighting Inventory'!AB238="General",7,4), FALSE)))), "")</f>
        <v/>
      </c>
      <c r="BA238" s="522" t="str">
        <f>IFERROR(IF(F238="", "", IF(W238="LED Exit Signs", 1, VLOOKUP('Lighting Inventory'!F238, 'Lookup Tables'!$A$6:$H$59, IF('Lighting Inventory'!AB238="General",8,5), FALSE))), "")</f>
        <v/>
      </c>
      <c r="BB238" s="270" t="str">
        <f>IF(G238="", "", IF(E238="Exterior", 0, IF('Lighting Inventory'!G238="Air Conditioned", VLOOKUP(H238, 'Lookup Tables'!$R$6:$T$13, 2, FALSE), VLOOKUP('Lighting Inventory'!G238, 'Lookup Tables'!$R$6:$T$13, 2, FALSE))))</f>
        <v/>
      </c>
      <c r="BC238" s="522" t="str">
        <f>IF(G238="", "", IF(E238="Exterior", 0, IF('Lighting Inventory'!G238="Air Conditioned", VLOOKUP(H238, 'Lookup Tables'!$R$6:$T$13, 3, FALSE), VLOOKUP('Lighting Inventory'!G238, 'Lookup Tables'!$R$6:$T$13, 3, FALSE))))</f>
        <v/>
      </c>
      <c r="BD238" s="270" t="str">
        <f>IF(G238="", "", IF(E238="Exterior", 0, IF('Lighting Inventory'!G238="Air Conditioned", VLOOKUP(H238, 'Lookup Tables'!$R$6:$U$13, 4, FALSE), VLOOKUP('Lighting Inventory'!G238, 'Lookup Tables'!$R$6:$U$13, 4, FALSE))))</f>
        <v/>
      </c>
      <c r="BE238" s="270" t="str">
        <f>IFERROR(IF(B238="", "",  IF(B238="New Construction", VLOOKUP(F238, 'Lookup Tables'!$A$6:$K$59, 11, FALSE),IF(OR(AN238="", AN238="Light Switch"), 0, IF(OR(M238="",M238="None",V238= "LED Exit Signs"),0,_xlfn.XLOOKUP(M238,'Lookup Tables'!$R$91:$R$101,'Lookup Tables'!$V$91:$V$101))))), "")</f>
        <v/>
      </c>
      <c r="BF238" s="270" t="str">
        <f>IF(AND(OR(AN238="Light Switch",AN238=""),B238="New Construction"), VLOOKUP(F238, 'Lookup Tables'!$A$6:$K$59, 11, FALSE),IF(AN238="","",IF(B238="","",IF(OR(AN238="None",AN238="",V238="LED Exit Signs",AN238="Exterior Controls Not Eligible"),0,_xlfn.XLOOKUP(AN238,'Lookup Tables'!$R$91:$R$101,'Lookup Tables'!$V$91:$V$101)))))</f>
        <v/>
      </c>
      <c r="BG238" s="88" t="str">
        <f t="shared" si="559"/>
        <v/>
      </c>
      <c r="BH238" s="88" t="str">
        <f t="shared" si="560"/>
        <v/>
      </c>
      <c r="BI238" s="558" t="str">
        <f t="shared" si="604"/>
        <v/>
      </c>
      <c r="BJ238" s="82" t="str">
        <f t="shared" si="561"/>
        <v/>
      </c>
      <c r="BK238" s="82" t="str">
        <f t="shared" si="562"/>
        <v/>
      </c>
      <c r="BL238" s="559" t="str">
        <f t="shared" si="563"/>
        <v/>
      </c>
      <c r="BM238" s="521" t="str">
        <f t="shared" si="508"/>
        <v/>
      </c>
      <c r="BN238" s="521" t="str">
        <f t="shared" si="509"/>
        <v/>
      </c>
      <c r="BO238" s="522" t="str">
        <f t="shared" si="510"/>
        <v/>
      </c>
      <c r="BP238" s="83" t="str">
        <f t="shared" si="564"/>
        <v/>
      </c>
      <c r="BQ238" s="84" t="str">
        <f t="shared" si="565"/>
        <v/>
      </c>
      <c r="BR238" s="184" t="str">
        <f>IFERROR(IF(B238="", "", IF(OR(VLOOKUP(J238, 'Fixture Identities'!$A$6:$L$1023, 3, FALSE)="T12 Linear Fluorescent",VLOOKUP(J238, 'Fixture Identities'!$A$6:$L$1023, 3, FALSE)="T12 U-Tube Fluorescent"), "Y", "N")), "N")</f>
        <v/>
      </c>
      <c r="BS238" s="184" t="str">
        <f t="array" ref="BS238">IFERROR(IF(OR(B238="", V238="", W238=""), "", IF(V238="Custom", "N", IF(OR(W238="Freezer Case Lighting", W238="Refrigerated Case Lighting with Doors"), BT238, IF(B238="Retrofit", INDEX('Lookup Tables'!$AH$6:$AT$102,MATCH(1,('Lookup Tables'!$AH$6:$AH$102=V238)*('Lookup Tables'!$AI$6:$AI$102=W238),FALSE),IF(VLOOKUP(J238, 'Fixture Identities'!$A$6:$B$1023, 2, FALSE)="Incandescent",12, 13)), INDEX('Lookup Tables'!$AH$114:$AS$154,MATCH(1,('Lookup Tables'!$AH$114:$AH$154=V238)*('Lookup Tables'!$AI$114:$AI$154=W238),FALSE),12))))), "N")</f>
        <v/>
      </c>
      <c r="BT238" s="184" t="str">
        <f>IF(J238="", "", IF(AND(OR(W238="Freezer case Lighting", W238="Refrigerated Case Lighting with Doors"),'General Information'!$X$18="LCI"), "N", IF(OR(VLOOKUP(J238, 'Fixture Identities'!$A$6:$B$1023, 2, FALSE)="T12 EPACT/EISA Baseline", VLOOKUP(J238, 'Fixture Identities'!$A$6:$B$1023, 2, FALSE)="Linear Fluorescent", VLOOKUP(J238, 'Fixture Identities'!$A$6:$B$1023, 2, FALSE)="U-Tube Fluorescent"), "Y", "N")))</f>
        <v/>
      </c>
      <c r="BU238" s="184" t="str">
        <f>IFERROR(IF(B238="", "", IF(VLOOKUP(J238, 'Fixture Identities'!$A$6:$B$1023, 2, FALSE)="Exit Sign", "Y", "N")), "N")</f>
        <v/>
      </c>
      <c r="BV238" s="184" t="str">
        <f>IF(V238="Exit Signs", IF(VLOOKUP(J238, 'Fixture Identities'!$A$6:$B$1023, 2, FALSE)="Exit Sign", "N", "Y"), "")</f>
        <v/>
      </c>
      <c r="BW238" s="184" t="str">
        <f t="array" ref="BW238">IFERROR(IF(B238="", "", IF(B238="New Construction", "N", INDEX('Lookup Tables'!$AH$6:$AU$102, MATCH(1, ('Lookup Tables'!$AH$6:$AH$102='Lighting Inventory'!V238)*('Lookup Tables'!$AI$6:$AI$102='Lighting Inventory'!W238), 0), 14))), "N")</f>
        <v/>
      </c>
      <c r="BX238" s="598" t="str">
        <f t="shared" si="566"/>
        <v/>
      </c>
      <c r="BY238" s="598" t="str">
        <f t="shared" si="567"/>
        <v/>
      </c>
      <c r="BZ238" s="598" t="str">
        <f t="shared" si="568"/>
        <v/>
      </c>
      <c r="CA238" s="598" t="str">
        <f t="shared" si="569"/>
        <v/>
      </c>
      <c r="CB238" s="269" t="str">
        <f t="shared" si="570"/>
        <v/>
      </c>
      <c r="CC238" s="517" t="str">
        <f t="shared" si="571"/>
        <v/>
      </c>
      <c r="CD238" s="565" t="str">
        <f t="shared" si="511"/>
        <v/>
      </c>
      <c r="CE238" s="368">
        <v>0</v>
      </c>
      <c r="CF238" s="368" t="str" cm="1">
        <f t="array" ref="CF238">IFERROR(IF(V238="Custom", "$0.1 per kWh", IF(B238="New Construction", CONCATENATE("$",INDEX('Lookup Tables'!$AH$114:$AN$154,MATCH(1,('Lookup Tables'!$AH$114:$AH$154='Lighting Inventory'!V238)*('Lookup Tables'!$AI$114:$AI$154='Lighting Inventory'!W238),FALSE),6)," ",INDEX('Lookup Tables'!$AH$114:$AN$154,MATCH(1,('Lookup Tables'!$AH$114:$AH$154='Lighting Inventory'!V238)*('Lookup Tables'!$AI$114:$AI$154='Lighting Inventory'!W238),FALSE),7)), IF(AND(BU238="N", V238="Exit Signs"), "$0.025 per kWh", CONCATENATE("$",INDEX('Lookup Tables'!$AH$6:$AN$102,MATCH(1,('Lookup Tables'!$AH$6:$AH$102='Lighting Inventory'!V238)*('Lookup Tables'!$AI$6:$AI$102='Lighting Inventory'!W238),FALSE),6)," ",INDEX('Lookup Tables'!$AH$6:$AN$102,MATCH(1,('Lookup Tables'!$AH$6:$AH$102='Lighting Inventory'!V238)*('Lookup Tables'!$AI$6:$AI$102='Lighting Inventory'!W238),FALSE),7))))), "")</f>
        <v/>
      </c>
      <c r="CG238" s="366"/>
      <c r="CH238" s="248" t="str">
        <f t="shared" si="512"/>
        <v/>
      </c>
      <c r="CI238" s="248" t="str">
        <f t="shared" si="513"/>
        <v>Select_IE</v>
      </c>
      <c r="CJ238" s="248" t="str">
        <f t="shared" si="514"/>
        <v/>
      </c>
      <c r="CK238" s="248" t="str">
        <f t="shared" si="515"/>
        <v/>
      </c>
      <c r="CL238" s="248" t="str">
        <f t="shared" si="516"/>
        <v/>
      </c>
      <c r="CM238" s="248" t="str">
        <f>IFERROR(IF(B238="", "", IF(B238="New Construction", VLOOKUP(V238, 'Lookup Tables'!$AF$114:$AG$120, 2, FALSE), VLOOKUP(V238, 'Lookup Tables'!$AD$6:$AE$25, 2, FALSE))), "")</f>
        <v/>
      </c>
      <c r="CN238" s="248" t="str">
        <f t="shared" si="517"/>
        <v/>
      </c>
      <c r="CO238" s="248" t="str">
        <f t="shared" si="518"/>
        <v/>
      </c>
      <c r="CP238" s="592" t="str">
        <f t="shared" si="519"/>
        <v/>
      </c>
      <c r="CQ238" s="248" t="str">
        <f t="shared" si="572"/>
        <v/>
      </c>
      <c r="CR238" s="249"/>
      <c r="CS238" s="250" t="str">
        <f t="shared" si="520"/>
        <v/>
      </c>
      <c r="CT238" s="250" t="str">
        <f t="shared" si="573"/>
        <v/>
      </c>
      <c r="CU238" s="250" t="str">
        <f t="shared" si="574"/>
        <v/>
      </c>
      <c r="CV238" s="250" t="str">
        <f t="shared" si="575"/>
        <v/>
      </c>
      <c r="CW238" s="250" t="str">
        <f t="shared" si="576"/>
        <v/>
      </c>
      <c r="CX238" s="250" t="str">
        <f t="shared" si="521"/>
        <v/>
      </c>
      <c r="CY238" s="250" t="str">
        <f t="shared" si="522"/>
        <v/>
      </c>
      <c r="CZ238" s="250" t="str">
        <f t="shared" si="523"/>
        <v/>
      </c>
      <c r="DA238" s="250" t="str">
        <f t="shared" si="524"/>
        <v/>
      </c>
      <c r="DB238" s="250" t="str">
        <f t="shared" si="525"/>
        <v/>
      </c>
      <c r="DC238" s="250" t="str">
        <f t="shared" si="526"/>
        <v/>
      </c>
      <c r="DD238" s="250" t="str">
        <f t="shared" si="527"/>
        <v/>
      </c>
      <c r="DE238" s="250" t="str">
        <f t="shared" si="528"/>
        <v/>
      </c>
      <c r="DF238" s="250" t="str">
        <f t="shared" si="529"/>
        <v/>
      </c>
      <c r="DG238" s="250" t="str">
        <f t="shared" si="530"/>
        <v/>
      </c>
      <c r="DH238" s="250" t="str">
        <f t="shared" si="531"/>
        <v/>
      </c>
      <c r="DI238" s="250" t="str">
        <f t="shared" si="532"/>
        <v/>
      </c>
      <c r="DJ238" s="250" t="str">
        <f t="shared" si="533"/>
        <v/>
      </c>
      <c r="DK238" s="250" t="str">
        <f t="shared" si="534"/>
        <v/>
      </c>
      <c r="DL238" s="250" t="str">
        <f t="shared" si="535"/>
        <v/>
      </c>
      <c r="DM238" s="250" t="str">
        <f>IF(CD238="ERROR", "ERROR", IF(AND(OR(Y238=$DM$6, Y238='Lookup Tables'!$AD$21, Y238='Lookup Tables'!$AD$22), E238="Interior"), BJ238, ""))</f>
        <v/>
      </c>
      <c r="DN238" s="250" t="str">
        <f>IF(CD238="ERROR", "ERROR", IF(AND(OR(Y238=$DM$6, Y238='Lookup Tables'!$AD$21, Y238='Lookup Tables'!$AD$22), E238="Exterior"), BJ238, ""))</f>
        <v/>
      </c>
      <c r="DO238" s="249"/>
      <c r="DP238" s="250" t="str">
        <f t="shared" si="536"/>
        <v/>
      </c>
      <c r="DQ238" s="250" t="str">
        <f t="shared" si="577"/>
        <v/>
      </c>
      <c r="DR238" s="250" t="str">
        <f t="shared" si="578"/>
        <v/>
      </c>
      <c r="DS238" s="250" t="str">
        <f t="shared" si="579"/>
        <v/>
      </c>
      <c r="DT238" s="250" t="str">
        <f t="shared" si="580"/>
        <v/>
      </c>
      <c r="DU238" s="250" t="str">
        <f t="shared" si="537"/>
        <v/>
      </c>
      <c r="DV238" s="250" t="str">
        <f t="shared" si="538"/>
        <v/>
      </c>
      <c r="DW238" s="250" t="str">
        <f t="shared" si="539"/>
        <v/>
      </c>
      <c r="DX238" s="250" t="str">
        <f t="shared" si="540"/>
        <v/>
      </c>
      <c r="DY238" s="250" t="str">
        <f t="shared" si="541"/>
        <v/>
      </c>
      <c r="DZ238" s="250" t="str">
        <f t="shared" si="542"/>
        <v/>
      </c>
      <c r="EA238" s="250" t="str">
        <f t="shared" si="543"/>
        <v/>
      </c>
      <c r="EB238" s="250" t="str">
        <f t="shared" si="581"/>
        <v/>
      </c>
      <c r="EC238" s="250" t="str">
        <f t="shared" si="544"/>
        <v/>
      </c>
      <c r="ED238" s="250" t="str">
        <f t="shared" si="545"/>
        <v/>
      </c>
      <c r="EE238" s="250" t="str">
        <f t="shared" si="546"/>
        <v/>
      </c>
      <c r="EF238" s="250" t="str">
        <f t="shared" si="547"/>
        <v/>
      </c>
      <c r="EG238" s="250" t="str">
        <f t="shared" si="548"/>
        <v/>
      </c>
      <c r="EH238" s="250" t="str">
        <f>IF(CD238="ERROR", "ERROR", IF(AND(OR($EH$6=Y238, Y238='Lookup Tables'!$AD$21, Y238='Lookup Tables'!$AD$22),E238="Interior"), SUM(BP238:BP238), ""))</f>
        <v/>
      </c>
      <c r="EI238" s="250" t="str">
        <f>IF(CD238="ERROR", "ERROR", IF(AND(OR($EH$6=Y238, Y238='Lookup Tables'!$AD$21, Y238='Lookup Tables'!$AD$22),E238="Exterior"), SUM(BP238:BP238), ""))</f>
        <v/>
      </c>
      <c r="EJ238" s="109"/>
      <c r="EK238" s="485" t="str">
        <f t="shared" si="549"/>
        <v/>
      </c>
      <c r="EL238" s="252" t="str">
        <f t="shared" si="582"/>
        <v/>
      </c>
      <c r="EM238" s="252" t="str">
        <f t="shared" si="583"/>
        <v/>
      </c>
      <c r="EN238" s="252" t="str">
        <f t="shared" si="584"/>
        <v/>
      </c>
      <c r="EO238" s="252" t="str">
        <f t="shared" si="585"/>
        <v/>
      </c>
      <c r="EP238" s="252" t="str">
        <f t="shared" si="586"/>
        <v/>
      </c>
      <c r="EQ238" s="252" t="str">
        <f t="shared" si="587"/>
        <v/>
      </c>
      <c r="ER238" s="252" t="str">
        <f t="shared" si="588"/>
        <v/>
      </c>
      <c r="ES238" s="252" t="str">
        <f t="shared" si="589"/>
        <v/>
      </c>
      <c r="ET238" s="252" t="str">
        <f t="shared" si="590"/>
        <v/>
      </c>
      <c r="EU238" s="252" t="str">
        <f t="shared" si="591"/>
        <v/>
      </c>
      <c r="EV238" s="252" t="str">
        <f t="shared" si="592"/>
        <v/>
      </c>
      <c r="EW238" s="252" t="str">
        <f t="shared" si="593"/>
        <v/>
      </c>
      <c r="EX238" s="252" t="str">
        <f t="shared" si="594"/>
        <v/>
      </c>
      <c r="EY238" s="252" t="str">
        <f t="shared" si="595"/>
        <v/>
      </c>
      <c r="EZ238" s="252" t="str">
        <f t="shared" si="596"/>
        <v/>
      </c>
      <c r="FA238" s="252" t="str">
        <f t="shared" si="597"/>
        <v/>
      </c>
      <c r="FB238" s="252" t="str">
        <f t="shared" si="598"/>
        <v/>
      </c>
      <c r="FC238" s="252" t="str">
        <f>IF(CD238="ERROR", "ERROR", IF(OR(V238="No Change", V238="Not DLC or Energy Star"), "", IF(AND(OR($FC$6=Y238,Y238='Lookup Tables'!$AD$21, Y238='Lookup Tables'!$AD$22),E238="Interior"), S238, "")))</f>
        <v/>
      </c>
      <c r="FD238" s="252" t="str">
        <f t="shared" si="599"/>
        <v/>
      </c>
      <c r="FE238" s="1"/>
      <c r="FF238" s="579" t="str" cm="1">
        <f t="array" ref="FF238">IFERROR(IF(OR(BQ238&lt;=0,AQ238&lt;20,AND(V238="Exit Signs",AN238&gt;0)),"",IF(AND(AQ238&gt;=20,AN238='Lookup Tables'!$R$101),'Lookup Tables'!$U$101*BQ238,AP238*LOOKUP(2,1/((AN238='Lookup Tables'!$R$91:$R$111)*(AQ238&gt;='Lookup Tables'!$S$91:$S$111)*(AQ238&lt;='Lookup Tables'!$T$91:$T$111)),'Lookup Tables'!$U$91:$U$111))),"")</f>
        <v/>
      </c>
      <c r="FG238" s="579"/>
      <c r="FH238" s="579"/>
      <c r="FI238" s="253" t="str">
        <f>IFERROR(ROUND(IF(CD238="ERROR", "ERROR", IF(AND($FI$7=X238,E238="Interior"),VLOOKUP(W238, 'Lookup Tables'!$AI$6:$AM$102, 5, FALSE)*BP238, "")), 2), "")</f>
        <v/>
      </c>
      <c r="FJ238" s="253" t="str">
        <f>IFERROR(ROUND(IF(CD238="ERROR", "ERROR", IF(AND($FI$7=X238,E238="Exterior"),VLOOKUP(W238, 'Lookup Tables'!$AI$6:$AM$102, 5, FALSE)*BP238, "")), 2), "")</f>
        <v/>
      </c>
      <c r="FK238" s="253" t="str">
        <f>IFERROR(ROUND(IF(CD238="ERROR", "ERROR", IF(AND($FK$7=X238,E238="Interior"),VLOOKUP(W238, 'Lookup Tables'!$AI$6:$AM$102, 5, FALSE)*BP238, "")), 2), "")</f>
        <v/>
      </c>
      <c r="FL238" s="253" t="str">
        <f>IFERROR(ROUND(IF(CD238="ERROR", "ERROR", IF(AND($FK$7=X238,E238="Exterior"),VLOOKUP(W238, 'Lookup Tables'!$AI$6:$AM$102, 5, FALSE)*BP238, "")), 2), "")</f>
        <v/>
      </c>
      <c r="FM238" s="253" t="str">
        <f>IFERROR(ROUND(IF(CD238="ERROR", "ERROR", IF(AND($FM$6=Y238,E238="Interior"), IF(GB238=0, VLOOKUP(W238, 'Lookup Tables'!$AI$6:$AM$102, 5, FALSE)*BP238, IF(VLOOKUP(W238, 'Lookup Tables'!$AI$6:$AM$102, 5, FALSE)*BP238&gt;GB238*'Lighting Inventory'!S238, GB238*'Lighting Inventory'!S238,VLOOKUP(W238, 'Lookup Tables'!$AI$6:$AM$102, 5, FALSE)*BP238)), "")), 2), "")</f>
        <v/>
      </c>
      <c r="FN238" s="253" t="str">
        <f>IFERROR(ROUND(IF(CD238="ERROR", "ERROR", IF(AND($FM$6=Y238,E238="Exterior"), IF(GB238=0, VLOOKUP(W238, 'Lookup Tables'!$AI$6:$AM$102, 5, FALSE)*BP238, IF(VLOOKUP(W238, 'Lookup Tables'!$AI$6:$AM$102, 5, FALSE)*BP238&gt;GB238*'Lighting Inventory'!S238, GB238*'Lighting Inventory'!S238,VLOOKUP(W238, 'Lookup Tables'!$AI$6:$AM$102, 5, FALSE)*BP238)), "")), 2), "")</f>
        <v/>
      </c>
      <c r="FO238" s="253" t="str">
        <f>IFERROR(ROUND(IF(CD238="ERROR", "ERROR", IF(AND($FO$6=Y238,E238="Interior"),VLOOKUP(W238, 'Lookup Tables'!$AI$6:$AM$102, 5, FALSE)*'Lighting Inventory'!AI238, "")), 2), "")</f>
        <v/>
      </c>
      <c r="FP238" s="253" t="str">
        <f>IFERROR(ROUND(IF(CD238="ERROR", "ERROR", IF(AND($FO$6=Y238,E238="Exterior"),VLOOKUP(W238, 'Lookup Tables'!$AI$6:$AM$102, 5, FALSE)*'Lighting Inventory'!AI238, "")), 2), "")</f>
        <v/>
      </c>
      <c r="FQ238" s="253" t="str">
        <f>IFERROR(ROUND(IF(CD238="ERROR", "ERROR", IF(AND($FQ$6=Y238,E238="Interior", BU238="Y"), VLOOKUP('Lighting Inventory'!W238, 'Lookup Tables'!$AI$6:$AM$102, 5, FALSE)*'Lighting Inventory'!S238, IF(AND($FQ$7=Y238,E238="Interior", BU238="N"), 0.025*CD238, ""))), 2), "")</f>
        <v/>
      </c>
      <c r="FR238" s="253" t="str">
        <f>IFERROR(ROUND(IF(CD238="ERROR", "ERROR", IF(AND($FQ$6=Y238,E238="Exterior"), VLOOKUP('Lighting Inventory'!W238, 'Lookup Tables'!$AI$6:$AM$102, 5, FALSE)*'Lighting Inventory'!S238, "")), 2), "")</f>
        <v/>
      </c>
      <c r="FS238" s="253" t="str">
        <f>IFERROR(ROUND(IF(CD238="ERROR", "ERROR", IF(AND($FS$6=Y238,E238="Exterior"), IF(GB238=0, VLOOKUP(W238, 'Lookup Tables'!$AI$6:$AM$102, 5, FALSE)*BP238, IF(VLOOKUP(W238, 'Lookup Tables'!$AI$6:$AM$102, 5, FALSE)*BP238&gt;GB238*'Lighting Inventory'!S238, GB238*'Lighting Inventory'!S238,VLOOKUP(W238, 'Lookup Tables'!$AI$6:$AM$102, 5, FALSE)*BP238)), "")), 2), "")</f>
        <v/>
      </c>
      <c r="FT238" s="253" t="str">
        <f>IFERROR(ROUND(IF(CD238="ERROR", "ERROR", IF(AND($FT$6=Y238,E238="Interior"), IF(GB238=0, VLOOKUP(W238, 'Lookup Tables'!$AI$6:$AM$102, 5, FALSE)*BP238, IF(VLOOKUP(W238, 'Lookup Tables'!$AI$6:$AM$102, 5, FALSE)*BP238&gt;GB238*'Lighting Inventory'!S238, GB238*'Lighting Inventory'!S238,VLOOKUP(W238, 'Lookup Tables'!$AI$6:$AM$102, 5, FALSE)*BP238)), "")), 2), "")</f>
        <v/>
      </c>
      <c r="FU238" s="253" t="str">
        <f>IFERROR(ROUND(IF(CD238="ERROR", "ERROR", IF(AND(Y238=$FU$6, E238="Interior"), IF(BS238="N", 'Lookup Tables'!$AM$101*BP238, VLOOKUP(W238, 'Lookup Tables'!$AI$6:$AM$102, 5, FALSE)*S238*AD238), "")), 2), "")</f>
        <v/>
      </c>
      <c r="FV238" s="253" t="str">
        <f>IFERROR(ROUND(IF(CD238="ERROR", "ERROR", IF(AND(Y238=$FU$6, E238="Exterior"), IF(BS238="N", 'Lookup Tables'!$AM$101*BP238, VLOOKUP(W238, 'Lookup Tables'!$AI$6:$AM$102, 5, FALSE)*S238*AD238), "")), 2), "")</f>
        <v/>
      </c>
      <c r="FW238" s="253" t="str">
        <f>IFERROR(ROUND(IF(CD238="ERROR", "ERROR", IF($FW$6=Y238, IF(BS238="N", 'Lookup Tables'!$AM$101*BP238, MIN((VLOOKUP(W238, 'Lookup Tables'!$AI$6:$AM$102, 5, FALSE)*BP238),GB238*AJ238)), "")), 2), "")</f>
        <v/>
      </c>
      <c r="FX238" s="253" t="str">
        <f>IFERROR(ROUND(IF(CD238="ERROR", "ERROR", IF(AND($FX$6=Y238, E238="Interior"), IF(VLOOKUP(W238, 'Lookup Tables'!$AI$6:$AM$102, 5, FALSE)*BP238&gt;'Lookup Tables'!$AQ$97*'Lighting Inventory'!S238,'Lighting Inventory'!S238*'Lookup Tables'!$AQ$97,VLOOKUP(W238, 'Lookup Tables'!$AI$6:$AM$102, 5, FALSE)*BP238), "")), 2), "")</f>
        <v/>
      </c>
      <c r="FY238" s="253" t="str">
        <f>IFERROR(ROUND(IF(CD238="ERROR", "ERROR", IF(AND($FX$6=Y238, E238="Exterior"), IF(VLOOKUP(W238, 'Lookup Tables'!$AI$6:$AM$102, 5, FALSE)*BP238&gt;'Lookup Tables'!$AQ$97*'Lighting Inventory'!S238,'Lighting Inventory'!S238*'Lookup Tables'!$AQ$97,VLOOKUP(W238, 'Lookup Tables'!$AI$6:$AM$102, 5, FALSE)*BP238), "")), 2), "")</f>
        <v/>
      </c>
      <c r="FZ238" s="253" t="str">
        <f>IFERROR(ROUND(IF(CD238="ERROR", "ERROR", IF(AND($FZ$6=Y238, E238="Interior"), IF(AND(OR(W238="Refrigerated Case Lighting with Doors", W238="Freezer Case Lighting"),Y238="Custom - Process Improvement"),CD238*'Lookup Tables'!$AM$101, IF(B238="Retrofit", IF(VLOOKUP(IF(V238="Custom", V238, W238), 'Lookup Tables'!$AI$6:$AM$102, 5, FALSE)*BP238&gt;GE238, GE238, VLOOKUP(IF(V238="Custom", V238, W238), 'Lookup Tables'!$AI$6:$AM$102, 5, FALSE)*BP238), IF(VLOOKUP(IF(V238="Custom", V238, W238), 'Lookup Tables'!$AI$114:$AM$154, 5, FALSE)*BP238&gt;GE238, GE238, VLOOKUP(IF(V238="Custom", V238, W238), 'Lookup Tables'!$AI$114:$AM$154, 5, FALSE)*BP238))), "")), 2),"")</f>
        <v/>
      </c>
      <c r="GA238" s="253" t="str">
        <f>IFERROR(ROUND(IF(CD238="ERROR", "ERROR", IF(AND($FZ$6=Y238, E238="Exterior"), IF(B238="Retrofit", IF(VLOOKUP(IF(V238="Custom", V238, W238), 'Lookup Tables'!$AI$6:$AM$102, 5, FALSE)*BP238&gt;GE238, GE238, VLOOKUP(IF(V238="Custom", V238, W238), 'Lookup Tables'!$AI$6:$AM$102, 5, FALSE)*BP238), IF(VLOOKUP(IF(V238="Custom", V238, W238), 'Lookup Tables'!$AI$114:$AM$154, 5, FALSE)*BP238&gt;GE238, GE238, VLOOKUP(IF(V238="Custom", V238, W238), 'Lookup Tables'!$AI$114:$AM$154, 5, FALSE)*BP238)), "")), 2),"")</f>
        <v/>
      </c>
      <c r="GB238" s="254" t="str">
        <f t="array" ref="GB238">IF(B238="","",IF(OR(V238="Custom",V238="No Change"),0,IF(B238="Retrofit", INDEX('Lookup Tables'!$AH$6:$AQ$102,MATCH(1,('Lookup Tables'!$AH$6:$AH$102='Lighting Inventory'!V238)*('Lookup Tables'!$AI$6:$AI$102='Lighting Inventory'!W238),FALSE),10),INDEX('Lookup Tables'!$AH$114:$AQ$154,MATCH(1,('Lookup Tables'!$AH$114:$AH$154='Lighting Inventory'!V238)*('Lookup Tables'!$AI$114:$AI$154='Lighting Inventory'!W238),FALSE),10))))</f>
        <v/>
      </c>
      <c r="GC238" s="255" t="str">
        <f t="shared" si="550"/>
        <v/>
      </c>
      <c r="GD238" s="250" t="str">
        <f t="shared" si="551"/>
        <v/>
      </c>
      <c r="GE238" s="253" t="str">
        <f>IFERROR(IF(AND(AF238="", 'General Information'!$F$18="No"),"", IF(AF238="", ((GD238/$CD$266)*$CF$266)*0.5, AF238*S238*0.5)), "")</f>
        <v/>
      </c>
      <c r="GF238" s="255" t="str">
        <f>IF(AND('General Information'!$F$19="", 'General Information'!$F$18="Yes",AF238="",BW238="Y"), "Y", "N")</f>
        <v>N</v>
      </c>
      <c r="GG238" s="255" t="s">
        <v>2946</v>
      </c>
      <c r="GH238" s="255" t="str">
        <f>IFERROR(IF(B238="", "", VLOOKUP(J238, 'Fixture Identities'!$A$6:$N$908, 14, FALSE)), "")</f>
        <v/>
      </c>
      <c r="GI238" s="389" t="str">
        <f>IF(OR(B238="", V238="", W238=""), "", IF(AND(OR(M238='Lookup Tables'!$R$18, M238='Lookup Tables'!$R$19, M238='Lookup Tables'!$R$20, M238='Lookup Tables'!$R$21, M238='Lookup Tables'!$R$22), OR(AN238='Lookup Tables'!$R$17, AN238='Lookup Tables'!$R$17, AN238="")), "Y", "N"))</f>
        <v/>
      </c>
      <c r="GJ238" s="255" t="str">
        <f t="shared" si="552"/>
        <v/>
      </c>
      <c r="GK238" s="255" t="str">
        <f t="shared" si="553"/>
        <v/>
      </c>
      <c r="GL238" s="255" t="str">
        <f t="shared" si="554"/>
        <v/>
      </c>
      <c r="GM238" s="255" t="str">
        <f>IF(AN238="", "", IF(AND(IF(ISNA(VLOOKUP(AN238,'Lookup Tables'!$R$18:$R$22,1,FALSE)), "N", "Y")="Y", E238="Exterior"), "Y", "N"))</f>
        <v/>
      </c>
      <c r="GN238" s="395"/>
      <c r="GO238" s="428">
        <f t="shared" si="600"/>
        <v>0</v>
      </c>
      <c r="GP238" s="428">
        <f t="shared" si="603"/>
        <v>0</v>
      </c>
      <c r="GQ238" s="428">
        <f t="shared" si="601"/>
        <v>0</v>
      </c>
      <c r="GR238" s="428">
        <f t="shared" si="602"/>
        <v>0</v>
      </c>
    </row>
    <row r="239" spans="1:200" s="103" customFormat="1" ht="13.5" customHeight="1" x14ac:dyDescent="0.2">
      <c r="A239" s="272">
        <v>229</v>
      </c>
      <c r="B239" s="110"/>
      <c r="C239" s="110"/>
      <c r="D239" s="110"/>
      <c r="E239" s="110"/>
      <c r="F239" s="110"/>
      <c r="G239" s="110"/>
      <c r="H239" s="110"/>
      <c r="I239" s="29"/>
      <c r="J239" s="29"/>
      <c r="K239" s="272" t="str">
        <f>IFERROR(IF(OR(VLOOKUP(J239, 'Fixture Identities'!$A$6:$L$1023, 3, FALSE)="T12 Linear Fluorescent", VLOOKUP(J239, 'Fixture Identities'!$A$6:$L$1023, 3, FALSE)="T12 U-Tube Fluorescent"), VLOOKUP(VLOOKUP(J239, 'Fixture Identities'!$A$6:$L$1023, 11, FALSE), 'Fixture Identities'!$A$6:$L$1023, 10, FALSE), VLOOKUP(J239, 'Fixture Identities'!$A$6:$L$1023, 10, FALSE)), "")</f>
        <v/>
      </c>
      <c r="L239" s="270" t="str">
        <f t="shared" si="605"/>
        <v/>
      </c>
      <c r="M239" s="110"/>
      <c r="N239" s="110"/>
      <c r="O239" s="110"/>
      <c r="P239" s="272" t="str">
        <f>IFERROR(IF(OR(B239="Retrofit",B239=""),"",IF('Lighting Inventory'!E239="Exterior",VLOOKUP('Lighting Inventory'!N239,'Lookup Tables'!$B$83:$F$103,5,FALSE),IF(N239="Other - Please Estimate EFLH and CFs","Contact Prog. Rep.","ft^2"))), "")</f>
        <v/>
      </c>
      <c r="Q239" s="270" t="str">
        <f>IFERROR(IF(AND(B239="New Construction",E239="Interior",$F$5="Space-by-Space"),VLOOKUP('Lighting Inventory'!N239,'Lookup Tables'!$N$6:$O$97,2,FALSE),IF(AND(B239="New Construction",E239="Exterior"),VLOOKUP(N239,'Lookup Tables'!$B$83:$F$103,2,FALSE),IF(AND(B239="New Construction",'Lighting Inventory'!E239="Interior", $F$5="Building Area"),VLOOKUP(F239,'Lookup Tables'!$A$6:$J$59,10,FALSE),""))), "")</f>
        <v/>
      </c>
      <c r="R239" s="270" t="str">
        <f>IFERROR(IF(P239="Contact Prog. Rep.", "ERROR", IF(OR(B239="",B239="Retrofit"),"",IF(N239="Automated teller machines", ('Lookup Tables'!$A$82:$E$100+('Lighting Inventory'!O239-1)*'Lookup Tables'!$A$82:$E$100)/1000, (Q239*O239)/1000))), "")</f>
        <v/>
      </c>
      <c r="S239" s="595"/>
      <c r="T239" s="105" t="str">
        <f t="shared" si="555"/>
        <v/>
      </c>
      <c r="U239" s="105" t="str">
        <f>IF(S239="","",COUNT($S$11:S239))</f>
        <v/>
      </c>
      <c r="V239" s="111"/>
      <c r="W239" s="112"/>
      <c r="X239" s="105" t="str">
        <f t="shared" si="556"/>
        <v/>
      </c>
      <c r="Y239" s="105" t="str">
        <f t="array" ref="Y239">IF(AND(OR(W239="Freezer Case Lighting", W239="Refrigerated Case Lighting with Doors"), 'General Information'!$X$18="LCI"),'Lookup Tables'!$Y$34, IF(V239="Custom", VLOOKUP(W239, 'Fixture Identities'!$A$974:$M$1023, 13, FALSE), IF(V239="No Change",'Lookup Tables'!$Y$29,IF(OR(V239="",W239=""),"",IF(AND(S239=0,S239&lt;I239,B239="Retrofit"),'Lookup Tables'!$Y$25, IF(B239="Retrofit", INDEX('Lookup Tables'!$AH$6:$AP$102, MATCH(1, ('Lookup Tables'!$AH$6:$AH$102=V239)*('Lookup Tables'!$AI$6:$AI$102=W239), 0), IF('Lighting Inventory'!E239="Interior", 4, 5)), INDEX('Lookup Tables'!$AH$114:$AP$154, MATCH(1, ('Lookup Tables'!$AH$114:$AH$154=V239)*('Lookup Tables'!$AI$114:$AI$154=W239), 0), IF('Lighting Inventory'!E239="Interior", 4, 5))))))))</f>
        <v/>
      </c>
      <c r="Z239" s="105" t="str">
        <f>IFERROR(INDEX('Lookup Tables'!$AH$158:$AH$172,MATCH('Lighting Inventory'!Y239,'Lookup Tables'!$AI$158:$AI$172,0)),"")</f>
        <v/>
      </c>
      <c r="AA239" s="105" t="str">
        <f>IF(AP239&gt;0,INDEX('Lookup Tables'!$AK$158:$AK$172,MATCH('Lighting Inventory'!Y239,'Lookup Tables'!$AI$158:$AI$172,0)),'Lighting Inventory'!Y239)</f>
        <v/>
      </c>
      <c r="AB239" s="105" t="str">
        <f t="array" ref="AB239">IF(V239="Custom", "Custom", IF(V239="", "", IF(V239="Not DLC or Energy Star", "General", IF(B239="New Construction", INDEX('Lookup Tables'!$AH$114:$AP$154,MATCH(1,('Lookup Tables'!$AH$114:$AH$154='Lighting Inventory'!V239)*('Lookup Tables'!$AI$114:$AI$154='Lighting Inventory'!W239),FALSE),8), INDEX('Lookup Tables'!$AH$6:$AP$102,MATCH(1,('Lookup Tables'!$AH$6:$AH$102='Lighting Inventory'!V239)*('Lookup Tables'!$AI$6:$AI$102='Lighting Inventory'!W239),FALSE),8)))))</f>
        <v/>
      </c>
      <c r="AC239" s="272" t="str">
        <f>IF(W239="","",IF(V239="Custom",CONCATENATE("$",'Lookup Tables'!$AM$101," ",'Lookup Tables'!$AN$101),CONCATENATE("$",INDEX('Lookup Tables'!$AM$6:$AM$102,MATCH('Lighting Inventory'!W239,'Lookup Tables'!$AI$6:$AI$102,0))," ",INDEX('Lookup Tables'!$AN$6:$AN$102,MATCH('Lighting Inventory'!W239,'Lookup Tables'!$AI$6:$AI$102,0)))))</f>
        <v/>
      </c>
      <c r="AD239" s="72"/>
      <c r="AE239" s="29"/>
      <c r="AF239" s="379"/>
      <c r="AG239" s="370" t="str">
        <f t="shared" si="504"/>
        <v/>
      </c>
      <c r="AH239" s="370" t="str">
        <f t="shared" si="557"/>
        <v/>
      </c>
      <c r="AI239" s="29"/>
      <c r="AJ239" s="29"/>
      <c r="AK239" s="110"/>
      <c r="AL239" s="375" t="str">
        <f>IF(OR(B239="", V239="", W239=""), "", IF(V239="No Change", K239, IF(V239="Remove Fixture", 0, IF(V239="Custom",VLOOKUP(W239,'Fixture Identities'!$A$6:$K$1023,10,FALSE),IF(AE239="", "← ENTER POST WATTS", 'Lighting Inventory'!AE239)))))</f>
        <v/>
      </c>
      <c r="AM239" s="376" t="str">
        <f t="shared" si="505"/>
        <v/>
      </c>
      <c r="AN239" s="29"/>
      <c r="AO239" s="671"/>
      <c r="AP239" s="29"/>
      <c r="AQ239" s="29"/>
      <c r="AR239" s="29"/>
      <c r="AS239" s="272" t="str">
        <f t="shared" si="558"/>
        <v/>
      </c>
      <c r="AT239" s="270" t="str">
        <f t="shared" si="506"/>
        <v/>
      </c>
      <c r="AU239" s="88" t="str">
        <f t="shared" si="606"/>
        <v/>
      </c>
      <c r="AV239" s="29"/>
      <c r="AW239" s="73"/>
      <c r="AX239" s="271" t="str">
        <f>IF(AND(AV239="Applicant",OR(AW239="", AW239="Use Default Facility Hours")),"← Choose Schedule",IF(F239="","",IF(W239="LED Exit Signs",8760,IF(OR(AV239="Prescribed",AV239=""),VLOOKUP(F239,'Lookup Tables'!$A$6:$G$59,IF(AB239="General", 6, 3),FALSE),VLOOKUP(AW239,'Lookup Tables'!$S$36:$U$43,2,FALSE)))))</f>
        <v/>
      </c>
      <c r="AY239" s="88" t="str">
        <f t="shared" si="507"/>
        <v/>
      </c>
      <c r="AZ239" s="270" t="str">
        <f>IFERROR(IF(F239="", "", IF(W239="LED Exit Signs", 1, IF(AV239="Applicant",VLOOKUP(AW239, 'Lookup Tables'!$S$36:$U$43,3, FALSE), VLOOKUP('Lighting Inventory'!F239, 'Lookup Tables'!$A$6:$H$59, IF('Lighting Inventory'!AB239="General",7,4), FALSE)))), "")</f>
        <v/>
      </c>
      <c r="BA239" s="522" t="str">
        <f>IFERROR(IF(F239="", "", IF(W239="LED Exit Signs", 1, VLOOKUP('Lighting Inventory'!F239, 'Lookup Tables'!$A$6:$H$59, IF('Lighting Inventory'!AB239="General",8,5), FALSE))), "")</f>
        <v/>
      </c>
      <c r="BB239" s="270" t="str">
        <f>IF(G239="", "", IF(E239="Exterior", 0, IF('Lighting Inventory'!G239="Air Conditioned", VLOOKUP(H239, 'Lookup Tables'!$R$6:$T$13, 2, FALSE), VLOOKUP('Lighting Inventory'!G239, 'Lookup Tables'!$R$6:$T$13, 2, FALSE))))</f>
        <v/>
      </c>
      <c r="BC239" s="522" t="str">
        <f>IF(G239="", "", IF(E239="Exterior", 0, IF('Lighting Inventory'!G239="Air Conditioned", VLOOKUP(H239, 'Lookup Tables'!$R$6:$T$13, 3, FALSE), VLOOKUP('Lighting Inventory'!G239, 'Lookup Tables'!$R$6:$T$13, 3, FALSE))))</f>
        <v/>
      </c>
      <c r="BD239" s="270" t="str">
        <f>IF(G239="", "", IF(E239="Exterior", 0, IF('Lighting Inventory'!G239="Air Conditioned", VLOOKUP(H239, 'Lookup Tables'!$R$6:$U$13, 4, FALSE), VLOOKUP('Lighting Inventory'!G239, 'Lookup Tables'!$R$6:$U$13, 4, FALSE))))</f>
        <v/>
      </c>
      <c r="BE239" s="270" t="str">
        <f>IFERROR(IF(B239="", "",  IF(B239="New Construction", VLOOKUP(F239, 'Lookup Tables'!$A$6:$K$59, 11, FALSE),IF(OR(AN239="", AN239="Light Switch"), 0, IF(OR(M239="",M239="None",V239= "LED Exit Signs"),0,_xlfn.XLOOKUP(M239,'Lookup Tables'!$R$91:$R$101,'Lookup Tables'!$V$91:$V$101))))), "")</f>
        <v/>
      </c>
      <c r="BF239" s="270" t="str">
        <f>IF(AND(OR(AN239="Light Switch",AN239=""),B239="New Construction"), VLOOKUP(F239, 'Lookup Tables'!$A$6:$K$59, 11, FALSE),IF(AN239="","",IF(B239="","",IF(OR(AN239="None",AN239="",V239="LED Exit Signs",AN239="Exterior Controls Not Eligible"),0,_xlfn.XLOOKUP(AN239,'Lookup Tables'!$R$91:$R$101,'Lookup Tables'!$V$91:$V$101)))))</f>
        <v/>
      </c>
      <c r="BG239" s="88" t="str">
        <f t="shared" si="559"/>
        <v/>
      </c>
      <c r="BH239" s="88" t="str">
        <f t="shared" si="560"/>
        <v/>
      </c>
      <c r="BI239" s="558" t="str">
        <f t="shared" si="604"/>
        <v/>
      </c>
      <c r="BJ239" s="82" t="str">
        <f t="shared" si="561"/>
        <v/>
      </c>
      <c r="BK239" s="82" t="str">
        <f t="shared" si="562"/>
        <v/>
      </c>
      <c r="BL239" s="559" t="str">
        <f t="shared" si="563"/>
        <v/>
      </c>
      <c r="BM239" s="521" t="str">
        <f t="shared" si="508"/>
        <v/>
      </c>
      <c r="BN239" s="521" t="str">
        <f t="shared" si="509"/>
        <v/>
      </c>
      <c r="BO239" s="522" t="str">
        <f t="shared" si="510"/>
        <v/>
      </c>
      <c r="BP239" s="83" t="str">
        <f t="shared" si="564"/>
        <v/>
      </c>
      <c r="BQ239" s="84" t="str">
        <f t="shared" si="565"/>
        <v/>
      </c>
      <c r="BR239" s="184" t="str">
        <f>IFERROR(IF(B239="", "", IF(OR(VLOOKUP(J239, 'Fixture Identities'!$A$6:$L$1023, 3, FALSE)="T12 Linear Fluorescent",VLOOKUP(J239, 'Fixture Identities'!$A$6:$L$1023, 3, FALSE)="T12 U-Tube Fluorescent"), "Y", "N")), "N")</f>
        <v/>
      </c>
      <c r="BS239" s="184" t="str">
        <f t="array" ref="BS239">IFERROR(IF(OR(B239="", V239="", W239=""), "", IF(V239="Custom", "N", IF(OR(W239="Freezer Case Lighting", W239="Refrigerated Case Lighting with Doors"), BT239, IF(B239="Retrofit", INDEX('Lookup Tables'!$AH$6:$AT$102,MATCH(1,('Lookup Tables'!$AH$6:$AH$102=V239)*('Lookup Tables'!$AI$6:$AI$102=W239),FALSE),IF(VLOOKUP(J239, 'Fixture Identities'!$A$6:$B$1023, 2, FALSE)="Incandescent",12, 13)), INDEX('Lookup Tables'!$AH$114:$AS$154,MATCH(1,('Lookup Tables'!$AH$114:$AH$154=V239)*('Lookup Tables'!$AI$114:$AI$154=W239),FALSE),12))))), "N")</f>
        <v/>
      </c>
      <c r="BT239" s="184" t="str">
        <f>IF(J239="", "", IF(AND(OR(W239="Freezer case Lighting", W239="Refrigerated Case Lighting with Doors"),'General Information'!$X$18="LCI"), "N", IF(OR(VLOOKUP(J239, 'Fixture Identities'!$A$6:$B$1023, 2, FALSE)="T12 EPACT/EISA Baseline", VLOOKUP(J239, 'Fixture Identities'!$A$6:$B$1023, 2, FALSE)="Linear Fluorescent", VLOOKUP(J239, 'Fixture Identities'!$A$6:$B$1023, 2, FALSE)="U-Tube Fluorescent"), "Y", "N")))</f>
        <v/>
      </c>
      <c r="BU239" s="184" t="str">
        <f>IFERROR(IF(B239="", "", IF(VLOOKUP(J239, 'Fixture Identities'!$A$6:$B$1023, 2, FALSE)="Exit Sign", "Y", "N")), "N")</f>
        <v/>
      </c>
      <c r="BV239" s="184" t="str">
        <f>IF(V239="Exit Signs", IF(VLOOKUP(J239, 'Fixture Identities'!$A$6:$B$1023, 2, FALSE)="Exit Sign", "N", "Y"), "")</f>
        <v/>
      </c>
      <c r="BW239" s="184" t="str">
        <f t="array" ref="BW239">IFERROR(IF(B239="", "", IF(B239="New Construction", "N", INDEX('Lookup Tables'!$AH$6:$AU$102, MATCH(1, ('Lookup Tables'!$AH$6:$AH$102='Lighting Inventory'!V239)*('Lookup Tables'!$AI$6:$AI$102='Lighting Inventory'!W239), 0), 14))), "N")</f>
        <v/>
      </c>
      <c r="BX239" s="598" t="str">
        <f t="shared" si="566"/>
        <v/>
      </c>
      <c r="BY239" s="598" t="str">
        <f t="shared" si="567"/>
        <v/>
      </c>
      <c r="BZ239" s="598" t="str">
        <f t="shared" si="568"/>
        <v/>
      </c>
      <c r="CA239" s="598" t="str">
        <f t="shared" si="569"/>
        <v/>
      </c>
      <c r="CB239" s="269" t="str">
        <f t="shared" si="570"/>
        <v/>
      </c>
      <c r="CC239" s="517" t="str">
        <f t="shared" si="571"/>
        <v/>
      </c>
      <c r="CD239" s="565" t="str">
        <f t="shared" si="511"/>
        <v/>
      </c>
      <c r="CE239" s="368">
        <v>0</v>
      </c>
      <c r="CF239" s="368" t="str" cm="1">
        <f t="array" ref="CF239">IFERROR(IF(V239="Custom", "$0.1 per kWh", IF(B239="New Construction", CONCATENATE("$",INDEX('Lookup Tables'!$AH$114:$AN$154,MATCH(1,('Lookup Tables'!$AH$114:$AH$154='Lighting Inventory'!V239)*('Lookup Tables'!$AI$114:$AI$154='Lighting Inventory'!W239),FALSE),6)," ",INDEX('Lookup Tables'!$AH$114:$AN$154,MATCH(1,('Lookup Tables'!$AH$114:$AH$154='Lighting Inventory'!V239)*('Lookup Tables'!$AI$114:$AI$154='Lighting Inventory'!W239),FALSE),7)), IF(AND(BU239="N", V239="Exit Signs"), "$0.025 per kWh", CONCATENATE("$",INDEX('Lookup Tables'!$AH$6:$AN$102,MATCH(1,('Lookup Tables'!$AH$6:$AH$102='Lighting Inventory'!V239)*('Lookup Tables'!$AI$6:$AI$102='Lighting Inventory'!W239),FALSE),6)," ",INDEX('Lookup Tables'!$AH$6:$AN$102,MATCH(1,('Lookup Tables'!$AH$6:$AH$102='Lighting Inventory'!V239)*('Lookup Tables'!$AI$6:$AI$102='Lighting Inventory'!W239),FALSE),7))))), "")</f>
        <v/>
      </c>
      <c r="CG239" s="366"/>
      <c r="CH239" s="248" t="str">
        <f t="shared" si="512"/>
        <v/>
      </c>
      <c r="CI239" s="248" t="str">
        <f t="shared" si="513"/>
        <v>Select_IE</v>
      </c>
      <c r="CJ239" s="248" t="str">
        <f t="shared" si="514"/>
        <v/>
      </c>
      <c r="CK239" s="248" t="str">
        <f t="shared" si="515"/>
        <v/>
      </c>
      <c r="CL239" s="248" t="str">
        <f t="shared" si="516"/>
        <v/>
      </c>
      <c r="CM239" s="248" t="str">
        <f>IFERROR(IF(B239="", "", IF(B239="New Construction", VLOOKUP(V239, 'Lookup Tables'!$AF$114:$AG$120, 2, FALSE), VLOOKUP(V239, 'Lookup Tables'!$AD$6:$AE$25, 2, FALSE))), "")</f>
        <v/>
      </c>
      <c r="CN239" s="248" t="str">
        <f t="shared" si="517"/>
        <v/>
      </c>
      <c r="CO239" s="248" t="str">
        <f t="shared" si="518"/>
        <v/>
      </c>
      <c r="CP239" s="592" t="str">
        <f t="shared" si="519"/>
        <v/>
      </c>
      <c r="CQ239" s="248" t="str">
        <f t="shared" si="572"/>
        <v/>
      </c>
      <c r="CR239" s="100"/>
      <c r="CS239" s="250" t="str">
        <f t="shared" si="520"/>
        <v/>
      </c>
      <c r="CT239" s="250" t="str">
        <f t="shared" si="573"/>
        <v/>
      </c>
      <c r="CU239" s="250" t="str">
        <f t="shared" si="574"/>
        <v/>
      </c>
      <c r="CV239" s="250" t="str">
        <f t="shared" si="575"/>
        <v/>
      </c>
      <c r="CW239" s="250" t="str">
        <f t="shared" si="576"/>
        <v/>
      </c>
      <c r="CX239" s="250" t="str">
        <f t="shared" si="521"/>
        <v/>
      </c>
      <c r="CY239" s="250" t="str">
        <f t="shared" si="522"/>
        <v/>
      </c>
      <c r="CZ239" s="250" t="str">
        <f t="shared" si="523"/>
        <v/>
      </c>
      <c r="DA239" s="250" t="str">
        <f t="shared" si="524"/>
        <v/>
      </c>
      <c r="DB239" s="250" t="str">
        <f t="shared" si="525"/>
        <v/>
      </c>
      <c r="DC239" s="250" t="str">
        <f t="shared" si="526"/>
        <v/>
      </c>
      <c r="DD239" s="250" t="str">
        <f t="shared" si="527"/>
        <v/>
      </c>
      <c r="DE239" s="250" t="str">
        <f t="shared" si="528"/>
        <v/>
      </c>
      <c r="DF239" s="250" t="str">
        <f t="shared" si="529"/>
        <v/>
      </c>
      <c r="DG239" s="250" t="str">
        <f t="shared" si="530"/>
        <v/>
      </c>
      <c r="DH239" s="250" t="str">
        <f t="shared" si="531"/>
        <v/>
      </c>
      <c r="DI239" s="250" t="str">
        <f t="shared" si="532"/>
        <v/>
      </c>
      <c r="DJ239" s="250" t="str">
        <f t="shared" si="533"/>
        <v/>
      </c>
      <c r="DK239" s="250" t="str">
        <f t="shared" si="534"/>
        <v/>
      </c>
      <c r="DL239" s="250" t="str">
        <f t="shared" si="535"/>
        <v/>
      </c>
      <c r="DM239" s="250" t="str">
        <f>IF(CD239="ERROR", "ERROR", IF(AND(OR(Y239=$DM$6, Y239='Lookup Tables'!$AD$21, Y239='Lookup Tables'!$AD$22), E239="Interior"), BJ239, ""))</f>
        <v/>
      </c>
      <c r="DN239" s="250" t="str">
        <f>IF(CD239="ERROR", "ERROR", IF(AND(OR(Y239=$DM$6, Y239='Lookup Tables'!$AD$21, Y239='Lookup Tables'!$AD$22), E239="Exterior"), BJ239, ""))</f>
        <v/>
      </c>
      <c r="DO239" s="100"/>
      <c r="DP239" s="250" t="str">
        <f t="shared" si="536"/>
        <v/>
      </c>
      <c r="DQ239" s="250" t="str">
        <f t="shared" si="577"/>
        <v/>
      </c>
      <c r="DR239" s="250" t="str">
        <f t="shared" si="578"/>
        <v/>
      </c>
      <c r="DS239" s="250" t="str">
        <f t="shared" si="579"/>
        <v/>
      </c>
      <c r="DT239" s="250" t="str">
        <f t="shared" si="580"/>
        <v/>
      </c>
      <c r="DU239" s="250" t="str">
        <f t="shared" si="537"/>
        <v/>
      </c>
      <c r="DV239" s="250" t="str">
        <f t="shared" si="538"/>
        <v/>
      </c>
      <c r="DW239" s="250" t="str">
        <f t="shared" si="539"/>
        <v/>
      </c>
      <c r="DX239" s="250" t="str">
        <f t="shared" si="540"/>
        <v/>
      </c>
      <c r="DY239" s="250" t="str">
        <f t="shared" si="541"/>
        <v/>
      </c>
      <c r="DZ239" s="250" t="str">
        <f t="shared" si="542"/>
        <v/>
      </c>
      <c r="EA239" s="250" t="str">
        <f t="shared" si="543"/>
        <v/>
      </c>
      <c r="EB239" s="250" t="str">
        <f t="shared" si="581"/>
        <v/>
      </c>
      <c r="EC239" s="250" t="str">
        <f t="shared" si="544"/>
        <v/>
      </c>
      <c r="ED239" s="250" t="str">
        <f t="shared" si="545"/>
        <v/>
      </c>
      <c r="EE239" s="250" t="str">
        <f t="shared" si="546"/>
        <v/>
      </c>
      <c r="EF239" s="250" t="str">
        <f t="shared" si="547"/>
        <v/>
      </c>
      <c r="EG239" s="250" t="str">
        <f t="shared" si="548"/>
        <v/>
      </c>
      <c r="EH239" s="250" t="str">
        <f>IF(CD239="ERROR", "ERROR", IF(AND(OR($EH$6=Y239, Y239='Lookup Tables'!$AD$21, Y239='Lookup Tables'!$AD$22),E239="Interior"), SUM(BP239:BP239), ""))</f>
        <v/>
      </c>
      <c r="EI239" s="250" t="str">
        <f>IF(CD239="ERROR", "ERROR", IF(AND(OR($EH$6=Y239, Y239='Lookup Tables'!$AD$21, Y239='Lookup Tables'!$AD$22),E239="Exterior"), SUM(BP239:BP239), ""))</f>
        <v/>
      </c>
      <c r="EJ239" s="109"/>
      <c r="EK239" s="485" t="str">
        <f t="shared" si="549"/>
        <v/>
      </c>
      <c r="EL239" s="252" t="str">
        <f t="shared" si="582"/>
        <v/>
      </c>
      <c r="EM239" s="252" t="str">
        <f t="shared" si="583"/>
        <v/>
      </c>
      <c r="EN239" s="252" t="str">
        <f t="shared" si="584"/>
        <v/>
      </c>
      <c r="EO239" s="252" t="str">
        <f t="shared" si="585"/>
        <v/>
      </c>
      <c r="EP239" s="252" t="str">
        <f t="shared" si="586"/>
        <v/>
      </c>
      <c r="EQ239" s="252" t="str">
        <f t="shared" si="587"/>
        <v/>
      </c>
      <c r="ER239" s="252" t="str">
        <f t="shared" si="588"/>
        <v/>
      </c>
      <c r="ES239" s="252" t="str">
        <f t="shared" si="589"/>
        <v/>
      </c>
      <c r="ET239" s="252" t="str">
        <f t="shared" si="590"/>
        <v/>
      </c>
      <c r="EU239" s="252" t="str">
        <f t="shared" si="591"/>
        <v/>
      </c>
      <c r="EV239" s="252" t="str">
        <f t="shared" si="592"/>
        <v/>
      </c>
      <c r="EW239" s="252" t="str">
        <f t="shared" si="593"/>
        <v/>
      </c>
      <c r="EX239" s="252" t="str">
        <f t="shared" si="594"/>
        <v/>
      </c>
      <c r="EY239" s="252" t="str">
        <f t="shared" si="595"/>
        <v/>
      </c>
      <c r="EZ239" s="252" t="str">
        <f t="shared" si="596"/>
        <v/>
      </c>
      <c r="FA239" s="252" t="str">
        <f t="shared" si="597"/>
        <v/>
      </c>
      <c r="FB239" s="252" t="str">
        <f t="shared" si="598"/>
        <v/>
      </c>
      <c r="FC239" s="252" t="str">
        <f>IF(CD239="ERROR", "ERROR", IF(OR(V239="No Change", V239="Not DLC or Energy Star"), "", IF(AND(OR($FC$6=Y239,Y239='Lookup Tables'!$AD$21, Y239='Lookup Tables'!$AD$22),E239="Interior"), S239, "")))</f>
        <v/>
      </c>
      <c r="FD239" s="252" t="str">
        <f t="shared" si="599"/>
        <v/>
      </c>
      <c r="FE239" s="101"/>
      <c r="FF239" s="579" t="str" cm="1">
        <f t="array" ref="FF239">IFERROR(IF(OR(BQ239&lt;=0,AQ239&lt;20,AND(V239="Exit Signs",AN239&gt;0)),"",IF(AND(AQ239&gt;=20,AN239='Lookup Tables'!$R$101),'Lookup Tables'!$U$101*BQ239,AP239*LOOKUP(2,1/((AN239='Lookup Tables'!$R$91:$R$111)*(AQ239&gt;='Lookup Tables'!$S$91:$S$111)*(AQ239&lt;='Lookup Tables'!$T$91:$T$111)),'Lookup Tables'!$U$91:$U$111))),"")</f>
        <v/>
      </c>
      <c r="FG239" s="579"/>
      <c r="FH239" s="579"/>
      <c r="FI239" s="253" t="str">
        <f>IFERROR(ROUND(IF(CD239="ERROR", "ERROR", IF(AND($FI$7=X239,E239="Interior"),VLOOKUP(W239, 'Lookup Tables'!$AI$6:$AM$102, 5, FALSE)*BP239, "")), 2), "")</f>
        <v/>
      </c>
      <c r="FJ239" s="253" t="str">
        <f>IFERROR(ROUND(IF(CD239="ERROR", "ERROR", IF(AND($FI$7=X239,E239="Exterior"),VLOOKUP(W239, 'Lookup Tables'!$AI$6:$AM$102, 5, FALSE)*BP239, "")), 2), "")</f>
        <v/>
      </c>
      <c r="FK239" s="253" t="str">
        <f>IFERROR(ROUND(IF(CD239="ERROR", "ERROR", IF(AND($FK$7=X239,E239="Interior"),VLOOKUP(W239, 'Lookup Tables'!$AI$6:$AM$102, 5, FALSE)*BP239, "")), 2), "")</f>
        <v/>
      </c>
      <c r="FL239" s="253" t="str">
        <f>IFERROR(ROUND(IF(CD239="ERROR", "ERROR", IF(AND($FK$7=X239,E239="Exterior"),VLOOKUP(W239, 'Lookup Tables'!$AI$6:$AM$102, 5, FALSE)*BP239, "")), 2), "")</f>
        <v/>
      </c>
      <c r="FM239" s="253" t="str">
        <f>IFERROR(ROUND(IF(CD239="ERROR", "ERROR", IF(AND($FM$6=Y239,E239="Interior"), IF(GB239=0, VLOOKUP(W239, 'Lookup Tables'!$AI$6:$AM$102, 5, FALSE)*BP239, IF(VLOOKUP(W239, 'Lookup Tables'!$AI$6:$AM$102, 5, FALSE)*BP239&gt;GB239*'Lighting Inventory'!S239, GB239*'Lighting Inventory'!S239,VLOOKUP(W239, 'Lookup Tables'!$AI$6:$AM$102, 5, FALSE)*BP239)), "")), 2), "")</f>
        <v/>
      </c>
      <c r="FN239" s="253" t="str">
        <f>IFERROR(ROUND(IF(CD239="ERROR", "ERROR", IF(AND($FM$6=Y239,E239="Exterior"), IF(GB239=0, VLOOKUP(W239, 'Lookup Tables'!$AI$6:$AM$102, 5, FALSE)*BP239, IF(VLOOKUP(W239, 'Lookup Tables'!$AI$6:$AM$102, 5, FALSE)*BP239&gt;GB239*'Lighting Inventory'!S239, GB239*'Lighting Inventory'!S239,VLOOKUP(W239, 'Lookup Tables'!$AI$6:$AM$102, 5, FALSE)*BP239)), "")), 2), "")</f>
        <v/>
      </c>
      <c r="FO239" s="253" t="str">
        <f>IFERROR(ROUND(IF(CD239="ERROR", "ERROR", IF(AND($FO$6=Y239,E239="Interior"),VLOOKUP(W239, 'Lookup Tables'!$AI$6:$AM$102, 5, FALSE)*'Lighting Inventory'!AI239, "")), 2), "")</f>
        <v/>
      </c>
      <c r="FP239" s="253" t="str">
        <f>IFERROR(ROUND(IF(CD239="ERROR", "ERROR", IF(AND($FO$6=Y239,E239="Exterior"),VLOOKUP(W239, 'Lookup Tables'!$AI$6:$AM$102, 5, FALSE)*'Lighting Inventory'!AI239, "")), 2), "")</f>
        <v/>
      </c>
      <c r="FQ239" s="253" t="str">
        <f>IFERROR(ROUND(IF(CD239="ERROR", "ERROR", IF(AND($FQ$6=Y239,E239="Interior", BU239="Y"), VLOOKUP('Lighting Inventory'!W239, 'Lookup Tables'!$AI$6:$AM$102, 5, FALSE)*'Lighting Inventory'!S239, IF(AND($FQ$7=Y239,E239="Interior", BU239="N"), 0.025*CD239, ""))), 2), "")</f>
        <v/>
      </c>
      <c r="FR239" s="253" t="str">
        <f>IFERROR(ROUND(IF(CD239="ERROR", "ERROR", IF(AND($FQ$6=Y239,E239="Exterior"), VLOOKUP('Lighting Inventory'!W239, 'Lookup Tables'!$AI$6:$AM$102, 5, FALSE)*'Lighting Inventory'!S239, "")), 2), "")</f>
        <v/>
      </c>
      <c r="FS239" s="253" t="str">
        <f>IFERROR(ROUND(IF(CD239="ERROR", "ERROR", IF(AND($FS$6=Y239,E239="Exterior"), IF(GB239=0, VLOOKUP(W239, 'Lookup Tables'!$AI$6:$AM$102, 5, FALSE)*BP239, IF(VLOOKUP(W239, 'Lookup Tables'!$AI$6:$AM$102, 5, FALSE)*BP239&gt;GB239*'Lighting Inventory'!S239, GB239*'Lighting Inventory'!S239,VLOOKUP(W239, 'Lookup Tables'!$AI$6:$AM$102, 5, FALSE)*BP239)), "")), 2), "")</f>
        <v/>
      </c>
      <c r="FT239" s="253" t="str">
        <f>IFERROR(ROUND(IF(CD239="ERROR", "ERROR", IF(AND($FT$6=Y239,E239="Interior"), IF(GB239=0, VLOOKUP(W239, 'Lookup Tables'!$AI$6:$AM$102, 5, FALSE)*BP239, IF(VLOOKUP(W239, 'Lookup Tables'!$AI$6:$AM$102, 5, FALSE)*BP239&gt;GB239*'Lighting Inventory'!S239, GB239*'Lighting Inventory'!S239,VLOOKUP(W239, 'Lookup Tables'!$AI$6:$AM$102, 5, FALSE)*BP239)), "")), 2), "")</f>
        <v/>
      </c>
      <c r="FU239" s="253" t="str">
        <f>IFERROR(ROUND(IF(CD239="ERROR", "ERROR", IF(AND(Y239=$FU$6, E239="Interior"), IF(BS239="N", 'Lookup Tables'!$AM$101*BP239, VLOOKUP(W239, 'Lookup Tables'!$AI$6:$AM$102, 5, FALSE)*S239*AD239), "")), 2), "")</f>
        <v/>
      </c>
      <c r="FV239" s="253" t="str">
        <f>IFERROR(ROUND(IF(CD239="ERROR", "ERROR", IF(AND(Y239=$FU$6, E239="Exterior"), IF(BS239="N", 'Lookup Tables'!$AM$101*BP239, VLOOKUP(W239, 'Lookup Tables'!$AI$6:$AM$102, 5, FALSE)*S239*AD239), "")), 2), "")</f>
        <v/>
      </c>
      <c r="FW239" s="253" t="str">
        <f>IFERROR(ROUND(IF(CD239="ERROR", "ERROR", IF($FW$6=Y239, IF(BS239="N", 'Lookup Tables'!$AM$101*BP239, MIN((VLOOKUP(W239, 'Lookup Tables'!$AI$6:$AM$102, 5, FALSE)*BP239),GB239*AJ239)), "")), 2), "")</f>
        <v/>
      </c>
      <c r="FX239" s="253" t="str">
        <f>IFERROR(ROUND(IF(CD239="ERROR", "ERROR", IF(AND($FX$6=Y239, E239="Interior"), IF(VLOOKUP(W239, 'Lookup Tables'!$AI$6:$AM$102, 5, FALSE)*BP239&gt;'Lookup Tables'!$AQ$97*'Lighting Inventory'!S239,'Lighting Inventory'!S239*'Lookup Tables'!$AQ$97,VLOOKUP(W239, 'Lookup Tables'!$AI$6:$AM$102, 5, FALSE)*BP239), "")), 2), "")</f>
        <v/>
      </c>
      <c r="FY239" s="253" t="str">
        <f>IFERROR(ROUND(IF(CD239="ERROR", "ERROR", IF(AND($FX$6=Y239, E239="Exterior"), IF(VLOOKUP(W239, 'Lookup Tables'!$AI$6:$AM$102, 5, FALSE)*BP239&gt;'Lookup Tables'!$AQ$97*'Lighting Inventory'!S239,'Lighting Inventory'!S239*'Lookup Tables'!$AQ$97,VLOOKUP(W239, 'Lookup Tables'!$AI$6:$AM$102, 5, FALSE)*BP239), "")), 2), "")</f>
        <v/>
      </c>
      <c r="FZ239" s="253" t="str">
        <f>IFERROR(ROUND(IF(CD239="ERROR", "ERROR", IF(AND($FZ$6=Y239, E239="Interior"), IF(AND(OR(W239="Refrigerated Case Lighting with Doors", W239="Freezer Case Lighting"),Y239="Custom - Process Improvement"),CD239*'Lookup Tables'!$AM$101, IF(B239="Retrofit", IF(VLOOKUP(IF(V239="Custom", V239, W239), 'Lookup Tables'!$AI$6:$AM$102, 5, FALSE)*BP239&gt;GE239, GE239, VLOOKUP(IF(V239="Custom", V239, W239), 'Lookup Tables'!$AI$6:$AM$102, 5, FALSE)*BP239), IF(VLOOKUP(IF(V239="Custom", V239, W239), 'Lookup Tables'!$AI$114:$AM$154, 5, FALSE)*BP239&gt;GE239, GE239, VLOOKUP(IF(V239="Custom", V239, W239), 'Lookup Tables'!$AI$114:$AM$154, 5, FALSE)*BP239))), "")), 2),"")</f>
        <v/>
      </c>
      <c r="GA239" s="253" t="str">
        <f>IFERROR(ROUND(IF(CD239="ERROR", "ERROR", IF(AND($FZ$6=Y239, E239="Exterior"), IF(B239="Retrofit", IF(VLOOKUP(IF(V239="Custom", V239, W239), 'Lookup Tables'!$AI$6:$AM$102, 5, FALSE)*BP239&gt;GE239, GE239, VLOOKUP(IF(V239="Custom", V239, W239), 'Lookup Tables'!$AI$6:$AM$102, 5, FALSE)*BP239), IF(VLOOKUP(IF(V239="Custom", V239, W239), 'Lookup Tables'!$AI$114:$AM$154, 5, FALSE)*BP239&gt;GE239, GE239, VLOOKUP(IF(V239="Custom", V239, W239), 'Lookup Tables'!$AI$114:$AM$154, 5, FALSE)*BP239)), "")), 2),"")</f>
        <v/>
      </c>
      <c r="GB239" s="254" t="str">
        <f t="array" ref="GB239">IF(B239="","",IF(OR(V239="Custom",V239="No Change"),0,IF(B239="Retrofit", INDEX('Lookup Tables'!$AH$6:$AQ$102,MATCH(1,('Lookup Tables'!$AH$6:$AH$102='Lighting Inventory'!V239)*('Lookup Tables'!$AI$6:$AI$102='Lighting Inventory'!W239),FALSE),10),INDEX('Lookup Tables'!$AH$114:$AQ$154,MATCH(1,('Lookup Tables'!$AH$114:$AH$154='Lighting Inventory'!V239)*('Lookup Tables'!$AI$114:$AI$154='Lighting Inventory'!W239),FALSE),10))))</f>
        <v/>
      </c>
      <c r="GC239" s="255" t="str">
        <f t="shared" si="550"/>
        <v/>
      </c>
      <c r="GD239" s="250" t="str">
        <f t="shared" si="551"/>
        <v/>
      </c>
      <c r="GE239" s="253" t="str">
        <f>IFERROR(IF(AND(AF239="", 'General Information'!$F$18="No"),"", IF(AF239="", ((GD239/$CD$266)*$CF$266)*0.5, AF239*S239*0.5)), "")</f>
        <v/>
      </c>
      <c r="GF239" s="255" t="str">
        <f>IF(AND('General Information'!$F$19="", 'General Information'!$F$18="Yes",AF239="",BW239="Y"), "Y", "N")</f>
        <v>N</v>
      </c>
      <c r="GG239" s="255" t="s">
        <v>2946</v>
      </c>
      <c r="GH239" s="255" t="str">
        <f>IFERROR(IF(B239="", "", VLOOKUP(J239, 'Fixture Identities'!$A$6:$N$908, 14, FALSE)), "")</f>
        <v/>
      </c>
      <c r="GI239" s="389" t="str">
        <f>IF(OR(B239="", V239="", W239=""), "", IF(AND(OR(M239='Lookup Tables'!$R$18, M239='Lookup Tables'!$R$19, M239='Lookup Tables'!$R$20, M239='Lookup Tables'!$R$21, M239='Lookup Tables'!$R$22), OR(AN239='Lookup Tables'!$R$17, AN239='Lookup Tables'!$R$17, AN239="")), "Y", "N"))</f>
        <v/>
      </c>
      <c r="GJ239" s="255" t="str">
        <f t="shared" si="552"/>
        <v/>
      </c>
      <c r="GK239" s="255" t="str">
        <f t="shared" si="553"/>
        <v/>
      </c>
      <c r="GL239" s="255" t="str">
        <f t="shared" si="554"/>
        <v/>
      </c>
      <c r="GM239" s="255" t="str">
        <f>IF(AN239="", "", IF(AND(IF(ISNA(VLOOKUP(AN239,'Lookup Tables'!$R$18:$R$22,1,FALSE)), "N", "Y")="Y", E239="Exterior"), "Y", "N"))</f>
        <v/>
      </c>
      <c r="GN239" s="395"/>
      <c r="GO239" s="428">
        <f t="shared" si="600"/>
        <v>0</v>
      </c>
      <c r="GP239" s="428">
        <f t="shared" si="603"/>
        <v>0</v>
      </c>
      <c r="GQ239" s="428">
        <f t="shared" si="601"/>
        <v>0</v>
      </c>
      <c r="GR239" s="428">
        <f t="shared" si="602"/>
        <v>0</v>
      </c>
    </row>
    <row r="240" spans="1:200" s="103" customFormat="1" ht="13.5" customHeight="1" x14ac:dyDescent="0.2">
      <c r="A240" s="272">
        <v>230</v>
      </c>
      <c r="B240" s="110"/>
      <c r="C240" s="110"/>
      <c r="D240" s="110"/>
      <c r="E240" s="110"/>
      <c r="F240" s="110"/>
      <c r="G240" s="110"/>
      <c r="H240" s="110"/>
      <c r="I240" s="29"/>
      <c r="J240" s="29"/>
      <c r="K240" s="272" t="str">
        <f>IFERROR(IF(OR(VLOOKUP(J240, 'Fixture Identities'!$A$6:$L$1023, 3, FALSE)="T12 Linear Fluorescent", VLOOKUP(J240, 'Fixture Identities'!$A$6:$L$1023, 3, FALSE)="T12 U-Tube Fluorescent"), VLOOKUP(VLOOKUP(J240, 'Fixture Identities'!$A$6:$L$1023, 11, FALSE), 'Fixture Identities'!$A$6:$L$1023, 10, FALSE), VLOOKUP(J240, 'Fixture Identities'!$A$6:$L$1023, 10, FALSE)), "")</f>
        <v/>
      </c>
      <c r="L240" s="270" t="str">
        <f t="shared" si="605"/>
        <v/>
      </c>
      <c r="M240" s="110"/>
      <c r="N240" s="110"/>
      <c r="O240" s="110"/>
      <c r="P240" s="272" t="str">
        <f>IFERROR(IF(OR(B240="Retrofit",B240=""),"",IF('Lighting Inventory'!E240="Exterior",VLOOKUP('Lighting Inventory'!N240,'Lookup Tables'!$B$83:$F$103,5,FALSE),IF(N240="Other - Please Estimate EFLH and CFs","Contact Prog. Rep.","ft^2"))), "")</f>
        <v/>
      </c>
      <c r="Q240" s="270" t="str">
        <f>IFERROR(IF(AND(B240="New Construction",E240="Interior",$F$5="Space-by-Space"),VLOOKUP('Lighting Inventory'!N240,'Lookup Tables'!$N$6:$O$97,2,FALSE),IF(AND(B240="New Construction",E240="Exterior"),VLOOKUP(N240,'Lookup Tables'!$B$83:$F$103,2,FALSE),IF(AND(B240="New Construction",'Lighting Inventory'!E240="Interior", $F$5="Building Area"),VLOOKUP(F240,'Lookup Tables'!$A$6:$J$59,10,FALSE),""))), "")</f>
        <v/>
      </c>
      <c r="R240" s="270" t="str">
        <f>IFERROR(IF(P240="Contact Prog. Rep.", "ERROR", IF(OR(B240="",B240="Retrofit"),"",IF(N240="Automated teller machines", ('Lookup Tables'!$A$82:$E$100+('Lighting Inventory'!O240-1)*'Lookup Tables'!$A$82:$E$100)/1000, (Q240*O240)/1000))), "")</f>
        <v/>
      </c>
      <c r="S240" s="595"/>
      <c r="T240" s="105" t="str">
        <f t="shared" si="555"/>
        <v/>
      </c>
      <c r="U240" s="105" t="str">
        <f>IF(S240="","",COUNT($S$11:S240))</f>
        <v/>
      </c>
      <c r="V240" s="111"/>
      <c r="W240" s="112"/>
      <c r="X240" s="105" t="str">
        <f t="shared" si="556"/>
        <v/>
      </c>
      <c r="Y240" s="105" t="str">
        <f t="array" ref="Y240">IF(AND(OR(W240="Freezer Case Lighting", W240="Refrigerated Case Lighting with Doors"), 'General Information'!$X$18="LCI"),'Lookup Tables'!$Y$34, IF(V240="Custom", VLOOKUP(W240, 'Fixture Identities'!$A$974:$M$1023, 13, FALSE), IF(V240="No Change",'Lookup Tables'!$Y$29,IF(OR(V240="",W240=""),"",IF(AND(S240=0,S240&lt;I240,B240="Retrofit"),'Lookup Tables'!$Y$25, IF(B240="Retrofit", INDEX('Lookup Tables'!$AH$6:$AP$102, MATCH(1, ('Lookup Tables'!$AH$6:$AH$102=V240)*('Lookup Tables'!$AI$6:$AI$102=W240), 0), IF('Lighting Inventory'!E240="Interior", 4, 5)), INDEX('Lookup Tables'!$AH$114:$AP$154, MATCH(1, ('Lookup Tables'!$AH$114:$AH$154=V240)*('Lookup Tables'!$AI$114:$AI$154=W240), 0), IF('Lighting Inventory'!E240="Interior", 4, 5))))))))</f>
        <v/>
      </c>
      <c r="Z240" s="105" t="str">
        <f>IFERROR(INDEX('Lookup Tables'!$AH$158:$AH$172,MATCH('Lighting Inventory'!Y240,'Lookup Tables'!$AI$158:$AI$172,0)),"")</f>
        <v/>
      </c>
      <c r="AA240" s="105" t="str">
        <f>IF(AP240&gt;0,INDEX('Lookup Tables'!$AK$158:$AK$172,MATCH('Lighting Inventory'!Y240,'Lookup Tables'!$AI$158:$AI$172,0)),'Lighting Inventory'!Y240)</f>
        <v/>
      </c>
      <c r="AB240" s="105" t="str">
        <f t="array" ref="AB240">IF(V240="Custom", "Custom", IF(V240="", "", IF(V240="Not DLC or Energy Star", "General", IF(B240="New Construction", INDEX('Lookup Tables'!$AH$114:$AP$154,MATCH(1,('Lookup Tables'!$AH$114:$AH$154='Lighting Inventory'!V240)*('Lookup Tables'!$AI$114:$AI$154='Lighting Inventory'!W240),FALSE),8), INDEX('Lookup Tables'!$AH$6:$AP$102,MATCH(1,('Lookup Tables'!$AH$6:$AH$102='Lighting Inventory'!V240)*('Lookup Tables'!$AI$6:$AI$102='Lighting Inventory'!W240),FALSE),8)))))</f>
        <v/>
      </c>
      <c r="AC240" s="272" t="str">
        <f>IF(W240="","",IF(V240="Custom",CONCATENATE("$",'Lookup Tables'!$AM$101," ",'Lookup Tables'!$AN$101),CONCATENATE("$",INDEX('Lookup Tables'!$AM$6:$AM$102,MATCH('Lighting Inventory'!W240,'Lookup Tables'!$AI$6:$AI$102,0))," ",INDEX('Lookup Tables'!$AN$6:$AN$102,MATCH('Lighting Inventory'!W240,'Lookup Tables'!$AI$6:$AI$102,0)))))</f>
        <v/>
      </c>
      <c r="AD240" s="72"/>
      <c r="AE240" s="29"/>
      <c r="AF240" s="379"/>
      <c r="AG240" s="370" t="str">
        <f t="shared" si="504"/>
        <v/>
      </c>
      <c r="AH240" s="370" t="str">
        <f t="shared" si="557"/>
        <v/>
      </c>
      <c r="AI240" s="29"/>
      <c r="AJ240" s="29"/>
      <c r="AK240" s="110"/>
      <c r="AL240" s="375" t="str">
        <f>IF(OR(B240="", V240="", W240=""), "", IF(V240="No Change", K240, IF(V240="Remove Fixture", 0, IF(V240="Custom",VLOOKUP(W240,'Fixture Identities'!$A$6:$K$1023,10,FALSE),IF(AE240="", "← ENTER POST WATTS", 'Lighting Inventory'!AE240)))))</f>
        <v/>
      </c>
      <c r="AM240" s="376" t="str">
        <f t="shared" si="505"/>
        <v/>
      </c>
      <c r="AN240" s="29"/>
      <c r="AO240" s="671"/>
      <c r="AP240" s="29"/>
      <c r="AQ240" s="29"/>
      <c r="AR240" s="29"/>
      <c r="AS240" s="272" t="str">
        <f t="shared" si="558"/>
        <v/>
      </c>
      <c r="AT240" s="270" t="str">
        <f t="shared" si="506"/>
        <v/>
      </c>
      <c r="AU240" s="88" t="str">
        <f t="shared" si="606"/>
        <v/>
      </c>
      <c r="AV240" s="29"/>
      <c r="AW240" s="73"/>
      <c r="AX240" s="271" t="str">
        <f>IF(AND(AV240="Applicant",OR(AW240="", AW240="Use Default Facility Hours")),"← Choose Schedule",IF(F240="","",IF(W240="LED Exit Signs",8760,IF(OR(AV240="Prescribed",AV240=""),VLOOKUP(F240,'Lookup Tables'!$A$6:$G$59,IF(AB240="General", 6, 3),FALSE),VLOOKUP(AW240,'Lookup Tables'!$S$36:$U$43,2,FALSE)))))</f>
        <v/>
      </c>
      <c r="AY240" s="88" t="str">
        <f t="shared" si="507"/>
        <v/>
      </c>
      <c r="AZ240" s="270" t="str">
        <f>IFERROR(IF(F240="", "", IF(W240="LED Exit Signs", 1, IF(AV240="Applicant",VLOOKUP(AW240, 'Lookup Tables'!$S$36:$U$43,3, FALSE), VLOOKUP('Lighting Inventory'!F240, 'Lookup Tables'!$A$6:$H$59, IF('Lighting Inventory'!AB240="General",7,4), FALSE)))), "")</f>
        <v/>
      </c>
      <c r="BA240" s="522" t="str">
        <f>IFERROR(IF(F240="", "", IF(W240="LED Exit Signs", 1, VLOOKUP('Lighting Inventory'!F240, 'Lookup Tables'!$A$6:$H$59, IF('Lighting Inventory'!AB240="General",8,5), FALSE))), "")</f>
        <v/>
      </c>
      <c r="BB240" s="270" t="str">
        <f>IF(G240="", "", IF(E240="Exterior", 0, IF('Lighting Inventory'!G240="Air Conditioned", VLOOKUP(H240, 'Lookup Tables'!$R$6:$T$13, 2, FALSE), VLOOKUP('Lighting Inventory'!G240, 'Lookup Tables'!$R$6:$T$13, 2, FALSE))))</f>
        <v/>
      </c>
      <c r="BC240" s="522" t="str">
        <f>IF(G240="", "", IF(E240="Exterior", 0, IF('Lighting Inventory'!G240="Air Conditioned", VLOOKUP(H240, 'Lookup Tables'!$R$6:$T$13, 3, FALSE), VLOOKUP('Lighting Inventory'!G240, 'Lookup Tables'!$R$6:$T$13, 3, FALSE))))</f>
        <v/>
      </c>
      <c r="BD240" s="270" t="str">
        <f>IF(G240="", "", IF(E240="Exterior", 0, IF('Lighting Inventory'!G240="Air Conditioned", VLOOKUP(H240, 'Lookup Tables'!$R$6:$U$13, 4, FALSE), VLOOKUP('Lighting Inventory'!G240, 'Lookup Tables'!$R$6:$U$13, 4, FALSE))))</f>
        <v/>
      </c>
      <c r="BE240" s="270" t="str">
        <f>IFERROR(IF(B240="", "",  IF(B240="New Construction", VLOOKUP(F240, 'Lookup Tables'!$A$6:$K$59, 11, FALSE),IF(OR(AN240="", AN240="Light Switch"), 0, IF(OR(M240="",M240="None",V240= "LED Exit Signs"),0,_xlfn.XLOOKUP(M240,'Lookup Tables'!$R$91:$R$101,'Lookup Tables'!$V$91:$V$101))))), "")</f>
        <v/>
      </c>
      <c r="BF240" s="270" t="str">
        <f>IF(AND(OR(AN240="Light Switch",AN240=""),B240="New Construction"), VLOOKUP(F240, 'Lookup Tables'!$A$6:$K$59, 11, FALSE),IF(AN240="","",IF(B240="","",IF(OR(AN240="None",AN240="",V240="LED Exit Signs",AN240="Exterior Controls Not Eligible"),0,_xlfn.XLOOKUP(AN240,'Lookup Tables'!$R$91:$R$101,'Lookup Tables'!$V$91:$V$101)))))</f>
        <v/>
      </c>
      <c r="BG240" s="88" t="str">
        <f t="shared" si="559"/>
        <v/>
      </c>
      <c r="BH240" s="88" t="str">
        <f t="shared" si="560"/>
        <v/>
      </c>
      <c r="BI240" s="558" t="str">
        <f t="shared" si="604"/>
        <v/>
      </c>
      <c r="BJ240" s="82" t="str">
        <f t="shared" si="561"/>
        <v/>
      </c>
      <c r="BK240" s="82" t="str">
        <f t="shared" si="562"/>
        <v/>
      </c>
      <c r="BL240" s="559" t="str">
        <f t="shared" si="563"/>
        <v/>
      </c>
      <c r="BM240" s="521" t="str">
        <f t="shared" si="508"/>
        <v/>
      </c>
      <c r="BN240" s="521" t="str">
        <f t="shared" si="509"/>
        <v/>
      </c>
      <c r="BO240" s="522" t="str">
        <f t="shared" si="510"/>
        <v/>
      </c>
      <c r="BP240" s="83" t="str">
        <f t="shared" si="564"/>
        <v/>
      </c>
      <c r="BQ240" s="84" t="str">
        <f t="shared" si="565"/>
        <v/>
      </c>
      <c r="BR240" s="184" t="str">
        <f>IFERROR(IF(B240="", "", IF(OR(VLOOKUP(J240, 'Fixture Identities'!$A$6:$L$1023, 3, FALSE)="T12 Linear Fluorescent",VLOOKUP(J240, 'Fixture Identities'!$A$6:$L$1023, 3, FALSE)="T12 U-Tube Fluorescent"), "Y", "N")), "N")</f>
        <v/>
      </c>
      <c r="BS240" s="184" t="str">
        <f t="array" ref="BS240">IFERROR(IF(OR(B240="", V240="", W240=""), "", IF(V240="Custom", "N", IF(OR(W240="Freezer Case Lighting", W240="Refrigerated Case Lighting with Doors"), BT240, IF(B240="Retrofit", INDEX('Lookup Tables'!$AH$6:$AT$102,MATCH(1,('Lookup Tables'!$AH$6:$AH$102=V240)*('Lookup Tables'!$AI$6:$AI$102=W240),FALSE),IF(VLOOKUP(J240, 'Fixture Identities'!$A$6:$B$1023, 2, FALSE)="Incandescent",12, 13)), INDEX('Lookup Tables'!$AH$114:$AS$154,MATCH(1,('Lookup Tables'!$AH$114:$AH$154=V240)*('Lookup Tables'!$AI$114:$AI$154=W240),FALSE),12))))), "N")</f>
        <v/>
      </c>
      <c r="BT240" s="184" t="str">
        <f>IF(J240="", "", IF(AND(OR(W240="Freezer case Lighting", W240="Refrigerated Case Lighting with Doors"),'General Information'!$X$18="LCI"), "N", IF(OR(VLOOKUP(J240, 'Fixture Identities'!$A$6:$B$1023, 2, FALSE)="T12 EPACT/EISA Baseline", VLOOKUP(J240, 'Fixture Identities'!$A$6:$B$1023, 2, FALSE)="Linear Fluorescent", VLOOKUP(J240, 'Fixture Identities'!$A$6:$B$1023, 2, FALSE)="U-Tube Fluorescent"), "Y", "N")))</f>
        <v/>
      </c>
      <c r="BU240" s="184" t="str">
        <f>IFERROR(IF(B240="", "", IF(VLOOKUP(J240, 'Fixture Identities'!$A$6:$B$1023, 2, FALSE)="Exit Sign", "Y", "N")), "N")</f>
        <v/>
      </c>
      <c r="BV240" s="184" t="str">
        <f>IF(V240="Exit Signs", IF(VLOOKUP(J240, 'Fixture Identities'!$A$6:$B$1023, 2, FALSE)="Exit Sign", "N", "Y"), "")</f>
        <v/>
      </c>
      <c r="BW240" s="184" t="str">
        <f t="array" ref="BW240">IFERROR(IF(B240="", "", IF(B240="New Construction", "N", INDEX('Lookup Tables'!$AH$6:$AU$102, MATCH(1, ('Lookup Tables'!$AH$6:$AH$102='Lighting Inventory'!V240)*('Lookup Tables'!$AI$6:$AI$102='Lighting Inventory'!W240), 0), 14))), "N")</f>
        <v/>
      </c>
      <c r="BX240" s="598" t="str">
        <f t="shared" si="566"/>
        <v/>
      </c>
      <c r="BY240" s="598" t="str">
        <f t="shared" si="567"/>
        <v/>
      </c>
      <c r="BZ240" s="598" t="str">
        <f t="shared" si="568"/>
        <v/>
      </c>
      <c r="CA240" s="598" t="str">
        <f t="shared" si="569"/>
        <v/>
      </c>
      <c r="CB240" s="269" t="str">
        <f t="shared" si="570"/>
        <v/>
      </c>
      <c r="CC240" s="517" t="str">
        <f t="shared" si="571"/>
        <v/>
      </c>
      <c r="CD240" s="565" t="str">
        <f t="shared" si="511"/>
        <v/>
      </c>
      <c r="CE240" s="368">
        <v>0</v>
      </c>
      <c r="CF240" s="368" t="str" cm="1">
        <f t="array" ref="CF240">IFERROR(IF(V240="Custom", "$0.1 per kWh", IF(B240="New Construction", CONCATENATE("$",INDEX('Lookup Tables'!$AH$114:$AN$154,MATCH(1,('Lookup Tables'!$AH$114:$AH$154='Lighting Inventory'!V240)*('Lookup Tables'!$AI$114:$AI$154='Lighting Inventory'!W240),FALSE),6)," ",INDEX('Lookup Tables'!$AH$114:$AN$154,MATCH(1,('Lookup Tables'!$AH$114:$AH$154='Lighting Inventory'!V240)*('Lookup Tables'!$AI$114:$AI$154='Lighting Inventory'!W240),FALSE),7)), IF(AND(BU240="N", V240="Exit Signs"), "$0.025 per kWh", CONCATENATE("$",INDEX('Lookup Tables'!$AH$6:$AN$102,MATCH(1,('Lookup Tables'!$AH$6:$AH$102='Lighting Inventory'!V240)*('Lookup Tables'!$AI$6:$AI$102='Lighting Inventory'!W240),FALSE),6)," ",INDEX('Lookup Tables'!$AH$6:$AN$102,MATCH(1,('Lookup Tables'!$AH$6:$AH$102='Lighting Inventory'!V240)*('Lookup Tables'!$AI$6:$AI$102='Lighting Inventory'!W240),FALSE),7))))), "")</f>
        <v/>
      </c>
      <c r="CG240" s="366"/>
      <c r="CH240" s="248" t="str">
        <f t="shared" si="512"/>
        <v/>
      </c>
      <c r="CI240" s="248" t="str">
        <f t="shared" si="513"/>
        <v>Select_IE</v>
      </c>
      <c r="CJ240" s="248" t="str">
        <f t="shared" si="514"/>
        <v/>
      </c>
      <c r="CK240" s="248" t="str">
        <f t="shared" si="515"/>
        <v/>
      </c>
      <c r="CL240" s="248" t="str">
        <f t="shared" si="516"/>
        <v/>
      </c>
      <c r="CM240" s="248" t="str">
        <f>IFERROR(IF(B240="", "", IF(B240="New Construction", VLOOKUP(V240, 'Lookup Tables'!$AF$114:$AG$120, 2, FALSE), VLOOKUP(V240, 'Lookup Tables'!$AD$6:$AE$25, 2, FALSE))), "")</f>
        <v/>
      </c>
      <c r="CN240" s="248" t="str">
        <f t="shared" si="517"/>
        <v/>
      </c>
      <c r="CO240" s="248" t="str">
        <f t="shared" si="518"/>
        <v/>
      </c>
      <c r="CP240" s="592" t="str">
        <f t="shared" si="519"/>
        <v/>
      </c>
      <c r="CQ240" s="248" t="str">
        <f t="shared" si="572"/>
        <v/>
      </c>
      <c r="CR240" s="100"/>
      <c r="CS240" s="250" t="str">
        <f t="shared" si="520"/>
        <v/>
      </c>
      <c r="CT240" s="250" t="str">
        <f t="shared" si="573"/>
        <v/>
      </c>
      <c r="CU240" s="250" t="str">
        <f t="shared" si="574"/>
        <v/>
      </c>
      <c r="CV240" s="250" t="str">
        <f t="shared" si="575"/>
        <v/>
      </c>
      <c r="CW240" s="250" t="str">
        <f t="shared" si="576"/>
        <v/>
      </c>
      <c r="CX240" s="250" t="str">
        <f t="shared" si="521"/>
        <v/>
      </c>
      <c r="CY240" s="250" t="str">
        <f t="shared" si="522"/>
        <v/>
      </c>
      <c r="CZ240" s="250" t="str">
        <f t="shared" si="523"/>
        <v/>
      </c>
      <c r="DA240" s="250" t="str">
        <f t="shared" si="524"/>
        <v/>
      </c>
      <c r="DB240" s="250" t="str">
        <f t="shared" si="525"/>
        <v/>
      </c>
      <c r="DC240" s="250" t="str">
        <f t="shared" si="526"/>
        <v/>
      </c>
      <c r="DD240" s="250" t="str">
        <f t="shared" si="527"/>
        <v/>
      </c>
      <c r="DE240" s="250" t="str">
        <f t="shared" si="528"/>
        <v/>
      </c>
      <c r="DF240" s="250" t="str">
        <f t="shared" si="529"/>
        <v/>
      </c>
      <c r="DG240" s="250" t="str">
        <f t="shared" si="530"/>
        <v/>
      </c>
      <c r="DH240" s="250" t="str">
        <f t="shared" si="531"/>
        <v/>
      </c>
      <c r="DI240" s="250" t="str">
        <f t="shared" si="532"/>
        <v/>
      </c>
      <c r="DJ240" s="250" t="str">
        <f t="shared" si="533"/>
        <v/>
      </c>
      <c r="DK240" s="250" t="str">
        <f t="shared" si="534"/>
        <v/>
      </c>
      <c r="DL240" s="250" t="str">
        <f t="shared" si="535"/>
        <v/>
      </c>
      <c r="DM240" s="250" t="str">
        <f>IF(CD240="ERROR", "ERROR", IF(AND(OR(Y240=$DM$6, Y240='Lookup Tables'!$AD$21, Y240='Lookup Tables'!$AD$22), E240="Interior"), BJ240, ""))</f>
        <v/>
      </c>
      <c r="DN240" s="250" t="str">
        <f>IF(CD240="ERROR", "ERROR", IF(AND(OR(Y240=$DM$6, Y240='Lookup Tables'!$AD$21, Y240='Lookup Tables'!$AD$22), E240="Exterior"), BJ240, ""))</f>
        <v/>
      </c>
      <c r="DO240" s="100"/>
      <c r="DP240" s="250" t="str">
        <f t="shared" si="536"/>
        <v/>
      </c>
      <c r="DQ240" s="250" t="str">
        <f t="shared" si="577"/>
        <v/>
      </c>
      <c r="DR240" s="250" t="str">
        <f t="shared" si="578"/>
        <v/>
      </c>
      <c r="DS240" s="250" t="str">
        <f t="shared" si="579"/>
        <v/>
      </c>
      <c r="DT240" s="250" t="str">
        <f t="shared" si="580"/>
        <v/>
      </c>
      <c r="DU240" s="250" t="str">
        <f t="shared" si="537"/>
        <v/>
      </c>
      <c r="DV240" s="250" t="str">
        <f t="shared" si="538"/>
        <v/>
      </c>
      <c r="DW240" s="250" t="str">
        <f t="shared" si="539"/>
        <v/>
      </c>
      <c r="DX240" s="250" t="str">
        <f t="shared" si="540"/>
        <v/>
      </c>
      <c r="DY240" s="250" t="str">
        <f t="shared" si="541"/>
        <v/>
      </c>
      <c r="DZ240" s="250" t="str">
        <f t="shared" si="542"/>
        <v/>
      </c>
      <c r="EA240" s="250" t="str">
        <f t="shared" si="543"/>
        <v/>
      </c>
      <c r="EB240" s="250" t="str">
        <f t="shared" si="581"/>
        <v/>
      </c>
      <c r="EC240" s="250" t="str">
        <f t="shared" si="544"/>
        <v/>
      </c>
      <c r="ED240" s="250" t="str">
        <f t="shared" si="545"/>
        <v/>
      </c>
      <c r="EE240" s="250" t="str">
        <f t="shared" si="546"/>
        <v/>
      </c>
      <c r="EF240" s="250" t="str">
        <f t="shared" si="547"/>
        <v/>
      </c>
      <c r="EG240" s="250" t="str">
        <f t="shared" si="548"/>
        <v/>
      </c>
      <c r="EH240" s="250" t="str">
        <f>IF(CD240="ERROR", "ERROR", IF(AND(OR($EH$6=Y240, Y240='Lookup Tables'!$AD$21, Y240='Lookup Tables'!$AD$22),E240="Interior"), SUM(BP240:BP240), ""))</f>
        <v/>
      </c>
      <c r="EI240" s="250" t="str">
        <f>IF(CD240="ERROR", "ERROR", IF(AND(OR($EH$6=Y240, Y240='Lookup Tables'!$AD$21, Y240='Lookup Tables'!$AD$22),E240="Exterior"), SUM(BP240:BP240), ""))</f>
        <v/>
      </c>
      <c r="EJ240" s="109"/>
      <c r="EK240" s="485" t="str">
        <f t="shared" si="549"/>
        <v/>
      </c>
      <c r="EL240" s="252" t="str">
        <f t="shared" si="582"/>
        <v/>
      </c>
      <c r="EM240" s="252" t="str">
        <f t="shared" si="583"/>
        <v/>
      </c>
      <c r="EN240" s="252" t="str">
        <f t="shared" si="584"/>
        <v/>
      </c>
      <c r="EO240" s="252" t="str">
        <f t="shared" si="585"/>
        <v/>
      </c>
      <c r="EP240" s="252" t="str">
        <f t="shared" si="586"/>
        <v/>
      </c>
      <c r="EQ240" s="252" t="str">
        <f t="shared" si="587"/>
        <v/>
      </c>
      <c r="ER240" s="252" t="str">
        <f t="shared" si="588"/>
        <v/>
      </c>
      <c r="ES240" s="252" t="str">
        <f t="shared" si="589"/>
        <v/>
      </c>
      <c r="ET240" s="252" t="str">
        <f t="shared" si="590"/>
        <v/>
      </c>
      <c r="EU240" s="252" t="str">
        <f t="shared" si="591"/>
        <v/>
      </c>
      <c r="EV240" s="252" t="str">
        <f t="shared" si="592"/>
        <v/>
      </c>
      <c r="EW240" s="252" t="str">
        <f t="shared" si="593"/>
        <v/>
      </c>
      <c r="EX240" s="252" t="str">
        <f t="shared" si="594"/>
        <v/>
      </c>
      <c r="EY240" s="252" t="str">
        <f t="shared" si="595"/>
        <v/>
      </c>
      <c r="EZ240" s="252" t="str">
        <f t="shared" si="596"/>
        <v/>
      </c>
      <c r="FA240" s="252" t="str">
        <f t="shared" si="597"/>
        <v/>
      </c>
      <c r="FB240" s="252" t="str">
        <f t="shared" si="598"/>
        <v/>
      </c>
      <c r="FC240" s="252" t="str">
        <f>IF(CD240="ERROR", "ERROR", IF(OR(V240="No Change", V240="Not DLC or Energy Star"), "", IF(AND(OR($FC$6=Y240,Y240='Lookup Tables'!$AD$21, Y240='Lookup Tables'!$AD$22),E240="Interior"), S240, "")))</f>
        <v/>
      </c>
      <c r="FD240" s="252" t="str">
        <f t="shared" si="599"/>
        <v/>
      </c>
      <c r="FE240" s="101"/>
      <c r="FF240" s="579" t="str" cm="1">
        <f t="array" ref="FF240">IFERROR(IF(OR(BQ240&lt;=0,AQ240&lt;20,AND(V240="Exit Signs",AN240&gt;0)),"",IF(AND(AQ240&gt;=20,AN240='Lookup Tables'!$R$101),'Lookup Tables'!$U$101*BQ240,AP240*LOOKUP(2,1/((AN240='Lookup Tables'!$R$91:$R$111)*(AQ240&gt;='Lookup Tables'!$S$91:$S$111)*(AQ240&lt;='Lookup Tables'!$T$91:$T$111)),'Lookup Tables'!$U$91:$U$111))),"")</f>
        <v/>
      </c>
      <c r="FG240" s="579"/>
      <c r="FH240" s="579"/>
      <c r="FI240" s="253" t="str">
        <f>IFERROR(ROUND(IF(CD240="ERROR", "ERROR", IF(AND($FI$7=X240,E240="Interior"),VLOOKUP(W240, 'Lookup Tables'!$AI$6:$AM$102, 5, FALSE)*BP240, "")), 2), "")</f>
        <v/>
      </c>
      <c r="FJ240" s="253" t="str">
        <f>IFERROR(ROUND(IF(CD240="ERROR", "ERROR", IF(AND($FI$7=X240,E240="Exterior"),VLOOKUP(W240, 'Lookup Tables'!$AI$6:$AM$102, 5, FALSE)*BP240, "")), 2), "")</f>
        <v/>
      </c>
      <c r="FK240" s="253" t="str">
        <f>IFERROR(ROUND(IF(CD240="ERROR", "ERROR", IF(AND($FK$7=X240,E240="Interior"),VLOOKUP(W240, 'Lookup Tables'!$AI$6:$AM$102, 5, FALSE)*BP240, "")), 2), "")</f>
        <v/>
      </c>
      <c r="FL240" s="253" t="str">
        <f>IFERROR(ROUND(IF(CD240="ERROR", "ERROR", IF(AND($FK$7=X240,E240="Exterior"),VLOOKUP(W240, 'Lookup Tables'!$AI$6:$AM$102, 5, FALSE)*BP240, "")), 2), "")</f>
        <v/>
      </c>
      <c r="FM240" s="253" t="str">
        <f>IFERROR(ROUND(IF(CD240="ERROR", "ERROR", IF(AND($FM$6=Y240,E240="Interior"), IF(GB240=0, VLOOKUP(W240, 'Lookup Tables'!$AI$6:$AM$102, 5, FALSE)*BP240, IF(VLOOKUP(W240, 'Lookup Tables'!$AI$6:$AM$102, 5, FALSE)*BP240&gt;GB240*'Lighting Inventory'!S240, GB240*'Lighting Inventory'!S240,VLOOKUP(W240, 'Lookup Tables'!$AI$6:$AM$102, 5, FALSE)*BP240)), "")), 2), "")</f>
        <v/>
      </c>
      <c r="FN240" s="253" t="str">
        <f>IFERROR(ROUND(IF(CD240="ERROR", "ERROR", IF(AND($FM$6=Y240,E240="Exterior"), IF(GB240=0, VLOOKUP(W240, 'Lookup Tables'!$AI$6:$AM$102, 5, FALSE)*BP240, IF(VLOOKUP(W240, 'Lookup Tables'!$AI$6:$AM$102, 5, FALSE)*BP240&gt;GB240*'Lighting Inventory'!S240, GB240*'Lighting Inventory'!S240,VLOOKUP(W240, 'Lookup Tables'!$AI$6:$AM$102, 5, FALSE)*BP240)), "")), 2), "")</f>
        <v/>
      </c>
      <c r="FO240" s="253" t="str">
        <f>IFERROR(ROUND(IF(CD240="ERROR", "ERROR", IF(AND($FO$6=Y240,E240="Interior"),VLOOKUP(W240, 'Lookup Tables'!$AI$6:$AM$102, 5, FALSE)*'Lighting Inventory'!AI240, "")), 2), "")</f>
        <v/>
      </c>
      <c r="FP240" s="253" t="str">
        <f>IFERROR(ROUND(IF(CD240="ERROR", "ERROR", IF(AND($FO$6=Y240,E240="Exterior"),VLOOKUP(W240, 'Lookup Tables'!$AI$6:$AM$102, 5, FALSE)*'Lighting Inventory'!AI240, "")), 2), "")</f>
        <v/>
      </c>
      <c r="FQ240" s="253" t="str">
        <f>IFERROR(ROUND(IF(CD240="ERROR", "ERROR", IF(AND($FQ$6=Y240,E240="Interior", BU240="Y"), VLOOKUP('Lighting Inventory'!W240, 'Lookup Tables'!$AI$6:$AM$102, 5, FALSE)*'Lighting Inventory'!S240, IF(AND($FQ$7=Y240,E240="Interior", BU240="N"), 0.025*CD240, ""))), 2), "")</f>
        <v/>
      </c>
      <c r="FR240" s="253" t="str">
        <f>IFERROR(ROUND(IF(CD240="ERROR", "ERROR", IF(AND($FQ$6=Y240,E240="Exterior"), VLOOKUP('Lighting Inventory'!W240, 'Lookup Tables'!$AI$6:$AM$102, 5, FALSE)*'Lighting Inventory'!S240, "")), 2), "")</f>
        <v/>
      </c>
      <c r="FS240" s="253" t="str">
        <f>IFERROR(ROUND(IF(CD240="ERROR", "ERROR", IF(AND($FS$6=Y240,E240="Exterior"), IF(GB240=0, VLOOKUP(W240, 'Lookup Tables'!$AI$6:$AM$102, 5, FALSE)*BP240, IF(VLOOKUP(W240, 'Lookup Tables'!$AI$6:$AM$102, 5, FALSE)*BP240&gt;GB240*'Lighting Inventory'!S240, GB240*'Lighting Inventory'!S240,VLOOKUP(W240, 'Lookup Tables'!$AI$6:$AM$102, 5, FALSE)*BP240)), "")), 2), "")</f>
        <v/>
      </c>
      <c r="FT240" s="253" t="str">
        <f>IFERROR(ROUND(IF(CD240="ERROR", "ERROR", IF(AND($FT$6=Y240,E240="Interior"), IF(GB240=0, VLOOKUP(W240, 'Lookup Tables'!$AI$6:$AM$102, 5, FALSE)*BP240, IF(VLOOKUP(W240, 'Lookup Tables'!$AI$6:$AM$102, 5, FALSE)*BP240&gt;GB240*'Lighting Inventory'!S240, GB240*'Lighting Inventory'!S240,VLOOKUP(W240, 'Lookup Tables'!$AI$6:$AM$102, 5, FALSE)*BP240)), "")), 2), "")</f>
        <v/>
      </c>
      <c r="FU240" s="253" t="str">
        <f>IFERROR(ROUND(IF(CD240="ERROR", "ERROR", IF(AND(Y240=$FU$6, E240="Interior"), IF(BS240="N", 'Lookup Tables'!$AM$101*BP240, VLOOKUP(W240, 'Lookup Tables'!$AI$6:$AM$102, 5, FALSE)*S240*AD240), "")), 2), "")</f>
        <v/>
      </c>
      <c r="FV240" s="253" t="str">
        <f>IFERROR(ROUND(IF(CD240="ERROR", "ERROR", IF(AND(Y240=$FU$6, E240="Exterior"), IF(BS240="N", 'Lookup Tables'!$AM$101*BP240, VLOOKUP(W240, 'Lookup Tables'!$AI$6:$AM$102, 5, FALSE)*S240*AD240), "")), 2), "")</f>
        <v/>
      </c>
      <c r="FW240" s="253" t="str">
        <f>IFERROR(ROUND(IF(CD240="ERROR", "ERROR", IF($FW$6=Y240, IF(BS240="N", 'Lookup Tables'!$AM$101*BP240, MIN((VLOOKUP(W240, 'Lookup Tables'!$AI$6:$AM$102, 5, FALSE)*BP240),GB240*AJ240)), "")), 2), "")</f>
        <v/>
      </c>
      <c r="FX240" s="253" t="str">
        <f>IFERROR(ROUND(IF(CD240="ERROR", "ERROR", IF(AND($FX$6=Y240, E240="Interior"), IF(VLOOKUP(W240, 'Lookup Tables'!$AI$6:$AM$102, 5, FALSE)*BP240&gt;'Lookup Tables'!$AQ$97*'Lighting Inventory'!S240,'Lighting Inventory'!S240*'Lookup Tables'!$AQ$97,VLOOKUP(W240, 'Lookup Tables'!$AI$6:$AM$102, 5, FALSE)*BP240), "")), 2), "")</f>
        <v/>
      </c>
      <c r="FY240" s="253" t="str">
        <f>IFERROR(ROUND(IF(CD240="ERROR", "ERROR", IF(AND($FX$6=Y240, E240="Exterior"), IF(VLOOKUP(W240, 'Lookup Tables'!$AI$6:$AM$102, 5, FALSE)*BP240&gt;'Lookup Tables'!$AQ$97*'Lighting Inventory'!S240,'Lighting Inventory'!S240*'Lookup Tables'!$AQ$97,VLOOKUP(W240, 'Lookup Tables'!$AI$6:$AM$102, 5, FALSE)*BP240), "")), 2), "")</f>
        <v/>
      </c>
      <c r="FZ240" s="253" t="str">
        <f>IFERROR(ROUND(IF(CD240="ERROR", "ERROR", IF(AND($FZ$6=Y240, E240="Interior"), IF(AND(OR(W240="Refrigerated Case Lighting with Doors", W240="Freezer Case Lighting"),Y240="Custom - Process Improvement"),CD240*'Lookup Tables'!$AM$101, IF(B240="Retrofit", IF(VLOOKUP(IF(V240="Custom", V240, W240), 'Lookup Tables'!$AI$6:$AM$102, 5, FALSE)*BP240&gt;GE240, GE240, VLOOKUP(IF(V240="Custom", V240, W240), 'Lookup Tables'!$AI$6:$AM$102, 5, FALSE)*BP240), IF(VLOOKUP(IF(V240="Custom", V240, W240), 'Lookup Tables'!$AI$114:$AM$154, 5, FALSE)*BP240&gt;GE240, GE240, VLOOKUP(IF(V240="Custom", V240, W240), 'Lookup Tables'!$AI$114:$AM$154, 5, FALSE)*BP240))), "")), 2),"")</f>
        <v/>
      </c>
      <c r="GA240" s="253" t="str">
        <f>IFERROR(ROUND(IF(CD240="ERROR", "ERROR", IF(AND($FZ$6=Y240, E240="Exterior"), IF(B240="Retrofit", IF(VLOOKUP(IF(V240="Custom", V240, W240), 'Lookup Tables'!$AI$6:$AM$102, 5, FALSE)*BP240&gt;GE240, GE240, VLOOKUP(IF(V240="Custom", V240, W240), 'Lookup Tables'!$AI$6:$AM$102, 5, FALSE)*BP240), IF(VLOOKUP(IF(V240="Custom", V240, W240), 'Lookup Tables'!$AI$114:$AM$154, 5, FALSE)*BP240&gt;GE240, GE240, VLOOKUP(IF(V240="Custom", V240, W240), 'Lookup Tables'!$AI$114:$AM$154, 5, FALSE)*BP240)), "")), 2),"")</f>
        <v/>
      </c>
      <c r="GB240" s="254" t="str">
        <f t="array" ref="GB240">IF(B240="","",IF(OR(V240="Custom",V240="No Change"),0,IF(B240="Retrofit", INDEX('Lookup Tables'!$AH$6:$AQ$102,MATCH(1,('Lookup Tables'!$AH$6:$AH$102='Lighting Inventory'!V240)*('Lookup Tables'!$AI$6:$AI$102='Lighting Inventory'!W240),FALSE),10),INDEX('Lookup Tables'!$AH$114:$AQ$154,MATCH(1,('Lookup Tables'!$AH$114:$AH$154='Lighting Inventory'!V240)*('Lookup Tables'!$AI$114:$AI$154='Lighting Inventory'!W240),FALSE),10))))</f>
        <v/>
      </c>
      <c r="GC240" s="255" t="str">
        <f t="shared" si="550"/>
        <v/>
      </c>
      <c r="GD240" s="250" t="str">
        <f t="shared" si="551"/>
        <v/>
      </c>
      <c r="GE240" s="253" t="str">
        <f>IFERROR(IF(AND(AF240="", 'General Information'!$F$18="No"),"", IF(AF240="", ((GD240/$CD$266)*$CF$266)*0.5, AF240*S240*0.5)), "")</f>
        <v/>
      </c>
      <c r="GF240" s="255" t="str">
        <f>IF(AND('General Information'!$F$19="", 'General Information'!$F$18="Yes",AF240="",BW240="Y"), "Y", "N")</f>
        <v>N</v>
      </c>
      <c r="GG240" s="255" t="s">
        <v>2946</v>
      </c>
      <c r="GH240" s="255" t="str">
        <f>IFERROR(IF(B240="", "", VLOOKUP(J240, 'Fixture Identities'!$A$6:$N$908, 14, FALSE)), "")</f>
        <v/>
      </c>
      <c r="GI240" s="389" t="str">
        <f>IF(OR(B240="", V240="", W240=""), "", IF(AND(OR(M240='Lookup Tables'!$R$18, M240='Lookup Tables'!$R$19, M240='Lookup Tables'!$R$20, M240='Lookup Tables'!$R$21, M240='Lookup Tables'!$R$22), OR(AN240='Lookup Tables'!$R$17, AN240='Lookup Tables'!$R$17, AN240="")), "Y", "N"))</f>
        <v/>
      </c>
      <c r="GJ240" s="255" t="str">
        <f t="shared" si="552"/>
        <v/>
      </c>
      <c r="GK240" s="255" t="str">
        <f t="shared" si="553"/>
        <v/>
      </c>
      <c r="GL240" s="255" t="str">
        <f t="shared" si="554"/>
        <v/>
      </c>
      <c r="GM240" s="255" t="str">
        <f>IF(AN240="", "", IF(AND(IF(ISNA(VLOOKUP(AN240,'Lookup Tables'!$R$18:$R$22,1,FALSE)), "N", "Y")="Y", E240="Exterior"), "Y", "N"))</f>
        <v/>
      </c>
      <c r="GN240" s="395"/>
      <c r="GO240" s="428">
        <f t="shared" si="600"/>
        <v>0</v>
      </c>
      <c r="GP240" s="428">
        <f t="shared" si="603"/>
        <v>0</v>
      </c>
      <c r="GQ240" s="428">
        <f t="shared" si="601"/>
        <v>0</v>
      </c>
      <c r="GR240" s="428">
        <f t="shared" si="602"/>
        <v>0</v>
      </c>
    </row>
    <row r="241" spans="1:200" s="103" customFormat="1" ht="13.5" customHeight="1" x14ac:dyDescent="0.2">
      <c r="A241" s="272">
        <v>231</v>
      </c>
      <c r="B241" s="110"/>
      <c r="C241" s="110"/>
      <c r="D241" s="110"/>
      <c r="E241" s="110"/>
      <c r="F241" s="110"/>
      <c r="G241" s="110"/>
      <c r="H241" s="110"/>
      <c r="I241" s="29"/>
      <c r="J241" s="29"/>
      <c r="K241" s="272" t="str">
        <f>IFERROR(IF(OR(VLOOKUP(J241, 'Fixture Identities'!$A$6:$L$1023, 3, FALSE)="T12 Linear Fluorescent", VLOOKUP(J241, 'Fixture Identities'!$A$6:$L$1023, 3, FALSE)="T12 U-Tube Fluorescent"), VLOOKUP(VLOOKUP(J241, 'Fixture Identities'!$A$6:$L$1023, 11, FALSE), 'Fixture Identities'!$A$6:$L$1023, 10, FALSE), VLOOKUP(J241, 'Fixture Identities'!$A$6:$L$1023, 10, FALSE)), "")</f>
        <v/>
      </c>
      <c r="L241" s="270" t="str">
        <f t="shared" si="605"/>
        <v/>
      </c>
      <c r="M241" s="110"/>
      <c r="N241" s="110"/>
      <c r="O241" s="110"/>
      <c r="P241" s="272" t="str">
        <f>IFERROR(IF(OR(B241="Retrofit",B241=""),"",IF('Lighting Inventory'!E241="Exterior",VLOOKUP('Lighting Inventory'!N241,'Lookup Tables'!$B$83:$F$103,5,FALSE),IF(N241="Other - Please Estimate EFLH and CFs","Contact Prog. Rep.","ft^2"))), "")</f>
        <v/>
      </c>
      <c r="Q241" s="270" t="str">
        <f>IFERROR(IF(AND(B241="New Construction",E241="Interior",$F$5="Space-by-Space"),VLOOKUP('Lighting Inventory'!N241,'Lookup Tables'!$N$6:$O$97,2,FALSE),IF(AND(B241="New Construction",E241="Exterior"),VLOOKUP(N241,'Lookup Tables'!$B$83:$F$103,2,FALSE),IF(AND(B241="New Construction",'Lighting Inventory'!E241="Interior", $F$5="Building Area"),VLOOKUP(F241,'Lookup Tables'!$A$6:$J$59,10,FALSE),""))), "")</f>
        <v/>
      </c>
      <c r="R241" s="270" t="str">
        <f>IFERROR(IF(P241="Contact Prog. Rep.", "ERROR", IF(OR(B241="",B241="Retrofit"),"",IF(N241="Automated teller machines", ('Lookup Tables'!$A$82:$E$100+('Lighting Inventory'!O241-1)*'Lookup Tables'!$A$82:$E$100)/1000, (Q241*O241)/1000))), "")</f>
        <v/>
      </c>
      <c r="S241" s="595"/>
      <c r="T241" s="105" t="str">
        <f t="shared" si="555"/>
        <v/>
      </c>
      <c r="U241" s="105" t="str">
        <f>IF(S241="","",COUNT($S$11:S241))</f>
        <v/>
      </c>
      <c r="V241" s="111"/>
      <c r="W241" s="112"/>
      <c r="X241" s="105" t="str">
        <f t="shared" si="556"/>
        <v/>
      </c>
      <c r="Y241" s="105" t="str">
        <f t="array" ref="Y241">IF(AND(OR(W241="Freezer Case Lighting", W241="Refrigerated Case Lighting with Doors"), 'General Information'!$X$18="LCI"),'Lookup Tables'!$Y$34, IF(V241="Custom", VLOOKUP(W241, 'Fixture Identities'!$A$974:$M$1023, 13, FALSE), IF(V241="No Change",'Lookup Tables'!$Y$29,IF(OR(V241="",W241=""),"",IF(AND(S241=0,S241&lt;I241,B241="Retrofit"),'Lookup Tables'!$Y$25, IF(B241="Retrofit", INDEX('Lookup Tables'!$AH$6:$AP$102, MATCH(1, ('Lookup Tables'!$AH$6:$AH$102=V241)*('Lookup Tables'!$AI$6:$AI$102=W241), 0), IF('Lighting Inventory'!E241="Interior", 4, 5)), INDEX('Lookup Tables'!$AH$114:$AP$154, MATCH(1, ('Lookup Tables'!$AH$114:$AH$154=V241)*('Lookup Tables'!$AI$114:$AI$154=W241), 0), IF('Lighting Inventory'!E241="Interior", 4, 5))))))))</f>
        <v/>
      </c>
      <c r="Z241" s="105" t="str">
        <f>IFERROR(INDEX('Lookup Tables'!$AH$158:$AH$172,MATCH('Lighting Inventory'!Y241,'Lookup Tables'!$AI$158:$AI$172,0)),"")</f>
        <v/>
      </c>
      <c r="AA241" s="105" t="str">
        <f>IF(AP241&gt;0,INDEX('Lookup Tables'!$AK$158:$AK$172,MATCH('Lighting Inventory'!Y241,'Lookup Tables'!$AI$158:$AI$172,0)),'Lighting Inventory'!Y241)</f>
        <v/>
      </c>
      <c r="AB241" s="105" t="str">
        <f t="array" ref="AB241">IF(V241="Custom", "Custom", IF(V241="", "", IF(V241="Not DLC or Energy Star", "General", IF(B241="New Construction", INDEX('Lookup Tables'!$AH$114:$AP$154,MATCH(1,('Lookup Tables'!$AH$114:$AH$154='Lighting Inventory'!V241)*('Lookup Tables'!$AI$114:$AI$154='Lighting Inventory'!W241),FALSE),8), INDEX('Lookup Tables'!$AH$6:$AP$102,MATCH(1,('Lookup Tables'!$AH$6:$AH$102='Lighting Inventory'!V241)*('Lookup Tables'!$AI$6:$AI$102='Lighting Inventory'!W241),FALSE),8)))))</f>
        <v/>
      </c>
      <c r="AC241" s="272" t="str">
        <f>IF(W241="","",IF(V241="Custom",CONCATENATE("$",'Lookup Tables'!$AM$101," ",'Lookup Tables'!$AN$101),CONCATENATE("$",INDEX('Lookup Tables'!$AM$6:$AM$102,MATCH('Lighting Inventory'!W241,'Lookup Tables'!$AI$6:$AI$102,0))," ",INDEX('Lookup Tables'!$AN$6:$AN$102,MATCH('Lighting Inventory'!W241,'Lookup Tables'!$AI$6:$AI$102,0)))))</f>
        <v/>
      </c>
      <c r="AD241" s="72"/>
      <c r="AE241" s="29"/>
      <c r="AF241" s="379"/>
      <c r="AG241" s="370" t="str">
        <f t="shared" si="504"/>
        <v/>
      </c>
      <c r="AH241" s="370" t="str">
        <f t="shared" si="557"/>
        <v/>
      </c>
      <c r="AI241" s="29"/>
      <c r="AJ241" s="29"/>
      <c r="AK241" s="110"/>
      <c r="AL241" s="375" t="str">
        <f>IF(OR(B241="", V241="", W241=""), "", IF(V241="No Change", K241, IF(V241="Remove Fixture", 0, IF(V241="Custom",VLOOKUP(W241,'Fixture Identities'!$A$6:$K$1023,10,FALSE),IF(AE241="", "← ENTER POST WATTS", 'Lighting Inventory'!AE241)))))</f>
        <v/>
      </c>
      <c r="AM241" s="376" t="str">
        <f t="shared" si="505"/>
        <v/>
      </c>
      <c r="AN241" s="29"/>
      <c r="AO241" s="671"/>
      <c r="AP241" s="29"/>
      <c r="AQ241" s="29"/>
      <c r="AR241" s="29"/>
      <c r="AS241" s="272" t="str">
        <f t="shared" si="558"/>
        <v/>
      </c>
      <c r="AT241" s="270" t="str">
        <f t="shared" si="506"/>
        <v/>
      </c>
      <c r="AU241" s="88" t="str">
        <f t="shared" si="606"/>
        <v/>
      </c>
      <c r="AV241" s="29"/>
      <c r="AW241" s="73"/>
      <c r="AX241" s="271" t="str">
        <f>IF(AND(AV241="Applicant",OR(AW241="", AW241="Use Default Facility Hours")),"← Choose Schedule",IF(F241="","",IF(W241="LED Exit Signs",8760,IF(OR(AV241="Prescribed",AV241=""),VLOOKUP(F241,'Lookup Tables'!$A$6:$G$59,IF(AB241="General", 6, 3),FALSE),VLOOKUP(AW241,'Lookup Tables'!$S$36:$U$43,2,FALSE)))))</f>
        <v/>
      </c>
      <c r="AY241" s="88" t="str">
        <f t="shared" si="507"/>
        <v/>
      </c>
      <c r="AZ241" s="270" t="str">
        <f>IFERROR(IF(F241="", "", IF(W241="LED Exit Signs", 1, IF(AV241="Applicant",VLOOKUP(AW241, 'Lookup Tables'!$S$36:$U$43,3, FALSE), VLOOKUP('Lighting Inventory'!F241, 'Lookup Tables'!$A$6:$H$59, IF('Lighting Inventory'!AB241="General",7,4), FALSE)))), "")</f>
        <v/>
      </c>
      <c r="BA241" s="522" t="str">
        <f>IFERROR(IF(F241="", "", IF(W241="LED Exit Signs", 1, VLOOKUP('Lighting Inventory'!F241, 'Lookup Tables'!$A$6:$H$59, IF('Lighting Inventory'!AB241="General",8,5), FALSE))), "")</f>
        <v/>
      </c>
      <c r="BB241" s="270" t="str">
        <f>IF(G241="", "", IF(E241="Exterior", 0, IF('Lighting Inventory'!G241="Air Conditioned", VLOOKUP(H241, 'Lookup Tables'!$R$6:$T$13, 2, FALSE), VLOOKUP('Lighting Inventory'!G241, 'Lookup Tables'!$R$6:$T$13, 2, FALSE))))</f>
        <v/>
      </c>
      <c r="BC241" s="522" t="str">
        <f>IF(G241="", "", IF(E241="Exterior", 0, IF('Lighting Inventory'!G241="Air Conditioned", VLOOKUP(H241, 'Lookup Tables'!$R$6:$T$13, 3, FALSE), VLOOKUP('Lighting Inventory'!G241, 'Lookup Tables'!$R$6:$T$13, 3, FALSE))))</f>
        <v/>
      </c>
      <c r="BD241" s="270" t="str">
        <f>IF(G241="", "", IF(E241="Exterior", 0, IF('Lighting Inventory'!G241="Air Conditioned", VLOOKUP(H241, 'Lookup Tables'!$R$6:$U$13, 4, FALSE), VLOOKUP('Lighting Inventory'!G241, 'Lookup Tables'!$R$6:$U$13, 4, FALSE))))</f>
        <v/>
      </c>
      <c r="BE241" s="270" t="str">
        <f>IFERROR(IF(B241="", "",  IF(B241="New Construction", VLOOKUP(F241, 'Lookup Tables'!$A$6:$K$59, 11, FALSE),IF(OR(AN241="", AN241="Light Switch"), 0, IF(OR(M241="",M241="None",V241= "LED Exit Signs"),0,_xlfn.XLOOKUP(M241,'Lookup Tables'!$R$91:$R$101,'Lookup Tables'!$V$91:$V$101))))), "")</f>
        <v/>
      </c>
      <c r="BF241" s="270" t="str">
        <f>IF(AND(OR(AN241="Light Switch",AN241=""),B241="New Construction"), VLOOKUP(F241, 'Lookup Tables'!$A$6:$K$59, 11, FALSE),IF(AN241="","",IF(B241="","",IF(OR(AN241="None",AN241="",V241="LED Exit Signs",AN241="Exterior Controls Not Eligible"),0,_xlfn.XLOOKUP(AN241,'Lookup Tables'!$R$91:$R$101,'Lookup Tables'!$V$91:$V$101)))))</f>
        <v/>
      </c>
      <c r="BG241" s="88" t="str">
        <f t="shared" si="559"/>
        <v/>
      </c>
      <c r="BH241" s="88" t="str">
        <f t="shared" si="560"/>
        <v/>
      </c>
      <c r="BI241" s="558" t="str">
        <f t="shared" si="604"/>
        <v/>
      </c>
      <c r="BJ241" s="82" t="str">
        <f t="shared" si="561"/>
        <v/>
      </c>
      <c r="BK241" s="82" t="str">
        <f t="shared" si="562"/>
        <v/>
      </c>
      <c r="BL241" s="559" t="str">
        <f t="shared" si="563"/>
        <v/>
      </c>
      <c r="BM241" s="521" t="str">
        <f t="shared" si="508"/>
        <v/>
      </c>
      <c r="BN241" s="521" t="str">
        <f t="shared" si="509"/>
        <v/>
      </c>
      <c r="BO241" s="522" t="str">
        <f t="shared" si="510"/>
        <v/>
      </c>
      <c r="BP241" s="83" t="str">
        <f t="shared" si="564"/>
        <v/>
      </c>
      <c r="BQ241" s="84" t="str">
        <f t="shared" si="565"/>
        <v/>
      </c>
      <c r="BR241" s="184" t="str">
        <f>IFERROR(IF(B241="", "", IF(OR(VLOOKUP(J241, 'Fixture Identities'!$A$6:$L$1023, 3, FALSE)="T12 Linear Fluorescent",VLOOKUP(J241, 'Fixture Identities'!$A$6:$L$1023, 3, FALSE)="T12 U-Tube Fluorescent"), "Y", "N")), "N")</f>
        <v/>
      </c>
      <c r="BS241" s="184" t="str">
        <f t="array" ref="BS241">IFERROR(IF(OR(B241="", V241="", W241=""), "", IF(V241="Custom", "N", IF(OR(W241="Freezer Case Lighting", W241="Refrigerated Case Lighting with Doors"), BT241, IF(B241="Retrofit", INDEX('Lookup Tables'!$AH$6:$AT$102,MATCH(1,('Lookup Tables'!$AH$6:$AH$102=V241)*('Lookup Tables'!$AI$6:$AI$102=W241),FALSE),IF(VLOOKUP(J241, 'Fixture Identities'!$A$6:$B$1023, 2, FALSE)="Incandescent",12, 13)), INDEX('Lookup Tables'!$AH$114:$AS$154,MATCH(1,('Lookup Tables'!$AH$114:$AH$154=V241)*('Lookup Tables'!$AI$114:$AI$154=W241),FALSE),12))))), "N")</f>
        <v/>
      </c>
      <c r="BT241" s="184" t="str">
        <f>IF(J241="", "", IF(AND(OR(W241="Freezer case Lighting", W241="Refrigerated Case Lighting with Doors"),'General Information'!$X$18="LCI"), "N", IF(OR(VLOOKUP(J241, 'Fixture Identities'!$A$6:$B$1023, 2, FALSE)="T12 EPACT/EISA Baseline", VLOOKUP(J241, 'Fixture Identities'!$A$6:$B$1023, 2, FALSE)="Linear Fluorescent", VLOOKUP(J241, 'Fixture Identities'!$A$6:$B$1023, 2, FALSE)="U-Tube Fluorescent"), "Y", "N")))</f>
        <v/>
      </c>
      <c r="BU241" s="184" t="str">
        <f>IFERROR(IF(B241="", "", IF(VLOOKUP(J241, 'Fixture Identities'!$A$6:$B$1023, 2, FALSE)="Exit Sign", "Y", "N")), "N")</f>
        <v/>
      </c>
      <c r="BV241" s="184" t="str">
        <f>IF(V241="Exit Signs", IF(VLOOKUP(J241, 'Fixture Identities'!$A$6:$B$1023, 2, FALSE)="Exit Sign", "N", "Y"), "")</f>
        <v/>
      </c>
      <c r="BW241" s="184" t="str">
        <f t="array" ref="BW241">IFERROR(IF(B241="", "", IF(B241="New Construction", "N", INDEX('Lookup Tables'!$AH$6:$AU$102, MATCH(1, ('Lookup Tables'!$AH$6:$AH$102='Lighting Inventory'!V241)*('Lookup Tables'!$AI$6:$AI$102='Lighting Inventory'!W241), 0), 14))), "N")</f>
        <v/>
      </c>
      <c r="BX241" s="598" t="str">
        <f t="shared" si="566"/>
        <v/>
      </c>
      <c r="BY241" s="598" t="str">
        <f t="shared" si="567"/>
        <v/>
      </c>
      <c r="BZ241" s="598" t="str">
        <f t="shared" si="568"/>
        <v/>
      </c>
      <c r="CA241" s="598" t="str">
        <f t="shared" si="569"/>
        <v/>
      </c>
      <c r="CB241" s="269" t="str">
        <f t="shared" si="570"/>
        <v/>
      </c>
      <c r="CC241" s="517" t="str">
        <f t="shared" si="571"/>
        <v/>
      </c>
      <c r="CD241" s="565" t="str">
        <f t="shared" si="511"/>
        <v/>
      </c>
      <c r="CE241" s="368">
        <v>0</v>
      </c>
      <c r="CF241" s="368" t="str" cm="1">
        <f t="array" ref="CF241">IFERROR(IF(V241="Custom", "$0.1 per kWh", IF(B241="New Construction", CONCATENATE("$",INDEX('Lookup Tables'!$AH$114:$AN$154,MATCH(1,('Lookup Tables'!$AH$114:$AH$154='Lighting Inventory'!V241)*('Lookup Tables'!$AI$114:$AI$154='Lighting Inventory'!W241),FALSE),6)," ",INDEX('Lookup Tables'!$AH$114:$AN$154,MATCH(1,('Lookup Tables'!$AH$114:$AH$154='Lighting Inventory'!V241)*('Lookup Tables'!$AI$114:$AI$154='Lighting Inventory'!W241),FALSE),7)), IF(AND(BU241="N", V241="Exit Signs"), "$0.025 per kWh", CONCATENATE("$",INDEX('Lookup Tables'!$AH$6:$AN$102,MATCH(1,('Lookup Tables'!$AH$6:$AH$102='Lighting Inventory'!V241)*('Lookup Tables'!$AI$6:$AI$102='Lighting Inventory'!W241),FALSE),6)," ",INDEX('Lookup Tables'!$AH$6:$AN$102,MATCH(1,('Lookup Tables'!$AH$6:$AH$102='Lighting Inventory'!V241)*('Lookup Tables'!$AI$6:$AI$102='Lighting Inventory'!W241),FALSE),7))))), "")</f>
        <v/>
      </c>
      <c r="CG241" s="366"/>
      <c r="CH241" s="248" t="str">
        <f t="shared" si="512"/>
        <v/>
      </c>
      <c r="CI241" s="248" t="str">
        <f t="shared" si="513"/>
        <v>Select_IE</v>
      </c>
      <c r="CJ241" s="248" t="str">
        <f t="shared" si="514"/>
        <v/>
      </c>
      <c r="CK241" s="248" t="str">
        <f t="shared" si="515"/>
        <v/>
      </c>
      <c r="CL241" s="248" t="str">
        <f t="shared" si="516"/>
        <v/>
      </c>
      <c r="CM241" s="248" t="str">
        <f>IFERROR(IF(B241="", "", IF(B241="New Construction", VLOOKUP(V241, 'Lookup Tables'!$AF$114:$AG$120, 2, FALSE), VLOOKUP(V241, 'Lookup Tables'!$AD$6:$AE$25, 2, FALSE))), "")</f>
        <v/>
      </c>
      <c r="CN241" s="248" t="str">
        <f t="shared" si="517"/>
        <v/>
      </c>
      <c r="CO241" s="248" t="str">
        <f t="shared" si="518"/>
        <v/>
      </c>
      <c r="CP241" s="592" t="str">
        <f t="shared" si="519"/>
        <v/>
      </c>
      <c r="CQ241" s="248" t="str">
        <f t="shared" si="572"/>
        <v/>
      </c>
      <c r="CR241" s="100"/>
      <c r="CS241" s="250" t="str">
        <f t="shared" si="520"/>
        <v/>
      </c>
      <c r="CT241" s="250" t="str">
        <f t="shared" si="573"/>
        <v/>
      </c>
      <c r="CU241" s="250" t="str">
        <f t="shared" si="574"/>
        <v/>
      </c>
      <c r="CV241" s="250" t="str">
        <f t="shared" si="575"/>
        <v/>
      </c>
      <c r="CW241" s="250" t="str">
        <f t="shared" si="576"/>
        <v/>
      </c>
      <c r="CX241" s="250" t="str">
        <f t="shared" si="521"/>
        <v/>
      </c>
      <c r="CY241" s="250" t="str">
        <f t="shared" si="522"/>
        <v/>
      </c>
      <c r="CZ241" s="250" t="str">
        <f t="shared" si="523"/>
        <v/>
      </c>
      <c r="DA241" s="250" t="str">
        <f t="shared" si="524"/>
        <v/>
      </c>
      <c r="DB241" s="250" t="str">
        <f t="shared" si="525"/>
        <v/>
      </c>
      <c r="DC241" s="250" t="str">
        <f t="shared" si="526"/>
        <v/>
      </c>
      <c r="DD241" s="250" t="str">
        <f t="shared" si="527"/>
        <v/>
      </c>
      <c r="DE241" s="250" t="str">
        <f t="shared" si="528"/>
        <v/>
      </c>
      <c r="DF241" s="250" t="str">
        <f t="shared" si="529"/>
        <v/>
      </c>
      <c r="DG241" s="250" t="str">
        <f t="shared" si="530"/>
        <v/>
      </c>
      <c r="DH241" s="250" t="str">
        <f t="shared" si="531"/>
        <v/>
      </c>
      <c r="DI241" s="250" t="str">
        <f t="shared" si="532"/>
        <v/>
      </c>
      <c r="DJ241" s="250" t="str">
        <f t="shared" si="533"/>
        <v/>
      </c>
      <c r="DK241" s="250" t="str">
        <f t="shared" si="534"/>
        <v/>
      </c>
      <c r="DL241" s="250" t="str">
        <f t="shared" si="535"/>
        <v/>
      </c>
      <c r="DM241" s="250" t="str">
        <f>IF(CD241="ERROR", "ERROR", IF(AND(OR(Y241=$DM$6, Y241='Lookup Tables'!$AD$21, Y241='Lookup Tables'!$AD$22), E241="Interior"), BJ241, ""))</f>
        <v/>
      </c>
      <c r="DN241" s="250" t="str">
        <f>IF(CD241="ERROR", "ERROR", IF(AND(OR(Y241=$DM$6, Y241='Lookup Tables'!$AD$21, Y241='Lookup Tables'!$AD$22), E241="Exterior"), BJ241, ""))</f>
        <v/>
      </c>
      <c r="DO241" s="100"/>
      <c r="DP241" s="250" t="str">
        <f t="shared" si="536"/>
        <v/>
      </c>
      <c r="DQ241" s="250" t="str">
        <f t="shared" si="577"/>
        <v/>
      </c>
      <c r="DR241" s="250" t="str">
        <f t="shared" si="578"/>
        <v/>
      </c>
      <c r="DS241" s="250" t="str">
        <f t="shared" si="579"/>
        <v/>
      </c>
      <c r="DT241" s="250" t="str">
        <f t="shared" si="580"/>
        <v/>
      </c>
      <c r="DU241" s="250" t="str">
        <f t="shared" si="537"/>
        <v/>
      </c>
      <c r="DV241" s="250" t="str">
        <f t="shared" si="538"/>
        <v/>
      </c>
      <c r="DW241" s="250" t="str">
        <f t="shared" si="539"/>
        <v/>
      </c>
      <c r="DX241" s="250" t="str">
        <f t="shared" si="540"/>
        <v/>
      </c>
      <c r="DY241" s="250" t="str">
        <f t="shared" si="541"/>
        <v/>
      </c>
      <c r="DZ241" s="250" t="str">
        <f t="shared" si="542"/>
        <v/>
      </c>
      <c r="EA241" s="250" t="str">
        <f t="shared" si="543"/>
        <v/>
      </c>
      <c r="EB241" s="250" t="str">
        <f t="shared" si="581"/>
        <v/>
      </c>
      <c r="EC241" s="250" t="str">
        <f t="shared" si="544"/>
        <v/>
      </c>
      <c r="ED241" s="250" t="str">
        <f t="shared" si="545"/>
        <v/>
      </c>
      <c r="EE241" s="250" t="str">
        <f t="shared" si="546"/>
        <v/>
      </c>
      <c r="EF241" s="250" t="str">
        <f t="shared" si="547"/>
        <v/>
      </c>
      <c r="EG241" s="250" t="str">
        <f t="shared" si="548"/>
        <v/>
      </c>
      <c r="EH241" s="250" t="str">
        <f>IF(CD241="ERROR", "ERROR", IF(AND(OR($EH$6=Y241, Y241='Lookup Tables'!$AD$21, Y241='Lookup Tables'!$AD$22),E241="Interior"), SUM(BP241:BP241), ""))</f>
        <v/>
      </c>
      <c r="EI241" s="250" t="str">
        <f>IF(CD241="ERROR", "ERROR", IF(AND(OR($EH$6=Y241, Y241='Lookup Tables'!$AD$21, Y241='Lookup Tables'!$AD$22),E241="Exterior"), SUM(BP241:BP241), ""))</f>
        <v/>
      </c>
      <c r="EJ241" s="109"/>
      <c r="EK241" s="485" t="str">
        <f t="shared" si="549"/>
        <v/>
      </c>
      <c r="EL241" s="252" t="str">
        <f t="shared" si="582"/>
        <v/>
      </c>
      <c r="EM241" s="252" t="str">
        <f t="shared" si="583"/>
        <v/>
      </c>
      <c r="EN241" s="252" t="str">
        <f t="shared" si="584"/>
        <v/>
      </c>
      <c r="EO241" s="252" t="str">
        <f t="shared" si="585"/>
        <v/>
      </c>
      <c r="EP241" s="252" t="str">
        <f t="shared" si="586"/>
        <v/>
      </c>
      <c r="EQ241" s="252" t="str">
        <f t="shared" si="587"/>
        <v/>
      </c>
      <c r="ER241" s="252" t="str">
        <f t="shared" si="588"/>
        <v/>
      </c>
      <c r="ES241" s="252" t="str">
        <f t="shared" si="589"/>
        <v/>
      </c>
      <c r="ET241" s="252" t="str">
        <f t="shared" si="590"/>
        <v/>
      </c>
      <c r="EU241" s="252" t="str">
        <f t="shared" si="591"/>
        <v/>
      </c>
      <c r="EV241" s="252" t="str">
        <f t="shared" si="592"/>
        <v/>
      </c>
      <c r="EW241" s="252" t="str">
        <f t="shared" si="593"/>
        <v/>
      </c>
      <c r="EX241" s="252" t="str">
        <f t="shared" si="594"/>
        <v/>
      </c>
      <c r="EY241" s="252" t="str">
        <f t="shared" si="595"/>
        <v/>
      </c>
      <c r="EZ241" s="252" t="str">
        <f t="shared" si="596"/>
        <v/>
      </c>
      <c r="FA241" s="252" t="str">
        <f t="shared" si="597"/>
        <v/>
      </c>
      <c r="FB241" s="252" t="str">
        <f t="shared" si="598"/>
        <v/>
      </c>
      <c r="FC241" s="252" t="str">
        <f>IF(CD241="ERROR", "ERROR", IF(OR(V241="No Change", V241="Not DLC or Energy Star"), "", IF(AND(OR($FC$6=Y241,Y241='Lookup Tables'!$AD$21, Y241='Lookup Tables'!$AD$22),E241="Interior"), S241, "")))</f>
        <v/>
      </c>
      <c r="FD241" s="252" t="str">
        <f t="shared" si="599"/>
        <v/>
      </c>
      <c r="FE241" s="101"/>
      <c r="FF241" s="579" t="str" cm="1">
        <f t="array" ref="FF241">IFERROR(IF(OR(BQ241&lt;=0,AQ241&lt;20,AND(V241="Exit Signs",AN241&gt;0)),"",IF(AND(AQ241&gt;=20,AN241='Lookup Tables'!$R$101),'Lookup Tables'!$U$101*BQ241,AP241*LOOKUP(2,1/((AN241='Lookup Tables'!$R$91:$R$111)*(AQ241&gt;='Lookup Tables'!$S$91:$S$111)*(AQ241&lt;='Lookup Tables'!$T$91:$T$111)),'Lookup Tables'!$U$91:$U$111))),"")</f>
        <v/>
      </c>
      <c r="FG241" s="579"/>
      <c r="FH241" s="579"/>
      <c r="FI241" s="253" t="str">
        <f>IFERROR(ROUND(IF(CD241="ERROR", "ERROR", IF(AND($FI$7=X241,E241="Interior"),VLOOKUP(W241, 'Lookup Tables'!$AI$6:$AM$102, 5, FALSE)*BP241, "")), 2), "")</f>
        <v/>
      </c>
      <c r="FJ241" s="253" t="str">
        <f>IFERROR(ROUND(IF(CD241="ERROR", "ERROR", IF(AND($FI$7=X241,E241="Exterior"),VLOOKUP(W241, 'Lookup Tables'!$AI$6:$AM$102, 5, FALSE)*BP241, "")), 2), "")</f>
        <v/>
      </c>
      <c r="FK241" s="253" t="str">
        <f>IFERROR(ROUND(IF(CD241="ERROR", "ERROR", IF(AND($FK$7=X241,E241="Interior"),VLOOKUP(W241, 'Lookup Tables'!$AI$6:$AM$102, 5, FALSE)*BP241, "")), 2), "")</f>
        <v/>
      </c>
      <c r="FL241" s="253" t="str">
        <f>IFERROR(ROUND(IF(CD241="ERROR", "ERROR", IF(AND($FK$7=X241,E241="Exterior"),VLOOKUP(W241, 'Lookup Tables'!$AI$6:$AM$102, 5, FALSE)*BP241, "")), 2), "")</f>
        <v/>
      </c>
      <c r="FM241" s="253" t="str">
        <f>IFERROR(ROUND(IF(CD241="ERROR", "ERROR", IF(AND($FM$6=Y241,E241="Interior"), IF(GB241=0, VLOOKUP(W241, 'Lookup Tables'!$AI$6:$AM$102, 5, FALSE)*BP241, IF(VLOOKUP(W241, 'Lookup Tables'!$AI$6:$AM$102, 5, FALSE)*BP241&gt;GB241*'Lighting Inventory'!S241, GB241*'Lighting Inventory'!S241,VLOOKUP(W241, 'Lookup Tables'!$AI$6:$AM$102, 5, FALSE)*BP241)), "")), 2), "")</f>
        <v/>
      </c>
      <c r="FN241" s="253" t="str">
        <f>IFERROR(ROUND(IF(CD241="ERROR", "ERROR", IF(AND($FM$6=Y241,E241="Exterior"), IF(GB241=0, VLOOKUP(W241, 'Lookup Tables'!$AI$6:$AM$102, 5, FALSE)*BP241, IF(VLOOKUP(W241, 'Lookup Tables'!$AI$6:$AM$102, 5, FALSE)*BP241&gt;GB241*'Lighting Inventory'!S241, GB241*'Lighting Inventory'!S241,VLOOKUP(W241, 'Lookup Tables'!$AI$6:$AM$102, 5, FALSE)*BP241)), "")), 2), "")</f>
        <v/>
      </c>
      <c r="FO241" s="253" t="str">
        <f>IFERROR(ROUND(IF(CD241="ERROR", "ERROR", IF(AND($FO$6=Y241,E241="Interior"),VLOOKUP(W241, 'Lookup Tables'!$AI$6:$AM$102, 5, FALSE)*'Lighting Inventory'!AI241, "")), 2), "")</f>
        <v/>
      </c>
      <c r="FP241" s="253" t="str">
        <f>IFERROR(ROUND(IF(CD241="ERROR", "ERROR", IF(AND($FO$6=Y241,E241="Exterior"),VLOOKUP(W241, 'Lookup Tables'!$AI$6:$AM$102, 5, FALSE)*'Lighting Inventory'!AI241, "")), 2), "")</f>
        <v/>
      </c>
      <c r="FQ241" s="253" t="str">
        <f>IFERROR(ROUND(IF(CD241="ERROR", "ERROR", IF(AND($FQ$6=Y241,E241="Interior", BU241="Y"), VLOOKUP('Lighting Inventory'!W241, 'Lookup Tables'!$AI$6:$AM$102, 5, FALSE)*'Lighting Inventory'!S241, IF(AND($FQ$7=Y241,E241="Interior", BU241="N"), 0.025*CD241, ""))), 2), "")</f>
        <v/>
      </c>
      <c r="FR241" s="253" t="str">
        <f>IFERROR(ROUND(IF(CD241="ERROR", "ERROR", IF(AND($FQ$6=Y241,E241="Exterior"), VLOOKUP('Lighting Inventory'!W241, 'Lookup Tables'!$AI$6:$AM$102, 5, FALSE)*'Lighting Inventory'!S241, "")), 2), "")</f>
        <v/>
      </c>
      <c r="FS241" s="253" t="str">
        <f>IFERROR(ROUND(IF(CD241="ERROR", "ERROR", IF(AND($FS$6=Y241,E241="Exterior"), IF(GB241=0, VLOOKUP(W241, 'Lookup Tables'!$AI$6:$AM$102, 5, FALSE)*BP241, IF(VLOOKUP(W241, 'Lookup Tables'!$AI$6:$AM$102, 5, FALSE)*BP241&gt;GB241*'Lighting Inventory'!S241, GB241*'Lighting Inventory'!S241,VLOOKUP(W241, 'Lookup Tables'!$AI$6:$AM$102, 5, FALSE)*BP241)), "")), 2), "")</f>
        <v/>
      </c>
      <c r="FT241" s="253" t="str">
        <f>IFERROR(ROUND(IF(CD241="ERROR", "ERROR", IF(AND($FT$6=Y241,E241="Interior"), IF(GB241=0, VLOOKUP(W241, 'Lookup Tables'!$AI$6:$AM$102, 5, FALSE)*BP241, IF(VLOOKUP(W241, 'Lookup Tables'!$AI$6:$AM$102, 5, FALSE)*BP241&gt;GB241*'Lighting Inventory'!S241, GB241*'Lighting Inventory'!S241,VLOOKUP(W241, 'Lookup Tables'!$AI$6:$AM$102, 5, FALSE)*BP241)), "")), 2), "")</f>
        <v/>
      </c>
      <c r="FU241" s="253" t="str">
        <f>IFERROR(ROUND(IF(CD241="ERROR", "ERROR", IF(AND(Y241=$FU$6, E241="Interior"), IF(BS241="N", 'Lookup Tables'!$AM$101*BP241, VLOOKUP(W241, 'Lookup Tables'!$AI$6:$AM$102, 5, FALSE)*S241*AD241), "")), 2), "")</f>
        <v/>
      </c>
      <c r="FV241" s="253" t="str">
        <f>IFERROR(ROUND(IF(CD241="ERROR", "ERROR", IF(AND(Y241=$FU$6, E241="Exterior"), IF(BS241="N", 'Lookup Tables'!$AM$101*BP241, VLOOKUP(W241, 'Lookup Tables'!$AI$6:$AM$102, 5, FALSE)*S241*AD241), "")), 2), "")</f>
        <v/>
      </c>
      <c r="FW241" s="253" t="str">
        <f>IFERROR(ROUND(IF(CD241="ERROR", "ERROR", IF($FW$6=Y241, IF(BS241="N", 'Lookup Tables'!$AM$101*BP241, MIN((VLOOKUP(W241, 'Lookup Tables'!$AI$6:$AM$102, 5, FALSE)*BP241),GB241*AJ241)), "")), 2), "")</f>
        <v/>
      </c>
      <c r="FX241" s="253" t="str">
        <f>IFERROR(ROUND(IF(CD241="ERROR", "ERROR", IF(AND($FX$6=Y241, E241="Interior"), IF(VLOOKUP(W241, 'Lookup Tables'!$AI$6:$AM$102, 5, FALSE)*BP241&gt;'Lookup Tables'!$AQ$97*'Lighting Inventory'!S241,'Lighting Inventory'!S241*'Lookup Tables'!$AQ$97,VLOOKUP(W241, 'Lookup Tables'!$AI$6:$AM$102, 5, FALSE)*BP241), "")), 2), "")</f>
        <v/>
      </c>
      <c r="FY241" s="253" t="str">
        <f>IFERROR(ROUND(IF(CD241="ERROR", "ERROR", IF(AND($FX$6=Y241, E241="Exterior"), IF(VLOOKUP(W241, 'Lookup Tables'!$AI$6:$AM$102, 5, FALSE)*BP241&gt;'Lookup Tables'!$AQ$97*'Lighting Inventory'!S241,'Lighting Inventory'!S241*'Lookup Tables'!$AQ$97,VLOOKUP(W241, 'Lookup Tables'!$AI$6:$AM$102, 5, FALSE)*BP241), "")), 2), "")</f>
        <v/>
      </c>
      <c r="FZ241" s="253" t="str">
        <f>IFERROR(ROUND(IF(CD241="ERROR", "ERROR", IF(AND($FZ$6=Y241, E241="Interior"), IF(AND(OR(W241="Refrigerated Case Lighting with Doors", W241="Freezer Case Lighting"),Y241="Custom - Process Improvement"),CD241*'Lookup Tables'!$AM$101, IF(B241="Retrofit", IF(VLOOKUP(IF(V241="Custom", V241, W241), 'Lookup Tables'!$AI$6:$AM$102, 5, FALSE)*BP241&gt;GE241, GE241, VLOOKUP(IF(V241="Custom", V241, W241), 'Lookup Tables'!$AI$6:$AM$102, 5, FALSE)*BP241), IF(VLOOKUP(IF(V241="Custom", V241, W241), 'Lookup Tables'!$AI$114:$AM$154, 5, FALSE)*BP241&gt;GE241, GE241, VLOOKUP(IF(V241="Custom", V241, W241), 'Lookup Tables'!$AI$114:$AM$154, 5, FALSE)*BP241))), "")), 2),"")</f>
        <v/>
      </c>
      <c r="GA241" s="253" t="str">
        <f>IFERROR(ROUND(IF(CD241="ERROR", "ERROR", IF(AND($FZ$6=Y241, E241="Exterior"), IF(B241="Retrofit", IF(VLOOKUP(IF(V241="Custom", V241, W241), 'Lookup Tables'!$AI$6:$AM$102, 5, FALSE)*BP241&gt;GE241, GE241, VLOOKUP(IF(V241="Custom", V241, W241), 'Lookup Tables'!$AI$6:$AM$102, 5, FALSE)*BP241), IF(VLOOKUP(IF(V241="Custom", V241, W241), 'Lookup Tables'!$AI$114:$AM$154, 5, FALSE)*BP241&gt;GE241, GE241, VLOOKUP(IF(V241="Custom", V241, W241), 'Lookup Tables'!$AI$114:$AM$154, 5, FALSE)*BP241)), "")), 2),"")</f>
        <v/>
      </c>
      <c r="GB241" s="254" t="str">
        <f t="array" ref="GB241">IF(B241="","",IF(OR(V241="Custom",V241="No Change"),0,IF(B241="Retrofit", INDEX('Lookup Tables'!$AH$6:$AQ$102,MATCH(1,('Lookup Tables'!$AH$6:$AH$102='Lighting Inventory'!V241)*('Lookup Tables'!$AI$6:$AI$102='Lighting Inventory'!W241),FALSE),10),INDEX('Lookup Tables'!$AH$114:$AQ$154,MATCH(1,('Lookup Tables'!$AH$114:$AH$154='Lighting Inventory'!V241)*('Lookup Tables'!$AI$114:$AI$154='Lighting Inventory'!W241),FALSE),10))))</f>
        <v/>
      </c>
      <c r="GC241" s="255" t="str">
        <f t="shared" si="550"/>
        <v/>
      </c>
      <c r="GD241" s="250" t="str">
        <f t="shared" si="551"/>
        <v/>
      </c>
      <c r="GE241" s="253" t="str">
        <f>IFERROR(IF(AND(AF241="", 'General Information'!$F$18="No"),"", IF(AF241="", ((GD241/$CD$266)*$CF$266)*0.5, AF241*S241*0.5)), "")</f>
        <v/>
      </c>
      <c r="GF241" s="255" t="str">
        <f>IF(AND('General Information'!$F$19="", 'General Information'!$F$18="Yes",AF241="",BW241="Y"), "Y", "N")</f>
        <v>N</v>
      </c>
      <c r="GG241" s="255" t="s">
        <v>2946</v>
      </c>
      <c r="GH241" s="255" t="str">
        <f>IFERROR(IF(B241="", "", VLOOKUP(J241, 'Fixture Identities'!$A$6:$N$908, 14, FALSE)), "")</f>
        <v/>
      </c>
      <c r="GI241" s="389" t="str">
        <f>IF(OR(B241="", V241="", W241=""), "", IF(AND(OR(M241='Lookup Tables'!$R$18, M241='Lookup Tables'!$R$19, M241='Lookup Tables'!$R$20, M241='Lookup Tables'!$R$21, M241='Lookup Tables'!$R$22), OR(AN241='Lookup Tables'!$R$17, AN241='Lookup Tables'!$R$17, AN241="")), "Y", "N"))</f>
        <v/>
      </c>
      <c r="GJ241" s="255" t="str">
        <f t="shared" si="552"/>
        <v/>
      </c>
      <c r="GK241" s="255" t="str">
        <f t="shared" si="553"/>
        <v/>
      </c>
      <c r="GL241" s="255" t="str">
        <f t="shared" si="554"/>
        <v/>
      </c>
      <c r="GM241" s="255" t="str">
        <f>IF(AN241="", "", IF(AND(IF(ISNA(VLOOKUP(AN241,'Lookup Tables'!$R$18:$R$22,1,FALSE)), "N", "Y")="Y", E241="Exterior"), "Y", "N"))</f>
        <v/>
      </c>
      <c r="GN241" s="395"/>
      <c r="GO241" s="428">
        <f t="shared" si="600"/>
        <v>0</v>
      </c>
      <c r="GP241" s="428">
        <f t="shared" si="603"/>
        <v>0</v>
      </c>
      <c r="GQ241" s="428">
        <f t="shared" si="601"/>
        <v>0</v>
      </c>
      <c r="GR241" s="428">
        <f t="shared" si="602"/>
        <v>0</v>
      </c>
    </row>
    <row r="242" spans="1:200" s="103" customFormat="1" ht="13.5" customHeight="1" x14ac:dyDescent="0.2">
      <c r="A242" s="272">
        <v>232</v>
      </c>
      <c r="B242" s="110"/>
      <c r="C242" s="110"/>
      <c r="D242" s="110"/>
      <c r="E242" s="110"/>
      <c r="F242" s="110"/>
      <c r="G242" s="110"/>
      <c r="H242" s="110"/>
      <c r="I242" s="29"/>
      <c r="J242" s="29"/>
      <c r="K242" s="272" t="str">
        <f>IFERROR(IF(OR(VLOOKUP(J242, 'Fixture Identities'!$A$6:$L$1023, 3, FALSE)="T12 Linear Fluorescent", VLOOKUP(J242, 'Fixture Identities'!$A$6:$L$1023, 3, FALSE)="T12 U-Tube Fluorescent"), VLOOKUP(VLOOKUP(J242, 'Fixture Identities'!$A$6:$L$1023, 11, FALSE), 'Fixture Identities'!$A$6:$L$1023, 10, FALSE), VLOOKUP(J242, 'Fixture Identities'!$A$6:$L$1023, 10, FALSE)), "")</f>
        <v/>
      </c>
      <c r="L242" s="270" t="str">
        <f t="shared" si="605"/>
        <v/>
      </c>
      <c r="M242" s="110"/>
      <c r="N242" s="110"/>
      <c r="O242" s="110"/>
      <c r="P242" s="272" t="str">
        <f>IFERROR(IF(OR(B242="Retrofit",B242=""),"",IF('Lighting Inventory'!E242="Exterior",VLOOKUP('Lighting Inventory'!N242,'Lookup Tables'!$B$83:$F$103,5,FALSE),IF(N242="Other - Please Estimate EFLH and CFs","Contact Prog. Rep.","ft^2"))), "")</f>
        <v/>
      </c>
      <c r="Q242" s="270" t="str">
        <f>IFERROR(IF(AND(B242="New Construction",E242="Interior",$F$5="Space-by-Space"),VLOOKUP('Lighting Inventory'!N242,'Lookup Tables'!$N$6:$O$97,2,FALSE),IF(AND(B242="New Construction",E242="Exterior"),VLOOKUP(N242,'Lookup Tables'!$B$83:$F$103,2,FALSE),IF(AND(B242="New Construction",'Lighting Inventory'!E242="Interior", $F$5="Building Area"),VLOOKUP(F242,'Lookup Tables'!$A$6:$J$59,10,FALSE),""))), "")</f>
        <v/>
      </c>
      <c r="R242" s="270" t="str">
        <f>IFERROR(IF(P242="Contact Prog. Rep.", "ERROR", IF(OR(B242="",B242="Retrofit"),"",IF(N242="Automated teller machines", ('Lookup Tables'!$A$82:$E$100+('Lighting Inventory'!O242-1)*'Lookup Tables'!$A$82:$E$100)/1000, (Q242*O242)/1000))), "")</f>
        <v/>
      </c>
      <c r="S242" s="595"/>
      <c r="T242" s="105" t="str">
        <f t="shared" si="555"/>
        <v/>
      </c>
      <c r="U242" s="105" t="str">
        <f>IF(S242="","",COUNT($S$11:S242))</f>
        <v/>
      </c>
      <c r="V242" s="111"/>
      <c r="W242" s="112"/>
      <c r="X242" s="105" t="str">
        <f t="shared" si="556"/>
        <v/>
      </c>
      <c r="Y242" s="105" t="str">
        <f t="array" ref="Y242">IF(AND(OR(W242="Freezer Case Lighting", W242="Refrigerated Case Lighting with Doors"), 'General Information'!$X$18="LCI"),'Lookup Tables'!$Y$34, IF(V242="Custom", VLOOKUP(W242, 'Fixture Identities'!$A$974:$M$1023, 13, FALSE), IF(V242="No Change",'Lookup Tables'!$Y$29,IF(OR(V242="",W242=""),"",IF(AND(S242=0,S242&lt;I242,B242="Retrofit"),'Lookup Tables'!$Y$25, IF(B242="Retrofit", INDEX('Lookup Tables'!$AH$6:$AP$102, MATCH(1, ('Lookup Tables'!$AH$6:$AH$102=V242)*('Lookup Tables'!$AI$6:$AI$102=W242), 0), IF('Lighting Inventory'!E242="Interior", 4, 5)), INDEX('Lookup Tables'!$AH$114:$AP$154, MATCH(1, ('Lookup Tables'!$AH$114:$AH$154=V242)*('Lookup Tables'!$AI$114:$AI$154=W242), 0), IF('Lighting Inventory'!E242="Interior", 4, 5))))))))</f>
        <v/>
      </c>
      <c r="Z242" s="105" t="str">
        <f>IFERROR(INDEX('Lookup Tables'!$AH$158:$AH$172,MATCH('Lighting Inventory'!Y242,'Lookup Tables'!$AI$158:$AI$172,0)),"")</f>
        <v/>
      </c>
      <c r="AA242" s="105" t="str">
        <f>IF(AP242&gt;0,INDEX('Lookup Tables'!$AK$158:$AK$172,MATCH('Lighting Inventory'!Y242,'Lookup Tables'!$AI$158:$AI$172,0)),'Lighting Inventory'!Y242)</f>
        <v/>
      </c>
      <c r="AB242" s="105" t="str">
        <f t="array" ref="AB242">IF(V242="Custom", "Custom", IF(V242="", "", IF(V242="Not DLC or Energy Star", "General", IF(B242="New Construction", INDEX('Lookup Tables'!$AH$114:$AP$154,MATCH(1,('Lookup Tables'!$AH$114:$AH$154='Lighting Inventory'!V242)*('Lookup Tables'!$AI$114:$AI$154='Lighting Inventory'!W242),FALSE),8), INDEX('Lookup Tables'!$AH$6:$AP$102,MATCH(1,('Lookup Tables'!$AH$6:$AH$102='Lighting Inventory'!V242)*('Lookup Tables'!$AI$6:$AI$102='Lighting Inventory'!W242),FALSE),8)))))</f>
        <v/>
      </c>
      <c r="AC242" s="272" t="str">
        <f>IF(W242="","",IF(V242="Custom",CONCATENATE("$",'Lookup Tables'!$AM$101," ",'Lookup Tables'!$AN$101),CONCATENATE("$",INDEX('Lookup Tables'!$AM$6:$AM$102,MATCH('Lighting Inventory'!W242,'Lookup Tables'!$AI$6:$AI$102,0))," ",INDEX('Lookup Tables'!$AN$6:$AN$102,MATCH('Lighting Inventory'!W242,'Lookup Tables'!$AI$6:$AI$102,0)))))</f>
        <v/>
      </c>
      <c r="AD242" s="72"/>
      <c r="AE242" s="29"/>
      <c r="AF242" s="379"/>
      <c r="AG242" s="370" t="str">
        <f t="shared" si="504"/>
        <v/>
      </c>
      <c r="AH242" s="370" t="str">
        <f t="shared" si="557"/>
        <v/>
      </c>
      <c r="AI242" s="29"/>
      <c r="AJ242" s="29"/>
      <c r="AK242" s="110"/>
      <c r="AL242" s="375" t="str">
        <f>IF(OR(B242="", V242="", W242=""), "", IF(V242="No Change", K242, IF(V242="Remove Fixture", 0, IF(V242="Custom",VLOOKUP(W242,'Fixture Identities'!$A$6:$K$1023,10,FALSE),IF(AE242="", "← ENTER POST WATTS", 'Lighting Inventory'!AE242)))))</f>
        <v/>
      </c>
      <c r="AM242" s="376" t="str">
        <f t="shared" si="505"/>
        <v/>
      </c>
      <c r="AN242" s="29"/>
      <c r="AO242" s="671"/>
      <c r="AP242" s="29"/>
      <c r="AQ242" s="29"/>
      <c r="AR242" s="29"/>
      <c r="AS242" s="272" t="str">
        <f t="shared" si="558"/>
        <v/>
      </c>
      <c r="AT242" s="270" t="str">
        <f t="shared" si="506"/>
        <v/>
      </c>
      <c r="AU242" s="88" t="str">
        <f t="shared" si="606"/>
        <v/>
      </c>
      <c r="AV242" s="29"/>
      <c r="AW242" s="73"/>
      <c r="AX242" s="271" t="str">
        <f>IF(AND(AV242="Applicant",OR(AW242="", AW242="Use Default Facility Hours")),"← Choose Schedule",IF(F242="","",IF(W242="LED Exit Signs",8760,IF(OR(AV242="Prescribed",AV242=""),VLOOKUP(F242,'Lookup Tables'!$A$6:$G$59,IF(AB242="General", 6, 3),FALSE),VLOOKUP(AW242,'Lookup Tables'!$S$36:$U$43,2,FALSE)))))</f>
        <v/>
      </c>
      <c r="AY242" s="88" t="str">
        <f t="shared" si="507"/>
        <v/>
      </c>
      <c r="AZ242" s="270" t="str">
        <f>IFERROR(IF(F242="", "", IF(W242="LED Exit Signs", 1, IF(AV242="Applicant",VLOOKUP(AW242, 'Lookup Tables'!$S$36:$U$43,3, FALSE), VLOOKUP('Lighting Inventory'!F242, 'Lookup Tables'!$A$6:$H$59, IF('Lighting Inventory'!AB242="General",7,4), FALSE)))), "")</f>
        <v/>
      </c>
      <c r="BA242" s="522" t="str">
        <f>IFERROR(IF(F242="", "", IF(W242="LED Exit Signs", 1, VLOOKUP('Lighting Inventory'!F242, 'Lookup Tables'!$A$6:$H$59, IF('Lighting Inventory'!AB242="General",8,5), FALSE))), "")</f>
        <v/>
      </c>
      <c r="BB242" s="270" t="str">
        <f>IF(G242="", "", IF(E242="Exterior", 0, IF('Lighting Inventory'!G242="Air Conditioned", VLOOKUP(H242, 'Lookup Tables'!$R$6:$T$13, 2, FALSE), VLOOKUP('Lighting Inventory'!G242, 'Lookup Tables'!$R$6:$T$13, 2, FALSE))))</f>
        <v/>
      </c>
      <c r="BC242" s="522" t="str">
        <f>IF(G242="", "", IF(E242="Exterior", 0, IF('Lighting Inventory'!G242="Air Conditioned", VLOOKUP(H242, 'Lookup Tables'!$R$6:$T$13, 3, FALSE), VLOOKUP('Lighting Inventory'!G242, 'Lookup Tables'!$R$6:$T$13, 3, FALSE))))</f>
        <v/>
      </c>
      <c r="BD242" s="270" t="str">
        <f>IF(G242="", "", IF(E242="Exterior", 0, IF('Lighting Inventory'!G242="Air Conditioned", VLOOKUP(H242, 'Lookup Tables'!$R$6:$U$13, 4, FALSE), VLOOKUP('Lighting Inventory'!G242, 'Lookup Tables'!$R$6:$U$13, 4, FALSE))))</f>
        <v/>
      </c>
      <c r="BE242" s="270" t="str">
        <f>IFERROR(IF(B242="", "",  IF(B242="New Construction", VLOOKUP(F242, 'Lookup Tables'!$A$6:$K$59, 11, FALSE),IF(OR(AN242="", AN242="Light Switch"), 0, IF(OR(M242="",M242="None",V242= "LED Exit Signs"),0,_xlfn.XLOOKUP(M242,'Lookup Tables'!$R$91:$R$101,'Lookup Tables'!$V$91:$V$101))))), "")</f>
        <v/>
      </c>
      <c r="BF242" s="270" t="str">
        <f>IF(AND(OR(AN242="Light Switch",AN242=""),B242="New Construction"), VLOOKUP(F242, 'Lookup Tables'!$A$6:$K$59, 11, FALSE),IF(AN242="","",IF(B242="","",IF(OR(AN242="None",AN242="",V242="LED Exit Signs",AN242="Exterior Controls Not Eligible"),0,_xlfn.XLOOKUP(AN242,'Lookup Tables'!$R$91:$R$101,'Lookup Tables'!$V$91:$V$101)))))</f>
        <v/>
      </c>
      <c r="BG242" s="88" t="str">
        <f t="shared" si="559"/>
        <v/>
      </c>
      <c r="BH242" s="88" t="str">
        <f t="shared" si="560"/>
        <v/>
      </c>
      <c r="BI242" s="558" t="str">
        <f t="shared" si="604"/>
        <v/>
      </c>
      <c r="BJ242" s="82" t="str">
        <f t="shared" si="561"/>
        <v/>
      </c>
      <c r="BK242" s="82" t="str">
        <f t="shared" si="562"/>
        <v/>
      </c>
      <c r="BL242" s="559" t="str">
        <f t="shared" si="563"/>
        <v/>
      </c>
      <c r="BM242" s="521" t="str">
        <f t="shared" si="508"/>
        <v/>
      </c>
      <c r="BN242" s="521" t="str">
        <f t="shared" si="509"/>
        <v/>
      </c>
      <c r="BO242" s="522" t="str">
        <f t="shared" si="510"/>
        <v/>
      </c>
      <c r="BP242" s="83" t="str">
        <f t="shared" si="564"/>
        <v/>
      </c>
      <c r="BQ242" s="84" t="str">
        <f t="shared" si="565"/>
        <v/>
      </c>
      <c r="BR242" s="184" t="str">
        <f>IFERROR(IF(B242="", "", IF(OR(VLOOKUP(J242, 'Fixture Identities'!$A$6:$L$1023, 3, FALSE)="T12 Linear Fluorescent",VLOOKUP(J242, 'Fixture Identities'!$A$6:$L$1023, 3, FALSE)="T12 U-Tube Fluorescent"), "Y", "N")), "N")</f>
        <v/>
      </c>
      <c r="BS242" s="184" t="str">
        <f t="array" ref="BS242">IFERROR(IF(OR(B242="", V242="", W242=""), "", IF(V242="Custom", "N", IF(OR(W242="Freezer Case Lighting", W242="Refrigerated Case Lighting with Doors"), BT242, IF(B242="Retrofit", INDEX('Lookup Tables'!$AH$6:$AT$102,MATCH(1,('Lookup Tables'!$AH$6:$AH$102=V242)*('Lookup Tables'!$AI$6:$AI$102=W242),FALSE),IF(VLOOKUP(J242, 'Fixture Identities'!$A$6:$B$1023, 2, FALSE)="Incandescent",12, 13)), INDEX('Lookup Tables'!$AH$114:$AS$154,MATCH(1,('Lookup Tables'!$AH$114:$AH$154=V242)*('Lookup Tables'!$AI$114:$AI$154=W242),FALSE),12))))), "N")</f>
        <v/>
      </c>
      <c r="BT242" s="184" t="str">
        <f>IF(J242="", "", IF(AND(OR(W242="Freezer case Lighting", W242="Refrigerated Case Lighting with Doors"),'General Information'!$X$18="LCI"), "N", IF(OR(VLOOKUP(J242, 'Fixture Identities'!$A$6:$B$1023, 2, FALSE)="T12 EPACT/EISA Baseline", VLOOKUP(J242, 'Fixture Identities'!$A$6:$B$1023, 2, FALSE)="Linear Fluorescent", VLOOKUP(J242, 'Fixture Identities'!$A$6:$B$1023, 2, FALSE)="U-Tube Fluorescent"), "Y", "N")))</f>
        <v/>
      </c>
      <c r="BU242" s="184" t="str">
        <f>IFERROR(IF(B242="", "", IF(VLOOKUP(J242, 'Fixture Identities'!$A$6:$B$1023, 2, FALSE)="Exit Sign", "Y", "N")), "N")</f>
        <v/>
      </c>
      <c r="BV242" s="184" t="str">
        <f>IF(V242="Exit Signs", IF(VLOOKUP(J242, 'Fixture Identities'!$A$6:$B$1023, 2, FALSE)="Exit Sign", "N", "Y"), "")</f>
        <v/>
      </c>
      <c r="BW242" s="184" t="str">
        <f t="array" ref="BW242">IFERROR(IF(B242="", "", IF(B242="New Construction", "N", INDEX('Lookup Tables'!$AH$6:$AU$102, MATCH(1, ('Lookup Tables'!$AH$6:$AH$102='Lighting Inventory'!V242)*('Lookup Tables'!$AI$6:$AI$102='Lighting Inventory'!W242), 0), 14))), "N")</f>
        <v/>
      </c>
      <c r="BX242" s="598" t="str">
        <f t="shared" si="566"/>
        <v/>
      </c>
      <c r="BY242" s="598" t="str">
        <f t="shared" si="567"/>
        <v/>
      </c>
      <c r="BZ242" s="598" t="str">
        <f t="shared" si="568"/>
        <v/>
      </c>
      <c r="CA242" s="598" t="str">
        <f t="shared" si="569"/>
        <v/>
      </c>
      <c r="CB242" s="269" t="str">
        <f t="shared" si="570"/>
        <v/>
      </c>
      <c r="CC242" s="517" t="str">
        <f t="shared" si="571"/>
        <v/>
      </c>
      <c r="CD242" s="565" t="str">
        <f t="shared" si="511"/>
        <v/>
      </c>
      <c r="CE242" s="368">
        <v>0</v>
      </c>
      <c r="CF242" s="368" t="str" cm="1">
        <f t="array" ref="CF242">IFERROR(IF(V242="Custom", "$0.1 per kWh", IF(B242="New Construction", CONCATENATE("$",INDEX('Lookup Tables'!$AH$114:$AN$154,MATCH(1,('Lookup Tables'!$AH$114:$AH$154='Lighting Inventory'!V242)*('Lookup Tables'!$AI$114:$AI$154='Lighting Inventory'!W242),FALSE),6)," ",INDEX('Lookup Tables'!$AH$114:$AN$154,MATCH(1,('Lookup Tables'!$AH$114:$AH$154='Lighting Inventory'!V242)*('Lookup Tables'!$AI$114:$AI$154='Lighting Inventory'!W242),FALSE),7)), IF(AND(BU242="N", V242="Exit Signs"), "$0.025 per kWh", CONCATENATE("$",INDEX('Lookup Tables'!$AH$6:$AN$102,MATCH(1,('Lookup Tables'!$AH$6:$AH$102='Lighting Inventory'!V242)*('Lookup Tables'!$AI$6:$AI$102='Lighting Inventory'!W242),FALSE),6)," ",INDEX('Lookup Tables'!$AH$6:$AN$102,MATCH(1,('Lookup Tables'!$AH$6:$AH$102='Lighting Inventory'!V242)*('Lookup Tables'!$AI$6:$AI$102='Lighting Inventory'!W242),FALSE),7))))), "")</f>
        <v/>
      </c>
      <c r="CG242" s="366"/>
      <c r="CH242" s="248" t="str">
        <f t="shared" si="512"/>
        <v/>
      </c>
      <c r="CI242" s="248" t="str">
        <f t="shared" si="513"/>
        <v>Select_IE</v>
      </c>
      <c r="CJ242" s="248" t="str">
        <f t="shared" si="514"/>
        <v/>
      </c>
      <c r="CK242" s="248" t="str">
        <f t="shared" si="515"/>
        <v/>
      </c>
      <c r="CL242" s="248" t="str">
        <f t="shared" si="516"/>
        <v/>
      </c>
      <c r="CM242" s="248" t="str">
        <f>IFERROR(IF(B242="", "", IF(B242="New Construction", VLOOKUP(V242, 'Lookup Tables'!$AF$114:$AG$120, 2, FALSE), VLOOKUP(V242, 'Lookup Tables'!$AD$6:$AE$25, 2, FALSE))), "")</f>
        <v/>
      </c>
      <c r="CN242" s="248" t="str">
        <f t="shared" si="517"/>
        <v/>
      </c>
      <c r="CO242" s="248" t="str">
        <f t="shared" si="518"/>
        <v/>
      </c>
      <c r="CP242" s="592" t="str">
        <f t="shared" si="519"/>
        <v/>
      </c>
      <c r="CQ242" s="248" t="str">
        <f t="shared" si="572"/>
        <v/>
      </c>
      <c r="CR242" s="249"/>
      <c r="CS242" s="250" t="str">
        <f t="shared" si="520"/>
        <v/>
      </c>
      <c r="CT242" s="250" t="str">
        <f t="shared" si="573"/>
        <v/>
      </c>
      <c r="CU242" s="250" t="str">
        <f t="shared" si="574"/>
        <v/>
      </c>
      <c r="CV242" s="250" t="str">
        <f t="shared" si="575"/>
        <v/>
      </c>
      <c r="CW242" s="250" t="str">
        <f t="shared" si="576"/>
        <v/>
      </c>
      <c r="CX242" s="250" t="str">
        <f t="shared" si="521"/>
        <v/>
      </c>
      <c r="CY242" s="250" t="str">
        <f t="shared" si="522"/>
        <v/>
      </c>
      <c r="CZ242" s="250" t="str">
        <f t="shared" si="523"/>
        <v/>
      </c>
      <c r="DA242" s="250" t="str">
        <f t="shared" si="524"/>
        <v/>
      </c>
      <c r="DB242" s="250" t="str">
        <f t="shared" si="525"/>
        <v/>
      </c>
      <c r="DC242" s="250" t="str">
        <f t="shared" si="526"/>
        <v/>
      </c>
      <c r="DD242" s="250" t="str">
        <f t="shared" si="527"/>
        <v/>
      </c>
      <c r="DE242" s="250" t="str">
        <f t="shared" si="528"/>
        <v/>
      </c>
      <c r="DF242" s="250" t="str">
        <f t="shared" si="529"/>
        <v/>
      </c>
      <c r="DG242" s="250" t="str">
        <f t="shared" si="530"/>
        <v/>
      </c>
      <c r="DH242" s="250" t="str">
        <f t="shared" si="531"/>
        <v/>
      </c>
      <c r="DI242" s="250" t="str">
        <f t="shared" si="532"/>
        <v/>
      </c>
      <c r="DJ242" s="250" t="str">
        <f t="shared" si="533"/>
        <v/>
      </c>
      <c r="DK242" s="250" t="str">
        <f t="shared" si="534"/>
        <v/>
      </c>
      <c r="DL242" s="250" t="str">
        <f t="shared" si="535"/>
        <v/>
      </c>
      <c r="DM242" s="250" t="str">
        <f>IF(CD242="ERROR", "ERROR", IF(AND(OR(Y242=$DM$6, Y242='Lookup Tables'!$AD$21, Y242='Lookup Tables'!$AD$22), E242="Interior"), BJ242, ""))</f>
        <v/>
      </c>
      <c r="DN242" s="250" t="str">
        <f>IF(CD242="ERROR", "ERROR", IF(AND(OR(Y242=$DM$6, Y242='Lookup Tables'!$AD$21, Y242='Lookup Tables'!$AD$22), E242="Exterior"), BJ242, ""))</f>
        <v/>
      </c>
      <c r="DO242" s="249"/>
      <c r="DP242" s="250" t="str">
        <f t="shared" si="536"/>
        <v/>
      </c>
      <c r="DQ242" s="250" t="str">
        <f t="shared" si="577"/>
        <v/>
      </c>
      <c r="DR242" s="250" t="str">
        <f t="shared" si="578"/>
        <v/>
      </c>
      <c r="DS242" s="250" t="str">
        <f t="shared" si="579"/>
        <v/>
      </c>
      <c r="DT242" s="250" t="str">
        <f t="shared" si="580"/>
        <v/>
      </c>
      <c r="DU242" s="250" t="str">
        <f t="shared" si="537"/>
        <v/>
      </c>
      <c r="DV242" s="250" t="str">
        <f t="shared" si="538"/>
        <v/>
      </c>
      <c r="DW242" s="250" t="str">
        <f t="shared" si="539"/>
        <v/>
      </c>
      <c r="DX242" s="250" t="str">
        <f t="shared" si="540"/>
        <v/>
      </c>
      <c r="DY242" s="250" t="str">
        <f t="shared" si="541"/>
        <v/>
      </c>
      <c r="DZ242" s="250" t="str">
        <f t="shared" si="542"/>
        <v/>
      </c>
      <c r="EA242" s="250" t="str">
        <f t="shared" si="543"/>
        <v/>
      </c>
      <c r="EB242" s="250" t="str">
        <f t="shared" si="581"/>
        <v/>
      </c>
      <c r="EC242" s="250" t="str">
        <f t="shared" si="544"/>
        <v/>
      </c>
      <c r="ED242" s="250" t="str">
        <f t="shared" si="545"/>
        <v/>
      </c>
      <c r="EE242" s="250" t="str">
        <f t="shared" si="546"/>
        <v/>
      </c>
      <c r="EF242" s="250" t="str">
        <f t="shared" si="547"/>
        <v/>
      </c>
      <c r="EG242" s="250" t="str">
        <f t="shared" si="548"/>
        <v/>
      </c>
      <c r="EH242" s="250" t="str">
        <f>IF(CD242="ERROR", "ERROR", IF(AND(OR($EH$6=Y242, Y242='Lookup Tables'!$AD$21, Y242='Lookup Tables'!$AD$22),E242="Interior"), SUM(BP242:BP242), ""))</f>
        <v/>
      </c>
      <c r="EI242" s="250" t="str">
        <f>IF(CD242="ERROR", "ERROR", IF(AND(OR($EH$6=Y242, Y242='Lookup Tables'!$AD$21, Y242='Lookup Tables'!$AD$22),E242="Exterior"), SUM(BP242:BP242), ""))</f>
        <v/>
      </c>
      <c r="EJ242" s="109"/>
      <c r="EK242" s="485" t="str">
        <f t="shared" si="549"/>
        <v/>
      </c>
      <c r="EL242" s="252" t="str">
        <f t="shared" si="582"/>
        <v/>
      </c>
      <c r="EM242" s="252" t="str">
        <f t="shared" si="583"/>
        <v/>
      </c>
      <c r="EN242" s="252" t="str">
        <f t="shared" si="584"/>
        <v/>
      </c>
      <c r="EO242" s="252" t="str">
        <f t="shared" si="585"/>
        <v/>
      </c>
      <c r="EP242" s="252" t="str">
        <f t="shared" si="586"/>
        <v/>
      </c>
      <c r="EQ242" s="252" t="str">
        <f t="shared" si="587"/>
        <v/>
      </c>
      <c r="ER242" s="252" t="str">
        <f t="shared" si="588"/>
        <v/>
      </c>
      <c r="ES242" s="252" t="str">
        <f t="shared" si="589"/>
        <v/>
      </c>
      <c r="ET242" s="252" t="str">
        <f t="shared" si="590"/>
        <v/>
      </c>
      <c r="EU242" s="252" t="str">
        <f t="shared" si="591"/>
        <v/>
      </c>
      <c r="EV242" s="252" t="str">
        <f t="shared" si="592"/>
        <v/>
      </c>
      <c r="EW242" s="252" t="str">
        <f t="shared" si="593"/>
        <v/>
      </c>
      <c r="EX242" s="252" t="str">
        <f t="shared" si="594"/>
        <v/>
      </c>
      <c r="EY242" s="252" t="str">
        <f t="shared" si="595"/>
        <v/>
      </c>
      <c r="EZ242" s="252" t="str">
        <f t="shared" si="596"/>
        <v/>
      </c>
      <c r="FA242" s="252" t="str">
        <f t="shared" si="597"/>
        <v/>
      </c>
      <c r="FB242" s="252" t="str">
        <f t="shared" si="598"/>
        <v/>
      </c>
      <c r="FC242" s="252" t="str">
        <f>IF(CD242="ERROR", "ERROR", IF(OR(V242="No Change", V242="Not DLC or Energy Star"), "", IF(AND(OR($FC$6=Y242,Y242='Lookup Tables'!$AD$21, Y242='Lookup Tables'!$AD$22),E242="Interior"), S242, "")))</f>
        <v/>
      </c>
      <c r="FD242" s="252" t="str">
        <f t="shared" si="599"/>
        <v/>
      </c>
      <c r="FE242" s="1"/>
      <c r="FF242" s="579" t="str" cm="1">
        <f t="array" ref="FF242">IFERROR(IF(OR(BQ242&lt;=0,AQ242&lt;20,AND(V242="Exit Signs",AN242&gt;0)),"",IF(AND(AQ242&gt;=20,AN242='Lookup Tables'!$R$101),'Lookup Tables'!$U$101*BQ242,AP242*LOOKUP(2,1/((AN242='Lookup Tables'!$R$91:$R$111)*(AQ242&gt;='Lookup Tables'!$S$91:$S$111)*(AQ242&lt;='Lookup Tables'!$T$91:$T$111)),'Lookup Tables'!$U$91:$U$111))),"")</f>
        <v/>
      </c>
      <c r="FG242" s="579"/>
      <c r="FH242" s="579"/>
      <c r="FI242" s="253" t="str">
        <f>IFERROR(ROUND(IF(CD242="ERROR", "ERROR", IF(AND($FI$7=X242,E242="Interior"),VLOOKUP(W242, 'Lookup Tables'!$AI$6:$AM$102, 5, FALSE)*BP242, "")), 2), "")</f>
        <v/>
      </c>
      <c r="FJ242" s="253" t="str">
        <f>IFERROR(ROUND(IF(CD242="ERROR", "ERROR", IF(AND($FI$7=X242,E242="Exterior"),VLOOKUP(W242, 'Lookup Tables'!$AI$6:$AM$102, 5, FALSE)*BP242, "")), 2), "")</f>
        <v/>
      </c>
      <c r="FK242" s="253" t="str">
        <f>IFERROR(ROUND(IF(CD242="ERROR", "ERROR", IF(AND($FK$7=X242,E242="Interior"),VLOOKUP(W242, 'Lookup Tables'!$AI$6:$AM$102, 5, FALSE)*BP242, "")), 2), "")</f>
        <v/>
      </c>
      <c r="FL242" s="253" t="str">
        <f>IFERROR(ROUND(IF(CD242="ERROR", "ERROR", IF(AND($FK$7=X242,E242="Exterior"),VLOOKUP(W242, 'Lookup Tables'!$AI$6:$AM$102, 5, FALSE)*BP242, "")), 2), "")</f>
        <v/>
      </c>
      <c r="FM242" s="253" t="str">
        <f>IFERROR(ROUND(IF(CD242="ERROR", "ERROR", IF(AND($FM$6=Y242,E242="Interior"), IF(GB242=0, VLOOKUP(W242, 'Lookup Tables'!$AI$6:$AM$102, 5, FALSE)*BP242, IF(VLOOKUP(W242, 'Lookup Tables'!$AI$6:$AM$102, 5, FALSE)*BP242&gt;GB242*'Lighting Inventory'!S242, GB242*'Lighting Inventory'!S242,VLOOKUP(W242, 'Lookup Tables'!$AI$6:$AM$102, 5, FALSE)*BP242)), "")), 2), "")</f>
        <v/>
      </c>
      <c r="FN242" s="253" t="str">
        <f>IFERROR(ROUND(IF(CD242="ERROR", "ERROR", IF(AND($FM$6=Y242,E242="Exterior"), IF(GB242=0, VLOOKUP(W242, 'Lookup Tables'!$AI$6:$AM$102, 5, FALSE)*BP242, IF(VLOOKUP(W242, 'Lookup Tables'!$AI$6:$AM$102, 5, FALSE)*BP242&gt;GB242*'Lighting Inventory'!S242, GB242*'Lighting Inventory'!S242,VLOOKUP(W242, 'Lookup Tables'!$AI$6:$AM$102, 5, FALSE)*BP242)), "")), 2), "")</f>
        <v/>
      </c>
      <c r="FO242" s="253" t="str">
        <f>IFERROR(ROUND(IF(CD242="ERROR", "ERROR", IF(AND($FO$6=Y242,E242="Interior"),VLOOKUP(W242, 'Lookup Tables'!$AI$6:$AM$102, 5, FALSE)*'Lighting Inventory'!AI242, "")), 2), "")</f>
        <v/>
      </c>
      <c r="FP242" s="253" t="str">
        <f>IFERROR(ROUND(IF(CD242="ERROR", "ERROR", IF(AND($FO$6=Y242,E242="Exterior"),VLOOKUP(W242, 'Lookup Tables'!$AI$6:$AM$102, 5, FALSE)*'Lighting Inventory'!AI242, "")), 2), "")</f>
        <v/>
      </c>
      <c r="FQ242" s="253" t="str">
        <f>IFERROR(ROUND(IF(CD242="ERROR", "ERROR", IF(AND($FQ$6=Y242,E242="Interior", BU242="Y"), VLOOKUP('Lighting Inventory'!W242, 'Lookup Tables'!$AI$6:$AM$102, 5, FALSE)*'Lighting Inventory'!S242, IF(AND($FQ$7=Y242,E242="Interior", BU242="N"), 0.025*CD242, ""))), 2), "")</f>
        <v/>
      </c>
      <c r="FR242" s="253" t="str">
        <f>IFERROR(ROUND(IF(CD242="ERROR", "ERROR", IF(AND($FQ$6=Y242,E242="Exterior"), VLOOKUP('Lighting Inventory'!W242, 'Lookup Tables'!$AI$6:$AM$102, 5, FALSE)*'Lighting Inventory'!S242, "")), 2), "")</f>
        <v/>
      </c>
      <c r="FS242" s="253" t="str">
        <f>IFERROR(ROUND(IF(CD242="ERROR", "ERROR", IF(AND($FS$6=Y242,E242="Exterior"), IF(GB242=0, VLOOKUP(W242, 'Lookup Tables'!$AI$6:$AM$102, 5, FALSE)*BP242, IF(VLOOKUP(W242, 'Lookup Tables'!$AI$6:$AM$102, 5, FALSE)*BP242&gt;GB242*'Lighting Inventory'!S242, GB242*'Lighting Inventory'!S242,VLOOKUP(W242, 'Lookup Tables'!$AI$6:$AM$102, 5, FALSE)*BP242)), "")), 2), "")</f>
        <v/>
      </c>
      <c r="FT242" s="253" t="str">
        <f>IFERROR(ROUND(IF(CD242="ERROR", "ERROR", IF(AND($FT$6=Y242,E242="Interior"), IF(GB242=0, VLOOKUP(W242, 'Lookup Tables'!$AI$6:$AM$102, 5, FALSE)*BP242, IF(VLOOKUP(W242, 'Lookup Tables'!$AI$6:$AM$102, 5, FALSE)*BP242&gt;GB242*'Lighting Inventory'!S242, GB242*'Lighting Inventory'!S242,VLOOKUP(W242, 'Lookup Tables'!$AI$6:$AM$102, 5, FALSE)*BP242)), "")), 2), "")</f>
        <v/>
      </c>
      <c r="FU242" s="253" t="str">
        <f>IFERROR(ROUND(IF(CD242="ERROR", "ERROR", IF(AND(Y242=$FU$6, E242="Interior"), IF(BS242="N", 'Lookup Tables'!$AM$101*BP242, VLOOKUP(W242, 'Lookup Tables'!$AI$6:$AM$102, 5, FALSE)*S242*AD242), "")), 2), "")</f>
        <v/>
      </c>
      <c r="FV242" s="253" t="str">
        <f>IFERROR(ROUND(IF(CD242="ERROR", "ERROR", IF(AND(Y242=$FU$6, E242="Exterior"), IF(BS242="N", 'Lookup Tables'!$AM$101*BP242, VLOOKUP(W242, 'Lookup Tables'!$AI$6:$AM$102, 5, FALSE)*S242*AD242), "")), 2), "")</f>
        <v/>
      </c>
      <c r="FW242" s="253" t="str">
        <f>IFERROR(ROUND(IF(CD242="ERROR", "ERROR", IF($FW$6=Y242, IF(BS242="N", 'Lookup Tables'!$AM$101*BP242, MIN((VLOOKUP(W242, 'Lookup Tables'!$AI$6:$AM$102, 5, FALSE)*BP242),GB242*AJ242)), "")), 2), "")</f>
        <v/>
      </c>
      <c r="FX242" s="253" t="str">
        <f>IFERROR(ROUND(IF(CD242="ERROR", "ERROR", IF(AND($FX$6=Y242, E242="Interior"), IF(VLOOKUP(W242, 'Lookup Tables'!$AI$6:$AM$102, 5, FALSE)*BP242&gt;'Lookup Tables'!$AQ$97*'Lighting Inventory'!S242,'Lighting Inventory'!S242*'Lookup Tables'!$AQ$97,VLOOKUP(W242, 'Lookup Tables'!$AI$6:$AM$102, 5, FALSE)*BP242), "")), 2), "")</f>
        <v/>
      </c>
      <c r="FY242" s="253" t="str">
        <f>IFERROR(ROUND(IF(CD242="ERROR", "ERROR", IF(AND($FX$6=Y242, E242="Exterior"), IF(VLOOKUP(W242, 'Lookup Tables'!$AI$6:$AM$102, 5, FALSE)*BP242&gt;'Lookup Tables'!$AQ$97*'Lighting Inventory'!S242,'Lighting Inventory'!S242*'Lookup Tables'!$AQ$97,VLOOKUP(W242, 'Lookup Tables'!$AI$6:$AM$102, 5, FALSE)*BP242), "")), 2), "")</f>
        <v/>
      </c>
      <c r="FZ242" s="253" t="str">
        <f>IFERROR(ROUND(IF(CD242="ERROR", "ERROR", IF(AND($FZ$6=Y242, E242="Interior"), IF(AND(OR(W242="Refrigerated Case Lighting with Doors", W242="Freezer Case Lighting"),Y242="Custom - Process Improvement"),CD242*'Lookup Tables'!$AM$101, IF(B242="Retrofit", IF(VLOOKUP(IF(V242="Custom", V242, W242), 'Lookup Tables'!$AI$6:$AM$102, 5, FALSE)*BP242&gt;GE242, GE242, VLOOKUP(IF(V242="Custom", V242, W242), 'Lookup Tables'!$AI$6:$AM$102, 5, FALSE)*BP242), IF(VLOOKUP(IF(V242="Custom", V242, W242), 'Lookup Tables'!$AI$114:$AM$154, 5, FALSE)*BP242&gt;GE242, GE242, VLOOKUP(IF(V242="Custom", V242, W242), 'Lookup Tables'!$AI$114:$AM$154, 5, FALSE)*BP242))), "")), 2),"")</f>
        <v/>
      </c>
      <c r="GA242" s="253" t="str">
        <f>IFERROR(ROUND(IF(CD242="ERROR", "ERROR", IF(AND($FZ$6=Y242, E242="Exterior"), IF(B242="Retrofit", IF(VLOOKUP(IF(V242="Custom", V242, W242), 'Lookup Tables'!$AI$6:$AM$102, 5, FALSE)*BP242&gt;GE242, GE242, VLOOKUP(IF(V242="Custom", V242, W242), 'Lookup Tables'!$AI$6:$AM$102, 5, FALSE)*BP242), IF(VLOOKUP(IF(V242="Custom", V242, W242), 'Lookup Tables'!$AI$114:$AM$154, 5, FALSE)*BP242&gt;GE242, GE242, VLOOKUP(IF(V242="Custom", V242, W242), 'Lookup Tables'!$AI$114:$AM$154, 5, FALSE)*BP242)), "")), 2),"")</f>
        <v/>
      </c>
      <c r="GB242" s="254" t="str">
        <f t="array" ref="GB242">IF(B242="","",IF(OR(V242="Custom",V242="No Change"),0,IF(B242="Retrofit", INDEX('Lookup Tables'!$AH$6:$AQ$102,MATCH(1,('Lookup Tables'!$AH$6:$AH$102='Lighting Inventory'!V242)*('Lookup Tables'!$AI$6:$AI$102='Lighting Inventory'!W242),FALSE),10),INDEX('Lookup Tables'!$AH$114:$AQ$154,MATCH(1,('Lookup Tables'!$AH$114:$AH$154='Lighting Inventory'!V242)*('Lookup Tables'!$AI$114:$AI$154='Lighting Inventory'!W242),FALSE),10))))</f>
        <v/>
      </c>
      <c r="GC242" s="255" t="str">
        <f t="shared" si="550"/>
        <v/>
      </c>
      <c r="GD242" s="250" t="str">
        <f t="shared" si="551"/>
        <v/>
      </c>
      <c r="GE242" s="253" t="str">
        <f>IFERROR(IF(AND(AF242="", 'General Information'!$F$18="No"),"", IF(AF242="", ((GD242/$CD$266)*$CF$266)*0.5, AF242*S242*0.5)), "")</f>
        <v/>
      </c>
      <c r="GF242" s="255" t="str">
        <f>IF(AND('General Information'!$F$19="", 'General Information'!$F$18="Yes",AF242="",BW242="Y"), "Y", "N")</f>
        <v>N</v>
      </c>
      <c r="GG242" s="255" t="s">
        <v>2946</v>
      </c>
      <c r="GH242" s="255" t="str">
        <f>IFERROR(IF(B242="", "", VLOOKUP(J242, 'Fixture Identities'!$A$6:$N$908, 14, FALSE)), "")</f>
        <v/>
      </c>
      <c r="GI242" s="389" t="str">
        <f>IF(OR(B242="", V242="", W242=""), "", IF(AND(OR(M242='Lookup Tables'!$R$18, M242='Lookup Tables'!$R$19, M242='Lookup Tables'!$R$20, M242='Lookup Tables'!$R$21, M242='Lookup Tables'!$R$22), OR(AN242='Lookup Tables'!$R$17, AN242='Lookup Tables'!$R$17, AN242="")), "Y", "N"))</f>
        <v/>
      </c>
      <c r="GJ242" s="255" t="str">
        <f t="shared" si="552"/>
        <v/>
      </c>
      <c r="GK242" s="255" t="str">
        <f t="shared" si="553"/>
        <v/>
      </c>
      <c r="GL242" s="255" t="str">
        <f t="shared" si="554"/>
        <v/>
      </c>
      <c r="GM242" s="255" t="str">
        <f>IF(AN242="", "", IF(AND(IF(ISNA(VLOOKUP(AN242,'Lookup Tables'!$R$18:$R$22,1,FALSE)), "N", "Y")="Y", E242="Exterior"), "Y", "N"))</f>
        <v/>
      </c>
      <c r="GN242" s="395"/>
      <c r="GO242" s="428">
        <f t="shared" si="600"/>
        <v>0</v>
      </c>
      <c r="GP242" s="428">
        <f t="shared" si="603"/>
        <v>0</v>
      </c>
      <c r="GQ242" s="428">
        <f t="shared" si="601"/>
        <v>0</v>
      </c>
      <c r="GR242" s="428">
        <f t="shared" si="602"/>
        <v>0</v>
      </c>
    </row>
    <row r="243" spans="1:200" s="103" customFormat="1" ht="13.5" customHeight="1" x14ac:dyDescent="0.2">
      <c r="A243" s="272">
        <v>233</v>
      </c>
      <c r="B243" s="110"/>
      <c r="C243" s="110"/>
      <c r="D243" s="110"/>
      <c r="E243" s="110"/>
      <c r="F243" s="110"/>
      <c r="G243" s="110"/>
      <c r="H243" s="110"/>
      <c r="I243" s="29"/>
      <c r="J243" s="29"/>
      <c r="K243" s="272" t="str">
        <f>IFERROR(IF(OR(VLOOKUP(J243, 'Fixture Identities'!$A$6:$L$1023, 3, FALSE)="T12 Linear Fluorescent", VLOOKUP(J243, 'Fixture Identities'!$A$6:$L$1023, 3, FALSE)="T12 U-Tube Fluorescent"), VLOOKUP(VLOOKUP(J243, 'Fixture Identities'!$A$6:$L$1023, 11, FALSE), 'Fixture Identities'!$A$6:$L$1023, 10, FALSE), VLOOKUP(J243, 'Fixture Identities'!$A$6:$L$1023, 10, FALSE)), "")</f>
        <v/>
      </c>
      <c r="L243" s="270" t="str">
        <f t="shared" si="605"/>
        <v/>
      </c>
      <c r="M243" s="110"/>
      <c r="N243" s="110"/>
      <c r="O243" s="110"/>
      <c r="P243" s="272" t="str">
        <f>IFERROR(IF(OR(B243="Retrofit",B243=""),"",IF('Lighting Inventory'!E243="Exterior",VLOOKUP('Lighting Inventory'!N243,'Lookup Tables'!$B$83:$F$103,5,FALSE),IF(N243="Other - Please Estimate EFLH and CFs","Contact Prog. Rep.","ft^2"))), "")</f>
        <v/>
      </c>
      <c r="Q243" s="270" t="str">
        <f>IFERROR(IF(AND(B243="New Construction",E243="Interior",$F$5="Space-by-Space"),VLOOKUP('Lighting Inventory'!N243,'Lookup Tables'!$N$6:$O$97,2,FALSE),IF(AND(B243="New Construction",E243="Exterior"),VLOOKUP(N243,'Lookup Tables'!$B$83:$F$103,2,FALSE),IF(AND(B243="New Construction",'Lighting Inventory'!E243="Interior", $F$5="Building Area"),VLOOKUP(F243,'Lookup Tables'!$A$6:$J$59,10,FALSE),""))), "")</f>
        <v/>
      </c>
      <c r="R243" s="270" t="str">
        <f>IFERROR(IF(P243="Contact Prog. Rep.", "ERROR", IF(OR(B243="",B243="Retrofit"),"",IF(N243="Automated teller machines", ('Lookup Tables'!$A$82:$E$100+('Lighting Inventory'!O243-1)*'Lookup Tables'!$A$82:$E$100)/1000, (Q243*O243)/1000))), "")</f>
        <v/>
      </c>
      <c r="S243" s="595"/>
      <c r="T243" s="105" t="str">
        <f t="shared" si="555"/>
        <v/>
      </c>
      <c r="U243" s="105" t="str">
        <f>IF(S243="","",COUNT($S$11:S243))</f>
        <v/>
      </c>
      <c r="V243" s="111"/>
      <c r="W243" s="112"/>
      <c r="X243" s="105" t="str">
        <f t="shared" si="556"/>
        <v/>
      </c>
      <c r="Y243" s="105" t="str">
        <f t="array" ref="Y243">IF(AND(OR(W243="Freezer Case Lighting", W243="Refrigerated Case Lighting with Doors"), 'General Information'!$X$18="LCI"),'Lookup Tables'!$Y$34, IF(V243="Custom", VLOOKUP(W243, 'Fixture Identities'!$A$974:$M$1023, 13, FALSE), IF(V243="No Change",'Lookup Tables'!$Y$29,IF(OR(V243="",W243=""),"",IF(AND(S243=0,S243&lt;I243,B243="Retrofit"),'Lookup Tables'!$Y$25, IF(B243="Retrofit", INDEX('Lookup Tables'!$AH$6:$AP$102, MATCH(1, ('Lookup Tables'!$AH$6:$AH$102=V243)*('Lookup Tables'!$AI$6:$AI$102=W243), 0), IF('Lighting Inventory'!E243="Interior", 4, 5)), INDEX('Lookup Tables'!$AH$114:$AP$154, MATCH(1, ('Lookup Tables'!$AH$114:$AH$154=V243)*('Lookup Tables'!$AI$114:$AI$154=W243), 0), IF('Lighting Inventory'!E243="Interior", 4, 5))))))))</f>
        <v/>
      </c>
      <c r="Z243" s="105" t="str">
        <f>IFERROR(INDEX('Lookup Tables'!$AH$158:$AH$172,MATCH('Lighting Inventory'!Y243,'Lookup Tables'!$AI$158:$AI$172,0)),"")</f>
        <v/>
      </c>
      <c r="AA243" s="105" t="str">
        <f>IF(AP243&gt;0,INDEX('Lookup Tables'!$AK$158:$AK$172,MATCH('Lighting Inventory'!Y243,'Lookup Tables'!$AI$158:$AI$172,0)),'Lighting Inventory'!Y243)</f>
        <v/>
      </c>
      <c r="AB243" s="105" t="str">
        <f t="array" ref="AB243">IF(V243="Custom", "Custom", IF(V243="", "", IF(V243="Not DLC or Energy Star", "General", IF(B243="New Construction", INDEX('Lookup Tables'!$AH$114:$AP$154,MATCH(1,('Lookup Tables'!$AH$114:$AH$154='Lighting Inventory'!V243)*('Lookup Tables'!$AI$114:$AI$154='Lighting Inventory'!W243),FALSE),8), INDEX('Lookup Tables'!$AH$6:$AP$102,MATCH(1,('Lookup Tables'!$AH$6:$AH$102='Lighting Inventory'!V243)*('Lookup Tables'!$AI$6:$AI$102='Lighting Inventory'!W243),FALSE),8)))))</f>
        <v/>
      </c>
      <c r="AC243" s="272" t="str">
        <f>IF(W243="","",IF(V243="Custom",CONCATENATE("$",'Lookup Tables'!$AM$101," ",'Lookup Tables'!$AN$101),CONCATENATE("$",INDEX('Lookup Tables'!$AM$6:$AM$102,MATCH('Lighting Inventory'!W243,'Lookup Tables'!$AI$6:$AI$102,0))," ",INDEX('Lookup Tables'!$AN$6:$AN$102,MATCH('Lighting Inventory'!W243,'Lookup Tables'!$AI$6:$AI$102,0)))))</f>
        <v/>
      </c>
      <c r="AD243" s="72"/>
      <c r="AE243" s="29"/>
      <c r="AF243" s="379"/>
      <c r="AG243" s="370" t="str">
        <f t="shared" si="504"/>
        <v/>
      </c>
      <c r="AH243" s="370" t="str">
        <f t="shared" si="557"/>
        <v/>
      </c>
      <c r="AI243" s="29"/>
      <c r="AJ243" s="29"/>
      <c r="AK243" s="110"/>
      <c r="AL243" s="375" t="str">
        <f>IF(OR(B243="", V243="", W243=""), "", IF(V243="No Change", K243, IF(V243="Remove Fixture", 0, IF(V243="Custom",VLOOKUP(W243,'Fixture Identities'!$A$6:$K$1023,10,FALSE),IF(AE243="", "← ENTER POST WATTS", 'Lighting Inventory'!AE243)))))</f>
        <v/>
      </c>
      <c r="AM243" s="376" t="str">
        <f t="shared" si="505"/>
        <v/>
      </c>
      <c r="AN243" s="29"/>
      <c r="AO243" s="671"/>
      <c r="AP243" s="29"/>
      <c r="AQ243" s="29"/>
      <c r="AR243" s="29"/>
      <c r="AS243" s="272" t="str">
        <f t="shared" si="558"/>
        <v/>
      </c>
      <c r="AT243" s="270" t="str">
        <f t="shared" si="506"/>
        <v/>
      </c>
      <c r="AU243" s="88" t="str">
        <f t="shared" si="606"/>
        <v/>
      </c>
      <c r="AV243" s="29"/>
      <c r="AW243" s="73"/>
      <c r="AX243" s="271" t="str">
        <f>IF(AND(AV243="Applicant",OR(AW243="", AW243="Use Default Facility Hours")),"← Choose Schedule",IF(F243="","",IF(W243="LED Exit Signs",8760,IF(OR(AV243="Prescribed",AV243=""),VLOOKUP(F243,'Lookup Tables'!$A$6:$G$59,IF(AB243="General", 6, 3),FALSE),VLOOKUP(AW243,'Lookup Tables'!$S$36:$U$43,2,FALSE)))))</f>
        <v/>
      </c>
      <c r="AY243" s="88" t="str">
        <f t="shared" si="507"/>
        <v/>
      </c>
      <c r="AZ243" s="270" t="str">
        <f>IFERROR(IF(F243="", "", IF(W243="LED Exit Signs", 1, IF(AV243="Applicant",VLOOKUP(AW243, 'Lookup Tables'!$S$36:$U$43,3, FALSE), VLOOKUP('Lighting Inventory'!F243, 'Lookup Tables'!$A$6:$H$59, IF('Lighting Inventory'!AB243="General",7,4), FALSE)))), "")</f>
        <v/>
      </c>
      <c r="BA243" s="522" t="str">
        <f>IFERROR(IF(F243="", "", IF(W243="LED Exit Signs", 1, VLOOKUP('Lighting Inventory'!F243, 'Lookup Tables'!$A$6:$H$59, IF('Lighting Inventory'!AB243="General",8,5), FALSE))), "")</f>
        <v/>
      </c>
      <c r="BB243" s="270" t="str">
        <f>IF(G243="", "", IF(E243="Exterior", 0, IF('Lighting Inventory'!G243="Air Conditioned", VLOOKUP(H243, 'Lookup Tables'!$R$6:$T$13, 2, FALSE), VLOOKUP('Lighting Inventory'!G243, 'Lookup Tables'!$R$6:$T$13, 2, FALSE))))</f>
        <v/>
      </c>
      <c r="BC243" s="522" t="str">
        <f>IF(G243="", "", IF(E243="Exterior", 0, IF('Lighting Inventory'!G243="Air Conditioned", VLOOKUP(H243, 'Lookup Tables'!$R$6:$T$13, 3, FALSE), VLOOKUP('Lighting Inventory'!G243, 'Lookup Tables'!$R$6:$T$13, 3, FALSE))))</f>
        <v/>
      </c>
      <c r="BD243" s="270" t="str">
        <f>IF(G243="", "", IF(E243="Exterior", 0, IF('Lighting Inventory'!G243="Air Conditioned", VLOOKUP(H243, 'Lookup Tables'!$R$6:$U$13, 4, FALSE), VLOOKUP('Lighting Inventory'!G243, 'Lookup Tables'!$R$6:$U$13, 4, FALSE))))</f>
        <v/>
      </c>
      <c r="BE243" s="270" t="str">
        <f>IFERROR(IF(B243="", "",  IF(B243="New Construction", VLOOKUP(F243, 'Lookup Tables'!$A$6:$K$59, 11, FALSE),IF(OR(AN243="", AN243="Light Switch"), 0, IF(OR(M243="",M243="None",V243= "LED Exit Signs"),0,_xlfn.XLOOKUP(M243,'Lookup Tables'!$R$91:$R$101,'Lookup Tables'!$V$91:$V$101))))), "")</f>
        <v/>
      </c>
      <c r="BF243" s="270" t="str">
        <f>IF(AND(OR(AN243="Light Switch",AN243=""),B243="New Construction"), VLOOKUP(F243, 'Lookup Tables'!$A$6:$K$59, 11, FALSE),IF(AN243="","",IF(B243="","",IF(OR(AN243="None",AN243="",V243="LED Exit Signs",AN243="Exterior Controls Not Eligible"),0,_xlfn.XLOOKUP(AN243,'Lookup Tables'!$R$91:$R$101,'Lookup Tables'!$V$91:$V$101)))))</f>
        <v/>
      </c>
      <c r="BG243" s="88" t="str">
        <f t="shared" si="559"/>
        <v/>
      </c>
      <c r="BH243" s="88" t="str">
        <f t="shared" si="560"/>
        <v/>
      </c>
      <c r="BI243" s="558" t="str">
        <f t="shared" si="604"/>
        <v/>
      </c>
      <c r="BJ243" s="82" t="str">
        <f t="shared" si="561"/>
        <v/>
      </c>
      <c r="BK243" s="82" t="str">
        <f t="shared" si="562"/>
        <v/>
      </c>
      <c r="BL243" s="559" t="str">
        <f t="shared" si="563"/>
        <v/>
      </c>
      <c r="BM243" s="521" t="str">
        <f t="shared" si="508"/>
        <v/>
      </c>
      <c r="BN243" s="521" t="str">
        <f t="shared" si="509"/>
        <v/>
      </c>
      <c r="BO243" s="522" t="str">
        <f t="shared" si="510"/>
        <v/>
      </c>
      <c r="BP243" s="83" t="str">
        <f t="shared" si="564"/>
        <v/>
      </c>
      <c r="BQ243" s="84" t="str">
        <f t="shared" si="565"/>
        <v/>
      </c>
      <c r="BR243" s="184" t="str">
        <f>IFERROR(IF(B243="", "", IF(OR(VLOOKUP(J243, 'Fixture Identities'!$A$6:$L$1023, 3, FALSE)="T12 Linear Fluorescent",VLOOKUP(J243, 'Fixture Identities'!$A$6:$L$1023, 3, FALSE)="T12 U-Tube Fluorescent"), "Y", "N")), "N")</f>
        <v/>
      </c>
      <c r="BS243" s="184" t="str">
        <f t="array" ref="BS243">IFERROR(IF(OR(B243="", V243="", W243=""), "", IF(V243="Custom", "N", IF(OR(W243="Freezer Case Lighting", W243="Refrigerated Case Lighting with Doors"), BT243, IF(B243="Retrofit", INDEX('Lookup Tables'!$AH$6:$AT$102,MATCH(1,('Lookup Tables'!$AH$6:$AH$102=V243)*('Lookup Tables'!$AI$6:$AI$102=W243),FALSE),IF(VLOOKUP(J243, 'Fixture Identities'!$A$6:$B$1023, 2, FALSE)="Incandescent",12, 13)), INDEX('Lookup Tables'!$AH$114:$AS$154,MATCH(1,('Lookup Tables'!$AH$114:$AH$154=V243)*('Lookup Tables'!$AI$114:$AI$154=W243),FALSE),12))))), "N")</f>
        <v/>
      </c>
      <c r="BT243" s="184" t="str">
        <f>IF(J243="", "", IF(AND(OR(W243="Freezer case Lighting", W243="Refrigerated Case Lighting with Doors"),'General Information'!$X$18="LCI"), "N", IF(OR(VLOOKUP(J243, 'Fixture Identities'!$A$6:$B$1023, 2, FALSE)="T12 EPACT/EISA Baseline", VLOOKUP(J243, 'Fixture Identities'!$A$6:$B$1023, 2, FALSE)="Linear Fluorescent", VLOOKUP(J243, 'Fixture Identities'!$A$6:$B$1023, 2, FALSE)="U-Tube Fluorescent"), "Y", "N")))</f>
        <v/>
      </c>
      <c r="BU243" s="184" t="str">
        <f>IFERROR(IF(B243="", "", IF(VLOOKUP(J243, 'Fixture Identities'!$A$6:$B$1023, 2, FALSE)="Exit Sign", "Y", "N")), "N")</f>
        <v/>
      </c>
      <c r="BV243" s="184" t="str">
        <f>IF(V243="Exit Signs", IF(VLOOKUP(J243, 'Fixture Identities'!$A$6:$B$1023, 2, FALSE)="Exit Sign", "N", "Y"), "")</f>
        <v/>
      </c>
      <c r="BW243" s="184" t="str">
        <f t="array" ref="BW243">IFERROR(IF(B243="", "", IF(B243="New Construction", "N", INDEX('Lookup Tables'!$AH$6:$AU$102, MATCH(1, ('Lookup Tables'!$AH$6:$AH$102='Lighting Inventory'!V243)*('Lookup Tables'!$AI$6:$AI$102='Lighting Inventory'!W243), 0), 14))), "N")</f>
        <v/>
      </c>
      <c r="BX243" s="598" t="str">
        <f t="shared" si="566"/>
        <v/>
      </c>
      <c r="BY243" s="598" t="str">
        <f t="shared" si="567"/>
        <v/>
      </c>
      <c r="BZ243" s="598" t="str">
        <f t="shared" si="568"/>
        <v/>
      </c>
      <c r="CA243" s="598" t="str">
        <f t="shared" si="569"/>
        <v/>
      </c>
      <c r="CB243" s="269" t="str">
        <f t="shared" si="570"/>
        <v/>
      </c>
      <c r="CC243" s="517" t="str">
        <f t="shared" si="571"/>
        <v/>
      </c>
      <c r="CD243" s="565" t="str">
        <f t="shared" si="511"/>
        <v/>
      </c>
      <c r="CE243" s="368">
        <v>0</v>
      </c>
      <c r="CF243" s="368" t="str" cm="1">
        <f t="array" ref="CF243">IFERROR(IF(V243="Custom", "$0.1 per kWh", IF(B243="New Construction", CONCATENATE("$",INDEX('Lookup Tables'!$AH$114:$AN$154,MATCH(1,('Lookup Tables'!$AH$114:$AH$154='Lighting Inventory'!V243)*('Lookup Tables'!$AI$114:$AI$154='Lighting Inventory'!W243),FALSE),6)," ",INDEX('Lookup Tables'!$AH$114:$AN$154,MATCH(1,('Lookup Tables'!$AH$114:$AH$154='Lighting Inventory'!V243)*('Lookup Tables'!$AI$114:$AI$154='Lighting Inventory'!W243),FALSE),7)), IF(AND(BU243="N", V243="Exit Signs"), "$0.025 per kWh", CONCATENATE("$",INDEX('Lookup Tables'!$AH$6:$AN$102,MATCH(1,('Lookup Tables'!$AH$6:$AH$102='Lighting Inventory'!V243)*('Lookup Tables'!$AI$6:$AI$102='Lighting Inventory'!W243),FALSE),6)," ",INDEX('Lookup Tables'!$AH$6:$AN$102,MATCH(1,('Lookup Tables'!$AH$6:$AH$102='Lighting Inventory'!V243)*('Lookup Tables'!$AI$6:$AI$102='Lighting Inventory'!W243),FALSE),7))))), "")</f>
        <v/>
      </c>
      <c r="CG243" s="366"/>
      <c r="CH243" s="248" t="str">
        <f t="shared" si="512"/>
        <v/>
      </c>
      <c r="CI243" s="248" t="str">
        <f t="shared" si="513"/>
        <v>Select_IE</v>
      </c>
      <c r="CJ243" s="248" t="str">
        <f t="shared" si="514"/>
        <v/>
      </c>
      <c r="CK243" s="248" t="str">
        <f t="shared" si="515"/>
        <v/>
      </c>
      <c r="CL243" s="248" t="str">
        <f t="shared" si="516"/>
        <v/>
      </c>
      <c r="CM243" s="248" t="str">
        <f>IFERROR(IF(B243="", "", IF(B243="New Construction", VLOOKUP(V243, 'Lookup Tables'!$AF$114:$AG$120, 2, FALSE), VLOOKUP(V243, 'Lookup Tables'!$AD$6:$AE$25, 2, FALSE))), "")</f>
        <v/>
      </c>
      <c r="CN243" s="248" t="str">
        <f t="shared" si="517"/>
        <v/>
      </c>
      <c r="CO243" s="248" t="str">
        <f t="shared" si="518"/>
        <v/>
      </c>
      <c r="CP243" s="592" t="str">
        <f t="shared" si="519"/>
        <v/>
      </c>
      <c r="CQ243" s="248" t="str">
        <f t="shared" si="572"/>
        <v/>
      </c>
      <c r="CR243" s="100"/>
      <c r="CS243" s="250" t="str">
        <f t="shared" si="520"/>
        <v/>
      </c>
      <c r="CT243" s="250" t="str">
        <f t="shared" si="573"/>
        <v/>
      </c>
      <c r="CU243" s="250" t="str">
        <f t="shared" si="574"/>
        <v/>
      </c>
      <c r="CV243" s="250" t="str">
        <f t="shared" si="575"/>
        <v/>
      </c>
      <c r="CW243" s="250" t="str">
        <f t="shared" si="576"/>
        <v/>
      </c>
      <c r="CX243" s="250" t="str">
        <f t="shared" si="521"/>
        <v/>
      </c>
      <c r="CY243" s="250" t="str">
        <f t="shared" si="522"/>
        <v/>
      </c>
      <c r="CZ243" s="250" t="str">
        <f t="shared" si="523"/>
        <v/>
      </c>
      <c r="DA243" s="250" t="str">
        <f t="shared" si="524"/>
        <v/>
      </c>
      <c r="DB243" s="250" t="str">
        <f t="shared" si="525"/>
        <v/>
      </c>
      <c r="DC243" s="250" t="str">
        <f t="shared" si="526"/>
        <v/>
      </c>
      <c r="DD243" s="250" t="str">
        <f t="shared" si="527"/>
        <v/>
      </c>
      <c r="DE243" s="250" t="str">
        <f t="shared" si="528"/>
        <v/>
      </c>
      <c r="DF243" s="250" t="str">
        <f t="shared" si="529"/>
        <v/>
      </c>
      <c r="DG243" s="250" t="str">
        <f t="shared" si="530"/>
        <v/>
      </c>
      <c r="DH243" s="250" t="str">
        <f t="shared" si="531"/>
        <v/>
      </c>
      <c r="DI243" s="250" t="str">
        <f t="shared" si="532"/>
        <v/>
      </c>
      <c r="DJ243" s="250" t="str">
        <f t="shared" si="533"/>
        <v/>
      </c>
      <c r="DK243" s="250" t="str">
        <f t="shared" si="534"/>
        <v/>
      </c>
      <c r="DL243" s="250" t="str">
        <f t="shared" si="535"/>
        <v/>
      </c>
      <c r="DM243" s="250" t="str">
        <f>IF(CD243="ERROR", "ERROR", IF(AND(OR(Y243=$DM$6, Y243='Lookup Tables'!$AD$21, Y243='Lookup Tables'!$AD$22), E243="Interior"), BJ243, ""))</f>
        <v/>
      </c>
      <c r="DN243" s="250" t="str">
        <f>IF(CD243="ERROR", "ERROR", IF(AND(OR(Y243=$DM$6, Y243='Lookup Tables'!$AD$21, Y243='Lookup Tables'!$AD$22), E243="Exterior"), BJ243, ""))</f>
        <v/>
      </c>
      <c r="DO243" s="100"/>
      <c r="DP243" s="250" t="str">
        <f t="shared" si="536"/>
        <v/>
      </c>
      <c r="DQ243" s="250" t="str">
        <f t="shared" si="577"/>
        <v/>
      </c>
      <c r="DR243" s="250" t="str">
        <f t="shared" si="578"/>
        <v/>
      </c>
      <c r="DS243" s="250" t="str">
        <f t="shared" si="579"/>
        <v/>
      </c>
      <c r="DT243" s="250" t="str">
        <f t="shared" si="580"/>
        <v/>
      </c>
      <c r="DU243" s="250" t="str">
        <f t="shared" si="537"/>
        <v/>
      </c>
      <c r="DV243" s="250" t="str">
        <f t="shared" si="538"/>
        <v/>
      </c>
      <c r="DW243" s="250" t="str">
        <f t="shared" si="539"/>
        <v/>
      </c>
      <c r="DX243" s="250" t="str">
        <f t="shared" si="540"/>
        <v/>
      </c>
      <c r="DY243" s="250" t="str">
        <f t="shared" si="541"/>
        <v/>
      </c>
      <c r="DZ243" s="250" t="str">
        <f t="shared" si="542"/>
        <v/>
      </c>
      <c r="EA243" s="250" t="str">
        <f t="shared" si="543"/>
        <v/>
      </c>
      <c r="EB243" s="250" t="str">
        <f t="shared" si="581"/>
        <v/>
      </c>
      <c r="EC243" s="250" t="str">
        <f t="shared" si="544"/>
        <v/>
      </c>
      <c r="ED243" s="250" t="str">
        <f t="shared" si="545"/>
        <v/>
      </c>
      <c r="EE243" s="250" t="str">
        <f t="shared" si="546"/>
        <v/>
      </c>
      <c r="EF243" s="250" t="str">
        <f t="shared" si="547"/>
        <v/>
      </c>
      <c r="EG243" s="250" t="str">
        <f t="shared" si="548"/>
        <v/>
      </c>
      <c r="EH243" s="250" t="str">
        <f>IF(CD243="ERROR", "ERROR", IF(AND(OR($EH$6=Y243, Y243='Lookup Tables'!$AD$21, Y243='Lookup Tables'!$AD$22),E243="Interior"), SUM(BP243:BP243), ""))</f>
        <v/>
      </c>
      <c r="EI243" s="250" t="str">
        <f>IF(CD243="ERROR", "ERROR", IF(AND(OR($EH$6=Y243, Y243='Lookup Tables'!$AD$21, Y243='Lookup Tables'!$AD$22),E243="Exterior"), SUM(BP243:BP243), ""))</f>
        <v/>
      </c>
      <c r="EJ243" s="109"/>
      <c r="EK243" s="485" t="str">
        <f t="shared" si="549"/>
        <v/>
      </c>
      <c r="EL243" s="252" t="str">
        <f t="shared" si="582"/>
        <v/>
      </c>
      <c r="EM243" s="252" t="str">
        <f t="shared" si="583"/>
        <v/>
      </c>
      <c r="EN243" s="252" t="str">
        <f t="shared" si="584"/>
        <v/>
      </c>
      <c r="EO243" s="252" t="str">
        <f t="shared" si="585"/>
        <v/>
      </c>
      <c r="EP243" s="252" t="str">
        <f t="shared" si="586"/>
        <v/>
      </c>
      <c r="EQ243" s="252" t="str">
        <f t="shared" si="587"/>
        <v/>
      </c>
      <c r="ER243" s="252" t="str">
        <f t="shared" si="588"/>
        <v/>
      </c>
      <c r="ES243" s="252" t="str">
        <f t="shared" si="589"/>
        <v/>
      </c>
      <c r="ET243" s="252" t="str">
        <f t="shared" si="590"/>
        <v/>
      </c>
      <c r="EU243" s="252" t="str">
        <f t="shared" si="591"/>
        <v/>
      </c>
      <c r="EV243" s="252" t="str">
        <f t="shared" si="592"/>
        <v/>
      </c>
      <c r="EW243" s="252" t="str">
        <f t="shared" si="593"/>
        <v/>
      </c>
      <c r="EX243" s="252" t="str">
        <f t="shared" si="594"/>
        <v/>
      </c>
      <c r="EY243" s="252" t="str">
        <f t="shared" si="595"/>
        <v/>
      </c>
      <c r="EZ243" s="252" t="str">
        <f t="shared" si="596"/>
        <v/>
      </c>
      <c r="FA243" s="252" t="str">
        <f t="shared" si="597"/>
        <v/>
      </c>
      <c r="FB243" s="252" t="str">
        <f t="shared" si="598"/>
        <v/>
      </c>
      <c r="FC243" s="252" t="str">
        <f>IF(CD243="ERROR", "ERROR", IF(OR(V243="No Change", V243="Not DLC or Energy Star"), "", IF(AND(OR($FC$6=Y243,Y243='Lookup Tables'!$AD$21, Y243='Lookup Tables'!$AD$22),E243="Interior"), S243, "")))</f>
        <v/>
      </c>
      <c r="FD243" s="252" t="str">
        <f t="shared" si="599"/>
        <v/>
      </c>
      <c r="FE243" s="101"/>
      <c r="FF243" s="579" t="str" cm="1">
        <f t="array" ref="FF243">IFERROR(IF(OR(BQ243&lt;=0,AQ243&lt;20,AND(V243="Exit Signs",AN243&gt;0)),"",IF(AND(AQ243&gt;=20,AN243='Lookup Tables'!$R$101),'Lookup Tables'!$U$101*BQ243,AP243*LOOKUP(2,1/((AN243='Lookup Tables'!$R$91:$R$111)*(AQ243&gt;='Lookup Tables'!$S$91:$S$111)*(AQ243&lt;='Lookup Tables'!$T$91:$T$111)),'Lookup Tables'!$U$91:$U$111))),"")</f>
        <v/>
      </c>
      <c r="FG243" s="579"/>
      <c r="FH243" s="579"/>
      <c r="FI243" s="253" t="str">
        <f>IFERROR(ROUND(IF(CD243="ERROR", "ERROR", IF(AND($FI$7=X243,E243="Interior"),VLOOKUP(W243, 'Lookup Tables'!$AI$6:$AM$102, 5, FALSE)*BP243, "")), 2), "")</f>
        <v/>
      </c>
      <c r="FJ243" s="253" t="str">
        <f>IFERROR(ROUND(IF(CD243="ERROR", "ERROR", IF(AND($FI$7=X243,E243="Exterior"),VLOOKUP(W243, 'Lookup Tables'!$AI$6:$AM$102, 5, FALSE)*BP243, "")), 2), "")</f>
        <v/>
      </c>
      <c r="FK243" s="253" t="str">
        <f>IFERROR(ROUND(IF(CD243="ERROR", "ERROR", IF(AND($FK$7=X243,E243="Interior"),VLOOKUP(W243, 'Lookup Tables'!$AI$6:$AM$102, 5, FALSE)*BP243, "")), 2), "")</f>
        <v/>
      </c>
      <c r="FL243" s="253" t="str">
        <f>IFERROR(ROUND(IF(CD243="ERROR", "ERROR", IF(AND($FK$7=X243,E243="Exterior"),VLOOKUP(W243, 'Lookup Tables'!$AI$6:$AM$102, 5, FALSE)*BP243, "")), 2), "")</f>
        <v/>
      </c>
      <c r="FM243" s="253" t="str">
        <f>IFERROR(ROUND(IF(CD243="ERROR", "ERROR", IF(AND($FM$6=Y243,E243="Interior"), IF(GB243=0, VLOOKUP(W243, 'Lookup Tables'!$AI$6:$AM$102, 5, FALSE)*BP243, IF(VLOOKUP(W243, 'Lookup Tables'!$AI$6:$AM$102, 5, FALSE)*BP243&gt;GB243*'Lighting Inventory'!S243, GB243*'Lighting Inventory'!S243,VLOOKUP(W243, 'Lookup Tables'!$AI$6:$AM$102, 5, FALSE)*BP243)), "")), 2), "")</f>
        <v/>
      </c>
      <c r="FN243" s="253" t="str">
        <f>IFERROR(ROUND(IF(CD243="ERROR", "ERROR", IF(AND($FM$6=Y243,E243="Exterior"), IF(GB243=0, VLOOKUP(W243, 'Lookup Tables'!$AI$6:$AM$102, 5, FALSE)*BP243, IF(VLOOKUP(W243, 'Lookup Tables'!$AI$6:$AM$102, 5, FALSE)*BP243&gt;GB243*'Lighting Inventory'!S243, GB243*'Lighting Inventory'!S243,VLOOKUP(W243, 'Lookup Tables'!$AI$6:$AM$102, 5, FALSE)*BP243)), "")), 2), "")</f>
        <v/>
      </c>
      <c r="FO243" s="253" t="str">
        <f>IFERROR(ROUND(IF(CD243="ERROR", "ERROR", IF(AND($FO$6=Y243,E243="Interior"),VLOOKUP(W243, 'Lookup Tables'!$AI$6:$AM$102, 5, FALSE)*'Lighting Inventory'!AI243, "")), 2), "")</f>
        <v/>
      </c>
      <c r="FP243" s="253" t="str">
        <f>IFERROR(ROUND(IF(CD243="ERROR", "ERROR", IF(AND($FO$6=Y243,E243="Exterior"),VLOOKUP(W243, 'Lookup Tables'!$AI$6:$AM$102, 5, FALSE)*'Lighting Inventory'!AI243, "")), 2), "")</f>
        <v/>
      </c>
      <c r="FQ243" s="253" t="str">
        <f>IFERROR(ROUND(IF(CD243="ERROR", "ERROR", IF(AND($FQ$6=Y243,E243="Interior", BU243="Y"), VLOOKUP('Lighting Inventory'!W243, 'Lookup Tables'!$AI$6:$AM$102, 5, FALSE)*'Lighting Inventory'!S243, IF(AND($FQ$7=Y243,E243="Interior", BU243="N"), 0.025*CD243, ""))), 2), "")</f>
        <v/>
      </c>
      <c r="FR243" s="253" t="str">
        <f>IFERROR(ROUND(IF(CD243="ERROR", "ERROR", IF(AND($FQ$6=Y243,E243="Exterior"), VLOOKUP('Lighting Inventory'!W243, 'Lookup Tables'!$AI$6:$AM$102, 5, FALSE)*'Lighting Inventory'!S243, "")), 2), "")</f>
        <v/>
      </c>
      <c r="FS243" s="253" t="str">
        <f>IFERROR(ROUND(IF(CD243="ERROR", "ERROR", IF(AND($FS$6=Y243,E243="Exterior"), IF(GB243=0, VLOOKUP(W243, 'Lookup Tables'!$AI$6:$AM$102, 5, FALSE)*BP243, IF(VLOOKUP(W243, 'Lookup Tables'!$AI$6:$AM$102, 5, FALSE)*BP243&gt;GB243*'Lighting Inventory'!S243, GB243*'Lighting Inventory'!S243,VLOOKUP(W243, 'Lookup Tables'!$AI$6:$AM$102, 5, FALSE)*BP243)), "")), 2), "")</f>
        <v/>
      </c>
      <c r="FT243" s="253" t="str">
        <f>IFERROR(ROUND(IF(CD243="ERROR", "ERROR", IF(AND($FT$6=Y243,E243="Interior"), IF(GB243=0, VLOOKUP(W243, 'Lookup Tables'!$AI$6:$AM$102, 5, FALSE)*BP243, IF(VLOOKUP(W243, 'Lookup Tables'!$AI$6:$AM$102, 5, FALSE)*BP243&gt;GB243*'Lighting Inventory'!S243, GB243*'Lighting Inventory'!S243,VLOOKUP(W243, 'Lookup Tables'!$AI$6:$AM$102, 5, FALSE)*BP243)), "")), 2), "")</f>
        <v/>
      </c>
      <c r="FU243" s="253" t="str">
        <f>IFERROR(ROUND(IF(CD243="ERROR", "ERROR", IF(AND(Y243=$FU$6, E243="Interior"), IF(BS243="N", 'Lookup Tables'!$AM$101*BP243, VLOOKUP(W243, 'Lookup Tables'!$AI$6:$AM$102, 5, FALSE)*S243*AD243), "")), 2), "")</f>
        <v/>
      </c>
      <c r="FV243" s="253" t="str">
        <f>IFERROR(ROUND(IF(CD243="ERROR", "ERROR", IF(AND(Y243=$FU$6, E243="Exterior"), IF(BS243="N", 'Lookup Tables'!$AM$101*BP243, VLOOKUP(W243, 'Lookup Tables'!$AI$6:$AM$102, 5, FALSE)*S243*AD243), "")), 2), "")</f>
        <v/>
      </c>
      <c r="FW243" s="253" t="str">
        <f>IFERROR(ROUND(IF(CD243="ERROR", "ERROR", IF($FW$6=Y243, IF(BS243="N", 'Lookup Tables'!$AM$101*BP243, MIN((VLOOKUP(W243, 'Lookup Tables'!$AI$6:$AM$102, 5, FALSE)*BP243),GB243*AJ243)), "")), 2), "")</f>
        <v/>
      </c>
      <c r="FX243" s="253" t="str">
        <f>IFERROR(ROUND(IF(CD243="ERROR", "ERROR", IF(AND($FX$6=Y243, E243="Interior"), IF(VLOOKUP(W243, 'Lookup Tables'!$AI$6:$AM$102, 5, FALSE)*BP243&gt;'Lookup Tables'!$AQ$97*'Lighting Inventory'!S243,'Lighting Inventory'!S243*'Lookup Tables'!$AQ$97,VLOOKUP(W243, 'Lookup Tables'!$AI$6:$AM$102, 5, FALSE)*BP243), "")), 2), "")</f>
        <v/>
      </c>
      <c r="FY243" s="253" t="str">
        <f>IFERROR(ROUND(IF(CD243="ERROR", "ERROR", IF(AND($FX$6=Y243, E243="Exterior"), IF(VLOOKUP(W243, 'Lookup Tables'!$AI$6:$AM$102, 5, FALSE)*BP243&gt;'Lookup Tables'!$AQ$97*'Lighting Inventory'!S243,'Lighting Inventory'!S243*'Lookup Tables'!$AQ$97,VLOOKUP(W243, 'Lookup Tables'!$AI$6:$AM$102, 5, FALSE)*BP243), "")), 2), "")</f>
        <v/>
      </c>
      <c r="FZ243" s="253" t="str">
        <f>IFERROR(ROUND(IF(CD243="ERROR", "ERROR", IF(AND($FZ$6=Y243, E243="Interior"), IF(AND(OR(W243="Refrigerated Case Lighting with Doors", W243="Freezer Case Lighting"),Y243="Custom - Process Improvement"),CD243*'Lookup Tables'!$AM$101, IF(B243="Retrofit", IF(VLOOKUP(IF(V243="Custom", V243, W243), 'Lookup Tables'!$AI$6:$AM$102, 5, FALSE)*BP243&gt;GE243, GE243, VLOOKUP(IF(V243="Custom", V243, W243), 'Lookup Tables'!$AI$6:$AM$102, 5, FALSE)*BP243), IF(VLOOKUP(IF(V243="Custom", V243, W243), 'Lookup Tables'!$AI$114:$AM$154, 5, FALSE)*BP243&gt;GE243, GE243, VLOOKUP(IF(V243="Custom", V243, W243), 'Lookup Tables'!$AI$114:$AM$154, 5, FALSE)*BP243))), "")), 2),"")</f>
        <v/>
      </c>
      <c r="GA243" s="253" t="str">
        <f>IFERROR(ROUND(IF(CD243="ERROR", "ERROR", IF(AND($FZ$6=Y243, E243="Exterior"), IF(B243="Retrofit", IF(VLOOKUP(IF(V243="Custom", V243, W243), 'Lookup Tables'!$AI$6:$AM$102, 5, FALSE)*BP243&gt;GE243, GE243, VLOOKUP(IF(V243="Custom", V243, W243), 'Lookup Tables'!$AI$6:$AM$102, 5, FALSE)*BP243), IF(VLOOKUP(IF(V243="Custom", V243, W243), 'Lookup Tables'!$AI$114:$AM$154, 5, FALSE)*BP243&gt;GE243, GE243, VLOOKUP(IF(V243="Custom", V243, W243), 'Lookup Tables'!$AI$114:$AM$154, 5, FALSE)*BP243)), "")), 2),"")</f>
        <v/>
      </c>
      <c r="GB243" s="254" t="str">
        <f t="array" ref="GB243">IF(B243="","",IF(OR(V243="Custom",V243="No Change"),0,IF(B243="Retrofit", INDEX('Lookup Tables'!$AH$6:$AQ$102,MATCH(1,('Lookup Tables'!$AH$6:$AH$102='Lighting Inventory'!V243)*('Lookup Tables'!$AI$6:$AI$102='Lighting Inventory'!W243),FALSE),10),INDEX('Lookup Tables'!$AH$114:$AQ$154,MATCH(1,('Lookup Tables'!$AH$114:$AH$154='Lighting Inventory'!V243)*('Lookup Tables'!$AI$114:$AI$154='Lighting Inventory'!W243),FALSE),10))))</f>
        <v/>
      </c>
      <c r="GC243" s="255" t="str">
        <f t="shared" si="550"/>
        <v/>
      </c>
      <c r="GD243" s="250" t="str">
        <f t="shared" si="551"/>
        <v/>
      </c>
      <c r="GE243" s="253" t="str">
        <f>IFERROR(IF(AND(AF243="", 'General Information'!$F$18="No"),"", IF(AF243="", ((GD243/$CD$266)*$CF$266)*0.5, AF243*S243*0.5)), "")</f>
        <v/>
      </c>
      <c r="GF243" s="255" t="str">
        <f>IF(AND('General Information'!$F$19="", 'General Information'!$F$18="Yes",AF243="",BW243="Y"), "Y", "N")</f>
        <v>N</v>
      </c>
      <c r="GG243" s="255" t="s">
        <v>2946</v>
      </c>
      <c r="GH243" s="255" t="str">
        <f>IFERROR(IF(B243="", "", VLOOKUP(J243, 'Fixture Identities'!$A$6:$N$908, 14, FALSE)), "")</f>
        <v/>
      </c>
      <c r="GI243" s="389" t="str">
        <f>IF(OR(B243="", V243="", W243=""), "", IF(AND(OR(M243='Lookup Tables'!$R$18, M243='Lookup Tables'!$R$19, M243='Lookup Tables'!$R$20, M243='Lookup Tables'!$R$21, M243='Lookup Tables'!$R$22), OR(AN243='Lookup Tables'!$R$17, AN243='Lookup Tables'!$R$17, AN243="")), "Y", "N"))</f>
        <v/>
      </c>
      <c r="GJ243" s="255" t="str">
        <f t="shared" si="552"/>
        <v/>
      </c>
      <c r="GK243" s="255" t="str">
        <f t="shared" si="553"/>
        <v/>
      </c>
      <c r="GL243" s="255" t="str">
        <f t="shared" si="554"/>
        <v/>
      </c>
      <c r="GM243" s="255" t="str">
        <f>IF(AN243="", "", IF(AND(IF(ISNA(VLOOKUP(AN243,'Lookup Tables'!$R$18:$R$22,1,FALSE)), "N", "Y")="Y", E243="Exterior"), "Y", "N"))</f>
        <v/>
      </c>
      <c r="GN243" s="395"/>
      <c r="GO243" s="428">
        <f t="shared" si="600"/>
        <v>0</v>
      </c>
      <c r="GP243" s="428">
        <f t="shared" si="603"/>
        <v>0</v>
      </c>
      <c r="GQ243" s="428">
        <f t="shared" si="601"/>
        <v>0</v>
      </c>
      <c r="GR243" s="428">
        <f t="shared" si="602"/>
        <v>0</v>
      </c>
    </row>
    <row r="244" spans="1:200" s="103" customFormat="1" ht="13.5" customHeight="1" x14ac:dyDescent="0.2">
      <c r="A244" s="272">
        <v>234</v>
      </c>
      <c r="B244" s="110"/>
      <c r="C244" s="110"/>
      <c r="D244" s="110"/>
      <c r="E244" s="110"/>
      <c r="F244" s="110"/>
      <c r="G244" s="110"/>
      <c r="H244" s="110"/>
      <c r="I244" s="29"/>
      <c r="J244" s="29"/>
      <c r="K244" s="272" t="str">
        <f>IFERROR(IF(OR(VLOOKUP(J244, 'Fixture Identities'!$A$6:$L$1023, 3, FALSE)="T12 Linear Fluorescent", VLOOKUP(J244, 'Fixture Identities'!$A$6:$L$1023, 3, FALSE)="T12 U-Tube Fluorescent"), VLOOKUP(VLOOKUP(J244, 'Fixture Identities'!$A$6:$L$1023, 11, FALSE), 'Fixture Identities'!$A$6:$L$1023, 10, FALSE), VLOOKUP(J244, 'Fixture Identities'!$A$6:$L$1023, 10, FALSE)), "")</f>
        <v/>
      </c>
      <c r="L244" s="270" t="str">
        <f t="shared" si="605"/>
        <v/>
      </c>
      <c r="M244" s="110"/>
      <c r="N244" s="110"/>
      <c r="O244" s="110"/>
      <c r="P244" s="272" t="str">
        <f>IFERROR(IF(OR(B244="Retrofit",B244=""),"",IF('Lighting Inventory'!E244="Exterior",VLOOKUP('Lighting Inventory'!N244,'Lookup Tables'!$B$83:$F$103,5,FALSE),IF(N244="Other - Please Estimate EFLH and CFs","Contact Prog. Rep.","ft^2"))), "")</f>
        <v/>
      </c>
      <c r="Q244" s="270" t="str">
        <f>IFERROR(IF(AND(B244="New Construction",E244="Interior",$F$5="Space-by-Space"),VLOOKUP('Lighting Inventory'!N244,'Lookup Tables'!$N$6:$O$97,2,FALSE),IF(AND(B244="New Construction",E244="Exterior"),VLOOKUP(N244,'Lookup Tables'!$B$83:$F$103,2,FALSE),IF(AND(B244="New Construction",'Lighting Inventory'!E244="Interior", $F$5="Building Area"),VLOOKUP(F244,'Lookup Tables'!$A$6:$J$59,10,FALSE),""))), "")</f>
        <v/>
      </c>
      <c r="R244" s="270" t="str">
        <f>IFERROR(IF(P244="Contact Prog. Rep.", "ERROR", IF(OR(B244="",B244="Retrofit"),"",IF(N244="Automated teller machines", ('Lookup Tables'!$A$82:$E$100+('Lighting Inventory'!O244-1)*'Lookup Tables'!$A$82:$E$100)/1000, (Q244*O244)/1000))), "")</f>
        <v/>
      </c>
      <c r="S244" s="595"/>
      <c r="T244" s="105" t="str">
        <f t="shared" si="555"/>
        <v/>
      </c>
      <c r="U244" s="105" t="str">
        <f>IF(S244="","",COUNT($S$11:S244))</f>
        <v/>
      </c>
      <c r="V244" s="111"/>
      <c r="W244" s="112"/>
      <c r="X244" s="105" t="str">
        <f t="shared" si="556"/>
        <v/>
      </c>
      <c r="Y244" s="105" t="str">
        <f t="array" ref="Y244">IF(AND(OR(W244="Freezer Case Lighting", W244="Refrigerated Case Lighting with Doors"), 'General Information'!$X$18="LCI"),'Lookup Tables'!$Y$34, IF(V244="Custom", VLOOKUP(W244, 'Fixture Identities'!$A$974:$M$1023, 13, FALSE), IF(V244="No Change",'Lookup Tables'!$Y$29,IF(OR(V244="",W244=""),"",IF(AND(S244=0,S244&lt;I244,B244="Retrofit"),'Lookup Tables'!$Y$25, IF(B244="Retrofit", INDEX('Lookup Tables'!$AH$6:$AP$102, MATCH(1, ('Lookup Tables'!$AH$6:$AH$102=V244)*('Lookup Tables'!$AI$6:$AI$102=W244), 0), IF('Lighting Inventory'!E244="Interior", 4, 5)), INDEX('Lookup Tables'!$AH$114:$AP$154, MATCH(1, ('Lookup Tables'!$AH$114:$AH$154=V244)*('Lookup Tables'!$AI$114:$AI$154=W244), 0), IF('Lighting Inventory'!E244="Interior", 4, 5))))))))</f>
        <v/>
      </c>
      <c r="Z244" s="105" t="str">
        <f>IFERROR(INDEX('Lookup Tables'!$AH$158:$AH$172,MATCH('Lighting Inventory'!Y244,'Lookup Tables'!$AI$158:$AI$172,0)),"")</f>
        <v/>
      </c>
      <c r="AA244" s="105" t="str">
        <f>IF(AP244&gt;0,INDEX('Lookup Tables'!$AK$158:$AK$172,MATCH('Lighting Inventory'!Y244,'Lookup Tables'!$AI$158:$AI$172,0)),'Lighting Inventory'!Y244)</f>
        <v/>
      </c>
      <c r="AB244" s="105" t="str">
        <f t="array" ref="AB244">IF(V244="Custom", "Custom", IF(V244="", "", IF(V244="Not DLC or Energy Star", "General", IF(B244="New Construction", INDEX('Lookup Tables'!$AH$114:$AP$154,MATCH(1,('Lookup Tables'!$AH$114:$AH$154='Lighting Inventory'!V244)*('Lookup Tables'!$AI$114:$AI$154='Lighting Inventory'!W244),FALSE),8), INDEX('Lookup Tables'!$AH$6:$AP$102,MATCH(1,('Lookup Tables'!$AH$6:$AH$102='Lighting Inventory'!V244)*('Lookup Tables'!$AI$6:$AI$102='Lighting Inventory'!W244),FALSE),8)))))</f>
        <v/>
      </c>
      <c r="AC244" s="272" t="str">
        <f>IF(W244="","",IF(V244="Custom",CONCATENATE("$",'Lookup Tables'!$AM$101," ",'Lookup Tables'!$AN$101),CONCATENATE("$",INDEX('Lookup Tables'!$AM$6:$AM$102,MATCH('Lighting Inventory'!W244,'Lookup Tables'!$AI$6:$AI$102,0))," ",INDEX('Lookup Tables'!$AN$6:$AN$102,MATCH('Lighting Inventory'!W244,'Lookup Tables'!$AI$6:$AI$102,0)))))</f>
        <v/>
      </c>
      <c r="AD244" s="72"/>
      <c r="AE244" s="29"/>
      <c r="AF244" s="379"/>
      <c r="AG244" s="370" t="str">
        <f t="shared" si="504"/>
        <v/>
      </c>
      <c r="AH244" s="370" t="str">
        <f t="shared" si="557"/>
        <v/>
      </c>
      <c r="AI244" s="29"/>
      <c r="AJ244" s="29"/>
      <c r="AK244" s="110"/>
      <c r="AL244" s="375" t="str">
        <f>IF(OR(B244="", V244="", W244=""), "", IF(V244="No Change", K244, IF(V244="Remove Fixture", 0, IF(V244="Custom",VLOOKUP(W244,'Fixture Identities'!$A$6:$K$1023,10,FALSE),IF(AE244="", "← ENTER POST WATTS", 'Lighting Inventory'!AE244)))))</f>
        <v/>
      </c>
      <c r="AM244" s="376" t="str">
        <f t="shared" si="505"/>
        <v/>
      </c>
      <c r="AN244" s="29"/>
      <c r="AO244" s="671"/>
      <c r="AP244" s="29"/>
      <c r="AQ244" s="29"/>
      <c r="AR244" s="29"/>
      <c r="AS244" s="272" t="str">
        <f t="shared" si="558"/>
        <v/>
      </c>
      <c r="AT244" s="270" t="str">
        <f t="shared" si="506"/>
        <v/>
      </c>
      <c r="AU244" s="88" t="str">
        <f t="shared" si="606"/>
        <v/>
      </c>
      <c r="AV244" s="29"/>
      <c r="AW244" s="73"/>
      <c r="AX244" s="271" t="str">
        <f>IF(AND(AV244="Applicant",OR(AW244="", AW244="Use Default Facility Hours")),"← Choose Schedule",IF(F244="","",IF(W244="LED Exit Signs",8760,IF(OR(AV244="Prescribed",AV244=""),VLOOKUP(F244,'Lookup Tables'!$A$6:$G$59,IF(AB244="General", 6, 3),FALSE),VLOOKUP(AW244,'Lookup Tables'!$S$36:$U$43,2,FALSE)))))</f>
        <v/>
      </c>
      <c r="AY244" s="88" t="str">
        <f t="shared" si="507"/>
        <v/>
      </c>
      <c r="AZ244" s="270" t="str">
        <f>IFERROR(IF(F244="", "", IF(W244="LED Exit Signs", 1, IF(AV244="Applicant",VLOOKUP(AW244, 'Lookup Tables'!$S$36:$U$43,3, FALSE), VLOOKUP('Lighting Inventory'!F244, 'Lookup Tables'!$A$6:$H$59, IF('Lighting Inventory'!AB244="General",7,4), FALSE)))), "")</f>
        <v/>
      </c>
      <c r="BA244" s="522" t="str">
        <f>IFERROR(IF(F244="", "", IF(W244="LED Exit Signs", 1, VLOOKUP('Lighting Inventory'!F244, 'Lookup Tables'!$A$6:$H$59, IF('Lighting Inventory'!AB244="General",8,5), FALSE))), "")</f>
        <v/>
      </c>
      <c r="BB244" s="270" t="str">
        <f>IF(G244="", "", IF(E244="Exterior", 0, IF('Lighting Inventory'!G244="Air Conditioned", VLOOKUP(H244, 'Lookup Tables'!$R$6:$T$13, 2, FALSE), VLOOKUP('Lighting Inventory'!G244, 'Lookup Tables'!$R$6:$T$13, 2, FALSE))))</f>
        <v/>
      </c>
      <c r="BC244" s="522" t="str">
        <f>IF(G244="", "", IF(E244="Exterior", 0, IF('Lighting Inventory'!G244="Air Conditioned", VLOOKUP(H244, 'Lookup Tables'!$R$6:$T$13, 3, FALSE), VLOOKUP('Lighting Inventory'!G244, 'Lookup Tables'!$R$6:$T$13, 3, FALSE))))</f>
        <v/>
      </c>
      <c r="BD244" s="270" t="str">
        <f>IF(G244="", "", IF(E244="Exterior", 0, IF('Lighting Inventory'!G244="Air Conditioned", VLOOKUP(H244, 'Lookup Tables'!$R$6:$U$13, 4, FALSE), VLOOKUP('Lighting Inventory'!G244, 'Lookup Tables'!$R$6:$U$13, 4, FALSE))))</f>
        <v/>
      </c>
      <c r="BE244" s="270" t="str">
        <f>IFERROR(IF(B244="", "",  IF(B244="New Construction", VLOOKUP(F244, 'Lookup Tables'!$A$6:$K$59, 11, FALSE),IF(OR(AN244="", AN244="Light Switch"), 0, IF(OR(M244="",M244="None",V244= "LED Exit Signs"),0,_xlfn.XLOOKUP(M244,'Lookup Tables'!$R$91:$R$101,'Lookup Tables'!$V$91:$V$101))))), "")</f>
        <v/>
      </c>
      <c r="BF244" s="270" t="str">
        <f>IF(AND(OR(AN244="Light Switch",AN244=""),B244="New Construction"), VLOOKUP(F244, 'Lookup Tables'!$A$6:$K$59, 11, FALSE),IF(AN244="","",IF(B244="","",IF(OR(AN244="None",AN244="",V244="LED Exit Signs",AN244="Exterior Controls Not Eligible"),0,_xlfn.XLOOKUP(AN244,'Lookup Tables'!$R$91:$R$101,'Lookup Tables'!$V$91:$V$101)))))</f>
        <v/>
      </c>
      <c r="BG244" s="88" t="str">
        <f t="shared" si="559"/>
        <v/>
      </c>
      <c r="BH244" s="88" t="str">
        <f t="shared" si="560"/>
        <v/>
      </c>
      <c r="BI244" s="558" t="str">
        <f t="shared" si="604"/>
        <v/>
      </c>
      <c r="BJ244" s="82" t="str">
        <f t="shared" si="561"/>
        <v/>
      </c>
      <c r="BK244" s="82" t="str">
        <f t="shared" si="562"/>
        <v/>
      </c>
      <c r="BL244" s="559" t="str">
        <f t="shared" si="563"/>
        <v/>
      </c>
      <c r="BM244" s="521" t="str">
        <f t="shared" si="508"/>
        <v/>
      </c>
      <c r="BN244" s="521" t="str">
        <f t="shared" si="509"/>
        <v/>
      </c>
      <c r="BO244" s="522" t="str">
        <f t="shared" si="510"/>
        <v/>
      </c>
      <c r="BP244" s="83" t="str">
        <f t="shared" si="564"/>
        <v/>
      </c>
      <c r="BQ244" s="84" t="str">
        <f t="shared" si="565"/>
        <v/>
      </c>
      <c r="BR244" s="184" t="str">
        <f>IFERROR(IF(B244="", "", IF(OR(VLOOKUP(J244, 'Fixture Identities'!$A$6:$L$1023, 3, FALSE)="T12 Linear Fluorescent",VLOOKUP(J244, 'Fixture Identities'!$A$6:$L$1023, 3, FALSE)="T12 U-Tube Fluorescent"), "Y", "N")), "N")</f>
        <v/>
      </c>
      <c r="BS244" s="184" t="str">
        <f t="array" ref="BS244">IFERROR(IF(OR(B244="", V244="", W244=""), "", IF(V244="Custom", "N", IF(OR(W244="Freezer Case Lighting", W244="Refrigerated Case Lighting with Doors"), BT244, IF(B244="Retrofit", INDEX('Lookup Tables'!$AH$6:$AT$102,MATCH(1,('Lookup Tables'!$AH$6:$AH$102=V244)*('Lookup Tables'!$AI$6:$AI$102=W244),FALSE),IF(VLOOKUP(J244, 'Fixture Identities'!$A$6:$B$1023, 2, FALSE)="Incandescent",12, 13)), INDEX('Lookup Tables'!$AH$114:$AS$154,MATCH(1,('Lookup Tables'!$AH$114:$AH$154=V244)*('Lookup Tables'!$AI$114:$AI$154=W244),FALSE),12))))), "N")</f>
        <v/>
      </c>
      <c r="BT244" s="184" t="str">
        <f>IF(J244="", "", IF(AND(OR(W244="Freezer case Lighting", W244="Refrigerated Case Lighting with Doors"),'General Information'!$X$18="LCI"), "N", IF(OR(VLOOKUP(J244, 'Fixture Identities'!$A$6:$B$1023, 2, FALSE)="T12 EPACT/EISA Baseline", VLOOKUP(J244, 'Fixture Identities'!$A$6:$B$1023, 2, FALSE)="Linear Fluorescent", VLOOKUP(J244, 'Fixture Identities'!$A$6:$B$1023, 2, FALSE)="U-Tube Fluorescent"), "Y", "N")))</f>
        <v/>
      </c>
      <c r="BU244" s="184" t="str">
        <f>IFERROR(IF(B244="", "", IF(VLOOKUP(J244, 'Fixture Identities'!$A$6:$B$1023, 2, FALSE)="Exit Sign", "Y", "N")), "N")</f>
        <v/>
      </c>
      <c r="BV244" s="184" t="str">
        <f>IF(V244="Exit Signs", IF(VLOOKUP(J244, 'Fixture Identities'!$A$6:$B$1023, 2, FALSE)="Exit Sign", "N", "Y"), "")</f>
        <v/>
      </c>
      <c r="BW244" s="184" t="str">
        <f t="array" ref="BW244">IFERROR(IF(B244="", "", IF(B244="New Construction", "N", INDEX('Lookup Tables'!$AH$6:$AU$102, MATCH(1, ('Lookup Tables'!$AH$6:$AH$102='Lighting Inventory'!V244)*('Lookup Tables'!$AI$6:$AI$102='Lighting Inventory'!W244), 0), 14))), "N")</f>
        <v/>
      </c>
      <c r="BX244" s="598" t="str">
        <f t="shared" si="566"/>
        <v/>
      </c>
      <c r="BY244" s="598" t="str">
        <f t="shared" si="567"/>
        <v/>
      </c>
      <c r="BZ244" s="598" t="str">
        <f t="shared" si="568"/>
        <v/>
      </c>
      <c r="CA244" s="598" t="str">
        <f t="shared" si="569"/>
        <v/>
      </c>
      <c r="CB244" s="269" t="str">
        <f t="shared" si="570"/>
        <v/>
      </c>
      <c r="CC244" s="517" t="str">
        <f t="shared" si="571"/>
        <v/>
      </c>
      <c r="CD244" s="565" t="str">
        <f t="shared" si="511"/>
        <v/>
      </c>
      <c r="CE244" s="368">
        <v>0</v>
      </c>
      <c r="CF244" s="368" t="str" cm="1">
        <f t="array" ref="CF244">IFERROR(IF(V244="Custom", "$0.1 per kWh", IF(B244="New Construction", CONCATENATE("$",INDEX('Lookup Tables'!$AH$114:$AN$154,MATCH(1,('Lookup Tables'!$AH$114:$AH$154='Lighting Inventory'!V244)*('Lookup Tables'!$AI$114:$AI$154='Lighting Inventory'!W244),FALSE),6)," ",INDEX('Lookup Tables'!$AH$114:$AN$154,MATCH(1,('Lookup Tables'!$AH$114:$AH$154='Lighting Inventory'!V244)*('Lookup Tables'!$AI$114:$AI$154='Lighting Inventory'!W244),FALSE),7)), IF(AND(BU244="N", V244="Exit Signs"), "$0.025 per kWh", CONCATENATE("$",INDEX('Lookup Tables'!$AH$6:$AN$102,MATCH(1,('Lookup Tables'!$AH$6:$AH$102='Lighting Inventory'!V244)*('Lookup Tables'!$AI$6:$AI$102='Lighting Inventory'!W244),FALSE),6)," ",INDEX('Lookup Tables'!$AH$6:$AN$102,MATCH(1,('Lookup Tables'!$AH$6:$AH$102='Lighting Inventory'!V244)*('Lookup Tables'!$AI$6:$AI$102='Lighting Inventory'!W244),FALSE),7))))), "")</f>
        <v/>
      </c>
      <c r="CG244" s="366"/>
      <c r="CH244" s="248" t="str">
        <f t="shared" si="512"/>
        <v/>
      </c>
      <c r="CI244" s="248" t="str">
        <f t="shared" si="513"/>
        <v>Select_IE</v>
      </c>
      <c r="CJ244" s="248" t="str">
        <f t="shared" si="514"/>
        <v/>
      </c>
      <c r="CK244" s="248" t="str">
        <f t="shared" si="515"/>
        <v/>
      </c>
      <c r="CL244" s="248" t="str">
        <f t="shared" si="516"/>
        <v/>
      </c>
      <c r="CM244" s="248" t="str">
        <f>IFERROR(IF(B244="", "", IF(B244="New Construction", VLOOKUP(V244, 'Lookup Tables'!$AF$114:$AG$120, 2, FALSE), VLOOKUP(V244, 'Lookup Tables'!$AD$6:$AE$25, 2, FALSE))), "")</f>
        <v/>
      </c>
      <c r="CN244" s="248" t="str">
        <f t="shared" si="517"/>
        <v/>
      </c>
      <c r="CO244" s="248" t="str">
        <f t="shared" si="518"/>
        <v/>
      </c>
      <c r="CP244" s="592" t="str">
        <f t="shared" si="519"/>
        <v/>
      </c>
      <c r="CQ244" s="248" t="str">
        <f t="shared" si="572"/>
        <v/>
      </c>
      <c r="CR244" s="100"/>
      <c r="CS244" s="250" t="str">
        <f t="shared" si="520"/>
        <v/>
      </c>
      <c r="CT244" s="250" t="str">
        <f t="shared" si="573"/>
        <v/>
      </c>
      <c r="CU244" s="250" t="str">
        <f t="shared" si="574"/>
        <v/>
      </c>
      <c r="CV244" s="250" t="str">
        <f t="shared" si="575"/>
        <v/>
      </c>
      <c r="CW244" s="250" t="str">
        <f t="shared" si="576"/>
        <v/>
      </c>
      <c r="CX244" s="250" t="str">
        <f t="shared" si="521"/>
        <v/>
      </c>
      <c r="CY244" s="250" t="str">
        <f t="shared" si="522"/>
        <v/>
      </c>
      <c r="CZ244" s="250" t="str">
        <f t="shared" si="523"/>
        <v/>
      </c>
      <c r="DA244" s="250" t="str">
        <f t="shared" si="524"/>
        <v/>
      </c>
      <c r="DB244" s="250" t="str">
        <f t="shared" si="525"/>
        <v/>
      </c>
      <c r="DC244" s="250" t="str">
        <f t="shared" si="526"/>
        <v/>
      </c>
      <c r="DD244" s="250" t="str">
        <f t="shared" si="527"/>
        <v/>
      </c>
      <c r="DE244" s="250" t="str">
        <f t="shared" si="528"/>
        <v/>
      </c>
      <c r="DF244" s="250" t="str">
        <f t="shared" si="529"/>
        <v/>
      </c>
      <c r="DG244" s="250" t="str">
        <f t="shared" si="530"/>
        <v/>
      </c>
      <c r="DH244" s="250" t="str">
        <f t="shared" si="531"/>
        <v/>
      </c>
      <c r="DI244" s="250" t="str">
        <f t="shared" si="532"/>
        <v/>
      </c>
      <c r="DJ244" s="250" t="str">
        <f t="shared" si="533"/>
        <v/>
      </c>
      <c r="DK244" s="250" t="str">
        <f t="shared" si="534"/>
        <v/>
      </c>
      <c r="DL244" s="250" t="str">
        <f t="shared" si="535"/>
        <v/>
      </c>
      <c r="DM244" s="250" t="str">
        <f>IF(CD244="ERROR", "ERROR", IF(AND(OR(Y244=$DM$6, Y244='Lookup Tables'!$AD$21, Y244='Lookup Tables'!$AD$22), E244="Interior"), BJ244, ""))</f>
        <v/>
      </c>
      <c r="DN244" s="250" t="str">
        <f>IF(CD244="ERROR", "ERROR", IF(AND(OR(Y244=$DM$6, Y244='Lookup Tables'!$AD$21, Y244='Lookup Tables'!$AD$22), E244="Exterior"), BJ244, ""))</f>
        <v/>
      </c>
      <c r="DO244" s="100"/>
      <c r="DP244" s="250" t="str">
        <f t="shared" si="536"/>
        <v/>
      </c>
      <c r="DQ244" s="250" t="str">
        <f t="shared" si="577"/>
        <v/>
      </c>
      <c r="DR244" s="250" t="str">
        <f t="shared" si="578"/>
        <v/>
      </c>
      <c r="DS244" s="250" t="str">
        <f t="shared" si="579"/>
        <v/>
      </c>
      <c r="DT244" s="250" t="str">
        <f t="shared" si="580"/>
        <v/>
      </c>
      <c r="DU244" s="250" t="str">
        <f t="shared" si="537"/>
        <v/>
      </c>
      <c r="DV244" s="250" t="str">
        <f t="shared" si="538"/>
        <v/>
      </c>
      <c r="DW244" s="250" t="str">
        <f t="shared" si="539"/>
        <v/>
      </c>
      <c r="DX244" s="250" t="str">
        <f t="shared" si="540"/>
        <v/>
      </c>
      <c r="DY244" s="250" t="str">
        <f t="shared" si="541"/>
        <v/>
      </c>
      <c r="DZ244" s="250" t="str">
        <f t="shared" si="542"/>
        <v/>
      </c>
      <c r="EA244" s="250" t="str">
        <f t="shared" si="543"/>
        <v/>
      </c>
      <c r="EB244" s="250" t="str">
        <f t="shared" si="581"/>
        <v/>
      </c>
      <c r="EC244" s="250" t="str">
        <f t="shared" si="544"/>
        <v/>
      </c>
      <c r="ED244" s="250" t="str">
        <f t="shared" si="545"/>
        <v/>
      </c>
      <c r="EE244" s="250" t="str">
        <f t="shared" si="546"/>
        <v/>
      </c>
      <c r="EF244" s="250" t="str">
        <f t="shared" si="547"/>
        <v/>
      </c>
      <c r="EG244" s="250" t="str">
        <f t="shared" si="548"/>
        <v/>
      </c>
      <c r="EH244" s="250" t="str">
        <f>IF(CD244="ERROR", "ERROR", IF(AND(OR($EH$6=Y244, Y244='Lookup Tables'!$AD$21, Y244='Lookup Tables'!$AD$22),E244="Interior"), SUM(BP244:BP244), ""))</f>
        <v/>
      </c>
      <c r="EI244" s="250" t="str">
        <f>IF(CD244="ERROR", "ERROR", IF(AND(OR($EH$6=Y244, Y244='Lookup Tables'!$AD$21, Y244='Lookup Tables'!$AD$22),E244="Exterior"), SUM(BP244:BP244), ""))</f>
        <v/>
      </c>
      <c r="EJ244" s="109"/>
      <c r="EK244" s="485" t="str">
        <f t="shared" si="549"/>
        <v/>
      </c>
      <c r="EL244" s="252" t="str">
        <f t="shared" si="582"/>
        <v/>
      </c>
      <c r="EM244" s="252" t="str">
        <f t="shared" si="583"/>
        <v/>
      </c>
      <c r="EN244" s="252" t="str">
        <f t="shared" si="584"/>
        <v/>
      </c>
      <c r="EO244" s="252" t="str">
        <f t="shared" si="585"/>
        <v/>
      </c>
      <c r="EP244" s="252" t="str">
        <f t="shared" si="586"/>
        <v/>
      </c>
      <c r="EQ244" s="252" t="str">
        <f t="shared" si="587"/>
        <v/>
      </c>
      <c r="ER244" s="252" t="str">
        <f t="shared" si="588"/>
        <v/>
      </c>
      <c r="ES244" s="252" t="str">
        <f t="shared" si="589"/>
        <v/>
      </c>
      <c r="ET244" s="252" t="str">
        <f t="shared" si="590"/>
        <v/>
      </c>
      <c r="EU244" s="252" t="str">
        <f t="shared" si="591"/>
        <v/>
      </c>
      <c r="EV244" s="252" t="str">
        <f t="shared" si="592"/>
        <v/>
      </c>
      <c r="EW244" s="252" t="str">
        <f t="shared" si="593"/>
        <v/>
      </c>
      <c r="EX244" s="252" t="str">
        <f t="shared" si="594"/>
        <v/>
      </c>
      <c r="EY244" s="252" t="str">
        <f t="shared" si="595"/>
        <v/>
      </c>
      <c r="EZ244" s="252" t="str">
        <f t="shared" si="596"/>
        <v/>
      </c>
      <c r="FA244" s="252" t="str">
        <f t="shared" si="597"/>
        <v/>
      </c>
      <c r="FB244" s="252" t="str">
        <f t="shared" si="598"/>
        <v/>
      </c>
      <c r="FC244" s="252" t="str">
        <f>IF(CD244="ERROR", "ERROR", IF(OR(V244="No Change", V244="Not DLC or Energy Star"), "", IF(AND(OR($FC$6=Y244,Y244='Lookup Tables'!$AD$21, Y244='Lookup Tables'!$AD$22),E244="Interior"), S244, "")))</f>
        <v/>
      </c>
      <c r="FD244" s="252" t="str">
        <f t="shared" si="599"/>
        <v/>
      </c>
      <c r="FE244" s="101"/>
      <c r="FF244" s="579" t="str" cm="1">
        <f t="array" ref="FF244">IFERROR(IF(OR(BQ244&lt;=0,AQ244&lt;20,AND(V244="Exit Signs",AN244&gt;0)),"",IF(AND(AQ244&gt;=20,AN244='Lookup Tables'!$R$101),'Lookup Tables'!$U$101*BQ244,AP244*LOOKUP(2,1/((AN244='Lookup Tables'!$R$91:$R$111)*(AQ244&gt;='Lookup Tables'!$S$91:$S$111)*(AQ244&lt;='Lookup Tables'!$T$91:$T$111)),'Lookup Tables'!$U$91:$U$111))),"")</f>
        <v/>
      </c>
      <c r="FG244" s="579"/>
      <c r="FH244" s="579"/>
      <c r="FI244" s="253" t="str">
        <f>IFERROR(ROUND(IF(CD244="ERROR", "ERROR", IF(AND($FI$7=X244,E244="Interior"),VLOOKUP(W244, 'Lookup Tables'!$AI$6:$AM$102, 5, FALSE)*BP244, "")), 2), "")</f>
        <v/>
      </c>
      <c r="FJ244" s="253" t="str">
        <f>IFERROR(ROUND(IF(CD244="ERROR", "ERROR", IF(AND($FI$7=X244,E244="Exterior"),VLOOKUP(W244, 'Lookup Tables'!$AI$6:$AM$102, 5, FALSE)*BP244, "")), 2), "")</f>
        <v/>
      </c>
      <c r="FK244" s="253" t="str">
        <f>IFERROR(ROUND(IF(CD244="ERROR", "ERROR", IF(AND($FK$7=X244,E244="Interior"),VLOOKUP(W244, 'Lookup Tables'!$AI$6:$AM$102, 5, FALSE)*BP244, "")), 2), "")</f>
        <v/>
      </c>
      <c r="FL244" s="253" t="str">
        <f>IFERROR(ROUND(IF(CD244="ERROR", "ERROR", IF(AND($FK$7=X244,E244="Exterior"),VLOOKUP(W244, 'Lookup Tables'!$AI$6:$AM$102, 5, FALSE)*BP244, "")), 2), "")</f>
        <v/>
      </c>
      <c r="FM244" s="253" t="str">
        <f>IFERROR(ROUND(IF(CD244="ERROR", "ERROR", IF(AND($FM$6=Y244,E244="Interior"), IF(GB244=0, VLOOKUP(W244, 'Lookup Tables'!$AI$6:$AM$102, 5, FALSE)*BP244, IF(VLOOKUP(W244, 'Lookup Tables'!$AI$6:$AM$102, 5, FALSE)*BP244&gt;GB244*'Lighting Inventory'!S244, GB244*'Lighting Inventory'!S244,VLOOKUP(W244, 'Lookup Tables'!$AI$6:$AM$102, 5, FALSE)*BP244)), "")), 2), "")</f>
        <v/>
      </c>
      <c r="FN244" s="253" t="str">
        <f>IFERROR(ROUND(IF(CD244="ERROR", "ERROR", IF(AND($FM$6=Y244,E244="Exterior"), IF(GB244=0, VLOOKUP(W244, 'Lookup Tables'!$AI$6:$AM$102, 5, FALSE)*BP244, IF(VLOOKUP(W244, 'Lookup Tables'!$AI$6:$AM$102, 5, FALSE)*BP244&gt;GB244*'Lighting Inventory'!S244, GB244*'Lighting Inventory'!S244,VLOOKUP(W244, 'Lookup Tables'!$AI$6:$AM$102, 5, FALSE)*BP244)), "")), 2), "")</f>
        <v/>
      </c>
      <c r="FO244" s="253" t="str">
        <f>IFERROR(ROUND(IF(CD244="ERROR", "ERROR", IF(AND($FO$6=Y244,E244="Interior"),VLOOKUP(W244, 'Lookup Tables'!$AI$6:$AM$102, 5, FALSE)*'Lighting Inventory'!AI244, "")), 2), "")</f>
        <v/>
      </c>
      <c r="FP244" s="253" t="str">
        <f>IFERROR(ROUND(IF(CD244="ERROR", "ERROR", IF(AND($FO$6=Y244,E244="Exterior"),VLOOKUP(W244, 'Lookup Tables'!$AI$6:$AM$102, 5, FALSE)*'Lighting Inventory'!AI244, "")), 2), "")</f>
        <v/>
      </c>
      <c r="FQ244" s="253" t="str">
        <f>IFERROR(ROUND(IF(CD244="ERROR", "ERROR", IF(AND($FQ$6=Y244,E244="Interior", BU244="Y"), VLOOKUP('Lighting Inventory'!W244, 'Lookup Tables'!$AI$6:$AM$102, 5, FALSE)*'Lighting Inventory'!S244, IF(AND($FQ$7=Y244,E244="Interior", BU244="N"), 0.025*CD244, ""))), 2), "")</f>
        <v/>
      </c>
      <c r="FR244" s="253" t="str">
        <f>IFERROR(ROUND(IF(CD244="ERROR", "ERROR", IF(AND($FQ$6=Y244,E244="Exterior"), VLOOKUP('Lighting Inventory'!W244, 'Lookup Tables'!$AI$6:$AM$102, 5, FALSE)*'Lighting Inventory'!S244, "")), 2), "")</f>
        <v/>
      </c>
      <c r="FS244" s="253" t="str">
        <f>IFERROR(ROUND(IF(CD244="ERROR", "ERROR", IF(AND($FS$6=Y244,E244="Exterior"), IF(GB244=0, VLOOKUP(W244, 'Lookup Tables'!$AI$6:$AM$102, 5, FALSE)*BP244, IF(VLOOKUP(W244, 'Lookup Tables'!$AI$6:$AM$102, 5, FALSE)*BP244&gt;GB244*'Lighting Inventory'!S244, GB244*'Lighting Inventory'!S244,VLOOKUP(W244, 'Lookup Tables'!$AI$6:$AM$102, 5, FALSE)*BP244)), "")), 2), "")</f>
        <v/>
      </c>
      <c r="FT244" s="253" t="str">
        <f>IFERROR(ROUND(IF(CD244="ERROR", "ERROR", IF(AND($FT$6=Y244,E244="Interior"), IF(GB244=0, VLOOKUP(W244, 'Lookup Tables'!$AI$6:$AM$102, 5, FALSE)*BP244, IF(VLOOKUP(W244, 'Lookup Tables'!$AI$6:$AM$102, 5, FALSE)*BP244&gt;GB244*'Lighting Inventory'!S244, GB244*'Lighting Inventory'!S244,VLOOKUP(W244, 'Lookup Tables'!$AI$6:$AM$102, 5, FALSE)*BP244)), "")), 2), "")</f>
        <v/>
      </c>
      <c r="FU244" s="253" t="str">
        <f>IFERROR(ROUND(IF(CD244="ERROR", "ERROR", IF(AND(Y244=$FU$6, E244="Interior"), IF(BS244="N", 'Lookup Tables'!$AM$101*BP244, VLOOKUP(W244, 'Lookup Tables'!$AI$6:$AM$102, 5, FALSE)*S244*AD244), "")), 2), "")</f>
        <v/>
      </c>
      <c r="FV244" s="253" t="str">
        <f>IFERROR(ROUND(IF(CD244="ERROR", "ERROR", IF(AND(Y244=$FU$6, E244="Exterior"), IF(BS244="N", 'Lookup Tables'!$AM$101*BP244, VLOOKUP(W244, 'Lookup Tables'!$AI$6:$AM$102, 5, FALSE)*S244*AD244), "")), 2), "")</f>
        <v/>
      </c>
      <c r="FW244" s="253" t="str">
        <f>IFERROR(ROUND(IF(CD244="ERROR", "ERROR", IF($FW$6=Y244, IF(BS244="N", 'Lookup Tables'!$AM$101*BP244, MIN((VLOOKUP(W244, 'Lookup Tables'!$AI$6:$AM$102, 5, FALSE)*BP244),GB244*AJ244)), "")), 2), "")</f>
        <v/>
      </c>
      <c r="FX244" s="253" t="str">
        <f>IFERROR(ROUND(IF(CD244="ERROR", "ERROR", IF(AND($FX$6=Y244, E244="Interior"), IF(VLOOKUP(W244, 'Lookup Tables'!$AI$6:$AM$102, 5, FALSE)*BP244&gt;'Lookup Tables'!$AQ$97*'Lighting Inventory'!S244,'Lighting Inventory'!S244*'Lookup Tables'!$AQ$97,VLOOKUP(W244, 'Lookup Tables'!$AI$6:$AM$102, 5, FALSE)*BP244), "")), 2), "")</f>
        <v/>
      </c>
      <c r="FY244" s="253" t="str">
        <f>IFERROR(ROUND(IF(CD244="ERROR", "ERROR", IF(AND($FX$6=Y244, E244="Exterior"), IF(VLOOKUP(W244, 'Lookup Tables'!$AI$6:$AM$102, 5, FALSE)*BP244&gt;'Lookup Tables'!$AQ$97*'Lighting Inventory'!S244,'Lighting Inventory'!S244*'Lookup Tables'!$AQ$97,VLOOKUP(W244, 'Lookup Tables'!$AI$6:$AM$102, 5, FALSE)*BP244), "")), 2), "")</f>
        <v/>
      </c>
      <c r="FZ244" s="253" t="str">
        <f>IFERROR(ROUND(IF(CD244="ERROR", "ERROR", IF(AND($FZ$6=Y244, E244="Interior"), IF(AND(OR(W244="Refrigerated Case Lighting with Doors", W244="Freezer Case Lighting"),Y244="Custom - Process Improvement"),CD244*'Lookup Tables'!$AM$101, IF(B244="Retrofit", IF(VLOOKUP(IF(V244="Custom", V244, W244), 'Lookup Tables'!$AI$6:$AM$102, 5, FALSE)*BP244&gt;GE244, GE244, VLOOKUP(IF(V244="Custom", V244, W244), 'Lookup Tables'!$AI$6:$AM$102, 5, FALSE)*BP244), IF(VLOOKUP(IF(V244="Custom", V244, W244), 'Lookup Tables'!$AI$114:$AM$154, 5, FALSE)*BP244&gt;GE244, GE244, VLOOKUP(IF(V244="Custom", V244, W244), 'Lookup Tables'!$AI$114:$AM$154, 5, FALSE)*BP244))), "")), 2),"")</f>
        <v/>
      </c>
      <c r="GA244" s="253" t="str">
        <f>IFERROR(ROUND(IF(CD244="ERROR", "ERROR", IF(AND($FZ$6=Y244, E244="Exterior"), IF(B244="Retrofit", IF(VLOOKUP(IF(V244="Custom", V244, W244), 'Lookup Tables'!$AI$6:$AM$102, 5, FALSE)*BP244&gt;GE244, GE244, VLOOKUP(IF(V244="Custom", V244, W244), 'Lookup Tables'!$AI$6:$AM$102, 5, FALSE)*BP244), IF(VLOOKUP(IF(V244="Custom", V244, W244), 'Lookup Tables'!$AI$114:$AM$154, 5, FALSE)*BP244&gt;GE244, GE244, VLOOKUP(IF(V244="Custom", V244, W244), 'Lookup Tables'!$AI$114:$AM$154, 5, FALSE)*BP244)), "")), 2),"")</f>
        <v/>
      </c>
      <c r="GB244" s="254" t="str">
        <f t="array" ref="GB244">IF(B244="","",IF(OR(V244="Custom",V244="No Change"),0,IF(B244="Retrofit", INDEX('Lookup Tables'!$AH$6:$AQ$102,MATCH(1,('Lookup Tables'!$AH$6:$AH$102='Lighting Inventory'!V244)*('Lookup Tables'!$AI$6:$AI$102='Lighting Inventory'!W244),FALSE),10),INDEX('Lookup Tables'!$AH$114:$AQ$154,MATCH(1,('Lookup Tables'!$AH$114:$AH$154='Lighting Inventory'!V244)*('Lookup Tables'!$AI$114:$AI$154='Lighting Inventory'!W244),FALSE),10))))</f>
        <v/>
      </c>
      <c r="GC244" s="255" t="str">
        <f t="shared" si="550"/>
        <v/>
      </c>
      <c r="GD244" s="250" t="str">
        <f t="shared" si="551"/>
        <v/>
      </c>
      <c r="GE244" s="253" t="str">
        <f>IFERROR(IF(AND(AF244="", 'General Information'!$F$18="No"),"", IF(AF244="", ((GD244/$CD$266)*$CF$266)*0.5, AF244*S244*0.5)), "")</f>
        <v/>
      </c>
      <c r="GF244" s="255" t="str">
        <f>IF(AND('General Information'!$F$19="", 'General Information'!$F$18="Yes",AF244="",BW244="Y"), "Y", "N")</f>
        <v>N</v>
      </c>
      <c r="GG244" s="255" t="s">
        <v>2946</v>
      </c>
      <c r="GH244" s="255" t="str">
        <f>IFERROR(IF(B244="", "", VLOOKUP(J244, 'Fixture Identities'!$A$6:$N$908, 14, FALSE)), "")</f>
        <v/>
      </c>
      <c r="GI244" s="389" t="str">
        <f>IF(OR(B244="", V244="", W244=""), "", IF(AND(OR(M244='Lookup Tables'!$R$18, M244='Lookup Tables'!$R$19, M244='Lookup Tables'!$R$20, M244='Lookup Tables'!$R$21, M244='Lookup Tables'!$R$22), OR(AN244='Lookup Tables'!$R$17, AN244='Lookup Tables'!$R$17, AN244="")), "Y", "N"))</f>
        <v/>
      </c>
      <c r="GJ244" s="255" t="str">
        <f t="shared" si="552"/>
        <v/>
      </c>
      <c r="GK244" s="255" t="str">
        <f t="shared" si="553"/>
        <v/>
      </c>
      <c r="GL244" s="255" t="str">
        <f t="shared" si="554"/>
        <v/>
      </c>
      <c r="GM244" s="255" t="str">
        <f>IF(AN244="", "", IF(AND(IF(ISNA(VLOOKUP(AN244,'Lookup Tables'!$R$18:$R$22,1,FALSE)), "N", "Y")="Y", E244="Exterior"), "Y", "N"))</f>
        <v/>
      </c>
      <c r="GN244" s="395"/>
      <c r="GO244" s="428">
        <f t="shared" si="600"/>
        <v>0</v>
      </c>
      <c r="GP244" s="428">
        <f t="shared" si="603"/>
        <v>0</v>
      </c>
      <c r="GQ244" s="428">
        <f t="shared" si="601"/>
        <v>0</v>
      </c>
      <c r="GR244" s="428">
        <f t="shared" si="602"/>
        <v>0</v>
      </c>
    </row>
    <row r="245" spans="1:200" s="103" customFormat="1" ht="13.5" customHeight="1" x14ac:dyDescent="0.2">
      <c r="A245" s="272">
        <v>235</v>
      </c>
      <c r="B245" s="110"/>
      <c r="C245" s="110"/>
      <c r="D245" s="110"/>
      <c r="E245" s="110"/>
      <c r="F245" s="110"/>
      <c r="G245" s="110"/>
      <c r="H245" s="110"/>
      <c r="I245" s="29"/>
      <c r="J245" s="29"/>
      <c r="K245" s="272" t="str">
        <f>IFERROR(IF(OR(VLOOKUP(J245, 'Fixture Identities'!$A$6:$L$1023, 3, FALSE)="T12 Linear Fluorescent", VLOOKUP(J245, 'Fixture Identities'!$A$6:$L$1023, 3, FALSE)="T12 U-Tube Fluorescent"), VLOOKUP(VLOOKUP(J245, 'Fixture Identities'!$A$6:$L$1023, 11, FALSE), 'Fixture Identities'!$A$6:$L$1023, 10, FALSE), VLOOKUP(J245, 'Fixture Identities'!$A$6:$L$1023, 10, FALSE)), "")</f>
        <v/>
      </c>
      <c r="L245" s="270" t="str">
        <f t="shared" si="605"/>
        <v/>
      </c>
      <c r="M245" s="110"/>
      <c r="N245" s="110"/>
      <c r="O245" s="110"/>
      <c r="P245" s="272" t="str">
        <f>IFERROR(IF(OR(B245="Retrofit",B245=""),"",IF('Lighting Inventory'!E245="Exterior",VLOOKUP('Lighting Inventory'!N245,'Lookup Tables'!$B$83:$F$103,5,FALSE),IF(N245="Other - Please Estimate EFLH and CFs","Contact Prog. Rep.","ft^2"))), "")</f>
        <v/>
      </c>
      <c r="Q245" s="270" t="str">
        <f>IFERROR(IF(AND(B245="New Construction",E245="Interior",$F$5="Space-by-Space"),VLOOKUP('Lighting Inventory'!N245,'Lookup Tables'!$N$6:$O$97,2,FALSE),IF(AND(B245="New Construction",E245="Exterior"),VLOOKUP(N245,'Lookup Tables'!$B$83:$F$103,2,FALSE),IF(AND(B245="New Construction",'Lighting Inventory'!E245="Interior", $F$5="Building Area"),VLOOKUP(F245,'Lookup Tables'!$A$6:$J$59,10,FALSE),""))), "")</f>
        <v/>
      </c>
      <c r="R245" s="270" t="str">
        <f>IFERROR(IF(P245="Contact Prog. Rep.", "ERROR", IF(OR(B245="",B245="Retrofit"),"",IF(N245="Automated teller machines", ('Lookup Tables'!$A$82:$E$100+('Lighting Inventory'!O245-1)*'Lookup Tables'!$A$82:$E$100)/1000, (Q245*O245)/1000))), "")</f>
        <v/>
      </c>
      <c r="S245" s="595"/>
      <c r="T245" s="105" t="str">
        <f t="shared" si="555"/>
        <v/>
      </c>
      <c r="U245" s="105" t="str">
        <f>IF(S245="","",COUNT($S$11:S245))</f>
        <v/>
      </c>
      <c r="V245" s="111"/>
      <c r="W245" s="112"/>
      <c r="X245" s="105" t="str">
        <f t="shared" si="556"/>
        <v/>
      </c>
      <c r="Y245" s="105" t="str">
        <f t="array" ref="Y245">IF(AND(OR(W245="Freezer Case Lighting", W245="Refrigerated Case Lighting with Doors"), 'General Information'!$X$18="LCI"),'Lookup Tables'!$Y$34, IF(V245="Custom", VLOOKUP(W245, 'Fixture Identities'!$A$974:$M$1023, 13, FALSE), IF(V245="No Change",'Lookup Tables'!$Y$29,IF(OR(V245="",W245=""),"",IF(AND(S245=0,S245&lt;I245,B245="Retrofit"),'Lookup Tables'!$Y$25, IF(B245="Retrofit", INDEX('Lookup Tables'!$AH$6:$AP$102, MATCH(1, ('Lookup Tables'!$AH$6:$AH$102=V245)*('Lookup Tables'!$AI$6:$AI$102=W245), 0), IF('Lighting Inventory'!E245="Interior", 4, 5)), INDEX('Lookup Tables'!$AH$114:$AP$154, MATCH(1, ('Lookup Tables'!$AH$114:$AH$154=V245)*('Lookup Tables'!$AI$114:$AI$154=W245), 0), IF('Lighting Inventory'!E245="Interior", 4, 5))))))))</f>
        <v/>
      </c>
      <c r="Z245" s="105" t="str">
        <f>IFERROR(INDEX('Lookup Tables'!$AH$158:$AH$172,MATCH('Lighting Inventory'!Y245,'Lookup Tables'!$AI$158:$AI$172,0)),"")</f>
        <v/>
      </c>
      <c r="AA245" s="105" t="str">
        <f>IF(AP245&gt;0,INDEX('Lookup Tables'!$AK$158:$AK$172,MATCH('Lighting Inventory'!Y245,'Lookup Tables'!$AI$158:$AI$172,0)),'Lighting Inventory'!Y245)</f>
        <v/>
      </c>
      <c r="AB245" s="105" t="str">
        <f t="array" ref="AB245">IF(V245="Custom", "Custom", IF(V245="", "", IF(V245="Not DLC or Energy Star", "General", IF(B245="New Construction", INDEX('Lookup Tables'!$AH$114:$AP$154,MATCH(1,('Lookup Tables'!$AH$114:$AH$154='Lighting Inventory'!V245)*('Lookup Tables'!$AI$114:$AI$154='Lighting Inventory'!W245),FALSE),8), INDEX('Lookup Tables'!$AH$6:$AP$102,MATCH(1,('Lookup Tables'!$AH$6:$AH$102='Lighting Inventory'!V245)*('Lookup Tables'!$AI$6:$AI$102='Lighting Inventory'!W245),FALSE),8)))))</f>
        <v/>
      </c>
      <c r="AC245" s="272" t="str">
        <f>IF(W245="","",IF(V245="Custom",CONCATENATE("$",'Lookup Tables'!$AM$101," ",'Lookup Tables'!$AN$101),CONCATENATE("$",INDEX('Lookup Tables'!$AM$6:$AM$102,MATCH('Lighting Inventory'!W245,'Lookup Tables'!$AI$6:$AI$102,0))," ",INDEX('Lookup Tables'!$AN$6:$AN$102,MATCH('Lighting Inventory'!W245,'Lookup Tables'!$AI$6:$AI$102,0)))))</f>
        <v/>
      </c>
      <c r="AD245" s="72"/>
      <c r="AE245" s="29"/>
      <c r="AF245" s="379"/>
      <c r="AG245" s="370" t="str">
        <f t="shared" si="504"/>
        <v/>
      </c>
      <c r="AH245" s="370" t="str">
        <f t="shared" si="557"/>
        <v/>
      </c>
      <c r="AI245" s="29"/>
      <c r="AJ245" s="29"/>
      <c r="AK245" s="110"/>
      <c r="AL245" s="375" t="str">
        <f>IF(OR(B245="", V245="", W245=""), "", IF(V245="No Change", K245, IF(V245="Remove Fixture", 0, IF(V245="Custom",VLOOKUP(W245,'Fixture Identities'!$A$6:$K$1023,10,FALSE),IF(AE245="", "← ENTER POST WATTS", 'Lighting Inventory'!AE245)))))</f>
        <v/>
      </c>
      <c r="AM245" s="376" t="str">
        <f t="shared" si="505"/>
        <v/>
      </c>
      <c r="AN245" s="29"/>
      <c r="AO245" s="671"/>
      <c r="AP245" s="29"/>
      <c r="AQ245" s="29"/>
      <c r="AR245" s="29"/>
      <c r="AS245" s="272" t="str">
        <f t="shared" si="558"/>
        <v/>
      </c>
      <c r="AT245" s="270" t="str">
        <f t="shared" si="506"/>
        <v/>
      </c>
      <c r="AU245" s="88" t="str">
        <f t="shared" si="606"/>
        <v/>
      </c>
      <c r="AV245" s="29"/>
      <c r="AW245" s="73"/>
      <c r="AX245" s="271" t="str">
        <f>IF(AND(AV245="Applicant",OR(AW245="", AW245="Use Default Facility Hours")),"← Choose Schedule",IF(F245="","",IF(W245="LED Exit Signs",8760,IF(OR(AV245="Prescribed",AV245=""),VLOOKUP(F245,'Lookup Tables'!$A$6:$G$59,IF(AB245="General", 6, 3),FALSE),VLOOKUP(AW245,'Lookup Tables'!$S$36:$U$43,2,FALSE)))))</f>
        <v/>
      </c>
      <c r="AY245" s="88" t="str">
        <f t="shared" si="507"/>
        <v/>
      </c>
      <c r="AZ245" s="270" t="str">
        <f>IFERROR(IF(F245="", "", IF(W245="LED Exit Signs", 1, IF(AV245="Applicant",VLOOKUP(AW245, 'Lookup Tables'!$S$36:$U$43,3, FALSE), VLOOKUP('Lighting Inventory'!F245, 'Lookup Tables'!$A$6:$H$59, IF('Lighting Inventory'!AB245="General",7,4), FALSE)))), "")</f>
        <v/>
      </c>
      <c r="BA245" s="522" t="str">
        <f>IFERROR(IF(F245="", "", IF(W245="LED Exit Signs", 1, VLOOKUP('Lighting Inventory'!F245, 'Lookup Tables'!$A$6:$H$59, IF('Lighting Inventory'!AB245="General",8,5), FALSE))), "")</f>
        <v/>
      </c>
      <c r="BB245" s="270" t="str">
        <f>IF(G245="", "", IF(E245="Exterior", 0, IF('Lighting Inventory'!G245="Air Conditioned", VLOOKUP(H245, 'Lookup Tables'!$R$6:$T$13, 2, FALSE), VLOOKUP('Lighting Inventory'!G245, 'Lookup Tables'!$R$6:$T$13, 2, FALSE))))</f>
        <v/>
      </c>
      <c r="BC245" s="522" t="str">
        <f>IF(G245="", "", IF(E245="Exterior", 0, IF('Lighting Inventory'!G245="Air Conditioned", VLOOKUP(H245, 'Lookup Tables'!$R$6:$T$13, 3, FALSE), VLOOKUP('Lighting Inventory'!G245, 'Lookup Tables'!$R$6:$T$13, 3, FALSE))))</f>
        <v/>
      </c>
      <c r="BD245" s="270" t="str">
        <f>IF(G245="", "", IF(E245="Exterior", 0, IF('Lighting Inventory'!G245="Air Conditioned", VLOOKUP(H245, 'Lookup Tables'!$R$6:$U$13, 4, FALSE), VLOOKUP('Lighting Inventory'!G245, 'Lookup Tables'!$R$6:$U$13, 4, FALSE))))</f>
        <v/>
      </c>
      <c r="BE245" s="270" t="str">
        <f>IFERROR(IF(B245="", "",  IF(B245="New Construction", VLOOKUP(F245, 'Lookup Tables'!$A$6:$K$59, 11, FALSE),IF(OR(AN245="", AN245="Light Switch"), 0, IF(OR(M245="",M245="None",V245= "LED Exit Signs"),0,_xlfn.XLOOKUP(M245,'Lookup Tables'!$R$91:$R$101,'Lookup Tables'!$V$91:$V$101))))), "")</f>
        <v/>
      </c>
      <c r="BF245" s="270" t="str">
        <f>IF(AND(OR(AN245="Light Switch",AN245=""),B245="New Construction"), VLOOKUP(F245, 'Lookup Tables'!$A$6:$K$59, 11, FALSE),IF(AN245="","",IF(B245="","",IF(OR(AN245="None",AN245="",V245="LED Exit Signs",AN245="Exterior Controls Not Eligible"),0,_xlfn.XLOOKUP(AN245,'Lookup Tables'!$R$91:$R$101,'Lookup Tables'!$V$91:$V$101)))))</f>
        <v/>
      </c>
      <c r="BG245" s="88" t="str">
        <f t="shared" si="559"/>
        <v/>
      </c>
      <c r="BH245" s="88" t="str">
        <f t="shared" si="560"/>
        <v/>
      </c>
      <c r="BI245" s="558" t="str">
        <f t="shared" si="604"/>
        <v/>
      </c>
      <c r="BJ245" s="82" t="str">
        <f t="shared" si="561"/>
        <v/>
      </c>
      <c r="BK245" s="82" t="str">
        <f t="shared" si="562"/>
        <v/>
      </c>
      <c r="BL245" s="559" t="str">
        <f t="shared" si="563"/>
        <v/>
      </c>
      <c r="BM245" s="521" t="str">
        <f t="shared" si="508"/>
        <v/>
      </c>
      <c r="BN245" s="521" t="str">
        <f t="shared" si="509"/>
        <v/>
      </c>
      <c r="BO245" s="522" t="str">
        <f t="shared" si="510"/>
        <v/>
      </c>
      <c r="BP245" s="83" t="str">
        <f t="shared" si="564"/>
        <v/>
      </c>
      <c r="BQ245" s="84" t="str">
        <f t="shared" si="565"/>
        <v/>
      </c>
      <c r="BR245" s="184" t="str">
        <f>IFERROR(IF(B245="", "", IF(OR(VLOOKUP(J245, 'Fixture Identities'!$A$6:$L$1023, 3, FALSE)="T12 Linear Fluorescent",VLOOKUP(J245, 'Fixture Identities'!$A$6:$L$1023, 3, FALSE)="T12 U-Tube Fluorescent"), "Y", "N")), "N")</f>
        <v/>
      </c>
      <c r="BS245" s="184" t="str">
        <f t="array" ref="BS245">IFERROR(IF(OR(B245="", V245="", W245=""), "", IF(V245="Custom", "N", IF(OR(W245="Freezer Case Lighting", W245="Refrigerated Case Lighting with Doors"), BT245, IF(B245="Retrofit", INDEX('Lookup Tables'!$AH$6:$AT$102,MATCH(1,('Lookup Tables'!$AH$6:$AH$102=V245)*('Lookup Tables'!$AI$6:$AI$102=W245),FALSE),IF(VLOOKUP(J245, 'Fixture Identities'!$A$6:$B$1023, 2, FALSE)="Incandescent",12, 13)), INDEX('Lookup Tables'!$AH$114:$AS$154,MATCH(1,('Lookup Tables'!$AH$114:$AH$154=V245)*('Lookup Tables'!$AI$114:$AI$154=W245),FALSE),12))))), "N")</f>
        <v/>
      </c>
      <c r="BT245" s="184" t="str">
        <f>IF(J245="", "", IF(AND(OR(W245="Freezer case Lighting", W245="Refrigerated Case Lighting with Doors"),'General Information'!$X$18="LCI"), "N", IF(OR(VLOOKUP(J245, 'Fixture Identities'!$A$6:$B$1023, 2, FALSE)="T12 EPACT/EISA Baseline", VLOOKUP(J245, 'Fixture Identities'!$A$6:$B$1023, 2, FALSE)="Linear Fluorescent", VLOOKUP(J245, 'Fixture Identities'!$A$6:$B$1023, 2, FALSE)="U-Tube Fluorescent"), "Y", "N")))</f>
        <v/>
      </c>
      <c r="BU245" s="184" t="str">
        <f>IFERROR(IF(B245="", "", IF(VLOOKUP(J245, 'Fixture Identities'!$A$6:$B$1023, 2, FALSE)="Exit Sign", "Y", "N")), "N")</f>
        <v/>
      </c>
      <c r="BV245" s="184" t="str">
        <f>IF(V245="Exit Signs", IF(VLOOKUP(J245, 'Fixture Identities'!$A$6:$B$1023, 2, FALSE)="Exit Sign", "N", "Y"), "")</f>
        <v/>
      </c>
      <c r="BW245" s="184" t="str">
        <f t="array" ref="BW245">IFERROR(IF(B245="", "", IF(B245="New Construction", "N", INDEX('Lookup Tables'!$AH$6:$AU$102, MATCH(1, ('Lookup Tables'!$AH$6:$AH$102='Lighting Inventory'!V245)*('Lookup Tables'!$AI$6:$AI$102='Lighting Inventory'!W245), 0), 14))), "N")</f>
        <v/>
      </c>
      <c r="BX245" s="598" t="str">
        <f t="shared" si="566"/>
        <v/>
      </c>
      <c r="BY245" s="598" t="str">
        <f t="shared" si="567"/>
        <v/>
      </c>
      <c r="BZ245" s="598" t="str">
        <f t="shared" si="568"/>
        <v/>
      </c>
      <c r="CA245" s="598" t="str">
        <f t="shared" si="569"/>
        <v/>
      </c>
      <c r="CB245" s="269" t="str">
        <f t="shared" si="570"/>
        <v/>
      </c>
      <c r="CC245" s="517" t="str">
        <f t="shared" si="571"/>
        <v/>
      </c>
      <c r="CD245" s="565" t="str">
        <f t="shared" si="511"/>
        <v/>
      </c>
      <c r="CE245" s="368">
        <v>0</v>
      </c>
      <c r="CF245" s="368" t="str" cm="1">
        <f t="array" ref="CF245">IFERROR(IF(V245="Custom", "$0.1 per kWh", IF(B245="New Construction", CONCATENATE("$",INDEX('Lookup Tables'!$AH$114:$AN$154,MATCH(1,('Lookup Tables'!$AH$114:$AH$154='Lighting Inventory'!V245)*('Lookup Tables'!$AI$114:$AI$154='Lighting Inventory'!W245),FALSE),6)," ",INDEX('Lookup Tables'!$AH$114:$AN$154,MATCH(1,('Lookup Tables'!$AH$114:$AH$154='Lighting Inventory'!V245)*('Lookup Tables'!$AI$114:$AI$154='Lighting Inventory'!W245),FALSE),7)), IF(AND(BU245="N", V245="Exit Signs"), "$0.025 per kWh", CONCATENATE("$",INDEX('Lookup Tables'!$AH$6:$AN$102,MATCH(1,('Lookup Tables'!$AH$6:$AH$102='Lighting Inventory'!V245)*('Lookup Tables'!$AI$6:$AI$102='Lighting Inventory'!W245),FALSE),6)," ",INDEX('Lookup Tables'!$AH$6:$AN$102,MATCH(1,('Lookup Tables'!$AH$6:$AH$102='Lighting Inventory'!V245)*('Lookup Tables'!$AI$6:$AI$102='Lighting Inventory'!W245),FALSE),7))))), "")</f>
        <v/>
      </c>
      <c r="CG245" s="366"/>
      <c r="CH245" s="248" t="str">
        <f t="shared" si="512"/>
        <v/>
      </c>
      <c r="CI245" s="248" t="str">
        <f t="shared" si="513"/>
        <v>Select_IE</v>
      </c>
      <c r="CJ245" s="248" t="str">
        <f t="shared" si="514"/>
        <v/>
      </c>
      <c r="CK245" s="248" t="str">
        <f t="shared" si="515"/>
        <v/>
      </c>
      <c r="CL245" s="248" t="str">
        <f t="shared" si="516"/>
        <v/>
      </c>
      <c r="CM245" s="248" t="str">
        <f>IFERROR(IF(B245="", "", IF(B245="New Construction", VLOOKUP(V245, 'Lookup Tables'!$AF$114:$AG$120, 2, FALSE), VLOOKUP(V245, 'Lookup Tables'!$AD$6:$AE$25, 2, FALSE))), "")</f>
        <v/>
      </c>
      <c r="CN245" s="248" t="str">
        <f t="shared" si="517"/>
        <v/>
      </c>
      <c r="CO245" s="248" t="str">
        <f t="shared" si="518"/>
        <v/>
      </c>
      <c r="CP245" s="592" t="str">
        <f t="shared" si="519"/>
        <v/>
      </c>
      <c r="CQ245" s="248" t="str">
        <f t="shared" si="572"/>
        <v/>
      </c>
      <c r="CR245" s="100"/>
      <c r="CS245" s="250" t="str">
        <f t="shared" si="520"/>
        <v/>
      </c>
      <c r="CT245" s="250" t="str">
        <f t="shared" si="573"/>
        <v/>
      </c>
      <c r="CU245" s="250" t="str">
        <f t="shared" si="574"/>
        <v/>
      </c>
      <c r="CV245" s="250" t="str">
        <f t="shared" si="575"/>
        <v/>
      </c>
      <c r="CW245" s="250" t="str">
        <f t="shared" si="576"/>
        <v/>
      </c>
      <c r="CX245" s="250" t="str">
        <f t="shared" si="521"/>
        <v/>
      </c>
      <c r="CY245" s="250" t="str">
        <f t="shared" si="522"/>
        <v/>
      </c>
      <c r="CZ245" s="250" t="str">
        <f t="shared" si="523"/>
        <v/>
      </c>
      <c r="DA245" s="250" t="str">
        <f t="shared" si="524"/>
        <v/>
      </c>
      <c r="DB245" s="250" t="str">
        <f t="shared" si="525"/>
        <v/>
      </c>
      <c r="DC245" s="250" t="str">
        <f t="shared" si="526"/>
        <v/>
      </c>
      <c r="DD245" s="250" t="str">
        <f t="shared" si="527"/>
        <v/>
      </c>
      <c r="DE245" s="250" t="str">
        <f t="shared" si="528"/>
        <v/>
      </c>
      <c r="DF245" s="250" t="str">
        <f t="shared" si="529"/>
        <v/>
      </c>
      <c r="DG245" s="250" t="str">
        <f t="shared" si="530"/>
        <v/>
      </c>
      <c r="DH245" s="250" t="str">
        <f t="shared" si="531"/>
        <v/>
      </c>
      <c r="DI245" s="250" t="str">
        <f t="shared" si="532"/>
        <v/>
      </c>
      <c r="DJ245" s="250" t="str">
        <f t="shared" si="533"/>
        <v/>
      </c>
      <c r="DK245" s="250" t="str">
        <f t="shared" si="534"/>
        <v/>
      </c>
      <c r="DL245" s="250" t="str">
        <f t="shared" si="535"/>
        <v/>
      </c>
      <c r="DM245" s="250" t="str">
        <f>IF(CD245="ERROR", "ERROR", IF(AND(OR(Y245=$DM$6, Y245='Lookup Tables'!$AD$21, Y245='Lookup Tables'!$AD$22), E245="Interior"), BJ245, ""))</f>
        <v/>
      </c>
      <c r="DN245" s="250" t="str">
        <f>IF(CD245="ERROR", "ERROR", IF(AND(OR(Y245=$DM$6, Y245='Lookup Tables'!$AD$21, Y245='Lookup Tables'!$AD$22), E245="Exterior"), BJ245, ""))</f>
        <v/>
      </c>
      <c r="DO245" s="100"/>
      <c r="DP245" s="250" t="str">
        <f t="shared" si="536"/>
        <v/>
      </c>
      <c r="DQ245" s="250" t="str">
        <f t="shared" si="577"/>
        <v/>
      </c>
      <c r="DR245" s="250" t="str">
        <f t="shared" si="578"/>
        <v/>
      </c>
      <c r="DS245" s="250" t="str">
        <f t="shared" si="579"/>
        <v/>
      </c>
      <c r="DT245" s="250" t="str">
        <f t="shared" si="580"/>
        <v/>
      </c>
      <c r="DU245" s="250" t="str">
        <f t="shared" si="537"/>
        <v/>
      </c>
      <c r="DV245" s="250" t="str">
        <f t="shared" si="538"/>
        <v/>
      </c>
      <c r="DW245" s="250" t="str">
        <f t="shared" si="539"/>
        <v/>
      </c>
      <c r="DX245" s="250" t="str">
        <f t="shared" si="540"/>
        <v/>
      </c>
      <c r="DY245" s="250" t="str">
        <f t="shared" si="541"/>
        <v/>
      </c>
      <c r="DZ245" s="250" t="str">
        <f t="shared" si="542"/>
        <v/>
      </c>
      <c r="EA245" s="250" t="str">
        <f t="shared" si="543"/>
        <v/>
      </c>
      <c r="EB245" s="250" t="str">
        <f t="shared" si="581"/>
        <v/>
      </c>
      <c r="EC245" s="250" t="str">
        <f t="shared" si="544"/>
        <v/>
      </c>
      <c r="ED245" s="250" t="str">
        <f t="shared" si="545"/>
        <v/>
      </c>
      <c r="EE245" s="250" t="str">
        <f t="shared" si="546"/>
        <v/>
      </c>
      <c r="EF245" s="250" t="str">
        <f t="shared" si="547"/>
        <v/>
      </c>
      <c r="EG245" s="250" t="str">
        <f t="shared" si="548"/>
        <v/>
      </c>
      <c r="EH245" s="250" t="str">
        <f>IF(CD245="ERROR", "ERROR", IF(AND(OR($EH$6=Y245, Y245='Lookup Tables'!$AD$21, Y245='Lookup Tables'!$AD$22),E245="Interior"), SUM(BP245:BP245), ""))</f>
        <v/>
      </c>
      <c r="EI245" s="250" t="str">
        <f>IF(CD245="ERROR", "ERROR", IF(AND(OR($EH$6=Y245, Y245='Lookup Tables'!$AD$21, Y245='Lookup Tables'!$AD$22),E245="Exterior"), SUM(BP245:BP245), ""))</f>
        <v/>
      </c>
      <c r="EJ245" s="109"/>
      <c r="EK245" s="485" t="str">
        <f t="shared" si="549"/>
        <v/>
      </c>
      <c r="EL245" s="252" t="str">
        <f t="shared" si="582"/>
        <v/>
      </c>
      <c r="EM245" s="252" t="str">
        <f t="shared" si="583"/>
        <v/>
      </c>
      <c r="EN245" s="252" t="str">
        <f t="shared" si="584"/>
        <v/>
      </c>
      <c r="EO245" s="252" t="str">
        <f t="shared" si="585"/>
        <v/>
      </c>
      <c r="EP245" s="252" t="str">
        <f t="shared" si="586"/>
        <v/>
      </c>
      <c r="EQ245" s="252" t="str">
        <f t="shared" si="587"/>
        <v/>
      </c>
      <c r="ER245" s="252" t="str">
        <f t="shared" si="588"/>
        <v/>
      </c>
      <c r="ES245" s="252" t="str">
        <f t="shared" si="589"/>
        <v/>
      </c>
      <c r="ET245" s="252" t="str">
        <f t="shared" si="590"/>
        <v/>
      </c>
      <c r="EU245" s="252" t="str">
        <f t="shared" si="591"/>
        <v/>
      </c>
      <c r="EV245" s="252" t="str">
        <f t="shared" si="592"/>
        <v/>
      </c>
      <c r="EW245" s="252" t="str">
        <f t="shared" si="593"/>
        <v/>
      </c>
      <c r="EX245" s="252" t="str">
        <f t="shared" si="594"/>
        <v/>
      </c>
      <c r="EY245" s="252" t="str">
        <f t="shared" si="595"/>
        <v/>
      </c>
      <c r="EZ245" s="252" t="str">
        <f t="shared" si="596"/>
        <v/>
      </c>
      <c r="FA245" s="252" t="str">
        <f t="shared" si="597"/>
        <v/>
      </c>
      <c r="FB245" s="252" t="str">
        <f t="shared" si="598"/>
        <v/>
      </c>
      <c r="FC245" s="252" t="str">
        <f>IF(CD245="ERROR", "ERROR", IF(OR(V245="No Change", V245="Not DLC or Energy Star"), "", IF(AND(OR($FC$6=Y245,Y245='Lookup Tables'!$AD$21, Y245='Lookup Tables'!$AD$22),E245="Interior"), S245, "")))</f>
        <v/>
      </c>
      <c r="FD245" s="252" t="str">
        <f t="shared" si="599"/>
        <v/>
      </c>
      <c r="FE245" s="101"/>
      <c r="FF245" s="579" t="str" cm="1">
        <f t="array" ref="FF245">IFERROR(IF(OR(BQ245&lt;=0,AQ245&lt;20,AND(V245="Exit Signs",AN245&gt;0)),"",IF(AND(AQ245&gt;=20,AN245='Lookup Tables'!$R$101),'Lookup Tables'!$U$101*BQ245,AP245*LOOKUP(2,1/((AN245='Lookup Tables'!$R$91:$R$111)*(AQ245&gt;='Lookup Tables'!$S$91:$S$111)*(AQ245&lt;='Lookup Tables'!$T$91:$T$111)),'Lookup Tables'!$U$91:$U$111))),"")</f>
        <v/>
      </c>
      <c r="FG245" s="579"/>
      <c r="FH245" s="579"/>
      <c r="FI245" s="253" t="str">
        <f>IFERROR(ROUND(IF(CD245="ERROR", "ERROR", IF(AND($FI$7=X245,E245="Interior"),VLOOKUP(W245, 'Lookup Tables'!$AI$6:$AM$102, 5, FALSE)*BP245, "")), 2), "")</f>
        <v/>
      </c>
      <c r="FJ245" s="253" t="str">
        <f>IFERROR(ROUND(IF(CD245="ERROR", "ERROR", IF(AND($FI$7=X245,E245="Exterior"),VLOOKUP(W245, 'Lookup Tables'!$AI$6:$AM$102, 5, FALSE)*BP245, "")), 2), "")</f>
        <v/>
      </c>
      <c r="FK245" s="253" t="str">
        <f>IFERROR(ROUND(IF(CD245="ERROR", "ERROR", IF(AND($FK$7=X245,E245="Interior"),VLOOKUP(W245, 'Lookup Tables'!$AI$6:$AM$102, 5, FALSE)*BP245, "")), 2), "")</f>
        <v/>
      </c>
      <c r="FL245" s="253" t="str">
        <f>IFERROR(ROUND(IF(CD245="ERROR", "ERROR", IF(AND($FK$7=X245,E245="Exterior"),VLOOKUP(W245, 'Lookup Tables'!$AI$6:$AM$102, 5, FALSE)*BP245, "")), 2), "")</f>
        <v/>
      </c>
      <c r="FM245" s="253" t="str">
        <f>IFERROR(ROUND(IF(CD245="ERROR", "ERROR", IF(AND($FM$6=Y245,E245="Interior"), IF(GB245=0, VLOOKUP(W245, 'Lookup Tables'!$AI$6:$AM$102, 5, FALSE)*BP245, IF(VLOOKUP(W245, 'Lookup Tables'!$AI$6:$AM$102, 5, FALSE)*BP245&gt;GB245*'Lighting Inventory'!S245, GB245*'Lighting Inventory'!S245,VLOOKUP(W245, 'Lookup Tables'!$AI$6:$AM$102, 5, FALSE)*BP245)), "")), 2), "")</f>
        <v/>
      </c>
      <c r="FN245" s="253" t="str">
        <f>IFERROR(ROUND(IF(CD245="ERROR", "ERROR", IF(AND($FM$6=Y245,E245="Exterior"), IF(GB245=0, VLOOKUP(W245, 'Lookup Tables'!$AI$6:$AM$102, 5, FALSE)*BP245, IF(VLOOKUP(W245, 'Lookup Tables'!$AI$6:$AM$102, 5, FALSE)*BP245&gt;GB245*'Lighting Inventory'!S245, GB245*'Lighting Inventory'!S245,VLOOKUP(W245, 'Lookup Tables'!$AI$6:$AM$102, 5, FALSE)*BP245)), "")), 2), "")</f>
        <v/>
      </c>
      <c r="FO245" s="253" t="str">
        <f>IFERROR(ROUND(IF(CD245="ERROR", "ERROR", IF(AND($FO$6=Y245,E245="Interior"),VLOOKUP(W245, 'Lookup Tables'!$AI$6:$AM$102, 5, FALSE)*'Lighting Inventory'!AI245, "")), 2), "")</f>
        <v/>
      </c>
      <c r="FP245" s="253" t="str">
        <f>IFERROR(ROUND(IF(CD245="ERROR", "ERROR", IF(AND($FO$6=Y245,E245="Exterior"),VLOOKUP(W245, 'Lookup Tables'!$AI$6:$AM$102, 5, FALSE)*'Lighting Inventory'!AI245, "")), 2), "")</f>
        <v/>
      </c>
      <c r="FQ245" s="253" t="str">
        <f>IFERROR(ROUND(IF(CD245="ERROR", "ERROR", IF(AND($FQ$6=Y245,E245="Interior", BU245="Y"), VLOOKUP('Lighting Inventory'!W245, 'Lookup Tables'!$AI$6:$AM$102, 5, FALSE)*'Lighting Inventory'!S245, IF(AND($FQ$7=Y245,E245="Interior", BU245="N"), 0.025*CD245, ""))), 2), "")</f>
        <v/>
      </c>
      <c r="FR245" s="253" t="str">
        <f>IFERROR(ROUND(IF(CD245="ERROR", "ERROR", IF(AND($FQ$6=Y245,E245="Exterior"), VLOOKUP('Lighting Inventory'!W245, 'Lookup Tables'!$AI$6:$AM$102, 5, FALSE)*'Lighting Inventory'!S245, "")), 2), "")</f>
        <v/>
      </c>
      <c r="FS245" s="253" t="str">
        <f>IFERROR(ROUND(IF(CD245="ERROR", "ERROR", IF(AND($FS$6=Y245,E245="Exterior"), IF(GB245=0, VLOOKUP(W245, 'Lookup Tables'!$AI$6:$AM$102, 5, FALSE)*BP245, IF(VLOOKUP(W245, 'Lookup Tables'!$AI$6:$AM$102, 5, FALSE)*BP245&gt;GB245*'Lighting Inventory'!S245, GB245*'Lighting Inventory'!S245,VLOOKUP(W245, 'Lookup Tables'!$AI$6:$AM$102, 5, FALSE)*BP245)), "")), 2), "")</f>
        <v/>
      </c>
      <c r="FT245" s="253" t="str">
        <f>IFERROR(ROUND(IF(CD245="ERROR", "ERROR", IF(AND($FT$6=Y245,E245="Interior"), IF(GB245=0, VLOOKUP(W245, 'Lookup Tables'!$AI$6:$AM$102, 5, FALSE)*BP245, IF(VLOOKUP(W245, 'Lookup Tables'!$AI$6:$AM$102, 5, FALSE)*BP245&gt;GB245*'Lighting Inventory'!S245, GB245*'Lighting Inventory'!S245,VLOOKUP(W245, 'Lookup Tables'!$AI$6:$AM$102, 5, FALSE)*BP245)), "")), 2), "")</f>
        <v/>
      </c>
      <c r="FU245" s="253" t="str">
        <f>IFERROR(ROUND(IF(CD245="ERROR", "ERROR", IF(AND(Y245=$FU$6, E245="Interior"), IF(BS245="N", 'Lookup Tables'!$AM$101*BP245, VLOOKUP(W245, 'Lookup Tables'!$AI$6:$AM$102, 5, FALSE)*S245*AD245), "")), 2), "")</f>
        <v/>
      </c>
      <c r="FV245" s="253" t="str">
        <f>IFERROR(ROUND(IF(CD245="ERROR", "ERROR", IF(AND(Y245=$FU$6, E245="Exterior"), IF(BS245="N", 'Lookup Tables'!$AM$101*BP245, VLOOKUP(W245, 'Lookup Tables'!$AI$6:$AM$102, 5, FALSE)*S245*AD245), "")), 2), "")</f>
        <v/>
      </c>
      <c r="FW245" s="253" t="str">
        <f>IFERROR(ROUND(IF(CD245="ERROR", "ERROR", IF($FW$6=Y245, IF(BS245="N", 'Lookup Tables'!$AM$101*BP245, MIN((VLOOKUP(W245, 'Lookup Tables'!$AI$6:$AM$102, 5, FALSE)*BP245),GB245*AJ245)), "")), 2), "")</f>
        <v/>
      </c>
      <c r="FX245" s="253" t="str">
        <f>IFERROR(ROUND(IF(CD245="ERROR", "ERROR", IF(AND($FX$6=Y245, E245="Interior"), IF(VLOOKUP(W245, 'Lookup Tables'!$AI$6:$AM$102, 5, FALSE)*BP245&gt;'Lookup Tables'!$AQ$97*'Lighting Inventory'!S245,'Lighting Inventory'!S245*'Lookup Tables'!$AQ$97,VLOOKUP(W245, 'Lookup Tables'!$AI$6:$AM$102, 5, FALSE)*BP245), "")), 2), "")</f>
        <v/>
      </c>
      <c r="FY245" s="253" t="str">
        <f>IFERROR(ROUND(IF(CD245="ERROR", "ERROR", IF(AND($FX$6=Y245, E245="Exterior"), IF(VLOOKUP(W245, 'Lookup Tables'!$AI$6:$AM$102, 5, FALSE)*BP245&gt;'Lookup Tables'!$AQ$97*'Lighting Inventory'!S245,'Lighting Inventory'!S245*'Lookup Tables'!$AQ$97,VLOOKUP(W245, 'Lookup Tables'!$AI$6:$AM$102, 5, FALSE)*BP245), "")), 2), "")</f>
        <v/>
      </c>
      <c r="FZ245" s="253" t="str">
        <f>IFERROR(ROUND(IF(CD245="ERROR", "ERROR", IF(AND($FZ$6=Y245, E245="Interior"), IF(AND(OR(W245="Refrigerated Case Lighting with Doors", W245="Freezer Case Lighting"),Y245="Custom - Process Improvement"),CD245*'Lookup Tables'!$AM$101, IF(B245="Retrofit", IF(VLOOKUP(IF(V245="Custom", V245, W245), 'Lookup Tables'!$AI$6:$AM$102, 5, FALSE)*BP245&gt;GE245, GE245, VLOOKUP(IF(V245="Custom", V245, W245), 'Lookup Tables'!$AI$6:$AM$102, 5, FALSE)*BP245), IF(VLOOKUP(IF(V245="Custom", V245, W245), 'Lookup Tables'!$AI$114:$AM$154, 5, FALSE)*BP245&gt;GE245, GE245, VLOOKUP(IF(V245="Custom", V245, W245), 'Lookup Tables'!$AI$114:$AM$154, 5, FALSE)*BP245))), "")), 2),"")</f>
        <v/>
      </c>
      <c r="GA245" s="253" t="str">
        <f>IFERROR(ROUND(IF(CD245="ERROR", "ERROR", IF(AND($FZ$6=Y245, E245="Exterior"), IF(B245="Retrofit", IF(VLOOKUP(IF(V245="Custom", V245, W245), 'Lookup Tables'!$AI$6:$AM$102, 5, FALSE)*BP245&gt;GE245, GE245, VLOOKUP(IF(V245="Custom", V245, W245), 'Lookup Tables'!$AI$6:$AM$102, 5, FALSE)*BP245), IF(VLOOKUP(IF(V245="Custom", V245, W245), 'Lookup Tables'!$AI$114:$AM$154, 5, FALSE)*BP245&gt;GE245, GE245, VLOOKUP(IF(V245="Custom", V245, W245), 'Lookup Tables'!$AI$114:$AM$154, 5, FALSE)*BP245)), "")), 2),"")</f>
        <v/>
      </c>
      <c r="GB245" s="254" t="str">
        <f t="array" ref="GB245">IF(B245="","",IF(OR(V245="Custom",V245="No Change"),0,IF(B245="Retrofit", INDEX('Lookup Tables'!$AH$6:$AQ$102,MATCH(1,('Lookup Tables'!$AH$6:$AH$102='Lighting Inventory'!V245)*('Lookup Tables'!$AI$6:$AI$102='Lighting Inventory'!W245),FALSE),10),INDEX('Lookup Tables'!$AH$114:$AQ$154,MATCH(1,('Lookup Tables'!$AH$114:$AH$154='Lighting Inventory'!V245)*('Lookup Tables'!$AI$114:$AI$154='Lighting Inventory'!W245),FALSE),10))))</f>
        <v/>
      </c>
      <c r="GC245" s="255" t="str">
        <f t="shared" si="550"/>
        <v/>
      </c>
      <c r="GD245" s="250" t="str">
        <f t="shared" si="551"/>
        <v/>
      </c>
      <c r="GE245" s="253" t="str">
        <f>IFERROR(IF(AND(AF245="", 'General Information'!$F$18="No"),"", IF(AF245="", ((GD245/$CD$266)*$CF$266)*0.5, AF245*S245*0.5)), "")</f>
        <v/>
      </c>
      <c r="GF245" s="255" t="str">
        <f>IF(AND('General Information'!$F$19="", 'General Information'!$F$18="Yes",AF245="",BW245="Y"), "Y", "N")</f>
        <v>N</v>
      </c>
      <c r="GG245" s="255" t="s">
        <v>2946</v>
      </c>
      <c r="GH245" s="255" t="str">
        <f>IFERROR(IF(B245="", "", VLOOKUP(J245, 'Fixture Identities'!$A$6:$N$908, 14, FALSE)), "")</f>
        <v/>
      </c>
      <c r="GI245" s="389" t="str">
        <f>IF(OR(B245="", V245="", W245=""), "", IF(AND(OR(M245='Lookup Tables'!$R$18, M245='Lookup Tables'!$R$19, M245='Lookup Tables'!$R$20, M245='Lookup Tables'!$R$21, M245='Lookup Tables'!$R$22), OR(AN245='Lookup Tables'!$R$17, AN245='Lookup Tables'!$R$17, AN245="")), "Y", "N"))</f>
        <v/>
      </c>
      <c r="GJ245" s="255" t="str">
        <f t="shared" si="552"/>
        <v/>
      </c>
      <c r="GK245" s="255" t="str">
        <f t="shared" si="553"/>
        <v/>
      </c>
      <c r="GL245" s="255" t="str">
        <f t="shared" si="554"/>
        <v/>
      </c>
      <c r="GM245" s="255" t="str">
        <f>IF(AN245="", "", IF(AND(IF(ISNA(VLOOKUP(AN245,'Lookup Tables'!$R$18:$R$22,1,FALSE)), "N", "Y")="Y", E245="Exterior"), "Y", "N"))</f>
        <v/>
      </c>
      <c r="GN245" s="395"/>
      <c r="GO245" s="428">
        <f t="shared" si="600"/>
        <v>0</v>
      </c>
      <c r="GP245" s="428">
        <f t="shared" si="603"/>
        <v>0</v>
      </c>
      <c r="GQ245" s="428">
        <f t="shared" si="601"/>
        <v>0</v>
      </c>
      <c r="GR245" s="428">
        <f t="shared" si="602"/>
        <v>0</v>
      </c>
    </row>
    <row r="246" spans="1:200" s="103" customFormat="1" ht="13.5" customHeight="1" x14ac:dyDescent="0.2">
      <c r="A246" s="272">
        <v>236</v>
      </c>
      <c r="B246" s="110"/>
      <c r="C246" s="110"/>
      <c r="D246" s="110"/>
      <c r="E246" s="110"/>
      <c r="F246" s="110"/>
      <c r="G246" s="110"/>
      <c r="H246" s="110"/>
      <c r="I246" s="29"/>
      <c r="J246" s="29"/>
      <c r="K246" s="272" t="str">
        <f>IFERROR(IF(OR(VLOOKUP(J246, 'Fixture Identities'!$A$6:$L$1023, 3, FALSE)="T12 Linear Fluorescent", VLOOKUP(J246, 'Fixture Identities'!$A$6:$L$1023, 3, FALSE)="T12 U-Tube Fluorescent"), VLOOKUP(VLOOKUP(J246, 'Fixture Identities'!$A$6:$L$1023, 11, FALSE), 'Fixture Identities'!$A$6:$L$1023, 10, FALSE), VLOOKUP(J246, 'Fixture Identities'!$A$6:$L$1023, 10, FALSE)), "")</f>
        <v/>
      </c>
      <c r="L246" s="270" t="str">
        <f t="shared" si="605"/>
        <v/>
      </c>
      <c r="M246" s="110"/>
      <c r="N246" s="110"/>
      <c r="O246" s="110"/>
      <c r="P246" s="272" t="str">
        <f>IFERROR(IF(OR(B246="Retrofit",B246=""),"",IF('Lighting Inventory'!E246="Exterior",VLOOKUP('Lighting Inventory'!N246,'Lookup Tables'!$B$83:$F$103,5,FALSE),IF(N246="Other - Please Estimate EFLH and CFs","Contact Prog. Rep.","ft^2"))), "")</f>
        <v/>
      </c>
      <c r="Q246" s="270" t="str">
        <f>IFERROR(IF(AND(B246="New Construction",E246="Interior",$F$5="Space-by-Space"),VLOOKUP('Lighting Inventory'!N246,'Lookup Tables'!$N$6:$O$97,2,FALSE),IF(AND(B246="New Construction",E246="Exterior"),VLOOKUP(N246,'Lookup Tables'!$B$83:$F$103,2,FALSE),IF(AND(B246="New Construction",'Lighting Inventory'!E246="Interior", $F$5="Building Area"),VLOOKUP(F246,'Lookup Tables'!$A$6:$J$59,10,FALSE),""))), "")</f>
        <v/>
      </c>
      <c r="R246" s="270" t="str">
        <f>IFERROR(IF(P246="Contact Prog. Rep.", "ERROR", IF(OR(B246="",B246="Retrofit"),"",IF(N246="Automated teller machines", ('Lookup Tables'!$A$82:$E$100+('Lighting Inventory'!O246-1)*'Lookup Tables'!$A$82:$E$100)/1000, (Q246*O246)/1000))), "")</f>
        <v/>
      </c>
      <c r="S246" s="595"/>
      <c r="T246" s="105" t="str">
        <f t="shared" si="555"/>
        <v/>
      </c>
      <c r="U246" s="105" t="str">
        <f>IF(S246="","",COUNT($S$11:S246))</f>
        <v/>
      </c>
      <c r="V246" s="111"/>
      <c r="W246" s="112"/>
      <c r="X246" s="105" t="str">
        <f t="shared" si="556"/>
        <v/>
      </c>
      <c r="Y246" s="105" t="str">
        <f t="array" ref="Y246">IF(AND(OR(W246="Freezer Case Lighting", W246="Refrigerated Case Lighting with Doors"), 'General Information'!$X$18="LCI"),'Lookup Tables'!$Y$34, IF(V246="Custom", VLOOKUP(W246, 'Fixture Identities'!$A$974:$M$1023, 13, FALSE), IF(V246="No Change",'Lookup Tables'!$Y$29,IF(OR(V246="",W246=""),"",IF(AND(S246=0,S246&lt;I246,B246="Retrofit"),'Lookup Tables'!$Y$25, IF(B246="Retrofit", INDEX('Lookup Tables'!$AH$6:$AP$102, MATCH(1, ('Lookup Tables'!$AH$6:$AH$102=V246)*('Lookup Tables'!$AI$6:$AI$102=W246), 0), IF('Lighting Inventory'!E246="Interior", 4, 5)), INDEX('Lookup Tables'!$AH$114:$AP$154, MATCH(1, ('Lookup Tables'!$AH$114:$AH$154=V246)*('Lookup Tables'!$AI$114:$AI$154=W246), 0), IF('Lighting Inventory'!E246="Interior", 4, 5))))))))</f>
        <v/>
      </c>
      <c r="Z246" s="105" t="str">
        <f>IFERROR(INDEX('Lookup Tables'!$AH$158:$AH$172,MATCH('Lighting Inventory'!Y246,'Lookup Tables'!$AI$158:$AI$172,0)),"")</f>
        <v/>
      </c>
      <c r="AA246" s="105" t="str">
        <f>IF(AP246&gt;0,INDEX('Lookup Tables'!$AK$158:$AK$172,MATCH('Lighting Inventory'!Y246,'Lookup Tables'!$AI$158:$AI$172,0)),'Lighting Inventory'!Y246)</f>
        <v/>
      </c>
      <c r="AB246" s="105" t="str">
        <f t="array" ref="AB246">IF(V246="Custom", "Custom", IF(V246="", "", IF(V246="Not DLC or Energy Star", "General", IF(B246="New Construction", INDEX('Lookup Tables'!$AH$114:$AP$154,MATCH(1,('Lookup Tables'!$AH$114:$AH$154='Lighting Inventory'!V246)*('Lookup Tables'!$AI$114:$AI$154='Lighting Inventory'!W246),FALSE),8), INDEX('Lookup Tables'!$AH$6:$AP$102,MATCH(1,('Lookup Tables'!$AH$6:$AH$102='Lighting Inventory'!V246)*('Lookup Tables'!$AI$6:$AI$102='Lighting Inventory'!W246),FALSE),8)))))</f>
        <v/>
      </c>
      <c r="AC246" s="272" t="str">
        <f>IF(W246="","",IF(V246="Custom",CONCATENATE("$",'Lookup Tables'!$AM$101," ",'Lookup Tables'!$AN$101),CONCATENATE("$",INDEX('Lookup Tables'!$AM$6:$AM$102,MATCH('Lighting Inventory'!W246,'Lookup Tables'!$AI$6:$AI$102,0))," ",INDEX('Lookup Tables'!$AN$6:$AN$102,MATCH('Lighting Inventory'!W246,'Lookup Tables'!$AI$6:$AI$102,0)))))</f>
        <v/>
      </c>
      <c r="AD246" s="72"/>
      <c r="AE246" s="29"/>
      <c r="AF246" s="379"/>
      <c r="AG246" s="370" t="str">
        <f t="shared" si="504"/>
        <v/>
      </c>
      <c r="AH246" s="370" t="str">
        <f t="shared" si="557"/>
        <v/>
      </c>
      <c r="AI246" s="29"/>
      <c r="AJ246" s="29"/>
      <c r="AK246" s="110"/>
      <c r="AL246" s="375" t="str">
        <f>IF(OR(B246="", V246="", W246=""), "", IF(V246="No Change", K246, IF(V246="Remove Fixture", 0, IF(V246="Custom",VLOOKUP(W246,'Fixture Identities'!$A$6:$K$1023,10,FALSE),IF(AE246="", "← ENTER POST WATTS", 'Lighting Inventory'!AE246)))))</f>
        <v/>
      </c>
      <c r="AM246" s="376" t="str">
        <f t="shared" si="505"/>
        <v/>
      </c>
      <c r="AN246" s="29"/>
      <c r="AO246" s="671"/>
      <c r="AP246" s="29"/>
      <c r="AQ246" s="29"/>
      <c r="AR246" s="29"/>
      <c r="AS246" s="272" t="str">
        <f t="shared" si="558"/>
        <v/>
      </c>
      <c r="AT246" s="270" t="str">
        <f t="shared" si="506"/>
        <v/>
      </c>
      <c r="AU246" s="88" t="str">
        <f t="shared" si="606"/>
        <v/>
      </c>
      <c r="AV246" s="29"/>
      <c r="AW246" s="73"/>
      <c r="AX246" s="271" t="str">
        <f>IF(AND(AV246="Applicant",OR(AW246="", AW246="Use Default Facility Hours")),"← Choose Schedule",IF(F246="","",IF(W246="LED Exit Signs",8760,IF(OR(AV246="Prescribed",AV246=""),VLOOKUP(F246,'Lookup Tables'!$A$6:$G$59,IF(AB246="General", 6, 3),FALSE),VLOOKUP(AW246,'Lookup Tables'!$S$36:$U$43,2,FALSE)))))</f>
        <v/>
      </c>
      <c r="AY246" s="88" t="str">
        <f t="shared" si="507"/>
        <v/>
      </c>
      <c r="AZ246" s="270" t="str">
        <f>IFERROR(IF(F246="", "", IF(W246="LED Exit Signs", 1, IF(AV246="Applicant",VLOOKUP(AW246, 'Lookup Tables'!$S$36:$U$43,3, FALSE), VLOOKUP('Lighting Inventory'!F246, 'Lookup Tables'!$A$6:$H$59, IF('Lighting Inventory'!AB246="General",7,4), FALSE)))), "")</f>
        <v/>
      </c>
      <c r="BA246" s="522" t="str">
        <f>IFERROR(IF(F246="", "", IF(W246="LED Exit Signs", 1, VLOOKUP('Lighting Inventory'!F246, 'Lookup Tables'!$A$6:$H$59, IF('Lighting Inventory'!AB246="General",8,5), FALSE))), "")</f>
        <v/>
      </c>
      <c r="BB246" s="270" t="str">
        <f>IF(G246="", "", IF(E246="Exterior", 0, IF('Lighting Inventory'!G246="Air Conditioned", VLOOKUP(H246, 'Lookup Tables'!$R$6:$T$13, 2, FALSE), VLOOKUP('Lighting Inventory'!G246, 'Lookup Tables'!$R$6:$T$13, 2, FALSE))))</f>
        <v/>
      </c>
      <c r="BC246" s="522" t="str">
        <f>IF(G246="", "", IF(E246="Exterior", 0, IF('Lighting Inventory'!G246="Air Conditioned", VLOOKUP(H246, 'Lookup Tables'!$R$6:$T$13, 3, FALSE), VLOOKUP('Lighting Inventory'!G246, 'Lookup Tables'!$R$6:$T$13, 3, FALSE))))</f>
        <v/>
      </c>
      <c r="BD246" s="270" t="str">
        <f>IF(G246="", "", IF(E246="Exterior", 0, IF('Lighting Inventory'!G246="Air Conditioned", VLOOKUP(H246, 'Lookup Tables'!$R$6:$U$13, 4, FALSE), VLOOKUP('Lighting Inventory'!G246, 'Lookup Tables'!$R$6:$U$13, 4, FALSE))))</f>
        <v/>
      </c>
      <c r="BE246" s="270" t="str">
        <f>IFERROR(IF(B246="", "",  IF(B246="New Construction", VLOOKUP(F246, 'Lookup Tables'!$A$6:$K$59, 11, FALSE),IF(OR(AN246="", AN246="Light Switch"), 0, IF(OR(M246="",M246="None",V246= "LED Exit Signs"),0,_xlfn.XLOOKUP(M246,'Lookup Tables'!$R$91:$R$101,'Lookup Tables'!$V$91:$V$101))))), "")</f>
        <v/>
      </c>
      <c r="BF246" s="270" t="str">
        <f>IF(AND(OR(AN246="Light Switch",AN246=""),B246="New Construction"), VLOOKUP(F246, 'Lookup Tables'!$A$6:$K$59, 11, FALSE),IF(AN246="","",IF(B246="","",IF(OR(AN246="None",AN246="",V246="LED Exit Signs",AN246="Exterior Controls Not Eligible"),0,_xlfn.XLOOKUP(AN246,'Lookup Tables'!$R$91:$R$101,'Lookup Tables'!$V$91:$V$101)))))</f>
        <v/>
      </c>
      <c r="BG246" s="88" t="str">
        <f t="shared" si="559"/>
        <v/>
      </c>
      <c r="BH246" s="88" t="str">
        <f t="shared" si="560"/>
        <v/>
      </c>
      <c r="BI246" s="558" t="str">
        <f t="shared" si="604"/>
        <v/>
      </c>
      <c r="BJ246" s="82" t="str">
        <f t="shared" si="561"/>
        <v/>
      </c>
      <c r="BK246" s="82" t="str">
        <f t="shared" si="562"/>
        <v/>
      </c>
      <c r="BL246" s="559" t="str">
        <f t="shared" si="563"/>
        <v/>
      </c>
      <c r="BM246" s="521" t="str">
        <f t="shared" si="508"/>
        <v/>
      </c>
      <c r="BN246" s="521" t="str">
        <f t="shared" si="509"/>
        <v/>
      </c>
      <c r="BO246" s="522" t="str">
        <f t="shared" si="510"/>
        <v/>
      </c>
      <c r="BP246" s="83" t="str">
        <f t="shared" si="564"/>
        <v/>
      </c>
      <c r="BQ246" s="84" t="str">
        <f t="shared" si="565"/>
        <v/>
      </c>
      <c r="BR246" s="184" t="str">
        <f>IFERROR(IF(B246="", "", IF(OR(VLOOKUP(J246, 'Fixture Identities'!$A$6:$L$1023, 3, FALSE)="T12 Linear Fluorescent",VLOOKUP(J246, 'Fixture Identities'!$A$6:$L$1023, 3, FALSE)="T12 U-Tube Fluorescent"), "Y", "N")), "N")</f>
        <v/>
      </c>
      <c r="BS246" s="184" t="str">
        <f t="array" ref="BS246">IFERROR(IF(OR(B246="", V246="", W246=""), "", IF(V246="Custom", "N", IF(OR(W246="Freezer Case Lighting", W246="Refrigerated Case Lighting with Doors"), BT246, IF(B246="Retrofit", INDEX('Lookup Tables'!$AH$6:$AT$102,MATCH(1,('Lookup Tables'!$AH$6:$AH$102=V246)*('Lookup Tables'!$AI$6:$AI$102=W246),FALSE),IF(VLOOKUP(J246, 'Fixture Identities'!$A$6:$B$1023, 2, FALSE)="Incandescent",12, 13)), INDEX('Lookup Tables'!$AH$114:$AS$154,MATCH(1,('Lookup Tables'!$AH$114:$AH$154=V246)*('Lookup Tables'!$AI$114:$AI$154=W246),FALSE),12))))), "N")</f>
        <v/>
      </c>
      <c r="BT246" s="184" t="str">
        <f>IF(J246="", "", IF(AND(OR(W246="Freezer case Lighting", W246="Refrigerated Case Lighting with Doors"),'General Information'!$X$18="LCI"), "N", IF(OR(VLOOKUP(J246, 'Fixture Identities'!$A$6:$B$1023, 2, FALSE)="T12 EPACT/EISA Baseline", VLOOKUP(J246, 'Fixture Identities'!$A$6:$B$1023, 2, FALSE)="Linear Fluorescent", VLOOKUP(J246, 'Fixture Identities'!$A$6:$B$1023, 2, FALSE)="U-Tube Fluorescent"), "Y", "N")))</f>
        <v/>
      </c>
      <c r="BU246" s="184" t="str">
        <f>IFERROR(IF(B246="", "", IF(VLOOKUP(J246, 'Fixture Identities'!$A$6:$B$1023, 2, FALSE)="Exit Sign", "Y", "N")), "N")</f>
        <v/>
      </c>
      <c r="BV246" s="184" t="str">
        <f>IF(V246="Exit Signs", IF(VLOOKUP(J246, 'Fixture Identities'!$A$6:$B$1023, 2, FALSE)="Exit Sign", "N", "Y"), "")</f>
        <v/>
      </c>
      <c r="BW246" s="184" t="str">
        <f t="array" ref="BW246">IFERROR(IF(B246="", "", IF(B246="New Construction", "N", INDEX('Lookup Tables'!$AH$6:$AU$102, MATCH(1, ('Lookup Tables'!$AH$6:$AH$102='Lighting Inventory'!V246)*('Lookup Tables'!$AI$6:$AI$102='Lighting Inventory'!W246), 0), 14))), "N")</f>
        <v/>
      </c>
      <c r="BX246" s="598" t="str">
        <f t="shared" si="566"/>
        <v/>
      </c>
      <c r="BY246" s="598" t="str">
        <f t="shared" si="567"/>
        <v/>
      </c>
      <c r="BZ246" s="598" t="str">
        <f t="shared" si="568"/>
        <v/>
      </c>
      <c r="CA246" s="598" t="str">
        <f t="shared" si="569"/>
        <v/>
      </c>
      <c r="CB246" s="269" t="str">
        <f t="shared" si="570"/>
        <v/>
      </c>
      <c r="CC246" s="517" t="str">
        <f t="shared" si="571"/>
        <v/>
      </c>
      <c r="CD246" s="565" t="str">
        <f t="shared" si="511"/>
        <v/>
      </c>
      <c r="CE246" s="368">
        <v>0</v>
      </c>
      <c r="CF246" s="368" t="str" cm="1">
        <f t="array" ref="CF246">IFERROR(IF(V246="Custom", "$0.1 per kWh", IF(B246="New Construction", CONCATENATE("$",INDEX('Lookup Tables'!$AH$114:$AN$154,MATCH(1,('Lookup Tables'!$AH$114:$AH$154='Lighting Inventory'!V246)*('Lookup Tables'!$AI$114:$AI$154='Lighting Inventory'!W246),FALSE),6)," ",INDEX('Lookup Tables'!$AH$114:$AN$154,MATCH(1,('Lookup Tables'!$AH$114:$AH$154='Lighting Inventory'!V246)*('Lookup Tables'!$AI$114:$AI$154='Lighting Inventory'!W246),FALSE),7)), IF(AND(BU246="N", V246="Exit Signs"), "$0.025 per kWh", CONCATENATE("$",INDEX('Lookup Tables'!$AH$6:$AN$102,MATCH(1,('Lookup Tables'!$AH$6:$AH$102='Lighting Inventory'!V246)*('Lookup Tables'!$AI$6:$AI$102='Lighting Inventory'!W246),FALSE),6)," ",INDEX('Lookup Tables'!$AH$6:$AN$102,MATCH(1,('Lookup Tables'!$AH$6:$AH$102='Lighting Inventory'!V246)*('Lookup Tables'!$AI$6:$AI$102='Lighting Inventory'!W246),FALSE),7))))), "")</f>
        <v/>
      </c>
      <c r="CG246" s="366"/>
      <c r="CH246" s="248" t="str">
        <f t="shared" si="512"/>
        <v/>
      </c>
      <c r="CI246" s="248" t="str">
        <f t="shared" si="513"/>
        <v>Select_IE</v>
      </c>
      <c r="CJ246" s="248" t="str">
        <f t="shared" si="514"/>
        <v/>
      </c>
      <c r="CK246" s="248" t="str">
        <f t="shared" si="515"/>
        <v/>
      </c>
      <c r="CL246" s="248" t="str">
        <f t="shared" si="516"/>
        <v/>
      </c>
      <c r="CM246" s="248" t="str">
        <f>IFERROR(IF(B246="", "", IF(B246="New Construction", VLOOKUP(V246, 'Lookup Tables'!$AF$114:$AG$120, 2, FALSE), VLOOKUP(V246, 'Lookup Tables'!$AD$6:$AE$25, 2, FALSE))), "")</f>
        <v/>
      </c>
      <c r="CN246" s="248" t="str">
        <f t="shared" si="517"/>
        <v/>
      </c>
      <c r="CO246" s="248" t="str">
        <f t="shared" si="518"/>
        <v/>
      </c>
      <c r="CP246" s="592" t="str">
        <f t="shared" si="519"/>
        <v/>
      </c>
      <c r="CQ246" s="248" t="str">
        <f t="shared" si="572"/>
        <v/>
      </c>
      <c r="CR246" s="249"/>
      <c r="CS246" s="250" t="str">
        <f t="shared" si="520"/>
        <v/>
      </c>
      <c r="CT246" s="250" t="str">
        <f t="shared" si="573"/>
        <v/>
      </c>
      <c r="CU246" s="250" t="str">
        <f t="shared" si="574"/>
        <v/>
      </c>
      <c r="CV246" s="250" t="str">
        <f t="shared" si="575"/>
        <v/>
      </c>
      <c r="CW246" s="250" t="str">
        <f t="shared" si="576"/>
        <v/>
      </c>
      <c r="CX246" s="250" t="str">
        <f t="shared" si="521"/>
        <v/>
      </c>
      <c r="CY246" s="250" t="str">
        <f t="shared" si="522"/>
        <v/>
      </c>
      <c r="CZ246" s="250" t="str">
        <f t="shared" si="523"/>
        <v/>
      </c>
      <c r="DA246" s="250" t="str">
        <f t="shared" si="524"/>
        <v/>
      </c>
      <c r="DB246" s="250" t="str">
        <f t="shared" si="525"/>
        <v/>
      </c>
      <c r="DC246" s="250" t="str">
        <f t="shared" si="526"/>
        <v/>
      </c>
      <c r="DD246" s="250" t="str">
        <f t="shared" si="527"/>
        <v/>
      </c>
      <c r="DE246" s="250" t="str">
        <f t="shared" si="528"/>
        <v/>
      </c>
      <c r="DF246" s="250" t="str">
        <f t="shared" si="529"/>
        <v/>
      </c>
      <c r="DG246" s="250" t="str">
        <f t="shared" si="530"/>
        <v/>
      </c>
      <c r="DH246" s="250" t="str">
        <f t="shared" si="531"/>
        <v/>
      </c>
      <c r="DI246" s="250" t="str">
        <f t="shared" si="532"/>
        <v/>
      </c>
      <c r="DJ246" s="250" t="str">
        <f t="shared" si="533"/>
        <v/>
      </c>
      <c r="DK246" s="250" t="str">
        <f t="shared" si="534"/>
        <v/>
      </c>
      <c r="DL246" s="250" t="str">
        <f t="shared" si="535"/>
        <v/>
      </c>
      <c r="DM246" s="250" t="str">
        <f>IF(CD246="ERROR", "ERROR", IF(AND(OR(Y246=$DM$6, Y246='Lookup Tables'!$AD$21, Y246='Lookup Tables'!$AD$22), E246="Interior"), BJ246, ""))</f>
        <v/>
      </c>
      <c r="DN246" s="250" t="str">
        <f>IF(CD246="ERROR", "ERROR", IF(AND(OR(Y246=$DM$6, Y246='Lookup Tables'!$AD$21, Y246='Lookup Tables'!$AD$22), E246="Exterior"), BJ246, ""))</f>
        <v/>
      </c>
      <c r="DO246" s="249"/>
      <c r="DP246" s="250" t="str">
        <f t="shared" si="536"/>
        <v/>
      </c>
      <c r="DQ246" s="250" t="str">
        <f t="shared" si="577"/>
        <v/>
      </c>
      <c r="DR246" s="250" t="str">
        <f t="shared" si="578"/>
        <v/>
      </c>
      <c r="DS246" s="250" t="str">
        <f t="shared" si="579"/>
        <v/>
      </c>
      <c r="DT246" s="250" t="str">
        <f t="shared" si="580"/>
        <v/>
      </c>
      <c r="DU246" s="250" t="str">
        <f t="shared" si="537"/>
        <v/>
      </c>
      <c r="DV246" s="250" t="str">
        <f t="shared" si="538"/>
        <v/>
      </c>
      <c r="DW246" s="250" t="str">
        <f t="shared" si="539"/>
        <v/>
      </c>
      <c r="DX246" s="250" t="str">
        <f t="shared" si="540"/>
        <v/>
      </c>
      <c r="DY246" s="250" t="str">
        <f t="shared" si="541"/>
        <v/>
      </c>
      <c r="DZ246" s="250" t="str">
        <f t="shared" si="542"/>
        <v/>
      </c>
      <c r="EA246" s="250" t="str">
        <f t="shared" si="543"/>
        <v/>
      </c>
      <c r="EB246" s="250" t="str">
        <f t="shared" si="581"/>
        <v/>
      </c>
      <c r="EC246" s="250" t="str">
        <f t="shared" si="544"/>
        <v/>
      </c>
      <c r="ED246" s="250" t="str">
        <f t="shared" si="545"/>
        <v/>
      </c>
      <c r="EE246" s="250" t="str">
        <f t="shared" si="546"/>
        <v/>
      </c>
      <c r="EF246" s="250" t="str">
        <f t="shared" si="547"/>
        <v/>
      </c>
      <c r="EG246" s="250" t="str">
        <f t="shared" si="548"/>
        <v/>
      </c>
      <c r="EH246" s="250" t="str">
        <f>IF(CD246="ERROR", "ERROR", IF(AND(OR($EH$6=Y246, Y246='Lookup Tables'!$AD$21, Y246='Lookup Tables'!$AD$22),E246="Interior"), SUM(BP246:BP246), ""))</f>
        <v/>
      </c>
      <c r="EI246" s="250" t="str">
        <f>IF(CD246="ERROR", "ERROR", IF(AND(OR($EH$6=Y246, Y246='Lookup Tables'!$AD$21, Y246='Lookup Tables'!$AD$22),E246="Exterior"), SUM(BP246:BP246), ""))</f>
        <v/>
      </c>
      <c r="EJ246" s="109"/>
      <c r="EK246" s="485" t="str">
        <f t="shared" si="549"/>
        <v/>
      </c>
      <c r="EL246" s="252" t="str">
        <f t="shared" si="582"/>
        <v/>
      </c>
      <c r="EM246" s="252" t="str">
        <f t="shared" si="583"/>
        <v/>
      </c>
      <c r="EN246" s="252" t="str">
        <f t="shared" si="584"/>
        <v/>
      </c>
      <c r="EO246" s="252" t="str">
        <f t="shared" si="585"/>
        <v/>
      </c>
      <c r="EP246" s="252" t="str">
        <f t="shared" si="586"/>
        <v/>
      </c>
      <c r="EQ246" s="252" t="str">
        <f t="shared" si="587"/>
        <v/>
      </c>
      <c r="ER246" s="252" t="str">
        <f t="shared" si="588"/>
        <v/>
      </c>
      <c r="ES246" s="252" t="str">
        <f t="shared" si="589"/>
        <v/>
      </c>
      <c r="ET246" s="252" t="str">
        <f t="shared" si="590"/>
        <v/>
      </c>
      <c r="EU246" s="252" t="str">
        <f t="shared" si="591"/>
        <v/>
      </c>
      <c r="EV246" s="252" t="str">
        <f t="shared" si="592"/>
        <v/>
      </c>
      <c r="EW246" s="252" t="str">
        <f t="shared" si="593"/>
        <v/>
      </c>
      <c r="EX246" s="252" t="str">
        <f t="shared" si="594"/>
        <v/>
      </c>
      <c r="EY246" s="252" t="str">
        <f t="shared" si="595"/>
        <v/>
      </c>
      <c r="EZ246" s="252" t="str">
        <f t="shared" si="596"/>
        <v/>
      </c>
      <c r="FA246" s="252" t="str">
        <f t="shared" si="597"/>
        <v/>
      </c>
      <c r="FB246" s="252" t="str">
        <f t="shared" si="598"/>
        <v/>
      </c>
      <c r="FC246" s="252" t="str">
        <f>IF(CD246="ERROR", "ERROR", IF(OR(V246="No Change", V246="Not DLC or Energy Star"), "", IF(AND(OR($FC$6=Y246,Y246='Lookup Tables'!$AD$21, Y246='Lookup Tables'!$AD$22),E246="Interior"), S246, "")))</f>
        <v/>
      </c>
      <c r="FD246" s="252" t="str">
        <f t="shared" si="599"/>
        <v/>
      </c>
      <c r="FE246" s="1"/>
      <c r="FF246" s="579" t="str" cm="1">
        <f t="array" ref="FF246">IFERROR(IF(OR(BQ246&lt;=0,AQ246&lt;20,AND(V246="Exit Signs",AN246&gt;0)),"",IF(AND(AQ246&gt;=20,AN246='Lookup Tables'!$R$101),'Lookup Tables'!$U$101*BQ246,AP246*LOOKUP(2,1/((AN246='Lookup Tables'!$R$91:$R$111)*(AQ246&gt;='Lookup Tables'!$S$91:$S$111)*(AQ246&lt;='Lookup Tables'!$T$91:$T$111)),'Lookup Tables'!$U$91:$U$111))),"")</f>
        <v/>
      </c>
      <c r="FG246" s="579"/>
      <c r="FH246" s="579"/>
      <c r="FI246" s="253" t="str">
        <f>IFERROR(ROUND(IF(CD246="ERROR", "ERROR", IF(AND($FI$7=X246,E246="Interior"),VLOOKUP(W246, 'Lookup Tables'!$AI$6:$AM$102, 5, FALSE)*BP246, "")), 2), "")</f>
        <v/>
      </c>
      <c r="FJ246" s="253" t="str">
        <f>IFERROR(ROUND(IF(CD246="ERROR", "ERROR", IF(AND($FI$7=X246,E246="Exterior"),VLOOKUP(W246, 'Lookup Tables'!$AI$6:$AM$102, 5, FALSE)*BP246, "")), 2), "")</f>
        <v/>
      </c>
      <c r="FK246" s="253" t="str">
        <f>IFERROR(ROUND(IF(CD246="ERROR", "ERROR", IF(AND($FK$7=X246,E246="Interior"),VLOOKUP(W246, 'Lookup Tables'!$AI$6:$AM$102, 5, FALSE)*BP246, "")), 2), "")</f>
        <v/>
      </c>
      <c r="FL246" s="253" t="str">
        <f>IFERROR(ROUND(IF(CD246="ERROR", "ERROR", IF(AND($FK$7=X246,E246="Exterior"),VLOOKUP(W246, 'Lookup Tables'!$AI$6:$AM$102, 5, FALSE)*BP246, "")), 2), "")</f>
        <v/>
      </c>
      <c r="FM246" s="253" t="str">
        <f>IFERROR(ROUND(IF(CD246="ERROR", "ERROR", IF(AND($FM$6=Y246,E246="Interior"), IF(GB246=0, VLOOKUP(W246, 'Lookup Tables'!$AI$6:$AM$102, 5, FALSE)*BP246, IF(VLOOKUP(W246, 'Lookup Tables'!$AI$6:$AM$102, 5, FALSE)*BP246&gt;GB246*'Lighting Inventory'!S246, GB246*'Lighting Inventory'!S246,VLOOKUP(W246, 'Lookup Tables'!$AI$6:$AM$102, 5, FALSE)*BP246)), "")), 2), "")</f>
        <v/>
      </c>
      <c r="FN246" s="253" t="str">
        <f>IFERROR(ROUND(IF(CD246="ERROR", "ERROR", IF(AND($FM$6=Y246,E246="Exterior"), IF(GB246=0, VLOOKUP(W246, 'Lookup Tables'!$AI$6:$AM$102, 5, FALSE)*BP246, IF(VLOOKUP(W246, 'Lookup Tables'!$AI$6:$AM$102, 5, FALSE)*BP246&gt;GB246*'Lighting Inventory'!S246, GB246*'Lighting Inventory'!S246,VLOOKUP(W246, 'Lookup Tables'!$AI$6:$AM$102, 5, FALSE)*BP246)), "")), 2), "")</f>
        <v/>
      </c>
      <c r="FO246" s="253" t="str">
        <f>IFERROR(ROUND(IF(CD246="ERROR", "ERROR", IF(AND($FO$6=Y246,E246="Interior"),VLOOKUP(W246, 'Lookup Tables'!$AI$6:$AM$102, 5, FALSE)*'Lighting Inventory'!AI246, "")), 2), "")</f>
        <v/>
      </c>
      <c r="FP246" s="253" t="str">
        <f>IFERROR(ROUND(IF(CD246="ERROR", "ERROR", IF(AND($FO$6=Y246,E246="Exterior"),VLOOKUP(W246, 'Lookup Tables'!$AI$6:$AM$102, 5, FALSE)*'Lighting Inventory'!AI246, "")), 2), "")</f>
        <v/>
      </c>
      <c r="FQ246" s="253" t="str">
        <f>IFERROR(ROUND(IF(CD246="ERROR", "ERROR", IF(AND($FQ$6=Y246,E246="Interior", BU246="Y"), VLOOKUP('Lighting Inventory'!W246, 'Lookup Tables'!$AI$6:$AM$102, 5, FALSE)*'Lighting Inventory'!S246, IF(AND($FQ$7=Y246,E246="Interior", BU246="N"), 0.025*CD246, ""))), 2), "")</f>
        <v/>
      </c>
      <c r="FR246" s="253" t="str">
        <f>IFERROR(ROUND(IF(CD246="ERROR", "ERROR", IF(AND($FQ$6=Y246,E246="Exterior"), VLOOKUP('Lighting Inventory'!W246, 'Lookup Tables'!$AI$6:$AM$102, 5, FALSE)*'Lighting Inventory'!S246, "")), 2), "")</f>
        <v/>
      </c>
      <c r="FS246" s="253" t="str">
        <f>IFERROR(ROUND(IF(CD246="ERROR", "ERROR", IF(AND($FS$6=Y246,E246="Exterior"), IF(GB246=0, VLOOKUP(W246, 'Lookup Tables'!$AI$6:$AM$102, 5, FALSE)*BP246, IF(VLOOKUP(W246, 'Lookup Tables'!$AI$6:$AM$102, 5, FALSE)*BP246&gt;GB246*'Lighting Inventory'!S246, GB246*'Lighting Inventory'!S246,VLOOKUP(W246, 'Lookup Tables'!$AI$6:$AM$102, 5, FALSE)*BP246)), "")), 2), "")</f>
        <v/>
      </c>
      <c r="FT246" s="253" t="str">
        <f>IFERROR(ROUND(IF(CD246="ERROR", "ERROR", IF(AND($FT$6=Y246,E246="Interior"), IF(GB246=0, VLOOKUP(W246, 'Lookup Tables'!$AI$6:$AM$102, 5, FALSE)*BP246, IF(VLOOKUP(W246, 'Lookup Tables'!$AI$6:$AM$102, 5, FALSE)*BP246&gt;GB246*'Lighting Inventory'!S246, GB246*'Lighting Inventory'!S246,VLOOKUP(W246, 'Lookup Tables'!$AI$6:$AM$102, 5, FALSE)*BP246)), "")), 2), "")</f>
        <v/>
      </c>
      <c r="FU246" s="253" t="str">
        <f>IFERROR(ROUND(IF(CD246="ERROR", "ERROR", IF(AND(Y246=$FU$6, E246="Interior"), IF(BS246="N", 'Lookup Tables'!$AM$101*BP246, VLOOKUP(W246, 'Lookup Tables'!$AI$6:$AM$102, 5, FALSE)*S246*AD246), "")), 2), "")</f>
        <v/>
      </c>
      <c r="FV246" s="253" t="str">
        <f>IFERROR(ROUND(IF(CD246="ERROR", "ERROR", IF(AND(Y246=$FU$6, E246="Exterior"), IF(BS246="N", 'Lookup Tables'!$AM$101*BP246, VLOOKUP(W246, 'Lookup Tables'!$AI$6:$AM$102, 5, FALSE)*S246*AD246), "")), 2), "")</f>
        <v/>
      </c>
      <c r="FW246" s="253" t="str">
        <f>IFERROR(ROUND(IF(CD246="ERROR", "ERROR", IF($FW$6=Y246, IF(BS246="N", 'Lookup Tables'!$AM$101*BP246, MIN((VLOOKUP(W246, 'Lookup Tables'!$AI$6:$AM$102, 5, FALSE)*BP246),GB246*AJ246)), "")), 2), "")</f>
        <v/>
      </c>
      <c r="FX246" s="253" t="str">
        <f>IFERROR(ROUND(IF(CD246="ERROR", "ERROR", IF(AND($FX$6=Y246, E246="Interior"), IF(VLOOKUP(W246, 'Lookup Tables'!$AI$6:$AM$102, 5, FALSE)*BP246&gt;'Lookup Tables'!$AQ$97*'Lighting Inventory'!S246,'Lighting Inventory'!S246*'Lookup Tables'!$AQ$97,VLOOKUP(W246, 'Lookup Tables'!$AI$6:$AM$102, 5, FALSE)*BP246), "")), 2), "")</f>
        <v/>
      </c>
      <c r="FY246" s="253" t="str">
        <f>IFERROR(ROUND(IF(CD246="ERROR", "ERROR", IF(AND($FX$6=Y246, E246="Exterior"), IF(VLOOKUP(W246, 'Lookup Tables'!$AI$6:$AM$102, 5, FALSE)*BP246&gt;'Lookup Tables'!$AQ$97*'Lighting Inventory'!S246,'Lighting Inventory'!S246*'Lookup Tables'!$AQ$97,VLOOKUP(W246, 'Lookup Tables'!$AI$6:$AM$102, 5, FALSE)*BP246), "")), 2), "")</f>
        <v/>
      </c>
      <c r="FZ246" s="253" t="str">
        <f>IFERROR(ROUND(IF(CD246="ERROR", "ERROR", IF(AND($FZ$6=Y246, E246="Interior"), IF(AND(OR(W246="Refrigerated Case Lighting with Doors", W246="Freezer Case Lighting"),Y246="Custom - Process Improvement"),CD246*'Lookup Tables'!$AM$101, IF(B246="Retrofit", IF(VLOOKUP(IF(V246="Custom", V246, W246), 'Lookup Tables'!$AI$6:$AM$102, 5, FALSE)*BP246&gt;GE246, GE246, VLOOKUP(IF(V246="Custom", V246, W246), 'Lookup Tables'!$AI$6:$AM$102, 5, FALSE)*BP246), IF(VLOOKUP(IF(V246="Custom", V246, W246), 'Lookup Tables'!$AI$114:$AM$154, 5, FALSE)*BP246&gt;GE246, GE246, VLOOKUP(IF(V246="Custom", V246, W246), 'Lookup Tables'!$AI$114:$AM$154, 5, FALSE)*BP246))), "")), 2),"")</f>
        <v/>
      </c>
      <c r="GA246" s="253" t="str">
        <f>IFERROR(ROUND(IF(CD246="ERROR", "ERROR", IF(AND($FZ$6=Y246, E246="Exterior"), IF(B246="Retrofit", IF(VLOOKUP(IF(V246="Custom", V246, W246), 'Lookup Tables'!$AI$6:$AM$102, 5, FALSE)*BP246&gt;GE246, GE246, VLOOKUP(IF(V246="Custom", V246, W246), 'Lookup Tables'!$AI$6:$AM$102, 5, FALSE)*BP246), IF(VLOOKUP(IF(V246="Custom", V246, W246), 'Lookup Tables'!$AI$114:$AM$154, 5, FALSE)*BP246&gt;GE246, GE246, VLOOKUP(IF(V246="Custom", V246, W246), 'Lookup Tables'!$AI$114:$AM$154, 5, FALSE)*BP246)), "")), 2),"")</f>
        <v/>
      </c>
      <c r="GB246" s="254" t="str">
        <f t="array" ref="GB246">IF(B246="","",IF(OR(V246="Custom",V246="No Change"),0,IF(B246="Retrofit", INDEX('Lookup Tables'!$AH$6:$AQ$102,MATCH(1,('Lookup Tables'!$AH$6:$AH$102='Lighting Inventory'!V246)*('Lookup Tables'!$AI$6:$AI$102='Lighting Inventory'!W246),FALSE),10),INDEX('Lookup Tables'!$AH$114:$AQ$154,MATCH(1,('Lookup Tables'!$AH$114:$AH$154='Lighting Inventory'!V246)*('Lookup Tables'!$AI$114:$AI$154='Lighting Inventory'!W246),FALSE),10))))</f>
        <v/>
      </c>
      <c r="GC246" s="255" t="str">
        <f t="shared" si="550"/>
        <v/>
      </c>
      <c r="GD246" s="250" t="str">
        <f t="shared" si="551"/>
        <v/>
      </c>
      <c r="GE246" s="253" t="str">
        <f>IFERROR(IF(AND(AF246="", 'General Information'!$F$18="No"),"", IF(AF246="", ((GD246/$CD$266)*$CF$266)*0.5, AF246*S246*0.5)), "")</f>
        <v/>
      </c>
      <c r="GF246" s="255" t="str">
        <f>IF(AND('General Information'!$F$19="", 'General Information'!$F$18="Yes",AF246="",BW246="Y"), "Y", "N")</f>
        <v>N</v>
      </c>
      <c r="GG246" s="255" t="s">
        <v>2946</v>
      </c>
      <c r="GH246" s="255" t="str">
        <f>IFERROR(IF(B246="", "", VLOOKUP(J246, 'Fixture Identities'!$A$6:$N$908, 14, FALSE)), "")</f>
        <v/>
      </c>
      <c r="GI246" s="389" t="str">
        <f>IF(OR(B246="", V246="", W246=""), "", IF(AND(OR(M246='Lookup Tables'!$R$18, M246='Lookup Tables'!$R$19, M246='Lookup Tables'!$R$20, M246='Lookup Tables'!$R$21, M246='Lookup Tables'!$R$22), OR(AN246='Lookup Tables'!$R$17, AN246='Lookup Tables'!$R$17, AN246="")), "Y", "N"))</f>
        <v/>
      </c>
      <c r="GJ246" s="255" t="str">
        <f t="shared" si="552"/>
        <v/>
      </c>
      <c r="GK246" s="255" t="str">
        <f t="shared" si="553"/>
        <v/>
      </c>
      <c r="GL246" s="255" t="str">
        <f t="shared" si="554"/>
        <v/>
      </c>
      <c r="GM246" s="255" t="str">
        <f>IF(AN246="", "", IF(AND(IF(ISNA(VLOOKUP(AN246,'Lookup Tables'!$R$18:$R$22,1,FALSE)), "N", "Y")="Y", E246="Exterior"), "Y", "N"))</f>
        <v/>
      </c>
      <c r="GN246" s="395"/>
      <c r="GO246" s="428">
        <f t="shared" si="600"/>
        <v>0</v>
      </c>
      <c r="GP246" s="428">
        <f t="shared" si="603"/>
        <v>0</v>
      </c>
      <c r="GQ246" s="428">
        <f t="shared" si="601"/>
        <v>0</v>
      </c>
      <c r="GR246" s="428">
        <f t="shared" si="602"/>
        <v>0</v>
      </c>
    </row>
    <row r="247" spans="1:200" s="103" customFormat="1" ht="13.5" customHeight="1" x14ac:dyDescent="0.2">
      <c r="A247" s="272">
        <v>237</v>
      </c>
      <c r="B247" s="110"/>
      <c r="C247" s="110"/>
      <c r="D247" s="110"/>
      <c r="E247" s="110"/>
      <c r="F247" s="110"/>
      <c r="G247" s="110"/>
      <c r="H247" s="110"/>
      <c r="I247" s="29"/>
      <c r="J247" s="29"/>
      <c r="K247" s="272" t="str">
        <f>IFERROR(IF(OR(VLOOKUP(J247, 'Fixture Identities'!$A$6:$L$1023, 3, FALSE)="T12 Linear Fluorescent", VLOOKUP(J247, 'Fixture Identities'!$A$6:$L$1023, 3, FALSE)="T12 U-Tube Fluorescent"), VLOOKUP(VLOOKUP(J247, 'Fixture Identities'!$A$6:$L$1023, 11, FALSE), 'Fixture Identities'!$A$6:$L$1023, 10, FALSE), VLOOKUP(J247, 'Fixture Identities'!$A$6:$L$1023, 10, FALSE)), "")</f>
        <v/>
      </c>
      <c r="L247" s="270" t="str">
        <f t="shared" si="605"/>
        <v/>
      </c>
      <c r="M247" s="110"/>
      <c r="N247" s="110"/>
      <c r="O247" s="110"/>
      <c r="P247" s="272" t="str">
        <f>IFERROR(IF(OR(B247="Retrofit",B247=""),"",IF('Lighting Inventory'!E247="Exterior",VLOOKUP('Lighting Inventory'!N247,'Lookup Tables'!$B$83:$F$103,5,FALSE),IF(N247="Other - Please Estimate EFLH and CFs","Contact Prog. Rep.","ft^2"))), "")</f>
        <v/>
      </c>
      <c r="Q247" s="270" t="str">
        <f>IFERROR(IF(AND(B247="New Construction",E247="Interior",$F$5="Space-by-Space"),VLOOKUP('Lighting Inventory'!N247,'Lookup Tables'!$N$6:$O$97,2,FALSE),IF(AND(B247="New Construction",E247="Exterior"),VLOOKUP(N247,'Lookup Tables'!$B$83:$F$103,2,FALSE),IF(AND(B247="New Construction",'Lighting Inventory'!E247="Interior", $F$5="Building Area"),VLOOKUP(F247,'Lookup Tables'!$A$6:$J$59,10,FALSE),""))), "")</f>
        <v/>
      </c>
      <c r="R247" s="270" t="str">
        <f>IFERROR(IF(P247="Contact Prog. Rep.", "ERROR", IF(OR(B247="",B247="Retrofit"),"",IF(N247="Automated teller machines", ('Lookup Tables'!$A$82:$E$100+('Lighting Inventory'!O247-1)*'Lookup Tables'!$A$82:$E$100)/1000, (Q247*O247)/1000))), "")</f>
        <v/>
      </c>
      <c r="S247" s="595"/>
      <c r="T247" s="105" t="str">
        <f t="shared" si="555"/>
        <v/>
      </c>
      <c r="U247" s="105" t="str">
        <f>IF(S247="","",COUNT($S$11:S247))</f>
        <v/>
      </c>
      <c r="V247" s="111"/>
      <c r="W247" s="112"/>
      <c r="X247" s="105" t="str">
        <f t="shared" si="556"/>
        <v/>
      </c>
      <c r="Y247" s="105" t="str">
        <f t="array" ref="Y247">IF(AND(OR(W247="Freezer Case Lighting", W247="Refrigerated Case Lighting with Doors"), 'General Information'!$X$18="LCI"),'Lookup Tables'!$Y$34, IF(V247="Custom", VLOOKUP(W247, 'Fixture Identities'!$A$974:$M$1023, 13, FALSE), IF(V247="No Change",'Lookup Tables'!$Y$29,IF(OR(V247="",W247=""),"",IF(AND(S247=0,S247&lt;I247,B247="Retrofit"),'Lookup Tables'!$Y$25, IF(B247="Retrofit", INDEX('Lookup Tables'!$AH$6:$AP$102, MATCH(1, ('Lookup Tables'!$AH$6:$AH$102=V247)*('Lookup Tables'!$AI$6:$AI$102=W247), 0), IF('Lighting Inventory'!E247="Interior", 4, 5)), INDEX('Lookup Tables'!$AH$114:$AP$154, MATCH(1, ('Lookup Tables'!$AH$114:$AH$154=V247)*('Lookup Tables'!$AI$114:$AI$154=W247), 0), IF('Lighting Inventory'!E247="Interior", 4, 5))))))))</f>
        <v/>
      </c>
      <c r="Z247" s="105" t="str">
        <f>IFERROR(INDEX('Lookup Tables'!$AH$158:$AH$172,MATCH('Lighting Inventory'!Y247,'Lookup Tables'!$AI$158:$AI$172,0)),"")</f>
        <v/>
      </c>
      <c r="AA247" s="105" t="str">
        <f>IF(AP247&gt;0,INDEX('Lookup Tables'!$AK$158:$AK$172,MATCH('Lighting Inventory'!Y247,'Lookup Tables'!$AI$158:$AI$172,0)),'Lighting Inventory'!Y247)</f>
        <v/>
      </c>
      <c r="AB247" s="105" t="str">
        <f t="array" ref="AB247">IF(V247="Custom", "Custom", IF(V247="", "", IF(V247="Not DLC or Energy Star", "General", IF(B247="New Construction", INDEX('Lookup Tables'!$AH$114:$AP$154,MATCH(1,('Lookup Tables'!$AH$114:$AH$154='Lighting Inventory'!V247)*('Lookup Tables'!$AI$114:$AI$154='Lighting Inventory'!W247),FALSE),8), INDEX('Lookup Tables'!$AH$6:$AP$102,MATCH(1,('Lookup Tables'!$AH$6:$AH$102='Lighting Inventory'!V247)*('Lookup Tables'!$AI$6:$AI$102='Lighting Inventory'!W247),FALSE),8)))))</f>
        <v/>
      </c>
      <c r="AC247" s="272" t="str">
        <f>IF(W247="","",IF(V247="Custom",CONCATENATE("$",'Lookup Tables'!$AM$101," ",'Lookup Tables'!$AN$101),CONCATENATE("$",INDEX('Lookup Tables'!$AM$6:$AM$102,MATCH('Lighting Inventory'!W247,'Lookup Tables'!$AI$6:$AI$102,0))," ",INDEX('Lookup Tables'!$AN$6:$AN$102,MATCH('Lighting Inventory'!W247,'Lookup Tables'!$AI$6:$AI$102,0)))))</f>
        <v/>
      </c>
      <c r="AD247" s="72"/>
      <c r="AE247" s="29"/>
      <c r="AF247" s="379"/>
      <c r="AG247" s="370" t="str">
        <f t="shared" si="504"/>
        <v/>
      </c>
      <c r="AH247" s="370" t="str">
        <f t="shared" si="557"/>
        <v/>
      </c>
      <c r="AI247" s="29"/>
      <c r="AJ247" s="29"/>
      <c r="AK247" s="110"/>
      <c r="AL247" s="375" t="str">
        <f>IF(OR(B247="", V247="", W247=""), "", IF(V247="No Change", K247, IF(V247="Remove Fixture", 0, IF(V247="Custom",VLOOKUP(W247,'Fixture Identities'!$A$6:$K$1023,10,FALSE),IF(AE247="", "← ENTER POST WATTS", 'Lighting Inventory'!AE247)))))</f>
        <v/>
      </c>
      <c r="AM247" s="376" t="str">
        <f t="shared" si="505"/>
        <v/>
      </c>
      <c r="AN247" s="29"/>
      <c r="AO247" s="671"/>
      <c r="AP247" s="29"/>
      <c r="AQ247" s="29"/>
      <c r="AR247" s="29"/>
      <c r="AS247" s="272" t="str">
        <f t="shared" si="558"/>
        <v/>
      </c>
      <c r="AT247" s="270" t="str">
        <f t="shared" si="506"/>
        <v/>
      </c>
      <c r="AU247" s="88" t="str">
        <f t="shared" si="606"/>
        <v/>
      </c>
      <c r="AV247" s="29"/>
      <c r="AW247" s="73"/>
      <c r="AX247" s="271" t="str">
        <f>IF(AND(AV247="Applicant",OR(AW247="", AW247="Use Default Facility Hours")),"← Choose Schedule",IF(F247="","",IF(W247="LED Exit Signs",8760,IF(OR(AV247="Prescribed",AV247=""),VLOOKUP(F247,'Lookup Tables'!$A$6:$G$59,IF(AB247="General", 6, 3),FALSE),VLOOKUP(AW247,'Lookup Tables'!$S$36:$U$43,2,FALSE)))))</f>
        <v/>
      </c>
      <c r="AY247" s="88" t="str">
        <f t="shared" si="507"/>
        <v/>
      </c>
      <c r="AZ247" s="270" t="str">
        <f>IFERROR(IF(F247="", "", IF(W247="LED Exit Signs", 1, IF(AV247="Applicant",VLOOKUP(AW247, 'Lookup Tables'!$S$36:$U$43,3, FALSE), VLOOKUP('Lighting Inventory'!F247, 'Lookup Tables'!$A$6:$H$59, IF('Lighting Inventory'!AB247="General",7,4), FALSE)))), "")</f>
        <v/>
      </c>
      <c r="BA247" s="522" t="str">
        <f>IFERROR(IF(F247="", "", IF(W247="LED Exit Signs", 1, VLOOKUP('Lighting Inventory'!F247, 'Lookup Tables'!$A$6:$H$59, IF('Lighting Inventory'!AB247="General",8,5), FALSE))), "")</f>
        <v/>
      </c>
      <c r="BB247" s="270" t="str">
        <f>IF(G247="", "", IF(E247="Exterior", 0, IF('Lighting Inventory'!G247="Air Conditioned", VLOOKUP(H247, 'Lookup Tables'!$R$6:$T$13, 2, FALSE), VLOOKUP('Lighting Inventory'!G247, 'Lookup Tables'!$R$6:$T$13, 2, FALSE))))</f>
        <v/>
      </c>
      <c r="BC247" s="522" t="str">
        <f>IF(G247="", "", IF(E247="Exterior", 0, IF('Lighting Inventory'!G247="Air Conditioned", VLOOKUP(H247, 'Lookup Tables'!$R$6:$T$13, 3, FALSE), VLOOKUP('Lighting Inventory'!G247, 'Lookup Tables'!$R$6:$T$13, 3, FALSE))))</f>
        <v/>
      </c>
      <c r="BD247" s="270" t="str">
        <f>IF(G247="", "", IF(E247="Exterior", 0, IF('Lighting Inventory'!G247="Air Conditioned", VLOOKUP(H247, 'Lookup Tables'!$R$6:$U$13, 4, FALSE), VLOOKUP('Lighting Inventory'!G247, 'Lookup Tables'!$R$6:$U$13, 4, FALSE))))</f>
        <v/>
      </c>
      <c r="BE247" s="270" t="str">
        <f>IFERROR(IF(B247="", "",  IF(B247="New Construction", VLOOKUP(F247, 'Lookup Tables'!$A$6:$K$59, 11, FALSE),IF(OR(AN247="", AN247="Light Switch"), 0, IF(OR(M247="",M247="None",V247= "LED Exit Signs"),0,_xlfn.XLOOKUP(M247,'Lookup Tables'!$R$91:$R$101,'Lookup Tables'!$V$91:$V$101))))), "")</f>
        <v/>
      </c>
      <c r="BF247" s="270" t="str">
        <f>IF(AND(OR(AN247="Light Switch",AN247=""),B247="New Construction"), VLOOKUP(F247, 'Lookup Tables'!$A$6:$K$59, 11, FALSE),IF(AN247="","",IF(B247="","",IF(OR(AN247="None",AN247="",V247="LED Exit Signs",AN247="Exterior Controls Not Eligible"),0,_xlfn.XLOOKUP(AN247,'Lookup Tables'!$R$91:$R$101,'Lookup Tables'!$V$91:$V$101)))))</f>
        <v/>
      </c>
      <c r="BG247" s="88" t="str">
        <f t="shared" si="559"/>
        <v/>
      </c>
      <c r="BH247" s="88" t="str">
        <f t="shared" si="560"/>
        <v/>
      </c>
      <c r="BI247" s="558" t="str">
        <f t="shared" si="604"/>
        <v/>
      </c>
      <c r="BJ247" s="82" t="str">
        <f t="shared" si="561"/>
        <v/>
      </c>
      <c r="BK247" s="82" t="str">
        <f t="shared" si="562"/>
        <v/>
      </c>
      <c r="BL247" s="559" t="str">
        <f t="shared" si="563"/>
        <v/>
      </c>
      <c r="BM247" s="521" t="str">
        <f t="shared" si="508"/>
        <v/>
      </c>
      <c r="BN247" s="521" t="str">
        <f t="shared" si="509"/>
        <v/>
      </c>
      <c r="BO247" s="522" t="str">
        <f t="shared" si="510"/>
        <v/>
      </c>
      <c r="BP247" s="83" t="str">
        <f t="shared" si="564"/>
        <v/>
      </c>
      <c r="BQ247" s="84" t="str">
        <f t="shared" si="565"/>
        <v/>
      </c>
      <c r="BR247" s="184" t="str">
        <f>IFERROR(IF(B247="", "", IF(OR(VLOOKUP(J247, 'Fixture Identities'!$A$6:$L$1023, 3, FALSE)="T12 Linear Fluorescent",VLOOKUP(J247, 'Fixture Identities'!$A$6:$L$1023, 3, FALSE)="T12 U-Tube Fluorescent"), "Y", "N")), "N")</f>
        <v/>
      </c>
      <c r="BS247" s="184" t="str">
        <f t="array" ref="BS247">IFERROR(IF(OR(B247="", V247="", W247=""), "", IF(V247="Custom", "N", IF(OR(W247="Freezer Case Lighting", W247="Refrigerated Case Lighting with Doors"), BT247, IF(B247="Retrofit", INDEX('Lookup Tables'!$AH$6:$AT$102,MATCH(1,('Lookup Tables'!$AH$6:$AH$102=V247)*('Lookup Tables'!$AI$6:$AI$102=W247),FALSE),IF(VLOOKUP(J247, 'Fixture Identities'!$A$6:$B$1023, 2, FALSE)="Incandescent",12, 13)), INDEX('Lookup Tables'!$AH$114:$AS$154,MATCH(1,('Lookup Tables'!$AH$114:$AH$154=V247)*('Lookup Tables'!$AI$114:$AI$154=W247),FALSE),12))))), "N")</f>
        <v/>
      </c>
      <c r="BT247" s="184" t="str">
        <f>IF(J247="", "", IF(AND(OR(W247="Freezer case Lighting", W247="Refrigerated Case Lighting with Doors"),'General Information'!$X$18="LCI"), "N", IF(OR(VLOOKUP(J247, 'Fixture Identities'!$A$6:$B$1023, 2, FALSE)="T12 EPACT/EISA Baseline", VLOOKUP(J247, 'Fixture Identities'!$A$6:$B$1023, 2, FALSE)="Linear Fluorescent", VLOOKUP(J247, 'Fixture Identities'!$A$6:$B$1023, 2, FALSE)="U-Tube Fluorescent"), "Y", "N")))</f>
        <v/>
      </c>
      <c r="BU247" s="184" t="str">
        <f>IFERROR(IF(B247="", "", IF(VLOOKUP(J247, 'Fixture Identities'!$A$6:$B$1023, 2, FALSE)="Exit Sign", "Y", "N")), "N")</f>
        <v/>
      </c>
      <c r="BV247" s="184" t="str">
        <f>IF(V247="Exit Signs", IF(VLOOKUP(J247, 'Fixture Identities'!$A$6:$B$1023, 2, FALSE)="Exit Sign", "N", "Y"), "")</f>
        <v/>
      </c>
      <c r="BW247" s="184" t="str">
        <f t="array" ref="BW247">IFERROR(IF(B247="", "", IF(B247="New Construction", "N", INDEX('Lookup Tables'!$AH$6:$AU$102, MATCH(1, ('Lookup Tables'!$AH$6:$AH$102='Lighting Inventory'!V247)*('Lookup Tables'!$AI$6:$AI$102='Lighting Inventory'!W247), 0), 14))), "N")</f>
        <v/>
      </c>
      <c r="BX247" s="598" t="str">
        <f t="shared" si="566"/>
        <v/>
      </c>
      <c r="BY247" s="598" t="str">
        <f t="shared" si="567"/>
        <v/>
      </c>
      <c r="BZ247" s="598" t="str">
        <f t="shared" si="568"/>
        <v/>
      </c>
      <c r="CA247" s="598" t="str">
        <f t="shared" si="569"/>
        <v/>
      </c>
      <c r="CB247" s="269" t="str">
        <f t="shared" si="570"/>
        <v/>
      </c>
      <c r="CC247" s="517" t="str">
        <f t="shared" si="571"/>
        <v/>
      </c>
      <c r="CD247" s="565" t="str">
        <f t="shared" si="511"/>
        <v/>
      </c>
      <c r="CE247" s="368">
        <v>0</v>
      </c>
      <c r="CF247" s="368" t="str" cm="1">
        <f t="array" ref="CF247">IFERROR(IF(V247="Custom", "$0.1 per kWh", IF(B247="New Construction", CONCATENATE("$",INDEX('Lookup Tables'!$AH$114:$AN$154,MATCH(1,('Lookup Tables'!$AH$114:$AH$154='Lighting Inventory'!V247)*('Lookup Tables'!$AI$114:$AI$154='Lighting Inventory'!W247),FALSE),6)," ",INDEX('Lookup Tables'!$AH$114:$AN$154,MATCH(1,('Lookup Tables'!$AH$114:$AH$154='Lighting Inventory'!V247)*('Lookup Tables'!$AI$114:$AI$154='Lighting Inventory'!W247),FALSE),7)), IF(AND(BU247="N", V247="Exit Signs"), "$0.025 per kWh", CONCATENATE("$",INDEX('Lookup Tables'!$AH$6:$AN$102,MATCH(1,('Lookup Tables'!$AH$6:$AH$102='Lighting Inventory'!V247)*('Lookup Tables'!$AI$6:$AI$102='Lighting Inventory'!W247),FALSE),6)," ",INDEX('Lookup Tables'!$AH$6:$AN$102,MATCH(1,('Lookup Tables'!$AH$6:$AH$102='Lighting Inventory'!V247)*('Lookup Tables'!$AI$6:$AI$102='Lighting Inventory'!W247),FALSE),7))))), "")</f>
        <v/>
      </c>
      <c r="CG247" s="366"/>
      <c r="CH247" s="248" t="str">
        <f t="shared" si="512"/>
        <v/>
      </c>
      <c r="CI247" s="248" t="str">
        <f t="shared" si="513"/>
        <v>Select_IE</v>
      </c>
      <c r="CJ247" s="248" t="str">
        <f t="shared" si="514"/>
        <v/>
      </c>
      <c r="CK247" s="248" t="str">
        <f t="shared" si="515"/>
        <v/>
      </c>
      <c r="CL247" s="248" t="str">
        <f t="shared" si="516"/>
        <v/>
      </c>
      <c r="CM247" s="248" t="str">
        <f>IFERROR(IF(B247="", "", IF(B247="New Construction", VLOOKUP(V247, 'Lookup Tables'!$AF$114:$AG$120, 2, FALSE), VLOOKUP(V247, 'Lookup Tables'!$AD$6:$AE$25, 2, FALSE))), "")</f>
        <v/>
      </c>
      <c r="CN247" s="248" t="str">
        <f t="shared" si="517"/>
        <v/>
      </c>
      <c r="CO247" s="248" t="str">
        <f t="shared" si="518"/>
        <v/>
      </c>
      <c r="CP247" s="592" t="str">
        <f t="shared" si="519"/>
        <v/>
      </c>
      <c r="CQ247" s="248" t="str">
        <f t="shared" si="572"/>
        <v/>
      </c>
      <c r="CR247" s="100"/>
      <c r="CS247" s="250" t="str">
        <f t="shared" si="520"/>
        <v/>
      </c>
      <c r="CT247" s="250" t="str">
        <f t="shared" si="573"/>
        <v/>
      </c>
      <c r="CU247" s="250" t="str">
        <f t="shared" si="574"/>
        <v/>
      </c>
      <c r="CV247" s="250" t="str">
        <f t="shared" si="575"/>
        <v/>
      </c>
      <c r="CW247" s="250" t="str">
        <f t="shared" si="576"/>
        <v/>
      </c>
      <c r="CX247" s="250" t="str">
        <f t="shared" si="521"/>
        <v/>
      </c>
      <c r="CY247" s="250" t="str">
        <f t="shared" si="522"/>
        <v/>
      </c>
      <c r="CZ247" s="250" t="str">
        <f t="shared" si="523"/>
        <v/>
      </c>
      <c r="DA247" s="250" t="str">
        <f t="shared" si="524"/>
        <v/>
      </c>
      <c r="DB247" s="250" t="str">
        <f t="shared" si="525"/>
        <v/>
      </c>
      <c r="DC247" s="250" t="str">
        <f t="shared" si="526"/>
        <v/>
      </c>
      <c r="DD247" s="250" t="str">
        <f t="shared" si="527"/>
        <v/>
      </c>
      <c r="DE247" s="250" t="str">
        <f t="shared" si="528"/>
        <v/>
      </c>
      <c r="DF247" s="250" t="str">
        <f t="shared" si="529"/>
        <v/>
      </c>
      <c r="DG247" s="250" t="str">
        <f t="shared" si="530"/>
        <v/>
      </c>
      <c r="DH247" s="250" t="str">
        <f t="shared" si="531"/>
        <v/>
      </c>
      <c r="DI247" s="250" t="str">
        <f t="shared" si="532"/>
        <v/>
      </c>
      <c r="DJ247" s="250" t="str">
        <f t="shared" si="533"/>
        <v/>
      </c>
      <c r="DK247" s="250" t="str">
        <f t="shared" si="534"/>
        <v/>
      </c>
      <c r="DL247" s="250" t="str">
        <f t="shared" si="535"/>
        <v/>
      </c>
      <c r="DM247" s="250" t="str">
        <f>IF(CD247="ERROR", "ERROR", IF(AND(OR(Y247=$DM$6, Y247='Lookup Tables'!$AD$21, Y247='Lookup Tables'!$AD$22), E247="Interior"), BJ247, ""))</f>
        <v/>
      </c>
      <c r="DN247" s="250" t="str">
        <f>IF(CD247="ERROR", "ERROR", IF(AND(OR(Y247=$DM$6, Y247='Lookup Tables'!$AD$21, Y247='Lookup Tables'!$AD$22), E247="Exterior"), BJ247, ""))</f>
        <v/>
      </c>
      <c r="DO247" s="100"/>
      <c r="DP247" s="250" t="str">
        <f t="shared" si="536"/>
        <v/>
      </c>
      <c r="DQ247" s="250" t="str">
        <f t="shared" si="577"/>
        <v/>
      </c>
      <c r="DR247" s="250" t="str">
        <f t="shared" si="578"/>
        <v/>
      </c>
      <c r="DS247" s="250" t="str">
        <f t="shared" si="579"/>
        <v/>
      </c>
      <c r="DT247" s="250" t="str">
        <f t="shared" si="580"/>
        <v/>
      </c>
      <c r="DU247" s="250" t="str">
        <f t="shared" si="537"/>
        <v/>
      </c>
      <c r="DV247" s="250" t="str">
        <f t="shared" si="538"/>
        <v/>
      </c>
      <c r="DW247" s="250" t="str">
        <f t="shared" si="539"/>
        <v/>
      </c>
      <c r="DX247" s="250" t="str">
        <f t="shared" si="540"/>
        <v/>
      </c>
      <c r="DY247" s="250" t="str">
        <f t="shared" si="541"/>
        <v/>
      </c>
      <c r="DZ247" s="250" t="str">
        <f t="shared" si="542"/>
        <v/>
      </c>
      <c r="EA247" s="250" t="str">
        <f t="shared" si="543"/>
        <v/>
      </c>
      <c r="EB247" s="250" t="str">
        <f t="shared" si="581"/>
        <v/>
      </c>
      <c r="EC247" s="250" t="str">
        <f t="shared" si="544"/>
        <v/>
      </c>
      <c r="ED247" s="250" t="str">
        <f t="shared" si="545"/>
        <v/>
      </c>
      <c r="EE247" s="250" t="str">
        <f t="shared" si="546"/>
        <v/>
      </c>
      <c r="EF247" s="250" t="str">
        <f t="shared" si="547"/>
        <v/>
      </c>
      <c r="EG247" s="250" t="str">
        <f t="shared" si="548"/>
        <v/>
      </c>
      <c r="EH247" s="250" t="str">
        <f>IF(CD247="ERROR", "ERROR", IF(AND(OR($EH$6=Y247, Y247='Lookup Tables'!$AD$21, Y247='Lookup Tables'!$AD$22),E247="Interior"), SUM(BP247:BP247), ""))</f>
        <v/>
      </c>
      <c r="EI247" s="250" t="str">
        <f>IF(CD247="ERROR", "ERROR", IF(AND(OR($EH$6=Y247, Y247='Lookup Tables'!$AD$21, Y247='Lookup Tables'!$AD$22),E247="Exterior"), SUM(BP247:BP247), ""))</f>
        <v/>
      </c>
      <c r="EJ247" s="109"/>
      <c r="EK247" s="485" t="str">
        <f t="shared" si="549"/>
        <v/>
      </c>
      <c r="EL247" s="252" t="str">
        <f t="shared" si="582"/>
        <v/>
      </c>
      <c r="EM247" s="252" t="str">
        <f t="shared" si="583"/>
        <v/>
      </c>
      <c r="EN247" s="252" t="str">
        <f t="shared" si="584"/>
        <v/>
      </c>
      <c r="EO247" s="252" t="str">
        <f t="shared" si="585"/>
        <v/>
      </c>
      <c r="EP247" s="252" t="str">
        <f t="shared" si="586"/>
        <v/>
      </c>
      <c r="EQ247" s="252" t="str">
        <f t="shared" si="587"/>
        <v/>
      </c>
      <c r="ER247" s="252" t="str">
        <f t="shared" si="588"/>
        <v/>
      </c>
      <c r="ES247" s="252" t="str">
        <f t="shared" si="589"/>
        <v/>
      </c>
      <c r="ET247" s="252" t="str">
        <f t="shared" si="590"/>
        <v/>
      </c>
      <c r="EU247" s="252" t="str">
        <f t="shared" si="591"/>
        <v/>
      </c>
      <c r="EV247" s="252" t="str">
        <f t="shared" si="592"/>
        <v/>
      </c>
      <c r="EW247" s="252" t="str">
        <f t="shared" si="593"/>
        <v/>
      </c>
      <c r="EX247" s="252" t="str">
        <f t="shared" si="594"/>
        <v/>
      </c>
      <c r="EY247" s="252" t="str">
        <f t="shared" si="595"/>
        <v/>
      </c>
      <c r="EZ247" s="252" t="str">
        <f t="shared" si="596"/>
        <v/>
      </c>
      <c r="FA247" s="252" t="str">
        <f t="shared" si="597"/>
        <v/>
      </c>
      <c r="FB247" s="252" t="str">
        <f t="shared" si="598"/>
        <v/>
      </c>
      <c r="FC247" s="252" t="str">
        <f>IF(CD247="ERROR", "ERROR", IF(OR(V247="No Change", V247="Not DLC or Energy Star"), "", IF(AND(OR($FC$6=Y247,Y247='Lookup Tables'!$AD$21, Y247='Lookup Tables'!$AD$22),E247="Interior"), S247, "")))</f>
        <v/>
      </c>
      <c r="FD247" s="252" t="str">
        <f t="shared" si="599"/>
        <v/>
      </c>
      <c r="FE247" s="101"/>
      <c r="FF247" s="579" t="str" cm="1">
        <f t="array" ref="FF247">IFERROR(IF(OR(BQ247&lt;=0,AQ247&lt;20,AND(V247="Exit Signs",AN247&gt;0)),"",IF(AND(AQ247&gt;=20,AN247='Lookup Tables'!$R$101),'Lookup Tables'!$U$101*BQ247,AP247*LOOKUP(2,1/((AN247='Lookup Tables'!$R$91:$R$111)*(AQ247&gt;='Lookup Tables'!$S$91:$S$111)*(AQ247&lt;='Lookup Tables'!$T$91:$T$111)),'Lookup Tables'!$U$91:$U$111))),"")</f>
        <v/>
      </c>
      <c r="FG247" s="579"/>
      <c r="FH247" s="579"/>
      <c r="FI247" s="253" t="str">
        <f>IFERROR(ROUND(IF(CD247="ERROR", "ERROR", IF(AND($FI$7=X247,E247="Interior"),VLOOKUP(W247, 'Lookup Tables'!$AI$6:$AM$102, 5, FALSE)*BP247, "")), 2), "")</f>
        <v/>
      </c>
      <c r="FJ247" s="253" t="str">
        <f>IFERROR(ROUND(IF(CD247="ERROR", "ERROR", IF(AND($FI$7=X247,E247="Exterior"),VLOOKUP(W247, 'Lookup Tables'!$AI$6:$AM$102, 5, FALSE)*BP247, "")), 2), "")</f>
        <v/>
      </c>
      <c r="FK247" s="253" t="str">
        <f>IFERROR(ROUND(IF(CD247="ERROR", "ERROR", IF(AND($FK$7=X247,E247="Interior"),VLOOKUP(W247, 'Lookup Tables'!$AI$6:$AM$102, 5, FALSE)*BP247, "")), 2), "")</f>
        <v/>
      </c>
      <c r="FL247" s="253" t="str">
        <f>IFERROR(ROUND(IF(CD247="ERROR", "ERROR", IF(AND($FK$7=X247,E247="Exterior"),VLOOKUP(W247, 'Lookup Tables'!$AI$6:$AM$102, 5, FALSE)*BP247, "")), 2), "")</f>
        <v/>
      </c>
      <c r="FM247" s="253" t="str">
        <f>IFERROR(ROUND(IF(CD247="ERROR", "ERROR", IF(AND($FM$6=Y247,E247="Interior"), IF(GB247=0, VLOOKUP(W247, 'Lookup Tables'!$AI$6:$AM$102, 5, FALSE)*BP247, IF(VLOOKUP(W247, 'Lookup Tables'!$AI$6:$AM$102, 5, FALSE)*BP247&gt;GB247*'Lighting Inventory'!S247, GB247*'Lighting Inventory'!S247,VLOOKUP(W247, 'Lookup Tables'!$AI$6:$AM$102, 5, FALSE)*BP247)), "")), 2), "")</f>
        <v/>
      </c>
      <c r="FN247" s="253" t="str">
        <f>IFERROR(ROUND(IF(CD247="ERROR", "ERROR", IF(AND($FM$6=Y247,E247="Exterior"), IF(GB247=0, VLOOKUP(W247, 'Lookup Tables'!$AI$6:$AM$102, 5, FALSE)*BP247, IF(VLOOKUP(W247, 'Lookup Tables'!$AI$6:$AM$102, 5, FALSE)*BP247&gt;GB247*'Lighting Inventory'!S247, GB247*'Lighting Inventory'!S247,VLOOKUP(W247, 'Lookup Tables'!$AI$6:$AM$102, 5, FALSE)*BP247)), "")), 2), "")</f>
        <v/>
      </c>
      <c r="FO247" s="253" t="str">
        <f>IFERROR(ROUND(IF(CD247="ERROR", "ERROR", IF(AND($FO$6=Y247,E247="Interior"),VLOOKUP(W247, 'Lookup Tables'!$AI$6:$AM$102, 5, FALSE)*'Lighting Inventory'!AI247, "")), 2), "")</f>
        <v/>
      </c>
      <c r="FP247" s="253" t="str">
        <f>IFERROR(ROUND(IF(CD247="ERROR", "ERROR", IF(AND($FO$6=Y247,E247="Exterior"),VLOOKUP(W247, 'Lookup Tables'!$AI$6:$AM$102, 5, FALSE)*'Lighting Inventory'!AI247, "")), 2), "")</f>
        <v/>
      </c>
      <c r="FQ247" s="253" t="str">
        <f>IFERROR(ROUND(IF(CD247="ERROR", "ERROR", IF(AND($FQ$6=Y247,E247="Interior", BU247="Y"), VLOOKUP('Lighting Inventory'!W247, 'Lookup Tables'!$AI$6:$AM$102, 5, FALSE)*'Lighting Inventory'!S247, IF(AND($FQ$7=Y247,E247="Interior", BU247="N"), 0.025*CD247, ""))), 2), "")</f>
        <v/>
      </c>
      <c r="FR247" s="253" t="str">
        <f>IFERROR(ROUND(IF(CD247="ERROR", "ERROR", IF(AND($FQ$6=Y247,E247="Exterior"), VLOOKUP('Lighting Inventory'!W247, 'Lookup Tables'!$AI$6:$AM$102, 5, FALSE)*'Lighting Inventory'!S247, "")), 2), "")</f>
        <v/>
      </c>
      <c r="FS247" s="253" t="str">
        <f>IFERROR(ROUND(IF(CD247="ERROR", "ERROR", IF(AND($FS$6=Y247,E247="Exterior"), IF(GB247=0, VLOOKUP(W247, 'Lookup Tables'!$AI$6:$AM$102, 5, FALSE)*BP247, IF(VLOOKUP(W247, 'Lookup Tables'!$AI$6:$AM$102, 5, FALSE)*BP247&gt;GB247*'Lighting Inventory'!S247, GB247*'Lighting Inventory'!S247,VLOOKUP(W247, 'Lookup Tables'!$AI$6:$AM$102, 5, FALSE)*BP247)), "")), 2), "")</f>
        <v/>
      </c>
      <c r="FT247" s="253" t="str">
        <f>IFERROR(ROUND(IF(CD247="ERROR", "ERROR", IF(AND($FT$6=Y247,E247="Interior"), IF(GB247=0, VLOOKUP(W247, 'Lookup Tables'!$AI$6:$AM$102, 5, FALSE)*BP247, IF(VLOOKUP(W247, 'Lookup Tables'!$AI$6:$AM$102, 5, FALSE)*BP247&gt;GB247*'Lighting Inventory'!S247, GB247*'Lighting Inventory'!S247,VLOOKUP(W247, 'Lookup Tables'!$AI$6:$AM$102, 5, FALSE)*BP247)), "")), 2), "")</f>
        <v/>
      </c>
      <c r="FU247" s="253" t="str">
        <f>IFERROR(ROUND(IF(CD247="ERROR", "ERROR", IF(AND(Y247=$FU$6, E247="Interior"), IF(BS247="N", 'Lookup Tables'!$AM$101*BP247, VLOOKUP(W247, 'Lookup Tables'!$AI$6:$AM$102, 5, FALSE)*S247*AD247), "")), 2), "")</f>
        <v/>
      </c>
      <c r="FV247" s="253" t="str">
        <f>IFERROR(ROUND(IF(CD247="ERROR", "ERROR", IF(AND(Y247=$FU$6, E247="Exterior"), IF(BS247="N", 'Lookup Tables'!$AM$101*BP247, VLOOKUP(W247, 'Lookup Tables'!$AI$6:$AM$102, 5, FALSE)*S247*AD247), "")), 2), "")</f>
        <v/>
      </c>
      <c r="FW247" s="253" t="str">
        <f>IFERROR(ROUND(IF(CD247="ERROR", "ERROR", IF($FW$6=Y247, IF(BS247="N", 'Lookup Tables'!$AM$101*BP247, MIN((VLOOKUP(W247, 'Lookup Tables'!$AI$6:$AM$102, 5, FALSE)*BP247),GB247*AJ247)), "")), 2), "")</f>
        <v/>
      </c>
      <c r="FX247" s="253" t="str">
        <f>IFERROR(ROUND(IF(CD247="ERROR", "ERROR", IF(AND($FX$6=Y247, E247="Interior"), IF(VLOOKUP(W247, 'Lookup Tables'!$AI$6:$AM$102, 5, FALSE)*BP247&gt;'Lookup Tables'!$AQ$97*'Lighting Inventory'!S247,'Lighting Inventory'!S247*'Lookup Tables'!$AQ$97,VLOOKUP(W247, 'Lookup Tables'!$AI$6:$AM$102, 5, FALSE)*BP247), "")), 2), "")</f>
        <v/>
      </c>
      <c r="FY247" s="253" t="str">
        <f>IFERROR(ROUND(IF(CD247="ERROR", "ERROR", IF(AND($FX$6=Y247, E247="Exterior"), IF(VLOOKUP(W247, 'Lookup Tables'!$AI$6:$AM$102, 5, FALSE)*BP247&gt;'Lookup Tables'!$AQ$97*'Lighting Inventory'!S247,'Lighting Inventory'!S247*'Lookup Tables'!$AQ$97,VLOOKUP(W247, 'Lookup Tables'!$AI$6:$AM$102, 5, FALSE)*BP247), "")), 2), "")</f>
        <v/>
      </c>
      <c r="FZ247" s="253" t="str">
        <f>IFERROR(ROUND(IF(CD247="ERROR", "ERROR", IF(AND($FZ$6=Y247, E247="Interior"), IF(AND(OR(W247="Refrigerated Case Lighting with Doors", W247="Freezer Case Lighting"),Y247="Custom - Process Improvement"),CD247*'Lookup Tables'!$AM$101, IF(B247="Retrofit", IF(VLOOKUP(IF(V247="Custom", V247, W247), 'Lookup Tables'!$AI$6:$AM$102, 5, FALSE)*BP247&gt;GE247, GE247, VLOOKUP(IF(V247="Custom", V247, W247), 'Lookup Tables'!$AI$6:$AM$102, 5, FALSE)*BP247), IF(VLOOKUP(IF(V247="Custom", V247, W247), 'Lookup Tables'!$AI$114:$AM$154, 5, FALSE)*BP247&gt;GE247, GE247, VLOOKUP(IF(V247="Custom", V247, W247), 'Lookup Tables'!$AI$114:$AM$154, 5, FALSE)*BP247))), "")), 2),"")</f>
        <v/>
      </c>
      <c r="GA247" s="253" t="str">
        <f>IFERROR(ROUND(IF(CD247="ERROR", "ERROR", IF(AND($FZ$6=Y247, E247="Exterior"), IF(B247="Retrofit", IF(VLOOKUP(IF(V247="Custom", V247, W247), 'Lookup Tables'!$AI$6:$AM$102, 5, FALSE)*BP247&gt;GE247, GE247, VLOOKUP(IF(V247="Custom", V247, W247), 'Lookup Tables'!$AI$6:$AM$102, 5, FALSE)*BP247), IF(VLOOKUP(IF(V247="Custom", V247, W247), 'Lookup Tables'!$AI$114:$AM$154, 5, FALSE)*BP247&gt;GE247, GE247, VLOOKUP(IF(V247="Custom", V247, W247), 'Lookup Tables'!$AI$114:$AM$154, 5, FALSE)*BP247)), "")), 2),"")</f>
        <v/>
      </c>
      <c r="GB247" s="254" t="str">
        <f t="array" ref="GB247">IF(B247="","",IF(OR(V247="Custom",V247="No Change"),0,IF(B247="Retrofit", INDEX('Lookup Tables'!$AH$6:$AQ$102,MATCH(1,('Lookup Tables'!$AH$6:$AH$102='Lighting Inventory'!V247)*('Lookup Tables'!$AI$6:$AI$102='Lighting Inventory'!W247),FALSE),10),INDEX('Lookup Tables'!$AH$114:$AQ$154,MATCH(1,('Lookup Tables'!$AH$114:$AH$154='Lighting Inventory'!V247)*('Lookup Tables'!$AI$114:$AI$154='Lighting Inventory'!W247),FALSE),10))))</f>
        <v/>
      </c>
      <c r="GC247" s="255" t="str">
        <f t="shared" si="550"/>
        <v/>
      </c>
      <c r="GD247" s="250" t="str">
        <f t="shared" si="551"/>
        <v/>
      </c>
      <c r="GE247" s="253" t="str">
        <f>IFERROR(IF(AND(AF247="", 'General Information'!$F$18="No"),"", IF(AF247="", ((GD247/$CD$266)*$CF$266)*0.5, AF247*S247*0.5)), "")</f>
        <v/>
      </c>
      <c r="GF247" s="255" t="str">
        <f>IF(AND('General Information'!$F$19="", 'General Information'!$F$18="Yes",AF247="",BW247="Y"), "Y", "N")</f>
        <v>N</v>
      </c>
      <c r="GG247" s="255" t="s">
        <v>2946</v>
      </c>
      <c r="GH247" s="255" t="str">
        <f>IFERROR(IF(B247="", "", VLOOKUP(J247, 'Fixture Identities'!$A$6:$N$908, 14, FALSE)), "")</f>
        <v/>
      </c>
      <c r="GI247" s="389" t="str">
        <f>IF(OR(B247="", V247="", W247=""), "", IF(AND(OR(M247='Lookup Tables'!$R$18, M247='Lookup Tables'!$R$19, M247='Lookup Tables'!$R$20, M247='Lookup Tables'!$R$21, M247='Lookup Tables'!$R$22), OR(AN247='Lookup Tables'!$R$17, AN247='Lookup Tables'!$R$17, AN247="")), "Y", "N"))</f>
        <v/>
      </c>
      <c r="GJ247" s="255" t="str">
        <f t="shared" si="552"/>
        <v/>
      </c>
      <c r="GK247" s="255" t="str">
        <f t="shared" si="553"/>
        <v/>
      </c>
      <c r="GL247" s="255" t="str">
        <f t="shared" si="554"/>
        <v/>
      </c>
      <c r="GM247" s="255" t="str">
        <f>IF(AN247="", "", IF(AND(IF(ISNA(VLOOKUP(AN247,'Lookup Tables'!$R$18:$R$22,1,FALSE)), "N", "Y")="Y", E247="Exterior"), "Y", "N"))</f>
        <v/>
      </c>
      <c r="GN247" s="395"/>
      <c r="GO247" s="428">
        <f t="shared" si="600"/>
        <v>0</v>
      </c>
      <c r="GP247" s="428">
        <f t="shared" si="603"/>
        <v>0</v>
      </c>
      <c r="GQ247" s="428">
        <f t="shared" si="601"/>
        <v>0</v>
      </c>
      <c r="GR247" s="428">
        <f t="shared" si="602"/>
        <v>0</v>
      </c>
    </row>
    <row r="248" spans="1:200" s="103" customFormat="1" ht="13.5" customHeight="1" x14ac:dyDescent="0.2">
      <c r="A248" s="272">
        <v>238</v>
      </c>
      <c r="B248" s="110"/>
      <c r="C248" s="110"/>
      <c r="D248" s="110"/>
      <c r="E248" s="110"/>
      <c r="F248" s="110"/>
      <c r="G248" s="110"/>
      <c r="H248" s="110"/>
      <c r="I248" s="29"/>
      <c r="J248" s="29"/>
      <c r="K248" s="272" t="str">
        <f>IFERROR(IF(OR(VLOOKUP(J248, 'Fixture Identities'!$A$6:$L$1023, 3, FALSE)="T12 Linear Fluorescent", VLOOKUP(J248, 'Fixture Identities'!$A$6:$L$1023, 3, FALSE)="T12 U-Tube Fluorescent"), VLOOKUP(VLOOKUP(J248, 'Fixture Identities'!$A$6:$L$1023, 11, FALSE), 'Fixture Identities'!$A$6:$L$1023, 10, FALSE), VLOOKUP(J248, 'Fixture Identities'!$A$6:$L$1023, 10, FALSE)), "")</f>
        <v/>
      </c>
      <c r="L248" s="270" t="str">
        <f t="shared" si="605"/>
        <v/>
      </c>
      <c r="M248" s="110"/>
      <c r="N248" s="110"/>
      <c r="O248" s="110"/>
      <c r="P248" s="272" t="str">
        <f>IFERROR(IF(OR(B248="Retrofit",B248=""),"",IF('Lighting Inventory'!E248="Exterior",VLOOKUP('Lighting Inventory'!N248,'Lookup Tables'!$B$83:$F$103,5,FALSE),IF(N248="Other - Please Estimate EFLH and CFs","Contact Prog. Rep.","ft^2"))), "")</f>
        <v/>
      </c>
      <c r="Q248" s="270" t="str">
        <f>IFERROR(IF(AND(B248="New Construction",E248="Interior",$F$5="Space-by-Space"),VLOOKUP('Lighting Inventory'!N248,'Lookup Tables'!$N$6:$O$97,2,FALSE),IF(AND(B248="New Construction",E248="Exterior"),VLOOKUP(N248,'Lookup Tables'!$B$83:$F$103,2,FALSE),IF(AND(B248="New Construction",'Lighting Inventory'!E248="Interior", $F$5="Building Area"),VLOOKUP(F248,'Lookup Tables'!$A$6:$J$59,10,FALSE),""))), "")</f>
        <v/>
      </c>
      <c r="R248" s="270" t="str">
        <f>IFERROR(IF(P248="Contact Prog. Rep.", "ERROR", IF(OR(B248="",B248="Retrofit"),"",IF(N248="Automated teller machines", ('Lookup Tables'!$A$82:$E$100+('Lighting Inventory'!O248-1)*'Lookup Tables'!$A$82:$E$100)/1000, (Q248*O248)/1000))), "")</f>
        <v/>
      </c>
      <c r="S248" s="595"/>
      <c r="T248" s="105" t="str">
        <f t="shared" si="555"/>
        <v/>
      </c>
      <c r="U248" s="105" t="str">
        <f>IF(S248="","",COUNT($S$11:S248))</f>
        <v/>
      </c>
      <c r="V248" s="111"/>
      <c r="W248" s="112"/>
      <c r="X248" s="105" t="str">
        <f t="shared" si="556"/>
        <v/>
      </c>
      <c r="Y248" s="105" t="str">
        <f t="array" ref="Y248">IF(AND(OR(W248="Freezer Case Lighting", W248="Refrigerated Case Lighting with Doors"), 'General Information'!$X$18="LCI"),'Lookup Tables'!$Y$34, IF(V248="Custom", VLOOKUP(W248, 'Fixture Identities'!$A$974:$M$1023, 13, FALSE), IF(V248="No Change",'Lookup Tables'!$Y$29,IF(OR(V248="",W248=""),"",IF(AND(S248=0,S248&lt;I248,B248="Retrofit"),'Lookup Tables'!$Y$25, IF(B248="Retrofit", INDEX('Lookup Tables'!$AH$6:$AP$102, MATCH(1, ('Lookup Tables'!$AH$6:$AH$102=V248)*('Lookup Tables'!$AI$6:$AI$102=W248), 0), IF('Lighting Inventory'!E248="Interior", 4, 5)), INDEX('Lookup Tables'!$AH$114:$AP$154, MATCH(1, ('Lookup Tables'!$AH$114:$AH$154=V248)*('Lookup Tables'!$AI$114:$AI$154=W248), 0), IF('Lighting Inventory'!E248="Interior", 4, 5))))))))</f>
        <v/>
      </c>
      <c r="Z248" s="105" t="str">
        <f>IFERROR(INDEX('Lookup Tables'!$AH$158:$AH$172,MATCH('Lighting Inventory'!Y248,'Lookup Tables'!$AI$158:$AI$172,0)),"")</f>
        <v/>
      </c>
      <c r="AA248" s="105" t="str">
        <f>IF(AP248&gt;0,INDEX('Lookup Tables'!$AK$158:$AK$172,MATCH('Lighting Inventory'!Y248,'Lookup Tables'!$AI$158:$AI$172,0)),'Lighting Inventory'!Y248)</f>
        <v/>
      </c>
      <c r="AB248" s="105" t="str">
        <f t="array" ref="AB248">IF(V248="Custom", "Custom", IF(V248="", "", IF(V248="Not DLC or Energy Star", "General", IF(B248="New Construction", INDEX('Lookup Tables'!$AH$114:$AP$154,MATCH(1,('Lookup Tables'!$AH$114:$AH$154='Lighting Inventory'!V248)*('Lookup Tables'!$AI$114:$AI$154='Lighting Inventory'!W248),FALSE),8), INDEX('Lookup Tables'!$AH$6:$AP$102,MATCH(1,('Lookup Tables'!$AH$6:$AH$102='Lighting Inventory'!V248)*('Lookup Tables'!$AI$6:$AI$102='Lighting Inventory'!W248),FALSE),8)))))</f>
        <v/>
      </c>
      <c r="AC248" s="272" t="str">
        <f>IF(W248="","",IF(V248="Custom",CONCATENATE("$",'Lookup Tables'!$AM$101," ",'Lookup Tables'!$AN$101),CONCATENATE("$",INDEX('Lookup Tables'!$AM$6:$AM$102,MATCH('Lighting Inventory'!W248,'Lookup Tables'!$AI$6:$AI$102,0))," ",INDEX('Lookup Tables'!$AN$6:$AN$102,MATCH('Lighting Inventory'!W248,'Lookup Tables'!$AI$6:$AI$102,0)))))</f>
        <v/>
      </c>
      <c r="AD248" s="72"/>
      <c r="AE248" s="29"/>
      <c r="AF248" s="379"/>
      <c r="AG248" s="370" t="str">
        <f t="shared" si="504"/>
        <v/>
      </c>
      <c r="AH248" s="370" t="str">
        <f t="shared" si="557"/>
        <v/>
      </c>
      <c r="AI248" s="29"/>
      <c r="AJ248" s="29"/>
      <c r="AK248" s="110"/>
      <c r="AL248" s="375" t="str">
        <f>IF(OR(B248="", V248="", W248=""), "", IF(V248="No Change", K248, IF(V248="Remove Fixture", 0, IF(V248="Custom",VLOOKUP(W248,'Fixture Identities'!$A$6:$K$1023,10,FALSE),IF(AE248="", "← ENTER POST WATTS", 'Lighting Inventory'!AE248)))))</f>
        <v/>
      </c>
      <c r="AM248" s="376" t="str">
        <f t="shared" si="505"/>
        <v/>
      </c>
      <c r="AN248" s="29"/>
      <c r="AO248" s="671"/>
      <c r="AP248" s="29"/>
      <c r="AQ248" s="29"/>
      <c r="AR248" s="29"/>
      <c r="AS248" s="272" t="str">
        <f t="shared" si="558"/>
        <v/>
      </c>
      <c r="AT248" s="270" t="str">
        <f t="shared" si="506"/>
        <v/>
      </c>
      <c r="AU248" s="88" t="str">
        <f t="shared" si="606"/>
        <v/>
      </c>
      <c r="AV248" s="29"/>
      <c r="AW248" s="73"/>
      <c r="AX248" s="271" t="str">
        <f>IF(AND(AV248="Applicant",OR(AW248="", AW248="Use Default Facility Hours")),"← Choose Schedule",IF(F248="","",IF(W248="LED Exit Signs",8760,IF(OR(AV248="Prescribed",AV248=""),VLOOKUP(F248,'Lookup Tables'!$A$6:$G$59,IF(AB248="General", 6, 3),FALSE),VLOOKUP(AW248,'Lookup Tables'!$S$36:$U$43,2,FALSE)))))</f>
        <v/>
      </c>
      <c r="AY248" s="88" t="str">
        <f t="shared" si="507"/>
        <v/>
      </c>
      <c r="AZ248" s="270" t="str">
        <f>IFERROR(IF(F248="", "", IF(W248="LED Exit Signs", 1, IF(AV248="Applicant",VLOOKUP(AW248, 'Lookup Tables'!$S$36:$U$43,3, FALSE), VLOOKUP('Lighting Inventory'!F248, 'Lookup Tables'!$A$6:$H$59, IF('Lighting Inventory'!AB248="General",7,4), FALSE)))), "")</f>
        <v/>
      </c>
      <c r="BA248" s="522" t="str">
        <f>IFERROR(IF(F248="", "", IF(W248="LED Exit Signs", 1, VLOOKUP('Lighting Inventory'!F248, 'Lookup Tables'!$A$6:$H$59, IF('Lighting Inventory'!AB248="General",8,5), FALSE))), "")</f>
        <v/>
      </c>
      <c r="BB248" s="270" t="str">
        <f>IF(G248="", "", IF(E248="Exterior", 0, IF('Lighting Inventory'!G248="Air Conditioned", VLOOKUP(H248, 'Lookup Tables'!$R$6:$T$13, 2, FALSE), VLOOKUP('Lighting Inventory'!G248, 'Lookup Tables'!$R$6:$T$13, 2, FALSE))))</f>
        <v/>
      </c>
      <c r="BC248" s="522" t="str">
        <f>IF(G248="", "", IF(E248="Exterior", 0, IF('Lighting Inventory'!G248="Air Conditioned", VLOOKUP(H248, 'Lookup Tables'!$R$6:$T$13, 3, FALSE), VLOOKUP('Lighting Inventory'!G248, 'Lookup Tables'!$R$6:$T$13, 3, FALSE))))</f>
        <v/>
      </c>
      <c r="BD248" s="270" t="str">
        <f>IF(G248="", "", IF(E248="Exterior", 0, IF('Lighting Inventory'!G248="Air Conditioned", VLOOKUP(H248, 'Lookup Tables'!$R$6:$U$13, 4, FALSE), VLOOKUP('Lighting Inventory'!G248, 'Lookup Tables'!$R$6:$U$13, 4, FALSE))))</f>
        <v/>
      </c>
      <c r="BE248" s="270" t="str">
        <f>IFERROR(IF(B248="", "",  IF(B248="New Construction", VLOOKUP(F248, 'Lookup Tables'!$A$6:$K$59, 11, FALSE),IF(OR(AN248="", AN248="Light Switch"), 0, IF(OR(M248="",M248="None",V248= "LED Exit Signs"),0,_xlfn.XLOOKUP(M248,'Lookup Tables'!$R$91:$R$101,'Lookup Tables'!$V$91:$V$101))))), "")</f>
        <v/>
      </c>
      <c r="BF248" s="270" t="str">
        <f>IF(AND(OR(AN248="Light Switch",AN248=""),B248="New Construction"), VLOOKUP(F248, 'Lookup Tables'!$A$6:$K$59, 11, FALSE),IF(AN248="","",IF(B248="","",IF(OR(AN248="None",AN248="",V248="LED Exit Signs",AN248="Exterior Controls Not Eligible"),0,_xlfn.XLOOKUP(AN248,'Lookup Tables'!$R$91:$R$101,'Lookup Tables'!$V$91:$V$101)))))</f>
        <v/>
      </c>
      <c r="BG248" s="88" t="str">
        <f t="shared" si="559"/>
        <v/>
      </c>
      <c r="BH248" s="88" t="str">
        <f t="shared" si="560"/>
        <v/>
      </c>
      <c r="BI248" s="558" t="str">
        <f t="shared" si="604"/>
        <v/>
      </c>
      <c r="BJ248" s="82" t="str">
        <f t="shared" si="561"/>
        <v/>
      </c>
      <c r="BK248" s="82" t="str">
        <f t="shared" si="562"/>
        <v/>
      </c>
      <c r="BL248" s="559" t="str">
        <f t="shared" si="563"/>
        <v/>
      </c>
      <c r="BM248" s="521" t="str">
        <f t="shared" si="508"/>
        <v/>
      </c>
      <c r="BN248" s="521" t="str">
        <f t="shared" si="509"/>
        <v/>
      </c>
      <c r="BO248" s="522" t="str">
        <f t="shared" si="510"/>
        <v/>
      </c>
      <c r="BP248" s="83" t="str">
        <f t="shared" si="564"/>
        <v/>
      </c>
      <c r="BQ248" s="84" t="str">
        <f t="shared" si="565"/>
        <v/>
      </c>
      <c r="BR248" s="184" t="str">
        <f>IFERROR(IF(B248="", "", IF(OR(VLOOKUP(J248, 'Fixture Identities'!$A$6:$L$1023, 3, FALSE)="T12 Linear Fluorescent",VLOOKUP(J248, 'Fixture Identities'!$A$6:$L$1023, 3, FALSE)="T12 U-Tube Fluorescent"), "Y", "N")), "N")</f>
        <v/>
      </c>
      <c r="BS248" s="184" t="str">
        <f t="array" ref="BS248">IFERROR(IF(OR(B248="", V248="", W248=""), "", IF(V248="Custom", "N", IF(OR(W248="Freezer Case Lighting", W248="Refrigerated Case Lighting with Doors"), BT248, IF(B248="Retrofit", INDEX('Lookup Tables'!$AH$6:$AT$102,MATCH(1,('Lookup Tables'!$AH$6:$AH$102=V248)*('Lookup Tables'!$AI$6:$AI$102=W248),FALSE),IF(VLOOKUP(J248, 'Fixture Identities'!$A$6:$B$1023, 2, FALSE)="Incandescent",12, 13)), INDEX('Lookup Tables'!$AH$114:$AS$154,MATCH(1,('Lookup Tables'!$AH$114:$AH$154=V248)*('Lookup Tables'!$AI$114:$AI$154=W248),FALSE),12))))), "N")</f>
        <v/>
      </c>
      <c r="BT248" s="184" t="str">
        <f>IF(J248="", "", IF(AND(OR(W248="Freezer case Lighting", W248="Refrigerated Case Lighting with Doors"),'General Information'!$X$18="LCI"), "N", IF(OR(VLOOKUP(J248, 'Fixture Identities'!$A$6:$B$1023, 2, FALSE)="T12 EPACT/EISA Baseline", VLOOKUP(J248, 'Fixture Identities'!$A$6:$B$1023, 2, FALSE)="Linear Fluorescent", VLOOKUP(J248, 'Fixture Identities'!$A$6:$B$1023, 2, FALSE)="U-Tube Fluorescent"), "Y", "N")))</f>
        <v/>
      </c>
      <c r="BU248" s="184" t="str">
        <f>IFERROR(IF(B248="", "", IF(VLOOKUP(J248, 'Fixture Identities'!$A$6:$B$1023, 2, FALSE)="Exit Sign", "Y", "N")), "N")</f>
        <v/>
      </c>
      <c r="BV248" s="184" t="str">
        <f>IF(V248="Exit Signs", IF(VLOOKUP(J248, 'Fixture Identities'!$A$6:$B$1023, 2, FALSE)="Exit Sign", "N", "Y"), "")</f>
        <v/>
      </c>
      <c r="BW248" s="184" t="str">
        <f t="array" ref="BW248">IFERROR(IF(B248="", "", IF(B248="New Construction", "N", INDEX('Lookup Tables'!$AH$6:$AU$102, MATCH(1, ('Lookup Tables'!$AH$6:$AH$102='Lighting Inventory'!V248)*('Lookup Tables'!$AI$6:$AI$102='Lighting Inventory'!W248), 0), 14))), "N")</f>
        <v/>
      </c>
      <c r="BX248" s="598" t="str">
        <f t="shared" si="566"/>
        <v/>
      </c>
      <c r="BY248" s="598" t="str">
        <f t="shared" si="567"/>
        <v/>
      </c>
      <c r="BZ248" s="598" t="str">
        <f t="shared" si="568"/>
        <v/>
      </c>
      <c r="CA248" s="598" t="str">
        <f t="shared" si="569"/>
        <v/>
      </c>
      <c r="CB248" s="269" t="str">
        <f t="shared" si="570"/>
        <v/>
      </c>
      <c r="CC248" s="517" t="str">
        <f t="shared" si="571"/>
        <v/>
      </c>
      <c r="CD248" s="565" t="str">
        <f t="shared" si="511"/>
        <v/>
      </c>
      <c r="CE248" s="368">
        <v>0</v>
      </c>
      <c r="CF248" s="368" t="str" cm="1">
        <f t="array" ref="CF248">IFERROR(IF(V248="Custom", "$0.1 per kWh", IF(B248="New Construction", CONCATENATE("$",INDEX('Lookup Tables'!$AH$114:$AN$154,MATCH(1,('Lookup Tables'!$AH$114:$AH$154='Lighting Inventory'!V248)*('Lookup Tables'!$AI$114:$AI$154='Lighting Inventory'!W248),FALSE),6)," ",INDEX('Lookup Tables'!$AH$114:$AN$154,MATCH(1,('Lookup Tables'!$AH$114:$AH$154='Lighting Inventory'!V248)*('Lookup Tables'!$AI$114:$AI$154='Lighting Inventory'!W248),FALSE),7)), IF(AND(BU248="N", V248="Exit Signs"), "$0.025 per kWh", CONCATENATE("$",INDEX('Lookup Tables'!$AH$6:$AN$102,MATCH(1,('Lookup Tables'!$AH$6:$AH$102='Lighting Inventory'!V248)*('Lookup Tables'!$AI$6:$AI$102='Lighting Inventory'!W248),FALSE),6)," ",INDEX('Lookup Tables'!$AH$6:$AN$102,MATCH(1,('Lookup Tables'!$AH$6:$AH$102='Lighting Inventory'!V248)*('Lookup Tables'!$AI$6:$AI$102='Lighting Inventory'!W248),FALSE),7))))), "")</f>
        <v/>
      </c>
      <c r="CG248" s="366"/>
      <c r="CH248" s="248" t="str">
        <f t="shared" si="512"/>
        <v/>
      </c>
      <c r="CI248" s="248" t="str">
        <f t="shared" si="513"/>
        <v>Select_IE</v>
      </c>
      <c r="CJ248" s="248" t="str">
        <f t="shared" si="514"/>
        <v/>
      </c>
      <c r="CK248" s="248" t="str">
        <f t="shared" si="515"/>
        <v/>
      </c>
      <c r="CL248" s="248" t="str">
        <f t="shared" si="516"/>
        <v/>
      </c>
      <c r="CM248" s="248" t="str">
        <f>IFERROR(IF(B248="", "", IF(B248="New Construction", VLOOKUP(V248, 'Lookup Tables'!$AF$114:$AG$120, 2, FALSE), VLOOKUP(V248, 'Lookup Tables'!$AD$6:$AE$25, 2, FALSE))), "")</f>
        <v/>
      </c>
      <c r="CN248" s="248" t="str">
        <f t="shared" si="517"/>
        <v/>
      </c>
      <c r="CO248" s="248" t="str">
        <f t="shared" si="518"/>
        <v/>
      </c>
      <c r="CP248" s="592" t="str">
        <f t="shared" si="519"/>
        <v/>
      </c>
      <c r="CQ248" s="248" t="str">
        <f t="shared" si="572"/>
        <v/>
      </c>
      <c r="CR248" s="100"/>
      <c r="CS248" s="250" t="str">
        <f t="shared" si="520"/>
        <v/>
      </c>
      <c r="CT248" s="250" t="str">
        <f t="shared" si="573"/>
        <v/>
      </c>
      <c r="CU248" s="250" t="str">
        <f t="shared" si="574"/>
        <v/>
      </c>
      <c r="CV248" s="250" t="str">
        <f t="shared" si="575"/>
        <v/>
      </c>
      <c r="CW248" s="250" t="str">
        <f t="shared" si="576"/>
        <v/>
      </c>
      <c r="CX248" s="250" t="str">
        <f t="shared" si="521"/>
        <v/>
      </c>
      <c r="CY248" s="250" t="str">
        <f t="shared" si="522"/>
        <v/>
      </c>
      <c r="CZ248" s="250" t="str">
        <f t="shared" si="523"/>
        <v/>
      </c>
      <c r="DA248" s="250" t="str">
        <f t="shared" si="524"/>
        <v/>
      </c>
      <c r="DB248" s="250" t="str">
        <f t="shared" si="525"/>
        <v/>
      </c>
      <c r="DC248" s="250" t="str">
        <f t="shared" si="526"/>
        <v/>
      </c>
      <c r="DD248" s="250" t="str">
        <f t="shared" si="527"/>
        <v/>
      </c>
      <c r="DE248" s="250" t="str">
        <f t="shared" si="528"/>
        <v/>
      </c>
      <c r="DF248" s="250" t="str">
        <f t="shared" si="529"/>
        <v/>
      </c>
      <c r="DG248" s="250" t="str">
        <f t="shared" si="530"/>
        <v/>
      </c>
      <c r="DH248" s="250" t="str">
        <f t="shared" si="531"/>
        <v/>
      </c>
      <c r="DI248" s="250" t="str">
        <f t="shared" si="532"/>
        <v/>
      </c>
      <c r="DJ248" s="250" t="str">
        <f t="shared" si="533"/>
        <v/>
      </c>
      <c r="DK248" s="250" t="str">
        <f t="shared" si="534"/>
        <v/>
      </c>
      <c r="DL248" s="250" t="str">
        <f t="shared" si="535"/>
        <v/>
      </c>
      <c r="DM248" s="250" t="str">
        <f>IF(CD248="ERROR", "ERROR", IF(AND(OR(Y248=$DM$6, Y248='Lookup Tables'!$AD$21, Y248='Lookup Tables'!$AD$22), E248="Interior"), BJ248, ""))</f>
        <v/>
      </c>
      <c r="DN248" s="250" t="str">
        <f>IF(CD248="ERROR", "ERROR", IF(AND(OR(Y248=$DM$6, Y248='Lookup Tables'!$AD$21, Y248='Lookup Tables'!$AD$22), E248="Exterior"), BJ248, ""))</f>
        <v/>
      </c>
      <c r="DO248" s="100"/>
      <c r="DP248" s="250" t="str">
        <f t="shared" si="536"/>
        <v/>
      </c>
      <c r="DQ248" s="250" t="str">
        <f t="shared" si="577"/>
        <v/>
      </c>
      <c r="DR248" s="250" t="str">
        <f t="shared" si="578"/>
        <v/>
      </c>
      <c r="DS248" s="250" t="str">
        <f t="shared" si="579"/>
        <v/>
      </c>
      <c r="DT248" s="250" t="str">
        <f t="shared" si="580"/>
        <v/>
      </c>
      <c r="DU248" s="250" t="str">
        <f t="shared" si="537"/>
        <v/>
      </c>
      <c r="DV248" s="250" t="str">
        <f t="shared" si="538"/>
        <v/>
      </c>
      <c r="DW248" s="250" t="str">
        <f t="shared" si="539"/>
        <v/>
      </c>
      <c r="DX248" s="250" t="str">
        <f t="shared" si="540"/>
        <v/>
      </c>
      <c r="DY248" s="250" t="str">
        <f t="shared" si="541"/>
        <v/>
      </c>
      <c r="DZ248" s="250" t="str">
        <f t="shared" si="542"/>
        <v/>
      </c>
      <c r="EA248" s="250" t="str">
        <f t="shared" si="543"/>
        <v/>
      </c>
      <c r="EB248" s="250" t="str">
        <f t="shared" si="581"/>
        <v/>
      </c>
      <c r="EC248" s="250" t="str">
        <f t="shared" si="544"/>
        <v/>
      </c>
      <c r="ED248" s="250" t="str">
        <f t="shared" si="545"/>
        <v/>
      </c>
      <c r="EE248" s="250" t="str">
        <f t="shared" si="546"/>
        <v/>
      </c>
      <c r="EF248" s="250" t="str">
        <f t="shared" si="547"/>
        <v/>
      </c>
      <c r="EG248" s="250" t="str">
        <f t="shared" si="548"/>
        <v/>
      </c>
      <c r="EH248" s="250" t="str">
        <f>IF(CD248="ERROR", "ERROR", IF(AND(OR($EH$6=Y248, Y248='Lookup Tables'!$AD$21, Y248='Lookup Tables'!$AD$22),E248="Interior"), SUM(BP248:BP248), ""))</f>
        <v/>
      </c>
      <c r="EI248" s="250" t="str">
        <f>IF(CD248="ERROR", "ERROR", IF(AND(OR($EH$6=Y248, Y248='Lookup Tables'!$AD$21, Y248='Lookup Tables'!$AD$22),E248="Exterior"), SUM(BP248:BP248), ""))</f>
        <v/>
      </c>
      <c r="EJ248" s="109"/>
      <c r="EK248" s="485" t="str">
        <f t="shared" si="549"/>
        <v/>
      </c>
      <c r="EL248" s="252" t="str">
        <f t="shared" si="582"/>
        <v/>
      </c>
      <c r="EM248" s="252" t="str">
        <f t="shared" si="583"/>
        <v/>
      </c>
      <c r="EN248" s="252" t="str">
        <f t="shared" si="584"/>
        <v/>
      </c>
      <c r="EO248" s="252" t="str">
        <f t="shared" si="585"/>
        <v/>
      </c>
      <c r="EP248" s="252" t="str">
        <f t="shared" si="586"/>
        <v/>
      </c>
      <c r="EQ248" s="252" t="str">
        <f t="shared" si="587"/>
        <v/>
      </c>
      <c r="ER248" s="252" t="str">
        <f t="shared" si="588"/>
        <v/>
      </c>
      <c r="ES248" s="252" t="str">
        <f t="shared" si="589"/>
        <v/>
      </c>
      <c r="ET248" s="252" t="str">
        <f t="shared" si="590"/>
        <v/>
      </c>
      <c r="EU248" s="252" t="str">
        <f t="shared" si="591"/>
        <v/>
      </c>
      <c r="EV248" s="252" t="str">
        <f t="shared" si="592"/>
        <v/>
      </c>
      <c r="EW248" s="252" t="str">
        <f t="shared" si="593"/>
        <v/>
      </c>
      <c r="EX248" s="252" t="str">
        <f t="shared" si="594"/>
        <v/>
      </c>
      <c r="EY248" s="252" t="str">
        <f t="shared" si="595"/>
        <v/>
      </c>
      <c r="EZ248" s="252" t="str">
        <f t="shared" si="596"/>
        <v/>
      </c>
      <c r="FA248" s="252" t="str">
        <f t="shared" si="597"/>
        <v/>
      </c>
      <c r="FB248" s="252" t="str">
        <f t="shared" si="598"/>
        <v/>
      </c>
      <c r="FC248" s="252" t="str">
        <f>IF(CD248="ERROR", "ERROR", IF(OR(V248="No Change", V248="Not DLC or Energy Star"), "", IF(AND(OR($FC$6=Y248,Y248='Lookup Tables'!$AD$21, Y248='Lookup Tables'!$AD$22),E248="Interior"), S248, "")))</f>
        <v/>
      </c>
      <c r="FD248" s="252" t="str">
        <f t="shared" si="599"/>
        <v/>
      </c>
      <c r="FE248" s="101"/>
      <c r="FF248" s="579" t="str" cm="1">
        <f t="array" ref="FF248">IFERROR(IF(OR(BQ248&lt;=0,AQ248&lt;20,AND(V248="Exit Signs",AN248&gt;0)),"",IF(AND(AQ248&gt;=20,AN248='Lookup Tables'!$R$101),'Lookup Tables'!$U$101*BQ248,AP248*LOOKUP(2,1/((AN248='Lookup Tables'!$R$91:$R$111)*(AQ248&gt;='Lookup Tables'!$S$91:$S$111)*(AQ248&lt;='Lookup Tables'!$T$91:$T$111)),'Lookup Tables'!$U$91:$U$111))),"")</f>
        <v/>
      </c>
      <c r="FG248" s="579"/>
      <c r="FH248" s="579"/>
      <c r="FI248" s="253" t="str">
        <f>IFERROR(ROUND(IF(CD248="ERROR", "ERROR", IF(AND($FI$7=X248,E248="Interior"),VLOOKUP(W248, 'Lookup Tables'!$AI$6:$AM$102, 5, FALSE)*BP248, "")), 2), "")</f>
        <v/>
      </c>
      <c r="FJ248" s="253" t="str">
        <f>IFERROR(ROUND(IF(CD248="ERROR", "ERROR", IF(AND($FI$7=X248,E248="Exterior"),VLOOKUP(W248, 'Lookup Tables'!$AI$6:$AM$102, 5, FALSE)*BP248, "")), 2), "")</f>
        <v/>
      </c>
      <c r="FK248" s="253" t="str">
        <f>IFERROR(ROUND(IF(CD248="ERROR", "ERROR", IF(AND($FK$7=X248,E248="Interior"),VLOOKUP(W248, 'Lookup Tables'!$AI$6:$AM$102, 5, FALSE)*BP248, "")), 2), "")</f>
        <v/>
      </c>
      <c r="FL248" s="253" t="str">
        <f>IFERROR(ROUND(IF(CD248="ERROR", "ERROR", IF(AND($FK$7=X248,E248="Exterior"),VLOOKUP(W248, 'Lookup Tables'!$AI$6:$AM$102, 5, FALSE)*BP248, "")), 2), "")</f>
        <v/>
      </c>
      <c r="FM248" s="253" t="str">
        <f>IFERROR(ROUND(IF(CD248="ERROR", "ERROR", IF(AND($FM$6=Y248,E248="Interior"), IF(GB248=0, VLOOKUP(W248, 'Lookup Tables'!$AI$6:$AM$102, 5, FALSE)*BP248, IF(VLOOKUP(W248, 'Lookup Tables'!$AI$6:$AM$102, 5, FALSE)*BP248&gt;GB248*'Lighting Inventory'!S248, GB248*'Lighting Inventory'!S248,VLOOKUP(W248, 'Lookup Tables'!$AI$6:$AM$102, 5, FALSE)*BP248)), "")), 2), "")</f>
        <v/>
      </c>
      <c r="FN248" s="253" t="str">
        <f>IFERROR(ROUND(IF(CD248="ERROR", "ERROR", IF(AND($FM$6=Y248,E248="Exterior"), IF(GB248=0, VLOOKUP(W248, 'Lookup Tables'!$AI$6:$AM$102, 5, FALSE)*BP248, IF(VLOOKUP(W248, 'Lookup Tables'!$AI$6:$AM$102, 5, FALSE)*BP248&gt;GB248*'Lighting Inventory'!S248, GB248*'Lighting Inventory'!S248,VLOOKUP(W248, 'Lookup Tables'!$AI$6:$AM$102, 5, FALSE)*BP248)), "")), 2), "")</f>
        <v/>
      </c>
      <c r="FO248" s="253" t="str">
        <f>IFERROR(ROUND(IF(CD248="ERROR", "ERROR", IF(AND($FO$6=Y248,E248="Interior"),VLOOKUP(W248, 'Lookup Tables'!$AI$6:$AM$102, 5, FALSE)*'Lighting Inventory'!AI248, "")), 2), "")</f>
        <v/>
      </c>
      <c r="FP248" s="253" t="str">
        <f>IFERROR(ROUND(IF(CD248="ERROR", "ERROR", IF(AND($FO$6=Y248,E248="Exterior"),VLOOKUP(W248, 'Lookup Tables'!$AI$6:$AM$102, 5, FALSE)*'Lighting Inventory'!AI248, "")), 2), "")</f>
        <v/>
      </c>
      <c r="FQ248" s="253" t="str">
        <f>IFERROR(ROUND(IF(CD248="ERROR", "ERROR", IF(AND($FQ$6=Y248,E248="Interior", BU248="Y"), VLOOKUP('Lighting Inventory'!W248, 'Lookup Tables'!$AI$6:$AM$102, 5, FALSE)*'Lighting Inventory'!S248, IF(AND($FQ$7=Y248,E248="Interior", BU248="N"), 0.025*CD248, ""))), 2), "")</f>
        <v/>
      </c>
      <c r="FR248" s="253" t="str">
        <f>IFERROR(ROUND(IF(CD248="ERROR", "ERROR", IF(AND($FQ$6=Y248,E248="Exterior"), VLOOKUP('Lighting Inventory'!W248, 'Lookup Tables'!$AI$6:$AM$102, 5, FALSE)*'Lighting Inventory'!S248, "")), 2), "")</f>
        <v/>
      </c>
      <c r="FS248" s="253" t="str">
        <f>IFERROR(ROUND(IF(CD248="ERROR", "ERROR", IF(AND($FS$6=Y248,E248="Exterior"), IF(GB248=0, VLOOKUP(W248, 'Lookup Tables'!$AI$6:$AM$102, 5, FALSE)*BP248, IF(VLOOKUP(W248, 'Lookup Tables'!$AI$6:$AM$102, 5, FALSE)*BP248&gt;GB248*'Lighting Inventory'!S248, GB248*'Lighting Inventory'!S248,VLOOKUP(W248, 'Lookup Tables'!$AI$6:$AM$102, 5, FALSE)*BP248)), "")), 2), "")</f>
        <v/>
      </c>
      <c r="FT248" s="253" t="str">
        <f>IFERROR(ROUND(IF(CD248="ERROR", "ERROR", IF(AND($FT$6=Y248,E248="Interior"), IF(GB248=0, VLOOKUP(W248, 'Lookup Tables'!$AI$6:$AM$102, 5, FALSE)*BP248, IF(VLOOKUP(W248, 'Lookup Tables'!$AI$6:$AM$102, 5, FALSE)*BP248&gt;GB248*'Lighting Inventory'!S248, GB248*'Lighting Inventory'!S248,VLOOKUP(W248, 'Lookup Tables'!$AI$6:$AM$102, 5, FALSE)*BP248)), "")), 2), "")</f>
        <v/>
      </c>
      <c r="FU248" s="253" t="str">
        <f>IFERROR(ROUND(IF(CD248="ERROR", "ERROR", IF(AND(Y248=$FU$6, E248="Interior"), IF(BS248="N", 'Lookup Tables'!$AM$101*BP248, VLOOKUP(W248, 'Lookup Tables'!$AI$6:$AM$102, 5, FALSE)*S248*AD248), "")), 2), "")</f>
        <v/>
      </c>
      <c r="FV248" s="253" t="str">
        <f>IFERROR(ROUND(IF(CD248="ERROR", "ERROR", IF(AND(Y248=$FU$6, E248="Exterior"), IF(BS248="N", 'Lookup Tables'!$AM$101*BP248, VLOOKUP(W248, 'Lookup Tables'!$AI$6:$AM$102, 5, FALSE)*S248*AD248), "")), 2), "")</f>
        <v/>
      </c>
      <c r="FW248" s="253" t="str">
        <f>IFERROR(ROUND(IF(CD248="ERROR", "ERROR", IF($FW$6=Y248, IF(BS248="N", 'Lookup Tables'!$AM$101*BP248, MIN((VLOOKUP(W248, 'Lookup Tables'!$AI$6:$AM$102, 5, FALSE)*BP248),GB248*AJ248)), "")), 2), "")</f>
        <v/>
      </c>
      <c r="FX248" s="253" t="str">
        <f>IFERROR(ROUND(IF(CD248="ERROR", "ERROR", IF(AND($FX$6=Y248, E248="Interior"), IF(VLOOKUP(W248, 'Lookup Tables'!$AI$6:$AM$102, 5, FALSE)*BP248&gt;'Lookup Tables'!$AQ$97*'Lighting Inventory'!S248,'Lighting Inventory'!S248*'Lookup Tables'!$AQ$97,VLOOKUP(W248, 'Lookup Tables'!$AI$6:$AM$102, 5, FALSE)*BP248), "")), 2), "")</f>
        <v/>
      </c>
      <c r="FY248" s="253" t="str">
        <f>IFERROR(ROUND(IF(CD248="ERROR", "ERROR", IF(AND($FX$6=Y248, E248="Exterior"), IF(VLOOKUP(W248, 'Lookup Tables'!$AI$6:$AM$102, 5, FALSE)*BP248&gt;'Lookup Tables'!$AQ$97*'Lighting Inventory'!S248,'Lighting Inventory'!S248*'Lookup Tables'!$AQ$97,VLOOKUP(W248, 'Lookup Tables'!$AI$6:$AM$102, 5, FALSE)*BP248), "")), 2), "")</f>
        <v/>
      </c>
      <c r="FZ248" s="253" t="str">
        <f>IFERROR(ROUND(IF(CD248="ERROR", "ERROR", IF(AND($FZ$6=Y248, E248="Interior"), IF(AND(OR(W248="Refrigerated Case Lighting with Doors", W248="Freezer Case Lighting"),Y248="Custom - Process Improvement"),CD248*'Lookup Tables'!$AM$101, IF(B248="Retrofit", IF(VLOOKUP(IF(V248="Custom", V248, W248), 'Lookup Tables'!$AI$6:$AM$102, 5, FALSE)*BP248&gt;GE248, GE248, VLOOKUP(IF(V248="Custom", V248, W248), 'Lookup Tables'!$AI$6:$AM$102, 5, FALSE)*BP248), IF(VLOOKUP(IF(V248="Custom", V248, W248), 'Lookup Tables'!$AI$114:$AM$154, 5, FALSE)*BP248&gt;GE248, GE248, VLOOKUP(IF(V248="Custom", V248, W248), 'Lookup Tables'!$AI$114:$AM$154, 5, FALSE)*BP248))), "")), 2),"")</f>
        <v/>
      </c>
      <c r="GA248" s="253" t="str">
        <f>IFERROR(ROUND(IF(CD248="ERROR", "ERROR", IF(AND($FZ$6=Y248, E248="Exterior"), IF(B248="Retrofit", IF(VLOOKUP(IF(V248="Custom", V248, W248), 'Lookup Tables'!$AI$6:$AM$102, 5, FALSE)*BP248&gt;GE248, GE248, VLOOKUP(IF(V248="Custom", V248, W248), 'Lookup Tables'!$AI$6:$AM$102, 5, FALSE)*BP248), IF(VLOOKUP(IF(V248="Custom", V248, W248), 'Lookup Tables'!$AI$114:$AM$154, 5, FALSE)*BP248&gt;GE248, GE248, VLOOKUP(IF(V248="Custom", V248, W248), 'Lookup Tables'!$AI$114:$AM$154, 5, FALSE)*BP248)), "")), 2),"")</f>
        <v/>
      </c>
      <c r="GB248" s="254" t="str">
        <f t="array" ref="GB248">IF(B248="","",IF(OR(V248="Custom",V248="No Change"),0,IF(B248="Retrofit", INDEX('Lookup Tables'!$AH$6:$AQ$102,MATCH(1,('Lookup Tables'!$AH$6:$AH$102='Lighting Inventory'!V248)*('Lookup Tables'!$AI$6:$AI$102='Lighting Inventory'!W248),FALSE),10),INDEX('Lookup Tables'!$AH$114:$AQ$154,MATCH(1,('Lookup Tables'!$AH$114:$AH$154='Lighting Inventory'!V248)*('Lookup Tables'!$AI$114:$AI$154='Lighting Inventory'!W248),FALSE),10))))</f>
        <v/>
      </c>
      <c r="GC248" s="255" t="str">
        <f t="shared" si="550"/>
        <v/>
      </c>
      <c r="GD248" s="250" t="str">
        <f t="shared" si="551"/>
        <v/>
      </c>
      <c r="GE248" s="253" t="str">
        <f>IFERROR(IF(AND(AF248="", 'General Information'!$F$18="No"),"", IF(AF248="", ((GD248/$CD$266)*$CF$266)*0.5, AF248*S248*0.5)), "")</f>
        <v/>
      </c>
      <c r="GF248" s="255" t="str">
        <f>IF(AND('General Information'!$F$19="", 'General Information'!$F$18="Yes",AF248="",BW248="Y"), "Y", "N")</f>
        <v>N</v>
      </c>
      <c r="GG248" s="255" t="s">
        <v>2946</v>
      </c>
      <c r="GH248" s="255" t="str">
        <f>IFERROR(IF(B248="", "", VLOOKUP(J248, 'Fixture Identities'!$A$6:$N$908, 14, FALSE)), "")</f>
        <v/>
      </c>
      <c r="GI248" s="389" t="str">
        <f>IF(OR(B248="", V248="", W248=""), "", IF(AND(OR(M248='Lookup Tables'!$R$18, M248='Lookup Tables'!$R$19, M248='Lookup Tables'!$R$20, M248='Lookup Tables'!$R$21, M248='Lookup Tables'!$R$22), OR(AN248='Lookup Tables'!$R$17, AN248='Lookup Tables'!$R$17, AN248="")), "Y", "N"))</f>
        <v/>
      </c>
      <c r="GJ248" s="255" t="str">
        <f t="shared" si="552"/>
        <v/>
      </c>
      <c r="GK248" s="255" t="str">
        <f t="shared" si="553"/>
        <v/>
      </c>
      <c r="GL248" s="255" t="str">
        <f t="shared" si="554"/>
        <v/>
      </c>
      <c r="GM248" s="255" t="str">
        <f>IF(AN248="", "", IF(AND(IF(ISNA(VLOOKUP(AN248,'Lookup Tables'!$R$18:$R$22,1,FALSE)), "N", "Y")="Y", E248="Exterior"), "Y", "N"))</f>
        <v/>
      </c>
      <c r="GN248" s="395"/>
      <c r="GO248" s="428">
        <f t="shared" si="600"/>
        <v>0</v>
      </c>
      <c r="GP248" s="428">
        <f t="shared" si="603"/>
        <v>0</v>
      </c>
      <c r="GQ248" s="428">
        <f t="shared" si="601"/>
        <v>0</v>
      </c>
      <c r="GR248" s="428">
        <f t="shared" si="602"/>
        <v>0</v>
      </c>
    </row>
    <row r="249" spans="1:200" s="103" customFormat="1" ht="13.5" customHeight="1" x14ac:dyDescent="0.2">
      <c r="A249" s="272">
        <v>239</v>
      </c>
      <c r="B249" s="110"/>
      <c r="C249" s="110"/>
      <c r="D249" s="110"/>
      <c r="E249" s="110"/>
      <c r="F249" s="110"/>
      <c r="G249" s="110"/>
      <c r="H249" s="110"/>
      <c r="I249" s="29"/>
      <c r="J249" s="29"/>
      <c r="K249" s="272" t="str">
        <f>IFERROR(IF(OR(VLOOKUP(J249, 'Fixture Identities'!$A$6:$L$1023, 3, FALSE)="T12 Linear Fluorescent", VLOOKUP(J249, 'Fixture Identities'!$A$6:$L$1023, 3, FALSE)="T12 U-Tube Fluorescent"), VLOOKUP(VLOOKUP(J249, 'Fixture Identities'!$A$6:$L$1023, 11, FALSE), 'Fixture Identities'!$A$6:$L$1023, 10, FALSE), VLOOKUP(J249, 'Fixture Identities'!$A$6:$L$1023, 10, FALSE)), "")</f>
        <v/>
      </c>
      <c r="L249" s="270" t="str">
        <f t="shared" si="605"/>
        <v/>
      </c>
      <c r="M249" s="110"/>
      <c r="N249" s="110"/>
      <c r="O249" s="110"/>
      <c r="P249" s="272" t="str">
        <f>IFERROR(IF(OR(B249="Retrofit",B249=""),"",IF('Lighting Inventory'!E249="Exterior",VLOOKUP('Lighting Inventory'!N249,'Lookup Tables'!$B$83:$F$103,5,FALSE),IF(N249="Other - Please Estimate EFLH and CFs","Contact Prog. Rep.","ft^2"))), "")</f>
        <v/>
      </c>
      <c r="Q249" s="270" t="str">
        <f>IFERROR(IF(AND(B249="New Construction",E249="Interior",$F$5="Space-by-Space"),VLOOKUP('Lighting Inventory'!N249,'Lookup Tables'!$N$6:$O$97,2,FALSE),IF(AND(B249="New Construction",E249="Exterior"),VLOOKUP(N249,'Lookup Tables'!$B$83:$F$103,2,FALSE),IF(AND(B249="New Construction",'Lighting Inventory'!E249="Interior", $F$5="Building Area"),VLOOKUP(F249,'Lookup Tables'!$A$6:$J$59,10,FALSE),""))), "")</f>
        <v/>
      </c>
      <c r="R249" s="270" t="str">
        <f>IFERROR(IF(P249="Contact Prog. Rep.", "ERROR", IF(OR(B249="",B249="Retrofit"),"",IF(N249="Automated teller machines", ('Lookup Tables'!$A$82:$E$100+('Lighting Inventory'!O249-1)*'Lookup Tables'!$A$82:$E$100)/1000, (Q249*O249)/1000))), "")</f>
        <v/>
      </c>
      <c r="S249" s="595"/>
      <c r="T249" s="105" t="str">
        <f t="shared" si="555"/>
        <v/>
      </c>
      <c r="U249" s="105" t="str">
        <f>IF(S249="","",COUNT($S$11:S249))</f>
        <v/>
      </c>
      <c r="V249" s="111"/>
      <c r="W249" s="112"/>
      <c r="X249" s="105" t="str">
        <f t="shared" si="556"/>
        <v/>
      </c>
      <c r="Y249" s="105" t="str">
        <f t="array" ref="Y249">IF(AND(OR(W249="Freezer Case Lighting", W249="Refrigerated Case Lighting with Doors"), 'General Information'!$X$18="LCI"),'Lookup Tables'!$Y$34, IF(V249="Custom", VLOOKUP(W249, 'Fixture Identities'!$A$974:$M$1023, 13, FALSE), IF(V249="No Change",'Lookup Tables'!$Y$29,IF(OR(V249="",W249=""),"",IF(AND(S249=0,S249&lt;I249,B249="Retrofit"),'Lookup Tables'!$Y$25, IF(B249="Retrofit", INDEX('Lookup Tables'!$AH$6:$AP$102, MATCH(1, ('Lookup Tables'!$AH$6:$AH$102=V249)*('Lookup Tables'!$AI$6:$AI$102=W249), 0), IF('Lighting Inventory'!E249="Interior", 4, 5)), INDEX('Lookup Tables'!$AH$114:$AP$154, MATCH(1, ('Lookup Tables'!$AH$114:$AH$154=V249)*('Lookup Tables'!$AI$114:$AI$154=W249), 0), IF('Lighting Inventory'!E249="Interior", 4, 5))))))))</f>
        <v/>
      </c>
      <c r="Z249" s="105" t="str">
        <f>IFERROR(INDEX('Lookup Tables'!$AH$158:$AH$172,MATCH('Lighting Inventory'!Y249,'Lookup Tables'!$AI$158:$AI$172,0)),"")</f>
        <v/>
      </c>
      <c r="AA249" s="105" t="str">
        <f>IF(AP249&gt;0,INDEX('Lookup Tables'!$AK$158:$AK$172,MATCH('Lighting Inventory'!Y249,'Lookup Tables'!$AI$158:$AI$172,0)),'Lighting Inventory'!Y249)</f>
        <v/>
      </c>
      <c r="AB249" s="105" t="str">
        <f t="array" ref="AB249">IF(V249="Custom", "Custom", IF(V249="", "", IF(V249="Not DLC or Energy Star", "General", IF(B249="New Construction", INDEX('Lookup Tables'!$AH$114:$AP$154,MATCH(1,('Lookup Tables'!$AH$114:$AH$154='Lighting Inventory'!V249)*('Lookup Tables'!$AI$114:$AI$154='Lighting Inventory'!W249),FALSE),8), INDEX('Lookup Tables'!$AH$6:$AP$102,MATCH(1,('Lookup Tables'!$AH$6:$AH$102='Lighting Inventory'!V249)*('Lookup Tables'!$AI$6:$AI$102='Lighting Inventory'!W249),FALSE),8)))))</f>
        <v/>
      </c>
      <c r="AC249" s="272" t="str">
        <f>IF(W249="","",IF(V249="Custom",CONCATENATE("$",'Lookup Tables'!$AM$101," ",'Lookup Tables'!$AN$101),CONCATENATE("$",INDEX('Lookup Tables'!$AM$6:$AM$102,MATCH('Lighting Inventory'!W249,'Lookup Tables'!$AI$6:$AI$102,0))," ",INDEX('Lookup Tables'!$AN$6:$AN$102,MATCH('Lighting Inventory'!W249,'Lookup Tables'!$AI$6:$AI$102,0)))))</f>
        <v/>
      </c>
      <c r="AD249" s="72"/>
      <c r="AE249" s="29"/>
      <c r="AF249" s="379"/>
      <c r="AG249" s="370" t="str">
        <f t="shared" si="504"/>
        <v/>
      </c>
      <c r="AH249" s="370" t="str">
        <f t="shared" si="557"/>
        <v/>
      </c>
      <c r="AI249" s="29"/>
      <c r="AJ249" s="29"/>
      <c r="AK249" s="110"/>
      <c r="AL249" s="375" t="str">
        <f>IF(OR(B249="", V249="", W249=""), "", IF(V249="No Change", K249, IF(V249="Remove Fixture", 0, IF(V249="Custom",VLOOKUP(W249,'Fixture Identities'!$A$6:$K$1023,10,FALSE),IF(AE249="", "← ENTER POST WATTS", 'Lighting Inventory'!AE249)))))</f>
        <v/>
      </c>
      <c r="AM249" s="376" t="str">
        <f t="shared" si="505"/>
        <v/>
      </c>
      <c r="AN249" s="29"/>
      <c r="AO249" s="671"/>
      <c r="AP249" s="29"/>
      <c r="AQ249" s="29"/>
      <c r="AR249" s="29"/>
      <c r="AS249" s="272" t="str">
        <f t="shared" si="558"/>
        <v/>
      </c>
      <c r="AT249" s="270" t="str">
        <f t="shared" si="506"/>
        <v/>
      </c>
      <c r="AU249" s="88" t="str">
        <f t="shared" si="606"/>
        <v/>
      </c>
      <c r="AV249" s="29"/>
      <c r="AW249" s="73"/>
      <c r="AX249" s="271" t="str">
        <f>IF(AND(AV249="Applicant",OR(AW249="", AW249="Use Default Facility Hours")),"← Choose Schedule",IF(F249="","",IF(W249="LED Exit Signs",8760,IF(OR(AV249="Prescribed",AV249=""),VLOOKUP(F249,'Lookup Tables'!$A$6:$G$59,IF(AB249="General", 6, 3),FALSE),VLOOKUP(AW249,'Lookup Tables'!$S$36:$U$43,2,FALSE)))))</f>
        <v/>
      </c>
      <c r="AY249" s="88" t="str">
        <f t="shared" si="507"/>
        <v/>
      </c>
      <c r="AZ249" s="270" t="str">
        <f>IFERROR(IF(F249="", "", IF(W249="LED Exit Signs", 1, IF(AV249="Applicant",VLOOKUP(AW249, 'Lookup Tables'!$S$36:$U$43,3, FALSE), VLOOKUP('Lighting Inventory'!F249, 'Lookup Tables'!$A$6:$H$59, IF('Lighting Inventory'!AB249="General",7,4), FALSE)))), "")</f>
        <v/>
      </c>
      <c r="BA249" s="522" t="str">
        <f>IFERROR(IF(F249="", "", IF(W249="LED Exit Signs", 1, VLOOKUP('Lighting Inventory'!F249, 'Lookup Tables'!$A$6:$H$59, IF('Lighting Inventory'!AB249="General",8,5), FALSE))), "")</f>
        <v/>
      </c>
      <c r="BB249" s="270" t="str">
        <f>IF(G249="", "", IF(E249="Exterior", 0, IF('Lighting Inventory'!G249="Air Conditioned", VLOOKUP(H249, 'Lookup Tables'!$R$6:$T$13, 2, FALSE), VLOOKUP('Lighting Inventory'!G249, 'Lookup Tables'!$R$6:$T$13, 2, FALSE))))</f>
        <v/>
      </c>
      <c r="BC249" s="522" t="str">
        <f>IF(G249="", "", IF(E249="Exterior", 0, IF('Lighting Inventory'!G249="Air Conditioned", VLOOKUP(H249, 'Lookup Tables'!$R$6:$T$13, 3, FALSE), VLOOKUP('Lighting Inventory'!G249, 'Lookup Tables'!$R$6:$T$13, 3, FALSE))))</f>
        <v/>
      </c>
      <c r="BD249" s="270" t="str">
        <f>IF(G249="", "", IF(E249="Exterior", 0, IF('Lighting Inventory'!G249="Air Conditioned", VLOOKUP(H249, 'Lookup Tables'!$R$6:$U$13, 4, FALSE), VLOOKUP('Lighting Inventory'!G249, 'Lookup Tables'!$R$6:$U$13, 4, FALSE))))</f>
        <v/>
      </c>
      <c r="BE249" s="270" t="str">
        <f>IFERROR(IF(B249="", "",  IF(B249="New Construction", VLOOKUP(F249, 'Lookup Tables'!$A$6:$K$59, 11, FALSE),IF(OR(AN249="", AN249="Light Switch"), 0, IF(OR(M249="",M249="None",V249= "LED Exit Signs"),0,_xlfn.XLOOKUP(M249,'Lookup Tables'!$R$91:$R$101,'Lookup Tables'!$V$91:$V$101))))), "")</f>
        <v/>
      </c>
      <c r="BF249" s="270" t="str">
        <f>IF(AND(OR(AN249="Light Switch",AN249=""),B249="New Construction"), VLOOKUP(F249, 'Lookup Tables'!$A$6:$K$59, 11, FALSE),IF(AN249="","",IF(B249="","",IF(OR(AN249="None",AN249="",V249="LED Exit Signs",AN249="Exterior Controls Not Eligible"),0,_xlfn.XLOOKUP(AN249,'Lookup Tables'!$R$91:$R$101,'Lookup Tables'!$V$91:$V$101)))))</f>
        <v/>
      </c>
      <c r="BG249" s="88" t="str">
        <f t="shared" si="559"/>
        <v/>
      </c>
      <c r="BH249" s="88" t="str">
        <f t="shared" si="560"/>
        <v/>
      </c>
      <c r="BI249" s="558" t="str">
        <f t="shared" si="604"/>
        <v/>
      </c>
      <c r="BJ249" s="82" t="str">
        <f t="shared" si="561"/>
        <v/>
      </c>
      <c r="BK249" s="82" t="str">
        <f t="shared" si="562"/>
        <v/>
      </c>
      <c r="BL249" s="559" t="str">
        <f t="shared" si="563"/>
        <v/>
      </c>
      <c r="BM249" s="521" t="str">
        <f t="shared" si="508"/>
        <v/>
      </c>
      <c r="BN249" s="521" t="str">
        <f t="shared" si="509"/>
        <v/>
      </c>
      <c r="BO249" s="522" t="str">
        <f t="shared" si="510"/>
        <v/>
      </c>
      <c r="BP249" s="83" t="str">
        <f t="shared" si="564"/>
        <v/>
      </c>
      <c r="BQ249" s="84" t="str">
        <f t="shared" si="565"/>
        <v/>
      </c>
      <c r="BR249" s="184" t="str">
        <f>IFERROR(IF(B249="", "", IF(OR(VLOOKUP(J249, 'Fixture Identities'!$A$6:$L$1023, 3, FALSE)="T12 Linear Fluorescent",VLOOKUP(J249, 'Fixture Identities'!$A$6:$L$1023, 3, FALSE)="T12 U-Tube Fluorescent"), "Y", "N")), "N")</f>
        <v/>
      </c>
      <c r="BS249" s="184" t="str">
        <f t="array" ref="BS249">IFERROR(IF(OR(B249="", V249="", W249=""), "", IF(V249="Custom", "N", IF(OR(W249="Freezer Case Lighting", W249="Refrigerated Case Lighting with Doors"), BT249, IF(B249="Retrofit", INDEX('Lookup Tables'!$AH$6:$AT$102,MATCH(1,('Lookup Tables'!$AH$6:$AH$102=V249)*('Lookup Tables'!$AI$6:$AI$102=W249),FALSE),IF(VLOOKUP(J249, 'Fixture Identities'!$A$6:$B$1023, 2, FALSE)="Incandescent",12, 13)), INDEX('Lookup Tables'!$AH$114:$AS$154,MATCH(1,('Lookup Tables'!$AH$114:$AH$154=V249)*('Lookup Tables'!$AI$114:$AI$154=W249),FALSE),12))))), "N")</f>
        <v/>
      </c>
      <c r="BT249" s="184" t="str">
        <f>IF(J249="", "", IF(AND(OR(W249="Freezer case Lighting", W249="Refrigerated Case Lighting with Doors"),'General Information'!$X$18="LCI"), "N", IF(OR(VLOOKUP(J249, 'Fixture Identities'!$A$6:$B$1023, 2, FALSE)="T12 EPACT/EISA Baseline", VLOOKUP(J249, 'Fixture Identities'!$A$6:$B$1023, 2, FALSE)="Linear Fluorescent", VLOOKUP(J249, 'Fixture Identities'!$A$6:$B$1023, 2, FALSE)="U-Tube Fluorescent"), "Y", "N")))</f>
        <v/>
      </c>
      <c r="BU249" s="184" t="str">
        <f>IFERROR(IF(B249="", "", IF(VLOOKUP(J249, 'Fixture Identities'!$A$6:$B$1023, 2, FALSE)="Exit Sign", "Y", "N")), "N")</f>
        <v/>
      </c>
      <c r="BV249" s="184" t="str">
        <f>IF(V249="Exit Signs", IF(VLOOKUP(J249, 'Fixture Identities'!$A$6:$B$1023, 2, FALSE)="Exit Sign", "N", "Y"), "")</f>
        <v/>
      </c>
      <c r="BW249" s="184" t="str">
        <f t="array" ref="BW249">IFERROR(IF(B249="", "", IF(B249="New Construction", "N", INDEX('Lookup Tables'!$AH$6:$AU$102, MATCH(1, ('Lookup Tables'!$AH$6:$AH$102='Lighting Inventory'!V249)*('Lookup Tables'!$AI$6:$AI$102='Lighting Inventory'!W249), 0), 14))), "N")</f>
        <v/>
      </c>
      <c r="BX249" s="598" t="str">
        <f t="shared" si="566"/>
        <v/>
      </c>
      <c r="BY249" s="598" t="str">
        <f t="shared" si="567"/>
        <v/>
      </c>
      <c r="BZ249" s="598" t="str">
        <f t="shared" si="568"/>
        <v/>
      </c>
      <c r="CA249" s="598" t="str">
        <f t="shared" si="569"/>
        <v/>
      </c>
      <c r="CB249" s="269" t="str">
        <f t="shared" si="570"/>
        <v/>
      </c>
      <c r="CC249" s="517" t="str">
        <f t="shared" si="571"/>
        <v/>
      </c>
      <c r="CD249" s="565" t="str">
        <f t="shared" si="511"/>
        <v/>
      </c>
      <c r="CE249" s="368">
        <v>0</v>
      </c>
      <c r="CF249" s="368" t="str" cm="1">
        <f t="array" ref="CF249">IFERROR(IF(V249="Custom", "$0.1 per kWh", IF(B249="New Construction", CONCATENATE("$",INDEX('Lookup Tables'!$AH$114:$AN$154,MATCH(1,('Lookup Tables'!$AH$114:$AH$154='Lighting Inventory'!V249)*('Lookup Tables'!$AI$114:$AI$154='Lighting Inventory'!W249),FALSE),6)," ",INDEX('Lookup Tables'!$AH$114:$AN$154,MATCH(1,('Lookup Tables'!$AH$114:$AH$154='Lighting Inventory'!V249)*('Lookup Tables'!$AI$114:$AI$154='Lighting Inventory'!W249),FALSE),7)), IF(AND(BU249="N", V249="Exit Signs"), "$0.025 per kWh", CONCATENATE("$",INDEX('Lookup Tables'!$AH$6:$AN$102,MATCH(1,('Lookup Tables'!$AH$6:$AH$102='Lighting Inventory'!V249)*('Lookup Tables'!$AI$6:$AI$102='Lighting Inventory'!W249),FALSE),6)," ",INDEX('Lookup Tables'!$AH$6:$AN$102,MATCH(1,('Lookup Tables'!$AH$6:$AH$102='Lighting Inventory'!V249)*('Lookup Tables'!$AI$6:$AI$102='Lighting Inventory'!W249),FALSE),7))))), "")</f>
        <v/>
      </c>
      <c r="CG249" s="366"/>
      <c r="CH249" s="248" t="str">
        <f t="shared" si="512"/>
        <v/>
      </c>
      <c r="CI249" s="248" t="str">
        <f t="shared" si="513"/>
        <v>Select_IE</v>
      </c>
      <c r="CJ249" s="248" t="str">
        <f t="shared" si="514"/>
        <v/>
      </c>
      <c r="CK249" s="248" t="str">
        <f t="shared" si="515"/>
        <v/>
      </c>
      <c r="CL249" s="248" t="str">
        <f t="shared" si="516"/>
        <v/>
      </c>
      <c r="CM249" s="248" t="str">
        <f>IFERROR(IF(B249="", "", IF(B249="New Construction", VLOOKUP(V249, 'Lookup Tables'!$AF$114:$AG$120, 2, FALSE), VLOOKUP(V249, 'Lookup Tables'!$AD$6:$AE$25, 2, FALSE))), "")</f>
        <v/>
      </c>
      <c r="CN249" s="248" t="str">
        <f t="shared" si="517"/>
        <v/>
      </c>
      <c r="CO249" s="248" t="str">
        <f t="shared" si="518"/>
        <v/>
      </c>
      <c r="CP249" s="592" t="str">
        <f t="shared" si="519"/>
        <v/>
      </c>
      <c r="CQ249" s="248" t="str">
        <f t="shared" si="572"/>
        <v/>
      </c>
      <c r="CR249" s="100"/>
      <c r="CS249" s="250" t="str">
        <f t="shared" si="520"/>
        <v/>
      </c>
      <c r="CT249" s="250" t="str">
        <f t="shared" si="573"/>
        <v/>
      </c>
      <c r="CU249" s="250" t="str">
        <f t="shared" si="574"/>
        <v/>
      </c>
      <c r="CV249" s="250" t="str">
        <f t="shared" si="575"/>
        <v/>
      </c>
      <c r="CW249" s="250" t="str">
        <f t="shared" si="576"/>
        <v/>
      </c>
      <c r="CX249" s="250" t="str">
        <f t="shared" si="521"/>
        <v/>
      </c>
      <c r="CY249" s="250" t="str">
        <f t="shared" si="522"/>
        <v/>
      </c>
      <c r="CZ249" s="250" t="str">
        <f t="shared" si="523"/>
        <v/>
      </c>
      <c r="DA249" s="250" t="str">
        <f t="shared" si="524"/>
        <v/>
      </c>
      <c r="DB249" s="250" t="str">
        <f t="shared" si="525"/>
        <v/>
      </c>
      <c r="DC249" s="250" t="str">
        <f t="shared" si="526"/>
        <v/>
      </c>
      <c r="DD249" s="250" t="str">
        <f t="shared" si="527"/>
        <v/>
      </c>
      <c r="DE249" s="250" t="str">
        <f t="shared" si="528"/>
        <v/>
      </c>
      <c r="DF249" s="250" t="str">
        <f t="shared" si="529"/>
        <v/>
      </c>
      <c r="DG249" s="250" t="str">
        <f t="shared" si="530"/>
        <v/>
      </c>
      <c r="DH249" s="250" t="str">
        <f t="shared" si="531"/>
        <v/>
      </c>
      <c r="DI249" s="250" t="str">
        <f t="shared" si="532"/>
        <v/>
      </c>
      <c r="DJ249" s="250" t="str">
        <f t="shared" si="533"/>
        <v/>
      </c>
      <c r="DK249" s="250" t="str">
        <f t="shared" si="534"/>
        <v/>
      </c>
      <c r="DL249" s="250" t="str">
        <f t="shared" si="535"/>
        <v/>
      </c>
      <c r="DM249" s="250" t="str">
        <f>IF(CD249="ERROR", "ERROR", IF(AND(OR(Y249=$DM$6, Y249='Lookup Tables'!$AD$21, Y249='Lookup Tables'!$AD$22), E249="Interior"), BJ249, ""))</f>
        <v/>
      </c>
      <c r="DN249" s="250" t="str">
        <f>IF(CD249="ERROR", "ERROR", IF(AND(OR(Y249=$DM$6, Y249='Lookup Tables'!$AD$21, Y249='Lookup Tables'!$AD$22), E249="Exterior"), BJ249, ""))</f>
        <v/>
      </c>
      <c r="DO249" s="100"/>
      <c r="DP249" s="250" t="str">
        <f t="shared" si="536"/>
        <v/>
      </c>
      <c r="DQ249" s="250" t="str">
        <f t="shared" si="577"/>
        <v/>
      </c>
      <c r="DR249" s="250" t="str">
        <f t="shared" si="578"/>
        <v/>
      </c>
      <c r="DS249" s="250" t="str">
        <f t="shared" si="579"/>
        <v/>
      </c>
      <c r="DT249" s="250" t="str">
        <f t="shared" si="580"/>
        <v/>
      </c>
      <c r="DU249" s="250" t="str">
        <f t="shared" si="537"/>
        <v/>
      </c>
      <c r="DV249" s="250" t="str">
        <f t="shared" si="538"/>
        <v/>
      </c>
      <c r="DW249" s="250" t="str">
        <f t="shared" si="539"/>
        <v/>
      </c>
      <c r="DX249" s="250" t="str">
        <f t="shared" si="540"/>
        <v/>
      </c>
      <c r="DY249" s="250" t="str">
        <f t="shared" si="541"/>
        <v/>
      </c>
      <c r="DZ249" s="250" t="str">
        <f t="shared" si="542"/>
        <v/>
      </c>
      <c r="EA249" s="250" t="str">
        <f t="shared" si="543"/>
        <v/>
      </c>
      <c r="EB249" s="250" t="str">
        <f t="shared" si="581"/>
        <v/>
      </c>
      <c r="EC249" s="250" t="str">
        <f t="shared" si="544"/>
        <v/>
      </c>
      <c r="ED249" s="250" t="str">
        <f t="shared" si="545"/>
        <v/>
      </c>
      <c r="EE249" s="250" t="str">
        <f t="shared" si="546"/>
        <v/>
      </c>
      <c r="EF249" s="250" t="str">
        <f t="shared" si="547"/>
        <v/>
      </c>
      <c r="EG249" s="250" t="str">
        <f t="shared" si="548"/>
        <v/>
      </c>
      <c r="EH249" s="250" t="str">
        <f>IF(CD249="ERROR", "ERROR", IF(AND(OR($EH$6=Y249, Y249='Lookup Tables'!$AD$21, Y249='Lookup Tables'!$AD$22),E249="Interior"), SUM(BP249:BP249), ""))</f>
        <v/>
      </c>
      <c r="EI249" s="250" t="str">
        <f>IF(CD249="ERROR", "ERROR", IF(AND(OR($EH$6=Y249, Y249='Lookup Tables'!$AD$21, Y249='Lookup Tables'!$AD$22),E249="Exterior"), SUM(BP249:BP249), ""))</f>
        <v/>
      </c>
      <c r="EJ249" s="109"/>
      <c r="EK249" s="485" t="str">
        <f t="shared" si="549"/>
        <v/>
      </c>
      <c r="EL249" s="252" t="str">
        <f t="shared" si="582"/>
        <v/>
      </c>
      <c r="EM249" s="252" t="str">
        <f t="shared" si="583"/>
        <v/>
      </c>
      <c r="EN249" s="252" t="str">
        <f t="shared" si="584"/>
        <v/>
      </c>
      <c r="EO249" s="252" t="str">
        <f t="shared" si="585"/>
        <v/>
      </c>
      <c r="EP249" s="252" t="str">
        <f t="shared" si="586"/>
        <v/>
      </c>
      <c r="EQ249" s="252" t="str">
        <f t="shared" si="587"/>
        <v/>
      </c>
      <c r="ER249" s="252" t="str">
        <f t="shared" si="588"/>
        <v/>
      </c>
      <c r="ES249" s="252" t="str">
        <f t="shared" si="589"/>
        <v/>
      </c>
      <c r="ET249" s="252" t="str">
        <f t="shared" si="590"/>
        <v/>
      </c>
      <c r="EU249" s="252" t="str">
        <f t="shared" si="591"/>
        <v/>
      </c>
      <c r="EV249" s="252" t="str">
        <f t="shared" si="592"/>
        <v/>
      </c>
      <c r="EW249" s="252" t="str">
        <f t="shared" si="593"/>
        <v/>
      </c>
      <c r="EX249" s="252" t="str">
        <f t="shared" si="594"/>
        <v/>
      </c>
      <c r="EY249" s="252" t="str">
        <f t="shared" si="595"/>
        <v/>
      </c>
      <c r="EZ249" s="252" t="str">
        <f t="shared" si="596"/>
        <v/>
      </c>
      <c r="FA249" s="252" t="str">
        <f t="shared" si="597"/>
        <v/>
      </c>
      <c r="FB249" s="252" t="str">
        <f t="shared" si="598"/>
        <v/>
      </c>
      <c r="FC249" s="252" t="str">
        <f>IF(CD249="ERROR", "ERROR", IF(OR(V249="No Change", V249="Not DLC or Energy Star"), "", IF(AND(OR($FC$6=Y249,Y249='Lookup Tables'!$AD$21, Y249='Lookup Tables'!$AD$22),E249="Interior"), S249, "")))</f>
        <v/>
      </c>
      <c r="FD249" s="252" t="str">
        <f t="shared" si="599"/>
        <v/>
      </c>
      <c r="FE249" s="101"/>
      <c r="FF249" s="579" t="str" cm="1">
        <f t="array" ref="FF249">IFERROR(IF(OR(BQ249&lt;=0,AQ249&lt;20,AND(V249="Exit Signs",AN249&gt;0)),"",IF(AND(AQ249&gt;=20,AN249='Lookup Tables'!$R$101),'Lookup Tables'!$U$101*BQ249,AP249*LOOKUP(2,1/((AN249='Lookup Tables'!$R$91:$R$111)*(AQ249&gt;='Lookup Tables'!$S$91:$S$111)*(AQ249&lt;='Lookup Tables'!$T$91:$T$111)),'Lookup Tables'!$U$91:$U$111))),"")</f>
        <v/>
      </c>
      <c r="FG249" s="579"/>
      <c r="FH249" s="579"/>
      <c r="FI249" s="253" t="str">
        <f>IFERROR(ROUND(IF(CD249="ERROR", "ERROR", IF(AND($FI$7=X249,E249="Interior"),VLOOKUP(W249, 'Lookup Tables'!$AI$6:$AM$102, 5, FALSE)*BP249, "")), 2), "")</f>
        <v/>
      </c>
      <c r="FJ249" s="253" t="str">
        <f>IFERROR(ROUND(IF(CD249="ERROR", "ERROR", IF(AND($FI$7=X249,E249="Exterior"),VLOOKUP(W249, 'Lookup Tables'!$AI$6:$AM$102, 5, FALSE)*BP249, "")), 2), "")</f>
        <v/>
      </c>
      <c r="FK249" s="253" t="str">
        <f>IFERROR(ROUND(IF(CD249="ERROR", "ERROR", IF(AND($FK$7=X249,E249="Interior"),VLOOKUP(W249, 'Lookup Tables'!$AI$6:$AM$102, 5, FALSE)*BP249, "")), 2), "")</f>
        <v/>
      </c>
      <c r="FL249" s="253" t="str">
        <f>IFERROR(ROUND(IF(CD249="ERROR", "ERROR", IF(AND($FK$7=X249,E249="Exterior"),VLOOKUP(W249, 'Lookup Tables'!$AI$6:$AM$102, 5, FALSE)*BP249, "")), 2), "")</f>
        <v/>
      </c>
      <c r="FM249" s="253" t="str">
        <f>IFERROR(ROUND(IF(CD249="ERROR", "ERROR", IF(AND($FM$6=Y249,E249="Interior"), IF(GB249=0, VLOOKUP(W249, 'Lookup Tables'!$AI$6:$AM$102, 5, FALSE)*BP249, IF(VLOOKUP(W249, 'Lookup Tables'!$AI$6:$AM$102, 5, FALSE)*BP249&gt;GB249*'Lighting Inventory'!S249, GB249*'Lighting Inventory'!S249,VLOOKUP(W249, 'Lookup Tables'!$AI$6:$AM$102, 5, FALSE)*BP249)), "")), 2), "")</f>
        <v/>
      </c>
      <c r="FN249" s="253" t="str">
        <f>IFERROR(ROUND(IF(CD249="ERROR", "ERROR", IF(AND($FM$6=Y249,E249="Exterior"), IF(GB249=0, VLOOKUP(W249, 'Lookup Tables'!$AI$6:$AM$102, 5, FALSE)*BP249, IF(VLOOKUP(W249, 'Lookup Tables'!$AI$6:$AM$102, 5, FALSE)*BP249&gt;GB249*'Lighting Inventory'!S249, GB249*'Lighting Inventory'!S249,VLOOKUP(W249, 'Lookup Tables'!$AI$6:$AM$102, 5, FALSE)*BP249)), "")), 2), "")</f>
        <v/>
      </c>
      <c r="FO249" s="253" t="str">
        <f>IFERROR(ROUND(IF(CD249="ERROR", "ERROR", IF(AND($FO$6=Y249,E249="Interior"),VLOOKUP(W249, 'Lookup Tables'!$AI$6:$AM$102, 5, FALSE)*'Lighting Inventory'!AI249, "")), 2), "")</f>
        <v/>
      </c>
      <c r="FP249" s="253" t="str">
        <f>IFERROR(ROUND(IF(CD249="ERROR", "ERROR", IF(AND($FO$6=Y249,E249="Exterior"),VLOOKUP(W249, 'Lookup Tables'!$AI$6:$AM$102, 5, FALSE)*'Lighting Inventory'!AI249, "")), 2), "")</f>
        <v/>
      </c>
      <c r="FQ249" s="253" t="str">
        <f>IFERROR(ROUND(IF(CD249="ERROR", "ERROR", IF(AND($FQ$6=Y249,E249="Interior", BU249="Y"), VLOOKUP('Lighting Inventory'!W249, 'Lookup Tables'!$AI$6:$AM$102, 5, FALSE)*'Lighting Inventory'!S249, IF(AND($FQ$7=Y249,E249="Interior", BU249="N"), 0.025*CD249, ""))), 2), "")</f>
        <v/>
      </c>
      <c r="FR249" s="253" t="str">
        <f>IFERROR(ROUND(IF(CD249="ERROR", "ERROR", IF(AND($FQ$6=Y249,E249="Exterior"), VLOOKUP('Lighting Inventory'!W249, 'Lookup Tables'!$AI$6:$AM$102, 5, FALSE)*'Lighting Inventory'!S249, "")), 2), "")</f>
        <v/>
      </c>
      <c r="FS249" s="253" t="str">
        <f>IFERROR(ROUND(IF(CD249="ERROR", "ERROR", IF(AND($FS$6=Y249,E249="Exterior"), IF(GB249=0, VLOOKUP(W249, 'Lookup Tables'!$AI$6:$AM$102, 5, FALSE)*BP249, IF(VLOOKUP(W249, 'Lookup Tables'!$AI$6:$AM$102, 5, FALSE)*BP249&gt;GB249*'Lighting Inventory'!S249, GB249*'Lighting Inventory'!S249,VLOOKUP(W249, 'Lookup Tables'!$AI$6:$AM$102, 5, FALSE)*BP249)), "")), 2), "")</f>
        <v/>
      </c>
      <c r="FT249" s="253" t="str">
        <f>IFERROR(ROUND(IF(CD249="ERROR", "ERROR", IF(AND($FT$6=Y249,E249="Interior"), IF(GB249=0, VLOOKUP(W249, 'Lookup Tables'!$AI$6:$AM$102, 5, FALSE)*BP249, IF(VLOOKUP(W249, 'Lookup Tables'!$AI$6:$AM$102, 5, FALSE)*BP249&gt;GB249*'Lighting Inventory'!S249, GB249*'Lighting Inventory'!S249,VLOOKUP(W249, 'Lookup Tables'!$AI$6:$AM$102, 5, FALSE)*BP249)), "")), 2), "")</f>
        <v/>
      </c>
      <c r="FU249" s="253" t="str">
        <f>IFERROR(ROUND(IF(CD249="ERROR", "ERROR", IF(AND(Y249=$FU$6, E249="Interior"), IF(BS249="N", 'Lookup Tables'!$AM$101*BP249, VLOOKUP(W249, 'Lookup Tables'!$AI$6:$AM$102, 5, FALSE)*S249*AD249), "")), 2), "")</f>
        <v/>
      </c>
      <c r="FV249" s="253" t="str">
        <f>IFERROR(ROUND(IF(CD249="ERROR", "ERROR", IF(AND(Y249=$FU$6, E249="Exterior"), IF(BS249="N", 'Lookup Tables'!$AM$101*BP249, VLOOKUP(W249, 'Lookup Tables'!$AI$6:$AM$102, 5, FALSE)*S249*AD249), "")), 2), "")</f>
        <v/>
      </c>
      <c r="FW249" s="253" t="str">
        <f>IFERROR(ROUND(IF(CD249="ERROR", "ERROR", IF($FW$6=Y249, IF(BS249="N", 'Lookup Tables'!$AM$101*BP249, MIN((VLOOKUP(W249, 'Lookup Tables'!$AI$6:$AM$102, 5, FALSE)*BP249),GB249*AJ249)), "")), 2), "")</f>
        <v/>
      </c>
      <c r="FX249" s="253" t="str">
        <f>IFERROR(ROUND(IF(CD249="ERROR", "ERROR", IF(AND($FX$6=Y249, E249="Interior"), IF(VLOOKUP(W249, 'Lookup Tables'!$AI$6:$AM$102, 5, FALSE)*BP249&gt;'Lookup Tables'!$AQ$97*'Lighting Inventory'!S249,'Lighting Inventory'!S249*'Lookup Tables'!$AQ$97,VLOOKUP(W249, 'Lookup Tables'!$AI$6:$AM$102, 5, FALSE)*BP249), "")), 2), "")</f>
        <v/>
      </c>
      <c r="FY249" s="253" t="str">
        <f>IFERROR(ROUND(IF(CD249="ERROR", "ERROR", IF(AND($FX$6=Y249, E249="Exterior"), IF(VLOOKUP(W249, 'Lookup Tables'!$AI$6:$AM$102, 5, FALSE)*BP249&gt;'Lookup Tables'!$AQ$97*'Lighting Inventory'!S249,'Lighting Inventory'!S249*'Lookup Tables'!$AQ$97,VLOOKUP(W249, 'Lookup Tables'!$AI$6:$AM$102, 5, FALSE)*BP249), "")), 2), "")</f>
        <v/>
      </c>
      <c r="FZ249" s="253" t="str">
        <f>IFERROR(ROUND(IF(CD249="ERROR", "ERROR", IF(AND($FZ$6=Y249, E249="Interior"), IF(AND(OR(W249="Refrigerated Case Lighting with Doors", W249="Freezer Case Lighting"),Y249="Custom - Process Improvement"),CD249*'Lookup Tables'!$AM$101, IF(B249="Retrofit", IF(VLOOKUP(IF(V249="Custom", V249, W249), 'Lookup Tables'!$AI$6:$AM$102, 5, FALSE)*BP249&gt;GE249, GE249, VLOOKUP(IF(V249="Custom", V249, W249), 'Lookup Tables'!$AI$6:$AM$102, 5, FALSE)*BP249), IF(VLOOKUP(IF(V249="Custom", V249, W249), 'Lookup Tables'!$AI$114:$AM$154, 5, FALSE)*BP249&gt;GE249, GE249, VLOOKUP(IF(V249="Custom", V249, W249), 'Lookup Tables'!$AI$114:$AM$154, 5, FALSE)*BP249))), "")), 2),"")</f>
        <v/>
      </c>
      <c r="GA249" s="253" t="str">
        <f>IFERROR(ROUND(IF(CD249="ERROR", "ERROR", IF(AND($FZ$6=Y249, E249="Exterior"), IF(B249="Retrofit", IF(VLOOKUP(IF(V249="Custom", V249, W249), 'Lookup Tables'!$AI$6:$AM$102, 5, FALSE)*BP249&gt;GE249, GE249, VLOOKUP(IF(V249="Custom", V249, W249), 'Lookup Tables'!$AI$6:$AM$102, 5, FALSE)*BP249), IF(VLOOKUP(IF(V249="Custom", V249, W249), 'Lookup Tables'!$AI$114:$AM$154, 5, FALSE)*BP249&gt;GE249, GE249, VLOOKUP(IF(V249="Custom", V249, W249), 'Lookup Tables'!$AI$114:$AM$154, 5, FALSE)*BP249)), "")), 2),"")</f>
        <v/>
      </c>
      <c r="GB249" s="254" t="str">
        <f t="array" ref="GB249">IF(B249="","",IF(OR(V249="Custom",V249="No Change"),0,IF(B249="Retrofit", INDEX('Lookup Tables'!$AH$6:$AQ$102,MATCH(1,('Lookup Tables'!$AH$6:$AH$102='Lighting Inventory'!V249)*('Lookup Tables'!$AI$6:$AI$102='Lighting Inventory'!W249),FALSE),10),INDEX('Lookup Tables'!$AH$114:$AQ$154,MATCH(1,('Lookup Tables'!$AH$114:$AH$154='Lighting Inventory'!V249)*('Lookup Tables'!$AI$114:$AI$154='Lighting Inventory'!W249),FALSE),10))))</f>
        <v/>
      </c>
      <c r="GC249" s="255" t="str">
        <f t="shared" si="550"/>
        <v/>
      </c>
      <c r="GD249" s="250" t="str">
        <f t="shared" si="551"/>
        <v/>
      </c>
      <c r="GE249" s="253" t="str">
        <f>IFERROR(IF(AND(AF249="", 'General Information'!$F$18="No"),"", IF(AF249="", ((GD249/$CD$266)*$CF$266)*0.5, AF249*S249*0.5)), "")</f>
        <v/>
      </c>
      <c r="GF249" s="255" t="str">
        <f>IF(AND('General Information'!$F$19="", 'General Information'!$F$18="Yes",AF249="",BW249="Y"), "Y", "N")</f>
        <v>N</v>
      </c>
      <c r="GG249" s="255" t="s">
        <v>2946</v>
      </c>
      <c r="GH249" s="255" t="str">
        <f>IFERROR(IF(B249="", "", VLOOKUP(J249, 'Fixture Identities'!$A$6:$N$908, 14, FALSE)), "")</f>
        <v/>
      </c>
      <c r="GI249" s="389" t="str">
        <f>IF(OR(B249="", V249="", W249=""), "", IF(AND(OR(M249='Lookup Tables'!$R$18, M249='Lookup Tables'!$R$19, M249='Lookup Tables'!$R$20, M249='Lookup Tables'!$R$21, M249='Lookup Tables'!$R$22), OR(AN249='Lookup Tables'!$R$17, AN249='Lookup Tables'!$R$17, AN249="")), "Y", "N"))</f>
        <v/>
      </c>
      <c r="GJ249" s="255" t="str">
        <f t="shared" si="552"/>
        <v/>
      </c>
      <c r="GK249" s="255" t="str">
        <f t="shared" si="553"/>
        <v/>
      </c>
      <c r="GL249" s="255" t="str">
        <f t="shared" si="554"/>
        <v/>
      </c>
      <c r="GM249" s="255" t="str">
        <f>IF(AN249="", "", IF(AND(IF(ISNA(VLOOKUP(AN249,'Lookup Tables'!$R$18:$R$22,1,FALSE)), "N", "Y")="Y", E249="Exterior"), "Y", "N"))</f>
        <v/>
      </c>
      <c r="GN249" s="395"/>
      <c r="GO249" s="428">
        <f t="shared" si="600"/>
        <v>0</v>
      </c>
      <c r="GP249" s="428">
        <f t="shared" si="603"/>
        <v>0</v>
      </c>
      <c r="GQ249" s="428">
        <f t="shared" si="601"/>
        <v>0</v>
      </c>
      <c r="GR249" s="428">
        <f t="shared" si="602"/>
        <v>0</v>
      </c>
    </row>
    <row r="250" spans="1:200" s="103" customFormat="1" ht="13.5" customHeight="1" x14ac:dyDescent="0.2">
      <c r="A250" s="272">
        <v>240</v>
      </c>
      <c r="B250" s="110"/>
      <c r="C250" s="110"/>
      <c r="D250" s="110"/>
      <c r="E250" s="110"/>
      <c r="F250" s="110"/>
      <c r="G250" s="110"/>
      <c r="H250" s="110"/>
      <c r="I250" s="29"/>
      <c r="J250" s="29"/>
      <c r="K250" s="272" t="str">
        <f>IFERROR(IF(OR(VLOOKUP(J250, 'Fixture Identities'!$A$6:$L$1023, 3, FALSE)="T12 Linear Fluorescent", VLOOKUP(J250, 'Fixture Identities'!$A$6:$L$1023, 3, FALSE)="T12 U-Tube Fluorescent"), VLOOKUP(VLOOKUP(J250, 'Fixture Identities'!$A$6:$L$1023, 11, FALSE), 'Fixture Identities'!$A$6:$L$1023, 10, FALSE), VLOOKUP(J250, 'Fixture Identities'!$A$6:$L$1023, 10, FALSE)), "")</f>
        <v/>
      </c>
      <c r="L250" s="270" t="str">
        <f t="shared" si="605"/>
        <v/>
      </c>
      <c r="M250" s="110"/>
      <c r="N250" s="110"/>
      <c r="O250" s="110"/>
      <c r="P250" s="272" t="str">
        <f>IFERROR(IF(OR(B250="Retrofit",B250=""),"",IF('Lighting Inventory'!E250="Exterior",VLOOKUP('Lighting Inventory'!N250,'Lookup Tables'!$B$83:$F$103,5,FALSE),IF(N250="Other - Please Estimate EFLH and CFs","Contact Prog. Rep.","ft^2"))), "")</f>
        <v/>
      </c>
      <c r="Q250" s="270" t="str">
        <f>IFERROR(IF(AND(B250="New Construction",E250="Interior",$F$5="Space-by-Space"),VLOOKUP('Lighting Inventory'!N250,'Lookup Tables'!$N$6:$O$97,2,FALSE),IF(AND(B250="New Construction",E250="Exterior"),VLOOKUP(N250,'Lookup Tables'!$B$83:$F$103,2,FALSE),IF(AND(B250="New Construction",'Lighting Inventory'!E250="Interior", $F$5="Building Area"),VLOOKUP(F250,'Lookup Tables'!$A$6:$J$59,10,FALSE),""))), "")</f>
        <v/>
      </c>
      <c r="R250" s="270" t="str">
        <f>IFERROR(IF(P250="Contact Prog. Rep.", "ERROR", IF(OR(B250="",B250="Retrofit"),"",IF(N250="Automated teller machines", ('Lookup Tables'!$A$82:$E$100+('Lighting Inventory'!O250-1)*'Lookup Tables'!$A$82:$E$100)/1000, (Q250*O250)/1000))), "")</f>
        <v/>
      </c>
      <c r="S250" s="595"/>
      <c r="T250" s="105" t="str">
        <f t="shared" si="555"/>
        <v/>
      </c>
      <c r="U250" s="105" t="str">
        <f>IF(S250="","",COUNT($S$11:S250))</f>
        <v/>
      </c>
      <c r="V250" s="111"/>
      <c r="W250" s="112"/>
      <c r="X250" s="105" t="str">
        <f t="shared" si="556"/>
        <v/>
      </c>
      <c r="Y250" s="105" t="str">
        <f t="array" ref="Y250">IF(AND(OR(W250="Freezer Case Lighting", W250="Refrigerated Case Lighting with Doors"), 'General Information'!$X$18="LCI"),'Lookup Tables'!$Y$34, IF(V250="Custom", VLOOKUP(W250, 'Fixture Identities'!$A$974:$M$1023, 13, FALSE), IF(V250="No Change",'Lookup Tables'!$Y$29,IF(OR(V250="",W250=""),"",IF(AND(S250=0,S250&lt;I250,B250="Retrofit"),'Lookup Tables'!$Y$25, IF(B250="Retrofit", INDEX('Lookup Tables'!$AH$6:$AP$102, MATCH(1, ('Lookup Tables'!$AH$6:$AH$102=V250)*('Lookup Tables'!$AI$6:$AI$102=W250), 0), IF('Lighting Inventory'!E250="Interior", 4, 5)), INDEX('Lookup Tables'!$AH$114:$AP$154, MATCH(1, ('Lookup Tables'!$AH$114:$AH$154=V250)*('Lookup Tables'!$AI$114:$AI$154=W250), 0), IF('Lighting Inventory'!E250="Interior", 4, 5))))))))</f>
        <v/>
      </c>
      <c r="Z250" s="105" t="str">
        <f>IFERROR(INDEX('Lookup Tables'!$AH$158:$AH$172,MATCH('Lighting Inventory'!Y250,'Lookup Tables'!$AI$158:$AI$172,0)),"")</f>
        <v/>
      </c>
      <c r="AA250" s="105" t="str">
        <f>IF(AP250&gt;0,INDEX('Lookup Tables'!$AK$158:$AK$172,MATCH('Lighting Inventory'!Y250,'Lookup Tables'!$AI$158:$AI$172,0)),'Lighting Inventory'!Y250)</f>
        <v/>
      </c>
      <c r="AB250" s="105" t="str">
        <f t="array" ref="AB250">IF(V250="Custom", "Custom", IF(V250="", "", IF(V250="Not DLC or Energy Star", "General", IF(B250="New Construction", INDEX('Lookup Tables'!$AH$114:$AP$154,MATCH(1,('Lookup Tables'!$AH$114:$AH$154='Lighting Inventory'!V250)*('Lookup Tables'!$AI$114:$AI$154='Lighting Inventory'!W250),FALSE),8), INDEX('Lookup Tables'!$AH$6:$AP$102,MATCH(1,('Lookup Tables'!$AH$6:$AH$102='Lighting Inventory'!V250)*('Lookup Tables'!$AI$6:$AI$102='Lighting Inventory'!W250),FALSE),8)))))</f>
        <v/>
      </c>
      <c r="AC250" s="272" t="str">
        <f>IF(W250="","",IF(V250="Custom",CONCATENATE("$",'Lookup Tables'!$AM$101," ",'Lookup Tables'!$AN$101),CONCATENATE("$",INDEX('Lookup Tables'!$AM$6:$AM$102,MATCH('Lighting Inventory'!W250,'Lookup Tables'!$AI$6:$AI$102,0))," ",INDEX('Lookup Tables'!$AN$6:$AN$102,MATCH('Lighting Inventory'!W250,'Lookup Tables'!$AI$6:$AI$102,0)))))</f>
        <v/>
      </c>
      <c r="AD250" s="72"/>
      <c r="AE250" s="29"/>
      <c r="AF250" s="379"/>
      <c r="AG250" s="370" t="str">
        <f t="shared" si="504"/>
        <v/>
      </c>
      <c r="AH250" s="370" t="str">
        <f t="shared" si="557"/>
        <v/>
      </c>
      <c r="AI250" s="29"/>
      <c r="AJ250" s="29"/>
      <c r="AK250" s="110"/>
      <c r="AL250" s="375" t="str">
        <f>IF(OR(B250="", V250="", W250=""), "", IF(V250="No Change", K250, IF(V250="Remove Fixture", 0, IF(V250="Custom",VLOOKUP(W250,'Fixture Identities'!$A$6:$K$1023,10,FALSE),IF(AE250="", "← ENTER POST WATTS", 'Lighting Inventory'!AE250)))))</f>
        <v/>
      </c>
      <c r="AM250" s="376" t="str">
        <f t="shared" si="505"/>
        <v/>
      </c>
      <c r="AN250" s="29"/>
      <c r="AO250" s="671"/>
      <c r="AP250" s="29"/>
      <c r="AQ250" s="29"/>
      <c r="AR250" s="29"/>
      <c r="AS250" s="272" t="str">
        <f t="shared" si="558"/>
        <v/>
      </c>
      <c r="AT250" s="270" t="str">
        <f t="shared" si="506"/>
        <v/>
      </c>
      <c r="AU250" s="88" t="str">
        <f t="shared" si="606"/>
        <v/>
      </c>
      <c r="AV250" s="29"/>
      <c r="AW250" s="73"/>
      <c r="AX250" s="271" t="str">
        <f>IF(AND(AV250="Applicant",OR(AW250="", AW250="Use Default Facility Hours")),"← Choose Schedule",IF(F250="","",IF(W250="LED Exit Signs",8760,IF(OR(AV250="Prescribed",AV250=""),VLOOKUP(F250,'Lookup Tables'!$A$6:$G$59,IF(AB250="General", 6, 3),FALSE),VLOOKUP(AW250,'Lookup Tables'!$S$36:$U$43,2,FALSE)))))</f>
        <v/>
      </c>
      <c r="AY250" s="88" t="str">
        <f t="shared" si="507"/>
        <v/>
      </c>
      <c r="AZ250" s="270" t="str">
        <f>IFERROR(IF(F250="", "", IF(W250="LED Exit Signs", 1, IF(AV250="Applicant",VLOOKUP(AW250, 'Lookup Tables'!$S$36:$U$43,3, FALSE), VLOOKUP('Lighting Inventory'!F250, 'Lookup Tables'!$A$6:$H$59, IF('Lighting Inventory'!AB250="General",7,4), FALSE)))), "")</f>
        <v/>
      </c>
      <c r="BA250" s="522" t="str">
        <f>IFERROR(IF(F250="", "", IF(W250="LED Exit Signs", 1, VLOOKUP('Lighting Inventory'!F250, 'Lookup Tables'!$A$6:$H$59, IF('Lighting Inventory'!AB250="General",8,5), FALSE))), "")</f>
        <v/>
      </c>
      <c r="BB250" s="270" t="str">
        <f>IF(G250="", "", IF(E250="Exterior", 0, IF('Lighting Inventory'!G250="Air Conditioned", VLOOKUP(H250, 'Lookup Tables'!$R$6:$T$13, 2, FALSE), VLOOKUP('Lighting Inventory'!G250, 'Lookup Tables'!$R$6:$T$13, 2, FALSE))))</f>
        <v/>
      </c>
      <c r="BC250" s="522" t="str">
        <f>IF(G250="", "", IF(E250="Exterior", 0, IF('Lighting Inventory'!G250="Air Conditioned", VLOOKUP(H250, 'Lookup Tables'!$R$6:$T$13, 3, FALSE), VLOOKUP('Lighting Inventory'!G250, 'Lookup Tables'!$R$6:$T$13, 3, FALSE))))</f>
        <v/>
      </c>
      <c r="BD250" s="270" t="str">
        <f>IF(G250="", "", IF(E250="Exterior", 0, IF('Lighting Inventory'!G250="Air Conditioned", VLOOKUP(H250, 'Lookup Tables'!$R$6:$U$13, 4, FALSE), VLOOKUP('Lighting Inventory'!G250, 'Lookup Tables'!$R$6:$U$13, 4, FALSE))))</f>
        <v/>
      </c>
      <c r="BE250" s="270" t="str">
        <f>IFERROR(IF(B250="", "",  IF(B250="New Construction", VLOOKUP(F250, 'Lookup Tables'!$A$6:$K$59, 11, FALSE),IF(OR(AN250="", AN250="Light Switch"), 0, IF(OR(M250="",M250="None",V250= "LED Exit Signs"),0,_xlfn.XLOOKUP(M250,'Lookup Tables'!$R$91:$R$101,'Lookup Tables'!$V$91:$V$101))))), "")</f>
        <v/>
      </c>
      <c r="BF250" s="270" t="str">
        <f>IF(AND(OR(AN250="Light Switch",AN250=""),B250="New Construction"), VLOOKUP(F250, 'Lookup Tables'!$A$6:$K$59, 11, FALSE),IF(AN250="","",IF(B250="","",IF(OR(AN250="None",AN250="",V250="LED Exit Signs",AN250="Exterior Controls Not Eligible"),0,_xlfn.XLOOKUP(AN250,'Lookup Tables'!$R$91:$R$101,'Lookup Tables'!$V$91:$V$101)))))</f>
        <v/>
      </c>
      <c r="BG250" s="88" t="str">
        <f t="shared" si="559"/>
        <v/>
      </c>
      <c r="BH250" s="88" t="str">
        <f t="shared" si="560"/>
        <v/>
      </c>
      <c r="BI250" s="558" t="str">
        <f t="shared" si="604"/>
        <v/>
      </c>
      <c r="BJ250" s="82" t="str">
        <f t="shared" si="561"/>
        <v/>
      </c>
      <c r="BK250" s="82" t="str">
        <f t="shared" si="562"/>
        <v/>
      </c>
      <c r="BL250" s="559" t="str">
        <f t="shared" si="563"/>
        <v/>
      </c>
      <c r="BM250" s="521" t="str">
        <f t="shared" si="508"/>
        <v/>
      </c>
      <c r="BN250" s="521" t="str">
        <f t="shared" si="509"/>
        <v/>
      </c>
      <c r="BO250" s="522" t="str">
        <f t="shared" si="510"/>
        <v/>
      </c>
      <c r="BP250" s="83" t="str">
        <f t="shared" si="564"/>
        <v/>
      </c>
      <c r="BQ250" s="84" t="str">
        <f t="shared" si="565"/>
        <v/>
      </c>
      <c r="BR250" s="184" t="str">
        <f>IFERROR(IF(B250="", "", IF(OR(VLOOKUP(J250, 'Fixture Identities'!$A$6:$L$1023, 3, FALSE)="T12 Linear Fluorescent",VLOOKUP(J250, 'Fixture Identities'!$A$6:$L$1023, 3, FALSE)="T12 U-Tube Fluorescent"), "Y", "N")), "N")</f>
        <v/>
      </c>
      <c r="BS250" s="184" t="str">
        <f t="array" ref="BS250">IFERROR(IF(OR(B250="", V250="", W250=""), "", IF(V250="Custom", "N", IF(OR(W250="Freezer Case Lighting", W250="Refrigerated Case Lighting with Doors"), BT250, IF(B250="Retrofit", INDEX('Lookup Tables'!$AH$6:$AT$102,MATCH(1,('Lookup Tables'!$AH$6:$AH$102=V250)*('Lookup Tables'!$AI$6:$AI$102=W250),FALSE),IF(VLOOKUP(J250, 'Fixture Identities'!$A$6:$B$1023, 2, FALSE)="Incandescent",12, 13)), INDEX('Lookup Tables'!$AH$114:$AS$154,MATCH(1,('Lookup Tables'!$AH$114:$AH$154=V250)*('Lookup Tables'!$AI$114:$AI$154=W250),FALSE),12))))), "N")</f>
        <v/>
      </c>
      <c r="BT250" s="184" t="str">
        <f>IF(J250="", "", IF(AND(OR(W250="Freezer case Lighting", W250="Refrigerated Case Lighting with Doors"),'General Information'!$X$18="LCI"), "N", IF(OR(VLOOKUP(J250, 'Fixture Identities'!$A$6:$B$1023, 2, FALSE)="T12 EPACT/EISA Baseline", VLOOKUP(J250, 'Fixture Identities'!$A$6:$B$1023, 2, FALSE)="Linear Fluorescent", VLOOKUP(J250, 'Fixture Identities'!$A$6:$B$1023, 2, FALSE)="U-Tube Fluorescent"), "Y", "N")))</f>
        <v/>
      </c>
      <c r="BU250" s="184" t="str">
        <f>IFERROR(IF(B250="", "", IF(VLOOKUP(J250, 'Fixture Identities'!$A$6:$B$1023, 2, FALSE)="Exit Sign", "Y", "N")), "N")</f>
        <v/>
      </c>
      <c r="BV250" s="184" t="str">
        <f>IF(V250="Exit Signs", IF(VLOOKUP(J250, 'Fixture Identities'!$A$6:$B$1023, 2, FALSE)="Exit Sign", "N", "Y"), "")</f>
        <v/>
      </c>
      <c r="BW250" s="184" t="str">
        <f t="array" ref="BW250">IFERROR(IF(B250="", "", IF(B250="New Construction", "N", INDEX('Lookup Tables'!$AH$6:$AU$102, MATCH(1, ('Lookup Tables'!$AH$6:$AH$102='Lighting Inventory'!V250)*('Lookup Tables'!$AI$6:$AI$102='Lighting Inventory'!W250), 0), 14))), "N")</f>
        <v/>
      </c>
      <c r="BX250" s="598" t="str">
        <f t="shared" si="566"/>
        <v/>
      </c>
      <c r="BY250" s="598" t="str">
        <f t="shared" si="567"/>
        <v/>
      </c>
      <c r="BZ250" s="598" t="str">
        <f t="shared" si="568"/>
        <v/>
      </c>
      <c r="CA250" s="598" t="str">
        <f t="shared" si="569"/>
        <v/>
      </c>
      <c r="CB250" s="269" t="str">
        <f t="shared" si="570"/>
        <v/>
      </c>
      <c r="CC250" s="517" t="str">
        <f t="shared" si="571"/>
        <v/>
      </c>
      <c r="CD250" s="565" t="str">
        <f t="shared" si="511"/>
        <v/>
      </c>
      <c r="CE250" s="368">
        <v>0</v>
      </c>
      <c r="CF250" s="368" t="str" cm="1">
        <f t="array" ref="CF250">IFERROR(IF(V250="Custom", "$0.1 per kWh", IF(B250="New Construction", CONCATENATE("$",INDEX('Lookup Tables'!$AH$114:$AN$154,MATCH(1,('Lookup Tables'!$AH$114:$AH$154='Lighting Inventory'!V250)*('Lookup Tables'!$AI$114:$AI$154='Lighting Inventory'!W250),FALSE),6)," ",INDEX('Lookup Tables'!$AH$114:$AN$154,MATCH(1,('Lookup Tables'!$AH$114:$AH$154='Lighting Inventory'!V250)*('Lookup Tables'!$AI$114:$AI$154='Lighting Inventory'!W250),FALSE),7)), IF(AND(BU250="N", V250="Exit Signs"), "$0.025 per kWh", CONCATENATE("$",INDEX('Lookup Tables'!$AH$6:$AN$102,MATCH(1,('Lookup Tables'!$AH$6:$AH$102='Lighting Inventory'!V250)*('Lookup Tables'!$AI$6:$AI$102='Lighting Inventory'!W250),FALSE),6)," ",INDEX('Lookup Tables'!$AH$6:$AN$102,MATCH(1,('Lookup Tables'!$AH$6:$AH$102='Lighting Inventory'!V250)*('Lookup Tables'!$AI$6:$AI$102='Lighting Inventory'!W250),FALSE),7))))), "")</f>
        <v/>
      </c>
      <c r="CG250" s="366"/>
      <c r="CH250" s="248" t="str">
        <f t="shared" si="512"/>
        <v/>
      </c>
      <c r="CI250" s="248" t="str">
        <f t="shared" si="513"/>
        <v>Select_IE</v>
      </c>
      <c r="CJ250" s="248" t="str">
        <f t="shared" si="514"/>
        <v/>
      </c>
      <c r="CK250" s="248" t="str">
        <f t="shared" si="515"/>
        <v/>
      </c>
      <c r="CL250" s="248" t="str">
        <f t="shared" si="516"/>
        <v/>
      </c>
      <c r="CM250" s="248" t="str">
        <f>IFERROR(IF(B250="", "", IF(B250="New Construction", VLOOKUP(V250, 'Lookup Tables'!$AF$114:$AG$120, 2, FALSE), VLOOKUP(V250, 'Lookup Tables'!$AD$6:$AE$25, 2, FALSE))), "")</f>
        <v/>
      </c>
      <c r="CN250" s="248" t="str">
        <f t="shared" si="517"/>
        <v/>
      </c>
      <c r="CO250" s="248" t="str">
        <f t="shared" si="518"/>
        <v/>
      </c>
      <c r="CP250" s="592" t="str">
        <f t="shared" si="519"/>
        <v/>
      </c>
      <c r="CQ250" s="248" t="str">
        <f t="shared" si="572"/>
        <v/>
      </c>
      <c r="CR250" s="249"/>
      <c r="CS250" s="250" t="str">
        <f t="shared" si="520"/>
        <v/>
      </c>
      <c r="CT250" s="250" t="str">
        <f t="shared" si="573"/>
        <v/>
      </c>
      <c r="CU250" s="250" t="str">
        <f t="shared" si="574"/>
        <v/>
      </c>
      <c r="CV250" s="250" t="str">
        <f t="shared" si="575"/>
        <v/>
      </c>
      <c r="CW250" s="250" t="str">
        <f t="shared" si="576"/>
        <v/>
      </c>
      <c r="CX250" s="250" t="str">
        <f t="shared" si="521"/>
        <v/>
      </c>
      <c r="CY250" s="250" t="str">
        <f t="shared" si="522"/>
        <v/>
      </c>
      <c r="CZ250" s="250" t="str">
        <f t="shared" si="523"/>
        <v/>
      </c>
      <c r="DA250" s="250" t="str">
        <f t="shared" si="524"/>
        <v/>
      </c>
      <c r="DB250" s="250" t="str">
        <f t="shared" si="525"/>
        <v/>
      </c>
      <c r="DC250" s="250" t="str">
        <f t="shared" si="526"/>
        <v/>
      </c>
      <c r="DD250" s="250" t="str">
        <f t="shared" si="527"/>
        <v/>
      </c>
      <c r="DE250" s="250" t="str">
        <f t="shared" si="528"/>
        <v/>
      </c>
      <c r="DF250" s="250" t="str">
        <f t="shared" si="529"/>
        <v/>
      </c>
      <c r="DG250" s="250" t="str">
        <f t="shared" si="530"/>
        <v/>
      </c>
      <c r="DH250" s="250" t="str">
        <f t="shared" si="531"/>
        <v/>
      </c>
      <c r="DI250" s="250" t="str">
        <f t="shared" si="532"/>
        <v/>
      </c>
      <c r="DJ250" s="250" t="str">
        <f t="shared" si="533"/>
        <v/>
      </c>
      <c r="DK250" s="250" t="str">
        <f t="shared" si="534"/>
        <v/>
      </c>
      <c r="DL250" s="250" t="str">
        <f t="shared" si="535"/>
        <v/>
      </c>
      <c r="DM250" s="250" t="str">
        <f>IF(CD250="ERROR", "ERROR", IF(AND(OR(Y250=$DM$6, Y250='Lookup Tables'!$AD$21, Y250='Lookup Tables'!$AD$22), E250="Interior"), BJ250, ""))</f>
        <v/>
      </c>
      <c r="DN250" s="250" t="str">
        <f>IF(CD250="ERROR", "ERROR", IF(AND(OR(Y250=$DM$6, Y250='Lookup Tables'!$AD$21, Y250='Lookup Tables'!$AD$22), E250="Exterior"), BJ250, ""))</f>
        <v/>
      </c>
      <c r="DO250" s="249"/>
      <c r="DP250" s="250" t="str">
        <f t="shared" si="536"/>
        <v/>
      </c>
      <c r="DQ250" s="250" t="str">
        <f t="shared" si="577"/>
        <v/>
      </c>
      <c r="DR250" s="250" t="str">
        <f t="shared" si="578"/>
        <v/>
      </c>
      <c r="DS250" s="250" t="str">
        <f t="shared" si="579"/>
        <v/>
      </c>
      <c r="DT250" s="250" t="str">
        <f t="shared" si="580"/>
        <v/>
      </c>
      <c r="DU250" s="250" t="str">
        <f t="shared" si="537"/>
        <v/>
      </c>
      <c r="DV250" s="250" t="str">
        <f t="shared" si="538"/>
        <v/>
      </c>
      <c r="DW250" s="250" t="str">
        <f t="shared" si="539"/>
        <v/>
      </c>
      <c r="DX250" s="250" t="str">
        <f t="shared" si="540"/>
        <v/>
      </c>
      <c r="DY250" s="250" t="str">
        <f t="shared" si="541"/>
        <v/>
      </c>
      <c r="DZ250" s="250" t="str">
        <f t="shared" si="542"/>
        <v/>
      </c>
      <c r="EA250" s="250" t="str">
        <f t="shared" si="543"/>
        <v/>
      </c>
      <c r="EB250" s="250" t="str">
        <f t="shared" si="581"/>
        <v/>
      </c>
      <c r="EC250" s="250" t="str">
        <f t="shared" si="544"/>
        <v/>
      </c>
      <c r="ED250" s="250" t="str">
        <f t="shared" si="545"/>
        <v/>
      </c>
      <c r="EE250" s="250" t="str">
        <f t="shared" si="546"/>
        <v/>
      </c>
      <c r="EF250" s="250" t="str">
        <f t="shared" si="547"/>
        <v/>
      </c>
      <c r="EG250" s="250" t="str">
        <f t="shared" si="548"/>
        <v/>
      </c>
      <c r="EH250" s="250" t="str">
        <f>IF(CD250="ERROR", "ERROR", IF(AND(OR($EH$6=Y250, Y250='Lookup Tables'!$AD$21, Y250='Lookup Tables'!$AD$22),E250="Interior"), SUM(BP250:BP250), ""))</f>
        <v/>
      </c>
      <c r="EI250" s="250" t="str">
        <f>IF(CD250="ERROR", "ERROR", IF(AND(OR($EH$6=Y250, Y250='Lookup Tables'!$AD$21, Y250='Lookup Tables'!$AD$22),E250="Exterior"), SUM(BP250:BP250), ""))</f>
        <v/>
      </c>
      <c r="EJ250" s="109"/>
      <c r="EK250" s="485" t="str">
        <f t="shared" si="549"/>
        <v/>
      </c>
      <c r="EL250" s="252" t="str">
        <f t="shared" si="582"/>
        <v/>
      </c>
      <c r="EM250" s="252" t="str">
        <f t="shared" si="583"/>
        <v/>
      </c>
      <c r="EN250" s="252" t="str">
        <f t="shared" si="584"/>
        <v/>
      </c>
      <c r="EO250" s="252" t="str">
        <f t="shared" si="585"/>
        <v/>
      </c>
      <c r="EP250" s="252" t="str">
        <f t="shared" si="586"/>
        <v/>
      </c>
      <c r="EQ250" s="252" t="str">
        <f t="shared" si="587"/>
        <v/>
      </c>
      <c r="ER250" s="252" t="str">
        <f t="shared" si="588"/>
        <v/>
      </c>
      <c r="ES250" s="252" t="str">
        <f t="shared" si="589"/>
        <v/>
      </c>
      <c r="ET250" s="252" t="str">
        <f t="shared" si="590"/>
        <v/>
      </c>
      <c r="EU250" s="252" t="str">
        <f t="shared" si="591"/>
        <v/>
      </c>
      <c r="EV250" s="252" t="str">
        <f t="shared" si="592"/>
        <v/>
      </c>
      <c r="EW250" s="252" t="str">
        <f t="shared" si="593"/>
        <v/>
      </c>
      <c r="EX250" s="252" t="str">
        <f t="shared" si="594"/>
        <v/>
      </c>
      <c r="EY250" s="252" t="str">
        <f t="shared" si="595"/>
        <v/>
      </c>
      <c r="EZ250" s="252" t="str">
        <f t="shared" si="596"/>
        <v/>
      </c>
      <c r="FA250" s="252" t="str">
        <f t="shared" si="597"/>
        <v/>
      </c>
      <c r="FB250" s="252" t="str">
        <f t="shared" si="598"/>
        <v/>
      </c>
      <c r="FC250" s="252" t="str">
        <f>IF(CD250="ERROR", "ERROR", IF(OR(V250="No Change", V250="Not DLC or Energy Star"), "", IF(AND(OR($FC$6=Y250,Y250='Lookup Tables'!$AD$21, Y250='Lookup Tables'!$AD$22),E250="Interior"), S250, "")))</f>
        <v/>
      </c>
      <c r="FD250" s="252" t="str">
        <f t="shared" si="599"/>
        <v/>
      </c>
      <c r="FE250" s="1"/>
      <c r="FF250" s="579" t="str" cm="1">
        <f t="array" ref="FF250">IFERROR(IF(OR(BQ250&lt;=0,AQ250&lt;20,AND(V250="Exit Signs",AN250&gt;0)),"",IF(AND(AQ250&gt;=20,AN250='Lookup Tables'!$R$101),'Lookup Tables'!$U$101*BQ250,AP250*LOOKUP(2,1/((AN250='Lookup Tables'!$R$91:$R$111)*(AQ250&gt;='Lookup Tables'!$S$91:$S$111)*(AQ250&lt;='Lookup Tables'!$T$91:$T$111)),'Lookup Tables'!$U$91:$U$111))),"")</f>
        <v/>
      </c>
      <c r="FG250" s="579"/>
      <c r="FH250" s="579"/>
      <c r="FI250" s="253" t="str">
        <f>IFERROR(ROUND(IF(CD250="ERROR", "ERROR", IF(AND($FI$7=X250,E250="Interior"),VLOOKUP(W250, 'Lookup Tables'!$AI$6:$AM$102, 5, FALSE)*BP250, "")), 2), "")</f>
        <v/>
      </c>
      <c r="FJ250" s="253" t="str">
        <f>IFERROR(ROUND(IF(CD250="ERROR", "ERROR", IF(AND($FI$7=X250,E250="Exterior"),VLOOKUP(W250, 'Lookup Tables'!$AI$6:$AM$102, 5, FALSE)*BP250, "")), 2), "")</f>
        <v/>
      </c>
      <c r="FK250" s="253" t="str">
        <f>IFERROR(ROUND(IF(CD250="ERROR", "ERROR", IF(AND($FK$7=X250,E250="Interior"),VLOOKUP(W250, 'Lookup Tables'!$AI$6:$AM$102, 5, FALSE)*BP250, "")), 2), "")</f>
        <v/>
      </c>
      <c r="FL250" s="253" t="str">
        <f>IFERROR(ROUND(IF(CD250="ERROR", "ERROR", IF(AND($FK$7=X250,E250="Exterior"),VLOOKUP(W250, 'Lookup Tables'!$AI$6:$AM$102, 5, FALSE)*BP250, "")), 2), "")</f>
        <v/>
      </c>
      <c r="FM250" s="253" t="str">
        <f>IFERROR(ROUND(IF(CD250="ERROR", "ERROR", IF(AND($FM$6=Y250,E250="Interior"), IF(GB250=0, VLOOKUP(W250, 'Lookup Tables'!$AI$6:$AM$102, 5, FALSE)*BP250, IF(VLOOKUP(W250, 'Lookup Tables'!$AI$6:$AM$102, 5, FALSE)*BP250&gt;GB250*'Lighting Inventory'!S250, GB250*'Lighting Inventory'!S250,VLOOKUP(W250, 'Lookup Tables'!$AI$6:$AM$102, 5, FALSE)*BP250)), "")), 2), "")</f>
        <v/>
      </c>
      <c r="FN250" s="253" t="str">
        <f>IFERROR(ROUND(IF(CD250="ERROR", "ERROR", IF(AND($FM$6=Y250,E250="Exterior"), IF(GB250=0, VLOOKUP(W250, 'Lookup Tables'!$AI$6:$AM$102, 5, FALSE)*BP250, IF(VLOOKUP(W250, 'Lookup Tables'!$AI$6:$AM$102, 5, FALSE)*BP250&gt;GB250*'Lighting Inventory'!S250, GB250*'Lighting Inventory'!S250,VLOOKUP(W250, 'Lookup Tables'!$AI$6:$AM$102, 5, FALSE)*BP250)), "")), 2), "")</f>
        <v/>
      </c>
      <c r="FO250" s="253" t="str">
        <f>IFERROR(ROUND(IF(CD250="ERROR", "ERROR", IF(AND($FO$6=Y250,E250="Interior"),VLOOKUP(W250, 'Lookup Tables'!$AI$6:$AM$102, 5, FALSE)*'Lighting Inventory'!AI250, "")), 2), "")</f>
        <v/>
      </c>
      <c r="FP250" s="253" t="str">
        <f>IFERROR(ROUND(IF(CD250="ERROR", "ERROR", IF(AND($FO$6=Y250,E250="Exterior"),VLOOKUP(W250, 'Lookup Tables'!$AI$6:$AM$102, 5, FALSE)*'Lighting Inventory'!AI250, "")), 2), "")</f>
        <v/>
      </c>
      <c r="FQ250" s="253" t="str">
        <f>IFERROR(ROUND(IF(CD250="ERROR", "ERROR", IF(AND($FQ$6=Y250,E250="Interior", BU250="Y"), VLOOKUP('Lighting Inventory'!W250, 'Lookup Tables'!$AI$6:$AM$102, 5, FALSE)*'Lighting Inventory'!S250, IF(AND($FQ$7=Y250,E250="Interior", BU250="N"), 0.025*CD250, ""))), 2), "")</f>
        <v/>
      </c>
      <c r="FR250" s="253" t="str">
        <f>IFERROR(ROUND(IF(CD250="ERROR", "ERROR", IF(AND($FQ$6=Y250,E250="Exterior"), VLOOKUP('Lighting Inventory'!W250, 'Lookup Tables'!$AI$6:$AM$102, 5, FALSE)*'Lighting Inventory'!S250, "")), 2), "")</f>
        <v/>
      </c>
      <c r="FS250" s="253" t="str">
        <f>IFERROR(ROUND(IF(CD250="ERROR", "ERROR", IF(AND($FS$6=Y250,E250="Exterior"), IF(GB250=0, VLOOKUP(W250, 'Lookup Tables'!$AI$6:$AM$102, 5, FALSE)*BP250, IF(VLOOKUP(W250, 'Lookup Tables'!$AI$6:$AM$102, 5, FALSE)*BP250&gt;GB250*'Lighting Inventory'!S250, GB250*'Lighting Inventory'!S250,VLOOKUP(W250, 'Lookup Tables'!$AI$6:$AM$102, 5, FALSE)*BP250)), "")), 2), "")</f>
        <v/>
      </c>
      <c r="FT250" s="253" t="str">
        <f>IFERROR(ROUND(IF(CD250="ERROR", "ERROR", IF(AND($FT$6=Y250,E250="Interior"), IF(GB250=0, VLOOKUP(W250, 'Lookup Tables'!$AI$6:$AM$102, 5, FALSE)*BP250, IF(VLOOKUP(W250, 'Lookup Tables'!$AI$6:$AM$102, 5, FALSE)*BP250&gt;GB250*'Lighting Inventory'!S250, GB250*'Lighting Inventory'!S250,VLOOKUP(W250, 'Lookup Tables'!$AI$6:$AM$102, 5, FALSE)*BP250)), "")), 2), "")</f>
        <v/>
      </c>
      <c r="FU250" s="253" t="str">
        <f>IFERROR(ROUND(IF(CD250="ERROR", "ERROR", IF(AND(Y250=$FU$6, E250="Interior"), IF(BS250="N", 'Lookup Tables'!$AM$101*BP250, VLOOKUP(W250, 'Lookup Tables'!$AI$6:$AM$102, 5, FALSE)*S250*AD250), "")), 2), "")</f>
        <v/>
      </c>
      <c r="FV250" s="253" t="str">
        <f>IFERROR(ROUND(IF(CD250="ERROR", "ERROR", IF(AND(Y250=$FU$6, E250="Exterior"), IF(BS250="N", 'Lookup Tables'!$AM$101*BP250, VLOOKUP(W250, 'Lookup Tables'!$AI$6:$AM$102, 5, FALSE)*S250*AD250), "")), 2), "")</f>
        <v/>
      </c>
      <c r="FW250" s="253" t="str">
        <f>IFERROR(ROUND(IF(CD250="ERROR", "ERROR", IF($FW$6=Y250, IF(BS250="N", 'Lookup Tables'!$AM$101*BP250, MIN((VLOOKUP(W250, 'Lookup Tables'!$AI$6:$AM$102, 5, FALSE)*BP250),GB250*AJ250)), "")), 2), "")</f>
        <v/>
      </c>
      <c r="FX250" s="253" t="str">
        <f>IFERROR(ROUND(IF(CD250="ERROR", "ERROR", IF(AND($FX$6=Y250, E250="Interior"), IF(VLOOKUP(W250, 'Lookup Tables'!$AI$6:$AM$102, 5, FALSE)*BP250&gt;'Lookup Tables'!$AQ$97*'Lighting Inventory'!S250,'Lighting Inventory'!S250*'Lookup Tables'!$AQ$97,VLOOKUP(W250, 'Lookup Tables'!$AI$6:$AM$102, 5, FALSE)*BP250), "")), 2), "")</f>
        <v/>
      </c>
      <c r="FY250" s="253" t="str">
        <f>IFERROR(ROUND(IF(CD250="ERROR", "ERROR", IF(AND($FX$6=Y250, E250="Exterior"), IF(VLOOKUP(W250, 'Lookup Tables'!$AI$6:$AM$102, 5, FALSE)*BP250&gt;'Lookup Tables'!$AQ$97*'Lighting Inventory'!S250,'Lighting Inventory'!S250*'Lookup Tables'!$AQ$97,VLOOKUP(W250, 'Lookup Tables'!$AI$6:$AM$102, 5, FALSE)*BP250), "")), 2), "")</f>
        <v/>
      </c>
      <c r="FZ250" s="253" t="str">
        <f>IFERROR(ROUND(IF(CD250="ERROR", "ERROR", IF(AND($FZ$6=Y250, E250="Interior"), IF(AND(OR(W250="Refrigerated Case Lighting with Doors", W250="Freezer Case Lighting"),Y250="Custom - Process Improvement"),CD250*'Lookup Tables'!$AM$101, IF(B250="Retrofit", IF(VLOOKUP(IF(V250="Custom", V250, W250), 'Lookup Tables'!$AI$6:$AM$102, 5, FALSE)*BP250&gt;GE250, GE250, VLOOKUP(IF(V250="Custom", V250, W250), 'Lookup Tables'!$AI$6:$AM$102, 5, FALSE)*BP250), IF(VLOOKUP(IF(V250="Custom", V250, W250), 'Lookup Tables'!$AI$114:$AM$154, 5, FALSE)*BP250&gt;GE250, GE250, VLOOKUP(IF(V250="Custom", V250, W250), 'Lookup Tables'!$AI$114:$AM$154, 5, FALSE)*BP250))), "")), 2),"")</f>
        <v/>
      </c>
      <c r="GA250" s="253" t="str">
        <f>IFERROR(ROUND(IF(CD250="ERROR", "ERROR", IF(AND($FZ$6=Y250, E250="Exterior"), IF(B250="Retrofit", IF(VLOOKUP(IF(V250="Custom", V250, W250), 'Lookup Tables'!$AI$6:$AM$102, 5, FALSE)*BP250&gt;GE250, GE250, VLOOKUP(IF(V250="Custom", V250, W250), 'Lookup Tables'!$AI$6:$AM$102, 5, FALSE)*BP250), IF(VLOOKUP(IF(V250="Custom", V250, W250), 'Lookup Tables'!$AI$114:$AM$154, 5, FALSE)*BP250&gt;GE250, GE250, VLOOKUP(IF(V250="Custom", V250, W250), 'Lookup Tables'!$AI$114:$AM$154, 5, FALSE)*BP250)), "")), 2),"")</f>
        <v/>
      </c>
      <c r="GB250" s="254" t="str">
        <f t="array" ref="GB250">IF(B250="","",IF(OR(V250="Custom",V250="No Change"),0,IF(B250="Retrofit", INDEX('Lookup Tables'!$AH$6:$AQ$102,MATCH(1,('Lookup Tables'!$AH$6:$AH$102='Lighting Inventory'!V250)*('Lookup Tables'!$AI$6:$AI$102='Lighting Inventory'!W250),FALSE),10),INDEX('Lookup Tables'!$AH$114:$AQ$154,MATCH(1,('Lookup Tables'!$AH$114:$AH$154='Lighting Inventory'!V250)*('Lookup Tables'!$AI$114:$AI$154='Lighting Inventory'!W250),FALSE),10))))</f>
        <v/>
      </c>
      <c r="GC250" s="255" t="str">
        <f t="shared" si="550"/>
        <v/>
      </c>
      <c r="GD250" s="250" t="str">
        <f t="shared" si="551"/>
        <v/>
      </c>
      <c r="GE250" s="253" t="str">
        <f>IFERROR(IF(AND(AF250="", 'General Information'!$F$18="No"),"", IF(AF250="", ((GD250/$CD$266)*$CF$266)*0.5, AF250*S250*0.5)), "")</f>
        <v/>
      </c>
      <c r="GF250" s="255" t="str">
        <f>IF(AND('General Information'!$F$19="", 'General Information'!$F$18="Yes",AF250="",BW250="Y"), "Y", "N")</f>
        <v>N</v>
      </c>
      <c r="GG250" s="255" t="s">
        <v>2946</v>
      </c>
      <c r="GH250" s="255" t="str">
        <f>IFERROR(IF(B250="", "", VLOOKUP(J250, 'Fixture Identities'!$A$6:$N$908, 14, FALSE)), "")</f>
        <v/>
      </c>
      <c r="GI250" s="389" t="str">
        <f>IF(OR(B250="", V250="", W250=""), "", IF(AND(OR(M250='Lookup Tables'!$R$18, M250='Lookup Tables'!$R$19, M250='Lookup Tables'!$R$20, M250='Lookup Tables'!$R$21, M250='Lookup Tables'!$R$22), OR(AN250='Lookup Tables'!$R$17, AN250='Lookup Tables'!$R$17, AN250="")), "Y", "N"))</f>
        <v/>
      </c>
      <c r="GJ250" s="255" t="str">
        <f t="shared" si="552"/>
        <v/>
      </c>
      <c r="GK250" s="255" t="str">
        <f t="shared" si="553"/>
        <v/>
      </c>
      <c r="GL250" s="255" t="str">
        <f t="shared" si="554"/>
        <v/>
      </c>
      <c r="GM250" s="255" t="str">
        <f>IF(AN250="", "", IF(AND(IF(ISNA(VLOOKUP(AN250,'Lookup Tables'!$R$18:$R$22,1,FALSE)), "N", "Y")="Y", E250="Exterior"), "Y", "N"))</f>
        <v/>
      </c>
      <c r="GN250" s="395"/>
      <c r="GO250" s="428">
        <f t="shared" si="600"/>
        <v>0</v>
      </c>
      <c r="GP250" s="428">
        <f t="shared" si="603"/>
        <v>0</v>
      </c>
      <c r="GQ250" s="428">
        <f t="shared" si="601"/>
        <v>0</v>
      </c>
      <c r="GR250" s="428">
        <f t="shared" si="602"/>
        <v>0</v>
      </c>
    </row>
    <row r="251" spans="1:200" s="103" customFormat="1" ht="13.5" customHeight="1" x14ac:dyDescent="0.2">
      <c r="A251" s="272">
        <v>241</v>
      </c>
      <c r="B251" s="110"/>
      <c r="C251" s="110"/>
      <c r="D251" s="110"/>
      <c r="E251" s="110"/>
      <c r="F251" s="110"/>
      <c r="G251" s="110"/>
      <c r="H251" s="110"/>
      <c r="I251" s="29"/>
      <c r="J251" s="29"/>
      <c r="K251" s="272" t="str">
        <f>IFERROR(IF(OR(VLOOKUP(J251, 'Fixture Identities'!$A$6:$L$1023, 3, FALSE)="T12 Linear Fluorescent", VLOOKUP(J251, 'Fixture Identities'!$A$6:$L$1023, 3, FALSE)="T12 U-Tube Fluorescent"), VLOOKUP(VLOOKUP(J251, 'Fixture Identities'!$A$6:$L$1023, 11, FALSE), 'Fixture Identities'!$A$6:$L$1023, 10, FALSE), VLOOKUP(J251, 'Fixture Identities'!$A$6:$L$1023, 10, FALSE)), "")</f>
        <v/>
      </c>
      <c r="L251" s="270" t="str">
        <f t="shared" si="605"/>
        <v/>
      </c>
      <c r="M251" s="110"/>
      <c r="N251" s="110"/>
      <c r="O251" s="110"/>
      <c r="P251" s="272" t="str">
        <f>IFERROR(IF(OR(B251="Retrofit",B251=""),"",IF('Lighting Inventory'!E251="Exterior",VLOOKUP('Lighting Inventory'!N251,'Lookup Tables'!$B$83:$F$103,5,FALSE),IF(N251="Other - Please Estimate EFLH and CFs","Contact Prog. Rep.","ft^2"))), "")</f>
        <v/>
      </c>
      <c r="Q251" s="270" t="str">
        <f>IFERROR(IF(AND(B251="New Construction",E251="Interior",$F$5="Space-by-Space"),VLOOKUP('Lighting Inventory'!N251,'Lookup Tables'!$N$6:$O$97,2,FALSE),IF(AND(B251="New Construction",E251="Exterior"),VLOOKUP(N251,'Lookup Tables'!$B$83:$F$103,2,FALSE),IF(AND(B251="New Construction",'Lighting Inventory'!E251="Interior", $F$5="Building Area"),VLOOKUP(F251,'Lookup Tables'!$A$6:$J$59,10,FALSE),""))), "")</f>
        <v/>
      </c>
      <c r="R251" s="270" t="str">
        <f>IFERROR(IF(P251="Contact Prog. Rep.", "ERROR", IF(OR(B251="",B251="Retrofit"),"",IF(N251="Automated teller machines", ('Lookup Tables'!$A$82:$E$100+('Lighting Inventory'!O251-1)*'Lookup Tables'!$A$82:$E$100)/1000, (Q251*O251)/1000))), "")</f>
        <v/>
      </c>
      <c r="S251" s="595"/>
      <c r="T251" s="105" t="str">
        <f t="shared" si="555"/>
        <v/>
      </c>
      <c r="U251" s="105" t="str">
        <f>IF(S251="","",COUNT($S$11:S251))</f>
        <v/>
      </c>
      <c r="V251" s="111"/>
      <c r="W251" s="112"/>
      <c r="X251" s="105" t="str">
        <f t="shared" si="556"/>
        <v/>
      </c>
      <c r="Y251" s="105" t="str">
        <f t="array" ref="Y251">IF(AND(OR(W251="Freezer Case Lighting", W251="Refrigerated Case Lighting with Doors"), 'General Information'!$X$18="LCI"),'Lookup Tables'!$Y$34, IF(V251="Custom", VLOOKUP(W251, 'Fixture Identities'!$A$974:$M$1023, 13, FALSE), IF(V251="No Change",'Lookup Tables'!$Y$29,IF(OR(V251="",W251=""),"",IF(AND(S251=0,S251&lt;I251,B251="Retrofit"),'Lookup Tables'!$Y$25, IF(B251="Retrofit", INDEX('Lookup Tables'!$AH$6:$AP$102, MATCH(1, ('Lookup Tables'!$AH$6:$AH$102=V251)*('Lookup Tables'!$AI$6:$AI$102=W251), 0), IF('Lighting Inventory'!E251="Interior", 4, 5)), INDEX('Lookup Tables'!$AH$114:$AP$154, MATCH(1, ('Lookup Tables'!$AH$114:$AH$154=V251)*('Lookup Tables'!$AI$114:$AI$154=W251), 0), IF('Lighting Inventory'!E251="Interior", 4, 5))))))))</f>
        <v/>
      </c>
      <c r="Z251" s="105" t="str">
        <f>IFERROR(INDEX('Lookup Tables'!$AH$158:$AH$172,MATCH('Lighting Inventory'!Y251,'Lookup Tables'!$AI$158:$AI$172,0)),"")</f>
        <v/>
      </c>
      <c r="AA251" s="105" t="str">
        <f>IF(AP251&gt;0,INDEX('Lookup Tables'!$AK$158:$AK$172,MATCH('Lighting Inventory'!Y251,'Lookup Tables'!$AI$158:$AI$172,0)),'Lighting Inventory'!Y251)</f>
        <v/>
      </c>
      <c r="AB251" s="105" t="str">
        <f t="array" ref="AB251">IF(V251="Custom", "Custom", IF(V251="", "", IF(V251="Not DLC or Energy Star", "General", IF(B251="New Construction", INDEX('Lookup Tables'!$AH$114:$AP$154,MATCH(1,('Lookup Tables'!$AH$114:$AH$154='Lighting Inventory'!V251)*('Lookup Tables'!$AI$114:$AI$154='Lighting Inventory'!W251),FALSE),8), INDEX('Lookup Tables'!$AH$6:$AP$102,MATCH(1,('Lookup Tables'!$AH$6:$AH$102='Lighting Inventory'!V251)*('Lookup Tables'!$AI$6:$AI$102='Lighting Inventory'!W251),FALSE),8)))))</f>
        <v/>
      </c>
      <c r="AC251" s="272" t="str">
        <f>IF(W251="","",IF(V251="Custom",CONCATENATE("$",'Lookup Tables'!$AM$101," ",'Lookup Tables'!$AN$101),CONCATENATE("$",INDEX('Lookup Tables'!$AM$6:$AM$102,MATCH('Lighting Inventory'!W251,'Lookup Tables'!$AI$6:$AI$102,0))," ",INDEX('Lookup Tables'!$AN$6:$AN$102,MATCH('Lighting Inventory'!W251,'Lookup Tables'!$AI$6:$AI$102,0)))))</f>
        <v/>
      </c>
      <c r="AD251" s="72"/>
      <c r="AE251" s="29"/>
      <c r="AF251" s="379"/>
      <c r="AG251" s="370" t="str">
        <f t="shared" si="504"/>
        <v/>
      </c>
      <c r="AH251" s="370" t="str">
        <f t="shared" si="557"/>
        <v/>
      </c>
      <c r="AI251" s="29"/>
      <c r="AJ251" s="29"/>
      <c r="AK251" s="110"/>
      <c r="AL251" s="375" t="str">
        <f>IF(OR(B251="", V251="", W251=""), "", IF(V251="No Change", K251, IF(V251="Remove Fixture", 0, IF(V251="Custom",VLOOKUP(W251,'Fixture Identities'!$A$6:$K$1023,10,FALSE),IF(AE251="", "← ENTER POST WATTS", 'Lighting Inventory'!AE251)))))</f>
        <v/>
      </c>
      <c r="AM251" s="376" t="str">
        <f t="shared" si="505"/>
        <v/>
      </c>
      <c r="AN251" s="29"/>
      <c r="AO251" s="671"/>
      <c r="AP251" s="29"/>
      <c r="AQ251" s="29"/>
      <c r="AR251" s="29"/>
      <c r="AS251" s="272" t="str">
        <f t="shared" si="558"/>
        <v/>
      </c>
      <c r="AT251" s="270" t="str">
        <f t="shared" si="506"/>
        <v/>
      </c>
      <c r="AU251" s="88" t="str">
        <f t="shared" si="606"/>
        <v/>
      </c>
      <c r="AV251" s="29"/>
      <c r="AW251" s="73"/>
      <c r="AX251" s="271" t="str">
        <f>IF(AND(AV251="Applicant",OR(AW251="", AW251="Use Default Facility Hours")),"← Choose Schedule",IF(F251="","",IF(W251="LED Exit Signs",8760,IF(OR(AV251="Prescribed",AV251=""),VLOOKUP(F251,'Lookup Tables'!$A$6:$G$59,IF(AB251="General", 6, 3),FALSE),VLOOKUP(AW251,'Lookup Tables'!$S$36:$U$43,2,FALSE)))))</f>
        <v/>
      </c>
      <c r="AY251" s="88" t="str">
        <f t="shared" si="507"/>
        <v/>
      </c>
      <c r="AZ251" s="270" t="str">
        <f>IFERROR(IF(F251="", "", IF(W251="LED Exit Signs", 1, IF(AV251="Applicant",VLOOKUP(AW251, 'Lookup Tables'!$S$36:$U$43,3, FALSE), VLOOKUP('Lighting Inventory'!F251, 'Lookup Tables'!$A$6:$H$59, IF('Lighting Inventory'!AB251="General",7,4), FALSE)))), "")</f>
        <v/>
      </c>
      <c r="BA251" s="522" t="str">
        <f>IFERROR(IF(F251="", "", IF(W251="LED Exit Signs", 1, VLOOKUP('Lighting Inventory'!F251, 'Lookup Tables'!$A$6:$H$59, IF('Lighting Inventory'!AB251="General",8,5), FALSE))), "")</f>
        <v/>
      </c>
      <c r="BB251" s="270" t="str">
        <f>IF(G251="", "", IF(E251="Exterior", 0, IF('Lighting Inventory'!G251="Air Conditioned", VLOOKUP(H251, 'Lookup Tables'!$R$6:$T$13, 2, FALSE), VLOOKUP('Lighting Inventory'!G251, 'Lookup Tables'!$R$6:$T$13, 2, FALSE))))</f>
        <v/>
      </c>
      <c r="BC251" s="522" t="str">
        <f>IF(G251="", "", IF(E251="Exterior", 0, IF('Lighting Inventory'!G251="Air Conditioned", VLOOKUP(H251, 'Lookup Tables'!$R$6:$T$13, 3, FALSE), VLOOKUP('Lighting Inventory'!G251, 'Lookup Tables'!$R$6:$T$13, 3, FALSE))))</f>
        <v/>
      </c>
      <c r="BD251" s="270" t="str">
        <f>IF(G251="", "", IF(E251="Exterior", 0, IF('Lighting Inventory'!G251="Air Conditioned", VLOOKUP(H251, 'Lookup Tables'!$R$6:$U$13, 4, FALSE), VLOOKUP('Lighting Inventory'!G251, 'Lookup Tables'!$R$6:$U$13, 4, FALSE))))</f>
        <v/>
      </c>
      <c r="BE251" s="270" t="str">
        <f>IFERROR(IF(B251="", "",  IF(B251="New Construction", VLOOKUP(F251, 'Lookup Tables'!$A$6:$K$59, 11, FALSE),IF(OR(AN251="", AN251="Light Switch"), 0, IF(OR(M251="",M251="None",V251= "LED Exit Signs"),0,_xlfn.XLOOKUP(M251,'Lookup Tables'!$R$91:$R$101,'Lookup Tables'!$V$91:$V$101))))), "")</f>
        <v/>
      </c>
      <c r="BF251" s="270" t="str">
        <f>IF(AND(OR(AN251="Light Switch",AN251=""),B251="New Construction"), VLOOKUP(F251, 'Lookup Tables'!$A$6:$K$59, 11, FALSE),IF(AN251="","",IF(B251="","",IF(OR(AN251="None",AN251="",V251="LED Exit Signs",AN251="Exterior Controls Not Eligible"),0,_xlfn.XLOOKUP(AN251,'Lookup Tables'!$R$91:$R$101,'Lookup Tables'!$V$91:$V$101)))))</f>
        <v/>
      </c>
      <c r="BG251" s="88" t="str">
        <f t="shared" si="559"/>
        <v/>
      </c>
      <c r="BH251" s="88" t="str">
        <f t="shared" si="560"/>
        <v/>
      </c>
      <c r="BI251" s="558" t="str">
        <f t="shared" si="604"/>
        <v/>
      </c>
      <c r="BJ251" s="82" t="str">
        <f t="shared" si="561"/>
        <v/>
      </c>
      <c r="BK251" s="82" t="str">
        <f t="shared" si="562"/>
        <v/>
      </c>
      <c r="BL251" s="559" t="str">
        <f t="shared" si="563"/>
        <v/>
      </c>
      <c r="BM251" s="521" t="str">
        <f t="shared" si="508"/>
        <v/>
      </c>
      <c r="BN251" s="521" t="str">
        <f t="shared" si="509"/>
        <v/>
      </c>
      <c r="BO251" s="522" t="str">
        <f t="shared" si="510"/>
        <v/>
      </c>
      <c r="BP251" s="83" t="str">
        <f t="shared" si="564"/>
        <v/>
      </c>
      <c r="BQ251" s="84" t="str">
        <f t="shared" si="565"/>
        <v/>
      </c>
      <c r="BR251" s="184" t="str">
        <f>IFERROR(IF(B251="", "", IF(OR(VLOOKUP(J251, 'Fixture Identities'!$A$6:$L$1023, 3, FALSE)="T12 Linear Fluorescent",VLOOKUP(J251, 'Fixture Identities'!$A$6:$L$1023, 3, FALSE)="T12 U-Tube Fluorescent"), "Y", "N")), "N")</f>
        <v/>
      </c>
      <c r="BS251" s="184" t="str">
        <f t="array" ref="BS251">IFERROR(IF(OR(B251="", V251="", W251=""), "", IF(V251="Custom", "N", IF(OR(W251="Freezer Case Lighting", W251="Refrigerated Case Lighting with Doors"), BT251, IF(B251="Retrofit", INDEX('Lookup Tables'!$AH$6:$AT$102,MATCH(1,('Lookup Tables'!$AH$6:$AH$102=V251)*('Lookup Tables'!$AI$6:$AI$102=W251),FALSE),IF(VLOOKUP(J251, 'Fixture Identities'!$A$6:$B$1023, 2, FALSE)="Incandescent",12, 13)), INDEX('Lookup Tables'!$AH$114:$AS$154,MATCH(1,('Lookup Tables'!$AH$114:$AH$154=V251)*('Lookup Tables'!$AI$114:$AI$154=W251),FALSE),12))))), "N")</f>
        <v/>
      </c>
      <c r="BT251" s="184" t="str">
        <f>IF(J251="", "", IF(AND(OR(W251="Freezer case Lighting", W251="Refrigerated Case Lighting with Doors"),'General Information'!$X$18="LCI"), "N", IF(OR(VLOOKUP(J251, 'Fixture Identities'!$A$6:$B$1023, 2, FALSE)="T12 EPACT/EISA Baseline", VLOOKUP(J251, 'Fixture Identities'!$A$6:$B$1023, 2, FALSE)="Linear Fluorescent", VLOOKUP(J251, 'Fixture Identities'!$A$6:$B$1023, 2, FALSE)="U-Tube Fluorescent"), "Y", "N")))</f>
        <v/>
      </c>
      <c r="BU251" s="184" t="str">
        <f>IFERROR(IF(B251="", "", IF(VLOOKUP(J251, 'Fixture Identities'!$A$6:$B$1023, 2, FALSE)="Exit Sign", "Y", "N")), "N")</f>
        <v/>
      </c>
      <c r="BV251" s="184" t="str">
        <f>IF(V251="Exit Signs", IF(VLOOKUP(J251, 'Fixture Identities'!$A$6:$B$1023, 2, FALSE)="Exit Sign", "N", "Y"), "")</f>
        <v/>
      </c>
      <c r="BW251" s="184" t="str">
        <f t="array" ref="BW251">IFERROR(IF(B251="", "", IF(B251="New Construction", "N", INDEX('Lookup Tables'!$AH$6:$AU$102, MATCH(1, ('Lookup Tables'!$AH$6:$AH$102='Lighting Inventory'!V251)*('Lookup Tables'!$AI$6:$AI$102='Lighting Inventory'!W251), 0), 14))), "N")</f>
        <v/>
      </c>
      <c r="BX251" s="598" t="str">
        <f t="shared" si="566"/>
        <v/>
      </c>
      <c r="BY251" s="598" t="str">
        <f t="shared" si="567"/>
        <v/>
      </c>
      <c r="BZ251" s="598" t="str">
        <f t="shared" si="568"/>
        <v/>
      </c>
      <c r="CA251" s="598" t="str">
        <f t="shared" si="569"/>
        <v/>
      </c>
      <c r="CB251" s="269" t="str">
        <f t="shared" si="570"/>
        <v/>
      </c>
      <c r="CC251" s="517" t="str">
        <f t="shared" si="571"/>
        <v/>
      </c>
      <c r="CD251" s="565" t="str">
        <f t="shared" si="511"/>
        <v/>
      </c>
      <c r="CE251" s="368">
        <v>0</v>
      </c>
      <c r="CF251" s="368" t="str" cm="1">
        <f t="array" ref="CF251">IFERROR(IF(V251="Custom", "$0.1 per kWh", IF(B251="New Construction", CONCATENATE("$",INDEX('Lookup Tables'!$AH$114:$AN$154,MATCH(1,('Lookup Tables'!$AH$114:$AH$154='Lighting Inventory'!V251)*('Lookup Tables'!$AI$114:$AI$154='Lighting Inventory'!W251),FALSE),6)," ",INDEX('Lookup Tables'!$AH$114:$AN$154,MATCH(1,('Lookup Tables'!$AH$114:$AH$154='Lighting Inventory'!V251)*('Lookup Tables'!$AI$114:$AI$154='Lighting Inventory'!W251),FALSE),7)), IF(AND(BU251="N", V251="Exit Signs"), "$0.025 per kWh", CONCATENATE("$",INDEX('Lookup Tables'!$AH$6:$AN$102,MATCH(1,('Lookup Tables'!$AH$6:$AH$102='Lighting Inventory'!V251)*('Lookup Tables'!$AI$6:$AI$102='Lighting Inventory'!W251),FALSE),6)," ",INDEX('Lookup Tables'!$AH$6:$AN$102,MATCH(1,('Lookup Tables'!$AH$6:$AH$102='Lighting Inventory'!V251)*('Lookup Tables'!$AI$6:$AI$102='Lighting Inventory'!W251),FALSE),7))))), "")</f>
        <v/>
      </c>
      <c r="CG251" s="366"/>
      <c r="CH251" s="248" t="str">
        <f t="shared" si="512"/>
        <v/>
      </c>
      <c r="CI251" s="248" t="str">
        <f t="shared" si="513"/>
        <v>Select_IE</v>
      </c>
      <c r="CJ251" s="248" t="str">
        <f t="shared" si="514"/>
        <v/>
      </c>
      <c r="CK251" s="248" t="str">
        <f t="shared" si="515"/>
        <v/>
      </c>
      <c r="CL251" s="248" t="str">
        <f t="shared" si="516"/>
        <v/>
      </c>
      <c r="CM251" s="248" t="str">
        <f>IFERROR(IF(B251="", "", IF(B251="New Construction", VLOOKUP(V251, 'Lookup Tables'!$AF$114:$AG$120, 2, FALSE), VLOOKUP(V251, 'Lookup Tables'!$AD$6:$AE$25, 2, FALSE))), "")</f>
        <v/>
      </c>
      <c r="CN251" s="248" t="str">
        <f t="shared" si="517"/>
        <v/>
      </c>
      <c r="CO251" s="248" t="str">
        <f t="shared" si="518"/>
        <v/>
      </c>
      <c r="CP251" s="592" t="str">
        <f t="shared" si="519"/>
        <v/>
      </c>
      <c r="CQ251" s="248" t="str">
        <f t="shared" si="572"/>
        <v/>
      </c>
      <c r="CR251" s="100"/>
      <c r="CS251" s="250" t="str">
        <f t="shared" si="520"/>
        <v/>
      </c>
      <c r="CT251" s="250" t="str">
        <f t="shared" si="573"/>
        <v/>
      </c>
      <c r="CU251" s="250" t="str">
        <f t="shared" si="574"/>
        <v/>
      </c>
      <c r="CV251" s="250" t="str">
        <f t="shared" si="575"/>
        <v/>
      </c>
      <c r="CW251" s="250" t="str">
        <f t="shared" si="576"/>
        <v/>
      </c>
      <c r="CX251" s="250" t="str">
        <f t="shared" si="521"/>
        <v/>
      </c>
      <c r="CY251" s="250" t="str">
        <f t="shared" si="522"/>
        <v/>
      </c>
      <c r="CZ251" s="250" t="str">
        <f t="shared" si="523"/>
        <v/>
      </c>
      <c r="DA251" s="250" t="str">
        <f t="shared" si="524"/>
        <v/>
      </c>
      <c r="DB251" s="250" t="str">
        <f t="shared" si="525"/>
        <v/>
      </c>
      <c r="DC251" s="250" t="str">
        <f t="shared" si="526"/>
        <v/>
      </c>
      <c r="DD251" s="250" t="str">
        <f t="shared" si="527"/>
        <v/>
      </c>
      <c r="DE251" s="250" t="str">
        <f t="shared" si="528"/>
        <v/>
      </c>
      <c r="DF251" s="250" t="str">
        <f t="shared" si="529"/>
        <v/>
      </c>
      <c r="DG251" s="250" t="str">
        <f t="shared" si="530"/>
        <v/>
      </c>
      <c r="DH251" s="250" t="str">
        <f t="shared" si="531"/>
        <v/>
      </c>
      <c r="DI251" s="250" t="str">
        <f t="shared" si="532"/>
        <v/>
      </c>
      <c r="DJ251" s="250" t="str">
        <f t="shared" si="533"/>
        <v/>
      </c>
      <c r="DK251" s="250" t="str">
        <f t="shared" si="534"/>
        <v/>
      </c>
      <c r="DL251" s="250" t="str">
        <f t="shared" si="535"/>
        <v/>
      </c>
      <c r="DM251" s="250" t="str">
        <f>IF(CD251="ERROR", "ERROR", IF(AND(OR(Y251=$DM$6, Y251='Lookup Tables'!$AD$21, Y251='Lookup Tables'!$AD$22), E251="Interior"), BJ251, ""))</f>
        <v/>
      </c>
      <c r="DN251" s="250" t="str">
        <f>IF(CD251="ERROR", "ERROR", IF(AND(OR(Y251=$DM$6, Y251='Lookup Tables'!$AD$21, Y251='Lookup Tables'!$AD$22), E251="Exterior"), BJ251, ""))</f>
        <v/>
      </c>
      <c r="DO251" s="100"/>
      <c r="DP251" s="250" t="str">
        <f t="shared" si="536"/>
        <v/>
      </c>
      <c r="DQ251" s="250" t="str">
        <f t="shared" si="577"/>
        <v/>
      </c>
      <c r="DR251" s="250" t="str">
        <f t="shared" si="578"/>
        <v/>
      </c>
      <c r="DS251" s="250" t="str">
        <f t="shared" si="579"/>
        <v/>
      </c>
      <c r="DT251" s="250" t="str">
        <f t="shared" si="580"/>
        <v/>
      </c>
      <c r="DU251" s="250" t="str">
        <f t="shared" si="537"/>
        <v/>
      </c>
      <c r="DV251" s="250" t="str">
        <f t="shared" si="538"/>
        <v/>
      </c>
      <c r="DW251" s="250" t="str">
        <f t="shared" si="539"/>
        <v/>
      </c>
      <c r="DX251" s="250" t="str">
        <f t="shared" si="540"/>
        <v/>
      </c>
      <c r="DY251" s="250" t="str">
        <f t="shared" si="541"/>
        <v/>
      </c>
      <c r="DZ251" s="250" t="str">
        <f t="shared" si="542"/>
        <v/>
      </c>
      <c r="EA251" s="250" t="str">
        <f t="shared" si="543"/>
        <v/>
      </c>
      <c r="EB251" s="250" t="str">
        <f t="shared" si="581"/>
        <v/>
      </c>
      <c r="EC251" s="250" t="str">
        <f t="shared" si="544"/>
        <v/>
      </c>
      <c r="ED251" s="250" t="str">
        <f t="shared" si="545"/>
        <v/>
      </c>
      <c r="EE251" s="250" t="str">
        <f t="shared" si="546"/>
        <v/>
      </c>
      <c r="EF251" s="250" t="str">
        <f t="shared" si="547"/>
        <v/>
      </c>
      <c r="EG251" s="250" t="str">
        <f t="shared" si="548"/>
        <v/>
      </c>
      <c r="EH251" s="250" t="str">
        <f>IF(CD251="ERROR", "ERROR", IF(AND(OR($EH$6=Y251, Y251='Lookup Tables'!$AD$21, Y251='Lookup Tables'!$AD$22),E251="Interior"), SUM(BP251:BP251), ""))</f>
        <v/>
      </c>
      <c r="EI251" s="250" t="str">
        <f>IF(CD251="ERROR", "ERROR", IF(AND(OR($EH$6=Y251, Y251='Lookup Tables'!$AD$21, Y251='Lookup Tables'!$AD$22),E251="Exterior"), SUM(BP251:BP251), ""))</f>
        <v/>
      </c>
      <c r="EJ251" s="109"/>
      <c r="EK251" s="485" t="str">
        <f t="shared" si="549"/>
        <v/>
      </c>
      <c r="EL251" s="252" t="str">
        <f t="shared" si="582"/>
        <v/>
      </c>
      <c r="EM251" s="252" t="str">
        <f t="shared" si="583"/>
        <v/>
      </c>
      <c r="EN251" s="252" t="str">
        <f t="shared" si="584"/>
        <v/>
      </c>
      <c r="EO251" s="252" t="str">
        <f t="shared" si="585"/>
        <v/>
      </c>
      <c r="EP251" s="252" t="str">
        <f t="shared" si="586"/>
        <v/>
      </c>
      <c r="EQ251" s="252" t="str">
        <f t="shared" si="587"/>
        <v/>
      </c>
      <c r="ER251" s="252" t="str">
        <f t="shared" si="588"/>
        <v/>
      </c>
      <c r="ES251" s="252" t="str">
        <f t="shared" si="589"/>
        <v/>
      </c>
      <c r="ET251" s="252" t="str">
        <f t="shared" si="590"/>
        <v/>
      </c>
      <c r="EU251" s="252" t="str">
        <f t="shared" si="591"/>
        <v/>
      </c>
      <c r="EV251" s="252" t="str">
        <f t="shared" si="592"/>
        <v/>
      </c>
      <c r="EW251" s="252" t="str">
        <f t="shared" si="593"/>
        <v/>
      </c>
      <c r="EX251" s="252" t="str">
        <f t="shared" si="594"/>
        <v/>
      </c>
      <c r="EY251" s="252" t="str">
        <f t="shared" si="595"/>
        <v/>
      </c>
      <c r="EZ251" s="252" t="str">
        <f t="shared" si="596"/>
        <v/>
      </c>
      <c r="FA251" s="252" t="str">
        <f t="shared" si="597"/>
        <v/>
      </c>
      <c r="FB251" s="252" t="str">
        <f t="shared" si="598"/>
        <v/>
      </c>
      <c r="FC251" s="252" t="str">
        <f>IF(CD251="ERROR", "ERROR", IF(OR(V251="No Change", V251="Not DLC or Energy Star"), "", IF(AND(OR($FC$6=Y251,Y251='Lookup Tables'!$AD$21, Y251='Lookup Tables'!$AD$22),E251="Interior"), S251, "")))</f>
        <v/>
      </c>
      <c r="FD251" s="252" t="str">
        <f t="shared" si="599"/>
        <v/>
      </c>
      <c r="FE251" s="101"/>
      <c r="FF251" s="579" t="str" cm="1">
        <f t="array" ref="FF251">IFERROR(IF(OR(BQ251&lt;=0,AQ251&lt;20,AND(V251="Exit Signs",AN251&gt;0)),"",IF(AND(AQ251&gt;=20,AN251='Lookup Tables'!$R$101),'Lookup Tables'!$U$101*BQ251,AP251*LOOKUP(2,1/((AN251='Lookup Tables'!$R$91:$R$111)*(AQ251&gt;='Lookup Tables'!$S$91:$S$111)*(AQ251&lt;='Lookup Tables'!$T$91:$T$111)),'Lookup Tables'!$U$91:$U$111))),"")</f>
        <v/>
      </c>
      <c r="FG251" s="579"/>
      <c r="FH251" s="579"/>
      <c r="FI251" s="253" t="str">
        <f>IFERROR(ROUND(IF(CD251="ERROR", "ERROR", IF(AND($FI$7=X251,E251="Interior"),VLOOKUP(W251, 'Lookup Tables'!$AI$6:$AM$102, 5, FALSE)*BP251, "")), 2), "")</f>
        <v/>
      </c>
      <c r="FJ251" s="253" t="str">
        <f>IFERROR(ROUND(IF(CD251="ERROR", "ERROR", IF(AND($FI$7=X251,E251="Exterior"),VLOOKUP(W251, 'Lookup Tables'!$AI$6:$AM$102, 5, FALSE)*BP251, "")), 2), "")</f>
        <v/>
      </c>
      <c r="FK251" s="253" t="str">
        <f>IFERROR(ROUND(IF(CD251="ERROR", "ERROR", IF(AND($FK$7=X251,E251="Interior"),VLOOKUP(W251, 'Lookup Tables'!$AI$6:$AM$102, 5, FALSE)*BP251, "")), 2), "")</f>
        <v/>
      </c>
      <c r="FL251" s="253" t="str">
        <f>IFERROR(ROUND(IF(CD251="ERROR", "ERROR", IF(AND($FK$7=X251,E251="Exterior"),VLOOKUP(W251, 'Lookup Tables'!$AI$6:$AM$102, 5, FALSE)*BP251, "")), 2), "")</f>
        <v/>
      </c>
      <c r="FM251" s="253" t="str">
        <f>IFERROR(ROUND(IF(CD251="ERROR", "ERROR", IF(AND($FM$6=Y251,E251="Interior"), IF(GB251=0, VLOOKUP(W251, 'Lookup Tables'!$AI$6:$AM$102, 5, FALSE)*BP251, IF(VLOOKUP(W251, 'Lookup Tables'!$AI$6:$AM$102, 5, FALSE)*BP251&gt;GB251*'Lighting Inventory'!S251, GB251*'Lighting Inventory'!S251,VLOOKUP(W251, 'Lookup Tables'!$AI$6:$AM$102, 5, FALSE)*BP251)), "")), 2), "")</f>
        <v/>
      </c>
      <c r="FN251" s="253" t="str">
        <f>IFERROR(ROUND(IF(CD251="ERROR", "ERROR", IF(AND($FM$6=Y251,E251="Exterior"), IF(GB251=0, VLOOKUP(W251, 'Lookup Tables'!$AI$6:$AM$102, 5, FALSE)*BP251, IF(VLOOKUP(W251, 'Lookup Tables'!$AI$6:$AM$102, 5, FALSE)*BP251&gt;GB251*'Lighting Inventory'!S251, GB251*'Lighting Inventory'!S251,VLOOKUP(W251, 'Lookup Tables'!$AI$6:$AM$102, 5, FALSE)*BP251)), "")), 2), "")</f>
        <v/>
      </c>
      <c r="FO251" s="253" t="str">
        <f>IFERROR(ROUND(IF(CD251="ERROR", "ERROR", IF(AND($FO$6=Y251,E251="Interior"),VLOOKUP(W251, 'Lookup Tables'!$AI$6:$AM$102, 5, FALSE)*'Lighting Inventory'!AI251, "")), 2), "")</f>
        <v/>
      </c>
      <c r="FP251" s="253" t="str">
        <f>IFERROR(ROUND(IF(CD251="ERROR", "ERROR", IF(AND($FO$6=Y251,E251="Exterior"),VLOOKUP(W251, 'Lookup Tables'!$AI$6:$AM$102, 5, FALSE)*'Lighting Inventory'!AI251, "")), 2), "")</f>
        <v/>
      </c>
      <c r="FQ251" s="253" t="str">
        <f>IFERROR(ROUND(IF(CD251="ERROR", "ERROR", IF(AND($FQ$6=Y251,E251="Interior", BU251="Y"), VLOOKUP('Lighting Inventory'!W251, 'Lookup Tables'!$AI$6:$AM$102, 5, FALSE)*'Lighting Inventory'!S251, IF(AND($FQ$7=Y251,E251="Interior", BU251="N"), 0.025*CD251, ""))), 2), "")</f>
        <v/>
      </c>
      <c r="FR251" s="253" t="str">
        <f>IFERROR(ROUND(IF(CD251="ERROR", "ERROR", IF(AND($FQ$6=Y251,E251="Exterior"), VLOOKUP('Lighting Inventory'!W251, 'Lookup Tables'!$AI$6:$AM$102, 5, FALSE)*'Lighting Inventory'!S251, "")), 2), "")</f>
        <v/>
      </c>
      <c r="FS251" s="253" t="str">
        <f>IFERROR(ROUND(IF(CD251="ERROR", "ERROR", IF(AND($FS$6=Y251,E251="Exterior"), IF(GB251=0, VLOOKUP(W251, 'Lookup Tables'!$AI$6:$AM$102, 5, FALSE)*BP251, IF(VLOOKUP(W251, 'Lookup Tables'!$AI$6:$AM$102, 5, FALSE)*BP251&gt;GB251*'Lighting Inventory'!S251, GB251*'Lighting Inventory'!S251,VLOOKUP(W251, 'Lookup Tables'!$AI$6:$AM$102, 5, FALSE)*BP251)), "")), 2), "")</f>
        <v/>
      </c>
      <c r="FT251" s="253" t="str">
        <f>IFERROR(ROUND(IF(CD251="ERROR", "ERROR", IF(AND($FT$6=Y251,E251="Interior"), IF(GB251=0, VLOOKUP(W251, 'Lookup Tables'!$AI$6:$AM$102, 5, FALSE)*BP251, IF(VLOOKUP(W251, 'Lookup Tables'!$AI$6:$AM$102, 5, FALSE)*BP251&gt;GB251*'Lighting Inventory'!S251, GB251*'Lighting Inventory'!S251,VLOOKUP(W251, 'Lookup Tables'!$AI$6:$AM$102, 5, FALSE)*BP251)), "")), 2), "")</f>
        <v/>
      </c>
      <c r="FU251" s="253" t="str">
        <f>IFERROR(ROUND(IF(CD251="ERROR", "ERROR", IF(AND(Y251=$FU$6, E251="Interior"), IF(BS251="N", 'Lookup Tables'!$AM$101*BP251, VLOOKUP(W251, 'Lookup Tables'!$AI$6:$AM$102, 5, FALSE)*S251*AD251), "")), 2), "")</f>
        <v/>
      </c>
      <c r="FV251" s="253" t="str">
        <f>IFERROR(ROUND(IF(CD251="ERROR", "ERROR", IF(AND(Y251=$FU$6, E251="Exterior"), IF(BS251="N", 'Lookup Tables'!$AM$101*BP251, VLOOKUP(W251, 'Lookup Tables'!$AI$6:$AM$102, 5, FALSE)*S251*AD251), "")), 2), "")</f>
        <v/>
      </c>
      <c r="FW251" s="253" t="str">
        <f>IFERROR(ROUND(IF(CD251="ERROR", "ERROR", IF($FW$6=Y251, IF(BS251="N", 'Lookup Tables'!$AM$101*BP251, MIN((VLOOKUP(W251, 'Lookup Tables'!$AI$6:$AM$102, 5, FALSE)*BP251),GB251*AJ251)), "")), 2), "")</f>
        <v/>
      </c>
      <c r="FX251" s="253" t="str">
        <f>IFERROR(ROUND(IF(CD251="ERROR", "ERROR", IF(AND($FX$6=Y251, E251="Interior"), IF(VLOOKUP(W251, 'Lookup Tables'!$AI$6:$AM$102, 5, FALSE)*BP251&gt;'Lookup Tables'!$AQ$97*'Lighting Inventory'!S251,'Lighting Inventory'!S251*'Lookup Tables'!$AQ$97,VLOOKUP(W251, 'Lookup Tables'!$AI$6:$AM$102, 5, FALSE)*BP251), "")), 2), "")</f>
        <v/>
      </c>
      <c r="FY251" s="253" t="str">
        <f>IFERROR(ROUND(IF(CD251="ERROR", "ERROR", IF(AND($FX$6=Y251, E251="Exterior"), IF(VLOOKUP(W251, 'Lookup Tables'!$AI$6:$AM$102, 5, FALSE)*BP251&gt;'Lookup Tables'!$AQ$97*'Lighting Inventory'!S251,'Lighting Inventory'!S251*'Lookup Tables'!$AQ$97,VLOOKUP(W251, 'Lookup Tables'!$AI$6:$AM$102, 5, FALSE)*BP251), "")), 2), "")</f>
        <v/>
      </c>
      <c r="FZ251" s="253" t="str">
        <f>IFERROR(ROUND(IF(CD251="ERROR", "ERROR", IF(AND($FZ$6=Y251, E251="Interior"), IF(AND(OR(W251="Refrigerated Case Lighting with Doors", W251="Freezer Case Lighting"),Y251="Custom - Process Improvement"),CD251*'Lookup Tables'!$AM$101, IF(B251="Retrofit", IF(VLOOKUP(IF(V251="Custom", V251, W251), 'Lookup Tables'!$AI$6:$AM$102, 5, FALSE)*BP251&gt;GE251, GE251, VLOOKUP(IF(V251="Custom", V251, W251), 'Lookup Tables'!$AI$6:$AM$102, 5, FALSE)*BP251), IF(VLOOKUP(IF(V251="Custom", V251, W251), 'Lookup Tables'!$AI$114:$AM$154, 5, FALSE)*BP251&gt;GE251, GE251, VLOOKUP(IF(V251="Custom", V251, W251), 'Lookup Tables'!$AI$114:$AM$154, 5, FALSE)*BP251))), "")), 2),"")</f>
        <v/>
      </c>
      <c r="GA251" s="253" t="str">
        <f>IFERROR(ROUND(IF(CD251="ERROR", "ERROR", IF(AND($FZ$6=Y251, E251="Exterior"), IF(B251="Retrofit", IF(VLOOKUP(IF(V251="Custom", V251, W251), 'Lookup Tables'!$AI$6:$AM$102, 5, FALSE)*BP251&gt;GE251, GE251, VLOOKUP(IF(V251="Custom", V251, W251), 'Lookup Tables'!$AI$6:$AM$102, 5, FALSE)*BP251), IF(VLOOKUP(IF(V251="Custom", V251, W251), 'Lookup Tables'!$AI$114:$AM$154, 5, FALSE)*BP251&gt;GE251, GE251, VLOOKUP(IF(V251="Custom", V251, W251), 'Lookup Tables'!$AI$114:$AM$154, 5, FALSE)*BP251)), "")), 2),"")</f>
        <v/>
      </c>
      <c r="GB251" s="254" t="str">
        <f t="array" ref="GB251">IF(B251="","",IF(OR(V251="Custom",V251="No Change"),0,IF(B251="Retrofit", INDEX('Lookup Tables'!$AH$6:$AQ$102,MATCH(1,('Lookup Tables'!$AH$6:$AH$102='Lighting Inventory'!V251)*('Lookup Tables'!$AI$6:$AI$102='Lighting Inventory'!W251),FALSE),10),INDEX('Lookup Tables'!$AH$114:$AQ$154,MATCH(1,('Lookup Tables'!$AH$114:$AH$154='Lighting Inventory'!V251)*('Lookup Tables'!$AI$114:$AI$154='Lighting Inventory'!W251),FALSE),10))))</f>
        <v/>
      </c>
      <c r="GC251" s="255" t="str">
        <f t="shared" si="550"/>
        <v/>
      </c>
      <c r="GD251" s="250" t="str">
        <f t="shared" si="551"/>
        <v/>
      </c>
      <c r="GE251" s="253" t="str">
        <f>IFERROR(IF(AND(AF251="", 'General Information'!$F$18="No"),"", IF(AF251="", ((GD251/$CD$266)*$CF$266)*0.5, AF251*S251*0.5)), "")</f>
        <v/>
      </c>
      <c r="GF251" s="255" t="str">
        <f>IF(AND('General Information'!$F$19="", 'General Information'!$F$18="Yes",AF251="",BW251="Y"), "Y", "N")</f>
        <v>N</v>
      </c>
      <c r="GG251" s="255" t="s">
        <v>2946</v>
      </c>
      <c r="GH251" s="255" t="str">
        <f>IFERROR(IF(B251="", "", VLOOKUP(J251, 'Fixture Identities'!$A$6:$N$908, 14, FALSE)), "")</f>
        <v/>
      </c>
      <c r="GI251" s="389" t="str">
        <f>IF(OR(B251="", V251="", W251=""), "", IF(AND(OR(M251='Lookup Tables'!$R$18, M251='Lookup Tables'!$R$19, M251='Lookup Tables'!$R$20, M251='Lookup Tables'!$R$21, M251='Lookup Tables'!$R$22), OR(AN251='Lookup Tables'!$R$17, AN251='Lookup Tables'!$R$17, AN251="")), "Y", "N"))</f>
        <v/>
      </c>
      <c r="GJ251" s="255" t="str">
        <f t="shared" si="552"/>
        <v/>
      </c>
      <c r="GK251" s="255" t="str">
        <f t="shared" si="553"/>
        <v/>
      </c>
      <c r="GL251" s="255" t="str">
        <f t="shared" si="554"/>
        <v/>
      </c>
      <c r="GM251" s="255" t="str">
        <f>IF(AN251="", "", IF(AND(IF(ISNA(VLOOKUP(AN251,'Lookup Tables'!$R$18:$R$22,1,FALSE)), "N", "Y")="Y", E251="Exterior"), "Y", "N"))</f>
        <v/>
      </c>
      <c r="GN251" s="395"/>
      <c r="GO251" s="428">
        <f t="shared" si="600"/>
        <v>0</v>
      </c>
      <c r="GP251" s="428">
        <f t="shared" si="603"/>
        <v>0</v>
      </c>
      <c r="GQ251" s="428">
        <f t="shared" si="601"/>
        <v>0</v>
      </c>
      <c r="GR251" s="428">
        <f t="shared" si="602"/>
        <v>0</v>
      </c>
    </row>
    <row r="252" spans="1:200" s="103" customFormat="1" ht="13.5" customHeight="1" x14ac:dyDescent="0.2">
      <c r="A252" s="272">
        <v>242</v>
      </c>
      <c r="B252" s="110"/>
      <c r="C252" s="110"/>
      <c r="D252" s="110"/>
      <c r="E252" s="110"/>
      <c r="F252" s="110"/>
      <c r="G252" s="110"/>
      <c r="H252" s="110"/>
      <c r="I252" s="29"/>
      <c r="J252" s="29"/>
      <c r="K252" s="272" t="str">
        <f>IFERROR(IF(OR(VLOOKUP(J252, 'Fixture Identities'!$A$6:$L$1023, 3, FALSE)="T12 Linear Fluorescent", VLOOKUP(J252, 'Fixture Identities'!$A$6:$L$1023, 3, FALSE)="T12 U-Tube Fluorescent"), VLOOKUP(VLOOKUP(J252, 'Fixture Identities'!$A$6:$L$1023, 11, FALSE), 'Fixture Identities'!$A$6:$L$1023, 10, FALSE), VLOOKUP(J252, 'Fixture Identities'!$A$6:$L$1023, 10, FALSE)), "")</f>
        <v/>
      </c>
      <c r="L252" s="270" t="str">
        <f t="shared" si="605"/>
        <v/>
      </c>
      <c r="M252" s="110"/>
      <c r="N252" s="110"/>
      <c r="O252" s="110"/>
      <c r="P252" s="272" t="str">
        <f>IFERROR(IF(OR(B252="Retrofit",B252=""),"",IF('Lighting Inventory'!E252="Exterior",VLOOKUP('Lighting Inventory'!N252,'Lookup Tables'!$B$83:$F$103,5,FALSE),IF(N252="Other - Please Estimate EFLH and CFs","Contact Prog. Rep.","ft^2"))), "")</f>
        <v/>
      </c>
      <c r="Q252" s="270" t="str">
        <f>IFERROR(IF(AND(B252="New Construction",E252="Interior",$F$5="Space-by-Space"),VLOOKUP('Lighting Inventory'!N252,'Lookup Tables'!$N$6:$O$97,2,FALSE),IF(AND(B252="New Construction",E252="Exterior"),VLOOKUP(N252,'Lookup Tables'!$B$83:$F$103,2,FALSE),IF(AND(B252="New Construction",'Lighting Inventory'!E252="Interior", $F$5="Building Area"),VLOOKUP(F252,'Lookup Tables'!$A$6:$J$59,10,FALSE),""))), "")</f>
        <v/>
      </c>
      <c r="R252" s="270" t="str">
        <f>IFERROR(IF(P252="Contact Prog. Rep.", "ERROR", IF(OR(B252="",B252="Retrofit"),"",IF(N252="Automated teller machines", ('Lookup Tables'!$A$82:$E$100+('Lighting Inventory'!O252-1)*'Lookup Tables'!$A$82:$E$100)/1000, (Q252*O252)/1000))), "")</f>
        <v/>
      </c>
      <c r="S252" s="595"/>
      <c r="T252" s="105" t="str">
        <f t="shared" si="555"/>
        <v/>
      </c>
      <c r="U252" s="105" t="str">
        <f>IF(S252="","",COUNT($S$11:S252))</f>
        <v/>
      </c>
      <c r="V252" s="111"/>
      <c r="W252" s="112"/>
      <c r="X252" s="105" t="str">
        <f t="shared" si="556"/>
        <v/>
      </c>
      <c r="Y252" s="105" t="str">
        <f t="array" ref="Y252">IF(AND(OR(W252="Freezer Case Lighting", W252="Refrigerated Case Lighting with Doors"), 'General Information'!$X$18="LCI"),'Lookup Tables'!$Y$34, IF(V252="Custom", VLOOKUP(W252, 'Fixture Identities'!$A$974:$M$1023, 13, FALSE), IF(V252="No Change",'Lookup Tables'!$Y$29,IF(OR(V252="",W252=""),"",IF(AND(S252=0,S252&lt;I252,B252="Retrofit"),'Lookup Tables'!$Y$25, IF(B252="Retrofit", INDEX('Lookup Tables'!$AH$6:$AP$102, MATCH(1, ('Lookup Tables'!$AH$6:$AH$102=V252)*('Lookup Tables'!$AI$6:$AI$102=W252), 0), IF('Lighting Inventory'!E252="Interior", 4, 5)), INDEX('Lookup Tables'!$AH$114:$AP$154, MATCH(1, ('Lookup Tables'!$AH$114:$AH$154=V252)*('Lookup Tables'!$AI$114:$AI$154=W252), 0), IF('Lighting Inventory'!E252="Interior", 4, 5))))))))</f>
        <v/>
      </c>
      <c r="Z252" s="105" t="str">
        <f>IFERROR(INDEX('Lookup Tables'!$AH$158:$AH$172,MATCH('Lighting Inventory'!Y252,'Lookup Tables'!$AI$158:$AI$172,0)),"")</f>
        <v/>
      </c>
      <c r="AA252" s="105" t="str">
        <f>IF(AP252&gt;0,INDEX('Lookup Tables'!$AK$158:$AK$172,MATCH('Lighting Inventory'!Y252,'Lookup Tables'!$AI$158:$AI$172,0)),'Lighting Inventory'!Y252)</f>
        <v/>
      </c>
      <c r="AB252" s="105" t="str">
        <f t="array" ref="AB252">IF(V252="Custom", "Custom", IF(V252="", "", IF(V252="Not DLC or Energy Star", "General", IF(B252="New Construction", INDEX('Lookup Tables'!$AH$114:$AP$154,MATCH(1,('Lookup Tables'!$AH$114:$AH$154='Lighting Inventory'!V252)*('Lookup Tables'!$AI$114:$AI$154='Lighting Inventory'!W252),FALSE),8), INDEX('Lookup Tables'!$AH$6:$AP$102,MATCH(1,('Lookup Tables'!$AH$6:$AH$102='Lighting Inventory'!V252)*('Lookup Tables'!$AI$6:$AI$102='Lighting Inventory'!W252),FALSE),8)))))</f>
        <v/>
      </c>
      <c r="AC252" s="272" t="str">
        <f>IF(W252="","",IF(V252="Custom",CONCATENATE("$",'Lookup Tables'!$AM$101," ",'Lookup Tables'!$AN$101),CONCATENATE("$",INDEX('Lookup Tables'!$AM$6:$AM$102,MATCH('Lighting Inventory'!W252,'Lookup Tables'!$AI$6:$AI$102,0))," ",INDEX('Lookup Tables'!$AN$6:$AN$102,MATCH('Lighting Inventory'!W252,'Lookup Tables'!$AI$6:$AI$102,0)))))</f>
        <v/>
      </c>
      <c r="AD252" s="72"/>
      <c r="AE252" s="29"/>
      <c r="AF252" s="379"/>
      <c r="AG252" s="370" t="str">
        <f t="shared" si="504"/>
        <v/>
      </c>
      <c r="AH252" s="370" t="str">
        <f t="shared" si="557"/>
        <v/>
      </c>
      <c r="AI252" s="29"/>
      <c r="AJ252" s="29"/>
      <c r="AK252" s="110"/>
      <c r="AL252" s="375" t="str">
        <f>IF(OR(B252="", V252="", W252=""), "", IF(V252="No Change", K252, IF(V252="Remove Fixture", 0, IF(V252="Custom",VLOOKUP(W252,'Fixture Identities'!$A$6:$K$1023,10,FALSE),IF(AE252="", "← ENTER POST WATTS", 'Lighting Inventory'!AE252)))))</f>
        <v/>
      </c>
      <c r="AM252" s="376" t="str">
        <f t="shared" si="505"/>
        <v/>
      </c>
      <c r="AN252" s="29"/>
      <c r="AO252" s="671"/>
      <c r="AP252" s="29"/>
      <c r="AQ252" s="29"/>
      <c r="AR252" s="29"/>
      <c r="AS252" s="272" t="str">
        <f t="shared" si="558"/>
        <v/>
      </c>
      <c r="AT252" s="270" t="str">
        <f t="shared" si="506"/>
        <v/>
      </c>
      <c r="AU252" s="88" t="str">
        <f t="shared" si="606"/>
        <v/>
      </c>
      <c r="AV252" s="29"/>
      <c r="AW252" s="73"/>
      <c r="AX252" s="271" t="str">
        <f>IF(AND(AV252="Applicant",OR(AW252="", AW252="Use Default Facility Hours")),"← Choose Schedule",IF(F252="","",IF(W252="LED Exit Signs",8760,IF(OR(AV252="Prescribed",AV252=""),VLOOKUP(F252,'Lookup Tables'!$A$6:$G$59,IF(AB252="General", 6, 3),FALSE),VLOOKUP(AW252,'Lookup Tables'!$S$36:$U$43,2,FALSE)))))</f>
        <v/>
      </c>
      <c r="AY252" s="88" t="str">
        <f t="shared" si="507"/>
        <v/>
      </c>
      <c r="AZ252" s="270" t="str">
        <f>IFERROR(IF(F252="", "", IF(W252="LED Exit Signs", 1, IF(AV252="Applicant",VLOOKUP(AW252, 'Lookup Tables'!$S$36:$U$43,3, FALSE), VLOOKUP('Lighting Inventory'!F252, 'Lookup Tables'!$A$6:$H$59, IF('Lighting Inventory'!AB252="General",7,4), FALSE)))), "")</f>
        <v/>
      </c>
      <c r="BA252" s="522" t="str">
        <f>IFERROR(IF(F252="", "", IF(W252="LED Exit Signs", 1, VLOOKUP('Lighting Inventory'!F252, 'Lookup Tables'!$A$6:$H$59, IF('Lighting Inventory'!AB252="General",8,5), FALSE))), "")</f>
        <v/>
      </c>
      <c r="BB252" s="270" t="str">
        <f>IF(G252="", "", IF(E252="Exterior", 0, IF('Lighting Inventory'!G252="Air Conditioned", VLOOKUP(H252, 'Lookup Tables'!$R$6:$T$13, 2, FALSE), VLOOKUP('Lighting Inventory'!G252, 'Lookup Tables'!$R$6:$T$13, 2, FALSE))))</f>
        <v/>
      </c>
      <c r="BC252" s="522" t="str">
        <f>IF(G252="", "", IF(E252="Exterior", 0, IF('Lighting Inventory'!G252="Air Conditioned", VLOOKUP(H252, 'Lookup Tables'!$R$6:$T$13, 3, FALSE), VLOOKUP('Lighting Inventory'!G252, 'Lookup Tables'!$R$6:$T$13, 3, FALSE))))</f>
        <v/>
      </c>
      <c r="BD252" s="270" t="str">
        <f>IF(G252="", "", IF(E252="Exterior", 0, IF('Lighting Inventory'!G252="Air Conditioned", VLOOKUP(H252, 'Lookup Tables'!$R$6:$U$13, 4, FALSE), VLOOKUP('Lighting Inventory'!G252, 'Lookup Tables'!$R$6:$U$13, 4, FALSE))))</f>
        <v/>
      </c>
      <c r="BE252" s="270" t="str">
        <f>IFERROR(IF(B252="", "",  IF(B252="New Construction", VLOOKUP(F252, 'Lookup Tables'!$A$6:$K$59, 11, FALSE),IF(OR(AN252="", AN252="Light Switch"), 0, IF(OR(M252="",M252="None",V252= "LED Exit Signs"),0,_xlfn.XLOOKUP(M252,'Lookup Tables'!$R$91:$R$101,'Lookup Tables'!$V$91:$V$101))))), "")</f>
        <v/>
      </c>
      <c r="BF252" s="270" t="str">
        <f>IF(AND(OR(AN252="Light Switch",AN252=""),B252="New Construction"), VLOOKUP(F252, 'Lookup Tables'!$A$6:$K$59, 11, FALSE),IF(AN252="","",IF(B252="","",IF(OR(AN252="None",AN252="",V252="LED Exit Signs",AN252="Exterior Controls Not Eligible"),0,_xlfn.XLOOKUP(AN252,'Lookup Tables'!$R$91:$R$101,'Lookup Tables'!$V$91:$V$101)))))</f>
        <v/>
      </c>
      <c r="BG252" s="88" t="str">
        <f t="shared" si="559"/>
        <v/>
      </c>
      <c r="BH252" s="88" t="str">
        <f t="shared" si="560"/>
        <v/>
      </c>
      <c r="BI252" s="558" t="str">
        <f t="shared" si="604"/>
        <v/>
      </c>
      <c r="BJ252" s="82" t="str">
        <f t="shared" si="561"/>
        <v/>
      </c>
      <c r="BK252" s="82" t="str">
        <f t="shared" si="562"/>
        <v/>
      </c>
      <c r="BL252" s="559" t="str">
        <f t="shared" si="563"/>
        <v/>
      </c>
      <c r="BM252" s="521" t="str">
        <f t="shared" si="508"/>
        <v/>
      </c>
      <c r="BN252" s="521" t="str">
        <f t="shared" si="509"/>
        <v/>
      </c>
      <c r="BO252" s="522" t="str">
        <f t="shared" si="510"/>
        <v/>
      </c>
      <c r="BP252" s="83" t="str">
        <f t="shared" si="564"/>
        <v/>
      </c>
      <c r="BQ252" s="84" t="str">
        <f t="shared" si="565"/>
        <v/>
      </c>
      <c r="BR252" s="184" t="str">
        <f>IFERROR(IF(B252="", "", IF(OR(VLOOKUP(J252, 'Fixture Identities'!$A$6:$L$1023, 3, FALSE)="T12 Linear Fluorescent",VLOOKUP(J252, 'Fixture Identities'!$A$6:$L$1023, 3, FALSE)="T12 U-Tube Fluorescent"), "Y", "N")), "N")</f>
        <v/>
      </c>
      <c r="BS252" s="184" t="str">
        <f t="array" ref="BS252">IFERROR(IF(OR(B252="", V252="", W252=""), "", IF(V252="Custom", "N", IF(OR(W252="Freezer Case Lighting", W252="Refrigerated Case Lighting with Doors"), BT252, IF(B252="Retrofit", INDEX('Lookup Tables'!$AH$6:$AT$102,MATCH(1,('Lookup Tables'!$AH$6:$AH$102=V252)*('Lookup Tables'!$AI$6:$AI$102=W252),FALSE),IF(VLOOKUP(J252, 'Fixture Identities'!$A$6:$B$1023, 2, FALSE)="Incandescent",12, 13)), INDEX('Lookup Tables'!$AH$114:$AS$154,MATCH(1,('Lookup Tables'!$AH$114:$AH$154=V252)*('Lookup Tables'!$AI$114:$AI$154=W252),FALSE),12))))), "N")</f>
        <v/>
      </c>
      <c r="BT252" s="184" t="str">
        <f>IF(J252="", "", IF(AND(OR(W252="Freezer case Lighting", W252="Refrigerated Case Lighting with Doors"),'General Information'!$X$18="LCI"), "N", IF(OR(VLOOKUP(J252, 'Fixture Identities'!$A$6:$B$1023, 2, FALSE)="T12 EPACT/EISA Baseline", VLOOKUP(J252, 'Fixture Identities'!$A$6:$B$1023, 2, FALSE)="Linear Fluorescent", VLOOKUP(J252, 'Fixture Identities'!$A$6:$B$1023, 2, FALSE)="U-Tube Fluorescent"), "Y", "N")))</f>
        <v/>
      </c>
      <c r="BU252" s="184" t="str">
        <f>IFERROR(IF(B252="", "", IF(VLOOKUP(J252, 'Fixture Identities'!$A$6:$B$1023, 2, FALSE)="Exit Sign", "Y", "N")), "N")</f>
        <v/>
      </c>
      <c r="BV252" s="184" t="str">
        <f>IF(V252="Exit Signs", IF(VLOOKUP(J252, 'Fixture Identities'!$A$6:$B$1023, 2, FALSE)="Exit Sign", "N", "Y"), "")</f>
        <v/>
      </c>
      <c r="BW252" s="184" t="str">
        <f t="array" ref="BW252">IFERROR(IF(B252="", "", IF(B252="New Construction", "N", INDEX('Lookup Tables'!$AH$6:$AU$102, MATCH(1, ('Lookup Tables'!$AH$6:$AH$102='Lighting Inventory'!V252)*('Lookup Tables'!$AI$6:$AI$102='Lighting Inventory'!W252), 0), 14))), "N")</f>
        <v/>
      </c>
      <c r="BX252" s="598" t="str">
        <f t="shared" si="566"/>
        <v/>
      </c>
      <c r="BY252" s="598" t="str">
        <f t="shared" si="567"/>
        <v/>
      </c>
      <c r="BZ252" s="598" t="str">
        <f t="shared" si="568"/>
        <v/>
      </c>
      <c r="CA252" s="598" t="str">
        <f t="shared" si="569"/>
        <v/>
      </c>
      <c r="CB252" s="269" t="str">
        <f t="shared" si="570"/>
        <v/>
      </c>
      <c r="CC252" s="517" t="str">
        <f t="shared" si="571"/>
        <v/>
      </c>
      <c r="CD252" s="565" t="str">
        <f t="shared" si="511"/>
        <v/>
      </c>
      <c r="CE252" s="368">
        <v>0</v>
      </c>
      <c r="CF252" s="368" t="str" cm="1">
        <f t="array" ref="CF252">IFERROR(IF(V252="Custom", "$0.1 per kWh", IF(B252="New Construction", CONCATENATE("$",INDEX('Lookup Tables'!$AH$114:$AN$154,MATCH(1,('Lookup Tables'!$AH$114:$AH$154='Lighting Inventory'!V252)*('Lookup Tables'!$AI$114:$AI$154='Lighting Inventory'!W252),FALSE),6)," ",INDEX('Lookup Tables'!$AH$114:$AN$154,MATCH(1,('Lookup Tables'!$AH$114:$AH$154='Lighting Inventory'!V252)*('Lookup Tables'!$AI$114:$AI$154='Lighting Inventory'!W252),FALSE),7)), IF(AND(BU252="N", V252="Exit Signs"), "$0.025 per kWh", CONCATENATE("$",INDEX('Lookup Tables'!$AH$6:$AN$102,MATCH(1,('Lookup Tables'!$AH$6:$AH$102='Lighting Inventory'!V252)*('Lookup Tables'!$AI$6:$AI$102='Lighting Inventory'!W252),FALSE),6)," ",INDEX('Lookup Tables'!$AH$6:$AN$102,MATCH(1,('Lookup Tables'!$AH$6:$AH$102='Lighting Inventory'!V252)*('Lookup Tables'!$AI$6:$AI$102='Lighting Inventory'!W252),FALSE),7))))), "")</f>
        <v/>
      </c>
      <c r="CG252" s="366"/>
      <c r="CH252" s="248" t="str">
        <f t="shared" si="512"/>
        <v/>
      </c>
      <c r="CI252" s="248" t="str">
        <f t="shared" si="513"/>
        <v>Select_IE</v>
      </c>
      <c r="CJ252" s="248" t="str">
        <f t="shared" si="514"/>
        <v/>
      </c>
      <c r="CK252" s="248" t="str">
        <f t="shared" si="515"/>
        <v/>
      </c>
      <c r="CL252" s="248" t="str">
        <f t="shared" si="516"/>
        <v/>
      </c>
      <c r="CM252" s="248" t="str">
        <f>IFERROR(IF(B252="", "", IF(B252="New Construction", VLOOKUP(V252, 'Lookup Tables'!$AF$114:$AG$120, 2, FALSE), VLOOKUP(V252, 'Lookup Tables'!$AD$6:$AE$25, 2, FALSE))), "")</f>
        <v/>
      </c>
      <c r="CN252" s="248" t="str">
        <f t="shared" si="517"/>
        <v/>
      </c>
      <c r="CO252" s="248" t="str">
        <f t="shared" si="518"/>
        <v/>
      </c>
      <c r="CP252" s="592" t="str">
        <f t="shared" si="519"/>
        <v/>
      </c>
      <c r="CQ252" s="248" t="str">
        <f t="shared" si="572"/>
        <v/>
      </c>
      <c r="CR252" s="100"/>
      <c r="CS252" s="250" t="str">
        <f t="shared" si="520"/>
        <v/>
      </c>
      <c r="CT252" s="250" t="str">
        <f t="shared" si="573"/>
        <v/>
      </c>
      <c r="CU252" s="250" t="str">
        <f t="shared" si="574"/>
        <v/>
      </c>
      <c r="CV252" s="250" t="str">
        <f t="shared" si="575"/>
        <v/>
      </c>
      <c r="CW252" s="250" t="str">
        <f t="shared" si="576"/>
        <v/>
      </c>
      <c r="CX252" s="250" t="str">
        <f t="shared" si="521"/>
        <v/>
      </c>
      <c r="CY252" s="250" t="str">
        <f t="shared" si="522"/>
        <v/>
      </c>
      <c r="CZ252" s="250" t="str">
        <f t="shared" si="523"/>
        <v/>
      </c>
      <c r="DA252" s="250" t="str">
        <f t="shared" si="524"/>
        <v/>
      </c>
      <c r="DB252" s="250" t="str">
        <f t="shared" si="525"/>
        <v/>
      </c>
      <c r="DC252" s="250" t="str">
        <f t="shared" si="526"/>
        <v/>
      </c>
      <c r="DD252" s="250" t="str">
        <f t="shared" si="527"/>
        <v/>
      </c>
      <c r="DE252" s="250" t="str">
        <f t="shared" si="528"/>
        <v/>
      </c>
      <c r="DF252" s="250" t="str">
        <f t="shared" si="529"/>
        <v/>
      </c>
      <c r="DG252" s="250" t="str">
        <f t="shared" si="530"/>
        <v/>
      </c>
      <c r="DH252" s="250" t="str">
        <f t="shared" si="531"/>
        <v/>
      </c>
      <c r="DI252" s="250" t="str">
        <f t="shared" si="532"/>
        <v/>
      </c>
      <c r="DJ252" s="250" t="str">
        <f t="shared" si="533"/>
        <v/>
      </c>
      <c r="DK252" s="250" t="str">
        <f t="shared" si="534"/>
        <v/>
      </c>
      <c r="DL252" s="250" t="str">
        <f t="shared" si="535"/>
        <v/>
      </c>
      <c r="DM252" s="250" t="str">
        <f>IF(CD252="ERROR", "ERROR", IF(AND(OR(Y252=$DM$6, Y252='Lookup Tables'!$AD$21, Y252='Lookup Tables'!$AD$22), E252="Interior"), BJ252, ""))</f>
        <v/>
      </c>
      <c r="DN252" s="250" t="str">
        <f>IF(CD252="ERROR", "ERROR", IF(AND(OR(Y252=$DM$6, Y252='Lookup Tables'!$AD$21, Y252='Lookup Tables'!$AD$22), E252="Exterior"), BJ252, ""))</f>
        <v/>
      </c>
      <c r="DO252" s="100"/>
      <c r="DP252" s="250" t="str">
        <f t="shared" si="536"/>
        <v/>
      </c>
      <c r="DQ252" s="250" t="str">
        <f t="shared" si="577"/>
        <v/>
      </c>
      <c r="DR252" s="250" t="str">
        <f t="shared" si="578"/>
        <v/>
      </c>
      <c r="DS252" s="250" t="str">
        <f t="shared" si="579"/>
        <v/>
      </c>
      <c r="DT252" s="250" t="str">
        <f t="shared" si="580"/>
        <v/>
      </c>
      <c r="DU252" s="250" t="str">
        <f t="shared" si="537"/>
        <v/>
      </c>
      <c r="DV252" s="250" t="str">
        <f t="shared" si="538"/>
        <v/>
      </c>
      <c r="DW252" s="250" t="str">
        <f t="shared" si="539"/>
        <v/>
      </c>
      <c r="DX252" s="250" t="str">
        <f t="shared" si="540"/>
        <v/>
      </c>
      <c r="DY252" s="250" t="str">
        <f t="shared" si="541"/>
        <v/>
      </c>
      <c r="DZ252" s="250" t="str">
        <f t="shared" si="542"/>
        <v/>
      </c>
      <c r="EA252" s="250" t="str">
        <f t="shared" si="543"/>
        <v/>
      </c>
      <c r="EB252" s="250" t="str">
        <f t="shared" si="581"/>
        <v/>
      </c>
      <c r="EC252" s="250" t="str">
        <f t="shared" si="544"/>
        <v/>
      </c>
      <c r="ED252" s="250" t="str">
        <f t="shared" si="545"/>
        <v/>
      </c>
      <c r="EE252" s="250" t="str">
        <f t="shared" si="546"/>
        <v/>
      </c>
      <c r="EF252" s="250" t="str">
        <f t="shared" si="547"/>
        <v/>
      </c>
      <c r="EG252" s="250" t="str">
        <f t="shared" si="548"/>
        <v/>
      </c>
      <c r="EH252" s="250" t="str">
        <f>IF(CD252="ERROR", "ERROR", IF(AND(OR($EH$6=Y252, Y252='Lookup Tables'!$AD$21, Y252='Lookup Tables'!$AD$22),E252="Interior"), SUM(BP252:BP252), ""))</f>
        <v/>
      </c>
      <c r="EI252" s="250" t="str">
        <f>IF(CD252="ERROR", "ERROR", IF(AND(OR($EH$6=Y252, Y252='Lookup Tables'!$AD$21, Y252='Lookup Tables'!$AD$22),E252="Exterior"), SUM(BP252:BP252), ""))</f>
        <v/>
      </c>
      <c r="EJ252" s="109"/>
      <c r="EK252" s="485" t="str">
        <f t="shared" si="549"/>
        <v/>
      </c>
      <c r="EL252" s="252" t="str">
        <f t="shared" si="582"/>
        <v/>
      </c>
      <c r="EM252" s="252" t="str">
        <f t="shared" si="583"/>
        <v/>
      </c>
      <c r="EN252" s="252" t="str">
        <f t="shared" si="584"/>
        <v/>
      </c>
      <c r="EO252" s="252" t="str">
        <f t="shared" si="585"/>
        <v/>
      </c>
      <c r="EP252" s="252" t="str">
        <f t="shared" si="586"/>
        <v/>
      </c>
      <c r="EQ252" s="252" t="str">
        <f t="shared" si="587"/>
        <v/>
      </c>
      <c r="ER252" s="252" t="str">
        <f t="shared" si="588"/>
        <v/>
      </c>
      <c r="ES252" s="252" t="str">
        <f t="shared" si="589"/>
        <v/>
      </c>
      <c r="ET252" s="252" t="str">
        <f t="shared" si="590"/>
        <v/>
      </c>
      <c r="EU252" s="252" t="str">
        <f t="shared" si="591"/>
        <v/>
      </c>
      <c r="EV252" s="252" t="str">
        <f t="shared" si="592"/>
        <v/>
      </c>
      <c r="EW252" s="252" t="str">
        <f t="shared" si="593"/>
        <v/>
      </c>
      <c r="EX252" s="252" t="str">
        <f t="shared" si="594"/>
        <v/>
      </c>
      <c r="EY252" s="252" t="str">
        <f t="shared" si="595"/>
        <v/>
      </c>
      <c r="EZ252" s="252" t="str">
        <f t="shared" si="596"/>
        <v/>
      </c>
      <c r="FA252" s="252" t="str">
        <f t="shared" si="597"/>
        <v/>
      </c>
      <c r="FB252" s="252" t="str">
        <f t="shared" si="598"/>
        <v/>
      </c>
      <c r="FC252" s="252" t="str">
        <f>IF(CD252="ERROR", "ERROR", IF(OR(V252="No Change", V252="Not DLC or Energy Star"), "", IF(AND(OR($FC$6=Y252,Y252='Lookup Tables'!$AD$21, Y252='Lookup Tables'!$AD$22),E252="Interior"), S252, "")))</f>
        <v/>
      </c>
      <c r="FD252" s="252" t="str">
        <f t="shared" si="599"/>
        <v/>
      </c>
      <c r="FE252" s="101"/>
      <c r="FF252" s="579" t="str" cm="1">
        <f t="array" ref="FF252">IFERROR(IF(OR(BQ252&lt;=0,AQ252&lt;20,AND(V252="Exit Signs",AN252&gt;0)),"",IF(AND(AQ252&gt;=20,AN252='Lookup Tables'!$R$101),'Lookup Tables'!$U$101*BQ252,AP252*LOOKUP(2,1/((AN252='Lookup Tables'!$R$91:$R$111)*(AQ252&gt;='Lookup Tables'!$S$91:$S$111)*(AQ252&lt;='Lookup Tables'!$T$91:$T$111)),'Lookup Tables'!$U$91:$U$111))),"")</f>
        <v/>
      </c>
      <c r="FG252" s="579"/>
      <c r="FH252" s="579"/>
      <c r="FI252" s="253" t="str">
        <f>IFERROR(ROUND(IF(CD252="ERROR", "ERROR", IF(AND($FI$7=X252,E252="Interior"),VLOOKUP(W252, 'Lookup Tables'!$AI$6:$AM$102, 5, FALSE)*BP252, "")), 2), "")</f>
        <v/>
      </c>
      <c r="FJ252" s="253" t="str">
        <f>IFERROR(ROUND(IF(CD252="ERROR", "ERROR", IF(AND($FI$7=X252,E252="Exterior"),VLOOKUP(W252, 'Lookup Tables'!$AI$6:$AM$102, 5, FALSE)*BP252, "")), 2), "")</f>
        <v/>
      </c>
      <c r="FK252" s="253" t="str">
        <f>IFERROR(ROUND(IF(CD252="ERROR", "ERROR", IF(AND($FK$7=X252,E252="Interior"),VLOOKUP(W252, 'Lookup Tables'!$AI$6:$AM$102, 5, FALSE)*BP252, "")), 2), "")</f>
        <v/>
      </c>
      <c r="FL252" s="253" t="str">
        <f>IFERROR(ROUND(IF(CD252="ERROR", "ERROR", IF(AND($FK$7=X252,E252="Exterior"),VLOOKUP(W252, 'Lookup Tables'!$AI$6:$AM$102, 5, FALSE)*BP252, "")), 2), "")</f>
        <v/>
      </c>
      <c r="FM252" s="253" t="str">
        <f>IFERROR(ROUND(IF(CD252="ERROR", "ERROR", IF(AND($FM$6=Y252,E252="Interior"), IF(GB252=0, VLOOKUP(W252, 'Lookup Tables'!$AI$6:$AM$102, 5, FALSE)*BP252, IF(VLOOKUP(W252, 'Lookup Tables'!$AI$6:$AM$102, 5, FALSE)*BP252&gt;GB252*'Lighting Inventory'!S252, GB252*'Lighting Inventory'!S252,VLOOKUP(W252, 'Lookup Tables'!$AI$6:$AM$102, 5, FALSE)*BP252)), "")), 2), "")</f>
        <v/>
      </c>
      <c r="FN252" s="253" t="str">
        <f>IFERROR(ROUND(IF(CD252="ERROR", "ERROR", IF(AND($FM$6=Y252,E252="Exterior"), IF(GB252=0, VLOOKUP(W252, 'Lookup Tables'!$AI$6:$AM$102, 5, FALSE)*BP252, IF(VLOOKUP(W252, 'Lookup Tables'!$AI$6:$AM$102, 5, FALSE)*BP252&gt;GB252*'Lighting Inventory'!S252, GB252*'Lighting Inventory'!S252,VLOOKUP(W252, 'Lookup Tables'!$AI$6:$AM$102, 5, FALSE)*BP252)), "")), 2), "")</f>
        <v/>
      </c>
      <c r="FO252" s="253" t="str">
        <f>IFERROR(ROUND(IF(CD252="ERROR", "ERROR", IF(AND($FO$6=Y252,E252="Interior"),VLOOKUP(W252, 'Lookup Tables'!$AI$6:$AM$102, 5, FALSE)*'Lighting Inventory'!AI252, "")), 2), "")</f>
        <v/>
      </c>
      <c r="FP252" s="253" t="str">
        <f>IFERROR(ROUND(IF(CD252="ERROR", "ERROR", IF(AND($FO$6=Y252,E252="Exterior"),VLOOKUP(W252, 'Lookup Tables'!$AI$6:$AM$102, 5, FALSE)*'Lighting Inventory'!AI252, "")), 2), "")</f>
        <v/>
      </c>
      <c r="FQ252" s="253" t="str">
        <f>IFERROR(ROUND(IF(CD252="ERROR", "ERROR", IF(AND($FQ$6=Y252,E252="Interior", BU252="Y"), VLOOKUP('Lighting Inventory'!W252, 'Lookup Tables'!$AI$6:$AM$102, 5, FALSE)*'Lighting Inventory'!S252, IF(AND($FQ$7=Y252,E252="Interior", BU252="N"), 0.025*CD252, ""))), 2), "")</f>
        <v/>
      </c>
      <c r="FR252" s="253" t="str">
        <f>IFERROR(ROUND(IF(CD252="ERROR", "ERROR", IF(AND($FQ$6=Y252,E252="Exterior"), VLOOKUP('Lighting Inventory'!W252, 'Lookup Tables'!$AI$6:$AM$102, 5, FALSE)*'Lighting Inventory'!S252, "")), 2), "")</f>
        <v/>
      </c>
      <c r="FS252" s="253" t="str">
        <f>IFERROR(ROUND(IF(CD252="ERROR", "ERROR", IF(AND($FS$6=Y252,E252="Exterior"), IF(GB252=0, VLOOKUP(W252, 'Lookup Tables'!$AI$6:$AM$102, 5, FALSE)*BP252, IF(VLOOKUP(W252, 'Lookup Tables'!$AI$6:$AM$102, 5, FALSE)*BP252&gt;GB252*'Lighting Inventory'!S252, GB252*'Lighting Inventory'!S252,VLOOKUP(W252, 'Lookup Tables'!$AI$6:$AM$102, 5, FALSE)*BP252)), "")), 2), "")</f>
        <v/>
      </c>
      <c r="FT252" s="253" t="str">
        <f>IFERROR(ROUND(IF(CD252="ERROR", "ERROR", IF(AND($FT$6=Y252,E252="Interior"), IF(GB252=0, VLOOKUP(W252, 'Lookup Tables'!$AI$6:$AM$102, 5, FALSE)*BP252, IF(VLOOKUP(W252, 'Lookup Tables'!$AI$6:$AM$102, 5, FALSE)*BP252&gt;GB252*'Lighting Inventory'!S252, GB252*'Lighting Inventory'!S252,VLOOKUP(W252, 'Lookup Tables'!$AI$6:$AM$102, 5, FALSE)*BP252)), "")), 2), "")</f>
        <v/>
      </c>
      <c r="FU252" s="253" t="str">
        <f>IFERROR(ROUND(IF(CD252="ERROR", "ERROR", IF(AND(Y252=$FU$6, E252="Interior"), IF(BS252="N", 'Lookup Tables'!$AM$101*BP252, VLOOKUP(W252, 'Lookup Tables'!$AI$6:$AM$102, 5, FALSE)*S252*AD252), "")), 2), "")</f>
        <v/>
      </c>
      <c r="FV252" s="253" t="str">
        <f>IFERROR(ROUND(IF(CD252="ERROR", "ERROR", IF(AND(Y252=$FU$6, E252="Exterior"), IF(BS252="N", 'Lookup Tables'!$AM$101*BP252, VLOOKUP(W252, 'Lookup Tables'!$AI$6:$AM$102, 5, FALSE)*S252*AD252), "")), 2), "")</f>
        <v/>
      </c>
      <c r="FW252" s="253" t="str">
        <f>IFERROR(ROUND(IF(CD252="ERROR", "ERROR", IF($FW$6=Y252, IF(BS252="N", 'Lookup Tables'!$AM$101*BP252, MIN((VLOOKUP(W252, 'Lookup Tables'!$AI$6:$AM$102, 5, FALSE)*BP252),GB252*AJ252)), "")), 2), "")</f>
        <v/>
      </c>
      <c r="FX252" s="253" t="str">
        <f>IFERROR(ROUND(IF(CD252="ERROR", "ERROR", IF(AND($FX$6=Y252, E252="Interior"), IF(VLOOKUP(W252, 'Lookup Tables'!$AI$6:$AM$102, 5, FALSE)*BP252&gt;'Lookup Tables'!$AQ$97*'Lighting Inventory'!S252,'Lighting Inventory'!S252*'Lookup Tables'!$AQ$97,VLOOKUP(W252, 'Lookup Tables'!$AI$6:$AM$102, 5, FALSE)*BP252), "")), 2), "")</f>
        <v/>
      </c>
      <c r="FY252" s="253" t="str">
        <f>IFERROR(ROUND(IF(CD252="ERROR", "ERROR", IF(AND($FX$6=Y252, E252="Exterior"), IF(VLOOKUP(W252, 'Lookup Tables'!$AI$6:$AM$102, 5, FALSE)*BP252&gt;'Lookup Tables'!$AQ$97*'Lighting Inventory'!S252,'Lighting Inventory'!S252*'Lookup Tables'!$AQ$97,VLOOKUP(W252, 'Lookup Tables'!$AI$6:$AM$102, 5, FALSE)*BP252), "")), 2), "")</f>
        <v/>
      </c>
      <c r="FZ252" s="253" t="str">
        <f>IFERROR(ROUND(IF(CD252="ERROR", "ERROR", IF(AND($FZ$6=Y252, E252="Interior"), IF(AND(OR(W252="Refrigerated Case Lighting with Doors", W252="Freezer Case Lighting"),Y252="Custom - Process Improvement"),CD252*'Lookup Tables'!$AM$101, IF(B252="Retrofit", IF(VLOOKUP(IF(V252="Custom", V252, W252), 'Lookup Tables'!$AI$6:$AM$102, 5, FALSE)*BP252&gt;GE252, GE252, VLOOKUP(IF(V252="Custom", V252, W252), 'Lookup Tables'!$AI$6:$AM$102, 5, FALSE)*BP252), IF(VLOOKUP(IF(V252="Custom", V252, W252), 'Lookup Tables'!$AI$114:$AM$154, 5, FALSE)*BP252&gt;GE252, GE252, VLOOKUP(IF(V252="Custom", V252, W252), 'Lookup Tables'!$AI$114:$AM$154, 5, FALSE)*BP252))), "")), 2),"")</f>
        <v/>
      </c>
      <c r="GA252" s="253" t="str">
        <f>IFERROR(ROUND(IF(CD252="ERROR", "ERROR", IF(AND($FZ$6=Y252, E252="Exterior"), IF(B252="Retrofit", IF(VLOOKUP(IF(V252="Custom", V252, W252), 'Lookup Tables'!$AI$6:$AM$102, 5, FALSE)*BP252&gt;GE252, GE252, VLOOKUP(IF(V252="Custom", V252, W252), 'Lookup Tables'!$AI$6:$AM$102, 5, FALSE)*BP252), IF(VLOOKUP(IF(V252="Custom", V252, W252), 'Lookup Tables'!$AI$114:$AM$154, 5, FALSE)*BP252&gt;GE252, GE252, VLOOKUP(IF(V252="Custom", V252, W252), 'Lookup Tables'!$AI$114:$AM$154, 5, FALSE)*BP252)), "")), 2),"")</f>
        <v/>
      </c>
      <c r="GB252" s="254" t="str">
        <f t="array" ref="GB252">IF(B252="","",IF(OR(V252="Custom",V252="No Change"),0,IF(B252="Retrofit", INDEX('Lookup Tables'!$AH$6:$AQ$102,MATCH(1,('Lookup Tables'!$AH$6:$AH$102='Lighting Inventory'!V252)*('Lookup Tables'!$AI$6:$AI$102='Lighting Inventory'!W252),FALSE),10),INDEX('Lookup Tables'!$AH$114:$AQ$154,MATCH(1,('Lookup Tables'!$AH$114:$AH$154='Lighting Inventory'!V252)*('Lookup Tables'!$AI$114:$AI$154='Lighting Inventory'!W252),FALSE),10))))</f>
        <v/>
      </c>
      <c r="GC252" s="255" t="str">
        <f t="shared" si="550"/>
        <v/>
      </c>
      <c r="GD252" s="250" t="str">
        <f t="shared" si="551"/>
        <v/>
      </c>
      <c r="GE252" s="253" t="str">
        <f>IFERROR(IF(AND(AF252="", 'General Information'!$F$18="No"),"", IF(AF252="", ((GD252/$CD$266)*$CF$266)*0.5, AF252*S252*0.5)), "")</f>
        <v/>
      </c>
      <c r="GF252" s="255" t="str">
        <f>IF(AND('General Information'!$F$19="", 'General Information'!$F$18="Yes",AF252="",BW252="Y"), "Y", "N")</f>
        <v>N</v>
      </c>
      <c r="GG252" s="255" t="s">
        <v>2946</v>
      </c>
      <c r="GH252" s="255" t="str">
        <f>IFERROR(IF(B252="", "", VLOOKUP(J252, 'Fixture Identities'!$A$6:$N$908, 14, FALSE)), "")</f>
        <v/>
      </c>
      <c r="GI252" s="389" t="str">
        <f>IF(OR(B252="", V252="", W252=""), "", IF(AND(OR(M252='Lookup Tables'!$R$18, M252='Lookup Tables'!$R$19, M252='Lookup Tables'!$R$20, M252='Lookup Tables'!$R$21, M252='Lookup Tables'!$R$22), OR(AN252='Lookup Tables'!$R$17, AN252='Lookup Tables'!$R$17, AN252="")), "Y", "N"))</f>
        <v/>
      </c>
      <c r="GJ252" s="255" t="str">
        <f t="shared" si="552"/>
        <v/>
      </c>
      <c r="GK252" s="255" t="str">
        <f t="shared" si="553"/>
        <v/>
      </c>
      <c r="GL252" s="255" t="str">
        <f t="shared" si="554"/>
        <v/>
      </c>
      <c r="GM252" s="255" t="str">
        <f>IF(AN252="", "", IF(AND(IF(ISNA(VLOOKUP(AN252,'Lookup Tables'!$R$18:$R$22,1,FALSE)), "N", "Y")="Y", E252="Exterior"), "Y", "N"))</f>
        <v/>
      </c>
      <c r="GN252" s="395"/>
      <c r="GO252" s="428">
        <f t="shared" si="600"/>
        <v>0</v>
      </c>
      <c r="GP252" s="428">
        <f t="shared" si="603"/>
        <v>0</v>
      </c>
      <c r="GQ252" s="428">
        <f t="shared" si="601"/>
        <v>0</v>
      </c>
      <c r="GR252" s="428">
        <f t="shared" si="602"/>
        <v>0</v>
      </c>
    </row>
    <row r="253" spans="1:200" s="103" customFormat="1" ht="13.5" customHeight="1" x14ac:dyDescent="0.2">
      <c r="A253" s="272">
        <v>243</v>
      </c>
      <c r="B253" s="110"/>
      <c r="C253" s="110"/>
      <c r="D253" s="110"/>
      <c r="E253" s="110"/>
      <c r="F253" s="110"/>
      <c r="G253" s="110"/>
      <c r="H253" s="110"/>
      <c r="I253" s="29"/>
      <c r="J253" s="29"/>
      <c r="K253" s="272" t="str">
        <f>IFERROR(IF(OR(VLOOKUP(J253, 'Fixture Identities'!$A$6:$L$1023, 3, FALSE)="T12 Linear Fluorescent", VLOOKUP(J253, 'Fixture Identities'!$A$6:$L$1023, 3, FALSE)="T12 U-Tube Fluorescent"), VLOOKUP(VLOOKUP(J253, 'Fixture Identities'!$A$6:$L$1023, 11, FALSE), 'Fixture Identities'!$A$6:$L$1023, 10, FALSE), VLOOKUP(J253, 'Fixture Identities'!$A$6:$L$1023, 10, FALSE)), "")</f>
        <v/>
      </c>
      <c r="L253" s="270" t="str">
        <f t="shared" si="605"/>
        <v/>
      </c>
      <c r="M253" s="110"/>
      <c r="N253" s="110"/>
      <c r="O253" s="110"/>
      <c r="P253" s="272" t="str">
        <f>IFERROR(IF(OR(B253="Retrofit",B253=""),"",IF('Lighting Inventory'!E253="Exterior",VLOOKUP('Lighting Inventory'!N253,'Lookup Tables'!$B$83:$F$103,5,FALSE),IF(N253="Other - Please Estimate EFLH and CFs","Contact Prog. Rep.","ft^2"))), "")</f>
        <v/>
      </c>
      <c r="Q253" s="270" t="str">
        <f>IFERROR(IF(AND(B253="New Construction",E253="Interior",$F$5="Space-by-Space"),VLOOKUP('Lighting Inventory'!N253,'Lookup Tables'!$N$6:$O$97,2,FALSE),IF(AND(B253="New Construction",E253="Exterior"),VLOOKUP(N253,'Lookup Tables'!$B$83:$F$103,2,FALSE),IF(AND(B253="New Construction",'Lighting Inventory'!E253="Interior", $F$5="Building Area"),VLOOKUP(F253,'Lookup Tables'!$A$6:$J$59,10,FALSE),""))), "")</f>
        <v/>
      </c>
      <c r="R253" s="270" t="str">
        <f>IFERROR(IF(P253="Contact Prog. Rep.", "ERROR", IF(OR(B253="",B253="Retrofit"),"",IF(N253="Automated teller machines", ('Lookup Tables'!$A$82:$E$100+('Lighting Inventory'!O253-1)*'Lookup Tables'!$A$82:$E$100)/1000, (Q253*O253)/1000))), "")</f>
        <v/>
      </c>
      <c r="S253" s="595"/>
      <c r="T253" s="105" t="str">
        <f t="shared" si="555"/>
        <v/>
      </c>
      <c r="U253" s="105" t="str">
        <f>IF(S253="","",COUNT($S$11:S253))</f>
        <v/>
      </c>
      <c r="V253" s="111"/>
      <c r="W253" s="112"/>
      <c r="X253" s="105" t="str">
        <f t="shared" si="556"/>
        <v/>
      </c>
      <c r="Y253" s="105" t="str">
        <f t="array" ref="Y253">IF(AND(OR(W253="Freezer Case Lighting", W253="Refrigerated Case Lighting with Doors"), 'General Information'!$X$18="LCI"),'Lookup Tables'!$Y$34, IF(V253="Custom", VLOOKUP(W253, 'Fixture Identities'!$A$974:$M$1023, 13, FALSE), IF(V253="No Change",'Lookup Tables'!$Y$29,IF(OR(V253="",W253=""),"",IF(AND(S253=0,S253&lt;I253,B253="Retrofit"),'Lookup Tables'!$Y$25, IF(B253="Retrofit", INDEX('Lookup Tables'!$AH$6:$AP$102, MATCH(1, ('Lookup Tables'!$AH$6:$AH$102=V253)*('Lookup Tables'!$AI$6:$AI$102=W253), 0), IF('Lighting Inventory'!E253="Interior", 4, 5)), INDEX('Lookup Tables'!$AH$114:$AP$154, MATCH(1, ('Lookup Tables'!$AH$114:$AH$154=V253)*('Lookup Tables'!$AI$114:$AI$154=W253), 0), IF('Lighting Inventory'!E253="Interior", 4, 5))))))))</f>
        <v/>
      </c>
      <c r="Z253" s="105" t="str">
        <f>IFERROR(INDEX('Lookup Tables'!$AH$158:$AH$172,MATCH('Lighting Inventory'!Y253,'Lookup Tables'!$AI$158:$AI$172,0)),"")</f>
        <v/>
      </c>
      <c r="AA253" s="105" t="str">
        <f>IF(AP253&gt;0,INDEX('Lookup Tables'!$AK$158:$AK$172,MATCH('Lighting Inventory'!Y253,'Lookup Tables'!$AI$158:$AI$172,0)),'Lighting Inventory'!Y253)</f>
        <v/>
      </c>
      <c r="AB253" s="105" t="str">
        <f t="array" ref="AB253">IF(V253="Custom", "Custom", IF(V253="", "", IF(V253="Not DLC or Energy Star", "General", IF(B253="New Construction", INDEX('Lookup Tables'!$AH$114:$AP$154,MATCH(1,('Lookup Tables'!$AH$114:$AH$154='Lighting Inventory'!V253)*('Lookup Tables'!$AI$114:$AI$154='Lighting Inventory'!W253),FALSE),8), INDEX('Lookup Tables'!$AH$6:$AP$102,MATCH(1,('Lookup Tables'!$AH$6:$AH$102='Lighting Inventory'!V253)*('Lookup Tables'!$AI$6:$AI$102='Lighting Inventory'!W253),FALSE),8)))))</f>
        <v/>
      </c>
      <c r="AC253" s="272" t="str">
        <f>IF(W253="","",IF(V253="Custom",CONCATENATE("$",'Lookup Tables'!$AM$101," ",'Lookup Tables'!$AN$101),CONCATENATE("$",INDEX('Lookup Tables'!$AM$6:$AM$102,MATCH('Lighting Inventory'!W253,'Lookup Tables'!$AI$6:$AI$102,0))," ",INDEX('Lookup Tables'!$AN$6:$AN$102,MATCH('Lighting Inventory'!W253,'Lookup Tables'!$AI$6:$AI$102,0)))))</f>
        <v/>
      </c>
      <c r="AD253" s="72"/>
      <c r="AE253" s="29"/>
      <c r="AF253" s="379"/>
      <c r="AG253" s="370" t="str">
        <f t="shared" si="504"/>
        <v/>
      </c>
      <c r="AH253" s="370" t="str">
        <f t="shared" si="557"/>
        <v/>
      </c>
      <c r="AI253" s="29"/>
      <c r="AJ253" s="29"/>
      <c r="AK253" s="110"/>
      <c r="AL253" s="375" t="str">
        <f>IF(OR(B253="", V253="", W253=""), "", IF(V253="No Change", K253, IF(V253="Remove Fixture", 0, IF(V253="Custom",VLOOKUP(W253,'Fixture Identities'!$A$6:$K$1023,10,FALSE),IF(AE253="", "← ENTER POST WATTS", 'Lighting Inventory'!AE253)))))</f>
        <v/>
      </c>
      <c r="AM253" s="376" t="str">
        <f t="shared" si="505"/>
        <v/>
      </c>
      <c r="AN253" s="29"/>
      <c r="AO253" s="671"/>
      <c r="AP253" s="29"/>
      <c r="AQ253" s="29"/>
      <c r="AR253" s="29"/>
      <c r="AS253" s="272" t="str">
        <f t="shared" si="558"/>
        <v/>
      </c>
      <c r="AT253" s="270" t="str">
        <f t="shared" si="506"/>
        <v/>
      </c>
      <c r="AU253" s="88" t="str">
        <f t="shared" si="606"/>
        <v/>
      </c>
      <c r="AV253" s="29"/>
      <c r="AW253" s="73"/>
      <c r="AX253" s="271" t="str">
        <f>IF(AND(AV253="Applicant",OR(AW253="", AW253="Use Default Facility Hours")),"← Choose Schedule",IF(F253="","",IF(W253="LED Exit Signs",8760,IF(OR(AV253="Prescribed",AV253=""),VLOOKUP(F253,'Lookup Tables'!$A$6:$G$59,IF(AB253="General", 6, 3),FALSE),VLOOKUP(AW253,'Lookup Tables'!$S$36:$U$43,2,FALSE)))))</f>
        <v/>
      </c>
      <c r="AY253" s="88" t="str">
        <f t="shared" si="507"/>
        <v/>
      </c>
      <c r="AZ253" s="270" t="str">
        <f>IFERROR(IF(F253="", "", IF(W253="LED Exit Signs", 1, IF(AV253="Applicant",VLOOKUP(AW253, 'Lookup Tables'!$S$36:$U$43,3, FALSE), VLOOKUP('Lighting Inventory'!F253, 'Lookup Tables'!$A$6:$H$59, IF('Lighting Inventory'!AB253="General",7,4), FALSE)))), "")</f>
        <v/>
      </c>
      <c r="BA253" s="522" t="str">
        <f>IFERROR(IF(F253="", "", IF(W253="LED Exit Signs", 1, VLOOKUP('Lighting Inventory'!F253, 'Lookup Tables'!$A$6:$H$59, IF('Lighting Inventory'!AB253="General",8,5), FALSE))), "")</f>
        <v/>
      </c>
      <c r="BB253" s="270" t="str">
        <f>IF(G253="", "", IF(E253="Exterior", 0, IF('Lighting Inventory'!G253="Air Conditioned", VLOOKUP(H253, 'Lookup Tables'!$R$6:$T$13, 2, FALSE), VLOOKUP('Lighting Inventory'!G253, 'Lookup Tables'!$R$6:$T$13, 2, FALSE))))</f>
        <v/>
      </c>
      <c r="BC253" s="522" t="str">
        <f>IF(G253="", "", IF(E253="Exterior", 0, IF('Lighting Inventory'!G253="Air Conditioned", VLOOKUP(H253, 'Lookup Tables'!$R$6:$T$13, 3, FALSE), VLOOKUP('Lighting Inventory'!G253, 'Lookup Tables'!$R$6:$T$13, 3, FALSE))))</f>
        <v/>
      </c>
      <c r="BD253" s="270" t="str">
        <f>IF(G253="", "", IF(E253="Exterior", 0, IF('Lighting Inventory'!G253="Air Conditioned", VLOOKUP(H253, 'Lookup Tables'!$R$6:$U$13, 4, FALSE), VLOOKUP('Lighting Inventory'!G253, 'Lookup Tables'!$R$6:$U$13, 4, FALSE))))</f>
        <v/>
      </c>
      <c r="BE253" s="270" t="str">
        <f>IFERROR(IF(B253="", "",  IF(B253="New Construction", VLOOKUP(F253, 'Lookup Tables'!$A$6:$K$59, 11, FALSE),IF(OR(AN253="", AN253="Light Switch"), 0, IF(OR(M253="",M253="None",V253= "LED Exit Signs"),0,_xlfn.XLOOKUP(M253,'Lookup Tables'!$R$91:$R$101,'Lookup Tables'!$V$91:$V$101))))), "")</f>
        <v/>
      </c>
      <c r="BF253" s="270" t="str">
        <f>IF(AND(OR(AN253="Light Switch",AN253=""),B253="New Construction"), VLOOKUP(F253, 'Lookup Tables'!$A$6:$K$59, 11, FALSE),IF(AN253="","",IF(B253="","",IF(OR(AN253="None",AN253="",V253="LED Exit Signs",AN253="Exterior Controls Not Eligible"),0,_xlfn.XLOOKUP(AN253,'Lookup Tables'!$R$91:$R$101,'Lookup Tables'!$V$91:$V$101)))))</f>
        <v/>
      </c>
      <c r="BG253" s="88" t="str">
        <f t="shared" si="559"/>
        <v/>
      </c>
      <c r="BH253" s="88" t="str">
        <f t="shared" si="560"/>
        <v/>
      </c>
      <c r="BI253" s="558" t="str">
        <f t="shared" si="604"/>
        <v/>
      </c>
      <c r="BJ253" s="82" t="str">
        <f t="shared" si="561"/>
        <v/>
      </c>
      <c r="BK253" s="82" t="str">
        <f t="shared" si="562"/>
        <v/>
      </c>
      <c r="BL253" s="559" t="str">
        <f t="shared" si="563"/>
        <v/>
      </c>
      <c r="BM253" s="521" t="str">
        <f t="shared" si="508"/>
        <v/>
      </c>
      <c r="BN253" s="521" t="str">
        <f t="shared" si="509"/>
        <v/>
      </c>
      <c r="BO253" s="522" t="str">
        <f t="shared" si="510"/>
        <v/>
      </c>
      <c r="BP253" s="83" t="str">
        <f t="shared" si="564"/>
        <v/>
      </c>
      <c r="BQ253" s="84" t="str">
        <f t="shared" si="565"/>
        <v/>
      </c>
      <c r="BR253" s="184" t="str">
        <f>IFERROR(IF(B253="", "", IF(OR(VLOOKUP(J253, 'Fixture Identities'!$A$6:$L$1023, 3, FALSE)="T12 Linear Fluorescent",VLOOKUP(J253, 'Fixture Identities'!$A$6:$L$1023, 3, FALSE)="T12 U-Tube Fluorescent"), "Y", "N")), "N")</f>
        <v/>
      </c>
      <c r="BS253" s="184" t="str">
        <f t="array" ref="BS253">IFERROR(IF(OR(B253="", V253="", W253=""), "", IF(V253="Custom", "N", IF(OR(W253="Freezer Case Lighting", W253="Refrigerated Case Lighting with Doors"), BT253, IF(B253="Retrofit", INDEX('Lookup Tables'!$AH$6:$AT$102,MATCH(1,('Lookup Tables'!$AH$6:$AH$102=V253)*('Lookup Tables'!$AI$6:$AI$102=W253),FALSE),IF(VLOOKUP(J253, 'Fixture Identities'!$A$6:$B$1023, 2, FALSE)="Incandescent",12, 13)), INDEX('Lookup Tables'!$AH$114:$AS$154,MATCH(1,('Lookup Tables'!$AH$114:$AH$154=V253)*('Lookup Tables'!$AI$114:$AI$154=W253),FALSE),12))))), "N")</f>
        <v/>
      </c>
      <c r="BT253" s="184" t="str">
        <f>IF(J253="", "", IF(AND(OR(W253="Freezer case Lighting", W253="Refrigerated Case Lighting with Doors"),'General Information'!$X$18="LCI"), "N", IF(OR(VLOOKUP(J253, 'Fixture Identities'!$A$6:$B$1023, 2, FALSE)="T12 EPACT/EISA Baseline", VLOOKUP(J253, 'Fixture Identities'!$A$6:$B$1023, 2, FALSE)="Linear Fluorescent", VLOOKUP(J253, 'Fixture Identities'!$A$6:$B$1023, 2, FALSE)="U-Tube Fluorescent"), "Y", "N")))</f>
        <v/>
      </c>
      <c r="BU253" s="184" t="str">
        <f>IFERROR(IF(B253="", "", IF(VLOOKUP(J253, 'Fixture Identities'!$A$6:$B$1023, 2, FALSE)="Exit Sign", "Y", "N")), "N")</f>
        <v/>
      </c>
      <c r="BV253" s="184" t="str">
        <f>IF(V253="Exit Signs", IF(VLOOKUP(J253, 'Fixture Identities'!$A$6:$B$1023, 2, FALSE)="Exit Sign", "N", "Y"), "")</f>
        <v/>
      </c>
      <c r="BW253" s="184" t="str">
        <f t="array" ref="BW253">IFERROR(IF(B253="", "", IF(B253="New Construction", "N", INDEX('Lookup Tables'!$AH$6:$AU$102, MATCH(1, ('Lookup Tables'!$AH$6:$AH$102='Lighting Inventory'!V253)*('Lookup Tables'!$AI$6:$AI$102='Lighting Inventory'!W253), 0), 14))), "N")</f>
        <v/>
      </c>
      <c r="BX253" s="598" t="str">
        <f t="shared" si="566"/>
        <v/>
      </c>
      <c r="BY253" s="598" t="str">
        <f t="shared" si="567"/>
        <v/>
      </c>
      <c r="BZ253" s="598" t="str">
        <f t="shared" si="568"/>
        <v/>
      </c>
      <c r="CA253" s="598" t="str">
        <f t="shared" si="569"/>
        <v/>
      </c>
      <c r="CB253" s="269" t="str">
        <f t="shared" si="570"/>
        <v/>
      </c>
      <c r="CC253" s="517" t="str">
        <f t="shared" si="571"/>
        <v/>
      </c>
      <c r="CD253" s="565" t="str">
        <f t="shared" si="511"/>
        <v/>
      </c>
      <c r="CE253" s="368">
        <v>0</v>
      </c>
      <c r="CF253" s="368" t="str" cm="1">
        <f t="array" ref="CF253">IFERROR(IF(V253="Custom", "$0.1 per kWh", IF(B253="New Construction", CONCATENATE("$",INDEX('Lookup Tables'!$AH$114:$AN$154,MATCH(1,('Lookup Tables'!$AH$114:$AH$154='Lighting Inventory'!V253)*('Lookup Tables'!$AI$114:$AI$154='Lighting Inventory'!W253),FALSE),6)," ",INDEX('Lookup Tables'!$AH$114:$AN$154,MATCH(1,('Lookup Tables'!$AH$114:$AH$154='Lighting Inventory'!V253)*('Lookup Tables'!$AI$114:$AI$154='Lighting Inventory'!W253),FALSE),7)), IF(AND(BU253="N", V253="Exit Signs"), "$0.025 per kWh", CONCATENATE("$",INDEX('Lookup Tables'!$AH$6:$AN$102,MATCH(1,('Lookup Tables'!$AH$6:$AH$102='Lighting Inventory'!V253)*('Lookup Tables'!$AI$6:$AI$102='Lighting Inventory'!W253),FALSE),6)," ",INDEX('Lookup Tables'!$AH$6:$AN$102,MATCH(1,('Lookup Tables'!$AH$6:$AH$102='Lighting Inventory'!V253)*('Lookup Tables'!$AI$6:$AI$102='Lighting Inventory'!W253),FALSE),7))))), "")</f>
        <v/>
      </c>
      <c r="CG253" s="366"/>
      <c r="CH253" s="248" t="str">
        <f t="shared" si="512"/>
        <v/>
      </c>
      <c r="CI253" s="248" t="str">
        <f t="shared" si="513"/>
        <v>Select_IE</v>
      </c>
      <c r="CJ253" s="248" t="str">
        <f t="shared" si="514"/>
        <v/>
      </c>
      <c r="CK253" s="248" t="str">
        <f t="shared" si="515"/>
        <v/>
      </c>
      <c r="CL253" s="248" t="str">
        <f t="shared" si="516"/>
        <v/>
      </c>
      <c r="CM253" s="248" t="str">
        <f>IFERROR(IF(B253="", "", IF(B253="New Construction", VLOOKUP(V253, 'Lookup Tables'!$AF$114:$AG$120, 2, FALSE), VLOOKUP(V253, 'Lookup Tables'!$AD$6:$AE$25, 2, FALSE))), "")</f>
        <v/>
      </c>
      <c r="CN253" s="248" t="str">
        <f t="shared" si="517"/>
        <v/>
      </c>
      <c r="CO253" s="248" t="str">
        <f t="shared" si="518"/>
        <v/>
      </c>
      <c r="CP253" s="592" t="str">
        <f t="shared" si="519"/>
        <v/>
      </c>
      <c r="CQ253" s="248" t="str">
        <f t="shared" si="572"/>
        <v/>
      </c>
      <c r="CR253" s="100"/>
      <c r="CS253" s="250" t="str">
        <f t="shared" si="520"/>
        <v/>
      </c>
      <c r="CT253" s="250" t="str">
        <f t="shared" si="573"/>
        <v/>
      </c>
      <c r="CU253" s="250" t="str">
        <f t="shared" si="574"/>
        <v/>
      </c>
      <c r="CV253" s="250" t="str">
        <f t="shared" si="575"/>
        <v/>
      </c>
      <c r="CW253" s="250" t="str">
        <f t="shared" si="576"/>
        <v/>
      </c>
      <c r="CX253" s="250" t="str">
        <f t="shared" si="521"/>
        <v/>
      </c>
      <c r="CY253" s="250" t="str">
        <f t="shared" si="522"/>
        <v/>
      </c>
      <c r="CZ253" s="250" t="str">
        <f t="shared" si="523"/>
        <v/>
      </c>
      <c r="DA253" s="250" t="str">
        <f t="shared" si="524"/>
        <v/>
      </c>
      <c r="DB253" s="250" t="str">
        <f t="shared" si="525"/>
        <v/>
      </c>
      <c r="DC253" s="250" t="str">
        <f t="shared" si="526"/>
        <v/>
      </c>
      <c r="DD253" s="250" t="str">
        <f t="shared" si="527"/>
        <v/>
      </c>
      <c r="DE253" s="250" t="str">
        <f t="shared" si="528"/>
        <v/>
      </c>
      <c r="DF253" s="250" t="str">
        <f t="shared" si="529"/>
        <v/>
      </c>
      <c r="DG253" s="250" t="str">
        <f t="shared" si="530"/>
        <v/>
      </c>
      <c r="DH253" s="250" t="str">
        <f t="shared" si="531"/>
        <v/>
      </c>
      <c r="DI253" s="250" t="str">
        <f t="shared" si="532"/>
        <v/>
      </c>
      <c r="DJ253" s="250" t="str">
        <f t="shared" si="533"/>
        <v/>
      </c>
      <c r="DK253" s="250" t="str">
        <f t="shared" si="534"/>
        <v/>
      </c>
      <c r="DL253" s="250" t="str">
        <f t="shared" si="535"/>
        <v/>
      </c>
      <c r="DM253" s="250" t="str">
        <f>IF(CD253="ERROR", "ERROR", IF(AND(OR(Y253=$DM$6, Y253='Lookup Tables'!$AD$21, Y253='Lookup Tables'!$AD$22), E253="Interior"), BJ253, ""))</f>
        <v/>
      </c>
      <c r="DN253" s="250" t="str">
        <f>IF(CD253="ERROR", "ERROR", IF(AND(OR(Y253=$DM$6, Y253='Lookup Tables'!$AD$21, Y253='Lookup Tables'!$AD$22), E253="Exterior"), BJ253, ""))</f>
        <v/>
      </c>
      <c r="DO253" s="100"/>
      <c r="DP253" s="250" t="str">
        <f t="shared" si="536"/>
        <v/>
      </c>
      <c r="DQ253" s="250" t="str">
        <f t="shared" si="577"/>
        <v/>
      </c>
      <c r="DR253" s="250" t="str">
        <f t="shared" si="578"/>
        <v/>
      </c>
      <c r="DS253" s="250" t="str">
        <f t="shared" si="579"/>
        <v/>
      </c>
      <c r="DT253" s="250" t="str">
        <f t="shared" si="580"/>
        <v/>
      </c>
      <c r="DU253" s="250" t="str">
        <f t="shared" si="537"/>
        <v/>
      </c>
      <c r="DV253" s="250" t="str">
        <f t="shared" si="538"/>
        <v/>
      </c>
      <c r="DW253" s="250" t="str">
        <f t="shared" si="539"/>
        <v/>
      </c>
      <c r="DX253" s="250" t="str">
        <f t="shared" si="540"/>
        <v/>
      </c>
      <c r="DY253" s="250" t="str">
        <f t="shared" si="541"/>
        <v/>
      </c>
      <c r="DZ253" s="250" t="str">
        <f t="shared" si="542"/>
        <v/>
      </c>
      <c r="EA253" s="250" t="str">
        <f t="shared" si="543"/>
        <v/>
      </c>
      <c r="EB253" s="250" t="str">
        <f t="shared" si="581"/>
        <v/>
      </c>
      <c r="EC253" s="250" t="str">
        <f t="shared" si="544"/>
        <v/>
      </c>
      <c r="ED253" s="250" t="str">
        <f t="shared" si="545"/>
        <v/>
      </c>
      <c r="EE253" s="250" t="str">
        <f t="shared" si="546"/>
        <v/>
      </c>
      <c r="EF253" s="250" t="str">
        <f t="shared" si="547"/>
        <v/>
      </c>
      <c r="EG253" s="250" t="str">
        <f t="shared" si="548"/>
        <v/>
      </c>
      <c r="EH253" s="250" t="str">
        <f>IF(CD253="ERROR", "ERROR", IF(AND(OR($EH$6=Y253, Y253='Lookup Tables'!$AD$21, Y253='Lookup Tables'!$AD$22),E253="Interior"), SUM(BP253:BP253), ""))</f>
        <v/>
      </c>
      <c r="EI253" s="250" t="str">
        <f>IF(CD253="ERROR", "ERROR", IF(AND(OR($EH$6=Y253, Y253='Lookup Tables'!$AD$21, Y253='Lookup Tables'!$AD$22),E253="Exterior"), SUM(BP253:BP253), ""))</f>
        <v/>
      </c>
      <c r="EJ253" s="109"/>
      <c r="EK253" s="485" t="str">
        <f t="shared" si="549"/>
        <v/>
      </c>
      <c r="EL253" s="252" t="str">
        <f t="shared" si="582"/>
        <v/>
      </c>
      <c r="EM253" s="252" t="str">
        <f t="shared" si="583"/>
        <v/>
      </c>
      <c r="EN253" s="252" t="str">
        <f t="shared" si="584"/>
        <v/>
      </c>
      <c r="EO253" s="252" t="str">
        <f t="shared" si="585"/>
        <v/>
      </c>
      <c r="EP253" s="252" t="str">
        <f t="shared" si="586"/>
        <v/>
      </c>
      <c r="EQ253" s="252" t="str">
        <f t="shared" si="587"/>
        <v/>
      </c>
      <c r="ER253" s="252" t="str">
        <f t="shared" si="588"/>
        <v/>
      </c>
      <c r="ES253" s="252" t="str">
        <f t="shared" si="589"/>
        <v/>
      </c>
      <c r="ET253" s="252" t="str">
        <f t="shared" si="590"/>
        <v/>
      </c>
      <c r="EU253" s="252" t="str">
        <f t="shared" si="591"/>
        <v/>
      </c>
      <c r="EV253" s="252" t="str">
        <f t="shared" si="592"/>
        <v/>
      </c>
      <c r="EW253" s="252" t="str">
        <f t="shared" si="593"/>
        <v/>
      </c>
      <c r="EX253" s="252" t="str">
        <f t="shared" si="594"/>
        <v/>
      </c>
      <c r="EY253" s="252" t="str">
        <f t="shared" si="595"/>
        <v/>
      </c>
      <c r="EZ253" s="252" t="str">
        <f t="shared" si="596"/>
        <v/>
      </c>
      <c r="FA253" s="252" t="str">
        <f t="shared" si="597"/>
        <v/>
      </c>
      <c r="FB253" s="252" t="str">
        <f t="shared" si="598"/>
        <v/>
      </c>
      <c r="FC253" s="252" t="str">
        <f>IF(CD253="ERROR", "ERROR", IF(OR(V253="No Change", V253="Not DLC or Energy Star"), "", IF(AND(OR($FC$6=Y253,Y253='Lookup Tables'!$AD$21, Y253='Lookup Tables'!$AD$22),E253="Interior"), S253, "")))</f>
        <v/>
      </c>
      <c r="FD253" s="252" t="str">
        <f t="shared" si="599"/>
        <v/>
      </c>
      <c r="FE253" s="101"/>
      <c r="FF253" s="579" t="str" cm="1">
        <f t="array" ref="FF253">IFERROR(IF(OR(BQ253&lt;=0,AQ253&lt;20,AND(V253="Exit Signs",AN253&gt;0)),"",IF(AND(AQ253&gt;=20,AN253='Lookup Tables'!$R$101),'Lookup Tables'!$U$101*BQ253,AP253*LOOKUP(2,1/((AN253='Lookup Tables'!$R$91:$R$111)*(AQ253&gt;='Lookup Tables'!$S$91:$S$111)*(AQ253&lt;='Lookup Tables'!$T$91:$T$111)),'Lookup Tables'!$U$91:$U$111))),"")</f>
        <v/>
      </c>
      <c r="FG253" s="579"/>
      <c r="FH253" s="579"/>
      <c r="FI253" s="253" t="str">
        <f>IFERROR(ROUND(IF(CD253="ERROR", "ERROR", IF(AND($FI$7=X253,E253="Interior"),VLOOKUP(W253, 'Lookup Tables'!$AI$6:$AM$102, 5, FALSE)*BP253, "")), 2), "")</f>
        <v/>
      </c>
      <c r="FJ253" s="253" t="str">
        <f>IFERROR(ROUND(IF(CD253="ERROR", "ERROR", IF(AND($FI$7=X253,E253="Exterior"),VLOOKUP(W253, 'Lookup Tables'!$AI$6:$AM$102, 5, FALSE)*BP253, "")), 2), "")</f>
        <v/>
      </c>
      <c r="FK253" s="253" t="str">
        <f>IFERROR(ROUND(IF(CD253="ERROR", "ERROR", IF(AND($FK$7=X253,E253="Interior"),VLOOKUP(W253, 'Lookup Tables'!$AI$6:$AM$102, 5, FALSE)*BP253, "")), 2), "")</f>
        <v/>
      </c>
      <c r="FL253" s="253" t="str">
        <f>IFERROR(ROUND(IF(CD253="ERROR", "ERROR", IF(AND($FK$7=X253,E253="Exterior"),VLOOKUP(W253, 'Lookup Tables'!$AI$6:$AM$102, 5, FALSE)*BP253, "")), 2), "")</f>
        <v/>
      </c>
      <c r="FM253" s="253" t="str">
        <f>IFERROR(ROUND(IF(CD253="ERROR", "ERROR", IF(AND($FM$6=Y253,E253="Interior"), IF(GB253=0, VLOOKUP(W253, 'Lookup Tables'!$AI$6:$AM$102, 5, FALSE)*BP253, IF(VLOOKUP(W253, 'Lookup Tables'!$AI$6:$AM$102, 5, FALSE)*BP253&gt;GB253*'Lighting Inventory'!S253, GB253*'Lighting Inventory'!S253,VLOOKUP(W253, 'Lookup Tables'!$AI$6:$AM$102, 5, FALSE)*BP253)), "")), 2), "")</f>
        <v/>
      </c>
      <c r="FN253" s="253" t="str">
        <f>IFERROR(ROUND(IF(CD253="ERROR", "ERROR", IF(AND($FM$6=Y253,E253="Exterior"), IF(GB253=0, VLOOKUP(W253, 'Lookup Tables'!$AI$6:$AM$102, 5, FALSE)*BP253, IF(VLOOKUP(W253, 'Lookup Tables'!$AI$6:$AM$102, 5, FALSE)*BP253&gt;GB253*'Lighting Inventory'!S253, GB253*'Lighting Inventory'!S253,VLOOKUP(W253, 'Lookup Tables'!$AI$6:$AM$102, 5, FALSE)*BP253)), "")), 2), "")</f>
        <v/>
      </c>
      <c r="FO253" s="253" t="str">
        <f>IFERROR(ROUND(IF(CD253="ERROR", "ERROR", IF(AND($FO$6=Y253,E253="Interior"),VLOOKUP(W253, 'Lookup Tables'!$AI$6:$AM$102, 5, FALSE)*'Lighting Inventory'!AI253, "")), 2), "")</f>
        <v/>
      </c>
      <c r="FP253" s="253" t="str">
        <f>IFERROR(ROUND(IF(CD253="ERROR", "ERROR", IF(AND($FO$6=Y253,E253="Exterior"),VLOOKUP(W253, 'Lookup Tables'!$AI$6:$AM$102, 5, FALSE)*'Lighting Inventory'!AI253, "")), 2), "")</f>
        <v/>
      </c>
      <c r="FQ253" s="253" t="str">
        <f>IFERROR(ROUND(IF(CD253="ERROR", "ERROR", IF(AND($FQ$6=Y253,E253="Interior", BU253="Y"), VLOOKUP('Lighting Inventory'!W253, 'Lookup Tables'!$AI$6:$AM$102, 5, FALSE)*'Lighting Inventory'!S253, IF(AND($FQ$7=Y253,E253="Interior", BU253="N"), 0.025*CD253, ""))), 2), "")</f>
        <v/>
      </c>
      <c r="FR253" s="253" t="str">
        <f>IFERROR(ROUND(IF(CD253="ERROR", "ERROR", IF(AND($FQ$6=Y253,E253="Exterior"), VLOOKUP('Lighting Inventory'!W253, 'Lookup Tables'!$AI$6:$AM$102, 5, FALSE)*'Lighting Inventory'!S253, "")), 2), "")</f>
        <v/>
      </c>
      <c r="FS253" s="253" t="str">
        <f>IFERROR(ROUND(IF(CD253="ERROR", "ERROR", IF(AND($FS$6=Y253,E253="Exterior"), IF(GB253=0, VLOOKUP(W253, 'Lookup Tables'!$AI$6:$AM$102, 5, FALSE)*BP253, IF(VLOOKUP(W253, 'Lookup Tables'!$AI$6:$AM$102, 5, FALSE)*BP253&gt;GB253*'Lighting Inventory'!S253, GB253*'Lighting Inventory'!S253,VLOOKUP(W253, 'Lookup Tables'!$AI$6:$AM$102, 5, FALSE)*BP253)), "")), 2), "")</f>
        <v/>
      </c>
      <c r="FT253" s="253" t="str">
        <f>IFERROR(ROUND(IF(CD253="ERROR", "ERROR", IF(AND($FT$6=Y253,E253="Interior"), IF(GB253=0, VLOOKUP(W253, 'Lookup Tables'!$AI$6:$AM$102, 5, FALSE)*BP253, IF(VLOOKUP(W253, 'Lookup Tables'!$AI$6:$AM$102, 5, FALSE)*BP253&gt;GB253*'Lighting Inventory'!S253, GB253*'Lighting Inventory'!S253,VLOOKUP(W253, 'Lookup Tables'!$AI$6:$AM$102, 5, FALSE)*BP253)), "")), 2), "")</f>
        <v/>
      </c>
      <c r="FU253" s="253" t="str">
        <f>IFERROR(ROUND(IF(CD253="ERROR", "ERROR", IF(AND(Y253=$FU$6, E253="Interior"), IF(BS253="N", 'Lookup Tables'!$AM$101*BP253, VLOOKUP(W253, 'Lookup Tables'!$AI$6:$AM$102, 5, FALSE)*S253*AD253), "")), 2), "")</f>
        <v/>
      </c>
      <c r="FV253" s="253" t="str">
        <f>IFERROR(ROUND(IF(CD253="ERROR", "ERROR", IF(AND(Y253=$FU$6, E253="Exterior"), IF(BS253="N", 'Lookup Tables'!$AM$101*BP253, VLOOKUP(W253, 'Lookup Tables'!$AI$6:$AM$102, 5, FALSE)*S253*AD253), "")), 2), "")</f>
        <v/>
      </c>
      <c r="FW253" s="253" t="str">
        <f>IFERROR(ROUND(IF(CD253="ERROR", "ERROR", IF($FW$6=Y253, IF(BS253="N", 'Lookup Tables'!$AM$101*BP253, MIN((VLOOKUP(W253, 'Lookup Tables'!$AI$6:$AM$102, 5, FALSE)*BP253),GB253*AJ253)), "")), 2), "")</f>
        <v/>
      </c>
      <c r="FX253" s="253" t="str">
        <f>IFERROR(ROUND(IF(CD253="ERROR", "ERROR", IF(AND($FX$6=Y253, E253="Interior"), IF(VLOOKUP(W253, 'Lookup Tables'!$AI$6:$AM$102, 5, FALSE)*BP253&gt;'Lookup Tables'!$AQ$97*'Lighting Inventory'!S253,'Lighting Inventory'!S253*'Lookup Tables'!$AQ$97,VLOOKUP(W253, 'Lookup Tables'!$AI$6:$AM$102, 5, FALSE)*BP253), "")), 2), "")</f>
        <v/>
      </c>
      <c r="FY253" s="253" t="str">
        <f>IFERROR(ROUND(IF(CD253="ERROR", "ERROR", IF(AND($FX$6=Y253, E253="Exterior"), IF(VLOOKUP(W253, 'Lookup Tables'!$AI$6:$AM$102, 5, FALSE)*BP253&gt;'Lookup Tables'!$AQ$97*'Lighting Inventory'!S253,'Lighting Inventory'!S253*'Lookup Tables'!$AQ$97,VLOOKUP(W253, 'Lookup Tables'!$AI$6:$AM$102, 5, FALSE)*BP253), "")), 2), "")</f>
        <v/>
      </c>
      <c r="FZ253" s="253" t="str">
        <f>IFERROR(ROUND(IF(CD253="ERROR", "ERROR", IF(AND($FZ$6=Y253, E253="Interior"), IF(AND(OR(W253="Refrigerated Case Lighting with Doors", W253="Freezer Case Lighting"),Y253="Custom - Process Improvement"),CD253*'Lookup Tables'!$AM$101, IF(B253="Retrofit", IF(VLOOKUP(IF(V253="Custom", V253, W253), 'Lookup Tables'!$AI$6:$AM$102, 5, FALSE)*BP253&gt;GE253, GE253, VLOOKUP(IF(V253="Custom", V253, W253), 'Lookup Tables'!$AI$6:$AM$102, 5, FALSE)*BP253), IF(VLOOKUP(IF(V253="Custom", V253, W253), 'Lookup Tables'!$AI$114:$AM$154, 5, FALSE)*BP253&gt;GE253, GE253, VLOOKUP(IF(V253="Custom", V253, W253), 'Lookup Tables'!$AI$114:$AM$154, 5, FALSE)*BP253))), "")), 2),"")</f>
        <v/>
      </c>
      <c r="GA253" s="253" t="str">
        <f>IFERROR(ROUND(IF(CD253="ERROR", "ERROR", IF(AND($FZ$6=Y253, E253="Exterior"), IF(B253="Retrofit", IF(VLOOKUP(IF(V253="Custom", V253, W253), 'Lookup Tables'!$AI$6:$AM$102, 5, FALSE)*BP253&gt;GE253, GE253, VLOOKUP(IF(V253="Custom", V253, W253), 'Lookup Tables'!$AI$6:$AM$102, 5, FALSE)*BP253), IF(VLOOKUP(IF(V253="Custom", V253, W253), 'Lookup Tables'!$AI$114:$AM$154, 5, FALSE)*BP253&gt;GE253, GE253, VLOOKUP(IF(V253="Custom", V253, W253), 'Lookup Tables'!$AI$114:$AM$154, 5, FALSE)*BP253)), "")), 2),"")</f>
        <v/>
      </c>
      <c r="GB253" s="254" t="str">
        <f t="array" ref="GB253">IF(B253="","",IF(OR(V253="Custom",V253="No Change"),0,IF(B253="Retrofit", INDEX('Lookup Tables'!$AH$6:$AQ$102,MATCH(1,('Lookup Tables'!$AH$6:$AH$102='Lighting Inventory'!V253)*('Lookup Tables'!$AI$6:$AI$102='Lighting Inventory'!W253),FALSE),10),INDEX('Lookup Tables'!$AH$114:$AQ$154,MATCH(1,('Lookup Tables'!$AH$114:$AH$154='Lighting Inventory'!V253)*('Lookup Tables'!$AI$114:$AI$154='Lighting Inventory'!W253),FALSE),10))))</f>
        <v/>
      </c>
      <c r="GC253" s="255" t="str">
        <f t="shared" si="550"/>
        <v/>
      </c>
      <c r="GD253" s="250" t="str">
        <f t="shared" si="551"/>
        <v/>
      </c>
      <c r="GE253" s="253" t="str">
        <f>IFERROR(IF(AND(AF253="", 'General Information'!$F$18="No"),"", IF(AF253="", ((GD253/$CD$266)*$CF$266)*0.5, AF253*S253*0.5)), "")</f>
        <v/>
      </c>
      <c r="GF253" s="255" t="str">
        <f>IF(AND('General Information'!$F$19="", 'General Information'!$F$18="Yes",AF253="",BW253="Y"), "Y", "N")</f>
        <v>N</v>
      </c>
      <c r="GG253" s="255" t="s">
        <v>2946</v>
      </c>
      <c r="GH253" s="255" t="str">
        <f>IFERROR(IF(B253="", "", VLOOKUP(J253, 'Fixture Identities'!$A$6:$N$908, 14, FALSE)), "")</f>
        <v/>
      </c>
      <c r="GI253" s="389" t="str">
        <f>IF(OR(B253="", V253="", W253=""), "", IF(AND(OR(M253='Lookup Tables'!$R$18, M253='Lookup Tables'!$R$19, M253='Lookup Tables'!$R$20, M253='Lookup Tables'!$R$21, M253='Lookup Tables'!$R$22), OR(AN253='Lookup Tables'!$R$17, AN253='Lookup Tables'!$R$17, AN253="")), "Y", "N"))</f>
        <v/>
      </c>
      <c r="GJ253" s="255" t="str">
        <f t="shared" si="552"/>
        <v/>
      </c>
      <c r="GK253" s="255" t="str">
        <f t="shared" si="553"/>
        <v/>
      </c>
      <c r="GL253" s="255" t="str">
        <f t="shared" si="554"/>
        <v/>
      </c>
      <c r="GM253" s="255" t="str">
        <f>IF(AN253="", "", IF(AND(IF(ISNA(VLOOKUP(AN253,'Lookup Tables'!$R$18:$R$22,1,FALSE)), "N", "Y")="Y", E253="Exterior"), "Y", "N"))</f>
        <v/>
      </c>
      <c r="GN253" s="395"/>
      <c r="GO253" s="428">
        <f t="shared" si="600"/>
        <v>0</v>
      </c>
      <c r="GP253" s="428">
        <f t="shared" si="603"/>
        <v>0</v>
      </c>
      <c r="GQ253" s="428">
        <f t="shared" si="601"/>
        <v>0</v>
      </c>
      <c r="GR253" s="428">
        <f t="shared" si="602"/>
        <v>0</v>
      </c>
    </row>
    <row r="254" spans="1:200" s="103" customFormat="1" ht="13.5" customHeight="1" x14ac:dyDescent="0.2">
      <c r="A254" s="272">
        <v>244</v>
      </c>
      <c r="B254" s="110"/>
      <c r="C254" s="110"/>
      <c r="D254" s="110"/>
      <c r="E254" s="110"/>
      <c r="F254" s="110"/>
      <c r="G254" s="110"/>
      <c r="H254" s="110"/>
      <c r="I254" s="29"/>
      <c r="J254" s="29"/>
      <c r="K254" s="272" t="str">
        <f>IFERROR(IF(OR(VLOOKUP(J254, 'Fixture Identities'!$A$6:$L$1023, 3, FALSE)="T12 Linear Fluorescent", VLOOKUP(J254, 'Fixture Identities'!$A$6:$L$1023, 3, FALSE)="T12 U-Tube Fluorescent"), VLOOKUP(VLOOKUP(J254, 'Fixture Identities'!$A$6:$L$1023, 11, FALSE), 'Fixture Identities'!$A$6:$L$1023, 10, FALSE), VLOOKUP(J254, 'Fixture Identities'!$A$6:$L$1023, 10, FALSE)), "")</f>
        <v/>
      </c>
      <c r="L254" s="270" t="str">
        <f t="shared" si="605"/>
        <v/>
      </c>
      <c r="M254" s="110"/>
      <c r="N254" s="110"/>
      <c r="O254" s="110"/>
      <c r="P254" s="272" t="str">
        <f>IFERROR(IF(OR(B254="Retrofit",B254=""),"",IF('Lighting Inventory'!E254="Exterior",VLOOKUP('Lighting Inventory'!N254,'Lookup Tables'!$B$83:$F$103,5,FALSE),IF(N254="Other - Please Estimate EFLH and CFs","Contact Prog. Rep.","ft^2"))), "")</f>
        <v/>
      </c>
      <c r="Q254" s="270" t="str">
        <f>IFERROR(IF(AND(B254="New Construction",E254="Interior",$F$5="Space-by-Space"),VLOOKUP('Lighting Inventory'!N254,'Lookup Tables'!$N$6:$O$97,2,FALSE),IF(AND(B254="New Construction",E254="Exterior"),VLOOKUP(N254,'Lookup Tables'!$B$83:$F$103,2,FALSE),IF(AND(B254="New Construction",'Lighting Inventory'!E254="Interior", $F$5="Building Area"),VLOOKUP(F254,'Lookup Tables'!$A$6:$J$59,10,FALSE),""))), "")</f>
        <v/>
      </c>
      <c r="R254" s="270" t="str">
        <f>IFERROR(IF(P254="Contact Prog. Rep.", "ERROR", IF(OR(B254="",B254="Retrofit"),"",IF(N254="Automated teller machines", ('Lookup Tables'!$A$82:$E$100+('Lighting Inventory'!O254-1)*'Lookup Tables'!$A$82:$E$100)/1000, (Q254*O254)/1000))), "")</f>
        <v/>
      </c>
      <c r="S254" s="595"/>
      <c r="T254" s="105" t="str">
        <f t="shared" si="555"/>
        <v/>
      </c>
      <c r="U254" s="105" t="str">
        <f>IF(S254="","",COUNT($S$11:S254))</f>
        <v/>
      </c>
      <c r="V254" s="111"/>
      <c r="W254" s="112"/>
      <c r="X254" s="105" t="str">
        <f t="shared" si="556"/>
        <v/>
      </c>
      <c r="Y254" s="105" t="str">
        <f t="array" ref="Y254">IF(AND(OR(W254="Freezer Case Lighting", W254="Refrigerated Case Lighting with Doors"), 'General Information'!$X$18="LCI"),'Lookup Tables'!$Y$34, IF(V254="Custom", VLOOKUP(W254, 'Fixture Identities'!$A$974:$M$1023, 13, FALSE), IF(V254="No Change",'Lookup Tables'!$Y$29,IF(OR(V254="",W254=""),"",IF(AND(S254=0,S254&lt;I254,B254="Retrofit"),'Lookup Tables'!$Y$25, IF(B254="Retrofit", INDEX('Lookup Tables'!$AH$6:$AP$102, MATCH(1, ('Lookup Tables'!$AH$6:$AH$102=V254)*('Lookup Tables'!$AI$6:$AI$102=W254), 0), IF('Lighting Inventory'!E254="Interior", 4, 5)), INDEX('Lookup Tables'!$AH$114:$AP$154, MATCH(1, ('Lookup Tables'!$AH$114:$AH$154=V254)*('Lookup Tables'!$AI$114:$AI$154=W254), 0), IF('Lighting Inventory'!E254="Interior", 4, 5))))))))</f>
        <v/>
      </c>
      <c r="Z254" s="105" t="str">
        <f>IFERROR(INDEX('Lookup Tables'!$AH$158:$AH$172,MATCH('Lighting Inventory'!Y254,'Lookup Tables'!$AI$158:$AI$172,0)),"")</f>
        <v/>
      </c>
      <c r="AA254" s="105" t="str">
        <f>IF(AP254&gt;0,INDEX('Lookup Tables'!$AK$158:$AK$172,MATCH('Lighting Inventory'!Y254,'Lookup Tables'!$AI$158:$AI$172,0)),'Lighting Inventory'!Y254)</f>
        <v/>
      </c>
      <c r="AB254" s="105" t="str">
        <f t="array" ref="AB254">IF(V254="Custom", "Custom", IF(V254="", "", IF(V254="Not DLC or Energy Star", "General", IF(B254="New Construction", INDEX('Lookup Tables'!$AH$114:$AP$154,MATCH(1,('Lookup Tables'!$AH$114:$AH$154='Lighting Inventory'!V254)*('Lookup Tables'!$AI$114:$AI$154='Lighting Inventory'!W254),FALSE),8), INDEX('Lookup Tables'!$AH$6:$AP$102,MATCH(1,('Lookup Tables'!$AH$6:$AH$102='Lighting Inventory'!V254)*('Lookup Tables'!$AI$6:$AI$102='Lighting Inventory'!W254),FALSE),8)))))</f>
        <v/>
      </c>
      <c r="AC254" s="272" t="str">
        <f>IF(W254="","",IF(V254="Custom",CONCATENATE("$",'Lookup Tables'!$AM$101," ",'Lookup Tables'!$AN$101),CONCATENATE("$",INDEX('Lookup Tables'!$AM$6:$AM$102,MATCH('Lighting Inventory'!W254,'Lookup Tables'!$AI$6:$AI$102,0))," ",INDEX('Lookup Tables'!$AN$6:$AN$102,MATCH('Lighting Inventory'!W254,'Lookup Tables'!$AI$6:$AI$102,0)))))</f>
        <v/>
      </c>
      <c r="AD254" s="72"/>
      <c r="AE254" s="29"/>
      <c r="AF254" s="379"/>
      <c r="AG254" s="370" t="str">
        <f t="shared" si="504"/>
        <v/>
      </c>
      <c r="AH254" s="370" t="str">
        <f t="shared" si="557"/>
        <v/>
      </c>
      <c r="AI254" s="29"/>
      <c r="AJ254" s="29"/>
      <c r="AK254" s="110"/>
      <c r="AL254" s="375" t="str">
        <f>IF(OR(B254="", V254="", W254=""), "", IF(V254="No Change", K254, IF(V254="Remove Fixture", 0, IF(V254="Custom",VLOOKUP(W254,'Fixture Identities'!$A$6:$K$1023,10,FALSE),IF(AE254="", "← ENTER POST WATTS", 'Lighting Inventory'!AE254)))))</f>
        <v/>
      </c>
      <c r="AM254" s="376" t="str">
        <f t="shared" si="505"/>
        <v/>
      </c>
      <c r="AN254" s="29"/>
      <c r="AO254" s="671"/>
      <c r="AP254" s="29"/>
      <c r="AQ254" s="29"/>
      <c r="AR254" s="29"/>
      <c r="AS254" s="272" t="str">
        <f t="shared" si="558"/>
        <v/>
      </c>
      <c r="AT254" s="270" t="str">
        <f t="shared" si="506"/>
        <v/>
      </c>
      <c r="AU254" s="88" t="str">
        <f t="shared" si="606"/>
        <v/>
      </c>
      <c r="AV254" s="29"/>
      <c r="AW254" s="73"/>
      <c r="AX254" s="271" t="str">
        <f>IF(AND(AV254="Applicant",OR(AW254="", AW254="Use Default Facility Hours")),"← Choose Schedule",IF(F254="","",IF(W254="LED Exit Signs",8760,IF(OR(AV254="Prescribed",AV254=""),VLOOKUP(F254,'Lookup Tables'!$A$6:$G$59,IF(AB254="General", 6, 3),FALSE),VLOOKUP(AW254,'Lookup Tables'!$S$36:$U$43,2,FALSE)))))</f>
        <v/>
      </c>
      <c r="AY254" s="88" t="str">
        <f t="shared" si="507"/>
        <v/>
      </c>
      <c r="AZ254" s="270" t="str">
        <f>IFERROR(IF(F254="", "", IF(W254="LED Exit Signs", 1, IF(AV254="Applicant",VLOOKUP(AW254, 'Lookup Tables'!$S$36:$U$43,3, FALSE), VLOOKUP('Lighting Inventory'!F254, 'Lookup Tables'!$A$6:$H$59, IF('Lighting Inventory'!AB254="General",7,4), FALSE)))), "")</f>
        <v/>
      </c>
      <c r="BA254" s="522" t="str">
        <f>IFERROR(IF(F254="", "", IF(W254="LED Exit Signs", 1, VLOOKUP('Lighting Inventory'!F254, 'Lookup Tables'!$A$6:$H$59, IF('Lighting Inventory'!AB254="General",8,5), FALSE))), "")</f>
        <v/>
      </c>
      <c r="BB254" s="270" t="str">
        <f>IF(G254="", "", IF(E254="Exterior", 0, IF('Lighting Inventory'!G254="Air Conditioned", VLOOKUP(H254, 'Lookup Tables'!$R$6:$T$13, 2, FALSE), VLOOKUP('Lighting Inventory'!G254, 'Lookup Tables'!$R$6:$T$13, 2, FALSE))))</f>
        <v/>
      </c>
      <c r="BC254" s="522" t="str">
        <f>IF(G254="", "", IF(E254="Exterior", 0, IF('Lighting Inventory'!G254="Air Conditioned", VLOOKUP(H254, 'Lookup Tables'!$R$6:$T$13, 3, FALSE), VLOOKUP('Lighting Inventory'!G254, 'Lookup Tables'!$R$6:$T$13, 3, FALSE))))</f>
        <v/>
      </c>
      <c r="BD254" s="270" t="str">
        <f>IF(G254="", "", IF(E254="Exterior", 0, IF('Lighting Inventory'!G254="Air Conditioned", VLOOKUP(H254, 'Lookup Tables'!$R$6:$U$13, 4, FALSE), VLOOKUP('Lighting Inventory'!G254, 'Lookup Tables'!$R$6:$U$13, 4, FALSE))))</f>
        <v/>
      </c>
      <c r="BE254" s="270" t="str">
        <f>IFERROR(IF(B254="", "",  IF(B254="New Construction", VLOOKUP(F254, 'Lookup Tables'!$A$6:$K$59, 11, FALSE),IF(OR(AN254="", AN254="Light Switch"), 0, IF(OR(M254="",M254="None",V254= "LED Exit Signs"),0,_xlfn.XLOOKUP(M254,'Lookup Tables'!$R$91:$R$101,'Lookup Tables'!$V$91:$V$101))))), "")</f>
        <v/>
      </c>
      <c r="BF254" s="270" t="str">
        <f>IF(AND(OR(AN254="Light Switch",AN254=""),B254="New Construction"), VLOOKUP(F254, 'Lookup Tables'!$A$6:$K$59, 11, FALSE),IF(AN254="","",IF(B254="","",IF(OR(AN254="None",AN254="",V254="LED Exit Signs",AN254="Exterior Controls Not Eligible"),0,_xlfn.XLOOKUP(AN254,'Lookup Tables'!$R$91:$R$101,'Lookup Tables'!$V$91:$V$101)))))</f>
        <v/>
      </c>
      <c r="BG254" s="88" t="str">
        <f t="shared" si="559"/>
        <v/>
      </c>
      <c r="BH254" s="88" t="str">
        <f t="shared" si="560"/>
        <v/>
      </c>
      <c r="BI254" s="558" t="str">
        <f t="shared" si="604"/>
        <v/>
      </c>
      <c r="BJ254" s="82" t="str">
        <f t="shared" si="561"/>
        <v/>
      </c>
      <c r="BK254" s="82" t="str">
        <f t="shared" si="562"/>
        <v/>
      </c>
      <c r="BL254" s="559" t="str">
        <f t="shared" si="563"/>
        <v/>
      </c>
      <c r="BM254" s="521" t="str">
        <f t="shared" si="508"/>
        <v/>
      </c>
      <c r="BN254" s="521" t="str">
        <f t="shared" si="509"/>
        <v/>
      </c>
      <c r="BO254" s="522" t="str">
        <f t="shared" si="510"/>
        <v/>
      </c>
      <c r="BP254" s="83" t="str">
        <f t="shared" si="564"/>
        <v/>
      </c>
      <c r="BQ254" s="84" t="str">
        <f t="shared" si="565"/>
        <v/>
      </c>
      <c r="BR254" s="184" t="str">
        <f>IFERROR(IF(B254="", "", IF(OR(VLOOKUP(J254, 'Fixture Identities'!$A$6:$L$1023, 3, FALSE)="T12 Linear Fluorescent",VLOOKUP(J254, 'Fixture Identities'!$A$6:$L$1023, 3, FALSE)="T12 U-Tube Fluorescent"), "Y", "N")), "N")</f>
        <v/>
      </c>
      <c r="BS254" s="184" t="str">
        <f t="array" ref="BS254">IFERROR(IF(OR(B254="", V254="", W254=""), "", IF(V254="Custom", "N", IF(OR(W254="Freezer Case Lighting", W254="Refrigerated Case Lighting with Doors"), BT254, IF(B254="Retrofit", INDEX('Lookup Tables'!$AH$6:$AT$102,MATCH(1,('Lookup Tables'!$AH$6:$AH$102=V254)*('Lookup Tables'!$AI$6:$AI$102=W254),FALSE),IF(VLOOKUP(J254, 'Fixture Identities'!$A$6:$B$1023, 2, FALSE)="Incandescent",12, 13)), INDEX('Lookup Tables'!$AH$114:$AS$154,MATCH(1,('Lookup Tables'!$AH$114:$AH$154=V254)*('Lookup Tables'!$AI$114:$AI$154=W254),FALSE),12))))), "N")</f>
        <v/>
      </c>
      <c r="BT254" s="184" t="str">
        <f>IF(J254="", "", IF(AND(OR(W254="Freezer case Lighting", W254="Refrigerated Case Lighting with Doors"),'General Information'!$X$18="LCI"), "N", IF(OR(VLOOKUP(J254, 'Fixture Identities'!$A$6:$B$1023, 2, FALSE)="T12 EPACT/EISA Baseline", VLOOKUP(J254, 'Fixture Identities'!$A$6:$B$1023, 2, FALSE)="Linear Fluorescent", VLOOKUP(J254, 'Fixture Identities'!$A$6:$B$1023, 2, FALSE)="U-Tube Fluorescent"), "Y", "N")))</f>
        <v/>
      </c>
      <c r="BU254" s="184" t="str">
        <f>IFERROR(IF(B254="", "", IF(VLOOKUP(J254, 'Fixture Identities'!$A$6:$B$1023, 2, FALSE)="Exit Sign", "Y", "N")), "N")</f>
        <v/>
      </c>
      <c r="BV254" s="184" t="str">
        <f>IF(V254="Exit Signs", IF(VLOOKUP(J254, 'Fixture Identities'!$A$6:$B$1023, 2, FALSE)="Exit Sign", "N", "Y"), "")</f>
        <v/>
      </c>
      <c r="BW254" s="184" t="str">
        <f t="array" ref="BW254">IFERROR(IF(B254="", "", IF(B254="New Construction", "N", INDEX('Lookup Tables'!$AH$6:$AU$102, MATCH(1, ('Lookup Tables'!$AH$6:$AH$102='Lighting Inventory'!V254)*('Lookup Tables'!$AI$6:$AI$102='Lighting Inventory'!W254), 0), 14))), "N")</f>
        <v/>
      </c>
      <c r="BX254" s="598" t="str">
        <f t="shared" si="566"/>
        <v/>
      </c>
      <c r="BY254" s="598" t="str">
        <f t="shared" si="567"/>
        <v/>
      </c>
      <c r="BZ254" s="598" t="str">
        <f t="shared" si="568"/>
        <v/>
      </c>
      <c r="CA254" s="598" t="str">
        <f t="shared" si="569"/>
        <v/>
      </c>
      <c r="CB254" s="269" t="str">
        <f t="shared" si="570"/>
        <v/>
      </c>
      <c r="CC254" s="517" t="str">
        <f t="shared" si="571"/>
        <v/>
      </c>
      <c r="CD254" s="565" t="str">
        <f t="shared" si="511"/>
        <v/>
      </c>
      <c r="CE254" s="368">
        <v>0</v>
      </c>
      <c r="CF254" s="368" t="str" cm="1">
        <f t="array" ref="CF254">IFERROR(IF(V254="Custom", "$0.1 per kWh", IF(B254="New Construction", CONCATENATE("$",INDEX('Lookup Tables'!$AH$114:$AN$154,MATCH(1,('Lookup Tables'!$AH$114:$AH$154='Lighting Inventory'!V254)*('Lookup Tables'!$AI$114:$AI$154='Lighting Inventory'!W254),FALSE),6)," ",INDEX('Lookup Tables'!$AH$114:$AN$154,MATCH(1,('Lookup Tables'!$AH$114:$AH$154='Lighting Inventory'!V254)*('Lookup Tables'!$AI$114:$AI$154='Lighting Inventory'!W254),FALSE),7)), IF(AND(BU254="N", V254="Exit Signs"), "$0.025 per kWh", CONCATENATE("$",INDEX('Lookup Tables'!$AH$6:$AN$102,MATCH(1,('Lookup Tables'!$AH$6:$AH$102='Lighting Inventory'!V254)*('Lookup Tables'!$AI$6:$AI$102='Lighting Inventory'!W254),FALSE),6)," ",INDEX('Lookup Tables'!$AH$6:$AN$102,MATCH(1,('Lookup Tables'!$AH$6:$AH$102='Lighting Inventory'!V254)*('Lookup Tables'!$AI$6:$AI$102='Lighting Inventory'!W254),FALSE),7))))), "")</f>
        <v/>
      </c>
      <c r="CG254" s="366"/>
      <c r="CH254" s="248" t="str">
        <f t="shared" si="512"/>
        <v/>
      </c>
      <c r="CI254" s="248" t="str">
        <f t="shared" si="513"/>
        <v>Select_IE</v>
      </c>
      <c r="CJ254" s="248" t="str">
        <f t="shared" si="514"/>
        <v/>
      </c>
      <c r="CK254" s="248" t="str">
        <f t="shared" si="515"/>
        <v/>
      </c>
      <c r="CL254" s="248" t="str">
        <f t="shared" si="516"/>
        <v/>
      </c>
      <c r="CM254" s="248" t="str">
        <f>IFERROR(IF(B254="", "", IF(B254="New Construction", VLOOKUP(V254, 'Lookup Tables'!$AF$114:$AG$120, 2, FALSE), VLOOKUP(V254, 'Lookup Tables'!$AD$6:$AE$25, 2, FALSE))), "")</f>
        <v/>
      </c>
      <c r="CN254" s="248" t="str">
        <f t="shared" si="517"/>
        <v/>
      </c>
      <c r="CO254" s="248" t="str">
        <f t="shared" si="518"/>
        <v/>
      </c>
      <c r="CP254" s="592" t="str">
        <f t="shared" si="519"/>
        <v/>
      </c>
      <c r="CQ254" s="248" t="str">
        <f t="shared" si="572"/>
        <v/>
      </c>
      <c r="CR254" s="249"/>
      <c r="CS254" s="250" t="str">
        <f t="shared" si="520"/>
        <v/>
      </c>
      <c r="CT254" s="250" t="str">
        <f t="shared" si="573"/>
        <v/>
      </c>
      <c r="CU254" s="250" t="str">
        <f t="shared" si="574"/>
        <v/>
      </c>
      <c r="CV254" s="250" t="str">
        <f t="shared" si="575"/>
        <v/>
      </c>
      <c r="CW254" s="250" t="str">
        <f t="shared" si="576"/>
        <v/>
      </c>
      <c r="CX254" s="250" t="str">
        <f t="shared" si="521"/>
        <v/>
      </c>
      <c r="CY254" s="250" t="str">
        <f t="shared" si="522"/>
        <v/>
      </c>
      <c r="CZ254" s="250" t="str">
        <f t="shared" si="523"/>
        <v/>
      </c>
      <c r="DA254" s="250" t="str">
        <f t="shared" si="524"/>
        <v/>
      </c>
      <c r="DB254" s="250" t="str">
        <f t="shared" si="525"/>
        <v/>
      </c>
      <c r="DC254" s="250" t="str">
        <f t="shared" si="526"/>
        <v/>
      </c>
      <c r="DD254" s="250" t="str">
        <f t="shared" si="527"/>
        <v/>
      </c>
      <c r="DE254" s="250" t="str">
        <f t="shared" si="528"/>
        <v/>
      </c>
      <c r="DF254" s="250" t="str">
        <f t="shared" si="529"/>
        <v/>
      </c>
      <c r="DG254" s="250" t="str">
        <f t="shared" si="530"/>
        <v/>
      </c>
      <c r="DH254" s="250" t="str">
        <f t="shared" si="531"/>
        <v/>
      </c>
      <c r="DI254" s="250" t="str">
        <f t="shared" si="532"/>
        <v/>
      </c>
      <c r="DJ254" s="250" t="str">
        <f t="shared" si="533"/>
        <v/>
      </c>
      <c r="DK254" s="250" t="str">
        <f t="shared" si="534"/>
        <v/>
      </c>
      <c r="DL254" s="250" t="str">
        <f t="shared" si="535"/>
        <v/>
      </c>
      <c r="DM254" s="250" t="str">
        <f>IF(CD254="ERROR", "ERROR", IF(AND(OR(Y254=$DM$6, Y254='Lookup Tables'!$AD$21, Y254='Lookup Tables'!$AD$22), E254="Interior"), BJ254, ""))</f>
        <v/>
      </c>
      <c r="DN254" s="250" t="str">
        <f>IF(CD254="ERROR", "ERROR", IF(AND(OR(Y254=$DM$6, Y254='Lookup Tables'!$AD$21, Y254='Lookup Tables'!$AD$22), E254="Exterior"), BJ254, ""))</f>
        <v/>
      </c>
      <c r="DO254" s="249"/>
      <c r="DP254" s="250" t="str">
        <f t="shared" si="536"/>
        <v/>
      </c>
      <c r="DQ254" s="250" t="str">
        <f t="shared" si="577"/>
        <v/>
      </c>
      <c r="DR254" s="250" t="str">
        <f t="shared" si="578"/>
        <v/>
      </c>
      <c r="DS254" s="250" t="str">
        <f t="shared" si="579"/>
        <v/>
      </c>
      <c r="DT254" s="250" t="str">
        <f t="shared" si="580"/>
        <v/>
      </c>
      <c r="DU254" s="250" t="str">
        <f t="shared" si="537"/>
        <v/>
      </c>
      <c r="DV254" s="250" t="str">
        <f t="shared" si="538"/>
        <v/>
      </c>
      <c r="DW254" s="250" t="str">
        <f t="shared" si="539"/>
        <v/>
      </c>
      <c r="DX254" s="250" t="str">
        <f t="shared" si="540"/>
        <v/>
      </c>
      <c r="DY254" s="250" t="str">
        <f t="shared" si="541"/>
        <v/>
      </c>
      <c r="DZ254" s="250" t="str">
        <f t="shared" si="542"/>
        <v/>
      </c>
      <c r="EA254" s="250" t="str">
        <f t="shared" si="543"/>
        <v/>
      </c>
      <c r="EB254" s="250" t="str">
        <f t="shared" si="581"/>
        <v/>
      </c>
      <c r="EC254" s="250" t="str">
        <f t="shared" si="544"/>
        <v/>
      </c>
      <c r="ED254" s="250" t="str">
        <f t="shared" si="545"/>
        <v/>
      </c>
      <c r="EE254" s="250" t="str">
        <f t="shared" si="546"/>
        <v/>
      </c>
      <c r="EF254" s="250" t="str">
        <f t="shared" si="547"/>
        <v/>
      </c>
      <c r="EG254" s="250" t="str">
        <f t="shared" si="548"/>
        <v/>
      </c>
      <c r="EH254" s="250" t="str">
        <f>IF(CD254="ERROR", "ERROR", IF(AND(OR($EH$6=Y254, Y254='Lookup Tables'!$AD$21, Y254='Lookup Tables'!$AD$22),E254="Interior"), SUM(BP254:BP254), ""))</f>
        <v/>
      </c>
      <c r="EI254" s="250" t="str">
        <f>IF(CD254="ERROR", "ERROR", IF(AND(OR($EH$6=Y254, Y254='Lookup Tables'!$AD$21, Y254='Lookup Tables'!$AD$22),E254="Exterior"), SUM(BP254:BP254), ""))</f>
        <v/>
      </c>
      <c r="EJ254" s="109"/>
      <c r="EK254" s="485" t="str">
        <f t="shared" si="549"/>
        <v/>
      </c>
      <c r="EL254" s="252" t="str">
        <f t="shared" si="582"/>
        <v/>
      </c>
      <c r="EM254" s="252" t="str">
        <f t="shared" si="583"/>
        <v/>
      </c>
      <c r="EN254" s="252" t="str">
        <f t="shared" si="584"/>
        <v/>
      </c>
      <c r="EO254" s="252" t="str">
        <f t="shared" si="585"/>
        <v/>
      </c>
      <c r="EP254" s="252" t="str">
        <f t="shared" si="586"/>
        <v/>
      </c>
      <c r="EQ254" s="252" t="str">
        <f t="shared" si="587"/>
        <v/>
      </c>
      <c r="ER254" s="252" t="str">
        <f t="shared" si="588"/>
        <v/>
      </c>
      <c r="ES254" s="252" t="str">
        <f t="shared" si="589"/>
        <v/>
      </c>
      <c r="ET254" s="252" t="str">
        <f t="shared" si="590"/>
        <v/>
      </c>
      <c r="EU254" s="252" t="str">
        <f t="shared" si="591"/>
        <v/>
      </c>
      <c r="EV254" s="252" t="str">
        <f t="shared" si="592"/>
        <v/>
      </c>
      <c r="EW254" s="252" t="str">
        <f t="shared" si="593"/>
        <v/>
      </c>
      <c r="EX254" s="252" t="str">
        <f t="shared" si="594"/>
        <v/>
      </c>
      <c r="EY254" s="252" t="str">
        <f t="shared" si="595"/>
        <v/>
      </c>
      <c r="EZ254" s="252" t="str">
        <f t="shared" si="596"/>
        <v/>
      </c>
      <c r="FA254" s="252" t="str">
        <f t="shared" si="597"/>
        <v/>
      </c>
      <c r="FB254" s="252" t="str">
        <f t="shared" si="598"/>
        <v/>
      </c>
      <c r="FC254" s="252" t="str">
        <f>IF(CD254="ERROR", "ERROR", IF(OR(V254="No Change", V254="Not DLC or Energy Star"), "", IF(AND(OR($FC$6=Y254,Y254='Lookup Tables'!$AD$21, Y254='Lookup Tables'!$AD$22),E254="Interior"), S254, "")))</f>
        <v/>
      </c>
      <c r="FD254" s="252" t="str">
        <f t="shared" si="599"/>
        <v/>
      </c>
      <c r="FE254" s="1"/>
      <c r="FF254" s="579" t="str" cm="1">
        <f t="array" ref="FF254">IFERROR(IF(OR(BQ254&lt;=0,AQ254&lt;20,AND(V254="Exit Signs",AN254&gt;0)),"",IF(AND(AQ254&gt;=20,AN254='Lookup Tables'!$R$101),'Lookup Tables'!$U$101*BQ254,AP254*LOOKUP(2,1/((AN254='Lookup Tables'!$R$91:$R$111)*(AQ254&gt;='Lookup Tables'!$S$91:$S$111)*(AQ254&lt;='Lookup Tables'!$T$91:$T$111)),'Lookup Tables'!$U$91:$U$111))),"")</f>
        <v/>
      </c>
      <c r="FG254" s="579"/>
      <c r="FH254" s="579"/>
      <c r="FI254" s="253" t="str">
        <f>IFERROR(ROUND(IF(CD254="ERROR", "ERROR", IF(AND($FI$7=X254,E254="Interior"),VLOOKUP(W254, 'Lookup Tables'!$AI$6:$AM$102, 5, FALSE)*BP254, "")), 2), "")</f>
        <v/>
      </c>
      <c r="FJ254" s="253" t="str">
        <f>IFERROR(ROUND(IF(CD254="ERROR", "ERROR", IF(AND($FI$7=X254,E254="Exterior"),VLOOKUP(W254, 'Lookup Tables'!$AI$6:$AM$102, 5, FALSE)*BP254, "")), 2), "")</f>
        <v/>
      </c>
      <c r="FK254" s="253" t="str">
        <f>IFERROR(ROUND(IF(CD254="ERROR", "ERROR", IF(AND($FK$7=X254,E254="Interior"),VLOOKUP(W254, 'Lookup Tables'!$AI$6:$AM$102, 5, FALSE)*BP254, "")), 2), "")</f>
        <v/>
      </c>
      <c r="FL254" s="253" t="str">
        <f>IFERROR(ROUND(IF(CD254="ERROR", "ERROR", IF(AND($FK$7=X254,E254="Exterior"),VLOOKUP(W254, 'Lookup Tables'!$AI$6:$AM$102, 5, FALSE)*BP254, "")), 2), "")</f>
        <v/>
      </c>
      <c r="FM254" s="253" t="str">
        <f>IFERROR(ROUND(IF(CD254="ERROR", "ERROR", IF(AND($FM$6=Y254,E254="Interior"), IF(GB254=0, VLOOKUP(W254, 'Lookup Tables'!$AI$6:$AM$102, 5, FALSE)*BP254, IF(VLOOKUP(W254, 'Lookup Tables'!$AI$6:$AM$102, 5, FALSE)*BP254&gt;GB254*'Lighting Inventory'!S254, GB254*'Lighting Inventory'!S254,VLOOKUP(W254, 'Lookup Tables'!$AI$6:$AM$102, 5, FALSE)*BP254)), "")), 2), "")</f>
        <v/>
      </c>
      <c r="FN254" s="253" t="str">
        <f>IFERROR(ROUND(IF(CD254="ERROR", "ERROR", IF(AND($FM$6=Y254,E254="Exterior"), IF(GB254=0, VLOOKUP(W254, 'Lookup Tables'!$AI$6:$AM$102, 5, FALSE)*BP254, IF(VLOOKUP(W254, 'Lookup Tables'!$AI$6:$AM$102, 5, FALSE)*BP254&gt;GB254*'Lighting Inventory'!S254, GB254*'Lighting Inventory'!S254,VLOOKUP(W254, 'Lookup Tables'!$AI$6:$AM$102, 5, FALSE)*BP254)), "")), 2), "")</f>
        <v/>
      </c>
      <c r="FO254" s="253" t="str">
        <f>IFERROR(ROUND(IF(CD254="ERROR", "ERROR", IF(AND($FO$6=Y254,E254="Interior"),VLOOKUP(W254, 'Lookup Tables'!$AI$6:$AM$102, 5, FALSE)*'Lighting Inventory'!AI254, "")), 2), "")</f>
        <v/>
      </c>
      <c r="FP254" s="253" t="str">
        <f>IFERROR(ROUND(IF(CD254="ERROR", "ERROR", IF(AND($FO$6=Y254,E254="Exterior"),VLOOKUP(W254, 'Lookup Tables'!$AI$6:$AM$102, 5, FALSE)*'Lighting Inventory'!AI254, "")), 2), "")</f>
        <v/>
      </c>
      <c r="FQ254" s="253" t="str">
        <f>IFERROR(ROUND(IF(CD254="ERROR", "ERROR", IF(AND($FQ$6=Y254,E254="Interior", BU254="Y"), VLOOKUP('Lighting Inventory'!W254, 'Lookup Tables'!$AI$6:$AM$102, 5, FALSE)*'Lighting Inventory'!S254, IF(AND($FQ$7=Y254,E254="Interior", BU254="N"), 0.025*CD254, ""))), 2), "")</f>
        <v/>
      </c>
      <c r="FR254" s="253" t="str">
        <f>IFERROR(ROUND(IF(CD254="ERROR", "ERROR", IF(AND($FQ$6=Y254,E254="Exterior"), VLOOKUP('Lighting Inventory'!W254, 'Lookup Tables'!$AI$6:$AM$102, 5, FALSE)*'Lighting Inventory'!S254, "")), 2), "")</f>
        <v/>
      </c>
      <c r="FS254" s="253" t="str">
        <f>IFERROR(ROUND(IF(CD254="ERROR", "ERROR", IF(AND($FS$6=Y254,E254="Exterior"), IF(GB254=0, VLOOKUP(W254, 'Lookup Tables'!$AI$6:$AM$102, 5, FALSE)*BP254, IF(VLOOKUP(W254, 'Lookup Tables'!$AI$6:$AM$102, 5, FALSE)*BP254&gt;GB254*'Lighting Inventory'!S254, GB254*'Lighting Inventory'!S254,VLOOKUP(W254, 'Lookup Tables'!$AI$6:$AM$102, 5, FALSE)*BP254)), "")), 2), "")</f>
        <v/>
      </c>
      <c r="FT254" s="253" t="str">
        <f>IFERROR(ROUND(IF(CD254="ERROR", "ERROR", IF(AND($FT$6=Y254,E254="Interior"), IF(GB254=0, VLOOKUP(W254, 'Lookup Tables'!$AI$6:$AM$102, 5, FALSE)*BP254, IF(VLOOKUP(W254, 'Lookup Tables'!$AI$6:$AM$102, 5, FALSE)*BP254&gt;GB254*'Lighting Inventory'!S254, GB254*'Lighting Inventory'!S254,VLOOKUP(W254, 'Lookup Tables'!$AI$6:$AM$102, 5, FALSE)*BP254)), "")), 2), "")</f>
        <v/>
      </c>
      <c r="FU254" s="253" t="str">
        <f>IFERROR(ROUND(IF(CD254="ERROR", "ERROR", IF(AND(Y254=$FU$6, E254="Interior"), IF(BS254="N", 'Lookup Tables'!$AM$101*BP254, VLOOKUP(W254, 'Lookup Tables'!$AI$6:$AM$102, 5, FALSE)*S254*AD254), "")), 2), "")</f>
        <v/>
      </c>
      <c r="FV254" s="253" t="str">
        <f>IFERROR(ROUND(IF(CD254="ERROR", "ERROR", IF(AND(Y254=$FU$6, E254="Exterior"), IF(BS254="N", 'Lookup Tables'!$AM$101*BP254, VLOOKUP(W254, 'Lookup Tables'!$AI$6:$AM$102, 5, FALSE)*S254*AD254), "")), 2), "")</f>
        <v/>
      </c>
      <c r="FW254" s="253" t="str">
        <f>IFERROR(ROUND(IF(CD254="ERROR", "ERROR", IF($FW$6=Y254, IF(BS254="N", 'Lookup Tables'!$AM$101*BP254, MIN((VLOOKUP(W254, 'Lookup Tables'!$AI$6:$AM$102, 5, FALSE)*BP254),GB254*AJ254)), "")), 2), "")</f>
        <v/>
      </c>
      <c r="FX254" s="253" t="str">
        <f>IFERROR(ROUND(IF(CD254="ERROR", "ERROR", IF(AND($FX$6=Y254, E254="Interior"), IF(VLOOKUP(W254, 'Lookup Tables'!$AI$6:$AM$102, 5, FALSE)*BP254&gt;'Lookup Tables'!$AQ$97*'Lighting Inventory'!S254,'Lighting Inventory'!S254*'Lookup Tables'!$AQ$97,VLOOKUP(W254, 'Lookup Tables'!$AI$6:$AM$102, 5, FALSE)*BP254), "")), 2), "")</f>
        <v/>
      </c>
      <c r="FY254" s="253" t="str">
        <f>IFERROR(ROUND(IF(CD254="ERROR", "ERROR", IF(AND($FX$6=Y254, E254="Exterior"), IF(VLOOKUP(W254, 'Lookup Tables'!$AI$6:$AM$102, 5, FALSE)*BP254&gt;'Lookup Tables'!$AQ$97*'Lighting Inventory'!S254,'Lighting Inventory'!S254*'Lookup Tables'!$AQ$97,VLOOKUP(W254, 'Lookup Tables'!$AI$6:$AM$102, 5, FALSE)*BP254), "")), 2), "")</f>
        <v/>
      </c>
      <c r="FZ254" s="253" t="str">
        <f>IFERROR(ROUND(IF(CD254="ERROR", "ERROR", IF(AND($FZ$6=Y254, E254="Interior"), IF(AND(OR(W254="Refrigerated Case Lighting with Doors", W254="Freezer Case Lighting"),Y254="Custom - Process Improvement"),CD254*'Lookup Tables'!$AM$101, IF(B254="Retrofit", IF(VLOOKUP(IF(V254="Custom", V254, W254), 'Lookup Tables'!$AI$6:$AM$102, 5, FALSE)*BP254&gt;GE254, GE254, VLOOKUP(IF(V254="Custom", V254, W254), 'Lookup Tables'!$AI$6:$AM$102, 5, FALSE)*BP254), IF(VLOOKUP(IF(V254="Custom", V254, W254), 'Lookup Tables'!$AI$114:$AM$154, 5, FALSE)*BP254&gt;GE254, GE254, VLOOKUP(IF(V254="Custom", V254, W254), 'Lookup Tables'!$AI$114:$AM$154, 5, FALSE)*BP254))), "")), 2),"")</f>
        <v/>
      </c>
      <c r="GA254" s="253" t="str">
        <f>IFERROR(ROUND(IF(CD254="ERROR", "ERROR", IF(AND($FZ$6=Y254, E254="Exterior"), IF(B254="Retrofit", IF(VLOOKUP(IF(V254="Custom", V254, W254), 'Lookup Tables'!$AI$6:$AM$102, 5, FALSE)*BP254&gt;GE254, GE254, VLOOKUP(IF(V254="Custom", V254, W254), 'Lookup Tables'!$AI$6:$AM$102, 5, FALSE)*BP254), IF(VLOOKUP(IF(V254="Custom", V254, W254), 'Lookup Tables'!$AI$114:$AM$154, 5, FALSE)*BP254&gt;GE254, GE254, VLOOKUP(IF(V254="Custom", V254, W254), 'Lookup Tables'!$AI$114:$AM$154, 5, FALSE)*BP254)), "")), 2),"")</f>
        <v/>
      </c>
      <c r="GB254" s="254" t="str">
        <f t="array" ref="GB254">IF(B254="","",IF(OR(V254="Custom",V254="No Change"),0,IF(B254="Retrofit", INDEX('Lookup Tables'!$AH$6:$AQ$102,MATCH(1,('Lookup Tables'!$AH$6:$AH$102='Lighting Inventory'!V254)*('Lookup Tables'!$AI$6:$AI$102='Lighting Inventory'!W254),FALSE),10),INDEX('Lookup Tables'!$AH$114:$AQ$154,MATCH(1,('Lookup Tables'!$AH$114:$AH$154='Lighting Inventory'!V254)*('Lookup Tables'!$AI$114:$AI$154='Lighting Inventory'!W254),FALSE),10))))</f>
        <v/>
      </c>
      <c r="GC254" s="255" t="str">
        <f t="shared" si="550"/>
        <v/>
      </c>
      <c r="GD254" s="250" t="str">
        <f t="shared" si="551"/>
        <v/>
      </c>
      <c r="GE254" s="253" t="str">
        <f>IFERROR(IF(AND(AF254="", 'General Information'!$F$18="No"),"", IF(AF254="", ((GD254/$CD$266)*$CF$266)*0.5, AF254*S254*0.5)), "")</f>
        <v/>
      </c>
      <c r="GF254" s="255" t="str">
        <f>IF(AND('General Information'!$F$19="", 'General Information'!$F$18="Yes",AF254="",BW254="Y"), "Y", "N")</f>
        <v>N</v>
      </c>
      <c r="GG254" s="255" t="s">
        <v>2946</v>
      </c>
      <c r="GH254" s="255" t="str">
        <f>IFERROR(IF(B254="", "", VLOOKUP(J254, 'Fixture Identities'!$A$6:$N$908, 14, FALSE)), "")</f>
        <v/>
      </c>
      <c r="GI254" s="389" t="str">
        <f>IF(OR(B254="", V254="", W254=""), "", IF(AND(OR(M254='Lookup Tables'!$R$18, M254='Lookup Tables'!$R$19, M254='Lookup Tables'!$R$20, M254='Lookup Tables'!$R$21, M254='Lookup Tables'!$R$22), OR(AN254='Lookup Tables'!$R$17, AN254='Lookup Tables'!$R$17, AN254="")), "Y", "N"))</f>
        <v/>
      </c>
      <c r="GJ254" s="255" t="str">
        <f t="shared" si="552"/>
        <v/>
      </c>
      <c r="GK254" s="255" t="str">
        <f t="shared" si="553"/>
        <v/>
      </c>
      <c r="GL254" s="255" t="str">
        <f t="shared" si="554"/>
        <v/>
      </c>
      <c r="GM254" s="255" t="str">
        <f>IF(AN254="", "", IF(AND(IF(ISNA(VLOOKUP(AN254,'Lookup Tables'!$R$18:$R$22,1,FALSE)), "N", "Y")="Y", E254="Exterior"), "Y", "N"))</f>
        <v/>
      </c>
      <c r="GN254" s="395"/>
      <c r="GO254" s="428">
        <f t="shared" si="600"/>
        <v>0</v>
      </c>
      <c r="GP254" s="428">
        <f t="shared" si="603"/>
        <v>0</v>
      </c>
      <c r="GQ254" s="428">
        <f t="shared" si="601"/>
        <v>0</v>
      </c>
      <c r="GR254" s="428">
        <f t="shared" si="602"/>
        <v>0</v>
      </c>
    </row>
    <row r="255" spans="1:200" s="103" customFormat="1" ht="13.5" customHeight="1" x14ac:dyDescent="0.2">
      <c r="A255" s="272">
        <v>245</v>
      </c>
      <c r="B255" s="110"/>
      <c r="C255" s="110"/>
      <c r="D255" s="110"/>
      <c r="E255" s="110"/>
      <c r="F255" s="110"/>
      <c r="G255" s="110"/>
      <c r="H255" s="110"/>
      <c r="I255" s="29"/>
      <c r="J255" s="29"/>
      <c r="K255" s="272" t="str">
        <f>IFERROR(IF(OR(VLOOKUP(J255, 'Fixture Identities'!$A$6:$L$1023, 3, FALSE)="T12 Linear Fluorescent", VLOOKUP(J255, 'Fixture Identities'!$A$6:$L$1023, 3, FALSE)="T12 U-Tube Fluorescent"), VLOOKUP(VLOOKUP(J255, 'Fixture Identities'!$A$6:$L$1023, 11, FALSE), 'Fixture Identities'!$A$6:$L$1023, 10, FALSE), VLOOKUP(J255, 'Fixture Identities'!$A$6:$L$1023, 10, FALSE)), "")</f>
        <v/>
      </c>
      <c r="L255" s="270" t="str">
        <f t="shared" si="605"/>
        <v/>
      </c>
      <c r="M255" s="110"/>
      <c r="N255" s="110"/>
      <c r="O255" s="110"/>
      <c r="P255" s="272" t="str">
        <f>IFERROR(IF(OR(B255="Retrofit",B255=""),"",IF('Lighting Inventory'!E255="Exterior",VLOOKUP('Lighting Inventory'!N255,'Lookup Tables'!$B$83:$F$103,5,FALSE),IF(N255="Other - Please Estimate EFLH and CFs","Contact Prog. Rep.","ft^2"))), "")</f>
        <v/>
      </c>
      <c r="Q255" s="270" t="str">
        <f>IFERROR(IF(AND(B255="New Construction",E255="Interior",$F$5="Space-by-Space"),VLOOKUP('Lighting Inventory'!N255,'Lookup Tables'!$N$6:$O$97,2,FALSE),IF(AND(B255="New Construction",E255="Exterior"),VLOOKUP(N255,'Lookup Tables'!$B$83:$F$103,2,FALSE),IF(AND(B255="New Construction",'Lighting Inventory'!E255="Interior", $F$5="Building Area"),VLOOKUP(F255,'Lookup Tables'!$A$6:$J$59,10,FALSE),""))), "")</f>
        <v/>
      </c>
      <c r="R255" s="270" t="str">
        <f>IFERROR(IF(P255="Contact Prog. Rep.", "ERROR", IF(OR(B255="",B255="Retrofit"),"",IF(N255="Automated teller machines", ('Lookup Tables'!$A$82:$E$100+('Lighting Inventory'!O255-1)*'Lookup Tables'!$A$82:$E$100)/1000, (Q255*O255)/1000))), "")</f>
        <v/>
      </c>
      <c r="S255" s="595"/>
      <c r="T255" s="105" t="str">
        <f t="shared" si="555"/>
        <v/>
      </c>
      <c r="U255" s="105" t="str">
        <f>IF(S255="","",COUNT($S$11:S255))</f>
        <v/>
      </c>
      <c r="V255" s="111"/>
      <c r="W255" s="112"/>
      <c r="X255" s="105" t="str">
        <f t="shared" si="556"/>
        <v/>
      </c>
      <c r="Y255" s="105" t="str">
        <f t="array" ref="Y255">IF(AND(OR(W255="Freezer Case Lighting", W255="Refrigerated Case Lighting with Doors"), 'General Information'!$X$18="LCI"),'Lookup Tables'!$Y$34, IF(V255="Custom", VLOOKUP(W255, 'Fixture Identities'!$A$974:$M$1023, 13, FALSE), IF(V255="No Change",'Lookup Tables'!$Y$29,IF(OR(V255="",W255=""),"",IF(AND(S255=0,S255&lt;I255,B255="Retrofit"),'Lookup Tables'!$Y$25, IF(B255="Retrofit", INDEX('Lookup Tables'!$AH$6:$AP$102, MATCH(1, ('Lookup Tables'!$AH$6:$AH$102=V255)*('Lookup Tables'!$AI$6:$AI$102=W255), 0), IF('Lighting Inventory'!E255="Interior", 4, 5)), INDEX('Lookup Tables'!$AH$114:$AP$154, MATCH(1, ('Lookup Tables'!$AH$114:$AH$154=V255)*('Lookup Tables'!$AI$114:$AI$154=W255), 0), IF('Lighting Inventory'!E255="Interior", 4, 5))))))))</f>
        <v/>
      </c>
      <c r="Z255" s="105" t="str">
        <f>IFERROR(INDEX('Lookup Tables'!$AH$158:$AH$172,MATCH('Lighting Inventory'!Y255,'Lookup Tables'!$AI$158:$AI$172,0)),"")</f>
        <v/>
      </c>
      <c r="AA255" s="105" t="str">
        <f>IF(AP255&gt;0,INDEX('Lookup Tables'!$AK$158:$AK$172,MATCH('Lighting Inventory'!Y255,'Lookup Tables'!$AI$158:$AI$172,0)),'Lighting Inventory'!Y255)</f>
        <v/>
      </c>
      <c r="AB255" s="105" t="str">
        <f t="array" ref="AB255">IF(V255="Custom", "Custom", IF(V255="", "", IF(V255="Not DLC or Energy Star", "General", IF(B255="New Construction", INDEX('Lookup Tables'!$AH$114:$AP$154,MATCH(1,('Lookup Tables'!$AH$114:$AH$154='Lighting Inventory'!V255)*('Lookup Tables'!$AI$114:$AI$154='Lighting Inventory'!W255),FALSE),8), INDEX('Lookup Tables'!$AH$6:$AP$102,MATCH(1,('Lookup Tables'!$AH$6:$AH$102='Lighting Inventory'!V255)*('Lookup Tables'!$AI$6:$AI$102='Lighting Inventory'!W255),FALSE),8)))))</f>
        <v/>
      </c>
      <c r="AC255" s="272" t="str">
        <f>IF(W255="","",IF(V255="Custom",CONCATENATE("$",'Lookup Tables'!$AM$101," ",'Lookup Tables'!$AN$101),CONCATENATE("$",INDEX('Lookup Tables'!$AM$6:$AM$102,MATCH('Lighting Inventory'!W255,'Lookup Tables'!$AI$6:$AI$102,0))," ",INDEX('Lookup Tables'!$AN$6:$AN$102,MATCH('Lighting Inventory'!W255,'Lookup Tables'!$AI$6:$AI$102,0)))))</f>
        <v/>
      </c>
      <c r="AD255" s="72"/>
      <c r="AE255" s="29"/>
      <c r="AF255" s="379"/>
      <c r="AG255" s="370" t="str">
        <f t="shared" si="504"/>
        <v/>
      </c>
      <c r="AH255" s="370" t="str">
        <f t="shared" si="557"/>
        <v/>
      </c>
      <c r="AI255" s="29"/>
      <c r="AJ255" s="29"/>
      <c r="AK255" s="110"/>
      <c r="AL255" s="375" t="str">
        <f>IF(OR(B255="", V255="", W255=""), "", IF(V255="No Change", K255, IF(V255="Remove Fixture", 0, IF(V255="Custom",VLOOKUP(W255,'Fixture Identities'!$A$6:$K$1023,10,FALSE),IF(AE255="", "← ENTER POST WATTS", 'Lighting Inventory'!AE255)))))</f>
        <v/>
      </c>
      <c r="AM255" s="376" t="str">
        <f t="shared" si="505"/>
        <v/>
      </c>
      <c r="AN255" s="29"/>
      <c r="AO255" s="671"/>
      <c r="AP255" s="29"/>
      <c r="AQ255" s="29"/>
      <c r="AR255" s="29"/>
      <c r="AS255" s="272" t="str">
        <f t="shared" si="558"/>
        <v/>
      </c>
      <c r="AT255" s="270" t="str">
        <f t="shared" si="506"/>
        <v/>
      </c>
      <c r="AU255" s="88" t="str">
        <f t="shared" si="606"/>
        <v/>
      </c>
      <c r="AV255" s="29"/>
      <c r="AW255" s="73"/>
      <c r="AX255" s="271" t="str">
        <f>IF(AND(AV255="Applicant",OR(AW255="", AW255="Use Default Facility Hours")),"← Choose Schedule",IF(F255="","",IF(W255="LED Exit Signs",8760,IF(OR(AV255="Prescribed",AV255=""),VLOOKUP(F255,'Lookup Tables'!$A$6:$G$59,IF(AB255="General", 6, 3),FALSE),VLOOKUP(AW255,'Lookup Tables'!$S$36:$U$43,2,FALSE)))))</f>
        <v/>
      </c>
      <c r="AY255" s="88" t="str">
        <f t="shared" si="507"/>
        <v/>
      </c>
      <c r="AZ255" s="270" t="str">
        <f>IFERROR(IF(F255="", "", IF(W255="LED Exit Signs", 1, IF(AV255="Applicant",VLOOKUP(AW255, 'Lookup Tables'!$S$36:$U$43,3, FALSE), VLOOKUP('Lighting Inventory'!F255, 'Lookup Tables'!$A$6:$H$59, IF('Lighting Inventory'!AB255="General",7,4), FALSE)))), "")</f>
        <v/>
      </c>
      <c r="BA255" s="522" t="str">
        <f>IFERROR(IF(F255="", "", IF(W255="LED Exit Signs", 1, VLOOKUP('Lighting Inventory'!F255, 'Lookup Tables'!$A$6:$H$59, IF('Lighting Inventory'!AB255="General",8,5), FALSE))), "")</f>
        <v/>
      </c>
      <c r="BB255" s="270" t="str">
        <f>IF(G255="", "", IF(E255="Exterior", 0, IF('Lighting Inventory'!G255="Air Conditioned", VLOOKUP(H255, 'Lookup Tables'!$R$6:$T$13, 2, FALSE), VLOOKUP('Lighting Inventory'!G255, 'Lookup Tables'!$R$6:$T$13, 2, FALSE))))</f>
        <v/>
      </c>
      <c r="BC255" s="522" t="str">
        <f>IF(G255="", "", IF(E255="Exterior", 0, IF('Lighting Inventory'!G255="Air Conditioned", VLOOKUP(H255, 'Lookup Tables'!$R$6:$T$13, 3, FALSE), VLOOKUP('Lighting Inventory'!G255, 'Lookup Tables'!$R$6:$T$13, 3, FALSE))))</f>
        <v/>
      </c>
      <c r="BD255" s="270" t="str">
        <f>IF(G255="", "", IF(E255="Exterior", 0, IF('Lighting Inventory'!G255="Air Conditioned", VLOOKUP(H255, 'Lookup Tables'!$R$6:$U$13, 4, FALSE), VLOOKUP('Lighting Inventory'!G255, 'Lookup Tables'!$R$6:$U$13, 4, FALSE))))</f>
        <v/>
      </c>
      <c r="BE255" s="270" t="str">
        <f>IFERROR(IF(B255="", "",  IF(B255="New Construction", VLOOKUP(F255, 'Lookup Tables'!$A$6:$K$59, 11, FALSE),IF(OR(AN255="", AN255="Light Switch"), 0, IF(OR(M255="",M255="None",V255= "LED Exit Signs"),0,_xlfn.XLOOKUP(M255,'Lookup Tables'!$R$91:$R$101,'Lookup Tables'!$V$91:$V$101))))), "")</f>
        <v/>
      </c>
      <c r="BF255" s="270" t="str">
        <f>IF(AND(OR(AN255="Light Switch",AN255=""),B255="New Construction"), VLOOKUP(F255, 'Lookup Tables'!$A$6:$K$59, 11, FALSE),IF(AN255="","",IF(B255="","",IF(OR(AN255="None",AN255="",V255="LED Exit Signs",AN255="Exterior Controls Not Eligible"),0,_xlfn.XLOOKUP(AN255,'Lookup Tables'!$R$91:$R$101,'Lookup Tables'!$V$91:$V$101)))))</f>
        <v/>
      </c>
      <c r="BG255" s="88" t="str">
        <f t="shared" si="559"/>
        <v/>
      </c>
      <c r="BH255" s="88" t="str">
        <f t="shared" si="560"/>
        <v/>
      </c>
      <c r="BI255" s="558" t="str">
        <f t="shared" si="604"/>
        <v/>
      </c>
      <c r="BJ255" s="82" t="str">
        <f t="shared" si="561"/>
        <v/>
      </c>
      <c r="BK255" s="82" t="str">
        <f t="shared" si="562"/>
        <v/>
      </c>
      <c r="BL255" s="559" t="str">
        <f t="shared" si="563"/>
        <v/>
      </c>
      <c r="BM255" s="521" t="str">
        <f t="shared" si="508"/>
        <v/>
      </c>
      <c r="BN255" s="521" t="str">
        <f t="shared" si="509"/>
        <v/>
      </c>
      <c r="BO255" s="522" t="str">
        <f t="shared" si="510"/>
        <v/>
      </c>
      <c r="BP255" s="83" t="str">
        <f t="shared" si="564"/>
        <v/>
      </c>
      <c r="BQ255" s="84" t="str">
        <f t="shared" si="565"/>
        <v/>
      </c>
      <c r="BR255" s="184" t="str">
        <f>IFERROR(IF(B255="", "", IF(OR(VLOOKUP(J255, 'Fixture Identities'!$A$6:$L$1023, 3, FALSE)="T12 Linear Fluorescent",VLOOKUP(J255, 'Fixture Identities'!$A$6:$L$1023, 3, FALSE)="T12 U-Tube Fluorescent"), "Y", "N")), "N")</f>
        <v/>
      </c>
      <c r="BS255" s="184" t="str">
        <f t="array" ref="BS255">IFERROR(IF(OR(B255="", V255="", W255=""), "", IF(V255="Custom", "N", IF(OR(W255="Freezer Case Lighting", W255="Refrigerated Case Lighting with Doors"), BT255, IF(B255="Retrofit", INDEX('Lookup Tables'!$AH$6:$AT$102,MATCH(1,('Lookup Tables'!$AH$6:$AH$102=V255)*('Lookup Tables'!$AI$6:$AI$102=W255),FALSE),IF(VLOOKUP(J255, 'Fixture Identities'!$A$6:$B$1023, 2, FALSE)="Incandescent",12, 13)), INDEX('Lookup Tables'!$AH$114:$AS$154,MATCH(1,('Lookup Tables'!$AH$114:$AH$154=V255)*('Lookup Tables'!$AI$114:$AI$154=W255),FALSE),12))))), "N")</f>
        <v/>
      </c>
      <c r="BT255" s="184" t="str">
        <f>IF(J255="", "", IF(AND(OR(W255="Freezer case Lighting", W255="Refrigerated Case Lighting with Doors"),'General Information'!$X$18="LCI"), "N", IF(OR(VLOOKUP(J255, 'Fixture Identities'!$A$6:$B$1023, 2, FALSE)="T12 EPACT/EISA Baseline", VLOOKUP(J255, 'Fixture Identities'!$A$6:$B$1023, 2, FALSE)="Linear Fluorescent", VLOOKUP(J255, 'Fixture Identities'!$A$6:$B$1023, 2, FALSE)="U-Tube Fluorescent"), "Y", "N")))</f>
        <v/>
      </c>
      <c r="BU255" s="184" t="str">
        <f>IFERROR(IF(B255="", "", IF(VLOOKUP(J255, 'Fixture Identities'!$A$6:$B$1023, 2, FALSE)="Exit Sign", "Y", "N")), "N")</f>
        <v/>
      </c>
      <c r="BV255" s="184" t="str">
        <f>IF(V255="Exit Signs", IF(VLOOKUP(J255, 'Fixture Identities'!$A$6:$B$1023, 2, FALSE)="Exit Sign", "N", "Y"), "")</f>
        <v/>
      </c>
      <c r="BW255" s="184" t="str">
        <f t="array" ref="BW255">IFERROR(IF(B255="", "", IF(B255="New Construction", "N", INDEX('Lookup Tables'!$AH$6:$AU$102, MATCH(1, ('Lookup Tables'!$AH$6:$AH$102='Lighting Inventory'!V255)*('Lookup Tables'!$AI$6:$AI$102='Lighting Inventory'!W255), 0), 14))), "N")</f>
        <v/>
      </c>
      <c r="BX255" s="598" t="str">
        <f t="shared" si="566"/>
        <v/>
      </c>
      <c r="BY255" s="598" t="str">
        <f t="shared" si="567"/>
        <v/>
      </c>
      <c r="BZ255" s="598" t="str">
        <f t="shared" si="568"/>
        <v/>
      </c>
      <c r="CA255" s="598" t="str">
        <f t="shared" si="569"/>
        <v/>
      </c>
      <c r="CB255" s="269" t="str">
        <f t="shared" si="570"/>
        <v/>
      </c>
      <c r="CC255" s="517" t="str">
        <f t="shared" si="571"/>
        <v/>
      </c>
      <c r="CD255" s="565" t="str">
        <f t="shared" si="511"/>
        <v/>
      </c>
      <c r="CE255" s="368">
        <v>0</v>
      </c>
      <c r="CF255" s="368" t="str" cm="1">
        <f t="array" ref="CF255">IFERROR(IF(V255="Custom", "$0.1 per kWh", IF(B255="New Construction", CONCATENATE("$",INDEX('Lookup Tables'!$AH$114:$AN$154,MATCH(1,('Lookup Tables'!$AH$114:$AH$154='Lighting Inventory'!V255)*('Lookup Tables'!$AI$114:$AI$154='Lighting Inventory'!W255),FALSE),6)," ",INDEX('Lookup Tables'!$AH$114:$AN$154,MATCH(1,('Lookup Tables'!$AH$114:$AH$154='Lighting Inventory'!V255)*('Lookup Tables'!$AI$114:$AI$154='Lighting Inventory'!W255),FALSE),7)), IF(AND(BU255="N", V255="Exit Signs"), "$0.025 per kWh", CONCATENATE("$",INDEX('Lookup Tables'!$AH$6:$AN$102,MATCH(1,('Lookup Tables'!$AH$6:$AH$102='Lighting Inventory'!V255)*('Lookup Tables'!$AI$6:$AI$102='Lighting Inventory'!W255),FALSE),6)," ",INDEX('Lookup Tables'!$AH$6:$AN$102,MATCH(1,('Lookup Tables'!$AH$6:$AH$102='Lighting Inventory'!V255)*('Lookup Tables'!$AI$6:$AI$102='Lighting Inventory'!W255),FALSE),7))))), "")</f>
        <v/>
      </c>
      <c r="CG255" s="366"/>
      <c r="CH255" s="248" t="str">
        <f t="shared" si="512"/>
        <v/>
      </c>
      <c r="CI255" s="248" t="str">
        <f t="shared" si="513"/>
        <v>Select_IE</v>
      </c>
      <c r="CJ255" s="248" t="str">
        <f t="shared" si="514"/>
        <v/>
      </c>
      <c r="CK255" s="248" t="str">
        <f t="shared" si="515"/>
        <v/>
      </c>
      <c r="CL255" s="248" t="str">
        <f t="shared" si="516"/>
        <v/>
      </c>
      <c r="CM255" s="248" t="str">
        <f>IFERROR(IF(B255="", "", IF(B255="New Construction", VLOOKUP(V255, 'Lookup Tables'!$AF$114:$AG$120, 2, FALSE), VLOOKUP(V255, 'Lookup Tables'!$AD$6:$AE$25, 2, FALSE))), "")</f>
        <v/>
      </c>
      <c r="CN255" s="248" t="str">
        <f t="shared" si="517"/>
        <v/>
      </c>
      <c r="CO255" s="248" t="str">
        <f t="shared" si="518"/>
        <v/>
      </c>
      <c r="CP255" s="592" t="str">
        <f t="shared" si="519"/>
        <v/>
      </c>
      <c r="CQ255" s="248" t="str">
        <f t="shared" si="572"/>
        <v/>
      </c>
      <c r="CR255" s="100"/>
      <c r="CS255" s="250" t="str">
        <f t="shared" si="520"/>
        <v/>
      </c>
      <c r="CT255" s="250" t="str">
        <f t="shared" si="573"/>
        <v/>
      </c>
      <c r="CU255" s="250" t="str">
        <f t="shared" si="574"/>
        <v/>
      </c>
      <c r="CV255" s="250" t="str">
        <f t="shared" si="575"/>
        <v/>
      </c>
      <c r="CW255" s="250" t="str">
        <f t="shared" si="576"/>
        <v/>
      </c>
      <c r="CX255" s="250" t="str">
        <f t="shared" si="521"/>
        <v/>
      </c>
      <c r="CY255" s="250" t="str">
        <f t="shared" si="522"/>
        <v/>
      </c>
      <c r="CZ255" s="250" t="str">
        <f t="shared" si="523"/>
        <v/>
      </c>
      <c r="DA255" s="250" t="str">
        <f t="shared" si="524"/>
        <v/>
      </c>
      <c r="DB255" s="250" t="str">
        <f t="shared" si="525"/>
        <v/>
      </c>
      <c r="DC255" s="250" t="str">
        <f t="shared" si="526"/>
        <v/>
      </c>
      <c r="DD255" s="250" t="str">
        <f t="shared" si="527"/>
        <v/>
      </c>
      <c r="DE255" s="250" t="str">
        <f t="shared" si="528"/>
        <v/>
      </c>
      <c r="DF255" s="250" t="str">
        <f t="shared" si="529"/>
        <v/>
      </c>
      <c r="DG255" s="250" t="str">
        <f t="shared" si="530"/>
        <v/>
      </c>
      <c r="DH255" s="250" t="str">
        <f t="shared" si="531"/>
        <v/>
      </c>
      <c r="DI255" s="250" t="str">
        <f t="shared" si="532"/>
        <v/>
      </c>
      <c r="DJ255" s="250" t="str">
        <f t="shared" si="533"/>
        <v/>
      </c>
      <c r="DK255" s="250" t="str">
        <f t="shared" si="534"/>
        <v/>
      </c>
      <c r="DL255" s="250" t="str">
        <f t="shared" si="535"/>
        <v/>
      </c>
      <c r="DM255" s="250" t="str">
        <f>IF(CD255="ERROR", "ERROR", IF(AND(OR(Y255=$DM$6, Y255='Lookup Tables'!$AD$21, Y255='Lookup Tables'!$AD$22), E255="Interior"), BJ255, ""))</f>
        <v/>
      </c>
      <c r="DN255" s="250" t="str">
        <f>IF(CD255="ERROR", "ERROR", IF(AND(OR(Y255=$DM$6, Y255='Lookup Tables'!$AD$21, Y255='Lookup Tables'!$AD$22), E255="Exterior"), BJ255, ""))</f>
        <v/>
      </c>
      <c r="DO255" s="100"/>
      <c r="DP255" s="250" t="str">
        <f t="shared" si="536"/>
        <v/>
      </c>
      <c r="DQ255" s="250" t="str">
        <f t="shared" si="577"/>
        <v/>
      </c>
      <c r="DR255" s="250" t="str">
        <f t="shared" si="578"/>
        <v/>
      </c>
      <c r="DS255" s="250" t="str">
        <f t="shared" si="579"/>
        <v/>
      </c>
      <c r="DT255" s="250" t="str">
        <f t="shared" si="580"/>
        <v/>
      </c>
      <c r="DU255" s="250" t="str">
        <f t="shared" si="537"/>
        <v/>
      </c>
      <c r="DV255" s="250" t="str">
        <f t="shared" si="538"/>
        <v/>
      </c>
      <c r="DW255" s="250" t="str">
        <f t="shared" si="539"/>
        <v/>
      </c>
      <c r="DX255" s="250" t="str">
        <f t="shared" si="540"/>
        <v/>
      </c>
      <c r="DY255" s="250" t="str">
        <f t="shared" si="541"/>
        <v/>
      </c>
      <c r="DZ255" s="250" t="str">
        <f t="shared" si="542"/>
        <v/>
      </c>
      <c r="EA255" s="250" t="str">
        <f t="shared" si="543"/>
        <v/>
      </c>
      <c r="EB255" s="250" t="str">
        <f t="shared" si="581"/>
        <v/>
      </c>
      <c r="EC255" s="250" t="str">
        <f t="shared" si="544"/>
        <v/>
      </c>
      <c r="ED255" s="250" t="str">
        <f t="shared" si="545"/>
        <v/>
      </c>
      <c r="EE255" s="250" t="str">
        <f t="shared" si="546"/>
        <v/>
      </c>
      <c r="EF255" s="250" t="str">
        <f t="shared" si="547"/>
        <v/>
      </c>
      <c r="EG255" s="250" t="str">
        <f t="shared" si="548"/>
        <v/>
      </c>
      <c r="EH255" s="250" t="str">
        <f>IF(CD255="ERROR", "ERROR", IF(AND(OR($EH$6=Y255, Y255='Lookup Tables'!$AD$21, Y255='Lookup Tables'!$AD$22),E255="Interior"), SUM(BP255:BP255), ""))</f>
        <v/>
      </c>
      <c r="EI255" s="250" t="str">
        <f>IF(CD255="ERROR", "ERROR", IF(AND(OR($EH$6=Y255, Y255='Lookup Tables'!$AD$21, Y255='Lookup Tables'!$AD$22),E255="Exterior"), SUM(BP255:BP255), ""))</f>
        <v/>
      </c>
      <c r="EJ255" s="109"/>
      <c r="EK255" s="485" t="str">
        <f t="shared" si="549"/>
        <v/>
      </c>
      <c r="EL255" s="252" t="str">
        <f t="shared" si="582"/>
        <v/>
      </c>
      <c r="EM255" s="252" t="str">
        <f t="shared" si="583"/>
        <v/>
      </c>
      <c r="EN255" s="252" t="str">
        <f t="shared" si="584"/>
        <v/>
      </c>
      <c r="EO255" s="252" t="str">
        <f t="shared" si="585"/>
        <v/>
      </c>
      <c r="EP255" s="252" t="str">
        <f t="shared" si="586"/>
        <v/>
      </c>
      <c r="EQ255" s="252" t="str">
        <f t="shared" si="587"/>
        <v/>
      </c>
      <c r="ER255" s="252" t="str">
        <f t="shared" si="588"/>
        <v/>
      </c>
      <c r="ES255" s="252" t="str">
        <f t="shared" si="589"/>
        <v/>
      </c>
      <c r="ET255" s="252" t="str">
        <f t="shared" si="590"/>
        <v/>
      </c>
      <c r="EU255" s="252" t="str">
        <f t="shared" si="591"/>
        <v/>
      </c>
      <c r="EV255" s="252" t="str">
        <f t="shared" si="592"/>
        <v/>
      </c>
      <c r="EW255" s="252" t="str">
        <f t="shared" si="593"/>
        <v/>
      </c>
      <c r="EX255" s="252" t="str">
        <f t="shared" si="594"/>
        <v/>
      </c>
      <c r="EY255" s="252" t="str">
        <f t="shared" si="595"/>
        <v/>
      </c>
      <c r="EZ255" s="252" t="str">
        <f t="shared" si="596"/>
        <v/>
      </c>
      <c r="FA255" s="252" t="str">
        <f t="shared" si="597"/>
        <v/>
      </c>
      <c r="FB255" s="252" t="str">
        <f t="shared" si="598"/>
        <v/>
      </c>
      <c r="FC255" s="252" t="str">
        <f>IF(CD255="ERROR", "ERROR", IF(OR(V255="No Change", V255="Not DLC or Energy Star"), "", IF(AND(OR($FC$6=Y255,Y255='Lookup Tables'!$AD$21, Y255='Lookup Tables'!$AD$22),E255="Interior"), S255, "")))</f>
        <v/>
      </c>
      <c r="FD255" s="252" t="str">
        <f t="shared" si="599"/>
        <v/>
      </c>
      <c r="FE255" s="101"/>
      <c r="FF255" s="579" t="str" cm="1">
        <f t="array" ref="FF255">IFERROR(IF(OR(BQ255&lt;=0,AQ255&lt;20,AND(V255="Exit Signs",AN255&gt;0)),"",IF(AND(AQ255&gt;=20,AN255='Lookup Tables'!$R$101),'Lookup Tables'!$U$101*BQ255,AP255*LOOKUP(2,1/((AN255='Lookup Tables'!$R$91:$R$111)*(AQ255&gt;='Lookup Tables'!$S$91:$S$111)*(AQ255&lt;='Lookup Tables'!$T$91:$T$111)),'Lookup Tables'!$U$91:$U$111))),"")</f>
        <v/>
      </c>
      <c r="FG255" s="579"/>
      <c r="FH255" s="579"/>
      <c r="FI255" s="253" t="str">
        <f>IFERROR(ROUND(IF(CD255="ERROR", "ERROR", IF(AND($FI$7=X255,E255="Interior"),VLOOKUP(W255, 'Lookup Tables'!$AI$6:$AM$102, 5, FALSE)*BP255, "")), 2), "")</f>
        <v/>
      </c>
      <c r="FJ255" s="253" t="str">
        <f>IFERROR(ROUND(IF(CD255="ERROR", "ERROR", IF(AND($FI$7=X255,E255="Exterior"),VLOOKUP(W255, 'Lookup Tables'!$AI$6:$AM$102, 5, FALSE)*BP255, "")), 2), "")</f>
        <v/>
      </c>
      <c r="FK255" s="253" t="str">
        <f>IFERROR(ROUND(IF(CD255="ERROR", "ERROR", IF(AND($FK$7=X255,E255="Interior"),VLOOKUP(W255, 'Lookup Tables'!$AI$6:$AM$102, 5, FALSE)*BP255, "")), 2), "")</f>
        <v/>
      </c>
      <c r="FL255" s="253" t="str">
        <f>IFERROR(ROUND(IF(CD255="ERROR", "ERROR", IF(AND($FK$7=X255,E255="Exterior"),VLOOKUP(W255, 'Lookup Tables'!$AI$6:$AM$102, 5, FALSE)*BP255, "")), 2), "")</f>
        <v/>
      </c>
      <c r="FM255" s="253" t="str">
        <f>IFERROR(ROUND(IF(CD255="ERROR", "ERROR", IF(AND($FM$6=Y255,E255="Interior"), IF(GB255=0, VLOOKUP(W255, 'Lookup Tables'!$AI$6:$AM$102, 5, FALSE)*BP255, IF(VLOOKUP(W255, 'Lookup Tables'!$AI$6:$AM$102, 5, FALSE)*BP255&gt;GB255*'Lighting Inventory'!S255, GB255*'Lighting Inventory'!S255,VLOOKUP(W255, 'Lookup Tables'!$AI$6:$AM$102, 5, FALSE)*BP255)), "")), 2), "")</f>
        <v/>
      </c>
      <c r="FN255" s="253" t="str">
        <f>IFERROR(ROUND(IF(CD255="ERROR", "ERROR", IF(AND($FM$6=Y255,E255="Exterior"), IF(GB255=0, VLOOKUP(W255, 'Lookup Tables'!$AI$6:$AM$102, 5, FALSE)*BP255, IF(VLOOKUP(W255, 'Lookup Tables'!$AI$6:$AM$102, 5, FALSE)*BP255&gt;GB255*'Lighting Inventory'!S255, GB255*'Lighting Inventory'!S255,VLOOKUP(W255, 'Lookup Tables'!$AI$6:$AM$102, 5, FALSE)*BP255)), "")), 2), "")</f>
        <v/>
      </c>
      <c r="FO255" s="253" t="str">
        <f>IFERROR(ROUND(IF(CD255="ERROR", "ERROR", IF(AND($FO$6=Y255,E255="Interior"),VLOOKUP(W255, 'Lookup Tables'!$AI$6:$AM$102, 5, FALSE)*'Lighting Inventory'!AI255, "")), 2), "")</f>
        <v/>
      </c>
      <c r="FP255" s="253" t="str">
        <f>IFERROR(ROUND(IF(CD255="ERROR", "ERROR", IF(AND($FO$6=Y255,E255="Exterior"),VLOOKUP(W255, 'Lookup Tables'!$AI$6:$AM$102, 5, FALSE)*'Lighting Inventory'!AI255, "")), 2), "")</f>
        <v/>
      </c>
      <c r="FQ255" s="253" t="str">
        <f>IFERROR(ROUND(IF(CD255="ERROR", "ERROR", IF(AND($FQ$6=Y255,E255="Interior", BU255="Y"), VLOOKUP('Lighting Inventory'!W255, 'Lookup Tables'!$AI$6:$AM$102, 5, FALSE)*'Lighting Inventory'!S255, IF(AND($FQ$7=Y255,E255="Interior", BU255="N"), 0.025*CD255, ""))), 2), "")</f>
        <v/>
      </c>
      <c r="FR255" s="253" t="str">
        <f>IFERROR(ROUND(IF(CD255="ERROR", "ERROR", IF(AND($FQ$6=Y255,E255="Exterior"), VLOOKUP('Lighting Inventory'!W255, 'Lookup Tables'!$AI$6:$AM$102, 5, FALSE)*'Lighting Inventory'!S255, "")), 2), "")</f>
        <v/>
      </c>
      <c r="FS255" s="253" t="str">
        <f>IFERROR(ROUND(IF(CD255="ERROR", "ERROR", IF(AND($FS$6=Y255,E255="Exterior"), IF(GB255=0, VLOOKUP(W255, 'Lookup Tables'!$AI$6:$AM$102, 5, FALSE)*BP255, IF(VLOOKUP(W255, 'Lookup Tables'!$AI$6:$AM$102, 5, FALSE)*BP255&gt;GB255*'Lighting Inventory'!S255, GB255*'Lighting Inventory'!S255,VLOOKUP(W255, 'Lookup Tables'!$AI$6:$AM$102, 5, FALSE)*BP255)), "")), 2), "")</f>
        <v/>
      </c>
      <c r="FT255" s="253" t="str">
        <f>IFERROR(ROUND(IF(CD255="ERROR", "ERROR", IF(AND($FT$6=Y255,E255="Interior"), IF(GB255=0, VLOOKUP(W255, 'Lookup Tables'!$AI$6:$AM$102, 5, FALSE)*BP255, IF(VLOOKUP(W255, 'Lookup Tables'!$AI$6:$AM$102, 5, FALSE)*BP255&gt;GB255*'Lighting Inventory'!S255, GB255*'Lighting Inventory'!S255,VLOOKUP(W255, 'Lookup Tables'!$AI$6:$AM$102, 5, FALSE)*BP255)), "")), 2), "")</f>
        <v/>
      </c>
      <c r="FU255" s="253" t="str">
        <f>IFERROR(ROUND(IF(CD255="ERROR", "ERROR", IF(AND(Y255=$FU$6, E255="Interior"), IF(BS255="N", 'Lookup Tables'!$AM$101*BP255, VLOOKUP(W255, 'Lookup Tables'!$AI$6:$AM$102, 5, FALSE)*S255*AD255), "")), 2), "")</f>
        <v/>
      </c>
      <c r="FV255" s="253" t="str">
        <f>IFERROR(ROUND(IF(CD255="ERROR", "ERROR", IF(AND(Y255=$FU$6, E255="Exterior"), IF(BS255="N", 'Lookup Tables'!$AM$101*BP255, VLOOKUP(W255, 'Lookup Tables'!$AI$6:$AM$102, 5, FALSE)*S255*AD255), "")), 2), "")</f>
        <v/>
      </c>
      <c r="FW255" s="253" t="str">
        <f>IFERROR(ROUND(IF(CD255="ERROR", "ERROR", IF($FW$6=Y255, IF(BS255="N", 'Lookup Tables'!$AM$101*BP255, MIN((VLOOKUP(W255, 'Lookup Tables'!$AI$6:$AM$102, 5, FALSE)*BP255),GB255*AJ255)), "")), 2), "")</f>
        <v/>
      </c>
      <c r="FX255" s="253" t="str">
        <f>IFERROR(ROUND(IF(CD255="ERROR", "ERROR", IF(AND($FX$6=Y255, E255="Interior"), IF(VLOOKUP(W255, 'Lookup Tables'!$AI$6:$AM$102, 5, FALSE)*BP255&gt;'Lookup Tables'!$AQ$97*'Lighting Inventory'!S255,'Lighting Inventory'!S255*'Lookup Tables'!$AQ$97,VLOOKUP(W255, 'Lookup Tables'!$AI$6:$AM$102, 5, FALSE)*BP255), "")), 2), "")</f>
        <v/>
      </c>
      <c r="FY255" s="253" t="str">
        <f>IFERROR(ROUND(IF(CD255="ERROR", "ERROR", IF(AND($FX$6=Y255, E255="Exterior"), IF(VLOOKUP(W255, 'Lookup Tables'!$AI$6:$AM$102, 5, FALSE)*BP255&gt;'Lookup Tables'!$AQ$97*'Lighting Inventory'!S255,'Lighting Inventory'!S255*'Lookup Tables'!$AQ$97,VLOOKUP(W255, 'Lookup Tables'!$AI$6:$AM$102, 5, FALSE)*BP255), "")), 2), "")</f>
        <v/>
      </c>
      <c r="FZ255" s="253" t="str">
        <f>IFERROR(ROUND(IF(CD255="ERROR", "ERROR", IF(AND($FZ$6=Y255, E255="Interior"), IF(AND(OR(W255="Refrigerated Case Lighting with Doors", W255="Freezer Case Lighting"),Y255="Custom - Process Improvement"),CD255*'Lookup Tables'!$AM$101, IF(B255="Retrofit", IF(VLOOKUP(IF(V255="Custom", V255, W255), 'Lookup Tables'!$AI$6:$AM$102, 5, FALSE)*BP255&gt;GE255, GE255, VLOOKUP(IF(V255="Custom", V255, W255), 'Lookup Tables'!$AI$6:$AM$102, 5, FALSE)*BP255), IF(VLOOKUP(IF(V255="Custom", V255, W255), 'Lookup Tables'!$AI$114:$AM$154, 5, FALSE)*BP255&gt;GE255, GE255, VLOOKUP(IF(V255="Custom", V255, W255), 'Lookup Tables'!$AI$114:$AM$154, 5, FALSE)*BP255))), "")), 2),"")</f>
        <v/>
      </c>
      <c r="GA255" s="253" t="str">
        <f>IFERROR(ROUND(IF(CD255="ERROR", "ERROR", IF(AND($FZ$6=Y255, E255="Exterior"), IF(B255="Retrofit", IF(VLOOKUP(IF(V255="Custom", V255, W255), 'Lookup Tables'!$AI$6:$AM$102, 5, FALSE)*BP255&gt;GE255, GE255, VLOOKUP(IF(V255="Custom", V255, W255), 'Lookup Tables'!$AI$6:$AM$102, 5, FALSE)*BP255), IF(VLOOKUP(IF(V255="Custom", V255, W255), 'Lookup Tables'!$AI$114:$AM$154, 5, FALSE)*BP255&gt;GE255, GE255, VLOOKUP(IF(V255="Custom", V255, W255), 'Lookup Tables'!$AI$114:$AM$154, 5, FALSE)*BP255)), "")), 2),"")</f>
        <v/>
      </c>
      <c r="GB255" s="254" t="str">
        <f t="array" ref="GB255">IF(B255="","",IF(OR(V255="Custom",V255="No Change"),0,IF(B255="Retrofit", INDEX('Lookup Tables'!$AH$6:$AQ$102,MATCH(1,('Lookup Tables'!$AH$6:$AH$102='Lighting Inventory'!V255)*('Lookup Tables'!$AI$6:$AI$102='Lighting Inventory'!W255),FALSE),10),INDEX('Lookup Tables'!$AH$114:$AQ$154,MATCH(1,('Lookup Tables'!$AH$114:$AH$154='Lighting Inventory'!V255)*('Lookup Tables'!$AI$114:$AI$154='Lighting Inventory'!W255),FALSE),10))))</f>
        <v/>
      </c>
      <c r="GC255" s="255" t="str">
        <f t="shared" si="550"/>
        <v/>
      </c>
      <c r="GD255" s="250" t="str">
        <f t="shared" si="551"/>
        <v/>
      </c>
      <c r="GE255" s="253" t="str">
        <f>IFERROR(IF(AND(AF255="", 'General Information'!$F$18="No"),"", IF(AF255="", ((GD255/$CD$266)*$CF$266)*0.5, AF255*S255*0.5)), "")</f>
        <v/>
      </c>
      <c r="GF255" s="255" t="str">
        <f>IF(AND('General Information'!$F$19="", 'General Information'!$F$18="Yes",AF255="",BW255="Y"), "Y", "N")</f>
        <v>N</v>
      </c>
      <c r="GG255" s="255" t="s">
        <v>2946</v>
      </c>
      <c r="GH255" s="255" t="str">
        <f>IFERROR(IF(B255="", "", VLOOKUP(J255, 'Fixture Identities'!$A$6:$N$908, 14, FALSE)), "")</f>
        <v/>
      </c>
      <c r="GI255" s="389" t="str">
        <f>IF(OR(B255="", V255="", W255=""), "", IF(AND(OR(M255='Lookup Tables'!$R$18, M255='Lookup Tables'!$R$19, M255='Lookup Tables'!$R$20, M255='Lookup Tables'!$R$21, M255='Lookup Tables'!$R$22), OR(AN255='Lookup Tables'!$R$17, AN255='Lookup Tables'!$R$17, AN255="")), "Y", "N"))</f>
        <v/>
      </c>
      <c r="GJ255" s="255" t="str">
        <f t="shared" si="552"/>
        <v/>
      </c>
      <c r="GK255" s="255" t="str">
        <f t="shared" si="553"/>
        <v/>
      </c>
      <c r="GL255" s="255" t="str">
        <f t="shared" si="554"/>
        <v/>
      </c>
      <c r="GM255" s="255" t="str">
        <f>IF(AN255="", "", IF(AND(IF(ISNA(VLOOKUP(AN255,'Lookup Tables'!$R$18:$R$22,1,FALSE)), "N", "Y")="Y", E255="Exterior"), "Y", "N"))</f>
        <v/>
      </c>
      <c r="GN255" s="395"/>
      <c r="GO255" s="428">
        <f t="shared" si="600"/>
        <v>0</v>
      </c>
      <c r="GP255" s="428">
        <f t="shared" si="603"/>
        <v>0</v>
      </c>
      <c r="GQ255" s="428">
        <f t="shared" si="601"/>
        <v>0</v>
      </c>
      <c r="GR255" s="428">
        <f t="shared" si="602"/>
        <v>0</v>
      </c>
    </row>
    <row r="256" spans="1:200" s="103" customFormat="1" ht="13.5" customHeight="1" x14ac:dyDescent="0.2">
      <c r="A256" s="272">
        <v>246</v>
      </c>
      <c r="B256" s="110"/>
      <c r="C256" s="110"/>
      <c r="D256" s="110"/>
      <c r="E256" s="110"/>
      <c r="F256" s="110"/>
      <c r="G256" s="110"/>
      <c r="H256" s="110"/>
      <c r="I256" s="29"/>
      <c r="J256" s="29"/>
      <c r="K256" s="272" t="str">
        <f>IFERROR(IF(OR(VLOOKUP(J256, 'Fixture Identities'!$A$6:$L$1023, 3, FALSE)="T12 Linear Fluorescent", VLOOKUP(J256, 'Fixture Identities'!$A$6:$L$1023, 3, FALSE)="T12 U-Tube Fluorescent"), VLOOKUP(VLOOKUP(J256, 'Fixture Identities'!$A$6:$L$1023, 11, FALSE), 'Fixture Identities'!$A$6:$L$1023, 10, FALSE), VLOOKUP(J256, 'Fixture Identities'!$A$6:$L$1023, 10, FALSE)), "")</f>
        <v/>
      </c>
      <c r="L256" s="270" t="str">
        <f t="shared" si="605"/>
        <v/>
      </c>
      <c r="M256" s="110"/>
      <c r="N256" s="110"/>
      <c r="O256" s="110"/>
      <c r="P256" s="272" t="str">
        <f>IFERROR(IF(OR(B256="Retrofit",B256=""),"",IF('Lighting Inventory'!E256="Exterior",VLOOKUP('Lighting Inventory'!N256,'Lookup Tables'!$B$83:$F$103,5,FALSE),IF(N256="Other - Please Estimate EFLH and CFs","Contact Prog. Rep.","ft^2"))), "")</f>
        <v/>
      </c>
      <c r="Q256" s="270" t="str">
        <f>IFERROR(IF(AND(B256="New Construction",E256="Interior",$F$5="Space-by-Space"),VLOOKUP('Lighting Inventory'!N256,'Lookup Tables'!$N$6:$O$97,2,FALSE),IF(AND(B256="New Construction",E256="Exterior"),VLOOKUP(N256,'Lookup Tables'!$B$83:$F$103,2,FALSE),IF(AND(B256="New Construction",'Lighting Inventory'!E256="Interior", $F$5="Building Area"),VLOOKUP(F256,'Lookup Tables'!$A$6:$J$59,10,FALSE),""))), "")</f>
        <v/>
      </c>
      <c r="R256" s="270" t="str">
        <f>IFERROR(IF(P256="Contact Prog. Rep.", "ERROR", IF(OR(B256="",B256="Retrofit"),"",IF(N256="Automated teller machines", ('Lookup Tables'!$A$82:$E$100+('Lighting Inventory'!O256-1)*'Lookup Tables'!$A$82:$E$100)/1000, (Q256*O256)/1000))), "")</f>
        <v/>
      </c>
      <c r="S256" s="595"/>
      <c r="T256" s="105" t="str">
        <f t="shared" si="555"/>
        <v/>
      </c>
      <c r="U256" s="105" t="str">
        <f>IF(S256="","",COUNT($S$11:S256))</f>
        <v/>
      </c>
      <c r="V256" s="111"/>
      <c r="W256" s="112"/>
      <c r="X256" s="105" t="str">
        <f t="shared" si="556"/>
        <v/>
      </c>
      <c r="Y256" s="105" t="str">
        <f t="array" ref="Y256">IF(AND(OR(W256="Freezer Case Lighting", W256="Refrigerated Case Lighting with Doors"), 'General Information'!$X$18="LCI"),'Lookup Tables'!$Y$34, IF(V256="Custom", VLOOKUP(W256, 'Fixture Identities'!$A$974:$M$1023, 13, FALSE), IF(V256="No Change",'Lookup Tables'!$Y$29,IF(OR(V256="",W256=""),"",IF(AND(S256=0,S256&lt;I256,B256="Retrofit"),'Lookup Tables'!$Y$25, IF(B256="Retrofit", INDEX('Lookup Tables'!$AH$6:$AP$102, MATCH(1, ('Lookup Tables'!$AH$6:$AH$102=V256)*('Lookup Tables'!$AI$6:$AI$102=W256), 0), IF('Lighting Inventory'!E256="Interior", 4, 5)), INDEX('Lookup Tables'!$AH$114:$AP$154, MATCH(1, ('Lookup Tables'!$AH$114:$AH$154=V256)*('Lookup Tables'!$AI$114:$AI$154=W256), 0), IF('Lighting Inventory'!E256="Interior", 4, 5))))))))</f>
        <v/>
      </c>
      <c r="Z256" s="105" t="str">
        <f>IFERROR(INDEX('Lookup Tables'!$AH$158:$AH$172,MATCH('Lighting Inventory'!Y256,'Lookup Tables'!$AI$158:$AI$172,0)),"")</f>
        <v/>
      </c>
      <c r="AA256" s="105" t="str">
        <f>IF(AP256&gt;0,INDEX('Lookup Tables'!$AK$158:$AK$172,MATCH('Lighting Inventory'!Y256,'Lookup Tables'!$AI$158:$AI$172,0)),'Lighting Inventory'!Y256)</f>
        <v/>
      </c>
      <c r="AB256" s="105" t="str">
        <f t="array" ref="AB256">IF(V256="Custom", "Custom", IF(V256="", "", IF(V256="Not DLC or Energy Star", "General", IF(B256="New Construction", INDEX('Lookup Tables'!$AH$114:$AP$154,MATCH(1,('Lookup Tables'!$AH$114:$AH$154='Lighting Inventory'!V256)*('Lookup Tables'!$AI$114:$AI$154='Lighting Inventory'!W256),FALSE),8), INDEX('Lookup Tables'!$AH$6:$AP$102,MATCH(1,('Lookup Tables'!$AH$6:$AH$102='Lighting Inventory'!V256)*('Lookup Tables'!$AI$6:$AI$102='Lighting Inventory'!W256),FALSE),8)))))</f>
        <v/>
      </c>
      <c r="AC256" s="272" t="str">
        <f>IF(W256="","",IF(V256="Custom",CONCATENATE("$",'Lookup Tables'!$AM$101," ",'Lookup Tables'!$AN$101),CONCATENATE("$",INDEX('Lookup Tables'!$AM$6:$AM$102,MATCH('Lighting Inventory'!W256,'Lookup Tables'!$AI$6:$AI$102,0))," ",INDEX('Lookup Tables'!$AN$6:$AN$102,MATCH('Lighting Inventory'!W256,'Lookup Tables'!$AI$6:$AI$102,0)))))</f>
        <v/>
      </c>
      <c r="AD256" s="72"/>
      <c r="AE256" s="29"/>
      <c r="AF256" s="379"/>
      <c r="AG256" s="370" t="str">
        <f t="shared" si="504"/>
        <v/>
      </c>
      <c r="AH256" s="370" t="str">
        <f t="shared" si="557"/>
        <v/>
      </c>
      <c r="AI256" s="29"/>
      <c r="AJ256" s="29"/>
      <c r="AK256" s="110"/>
      <c r="AL256" s="375" t="str">
        <f>IF(OR(B256="", V256="", W256=""), "", IF(V256="No Change", K256, IF(V256="Remove Fixture", 0, IF(V256="Custom",VLOOKUP(W256,'Fixture Identities'!$A$6:$K$1023,10,FALSE),IF(AE256="", "← ENTER POST WATTS", 'Lighting Inventory'!AE256)))))</f>
        <v/>
      </c>
      <c r="AM256" s="376" t="str">
        <f t="shared" si="505"/>
        <v/>
      </c>
      <c r="AN256" s="29"/>
      <c r="AO256" s="671"/>
      <c r="AP256" s="29"/>
      <c r="AQ256" s="29"/>
      <c r="AR256" s="29"/>
      <c r="AS256" s="272" t="str">
        <f t="shared" si="558"/>
        <v/>
      </c>
      <c r="AT256" s="270" t="str">
        <f t="shared" si="506"/>
        <v/>
      </c>
      <c r="AU256" s="88" t="str">
        <f t="shared" si="606"/>
        <v/>
      </c>
      <c r="AV256" s="29"/>
      <c r="AW256" s="73"/>
      <c r="AX256" s="271" t="str">
        <f>IF(AND(AV256="Applicant",OR(AW256="", AW256="Use Default Facility Hours")),"← Choose Schedule",IF(F256="","",IF(W256="LED Exit Signs",8760,IF(OR(AV256="Prescribed",AV256=""),VLOOKUP(F256,'Lookup Tables'!$A$6:$G$59,IF(AB256="General", 6, 3),FALSE),VLOOKUP(AW256,'Lookup Tables'!$S$36:$U$43,2,FALSE)))))</f>
        <v/>
      </c>
      <c r="AY256" s="88" t="str">
        <f t="shared" si="507"/>
        <v/>
      </c>
      <c r="AZ256" s="270" t="str">
        <f>IFERROR(IF(F256="", "", IF(W256="LED Exit Signs", 1, IF(AV256="Applicant",VLOOKUP(AW256, 'Lookup Tables'!$S$36:$U$43,3, FALSE), VLOOKUP('Lighting Inventory'!F256, 'Lookup Tables'!$A$6:$H$59, IF('Lighting Inventory'!AB256="General",7,4), FALSE)))), "")</f>
        <v/>
      </c>
      <c r="BA256" s="522" t="str">
        <f>IFERROR(IF(F256="", "", IF(W256="LED Exit Signs", 1, VLOOKUP('Lighting Inventory'!F256, 'Lookup Tables'!$A$6:$H$59, IF('Lighting Inventory'!AB256="General",8,5), FALSE))), "")</f>
        <v/>
      </c>
      <c r="BB256" s="270" t="str">
        <f>IF(G256="", "", IF(E256="Exterior", 0, IF('Lighting Inventory'!G256="Air Conditioned", VLOOKUP(H256, 'Lookup Tables'!$R$6:$T$13, 2, FALSE), VLOOKUP('Lighting Inventory'!G256, 'Lookup Tables'!$R$6:$T$13, 2, FALSE))))</f>
        <v/>
      </c>
      <c r="BC256" s="522" t="str">
        <f>IF(G256="", "", IF(E256="Exterior", 0, IF('Lighting Inventory'!G256="Air Conditioned", VLOOKUP(H256, 'Lookup Tables'!$R$6:$T$13, 3, FALSE), VLOOKUP('Lighting Inventory'!G256, 'Lookup Tables'!$R$6:$T$13, 3, FALSE))))</f>
        <v/>
      </c>
      <c r="BD256" s="270" t="str">
        <f>IF(G256="", "", IF(E256="Exterior", 0, IF('Lighting Inventory'!G256="Air Conditioned", VLOOKUP(H256, 'Lookup Tables'!$R$6:$U$13, 4, FALSE), VLOOKUP('Lighting Inventory'!G256, 'Lookup Tables'!$R$6:$U$13, 4, FALSE))))</f>
        <v/>
      </c>
      <c r="BE256" s="270" t="str">
        <f>IFERROR(IF(B256="", "",  IF(B256="New Construction", VLOOKUP(F256, 'Lookup Tables'!$A$6:$K$59, 11, FALSE),IF(OR(AN256="", AN256="Light Switch"), 0, IF(OR(M256="",M256="None",V256= "LED Exit Signs"),0,_xlfn.XLOOKUP(M256,'Lookup Tables'!$R$91:$R$101,'Lookup Tables'!$V$91:$V$101))))), "")</f>
        <v/>
      </c>
      <c r="BF256" s="270" t="str">
        <f>IF(AND(OR(AN256="Light Switch",AN256=""),B256="New Construction"), VLOOKUP(F256, 'Lookup Tables'!$A$6:$K$59, 11, FALSE),IF(AN256="","",IF(B256="","",IF(OR(AN256="None",AN256="",V256="LED Exit Signs",AN256="Exterior Controls Not Eligible"),0,_xlfn.XLOOKUP(AN256,'Lookup Tables'!$R$91:$R$101,'Lookup Tables'!$V$91:$V$101)))))</f>
        <v/>
      </c>
      <c r="BG256" s="88" t="str">
        <f t="shared" si="559"/>
        <v/>
      </c>
      <c r="BH256" s="88" t="str">
        <f t="shared" si="560"/>
        <v/>
      </c>
      <c r="BI256" s="558" t="str">
        <f t="shared" si="604"/>
        <v/>
      </c>
      <c r="BJ256" s="82" t="str">
        <f t="shared" si="561"/>
        <v/>
      </c>
      <c r="BK256" s="82" t="str">
        <f t="shared" si="562"/>
        <v/>
      </c>
      <c r="BL256" s="559" t="str">
        <f t="shared" si="563"/>
        <v/>
      </c>
      <c r="BM256" s="521" t="str">
        <f t="shared" si="508"/>
        <v/>
      </c>
      <c r="BN256" s="521" t="str">
        <f t="shared" si="509"/>
        <v/>
      </c>
      <c r="BO256" s="522" t="str">
        <f t="shared" si="510"/>
        <v/>
      </c>
      <c r="BP256" s="83" t="str">
        <f t="shared" si="564"/>
        <v/>
      </c>
      <c r="BQ256" s="84" t="str">
        <f t="shared" si="565"/>
        <v/>
      </c>
      <c r="BR256" s="184" t="str">
        <f>IFERROR(IF(B256="", "", IF(OR(VLOOKUP(J256, 'Fixture Identities'!$A$6:$L$1023, 3, FALSE)="T12 Linear Fluorescent",VLOOKUP(J256, 'Fixture Identities'!$A$6:$L$1023, 3, FALSE)="T12 U-Tube Fluorescent"), "Y", "N")), "N")</f>
        <v/>
      </c>
      <c r="BS256" s="184" t="str">
        <f t="array" ref="BS256">IFERROR(IF(OR(B256="", V256="", W256=""), "", IF(V256="Custom", "N", IF(OR(W256="Freezer Case Lighting", W256="Refrigerated Case Lighting with Doors"), BT256, IF(B256="Retrofit", INDEX('Lookup Tables'!$AH$6:$AT$102,MATCH(1,('Lookup Tables'!$AH$6:$AH$102=V256)*('Lookup Tables'!$AI$6:$AI$102=W256),FALSE),IF(VLOOKUP(J256, 'Fixture Identities'!$A$6:$B$1023, 2, FALSE)="Incandescent",12, 13)), INDEX('Lookup Tables'!$AH$114:$AS$154,MATCH(1,('Lookup Tables'!$AH$114:$AH$154=V256)*('Lookup Tables'!$AI$114:$AI$154=W256),FALSE),12))))), "N")</f>
        <v/>
      </c>
      <c r="BT256" s="184" t="str">
        <f>IF(J256="", "", IF(AND(OR(W256="Freezer case Lighting", W256="Refrigerated Case Lighting with Doors"),'General Information'!$X$18="LCI"), "N", IF(OR(VLOOKUP(J256, 'Fixture Identities'!$A$6:$B$1023, 2, FALSE)="T12 EPACT/EISA Baseline", VLOOKUP(J256, 'Fixture Identities'!$A$6:$B$1023, 2, FALSE)="Linear Fluorescent", VLOOKUP(J256, 'Fixture Identities'!$A$6:$B$1023, 2, FALSE)="U-Tube Fluorescent"), "Y", "N")))</f>
        <v/>
      </c>
      <c r="BU256" s="184" t="str">
        <f>IFERROR(IF(B256="", "", IF(VLOOKUP(J256, 'Fixture Identities'!$A$6:$B$1023, 2, FALSE)="Exit Sign", "Y", "N")), "N")</f>
        <v/>
      </c>
      <c r="BV256" s="184" t="str">
        <f>IF(V256="Exit Signs", IF(VLOOKUP(J256, 'Fixture Identities'!$A$6:$B$1023, 2, FALSE)="Exit Sign", "N", "Y"), "")</f>
        <v/>
      </c>
      <c r="BW256" s="184" t="str">
        <f t="array" ref="BW256">IFERROR(IF(B256="", "", IF(B256="New Construction", "N", INDEX('Lookup Tables'!$AH$6:$AU$102, MATCH(1, ('Lookup Tables'!$AH$6:$AH$102='Lighting Inventory'!V256)*('Lookup Tables'!$AI$6:$AI$102='Lighting Inventory'!W256), 0), 14))), "N")</f>
        <v/>
      </c>
      <c r="BX256" s="598" t="str">
        <f t="shared" si="566"/>
        <v/>
      </c>
      <c r="BY256" s="598" t="str">
        <f t="shared" si="567"/>
        <v/>
      </c>
      <c r="BZ256" s="598" t="str">
        <f t="shared" si="568"/>
        <v/>
      </c>
      <c r="CA256" s="598" t="str">
        <f t="shared" si="569"/>
        <v/>
      </c>
      <c r="CB256" s="269" t="str">
        <f t="shared" si="570"/>
        <v/>
      </c>
      <c r="CC256" s="517" t="str">
        <f t="shared" si="571"/>
        <v/>
      </c>
      <c r="CD256" s="565" t="str">
        <f t="shared" si="511"/>
        <v/>
      </c>
      <c r="CE256" s="368">
        <v>0</v>
      </c>
      <c r="CF256" s="368" t="str" cm="1">
        <f t="array" ref="CF256">IFERROR(IF(V256="Custom", "$0.1 per kWh", IF(B256="New Construction", CONCATENATE("$",INDEX('Lookup Tables'!$AH$114:$AN$154,MATCH(1,('Lookup Tables'!$AH$114:$AH$154='Lighting Inventory'!V256)*('Lookup Tables'!$AI$114:$AI$154='Lighting Inventory'!W256),FALSE),6)," ",INDEX('Lookup Tables'!$AH$114:$AN$154,MATCH(1,('Lookup Tables'!$AH$114:$AH$154='Lighting Inventory'!V256)*('Lookup Tables'!$AI$114:$AI$154='Lighting Inventory'!W256),FALSE),7)), IF(AND(BU256="N", V256="Exit Signs"), "$0.025 per kWh", CONCATENATE("$",INDEX('Lookup Tables'!$AH$6:$AN$102,MATCH(1,('Lookup Tables'!$AH$6:$AH$102='Lighting Inventory'!V256)*('Lookup Tables'!$AI$6:$AI$102='Lighting Inventory'!W256),FALSE),6)," ",INDEX('Lookup Tables'!$AH$6:$AN$102,MATCH(1,('Lookup Tables'!$AH$6:$AH$102='Lighting Inventory'!V256)*('Lookup Tables'!$AI$6:$AI$102='Lighting Inventory'!W256),FALSE),7))))), "")</f>
        <v/>
      </c>
      <c r="CG256" s="366"/>
      <c r="CH256" s="248" t="str">
        <f t="shared" si="512"/>
        <v/>
      </c>
      <c r="CI256" s="248" t="str">
        <f t="shared" si="513"/>
        <v>Select_IE</v>
      </c>
      <c r="CJ256" s="248" t="str">
        <f t="shared" si="514"/>
        <v/>
      </c>
      <c r="CK256" s="248" t="str">
        <f t="shared" si="515"/>
        <v/>
      </c>
      <c r="CL256" s="248" t="str">
        <f t="shared" si="516"/>
        <v/>
      </c>
      <c r="CM256" s="248" t="str">
        <f>IFERROR(IF(B256="", "", IF(B256="New Construction", VLOOKUP(V256, 'Lookup Tables'!$AF$114:$AG$120, 2, FALSE), VLOOKUP(V256, 'Lookup Tables'!$AD$6:$AE$25, 2, FALSE))), "")</f>
        <v/>
      </c>
      <c r="CN256" s="248" t="str">
        <f t="shared" si="517"/>
        <v/>
      </c>
      <c r="CO256" s="248" t="str">
        <f t="shared" si="518"/>
        <v/>
      </c>
      <c r="CP256" s="592" t="str">
        <f t="shared" si="519"/>
        <v/>
      </c>
      <c r="CQ256" s="248" t="str">
        <f t="shared" si="572"/>
        <v/>
      </c>
      <c r="CR256" s="100"/>
      <c r="CS256" s="250" t="str">
        <f t="shared" si="520"/>
        <v/>
      </c>
      <c r="CT256" s="250" t="str">
        <f t="shared" si="573"/>
        <v/>
      </c>
      <c r="CU256" s="250" t="str">
        <f t="shared" si="574"/>
        <v/>
      </c>
      <c r="CV256" s="250" t="str">
        <f t="shared" si="575"/>
        <v/>
      </c>
      <c r="CW256" s="250" t="str">
        <f t="shared" si="576"/>
        <v/>
      </c>
      <c r="CX256" s="250" t="str">
        <f t="shared" si="521"/>
        <v/>
      </c>
      <c r="CY256" s="250" t="str">
        <f t="shared" si="522"/>
        <v/>
      </c>
      <c r="CZ256" s="250" t="str">
        <f t="shared" si="523"/>
        <v/>
      </c>
      <c r="DA256" s="250" t="str">
        <f t="shared" si="524"/>
        <v/>
      </c>
      <c r="DB256" s="250" t="str">
        <f t="shared" si="525"/>
        <v/>
      </c>
      <c r="DC256" s="250" t="str">
        <f t="shared" si="526"/>
        <v/>
      </c>
      <c r="DD256" s="250" t="str">
        <f t="shared" si="527"/>
        <v/>
      </c>
      <c r="DE256" s="250" t="str">
        <f t="shared" si="528"/>
        <v/>
      </c>
      <c r="DF256" s="250" t="str">
        <f t="shared" si="529"/>
        <v/>
      </c>
      <c r="DG256" s="250" t="str">
        <f t="shared" si="530"/>
        <v/>
      </c>
      <c r="DH256" s="250" t="str">
        <f t="shared" si="531"/>
        <v/>
      </c>
      <c r="DI256" s="250" t="str">
        <f t="shared" si="532"/>
        <v/>
      </c>
      <c r="DJ256" s="250" t="str">
        <f t="shared" si="533"/>
        <v/>
      </c>
      <c r="DK256" s="250" t="str">
        <f t="shared" si="534"/>
        <v/>
      </c>
      <c r="DL256" s="250" t="str">
        <f t="shared" si="535"/>
        <v/>
      </c>
      <c r="DM256" s="250" t="str">
        <f>IF(CD256="ERROR", "ERROR", IF(AND(OR(Y256=$DM$6, Y256='Lookup Tables'!$AD$21, Y256='Lookup Tables'!$AD$22), E256="Interior"), BJ256, ""))</f>
        <v/>
      </c>
      <c r="DN256" s="250" t="str">
        <f>IF(CD256="ERROR", "ERROR", IF(AND(OR(Y256=$DM$6, Y256='Lookup Tables'!$AD$21, Y256='Lookup Tables'!$AD$22), E256="Exterior"), BJ256, ""))</f>
        <v/>
      </c>
      <c r="DO256" s="100"/>
      <c r="DP256" s="250" t="str">
        <f t="shared" si="536"/>
        <v/>
      </c>
      <c r="DQ256" s="250" t="str">
        <f t="shared" si="577"/>
        <v/>
      </c>
      <c r="DR256" s="250" t="str">
        <f t="shared" si="578"/>
        <v/>
      </c>
      <c r="DS256" s="250" t="str">
        <f t="shared" si="579"/>
        <v/>
      </c>
      <c r="DT256" s="250" t="str">
        <f t="shared" si="580"/>
        <v/>
      </c>
      <c r="DU256" s="250" t="str">
        <f t="shared" si="537"/>
        <v/>
      </c>
      <c r="DV256" s="250" t="str">
        <f t="shared" si="538"/>
        <v/>
      </c>
      <c r="DW256" s="250" t="str">
        <f t="shared" si="539"/>
        <v/>
      </c>
      <c r="DX256" s="250" t="str">
        <f t="shared" si="540"/>
        <v/>
      </c>
      <c r="DY256" s="250" t="str">
        <f t="shared" si="541"/>
        <v/>
      </c>
      <c r="DZ256" s="250" t="str">
        <f t="shared" si="542"/>
        <v/>
      </c>
      <c r="EA256" s="250" t="str">
        <f t="shared" si="543"/>
        <v/>
      </c>
      <c r="EB256" s="250" t="str">
        <f t="shared" si="581"/>
        <v/>
      </c>
      <c r="EC256" s="250" t="str">
        <f t="shared" si="544"/>
        <v/>
      </c>
      <c r="ED256" s="250" t="str">
        <f t="shared" si="545"/>
        <v/>
      </c>
      <c r="EE256" s="250" t="str">
        <f t="shared" si="546"/>
        <v/>
      </c>
      <c r="EF256" s="250" t="str">
        <f t="shared" si="547"/>
        <v/>
      </c>
      <c r="EG256" s="250" t="str">
        <f t="shared" si="548"/>
        <v/>
      </c>
      <c r="EH256" s="250" t="str">
        <f>IF(CD256="ERROR", "ERROR", IF(AND(OR($EH$6=Y256, Y256='Lookup Tables'!$AD$21, Y256='Lookup Tables'!$AD$22),E256="Interior"), SUM(BP256:BP256), ""))</f>
        <v/>
      </c>
      <c r="EI256" s="250" t="str">
        <f>IF(CD256="ERROR", "ERROR", IF(AND(OR($EH$6=Y256, Y256='Lookup Tables'!$AD$21, Y256='Lookup Tables'!$AD$22),E256="Exterior"), SUM(BP256:BP256), ""))</f>
        <v/>
      </c>
      <c r="EJ256" s="109"/>
      <c r="EK256" s="485" t="str">
        <f t="shared" si="549"/>
        <v/>
      </c>
      <c r="EL256" s="252" t="str">
        <f t="shared" si="582"/>
        <v/>
      </c>
      <c r="EM256" s="252" t="str">
        <f t="shared" si="583"/>
        <v/>
      </c>
      <c r="EN256" s="252" t="str">
        <f t="shared" si="584"/>
        <v/>
      </c>
      <c r="EO256" s="252" t="str">
        <f t="shared" si="585"/>
        <v/>
      </c>
      <c r="EP256" s="252" t="str">
        <f t="shared" si="586"/>
        <v/>
      </c>
      <c r="EQ256" s="252" t="str">
        <f t="shared" si="587"/>
        <v/>
      </c>
      <c r="ER256" s="252" t="str">
        <f t="shared" si="588"/>
        <v/>
      </c>
      <c r="ES256" s="252" t="str">
        <f t="shared" si="589"/>
        <v/>
      </c>
      <c r="ET256" s="252" t="str">
        <f t="shared" si="590"/>
        <v/>
      </c>
      <c r="EU256" s="252" t="str">
        <f t="shared" si="591"/>
        <v/>
      </c>
      <c r="EV256" s="252" t="str">
        <f t="shared" si="592"/>
        <v/>
      </c>
      <c r="EW256" s="252" t="str">
        <f t="shared" si="593"/>
        <v/>
      </c>
      <c r="EX256" s="252" t="str">
        <f t="shared" si="594"/>
        <v/>
      </c>
      <c r="EY256" s="252" t="str">
        <f t="shared" si="595"/>
        <v/>
      </c>
      <c r="EZ256" s="252" t="str">
        <f t="shared" si="596"/>
        <v/>
      </c>
      <c r="FA256" s="252" t="str">
        <f t="shared" si="597"/>
        <v/>
      </c>
      <c r="FB256" s="252" t="str">
        <f t="shared" si="598"/>
        <v/>
      </c>
      <c r="FC256" s="252" t="str">
        <f>IF(CD256="ERROR", "ERROR", IF(OR(V256="No Change", V256="Not DLC or Energy Star"), "", IF(AND(OR($FC$6=Y256,Y256='Lookup Tables'!$AD$21, Y256='Lookup Tables'!$AD$22),E256="Interior"), S256, "")))</f>
        <v/>
      </c>
      <c r="FD256" s="252" t="str">
        <f t="shared" si="599"/>
        <v/>
      </c>
      <c r="FE256" s="101"/>
      <c r="FF256" s="579" t="str" cm="1">
        <f t="array" ref="FF256">IFERROR(IF(OR(BQ256&lt;=0,AQ256&lt;20,AND(V256="Exit Signs",AN256&gt;0)),"",IF(AND(AQ256&gt;=20,AN256='Lookup Tables'!$R$101),'Lookup Tables'!$U$101*BQ256,AP256*LOOKUP(2,1/((AN256='Lookup Tables'!$R$91:$R$111)*(AQ256&gt;='Lookup Tables'!$S$91:$S$111)*(AQ256&lt;='Lookup Tables'!$T$91:$T$111)),'Lookup Tables'!$U$91:$U$111))),"")</f>
        <v/>
      </c>
      <c r="FG256" s="579"/>
      <c r="FH256" s="579"/>
      <c r="FI256" s="253" t="str">
        <f>IFERROR(ROUND(IF(CD256="ERROR", "ERROR", IF(AND($FI$7=X256,E256="Interior"),VLOOKUP(W256, 'Lookup Tables'!$AI$6:$AM$102, 5, FALSE)*BP256, "")), 2), "")</f>
        <v/>
      </c>
      <c r="FJ256" s="253" t="str">
        <f>IFERROR(ROUND(IF(CD256="ERROR", "ERROR", IF(AND($FI$7=X256,E256="Exterior"),VLOOKUP(W256, 'Lookup Tables'!$AI$6:$AM$102, 5, FALSE)*BP256, "")), 2), "")</f>
        <v/>
      </c>
      <c r="FK256" s="253" t="str">
        <f>IFERROR(ROUND(IF(CD256="ERROR", "ERROR", IF(AND($FK$7=X256,E256="Interior"),VLOOKUP(W256, 'Lookup Tables'!$AI$6:$AM$102, 5, FALSE)*BP256, "")), 2), "")</f>
        <v/>
      </c>
      <c r="FL256" s="253" t="str">
        <f>IFERROR(ROUND(IF(CD256="ERROR", "ERROR", IF(AND($FK$7=X256,E256="Exterior"),VLOOKUP(W256, 'Lookup Tables'!$AI$6:$AM$102, 5, FALSE)*BP256, "")), 2), "")</f>
        <v/>
      </c>
      <c r="FM256" s="253" t="str">
        <f>IFERROR(ROUND(IF(CD256="ERROR", "ERROR", IF(AND($FM$6=Y256,E256="Interior"), IF(GB256=0, VLOOKUP(W256, 'Lookup Tables'!$AI$6:$AM$102, 5, FALSE)*BP256, IF(VLOOKUP(W256, 'Lookup Tables'!$AI$6:$AM$102, 5, FALSE)*BP256&gt;GB256*'Lighting Inventory'!S256, GB256*'Lighting Inventory'!S256,VLOOKUP(W256, 'Lookup Tables'!$AI$6:$AM$102, 5, FALSE)*BP256)), "")), 2), "")</f>
        <v/>
      </c>
      <c r="FN256" s="253" t="str">
        <f>IFERROR(ROUND(IF(CD256="ERROR", "ERROR", IF(AND($FM$6=Y256,E256="Exterior"), IF(GB256=0, VLOOKUP(W256, 'Lookup Tables'!$AI$6:$AM$102, 5, FALSE)*BP256, IF(VLOOKUP(W256, 'Lookup Tables'!$AI$6:$AM$102, 5, FALSE)*BP256&gt;GB256*'Lighting Inventory'!S256, GB256*'Lighting Inventory'!S256,VLOOKUP(W256, 'Lookup Tables'!$AI$6:$AM$102, 5, FALSE)*BP256)), "")), 2), "")</f>
        <v/>
      </c>
      <c r="FO256" s="253" t="str">
        <f>IFERROR(ROUND(IF(CD256="ERROR", "ERROR", IF(AND($FO$6=Y256,E256="Interior"),VLOOKUP(W256, 'Lookup Tables'!$AI$6:$AM$102, 5, FALSE)*'Lighting Inventory'!AI256, "")), 2), "")</f>
        <v/>
      </c>
      <c r="FP256" s="253" t="str">
        <f>IFERROR(ROUND(IF(CD256="ERROR", "ERROR", IF(AND($FO$6=Y256,E256="Exterior"),VLOOKUP(W256, 'Lookup Tables'!$AI$6:$AM$102, 5, FALSE)*'Lighting Inventory'!AI256, "")), 2), "")</f>
        <v/>
      </c>
      <c r="FQ256" s="253" t="str">
        <f>IFERROR(ROUND(IF(CD256="ERROR", "ERROR", IF(AND($FQ$6=Y256,E256="Interior", BU256="Y"), VLOOKUP('Lighting Inventory'!W256, 'Lookup Tables'!$AI$6:$AM$102, 5, FALSE)*'Lighting Inventory'!S256, IF(AND($FQ$7=Y256,E256="Interior", BU256="N"), 0.025*CD256, ""))), 2), "")</f>
        <v/>
      </c>
      <c r="FR256" s="253" t="str">
        <f>IFERROR(ROUND(IF(CD256="ERROR", "ERROR", IF(AND($FQ$6=Y256,E256="Exterior"), VLOOKUP('Lighting Inventory'!W256, 'Lookup Tables'!$AI$6:$AM$102, 5, FALSE)*'Lighting Inventory'!S256, "")), 2), "")</f>
        <v/>
      </c>
      <c r="FS256" s="253" t="str">
        <f>IFERROR(ROUND(IF(CD256="ERROR", "ERROR", IF(AND($FS$6=Y256,E256="Exterior"), IF(GB256=0, VLOOKUP(W256, 'Lookup Tables'!$AI$6:$AM$102, 5, FALSE)*BP256, IF(VLOOKUP(W256, 'Lookup Tables'!$AI$6:$AM$102, 5, FALSE)*BP256&gt;GB256*'Lighting Inventory'!S256, GB256*'Lighting Inventory'!S256,VLOOKUP(W256, 'Lookup Tables'!$AI$6:$AM$102, 5, FALSE)*BP256)), "")), 2), "")</f>
        <v/>
      </c>
      <c r="FT256" s="253" t="str">
        <f>IFERROR(ROUND(IF(CD256="ERROR", "ERROR", IF(AND($FT$6=Y256,E256="Interior"), IF(GB256=0, VLOOKUP(W256, 'Lookup Tables'!$AI$6:$AM$102, 5, FALSE)*BP256, IF(VLOOKUP(W256, 'Lookup Tables'!$AI$6:$AM$102, 5, FALSE)*BP256&gt;GB256*'Lighting Inventory'!S256, GB256*'Lighting Inventory'!S256,VLOOKUP(W256, 'Lookup Tables'!$AI$6:$AM$102, 5, FALSE)*BP256)), "")), 2), "")</f>
        <v/>
      </c>
      <c r="FU256" s="253" t="str">
        <f>IFERROR(ROUND(IF(CD256="ERROR", "ERROR", IF(AND(Y256=$FU$6, E256="Interior"), IF(BS256="N", 'Lookup Tables'!$AM$101*BP256, VLOOKUP(W256, 'Lookup Tables'!$AI$6:$AM$102, 5, FALSE)*S256*AD256), "")), 2), "")</f>
        <v/>
      </c>
      <c r="FV256" s="253" t="str">
        <f>IFERROR(ROUND(IF(CD256="ERROR", "ERROR", IF(AND(Y256=$FU$6, E256="Exterior"), IF(BS256="N", 'Lookup Tables'!$AM$101*BP256, VLOOKUP(W256, 'Lookup Tables'!$AI$6:$AM$102, 5, FALSE)*S256*AD256), "")), 2), "")</f>
        <v/>
      </c>
      <c r="FW256" s="253" t="str">
        <f>IFERROR(ROUND(IF(CD256="ERROR", "ERROR", IF($FW$6=Y256, IF(BS256="N", 'Lookup Tables'!$AM$101*BP256, MIN((VLOOKUP(W256, 'Lookup Tables'!$AI$6:$AM$102, 5, FALSE)*BP256),GB256*AJ256)), "")), 2), "")</f>
        <v/>
      </c>
      <c r="FX256" s="253" t="str">
        <f>IFERROR(ROUND(IF(CD256="ERROR", "ERROR", IF(AND($FX$6=Y256, E256="Interior"), IF(VLOOKUP(W256, 'Lookup Tables'!$AI$6:$AM$102, 5, FALSE)*BP256&gt;'Lookup Tables'!$AQ$97*'Lighting Inventory'!S256,'Lighting Inventory'!S256*'Lookup Tables'!$AQ$97,VLOOKUP(W256, 'Lookup Tables'!$AI$6:$AM$102, 5, FALSE)*BP256), "")), 2), "")</f>
        <v/>
      </c>
      <c r="FY256" s="253" t="str">
        <f>IFERROR(ROUND(IF(CD256="ERROR", "ERROR", IF(AND($FX$6=Y256, E256="Exterior"), IF(VLOOKUP(W256, 'Lookup Tables'!$AI$6:$AM$102, 5, FALSE)*BP256&gt;'Lookup Tables'!$AQ$97*'Lighting Inventory'!S256,'Lighting Inventory'!S256*'Lookup Tables'!$AQ$97,VLOOKUP(W256, 'Lookup Tables'!$AI$6:$AM$102, 5, FALSE)*BP256), "")), 2), "")</f>
        <v/>
      </c>
      <c r="FZ256" s="253" t="str">
        <f>IFERROR(ROUND(IF(CD256="ERROR", "ERROR", IF(AND($FZ$6=Y256, E256="Interior"), IF(AND(OR(W256="Refrigerated Case Lighting with Doors", W256="Freezer Case Lighting"),Y256="Custom - Process Improvement"),CD256*'Lookup Tables'!$AM$101, IF(B256="Retrofit", IF(VLOOKUP(IF(V256="Custom", V256, W256), 'Lookup Tables'!$AI$6:$AM$102, 5, FALSE)*BP256&gt;GE256, GE256, VLOOKUP(IF(V256="Custom", V256, W256), 'Lookup Tables'!$AI$6:$AM$102, 5, FALSE)*BP256), IF(VLOOKUP(IF(V256="Custom", V256, W256), 'Lookup Tables'!$AI$114:$AM$154, 5, FALSE)*BP256&gt;GE256, GE256, VLOOKUP(IF(V256="Custom", V256, W256), 'Lookup Tables'!$AI$114:$AM$154, 5, FALSE)*BP256))), "")), 2),"")</f>
        <v/>
      </c>
      <c r="GA256" s="253" t="str">
        <f>IFERROR(ROUND(IF(CD256="ERROR", "ERROR", IF(AND($FZ$6=Y256, E256="Exterior"), IF(B256="Retrofit", IF(VLOOKUP(IF(V256="Custom", V256, W256), 'Lookup Tables'!$AI$6:$AM$102, 5, FALSE)*BP256&gt;GE256, GE256, VLOOKUP(IF(V256="Custom", V256, W256), 'Lookup Tables'!$AI$6:$AM$102, 5, FALSE)*BP256), IF(VLOOKUP(IF(V256="Custom", V256, W256), 'Lookup Tables'!$AI$114:$AM$154, 5, FALSE)*BP256&gt;GE256, GE256, VLOOKUP(IF(V256="Custom", V256, W256), 'Lookup Tables'!$AI$114:$AM$154, 5, FALSE)*BP256)), "")), 2),"")</f>
        <v/>
      </c>
      <c r="GB256" s="254" t="str">
        <f t="array" ref="GB256">IF(B256="","",IF(OR(V256="Custom",V256="No Change"),0,IF(B256="Retrofit", INDEX('Lookup Tables'!$AH$6:$AQ$102,MATCH(1,('Lookup Tables'!$AH$6:$AH$102='Lighting Inventory'!V256)*('Lookup Tables'!$AI$6:$AI$102='Lighting Inventory'!W256),FALSE),10),INDEX('Lookup Tables'!$AH$114:$AQ$154,MATCH(1,('Lookup Tables'!$AH$114:$AH$154='Lighting Inventory'!V256)*('Lookup Tables'!$AI$114:$AI$154='Lighting Inventory'!W256),FALSE),10))))</f>
        <v/>
      </c>
      <c r="GC256" s="255" t="str">
        <f t="shared" si="550"/>
        <v/>
      </c>
      <c r="GD256" s="250" t="str">
        <f t="shared" si="551"/>
        <v/>
      </c>
      <c r="GE256" s="253" t="str">
        <f>IFERROR(IF(AND(AF256="", 'General Information'!$F$18="No"),"", IF(AF256="", ((GD256/$CD$266)*$CF$266)*0.5, AF256*S256*0.5)), "")</f>
        <v/>
      </c>
      <c r="GF256" s="255" t="str">
        <f>IF(AND('General Information'!$F$19="", 'General Information'!$F$18="Yes",AF256="",BW256="Y"), "Y", "N")</f>
        <v>N</v>
      </c>
      <c r="GG256" s="255" t="s">
        <v>2946</v>
      </c>
      <c r="GH256" s="255" t="str">
        <f>IFERROR(IF(B256="", "", VLOOKUP(J256, 'Fixture Identities'!$A$6:$N$908, 14, FALSE)), "")</f>
        <v/>
      </c>
      <c r="GI256" s="389" t="str">
        <f>IF(OR(B256="", V256="", W256=""), "", IF(AND(OR(M256='Lookup Tables'!$R$18, M256='Lookup Tables'!$R$19, M256='Lookup Tables'!$R$20, M256='Lookup Tables'!$R$21, M256='Lookup Tables'!$R$22), OR(AN256='Lookup Tables'!$R$17, AN256='Lookup Tables'!$R$17, AN256="")), "Y", "N"))</f>
        <v/>
      </c>
      <c r="GJ256" s="255" t="str">
        <f t="shared" si="552"/>
        <v/>
      </c>
      <c r="GK256" s="255" t="str">
        <f t="shared" si="553"/>
        <v/>
      </c>
      <c r="GL256" s="255" t="str">
        <f t="shared" si="554"/>
        <v/>
      </c>
      <c r="GM256" s="255" t="str">
        <f>IF(AN256="", "", IF(AND(IF(ISNA(VLOOKUP(AN256,'Lookup Tables'!$R$18:$R$22,1,FALSE)), "N", "Y")="Y", E256="Exterior"), "Y", "N"))</f>
        <v/>
      </c>
      <c r="GN256" s="395"/>
      <c r="GO256" s="428">
        <f t="shared" si="600"/>
        <v>0</v>
      </c>
      <c r="GP256" s="428">
        <f t="shared" si="603"/>
        <v>0</v>
      </c>
      <c r="GQ256" s="428">
        <f t="shared" si="601"/>
        <v>0</v>
      </c>
      <c r="GR256" s="428">
        <f t="shared" si="602"/>
        <v>0</v>
      </c>
    </row>
    <row r="257" spans="1:200" s="103" customFormat="1" ht="13.5" customHeight="1" x14ac:dyDescent="0.2">
      <c r="A257" s="272">
        <v>247</v>
      </c>
      <c r="B257" s="110"/>
      <c r="C257" s="110"/>
      <c r="D257" s="110"/>
      <c r="E257" s="110"/>
      <c r="F257" s="110"/>
      <c r="G257" s="110"/>
      <c r="H257" s="110"/>
      <c r="I257" s="29"/>
      <c r="J257" s="29"/>
      <c r="K257" s="272" t="str">
        <f>IFERROR(IF(OR(VLOOKUP(J257, 'Fixture Identities'!$A$6:$L$1023, 3, FALSE)="T12 Linear Fluorescent", VLOOKUP(J257, 'Fixture Identities'!$A$6:$L$1023, 3, FALSE)="T12 U-Tube Fluorescent"), VLOOKUP(VLOOKUP(J257, 'Fixture Identities'!$A$6:$L$1023, 11, FALSE), 'Fixture Identities'!$A$6:$L$1023, 10, FALSE), VLOOKUP(J257, 'Fixture Identities'!$A$6:$L$1023, 10, FALSE)), "")</f>
        <v/>
      </c>
      <c r="L257" s="270" t="str">
        <f t="shared" si="605"/>
        <v/>
      </c>
      <c r="M257" s="110"/>
      <c r="N257" s="110"/>
      <c r="O257" s="110"/>
      <c r="P257" s="272" t="str">
        <f>IFERROR(IF(OR(B257="Retrofit",B257=""),"",IF('Lighting Inventory'!E257="Exterior",VLOOKUP('Lighting Inventory'!N257,'Lookup Tables'!$B$83:$F$103,5,FALSE),IF(N257="Other - Please Estimate EFLH and CFs","Contact Prog. Rep.","ft^2"))), "")</f>
        <v/>
      </c>
      <c r="Q257" s="270" t="str">
        <f>IFERROR(IF(AND(B257="New Construction",E257="Interior",$F$5="Space-by-Space"),VLOOKUP('Lighting Inventory'!N257,'Lookup Tables'!$N$6:$O$97,2,FALSE),IF(AND(B257="New Construction",E257="Exterior"),VLOOKUP(N257,'Lookup Tables'!$B$83:$F$103,2,FALSE),IF(AND(B257="New Construction",'Lighting Inventory'!E257="Interior", $F$5="Building Area"),VLOOKUP(F257,'Lookup Tables'!$A$6:$J$59,10,FALSE),""))), "")</f>
        <v/>
      </c>
      <c r="R257" s="270" t="str">
        <f>IFERROR(IF(P257="Contact Prog. Rep.", "ERROR", IF(OR(B257="",B257="Retrofit"),"",IF(N257="Automated teller machines", ('Lookup Tables'!$A$82:$E$100+('Lighting Inventory'!O257-1)*'Lookup Tables'!$A$82:$E$100)/1000, (Q257*O257)/1000))), "")</f>
        <v/>
      </c>
      <c r="S257" s="595"/>
      <c r="T257" s="105" t="str">
        <f t="shared" si="555"/>
        <v/>
      </c>
      <c r="U257" s="105" t="str">
        <f>IF(S257="","",COUNT($S$11:S257))</f>
        <v/>
      </c>
      <c r="V257" s="111"/>
      <c r="W257" s="112"/>
      <c r="X257" s="105" t="str">
        <f t="shared" si="556"/>
        <v/>
      </c>
      <c r="Y257" s="105" t="str">
        <f t="array" ref="Y257">IF(AND(OR(W257="Freezer Case Lighting", W257="Refrigerated Case Lighting with Doors"), 'General Information'!$X$18="LCI"),'Lookup Tables'!$Y$34, IF(V257="Custom", VLOOKUP(W257, 'Fixture Identities'!$A$974:$M$1023, 13, FALSE), IF(V257="No Change",'Lookup Tables'!$Y$29,IF(OR(V257="",W257=""),"",IF(AND(S257=0,S257&lt;I257,B257="Retrofit"),'Lookup Tables'!$Y$25, IF(B257="Retrofit", INDEX('Lookup Tables'!$AH$6:$AP$102, MATCH(1, ('Lookup Tables'!$AH$6:$AH$102=V257)*('Lookup Tables'!$AI$6:$AI$102=W257), 0), IF('Lighting Inventory'!E257="Interior", 4, 5)), INDEX('Lookup Tables'!$AH$114:$AP$154, MATCH(1, ('Lookup Tables'!$AH$114:$AH$154=V257)*('Lookup Tables'!$AI$114:$AI$154=W257), 0), IF('Lighting Inventory'!E257="Interior", 4, 5))))))))</f>
        <v/>
      </c>
      <c r="Z257" s="105" t="str">
        <f>IFERROR(INDEX('Lookup Tables'!$AH$158:$AH$172,MATCH('Lighting Inventory'!Y257,'Lookup Tables'!$AI$158:$AI$172,0)),"")</f>
        <v/>
      </c>
      <c r="AA257" s="105" t="str">
        <f>IF(AP257&gt;0,INDEX('Lookup Tables'!$AK$158:$AK$172,MATCH('Lighting Inventory'!Y257,'Lookup Tables'!$AI$158:$AI$172,0)),'Lighting Inventory'!Y257)</f>
        <v/>
      </c>
      <c r="AB257" s="105" t="str">
        <f t="array" ref="AB257">IF(V257="Custom", "Custom", IF(V257="", "", IF(V257="Not DLC or Energy Star", "General", IF(B257="New Construction", INDEX('Lookup Tables'!$AH$114:$AP$154,MATCH(1,('Lookup Tables'!$AH$114:$AH$154='Lighting Inventory'!V257)*('Lookup Tables'!$AI$114:$AI$154='Lighting Inventory'!W257),FALSE),8), INDEX('Lookup Tables'!$AH$6:$AP$102,MATCH(1,('Lookup Tables'!$AH$6:$AH$102='Lighting Inventory'!V257)*('Lookup Tables'!$AI$6:$AI$102='Lighting Inventory'!W257),FALSE),8)))))</f>
        <v/>
      </c>
      <c r="AC257" s="272" t="str">
        <f>IF(W257="","",IF(V257="Custom",CONCATENATE("$",'Lookup Tables'!$AM$101," ",'Lookup Tables'!$AN$101),CONCATENATE("$",INDEX('Lookup Tables'!$AM$6:$AM$102,MATCH('Lighting Inventory'!W257,'Lookup Tables'!$AI$6:$AI$102,0))," ",INDEX('Lookup Tables'!$AN$6:$AN$102,MATCH('Lighting Inventory'!W257,'Lookup Tables'!$AI$6:$AI$102,0)))))</f>
        <v/>
      </c>
      <c r="AD257" s="72"/>
      <c r="AE257" s="29"/>
      <c r="AF257" s="379"/>
      <c r="AG257" s="370" t="str">
        <f t="shared" si="504"/>
        <v/>
      </c>
      <c r="AH257" s="370" t="str">
        <f t="shared" si="557"/>
        <v/>
      </c>
      <c r="AI257" s="29"/>
      <c r="AJ257" s="29"/>
      <c r="AK257" s="110"/>
      <c r="AL257" s="375" t="str">
        <f>IF(OR(B257="", V257="", W257=""), "", IF(V257="No Change", K257, IF(V257="Remove Fixture", 0, IF(V257="Custom",VLOOKUP(W257,'Fixture Identities'!$A$6:$K$1023,10,FALSE),IF(AE257="", "← ENTER POST WATTS", 'Lighting Inventory'!AE257)))))</f>
        <v/>
      </c>
      <c r="AM257" s="376" t="str">
        <f t="shared" si="505"/>
        <v/>
      </c>
      <c r="AN257" s="29"/>
      <c r="AO257" s="671"/>
      <c r="AP257" s="29"/>
      <c r="AQ257" s="29"/>
      <c r="AR257" s="29"/>
      <c r="AS257" s="272" t="str">
        <f t="shared" si="558"/>
        <v/>
      </c>
      <c r="AT257" s="270" t="str">
        <f t="shared" si="506"/>
        <v/>
      </c>
      <c r="AU257" s="88" t="str">
        <f t="shared" si="606"/>
        <v/>
      </c>
      <c r="AV257" s="29"/>
      <c r="AW257" s="73"/>
      <c r="AX257" s="271" t="str">
        <f>IF(AND(AV257="Applicant",OR(AW257="", AW257="Use Default Facility Hours")),"← Choose Schedule",IF(F257="","",IF(W257="LED Exit Signs",8760,IF(OR(AV257="Prescribed",AV257=""),VLOOKUP(F257,'Lookup Tables'!$A$6:$G$59,IF(AB257="General", 6, 3),FALSE),VLOOKUP(AW257,'Lookup Tables'!$S$36:$U$43,2,FALSE)))))</f>
        <v/>
      </c>
      <c r="AY257" s="88" t="str">
        <f t="shared" si="507"/>
        <v/>
      </c>
      <c r="AZ257" s="270" t="str">
        <f>IFERROR(IF(F257="", "", IF(W257="LED Exit Signs", 1, IF(AV257="Applicant",VLOOKUP(AW257, 'Lookup Tables'!$S$36:$U$43,3, FALSE), VLOOKUP('Lighting Inventory'!F257, 'Lookup Tables'!$A$6:$H$59, IF('Lighting Inventory'!AB257="General",7,4), FALSE)))), "")</f>
        <v/>
      </c>
      <c r="BA257" s="522" t="str">
        <f>IFERROR(IF(F257="", "", IF(W257="LED Exit Signs", 1, VLOOKUP('Lighting Inventory'!F257, 'Lookup Tables'!$A$6:$H$59, IF('Lighting Inventory'!AB257="General",8,5), FALSE))), "")</f>
        <v/>
      </c>
      <c r="BB257" s="270" t="str">
        <f>IF(G257="", "", IF(E257="Exterior", 0, IF('Lighting Inventory'!G257="Air Conditioned", VLOOKUP(H257, 'Lookup Tables'!$R$6:$T$13, 2, FALSE), VLOOKUP('Lighting Inventory'!G257, 'Lookup Tables'!$R$6:$T$13, 2, FALSE))))</f>
        <v/>
      </c>
      <c r="BC257" s="522" t="str">
        <f>IF(G257="", "", IF(E257="Exterior", 0, IF('Lighting Inventory'!G257="Air Conditioned", VLOOKUP(H257, 'Lookup Tables'!$R$6:$T$13, 3, FALSE), VLOOKUP('Lighting Inventory'!G257, 'Lookup Tables'!$R$6:$T$13, 3, FALSE))))</f>
        <v/>
      </c>
      <c r="BD257" s="270" t="str">
        <f>IF(G257="", "", IF(E257="Exterior", 0, IF('Lighting Inventory'!G257="Air Conditioned", VLOOKUP(H257, 'Lookup Tables'!$R$6:$U$13, 4, FALSE), VLOOKUP('Lighting Inventory'!G257, 'Lookup Tables'!$R$6:$U$13, 4, FALSE))))</f>
        <v/>
      </c>
      <c r="BE257" s="270" t="str">
        <f>IFERROR(IF(B257="", "",  IF(B257="New Construction", VLOOKUP(F257, 'Lookup Tables'!$A$6:$K$59, 11, FALSE),IF(OR(AN257="", AN257="Light Switch"), 0, IF(OR(M257="",M257="None",V257= "LED Exit Signs"),0,_xlfn.XLOOKUP(M257,'Lookup Tables'!$R$91:$R$101,'Lookup Tables'!$V$91:$V$101))))), "")</f>
        <v/>
      </c>
      <c r="BF257" s="270" t="str">
        <f>IF(AND(OR(AN257="Light Switch",AN257=""),B257="New Construction"), VLOOKUP(F257, 'Lookup Tables'!$A$6:$K$59, 11, FALSE),IF(AN257="","",IF(B257="","",IF(OR(AN257="None",AN257="",V257="LED Exit Signs",AN257="Exterior Controls Not Eligible"),0,_xlfn.XLOOKUP(AN257,'Lookup Tables'!$R$91:$R$101,'Lookup Tables'!$V$91:$V$101)))))</f>
        <v/>
      </c>
      <c r="BG257" s="88" t="str">
        <f t="shared" si="559"/>
        <v/>
      </c>
      <c r="BH257" s="88" t="str">
        <f t="shared" si="560"/>
        <v/>
      </c>
      <c r="BI257" s="558" t="str">
        <f t="shared" si="604"/>
        <v/>
      </c>
      <c r="BJ257" s="82" t="str">
        <f t="shared" si="561"/>
        <v/>
      </c>
      <c r="BK257" s="82" t="str">
        <f t="shared" si="562"/>
        <v/>
      </c>
      <c r="BL257" s="559" t="str">
        <f t="shared" si="563"/>
        <v/>
      </c>
      <c r="BM257" s="521" t="str">
        <f t="shared" si="508"/>
        <v/>
      </c>
      <c r="BN257" s="521" t="str">
        <f t="shared" si="509"/>
        <v/>
      </c>
      <c r="BO257" s="522" t="str">
        <f t="shared" si="510"/>
        <v/>
      </c>
      <c r="BP257" s="83" t="str">
        <f t="shared" si="564"/>
        <v/>
      </c>
      <c r="BQ257" s="84" t="str">
        <f t="shared" si="565"/>
        <v/>
      </c>
      <c r="BR257" s="184" t="str">
        <f>IFERROR(IF(B257="", "", IF(OR(VLOOKUP(J257, 'Fixture Identities'!$A$6:$L$1023, 3, FALSE)="T12 Linear Fluorescent",VLOOKUP(J257, 'Fixture Identities'!$A$6:$L$1023, 3, FALSE)="T12 U-Tube Fluorescent"), "Y", "N")), "N")</f>
        <v/>
      </c>
      <c r="BS257" s="184" t="str">
        <f t="array" ref="BS257">IFERROR(IF(OR(B257="", V257="", W257=""), "", IF(V257="Custom", "N", IF(OR(W257="Freezer Case Lighting", W257="Refrigerated Case Lighting with Doors"), BT257, IF(B257="Retrofit", INDEX('Lookup Tables'!$AH$6:$AT$102,MATCH(1,('Lookup Tables'!$AH$6:$AH$102=V257)*('Lookup Tables'!$AI$6:$AI$102=W257),FALSE),IF(VLOOKUP(J257, 'Fixture Identities'!$A$6:$B$1023, 2, FALSE)="Incandescent",12, 13)), INDEX('Lookup Tables'!$AH$114:$AS$154,MATCH(1,('Lookup Tables'!$AH$114:$AH$154=V257)*('Lookup Tables'!$AI$114:$AI$154=W257),FALSE),12))))), "N")</f>
        <v/>
      </c>
      <c r="BT257" s="184" t="str">
        <f>IF(J257="", "", IF(AND(OR(W257="Freezer case Lighting", W257="Refrigerated Case Lighting with Doors"),'General Information'!$X$18="LCI"), "N", IF(OR(VLOOKUP(J257, 'Fixture Identities'!$A$6:$B$1023, 2, FALSE)="T12 EPACT/EISA Baseline", VLOOKUP(J257, 'Fixture Identities'!$A$6:$B$1023, 2, FALSE)="Linear Fluorescent", VLOOKUP(J257, 'Fixture Identities'!$A$6:$B$1023, 2, FALSE)="U-Tube Fluorescent"), "Y", "N")))</f>
        <v/>
      </c>
      <c r="BU257" s="184" t="str">
        <f>IFERROR(IF(B257="", "", IF(VLOOKUP(J257, 'Fixture Identities'!$A$6:$B$1023, 2, FALSE)="Exit Sign", "Y", "N")), "N")</f>
        <v/>
      </c>
      <c r="BV257" s="184" t="str">
        <f>IF(V257="Exit Signs", IF(VLOOKUP(J257, 'Fixture Identities'!$A$6:$B$1023, 2, FALSE)="Exit Sign", "N", "Y"), "")</f>
        <v/>
      </c>
      <c r="BW257" s="184" t="str">
        <f t="array" ref="BW257">IFERROR(IF(B257="", "", IF(B257="New Construction", "N", INDEX('Lookup Tables'!$AH$6:$AU$102, MATCH(1, ('Lookup Tables'!$AH$6:$AH$102='Lighting Inventory'!V257)*('Lookup Tables'!$AI$6:$AI$102='Lighting Inventory'!W257), 0), 14))), "N")</f>
        <v/>
      </c>
      <c r="BX257" s="598" t="str">
        <f t="shared" si="566"/>
        <v/>
      </c>
      <c r="BY257" s="598" t="str">
        <f t="shared" si="567"/>
        <v/>
      </c>
      <c r="BZ257" s="598" t="str">
        <f t="shared" si="568"/>
        <v/>
      </c>
      <c r="CA257" s="598" t="str">
        <f t="shared" si="569"/>
        <v/>
      </c>
      <c r="CB257" s="269" t="str">
        <f t="shared" si="570"/>
        <v/>
      </c>
      <c r="CC257" s="517" t="str">
        <f t="shared" si="571"/>
        <v/>
      </c>
      <c r="CD257" s="565" t="str">
        <f t="shared" si="511"/>
        <v/>
      </c>
      <c r="CE257" s="368">
        <v>0</v>
      </c>
      <c r="CF257" s="368" t="str" cm="1">
        <f t="array" ref="CF257">IFERROR(IF(V257="Custom", "$0.1 per kWh", IF(B257="New Construction", CONCATENATE("$",INDEX('Lookup Tables'!$AH$114:$AN$154,MATCH(1,('Lookup Tables'!$AH$114:$AH$154='Lighting Inventory'!V257)*('Lookup Tables'!$AI$114:$AI$154='Lighting Inventory'!W257),FALSE),6)," ",INDEX('Lookup Tables'!$AH$114:$AN$154,MATCH(1,('Lookup Tables'!$AH$114:$AH$154='Lighting Inventory'!V257)*('Lookup Tables'!$AI$114:$AI$154='Lighting Inventory'!W257),FALSE),7)), IF(AND(BU257="N", V257="Exit Signs"), "$0.025 per kWh", CONCATENATE("$",INDEX('Lookup Tables'!$AH$6:$AN$102,MATCH(1,('Lookup Tables'!$AH$6:$AH$102='Lighting Inventory'!V257)*('Lookup Tables'!$AI$6:$AI$102='Lighting Inventory'!W257),FALSE),6)," ",INDEX('Lookup Tables'!$AH$6:$AN$102,MATCH(1,('Lookup Tables'!$AH$6:$AH$102='Lighting Inventory'!V257)*('Lookup Tables'!$AI$6:$AI$102='Lighting Inventory'!W257),FALSE),7))))), "")</f>
        <v/>
      </c>
      <c r="CG257" s="366"/>
      <c r="CH257" s="248" t="str">
        <f t="shared" si="512"/>
        <v/>
      </c>
      <c r="CI257" s="248" t="str">
        <f t="shared" si="513"/>
        <v>Select_IE</v>
      </c>
      <c r="CJ257" s="248" t="str">
        <f t="shared" si="514"/>
        <v/>
      </c>
      <c r="CK257" s="248" t="str">
        <f t="shared" si="515"/>
        <v/>
      </c>
      <c r="CL257" s="248" t="str">
        <f t="shared" si="516"/>
        <v/>
      </c>
      <c r="CM257" s="248" t="str">
        <f>IFERROR(IF(B257="", "", IF(B257="New Construction", VLOOKUP(V257, 'Lookup Tables'!$AF$114:$AG$120, 2, FALSE), VLOOKUP(V257, 'Lookup Tables'!$AD$6:$AE$25, 2, FALSE))), "")</f>
        <v/>
      </c>
      <c r="CN257" s="248" t="str">
        <f t="shared" si="517"/>
        <v/>
      </c>
      <c r="CO257" s="248" t="str">
        <f t="shared" si="518"/>
        <v/>
      </c>
      <c r="CP257" s="592" t="str">
        <f t="shared" si="519"/>
        <v/>
      </c>
      <c r="CQ257" s="248" t="str">
        <f t="shared" si="572"/>
        <v/>
      </c>
      <c r="CR257" s="100"/>
      <c r="CS257" s="250" t="str">
        <f t="shared" si="520"/>
        <v/>
      </c>
      <c r="CT257" s="250" t="str">
        <f t="shared" si="573"/>
        <v/>
      </c>
      <c r="CU257" s="250" t="str">
        <f t="shared" si="574"/>
        <v/>
      </c>
      <c r="CV257" s="250" t="str">
        <f t="shared" si="575"/>
        <v/>
      </c>
      <c r="CW257" s="250" t="str">
        <f t="shared" si="576"/>
        <v/>
      </c>
      <c r="CX257" s="250" t="str">
        <f t="shared" si="521"/>
        <v/>
      </c>
      <c r="CY257" s="250" t="str">
        <f t="shared" si="522"/>
        <v/>
      </c>
      <c r="CZ257" s="250" t="str">
        <f t="shared" si="523"/>
        <v/>
      </c>
      <c r="DA257" s="250" t="str">
        <f t="shared" si="524"/>
        <v/>
      </c>
      <c r="DB257" s="250" t="str">
        <f t="shared" si="525"/>
        <v/>
      </c>
      <c r="DC257" s="250" t="str">
        <f t="shared" si="526"/>
        <v/>
      </c>
      <c r="DD257" s="250" t="str">
        <f t="shared" si="527"/>
        <v/>
      </c>
      <c r="DE257" s="250" t="str">
        <f t="shared" si="528"/>
        <v/>
      </c>
      <c r="DF257" s="250" t="str">
        <f t="shared" si="529"/>
        <v/>
      </c>
      <c r="DG257" s="250" t="str">
        <f t="shared" si="530"/>
        <v/>
      </c>
      <c r="DH257" s="250" t="str">
        <f t="shared" si="531"/>
        <v/>
      </c>
      <c r="DI257" s="250" t="str">
        <f t="shared" si="532"/>
        <v/>
      </c>
      <c r="DJ257" s="250" t="str">
        <f t="shared" si="533"/>
        <v/>
      </c>
      <c r="DK257" s="250" t="str">
        <f t="shared" si="534"/>
        <v/>
      </c>
      <c r="DL257" s="250" t="str">
        <f t="shared" si="535"/>
        <v/>
      </c>
      <c r="DM257" s="250" t="str">
        <f>IF(CD257="ERROR", "ERROR", IF(AND(OR(Y257=$DM$6, Y257='Lookup Tables'!$AD$21, Y257='Lookup Tables'!$AD$22), E257="Interior"), BJ257, ""))</f>
        <v/>
      </c>
      <c r="DN257" s="250" t="str">
        <f>IF(CD257="ERROR", "ERROR", IF(AND(OR(Y257=$DM$6, Y257='Lookup Tables'!$AD$21, Y257='Lookup Tables'!$AD$22), E257="Exterior"), BJ257, ""))</f>
        <v/>
      </c>
      <c r="DO257" s="100"/>
      <c r="DP257" s="250" t="str">
        <f t="shared" si="536"/>
        <v/>
      </c>
      <c r="DQ257" s="250" t="str">
        <f t="shared" si="577"/>
        <v/>
      </c>
      <c r="DR257" s="250" t="str">
        <f t="shared" si="578"/>
        <v/>
      </c>
      <c r="DS257" s="250" t="str">
        <f t="shared" si="579"/>
        <v/>
      </c>
      <c r="DT257" s="250" t="str">
        <f t="shared" si="580"/>
        <v/>
      </c>
      <c r="DU257" s="250" t="str">
        <f t="shared" si="537"/>
        <v/>
      </c>
      <c r="DV257" s="250" t="str">
        <f t="shared" si="538"/>
        <v/>
      </c>
      <c r="DW257" s="250" t="str">
        <f t="shared" si="539"/>
        <v/>
      </c>
      <c r="DX257" s="250" t="str">
        <f t="shared" si="540"/>
        <v/>
      </c>
      <c r="DY257" s="250" t="str">
        <f t="shared" si="541"/>
        <v/>
      </c>
      <c r="DZ257" s="250" t="str">
        <f t="shared" si="542"/>
        <v/>
      </c>
      <c r="EA257" s="250" t="str">
        <f t="shared" si="543"/>
        <v/>
      </c>
      <c r="EB257" s="250" t="str">
        <f t="shared" si="581"/>
        <v/>
      </c>
      <c r="EC257" s="250" t="str">
        <f t="shared" si="544"/>
        <v/>
      </c>
      <c r="ED257" s="250" t="str">
        <f t="shared" si="545"/>
        <v/>
      </c>
      <c r="EE257" s="250" t="str">
        <f t="shared" si="546"/>
        <v/>
      </c>
      <c r="EF257" s="250" t="str">
        <f t="shared" si="547"/>
        <v/>
      </c>
      <c r="EG257" s="250" t="str">
        <f t="shared" si="548"/>
        <v/>
      </c>
      <c r="EH257" s="250" t="str">
        <f>IF(CD257="ERROR", "ERROR", IF(AND(OR($EH$6=Y257, Y257='Lookup Tables'!$AD$21, Y257='Lookup Tables'!$AD$22),E257="Interior"), SUM(BP257:BP257), ""))</f>
        <v/>
      </c>
      <c r="EI257" s="250" t="str">
        <f>IF(CD257="ERROR", "ERROR", IF(AND(OR($EH$6=Y257, Y257='Lookup Tables'!$AD$21, Y257='Lookup Tables'!$AD$22),E257="Exterior"), SUM(BP257:BP257), ""))</f>
        <v/>
      </c>
      <c r="EJ257" s="109"/>
      <c r="EK257" s="485" t="str">
        <f t="shared" si="549"/>
        <v/>
      </c>
      <c r="EL257" s="252" t="str">
        <f t="shared" si="582"/>
        <v/>
      </c>
      <c r="EM257" s="252" t="str">
        <f t="shared" si="583"/>
        <v/>
      </c>
      <c r="EN257" s="252" t="str">
        <f t="shared" si="584"/>
        <v/>
      </c>
      <c r="EO257" s="252" t="str">
        <f t="shared" si="585"/>
        <v/>
      </c>
      <c r="EP257" s="252" t="str">
        <f t="shared" si="586"/>
        <v/>
      </c>
      <c r="EQ257" s="252" t="str">
        <f t="shared" si="587"/>
        <v/>
      </c>
      <c r="ER257" s="252" t="str">
        <f t="shared" si="588"/>
        <v/>
      </c>
      <c r="ES257" s="252" t="str">
        <f t="shared" si="589"/>
        <v/>
      </c>
      <c r="ET257" s="252" t="str">
        <f t="shared" si="590"/>
        <v/>
      </c>
      <c r="EU257" s="252" t="str">
        <f t="shared" si="591"/>
        <v/>
      </c>
      <c r="EV257" s="252" t="str">
        <f t="shared" si="592"/>
        <v/>
      </c>
      <c r="EW257" s="252" t="str">
        <f t="shared" si="593"/>
        <v/>
      </c>
      <c r="EX257" s="252" t="str">
        <f t="shared" si="594"/>
        <v/>
      </c>
      <c r="EY257" s="252" t="str">
        <f t="shared" si="595"/>
        <v/>
      </c>
      <c r="EZ257" s="252" t="str">
        <f t="shared" si="596"/>
        <v/>
      </c>
      <c r="FA257" s="252" t="str">
        <f t="shared" si="597"/>
        <v/>
      </c>
      <c r="FB257" s="252" t="str">
        <f t="shared" si="598"/>
        <v/>
      </c>
      <c r="FC257" s="252" t="str">
        <f>IF(CD257="ERROR", "ERROR", IF(OR(V257="No Change", V257="Not DLC or Energy Star"), "", IF(AND(OR($FC$6=Y257,Y257='Lookup Tables'!$AD$21, Y257='Lookup Tables'!$AD$22),E257="Interior"), S257, "")))</f>
        <v/>
      </c>
      <c r="FD257" s="252" t="str">
        <f t="shared" si="599"/>
        <v/>
      </c>
      <c r="FE257" s="101"/>
      <c r="FF257" s="579" t="str" cm="1">
        <f t="array" ref="FF257">IFERROR(IF(OR(BQ257&lt;=0,AQ257&lt;20,AND(V257="Exit Signs",AN257&gt;0)),"",IF(AND(AQ257&gt;=20,AN257='Lookup Tables'!$R$101),'Lookup Tables'!$U$101*BQ257,AP257*LOOKUP(2,1/((AN257='Lookup Tables'!$R$91:$R$111)*(AQ257&gt;='Lookup Tables'!$S$91:$S$111)*(AQ257&lt;='Lookup Tables'!$T$91:$T$111)),'Lookup Tables'!$U$91:$U$111))),"")</f>
        <v/>
      </c>
      <c r="FG257" s="579"/>
      <c r="FH257" s="579"/>
      <c r="FI257" s="253" t="str">
        <f>IFERROR(ROUND(IF(CD257="ERROR", "ERROR", IF(AND($FI$7=X257,E257="Interior"),VLOOKUP(W257, 'Lookup Tables'!$AI$6:$AM$102, 5, FALSE)*BP257, "")), 2), "")</f>
        <v/>
      </c>
      <c r="FJ257" s="253" t="str">
        <f>IFERROR(ROUND(IF(CD257="ERROR", "ERROR", IF(AND($FI$7=X257,E257="Exterior"),VLOOKUP(W257, 'Lookup Tables'!$AI$6:$AM$102, 5, FALSE)*BP257, "")), 2), "")</f>
        <v/>
      </c>
      <c r="FK257" s="253" t="str">
        <f>IFERROR(ROUND(IF(CD257="ERROR", "ERROR", IF(AND($FK$7=X257,E257="Interior"),VLOOKUP(W257, 'Lookup Tables'!$AI$6:$AM$102, 5, FALSE)*BP257, "")), 2), "")</f>
        <v/>
      </c>
      <c r="FL257" s="253" t="str">
        <f>IFERROR(ROUND(IF(CD257="ERROR", "ERROR", IF(AND($FK$7=X257,E257="Exterior"),VLOOKUP(W257, 'Lookup Tables'!$AI$6:$AM$102, 5, FALSE)*BP257, "")), 2), "")</f>
        <v/>
      </c>
      <c r="FM257" s="253" t="str">
        <f>IFERROR(ROUND(IF(CD257="ERROR", "ERROR", IF(AND($FM$6=Y257,E257="Interior"), IF(GB257=0, VLOOKUP(W257, 'Lookup Tables'!$AI$6:$AM$102, 5, FALSE)*BP257, IF(VLOOKUP(W257, 'Lookup Tables'!$AI$6:$AM$102, 5, FALSE)*BP257&gt;GB257*'Lighting Inventory'!S257, GB257*'Lighting Inventory'!S257,VLOOKUP(W257, 'Lookup Tables'!$AI$6:$AM$102, 5, FALSE)*BP257)), "")), 2), "")</f>
        <v/>
      </c>
      <c r="FN257" s="253" t="str">
        <f>IFERROR(ROUND(IF(CD257="ERROR", "ERROR", IF(AND($FM$6=Y257,E257="Exterior"), IF(GB257=0, VLOOKUP(W257, 'Lookup Tables'!$AI$6:$AM$102, 5, FALSE)*BP257, IF(VLOOKUP(W257, 'Lookup Tables'!$AI$6:$AM$102, 5, FALSE)*BP257&gt;GB257*'Lighting Inventory'!S257, GB257*'Lighting Inventory'!S257,VLOOKUP(W257, 'Lookup Tables'!$AI$6:$AM$102, 5, FALSE)*BP257)), "")), 2), "")</f>
        <v/>
      </c>
      <c r="FO257" s="253" t="str">
        <f>IFERROR(ROUND(IF(CD257="ERROR", "ERROR", IF(AND($FO$6=Y257,E257="Interior"),VLOOKUP(W257, 'Lookup Tables'!$AI$6:$AM$102, 5, FALSE)*'Lighting Inventory'!AI257, "")), 2), "")</f>
        <v/>
      </c>
      <c r="FP257" s="253" t="str">
        <f>IFERROR(ROUND(IF(CD257="ERROR", "ERROR", IF(AND($FO$6=Y257,E257="Exterior"),VLOOKUP(W257, 'Lookup Tables'!$AI$6:$AM$102, 5, FALSE)*'Lighting Inventory'!AI257, "")), 2), "")</f>
        <v/>
      </c>
      <c r="FQ257" s="253" t="str">
        <f>IFERROR(ROUND(IF(CD257="ERROR", "ERROR", IF(AND($FQ$6=Y257,E257="Interior", BU257="Y"), VLOOKUP('Lighting Inventory'!W257, 'Lookup Tables'!$AI$6:$AM$102, 5, FALSE)*'Lighting Inventory'!S257, IF(AND($FQ$7=Y257,E257="Interior", BU257="N"), 0.025*CD257, ""))), 2), "")</f>
        <v/>
      </c>
      <c r="FR257" s="253" t="str">
        <f>IFERROR(ROUND(IF(CD257="ERROR", "ERROR", IF(AND($FQ$6=Y257,E257="Exterior"), VLOOKUP('Lighting Inventory'!W257, 'Lookup Tables'!$AI$6:$AM$102, 5, FALSE)*'Lighting Inventory'!S257, "")), 2), "")</f>
        <v/>
      </c>
      <c r="FS257" s="253" t="str">
        <f>IFERROR(ROUND(IF(CD257="ERROR", "ERROR", IF(AND($FS$6=Y257,E257="Exterior"), IF(GB257=0, VLOOKUP(W257, 'Lookup Tables'!$AI$6:$AM$102, 5, FALSE)*BP257, IF(VLOOKUP(W257, 'Lookup Tables'!$AI$6:$AM$102, 5, FALSE)*BP257&gt;GB257*'Lighting Inventory'!S257, GB257*'Lighting Inventory'!S257,VLOOKUP(W257, 'Lookup Tables'!$AI$6:$AM$102, 5, FALSE)*BP257)), "")), 2), "")</f>
        <v/>
      </c>
      <c r="FT257" s="253" t="str">
        <f>IFERROR(ROUND(IF(CD257="ERROR", "ERROR", IF(AND($FT$6=Y257,E257="Interior"), IF(GB257=0, VLOOKUP(W257, 'Lookup Tables'!$AI$6:$AM$102, 5, FALSE)*BP257, IF(VLOOKUP(W257, 'Lookup Tables'!$AI$6:$AM$102, 5, FALSE)*BP257&gt;GB257*'Lighting Inventory'!S257, GB257*'Lighting Inventory'!S257,VLOOKUP(W257, 'Lookup Tables'!$AI$6:$AM$102, 5, FALSE)*BP257)), "")), 2), "")</f>
        <v/>
      </c>
      <c r="FU257" s="253" t="str">
        <f>IFERROR(ROUND(IF(CD257="ERROR", "ERROR", IF(AND(Y257=$FU$6, E257="Interior"), IF(BS257="N", 'Lookup Tables'!$AM$101*BP257, VLOOKUP(W257, 'Lookup Tables'!$AI$6:$AM$102, 5, FALSE)*S257*AD257), "")), 2), "")</f>
        <v/>
      </c>
      <c r="FV257" s="253" t="str">
        <f>IFERROR(ROUND(IF(CD257="ERROR", "ERROR", IF(AND(Y257=$FU$6, E257="Exterior"), IF(BS257="N", 'Lookup Tables'!$AM$101*BP257, VLOOKUP(W257, 'Lookup Tables'!$AI$6:$AM$102, 5, FALSE)*S257*AD257), "")), 2), "")</f>
        <v/>
      </c>
      <c r="FW257" s="253" t="str">
        <f>IFERROR(ROUND(IF(CD257="ERROR", "ERROR", IF($FW$6=Y257, IF(BS257="N", 'Lookup Tables'!$AM$101*BP257, MIN((VLOOKUP(W257, 'Lookup Tables'!$AI$6:$AM$102, 5, FALSE)*BP257),GB257*AJ257)), "")), 2), "")</f>
        <v/>
      </c>
      <c r="FX257" s="253" t="str">
        <f>IFERROR(ROUND(IF(CD257="ERROR", "ERROR", IF(AND($FX$6=Y257, E257="Interior"), IF(VLOOKUP(W257, 'Lookup Tables'!$AI$6:$AM$102, 5, FALSE)*BP257&gt;'Lookup Tables'!$AQ$97*'Lighting Inventory'!S257,'Lighting Inventory'!S257*'Lookup Tables'!$AQ$97,VLOOKUP(W257, 'Lookup Tables'!$AI$6:$AM$102, 5, FALSE)*BP257), "")), 2), "")</f>
        <v/>
      </c>
      <c r="FY257" s="253" t="str">
        <f>IFERROR(ROUND(IF(CD257="ERROR", "ERROR", IF(AND($FX$6=Y257, E257="Exterior"), IF(VLOOKUP(W257, 'Lookup Tables'!$AI$6:$AM$102, 5, FALSE)*BP257&gt;'Lookup Tables'!$AQ$97*'Lighting Inventory'!S257,'Lighting Inventory'!S257*'Lookup Tables'!$AQ$97,VLOOKUP(W257, 'Lookup Tables'!$AI$6:$AM$102, 5, FALSE)*BP257), "")), 2), "")</f>
        <v/>
      </c>
      <c r="FZ257" s="253" t="str">
        <f>IFERROR(ROUND(IF(CD257="ERROR", "ERROR", IF(AND($FZ$6=Y257, E257="Interior"), IF(AND(OR(W257="Refrigerated Case Lighting with Doors", W257="Freezer Case Lighting"),Y257="Custom - Process Improvement"),CD257*'Lookup Tables'!$AM$101, IF(B257="Retrofit", IF(VLOOKUP(IF(V257="Custom", V257, W257), 'Lookup Tables'!$AI$6:$AM$102, 5, FALSE)*BP257&gt;GE257, GE257, VLOOKUP(IF(V257="Custom", V257, W257), 'Lookup Tables'!$AI$6:$AM$102, 5, FALSE)*BP257), IF(VLOOKUP(IF(V257="Custom", V257, W257), 'Lookup Tables'!$AI$114:$AM$154, 5, FALSE)*BP257&gt;GE257, GE257, VLOOKUP(IF(V257="Custom", V257, W257), 'Lookup Tables'!$AI$114:$AM$154, 5, FALSE)*BP257))), "")), 2),"")</f>
        <v/>
      </c>
      <c r="GA257" s="253" t="str">
        <f>IFERROR(ROUND(IF(CD257="ERROR", "ERROR", IF(AND($FZ$6=Y257, E257="Exterior"), IF(B257="Retrofit", IF(VLOOKUP(IF(V257="Custom", V257, W257), 'Lookup Tables'!$AI$6:$AM$102, 5, FALSE)*BP257&gt;GE257, GE257, VLOOKUP(IF(V257="Custom", V257, W257), 'Lookup Tables'!$AI$6:$AM$102, 5, FALSE)*BP257), IF(VLOOKUP(IF(V257="Custom", V257, W257), 'Lookup Tables'!$AI$114:$AM$154, 5, FALSE)*BP257&gt;GE257, GE257, VLOOKUP(IF(V257="Custom", V257, W257), 'Lookup Tables'!$AI$114:$AM$154, 5, FALSE)*BP257)), "")), 2),"")</f>
        <v/>
      </c>
      <c r="GB257" s="254" t="str">
        <f t="array" ref="GB257">IF(B257="","",IF(OR(V257="Custom",V257="No Change"),0,IF(B257="Retrofit", INDEX('Lookup Tables'!$AH$6:$AQ$102,MATCH(1,('Lookup Tables'!$AH$6:$AH$102='Lighting Inventory'!V257)*('Lookup Tables'!$AI$6:$AI$102='Lighting Inventory'!W257),FALSE),10),INDEX('Lookup Tables'!$AH$114:$AQ$154,MATCH(1,('Lookup Tables'!$AH$114:$AH$154='Lighting Inventory'!V257)*('Lookup Tables'!$AI$114:$AI$154='Lighting Inventory'!W257),FALSE),10))))</f>
        <v/>
      </c>
      <c r="GC257" s="255" t="str">
        <f t="shared" si="550"/>
        <v/>
      </c>
      <c r="GD257" s="250" t="str">
        <f t="shared" si="551"/>
        <v/>
      </c>
      <c r="GE257" s="253" t="str">
        <f>IFERROR(IF(AND(AF257="", 'General Information'!$F$18="No"),"", IF(AF257="", ((GD257/$CD$266)*$CF$266)*0.5, AF257*S257*0.5)), "")</f>
        <v/>
      </c>
      <c r="GF257" s="255" t="str">
        <f>IF(AND('General Information'!$F$19="", 'General Information'!$F$18="Yes",AF257="",BW257="Y"), "Y", "N")</f>
        <v>N</v>
      </c>
      <c r="GG257" s="255" t="s">
        <v>2946</v>
      </c>
      <c r="GH257" s="255" t="str">
        <f>IFERROR(IF(B257="", "", VLOOKUP(J257, 'Fixture Identities'!$A$6:$N$908, 14, FALSE)), "")</f>
        <v/>
      </c>
      <c r="GI257" s="389" t="str">
        <f>IF(OR(B257="", V257="", W257=""), "", IF(AND(OR(M257='Lookup Tables'!$R$18, M257='Lookup Tables'!$R$19, M257='Lookup Tables'!$R$20, M257='Lookup Tables'!$R$21, M257='Lookup Tables'!$R$22), OR(AN257='Lookup Tables'!$R$17, AN257='Lookup Tables'!$R$17, AN257="")), "Y", "N"))</f>
        <v/>
      </c>
      <c r="GJ257" s="255" t="str">
        <f t="shared" si="552"/>
        <v/>
      </c>
      <c r="GK257" s="255" t="str">
        <f t="shared" si="553"/>
        <v/>
      </c>
      <c r="GL257" s="255" t="str">
        <f t="shared" si="554"/>
        <v/>
      </c>
      <c r="GM257" s="255" t="str">
        <f>IF(AN257="", "", IF(AND(IF(ISNA(VLOOKUP(AN257,'Lookup Tables'!$R$18:$R$22,1,FALSE)), "N", "Y")="Y", E257="Exterior"), "Y", "N"))</f>
        <v/>
      </c>
      <c r="GN257" s="395"/>
      <c r="GO257" s="428">
        <f t="shared" si="600"/>
        <v>0</v>
      </c>
      <c r="GP257" s="428">
        <f t="shared" si="603"/>
        <v>0</v>
      </c>
      <c r="GQ257" s="428">
        <f t="shared" si="601"/>
        <v>0</v>
      </c>
      <c r="GR257" s="428">
        <f t="shared" si="602"/>
        <v>0</v>
      </c>
    </row>
    <row r="258" spans="1:200" s="103" customFormat="1" ht="13.5" customHeight="1" x14ac:dyDescent="0.2">
      <c r="A258" s="272">
        <v>248</v>
      </c>
      <c r="B258" s="110"/>
      <c r="C258" s="110"/>
      <c r="D258" s="110"/>
      <c r="E258" s="110"/>
      <c r="F258" s="110"/>
      <c r="G258" s="110"/>
      <c r="H258" s="110"/>
      <c r="I258" s="29"/>
      <c r="J258" s="29"/>
      <c r="K258" s="272" t="str">
        <f>IFERROR(IF(OR(VLOOKUP(J258, 'Fixture Identities'!$A$6:$L$1023, 3, FALSE)="T12 Linear Fluorescent", VLOOKUP(J258, 'Fixture Identities'!$A$6:$L$1023, 3, FALSE)="T12 U-Tube Fluorescent"), VLOOKUP(VLOOKUP(J258, 'Fixture Identities'!$A$6:$L$1023, 11, FALSE), 'Fixture Identities'!$A$6:$L$1023, 10, FALSE), VLOOKUP(J258, 'Fixture Identities'!$A$6:$L$1023, 10, FALSE)), "")</f>
        <v/>
      </c>
      <c r="L258" s="270" t="str">
        <f t="shared" si="605"/>
        <v/>
      </c>
      <c r="M258" s="110"/>
      <c r="N258" s="110"/>
      <c r="O258" s="110"/>
      <c r="P258" s="272" t="str">
        <f>IFERROR(IF(OR(B258="Retrofit",B258=""),"",IF('Lighting Inventory'!E258="Exterior",VLOOKUP('Lighting Inventory'!N258,'Lookup Tables'!$B$83:$F$103,5,FALSE),IF(N258="Other - Please Estimate EFLH and CFs","Contact Prog. Rep.","ft^2"))), "")</f>
        <v/>
      </c>
      <c r="Q258" s="270" t="str">
        <f>IFERROR(IF(AND(B258="New Construction",E258="Interior",$F$5="Space-by-Space"),VLOOKUP('Lighting Inventory'!N258,'Lookup Tables'!$N$6:$O$97,2,FALSE),IF(AND(B258="New Construction",E258="Exterior"),VLOOKUP(N258,'Lookup Tables'!$B$83:$F$103,2,FALSE),IF(AND(B258="New Construction",'Lighting Inventory'!E258="Interior", $F$5="Building Area"),VLOOKUP(F258,'Lookup Tables'!$A$6:$J$59,10,FALSE),""))), "")</f>
        <v/>
      </c>
      <c r="R258" s="270" t="str">
        <f>IFERROR(IF(P258="Contact Prog. Rep.", "ERROR", IF(OR(B258="",B258="Retrofit"),"",IF(N258="Automated teller machines", ('Lookup Tables'!$A$82:$E$100+('Lighting Inventory'!O258-1)*'Lookup Tables'!$A$82:$E$100)/1000, (Q258*O258)/1000))), "")</f>
        <v/>
      </c>
      <c r="S258" s="595"/>
      <c r="T258" s="105" t="str">
        <f t="shared" si="555"/>
        <v/>
      </c>
      <c r="U258" s="105" t="str">
        <f>IF(S258="","",COUNT($S$11:S258))</f>
        <v/>
      </c>
      <c r="V258" s="111"/>
      <c r="W258" s="112"/>
      <c r="X258" s="105" t="str">
        <f t="shared" si="556"/>
        <v/>
      </c>
      <c r="Y258" s="105" t="str">
        <f t="array" ref="Y258">IF(AND(OR(W258="Freezer Case Lighting", W258="Refrigerated Case Lighting with Doors"), 'General Information'!$X$18="LCI"),'Lookup Tables'!$Y$34, IF(V258="Custom", VLOOKUP(W258, 'Fixture Identities'!$A$974:$M$1023, 13, FALSE), IF(V258="No Change",'Lookup Tables'!$Y$29,IF(OR(V258="",W258=""),"",IF(AND(S258=0,S258&lt;I258,B258="Retrofit"),'Lookup Tables'!$Y$25, IF(B258="Retrofit", INDEX('Lookup Tables'!$AH$6:$AP$102, MATCH(1, ('Lookup Tables'!$AH$6:$AH$102=V258)*('Lookup Tables'!$AI$6:$AI$102=W258), 0), IF('Lighting Inventory'!E258="Interior", 4, 5)), INDEX('Lookup Tables'!$AH$114:$AP$154, MATCH(1, ('Lookup Tables'!$AH$114:$AH$154=V258)*('Lookup Tables'!$AI$114:$AI$154=W258), 0), IF('Lighting Inventory'!E258="Interior", 4, 5))))))))</f>
        <v/>
      </c>
      <c r="Z258" s="105" t="str">
        <f>IFERROR(INDEX('Lookup Tables'!$AH$158:$AH$172,MATCH('Lighting Inventory'!Y258,'Lookup Tables'!$AI$158:$AI$172,0)),"")</f>
        <v/>
      </c>
      <c r="AA258" s="105" t="str">
        <f>IF(AP258&gt;0,INDEX('Lookup Tables'!$AK$158:$AK$172,MATCH('Lighting Inventory'!Y258,'Lookup Tables'!$AI$158:$AI$172,0)),'Lighting Inventory'!Y258)</f>
        <v/>
      </c>
      <c r="AB258" s="105" t="str">
        <f t="array" ref="AB258">IF(V258="Custom", "Custom", IF(V258="", "", IF(V258="Not DLC or Energy Star", "General", IF(B258="New Construction", INDEX('Lookup Tables'!$AH$114:$AP$154,MATCH(1,('Lookup Tables'!$AH$114:$AH$154='Lighting Inventory'!V258)*('Lookup Tables'!$AI$114:$AI$154='Lighting Inventory'!W258),FALSE),8), INDEX('Lookup Tables'!$AH$6:$AP$102,MATCH(1,('Lookup Tables'!$AH$6:$AH$102='Lighting Inventory'!V258)*('Lookup Tables'!$AI$6:$AI$102='Lighting Inventory'!W258),FALSE),8)))))</f>
        <v/>
      </c>
      <c r="AC258" s="272" t="str">
        <f>IF(W258="","",IF(V258="Custom",CONCATENATE("$",'Lookup Tables'!$AM$101," ",'Lookup Tables'!$AN$101),CONCATENATE("$",INDEX('Lookup Tables'!$AM$6:$AM$102,MATCH('Lighting Inventory'!W258,'Lookup Tables'!$AI$6:$AI$102,0))," ",INDEX('Lookup Tables'!$AN$6:$AN$102,MATCH('Lighting Inventory'!W258,'Lookup Tables'!$AI$6:$AI$102,0)))))</f>
        <v/>
      </c>
      <c r="AD258" s="72"/>
      <c r="AE258" s="29"/>
      <c r="AF258" s="379"/>
      <c r="AG258" s="370" t="str">
        <f t="shared" si="504"/>
        <v/>
      </c>
      <c r="AH258" s="370" t="str">
        <f t="shared" si="557"/>
        <v/>
      </c>
      <c r="AI258" s="29"/>
      <c r="AJ258" s="29"/>
      <c r="AK258" s="110"/>
      <c r="AL258" s="375" t="str">
        <f>IF(OR(B258="", V258="", W258=""), "", IF(V258="No Change", K258, IF(V258="Remove Fixture", 0, IF(V258="Custom",VLOOKUP(W258,'Fixture Identities'!$A$6:$K$1023,10,FALSE),IF(AE258="", "← ENTER POST WATTS", 'Lighting Inventory'!AE258)))))</f>
        <v/>
      </c>
      <c r="AM258" s="376" t="str">
        <f t="shared" si="505"/>
        <v/>
      </c>
      <c r="AN258" s="29"/>
      <c r="AO258" s="671"/>
      <c r="AP258" s="29"/>
      <c r="AQ258" s="29"/>
      <c r="AR258" s="29"/>
      <c r="AS258" s="272" t="str">
        <f t="shared" si="558"/>
        <v/>
      </c>
      <c r="AT258" s="270" t="str">
        <f t="shared" si="506"/>
        <v/>
      </c>
      <c r="AU258" s="88" t="str">
        <f t="shared" si="606"/>
        <v/>
      </c>
      <c r="AV258" s="29"/>
      <c r="AW258" s="73"/>
      <c r="AX258" s="271" t="str">
        <f>IF(AND(AV258="Applicant",OR(AW258="", AW258="Use Default Facility Hours")),"← Choose Schedule",IF(F258="","",IF(W258="LED Exit Signs",8760,IF(OR(AV258="Prescribed",AV258=""),VLOOKUP(F258,'Lookup Tables'!$A$6:$G$59,IF(AB258="General", 6, 3),FALSE),VLOOKUP(AW258,'Lookup Tables'!$S$36:$U$43,2,FALSE)))))</f>
        <v/>
      </c>
      <c r="AY258" s="88" t="str">
        <f t="shared" si="507"/>
        <v/>
      </c>
      <c r="AZ258" s="270" t="str">
        <f>IFERROR(IF(F258="", "", IF(W258="LED Exit Signs", 1, IF(AV258="Applicant",VLOOKUP(AW258, 'Lookup Tables'!$S$36:$U$43,3, FALSE), VLOOKUP('Lighting Inventory'!F258, 'Lookup Tables'!$A$6:$H$59, IF('Lighting Inventory'!AB258="General",7,4), FALSE)))), "")</f>
        <v/>
      </c>
      <c r="BA258" s="522" t="str">
        <f>IFERROR(IF(F258="", "", IF(W258="LED Exit Signs", 1, VLOOKUP('Lighting Inventory'!F258, 'Lookup Tables'!$A$6:$H$59, IF('Lighting Inventory'!AB258="General",8,5), FALSE))), "")</f>
        <v/>
      </c>
      <c r="BB258" s="270" t="str">
        <f>IF(G258="", "", IF(E258="Exterior", 0, IF('Lighting Inventory'!G258="Air Conditioned", VLOOKUP(H258, 'Lookup Tables'!$R$6:$T$13, 2, FALSE), VLOOKUP('Lighting Inventory'!G258, 'Lookup Tables'!$R$6:$T$13, 2, FALSE))))</f>
        <v/>
      </c>
      <c r="BC258" s="522" t="str">
        <f>IF(G258="", "", IF(E258="Exterior", 0, IF('Lighting Inventory'!G258="Air Conditioned", VLOOKUP(H258, 'Lookup Tables'!$R$6:$T$13, 3, FALSE), VLOOKUP('Lighting Inventory'!G258, 'Lookup Tables'!$R$6:$T$13, 3, FALSE))))</f>
        <v/>
      </c>
      <c r="BD258" s="270" t="str">
        <f>IF(G258="", "", IF(E258="Exterior", 0, IF('Lighting Inventory'!G258="Air Conditioned", VLOOKUP(H258, 'Lookup Tables'!$R$6:$U$13, 4, FALSE), VLOOKUP('Lighting Inventory'!G258, 'Lookup Tables'!$R$6:$U$13, 4, FALSE))))</f>
        <v/>
      </c>
      <c r="BE258" s="270" t="str">
        <f>IFERROR(IF(B258="", "",  IF(B258="New Construction", VLOOKUP(F258, 'Lookup Tables'!$A$6:$K$59, 11, FALSE),IF(OR(AN258="", AN258="Light Switch"), 0, IF(OR(M258="",M258="None",V258= "LED Exit Signs"),0,_xlfn.XLOOKUP(M258,'Lookup Tables'!$R$91:$R$101,'Lookup Tables'!$V$91:$V$101))))), "")</f>
        <v/>
      </c>
      <c r="BF258" s="270" t="str">
        <f>IF(AND(OR(AN258="Light Switch",AN258=""),B258="New Construction"), VLOOKUP(F258, 'Lookup Tables'!$A$6:$K$59, 11, FALSE),IF(AN258="","",IF(B258="","",IF(OR(AN258="None",AN258="",V258="LED Exit Signs",AN258="Exterior Controls Not Eligible"),0,_xlfn.XLOOKUP(AN258,'Lookup Tables'!$R$91:$R$101,'Lookup Tables'!$V$91:$V$101)))))</f>
        <v/>
      </c>
      <c r="BG258" s="88" t="str">
        <f t="shared" si="559"/>
        <v/>
      </c>
      <c r="BH258" s="88" t="str">
        <f t="shared" si="560"/>
        <v/>
      </c>
      <c r="BI258" s="558" t="str">
        <f t="shared" si="604"/>
        <v/>
      </c>
      <c r="BJ258" s="82" t="str">
        <f t="shared" si="561"/>
        <v/>
      </c>
      <c r="BK258" s="82" t="str">
        <f t="shared" si="562"/>
        <v/>
      </c>
      <c r="BL258" s="559" t="str">
        <f t="shared" si="563"/>
        <v/>
      </c>
      <c r="BM258" s="521" t="str">
        <f t="shared" si="508"/>
        <v/>
      </c>
      <c r="BN258" s="521" t="str">
        <f t="shared" si="509"/>
        <v/>
      </c>
      <c r="BO258" s="522" t="str">
        <f t="shared" si="510"/>
        <v/>
      </c>
      <c r="BP258" s="83" t="str">
        <f t="shared" si="564"/>
        <v/>
      </c>
      <c r="BQ258" s="84" t="str">
        <f t="shared" si="565"/>
        <v/>
      </c>
      <c r="BR258" s="184" t="str">
        <f>IFERROR(IF(B258="", "", IF(OR(VLOOKUP(J258, 'Fixture Identities'!$A$6:$L$1023, 3, FALSE)="T12 Linear Fluorescent",VLOOKUP(J258, 'Fixture Identities'!$A$6:$L$1023, 3, FALSE)="T12 U-Tube Fluorescent"), "Y", "N")), "N")</f>
        <v/>
      </c>
      <c r="BS258" s="184" t="str">
        <f t="array" ref="BS258">IFERROR(IF(OR(B258="", V258="", W258=""), "", IF(V258="Custom", "N", IF(OR(W258="Freezer Case Lighting", W258="Refrigerated Case Lighting with Doors"), BT258, IF(B258="Retrofit", INDEX('Lookup Tables'!$AH$6:$AT$102,MATCH(1,('Lookup Tables'!$AH$6:$AH$102=V258)*('Lookup Tables'!$AI$6:$AI$102=W258),FALSE),IF(VLOOKUP(J258, 'Fixture Identities'!$A$6:$B$1023, 2, FALSE)="Incandescent",12, 13)), INDEX('Lookup Tables'!$AH$114:$AS$154,MATCH(1,('Lookup Tables'!$AH$114:$AH$154=V258)*('Lookup Tables'!$AI$114:$AI$154=W258),FALSE),12))))), "N")</f>
        <v/>
      </c>
      <c r="BT258" s="184" t="str">
        <f>IF(J258="", "", IF(AND(OR(W258="Freezer case Lighting", W258="Refrigerated Case Lighting with Doors"),'General Information'!$X$18="LCI"), "N", IF(OR(VLOOKUP(J258, 'Fixture Identities'!$A$6:$B$1023, 2, FALSE)="T12 EPACT/EISA Baseline", VLOOKUP(J258, 'Fixture Identities'!$A$6:$B$1023, 2, FALSE)="Linear Fluorescent", VLOOKUP(J258, 'Fixture Identities'!$A$6:$B$1023, 2, FALSE)="U-Tube Fluorescent"), "Y", "N")))</f>
        <v/>
      </c>
      <c r="BU258" s="184" t="str">
        <f>IFERROR(IF(B258="", "", IF(VLOOKUP(J258, 'Fixture Identities'!$A$6:$B$1023, 2, FALSE)="Exit Sign", "Y", "N")), "N")</f>
        <v/>
      </c>
      <c r="BV258" s="184" t="str">
        <f>IF(V258="Exit Signs", IF(VLOOKUP(J258, 'Fixture Identities'!$A$6:$B$1023, 2, FALSE)="Exit Sign", "N", "Y"), "")</f>
        <v/>
      </c>
      <c r="BW258" s="184" t="str">
        <f t="array" ref="BW258">IFERROR(IF(B258="", "", IF(B258="New Construction", "N", INDEX('Lookup Tables'!$AH$6:$AU$102, MATCH(1, ('Lookup Tables'!$AH$6:$AH$102='Lighting Inventory'!V258)*('Lookup Tables'!$AI$6:$AI$102='Lighting Inventory'!W258), 0), 14))), "N")</f>
        <v/>
      </c>
      <c r="BX258" s="598" t="str">
        <f t="shared" si="566"/>
        <v/>
      </c>
      <c r="BY258" s="598" t="str">
        <f t="shared" si="567"/>
        <v/>
      </c>
      <c r="BZ258" s="598" t="str">
        <f t="shared" si="568"/>
        <v/>
      </c>
      <c r="CA258" s="598" t="str">
        <f t="shared" si="569"/>
        <v/>
      </c>
      <c r="CB258" s="269" t="str">
        <f t="shared" si="570"/>
        <v/>
      </c>
      <c r="CC258" s="517" t="str">
        <f t="shared" si="571"/>
        <v/>
      </c>
      <c r="CD258" s="565" t="str">
        <f t="shared" si="511"/>
        <v/>
      </c>
      <c r="CE258" s="368">
        <v>0</v>
      </c>
      <c r="CF258" s="368" t="str" cm="1">
        <f t="array" ref="CF258">IFERROR(IF(V258="Custom", "$0.1 per kWh", IF(B258="New Construction", CONCATENATE("$",INDEX('Lookup Tables'!$AH$114:$AN$154,MATCH(1,('Lookup Tables'!$AH$114:$AH$154='Lighting Inventory'!V258)*('Lookup Tables'!$AI$114:$AI$154='Lighting Inventory'!W258),FALSE),6)," ",INDEX('Lookup Tables'!$AH$114:$AN$154,MATCH(1,('Lookup Tables'!$AH$114:$AH$154='Lighting Inventory'!V258)*('Lookup Tables'!$AI$114:$AI$154='Lighting Inventory'!W258),FALSE),7)), IF(AND(BU258="N", V258="Exit Signs"), "$0.025 per kWh", CONCATENATE("$",INDEX('Lookup Tables'!$AH$6:$AN$102,MATCH(1,('Lookup Tables'!$AH$6:$AH$102='Lighting Inventory'!V258)*('Lookup Tables'!$AI$6:$AI$102='Lighting Inventory'!W258),FALSE),6)," ",INDEX('Lookup Tables'!$AH$6:$AN$102,MATCH(1,('Lookup Tables'!$AH$6:$AH$102='Lighting Inventory'!V258)*('Lookup Tables'!$AI$6:$AI$102='Lighting Inventory'!W258),FALSE),7))))), "")</f>
        <v/>
      </c>
      <c r="CG258" s="366"/>
      <c r="CH258" s="248" t="str">
        <f t="shared" si="512"/>
        <v/>
      </c>
      <c r="CI258" s="248" t="str">
        <f t="shared" si="513"/>
        <v>Select_IE</v>
      </c>
      <c r="CJ258" s="248" t="str">
        <f t="shared" si="514"/>
        <v/>
      </c>
      <c r="CK258" s="248" t="str">
        <f t="shared" si="515"/>
        <v/>
      </c>
      <c r="CL258" s="248" t="str">
        <f t="shared" si="516"/>
        <v/>
      </c>
      <c r="CM258" s="248" t="str">
        <f>IFERROR(IF(B258="", "", IF(B258="New Construction", VLOOKUP(V258, 'Lookup Tables'!$AF$114:$AG$120, 2, FALSE), VLOOKUP(V258, 'Lookup Tables'!$AD$6:$AE$25, 2, FALSE))), "")</f>
        <v/>
      </c>
      <c r="CN258" s="248" t="str">
        <f t="shared" si="517"/>
        <v/>
      </c>
      <c r="CO258" s="248" t="str">
        <f t="shared" si="518"/>
        <v/>
      </c>
      <c r="CP258" s="592" t="str">
        <f t="shared" si="519"/>
        <v/>
      </c>
      <c r="CQ258" s="248" t="str">
        <f t="shared" si="572"/>
        <v/>
      </c>
      <c r="CR258" s="249"/>
      <c r="CS258" s="250" t="str">
        <f t="shared" si="520"/>
        <v/>
      </c>
      <c r="CT258" s="250" t="str">
        <f t="shared" si="573"/>
        <v/>
      </c>
      <c r="CU258" s="250" t="str">
        <f t="shared" si="574"/>
        <v/>
      </c>
      <c r="CV258" s="250" t="str">
        <f t="shared" si="575"/>
        <v/>
      </c>
      <c r="CW258" s="250" t="str">
        <f t="shared" si="576"/>
        <v/>
      </c>
      <c r="CX258" s="250" t="str">
        <f t="shared" si="521"/>
        <v/>
      </c>
      <c r="CY258" s="250" t="str">
        <f t="shared" si="522"/>
        <v/>
      </c>
      <c r="CZ258" s="250" t="str">
        <f t="shared" si="523"/>
        <v/>
      </c>
      <c r="DA258" s="250" t="str">
        <f t="shared" si="524"/>
        <v/>
      </c>
      <c r="DB258" s="250" t="str">
        <f t="shared" si="525"/>
        <v/>
      </c>
      <c r="DC258" s="250" t="str">
        <f t="shared" si="526"/>
        <v/>
      </c>
      <c r="DD258" s="250" t="str">
        <f t="shared" si="527"/>
        <v/>
      </c>
      <c r="DE258" s="250" t="str">
        <f t="shared" si="528"/>
        <v/>
      </c>
      <c r="DF258" s="250" t="str">
        <f t="shared" si="529"/>
        <v/>
      </c>
      <c r="DG258" s="250" t="str">
        <f t="shared" si="530"/>
        <v/>
      </c>
      <c r="DH258" s="250" t="str">
        <f t="shared" si="531"/>
        <v/>
      </c>
      <c r="DI258" s="250" t="str">
        <f t="shared" si="532"/>
        <v/>
      </c>
      <c r="DJ258" s="250" t="str">
        <f t="shared" si="533"/>
        <v/>
      </c>
      <c r="DK258" s="250" t="str">
        <f t="shared" si="534"/>
        <v/>
      </c>
      <c r="DL258" s="250" t="str">
        <f t="shared" si="535"/>
        <v/>
      </c>
      <c r="DM258" s="250" t="str">
        <f>IF(CD258="ERROR", "ERROR", IF(AND(OR(Y258=$DM$6, Y258='Lookup Tables'!$AD$21, Y258='Lookup Tables'!$AD$22), E258="Interior"), BJ258, ""))</f>
        <v/>
      </c>
      <c r="DN258" s="250" t="str">
        <f>IF(CD258="ERROR", "ERROR", IF(AND(OR(Y258=$DM$6, Y258='Lookup Tables'!$AD$21, Y258='Lookup Tables'!$AD$22), E258="Exterior"), BJ258, ""))</f>
        <v/>
      </c>
      <c r="DO258" s="249"/>
      <c r="DP258" s="250" t="str">
        <f t="shared" si="536"/>
        <v/>
      </c>
      <c r="DQ258" s="250" t="str">
        <f t="shared" si="577"/>
        <v/>
      </c>
      <c r="DR258" s="250" t="str">
        <f t="shared" si="578"/>
        <v/>
      </c>
      <c r="DS258" s="250" t="str">
        <f t="shared" si="579"/>
        <v/>
      </c>
      <c r="DT258" s="250" t="str">
        <f t="shared" si="580"/>
        <v/>
      </c>
      <c r="DU258" s="250" t="str">
        <f t="shared" si="537"/>
        <v/>
      </c>
      <c r="DV258" s="250" t="str">
        <f t="shared" si="538"/>
        <v/>
      </c>
      <c r="DW258" s="250" t="str">
        <f t="shared" si="539"/>
        <v/>
      </c>
      <c r="DX258" s="250" t="str">
        <f t="shared" si="540"/>
        <v/>
      </c>
      <c r="DY258" s="250" t="str">
        <f t="shared" si="541"/>
        <v/>
      </c>
      <c r="DZ258" s="250" t="str">
        <f t="shared" si="542"/>
        <v/>
      </c>
      <c r="EA258" s="250" t="str">
        <f t="shared" si="543"/>
        <v/>
      </c>
      <c r="EB258" s="250" t="str">
        <f t="shared" si="581"/>
        <v/>
      </c>
      <c r="EC258" s="250" t="str">
        <f t="shared" si="544"/>
        <v/>
      </c>
      <c r="ED258" s="250" t="str">
        <f t="shared" si="545"/>
        <v/>
      </c>
      <c r="EE258" s="250" t="str">
        <f t="shared" si="546"/>
        <v/>
      </c>
      <c r="EF258" s="250" t="str">
        <f t="shared" si="547"/>
        <v/>
      </c>
      <c r="EG258" s="250" t="str">
        <f t="shared" si="548"/>
        <v/>
      </c>
      <c r="EH258" s="250" t="str">
        <f>IF(CD258="ERROR", "ERROR", IF(AND(OR($EH$6=Y258, Y258='Lookup Tables'!$AD$21, Y258='Lookup Tables'!$AD$22),E258="Interior"), SUM(BP258:BP258), ""))</f>
        <v/>
      </c>
      <c r="EI258" s="250" t="str">
        <f>IF(CD258="ERROR", "ERROR", IF(AND(OR($EH$6=Y258, Y258='Lookup Tables'!$AD$21, Y258='Lookup Tables'!$AD$22),E258="Exterior"), SUM(BP258:BP258), ""))</f>
        <v/>
      </c>
      <c r="EJ258" s="109"/>
      <c r="EK258" s="485" t="str">
        <f t="shared" si="549"/>
        <v/>
      </c>
      <c r="EL258" s="252" t="str">
        <f t="shared" si="582"/>
        <v/>
      </c>
      <c r="EM258" s="252" t="str">
        <f t="shared" si="583"/>
        <v/>
      </c>
      <c r="EN258" s="252" t="str">
        <f t="shared" si="584"/>
        <v/>
      </c>
      <c r="EO258" s="252" t="str">
        <f t="shared" si="585"/>
        <v/>
      </c>
      <c r="EP258" s="252" t="str">
        <f t="shared" si="586"/>
        <v/>
      </c>
      <c r="EQ258" s="252" t="str">
        <f t="shared" si="587"/>
        <v/>
      </c>
      <c r="ER258" s="252" t="str">
        <f t="shared" si="588"/>
        <v/>
      </c>
      <c r="ES258" s="252" t="str">
        <f t="shared" si="589"/>
        <v/>
      </c>
      <c r="ET258" s="252" t="str">
        <f t="shared" si="590"/>
        <v/>
      </c>
      <c r="EU258" s="252" t="str">
        <f t="shared" si="591"/>
        <v/>
      </c>
      <c r="EV258" s="252" t="str">
        <f t="shared" si="592"/>
        <v/>
      </c>
      <c r="EW258" s="252" t="str">
        <f t="shared" si="593"/>
        <v/>
      </c>
      <c r="EX258" s="252" t="str">
        <f t="shared" si="594"/>
        <v/>
      </c>
      <c r="EY258" s="252" t="str">
        <f t="shared" si="595"/>
        <v/>
      </c>
      <c r="EZ258" s="252" t="str">
        <f t="shared" si="596"/>
        <v/>
      </c>
      <c r="FA258" s="252" t="str">
        <f t="shared" si="597"/>
        <v/>
      </c>
      <c r="FB258" s="252" t="str">
        <f t="shared" si="598"/>
        <v/>
      </c>
      <c r="FC258" s="252" t="str">
        <f>IF(CD258="ERROR", "ERROR", IF(OR(V258="No Change", V258="Not DLC or Energy Star"), "", IF(AND(OR($FC$6=Y258,Y258='Lookup Tables'!$AD$21, Y258='Lookup Tables'!$AD$22),E258="Interior"), S258, "")))</f>
        <v/>
      </c>
      <c r="FD258" s="252" t="str">
        <f t="shared" si="599"/>
        <v/>
      </c>
      <c r="FE258" s="1"/>
      <c r="FF258" s="579" t="str" cm="1">
        <f t="array" ref="FF258">IFERROR(IF(OR(BQ258&lt;=0,AQ258&lt;20,AND(V258="Exit Signs",AN258&gt;0)),"",IF(AND(AQ258&gt;=20,AN258='Lookup Tables'!$R$101),'Lookup Tables'!$U$101*BQ258,AP258*LOOKUP(2,1/((AN258='Lookup Tables'!$R$91:$R$111)*(AQ258&gt;='Lookup Tables'!$S$91:$S$111)*(AQ258&lt;='Lookup Tables'!$T$91:$T$111)),'Lookup Tables'!$U$91:$U$111))),"")</f>
        <v/>
      </c>
      <c r="FG258" s="579"/>
      <c r="FH258" s="579"/>
      <c r="FI258" s="253" t="str">
        <f>IFERROR(ROUND(IF(CD258="ERROR", "ERROR", IF(AND($FI$7=X258,E258="Interior"),VLOOKUP(W258, 'Lookup Tables'!$AI$6:$AM$102, 5, FALSE)*BP258, "")), 2), "")</f>
        <v/>
      </c>
      <c r="FJ258" s="253" t="str">
        <f>IFERROR(ROUND(IF(CD258="ERROR", "ERROR", IF(AND($FI$7=X258,E258="Exterior"),VLOOKUP(W258, 'Lookup Tables'!$AI$6:$AM$102, 5, FALSE)*BP258, "")), 2), "")</f>
        <v/>
      </c>
      <c r="FK258" s="253" t="str">
        <f>IFERROR(ROUND(IF(CD258="ERROR", "ERROR", IF(AND($FK$7=X258,E258="Interior"),VLOOKUP(W258, 'Lookup Tables'!$AI$6:$AM$102, 5, FALSE)*BP258, "")), 2), "")</f>
        <v/>
      </c>
      <c r="FL258" s="253" t="str">
        <f>IFERROR(ROUND(IF(CD258="ERROR", "ERROR", IF(AND($FK$7=X258,E258="Exterior"),VLOOKUP(W258, 'Lookup Tables'!$AI$6:$AM$102, 5, FALSE)*BP258, "")), 2), "")</f>
        <v/>
      </c>
      <c r="FM258" s="253" t="str">
        <f>IFERROR(ROUND(IF(CD258="ERROR", "ERROR", IF(AND($FM$6=Y258,E258="Interior"), IF(GB258=0, VLOOKUP(W258, 'Lookup Tables'!$AI$6:$AM$102, 5, FALSE)*BP258, IF(VLOOKUP(W258, 'Lookup Tables'!$AI$6:$AM$102, 5, FALSE)*BP258&gt;GB258*'Lighting Inventory'!S258, GB258*'Lighting Inventory'!S258,VLOOKUP(W258, 'Lookup Tables'!$AI$6:$AM$102, 5, FALSE)*BP258)), "")), 2), "")</f>
        <v/>
      </c>
      <c r="FN258" s="253" t="str">
        <f>IFERROR(ROUND(IF(CD258="ERROR", "ERROR", IF(AND($FM$6=Y258,E258="Exterior"), IF(GB258=0, VLOOKUP(W258, 'Lookup Tables'!$AI$6:$AM$102, 5, FALSE)*BP258, IF(VLOOKUP(W258, 'Lookup Tables'!$AI$6:$AM$102, 5, FALSE)*BP258&gt;GB258*'Lighting Inventory'!S258, GB258*'Lighting Inventory'!S258,VLOOKUP(W258, 'Lookup Tables'!$AI$6:$AM$102, 5, FALSE)*BP258)), "")), 2), "")</f>
        <v/>
      </c>
      <c r="FO258" s="253" t="str">
        <f>IFERROR(ROUND(IF(CD258="ERROR", "ERROR", IF(AND($FO$6=Y258,E258="Interior"),VLOOKUP(W258, 'Lookup Tables'!$AI$6:$AM$102, 5, FALSE)*'Lighting Inventory'!AI258, "")), 2), "")</f>
        <v/>
      </c>
      <c r="FP258" s="253" t="str">
        <f>IFERROR(ROUND(IF(CD258="ERROR", "ERROR", IF(AND($FO$6=Y258,E258="Exterior"),VLOOKUP(W258, 'Lookup Tables'!$AI$6:$AM$102, 5, FALSE)*'Lighting Inventory'!AI258, "")), 2), "")</f>
        <v/>
      </c>
      <c r="FQ258" s="253" t="str">
        <f>IFERROR(ROUND(IF(CD258="ERROR", "ERROR", IF(AND($FQ$6=Y258,E258="Interior", BU258="Y"), VLOOKUP('Lighting Inventory'!W258, 'Lookup Tables'!$AI$6:$AM$102, 5, FALSE)*'Lighting Inventory'!S258, IF(AND($FQ$7=Y258,E258="Interior", BU258="N"), 0.025*CD258, ""))), 2), "")</f>
        <v/>
      </c>
      <c r="FR258" s="253" t="str">
        <f>IFERROR(ROUND(IF(CD258="ERROR", "ERROR", IF(AND($FQ$6=Y258,E258="Exterior"), VLOOKUP('Lighting Inventory'!W258, 'Lookup Tables'!$AI$6:$AM$102, 5, FALSE)*'Lighting Inventory'!S258, "")), 2), "")</f>
        <v/>
      </c>
      <c r="FS258" s="253" t="str">
        <f>IFERROR(ROUND(IF(CD258="ERROR", "ERROR", IF(AND($FS$6=Y258,E258="Exterior"), IF(GB258=0, VLOOKUP(W258, 'Lookup Tables'!$AI$6:$AM$102, 5, FALSE)*BP258, IF(VLOOKUP(W258, 'Lookup Tables'!$AI$6:$AM$102, 5, FALSE)*BP258&gt;GB258*'Lighting Inventory'!S258, GB258*'Lighting Inventory'!S258,VLOOKUP(W258, 'Lookup Tables'!$AI$6:$AM$102, 5, FALSE)*BP258)), "")), 2), "")</f>
        <v/>
      </c>
      <c r="FT258" s="253" t="str">
        <f>IFERROR(ROUND(IF(CD258="ERROR", "ERROR", IF(AND($FT$6=Y258,E258="Interior"), IF(GB258=0, VLOOKUP(W258, 'Lookup Tables'!$AI$6:$AM$102, 5, FALSE)*BP258, IF(VLOOKUP(W258, 'Lookup Tables'!$AI$6:$AM$102, 5, FALSE)*BP258&gt;GB258*'Lighting Inventory'!S258, GB258*'Lighting Inventory'!S258,VLOOKUP(W258, 'Lookup Tables'!$AI$6:$AM$102, 5, FALSE)*BP258)), "")), 2), "")</f>
        <v/>
      </c>
      <c r="FU258" s="253" t="str">
        <f>IFERROR(ROUND(IF(CD258="ERROR", "ERROR", IF(AND(Y258=$FU$6, E258="Interior"), IF(BS258="N", 'Lookup Tables'!$AM$101*BP258, VLOOKUP(W258, 'Lookup Tables'!$AI$6:$AM$102, 5, FALSE)*S258*AD258), "")), 2), "")</f>
        <v/>
      </c>
      <c r="FV258" s="253" t="str">
        <f>IFERROR(ROUND(IF(CD258="ERROR", "ERROR", IF(AND(Y258=$FU$6, E258="Exterior"), IF(BS258="N", 'Lookup Tables'!$AM$101*BP258, VLOOKUP(W258, 'Lookup Tables'!$AI$6:$AM$102, 5, FALSE)*S258*AD258), "")), 2), "")</f>
        <v/>
      </c>
      <c r="FW258" s="253" t="str">
        <f>IFERROR(ROUND(IF(CD258="ERROR", "ERROR", IF($FW$6=Y258, IF(BS258="N", 'Lookup Tables'!$AM$101*BP258, MIN((VLOOKUP(W258, 'Lookup Tables'!$AI$6:$AM$102, 5, FALSE)*BP258),GB258*AJ258)), "")), 2), "")</f>
        <v/>
      </c>
      <c r="FX258" s="253" t="str">
        <f>IFERROR(ROUND(IF(CD258="ERROR", "ERROR", IF(AND($FX$6=Y258, E258="Interior"), IF(VLOOKUP(W258, 'Lookup Tables'!$AI$6:$AM$102, 5, FALSE)*BP258&gt;'Lookup Tables'!$AQ$97*'Lighting Inventory'!S258,'Lighting Inventory'!S258*'Lookup Tables'!$AQ$97,VLOOKUP(W258, 'Lookup Tables'!$AI$6:$AM$102, 5, FALSE)*BP258), "")), 2), "")</f>
        <v/>
      </c>
      <c r="FY258" s="253" t="str">
        <f>IFERROR(ROUND(IF(CD258="ERROR", "ERROR", IF(AND($FX$6=Y258, E258="Exterior"), IF(VLOOKUP(W258, 'Lookup Tables'!$AI$6:$AM$102, 5, FALSE)*BP258&gt;'Lookup Tables'!$AQ$97*'Lighting Inventory'!S258,'Lighting Inventory'!S258*'Lookup Tables'!$AQ$97,VLOOKUP(W258, 'Lookup Tables'!$AI$6:$AM$102, 5, FALSE)*BP258), "")), 2), "")</f>
        <v/>
      </c>
      <c r="FZ258" s="253" t="str">
        <f>IFERROR(ROUND(IF(CD258="ERROR", "ERROR", IF(AND($FZ$6=Y258, E258="Interior"), IF(AND(OR(W258="Refrigerated Case Lighting with Doors", W258="Freezer Case Lighting"),Y258="Custom - Process Improvement"),CD258*'Lookup Tables'!$AM$101, IF(B258="Retrofit", IF(VLOOKUP(IF(V258="Custom", V258, W258), 'Lookup Tables'!$AI$6:$AM$102, 5, FALSE)*BP258&gt;GE258, GE258, VLOOKUP(IF(V258="Custom", V258, W258), 'Lookup Tables'!$AI$6:$AM$102, 5, FALSE)*BP258), IF(VLOOKUP(IF(V258="Custom", V258, W258), 'Lookup Tables'!$AI$114:$AM$154, 5, FALSE)*BP258&gt;GE258, GE258, VLOOKUP(IF(V258="Custom", V258, W258), 'Lookup Tables'!$AI$114:$AM$154, 5, FALSE)*BP258))), "")), 2),"")</f>
        <v/>
      </c>
      <c r="GA258" s="253" t="str">
        <f>IFERROR(ROUND(IF(CD258="ERROR", "ERROR", IF(AND($FZ$6=Y258, E258="Exterior"), IF(B258="Retrofit", IF(VLOOKUP(IF(V258="Custom", V258, W258), 'Lookup Tables'!$AI$6:$AM$102, 5, FALSE)*BP258&gt;GE258, GE258, VLOOKUP(IF(V258="Custom", V258, W258), 'Lookup Tables'!$AI$6:$AM$102, 5, FALSE)*BP258), IF(VLOOKUP(IF(V258="Custom", V258, W258), 'Lookup Tables'!$AI$114:$AM$154, 5, FALSE)*BP258&gt;GE258, GE258, VLOOKUP(IF(V258="Custom", V258, W258), 'Lookup Tables'!$AI$114:$AM$154, 5, FALSE)*BP258)), "")), 2),"")</f>
        <v/>
      </c>
      <c r="GB258" s="254" t="str">
        <f t="array" ref="GB258">IF(B258="","",IF(OR(V258="Custom",V258="No Change"),0,IF(B258="Retrofit", INDEX('Lookup Tables'!$AH$6:$AQ$102,MATCH(1,('Lookup Tables'!$AH$6:$AH$102='Lighting Inventory'!V258)*('Lookup Tables'!$AI$6:$AI$102='Lighting Inventory'!W258),FALSE),10),INDEX('Lookup Tables'!$AH$114:$AQ$154,MATCH(1,('Lookup Tables'!$AH$114:$AH$154='Lighting Inventory'!V258)*('Lookup Tables'!$AI$114:$AI$154='Lighting Inventory'!W258),FALSE),10))))</f>
        <v/>
      </c>
      <c r="GC258" s="255" t="str">
        <f t="shared" si="550"/>
        <v/>
      </c>
      <c r="GD258" s="250" t="str">
        <f t="shared" si="551"/>
        <v/>
      </c>
      <c r="GE258" s="253" t="str">
        <f>IFERROR(IF(AND(AF258="", 'General Information'!$F$18="No"),"", IF(AF258="", ((GD258/$CD$266)*$CF$266)*0.5, AF258*S258*0.5)), "")</f>
        <v/>
      </c>
      <c r="GF258" s="255" t="str">
        <f>IF(AND('General Information'!$F$19="", 'General Information'!$F$18="Yes",AF258="",BW258="Y"), "Y", "N")</f>
        <v>N</v>
      </c>
      <c r="GG258" s="255" t="s">
        <v>2946</v>
      </c>
      <c r="GH258" s="255" t="str">
        <f>IFERROR(IF(B258="", "", VLOOKUP(J258, 'Fixture Identities'!$A$6:$N$908, 14, FALSE)), "")</f>
        <v/>
      </c>
      <c r="GI258" s="389" t="str">
        <f>IF(OR(B258="", V258="", W258=""), "", IF(AND(OR(M258='Lookup Tables'!$R$18, M258='Lookup Tables'!$R$19, M258='Lookup Tables'!$R$20, M258='Lookup Tables'!$R$21, M258='Lookup Tables'!$R$22), OR(AN258='Lookup Tables'!$R$17, AN258='Lookup Tables'!$R$17, AN258="")), "Y", "N"))</f>
        <v/>
      </c>
      <c r="GJ258" s="255" t="str">
        <f t="shared" si="552"/>
        <v/>
      </c>
      <c r="GK258" s="255" t="str">
        <f t="shared" si="553"/>
        <v/>
      </c>
      <c r="GL258" s="255" t="str">
        <f t="shared" si="554"/>
        <v/>
      </c>
      <c r="GM258" s="255" t="str">
        <f>IF(AN258="", "", IF(AND(IF(ISNA(VLOOKUP(AN258,'Lookup Tables'!$R$18:$R$22,1,FALSE)), "N", "Y")="Y", E258="Exterior"), "Y", "N"))</f>
        <v/>
      </c>
      <c r="GN258" s="395"/>
      <c r="GO258" s="428">
        <f t="shared" si="600"/>
        <v>0</v>
      </c>
      <c r="GP258" s="428">
        <f t="shared" si="603"/>
        <v>0</v>
      </c>
      <c r="GQ258" s="428">
        <f t="shared" si="601"/>
        <v>0</v>
      </c>
      <c r="GR258" s="428">
        <f t="shared" si="602"/>
        <v>0</v>
      </c>
    </row>
    <row r="259" spans="1:200" s="103" customFormat="1" ht="13.5" customHeight="1" x14ac:dyDescent="0.2">
      <c r="A259" s="272">
        <v>249</v>
      </c>
      <c r="B259" s="110"/>
      <c r="C259" s="110"/>
      <c r="D259" s="110"/>
      <c r="E259" s="110"/>
      <c r="F259" s="110"/>
      <c r="G259" s="110"/>
      <c r="H259" s="110"/>
      <c r="I259" s="29"/>
      <c r="J259" s="29"/>
      <c r="K259" s="272" t="str">
        <f>IFERROR(IF(OR(VLOOKUP(J259, 'Fixture Identities'!$A$6:$L$1023, 3, FALSE)="T12 Linear Fluorescent", VLOOKUP(J259, 'Fixture Identities'!$A$6:$L$1023, 3, FALSE)="T12 U-Tube Fluorescent"), VLOOKUP(VLOOKUP(J259, 'Fixture Identities'!$A$6:$L$1023, 11, FALSE), 'Fixture Identities'!$A$6:$L$1023, 10, FALSE), VLOOKUP(J259, 'Fixture Identities'!$A$6:$L$1023, 10, FALSE)), "")</f>
        <v/>
      </c>
      <c r="L259" s="270" t="str">
        <f t="shared" si="605"/>
        <v/>
      </c>
      <c r="M259" s="110"/>
      <c r="N259" s="110"/>
      <c r="O259" s="110"/>
      <c r="P259" s="272" t="str">
        <f>IFERROR(IF(OR(B259="Retrofit",B259=""),"",IF('Lighting Inventory'!E259="Exterior",VLOOKUP('Lighting Inventory'!N259,'Lookup Tables'!$B$83:$F$103,5,FALSE),IF(N259="Other - Please Estimate EFLH and CFs","Contact Prog. Rep.","ft^2"))), "")</f>
        <v/>
      </c>
      <c r="Q259" s="270" t="str">
        <f>IFERROR(IF(AND(B259="New Construction",E259="Interior",$F$5="Space-by-Space"),VLOOKUP('Lighting Inventory'!N259,'Lookup Tables'!$N$6:$O$97,2,FALSE),IF(AND(B259="New Construction",E259="Exterior"),VLOOKUP(N259,'Lookup Tables'!$B$83:$F$103,2,FALSE),IF(AND(B259="New Construction",'Lighting Inventory'!E259="Interior", $F$5="Building Area"),VLOOKUP(F259,'Lookup Tables'!$A$6:$J$59,10,FALSE),""))), "")</f>
        <v/>
      </c>
      <c r="R259" s="270" t="str">
        <f>IFERROR(IF(P259="Contact Prog. Rep.", "ERROR", IF(OR(B259="",B259="Retrofit"),"",IF(N259="Automated teller machines", ('Lookup Tables'!$A$82:$E$100+('Lighting Inventory'!O259-1)*'Lookup Tables'!$A$82:$E$100)/1000, (Q259*O259)/1000))), "")</f>
        <v/>
      </c>
      <c r="S259" s="595"/>
      <c r="T259" s="105" t="str">
        <f t="shared" si="555"/>
        <v/>
      </c>
      <c r="U259" s="105" t="str">
        <f>IF(S259="","",COUNT($S$11:S259))</f>
        <v/>
      </c>
      <c r="V259" s="111"/>
      <c r="W259" s="112"/>
      <c r="X259" s="105" t="str">
        <f t="shared" si="556"/>
        <v/>
      </c>
      <c r="Y259" s="105" t="str">
        <f t="array" ref="Y259">IF(AND(OR(W259="Freezer Case Lighting", W259="Refrigerated Case Lighting with Doors"), 'General Information'!$X$18="LCI"),'Lookup Tables'!$Y$34, IF(V259="Custom", VLOOKUP(W259, 'Fixture Identities'!$A$974:$M$1023, 13, FALSE), IF(V259="No Change",'Lookup Tables'!$Y$29,IF(OR(V259="",W259=""),"",IF(AND(S259=0,S259&lt;I259,B259="Retrofit"),'Lookup Tables'!$Y$25, IF(B259="Retrofit", INDEX('Lookup Tables'!$AH$6:$AP$102, MATCH(1, ('Lookup Tables'!$AH$6:$AH$102=V259)*('Lookup Tables'!$AI$6:$AI$102=W259), 0), IF('Lighting Inventory'!E259="Interior", 4, 5)), INDEX('Lookup Tables'!$AH$114:$AP$154, MATCH(1, ('Lookup Tables'!$AH$114:$AH$154=V259)*('Lookup Tables'!$AI$114:$AI$154=W259), 0), IF('Lighting Inventory'!E259="Interior", 4, 5))))))))</f>
        <v/>
      </c>
      <c r="Z259" s="105" t="str">
        <f>IFERROR(INDEX('Lookup Tables'!$AH$158:$AH$172,MATCH('Lighting Inventory'!Y259,'Lookup Tables'!$AI$158:$AI$172,0)),"")</f>
        <v/>
      </c>
      <c r="AA259" s="105" t="str">
        <f>IF(AP259&gt;0,INDEX('Lookup Tables'!$AK$158:$AK$172,MATCH('Lighting Inventory'!Y259,'Lookup Tables'!$AI$158:$AI$172,0)),'Lighting Inventory'!Y259)</f>
        <v/>
      </c>
      <c r="AB259" s="105" t="str">
        <f t="array" ref="AB259">IF(V259="Custom", "Custom", IF(V259="", "", IF(V259="Not DLC or Energy Star", "General", IF(B259="New Construction", INDEX('Lookup Tables'!$AH$114:$AP$154,MATCH(1,('Lookup Tables'!$AH$114:$AH$154='Lighting Inventory'!V259)*('Lookup Tables'!$AI$114:$AI$154='Lighting Inventory'!W259),FALSE),8), INDEX('Lookup Tables'!$AH$6:$AP$102,MATCH(1,('Lookup Tables'!$AH$6:$AH$102='Lighting Inventory'!V259)*('Lookup Tables'!$AI$6:$AI$102='Lighting Inventory'!W259),FALSE),8)))))</f>
        <v/>
      </c>
      <c r="AC259" s="272" t="str">
        <f>IF(W259="","",IF(V259="Custom",CONCATENATE("$",'Lookup Tables'!$AM$101," ",'Lookup Tables'!$AN$101),CONCATENATE("$",INDEX('Lookup Tables'!$AM$6:$AM$102,MATCH('Lighting Inventory'!W259,'Lookup Tables'!$AI$6:$AI$102,0))," ",INDEX('Lookup Tables'!$AN$6:$AN$102,MATCH('Lighting Inventory'!W259,'Lookup Tables'!$AI$6:$AI$102,0)))))</f>
        <v/>
      </c>
      <c r="AD259" s="72"/>
      <c r="AE259" s="29"/>
      <c r="AF259" s="379"/>
      <c r="AG259" s="370" t="str">
        <f t="shared" si="504"/>
        <v/>
      </c>
      <c r="AH259" s="370" t="str">
        <f t="shared" si="557"/>
        <v/>
      </c>
      <c r="AI259" s="29"/>
      <c r="AJ259" s="29"/>
      <c r="AK259" s="110"/>
      <c r="AL259" s="375" t="str">
        <f>IF(OR(B259="", V259="", W259=""), "", IF(V259="No Change", K259, IF(V259="Remove Fixture", 0, IF(V259="Custom",VLOOKUP(W259,'Fixture Identities'!$A$6:$K$1023,10,FALSE),IF(AE259="", "← ENTER POST WATTS", 'Lighting Inventory'!AE259)))))</f>
        <v/>
      </c>
      <c r="AM259" s="376" t="str">
        <f t="shared" si="505"/>
        <v/>
      </c>
      <c r="AN259" s="29"/>
      <c r="AO259" s="671"/>
      <c r="AP259" s="29"/>
      <c r="AQ259" s="29"/>
      <c r="AR259" s="29"/>
      <c r="AS259" s="272" t="str">
        <f t="shared" si="558"/>
        <v/>
      </c>
      <c r="AT259" s="270" t="str">
        <f t="shared" si="506"/>
        <v/>
      </c>
      <c r="AU259" s="88" t="str">
        <f t="shared" si="606"/>
        <v/>
      </c>
      <c r="AV259" s="29"/>
      <c r="AW259" s="73"/>
      <c r="AX259" s="271" t="str">
        <f>IF(AND(AV259="Applicant",OR(AW259="", AW259="Use Default Facility Hours")),"← Choose Schedule",IF(F259="","",IF(W259="LED Exit Signs",8760,IF(OR(AV259="Prescribed",AV259=""),VLOOKUP(F259,'Lookup Tables'!$A$6:$G$59,IF(AB259="General", 6, 3),FALSE),VLOOKUP(AW259,'Lookup Tables'!$S$36:$U$43,2,FALSE)))))</f>
        <v/>
      </c>
      <c r="AY259" s="88" t="str">
        <f t="shared" si="507"/>
        <v/>
      </c>
      <c r="AZ259" s="270" t="str">
        <f>IFERROR(IF(F259="", "", IF(W259="LED Exit Signs", 1, IF(AV259="Applicant",VLOOKUP(AW259, 'Lookup Tables'!$S$36:$U$43,3, FALSE), VLOOKUP('Lighting Inventory'!F259, 'Lookup Tables'!$A$6:$H$59, IF('Lighting Inventory'!AB259="General",7,4), FALSE)))), "")</f>
        <v/>
      </c>
      <c r="BA259" s="522" t="str">
        <f>IFERROR(IF(F259="", "", IF(W259="LED Exit Signs", 1, VLOOKUP('Lighting Inventory'!F259, 'Lookup Tables'!$A$6:$H$59, IF('Lighting Inventory'!AB259="General",8,5), FALSE))), "")</f>
        <v/>
      </c>
      <c r="BB259" s="270" t="str">
        <f>IF(G259="", "", IF(E259="Exterior", 0, IF('Lighting Inventory'!G259="Air Conditioned", VLOOKUP(H259, 'Lookup Tables'!$R$6:$T$13, 2, FALSE), VLOOKUP('Lighting Inventory'!G259, 'Lookup Tables'!$R$6:$T$13, 2, FALSE))))</f>
        <v/>
      </c>
      <c r="BC259" s="522" t="str">
        <f>IF(G259="", "", IF(E259="Exterior", 0, IF('Lighting Inventory'!G259="Air Conditioned", VLOOKUP(H259, 'Lookup Tables'!$R$6:$T$13, 3, FALSE), VLOOKUP('Lighting Inventory'!G259, 'Lookup Tables'!$R$6:$T$13, 3, FALSE))))</f>
        <v/>
      </c>
      <c r="BD259" s="270" t="str">
        <f>IF(G259="", "", IF(E259="Exterior", 0, IF('Lighting Inventory'!G259="Air Conditioned", VLOOKUP(H259, 'Lookup Tables'!$R$6:$U$13, 4, FALSE), VLOOKUP('Lighting Inventory'!G259, 'Lookup Tables'!$R$6:$U$13, 4, FALSE))))</f>
        <v/>
      </c>
      <c r="BE259" s="270" t="str">
        <f>IFERROR(IF(B259="", "",  IF(B259="New Construction", VLOOKUP(F259, 'Lookup Tables'!$A$6:$K$59, 11, FALSE),IF(OR(AN259="", AN259="Light Switch"), 0, IF(OR(M259="",M259="None",V259= "LED Exit Signs"),0,_xlfn.XLOOKUP(M259,'Lookup Tables'!$R$91:$R$101,'Lookup Tables'!$V$91:$V$101))))), "")</f>
        <v/>
      </c>
      <c r="BF259" s="270" t="str">
        <f>IF(AND(OR(AN259="Light Switch",AN259=""),B259="New Construction"), VLOOKUP(F259, 'Lookup Tables'!$A$6:$K$59, 11, FALSE),IF(AN259="","",IF(B259="","",IF(OR(AN259="None",AN259="",V259="LED Exit Signs",AN259="Exterior Controls Not Eligible"),0,_xlfn.XLOOKUP(AN259,'Lookup Tables'!$R$91:$R$101,'Lookup Tables'!$V$91:$V$101)))))</f>
        <v/>
      </c>
      <c r="BG259" s="88" t="str">
        <f t="shared" si="559"/>
        <v/>
      </c>
      <c r="BH259" s="88" t="str">
        <f t="shared" si="560"/>
        <v/>
      </c>
      <c r="BI259" s="558" t="str">
        <f t="shared" si="604"/>
        <v/>
      </c>
      <c r="BJ259" s="82" t="str">
        <f t="shared" si="561"/>
        <v/>
      </c>
      <c r="BK259" s="82" t="str">
        <f t="shared" si="562"/>
        <v/>
      </c>
      <c r="BL259" s="559" t="str">
        <f t="shared" si="563"/>
        <v/>
      </c>
      <c r="BM259" s="521" t="str">
        <f t="shared" si="508"/>
        <v/>
      </c>
      <c r="BN259" s="521" t="str">
        <f t="shared" si="509"/>
        <v/>
      </c>
      <c r="BO259" s="522" t="str">
        <f t="shared" si="510"/>
        <v/>
      </c>
      <c r="BP259" s="83" t="str">
        <f t="shared" si="564"/>
        <v/>
      </c>
      <c r="BQ259" s="84" t="str">
        <f t="shared" si="565"/>
        <v/>
      </c>
      <c r="BR259" s="184" t="str">
        <f>IFERROR(IF(B259="", "", IF(OR(VLOOKUP(J259, 'Fixture Identities'!$A$6:$L$1023, 3, FALSE)="T12 Linear Fluorescent",VLOOKUP(J259, 'Fixture Identities'!$A$6:$L$1023, 3, FALSE)="T12 U-Tube Fluorescent"), "Y", "N")), "N")</f>
        <v/>
      </c>
      <c r="BS259" s="184" t="str">
        <f t="array" ref="BS259">IFERROR(IF(OR(B259="", V259="", W259=""), "", IF(V259="Custom", "N", IF(OR(W259="Freezer Case Lighting", W259="Refrigerated Case Lighting with Doors"), BT259, IF(B259="Retrofit", INDEX('Lookup Tables'!$AH$6:$AT$102,MATCH(1,('Lookup Tables'!$AH$6:$AH$102=V259)*('Lookup Tables'!$AI$6:$AI$102=W259),FALSE),IF(VLOOKUP(J259, 'Fixture Identities'!$A$6:$B$1023, 2, FALSE)="Incandescent",12, 13)), INDEX('Lookup Tables'!$AH$114:$AS$154,MATCH(1,('Lookup Tables'!$AH$114:$AH$154=V259)*('Lookup Tables'!$AI$114:$AI$154=W259),FALSE),12))))), "N")</f>
        <v/>
      </c>
      <c r="BT259" s="184" t="str">
        <f>IF(J259="", "", IF(AND(OR(W259="Freezer case Lighting", W259="Refrigerated Case Lighting with Doors"),'General Information'!$X$18="LCI"), "N", IF(OR(VLOOKUP(J259, 'Fixture Identities'!$A$6:$B$1023, 2, FALSE)="T12 EPACT/EISA Baseline", VLOOKUP(J259, 'Fixture Identities'!$A$6:$B$1023, 2, FALSE)="Linear Fluorescent", VLOOKUP(J259, 'Fixture Identities'!$A$6:$B$1023, 2, FALSE)="U-Tube Fluorescent"), "Y", "N")))</f>
        <v/>
      </c>
      <c r="BU259" s="184" t="str">
        <f>IFERROR(IF(B259="", "", IF(VLOOKUP(J259, 'Fixture Identities'!$A$6:$B$1023, 2, FALSE)="Exit Sign", "Y", "N")), "N")</f>
        <v/>
      </c>
      <c r="BV259" s="184" t="str">
        <f>IF(V259="Exit Signs", IF(VLOOKUP(J259, 'Fixture Identities'!$A$6:$B$1023, 2, FALSE)="Exit Sign", "N", "Y"), "")</f>
        <v/>
      </c>
      <c r="BW259" s="184" t="str">
        <f t="array" ref="BW259">IFERROR(IF(B259="", "", IF(B259="New Construction", "N", INDEX('Lookup Tables'!$AH$6:$AU$102, MATCH(1, ('Lookup Tables'!$AH$6:$AH$102='Lighting Inventory'!V259)*('Lookup Tables'!$AI$6:$AI$102='Lighting Inventory'!W259), 0), 14))), "N")</f>
        <v/>
      </c>
      <c r="BX259" s="598" t="str">
        <f t="shared" si="566"/>
        <v/>
      </c>
      <c r="BY259" s="598" t="str">
        <f t="shared" si="567"/>
        <v/>
      </c>
      <c r="BZ259" s="598" t="str">
        <f t="shared" si="568"/>
        <v/>
      </c>
      <c r="CA259" s="598" t="str">
        <f t="shared" si="569"/>
        <v/>
      </c>
      <c r="CB259" s="269" t="str">
        <f t="shared" si="570"/>
        <v/>
      </c>
      <c r="CC259" s="517" t="str">
        <f t="shared" si="571"/>
        <v/>
      </c>
      <c r="CD259" s="565" t="str">
        <f t="shared" si="511"/>
        <v/>
      </c>
      <c r="CE259" s="368">
        <v>0</v>
      </c>
      <c r="CF259" s="368" t="str" cm="1">
        <f t="array" ref="CF259">IFERROR(IF(V259="Custom", "$0.1 per kWh", IF(B259="New Construction", CONCATENATE("$",INDEX('Lookup Tables'!$AH$114:$AN$154,MATCH(1,('Lookup Tables'!$AH$114:$AH$154='Lighting Inventory'!V259)*('Lookup Tables'!$AI$114:$AI$154='Lighting Inventory'!W259),FALSE),6)," ",INDEX('Lookup Tables'!$AH$114:$AN$154,MATCH(1,('Lookup Tables'!$AH$114:$AH$154='Lighting Inventory'!V259)*('Lookup Tables'!$AI$114:$AI$154='Lighting Inventory'!W259),FALSE),7)), IF(AND(BU259="N", V259="Exit Signs"), "$0.025 per kWh", CONCATENATE("$",INDEX('Lookup Tables'!$AH$6:$AN$102,MATCH(1,('Lookup Tables'!$AH$6:$AH$102='Lighting Inventory'!V259)*('Lookup Tables'!$AI$6:$AI$102='Lighting Inventory'!W259),FALSE),6)," ",INDEX('Lookup Tables'!$AH$6:$AN$102,MATCH(1,('Lookup Tables'!$AH$6:$AH$102='Lighting Inventory'!V259)*('Lookup Tables'!$AI$6:$AI$102='Lighting Inventory'!W259),FALSE),7))))), "")</f>
        <v/>
      </c>
      <c r="CG259" s="366"/>
      <c r="CH259" s="248" t="str">
        <f t="shared" si="512"/>
        <v/>
      </c>
      <c r="CI259" s="248" t="str">
        <f t="shared" si="513"/>
        <v>Select_IE</v>
      </c>
      <c r="CJ259" s="248" t="str">
        <f t="shared" si="514"/>
        <v/>
      </c>
      <c r="CK259" s="248" t="str">
        <f t="shared" si="515"/>
        <v/>
      </c>
      <c r="CL259" s="248" t="str">
        <f t="shared" si="516"/>
        <v/>
      </c>
      <c r="CM259" s="248" t="str">
        <f>IFERROR(IF(B259="", "", IF(B259="New Construction", VLOOKUP(V259, 'Lookup Tables'!$AF$114:$AG$120, 2, FALSE), VLOOKUP(V259, 'Lookup Tables'!$AD$6:$AE$25, 2, FALSE))), "")</f>
        <v/>
      </c>
      <c r="CN259" s="248" t="str">
        <f t="shared" si="517"/>
        <v/>
      </c>
      <c r="CO259" s="248" t="str">
        <f t="shared" si="518"/>
        <v/>
      </c>
      <c r="CP259" s="592" t="str">
        <f t="shared" si="519"/>
        <v/>
      </c>
      <c r="CQ259" s="248" t="str">
        <f t="shared" si="572"/>
        <v/>
      </c>
      <c r="CR259" s="100"/>
      <c r="CS259" s="250" t="str">
        <f t="shared" si="520"/>
        <v/>
      </c>
      <c r="CT259" s="250" t="str">
        <f t="shared" si="573"/>
        <v/>
      </c>
      <c r="CU259" s="250" t="str">
        <f t="shared" si="574"/>
        <v/>
      </c>
      <c r="CV259" s="250" t="str">
        <f t="shared" si="575"/>
        <v/>
      </c>
      <c r="CW259" s="250" t="str">
        <f t="shared" si="576"/>
        <v/>
      </c>
      <c r="CX259" s="250" t="str">
        <f t="shared" si="521"/>
        <v/>
      </c>
      <c r="CY259" s="250" t="str">
        <f t="shared" si="522"/>
        <v/>
      </c>
      <c r="CZ259" s="250" t="str">
        <f t="shared" si="523"/>
        <v/>
      </c>
      <c r="DA259" s="250" t="str">
        <f t="shared" si="524"/>
        <v/>
      </c>
      <c r="DB259" s="250" t="str">
        <f t="shared" si="525"/>
        <v/>
      </c>
      <c r="DC259" s="250" t="str">
        <f t="shared" si="526"/>
        <v/>
      </c>
      <c r="DD259" s="250" t="str">
        <f t="shared" si="527"/>
        <v/>
      </c>
      <c r="DE259" s="250" t="str">
        <f t="shared" si="528"/>
        <v/>
      </c>
      <c r="DF259" s="250" t="str">
        <f t="shared" si="529"/>
        <v/>
      </c>
      <c r="DG259" s="250" t="str">
        <f t="shared" si="530"/>
        <v/>
      </c>
      <c r="DH259" s="250" t="str">
        <f t="shared" si="531"/>
        <v/>
      </c>
      <c r="DI259" s="250" t="str">
        <f t="shared" si="532"/>
        <v/>
      </c>
      <c r="DJ259" s="250" t="str">
        <f t="shared" si="533"/>
        <v/>
      </c>
      <c r="DK259" s="250" t="str">
        <f t="shared" si="534"/>
        <v/>
      </c>
      <c r="DL259" s="250" t="str">
        <f t="shared" si="535"/>
        <v/>
      </c>
      <c r="DM259" s="250" t="str">
        <f>IF(CD259="ERROR", "ERROR", IF(AND(OR(Y259=$DM$6, Y259='Lookup Tables'!$AD$21, Y259='Lookup Tables'!$AD$22), E259="Interior"), BJ259, ""))</f>
        <v/>
      </c>
      <c r="DN259" s="250" t="str">
        <f>IF(CD259="ERROR", "ERROR", IF(AND(OR(Y259=$DM$6, Y259='Lookup Tables'!$AD$21, Y259='Lookup Tables'!$AD$22), E259="Exterior"), BJ259, ""))</f>
        <v/>
      </c>
      <c r="DO259" s="100"/>
      <c r="DP259" s="250" t="str">
        <f t="shared" si="536"/>
        <v/>
      </c>
      <c r="DQ259" s="250" t="str">
        <f t="shared" si="577"/>
        <v/>
      </c>
      <c r="DR259" s="250" t="str">
        <f t="shared" si="578"/>
        <v/>
      </c>
      <c r="DS259" s="250" t="str">
        <f t="shared" si="579"/>
        <v/>
      </c>
      <c r="DT259" s="250" t="str">
        <f t="shared" si="580"/>
        <v/>
      </c>
      <c r="DU259" s="250" t="str">
        <f t="shared" si="537"/>
        <v/>
      </c>
      <c r="DV259" s="250" t="str">
        <f t="shared" si="538"/>
        <v/>
      </c>
      <c r="DW259" s="250" t="str">
        <f t="shared" si="539"/>
        <v/>
      </c>
      <c r="DX259" s="250" t="str">
        <f t="shared" si="540"/>
        <v/>
      </c>
      <c r="DY259" s="250" t="str">
        <f t="shared" si="541"/>
        <v/>
      </c>
      <c r="DZ259" s="250" t="str">
        <f t="shared" si="542"/>
        <v/>
      </c>
      <c r="EA259" s="250" t="str">
        <f t="shared" si="543"/>
        <v/>
      </c>
      <c r="EB259" s="250" t="str">
        <f t="shared" si="581"/>
        <v/>
      </c>
      <c r="EC259" s="250" t="str">
        <f t="shared" si="544"/>
        <v/>
      </c>
      <c r="ED259" s="250" t="str">
        <f t="shared" si="545"/>
        <v/>
      </c>
      <c r="EE259" s="250" t="str">
        <f t="shared" si="546"/>
        <v/>
      </c>
      <c r="EF259" s="250" t="str">
        <f t="shared" si="547"/>
        <v/>
      </c>
      <c r="EG259" s="250" t="str">
        <f t="shared" si="548"/>
        <v/>
      </c>
      <c r="EH259" s="250" t="str">
        <f>IF(CD259="ERROR", "ERROR", IF(AND(OR($EH$6=Y259, Y259='Lookup Tables'!$AD$21, Y259='Lookup Tables'!$AD$22),E259="Interior"), SUM(BP259:BP259), ""))</f>
        <v/>
      </c>
      <c r="EI259" s="250" t="str">
        <f>IF(CD259="ERROR", "ERROR", IF(AND(OR($EH$6=Y259, Y259='Lookup Tables'!$AD$21, Y259='Lookup Tables'!$AD$22),E259="Exterior"), SUM(BP259:BP259), ""))</f>
        <v/>
      </c>
      <c r="EJ259" s="109"/>
      <c r="EK259" s="485" t="str">
        <f t="shared" si="549"/>
        <v/>
      </c>
      <c r="EL259" s="252" t="str">
        <f t="shared" si="582"/>
        <v/>
      </c>
      <c r="EM259" s="252" t="str">
        <f t="shared" si="583"/>
        <v/>
      </c>
      <c r="EN259" s="252" t="str">
        <f t="shared" si="584"/>
        <v/>
      </c>
      <c r="EO259" s="252" t="str">
        <f t="shared" si="585"/>
        <v/>
      </c>
      <c r="EP259" s="252" t="str">
        <f t="shared" si="586"/>
        <v/>
      </c>
      <c r="EQ259" s="252" t="str">
        <f t="shared" si="587"/>
        <v/>
      </c>
      <c r="ER259" s="252" t="str">
        <f t="shared" si="588"/>
        <v/>
      </c>
      <c r="ES259" s="252" t="str">
        <f t="shared" si="589"/>
        <v/>
      </c>
      <c r="ET259" s="252" t="str">
        <f t="shared" si="590"/>
        <v/>
      </c>
      <c r="EU259" s="252" t="str">
        <f t="shared" si="591"/>
        <v/>
      </c>
      <c r="EV259" s="252" t="str">
        <f t="shared" si="592"/>
        <v/>
      </c>
      <c r="EW259" s="252" t="str">
        <f t="shared" si="593"/>
        <v/>
      </c>
      <c r="EX259" s="252" t="str">
        <f t="shared" si="594"/>
        <v/>
      </c>
      <c r="EY259" s="252" t="str">
        <f t="shared" si="595"/>
        <v/>
      </c>
      <c r="EZ259" s="252" t="str">
        <f t="shared" si="596"/>
        <v/>
      </c>
      <c r="FA259" s="252" t="str">
        <f t="shared" si="597"/>
        <v/>
      </c>
      <c r="FB259" s="252" t="str">
        <f t="shared" si="598"/>
        <v/>
      </c>
      <c r="FC259" s="252" t="str">
        <f>IF(CD259="ERROR", "ERROR", IF(OR(V259="No Change", V259="Not DLC or Energy Star"), "", IF(AND(OR($FC$6=Y259,Y259='Lookup Tables'!$AD$21, Y259='Lookup Tables'!$AD$22),E259="Interior"), S259, "")))</f>
        <v/>
      </c>
      <c r="FD259" s="252" t="str">
        <f t="shared" si="599"/>
        <v/>
      </c>
      <c r="FE259" s="101"/>
      <c r="FF259" s="579" t="str" cm="1">
        <f t="array" ref="FF259">IFERROR(IF(OR(BQ259&lt;=0,AQ259&lt;20,AND(V259="Exit Signs",AN259&gt;0)),"",IF(AND(AQ259&gt;=20,AN259='Lookup Tables'!$R$101),'Lookup Tables'!$U$101*BQ259,AP259*LOOKUP(2,1/((AN259='Lookup Tables'!$R$91:$R$111)*(AQ259&gt;='Lookup Tables'!$S$91:$S$111)*(AQ259&lt;='Lookup Tables'!$T$91:$T$111)),'Lookup Tables'!$U$91:$U$111))),"")</f>
        <v/>
      </c>
      <c r="FG259" s="579"/>
      <c r="FH259" s="579"/>
      <c r="FI259" s="253" t="str">
        <f>IFERROR(ROUND(IF(CD259="ERROR", "ERROR", IF(AND($FI$7=X259,E259="Interior"),VLOOKUP(W259, 'Lookup Tables'!$AI$6:$AM$102, 5, FALSE)*BP259, "")), 2), "")</f>
        <v/>
      </c>
      <c r="FJ259" s="253" t="str">
        <f>IFERROR(ROUND(IF(CD259="ERROR", "ERROR", IF(AND($FI$7=X259,E259="Exterior"),VLOOKUP(W259, 'Lookup Tables'!$AI$6:$AM$102, 5, FALSE)*BP259, "")), 2), "")</f>
        <v/>
      </c>
      <c r="FK259" s="253" t="str">
        <f>IFERROR(ROUND(IF(CD259="ERROR", "ERROR", IF(AND($FK$7=X259,E259="Interior"),VLOOKUP(W259, 'Lookup Tables'!$AI$6:$AM$102, 5, FALSE)*BP259, "")), 2), "")</f>
        <v/>
      </c>
      <c r="FL259" s="253" t="str">
        <f>IFERROR(ROUND(IF(CD259="ERROR", "ERROR", IF(AND($FK$7=X259,E259="Exterior"),VLOOKUP(W259, 'Lookup Tables'!$AI$6:$AM$102, 5, FALSE)*BP259, "")), 2), "")</f>
        <v/>
      </c>
      <c r="FM259" s="253" t="str">
        <f>IFERROR(ROUND(IF(CD259="ERROR", "ERROR", IF(AND($FM$6=Y259,E259="Interior"), IF(GB259=0, VLOOKUP(W259, 'Lookup Tables'!$AI$6:$AM$102, 5, FALSE)*BP259, IF(VLOOKUP(W259, 'Lookup Tables'!$AI$6:$AM$102, 5, FALSE)*BP259&gt;GB259*'Lighting Inventory'!S259, GB259*'Lighting Inventory'!S259,VLOOKUP(W259, 'Lookup Tables'!$AI$6:$AM$102, 5, FALSE)*BP259)), "")), 2), "")</f>
        <v/>
      </c>
      <c r="FN259" s="253" t="str">
        <f>IFERROR(ROUND(IF(CD259="ERROR", "ERROR", IF(AND($FM$6=Y259,E259="Exterior"), IF(GB259=0, VLOOKUP(W259, 'Lookup Tables'!$AI$6:$AM$102, 5, FALSE)*BP259, IF(VLOOKUP(W259, 'Lookup Tables'!$AI$6:$AM$102, 5, FALSE)*BP259&gt;GB259*'Lighting Inventory'!S259, GB259*'Lighting Inventory'!S259,VLOOKUP(W259, 'Lookup Tables'!$AI$6:$AM$102, 5, FALSE)*BP259)), "")), 2), "")</f>
        <v/>
      </c>
      <c r="FO259" s="253" t="str">
        <f>IFERROR(ROUND(IF(CD259="ERROR", "ERROR", IF(AND($FO$6=Y259,E259="Interior"),VLOOKUP(W259, 'Lookup Tables'!$AI$6:$AM$102, 5, FALSE)*'Lighting Inventory'!AI259, "")), 2), "")</f>
        <v/>
      </c>
      <c r="FP259" s="253" t="str">
        <f>IFERROR(ROUND(IF(CD259="ERROR", "ERROR", IF(AND($FO$6=Y259,E259="Exterior"),VLOOKUP(W259, 'Lookup Tables'!$AI$6:$AM$102, 5, FALSE)*'Lighting Inventory'!AI259, "")), 2), "")</f>
        <v/>
      </c>
      <c r="FQ259" s="253" t="str">
        <f>IFERROR(ROUND(IF(CD259="ERROR", "ERROR", IF(AND($FQ$6=Y259,E259="Interior", BU259="Y"), VLOOKUP('Lighting Inventory'!W259, 'Lookup Tables'!$AI$6:$AM$102, 5, FALSE)*'Lighting Inventory'!S259, IF(AND($FQ$7=Y259,E259="Interior", BU259="N"), 0.025*CD259, ""))), 2), "")</f>
        <v/>
      </c>
      <c r="FR259" s="253" t="str">
        <f>IFERROR(ROUND(IF(CD259="ERROR", "ERROR", IF(AND($FQ$6=Y259,E259="Exterior"), VLOOKUP('Lighting Inventory'!W259, 'Lookup Tables'!$AI$6:$AM$102, 5, FALSE)*'Lighting Inventory'!S259, "")), 2), "")</f>
        <v/>
      </c>
      <c r="FS259" s="253" t="str">
        <f>IFERROR(ROUND(IF(CD259="ERROR", "ERROR", IF(AND($FS$6=Y259,E259="Exterior"), IF(GB259=0, VLOOKUP(W259, 'Lookup Tables'!$AI$6:$AM$102, 5, FALSE)*BP259, IF(VLOOKUP(W259, 'Lookup Tables'!$AI$6:$AM$102, 5, FALSE)*BP259&gt;GB259*'Lighting Inventory'!S259, GB259*'Lighting Inventory'!S259,VLOOKUP(W259, 'Lookup Tables'!$AI$6:$AM$102, 5, FALSE)*BP259)), "")), 2), "")</f>
        <v/>
      </c>
      <c r="FT259" s="253" t="str">
        <f>IFERROR(ROUND(IF(CD259="ERROR", "ERROR", IF(AND($FT$6=Y259,E259="Interior"), IF(GB259=0, VLOOKUP(W259, 'Lookup Tables'!$AI$6:$AM$102, 5, FALSE)*BP259, IF(VLOOKUP(W259, 'Lookup Tables'!$AI$6:$AM$102, 5, FALSE)*BP259&gt;GB259*'Lighting Inventory'!S259, GB259*'Lighting Inventory'!S259,VLOOKUP(W259, 'Lookup Tables'!$AI$6:$AM$102, 5, FALSE)*BP259)), "")), 2), "")</f>
        <v/>
      </c>
      <c r="FU259" s="253" t="str">
        <f>IFERROR(ROUND(IF(CD259="ERROR", "ERROR", IF(AND(Y259=$FU$6, E259="Interior"), IF(BS259="N", 'Lookup Tables'!$AM$101*BP259, VLOOKUP(W259, 'Lookup Tables'!$AI$6:$AM$102, 5, FALSE)*S259*AD259), "")), 2), "")</f>
        <v/>
      </c>
      <c r="FV259" s="253" t="str">
        <f>IFERROR(ROUND(IF(CD259="ERROR", "ERROR", IF(AND(Y259=$FU$6, E259="Exterior"), IF(BS259="N", 'Lookup Tables'!$AM$101*BP259, VLOOKUP(W259, 'Lookup Tables'!$AI$6:$AM$102, 5, FALSE)*S259*AD259), "")), 2), "")</f>
        <v/>
      </c>
      <c r="FW259" s="253" t="str">
        <f>IFERROR(ROUND(IF(CD259="ERROR", "ERROR", IF($FW$6=Y259, IF(BS259="N", 'Lookup Tables'!$AM$101*BP259, MIN((VLOOKUP(W259, 'Lookup Tables'!$AI$6:$AM$102, 5, FALSE)*BP259),GB259*AJ259)), "")), 2), "")</f>
        <v/>
      </c>
      <c r="FX259" s="253" t="str">
        <f>IFERROR(ROUND(IF(CD259="ERROR", "ERROR", IF(AND($FX$6=Y259, E259="Interior"), IF(VLOOKUP(W259, 'Lookup Tables'!$AI$6:$AM$102, 5, FALSE)*BP259&gt;'Lookup Tables'!$AQ$97*'Lighting Inventory'!S259,'Lighting Inventory'!S259*'Lookup Tables'!$AQ$97,VLOOKUP(W259, 'Lookup Tables'!$AI$6:$AM$102, 5, FALSE)*BP259), "")), 2), "")</f>
        <v/>
      </c>
      <c r="FY259" s="253" t="str">
        <f>IFERROR(ROUND(IF(CD259="ERROR", "ERROR", IF(AND($FX$6=Y259, E259="Exterior"), IF(VLOOKUP(W259, 'Lookup Tables'!$AI$6:$AM$102, 5, FALSE)*BP259&gt;'Lookup Tables'!$AQ$97*'Lighting Inventory'!S259,'Lighting Inventory'!S259*'Lookup Tables'!$AQ$97,VLOOKUP(W259, 'Lookup Tables'!$AI$6:$AM$102, 5, FALSE)*BP259), "")), 2), "")</f>
        <v/>
      </c>
      <c r="FZ259" s="253" t="str">
        <f>IFERROR(ROUND(IF(CD259="ERROR", "ERROR", IF(AND($FZ$6=Y259, E259="Interior"), IF(AND(OR(W259="Refrigerated Case Lighting with Doors", W259="Freezer Case Lighting"),Y259="Custom - Process Improvement"),CD259*'Lookup Tables'!$AM$101, IF(B259="Retrofit", IF(VLOOKUP(IF(V259="Custom", V259, W259), 'Lookup Tables'!$AI$6:$AM$102, 5, FALSE)*BP259&gt;GE259, GE259, VLOOKUP(IF(V259="Custom", V259, W259), 'Lookup Tables'!$AI$6:$AM$102, 5, FALSE)*BP259), IF(VLOOKUP(IF(V259="Custom", V259, W259), 'Lookup Tables'!$AI$114:$AM$154, 5, FALSE)*BP259&gt;GE259, GE259, VLOOKUP(IF(V259="Custom", V259, W259), 'Lookup Tables'!$AI$114:$AM$154, 5, FALSE)*BP259))), "")), 2),"")</f>
        <v/>
      </c>
      <c r="GA259" s="253" t="str">
        <f>IFERROR(ROUND(IF(CD259="ERROR", "ERROR", IF(AND($FZ$6=Y259, E259="Exterior"), IF(B259="Retrofit", IF(VLOOKUP(IF(V259="Custom", V259, W259), 'Lookup Tables'!$AI$6:$AM$102, 5, FALSE)*BP259&gt;GE259, GE259, VLOOKUP(IF(V259="Custom", V259, W259), 'Lookup Tables'!$AI$6:$AM$102, 5, FALSE)*BP259), IF(VLOOKUP(IF(V259="Custom", V259, W259), 'Lookup Tables'!$AI$114:$AM$154, 5, FALSE)*BP259&gt;GE259, GE259, VLOOKUP(IF(V259="Custom", V259, W259), 'Lookup Tables'!$AI$114:$AM$154, 5, FALSE)*BP259)), "")), 2),"")</f>
        <v/>
      </c>
      <c r="GB259" s="254" t="str">
        <f t="array" ref="GB259">IF(B259="","",IF(OR(V259="Custom",V259="No Change"),0,IF(B259="Retrofit", INDEX('Lookup Tables'!$AH$6:$AQ$102,MATCH(1,('Lookup Tables'!$AH$6:$AH$102='Lighting Inventory'!V259)*('Lookup Tables'!$AI$6:$AI$102='Lighting Inventory'!W259),FALSE),10),INDEX('Lookup Tables'!$AH$114:$AQ$154,MATCH(1,('Lookup Tables'!$AH$114:$AH$154='Lighting Inventory'!V259)*('Lookup Tables'!$AI$114:$AI$154='Lighting Inventory'!W259),FALSE),10))))</f>
        <v/>
      </c>
      <c r="GC259" s="255" t="str">
        <f t="shared" si="550"/>
        <v/>
      </c>
      <c r="GD259" s="250" t="str">
        <f t="shared" si="551"/>
        <v/>
      </c>
      <c r="GE259" s="253" t="str">
        <f>IFERROR(IF(AND(AF259="", 'General Information'!$F$18="No"),"", IF(AF259="", ((GD259/$CD$266)*$CF$266)*0.5, AF259*S259*0.5)), "")</f>
        <v/>
      </c>
      <c r="GF259" s="255" t="str">
        <f>IF(AND('General Information'!$F$19="", 'General Information'!$F$18="Yes",AF259="",BW259="Y"), "Y", "N")</f>
        <v>N</v>
      </c>
      <c r="GG259" s="255" t="s">
        <v>2946</v>
      </c>
      <c r="GH259" s="255" t="str">
        <f>IFERROR(IF(B259="", "", VLOOKUP(J259, 'Fixture Identities'!$A$6:$N$908, 14, FALSE)), "")</f>
        <v/>
      </c>
      <c r="GI259" s="389" t="str">
        <f>IF(OR(B259="", V259="", W259=""), "", IF(AND(OR(M259='Lookup Tables'!$R$18, M259='Lookup Tables'!$R$19, M259='Lookup Tables'!$R$20, M259='Lookup Tables'!$R$21, M259='Lookup Tables'!$R$22), OR(AN259='Lookup Tables'!$R$17, AN259='Lookup Tables'!$R$17, AN259="")), "Y", "N"))</f>
        <v/>
      </c>
      <c r="GJ259" s="255" t="str">
        <f t="shared" si="552"/>
        <v/>
      </c>
      <c r="GK259" s="255" t="str">
        <f t="shared" si="553"/>
        <v/>
      </c>
      <c r="GL259" s="255" t="str">
        <f t="shared" si="554"/>
        <v/>
      </c>
      <c r="GM259" s="255" t="str">
        <f>IF(AN259="", "", IF(AND(IF(ISNA(VLOOKUP(AN259,'Lookup Tables'!$R$18:$R$22,1,FALSE)), "N", "Y")="Y", E259="Exterior"), "Y", "N"))</f>
        <v/>
      </c>
      <c r="GN259" s="395"/>
      <c r="GO259" s="428">
        <f t="shared" si="600"/>
        <v>0</v>
      </c>
      <c r="GP259" s="428">
        <f t="shared" si="603"/>
        <v>0</v>
      </c>
      <c r="GQ259" s="428">
        <f t="shared" si="601"/>
        <v>0</v>
      </c>
      <c r="GR259" s="428">
        <f t="shared" si="602"/>
        <v>0</v>
      </c>
    </row>
    <row r="260" spans="1:200" s="103" customFormat="1" ht="13.5" customHeight="1" thickBot="1" x14ac:dyDescent="0.25">
      <c r="A260" s="352">
        <v>250</v>
      </c>
      <c r="B260" s="351"/>
      <c r="C260" s="351"/>
      <c r="D260" s="351"/>
      <c r="E260" s="351"/>
      <c r="F260" s="351"/>
      <c r="G260" s="351"/>
      <c r="H260" s="351"/>
      <c r="I260" s="347"/>
      <c r="J260" s="29"/>
      <c r="K260" s="352" t="str">
        <f>IFERROR(IF(OR(VLOOKUP(J260, 'Fixture Identities'!$A$6:$L$1023, 3, FALSE)="T12 Linear Fluorescent", VLOOKUP(J260, 'Fixture Identities'!$A$6:$L$1023, 3, FALSE)="T12 U-Tube Fluorescent"), VLOOKUP(VLOOKUP(J260, 'Fixture Identities'!$A$6:$L$1023, 11, FALSE), 'Fixture Identities'!$A$6:$L$1023, 10, FALSE), VLOOKUP(J260, 'Fixture Identities'!$A$6:$L$1023, 10, FALSE)), "")</f>
        <v/>
      </c>
      <c r="L260" s="350" t="str">
        <f t="shared" si="605"/>
        <v/>
      </c>
      <c r="M260" s="110"/>
      <c r="N260" s="351"/>
      <c r="O260" s="351"/>
      <c r="P260" s="352" t="str">
        <f>IFERROR(IF(OR(B260="Retrofit",B260=""),"",IF('Lighting Inventory'!E260="Exterior",VLOOKUP('Lighting Inventory'!N260,'Lookup Tables'!$B$83:$F$103,5,FALSE),IF(N260="Other - Please Estimate EFLH and CFs","Contact Prog. Rep.","ft^2"))), "")</f>
        <v/>
      </c>
      <c r="Q260" s="350" t="str">
        <f>IFERROR(IF(AND(B260="New Construction",E260="Interior",$F$5="Space-by-Space"),VLOOKUP('Lighting Inventory'!N260,'Lookup Tables'!$N$6:$O$97,2,FALSE),IF(AND(B260="New Construction",E260="Exterior"),VLOOKUP(N260,'Lookup Tables'!$B$83:$F$103,2,FALSE),IF(AND(B260="New Construction",'Lighting Inventory'!E260="Interior", $F$5="Building Area"),VLOOKUP(F260,'Lookup Tables'!$A$6:$J$59,10,FALSE),""))), "")</f>
        <v/>
      </c>
      <c r="R260" s="350" t="str">
        <f>IFERROR(IF(P260="Contact Prog. Rep.", "ERROR", IF(OR(B260="",B260="Retrofit"),"",IF(N260="Automated teller machines", ('Lookup Tables'!$A$82:$E$100+('Lighting Inventory'!O260-1)*'Lookup Tables'!$A$82:$E$100)/1000, (Q260*O260)/1000))), "")</f>
        <v/>
      </c>
      <c r="S260" s="595"/>
      <c r="T260" s="105" t="str">
        <f t="shared" si="555"/>
        <v/>
      </c>
      <c r="U260" s="105" t="str">
        <f>IF(S260="","",COUNT($S$11:S260))</f>
        <v/>
      </c>
      <c r="V260" s="111"/>
      <c r="W260" s="112"/>
      <c r="X260" s="105" t="str">
        <f t="shared" si="556"/>
        <v/>
      </c>
      <c r="Y260" s="105" t="str">
        <f t="array" ref="Y260">IF(AND(OR(W260="Freezer Case Lighting", W260="Refrigerated Case Lighting with Doors"), 'General Information'!$X$18="LCI"),'Lookup Tables'!$Y$34, IF(V260="Custom", VLOOKUP(W260, 'Fixture Identities'!$A$974:$M$1023, 13, FALSE), IF(V260="No Change",'Lookup Tables'!$Y$29,IF(OR(V260="",W260=""),"",IF(AND(S260=0,S260&lt;I260,B260="Retrofit"),'Lookup Tables'!$Y$25, IF(B260="Retrofit", INDEX('Lookup Tables'!$AH$6:$AP$102, MATCH(1, ('Lookup Tables'!$AH$6:$AH$102=V260)*('Lookup Tables'!$AI$6:$AI$102=W260), 0), IF('Lighting Inventory'!E260="Interior", 4, 5)), INDEX('Lookup Tables'!$AH$114:$AP$154, MATCH(1, ('Lookup Tables'!$AH$114:$AH$154=V260)*('Lookup Tables'!$AI$114:$AI$154=W260), 0), IF('Lighting Inventory'!E260="Interior", 4, 5))))))))</f>
        <v/>
      </c>
      <c r="Z260" s="105" t="str">
        <f>IFERROR(INDEX('Lookup Tables'!$AH$158:$AH$172,MATCH('Lighting Inventory'!Y260,'Lookup Tables'!$AI$158:$AI$172,0)),"")</f>
        <v/>
      </c>
      <c r="AA260" s="105" t="str">
        <f>IF(AP260&gt;0,INDEX('Lookup Tables'!$AK$158:$AK$172,MATCH('Lighting Inventory'!Y260,'Lookup Tables'!$AI$158:$AI$172,0)),'Lighting Inventory'!Y260)</f>
        <v/>
      </c>
      <c r="AB260" s="372" t="str">
        <f t="array" ref="AB260">IF(V260="Custom", "Custom", IF(V260="", "", IF(V260="Not DLC or Energy Star", "General", IF(B260="New Construction", INDEX('Lookup Tables'!$AH$114:$AP$154,MATCH(1,('Lookup Tables'!$AH$114:$AH$154='Lighting Inventory'!V260)*('Lookup Tables'!$AI$114:$AI$154='Lighting Inventory'!W260),FALSE),8), INDEX('Lookup Tables'!$AH$6:$AP$102,MATCH(1,('Lookup Tables'!$AH$6:$AH$102='Lighting Inventory'!V260)*('Lookup Tables'!$AI$6:$AI$102='Lighting Inventory'!W260),FALSE),8)))))</f>
        <v/>
      </c>
      <c r="AC260" s="272" t="str">
        <f>IF(W260="","",IF(V260="Custom",CONCATENATE("$",'Lookup Tables'!$AM$101," ",'Lookup Tables'!$AN$101),CONCATENATE("$",INDEX('Lookup Tables'!$AM$6:$AM$102,MATCH('Lighting Inventory'!W260,'Lookup Tables'!$AI$6:$AI$102,0))," ",INDEX('Lookup Tables'!$AN$6:$AN$102,MATCH('Lighting Inventory'!W260,'Lookup Tables'!$AI$6:$AI$102,0)))))</f>
        <v/>
      </c>
      <c r="AD260" s="392"/>
      <c r="AE260" s="347"/>
      <c r="AF260" s="380"/>
      <c r="AG260" s="371" t="str">
        <f t="shared" si="504"/>
        <v/>
      </c>
      <c r="AH260" s="370" t="str">
        <f t="shared" si="557"/>
        <v/>
      </c>
      <c r="AI260" s="347"/>
      <c r="AJ260" s="347"/>
      <c r="AK260" s="351"/>
      <c r="AL260" s="377" t="str">
        <f>IF(OR(B260="", V260="", W260=""), "", IF(V260="No Change", K260, IF(V260="Remove Fixture", 0, IF(V260="Custom",VLOOKUP(W260,'Fixture Identities'!$A$6:$K$1023,10,FALSE),IF(AE260="", "← ENTER POST WATTS", 'Lighting Inventory'!AE260)))))</f>
        <v/>
      </c>
      <c r="AM260" s="388" t="str">
        <f t="shared" si="505"/>
        <v/>
      </c>
      <c r="AN260" s="29"/>
      <c r="AO260" s="671"/>
      <c r="AP260" s="29"/>
      <c r="AQ260" s="484"/>
      <c r="AR260" s="484"/>
      <c r="AS260" s="272" t="str">
        <f t="shared" si="558"/>
        <v/>
      </c>
      <c r="AT260" s="350" t="str">
        <f t="shared" si="506"/>
        <v/>
      </c>
      <c r="AU260" s="346" t="str">
        <f t="shared" si="606"/>
        <v/>
      </c>
      <c r="AV260" s="347"/>
      <c r="AW260" s="348"/>
      <c r="AX260" s="349" t="str">
        <f>IF(AND(AV260="Applicant",OR(AW260="", AW260="Use Default Facility Hours")),"← Choose Schedule",IF(F260="","",IF(W260="LED Exit Signs",8760,IF(OR(AV260="Prescribed",AV260=""),VLOOKUP(F260,'Lookup Tables'!$A$6:$G$59,IF(AB260="General", 6, 3),FALSE),VLOOKUP(AW260,'Lookup Tables'!$S$36:$U$43,2,FALSE)))))</f>
        <v/>
      </c>
      <c r="AY260" s="346" t="str">
        <f t="shared" si="507"/>
        <v/>
      </c>
      <c r="AZ260" s="270" t="str">
        <f>IFERROR(IF(F260="", "", IF(W260="LED Exit Signs", 1, IF(AV260="Applicant",VLOOKUP(AW260, 'Lookup Tables'!$S$36:$U$43,3, FALSE), VLOOKUP('Lighting Inventory'!F260, 'Lookup Tables'!$A$6:$H$59, IF('Lighting Inventory'!AB260="General",7,4), FALSE)))), "")</f>
        <v/>
      </c>
      <c r="BA260" s="522" t="str">
        <f>IFERROR(IF(F260="", "", IF(W260="LED Exit Signs", 1, VLOOKUP('Lighting Inventory'!F260, 'Lookup Tables'!$A$6:$H$59, IF('Lighting Inventory'!AB260="General",8,5), FALSE))), "")</f>
        <v/>
      </c>
      <c r="BB260" s="350" t="str">
        <f>IF(G260="", "", IF(E260="Exterior", 0, IF('Lighting Inventory'!G260="Air Conditioned", VLOOKUP(H260, 'Lookup Tables'!$R$6:$T$13, 2, FALSE), VLOOKUP('Lighting Inventory'!G260, 'Lookup Tables'!$R$6:$T$13, 2, FALSE))))</f>
        <v/>
      </c>
      <c r="BC260" s="524" t="str">
        <f>IF(G260="", "", IF(E260="Exterior", 0, IF('Lighting Inventory'!G260="Air Conditioned", VLOOKUP(H260, 'Lookup Tables'!$R$6:$T$13, 3, FALSE), VLOOKUP('Lighting Inventory'!G260, 'Lookup Tables'!$R$6:$T$13, 3, FALSE))))</f>
        <v/>
      </c>
      <c r="BD260" s="350" t="str">
        <f>IF(G260="", "", IF(E260="Exterior", 0, IF('Lighting Inventory'!G260="Air Conditioned", VLOOKUP(H260, 'Lookup Tables'!$R$6:$U$13, 4, FALSE), VLOOKUP('Lighting Inventory'!G260, 'Lookup Tables'!$R$6:$U$13, 4, FALSE))))</f>
        <v/>
      </c>
      <c r="BE260" s="270" t="str">
        <f>IFERROR(IF(B260="", "",  IF(B260="New Construction", VLOOKUP(F260, 'Lookup Tables'!$A$6:$K$59, 11, FALSE),IF(OR(AN260="", AN260="Light Switch"), 0, IF(OR(M260="",M260="None",V260= "LED Exit Signs"),0,_xlfn.XLOOKUP(M260,'Lookup Tables'!$R$91:$R$101,'Lookup Tables'!$V$91:$V$101))))), "")</f>
        <v/>
      </c>
      <c r="BF260" s="270" t="str">
        <f>IF(AND(OR(AN260="Light Switch",AN260=""),B260="New Construction"), VLOOKUP(F260, 'Lookup Tables'!$A$6:$K$59, 11, FALSE),IF(AN260="","",IF(B260="","",IF(OR(AN260="None",AN260="",V260="LED Exit Signs",AN260="Exterior Controls Not Eligible"),0,_xlfn.XLOOKUP(AN260,'Lookup Tables'!$R$91:$R$101,'Lookup Tables'!$V$91:$V$101)))))</f>
        <v/>
      </c>
      <c r="BG260" s="88" t="str">
        <f t="shared" si="559"/>
        <v/>
      </c>
      <c r="BH260" s="88" t="str">
        <f t="shared" si="560"/>
        <v/>
      </c>
      <c r="BI260" s="558" t="str">
        <f t="shared" si="604"/>
        <v/>
      </c>
      <c r="BJ260" s="82" t="str">
        <f t="shared" si="561"/>
        <v/>
      </c>
      <c r="BK260" s="82" t="str">
        <f t="shared" si="562"/>
        <v/>
      </c>
      <c r="BL260" s="559" t="str">
        <f t="shared" si="563"/>
        <v/>
      </c>
      <c r="BM260" s="523" t="str">
        <f t="shared" si="508"/>
        <v/>
      </c>
      <c r="BN260" s="523" t="str">
        <f t="shared" si="509"/>
        <v/>
      </c>
      <c r="BO260" s="524" t="str">
        <f t="shared" si="510"/>
        <v/>
      </c>
      <c r="BP260" s="83" t="str">
        <f t="shared" si="564"/>
        <v/>
      </c>
      <c r="BQ260" s="84" t="str">
        <f t="shared" si="565"/>
        <v/>
      </c>
      <c r="BR260" s="397" t="str">
        <f>IFERROR(IF(B260="", "", IF(OR(VLOOKUP(J260, 'Fixture Identities'!$A$6:$L$1023, 3, FALSE)="T12 Linear Fluorescent",VLOOKUP(J260, 'Fixture Identities'!$A$6:$L$1023, 3, FALSE)="T12 U-Tube Fluorescent"), "Y", "N")), "N")</f>
        <v/>
      </c>
      <c r="BS260" s="397" t="str">
        <f t="array" ref="BS260">IFERROR(IF(OR(B260="", V260="", W260=""), "", IF(V260="Custom", "N", IF(OR(W260="Freezer Case Lighting", W260="Refrigerated Case Lighting with Doors"), BT260, IF(B260="Retrofit", INDEX('Lookup Tables'!$AH$6:$AT$102,MATCH(1,('Lookup Tables'!$AH$6:$AH$102=V260)*('Lookup Tables'!$AI$6:$AI$102=W260),FALSE),IF(VLOOKUP(J260, 'Fixture Identities'!$A$6:$B$1023, 2, FALSE)="Incandescent",12, 13)), INDEX('Lookup Tables'!$AH$114:$AS$154,MATCH(1,('Lookup Tables'!$AH$114:$AH$154=V260)*('Lookup Tables'!$AI$114:$AI$154=W260),FALSE),12))))), "N")</f>
        <v/>
      </c>
      <c r="BT260" s="397" t="str">
        <f>IF(J260="", "", IF(AND(OR(W260="Freezer case Lighting", W260="Refrigerated Case Lighting with Doors"),'General Information'!$X$18="LCI"), "N", IF(OR(VLOOKUP(J260, 'Fixture Identities'!$A$6:$B$1023, 2, FALSE)="T12 EPACT/EISA Baseline", VLOOKUP(J260, 'Fixture Identities'!$A$6:$B$1023, 2, FALSE)="Linear Fluorescent", VLOOKUP(J260, 'Fixture Identities'!$A$6:$B$1023, 2, FALSE)="U-Tube Fluorescent"), "Y", "N")))</f>
        <v/>
      </c>
      <c r="BU260" s="397" t="str">
        <f>IFERROR(IF(B260="", "", IF(VLOOKUP(J260, 'Fixture Identities'!$A$6:$B$1023, 2, FALSE)="Exit Sign", "Y", "N")), "N")</f>
        <v/>
      </c>
      <c r="BV260" s="397" t="str">
        <f>IF(V260="Exit Signs", IF(VLOOKUP(J260, 'Fixture Identities'!$A$6:$B$1023, 2, FALSE)="Exit Sign", "N", "Y"), "")</f>
        <v/>
      </c>
      <c r="BW260" s="397" t="str">
        <f t="array" ref="BW260">IFERROR(IF(B260="", "", IF(B260="New Construction", "N", INDEX('Lookup Tables'!$AH$6:$AU$102, MATCH(1, ('Lookup Tables'!$AH$6:$AH$102='Lighting Inventory'!V260)*('Lookup Tables'!$AI$6:$AI$102='Lighting Inventory'!W260), 0), 14))), "N")</f>
        <v/>
      </c>
      <c r="BX260" s="598" t="str">
        <f t="shared" si="566"/>
        <v/>
      </c>
      <c r="BY260" s="598" t="str">
        <f t="shared" si="567"/>
        <v/>
      </c>
      <c r="BZ260" s="598" t="str">
        <f t="shared" si="568"/>
        <v/>
      </c>
      <c r="CA260" s="598" t="str">
        <f t="shared" si="569"/>
        <v/>
      </c>
      <c r="CB260" s="269" t="str">
        <f t="shared" si="570"/>
        <v/>
      </c>
      <c r="CC260" s="517" t="str">
        <f t="shared" si="571"/>
        <v/>
      </c>
      <c r="CD260" s="566" t="str">
        <f t="shared" si="511"/>
        <v/>
      </c>
      <c r="CE260" s="368">
        <v>0</v>
      </c>
      <c r="CF260" s="368" t="str" cm="1">
        <f t="array" ref="CF260">IFERROR(IF(V260="Custom", "$0.1 per kWh", IF(B260="New Construction", CONCATENATE("$",INDEX('Lookup Tables'!$AH$114:$AN$154,MATCH(1,('Lookup Tables'!$AH$114:$AH$154='Lighting Inventory'!V260)*('Lookup Tables'!$AI$114:$AI$154='Lighting Inventory'!W260),FALSE),6)," ",INDEX('Lookup Tables'!$AH$114:$AN$154,MATCH(1,('Lookup Tables'!$AH$114:$AH$154='Lighting Inventory'!V260)*('Lookup Tables'!$AI$114:$AI$154='Lighting Inventory'!W260),FALSE),7)), IF(AND(BU260="N", V260="Exit Signs"), "$0.025 per kWh", CONCATENATE("$",INDEX('Lookup Tables'!$AH$6:$AN$102,MATCH(1,('Lookup Tables'!$AH$6:$AH$102='Lighting Inventory'!V260)*('Lookup Tables'!$AI$6:$AI$102='Lighting Inventory'!W260),FALSE),6)," ",INDEX('Lookup Tables'!$AH$6:$AN$102,MATCH(1,('Lookup Tables'!$AH$6:$AH$102='Lighting Inventory'!V260)*('Lookup Tables'!$AI$6:$AI$102='Lighting Inventory'!W260),FALSE),7))))), "")</f>
        <v/>
      </c>
      <c r="CG260" s="366"/>
      <c r="CH260" s="248" t="str">
        <f t="shared" si="512"/>
        <v/>
      </c>
      <c r="CI260" s="248" t="str">
        <f t="shared" si="513"/>
        <v>Select_IE</v>
      </c>
      <c r="CJ260" s="248" t="str">
        <f t="shared" si="514"/>
        <v/>
      </c>
      <c r="CK260" s="248" t="str">
        <f t="shared" si="515"/>
        <v/>
      </c>
      <c r="CL260" s="248" t="str">
        <f t="shared" si="516"/>
        <v/>
      </c>
      <c r="CM260" s="248" t="str">
        <f>IFERROR(IF(B260="", "", IF(B260="New Construction", VLOOKUP(V260, 'Lookup Tables'!$AF$114:$AG$120, 2, FALSE), VLOOKUP(V260, 'Lookup Tables'!$AD$6:$AE$25, 2, FALSE))), "")</f>
        <v/>
      </c>
      <c r="CN260" s="248" t="str">
        <f t="shared" si="517"/>
        <v/>
      </c>
      <c r="CO260" s="248" t="str">
        <f t="shared" si="518"/>
        <v/>
      </c>
      <c r="CP260" s="592" t="str">
        <f t="shared" si="519"/>
        <v/>
      </c>
      <c r="CQ260" s="248" t="str">
        <f t="shared" si="572"/>
        <v/>
      </c>
      <c r="CR260" s="100"/>
      <c r="CS260" s="250" t="str">
        <f t="shared" si="520"/>
        <v/>
      </c>
      <c r="CT260" s="250" t="str">
        <f t="shared" si="573"/>
        <v/>
      </c>
      <c r="CU260" s="250" t="str">
        <f t="shared" si="574"/>
        <v/>
      </c>
      <c r="CV260" s="250" t="str">
        <f t="shared" si="575"/>
        <v/>
      </c>
      <c r="CW260" s="250" t="str">
        <f t="shared" si="576"/>
        <v/>
      </c>
      <c r="CX260" s="250" t="str">
        <f t="shared" si="521"/>
        <v/>
      </c>
      <c r="CY260" s="250" t="str">
        <f t="shared" si="522"/>
        <v/>
      </c>
      <c r="CZ260" s="250" t="str">
        <f t="shared" si="523"/>
        <v/>
      </c>
      <c r="DA260" s="250" t="str">
        <f t="shared" si="524"/>
        <v/>
      </c>
      <c r="DB260" s="250" t="str">
        <f t="shared" si="525"/>
        <v/>
      </c>
      <c r="DC260" s="250" t="str">
        <f t="shared" si="526"/>
        <v/>
      </c>
      <c r="DD260" s="250" t="str">
        <f t="shared" si="527"/>
        <v/>
      </c>
      <c r="DE260" s="250" t="str">
        <f t="shared" si="528"/>
        <v/>
      </c>
      <c r="DF260" s="250" t="str">
        <f t="shared" si="529"/>
        <v/>
      </c>
      <c r="DG260" s="250" t="str">
        <f t="shared" si="530"/>
        <v/>
      </c>
      <c r="DH260" s="250" t="str">
        <f t="shared" si="531"/>
        <v/>
      </c>
      <c r="DI260" s="250" t="str">
        <f t="shared" si="532"/>
        <v/>
      </c>
      <c r="DJ260" s="250" t="str">
        <f t="shared" si="533"/>
        <v/>
      </c>
      <c r="DK260" s="250" t="str">
        <f t="shared" si="534"/>
        <v/>
      </c>
      <c r="DL260" s="250" t="str">
        <f t="shared" si="535"/>
        <v/>
      </c>
      <c r="DM260" s="250" t="str">
        <f>IF(CD260="ERROR", "ERROR", IF(AND(OR(Y260=$DM$6, Y260='Lookup Tables'!$AD$21, Y260='Lookup Tables'!$AD$22), E260="Interior"), BJ260, ""))</f>
        <v/>
      </c>
      <c r="DN260" s="250" t="str">
        <f>IF(CD260="ERROR", "ERROR", IF(AND(OR(Y260=$DM$6, Y260='Lookup Tables'!$AD$21, Y260='Lookup Tables'!$AD$22), E260="Exterior"), BJ260, ""))</f>
        <v/>
      </c>
      <c r="DO260" s="100"/>
      <c r="DP260" s="250" t="str">
        <f t="shared" si="536"/>
        <v/>
      </c>
      <c r="DQ260" s="250" t="str">
        <f t="shared" si="577"/>
        <v/>
      </c>
      <c r="DR260" s="250" t="str">
        <f t="shared" si="578"/>
        <v/>
      </c>
      <c r="DS260" s="250" t="str">
        <f t="shared" si="579"/>
        <v/>
      </c>
      <c r="DT260" s="250" t="str">
        <f t="shared" si="580"/>
        <v/>
      </c>
      <c r="DU260" s="250" t="str">
        <f t="shared" si="537"/>
        <v/>
      </c>
      <c r="DV260" s="250" t="str">
        <f t="shared" si="538"/>
        <v/>
      </c>
      <c r="DW260" s="250" t="str">
        <f t="shared" si="539"/>
        <v/>
      </c>
      <c r="DX260" s="250" t="str">
        <f t="shared" si="540"/>
        <v/>
      </c>
      <c r="DY260" s="250" t="str">
        <f t="shared" si="541"/>
        <v/>
      </c>
      <c r="DZ260" s="250" t="str">
        <f t="shared" si="542"/>
        <v/>
      </c>
      <c r="EA260" s="250" t="str">
        <f t="shared" si="543"/>
        <v/>
      </c>
      <c r="EB260" s="250" t="str">
        <f t="shared" si="581"/>
        <v/>
      </c>
      <c r="EC260" s="250" t="str">
        <f t="shared" si="544"/>
        <v/>
      </c>
      <c r="ED260" s="250" t="str">
        <f t="shared" si="545"/>
        <v/>
      </c>
      <c r="EE260" s="250" t="str">
        <f t="shared" si="546"/>
        <v/>
      </c>
      <c r="EF260" s="250" t="str">
        <f t="shared" si="547"/>
        <v/>
      </c>
      <c r="EG260" s="250" t="str">
        <f t="shared" si="548"/>
        <v/>
      </c>
      <c r="EH260" s="250" t="str">
        <f>IF(CD260="ERROR", "ERROR", IF(AND(OR($EH$6=Y260, Y260='Lookup Tables'!$AD$21, Y260='Lookup Tables'!$AD$22),E260="Interior"), SUM(BP260:BP260), ""))</f>
        <v/>
      </c>
      <c r="EI260" s="250" t="str">
        <f>IF(CD260="ERROR", "ERROR", IF(AND(OR($EH$6=Y260, Y260='Lookup Tables'!$AD$21, Y260='Lookup Tables'!$AD$22),E260="Exterior"), SUM(BP260:BP260), ""))</f>
        <v/>
      </c>
      <c r="EJ260" s="109"/>
      <c r="EK260" s="485" t="str">
        <f t="shared" si="549"/>
        <v/>
      </c>
      <c r="EL260" s="252" t="str">
        <f t="shared" si="582"/>
        <v/>
      </c>
      <c r="EM260" s="252" t="str">
        <f t="shared" si="583"/>
        <v/>
      </c>
      <c r="EN260" s="252" t="str">
        <f t="shared" si="584"/>
        <v/>
      </c>
      <c r="EO260" s="252" t="str">
        <f t="shared" si="585"/>
        <v/>
      </c>
      <c r="EP260" s="252" t="str">
        <f t="shared" si="586"/>
        <v/>
      </c>
      <c r="EQ260" s="252" t="str">
        <f t="shared" si="587"/>
        <v/>
      </c>
      <c r="ER260" s="252" t="str">
        <f t="shared" si="588"/>
        <v/>
      </c>
      <c r="ES260" s="252" t="str">
        <f t="shared" si="589"/>
        <v/>
      </c>
      <c r="ET260" s="252" t="str">
        <f t="shared" si="590"/>
        <v/>
      </c>
      <c r="EU260" s="252" t="str">
        <f t="shared" si="591"/>
        <v/>
      </c>
      <c r="EV260" s="252" t="str">
        <f t="shared" si="592"/>
        <v/>
      </c>
      <c r="EW260" s="252" t="str">
        <f t="shared" si="593"/>
        <v/>
      </c>
      <c r="EX260" s="252" t="str">
        <f t="shared" si="594"/>
        <v/>
      </c>
      <c r="EY260" s="252" t="str">
        <f t="shared" si="595"/>
        <v/>
      </c>
      <c r="EZ260" s="252" t="str">
        <f t="shared" si="596"/>
        <v/>
      </c>
      <c r="FA260" s="252" t="str">
        <f t="shared" si="597"/>
        <v/>
      </c>
      <c r="FB260" s="252" t="str">
        <f t="shared" si="598"/>
        <v/>
      </c>
      <c r="FC260" s="252" t="str">
        <f>IF(CD260="ERROR", "ERROR", IF(OR(V260="No Change", V260="Not DLC or Energy Star"), "", IF(AND(OR($FC$6=Y260,Y260='Lookup Tables'!$AD$21, Y260='Lookup Tables'!$AD$22),E260="Interior"), S260, "")))</f>
        <v/>
      </c>
      <c r="FD260" s="252" t="str">
        <f t="shared" si="599"/>
        <v/>
      </c>
      <c r="FE260" s="101"/>
      <c r="FF260" s="579" t="str" cm="1">
        <f t="array" ref="FF260">IFERROR(IF(OR(BQ260&lt;=0,AQ260&lt;20,AND(V260="Exit Signs",AN260&gt;0)),"",IF(AND(AQ260&gt;=20,AN260='Lookup Tables'!$R$101),'Lookup Tables'!$U$101*BQ260,AP260*LOOKUP(2,1/((AN260='Lookup Tables'!$R$91:$R$111)*(AQ260&gt;='Lookup Tables'!$S$91:$S$111)*(AQ260&lt;='Lookup Tables'!$T$91:$T$111)),'Lookup Tables'!$U$91:$U$111))),"")</f>
        <v/>
      </c>
      <c r="FG260" s="579"/>
      <c r="FH260" s="579"/>
      <c r="FI260" s="253" t="str">
        <f>IFERROR(ROUND(IF(CD260="ERROR", "ERROR", IF(AND($FI$7=X260,E260="Interior"),VLOOKUP(W260, 'Lookup Tables'!$AI$6:$AM$102, 5, FALSE)*BP260, "")), 2), "")</f>
        <v/>
      </c>
      <c r="FJ260" s="253" t="str">
        <f>IFERROR(ROUND(IF(CD260="ERROR", "ERROR", IF(AND($FI$7=X260,E260="Exterior"),VLOOKUP(W260, 'Lookup Tables'!$AI$6:$AM$102, 5, FALSE)*BP260, "")), 2), "")</f>
        <v/>
      </c>
      <c r="FK260" s="253" t="str">
        <f>IFERROR(ROUND(IF(CD260="ERROR", "ERROR", IF(AND($FK$7=X260,E260="Interior"),VLOOKUP(W260, 'Lookup Tables'!$AI$6:$AM$102, 5, FALSE)*BP260, "")), 2), "")</f>
        <v/>
      </c>
      <c r="FL260" s="253" t="str">
        <f>IFERROR(ROUND(IF(CD260="ERROR", "ERROR", IF(AND($FK$7=X260,E260="Exterior"),VLOOKUP(W260, 'Lookup Tables'!$AI$6:$AM$102, 5, FALSE)*BP260, "")), 2), "")</f>
        <v/>
      </c>
      <c r="FM260" s="253" t="str">
        <f>IFERROR(ROUND(IF(CD260="ERROR", "ERROR", IF(AND($FM$6=Y260,E260="Interior"), IF(GB260=0, VLOOKUP(W260, 'Lookup Tables'!$AI$6:$AM$102, 5, FALSE)*BP260, IF(VLOOKUP(W260, 'Lookup Tables'!$AI$6:$AM$102, 5, FALSE)*BP260&gt;GB260*'Lighting Inventory'!S260, GB260*'Lighting Inventory'!S260,VLOOKUP(W260, 'Lookup Tables'!$AI$6:$AM$102, 5, FALSE)*BP260)), "")), 2), "")</f>
        <v/>
      </c>
      <c r="FN260" s="253" t="str">
        <f>IFERROR(ROUND(IF(CD260="ERROR", "ERROR", IF(AND($FM$6=Y260,E260="Exterior"), IF(GB260=0, VLOOKUP(W260, 'Lookup Tables'!$AI$6:$AM$102, 5, FALSE)*BP260, IF(VLOOKUP(W260, 'Lookup Tables'!$AI$6:$AM$102, 5, FALSE)*BP260&gt;GB260*'Lighting Inventory'!S260, GB260*'Lighting Inventory'!S260,VLOOKUP(W260, 'Lookup Tables'!$AI$6:$AM$102, 5, FALSE)*BP260)), "")), 2), "")</f>
        <v/>
      </c>
      <c r="FO260" s="253" t="str">
        <f>IFERROR(ROUND(IF(CD260="ERROR", "ERROR", IF(AND($FO$6=Y260,E260="Interior"),VLOOKUP(W260, 'Lookup Tables'!$AI$6:$AM$102, 5, FALSE)*'Lighting Inventory'!AI260, "")), 2), "")</f>
        <v/>
      </c>
      <c r="FP260" s="253" t="str">
        <f>IFERROR(ROUND(IF(CD260="ERROR", "ERROR", IF(AND($FO$6=Y260,E260="Exterior"),VLOOKUP(W260, 'Lookup Tables'!$AI$6:$AM$102, 5, FALSE)*'Lighting Inventory'!AI260, "")), 2), "")</f>
        <v/>
      </c>
      <c r="FQ260" s="253" t="str">
        <f>IFERROR(ROUND(IF(CD260="ERROR", "ERROR", IF(AND($FQ$6=Y260,E260="Interior", BU260="Y"), VLOOKUP('Lighting Inventory'!W260, 'Lookup Tables'!$AI$6:$AM$102, 5, FALSE)*'Lighting Inventory'!S260, IF(AND($FQ$7=Y260,E260="Interior", BU260="N"), 0.025*CD260, ""))), 2), "")</f>
        <v/>
      </c>
      <c r="FR260" s="253" t="str">
        <f>IFERROR(ROUND(IF(CD260="ERROR", "ERROR", IF(AND($FQ$6=Y260,E260="Exterior"), VLOOKUP('Lighting Inventory'!W260, 'Lookup Tables'!$AI$6:$AM$102, 5, FALSE)*'Lighting Inventory'!S260, "")), 2), "")</f>
        <v/>
      </c>
      <c r="FS260" s="253" t="str">
        <f>IFERROR(ROUND(IF(CD260="ERROR", "ERROR", IF(AND($FS$6=Y260,E260="Exterior"), IF(GB260=0, VLOOKUP(W260, 'Lookup Tables'!$AI$6:$AM$102, 5, FALSE)*BP260, IF(VLOOKUP(W260, 'Lookup Tables'!$AI$6:$AM$102, 5, FALSE)*BP260&gt;GB260*'Lighting Inventory'!S260, GB260*'Lighting Inventory'!S260,VLOOKUP(W260, 'Lookup Tables'!$AI$6:$AM$102, 5, FALSE)*BP260)), "")), 2), "")</f>
        <v/>
      </c>
      <c r="FT260" s="253" t="str">
        <f>IFERROR(ROUND(IF(CD260="ERROR", "ERROR", IF(AND($FT$6=Y260,E260="Interior"), IF(GB260=0, VLOOKUP(W260, 'Lookup Tables'!$AI$6:$AM$102, 5, FALSE)*BP260, IF(VLOOKUP(W260, 'Lookup Tables'!$AI$6:$AM$102, 5, FALSE)*BP260&gt;GB260*'Lighting Inventory'!S260, GB260*'Lighting Inventory'!S260,VLOOKUP(W260, 'Lookup Tables'!$AI$6:$AM$102, 5, FALSE)*BP260)), "")), 2), "")</f>
        <v/>
      </c>
      <c r="FU260" s="253" t="str">
        <f>IFERROR(ROUND(IF(CD260="ERROR", "ERROR", IF(AND(Y260=$FU$6, E260="Interior"), IF(BS260="N", 'Lookup Tables'!$AM$101*BP260, VLOOKUP(W260, 'Lookup Tables'!$AI$6:$AM$102, 5, FALSE)*S260*AD260), "")), 2), "")</f>
        <v/>
      </c>
      <c r="FV260" s="253" t="str">
        <f>IFERROR(ROUND(IF(CD260="ERROR", "ERROR", IF(AND(Y260=$FU$6, E260="Exterior"), IF(BS260="N", 'Lookup Tables'!$AM$101*BP260, VLOOKUP(W260, 'Lookup Tables'!$AI$6:$AM$102, 5, FALSE)*S260*AD260), "")), 2), "")</f>
        <v/>
      </c>
      <c r="FW260" s="253" t="str">
        <f>IFERROR(ROUND(IF(CD260="ERROR", "ERROR", IF($FW$6=Y260, IF(BS260="N", 'Lookup Tables'!$AM$101*BP260, MIN((VLOOKUP(W260, 'Lookup Tables'!$AI$6:$AM$102, 5, FALSE)*BP260),GB260*AJ260)), "")), 2), "")</f>
        <v/>
      </c>
      <c r="FX260" s="253" t="str">
        <f>IFERROR(ROUND(IF(CD260="ERROR", "ERROR", IF(AND($FX$6=Y260, E260="Interior"), IF(VLOOKUP(W260, 'Lookup Tables'!$AI$6:$AM$102, 5, FALSE)*BP260&gt;'Lookup Tables'!$AQ$97*'Lighting Inventory'!S260,'Lighting Inventory'!S260*'Lookup Tables'!$AQ$97,VLOOKUP(W260, 'Lookup Tables'!$AI$6:$AM$102, 5, FALSE)*BP260), "")), 2), "")</f>
        <v/>
      </c>
      <c r="FY260" s="253" t="str">
        <f>IFERROR(ROUND(IF(CD260="ERROR", "ERROR", IF(AND($FX$6=Y260, E260="Exterior"), IF(VLOOKUP(W260, 'Lookup Tables'!$AI$6:$AM$102, 5, FALSE)*BP260&gt;'Lookup Tables'!$AQ$97*'Lighting Inventory'!S260,'Lighting Inventory'!S260*'Lookup Tables'!$AQ$97,VLOOKUP(W260, 'Lookup Tables'!$AI$6:$AM$102, 5, FALSE)*BP260), "")), 2), "")</f>
        <v/>
      </c>
      <c r="FZ260" s="253" t="str">
        <f>IFERROR(ROUND(IF(CD260="ERROR", "ERROR", IF(AND($FZ$6=Y260, E260="Interior"), IF(AND(OR(W260="Refrigerated Case Lighting with Doors", W260="Freezer Case Lighting"),Y260="Custom - Process Improvement"),CD260*'Lookup Tables'!$AM$101, IF(B260="Retrofit", IF(VLOOKUP(IF(V260="Custom", V260, W260), 'Lookup Tables'!$AI$6:$AM$102, 5, FALSE)*BP260&gt;GE260, GE260, VLOOKUP(IF(V260="Custom", V260, W260), 'Lookup Tables'!$AI$6:$AM$102, 5, FALSE)*BP260), IF(VLOOKUP(IF(V260="Custom", V260, W260), 'Lookup Tables'!$AI$114:$AM$154, 5, FALSE)*BP260&gt;GE260, GE260, VLOOKUP(IF(V260="Custom", V260, W260), 'Lookup Tables'!$AI$114:$AM$154, 5, FALSE)*BP260))), "")), 2),"")</f>
        <v/>
      </c>
      <c r="GA260" s="253" t="str">
        <f>IFERROR(ROUND(IF(CD260="ERROR", "ERROR", IF(AND($FZ$6=Y260, E260="Exterior"), IF(B260="Retrofit", IF(VLOOKUP(IF(V260="Custom", V260, W260), 'Lookup Tables'!$AI$6:$AM$102, 5, FALSE)*BP260&gt;GE260, GE260, VLOOKUP(IF(V260="Custom", V260, W260), 'Lookup Tables'!$AI$6:$AM$102, 5, FALSE)*BP260), IF(VLOOKUP(IF(V260="Custom", V260, W260), 'Lookup Tables'!$AI$114:$AM$154, 5, FALSE)*BP260&gt;GE260, GE260, VLOOKUP(IF(V260="Custom", V260, W260), 'Lookup Tables'!$AI$114:$AM$154, 5, FALSE)*BP260)), "")), 2),"")</f>
        <v/>
      </c>
      <c r="GB260" s="254" t="str">
        <f t="array" ref="GB260">IF(B260="","",IF(OR(V260="Custom",V260="No Change"),0,IF(B260="Retrofit", INDEX('Lookup Tables'!$AH$6:$AQ$102,MATCH(1,('Lookup Tables'!$AH$6:$AH$102='Lighting Inventory'!V260)*('Lookup Tables'!$AI$6:$AI$102='Lighting Inventory'!W260),FALSE),10),INDEX('Lookup Tables'!$AH$114:$AQ$154,MATCH(1,('Lookup Tables'!$AH$114:$AH$154='Lighting Inventory'!V260)*('Lookup Tables'!$AI$114:$AI$154='Lighting Inventory'!W260),FALSE),10))))</f>
        <v/>
      </c>
      <c r="GC260" s="255" t="str">
        <f t="shared" si="550"/>
        <v/>
      </c>
      <c r="GD260" s="250" t="str">
        <f t="shared" si="551"/>
        <v/>
      </c>
      <c r="GE260" s="253" t="str">
        <f>IFERROR(IF(AND(AF260="", 'General Information'!$F$18="No"),"", IF(AF260="", ((GD260/$CD$266)*$CF$266)*0.5, AF260*S260*0.5)), "")</f>
        <v/>
      </c>
      <c r="GF260" s="255" t="str">
        <f>IF(AND('General Information'!$F$19="", 'General Information'!$F$18="Yes",AF260="",BW260="Y"), "Y", "N")</f>
        <v>N</v>
      </c>
      <c r="GG260" s="255" t="s">
        <v>2946</v>
      </c>
      <c r="GH260" s="255" t="str">
        <f>IFERROR(IF(B260="", "", VLOOKUP(J260, 'Fixture Identities'!$A$6:$N$908, 14, FALSE)), "")</f>
        <v/>
      </c>
      <c r="GI260" s="389" t="str">
        <f>IF(OR(B260="", V260="", W260=""), "", IF(AND(OR(M260='Lookup Tables'!$R$18, M260='Lookup Tables'!$R$19, M260='Lookup Tables'!$R$20, M260='Lookup Tables'!$R$21, M260='Lookup Tables'!$R$22), OR(AN260='Lookup Tables'!$R$17, AN260='Lookup Tables'!$R$17, AN260="")), "Y", "N"))</f>
        <v/>
      </c>
      <c r="GJ260" s="255" t="str">
        <f t="shared" si="552"/>
        <v/>
      </c>
      <c r="GK260" s="255" t="str">
        <f t="shared" si="553"/>
        <v/>
      </c>
      <c r="GL260" s="255" t="str">
        <f t="shared" si="554"/>
        <v/>
      </c>
      <c r="GM260" s="255" t="str">
        <f>IF(AN260="", "", IF(AND(IF(ISNA(VLOOKUP(AN260,'Lookup Tables'!$R$18:$R$22,1,FALSE)), "N", "Y")="Y", E260="Exterior"), "Y", "N"))</f>
        <v/>
      </c>
      <c r="GN260" s="395"/>
      <c r="GO260" s="428">
        <f t="shared" si="600"/>
        <v>0</v>
      </c>
      <c r="GP260" s="428">
        <f t="shared" si="603"/>
        <v>0</v>
      </c>
      <c r="GQ260" s="428">
        <f t="shared" si="601"/>
        <v>0</v>
      </c>
      <c r="GR260" s="428">
        <f t="shared" si="602"/>
        <v>0</v>
      </c>
    </row>
    <row r="261" spans="1:200" s="108" customFormat="1" ht="13.5" thickBot="1" x14ac:dyDescent="0.25">
      <c r="A261" s="453" t="s">
        <v>2947</v>
      </c>
      <c r="B261" s="424"/>
      <c r="C261" s="394"/>
      <c r="D261" s="424"/>
      <c r="E261" s="424"/>
      <c r="F261" s="424"/>
      <c r="G261" s="424"/>
      <c r="H261" s="424"/>
      <c r="I261" s="454">
        <f>SUM(I11:I260)</f>
        <v>0</v>
      </c>
      <c r="J261" s="424"/>
      <c r="K261" s="424"/>
      <c r="L261" s="447">
        <f>SUM(L11:L260)</f>
        <v>0</v>
      </c>
      <c r="M261" s="424"/>
      <c r="N261" s="425"/>
      <c r="O261" s="424"/>
      <c r="P261" s="424"/>
      <c r="Q261" s="425"/>
      <c r="R261" s="183">
        <f>SUM(R11:R260)</f>
        <v>0</v>
      </c>
      <c r="S261" s="182">
        <f>SUM(S11:S260)</f>
        <v>0</v>
      </c>
      <c r="T261" s="106"/>
      <c r="U261" s="106"/>
      <c r="V261" s="394"/>
      <c r="W261" s="394"/>
      <c r="X261" s="106"/>
      <c r="Y261" s="106"/>
      <c r="Z261" s="106"/>
      <c r="AA261" s="106"/>
      <c r="AB261" s="106"/>
      <c r="AC261" s="424"/>
      <c r="AD261" s="424"/>
      <c r="AE261" s="424"/>
      <c r="AF261" s="424"/>
      <c r="AG261" s="424"/>
      <c r="AH261" s="424"/>
      <c r="AI261" s="424"/>
      <c r="AJ261" s="424"/>
      <c r="AK261" s="424"/>
      <c r="AL261" s="424"/>
      <c r="AM261" s="447">
        <f>SUM(AM11:AM260)</f>
        <v>0</v>
      </c>
      <c r="AN261" s="424"/>
      <c r="AO261" s="672"/>
      <c r="AP261" s="424"/>
      <c r="AQ261" s="424"/>
      <c r="AR261" s="424"/>
      <c r="AS261" s="447">
        <f>SUM(AS11:AS260)</f>
        <v>0</v>
      </c>
      <c r="AT261" s="447">
        <f>SUM(AT11:AT260)</f>
        <v>0</v>
      </c>
      <c r="AU261" s="107">
        <f>SUM(AU11:AU260)</f>
        <v>0</v>
      </c>
      <c r="AV261" s="424"/>
      <c r="AW261" s="424"/>
      <c r="AX261" s="424"/>
      <c r="AY261" s="426">
        <f>SUM(AY11:AY260)</f>
        <v>0</v>
      </c>
      <c r="AZ261" s="424"/>
      <c r="BA261" s="531"/>
      <c r="BB261" s="424"/>
      <c r="BC261" s="531"/>
      <c r="BD261" s="424"/>
      <c r="BE261" s="424"/>
      <c r="BF261" s="424"/>
      <c r="BG261" s="528"/>
      <c r="BH261" s="528"/>
      <c r="BI261" s="424"/>
      <c r="BJ261" s="107">
        <f t="shared" ref="BJ261:BQ261" si="607">SUM(BJ11:BJ260)</f>
        <v>0</v>
      </c>
      <c r="BK261" s="107">
        <f t="shared" si="607"/>
        <v>0</v>
      </c>
      <c r="BL261" s="447">
        <f t="shared" si="607"/>
        <v>0</v>
      </c>
      <c r="BM261" s="525">
        <f t="shared" si="607"/>
        <v>0</v>
      </c>
      <c r="BN261" s="525">
        <f t="shared" si="607"/>
        <v>0</v>
      </c>
      <c r="BO261" s="526">
        <f t="shared" si="607"/>
        <v>0</v>
      </c>
      <c r="BP261" s="448">
        <f t="shared" si="607"/>
        <v>0</v>
      </c>
      <c r="BQ261" s="449">
        <f t="shared" si="607"/>
        <v>0</v>
      </c>
      <c r="BR261" s="448"/>
      <c r="BS261" s="448"/>
      <c r="BT261" s="448"/>
      <c r="BU261" s="448"/>
      <c r="BV261" s="448"/>
      <c r="BW261" s="450">
        <f>COUNTIF($BW$11:$BW$260, "Y")</f>
        <v>0</v>
      </c>
      <c r="BX261" s="451">
        <f t="shared" ref="BX261:CD261" si="608">SUM(BX11:BX260)</f>
        <v>0</v>
      </c>
      <c r="BY261" s="451">
        <f t="shared" si="608"/>
        <v>0</v>
      </c>
      <c r="BZ261" s="451">
        <f t="shared" si="608"/>
        <v>0</v>
      </c>
      <c r="CA261" s="451">
        <f t="shared" si="608"/>
        <v>0</v>
      </c>
      <c r="CB261" s="451">
        <f t="shared" si="608"/>
        <v>0</v>
      </c>
      <c r="CC261" s="451">
        <f t="shared" si="608"/>
        <v>0</v>
      </c>
      <c r="CD261" s="452">
        <f t="shared" si="608"/>
        <v>0</v>
      </c>
      <c r="CE261" s="552"/>
      <c r="CF261" s="367"/>
      <c r="CG261" s="101"/>
      <c r="CH261" s="256"/>
      <c r="CI261" s="256"/>
      <c r="CJ261" s="256"/>
      <c r="CK261" s="256"/>
      <c r="CL261" s="256"/>
      <c r="CM261" s="256"/>
      <c r="CN261" s="256"/>
      <c r="CO261" s="256"/>
      <c r="CP261" s="593"/>
      <c r="CQ261" s="256"/>
      <c r="CR261" s="249"/>
      <c r="CS261" s="257">
        <f t="shared" ref="CS261:DN261" si="609">IF(COUNTIF(CS11:CS260,"ERROR"),"ERROR",SUM(CS11:CS260))</f>
        <v>0</v>
      </c>
      <c r="CT261" s="257">
        <f t="shared" si="609"/>
        <v>0</v>
      </c>
      <c r="CU261" s="257">
        <f t="shared" si="609"/>
        <v>0</v>
      </c>
      <c r="CV261" s="257">
        <f t="shared" si="609"/>
        <v>0</v>
      </c>
      <c r="CW261" s="257">
        <f t="shared" si="609"/>
        <v>0</v>
      </c>
      <c r="CX261" s="257">
        <f t="shared" si="609"/>
        <v>0</v>
      </c>
      <c r="CY261" s="257">
        <f t="shared" si="609"/>
        <v>0</v>
      </c>
      <c r="CZ261" s="257">
        <f t="shared" si="609"/>
        <v>0</v>
      </c>
      <c r="DA261" s="257">
        <f t="shared" si="609"/>
        <v>0</v>
      </c>
      <c r="DB261" s="257">
        <f t="shared" si="609"/>
        <v>0</v>
      </c>
      <c r="DC261" s="257">
        <f t="shared" si="609"/>
        <v>0</v>
      </c>
      <c r="DD261" s="257">
        <f t="shared" si="609"/>
        <v>0</v>
      </c>
      <c r="DE261" s="257">
        <f t="shared" si="609"/>
        <v>0</v>
      </c>
      <c r="DF261" s="257">
        <f t="shared" si="609"/>
        <v>0</v>
      </c>
      <c r="DG261" s="257">
        <f t="shared" si="609"/>
        <v>0</v>
      </c>
      <c r="DH261" s="257">
        <f t="shared" si="609"/>
        <v>0</v>
      </c>
      <c r="DI261" s="257">
        <f t="shared" si="609"/>
        <v>0</v>
      </c>
      <c r="DJ261" s="257">
        <f t="shared" si="609"/>
        <v>0</v>
      </c>
      <c r="DK261" s="257">
        <f t="shared" si="609"/>
        <v>0</v>
      </c>
      <c r="DL261" s="257">
        <f t="shared" si="609"/>
        <v>0</v>
      </c>
      <c r="DM261" s="257">
        <f t="shared" si="609"/>
        <v>0</v>
      </c>
      <c r="DN261" s="257">
        <f t="shared" si="609"/>
        <v>0</v>
      </c>
      <c r="DO261" s="249"/>
      <c r="DP261" s="257">
        <f t="shared" ref="DP261:EI261" si="610">IF(COUNTIF(DP11:DP260,"ERROR"),"ERROR",SUM(DP11:DP260))</f>
        <v>0</v>
      </c>
      <c r="DQ261" s="257">
        <f t="shared" si="610"/>
        <v>0</v>
      </c>
      <c r="DR261" s="257">
        <f t="shared" si="610"/>
        <v>0</v>
      </c>
      <c r="DS261" s="257">
        <f t="shared" si="610"/>
        <v>0</v>
      </c>
      <c r="DT261" s="257">
        <f t="shared" si="610"/>
        <v>0</v>
      </c>
      <c r="DU261" s="257">
        <f t="shared" si="610"/>
        <v>0</v>
      </c>
      <c r="DV261" s="257">
        <f t="shared" si="610"/>
        <v>0</v>
      </c>
      <c r="DW261" s="257">
        <f t="shared" si="610"/>
        <v>0</v>
      </c>
      <c r="DX261" s="257">
        <f t="shared" si="610"/>
        <v>0</v>
      </c>
      <c r="DY261" s="257">
        <f t="shared" si="610"/>
        <v>0</v>
      </c>
      <c r="DZ261" s="257">
        <f t="shared" si="610"/>
        <v>0</v>
      </c>
      <c r="EA261" s="257">
        <f t="shared" si="610"/>
        <v>0</v>
      </c>
      <c r="EB261" s="257">
        <f t="shared" si="610"/>
        <v>0</v>
      </c>
      <c r="EC261" s="257">
        <f t="shared" si="610"/>
        <v>0</v>
      </c>
      <c r="ED261" s="257">
        <f t="shared" si="610"/>
        <v>0</v>
      </c>
      <c r="EE261" s="257">
        <f t="shared" si="610"/>
        <v>0</v>
      </c>
      <c r="EF261" s="257">
        <f t="shared" si="610"/>
        <v>0</v>
      </c>
      <c r="EG261" s="257">
        <f t="shared" si="610"/>
        <v>0</v>
      </c>
      <c r="EH261" s="257">
        <f t="shared" si="610"/>
        <v>0</v>
      </c>
      <c r="EI261" s="257">
        <f t="shared" si="610"/>
        <v>0</v>
      </c>
      <c r="EJ261" s="251"/>
      <c r="EK261" s="258">
        <f t="shared" ref="EK261:FD261" si="611">IF(COUNTIF(EK11:EK260,"ERROR"),"ERROR",SUM(EK11:EK260))</f>
        <v>0</v>
      </c>
      <c r="EL261" s="258">
        <f t="shared" si="611"/>
        <v>0</v>
      </c>
      <c r="EM261" s="258">
        <f t="shared" si="611"/>
        <v>0</v>
      </c>
      <c r="EN261" s="258">
        <f t="shared" si="611"/>
        <v>0</v>
      </c>
      <c r="EO261" s="258">
        <f t="shared" si="611"/>
        <v>0</v>
      </c>
      <c r="EP261" s="258">
        <f t="shared" si="611"/>
        <v>0</v>
      </c>
      <c r="EQ261" s="258">
        <f t="shared" si="611"/>
        <v>0</v>
      </c>
      <c r="ER261" s="258">
        <f t="shared" si="611"/>
        <v>0</v>
      </c>
      <c r="ES261" s="258">
        <f t="shared" si="611"/>
        <v>0</v>
      </c>
      <c r="ET261" s="258">
        <f t="shared" si="611"/>
        <v>0</v>
      </c>
      <c r="EU261" s="258">
        <f t="shared" si="611"/>
        <v>0</v>
      </c>
      <c r="EV261" s="258">
        <f t="shared" si="611"/>
        <v>0</v>
      </c>
      <c r="EW261" s="258">
        <f t="shared" si="611"/>
        <v>0</v>
      </c>
      <c r="EX261" s="258">
        <f t="shared" si="611"/>
        <v>0</v>
      </c>
      <c r="EY261" s="258">
        <f t="shared" si="611"/>
        <v>0</v>
      </c>
      <c r="EZ261" s="258">
        <f t="shared" si="611"/>
        <v>0</v>
      </c>
      <c r="FA261" s="258">
        <f t="shared" si="611"/>
        <v>0</v>
      </c>
      <c r="FB261" s="258">
        <f t="shared" si="611"/>
        <v>0</v>
      </c>
      <c r="FC261" s="258">
        <f t="shared" si="611"/>
        <v>0</v>
      </c>
      <c r="FD261" s="258">
        <f t="shared" si="611"/>
        <v>0</v>
      </c>
      <c r="FE261" s="1"/>
      <c r="FF261" s="259">
        <f t="shared" ref="FF261:GA261" si="612">IF(COUNTIF(FF11:FF260,"ERROR"),"ERROR",SUM(FF11:FF260))</f>
        <v>0</v>
      </c>
      <c r="FG261" s="259">
        <f t="shared" si="612"/>
        <v>0</v>
      </c>
      <c r="FH261" s="259">
        <f t="shared" si="612"/>
        <v>0</v>
      </c>
      <c r="FI261" s="259">
        <f t="shared" si="612"/>
        <v>0</v>
      </c>
      <c r="FJ261" s="259">
        <f t="shared" si="612"/>
        <v>0</v>
      </c>
      <c r="FK261" s="259">
        <f t="shared" si="612"/>
        <v>0</v>
      </c>
      <c r="FL261" s="259">
        <f t="shared" si="612"/>
        <v>0</v>
      </c>
      <c r="FM261" s="259">
        <f t="shared" si="612"/>
        <v>0</v>
      </c>
      <c r="FN261" s="259">
        <f t="shared" si="612"/>
        <v>0</v>
      </c>
      <c r="FO261" s="259">
        <f t="shared" si="612"/>
        <v>0</v>
      </c>
      <c r="FP261" s="259">
        <f t="shared" si="612"/>
        <v>0</v>
      </c>
      <c r="FQ261" s="259">
        <f t="shared" si="612"/>
        <v>0</v>
      </c>
      <c r="FR261" s="259">
        <f t="shared" si="612"/>
        <v>0</v>
      </c>
      <c r="FS261" s="259">
        <f t="shared" si="612"/>
        <v>0</v>
      </c>
      <c r="FT261" s="259">
        <f t="shared" si="612"/>
        <v>0</v>
      </c>
      <c r="FU261" s="259">
        <f t="shared" si="612"/>
        <v>0</v>
      </c>
      <c r="FV261" s="259">
        <f t="shared" si="612"/>
        <v>0</v>
      </c>
      <c r="FW261" s="259">
        <f t="shared" si="612"/>
        <v>0</v>
      </c>
      <c r="FX261" s="259">
        <f t="shared" si="612"/>
        <v>0</v>
      </c>
      <c r="FY261" s="259">
        <f t="shared" si="612"/>
        <v>0</v>
      </c>
      <c r="FZ261" s="259">
        <f t="shared" si="612"/>
        <v>0</v>
      </c>
      <c r="GA261" s="259">
        <f t="shared" si="612"/>
        <v>0</v>
      </c>
      <c r="GB261" s="1"/>
      <c r="GC261" s="1"/>
      <c r="GD261" s="1" t="str">
        <f t="shared" si="551"/>
        <v/>
      </c>
      <c r="GE261" s="1"/>
      <c r="GF261" s="373">
        <f>COUNTIF(GF11:GF260, "Y")</f>
        <v>0</v>
      </c>
      <c r="GG261" s="1"/>
      <c r="GH261" s="1"/>
      <c r="GI261" s="384"/>
      <c r="GJ261" s="391"/>
      <c r="GK261" s="391"/>
      <c r="GL261" s="391"/>
      <c r="GM261" s="391"/>
      <c r="GN261" s="396"/>
      <c r="GO261" s="429">
        <f>SUM(GO11:GO260)</f>
        <v>0</v>
      </c>
      <c r="GP261" s="429">
        <f>SUM(GP11:GP260)</f>
        <v>0</v>
      </c>
      <c r="GQ261" s="429">
        <f>SUM(GQ11:GQ260)</f>
        <v>0</v>
      </c>
    </row>
    <row r="262" spans="1:200" s="394" customFormat="1" x14ac:dyDescent="0.2">
      <c r="I262" s="398"/>
      <c r="R262" s="398"/>
      <c r="AO262" s="667"/>
      <c r="BA262" s="527"/>
      <c r="BC262" s="527"/>
      <c r="BG262" s="529"/>
      <c r="BH262" s="529"/>
      <c r="BM262" s="527"/>
      <c r="BN262" s="527"/>
      <c r="BO262" s="527"/>
      <c r="CF262" s="366"/>
      <c r="CP262" s="594"/>
      <c r="DO262" s="399"/>
      <c r="EJ262" s="400"/>
      <c r="GI262" s="401"/>
      <c r="GJ262" s="402"/>
      <c r="GK262" s="402"/>
      <c r="GL262" s="402"/>
      <c r="GM262" s="402"/>
    </row>
    <row r="263" spans="1:200" s="394" customFormat="1" x14ac:dyDescent="0.2">
      <c r="I263" s="398"/>
      <c r="R263" s="398"/>
      <c r="AO263" s="667"/>
      <c r="BA263" s="527"/>
      <c r="BC263" s="527"/>
      <c r="BG263" s="529"/>
      <c r="BH263" s="529"/>
      <c r="BM263" s="527"/>
      <c r="BN263" s="527"/>
      <c r="BO263" s="527"/>
      <c r="CF263" s="366"/>
      <c r="CP263" s="594"/>
      <c r="DO263" s="399"/>
      <c r="GI263" s="401"/>
      <c r="GJ263" s="402"/>
      <c r="GK263" s="402"/>
      <c r="GL263" s="402"/>
      <c r="GM263" s="402"/>
    </row>
    <row r="264" spans="1:200" s="394" customFormat="1" ht="25.5" hidden="1" x14ac:dyDescent="0.2">
      <c r="I264" s="398"/>
      <c r="R264" s="398"/>
      <c r="AO264" s="667"/>
      <c r="BA264" s="527"/>
      <c r="BC264" s="527"/>
      <c r="BG264" s="529"/>
      <c r="BH264" s="529"/>
      <c r="BM264" s="527"/>
      <c r="BN264" s="527"/>
      <c r="BO264" s="527"/>
      <c r="BQ264" s="403"/>
      <c r="BR264" s="404"/>
      <c r="BS264" s="405"/>
      <c r="BT264" s="405"/>
      <c r="BU264" s="405"/>
      <c r="BV264" s="405"/>
      <c r="BW264" s="404"/>
      <c r="BX264" s="404"/>
      <c r="BY264" s="404"/>
      <c r="BZ264" s="404"/>
      <c r="CA264" s="404"/>
      <c r="CB264" s="406"/>
      <c r="CC264" s="406"/>
      <c r="CD264" s="407" t="s">
        <v>2948</v>
      </c>
      <c r="CE264" s="407"/>
      <c r="CF264" s="408" t="s">
        <v>2949</v>
      </c>
      <c r="CP264" s="594"/>
      <c r="GI264" s="401"/>
      <c r="GJ264" s="402"/>
      <c r="GK264" s="402"/>
      <c r="GL264" s="402"/>
      <c r="GM264" s="402"/>
    </row>
    <row r="265" spans="1:200" s="394" customFormat="1" hidden="1" x14ac:dyDescent="0.2">
      <c r="I265" s="398"/>
      <c r="R265" s="398"/>
      <c r="AO265" s="667"/>
      <c r="BA265" s="527"/>
      <c r="BC265" s="527"/>
      <c r="BG265" s="529"/>
      <c r="BH265" s="529"/>
      <c r="BM265" s="527"/>
      <c r="BN265" s="527"/>
      <c r="BO265" s="527"/>
      <c r="BQ265" s="409"/>
      <c r="BR265" s="402"/>
      <c r="BS265" s="402"/>
      <c r="BT265" s="402"/>
      <c r="BU265" s="402"/>
      <c r="BV265" s="402"/>
      <c r="BW265" s="410" t="s">
        <v>2950</v>
      </c>
      <c r="BX265" s="410"/>
      <c r="BY265" s="410"/>
      <c r="BZ265" s="410"/>
      <c r="CA265" s="410"/>
      <c r="CB265" s="410" t="s">
        <v>2951</v>
      </c>
      <c r="CC265" s="410"/>
      <c r="CD265" s="411" t="s">
        <v>2814</v>
      </c>
      <c r="CE265" s="411"/>
      <c r="CF265" s="412" t="s">
        <v>2952</v>
      </c>
      <c r="CP265" s="594"/>
      <c r="GI265" s="401"/>
      <c r="GJ265" s="402"/>
      <c r="GK265" s="402"/>
      <c r="GL265" s="402"/>
      <c r="GM265" s="402"/>
    </row>
    <row r="266" spans="1:200" s="394" customFormat="1" hidden="1" x14ac:dyDescent="0.2">
      <c r="I266" s="398"/>
      <c r="R266" s="398"/>
      <c r="AO266" s="667"/>
      <c r="BA266" s="527"/>
      <c r="BC266" s="527"/>
      <c r="BG266" s="529"/>
      <c r="BH266" s="529"/>
      <c r="BM266" s="527"/>
      <c r="BN266" s="527"/>
      <c r="BO266" s="527"/>
      <c r="BQ266" s="409"/>
      <c r="BR266" s="1149" t="s">
        <v>2953</v>
      </c>
      <c r="BS266" s="1149"/>
      <c r="BT266" s="464"/>
      <c r="BU266" s="464"/>
      <c r="BV266" s="464"/>
      <c r="BW266" s="413">
        <f>SUMIFS($BP$11:$BP$260, $BW$11:$BW$260, "Y")</f>
        <v>0</v>
      </c>
      <c r="BX266" s="413"/>
      <c r="BY266" s="413"/>
      <c r="BZ266" s="413"/>
      <c r="CA266" s="413"/>
      <c r="CB266" s="414">
        <f>'Lookup Tables'!$U$47</f>
        <v>0.6</v>
      </c>
      <c r="CC266" s="414"/>
      <c r="CD266" s="415">
        <f>BW268*CB266</f>
        <v>0</v>
      </c>
      <c r="CE266" s="415"/>
      <c r="CF266" s="416">
        <f>'General Information'!$F$19*CB266</f>
        <v>0</v>
      </c>
      <c r="CP266" s="594"/>
      <c r="GI266" s="401"/>
      <c r="GJ266" s="402"/>
      <c r="GK266" s="402"/>
      <c r="GL266" s="402"/>
      <c r="GM266" s="402"/>
    </row>
    <row r="267" spans="1:200" s="394" customFormat="1" hidden="1" x14ac:dyDescent="0.2">
      <c r="I267" s="398"/>
      <c r="R267" s="398"/>
      <c r="AO267" s="667"/>
      <c r="BA267" s="527"/>
      <c r="BC267" s="527"/>
      <c r="BG267" s="529"/>
      <c r="BH267" s="529"/>
      <c r="BM267" s="527"/>
      <c r="BN267" s="527"/>
      <c r="BO267" s="527"/>
      <c r="BQ267" s="1148" t="s">
        <v>2954</v>
      </c>
      <c r="BR267" s="1149"/>
      <c r="BS267" s="1149"/>
      <c r="BT267" s="464"/>
      <c r="BU267" s="464"/>
      <c r="BV267" s="464"/>
      <c r="BW267" s="417">
        <f>SUMIFS($BP$11:$BP$260,$BW$11:$BW$260,"N")+SUM($BQ$11:$BQ$260)</f>
        <v>0</v>
      </c>
      <c r="BX267" s="417"/>
      <c r="BY267" s="417"/>
      <c r="BZ267" s="417"/>
      <c r="CA267" s="417"/>
      <c r="CB267" s="414">
        <f>1-CB266</f>
        <v>0.4</v>
      </c>
      <c r="CC267" s="414"/>
      <c r="CD267" s="415">
        <f>BW268*CB267</f>
        <v>0</v>
      </c>
      <c r="CE267" s="415"/>
      <c r="CF267" s="416">
        <f>'General Information'!$F$19*CB267</f>
        <v>0</v>
      </c>
      <c r="CP267" s="594"/>
      <c r="GI267" s="401"/>
      <c r="GJ267" s="402"/>
      <c r="GK267" s="402"/>
      <c r="GL267" s="402"/>
      <c r="GM267" s="402"/>
    </row>
    <row r="268" spans="1:200" s="394" customFormat="1" hidden="1" x14ac:dyDescent="0.2">
      <c r="I268" s="398"/>
      <c r="R268" s="398"/>
      <c r="AO268" s="667"/>
      <c r="BA268" s="527"/>
      <c r="BC268" s="527"/>
      <c r="BG268" s="529"/>
      <c r="BH268" s="529"/>
      <c r="BM268" s="527"/>
      <c r="BN268" s="527"/>
      <c r="BO268" s="527"/>
      <c r="BQ268" s="418"/>
      <c r="BR268" s="419"/>
      <c r="BS268" s="420"/>
      <c r="BT268" s="420"/>
      <c r="BU268" s="420"/>
      <c r="BV268" s="420"/>
      <c r="BW268" s="421">
        <f>SUM(BW266:BW267)</f>
        <v>0</v>
      </c>
      <c r="BX268" s="421"/>
      <c r="BY268" s="421"/>
      <c r="BZ268" s="421"/>
      <c r="CA268" s="421"/>
      <c r="CB268" s="422"/>
      <c r="CC268" s="422"/>
      <c r="CD268" s="422"/>
      <c r="CE268" s="422"/>
      <c r="CF268" s="423"/>
      <c r="CP268" s="594"/>
      <c r="GI268" s="401"/>
      <c r="GJ268" s="402"/>
      <c r="GK268" s="402"/>
      <c r="GL268" s="402"/>
      <c r="GM268" s="402"/>
    </row>
    <row r="269" spans="1:200" s="394" customFormat="1" hidden="1" x14ac:dyDescent="0.2">
      <c r="I269" s="398"/>
      <c r="R269" s="398"/>
      <c r="AO269" s="667"/>
      <c r="BA269" s="527"/>
      <c r="BC269" s="527"/>
      <c r="BG269" s="529"/>
      <c r="BH269" s="529"/>
      <c r="BM269" s="527"/>
      <c r="BN269" s="527"/>
      <c r="BO269" s="527"/>
      <c r="CF269" s="366"/>
      <c r="CP269" s="594"/>
      <c r="GI269" s="401"/>
      <c r="GJ269" s="402"/>
      <c r="GK269" s="402"/>
      <c r="GL269" s="402"/>
      <c r="GM269" s="402"/>
    </row>
    <row r="270" spans="1:200" s="394" customFormat="1" x14ac:dyDescent="0.2">
      <c r="I270" s="398"/>
      <c r="R270" s="398"/>
      <c r="AO270" s="667"/>
      <c r="BA270" s="527"/>
      <c r="BC270" s="527"/>
      <c r="BG270" s="529"/>
      <c r="BH270" s="529"/>
      <c r="BM270" s="527"/>
      <c r="BN270" s="527"/>
      <c r="BO270" s="527"/>
      <c r="CF270" s="366"/>
      <c r="CP270" s="594"/>
      <c r="GI270" s="401"/>
      <c r="GJ270" s="402"/>
      <c r="GK270" s="402"/>
      <c r="GL270" s="402"/>
      <c r="GM270" s="402"/>
    </row>
    <row r="271" spans="1:200" s="394" customFormat="1" x14ac:dyDescent="0.2">
      <c r="I271" s="398"/>
      <c r="R271" s="398"/>
      <c r="AO271" s="667"/>
      <c r="BA271" s="527"/>
      <c r="BC271" s="527"/>
      <c r="BG271" s="529"/>
      <c r="BH271" s="529"/>
      <c r="BM271" s="527"/>
      <c r="BN271" s="527"/>
      <c r="BO271" s="527"/>
      <c r="CF271" s="366"/>
      <c r="CP271" s="594"/>
      <c r="GI271" s="401"/>
      <c r="GJ271" s="402"/>
      <c r="GK271" s="402"/>
      <c r="GL271" s="402"/>
      <c r="GM271" s="402"/>
    </row>
    <row r="272" spans="1:200" s="394" customFormat="1" x14ac:dyDescent="0.2">
      <c r="I272" s="398"/>
      <c r="R272" s="398"/>
      <c r="AO272" s="667"/>
      <c r="BA272" s="527"/>
      <c r="BC272" s="527"/>
      <c r="BG272" s="529"/>
      <c r="BH272" s="529"/>
      <c r="BM272" s="527"/>
      <c r="BN272" s="527"/>
      <c r="BO272" s="527"/>
      <c r="CF272" s="366"/>
      <c r="CP272" s="594"/>
      <c r="GI272" s="401"/>
      <c r="GJ272" s="402"/>
      <c r="GK272" s="402"/>
      <c r="GL272" s="402"/>
      <c r="GM272" s="402"/>
    </row>
    <row r="273" spans="9:195" s="394" customFormat="1" x14ac:dyDescent="0.2">
      <c r="I273" s="398"/>
      <c r="R273" s="398"/>
      <c r="AO273" s="667"/>
      <c r="BA273" s="527"/>
      <c r="BC273" s="527"/>
      <c r="BG273" s="529"/>
      <c r="BH273" s="529"/>
      <c r="BM273" s="527"/>
      <c r="BN273" s="527"/>
      <c r="BO273" s="527"/>
      <c r="CF273" s="366"/>
      <c r="CP273" s="594"/>
      <c r="GI273" s="401"/>
      <c r="GJ273" s="402"/>
      <c r="GK273" s="402"/>
      <c r="GL273" s="402"/>
      <c r="GM273" s="402"/>
    </row>
    <row r="274" spans="9:195" s="394" customFormat="1" x14ac:dyDescent="0.2">
      <c r="I274" s="398"/>
      <c r="R274" s="398"/>
      <c r="AO274" s="667"/>
      <c r="BA274" s="527"/>
      <c r="BC274" s="527"/>
      <c r="BG274" s="529"/>
      <c r="BH274" s="529"/>
      <c r="BM274" s="527"/>
      <c r="BN274" s="527"/>
      <c r="BO274" s="527"/>
      <c r="CF274" s="366"/>
      <c r="CP274" s="594"/>
      <c r="GI274" s="401"/>
      <c r="GJ274" s="402"/>
      <c r="GK274" s="402"/>
      <c r="GL274" s="402"/>
      <c r="GM274" s="402"/>
    </row>
    <row r="275" spans="9:195" s="394" customFormat="1" x14ac:dyDescent="0.2">
      <c r="I275" s="398"/>
      <c r="R275" s="398"/>
      <c r="AO275" s="667"/>
      <c r="BA275" s="527"/>
      <c r="BC275" s="527"/>
      <c r="BG275" s="529"/>
      <c r="BH275" s="529"/>
      <c r="BM275" s="527"/>
      <c r="BN275" s="527"/>
      <c r="BO275" s="527"/>
      <c r="CF275" s="366"/>
      <c r="CP275" s="594"/>
      <c r="GI275" s="401"/>
      <c r="GJ275" s="402"/>
      <c r="GK275" s="402"/>
      <c r="GL275" s="402"/>
      <c r="GM275" s="402"/>
    </row>
    <row r="276" spans="9:195" s="394" customFormat="1" x14ac:dyDescent="0.2">
      <c r="I276" s="398"/>
      <c r="R276" s="398"/>
      <c r="AO276" s="667"/>
      <c r="BA276" s="527"/>
      <c r="BC276" s="527"/>
      <c r="BG276" s="529"/>
      <c r="BH276" s="529"/>
      <c r="BM276" s="527"/>
      <c r="BN276" s="527"/>
      <c r="BO276" s="527"/>
      <c r="CF276" s="366"/>
      <c r="CP276" s="594"/>
      <c r="GI276" s="401"/>
      <c r="GJ276" s="402"/>
      <c r="GK276" s="402"/>
      <c r="GL276" s="402"/>
      <c r="GM276" s="402"/>
    </row>
  </sheetData>
  <sheetProtection algorithmName="SHA-512" hashValue="wVFBWqgHHNgaZMESLHPdO8fFy4fAorbL47a0iHRoMeddpcqj+26x6/CBQjDvbb0zfRInCwu8Z8J1kly/1RN5hQ==" saltValue="sUTgZfsbZ3KFQ8e3pECcbg==" spinCount="100000" sheet="1" formatColumns="0" selectLockedCells="1" sort="0"/>
  <mergeCells count="194">
    <mergeCell ref="BQ267:BS267"/>
    <mergeCell ref="BR266:BS266"/>
    <mergeCell ref="BW7:BW9"/>
    <mergeCell ref="BR7:BR9"/>
    <mergeCell ref="BP7:BQ7"/>
    <mergeCell ref="EZ7:EZ8"/>
    <mergeCell ref="GM6:GM9"/>
    <mergeCell ref="GB6:GB9"/>
    <mergeCell ref="DU7:DV7"/>
    <mergeCell ref="DW7:DX7"/>
    <mergeCell ref="EP7:EQ7"/>
    <mergeCell ref="EL7:EM7"/>
    <mergeCell ref="EN7:EO7"/>
    <mergeCell ref="EC7:ED7"/>
    <mergeCell ref="GC6:GC9"/>
    <mergeCell ref="DY7:DZ7"/>
    <mergeCell ref="FI7:FJ7"/>
    <mergeCell ref="FK7:FL7"/>
    <mergeCell ref="GJ6:GJ9"/>
    <mergeCell ref="CE8:CE9"/>
    <mergeCell ref="FI6:FJ6"/>
    <mergeCell ref="FK6:FL6"/>
    <mergeCell ref="FM6:FN6"/>
    <mergeCell ref="EF7:EG7"/>
    <mergeCell ref="GQ6:GQ9"/>
    <mergeCell ref="GR6:GR9"/>
    <mergeCell ref="GO6:GO9"/>
    <mergeCell ref="GP6:GP9"/>
    <mergeCell ref="FU7:FV7"/>
    <mergeCell ref="FM7:FN7"/>
    <mergeCell ref="FW7:FW8"/>
    <mergeCell ref="FQ7:FR7"/>
    <mergeCell ref="GK6:GK9"/>
    <mergeCell ref="GL6:GL9"/>
    <mergeCell ref="GH6:GH9"/>
    <mergeCell ref="GI6:GI9"/>
    <mergeCell ref="GD6:GD9"/>
    <mergeCell ref="GE6:GE9"/>
    <mergeCell ref="GF6:GF9"/>
    <mergeCell ref="GG6:GG9"/>
    <mergeCell ref="FX7:FY7"/>
    <mergeCell ref="FZ7:GA7"/>
    <mergeCell ref="FO7:FP7"/>
    <mergeCell ref="FZ6:GA6"/>
    <mergeCell ref="FX6:FY6"/>
    <mergeCell ref="FQ6:FR6"/>
    <mergeCell ref="E8:E9"/>
    <mergeCell ref="F6:H6"/>
    <mergeCell ref="I7:M7"/>
    <mergeCell ref="AY8:AY9"/>
    <mergeCell ref="BD8:BD9"/>
    <mergeCell ref="BK8:BK9"/>
    <mergeCell ref="BL8:BL9"/>
    <mergeCell ref="BE8:BE9"/>
    <mergeCell ref="AF2:AL6"/>
    <mergeCell ref="BI8:BI9"/>
    <mergeCell ref="AZ8:AZ9"/>
    <mergeCell ref="AV8:AV9"/>
    <mergeCell ref="AU8:AU9"/>
    <mergeCell ref="BB8:BB9"/>
    <mergeCell ref="AS8:AS9"/>
    <mergeCell ref="L8:L9"/>
    <mergeCell ref="K8:K9"/>
    <mergeCell ref="S7:AN7"/>
    <mergeCell ref="BJ7:BK7"/>
    <mergeCell ref="U8:U9"/>
    <mergeCell ref="CI8:CI9"/>
    <mergeCell ref="AR8:AR9"/>
    <mergeCell ref="BG8:BG9"/>
    <mergeCell ref="BH8:BH9"/>
    <mergeCell ref="DH7:DI7"/>
    <mergeCell ref="Z8:Z9"/>
    <mergeCell ref="DF7:DG7"/>
    <mergeCell ref="CX7:CY7"/>
    <mergeCell ref="B1:G1"/>
    <mergeCell ref="D5:E5"/>
    <mergeCell ref="B2:C6"/>
    <mergeCell ref="F3:G3"/>
    <mergeCell ref="F4:G4"/>
    <mergeCell ref="N7:R7"/>
    <mergeCell ref="V2:W6"/>
    <mergeCell ref="BT7:BT9"/>
    <mergeCell ref="J8:J9"/>
    <mergeCell ref="D8:D9"/>
    <mergeCell ref="M8:M9"/>
    <mergeCell ref="H8:H9"/>
    <mergeCell ref="F2:G2"/>
    <mergeCell ref="Q8:Q9"/>
    <mergeCell ref="S8:S9"/>
    <mergeCell ref="D7:E7"/>
    <mergeCell ref="BO8:BO9"/>
    <mergeCell ref="R8:R9"/>
    <mergeCell ref="BC8:BC9"/>
    <mergeCell ref="BF8:BF9"/>
    <mergeCell ref="F8:F9"/>
    <mergeCell ref="AH8:AH9"/>
    <mergeCell ref="AX8:AX9"/>
    <mergeCell ref="BS7:BS9"/>
    <mergeCell ref="CB8:CB9"/>
    <mergeCell ref="BQ8:BQ9"/>
    <mergeCell ref="BJ8:BJ9"/>
    <mergeCell ref="BM8:BM9"/>
    <mergeCell ref="T8:T9"/>
    <mergeCell ref="V8:V9"/>
    <mergeCell ref="W8:W9"/>
    <mergeCell ref="BA8:BA9"/>
    <mergeCell ref="BU7:BU9"/>
    <mergeCell ref="BG7:BH7"/>
    <mergeCell ref="BN8:BN9"/>
    <mergeCell ref="BP8:BP9"/>
    <mergeCell ref="X8:X9"/>
    <mergeCell ref="AO8:AO9"/>
    <mergeCell ref="FC6:FD6"/>
    <mergeCell ref="FO6:FP6"/>
    <mergeCell ref="A8:A9"/>
    <mergeCell ref="N8:N9"/>
    <mergeCell ref="B8:B9"/>
    <mergeCell ref="C8:C9"/>
    <mergeCell ref="AW8:AW9"/>
    <mergeCell ref="AL8:AL9"/>
    <mergeCell ref="Y8:Y9"/>
    <mergeCell ref="AB8:AB9"/>
    <mergeCell ref="AC8:AC9"/>
    <mergeCell ref="AD8:AD9"/>
    <mergeCell ref="AE8:AE9"/>
    <mergeCell ref="AI8:AI9"/>
    <mergeCell ref="AJ8:AJ9"/>
    <mergeCell ref="AT8:AT9"/>
    <mergeCell ref="AK8:AK9"/>
    <mergeCell ref="AN8:AN9"/>
    <mergeCell ref="G8:G9"/>
    <mergeCell ref="I8:I9"/>
    <mergeCell ref="O8:P8"/>
    <mergeCell ref="AM8:AM9"/>
    <mergeCell ref="AF8:AF9"/>
    <mergeCell ref="AG8:AG9"/>
    <mergeCell ref="DK7:DL7"/>
    <mergeCell ref="FF6:FG6"/>
    <mergeCell ref="FU6:FV6"/>
    <mergeCell ref="DQ6:DR6"/>
    <mergeCell ref="DS6:DT6"/>
    <mergeCell ref="DU6:DV6"/>
    <mergeCell ref="DW6:DX6"/>
    <mergeCell ref="DY6:DZ6"/>
    <mergeCell ref="EC6:ED6"/>
    <mergeCell ref="EF6:EG6"/>
    <mergeCell ref="FC7:FD7"/>
    <mergeCell ref="EX7:EY7"/>
    <mergeCell ref="EH7:EI7"/>
    <mergeCell ref="DS7:DT7"/>
    <mergeCell ref="DQ7:DR7"/>
    <mergeCell ref="EE7:EE8"/>
    <mergeCell ref="EH6:EI6"/>
    <mergeCell ref="EL6:EM6"/>
    <mergeCell ref="EN6:EO6"/>
    <mergeCell ref="EP6:EQ6"/>
    <mergeCell ref="ER6:ES6"/>
    <mergeCell ref="ET6:EU6"/>
    <mergeCell ref="EX6:EY6"/>
    <mergeCell ref="FA6:FB6"/>
    <mergeCell ref="DM6:DN6"/>
    <mergeCell ref="CT6:CU6"/>
    <mergeCell ref="CV6:CW6"/>
    <mergeCell ref="CX6:CY6"/>
    <mergeCell ref="CZ6:DA6"/>
    <mergeCell ref="DB6:DC6"/>
    <mergeCell ref="DF6:DG6"/>
    <mergeCell ref="DK6:DL6"/>
    <mergeCell ref="DD6:DE6"/>
    <mergeCell ref="DH6:DI6"/>
    <mergeCell ref="FF7:FH7"/>
    <mergeCell ref="DJ7:DJ8"/>
    <mergeCell ref="DD7:DE7"/>
    <mergeCell ref="CD8:CD9"/>
    <mergeCell ref="CN8:CN9"/>
    <mergeCell ref="CJ8:CJ9"/>
    <mergeCell ref="BM7:BN7"/>
    <mergeCell ref="CL8:CL9"/>
    <mergeCell ref="BV7:BV9"/>
    <mergeCell ref="CF8:CF9"/>
    <mergeCell ref="CZ7:DA7"/>
    <mergeCell ref="DB7:DC7"/>
    <mergeCell ref="CK8:CK9"/>
    <mergeCell ref="CM8:CM9"/>
    <mergeCell ref="CO8:CO9"/>
    <mergeCell ref="CV7:CW7"/>
    <mergeCell ref="CC8:CC9"/>
    <mergeCell ref="CT7:CU7"/>
    <mergeCell ref="CH8:CH9"/>
    <mergeCell ref="CP8:CP9"/>
    <mergeCell ref="ER7:ES7"/>
    <mergeCell ref="ET7:EU7"/>
    <mergeCell ref="FA7:FB7"/>
    <mergeCell ref="DM7:DN7"/>
  </mergeCells>
  <phoneticPr fontId="89" type="noConversion"/>
  <conditionalFormatting sqref="E11:F260">
    <cfRule type="expression" dxfId="58" priority="13">
      <formula>IF($GJ11="Y", TRUE, FALSE)</formula>
    </cfRule>
  </conditionalFormatting>
  <conditionalFormatting sqref="F7:H7">
    <cfRule type="expression" dxfId="57" priority="77">
      <formula>IF($F$7="Please specify the FirstEnergy Operating Company on the General Information tab", TRUE, FALSE)</formula>
    </cfRule>
  </conditionalFormatting>
  <conditionalFormatting sqref="G11:G260">
    <cfRule type="expression" dxfId="56" priority="12">
      <formula>IF($GK11="Y", TRUE, FALSE)</formula>
    </cfRule>
  </conditionalFormatting>
  <conditionalFormatting sqref="H11:H260">
    <cfRule type="expression" dxfId="55" priority="11">
      <formula>IF($GL11="Y", TRUE, FALSE)</formula>
    </cfRule>
  </conditionalFormatting>
  <conditionalFormatting sqref="I11:M260">
    <cfRule type="expression" dxfId="54" priority="133">
      <formula>IF($B11="New Construction", TRUE, FALSE)</formula>
    </cfRule>
  </conditionalFormatting>
  <conditionalFormatting sqref="J11:J260">
    <cfRule type="expression" dxfId="53" priority="16">
      <formula>IF(AND($J11&lt;&gt;"", $K11=""), TRUE, FALSE)</formula>
    </cfRule>
    <cfRule type="expression" dxfId="52" priority="17">
      <formula>IF($BV11="Y", 1, 0)</formula>
    </cfRule>
    <cfRule type="expression" dxfId="51" priority="21">
      <formula>IF($GH11="Y", TRUE, FALSE)</formula>
    </cfRule>
    <cfRule type="expression" dxfId="50" priority="22">
      <formula>IF($BR11="Y", TRUE, FALSE)</formula>
    </cfRule>
  </conditionalFormatting>
  <conditionalFormatting sqref="M11:M260">
    <cfRule type="expression" dxfId="49" priority="67">
      <formula>IF($GI11="Y", TRUE, FALSE)</formula>
    </cfRule>
  </conditionalFormatting>
  <conditionalFormatting sqref="N11:R260">
    <cfRule type="expression" dxfId="48" priority="134" stopIfTrue="1">
      <formula>IF($B11="Retrofit", TRUE, FALSE)</formula>
    </cfRule>
  </conditionalFormatting>
  <conditionalFormatting sqref="R11:R260">
    <cfRule type="expression" dxfId="47" priority="115" stopIfTrue="1">
      <formula>IF($R11="ERROR", TRUE, FALSE)</formula>
    </cfRule>
  </conditionalFormatting>
  <conditionalFormatting sqref="S11:W260">
    <cfRule type="expression" dxfId="46" priority="24">
      <formula>IF($BW11="Y", TRUE, FALSE)</formula>
    </cfRule>
  </conditionalFormatting>
  <conditionalFormatting sqref="V11:W260">
    <cfRule type="expression" dxfId="45" priority="6">
      <formula>IF($BO11="Y", TRUE, FALSE)</formula>
    </cfRule>
    <cfRule type="expression" dxfId="44" priority="7">
      <formula>IF($Z11="← Selection Mismatch", TRUE, FALSE)</formula>
    </cfRule>
  </conditionalFormatting>
  <conditionalFormatting sqref="AC11:AC260">
    <cfRule type="expression" dxfId="43" priority="74">
      <formula>IF($AC11="← Selection Mismatch", TRUE, FALSE)</formula>
    </cfRule>
    <cfRule type="expression" dxfId="42" priority="98">
      <formula>IF($AC11="$37.5 Per Door", TRUE, FALSE)</formula>
    </cfRule>
    <cfRule type="expression" dxfId="41" priority="60">
      <formula>IF($AC11="$5 Per Lamp", TRUE, FALSE)</formula>
    </cfRule>
    <cfRule type="expression" dxfId="40" priority="61">
      <formula>IF($AC11="$3 linear foot", TRUE, FALSE)</formula>
    </cfRule>
    <cfRule type="expression" dxfId="39" priority="62">
      <formula>IF($AC11="$15 Per Sign", TRUE, FALSE)</formula>
    </cfRule>
    <cfRule type="expression" dxfId="38" priority="88">
      <formula>IF($GC11="Yes", TRUE, FALSE)</formula>
    </cfRule>
  </conditionalFormatting>
  <conditionalFormatting sqref="AC11:AJ260 AL11:AQ23 AL24:AM25 AL26:AQ260 AO24:AQ25 AT11:AT260">
    <cfRule type="expression" dxfId="37" priority="136">
      <formula>IF($CD11&lt;0, TRUE, FALSE)</formula>
    </cfRule>
  </conditionalFormatting>
  <conditionalFormatting sqref="AD14:AD260">
    <cfRule type="expression" dxfId="36" priority="85">
      <formula>IF($V14="Custom", TRUE, FALSE)</formula>
    </cfRule>
    <cfRule type="expression" dxfId="35" priority="138" stopIfTrue="1">
      <formula>IF(AND($V14="LED Traffic Signals - Round", $AD14=""), TRUE, FALSE)</formula>
    </cfRule>
    <cfRule type="expression" dxfId="34" priority="139" stopIfTrue="1">
      <formula>IF(AND($V14="LED Traffic Signals - Turn Arrows", $AD14=""), TRUE, FALSE)</formula>
    </cfRule>
    <cfRule type="expression" dxfId="33" priority="140" stopIfTrue="1">
      <formula>IF(AND($V14="LED Traffic Signals - Pedestrian Signals", $AD14=""), TRUE, FALSE)</formula>
    </cfRule>
  </conditionalFormatting>
  <conditionalFormatting sqref="AE11:AH260 AL11:AL260">
    <cfRule type="expression" dxfId="32" priority="122">
      <formula>IF($AL11="← ENTER POST WATTS", TRUE, FALSE)</formula>
    </cfRule>
  </conditionalFormatting>
  <conditionalFormatting sqref="AE11:AH260">
    <cfRule type="expression" dxfId="31" priority="125">
      <formula>IF($V11="No Change", TRUE, FALSE)</formula>
    </cfRule>
    <cfRule type="expression" dxfId="30" priority="128">
      <formula>IF($V11="Custom", TRUE, FALSE)</formula>
    </cfRule>
  </conditionalFormatting>
  <conditionalFormatting sqref="AF11:AF260">
    <cfRule type="expression" dxfId="29" priority="169">
      <formula>IF(AND($AF11="", $GF11="Y"), TRUE, FALSE)</formula>
    </cfRule>
  </conditionalFormatting>
  <conditionalFormatting sqref="AF2:AL6 AF8:AF9">
    <cfRule type="expression" dxfId="28" priority="66">
      <formula>IF($GF$261&gt;0, TRUE, FALSE)</formula>
    </cfRule>
  </conditionalFormatting>
  <conditionalFormatting sqref="AI11:AI260">
    <cfRule type="expression" dxfId="27" priority="91">
      <formula>IF($V11="LED Channel Signage", FALSE, TRUE)</formula>
    </cfRule>
    <cfRule type="expression" dxfId="26" priority="142">
      <formula>IF(AND($V11="LED Channel Signage", $AI11=""), TRUE, FALSE)</formula>
    </cfRule>
  </conditionalFormatting>
  <conditionalFormatting sqref="AI11:AJ260">
    <cfRule type="expression" dxfId="25" priority="87">
      <formula>IF($B11="", TRUE, FALSE)</formula>
    </cfRule>
  </conditionalFormatting>
  <conditionalFormatting sqref="AJ11:AJ260">
    <cfRule type="expression" dxfId="24" priority="92">
      <formula>IF(AND($V11="LED Reach-in Case Lighting",$BS11="Y"), FALSE, TRUE)</formula>
    </cfRule>
    <cfRule type="expression" dxfId="23" priority="141">
      <formula>IF(AND($V11="LED Reach-in Case Lighting",$BS11="Y", $AJ11=""), TRUE, FALSE)</formula>
    </cfRule>
  </conditionalFormatting>
  <conditionalFormatting sqref="AK11:AK260">
    <cfRule type="expression" dxfId="22" priority="82">
      <formula>IF($CK11&lt;0, TRUE, FALSE)</formula>
    </cfRule>
  </conditionalFormatting>
  <conditionalFormatting sqref="AM11:AM260">
    <cfRule type="expression" dxfId="21" priority="124">
      <formula>IF($AM11="← ENTER POST WATTS", TRUE, FALSE)</formula>
    </cfRule>
  </conditionalFormatting>
  <conditionalFormatting sqref="AN24">
    <cfRule type="expression" dxfId="20" priority="189">
      <formula>IF($V25="Exit Signs", TRUE, FALSE)</formula>
    </cfRule>
    <cfRule type="expression" dxfId="19" priority="183">
      <formula>IF($CD25&lt;0, TRUE, FALSE)</formula>
    </cfRule>
    <cfRule type="expression" dxfId="18" priority="190">
      <formula>IF($GM25="Y", TRUE, FALSE)</formula>
    </cfRule>
  </conditionalFormatting>
  <conditionalFormatting sqref="AN11:AQ23 AO24:AQ25 AN26:AQ260">
    <cfRule type="expression" dxfId="17" priority="59">
      <formula>IF($GM11="Y", TRUE, FALSE)</formula>
    </cfRule>
    <cfRule type="expression" dxfId="16" priority="1">
      <formula>IF($V11="Exit Signs", TRUE, FALSE)</formula>
    </cfRule>
  </conditionalFormatting>
  <conditionalFormatting sqref="AO11:AO23 AO26:AO260">
    <cfRule type="expression" dxfId="15" priority="3">
      <formula>IF(AND($AN11&lt;&gt;"",$AO11=""),TRUE,FALSE)</formula>
    </cfRule>
  </conditionalFormatting>
  <conditionalFormatting sqref="AO24">
    <cfRule type="expression" dxfId="14" priority="193">
      <formula>IF(AND(#REF!&lt;&gt;"",$AO24=""),TRUE,FALSE)</formula>
    </cfRule>
  </conditionalFormatting>
  <conditionalFormatting sqref="AO25">
    <cfRule type="expression" dxfId="13" priority="192">
      <formula>IF(AND($AN24&lt;&gt;"",$AO25=""),TRUE,FALSE)</formula>
    </cfRule>
  </conditionalFormatting>
  <conditionalFormatting sqref="AP11:AP23 AP26:AP260">
    <cfRule type="expression" dxfId="12" priority="2">
      <formula>IF(AND($AN11&lt;&gt;"",$AP11=""),TRUE,FALSE)</formula>
    </cfRule>
  </conditionalFormatting>
  <conditionalFormatting sqref="AP24">
    <cfRule type="expression" dxfId="11" priority="196">
      <formula>IF(AND(#REF!&lt;&gt;"",$AP24=""),TRUE,FALSE)</formula>
    </cfRule>
  </conditionalFormatting>
  <conditionalFormatting sqref="AP25">
    <cfRule type="expression" dxfId="10" priority="195">
      <formula>IF(AND($AN24&lt;&gt;"",$AP25=""),TRUE,FALSE)</formula>
    </cfRule>
  </conditionalFormatting>
  <conditionalFormatting sqref="AQ11:AQ23 AQ26:AQ259">
    <cfRule type="expression" dxfId="9" priority="43">
      <formula>IF(AND($AN11&lt;&gt;"",$AQ11=""),TRUE,FALSE)</formula>
    </cfRule>
  </conditionalFormatting>
  <conditionalFormatting sqref="AQ24">
    <cfRule type="expression" dxfId="8" priority="199">
      <formula>IF(AND(#REF!&lt;&gt;"",$AQ24=""),TRUE,FALSE)</formula>
    </cfRule>
  </conditionalFormatting>
  <conditionalFormatting sqref="AQ25">
    <cfRule type="expression" dxfId="7" priority="198">
      <formula>IF(AND($AN24&lt;&gt;"",$AQ25=""),TRUE,FALSE)</formula>
    </cfRule>
  </conditionalFormatting>
  <conditionalFormatting sqref="AX11:AX260">
    <cfRule type="expression" dxfId="6" priority="113" stopIfTrue="1">
      <formula>IF($AX11="Choose Schedule", TRUE, FALSE)</formula>
    </cfRule>
    <cfRule type="expression" dxfId="5" priority="101" stopIfTrue="1">
      <formula>IF($AX11="← Choose Schedule", TRUE, FALSE)</formula>
    </cfRule>
  </conditionalFormatting>
  <conditionalFormatting sqref="CB268:CC268">
    <cfRule type="expression" dxfId="4" priority="75">
      <formula>IF($CM$267=TRUE, TRUE, FALSE)</formula>
    </cfRule>
  </conditionalFormatting>
  <conditionalFormatting sqref="CB11:CD260">
    <cfRule type="expression" dxfId="3" priority="123">
      <formula>IF($CD11="ERROR", TRUE, FALSE)</formula>
    </cfRule>
  </conditionalFormatting>
  <conditionalFormatting sqref="CE11:CF260">
    <cfRule type="expression" dxfId="2" priority="42">
      <formula>IF($CN11="ERROR", TRUE, FALSE)</formula>
    </cfRule>
  </conditionalFormatting>
  <dataValidations count="12">
    <dataValidation type="list" allowBlank="1" showInputMessage="1" showErrorMessage="1" sqref="E11:E260" xr:uid="{6B65FA24-D3EA-4B61-A953-DDD137B10820}">
      <formula1>Interior_or_Exterior</formula1>
    </dataValidation>
    <dataValidation type="list" allowBlank="1" showInputMessage="1" showErrorMessage="1" sqref="AV11:AV260" xr:uid="{41E2F1B0-9611-498B-8A9F-9193B10E1DB0}">
      <formula1>INDIRECT("EFLH_App_Prescribed")</formula1>
    </dataValidation>
    <dataValidation type="list" allowBlank="1" showInputMessage="1" showErrorMessage="1" sqref="W11:W260" xr:uid="{1A83314E-FCED-4679-8C9E-FA534D287D83}">
      <formula1>INDIRECT($CM11)</formula1>
    </dataValidation>
    <dataValidation type="list" allowBlank="1" showInputMessage="1" showErrorMessage="1" sqref="F11:F260" xr:uid="{65DBB7AC-CA54-4772-8A06-CB98521BD568}">
      <formula1>INDIRECT($CI11)</formula1>
    </dataValidation>
    <dataValidation type="list" allowBlank="1" showInputMessage="1" showErrorMessage="1" sqref="H11:H260" xr:uid="{AD004F40-48FB-4BCB-8A00-67F6C9AC078E}">
      <formula1>INDIRECT($CK11)</formula1>
    </dataValidation>
    <dataValidation type="list" allowBlank="1" showInputMessage="1" showErrorMessage="1" sqref="G11:G260" xr:uid="{35EA7148-B4E2-4239-BAF3-8258A6472A7D}">
      <formula1>INDIRECT($CJ11)</formula1>
    </dataValidation>
    <dataValidation type="list" allowBlank="1" showInputMessage="1" showErrorMessage="1" sqref="N11:N260" xr:uid="{B2CF5684-7979-4FD0-9D1C-1F1EB5EADF93}">
      <formula1>INDIRECT($CO11)</formula1>
    </dataValidation>
    <dataValidation type="list" operator="lessThanOrEqual" allowBlank="1" showInputMessage="1" showErrorMessage="1" sqref="AW11:AW260" xr:uid="{D1B6C9BF-FA55-4F01-B8E5-4F9EC5BD475D}">
      <formula1>INDIRECT($CN11)</formula1>
    </dataValidation>
    <dataValidation type="list" allowBlank="1" showInputMessage="1" showErrorMessage="1" sqref="V11:V260" xr:uid="{CEBCFEB3-EA0C-4B43-906E-2E90694911FE}">
      <formula1>INDIRECT($CL11)</formula1>
    </dataValidation>
    <dataValidation type="list" allowBlank="1" showInputMessage="1" showErrorMessage="1" sqref="B11:B260" xr:uid="{C349A78A-4E2E-499E-BE88-4583511D5808}">
      <formula1>Proj_Type</formula1>
    </dataValidation>
    <dataValidation type="list" allowBlank="1" showInputMessage="1" showErrorMessage="1" sqref="AN11:AN23 AN26:AN260" xr:uid="{15A6BD9F-D361-471C-ACC2-BDE326FFF28E}">
      <formula1>INDIRECT($CQ11)</formula1>
    </dataValidation>
    <dataValidation type="list" allowBlank="1" showInputMessage="1" showErrorMessage="1" sqref="AN24" xr:uid="{C252FBAD-914A-42DE-9163-E08334A61B41}">
      <formula1>INDIRECT($CQ25)</formula1>
    </dataValidation>
  </dataValidation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9867B9AD-C396-4DEB-B141-7BA992223961}">
          <x14:formula1>
            <xm:f>'Fixture Identities'!$A$7:$A$1023</xm:f>
          </x14:formula1>
          <xm:sqref>J11:J260</xm:sqref>
        </x14:dataValidation>
        <x14:dataValidation type="list" allowBlank="1" showInputMessage="1" showErrorMessage="1" xr:uid="{585C8DBD-433F-421E-916D-6B7C10D74BE9}">
          <x14:formula1>
            <xm:f>'Lookup Tables'!$R$91:$R$100</xm:f>
          </x14:formula1>
          <xm:sqref>M11:M260</xm:sqref>
        </x14:dataValidation>
        <x14:dataValidation type="list" allowBlank="1" showInputMessage="1" showErrorMessage="1" xr:uid="{D4A79007-5B55-4D9B-9BBD-FD8E6037463D}">
          <x14:formula1>
            <xm:f>'Lookup Tables'!$R$115:$R$118</xm:f>
          </x14:formula1>
          <xm:sqref>AO11:AO260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autoPageBreaks="0" fitToPage="1"/>
  </sheetPr>
  <dimension ref="A1:AX2003"/>
  <sheetViews>
    <sheetView topLeftCell="N82" zoomScale="70" zoomScaleNormal="70" workbookViewId="0">
      <selection activeCell="Y103" sqref="Y103"/>
    </sheetView>
  </sheetViews>
  <sheetFormatPr defaultRowHeight="15" x14ac:dyDescent="0.25"/>
  <cols>
    <col min="1" max="1" width="46.5703125" style="576" customWidth="1"/>
    <col min="2" max="2" width="34.85546875" style="576" customWidth="1"/>
    <col min="3" max="3" width="28.42578125" style="576" customWidth="1"/>
    <col min="4" max="4" width="23.85546875" style="576" customWidth="1"/>
    <col min="5" max="5" width="23.7109375" style="576" bestFit="1" customWidth="1"/>
    <col min="6" max="6" width="18.5703125" style="576" customWidth="1"/>
    <col min="7" max="7" width="19.7109375" style="576" customWidth="1"/>
    <col min="8" max="8" width="19.7109375" style="576" hidden="1" customWidth="1"/>
    <col min="9" max="9" width="23.28515625" style="576" customWidth="1"/>
    <col min="10" max="10" width="25.28515625" style="576" customWidth="1"/>
    <col min="11" max="11" width="24.7109375" style="576" customWidth="1"/>
    <col min="12" max="12" width="23.5703125" style="576" bestFit="1" customWidth="1"/>
    <col min="13" max="13" width="4" style="576" customWidth="1"/>
    <col min="14" max="14" width="57.28515625" style="576" bestFit="1" customWidth="1"/>
    <col min="15" max="15" width="11.7109375" style="576" customWidth="1"/>
    <col min="16" max="17" width="3.85546875" style="576" customWidth="1"/>
    <col min="18" max="18" width="29.5703125" style="576" bestFit="1" customWidth="1"/>
    <col min="19" max="19" width="28.5703125" style="576" bestFit="1" customWidth="1"/>
    <col min="20" max="20" width="28.140625" style="576" bestFit="1" customWidth="1"/>
    <col min="21" max="21" width="37.140625" style="576" bestFit="1" customWidth="1"/>
    <col min="22" max="22" width="20.7109375" style="576" bestFit="1" customWidth="1"/>
    <col min="23" max="23" width="14.42578125" style="576" bestFit="1" customWidth="1"/>
    <col min="24" max="24" width="18.140625" style="576" bestFit="1" customWidth="1"/>
    <col min="25" max="25" width="41.7109375" style="576" bestFit="1" customWidth="1"/>
    <col min="26" max="26" width="24.5703125" style="576" bestFit="1" customWidth="1"/>
    <col min="27" max="27" width="24.28515625" style="576" customWidth="1"/>
    <col min="28" max="29" width="5" style="576" customWidth="1"/>
    <col min="30" max="30" width="52.85546875" style="576" bestFit="1" customWidth="1"/>
    <col min="31" max="31" width="21.7109375" style="576" customWidth="1"/>
    <col min="32" max="32" width="53.85546875" style="576" customWidth="1"/>
    <col min="33" max="33" width="34.140625" style="576" customWidth="1"/>
    <col min="34" max="34" width="44.5703125" style="576" bestFit="1" customWidth="1"/>
    <col min="35" max="35" width="41.28515625" style="576" bestFit="1" customWidth="1"/>
    <col min="36" max="36" width="30.7109375" style="576" bestFit="1" customWidth="1"/>
    <col min="37" max="38" width="41.140625" style="576" customWidth="1"/>
    <col min="39" max="39" width="12.140625" style="576" bestFit="1" customWidth="1"/>
    <col min="40" max="40" width="11.42578125" style="576" bestFit="1" customWidth="1"/>
    <col min="41" max="41" width="17.85546875" style="576" customWidth="1"/>
    <col min="42" max="42" width="16.42578125" style="613" bestFit="1" customWidth="1"/>
    <col min="43" max="43" width="12.140625" style="613" customWidth="1"/>
    <col min="44" max="44" width="12.5703125" style="613" bestFit="1" customWidth="1"/>
    <col min="45" max="45" width="16.85546875" style="613" bestFit="1" customWidth="1"/>
    <col min="46" max="46" width="22" style="613" bestFit="1" customWidth="1"/>
    <col min="47" max="47" width="27.85546875" style="613" bestFit="1" customWidth="1"/>
    <col min="48" max="48" width="7.85546875" style="614" customWidth="1"/>
    <col min="49" max="49" width="27.85546875" style="614" customWidth="1"/>
    <col min="50" max="50" width="23.5703125" style="614" bestFit="1" customWidth="1"/>
    <col min="51" max="16384" width="9.140625" style="576"/>
  </cols>
  <sheetData>
    <row r="1" spans="1:50" x14ac:dyDescent="0.25">
      <c r="A1" s="612" t="s">
        <v>2955</v>
      </c>
      <c r="B1" s="477" t="s">
        <v>4574</v>
      </c>
      <c r="C1" s="249"/>
      <c r="D1" s="249"/>
      <c r="E1" s="249"/>
      <c r="F1" s="249"/>
      <c r="G1" s="249"/>
      <c r="H1" s="249"/>
      <c r="I1" s="249"/>
      <c r="J1" s="249"/>
      <c r="K1" s="249"/>
      <c r="L1" s="249"/>
      <c r="M1" s="249"/>
      <c r="N1" s="249"/>
      <c r="O1" s="249"/>
      <c r="P1" s="249"/>
      <c r="Q1" s="249"/>
      <c r="R1" s="249"/>
      <c r="S1" s="249"/>
      <c r="T1" s="249"/>
      <c r="U1" s="249"/>
      <c r="V1" s="249"/>
    </row>
    <row r="2" spans="1:50" x14ac:dyDescent="0.25">
      <c r="A2" s="615"/>
      <c r="B2" s="616"/>
      <c r="C2" s="249"/>
      <c r="D2" s="249"/>
      <c r="E2" s="249"/>
      <c r="F2" s="249"/>
      <c r="G2" s="249"/>
      <c r="H2" s="249"/>
      <c r="I2" s="249"/>
      <c r="J2" s="466" t="s">
        <v>2956</v>
      </c>
      <c r="K2" s="617"/>
      <c r="L2" s="249"/>
      <c r="M2" s="249"/>
      <c r="N2" s="249"/>
      <c r="O2" s="249"/>
      <c r="P2" s="190"/>
      <c r="Q2" s="249"/>
      <c r="R2" s="249"/>
      <c r="S2" s="249"/>
      <c r="T2" s="249"/>
      <c r="U2" s="249"/>
      <c r="V2" s="249"/>
    </row>
    <row r="3" spans="1:50" ht="15" customHeight="1" x14ac:dyDescent="0.25">
      <c r="A3" s="53"/>
      <c r="B3" s="53"/>
      <c r="C3" s="1172" t="s">
        <v>2957</v>
      </c>
      <c r="D3" s="1173"/>
      <c r="E3" s="1174"/>
      <c r="F3" s="1172" t="s">
        <v>2958</v>
      </c>
      <c r="G3" s="1173"/>
      <c r="H3" s="1174"/>
      <c r="I3" s="1166" t="s">
        <v>2959</v>
      </c>
      <c r="J3" s="1161" t="s">
        <v>4567</v>
      </c>
      <c r="K3" s="1164" t="s">
        <v>2960</v>
      </c>
      <c r="L3" s="1164" t="s">
        <v>2961</v>
      </c>
      <c r="M3" s="618"/>
      <c r="N3" s="249"/>
      <c r="O3" s="249"/>
      <c r="P3" s="190"/>
      <c r="Q3" s="618"/>
      <c r="R3" s="249"/>
      <c r="S3" s="249"/>
      <c r="T3" s="249"/>
      <c r="U3" s="249"/>
      <c r="V3" s="249"/>
      <c r="W3" s="249"/>
      <c r="X3" s="249"/>
      <c r="AD3" s="1153" t="s">
        <v>2962</v>
      </c>
      <c r="AE3" s="1153"/>
      <c r="AF3" s="1153" t="s">
        <v>2963</v>
      </c>
      <c r="AG3" s="1153"/>
      <c r="AH3" s="1153"/>
      <c r="AI3" s="1153"/>
      <c r="AJ3" s="1153"/>
      <c r="AK3" s="1153"/>
      <c r="AL3" s="1153"/>
      <c r="AM3" s="1153"/>
      <c r="AN3" s="1153"/>
      <c r="AO3" s="1153"/>
      <c r="AP3" s="1153"/>
      <c r="AQ3" s="1153"/>
      <c r="AR3" s="1153"/>
      <c r="AS3" s="1153"/>
      <c r="AT3" s="1153"/>
      <c r="AU3" s="1153"/>
      <c r="AW3" s="614" t="s">
        <v>2964</v>
      </c>
      <c r="AX3" s="614" t="s">
        <v>2965</v>
      </c>
    </row>
    <row r="4" spans="1:50" x14ac:dyDescent="0.25">
      <c r="A4" s="53"/>
      <c r="B4" s="1161" t="s">
        <v>2966</v>
      </c>
      <c r="C4" s="1175"/>
      <c r="D4" s="1176"/>
      <c r="E4" s="1177"/>
      <c r="F4" s="1183"/>
      <c r="G4" s="1184"/>
      <c r="H4" s="1185"/>
      <c r="I4" s="1167"/>
      <c r="J4" s="1161"/>
      <c r="K4" s="1165"/>
      <c r="L4" s="1182"/>
      <c r="M4" s="618"/>
      <c r="N4" s="1169" t="s">
        <v>2967</v>
      </c>
      <c r="O4" s="1169"/>
      <c r="P4" s="190"/>
      <c r="Q4" s="618"/>
      <c r="R4" s="1162" t="s">
        <v>2968</v>
      </c>
      <c r="S4" s="1169" t="s">
        <v>2969</v>
      </c>
      <c r="T4" s="1169"/>
      <c r="U4" s="1169"/>
      <c r="V4" s="1166" t="s">
        <v>2970</v>
      </c>
      <c r="W4" s="249"/>
      <c r="X4" s="249"/>
      <c r="Y4" s="1153" t="s">
        <v>2971</v>
      </c>
      <c r="Z4" s="1153"/>
      <c r="AB4" s="249"/>
      <c r="AC4" s="249"/>
      <c r="AD4" s="1153"/>
      <c r="AE4" s="1153"/>
      <c r="AF4" s="1153"/>
      <c r="AG4" s="1153"/>
      <c r="AH4" s="1153"/>
      <c r="AI4" s="1153"/>
      <c r="AJ4" s="1153"/>
      <c r="AK4" s="1153"/>
      <c r="AL4" s="1153"/>
      <c r="AM4" s="1153"/>
      <c r="AN4" s="1153"/>
      <c r="AO4" s="1153"/>
      <c r="AP4" s="1153"/>
      <c r="AQ4" s="1153"/>
      <c r="AR4" s="1153"/>
      <c r="AS4" s="1153"/>
      <c r="AT4" s="1153"/>
      <c r="AU4" s="1153"/>
      <c r="AW4" s="614">
        <v>1</v>
      </c>
      <c r="AX4" s="614" t="s">
        <v>258</v>
      </c>
    </row>
    <row r="5" spans="1:50" ht="30" x14ac:dyDescent="0.25">
      <c r="A5" s="466" t="s">
        <v>67</v>
      </c>
      <c r="B5" s="1161"/>
      <c r="C5" s="466" t="s">
        <v>2972</v>
      </c>
      <c r="D5" s="466" t="s">
        <v>2973</v>
      </c>
      <c r="E5" s="466" t="s">
        <v>2974</v>
      </c>
      <c r="F5" s="466" t="s">
        <v>2972</v>
      </c>
      <c r="G5" s="466" t="s">
        <v>2973</v>
      </c>
      <c r="H5" s="466" t="s">
        <v>2974</v>
      </c>
      <c r="I5" s="1168"/>
      <c r="J5" s="466" t="s">
        <v>2975</v>
      </c>
      <c r="K5" s="1165"/>
      <c r="L5" s="1182"/>
      <c r="M5" s="618"/>
      <c r="N5" s="466" t="s">
        <v>4576</v>
      </c>
      <c r="O5" s="466" t="s">
        <v>2976</v>
      </c>
      <c r="P5" s="190"/>
      <c r="Q5" s="618"/>
      <c r="R5" s="1163"/>
      <c r="S5" s="185" t="s">
        <v>2977</v>
      </c>
      <c r="T5" s="185" t="s">
        <v>2978</v>
      </c>
      <c r="U5" s="185" t="s">
        <v>2979</v>
      </c>
      <c r="V5" s="1181"/>
      <c r="W5" s="249"/>
      <c r="X5" s="249"/>
      <c r="Y5" s="48" t="s">
        <v>63</v>
      </c>
      <c r="Z5" s="61" t="s">
        <v>2980</v>
      </c>
      <c r="AB5" s="249"/>
      <c r="AC5" s="249"/>
      <c r="AD5" s="49" t="s">
        <v>2981</v>
      </c>
      <c r="AE5" s="49" t="s">
        <v>2982</v>
      </c>
      <c r="AF5" s="50" t="s">
        <v>2983</v>
      </c>
      <c r="AG5" s="49" t="s">
        <v>2982</v>
      </c>
      <c r="AH5" s="51" t="s">
        <v>96</v>
      </c>
      <c r="AI5" s="51" t="s">
        <v>2984</v>
      </c>
      <c r="AJ5" s="51" t="s">
        <v>2985</v>
      </c>
      <c r="AK5" s="467" t="s">
        <v>2986</v>
      </c>
      <c r="AL5" s="467" t="s">
        <v>2987</v>
      </c>
      <c r="AM5" s="52" t="s">
        <v>324</v>
      </c>
      <c r="AN5" s="52" t="s">
        <v>88</v>
      </c>
      <c r="AO5" s="52" t="s">
        <v>2988</v>
      </c>
      <c r="AP5" s="52" t="s">
        <v>2989</v>
      </c>
      <c r="AQ5" s="52" t="s">
        <v>2990</v>
      </c>
      <c r="AR5" s="52" t="s">
        <v>2991</v>
      </c>
      <c r="AS5" s="52" t="s">
        <v>2992</v>
      </c>
      <c r="AT5" s="52" t="s">
        <v>2993</v>
      </c>
      <c r="AU5" s="52" t="s">
        <v>2994</v>
      </c>
      <c r="AW5" s="613">
        <v>2</v>
      </c>
      <c r="AX5" s="614" t="s">
        <v>2995</v>
      </c>
    </row>
    <row r="6" spans="1:50" x14ac:dyDescent="0.25">
      <c r="A6" s="478" t="s">
        <v>2996</v>
      </c>
      <c r="B6" s="478" t="s">
        <v>2997</v>
      </c>
      <c r="C6" s="569">
        <v>2944</v>
      </c>
      <c r="D6" s="570">
        <v>0.39</v>
      </c>
      <c r="E6" s="570">
        <v>0.38</v>
      </c>
      <c r="F6" s="569">
        <v>2371</v>
      </c>
      <c r="G6" s="570">
        <v>0.45</v>
      </c>
      <c r="H6" s="570">
        <v>0.41</v>
      </c>
      <c r="I6" s="570" t="s">
        <v>2998</v>
      </c>
      <c r="J6" s="479">
        <v>0.81</v>
      </c>
      <c r="K6" s="571">
        <v>0.17</v>
      </c>
      <c r="L6" s="572" t="s">
        <v>2999</v>
      </c>
      <c r="M6" s="618"/>
      <c r="N6" s="478" t="s">
        <v>3000</v>
      </c>
      <c r="O6" s="479">
        <v>1</v>
      </c>
      <c r="P6" s="190"/>
      <c r="Q6" s="618"/>
      <c r="R6" s="30" t="s">
        <v>3001</v>
      </c>
      <c r="S6" s="619">
        <v>0.192</v>
      </c>
      <c r="T6" s="620">
        <v>0</v>
      </c>
      <c r="U6" s="619">
        <v>3.1E-2</v>
      </c>
      <c r="V6" s="621" t="s">
        <v>3002</v>
      </c>
      <c r="W6" s="249"/>
      <c r="X6" s="249"/>
      <c r="Y6" s="27" t="s">
        <v>3003</v>
      </c>
      <c r="Z6" s="3" t="s">
        <v>2714</v>
      </c>
      <c r="AA6" s="6"/>
      <c r="AB6" s="249"/>
      <c r="AC6" s="249"/>
      <c r="AD6" s="31" t="s">
        <v>3004</v>
      </c>
      <c r="AE6" s="31" t="s">
        <v>3005</v>
      </c>
      <c r="AF6" s="31" t="s">
        <v>3006</v>
      </c>
      <c r="AG6" s="622" t="s">
        <v>3007</v>
      </c>
      <c r="AH6" s="31" t="s">
        <v>3004</v>
      </c>
      <c r="AI6" s="31" t="s">
        <v>3008</v>
      </c>
      <c r="AJ6" s="31" t="s">
        <v>3005</v>
      </c>
      <c r="AK6" s="623" t="s">
        <v>2802</v>
      </c>
      <c r="AL6" s="623" t="s">
        <v>2802</v>
      </c>
      <c r="AM6" s="704">
        <f>0.05*'Project Summary'!M14</f>
        <v>2.5000000000000001E-2</v>
      </c>
      <c r="AN6" s="37" t="s">
        <v>3009</v>
      </c>
      <c r="AO6" s="70" t="s">
        <v>526</v>
      </c>
      <c r="AP6" s="37">
        <v>13</v>
      </c>
      <c r="AQ6" s="70"/>
      <c r="AR6" s="37"/>
      <c r="AS6" s="3" t="s">
        <v>456</v>
      </c>
      <c r="AT6" s="37" t="s">
        <v>456</v>
      </c>
      <c r="AU6" s="37" t="s">
        <v>456</v>
      </c>
      <c r="AW6" s="613">
        <v>3</v>
      </c>
      <c r="AX6" s="614" t="s">
        <v>3010</v>
      </c>
    </row>
    <row r="7" spans="1:50" ht="16.5" customHeight="1" x14ac:dyDescent="0.25">
      <c r="A7" s="478" t="s">
        <v>3011</v>
      </c>
      <c r="B7" s="478" t="s">
        <v>2997</v>
      </c>
      <c r="C7" s="569">
        <v>2944</v>
      </c>
      <c r="D7" s="570">
        <v>0.39</v>
      </c>
      <c r="E7" s="570">
        <v>0.38</v>
      </c>
      <c r="F7" s="569">
        <v>2371</v>
      </c>
      <c r="G7" s="570">
        <v>0.45</v>
      </c>
      <c r="H7" s="570">
        <v>0.41</v>
      </c>
      <c r="I7" s="570" t="s">
        <v>2998</v>
      </c>
      <c r="J7" s="479">
        <v>0.81</v>
      </c>
      <c r="K7" s="571">
        <v>0.17</v>
      </c>
      <c r="L7" s="572" t="s">
        <v>2999</v>
      </c>
      <c r="M7" s="618"/>
      <c r="N7" s="478" t="s">
        <v>3012</v>
      </c>
      <c r="O7" s="479">
        <v>0.03</v>
      </c>
      <c r="P7" s="190"/>
      <c r="Q7" s="618"/>
      <c r="R7" s="30" t="s">
        <v>3013</v>
      </c>
      <c r="S7" s="619">
        <v>0.192</v>
      </c>
      <c r="T7" s="620">
        <v>-0.4</v>
      </c>
      <c r="U7" s="619">
        <v>-0.14199999999999999</v>
      </c>
      <c r="V7" s="621" t="s">
        <v>3014</v>
      </c>
      <c r="W7" s="249"/>
      <c r="X7" s="249"/>
      <c r="Y7" s="27" t="s">
        <v>3015</v>
      </c>
      <c r="Z7" s="3" t="s">
        <v>2714</v>
      </c>
      <c r="AA7" s="6"/>
      <c r="AB7" s="249"/>
      <c r="AC7" s="249"/>
      <c r="AD7" s="31" t="s">
        <v>3016</v>
      </c>
      <c r="AE7" s="31" t="s">
        <v>3017</v>
      </c>
      <c r="AF7" s="31" t="s">
        <v>3018</v>
      </c>
      <c r="AG7" s="622" t="s">
        <v>3019</v>
      </c>
      <c r="AH7" s="31" t="s">
        <v>3004</v>
      </c>
      <c r="AI7" s="31" t="s">
        <v>3020</v>
      </c>
      <c r="AJ7" s="31" t="s">
        <v>3005</v>
      </c>
      <c r="AK7" s="623" t="s">
        <v>2802</v>
      </c>
      <c r="AL7" s="623" t="s">
        <v>2802</v>
      </c>
      <c r="AM7" s="704">
        <f>0.05*'Project Summary'!M14</f>
        <v>2.5000000000000001E-2</v>
      </c>
      <c r="AN7" s="37" t="s">
        <v>3009</v>
      </c>
      <c r="AO7" s="70" t="s">
        <v>526</v>
      </c>
      <c r="AP7" s="37">
        <v>15</v>
      </c>
      <c r="AQ7" s="70"/>
      <c r="AR7" s="37"/>
      <c r="AS7" s="3" t="s">
        <v>456</v>
      </c>
      <c r="AT7" s="37" t="s">
        <v>456</v>
      </c>
      <c r="AU7" s="37" t="s">
        <v>456</v>
      </c>
      <c r="AW7" s="613">
        <v>4</v>
      </c>
      <c r="AX7" s="614" t="s">
        <v>241</v>
      </c>
    </row>
    <row r="8" spans="1:50" ht="16.5" customHeight="1" x14ac:dyDescent="0.25">
      <c r="A8" s="478" t="s">
        <v>3021</v>
      </c>
      <c r="B8" s="478" t="s">
        <v>2997</v>
      </c>
      <c r="C8" s="569">
        <v>2944</v>
      </c>
      <c r="D8" s="570">
        <v>0.39</v>
      </c>
      <c r="E8" s="570">
        <v>0.38</v>
      </c>
      <c r="F8" s="569">
        <v>2371</v>
      </c>
      <c r="G8" s="570">
        <v>0.45</v>
      </c>
      <c r="H8" s="570">
        <v>0.41</v>
      </c>
      <c r="I8" s="570" t="s">
        <v>2998</v>
      </c>
      <c r="J8" s="479">
        <v>0.81</v>
      </c>
      <c r="K8" s="571">
        <v>0.17</v>
      </c>
      <c r="L8" s="572" t="s">
        <v>2999</v>
      </c>
      <c r="M8" s="618"/>
      <c r="N8" s="478" t="s">
        <v>3022</v>
      </c>
      <c r="O8" s="479">
        <v>0.02</v>
      </c>
      <c r="P8" s="190"/>
      <c r="Q8" s="618"/>
      <c r="R8" s="30" t="s">
        <v>3023</v>
      </c>
      <c r="S8" s="619">
        <v>0</v>
      </c>
      <c r="T8" s="620">
        <v>0</v>
      </c>
      <c r="U8" s="619">
        <v>0</v>
      </c>
      <c r="V8" s="621" t="s">
        <v>3002</v>
      </c>
      <c r="W8" s="249"/>
      <c r="X8" s="249"/>
      <c r="Y8" s="27" t="s">
        <v>3024</v>
      </c>
      <c r="Z8" s="3" t="s">
        <v>2714</v>
      </c>
      <c r="AA8" s="6"/>
      <c r="AC8" s="249"/>
      <c r="AD8" s="31" t="s">
        <v>3025</v>
      </c>
      <c r="AE8" s="31" t="s">
        <v>3026</v>
      </c>
      <c r="AF8" s="31" t="s">
        <v>3004</v>
      </c>
      <c r="AG8" s="622" t="s">
        <v>3005</v>
      </c>
      <c r="AH8" s="31" t="s">
        <v>3004</v>
      </c>
      <c r="AI8" s="31" t="s">
        <v>3027</v>
      </c>
      <c r="AJ8" s="31" t="s">
        <v>3005</v>
      </c>
      <c r="AK8" s="623" t="s">
        <v>2802</v>
      </c>
      <c r="AL8" s="623" t="s">
        <v>2802</v>
      </c>
      <c r="AM8" s="704">
        <f>0.05*'Project Summary'!M14</f>
        <v>2.5000000000000001E-2</v>
      </c>
      <c r="AN8" s="37" t="s">
        <v>3009</v>
      </c>
      <c r="AO8" s="70" t="s">
        <v>526</v>
      </c>
      <c r="AP8" s="37">
        <v>13</v>
      </c>
      <c r="AQ8" s="70"/>
      <c r="AR8" s="37"/>
      <c r="AS8" s="3" t="s">
        <v>456</v>
      </c>
      <c r="AT8" s="37" t="s">
        <v>456</v>
      </c>
      <c r="AU8" s="37" t="s">
        <v>456</v>
      </c>
      <c r="AW8" s="613">
        <v>5</v>
      </c>
      <c r="AX8" s="614" t="s">
        <v>228</v>
      </c>
    </row>
    <row r="9" spans="1:50" ht="16.5" customHeight="1" x14ac:dyDescent="0.25">
      <c r="A9" s="478" t="s">
        <v>3028</v>
      </c>
      <c r="B9" s="478" t="s">
        <v>2997</v>
      </c>
      <c r="C9" s="569">
        <v>2944</v>
      </c>
      <c r="D9" s="570">
        <v>0.39</v>
      </c>
      <c r="E9" s="570">
        <v>0.38</v>
      </c>
      <c r="F9" s="569">
        <v>2371</v>
      </c>
      <c r="G9" s="570">
        <v>0.45</v>
      </c>
      <c r="H9" s="570">
        <v>0.41</v>
      </c>
      <c r="I9" s="570" t="s">
        <v>2998</v>
      </c>
      <c r="J9" s="479">
        <v>0.81</v>
      </c>
      <c r="K9" s="571">
        <v>0.17</v>
      </c>
      <c r="L9" s="572" t="s">
        <v>2999</v>
      </c>
      <c r="M9" s="618"/>
      <c r="N9" s="478" t="s">
        <v>3029</v>
      </c>
      <c r="O9" s="479">
        <v>0.63</v>
      </c>
      <c r="P9" s="190"/>
      <c r="Q9" s="618"/>
      <c r="R9" s="30" t="s">
        <v>3030</v>
      </c>
      <c r="S9" s="619">
        <v>0</v>
      </c>
      <c r="T9" s="620">
        <v>0</v>
      </c>
      <c r="U9" s="619">
        <v>0</v>
      </c>
      <c r="V9" s="478" t="s">
        <v>3031</v>
      </c>
      <c r="X9" s="249"/>
      <c r="Y9" s="27" t="s">
        <v>3032</v>
      </c>
      <c r="Z9" s="3" t="s">
        <v>2946</v>
      </c>
      <c r="AA9" s="6"/>
      <c r="AC9" s="249"/>
      <c r="AD9" s="31" t="s">
        <v>3033</v>
      </c>
      <c r="AE9" s="31" t="s">
        <v>3034</v>
      </c>
      <c r="AF9" s="31" t="s">
        <v>3016</v>
      </c>
      <c r="AG9" s="622" t="s">
        <v>3017</v>
      </c>
      <c r="AH9" s="31" t="s">
        <v>3004</v>
      </c>
      <c r="AI9" s="31" t="s">
        <v>3035</v>
      </c>
      <c r="AJ9" s="31" t="s">
        <v>3005</v>
      </c>
      <c r="AK9" s="623" t="s">
        <v>2802</v>
      </c>
      <c r="AL9" s="623" t="s">
        <v>2802</v>
      </c>
      <c r="AM9" s="704">
        <f>0.05*'Project Summary'!M14</f>
        <v>2.5000000000000001E-2</v>
      </c>
      <c r="AN9" s="37" t="s">
        <v>3009</v>
      </c>
      <c r="AO9" s="70" t="s">
        <v>526</v>
      </c>
      <c r="AP9" s="37">
        <v>15</v>
      </c>
      <c r="AQ9" s="70"/>
      <c r="AR9" s="37"/>
      <c r="AS9" s="3" t="s">
        <v>456</v>
      </c>
      <c r="AT9" s="37" t="s">
        <v>456</v>
      </c>
      <c r="AU9" s="37" t="s">
        <v>456</v>
      </c>
      <c r="AW9" s="613">
        <v>6</v>
      </c>
      <c r="AX9" s="614" t="s">
        <v>212</v>
      </c>
    </row>
    <row r="10" spans="1:50" ht="16.5" customHeight="1" x14ac:dyDescent="0.25">
      <c r="A10" s="478" t="s">
        <v>3036</v>
      </c>
      <c r="B10" s="478" t="s">
        <v>3037</v>
      </c>
      <c r="C10" s="37">
        <v>7798</v>
      </c>
      <c r="D10" s="570">
        <v>0.99</v>
      </c>
      <c r="E10" s="570">
        <v>0.96</v>
      </c>
      <c r="F10" s="37">
        <v>6471</v>
      </c>
      <c r="G10" s="570">
        <v>0.93</v>
      </c>
      <c r="H10" s="570">
        <v>0.84</v>
      </c>
      <c r="I10" s="570" t="s">
        <v>3038</v>
      </c>
      <c r="J10" s="479">
        <v>1.06</v>
      </c>
      <c r="K10" s="571">
        <v>0.05</v>
      </c>
      <c r="L10" s="572" t="s">
        <v>3037</v>
      </c>
      <c r="M10" s="618"/>
      <c r="N10" s="478" t="s">
        <v>3039</v>
      </c>
      <c r="O10" s="479">
        <v>0.86</v>
      </c>
      <c r="P10" s="613"/>
      <c r="Q10" s="618"/>
      <c r="R10" s="30" t="s">
        <v>3040</v>
      </c>
      <c r="S10" s="619">
        <v>0</v>
      </c>
      <c r="T10" s="620">
        <v>0</v>
      </c>
      <c r="U10" s="619">
        <v>0</v>
      </c>
      <c r="V10" s="478" t="s">
        <v>3041</v>
      </c>
      <c r="X10" s="249"/>
      <c r="Y10" s="27" t="s">
        <v>3042</v>
      </c>
      <c r="Z10" s="3" t="s">
        <v>2714</v>
      </c>
      <c r="AA10" s="6"/>
      <c r="AC10" s="249"/>
      <c r="AD10" s="31" t="s">
        <v>3043</v>
      </c>
      <c r="AE10" s="31" t="s">
        <v>3044</v>
      </c>
      <c r="AF10" s="31" t="s">
        <v>3025</v>
      </c>
      <c r="AG10" s="622" t="s">
        <v>3026</v>
      </c>
      <c r="AH10" s="31" t="s">
        <v>3016</v>
      </c>
      <c r="AI10" s="31" t="s">
        <v>3045</v>
      </c>
      <c r="AJ10" s="31" t="s">
        <v>3017</v>
      </c>
      <c r="AK10" s="623" t="s">
        <v>2802</v>
      </c>
      <c r="AL10" s="623" t="s">
        <v>2802</v>
      </c>
      <c r="AM10" s="704">
        <f>0.05*'Project Summary'!M14</f>
        <v>2.5000000000000001E-2</v>
      </c>
      <c r="AN10" s="37" t="s">
        <v>3009</v>
      </c>
      <c r="AO10" s="70" t="s">
        <v>526</v>
      </c>
      <c r="AP10" s="37">
        <v>13</v>
      </c>
      <c r="AQ10" s="70"/>
      <c r="AR10" s="37"/>
      <c r="AS10" s="3" t="s">
        <v>456</v>
      </c>
      <c r="AT10" s="37" t="s">
        <v>456</v>
      </c>
      <c r="AU10" s="37" t="s">
        <v>456</v>
      </c>
      <c r="AW10" s="613">
        <v>7</v>
      </c>
      <c r="AX10" s="614" t="s">
        <v>274</v>
      </c>
    </row>
    <row r="11" spans="1:50" ht="16.5" customHeight="1" x14ac:dyDescent="0.25">
      <c r="A11" s="478" t="s">
        <v>3046</v>
      </c>
      <c r="B11" s="478" t="s">
        <v>3047</v>
      </c>
      <c r="C11" s="37">
        <v>2476</v>
      </c>
      <c r="D11" s="570">
        <v>0.47</v>
      </c>
      <c r="E11" s="570">
        <v>0.33</v>
      </c>
      <c r="F11" s="37">
        <v>2943</v>
      </c>
      <c r="G11" s="570">
        <v>0.52</v>
      </c>
      <c r="H11" s="570">
        <v>0.42</v>
      </c>
      <c r="I11" s="570" t="s">
        <v>3046</v>
      </c>
      <c r="J11" s="479">
        <v>1.05</v>
      </c>
      <c r="K11" s="571">
        <v>0.08</v>
      </c>
      <c r="L11" s="572" t="s">
        <v>3046</v>
      </c>
      <c r="M11" s="618"/>
      <c r="N11" s="478" t="s">
        <v>3048</v>
      </c>
      <c r="O11" s="479">
        <v>0.96</v>
      </c>
      <c r="P11" s="613"/>
      <c r="Q11" s="618"/>
      <c r="R11" s="30" t="s">
        <v>3049</v>
      </c>
      <c r="S11" s="619">
        <v>0.5</v>
      </c>
      <c r="T11" s="620">
        <v>0.5</v>
      </c>
      <c r="U11" s="619">
        <v>0.5</v>
      </c>
      <c r="V11" s="478" t="s">
        <v>3050</v>
      </c>
      <c r="X11" s="249"/>
      <c r="Y11" s="27" t="s">
        <v>3051</v>
      </c>
      <c r="Z11" s="3" t="s">
        <v>2946</v>
      </c>
      <c r="AA11" s="6"/>
      <c r="AC11" s="249"/>
      <c r="AD11" s="31" t="s">
        <v>3052</v>
      </c>
      <c r="AE11" s="31" t="s">
        <v>3053</v>
      </c>
      <c r="AF11" s="31" t="s">
        <v>3033</v>
      </c>
      <c r="AG11" s="622" t="s">
        <v>3034</v>
      </c>
      <c r="AH11" s="31" t="s">
        <v>3016</v>
      </c>
      <c r="AI11" s="31" t="s">
        <v>3054</v>
      </c>
      <c r="AJ11" s="31" t="s">
        <v>3017</v>
      </c>
      <c r="AK11" s="623" t="s">
        <v>2802</v>
      </c>
      <c r="AL11" s="623" t="s">
        <v>2802</v>
      </c>
      <c r="AM11" s="704">
        <f>0.05*'Project Summary'!M14</f>
        <v>2.5000000000000001E-2</v>
      </c>
      <c r="AN11" s="37" t="s">
        <v>3009</v>
      </c>
      <c r="AO11" s="70" t="s">
        <v>526</v>
      </c>
      <c r="AP11" s="37">
        <v>15</v>
      </c>
      <c r="AQ11" s="70"/>
      <c r="AR11" s="37"/>
      <c r="AS11" s="3" t="s">
        <v>456</v>
      </c>
      <c r="AT11" s="37" t="s">
        <v>456</v>
      </c>
      <c r="AU11" s="37" t="s">
        <v>456</v>
      </c>
      <c r="AW11" s="613">
        <v>8</v>
      </c>
      <c r="AX11" s="614" t="s">
        <v>222</v>
      </c>
    </row>
    <row r="12" spans="1:50" ht="16.5" customHeight="1" x14ac:dyDescent="0.25">
      <c r="A12" s="478" t="s">
        <v>3055</v>
      </c>
      <c r="B12" s="478" t="s">
        <v>3047</v>
      </c>
      <c r="C12" s="37">
        <v>2476</v>
      </c>
      <c r="D12" s="570">
        <v>0.47</v>
      </c>
      <c r="E12" s="570">
        <v>0.33</v>
      </c>
      <c r="F12" s="37">
        <v>2943</v>
      </c>
      <c r="G12" s="570">
        <v>0.52</v>
      </c>
      <c r="H12" s="570">
        <v>0.42</v>
      </c>
      <c r="I12" s="570" t="s">
        <v>3056</v>
      </c>
      <c r="J12" s="479">
        <v>0.82</v>
      </c>
      <c r="K12" s="571">
        <v>0.08</v>
      </c>
      <c r="L12" s="572" t="s">
        <v>3057</v>
      </c>
      <c r="M12" s="618"/>
      <c r="N12" s="478" t="s">
        <v>3058</v>
      </c>
      <c r="O12" s="479">
        <v>1.33</v>
      </c>
      <c r="P12" s="613"/>
      <c r="Q12" s="618"/>
      <c r="R12" s="30" t="s">
        <v>3059</v>
      </c>
      <c r="S12" s="619">
        <v>0.28999999999999998</v>
      </c>
      <c r="T12" s="620">
        <v>0.28999999999999998</v>
      </c>
      <c r="U12" s="619">
        <v>0.28999999999999998</v>
      </c>
      <c r="V12" s="478" t="s">
        <v>3060</v>
      </c>
      <c r="X12" s="249"/>
      <c r="Y12" s="27" t="s">
        <v>3061</v>
      </c>
      <c r="Z12" s="3" t="s">
        <v>2714</v>
      </c>
      <c r="AA12" s="6"/>
      <c r="AC12" s="249"/>
      <c r="AD12" s="31" t="s">
        <v>3062</v>
      </c>
      <c r="AE12" s="31" t="s">
        <v>3063</v>
      </c>
      <c r="AF12" s="31" t="s">
        <v>3043</v>
      </c>
      <c r="AG12" s="622" t="s">
        <v>3044</v>
      </c>
      <c r="AH12" s="31" t="s">
        <v>3016</v>
      </c>
      <c r="AI12" s="31" t="s">
        <v>3064</v>
      </c>
      <c r="AJ12" s="31" t="s">
        <v>3017</v>
      </c>
      <c r="AK12" s="623" t="s">
        <v>2802</v>
      </c>
      <c r="AL12" s="623" t="s">
        <v>2802</v>
      </c>
      <c r="AM12" s="704">
        <f>0.05*'Project Summary'!M14</f>
        <v>2.5000000000000001E-2</v>
      </c>
      <c r="AN12" s="37" t="s">
        <v>3009</v>
      </c>
      <c r="AO12" s="70" t="s">
        <v>526</v>
      </c>
      <c r="AP12" s="37">
        <v>13</v>
      </c>
      <c r="AQ12" s="70"/>
      <c r="AR12" s="37"/>
      <c r="AS12" s="3" t="s">
        <v>456</v>
      </c>
      <c r="AT12" s="37" t="s">
        <v>456</v>
      </c>
      <c r="AU12" s="37" t="s">
        <v>456</v>
      </c>
      <c r="AW12" s="613">
        <v>9</v>
      </c>
      <c r="AX12" s="614" t="s">
        <v>232</v>
      </c>
    </row>
    <row r="13" spans="1:50" ht="16.5" customHeight="1" x14ac:dyDescent="0.25">
      <c r="A13" s="478" t="s">
        <v>3065</v>
      </c>
      <c r="B13" s="478" t="s">
        <v>3047</v>
      </c>
      <c r="C13" s="37">
        <v>2476</v>
      </c>
      <c r="D13" s="570">
        <v>0.47</v>
      </c>
      <c r="E13" s="570">
        <v>0.33</v>
      </c>
      <c r="F13" s="37">
        <v>2943</v>
      </c>
      <c r="G13" s="570">
        <v>0.52</v>
      </c>
      <c r="H13" s="570">
        <v>0.42</v>
      </c>
      <c r="I13" s="570" t="s">
        <v>3056</v>
      </c>
      <c r="J13" s="479">
        <v>0.82</v>
      </c>
      <c r="K13" s="571">
        <v>0.08</v>
      </c>
      <c r="L13" s="572" t="s">
        <v>3066</v>
      </c>
      <c r="M13" s="618"/>
      <c r="N13" s="478" t="s">
        <v>4577</v>
      </c>
      <c r="O13" s="479">
        <v>1.07</v>
      </c>
      <c r="P13" s="613"/>
      <c r="Q13" s="618"/>
      <c r="R13" s="30" t="s">
        <v>3067</v>
      </c>
      <c r="S13" s="619">
        <v>0.18</v>
      </c>
      <c r="T13" s="620">
        <v>0.18</v>
      </c>
      <c r="U13" s="619">
        <v>0.18</v>
      </c>
      <c r="V13" s="478" t="s">
        <v>3068</v>
      </c>
      <c r="X13" s="249"/>
      <c r="Y13" s="27" t="s">
        <v>3069</v>
      </c>
      <c r="Z13" s="3" t="s">
        <v>2714</v>
      </c>
      <c r="AA13" s="6"/>
      <c r="AC13" s="249"/>
      <c r="AD13" s="31" t="s">
        <v>3070</v>
      </c>
      <c r="AE13" s="31" t="s">
        <v>3071</v>
      </c>
      <c r="AF13" s="31" t="s">
        <v>3052</v>
      </c>
      <c r="AG13" s="622" t="s">
        <v>3053</v>
      </c>
      <c r="AH13" s="31" t="s">
        <v>3016</v>
      </c>
      <c r="AI13" s="31" t="s">
        <v>3072</v>
      </c>
      <c r="AJ13" s="31" t="s">
        <v>3017</v>
      </c>
      <c r="AK13" s="623" t="s">
        <v>2802</v>
      </c>
      <c r="AL13" s="623" t="s">
        <v>2802</v>
      </c>
      <c r="AM13" s="704">
        <f>0.05*'Project Summary'!M14</f>
        <v>2.5000000000000001E-2</v>
      </c>
      <c r="AN13" s="37" t="s">
        <v>3009</v>
      </c>
      <c r="AO13" s="70" t="s">
        <v>526</v>
      </c>
      <c r="AP13" s="37">
        <v>15</v>
      </c>
      <c r="AQ13" s="70"/>
      <c r="AR13" s="37"/>
      <c r="AS13" s="3" t="s">
        <v>456</v>
      </c>
      <c r="AT13" s="37" t="s">
        <v>456</v>
      </c>
      <c r="AU13" s="37" t="s">
        <v>456</v>
      </c>
      <c r="AW13" s="613">
        <v>10</v>
      </c>
      <c r="AX13" s="614" t="s">
        <v>3073</v>
      </c>
    </row>
    <row r="14" spans="1:50" ht="16.5" customHeight="1" x14ac:dyDescent="0.25">
      <c r="A14" s="478" t="s">
        <v>3074</v>
      </c>
      <c r="B14" s="478" t="s">
        <v>3075</v>
      </c>
      <c r="C14" s="37">
        <v>2925</v>
      </c>
      <c r="D14" s="570">
        <v>0.38</v>
      </c>
      <c r="E14" s="570">
        <v>0.38</v>
      </c>
      <c r="F14" s="37">
        <v>3579</v>
      </c>
      <c r="G14" s="570">
        <v>0.45</v>
      </c>
      <c r="H14" s="570">
        <v>0.49</v>
      </c>
      <c r="I14" s="570" t="s">
        <v>3076</v>
      </c>
      <c r="J14" s="479">
        <v>0.75</v>
      </c>
      <c r="K14" s="571">
        <v>0.15</v>
      </c>
      <c r="L14" s="572" t="s">
        <v>3076</v>
      </c>
      <c r="M14" s="618"/>
      <c r="N14" s="478" t="s">
        <v>3077</v>
      </c>
      <c r="O14" s="479">
        <v>0.88</v>
      </c>
      <c r="P14" s="613"/>
      <c r="Q14" s="618"/>
      <c r="U14" s="249"/>
      <c r="V14" s="249"/>
      <c r="W14" s="249"/>
      <c r="X14" s="249"/>
      <c r="Y14" s="27" t="s">
        <v>3078</v>
      </c>
      <c r="Z14" s="3" t="s">
        <v>2714</v>
      </c>
      <c r="AA14" s="6"/>
      <c r="AC14" s="249"/>
      <c r="AD14" s="31" t="s">
        <v>3079</v>
      </c>
      <c r="AE14" s="31" t="s">
        <v>3080</v>
      </c>
      <c r="AF14" s="31" t="s">
        <v>3062</v>
      </c>
      <c r="AG14" s="622" t="s">
        <v>3063</v>
      </c>
      <c r="AH14" s="31" t="s">
        <v>3025</v>
      </c>
      <c r="AI14" s="624" t="s">
        <v>3081</v>
      </c>
      <c r="AJ14" s="624" t="s">
        <v>3026</v>
      </c>
      <c r="AK14" s="623" t="s">
        <v>2805</v>
      </c>
      <c r="AL14" s="623" t="s">
        <v>2805</v>
      </c>
      <c r="AM14" s="705">
        <f>15*'Project Summary'!M14</f>
        <v>7.5</v>
      </c>
      <c r="AN14" s="37" t="s">
        <v>3082</v>
      </c>
      <c r="AO14" s="70" t="s">
        <v>526</v>
      </c>
      <c r="AP14" s="37">
        <v>15</v>
      </c>
      <c r="AQ14" s="70"/>
      <c r="AR14" s="37"/>
      <c r="AS14" s="3" t="s">
        <v>918</v>
      </c>
      <c r="AT14" s="37" t="s">
        <v>918</v>
      </c>
      <c r="AU14" s="37" t="s">
        <v>456</v>
      </c>
      <c r="AW14" s="613">
        <v>11</v>
      </c>
      <c r="AX14" s="614" t="s">
        <v>3083</v>
      </c>
    </row>
    <row r="15" spans="1:50" ht="16.5" customHeight="1" x14ac:dyDescent="0.25">
      <c r="A15" s="478" t="s">
        <v>3084</v>
      </c>
      <c r="B15" s="478" t="s">
        <v>3085</v>
      </c>
      <c r="C15" s="37">
        <v>2857</v>
      </c>
      <c r="D15" s="570">
        <v>0.96</v>
      </c>
      <c r="E15" s="570">
        <v>0.44186716834926665</v>
      </c>
      <c r="F15" s="37">
        <v>2857</v>
      </c>
      <c r="G15" s="570">
        <v>0.96</v>
      </c>
      <c r="H15" s="570">
        <v>0.44186716834926665</v>
      </c>
      <c r="I15" s="570" t="s">
        <v>3086</v>
      </c>
      <c r="J15" s="479">
        <v>0.9</v>
      </c>
      <c r="K15" s="571">
        <v>0</v>
      </c>
      <c r="L15" s="572" t="s">
        <v>3093</v>
      </c>
      <c r="M15" s="618"/>
      <c r="N15" s="478" t="s">
        <v>3087</v>
      </c>
      <c r="O15" s="479">
        <v>0.56000000000000005</v>
      </c>
      <c r="P15" s="613"/>
      <c r="Q15" s="618"/>
      <c r="Y15" s="249"/>
      <c r="Z15" s="249"/>
      <c r="AA15" s="249"/>
      <c r="AC15" s="249"/>
      <c r="AD15" s="31" t="s">
        <v>3088</v>
      </c>
      <c r="AE15" s="31" t="s">
        <v>3089</v>
      </c>
      <c r="AF15" s="31" t="s">
        <v>3070</v>
      </c>
      <c r="AG15" s="622" t="s">
        <v>3071</v>
      </c>
      <c r="AH15" s="31" t="s">
        <v>3025</v>
      </c>
      <c r="AI15" s="624" t="s">
        <v>3090</v>
      </c>
      <c r="AJ15" s="624" t="s">
        <v>3026</v>
      </c>
      <c r="AK15" s="623" t="s">
        <v>2805</v>
      </c>
      <c r="AL15" s="623" t="s">
        <v>2805</v>
      </c>
      <c r="AM15" s="705">
        <f>15*'Project Summary'!M14</f>
        <v>7.5</v>
      </c>
      <c r="AN15" s="37" t="s">
        <v>3082</v>
      </c>
      <c r="AO15" s="70" t="s">
        <v>526</v>
      </c>
      <c r="AP15" s="37">
        <v>15</v>
      </c>
      <c r="AQ15" s="70"/>
      <c r="AR15" s="37"/>
      <c r="AS15" s="3" t="s">
        <v>918</v>
      </c>
      <c r="AT15" s="37" t="s">
        <v>918</v>
      </c>
      <c r="AU15" s="37" t="s">
        <v>456</v>
      </c>
      <c r="AW15" s="613">
        <v>12</v>
      </c>
      <c r="AX15" s="614" t="s">
        <v>220</v>
      </c>
    </row>
    <row r="16" spans="1:50" ht="16.5" customHeight="1" x14ac:dyDescent="0.25">
      <c r="A16" s="478" t="s">
        <v>3091</v>
      </c>
      <c r="B16" s="478" t="s">
        <v>3092</v>
      </c>
      <c r="C16" s="37">
        <v>4730</v>
      </c>
      <c r="D16" s="570">
        <v>0.96</v>
      </c>
      <c r="E16" s="570">
        <v>0.44186716834926665</v>
      </c>
      <c r="F16" s="37">
        <v>4730</v>
      </c>
      <c r="G16" s="570">
        <v>0.96</v>
      </c>
      <c r="H16" s="570">
        <v>0.44186716834926665</v>
      </c>
      <c r="I16" s="570" t="s">
        <v>3086</v>
      </c>
      <c r="J16" s="479">
        <v>0.9</v>
      </c>
      <c r="K16" s="571">
        <v>0</v>
      </c>
      <c r="L16" s="572" t="s">
        <v>3107</v>
      </c>
      <c r="M16" s="618"/>
      <c r="N16" s="478" t="s">
        <v>3094</v>
      </c>
      <c r="O16" s="479">
        <v>0.66</v>
      </c>
      <c r="P16" s="613"/>
      <c r="Q16" s="618"/>
      <c r="R16" s="491" t="s">
        <v>3095</v>
      </c>
      <c r="S16" s="490" t="s">
        <v>3096</v>
      </c>
      <c r="T16" s="490" t="s">
        <v>3097</v>
      </c>
      <c r="U16" s="490" t="s">
        <v>3098</v>
      </c>
      <c r="V16" s="492" t="s">
        <v>3099</v>
      </c>
      <c r="Y16" s="249"/>
      <c r="AD16" s="31" t="s">
        <v>3100</v>
      </c>
      <c r="AE16" s="31" t="s">
        <v>3101</v>
      </c>
      <c r="AF16" s="31" t="s">
        <v>3079</v>
      </c>
      <c r="AG16" s="622" t="s">
        <v>3080</v>
      </c>
      <c r="AH16" s="31" t="s">
        <v>3033</v>
      </c>
      <c r="AI16" s="624" t="s">
        <v>3102</v>
      </c>
      <c r="AJ16" s="624" t="s">
        <v>3034</v>
      </c>
      <c r="AK16" s="623" t="s">
        <v>2808</v>
      </c>
      <c r="AL16" s="623" t="s">
        <v>2808</v>
      </c>
      <c r="AM16" s="705">
        <f>5*'Project Summary'!M14</f>
        <v>2.5</v>
      </c>
      <c r="AN16" s="37" t="s">
        <v>3103</v>
      </c>
      <c r="AO16" s="70" t="s">
        <v>455</v>
      </c>
      <c r="AP16" s="37">
        <v>4</v>
      </c>
      <c r="AQ16" s="70"/>
      <c r="AR16" s="37"/>
      <c r="AS16" s="3" t="s">
        <v>918</v>
      </c>
      <c r="AT16" s="37" t="s">
        <v>918</v>
      </c>
      <c r="AU16" s="37" t="s">
        <v>456</v>
      </c>
      <c r="AW16" s="613">
        <v>13</v>
      </c>
      <c r="AX16" s="614" t="s">
        <v>3104</v>
      </c>
    </row>
    <row r="17" spans="1:50" ht="16.5" customHeight="1" x14ac:dyDescent="0.25">
      <c r="A17" s="478" t="s">
        <v>3105</v>
      </c>
      <c r="B17" s="478" t="s">
        <v>3106</v>
      </c>
      <c r="C17" s="37">
        <v>6631</v>
      </c>
      <c r="D17" s="570">
        <v>0.96</v>
      </c>
      <c r="E17" s="570">
        <v>0.44186716834926665</v>
      </c>
      <c r="F17" s="37">
        <v>6631</v>
      </c>
      <c r="G17" s="570">
        <v>0.96</v>
      </c>
      <c r="H17" s="570">
        <v>0.44186716834926665</v>
      </c>
      <c r="I17" s="570" t="s">
        <v>3086</v>
      </c>
      <c r="J17" s="479">
        <v>0.9</v>
      </c>
      <c r="K17" s="571">
        <v>0</v>
      </c>
      <c r="L17" s="572" t="s">
        <v>3118</v>
      </c>
      <c r="M17" s="618"/>
      <c r="N17" s="478" t="s">
        <v>3108</v>
      </c>
      <c r="O17" s="479">
        <v>1.39</v>
      </c>
      <c r="P17" s="613"/>
      <c r="Q17" s="618"/>
      <c r="R17" s="493" t="s">
        <v>3109</v>
      </c>
      <c r="S17" s="494">
        <v>0</v>
      </c>
      <c r="T17" s="625">
        <v>0</v>
      </c>
      <c r="U17" s="626">
        <v>8</v>
      </c>
      <c r="V17" s="495" t="s">
        <v>3110</v>
      </c>
      <c r="Y17" s="47" t="s">
        <v>3111</v>
      </c>
      <c r="Z17" s="48" t="s">
        <v>3112</v>
      </c>
      <c r="AA17" s="48" t="s">
        <v>3113</v>
      </c>
      <c r="AD17" s="31" t="s">
        <v>3114</v>
      </c>
      <c r="AE17" s="31" t="s">
        <v>3115</v>
      </c>
      <c r="AF17" s="31" t="s">
        <v>3088</v>
      </c>
      <c r="AG17" s="622" t="s">
        <v>3089</v>
      </c>
      <c r="AH17" s="31" t="s">
        <v>3033</v>
      </c>
      <c r="AI17" s="624" t="s">
        <v>3116</v>
      </c>
      <c r="AJ17" s="624" t="s">
        <v>3034</v>
      </c>
      <c r="AK17" s="623" t="s">
        <v>2808</v>
      </c>
      <c r="AL17" s="623" t="s">
        <v>2808</v>
      </c>
      <c r="AM17" s="705">
        <f>5*'Project Summary'!M14</f>
        <v>2.5</v>
      </c>
      <c r="AN17" s="37" t="s">
        <v>3103</v>
      </c>
      <c r="AO17" s="70" t="s">
        <v>455</v>
      </c>
      <c r="AP17" s="37">
        <v>4</v>
      </c>
      <c r="AQ17" s="70"/>
      <c r="AR17" s="37"/>
      <c r="AS17" s="3" t="s">
        <v>918</v>
      </c>
      <c r="AT17" s="37" t="s">
        <v>918</v>
      </c>
      <c r="AU17" s="37" t="s">
        <v>456</v>
      </c>
      <c r="AW17" s="613">
        <v>14</v>
      </c>
      <c r="AX17" s="614" t="s">
        <v>456</v>
      </c>
    </row>
    <row r="18" spans="1:50" ht="16.5" customHeight="1" x14ac:dyDescent="0.25">
      <c r="A18" s="478" t="s">
        <v>3117</v>
      </c>
      <c r="B18" s="478" t="s">
        <v>3038</v>
      </c>
      <c r="C18" s="37">
        <v>2383</v>
      </c>
      <c r="D18" s="570">
        <v>0.56000000000000005</v>
      </c>
      <c r="E18" s="570">
        <v>0.27</v>
      </c>
      <c r="F18" s="37">
        <v>2915</v>
      </c>
      <c r="G18" s="570">
        <v>0.66</v>
      </c>
      <c r="H18" s="570">
        <v>0.41</v>
      </c>
      <c r="I18" s="570" t="s">
        <v>3038</v>
      </c>
      <c r="J18" s="479">
        <v>1.06</v>
      </c>
      <c r="K18" s="571">
        <v>0.05</v>
      </c>
      <c r="L18" s="572" t="s">
        <v>3038</v>
      </c>
      <c r="M18" s="618"/>
      <c r="N18" s="478" t="s">
        <v>3119</v>
      </c>
      <c r="O18" s="479">
        <v>0.63</v>
      </c>
      <c r="P18" s="613"/>
      <c r="Q18" s="618"/>
      <c r="R18" s="493" t="s">
        <v>3120</v>
      </c>
      <c r="S18" s="494">
        <v>0.24</v>
      </c>
      <c r="T18" s="625">
        <v>2.5000000000000001E-2</v>
      </c>
      <c r="U18" s="626">
        <v>8</v>
      </c>
      <c r="V18" s="489" t="s">
        <v>3121</v>
      </c>
      <c r="Y18" s="627" t="s">
        <v>3018</v>
      </c>
      <c r="Z18" s="628" t="s">
        <v>3122</v>
      </c>
      <c r="AA18" s="628" t="s">
        <v>3123</v>
      </c>
      <c r="AD18" s="31" t="s">
        <v>3124</v>
      </c>
      <c r="AE18" s="31" t="s">
        <v>3125</v>
      </c>
      <c r="AF18" s="31" t="s">
        <v>3100</v>
      </c>
      <c r="AG18" s="622" t="s">
        <v>3101</v>
      </c>
      <c r="AH18" s="31" t="s">
        <v>3033</v>
      </c>
      <c r="AI18" s="624" t="s">
        <v>3126</v>
      </c>
      <c r="AJ18" s="624" t="s">
        <v>3034</v>
      </c>
      <c r="AK18" s="623" t="s">
        <v>2808</v>
      </c>
      <c r="AL18" s="623" t="s">
        <v>2808</v>
      </c>
      <c r="AM18" s="705">
        <f>5*'Project Summary'!M14</f>
        <v>2.5</v>
      </c>
      <c r="AN18" s="37" t="s">
        <v>3103</v>
      </c>
      <c r="AO18" s="70" t="s">
        <v>455</v>
      </c>
      <c r="AP18" s="37">
        <v>4</v>
      </c>
      <c r="AQ18" s="70"/>
      <c r="AR18" s="37"/>
      <c r="AS18" s="3" t="s">
        <v>918</v>
      </c>
      <c r="AT18" s="37" t="s">
        <v>918</v>
      </c>
      <c r="AU18" s="37" t="s">
        <v>456</v>
      </c>
      <c r="AW18" s="613">
        <v>15</v>
      </c>
      <c r="AX18" s="614" t="s">
        <v>3127</v>
      </c>
    </row>
    <row r="19" spans="1:50" ht="16.5" customHeight="1" x14ac:dyDescent="0.25">
      <c r="A19" s="478" t="s">
        <v>3128</v>
      </c>
      <c r="B19" s="573" t="s">
        <v>3129</v>
      </c>
      <c r="C19" s="574">
        <v>4306</v>
      </c>
      <c r="D19" s="575">
        <v>0.11</v>
      </c>
      <c r="F19" s="37">
        <v>4306</v>
      </c>
      <c r="G19" s="570">
        <v>0.11</v>
      </c>
      <c r="H19" s="570">
        <v>0.5</v>
      </c>
      <c r="I19" s="570" t="s">
        <v>3130</v>
      </c>
      <c r="J19" s="479">
        <v>0.61</v>
      </c>
      <c r="K19" s="571">
        <v>0</v>
      </c>
      <c r="L19" s="572" t="s">
        <v>3142</v>
      </c>
      <c r="M19" s="618"/>
      <c r="N19" s="478" t="s">
        <v>3131</v>
      </c>
      <c r="O19" s="479">
        <v>0.54</v>
      </c>
      <c r="P19" s="613"/>
      <c r="Q19" s="618"/>
      <c r="R19" s="495" t="s">
        <v>3132</v>
      </c>
      <c r="S19" s="496">
        <v>0.28000000000000003</v>
      </c>
      <c r="T19" s="625">
        <v>2.5000000000000001E-2</v>
      </c>
      <c r="U19" s="626">
        <v>8</v>
      </c>
      <c r="V19" s="489" t="s">
        <v>3133</v>
      </c>
      <c r="Y19" s="627" t="s">
        <v>3134</v>
      </c>
      <c r="Z19" s="628" t="s">
        <v>3135</v>
      </c>
      <c r="AA19" s="628" t="s">
        <v>3136</v>
      </c>
      <c r="AD19" s="31" t="s">
        <v>2349</v>
      </c>
      <c r="AE19" s="31" t="s">
        <v>252</v>
      </c>
      <c r="AF19" s="31" t="s">
        <v>3114</v>
      </c>
      <c r="AG19" s="622" t="s">
        <v>3115</v>
      </c>
      <c r="AH19" s="31" t="s">
        <v>3033</v>
      </c>
      <c r="AI19" s="624" t="s">
        <v>3137</v>
      </c>
      <c r="AJ19" s="624" t="s">
        <v>3034</v>
      </c>
      <c r="AK19" s="623" t="s">
        <v>2803</v>
      </c>
      <c r="AL19" s="623" t="s">
        <v>2803</v>
      </c>
      <c r="AM19" s="704">
        <f>0.05*'Project Summary'!M14</f>
        <v>2.5000000000000001E-2</v>
      </c>
      <c r="AN19" s="37" t="s">
        <v>3009</v>
      </c>
      <c r="AO19" s="70" t="s">
        <v>526</v>
      </c>
      <c r="AP19" s="37">
        <v>4</v>
      </c>
      <c r="AQ19" s="70"/>
      <c r="AR19" s="37"/>
      <c r="AS19" s="3" t="s">
        <v>456</v>
      </c>
      <c r="AT19" s="37" t="s">
        <v>456</v>
      </c>
      <c r="AU19" s="37" t="s">
        <v>456</v>
      </c>
      <c r="AW19" s="613">
        <v>16</v>
      </c>
      <c r="AX19" s="614" t="s">
        <v>3138</v>
      </c>
    </row>
    <row r="20" spans="1:50" ht="16.5" customHeight="1" x14ac:dyDescent="0.25">
      <c r="A20" s="478" t="s">
        <v>3139</v>
      </c>
      <c r="B20" s="478" t="s">
        <v>3140</v>
      </c>
      <c r="C20" s="37">
        <v>1456</v>
      </c>
      <c r="D20" s="570">
        <v>0.23</v>
      </c>
      <c r="E20" s="570">
        <v>0.17</v>
      </c>
      <c r="F20" s="37">
        <v>1419</v>
      </c>
      <c r="G20" s="570">
        <v>0.23</v>
      </c>
      <c r="H20" s="570">
        <v>0.19</v>
      </c>
      <c r="I20" s="570" t="s">
        <v>3141</v>
      </c>
      <c r="J20" s="479">
        <v>0.94</v>
      </c>
      <c r="K20" s="571">
        <v>0.12</v>
      </c>
      <c r="L20" s="572" t="s">
        <v>3154</v>
      </c>
      <c r="M20" s="618"/>
      <c r="N20" s="478" t="s">
        <v>3143</v>
      </c>
      <c r="O20" s="479">
        <v>0.43</v>
      </c>
      <c r="P20" s="613"/>
      <c r="Q20" s="618"/>
      <c r="R20" s="493" t="s">
        <v>3144</v>
      </c>
      <c r="S20" s="629">
        <v>0.31</v>
      </c>
      <c r="T20" s="625">
        <v>2.5000000000000001E-2</v>
      </c>
      <c r="U20" s="626">
        <v>8</v>
      </c>
      <c r="V20" s="497" t="s">
        <v>3145</v>
      </c>
      <c r="Y20" s="627" t="s">
        <v>3006</v>
      </c>
      <c r="Z20" s="628" t="s">
        <v>3146</v>
      </c>
      <c r="AA20" s="628" t="s">
        <v>3147</v>
      </c>
      <c r="AD20" s="31" t="s">
        <v>3148</v>
      </c>
      <c r="AE20" s="31" t="s">
        <v>3149</v>
      </c>
      <c r="AF20" s="31" t="s">
        <v>3124</v>
      </c>
      <c r="AG20" s="622" t="s">
        <v>3125</v>
      </c>
      <c r="AH20" s="31" t="s">
        <v>3033</v>
      </c>
      <c r="AI20" s="624" t="s">
        <v>3150</v>
      </c>
      <c r="AJ20" s="624" t="s">
        <v>3034</v>
      </c>
      <c r="AK20" s="623" t="s">
        <v>2803</v>
      </c>
      <c r="AL20" s="623" t="s">
        <v>2803</v>
      </c>
      <c r="AM20" s="704">
        <f>0.05*'Project Summary'!M14</f>
        <v>2.5000000000000001E-2</v>
      </c>
      <c r="AN20" s="37" t="s">
        <v>3009</v>
      </c>
      <c r="AO20" s="70" t="s">
        <v>526</v>
      </c>
      <c r="AP20" s="37">
        <v>4</v>
      </c>
      <c r="AQ20" s="70"/>
      <c r="AR20" s="37"/>
      <c r="AS20" s="3" t="s">
        <v>456</v>
      </c>
      <c r="AT20" s="37" t="s">
        <v>456</v>
      </c>
      <c r="AU20" s="37" t="s">
        <v>456</v>
      </c>
      <c r="AW20" s="613">
        <v>17</v>
      </c>
      <c r="AX20" s="614" t="s">
        <v>3151</v>
      </c>
    </row>
    <row r="21" spans="1:50" ht="16.5" customHeight="1" x14ac:dyDescent="0.25">
      <c r="A21" s="478" t="s">
        <v>3152</v>
      </c>
      <c r="B21" s="478" t="s">
        <v>3153</v>
      </c>
      <c r="C21" s="37">
        <v>1420</v>
      </c>
      <c r="D21" s="570">
        <v>0.26</v>
      </c>
      <c r="E21" s="570">
        <v>0.18</v>
      </c>
      <c r="F21" s="37">
        <v>2294</v>
      </c>
      <c r="G21" s="570">
        <v>0.48</v>
      </c>
      <c r="H21" s="570">
        <v>0.35</v>
      </c>
      <c r="I21" s="570" t="s">
        <v>3153</v>
      </c>
      <c r="J21" s="479">
        <v>0.79</v>
      </c>
      <c r="K21" s="571">
        <v>0.15</v>
      </c>
      <c r="L21" s="572" t="s">
        <v>3153</v>
      </c>
      <c r="M21" s="618"/>
      <c r="N21" s="478" t="s">
        <v>3155</v>
      </c>
      <c r="O21" s="479">
        <v>0.68</v>
      </c>
      <c r="P21" s="613"/>
      <c r="Q21" s="618"/>
      <c r="R21" s="493" t="s">
        <v>3156</v>
      </c>
      <c r="S21" s="496">
        <v>0.36</v>
      </c>
      <c r="T21" s="625">
        <v>2.5000000000000001E-2</v>
      </c>
      <c r="U21" s="626">
        <v>8</v>
      </c>
      <c r="V21" s="630"/>
      <c r="Y21" s="627" t="s">
        <v>3157</v>
      </c>
      <c r="Z21" s="628" t="s">
        <v>3158</v>
      </c>
      <c r="AA21" s="628" t="s">
        <v>3159</v>
      </c>
      <c r="AD21" s="31" t="s">
        <v>3160</v>
      </c>
      <c r="AE21" s="31" t="s">
        <v>3160</v>
      </c>
      <c r="AF21" s="31" t="s">
        <v>2349</v>
      </c>
      <c r="AG21" s="622" t="s">
        <v>252</v>
      </c>
      <c r="AH21" s="31" t="s">
        <v>3033</v>
      </c>
      <c r="AI21" s="624" t="s">
        <v>3161</v>
      </c>
      <c r="AJ21" s="624" t="s">
        <v>3034</v>
      </c>
      <c r="AK21" s="623" t="s">
        <v>2803</v>
      </c>
      <c r="AL21" s="623" t="s">
        <v>2803</v>
      </c>
      <c r="AM21" s="704">
        <f>0.05*'Project Summary'!M14</f>
        <v>2.5000000000000001E-2</v>
      </c>
      <c r="AN21" s="37" t="s">
        <v>3009</v>
      </c>
      <c r="AO21" s="70" t="s">
        <v>526</v>
      </c>
      <c r="AP21" s="37">
        <v>4</v>
      </c>
      <c r="AQ21" s="70"/>
      <c r="AR21" s="37"/>
      <c r="AS21" s="3" t="s">
        <v>456</v>
      </c>
      <c r="AT21" s="37" t="s">
        <v>456</v>
      </c>
      <c r="AU21" s="37" t="s">
        <v>456</v>
      </c>
      <c r="AW21" s="613">
        <v>18</v>
      </c>
      <c r="AX21" s="614" t="s">
        <v>300</v>
      </c>
    </row>
    <row r="22" spans="1:50" ht="16.5" customHeight="1" x14ac:dyDescent="0.25">
      <c r="A22" s="478" t="s">
        <v>3162</v>
      </c>
      <c r="B22" s="478" t="s">
        <v>3153</v>
      </c>
      <c r="C22" s="37">
        <v>1420</v>
      </c>
      <c r="D22" s="570">
        <v>0.26</v>
      </c>
      <c r="E22" s="570">
        <v>0.18</v>
      </c>
      <c r="F22" s="37">
        <v>2294</v>
      </c>
      <c r="G22" s="570">
        <v>0.48</v>
      </c>
      <c r="H22" s="570">
        <v>0.35</v>
      </c>
      <c r="I22" s="570" t="s">
        <v>3153</v>
      </c>
      <c r="J22" s="479">
        <v>0.79</v>
      </c>
      <c r="K22" s="571">
        <v>0.15</v>
      </c>
      <c r="L22" s="572" t="s">
        <v>3153</v>
      </c>
      <c r="M22" s="618"/>
      <c r="N22" s="478" t="s">
        <v>3163</v>
      </c>
      <c r="O22" s="479">
        <v>0.41</v>
      </c>
      <c r="P22" s="613"/>
      <c r="Q22" s="618"/>
      <c r="R22" s="495" t="s">
        <v>3164</v>
      </c>
      <c r="S22" s="496">
        <v>0.38</v>
      </c>
      <c r="T22" s="625">
        <v>2.5000000000000001E-2</v>
      </c>
      <c r="U22" s="626">
        <v>8</v>
      </c>
      <c r="V22" s="630"/>
      <c r="Y22" s="627" t="s">
        <v>3165</v>
      </c>
      <c r="Z22" s="628" t="s">
        <v>3166</v>
      </c>
      <c r="AA22" s="628" t="s">
        <v>3167</v>
      </c>
      <c r="AD22" s="31" t="s">
        <v>3168</v>
      </c>
      <c r="AE22" s="31" t="s">
        <v>3169</v>
      </c>
      <c r="AF22" s="31" t="s">
        <v>3148</v>
      </c>
      <c r="AG22" s="622" t="s">
        <v>3149</v>
      </c>
      <c r="AH22" s="31" t="s">
        <v>3033</v>
      </c>
      <c r="AI22" s="31" t="s">
        <v>3170</v>
      </c>
      <c r="AJ22" s="31" t="s">
        <v>3034</v>
      </c>
      <c r="AK22" s="623" t="s">
        <v>2808</v>
      </c>
      <c r="AL22" s="623" t="s">
        <v>2808</v>
      </c>
      <c r="AM22" s="704">
        <f>0.05*'Project Summary'!M14</f>
        <v>2.5000000000000001E-2</v>
      </c>
      <c r="AN22" s="37" t="s">
        <v>3009</v>
      </c>
      <c r="AO22" s="70" t="s">
        <v>455</v>
      </c>
      <c r="AP22" s="37">
        <v>4</v>
      </c>
      <c r="AQ22" s="70"/>
      <c r="AR22" s="37"/>
      <c r="AS22" s="3" t="s">
        <v>456</v>
      </c>
      <c r="AT22" s="37" t="s">
        <v>456</v>
      </c>
      <c r="AU22" s="37" t="s">
        <v>456</v>
      </c>
      <c r="AW22" s="613">
        <v>19</v>
      </c>
      <c r="AX22" s="614" t="s">
        <v>224</v>
      </c>
    </row>
    <row r="23" spans="1:50" ht="16.5" customHeight="1" x14ac:dyDescent="0.25">
      <c r="A23" s="478" t="s">
        <v>3171</v>
      </c>
      <c r="B23" s="478" t="s">
        <v>3172</v>
      </c>
      <c r="C23" s="37">
        <v>3054</v>
      </c>
      <c r="D23" s="570">
        <v>0.55000000000000004</v>
      </c>
      <c r="E23" s="570">
        <v>0.38</v>
      </c>
      <c r="F23" s="37">
        <v>4747</v>
      </c>
      <c r="G23" s="570">
        <v>0.77</v>
      </c>
      <c r="H23" s="570">
        <v>0.65</v>
      </c>
      <c r="I23" s="570" t="s">
        <v>3173</v>
      </c>
      <c r="J23" s="479">
        <v>0.9</v>
      </c>
      <c r="K23" s="571">
        <v>0.05</v>
      </c>
      <c r="L23" s="572" t="s">
        <v>3173</v>
      </c>
      <c r="M23" s="618"/>
      <c r="N23" s="478" t="s">
        <v>3174</v>
      </c>
      <c r="O23" s="479">
        <v>0.2</v>
      </c>
      <c r="P23" s="613"/>
      <c r="Q23" s="618"/>
      <c r="R23" s="631" t="s">
        <v>3175</v>
      </c>
      <c r="S23" s="496">
        <v>0</v>
      </c>
      <c r="T23" s="632"/>
      <c r="U23" s="633"/>
      <c r="V23" s="630"/>
      <c r="Y23" s="627" t="s">
        <v>3176</v>
      </c>
      <c r="Z23" s="628" t="s">
        <v>3177</v>
      </c>
      <c r="AA23" s="628" t="s">
        <v>3178</v>
      </c>
      <c r="AF23" s="31" t="s">
        <v>3160</v>
      </c>
      <c r="AG23" s="622" t="s">
        <v>3160</v>
      </c>
      <c r="AH23" s="634" t="s">
        <v>3033</v>
      </c>
      <c r="AI23" s="634" t="s">
        <v>3179</v>
      </c>
      <c r="AJ23" s="634" t="s">
        <v>3034</v>
      </c>
      <c r="AK23" s="623" t="s">
        <v>2808</v>
      </c>
      <c r="AL23" s="623" t="s">
        <v>2808</v>
      </c>
      <c r="AM23" s="704">
        <f>0.05*'Project Summary'!M14</f>
        <v>2.5000000000000001E-2</v>
      </c>
      <c r="AN23" s="37" t="s">
        <v>3009</v>
      </c>
      <c r="AO23" s="578" t="s">
        <v>455</v>
      </c>
      <c r="AP23" s="37">
        <v>4</v>
      </c>
      <c r="AQ23" s="70"/>
      <c r="AR23" s="37"/>
      <c r="AS23" s="3" t="s">
        <v>456</v>
      </c>
      <c r="AT23" s="37" t="s">
        <v>456</v>
      </c>
      <c r="AU23" s="37" t="s">
        <v>456</v>
      </c>
      <c r="AW23" s="613">
        <v>20</v>
      </c>
      <c r="AX23" s="614" t="s">
        <v>237</v>
      </c>
    </row>
    <row r="24" spans="1:50" ht="16.5" customHeight="1" x14ac:dyDescent="0.25">
      <c r="A24" s="478" t="s">
        <v>3180</v>
      </c>
      <c r="B24" s="478" t="s">
        <v>3172</v>
      </c>
      <c r="C24" s="37">
        <v>3054</v>
      </c>
      <c r="D24" s="570">
        <v>0.55000000000000004</v>
      </c>
      <c r="E24" s="570">
        <v>0.38</v>
      </c>
      <c r="F24" s="37">
        <v>4747</v>
      </c>
      <c r="G24" s="570">
        <v>0.77</v>
      </c>
      <c r="H24" s="570">
        <v>0.65</v>
      </c>
      <c r="I24" s="570" t="s">
        <v>3181</v>
      </c>
      <c r="J24" s="479">
        <v>0.78</v>
      </c>
      <c r="K24" s="571">
        <v>0.05</v>
      </c>
      <c r="L24" s="572" t="s">
        <v>3189</v>
      </c>
      <c r="M24" s="618"/>
      <c r="N24" s="478" t="s">
        <v>3182</v>
      </c>
      <c r="O24" s="479">
        <v>1.06</v>
      </c>
      <c r="P24" s="613"/>
      <c r="Q24" s="618"/>
      <c r="S24" s="249"/>
      <c r="T24" s="249"/>
      <c r="U24" s="249"/>
      <c r="V24" s="249"/>
      <c r="Y24" s="627" t="s">
        <v>3183</v>
      </c>
      <c r="Z24" s="628" t="s">
        <v>3184</v>
      </c>
      <c r="AA24" s="628" t="s">
        <v>3185</v>
      </c>
      <c r="AF24" s="31" t="s">
        <v>3168</v>
      </c>
      <c r="AG24" s="622" t="s">
        <v>3169</v>
      </c>
      <c r="AH24" s="31" t="s">
        <v>3033</v>
      </c>
      <c r="AI24" s="31" t="s">
        <v>3186</v>
      </c>
      <c r="AJ24" s="31" t="s">
        <v>3034</v>
      </c>
      <c r="AK24" s="623" t="s">
        <v>2808</v>
      </c>
      <c r="AL24" s="623" t="s">
        <v>2808</v>
      </c>
      <c r="AM24" s="704">
        <f>0.05*'Project Summary'!M14</f>
        <v>2.5000000000000001E-2</v>
      </c>
      <c r="AN24" s="37" t="s">
        <v>3009</v>
      </c>
      <c r="AO24" s="70" t="s">
        <v>455</v>
      </c>
      <c r="AP24" s="37">
        <v>4</v>
      </c>
      <c r="AQ24" s="70"/>
      <c r="AR24" s="37"/>
      <c r="AS24" s="36" t="s">
        <v>456</v>
      </c>
      <c r="AT24" s="37" t="s">
        <v>456</v>
      </c>
      <c r="AU24" s="37" t="s">
        <v>456</v>
      </c>
      <c r="AW24" s="613">
        <v>21</v>
      </c>
      <c r="AX24" s="614" t="s">
        <v>395</v>
      </c>
    </row>
    <row r="25" spans="1:50" ht="15" customHeight="1" x14ac:dyDescent="0.25">
      <c r="A25" s="478" t="s">
        <v>3187</v>
      </c>
      <c r="B25" s="478" t="s">
        <v>3172</v>
      </c>
      <c r="C25" s="37">
        <v>3054</v>
      </c>
      <c r="D25" s="570">
        <v>0.55000000000000004</v>
      </c>
      <c r="E25" s="570">
        <v>0.38</v>
      </c>
      <c r="F25" s="37">
        <v>4747</v>
      </c>
      <c r="G25" s="570">
        <v>0.77</v>
      </c>
      <c r="H25" s="570">
        <v>0.65</v>
      </c>
      <c r="I25" s="570" t="s">
        <v>3188</v>
      </c>
      <c r="J25" s="479">
        <v>0.79</v>
      </c>
      <c r="K25" s="571">
        <v>0.05</v>
      </c>
      <c r="L25" s="572" t="s">
        <v>3196</v>
      </c>
      <c r="M25" s="618"/>
      <c r="N25" s="478" t="s">
        <v>3190</v>
      </c>
      <c r="O25" s="479">
        <v>0.77</v>
      </c>
      <c r="P25" s="613"/>
      <c r="Q25" s="618"/>
      <c r="S25" s="46"/>
      <c r="T25" s="249"/>
      <c r="U25" s="249"/>
      <c r="V25" s="249"/>
      <c r="Y25" s="627" t="s">
        <v>3191</v>
      </c>
      <c r="Z25" s="628" t="s">
        <v>3192</v>
      </c>
      <c r="AA25" s="628" t="s">
        <v>3193</v>
      </c>
      <c r="AH25" s="31" t="s">
        <v>3043</v>
      </c>
      <c r="AI25" s="624" t="s">
        <v>3194</v>
      </c>
      <c r="AJ25" s="624" t="s">
        <v>3044</v>
      </c>
      <c r="AK25" s="623" t="s">
        <v>2803</v>
      </c>
      <c r="AL25" s="623" t="s">
        <v>2803</v>
      </c>
      <c r="AM25" s="704">
        <f>0.05*'Project Summary'!M14</f>
        <v>2.5000000000000001E-2</v>
      </c>
      <c r="AN25" s="37" t="s">
        <v>3009</v>
      </c>
      <c r="AO25" s="70" t="s">
        <v>526</v>
      </c>
      <c r="AP25" s="37">
        <v>13</v>
      </c>
      <c r="AQ25" s="70"/>
      <c r="AR25" s="37"/>
      <c r="AS25" s="36" t="s">
        <v>456</v>
      </c>
      <c r="AT25" s="37" t="s">
        <v>456</v>
      </c>
      <c r="AU25" s="37" t="s">
        <v>456</v>
      </c>
      <c r="AW25" s="613">
        <v>22</v>
      </c>
      <c r="AX25" s="614" t="s">
        <v>303</v>
      </c>
    </row>
    <row r="26" spans="1:50" ht="15" customHeight="1" x14ac:dyDescent="0.25">
      <c r="A26" s="478" t="s">
        <v>3195</v>
      </c>
      <c r="B26" s="478" t="s">
        <v>3038</v>
      </c>
      <c r="C26" s="37">
        <v>2383</v>
      </c>
      <c r="D26" s="570">
        <v>0.56000000000000005</v>
      </c>
      <c r="E26" s="570">
        <v>0.27</v>
      </c>
      <c r="F26" s="37">
        <v>2915</v>
      </c>
      <c r="G26" s="570">
        <v>0.66</v>
      </c>
      <c r="H26" s="570">
        <v>0.41</v>
      </c>
      <c r="I26" s="570" t="s">
        <v>3038</v>
      </c>
      <c r="J26" s="479">
        <v>1.06</v>
      </c>
      <c r="K26" s="571">
        <v>0.05</v>
      </c>
      <c r="L26" s="572" t="s">
        <v>3038</v>
      </c>
      <c r="M26" s="618"/>
      <c r="N26" s="478" t="s">
        <v>3197</v>
      </c>
      <c r="O26" s="479">
        <v>1.45</v>
      </c>
      <c r="P26" s="613"/>
      <c r="Q26" s="618"/>
      <c r="R26" s="466" t="s">
        <v>60</v>
      </c>
      <c r="S26" s="467" t="s">
        <v>65</v>
      </c>
      <c r="T26" s="467" t="s">
        <v>3198</v>
      </c>
      <c r="U26" s="467" t="s">
        <v>3199</v>
      </c>
      <c r="V26" s="467" t="s">
        <v>3200</v>
      </c>
      <c r="Y26" s="627" t="s">
        <v>3100</v>
      </c>
      <c r="Z26" s="628" t="s">
        <v>3201</v>
      </c>
      <c r="AA26" s="628" t="s">
        <v>3202</v>
      </c>
      <c r="AG26" s="249"/>
      <c r="AH26" s="31" t="s">
        <v>3043</v>
      </c>
      <c r="AI26" s="624" t="s">
        <v>3203</v>
      </c>
      <c r="AJ26" s="624" t="s">
        <v>3044</v>
      </c>
      <c r="AK26" s="623" t="s">
        <v>2807</v>
      </c>
      <c r="AL26" s="31" t="s">
        <v>2806</v>
      </c>
      <c r="AM26" s="704">
        <f>0.05*'Project Summary'!M14</f>
        <v>2.5000000000000001E-2</v>
      </c>
      <c r="AN26" s="37" t="s">
        <v>3009</v>
      </c>
      <c r="AO26" s="70" t="s">
        <v>526</v>
      </c>
      <c r="AP26" s="37">
        <v>13</v>
      </c>
      <c r="AQ26" s="70"/>
      <c r="AR26" s="37"/>
      <c r="AS26" s="36" t="s">
        <v>456</v>
      </c>
      <c r="AT26" s="37" t="s">
        <v>456</v>
      </c>
      <c r="AU26" s="37" t="s">
        <v>456</v>
      </c>
      <c r="AW26" s="613">
        <v>23</v>
      </c>
      <c r="AX26" s="614" t="s">
        <v>3204</v>
      </c>
    </row>
    <row r="27" spans="1:50" ht="15" customHeight="1" x14ac:dyDescent="0.25">
      <c r="A27" s="478" t="s">
        <v>3205</v>
      </c>
      <c r="B27" s="478" t="s">
        <v>3038</v>
      </c>
      <c r="C27" s="37">
        <v>2383</v>
      </c>
      <c r="D27" s="570">
        <v>0.56000000000000005</v>
      </c>
      <c r="E27" s="570">
        <v>0.27</v>
      </c>
      <c r="F27" s="37">
        <v>2915</v>
      </c>
      <c r="G27" s="570">
        <v>0.66</v>
      </c>
      <c r="H27" s="570">
        <v>0.41</v>
      </c>
      <c r="I27" s="570" t="s">
        <v>3038</v>
      </c>
      <c r="J27" s="479">
        <v>1.06</v>
      </c>
      <c r="K27" s="571">
        <v>0.05</v>
      </c>
      <c r="L27" s="572" t="s">
        <v>3038</v>
      </c>
      <c r="M27" s="618"/>
      <c r="N27" s="478" t="s">
        <v>3206</v>
      </c>
      <c r="O27" s="479">
        <v>0.43</v>
      </c>
      <c r="P27" s="613"/>
      <c r="Q27" s="618"/>
      <c r="R27" s="37" t="s">
        <v>3207</v>
      </c>
      <c r="S27" s="37" t="s">
        <v>2908</v>
      </c>
      <c r="T27" s="37" t="s">
        <v>3208</v>
      </c>
      <c r="U27" s="37" t="s">
        <v>3209</v>
      </c>
      <c r="V27" s="37" t="s">
        <v>2714</v>
      </c>
      <c r="Y27" s="627" t="s">
        <v>3025</v>
      </c>
      <c r="Z27" s="628" t="s">
        <v>3210</v>
      </c>
      <c r="AA27" s="628" t="s">
        <v>3211</v>
      </c>
      <c r="AG27" s="249"/>
      <c r="AH27" s="31" t="s">
        <v>3043</v>
      </c>
      <c r="AI27" s="624" t="s">
        <v>3212</v>
      </c>
      <c r="AJ27" s="624" t="s">
        <v>3044</v>
      </c>
      <c r="AK27" s="623" t="s">
        <v>2807</v>
      </c>
      <c r="AL27" s="31" t="s">
        <v>2806</v>
      </c>
      <c r="AM27" s="704">
        <f>0.05*'Project Summary'!M14</f>
        <v>2.5000000000000001E-2</v>
      </c>
      <c r="AN27" s="37" t="s">
        <v>3009</v>
      </c>
      <c r="AO27" s="70" t="s">
        <v>526</v>
      </c>
      <c r="AP27" s="37">
        <v>13</v>
      </c>
      <c r="AQ27" s="70"/>
      <c r="AR27" s="36"/>
      <c r="AS27" s="36" t="s">
        <v>456</v>
      </c>
      <c r="AT27" s="37" t="s">
        <v>456</v>
      </c>
      <c r="AU27" s="37" t="s">
        <v>456</v>
      </c>
      <c r="AW27" s="613">
        <v>24</v>
      </c>
      <c r="AX27" s="614" t="s">
        <v>3213</v>
      </c>
    </row>
    <row r="28" spans="1:50" ht="15" customHeight="1" x14ac:dyDescent="0.25">
      <c r="A28" s="478" t="s">
        <v>3214</v>
      </c>
      <c r="B28" s="478" t="s">
        <v>3215</v>
      </c>
      <c r="C28" s="37">
        <v>2001</v>
      </c>
      <c r="D28" s="570">
        <v>0.33</v>
      </c>
      <c r="E28" s="570">
        <v>0.26</v>
      </c>
      <c r="F28" s="37">
        <v>2830</v>
      </c>
      <c r="G28" s="570">
        <v>0.57999999999999996</v>
      </c>
      <c r="H28" s="570">
        <v>0.39</v>
      </c>
      <c r="I28" s="570" t="s">
        <v>3216</v>
      </c>
      <c r="J28" s="479">
        <v>0.71</v>
      </c>
      <c r="K28" s="571">
        <v>0.06</v>
      </c>
      <c r="L28" s="572" t="s">
        <v>3227</v>
      </c>
      <c r="M28" s="618"/>
      <c r="N28" s="478" t="s">
        <v>3217</v>
      </c>
      <c r="O28" s="479">
        <v>0.57999999999999996</v>
      </c>
      <c r="P28" s="613"/>
      <c r="Q28" s="618"/>
      <c r="R28" s="37" t="s">
        <v>3218</v>
      </c>
      <c r="S28" s="37" t="s">
        <v>2909</v>
      </c>
      <c r="T28" s="37" t="s">
        <v>3219</v>
      </c>
      <c r="U28" s="37" t="s">
        <v>3220</v>
      </c>
      <c r="V28" s="37" t="s">
        <v>2946</v>
      </c>
      <c r="Y28" s="627" t="s">
        <v>3221</v>
      </c>
      <c r="Z28" s="628" t="s">
        <v>3222</v>
      </c>
      <c r="AA28" s="628" t="s">
        <v>3223</v>
      </c>
      <c r="AD28" s="611" t="s">
        <v>3224</v>
      </c>
      <c r="AF28" s="611" t="s">
        <v>3224</v>
      </c>
      <c r="AG28" s="249"/>
      <c r="AH28" s="31" t="s">
        <v>3043</v>
      </c>
      <c r="AI28" s="624" t="s">
        <v>3225</v>
      </c>
      <c r="AJ28" s="624" t="s">
        <v>3044</v>
      </c>
      <c r="AK28" s="623" t="s">
        <v>2807</v>
      </c>
      <c r="AL28" s="31" t="s">
        <v>2806</v>
      </c>
      <c r="AM28" s="704">
        <f>0.05*'Project Summary'!M14</f>
        <v>2.5000000000000001E-2</v>
      </c>
      <c r="AN28" s="37" t="s">
        <v>3009</v>
      </c>
      <c r="AO28" s="70" t="s">
        <v>526</v>
      </c>
      <c r="AP28" s="37">
        <v>13</v>
      </c>
      <c r="AQ28" s="70"/>
      <c r="AR28" s="36"/>
      <c r="AS28" s="36" t="s">
        <v>456</v>
      </c>
      <c r="AT28" s="37" t="s">
        <v>456</v>
      </c>
      <c r="AU28" s="37" t="s">
        <v>456</v>
      </c>
      <c r="AW28" s="613">
        <v>25</v>
      </c>
      <c r="AX28" s="614" t="s">
        <v>918</v>
      </c>
    </row>
    <row r="29" spans="1:50" ht="15" customHeight="1" x14ac:dyDescent="0.25">
      <c r="A29" s="478" t="s">
        <v>3226</v>
      </c>
      <c r="B29" s="478" t="s">
        <v>3153</v>
      </c>
      <c r="C29" s="37">
        <v>1420</v>
      </c>
      <c r="D29" s="570">
        <v>0.26</v>
      </c>
      <c r="E29" s="570">
        <v>0.18</v>
      </c>
      <c r="F29" s="37">
        <v>2294</v>
      </c>
      <c r="G29" s="570">
        <v>0.48</v>
      </c>
      <c r="H29" s="570">
        <v>0.35</v>
      </c>
      <c r="I29" s="570" t="s">
        <v>3153</v>
      </c>
      <c r="J29" s="479">
        <v>0.79</v>
      </c>
      <c r="K29" s="571">
        <v>0.15</v>
      </c>
      <c r="L29" s="572" t="s">
        <v>3153</v>
      </c>
      <c r="M29" s="618"/>
      <c r="N29" s="478" t="s">
        <v>3228</v>
      </c>
      <c r="O29" s="479">
        <v>1</v>
      </c>
      <c r="P29" s="613"/>
      <c r="Q29" s="618"/>
      <c r="R29" s="249"/>
      <c r="S29" s="249"/>
      <c r="T29" s="249"/>
      <c r="U29" s="37" t="s">
        <v>3229</v>
      </c>
      <c r="V29" s="249"/>
      <c r="Y29" s="627" t="s">
        <v>3230</v>
      </c>
      <c r="Z29" s="628" t="s">
        <v>3231</v>
      </c>
      <c r="AA29" s="628" t="s">
        <v>3232</v>
      </c>
      <c r="AD29" s="31" t="str">
        <f t="shared" ref="AD29:AD34" si="0">AD6</f>
        <v>Fluorescent Fixtures</v>
      </c>
      <c r="AF29" s="31" t="s">
        <v>3004</v>
      </c>
      <c r="AG29" s="249"/>
      <c r="AH29" s="31" t="s">
        <v>3043</v>
      </c>
      <c r="AI29" s="624" t="s">
        <v>3233</v>
      </c>
      <c r="AJ29" s="624" t="s">
        <v>3044</v>
      </c>
      <c r="AK29" s="623" t="s">
        <v>2807</v>
      </c>
      <c r="AL29" s="31" t="s">
        <v>2806</v>
      </c>
      <c r="AM29" s="704">
        <f>0.05*'Project Summary'!M14</f>
        <v>2.5000000000000001E-2</v>
      </c>
      <c r="AN29" s="37" t="s">
        <v>3009</v>
      </c>
      <c r="AO29" s="70" t="s">
        <v>526</v>
      </c>
      <c r="AP29" s="37">
        <v>13</v>
      </c>
      <c r="AQ29" s="70"/>
      <c r="AR29" s="36"/>
      <c r="AS29" s="36" t="s">
        <v>456</v>
      </c>
      <c r="AT29" s="37" t="s">
        <v>456</v>
      </c>
      <c r="AU29" s="37" t="s">
        <v>456</v>
      </c>
      <c r="AW29" s="613">
        <v>26</v>
      </c>
      <c r="AX29" s="614" t="s">
        <v>3234</v>
      </c>
    </row>
    <row r="30" spans="1:50" ht="15" customHeight="1" x14ac:dyDescent="0.25">
      <c r="A30" s="478" t="s">
        <v>3235</v>
      </c>
      <c r="B30" s="478" t="s">
        <v>3140</v>
      </c>
      <c r="C30" s="37">
        <v>1456</v>
      </c>
      <c r="D30" s="570">
        <v>0.23</v>
      </c>
      <c r="E30" s="570">
        <v>0.17</v>
      </c>
      <c r="F30" s="37">
        <v>1419</v>
      </c>
      <c r="G30" s="570">
        <v>0.23</v>
      </c>
      <c r="H30" s="570">
        <v>0.19</v>
      </c>
      <c r="I30" s="570" t="s">
        <v>3235</v>
      </c>
      <c r="J30" s="479">
        <v>0.76</v>
      </c>
      <c r="K30" s="571">
        <v>0.12</v>
      </c>
      <c r="L30" s="572" t="s">
        <v>3245</v>
      </c>
      <c r="M30" s="618"/>
      <c r="N30" s="478" t="s">
        <v>3236</v>
      </c>
      <c r="O30" s="479">
        <v>0.48</v>
      </c>
      <c r="P30" s="613"/>
      <c r="Q30" s="618"/>
      <c r="R30" s="249"/>
      <c r="S30" s="249"/>
      <c r="T30" s="249"/>
      <c r="U30" s="37" t="s">
        <v>3237</v>
      </c>
      <c r="V30" s="249"/>
      <c r="Y30" s="627" t="s">
        <v>3238</v>
      </c>
      <c r="Z30" s="628" t="s">
        <v>3239</v>
      </c>
      <c r="AA30" s="628" t="s">
        <v>3240</v>
      </c>
      <c r="AD30" s="31" t="str">
        <f t="shared" si="0"/>
        <v>Fluorescent Retrofits</v>
      </c>
      <c r="AF30" s="31" t="s">
        <v>3016</v>
      </c>
      <c r="AG30" s="249"/>
      <c r="AH30" s="31" t="s">
        <v>3043</v>
      </c>
      <c r="AI30" s="624" t="s">
        <v>3241</v>
      </c>
      <c r="AJ30" s="624" t="s">
        <v>3044</v>
      </c>
      <c r="AK30" s="623" t="s">
        <v>2807</v>
      </c>
      <c r="AL30" s="31" t="s">
        <v>2806</v>
      </c>
      <c r="AM30" s="704">
        <f>0.05*'Project Summary'!M14</f>
        <v>2.5000000000000001E-2</v>
      </c>
      <c r="AN30" s="37" t="s">
        <v>3009</v>
      </c>
      <c r="AO30" s="70" t="s">
        <v>526</v>
      </c>
      <c r="AP30" s="37">
        <v>13</v>
      </c>
      <c r="AQ30" s="70"/>
      <c r="AR30" s="36"/>
      <c r="AS30" s="36" t="s">
        <v>456</v>
      </c>
      <c r="AT30" s="37" t="s">
        <v>456</v>
      </c>
      <c r="AU30" s="37" t="s">
        <v>456</v>
      </c>
      <c r="AW30" s="613">
        <v>27</v>
      </c>
      <c r="AX30" s="614" t="s">
        <v>3242</v>
      </c>
    </row>
    <row r="31" spans="1:50" x14ac:dyDescent="0.25">
      <c r="A31" s="478" t="s">
        <v>3243</v>
      </c>
      <c r="B31" s="478" t="s">
        <v>3140</v>
      </c>
      <c r="C31" s="37">
        <v>1456</v>
      </c>
      <c r="D31" s="570">
        <v>0.23</v>
      </c>
      <c r="E31" s="570">
        <v>0.17</v>
      </c>
      <c r="F31" s="37">
        <v>1419</v>
      </c>
      <c r="G31" s="570">
        <v>0.23</v>
      </c>
      <c r="H31" s="570">
        <v>0.19</v>
      </c>
      <c r="I31" s="570" t="s">
        <v>3244</v>
      </c>
      <c r="J31" s="479">
        <v>0.8</v>
      </c>
      <c r="K31" s="571">
        <v>0.12</v>
      </c>
      <c r="L31" s="572" t="s">
        <v>3254</v>
      </c>
      <c r="M31" s="618"/>
      <c r="N31" s="478" t="s">
        <v>3246</v>
      </c>
      <c r="O31" s="479">
        <v>0.73</v>
      </c>
      <c r="P31" s="613"/>
      <c r="Q31" s="618"/>
      <c r="Y31" s="627" t="s">
        <v>3247</v>
      </c>
      <c r="Z31" s="628" t="s">
        <v>3248</v>
      </c>
      <c r="AA31" s="628" t="s">
        <v>3249</v>
      </c>
      <c r="AD31" s="31" t="str">
        <f t="shared" si="0"/>
        <v>Exit Signs</v>
      </c>
      <c r="AF31" s="31" t="s">
        <v>3025</v>
      </c>
      <c r="AG31" s="249"/>
      <c r="AH31" s="31" t="s">
        <v>3043</v>
      </c>
      <c r="AI31" s="624" t="s">
        <v>3250</v>
      </c>
      <c r="AJ31" s="624" t="s">
        <v>3044</v>
      </c>
      <c r="AK31" s="623" t="s">
        <v>2803</v>
      </c>
      <c r="AL31" s="623" t="s">
        <v>2803</v>
      </c>
      <c r="AM31" s="704">
        <f>0.05*'Project Summary'!M14</f>
        <v>2.5000000000000001E-2</v>
      </c>
      <c r="AN31" s="37" t="s">
        <v>3009</v>
      </c>
      <c r="AO31" s="70" t="s">
        <v>526</v>
      </c>
      <c r="AP31" s="37">
        <v>13</v>
      </c>
      <c r="AQ31" s="70"/>
      <c r="AR31" s="36"/>
      <c r="AS31" s="36" t="s">
        <v>456</v>
      </c>
      <c r="AT31" s="37" t="s">
        <v>456</v>
      </c>
      <c r="AU31" s="37" t="s">
        <v>456</v>
      </c>
      <c r="AW31" s="613">
        <v>28</v>
      </c>
      <c r="AX31" s="614" t="s">
        <v>3251</v>
      </c>
    </row>
    <row r="32" spans="1:50" ht="15" customHeight="1" x14ac:dyDescent="0.25">
      <c r="A32" s="478" t="s">
        <v>3252</v>
      </c>
      <c r="B32" s="478" t="s">
        <v>3047</v>
      </c>
      <c r="C32" s="37">
        <v>2476</v>
      </c>
      <c r="D32" s="570">
        <v>0.47</v>
      </c>
      <c r="E32" s="570">
        <v>0.33</v>
      </c>
      <c r="F32" s="37">
        <v>2943</v>
      </c>
      <c r="G32" s="570">
        <v>0.52</v>
      </c>
      <c r="H32" s="570">
        <v>0.42</v>
      </c>
      <c r="I32" s="570" t="s">
        <v>3253</v>
      </c>
      <c r="J32" s="479">
        <v>0.68</v>
      </c>
      <c r="K32" s="571">
        <v>0.08</v>
      </c>
      <c r="L32" s="572" t="s">
        <v>3253</v>
      </c>
      <c r="M32" s="618"/>
      <c r="N32" s="478" t="s">
        <v>3255</v>
      </c>
      <c r="O32" s="479">
        <v>0.93</v>
      </c>
      <c r="P32" s="613"/>
      <c r="Q32" s="618"/>
      <c r="Y32" s="627" t="s">
        <v>2844</v>
      </c>
      <c r="Z32" s="628" t="s">
        <v>3256</v>
      </c>
      <c r="AA32" s="628" t="s">
        <v>3257</v>
      </c>
      <c r="AD32" s="31" t="str">
        <f t="shared" si="0"/>
        <v>LED Replacement Lamps</v>
      </c>
      <c r="AF32" s="31" t="s">
        <v>3033</v>
      </c>
      <c r="AG32" s="249"/>
      <c r="AH32" s="31" t="s">
        <v>3043</v>
      </c>
      <c r="AI32" s="624" t="s">
        <v>3258</v>
      </c>
      <c r="AJ32" s="624" t="s">
        <v>3044</v>
      </c>
      <c r="AK32" s="623" t="s">
        <v>2807</v>
      </c>
      <c r="AL32" s="31" t="s">
        <v>2806</v>
      </c>
      <c r="AM32" s="704">
        <f>0.05*'Project Summary'!M14</f>
        <v>2.5000000000000001E-2</v>
      </c>
      <c r="AN32" s="37" t="s">
        <v>3009</v>
      </c>
      <c r="AO32" s="70" t="s">
        <v>526</v>
      </c>
      <c r="AP32" s="37">
        <v>13</v>
      </c>
      <c r="AQ32" s="70"/>
      <c r="AR32" s="36"/>
      <c r="AS32" s="36" t="s">
        <v>456</v>
      </c>
      <c r="AT32" s="37" t="s">
        <v>456</v>
      </c>
      <c r="AU32" s="37" t="s">
        <v>456</v>
      </c>
      <c r="AW32" s="613">
        <v>29</v>
      </c>
      <c r="AX32" s="614" t="s">
        <v>3259</v>
      </c>
    </row>
    <row r="33" spans="1:50" ht="15.75" customHeight="1" x14ac:dyDescent="0.25">
      <c r="A33" s="478" t="s">
        <v>3260</v>
      </c>
      <c r="B33" s="478" t="s">
        <v>3140</v>
      </c>
      <c r="C33" s="37">
        <v>1456</v>
      </c>
      <c r="D33" s="570">
        <v>0.23</v>
      </c>
      <c r="E33" s="570">
        <v>0.17</v>
      </c>
      <c r="F33" s="37">
        <v>1419</v>
      </c>
      <c r="G33" s="570">
        <v>0.23</v>
      </c>
      <c r="H33" s="570">
        <v>0.19</v>
      </c>
      <c r="I33" s="570" t="s">
        <v>3260</v>
      </c>
      <c r="J33" s="479">
        <v>0.78</v>
      </c>
      <c r="K33" s="571">
        <v>0.12</v>
      </c>
      <c r="L33" s="572" t="s">
        <v>3260</v>
      </c>
      <c r="M33" s="618"/>
      <c r="N33" s="478" t="s">
        <v>4578</v>
      </c>
      <c r="O33" s="479">
        <v>0.81</v>
      </c>
      <c r="P33" s="613"/>
      <c r="Q33" s="618"/>
      <c r="R33" s="1178" t="s">
        <v>3261</v>
      </c>
      <c r="S33" s="1179"/>
      <c r="T33" s="1179"/>
      <c r="U33" s="1179"/>
      <c r="V33" s="1180"/>
      <c r="Y33" s="627" t="s">
        <v>3262</v>
      </c>
      <c r="Z33" s="628" t="s">
        <v>3263</v>
      </c>
      <c r="AA33" s="628" t="s">
        <v>3264</v>
      </c>
      <c r="AD33" s="31" t="str">
        <f t="shared" si="0"/>
        <v>Interior LED Fixtures replacing lamp(s) ≤ 250 Watts</v>
      </c>
      <c r="AF33" s="31" t="s">
        <v>3043</v>
      </c>
      <c r="AG33" s="249"/>
      <c r="AH33" s="31" t="s">
        <v>3043</v>
      </c>
      <c r="AI33" s="624" t="s">
        <v>3265</v>
      </c>
      <c r="AJ33" s="624" t="s">
        <v>3044</v>
      </c>
      <c r="AK33" s="623" t="s">
        <v>2807</v>
      </c>
      <c r="AL33" s="31" t="s">
        <v>2806</v>
      </c>
      <c r="AM33" s="704">
        <f>0.05*'Project Summary'!M14</f>
        <v>2.5000000000000001E-2</v>
      </c>
      <c r="AN33" s="37" t="s">
        <v>3009</v>
      </c>
      <c r="AO33" s="70" t="s">
        <v>526</v>
      </c>
      <c r="AP33" s="37">
        <v>13</v>
      </c>
      <c r="AQ33" s="70"/>
      <c r="AR33" s="36"/>
      <c r="AS33" s="36" t="s">
        <v>456</v>
      </c>
      <c r="AT33" s="37" t="s">
        <v>456</v>
      </c>
      <c r="AU33" s="37" t="s">
        <v>456</v>
      </c>
      <c r="AW33" s="613">
        <v>30</v>
      </c>
      <c r="AX33" s="614" t="s">
        <v>3266</v>
      </c>
    </row>
    <row r="34" spans="1:50" x14ac:dyDescent="0.25">
      <c r="A34" s="478" t="s">
        <v>3267</v>
      </c>
      <c r="B34" s="478" t="s">
        <v>3215</v>
      </c>
      <c r="C34" s="37">
        <v>2001</v>
      </c>
      <c r="D34" s="570">
        <v>0.33</v>
      </c>
      <c r="E34" s="570">
        <v>0.26</v>
      </c>
      <c r="F34" s="37">
        <v>2830</v>
      </c>
      <c r="G34" s="570">
        <v>0.57999999999999996</v>
      </c>
      <c r="H34" s="570">
        <v>0.39</v>
      </c>
      <c r="I34" s="570" t="s">
        <v>3267</v>
      </c>
      <c r="J34" s="479">
        <v>0.83</v>
      </c>
      <c r="K34" s="571">
        <v>0.06</v>
      </c>
      <c r="L34" s="572" t="s">
        <v>3280</v>
      </c>
      <c r="M34" s="618"/>
      <c r="N34" s="478" t="s">
        <v>3268</v>
      </c>
      <c r="O34" s="479">
        <v>0.14000000000000001</v>
      </c>
      <c r="P34" s="613"/>
      <c r="Q34" s="618"/>
      <c r="R34" s="466" t="s">
        <v>3269</v>
      </c>
      <c r="S34" s="466" t="s">
        <v>3270</v>
      </c>
      <c r="T34" s="466" t="s">
        <v>3271</v>
      </c>
      <c r="U34" s="466" t="s">
        <v>3272</v>
      </c>
      <c r="V34" s="466" t="s">
        <v>3273</v>
      </c>
      <c r="Y34" s="627" t="s">
        <v>3274</v>
      </c>
      <c r="Z34" s="628" t="s">
        <v>3275</v>
      </c>
      <c r="AA34" s="628" t="s">
        <v>3276</v>
      </c>
      <c r="AD34" s="31" t="str">
        <f t="shared" si="0"/>
        <v>Interior LED Fixtures replacing lamp(s) &gt;250 Watts</v>
      </c>
      <c r="AF34" s="31" t="s">
        <v>3052</v>
      </c>
      <c r="AG34" s="249"/>
      <c r="AH34" s="31" t="s">
        <v>3043</v>
      </c>
      <c r="AI34" s="624" t="s">
        <v>3277</v>
      </c>
      <c r="AJ34" s="624" t="s">
        <v>3044</v>
      </c>
      <c r="AK34" s="623" t="s">
        <v>2807</v>
      </c>
      <c r="AL34" s="31" t="s">
        <v>2806</v>
      </c>
      <c r="AM34" s="704">
        <f>0.05*'Project Summary'!M14</f>
        <v>2.5000000000000001E-2</v>
      </c>
      <c r="AN34" s="37" t="s">
        <v>3009</v>
      </c>
      <c r="AO34" s="37" t="s">
        <v>526</v>
      </c>
      <c r="AP34" s="37">
        <v>13</v>
      </c>
      <c r="AQ34" s="70"/>
      <c r="AR34" s="36"/>
      <c r="AS34" s="36" t="s">
        <v>456</v>
      </c>
      <c r="AT34" s="37" t="s">
        <v>456</v>
      </c>
      <c r="AU34" s="37" t="s">
        <v>456</v>
      </c>
      <c r="AW34" s="613">
        <v>31</v>
      </c>
      <c r="AX34" s="614" t="s">
        <v>3278</v>
      </c>
    </row>
    <row r="35" spans="1:50" ht="15" customHeight="1" x14ac:dyDescent="0.25">
      <c r="A35" s="573" t="s">
        <v>3279</v>
      </c>
      <c r="B35" s="478" t="s">
        <v>3215</v>
      </c>
      <c r="C35" s="37">
        <v>2001</v>
      </c>
      <c r="D35" s="570">
        <v>0.33</v>
      </c>
      <c r="E35" s="570">
        <v>0.26</v>
      </c>
      <c r="F35" s="37">
        <v>2830</v>
      </c>
      <c r="G35" s="570">
        <v>0.57999999999999996</v>
      </c>
      <c r="H35" s="570">
        <v>0.39</v>
      </c>
      <c r="I35" s="37" t="s">
        <v>3279</v>
      </c>
      <c r="J35" s="479">
        <v>1.18</v>
      </c>
      <c r="K35" s="571">
        <v>0.06</v>
      </c>
      <c r="L35" s="572" t="s">
        <v>3286</v>
      </c>
      <c r="M35" s="618"/>
      <c r="N35" s="478" t="s">
        <v>3281</v>
      </c>
      <c r="O35" s="479">
        <v>1.34</v>
      </c>
      <c r="P35" s="613"/>
      <c r="Q35" s="618"/>
      <c r="R35" s="37">
        <v>0</v>
      </c>
      <c r="S35" s="37" t="s">
        <v>3282</v>
      </c>
      <c r="T35" s="37" t="s">
        <v>3283</v>
      </c>
      <c r="U35" s="37" t="s">
        <v>3283</v>
      </c>
      <c r="V35" s="37" t="s">
        <v>3283</v>
      </c>
      <c r="Y35" s="627" t="s">
        <v>2650</v>
      </c>
      <c r="Z35" s="635"/>
      <c r="AA35" s="635"/>
      <c r="AD35" s="31" t="str">
        <f>AD14</f>
        <v>Interior LED Retrofit Kits</v>
      </c>
      <c r="AF35" s="31" t="s">
        <v>3079</v>
      </c>
      <c r="AG35" s="249"/>
      <c r="AH35" s="31" t="s">
        <v>3052</v>
      </c>
      <c r="AI35" s="624" t="s">
        <v>3194</v>
      </c>
      <c r="AJ35" s="624" t="s">
        <v>3053</v>
      </c>
      <c r="AK35" s="623" t="s">
        <v>2803</v>
      </c>
      <c r="AL35" s="623" t="s">
        <v>2803</v>
      </c>
      <c r="AM35" s="704">
        <f>0.05*'Project Summary'!M14</f>
        <v>2.5000000000000001E-2</v>
      </c>
      <c r="AN35" s="37" t="s">
        <v>3009</v>
      </c>
      <c r="AO35" s="37" t="s">
        <v>526</v>
      </c>
      <c r="AP35" s="37">
        <v>13</v>
      </c>
      <c r="AQ35" s="70"/>
      <c r="AR35" s="36"/>
      <c r="AS35" s="36" t="s">
        <v>456</v>
      </c>
      <c r="AT35" s="37" t="s">
        <v>456</v>
      </c>
      <c r="AU35" s="37" t="s">
        <v>456</v>
      </c>
      <c r="AW35" s="613">
        <v>32</v>
      </c>
      <c r="AX35" s="614" t="s">
        <v>3284</v>
      </c>
    </row>
    <row r="36" spans="1:50" ht="15" customHeight="1" x14ac:dyDescent="0.25">
      <c r="A36" s="478" t="s">
        <v>3285</v>
      </c>
      <c r="B36" s="478" t="s">
        <v>3140</v>
      </c>
      <c r="C36" s="37">
        <v>1456</v>
      </c>
      <c r="D36" s="570">
        <v>0.23</v>
      </c>
      <c r="E36" s="570">
        <v>0.17</v>
      </c>
      <c r="F36" s="37">
        <v>1419</v>
      </c>
      <c r="G36" s="570">
        <v>0.23</v>
      </c>
      <c r="H36" s="570">
        <v>0.19</v>
      </c>
      <c r="I36" s="570" t="s">
        <v>3285</v>
      </c>
      <c r="J36" s="577">
        <v>1.06</v>
      </c>
      <c r="K36" s="571">
        <v>0.12</v>
      </c>
      <c r="L36" s="572" t="s">
        <v>3285</v>
      </c>
      <c r="M36" s="618"/>
      <c r="N36" s="478" t="s">
        <v>3287</v>
      </c>
      <c r="O36" s="479">
        <v>0.85</v>
      </c>
      <c r="P36" s="613"/>
      <c r="Q36" s="618"/>
      <c r="R36" s="37">
        <v>1</v>
      </c>
      <c r="S36" s="37" t="str">
        <f>'General Information'!T9</f>
        <v>&lt;&lt; Input Schedule Name 1 &gt;&gt;</v>
      </c>
      <c r="T36" s="600" t="str">
        <f>'General Information'!AA9</f>
        <v/>
      </c>
      <c r="U36" s="479">
        <f>'General Information'!AC9</f>
        <v>0</v>
      </c>
      <c r="V36" s="479">
        <f>'General Information'!AE9</f>
        <v>0</v>
      </c>
      <c r="AD36" s="31" t="str">
        <f t="shared" ref="AD36:AD42" si="1">AD16</f>
        <v>LED Channel Signage</v>
      </c>
      <c r="AF36" s="31" t="s">
        <v>3100</v>
      </c>
      <c r="AG36" s="249"/>
      <c r="AH36" s="31" t="s">
        <v>3052</v>
      </c>
      <c r="AI36" s="624" t="s">
        <v>3203</v>
      </c>
      <c r="AJ36" s="624" t="s">
        <v>3053</v>
      </c>
      <c r="AK36" s="623" t="s">
        <v>2807</v>
      </c>
      <c r="AL36" s="31" t="s">
        <v>2806</v>
      </c>
      <c r="AM36" s="704">
        <f>0.05*'Project Summary'!M14</f>
        <v>2.5000000000000001E-2</v>
      </c>
      <c r="AN36" s="37" t="s">
        <v>3009</v>
      </c>
      <c r="AO36" s="37" t="s">
        <v>526</v>
      </c>
      <c r="AP36" s="37">
        <v>13</v>
      </c>
      <c r="AQ36" s="70"/>
      <c r="AR36" s="36"/>
      <c r="AS36" s="36" t="s">
        <v>456</v>
      </c>
      <c r="AT36" s="37" t="s">
        <v>456</v>
      </c>
      <c r="AU36" s="37" t="s">
        <v>918</v>
      </c>
      <c r="AW36" s="613">
        <v>33</v>
      </c>
      <c r="AX36" s="614" t="s">
        <v>3288</v>
      </c>
    </row>
    <row r="37" spans="1:50" x14ac:dyDescent="0.25">
      <c r="A37" s="478" t="s">
        <v>3289</v>
      </c>
      <c r="B37" s="478" t="s">
        <v>3140</v>
      </c>
      <c r="C37" s="37">
        <v>1456</v>
      </c>
      <c r="D37" s="570">
        <v>0.23</v>
      </c>
      <c r="E37" s="570">
        <v>0.17</v>
      </c>
      <c r="F37" s="37">
        <v>1419</v>
      </c>
      <c r="G37" s="570">
        <v>0.23</v>
      </c>
      <c r="H37" s="570">
        <v>0.19</v>
      </c>
      <c r="I37" s="570" t="s">
        <v>3289</v>
      </c>
      <c r="J37" s="479">
        <v>0.8</v>
      </c>
      <c r="K37" s="571">
        <v>0.12</v>
      </c>
      <c r="L37" s="572" t="s">
        <v>3140</v>
      </c>
      <c r="M37" s="618"/>
      <c r="N37" s="478" t="s">
        <v>3290</v>
      </c>
      <c r="O37" s="479">
        <v>1.22</v>
      </c>
      <c r="P37" s="613"/>
      <c r="Q37" s="618"/>
      <c r="R37" s="37">
        <v>2</v>
      </c>
      <c r="S37" s="37" t="str">
        <f>'General Information'!T10</f>
        <v>&lt;&lt; Input Schedule Name 2 &gt;&gt;</v>
      </c>
      <c r="T37" s="600" t="str">
        <f>'General Information'!AA10</f>
        <v/>
      </c>
      <c r="U37" s="479">
        <f>'General Information'!AC10</f>
        <v>0</v>
      </c>
      <c r="V37" s="479">
        <f>'General Information'!AE10</f>
        <v>0</v>
      </c>
      <c r="AD37" s="31" t="str">
        <f t="shared" si="1"/>
        <v>LED Box Signage</v>
      </c>
      <c r="AF37" s="31" t="s">
        <v>3114</v>
      </c>
      <c r="AG37" s="249"/>
      <c r="AH37" s="31" t="s">
        <v>3052</v>
      </c>
      <c r="AI37" s="624" t="s">
        <v>3212</v>
      </c>
      <c r="AJ37" s="624" t="s">
        <v>3053</v>
      </c>
      <c r="AK37" s="623" t="s">
        <v>2807</v>
      </c>
      <c r="AL37" s="31" t="s">
        <v>2806</v>
      </c>
      <c r="AM37" s="704">
        <f>0.05*'Project Summary'!M14</f>
        <v>2.5000000000000001E-2</v>
      </c>
      <c r="AN37" s="37" t="s">
        <v>3009</v>
      </c>
      <c r="AO37" s="37" t="s">
        <v>526</v>
      </c>
      <c r="AP37" s="37">
        <v>13</v>
      </c>
      <c r="AQ37" s="70"/>
      <c r="AR37" s="36"/>
      <c r="AS37" s="36" t="s">
        <v>456</v>
      </c>
      <c r="AT37" s="37" t="s">
        <v>456</v>
      </c>
      <c r="AU37" s="37" t="s">
        <v>918</v>
      </c>
      <c r="AW37" s="613">
        <v>34</v>
      </c>
      <c r="AX37" s="614" t="s">
        <v>3291</v>
      </c>
    </row>
    <row r="38" spans="1:50" ht="21" x14ac:dyDescent="0.25">
      <c r="A38" s="478" t="s">
        <v>3292</v>
      </c>
      <c r="B38" s="478" t="s">
        <v>3293</v>
      </c>
      <c r="C38" s="37">
        <v>1000</v>
      </c>
      <c r="D38" s="570">
        <v>0.23</v>
      </c>
      <c r="E38" s="570">
        <v>0.17</v>
      </c>
      <c r="F38" s="37">
        <v>1000</v>
      </c>
      <c r="G38" s="570">
        <v>0.23</v>
      </c>
      <c r="H38" s="570">
        <v>0.19</v>
      </c>
      <c r="I38" s="570" t="s">
        <v>3289</v>
      </c>
      <c r="J38" s="479">
        <v>0.8</v>
      </c>
      <c r="K38" s="571">
        <v>0.12</v>
      </c>
      <c r="L38" s="572" t="s">
        <v>3140</v>
      </c>
      <c r="M38" s="618"/>
      <c r="N38" s="478" t="s">
        <v>3294</v>
      </c>
      <c r="O38" s="479">
        <v>0.42</v>
      </c>
      <c r="P38" s="613"/>
      <c r="Q38" s="618"/>
      <c r="R38" s="37">
        <v>3</v>
      </c>
      <c r="S38" s="37" t="str">
        <f>'General Information'!T11</f>
        <v>&lt;&lt; Input Schedule Name 3 &gt;&gt;</v>
      </c>
      <c r="T38" s="600" t="str">
        <f>'General Information'!AA11</f>
        <v/>
      </c>
      <c r="U38" s="479">
        <f>'General Information'!AC11</f>
        <v>0</v>
      </c>
      <c r="V38" s="479">
        <f>'General Information'!AE11</f>
        <v>0</v>
      </c>
      <c r="Y38" s="185" t="s">
        <v>3295</v>
      </c>
      <c r="AD38" s="31" t="str">
        <f t="shared" si="1"/>
        <v>LED Reach-in Case Lighting</v>
      </c>
      <c r="AF38" s="31" t="s">
        <v>3124</v>
      </c>
      <c r="AG38" s="249"/>
      <c r="AH38" s="31" t="s">
        <v>3052</v>
      </c>
      <c r="AI38" s="624" t="s">
        <v>3225</v>
      </c>
      <c r="AJ38" s="624" t="s">
        <v>3053</v>
      </c>
      <c r="AK38" s="623" t="s">
        <v>2807</v>
      </c>
      <c r="AL38" s="31" t="s">
        <v>2806</v>
      </c>
      <c r="AM38" s="704">
        <f>0.05*'Project Summary'!M14</f>
        <v>2.5000000000000001E-2</v>
      </c>
      <c r="AN38" s="37" t="s">
        <v>3009</v>
      </c>
      <c r="AO38" s="37" t="s">
        <v>526</v>
      </c>
      <c r="AP38" s="37">
        <v>13</v>
      </c>
      <c r="AQ38" s="70"/>
      <c r="AR38" s="36"/>
      <c r="AS38" s="36" t="s">
        <v>456</v>
      </c>
      <c r="AT38" s="37" t="s">
        <v>456</v>
      </c>
      <c r="AU38" s="37" t="s">
        <v>918</v>
      </c>
      <c r="AW38" s="613">
        <v>35</v>
      </c>
      <c r="AX38" s="614" t="s">
        <v>3296</v>
      </c>
    </row>
    <row r="39" spans="1:50" ht="15" customHeight="1" x14ac:dyDescent="0.25">
      <c r="A39" s="573" t="s">
        <v>3297</v>
      </c>
      <c r="B39" s="478" t="s">
        <v>3140</v>
      </c>
      <c r="C39" s="37">
        <v>1456</v>
      </c>
      <c r="D39" s="570">
        <v>0.23</v>
      </c>
      <c r="E39" s="570">
        <v>0.17</v>
      </c>
      <c r="F39" s="37">
        <v>1419</v>
      </c>
      <c r="G39" s="570">
        <v>0.23</v>
      </c>
      <c r="H39" s="570">
        <v>0.19</v>
      </c>
      <c r="I39" s="570" t="s">
        <v>3297</v>
      </c>
      <c r="J39" s="479">
        <v>0.53</v>
      </c>
      <c r="K39" s="571">
        <v>0.12</v>
      </c>
      <c r="L39" s="572" t="s">
        <v>3140</v>
      </c>
      <c r="M39" s="618"/>
      <c r="N39" s="478" t="s">
        <v>4579</v>
      </c>
      <c r="O39" s="479">
        <v>0.57999999999999996</v>
      </c>
      <c r="P39" s="613"/>
      <c r="Q39" s="618"/>
      <c r="R39" s="37">
        <v>4</v>
      </c>
      <c r="S39" s="37" t="str">
        <f>'General Information'!T12</f>
        <v>&lt;&lt; Input Schedule Name 4 &gt;&gt;</v>
      </c>
      <c r="T39" s="600" t="str">
        <f>'General Information'!AA12</f>
        <v/>
      </c>
      <c r="U39" s="479">
        <f>'General Information'!AC12</f>
        <v>0</v>
      </c>
      <c r="V39" s="479">
        <f>'General Information'!AE12</f>
        <v>0</v>
      </c>
      <c r="Y39" s="619" t="s">
        <v>3298</v>
      </c>
      <c r="AD39" s="634" t="str">
        <f t="shared" si="1"/>
        <v>Induction Fluorescent</v>
      </c>
      <c r="AF39" s="31" t="s">
        <v>2349</v>
      </c>
      <c r="AG39" s="249"/>
      <c r="AH39" s="31" t="s">
        <v>3052</v>
      </c>
      <c r="AI39" s="624" t="s">
        <v>3233</v>
      </c>
      <c r="AJ39" s="624" t="s">
        <v>3053</v>
      </c>
      <c r="AK39" s="623" t="s">
        <v>2807</v>
      </c>
      <c r="AL39" s="31" t="s">
        <v>2806</v>
      </c>
      <c r="AM39" s="704">
        <f>0.05*'Project Summary'!M14</f>
        <v>2.5000000000000001E-2</v>
      </c>
      <c r="AN39" s="37" t="s">
        <v>3009</v>
      </c>
      <c r="AO39" s="37" t="s">
        <v>526</v>
      </c>
      <c r="AP39" s="37">
        <v>13</v>
      </c>
      <c r="AQ39" s="70"/>
      <c r="AR39" s="36"/>
      <c r="AS39" s="36" t="s">
        <v>456</v>
      </c>
      <c r="AT39" s="37" t="s">
        <v>456</v>
      </c>
      <c r="AU39" s="37" t="s">
        <v>918</v>
      </c>
      <c r="AW39" s="613">
        <v>36</v>
      </c>
      <c r="AX39" s="614" t="s">
        <v>3299</v>
      </c>
    </row>
    <row r="40" spans="1:50" x14ac:dyDescent="0.25">
      <c r="A40" s="478" t="s">
        <v>3300</v>
      </c>
      <c r="B40" s="478" t="s">
        <v>3140</v>
      </c>
      <c r="C40" s="37">
        <v>1456</v>
      </c>
      <c r="D40" s="570">
        <v>0.23</v>
      </c>
      <c r="E40" s="570">
        <v>0.17</v>
      </c>
      <c r="F40" s="37">
        <v>1419</v>
      </c>
      <c r="G40" s="570">
        <v>0.23</v>
      </c>
      <c r="H40" s="570">
        <v>0.19</v>
      </c>
      <c r="I40" s="570" t="s">
        <v>3300</v>
      </c>
      <c r="J40" s="479">
        <v>0.67</v>
      </c>
      <c r="K40" s="571">
        <v>0.12</v>
      </c>
      <c r="L40" s="572" t="s">
        <v>3305</v>
      </c>
      <c r="M40" s="618"/>
      <c r="N40" s="478" t="s">
        <v>3301</v>
      </c>
      <c r="O40" s="479">
        <v>0.46</v>
      </c>
      <c r="P40" s="613"/>
      <c r="Q40" s="618"/>
      <c r="R40" s="37">
        <v>5</v>
      </c>
      <c r="S40" s="37" t="str">
        <f>'General Information'!T13</f>
        <v>&lt;&lt; Input Schedule Name 5 &gt;&gt;</v>
      </c>
      <c r="T40" s="600" t="str">
        <f>'General Information'!AA13</f>
        <v/>
      </c>
      <c r="U40" s="479">
        <f>'General Information'!AC13</f>
        <v>0</v>
      </c>
      <c r="V40" s="479">
        <f>'General Information'!AE13</f>
        <v>0</v>
      </c>
      <c r="Y40" s="619" t="s">
        <v>3302</v>
      </c>
      <c r="AD40" s="634" t="str">
        <f t="shared" si="1"/>
        <v>High Intensity Discharge (HID)</v>
      </c>
      <c r="AF40" s="31" t="s">
        <v>3148</v>
      </c>
      <c r="AG40" s="249"/>
      <c r="AH40" s="31" t="s">
        <v>3052</v>
      </c>
      <c r="AI40" s="624" t="s">
        <v>3241</v>
      </c>
      <c r="AJ40" s="624" t="s">
        <v>3053</v>
      </c>
      <c r="AK40" s="623" t="s">
        <v>2807</v>
      </c>
      <c r="AL40" s="31" t="s">
        <v>2806</v>
      </c>
      <c r="AM40" s="704">
        <f>0.05*'Project Summary'!M14</f>
        <v>2.5000000000000001E-2</v>
      </c>
      <c r="AN40" s="37" t="s">
        <v>3009</v>
      </c>
      <c r="AO40" s="37" t="s">
        <v>526</v>
      </c>
      <c r="AP40" s="37">
        <v>13</v>
      </c>
      <c r="AQ40" s="70"/>
      <c r="AR40" s="36"/>
      <c r="AS40" s="36" t="s">
        <v>456</v>
      </c>
      <c r="AT40" s="37" t="s">
        <v>456</v>
      </c>
      <c r="AU40" s="37" t="s">
        <v>918</v>
      </c>
      <c r="AW40" s="613">
        <v>37</v>
      </c>
      <c r="AX40" s="614" t="s">
        <v>3303</v>
      </c>
    </row>
    <row r="41" spans="1:50" ht="15" customHeight="1" x14ac:dyDescent="0.25">
      <c r="A41" s="478" t="s">
        <v>3304</v>
      </c>
      <c r="B41" s="478" t="s">
        <v>3215</v>
      </c>
      <c r="C41" s="37">
        <v>2001</v>
      </c>
      <c r="D41" s="570">
        <v>0.33</v>
      </c>
      <c r="E41" s="570">
        <v>0.26</v>
      </c>
      <c r="F41" s="37">
        <v>2830</v>
      </c>
      <c r="G41" s="570">
        <v>0.57999999999999996</v>
      </c>
      <c r="H41" s="570">
        <v>0.39</v>
      </c>
      <c r="I41" s="570" t="s">
        <v>3304</v>
      </c>
      <c r="J41" s="479">
        <v>0.87</v>
      </c>
      <c r="K41" s="571">
        <v>0.06</v>
      </c>
      <c r="L41" s="572" t="s">
        <v>3310</v>
      </c>
      <c r="M41" s="618"/>
      <c r="N41" s="478" t="s">
        <v>3306</v>
      </c>
      <c r="O41" s="479">
        <v>0.56000000000000005</v>
      </c>
      <c r="P41" s="613"/>
      <c r="Q41" s="618"/>
      <c r="R41" s="37">
        <v>6</v>
      </c>
      <c r="S41" s="37" t="str">
        <f>'General Information'!T14</f>
        <v>&lt;&lt; Input Schedule Name 6 &gt;&gt;</v>
      </c>
      <c r="T41" s="600" t="str">
        <f>'General Information'!AA14</f>
        <v/>
      </c>
      <c r="U41" s="479">
        <f>'General Information'!AC14</f>
        <v>0</v>
      </c>
      <c r="V41" s="479">
        <f>'General Information'!AE14</f>
        <v>0</v>
      </c>
      <c r="Y41" s="619" t="s">
        <v>3307</v>
      </c>
      <c r="AD41" s="634" t="str">
        <f t="shared" si="1"/>
        <v>Custom</v>
      </c>
      <c r="AF41" s="31" t="s">
        <v>3160</v>
      </c>
      <c r="AG41" s="249"/>
      <c r="AH41" s="31" t="s">
        <v>3052</v>
      </c>
      <c r="AI41" s="624" t="s">
        <v>3250</v>
      </c>
      <c r="AJ41" s="624" t="s">
        <v>3053</v>
      </c>
      <c r="AK41" s="623" t="s">
        <v>2803</v>
      </c>
      <c r="AL41" s="623" t="s">
        <v>2803</v>
      </c>
      <c r="AM41" s="704">
        <f>0.05*'Project Summary'!M14</f>
        <v>2.5000000000000001E-2</v>
      </c>
      <c r="AN41" s="37" t="s">
        <v>3009</v>
      </c>
      <c r="AO41" s="37" t="s">
        <v>526</v>
      </c>
      <c r="AP41" s="37">
        <v>13</v>
      </c>
      <c r="AQ41" s="70"/>
      <c r="AR41" s="36"/>
      <c r="AS41" s="36" t="s">
        <v>456</v>
      </c>
      <c r="AT41" s="37" t="s">
        <v>456</v>
      </c>
      <c r="AU41" s="37" t="s">
        <v>456</v>
      </c>
      <c r="AW41" s="613">
        <v>38</v>
      </c>
      <c r="AX41" s="614" t="s">
        <v>3308</v>
      </c>
    </row>
    <row r="42" spans="1:50" ht="15" customHeight="1" x14ac:dyDescent="0.25">
      <c r="A42" s="478" t="s">
        <v>3309</v>
      </c>
      <c r="B42" s="478" t="s">
        <v>3215</v>
      </c>
      <c r="C42" s="37">
        <v>2001</v>
      </c>
      <c r="D42" s="570">
        <v>0.33</v>
      </c>
      <c r="E42" s="570">
        <v>0.26</v>
      </c>
      <c r="F42" s="37">
        <v>2830</v>
      </c>
      <c r="G42" s="570">
        <v>0.57999999999999996</v>
      </c>
      <c r="H42" s="570">
        <v>0.39</v>
      </c>
      <c r="I42" s="570" t="s">
        <v>2998</v>
      </c>
      <c r="J42" s="479">
        <v>0.81</v>
      </c>
      <c r="K42" s="571">
        <v>0.15</v>
      </c>
      <c r="L42" s="572" t="s">
        <v>3153</v>
      </c>
      <c r="M42" s="618"/>
      <c r="N42" s="478" t="s">
        <v>3311</v>
      </c>
      <c r="O42" s="479">
        <v>1.1399999999999999</v>
      </c>
      <c r="P42" s="613"/>
      <c r="Q42" s="618"/>
      <c r="R42" s="37">
        <v>7</v>
      </c>
      <c r="S42" s="37" t="str">
        <f>'General Information'!T15</f>
        <v>&lt;&lt; Input Schedule Name 7 &gt;&gt;</v>
      </c>
      <c r="T42" s="600" t="str">
        <f>'General Information'!AA15</f>
        <v/>
      </c>
      <c r="U42" s="479">
        <f>'General Information'!AC15</f>
        <v>0</v>
      </c>
      <c r="V42" s="479">
        <f>'General Information'!AE15</f>
        <v>0</v>
      </c>
      <c r="AD42" s="634" t="str">
        <f t="shared" si="1"/>
        <v>No Change</v>
      </c>
      <c r="AF42" s="31" t="s">
        <v>3168</v>
      </c>
      <c r="AG42" s="249"/>
      <c r="AH42" s="31" t="s">
        <v>3052</v>
      </c>
      <c r="AI42" s="624" t="s">
        <v>3258</v>
      </c>
      <c r="AJ42" s="624" t="s">
        <v>3053</v>
      </c>
      <c r="AK42" s="623" t="s">
        <v>2807</v>
      </c>
      <c r="AL42" s="31" t="s">
        <v>2806</v>
      </c>
      <c r="AM42" s="704">
        <f>0.05*'Project Summary'!M14</f>
        <v>2.5000000000000001E-2</v>
      </c>
      <c r="AN42" s="37" t="s">
        <v>3009</v>
      </c>
      <c r="AO42" s="37" t="s">
        <v>526</v>
      </c>
      <c r="AP42" s="37">
        <v>13</v>
      </c>
      <c r="AQ42" s="70"/>
      <c r="AR42" s="36"/>
      <c r="AS42" s="36" t="s">
        <v>456</v>
      </c>
      <c r="AT42" s="37" t="s">
        <v>456</v>
      </c>
      <c r="AU42" s="37" t="s">
        <v>918</v>
      </c>
      <c r="AW42" s="613">
        <v>39</v>
      </c>
      <c r="AX42" s="614" t="s">
        <v>3312</v>
      </c>
    </row>
    <row r="43" spans="1:50" ht="15" customHeight="1" x14ac:dyDescent="0.25">
      <c r="A43" s="478" t="s">
        <v>3313</v>
      </c>
      <c r="B43" s="478" t="s">
        <v>3172</v>
      </c>
      <c r="C43" s="37">
        <v>3054</v>
      </c>
      <c r="D43" s="570">
        <v>0.55000000000000004</v>
      </c>
      <c r="E43" s="570">
        <v>0.38</v>
      </c>
      <c r="F43" s="37">
        <v>4747</v>
      </c>
      <c r="G43" s="570">
        <v>0.77</v>
      </c>
      <c r="H43" s="570">
        <v>0.65</v>
      </c>
      <c r="I43" s="570" t="s">
        <v>3038</v>
      </c>
      <c r="J43" s="479">
        <v>1.06</v>
      </c>
      <c r="K43" s="571">
        <v>0.05</v>
      </c>
      <c r="L43" s="572" t="s">
        <v>3038</v>
      </c>
      <c r="M43" s="618"/>
      <c r="N43" s="601"/>
      <c r="O43" s="602"/>
      <c r="P43" s="613"/>
      <c r="Q43" s="618"/>
      <c r="R43" s="37">
        <v>8</v>
      </c>
      <c r="S43" s="37" t="str">
        <f>'General Information'!T16</f>
        <v>&lt;&lt; Input Schedule Name 8 &gt;&gt;</v>
      </c>
      <c r="T43" s="600" t="str">
        <f>'General Information'!AA16</f>
        <v/>
      </c>
      <c r="U43" s="479">
        <f>'General Information'!AC16</f>
        <v>0</v>
      </c>
      <c r="V43" s="479">
        <f>'General Information'!AE16</f>
        <v>0</v>
      </c>
      <c r="AG43" s="249"/>
      <c r="AH43" s="31" t="s">
        <v>3052</v>
      </c>
      <c r="AI43" s="478" t="s">
        <v>3265</v>
      </c>
      <c r="AJ43" s="478" t="s">
        <v>3053</v>
      </c>
      <c r="AK43" s="623" t="s">
        <v>2807</v>
      </c>
      <c r="AL43" s="31" t="s">
        <v>2806</v>
      </c>
      <c r="AM43" s="704">
        <f>0.05*'Project Summary'!M14</f>
        <v>2.5000000000000001E-2</v>
      </c>
      <c r="AN43" s="37" t="s">
        <v>3009</v>
      </c>
      <c r="AO43" s="70" t="s">
        <v>526</v>
      </c>
      <c r="AP43" s="37">
        <v>13</v>
      </c>
      <c r="AQ43" s="70"/>
      <c r="AR43" s="36"/>
      <c r="AS43" s="36" t="s">
        <v>456</v>
      </c>
      <c r="AT43" s="37" t="s">
        <v>456</v>
      </c>
      <c r="AU43" s="37" t="s">
        <v>918</v>
      </c>
      <c r="AW43" s="613">
        <v>40</v>
      </c>
      <c r="AX43" s="614" t="s">
        <v>3315</v>
      </c>
    </row>
    <row r="44" spans="1:50" ht="15" customHeight="1" x14ac:dyDescent="0.25">
      <c r="A44" s="478" t="s">
        <v>3316</v>
      </c>
      <c r="B44" s="478" t="s">
        <v>3140</v>
      </c>
      <c r="C44" s="37">
        <v>1456</v>
      </c>
      <c r="D44" s="570">
        <v>0.23</v>
      </c>
      <c r="E44" s="570">
        <v>0.17</v>
      </c>
      <c r="F44" s="37">
        <v>1419</v>
      </c>
      <c r="G44" s="570">
        <v>0.23</v>
      </c>
      <c r="H44" s="570">
        <v>0.19</v>
      </c>
      <c r="I44" s="570" t="s">
        <v>3316</v>
      </c>
      <c r="J44" s="479">
        <v>0.9</v>
      </c>
      <c r="K44" s="571">
        <v>0.12</v>
      </c>
      <c r="L44" s="572" t="s">
        <v>3316</v>
      </c>
      <c r="M44" s="618"/>
      <c r="N44" s="601"/>
      <c r="O44" s="602"/>
      <c r="P44" s="613"/>
      <c r="Q44" s="618"/>
      <c r="AG44" s="249"/>
      <c r="AH44" s="31" t="s">
        <v>3052</v>
      </c>
      <c r="AI44" s="478" t="s">
        <v>3277</v>
      </c>
      <c r="AJ44" s="478" t="s">
        <v>3053</v>
      </c>
      <c r="AK44" s="623" t="s">
        <v>2807</v>
      </c>
      <c r="AL44" s="31" t="s">
        <v>2806</v>
      </c>
      <c r="AM44" s="704">
        <f>0.05*'Project Summary'!M14</f>
        <v>2.5000000000000001E-2</v>
      </c>
      <c r="AN44" s="37" t="s">
        <v>3009</v>
      </c>
      <c r="AO44" s="70" t="s">
        <v>526</v>
      </c>
      <c r="AP44" s="37">
        <v>13</v>
      </c>
      <c r="AQ44" s="70"/>
      <c r="AR44" s="36"/>
      <c r="AS44" s="36" t="s">
        <v>456</v>
      </c>
      <c r="AT44" s="37" t="s">
        <v>456</v>
      </c>
      <c r="AU44" s="37" t="s">
        <v>918</v>
      </c>
      <c r="AW44" s="613">
        <v>41</v>
      </c>
      <c r="AX44" s="614" t="s">
        <v>3317</v>
      </c>
    </row>
    <row r="45" spans="1:50" ht="15" customHeight="1" x14ac:dyDescent="0.25">
      <c r="A45" s="478" t="s">
        <v>3318</v>
      </c>
      <c r="B45" s="478" t="s">
        <v>3215</v>
      </c>
      <c r="C45" s="37">
        <v>2001</v>
      </c>
      <c r="D45" s="570">
        <v>0.33</v>
      </c>
      <c r="E45" s="570">
        <v>0.26</v>
      </c>
      <c r="F45" s="37">
        <v>2830</v>
      </c>
      <c r="G45" s="570">
        <v>0.57999999999999996</v>
      </c>
      <c r="H45" s="570">
        <v>0.39</v>
      </c>
      <c r="I45" s="570" t="s">
        <v>3038</v>
      </c>
      <c r="J45" s="479">
        <v>1.06</v>
      </c>
      <c r="K45" s="571">
        <v>0.05</v>
      </c>
      <c r="L45" s="572" t="s">
        <v>3038</v>
      </c>
      <c r="M45" s="618"/>
      <c r="N45" s="601"/>
      <c r="O45" s="602"/>
      <c r="P45" s="613"/>
      <c r="Q45" s="618"/>
      <c r="AG45" s="249"/>
      <c r="AH45" s="31" t="s">
        <v>3062</v>
      </c>
      <c r="AI45" s="31" t="s">
        <v>3319</v>
      </c>
      <c r="AJ45" s="31" t="s">
        <v>3063</v>
      </c>
      <c r="AK45" s="623" t="s">
        <v>2806</v>
      </c>
      <c r="AL45" s="31" t="s">
        <v>2806</v>
      </c>
      <c r="AM45" s="704">
        <f>0.05*'Project Summary'!M14</f>
        <v>2.5000000000000001E-2</v>
      </c>
      <c r="AN45" s="37" t="s">
        <v>3009</v>
      </c>
      <c r="AO45" s="70" t="s">
        <v>526</v>
      </c>
      <c r="AP45" s="37">
        <v>13</v>
      </c>
      <c r="AQ45" s="70">
        <v>200</v>
      </c>
      <c r="AR45" s="36" t="s">
        <v>3320</v>
      </c>
      <c r="AS45" s="36" t="s">
        <v>456</v>
      </c>
      <c r="AT45" s="37" t="s">
        <v>456</v>
      </c>
      <c r="AU45" s="37" t="s">
        <v>456</v>
      </c>
      <c r="AW45" s="613">
        <v>42</v>
      </c>
      <c r="AX45" s="614" t="s">
        <v>3321</v>
      </c>
    </row>
    <row r="46" spans="1:50" ht="15.75" customHeight="1" x14ac:dyDescent="0.25">
      <c r="A46" s="478" t="s">
        <v>3322</v>
      </c>
      <c r="B46" s="478" t="s">
        <v>3140</v>
      </c>
      <c r="C46" s="37">
        <v>1456</v>
      </c>
      <c r="D46" s="570">
        <v>0.23</v>
      </c>
      <c r="E46" s="570">
        <v>0.17</v>
      </c>
      <c r="F46" s="37">
        <v>1419</v>
      </c>
      <c r="G46" s="570">
        <v>0.23</v>
      </c>
      <c r="H46" s="570">
        <v>0.19</v>
      </c>
      <c r="I46" s="570" t="s">
        <v>3322</v>
      </c>
      <c r="J46" s="479">
        <v>0.75</v>
      </c>
      <c r="K46" s="571">
        <v>0.12</v>
      </c>
      <c r="L46" s="572" t="s">
        <v>3322</v>
      </c>
      <c r="M46" s="618"/>
      <c r="N46" s="601"/>
      <c r="O46" s="602"/>
      <c r="P46" s="613"/>
      <c r="Q46" s="618"/>
      <c r="R46" s="336" t="s">
        <v>3323</v>
      </c>
      <c r="S46" s="336" t="s">
        <v>3324</v>
      </c>
      <c r="U46" s="636" t="s">
        <v>3325</v>
      </c>
      <c r="AG46" s="249"/>
      <c r="AH46" s="31" t="s">
        <v>3062</v>
      </c>
      <c r="AI46" s="478" t="s">
        <v>3225</v>
      </c>
      <c r="AJ46" s="478" t="s">
        <v>3063</v>
      </c>
      <c r="AK46" s="623" t="s">
        <v>2806</v>
      </c>
      <c r="AL46" s="31" t="s">
        <v>2806</v>
      </c>
      <c r="AM46" s="704">
        <f>0.05*'Project Summary'!M14</f>
        <v>2.5000000000000001E-2</v>
      </c>
      <c r="AN46" s="37" t="s">
        <v>3009</v>
      </c>
      <c r="AO46" s="70" t="s">
        <v>526</v>
      </c>
      <c r="AP46" s="37">
        <v>12</v>
      </c>
      <c r="AQ46" s="70">
        <v>200</v>
      </c>
      <c r="AR46" s="4" t="s">
        <v>3320</v>
      </c>
      <c r="AS46" s="4" t="s">
        <v>456</v>
      </c>
      <c r="AT46" s="37" t="s">
        <v>456</v>
      </c>
      <c r="AU46" s="37" t="s">
        <v>456</v>
      </c>
      <c r="AW46" s="613">
        <v>43</v>
      </c>
      <c r="AX46" s="614" t="s">
        <v>3326</v>
      </c>
    </row>
    <row r="47" spans="1:50" ht="15" customHeight="1" x14ac:dyDescent="0.25">
      <c r="A47" s="478" t="s">
        <v>3327</v>
      </c>
      <c r="B47" s="478" t="s">
        <v>3215</v>
      </c>
      <c r="C47" s="37">
        <v>2001</v>
      </c>
      <c r="D47" s="570">
        <v>0.33</v>
      </c>
      <c r="E47" s="570">
        <v>0.26</v>
      </c>
      <c r="F47" s="37">
        <v>2830</v>
      </c>
      <c r="G47" s="570">
        <v>0.57999999999999996</v>
      </c>
      <c r="H47" s="570">
        <v>0.39</v>
      </c>
      <c r="I47" s="570" t="s">
        <v>3328</v>
      </c>
      <c r="J47" s="479">
        <v>0.48</v>
      </c>
      <c r="K47" s="571">
        <v>0.06</v>
      </c>
      <c r="L47" s="572" t="s">
        <v>3328</v>
      </c>
      <c r="M47" s="618"/>
      <c r="N47" s="601"/>
      <c r="O47" s="602"/>
      <c r="P47" s="613"/>
      <c r="Q47" s="618"/>
      <c r="R47" s="480" t="s">
        <v>2997</v>
      </c>
      <c r="S47" s="62">
        <v>0.16559999999999997</v>
      </c>
      <c r="U47" s="637">
        <v>0.6</v>
      </c>
      <c r="AD47" s="611" t="s">
        <v>3329</v>
      </c>
      <c r="AE47" s="249"/>
      <c r="AF47" s="611" t="s">
        <v>3329</v>
      </c>
      <c r="AG47" s="249"/>
      <c r="AH47" s="31" t="s">
        <v>3062</v>
      </c>
      <c r="AI47" s="31" t="s">
        <v>3250</v>
      </c>
      <c r="AJ47" s="31" t="s">
        <v>3063</v>
      </c>
      <c r="AK47" s="623" t="s">
        <v>2803</v>
      </c>
      <c r="AL47" s="623" t="s">
        <v>2803</v>
      </c>
      <c r="AM47" s="704">
        <f>0.05*'Project Summary'!M14</f>
        <v>2.5000000000000001E-2</v>
      </c>
      <c r="AN47" s="37" t="s">
        <v>3009</v>
      </c>
      <c r="AO47" s="70" t="s">
        <v>526</v>
      </c>
      <c r="AP47" s="37">
        <v>13</v>
      </c>
      <c r="AQ47" s="70"/>
      <c r="AR47" s="37"/>
      <c r="AS47" s="37" t="s">
        <v>456</v>
      </c>
      <c r="AT47" s="37" t="s">
        <v>456</v>
      </c>
      <c r="AU47" s="37" t="s">
        <v>456</v>
      </c>
      <c r="AW47" s="613">
        <v>44</v>
      </c>
      <c r="AX47" s="614" t="s">
        <v>3330</v>
      </c>
    </row>
    <row r="48" spans="1:50" x14ac:dyDescent="0.25">
      <c r="A48" s="478" t="s">
        <v>3142</v>
      </c>
      <c r="B48" s="478" t="s">
        <v>3140</v>
      </c>
      <c r="C48" s="37">
        <v>1456</v>
      </c>
      <c r="D48" s="570">
        <v>0.23</v>
      </c>
      <c r="E48" s="570">
        <v>0.17</v>
      </c>
      <c r="F48" s="37">
        <v>1419</v>
      </c>
      <c r="G48" s="570">
        <v>0.23</v>
      </c>
      <c r="H48" s="570">
        <v>0.19</v>
      </c>
      <c r="I48" s="570" t="s">
        <v>3142</v>
      </c>
      <c r="J48" s="479">
        <v>0.61</v>
      </c>
      <c r="K48" s="571">
        <v>0.12</v>
      </c>
      <c r="L48" s="572" t="s">
        <v>3142</v>
      </c>
      <c r="M48" s="618"/>
      <c r="N48" s="601"/>
      <c r="O48" s="602"/>
      <c r="P48" s="613"/>
      <c r="Q48" s="618"/>
      <c r="R48" s="480" t="s">
        <v>2909</v>
      </c>
      <c r="S48" s="62">
        <v>0</v>
      </c>
      <c r="AD48" s="31" t="str">
        <f>AD6</f>
        <v>Fluorescent Fixtures</v>
      </c>
      <c r="AE48" s="249"/>
      <c r="AF48" s="31" t="s">
        <v>3004</v>
      </c>
      <c r="AG48" s="249"/>
      <c r="AH48" s="31" t="s">
        <v>3062</v>
      </c>
      <c r="AI48" s="478" t="s">
        <v>3331</v>
      </c>
      <c r="AJ48" s="478" t="s">
        <v>3063</v>
      </c>
      <c r="AK48" s="623" t="s">
        <v>2807</v>
      </c>
      <c r="AL48" s="31" t="s">
        <v>2806</v>
      </c>
      <c r="AM48" s="704">
        <f>0.05*'Project Summary'!M14</f>
        <v>2.5000000000000001E-2</v>
      </c>
      <c r="AN48" s="37" t="s">
        <v>3009</v>
      </c>
      <c r="AO48" s="70" t="s">
        <v>526</v>
      </c>
      <c r="AP48" s="37">
        <v>13</v>
      </c>
      <c r="AQ48" s="70"/>
      <c r="AR48" s="37"/>
      <c r="AS48" s="37" t="s">
        <v>456</v>
      </c>
      <c r="AT48" s="37" t="s">
        <v>456</v>
      </c>
      <c r="AU48" s="37" t="s">
        <v>456</v>
      </c>
      <c r="AW48" s="613">
        <v>45</v>
      </c>
      <c r="AX48" s="614" t="s">
        <v>3332</v>
      </c>
    </row>
    <row r="49" spans="1:50" ht="15" customHeight="1" x14ac:dyDescent="0.25">
      <c r="A49" s="478" t="s">
        <v>3333</v>
      </c>
      <c r="B49" s="478" t="s">
        <v>3215</v>
      </c>
      <c r="C49" s="37">
        <v>2001</v>
      </c>
      <c r="D49" s="570">
        <v>0.33</v>
      </c>
      <c r="E49" s="570">
        <v>0.26</v>
      </c>
      <c r="F49" s="37">
        <v>2830</v>
      </c>
      <c r="G49" s="570">
        <v>0.57999999999999996</v>
      </c>
      <c r="H49" s="570">
        <v>0.39</v>
      </c>
      <c r="I49" s="570" t="s">
        <v>3086</v>
      </c>
      <c r="J49" s="479">
        <v>0.9</v>
      </c>
      <c r="K49" s="571">
        <v>0.15</v>
      </c>
      <c r="L49" s="572" t="s">
        <v>3153</v>
      </c>
      <c r="M49" s="618"/>
      <c r="N49" s="601"/>
      <c r="O49" s="602"/>
      <c r="P49" s="613"/>
      <c r="Q49" s="618"/>
      <c r="R49" s="480" t="s">
        <v>3037</v>
      </c>
      <c r="S49" s="62">
        <v>4.8000000000000001E-2</v>
      </c>
      <c r="AD49" s="31" t="str">
        <f>AD7</f>
        <v>Fluorescent Retrofits</v>
      </c>
      <c r="AE49" s="249"/>
      <c r="AF49" s="31" t="s">
        <v>3016</v>
      </c>
      <c r="AG49" s="249"/>
      <c r="AH49" s="31" t="s">
        <v>3062</v>
      </c>
      <c r="AI49" s="31" t="s">
        <v>3334</v>
      </c>
      <c r="AJ49" s="31" t="s">
        <v>3063</v>
      </c>
      <c r="AK49" s="623" t="s">
        <v>2806</v>
      </c>
      <c r="AL49" s="31" t="s">
        <v>2806</v>
      </c>
      <c r="AM49" s="704">
        <f>0.05*'Project Summary'!M14</f>
        <v>2.5000000000000001E-2</v>
      </c>
      <c r="AN49" s="37" t="s">
        <v>3009</v>
      </c>
      <c r="AO49" s="70" t="s">
        <v>526</v>
      </c>
      <c r="AP49" s="600">
        <v>12</v>
      </c>
      <c r="AQ49" s="70">
        <v>200</v>
      </c>
      <c r="AR49" s="37" t="s">
        <v>3320</v>
      </c>
      <c r="AS49" s="37" t="s">
        <v>456</v>
      </c>
      <c r="AT49" s="37" t="s">
        <v>456</v>
      </c>
      <c r="AU49" s="37" t="s">
        <v>456</v>
      </c>
      <c r="AW49" s="613">
        <v>46</v>
      </c>
      <c r="AX49" s="614" t="s">
        <v>3335</v>
      </c>
    </row>
    <row r="50" spans="1:50" ht="15" customHeight="1" x14ac:dyDescent="0.25">
      <c r="A50" s="478" t="s">
        <v>3336</v>
      </c>
      <c r="B50" s="478" t="s">
        <v>3328</v>
      </c>
      <c r="C50" s="37">
        <v>2815</v>
      </c>
      <c r="D50" s="570">
        <v>0.5</v>
      </c>
      <c r="E50" s="570">
        <v>0.36</v>
      </c>
      <c r="F50" s="37">
        <v>2545</v>
      </c>
      <c r="G50" s="570">
        <v>0.48</v>
      </c>
      <c r="H50" s="570">
        <v>0.37</v>
      </c>
      <c r="I50" s="570" t="s">
        <v>3328</v>
      </c>
      <c r="J50" s="479">
        <v>0.48</v>
      </c>
      <c r="K50" s="571">
        <v>0.14000000000000001</v>
      </c>
      <c r="L50" s="572" t="s">
        <v>3328</v>
      </c>
      <c r="M50" s="618"/>
      <c r="N50" s="601"/>
      <c r="O50" s="602"/>
      <c r="P50" s="613"/>
      <c r="Q50" s="618"/>
      <c r="R50" s="480" t="s">
        <v>3047</v>
      </c>
      <c r="S50" s="62">
        <v>7.6799999999999993E-2</v>
      </c>
      <c r="AD50" s="31" t="str">
        <f>AD8</f>
        <v>Exit Signs</v>
      </c>
      <c r="AE50" s="249"/>
      <c r="AF50" s="31" t="s">
        <v>3025</v>
      </c>
      <c r="AG50" s="249"/>
      <c r="AH50" s="31" t="s">
        <v>3062</v>
      </c>
      <c r="AI50" s="478" t="s">
        <v>3337</v>
      </c>
      <c r="AJ50" s="478" t="s">
        <v>3063</v>
      </c>
      <c r="AK50" s="623" t="s">
        <v>2807</v>
      </c>
      <c r="AL50" s="31" t="s">
        <v>2806</v>
      </c>
      <c r="AM50" s="704">
        <f>0.05*'Project Summary'!M14</f>
        <v>2.5000000000000001E-2</v>
      </c>
      <c r="AN50" s="37" t="s">
        <v>3009</v>
      </c>
      <c r="AO50" s="70" t="s">
        <v>526</v>
      </c>
      <c r="AP50" s="600">
        <v>13</v>
      </c>
      <c r="AQ50" s="70"/>
      <c r="AR50" s="37"/>
      <c r="AS50" s="37" t="s">
        <v>456</v>
      </c>
      <c r="AT50" s="37" t="s">
        <v>456</v>
      </c>
      <c r="AU50" s="37" t="s">
        <v>456</v>
      </c>
      <c r="AW50" s="613">
        <v>47</v>
      </c>
      <c r="AX50" s="614" t="s">
        <v>3338</v>
      </c>
    </row>
    <row r="51" spans="1:50" ht="15" customHeight="1" x14ac:dyDescent="0.25">
      <c r="A51" s="478" t="s">
        <v>3339</v>
      </c>
      <c r="B51" s="478" t="s">
        <v>3328</v>
      </c>
      <c r="C51" s="37">
        <v>2815</v>
      </c>
      <c r="D51" s="570">
        <v>0.5</v>
      </c>
      <c r="E51" s="570">
        <v>0.36</v>
      </c>
      <c r="F51" s="37">
        <v>2545</v>
      </c>
      <c r="G51" s="570">
        <v>0.48</v>
      </c>
      <c r="H51" s="570">
        <v>0.37</v>
      </c>
      <c r="I51" s="570" t="s">
        <v>3328</v>
      </c>
      <c r="J51" s="479">
        <v>0.48</v>
      </c>
      <c r="K51" s="571">
        <v>0.14000000000000001</v>
      </c>
      <c r="L51" s="572" t="s">
        <v>3328</v>
      </c>
      <c r="M51" s="618"/>
      <c r="N51" s="601"/>
      <c r="O51" s="602"/>
      <c r="P51" s="613"/>
      <c r="Q51" s="618"/>
      <c r="R51" s="480" t="s">
        <v>3085</v>
      </c>
      <c r="S51" s="62">
        <v>0</v>
      </c>
      <c r="AD51" s="31" t="str">
        <f>AD9</f>
        <v>LED Replacement Lamps</v>
      </c>
      <c r="AE51" s="249"/>
      <c r="AF51" s="31" t="s">
        <v>3033</v>
      </c>
      <c r="AG51" s="249"/>
      <c r="AH51" s="31" t="s">
        <v>3062</v>
      </c>
      <c r="AI51" s="31" t="s">
        <v>3340</v>
      </c>
      <c r="AJ51" s="31" t="s">
        <v>3063</v>
      </c>
      <c r="AK51" s="623" t="s">
        <v>2806</v>
      </c>
      <c r="AL51" s="31" t="s">
        <v>2806</v>
      </c>
      <c r="AM51" s="704">
        <f>0.05*'Project Summary'!M14</f>
        <v>2.5000000000000001E-2</v>
      </c>
      <c r="AN51" s="37" t="s">
        <v>3009</v>
      </c>
      <c r="AO51" s="63" t="s">
        <v>526</v>
      </c>
      <c r="AP51" s="600">
        <v>13</v>
      </c>
      <c r="AQ51" s="70">
        <v>200</v>
      </c>
      <c r="AR51" s="37" t="s">
        <v>3320</v>
      </c>
      <c r="AS51" s="37" t="s">
        <v>456</v>
      </c>
      <c r="AT51" s="37" t="s">
        <v>456</v>
      </c>
      <c r="AU51" s="37" t="s">
        <v>456</v>
      </c>
      <c r="AW51" s="613">
        <v>48</v>
      </c>
      <c r="AX51" s="614" t="s">
        <v>3341</v>
      </c>
    </row>
    <row r="52" spans="1:50" ht="15" customHeight="1" x14ac:dyDescent="0.25">
      <c r="A52" s="478" t="s">
        <v>3342</v>
      </c>
      <c r="B52" s="478" t="s">
        <v>3328</v>
      </c>
      <c r="C52" s="37">
        <v>2815</v>
      </c>
      <c r="D52" s="570">
        <v>0.5</v>
      </c>
      <c r="E52" s="570">
        <v>0.36</v>
      </c>
      <c r="F52" s="37">
        <v>2545</v>
      </c>
      <c r="G52" s="570">
        <v>0.48</v>
      </c>
      <c r="H52" s="570">
        <v>0.37</v>
      </c>
      <c r="I52" s="570" t="s">
        <v>3328</v>
      </c>
      <c r="J52" s="479">
        <v>0.48</v>
      </c>
      <c r="K52" s="571">
        <v>0.14000000000000001</v>
      </c>
      <c r="L52" s="572" t="s">
        <v>3328</v>
      </c>
      <c r="M52" s="618"/>
      <c r="N52" s="601"/>
      <c r="O52" s="602"/>
      <c r="P52" s="613"/>
      <c r="Q52" s="618"/>
      <c r="R52" s="480" t="s">
        <v>3092</v>
      </c>
      <c r="S52" s="62">
        <v>0</v>
      </c>
      <c r="AD52" s="31" t="str">
        <f>AD12</f>
        <v>Exterior LED Fixtures replacing lamp(s) ≤ 250 Watts</v>
      </c>
      <c r="AE52" s="249"/>
      <c r="AF52" s="31" t="s">
        <v>3062</v>
      </c>
      <c r="AG52" s="249"/>
      <c r="AH52" s="31" t="s">
        <v>3062</v>
      </c>
      <c r="AI52" s="31" t="s">
        <v>3212</v>
      </c>
      <c r="AJ52" s="31" t="s">
        <v>3063</v>
      </c>
      <c r="AK52" s="623" t="s">
        <v>2807</v>
      </c>
      <c r="AL52" s="31" t="s">
        <v>2806</v>
      </c>
      <c r="AM52" s="704">
        <f>0.05*'Project Summary'!M14</f>
        <v>2.5000000000000001E-2</v>
      </c>
      <c r="AN52" s="37" t="s">
        <v>3009</v>
      </c>
      <c r="AO52" s="70" t="s">
        <v>526</v>
      </c>
      <c r="AP52" s="600">
        <v>13</v>
      </c>
      <c r="AQ52" s="70"/>
      <c r="AR52" s="37"/>
      <c r="AS52" s="37" t="s">
        <v>456</v>
      </c>
      <c r="AT52" s="37" t="s">
        <v>456</v>
      </c>
      <c r="AU52" s="37" t="s">
        <v>456</v>
      </c>
      <c r="AW52" s="613">
        <v>49</v>
      </c>
      <c r="AX52" s="614" t="s">
        <v>3343</v>
      </c>
    </row>
    <row r="53" spans="1:50" ht="15" customHeight="1" x14ac:dyDescent="0.25">
      <c r="A53" s="478" t="s">
        <v>3344</v>
      </c>
      <c r="B53" s="478" t="s">
        <v>3328</v>
      </c>
      <c r="C53" s="37">
        <v>2815</v>
      </c>
      <c r="D53" s="570">
        <v>0.5</v>
      </c>
      <c r="E53" s="570">
        <v>0.36</v>
      </c>
      <c r="F53" s="37">
        <v>2545</v>
      </c>
      <c r="G53" s="570">
        <v>0.48</v>
      </c>
      <c r="H53" s="570">
        <v>0.37</v>
      </c>
      <c r="I53" s="570" t="s">
        <v>3328</v>
      </c>
      <c r="J53" s="479">
        <v>0.48</v>
      </c>
      <c r="K53" s="571">
        <v>0.14000000000000001</v>
      </c>
      <c r="L53" s="572" t="s">
        <v>3328</v>
      </c>
      <c r="M53" s="618"/>
      <c r="N53" s="601"/>
      <c r="O53" s="602"/>
      <c r="P53" s="613"/>
      <c r="Q53" s="618"/>
      <c r="R53" s="480" t="s">
        <v>3106</v>
      </c>
      <c r="S53" s="62">
        <v>0</v>
      </c>
      <c r="AD53" s="31" t="str">
        <f>AD13</f>
        <v>Exterior LED Fixtures replacing lamp(s) &gt;250 Watts</v>
      </c>
      <c r="AE53" s="249"/>
      <c r="AF53" s="478" t="s">
        <v>3070</v>
      </c>
      <c r="AG53" s="249"/>
      <c r="AH53" s="31" t="s">
        <v>3062</v>
      </c>
      <c r="AI53" s="31" t="s">
        <v>3345</v>
      </c>
      <c r="AJ53" s="31" t="s">
        <v>3063</v>
      </c>
      <c r="AK53" s="623" t="s">
        <v>2807</v>
      </c>
      <c r="AL53" s="31" t="s">
        <v>2806</v>
      </c>
      <c r="AM53" s="704">
        <f>0.05*'Project Summary'!M14</f>
        <v>2.5000000000000001E-2</v>
      </c>
      <c r="AN53" s="37" t="s">
        <v>3009</v>
      </c>
      <c r="AO53" s="70" t="s">
        <v>526</v>
      </c>
      <c r="AP53" s="600">
        <v>13</v>
      </c>
      <c r="AQ53" s="70"/>
      <c r="AR53" s="37"/>
      <c r="AS53" s="37" t="s">
        <v>456</v>
      </c>
      <c r="AT53" s="37" t="s">
        <v>456</v>
      </c>
      <c r="AU53" s="37" t="s">
        <v>456</v>
      </c>
      <c r="AW53" s="613">
        <v>50</v>
      </c>
      <c r="AX53" s="614" t="s">
        <v>3346</v>
      </c>
    </row>
    <row r="54" spans="1:50" ht="15" customHeight="1" x14ac:dyDescent="0.25">
      <c r="A54" s="478" t="s">
        <v>3347</v>
      </c>
      <c r="B54" s="478" t="s">
        <v>3348</v>
      </c>
      <c r="C54" s="37">
        <v>5950</v>
      </c>
      <c r="D54" s="570">
        <v>0.73</v>
      </c>
      <c r="E54" s="570">
        <v>0.62</v>
      </c>
      <c r="F54" s="37">
        <v>5950</v>
      </c>
      <c r="G54" s="570">
        <v>0.73</v>
      </c>
      <c r="H54" s="570">
        <v>0.62</v>
      </c>
      <c r="I54" s="570" t="s">
        <v>3349</v>
      </c>
      <c r="J54" s="479">
        <v>0.68</v>
      </c>
      <c r="K54" s="571">
        <v>0</v>
      </c>
      <c r="L54" s="572" t="s">
        <v>3349</v>
      </c>
      <c r="M54" s="618"/>
      <c r="N54" s="601"/>
      <c r="O54" s="602"/>
      <c r="P54" s="613"/>
      <c r="Q54" s="618"/>
      <c r="R54" s="480" t="s">
        <v>3140</v>
      </c>
      <c r="S54" s="62">
        <v>0.12239999999999999</v>
      </c>
      <c r="AD54" s="31" t="str">
        <f>AD15</f>
        <v>Exterior LED Retrofit Kits</v>
      </c>
      <c r="AE54" s="249"/>
      <c r="AF54" s="478" t="s">
        <v>3088</v>
      </c>
      <c r="AG54" s="249"/>
      <c r="AH54" s="31" t="s">
        <v>3062</v>
      </c>
      <c r="AI54" s="31" t="s">
        <v>3350</v>
      </c>
      <c r="AJ54" s="71" t="s">
        <v>3063</v>
      </c>
      <c r="AK54" s="623" t="s">
        <v>2806</v>
      </c>
      <c r="AL54" s="31" t="s">
        <v>2806</v>
      </c>
      <c r="AM54" s="704">
        <f>0.05*'Project Summary'!M14</f>
        <v>2.5000000000000001E-2</v>
      </c>
      <c r="AN54" s="37" t="s">
        <v>3009</v>
      </c>
      <c r="AO54" s="70" t="s">
        <v>526</v>
      </c>
      <c r="AP54" s="365">
        <v>13</v>
      </c>
      <c r="AQ54" s="70">
        <v>200</v>
      </c>
      <c r="AR54" s="37" t="s">
        <v>3320</v>
      </c>
      <c r="AS54" s="37" t="s">
        <v>456</v>
      </c>
      <c r="AT54" s="37" t="s">
        <v>456</v>
      </c>
      <c r="AU54" s="37" t="s">
        <v>456</v>
      </c>
      <c r="AW54" s="613">
        <v>51</v>
      </c>
      <c r="AX54" s="614" t="s">
        <v>3351</v>
      </c>
    </row>
    <row r="55" spans="1:50" ht="15" customHeight="1" x14ac:dyDescent="0.25">
      <c r="A55" s="478" t="s">
        <v>3352</v>
      </c>
      <c r="B55" s="478" t="s">
        <v>3129</v>
      </c>
      <c r="C55" s="574">
        <v>4306</v>
      </c>
      <c r="D55" s="575">
        <v>0.11</v>
      </c>
      <c r="F55" s="37">
        <v>4306</v>
      </c>
      <c r="G55" s="570">
        <v>0.11</v>
      </c>
      <c r="H55" s="570">
        <v>0.5</v>
      </c>
      <c r="I55" s="570"/>
      <c r="J55" s="479"/>
      <c r="K55" s="571">
        <v>0</v>
      </c>
      <c r="L55" s="572" t="s">
        <v>2909</v>
      </c>
      <c r="M55" s="618"/>
      <c r="N55" s="601"/>
      <c r="O55" s="602"/>
      <c r="P55" s="613"/>
      <c r="Q55" s="618"/>
      <c r="R55" s="478" t="s">
        <v>3075</v>
      </c>
      <c r="S55" s="638">
        <v>0.1464</v>
      </c>
      <c r="U55" s="5"/>
      <c r="V55" s="5"/>
      <c r="AD55" s="31" t="str">
        <f>AD16</f>
        <v>LED Channel Signage</v>
      </c>
      <c r="AE55" s="249"/>
      <c r="AF55" s="478" t="s">
        <v>3100</v>
      </c>
      <c r="AG55" s="249"/>
      <c r="AH55" s="31" t="s">
        <v>3062</v>
      </c>
      <c r="AI55" s="31" t="s">
        <v>3194</v>
      </c>
      <c r="AJ55" s="31" t="s">
        <v>3063</v>
      </c>
      <c r="AK55" s="623" t="s">
        <v>2803</v>
      </c>
      <c r="AL55" s="623" t="s">
        <v>2803</v>
      </c>
      <c r="AM55" s="704">
        <f>0.05*'Project Summary'!M14</f>
        <v>2.5000000000000001E-2</v>
      </c>
      <c r="AN55" s="37" t="s">
        <v>3009</v>
      </c>
      <c r="AO55" s="70" t="s">
        <v>526</v>
      </c>
      <c r="AP55" s="600">
        <v>13</v>
      </c>
      <c r="AQ55" s="70"/>
      <c r="AR55" s="37"/>
      <c r="AS55" s="37" t="s">
        <v>456</v>
      </c>
      <c r="AT55" s="37" t="s">
        <v>456</v>
      </c>
      <c r="AU55" s="37" t="s">
        <v>456</v>
      </c>
      <c r="AW55" s="613">
        <v>52</v>
      </c>
      <c r="AX55" s="614" t="s">
        <v>3353</v>
      </c>
    </row>
    <row r="56" spans="1:50" ht="15" customHeight="1" x14ac:dyDescent="0.25">
      <c r="A56" s="573" t="s">
        <v>3129</v>
      </c>
      <c r="B56" s="478" t="s">
        <v>3129</v>
      </c>
      <c r="C56" s="574">
        <v>4306</v>
      </c>
      <c r="D56" s="575">
        <v>0.11</v>
      </c>
      <c r="F56" s="37">
        <v>4306</v>
      </c>
      <c r="G56" s="570">
        <v>0.11</v>
      </c>
      <c r="H56" s="570"/>
      <c r="I56" s="570"/>
      <c r="J56" s="572"/>
      <c r="K56" s="571">
        <v>0</v>
      </c>
      <c r="L56" s="572" t="s">
        <v>2909</v>
      </c>
      <c r="M56" s="618"/>
      <c r="N56" s="601"/>
      <c r="O56" s="602"/>
      <c r="P56" s="613"/>
      <c r="Q56" s="618"/>
      <c r="R56" s="478" t="s">
        <v>3215</v>
      </c>
      <c r="S56" s="638">
        <v>5.7599999999999998E-2</v>
      </c>
      <c r="U56" s="5"/>
      <c r="V56" s="5"/>
      <c r="AD56" s="31" t="str">
        <f>AD17</f>
        <v>LED Box Signage</v>
      </c>
      <c r="AE56" s="249"/>
      <c r="AF56" s="478" t="s">
        <v>3114</v>
      </c>
      <c r="AG56" s="249"/>
      <c r="AH56" s="31" t="s">
        <v>3062</v>
      </c>
      <c r="AI56" s="31" t="s">
        <v>3258</v>
      </c>
      <c r="AJ56" s="71" t="s">
        <v>3063</v>
      </c>
      <c r="AK56" s="623" t="s">
        <v>2807</v>
      </c>
      <c r="AL56" s="31" t="s">
        <v>2806</v>
      </c>
      <c r="AM56" s="704">
        <f>0.05*'Project Summary'!M14</f>
        <v>2.5000000000000001E-2</v>
      </c>
      <c r="AN56" s="37" t="s">
        <v>3009</v>
      </c>
      <c r="AO56" s="70" t="s">
        <v>526</v>
      </c>
      <c r="AP56" s="365">
        <v>13</v>
      </c>
      <c r="AQ56" s="70"/>
      <c r="AR56" s="37"/>
      <c r="AS56" s="37" t="s">
        <v>456</v>
      </c>
      <c r="AT56" s="37" t="s">
        <v>456</v>
      </c>
      <c r="AU56" s="37" t="s">
        <v>456</v>
      </c>
      <c r="AW56" s="613">
        <v>53</v>
      </c>
      <c r="AX56" s="614" t="s">
        <v>3354</v>
      </c>
    </row>
    <row r="57" spans="1:50" ht="15" customHeight="1" x14ac:dyDescent="0.25">
      <c r="A57" s="478" t="s">
        <v>3355</v>
      </c>
      <c r="B57" s="478" t="s">
        <v>3355</v>
      </c>
      <c r="C57" s="53" t="str">
        <f>IF('General Information'!$F$12="","", IF('General Information'!$F$12="Penn Power",4070,4200))</f>
        <v/>
      </c>
      <c r="D57" s="570">
        <v>0</v>
      </c>
      <c r="E57" s="570">
        <v>0.5</v>
      </c>
      <c r="F57" s="53" t="str">
        <f>C57</f>
        <v/>
      </c>
      <c r="G57" s="570">
        <v>0</v>
      </c>
      <c r="H57" s="570">
        <v>0.5</v>
      </c>
      <c r="I57" s="570"/>
      <c r="J57" s="572"/>
      <c r="K57" s="571">
        <v>0</v>
      </c>
      <c r="L57" s="572" t="s">
        <v>3355</v>
      </c>
      <c r="M57" s="618"/>
      <c r="N57" s="601"/>
      <c r="O57" s="602"/>
      <c r="P57" s="613"/>
      <c r="Q57" s="618"/>
      <c r="R57" s="478" t="s">
        <v>3153</v>
      </c>
      <c r="S57" s="638">
        <v>0.14879999999999999</v>
      </c>
      <c r="U57" s="5"/>
      <c r="V57" s="5"/>
      <c r="AD57" s="31" t="str">
        <f>AD19</f>
        <v>Induction Fluorescent</v>
      </c>
      <c r="AE57" s="249"/>
      <c r="AF57" s="478" t="s">
        <v>3124</v>
      </c>
      <c r="AG57" s="249"/>
      <c r="AH57" s="31" t="s">
        <v>3062</v>
      </c>
      <c r="AI57" s="31" t="s">
        <v>3233</v>
      </c>
      <c r="AJ57" s="31" t="s">
        <v>3063</v>
      </c>
      <c r="AK57" s="623" t="s">
        <v>2807</v>
      </c>
      <c r="AL57" s="31" t="s">
        <v>2806</v>
      </c>
      <c r="AM57" s="704">
        <f>0.05*'Project Summary'!M14</f>
        <v>2.5000000000000001E-2</v>
      </c>
      <c r="AN57" s="37" t="s">
        <v>3009</v>
      </c>
      <c r="AO57" s="63" t="s">
        <v>526</v>
      </c>
      <c r="AP57" s="600">
        <v>13</v>
      </c>
      <c r="AQ57" s="70"/>
      <c r="AR57" s="37"/>
      <c r="AS57" s="37" t="s">
        <v>456</v>
      </c>
      <c r="AT57" s="37" t="s">
        <v>456</v>
      </c>
      <c r="AU57" s="37" t="s">
        <v>456</v>
      </c>
      <c r="AW57" s="613">
        <v>54</v>
      </c>
      <c r="AX57" s="614" t="s">
        <v>3356</v>
      </c>
    </row>
    <row r="58" spans="1:50" ht="15" customHeight="1" x14ac:dyDescent="0.25">
      <c r="A58" s="478" t="s">
        <v>3357</v>
      </c>
      <c r="B58" s="478" t="s">
        <v>3357</v>
      </c>
      <c r="C58" s="37">
        <v>8678</v>
      </c>
      <c r="D58" s="570">
        <v>0.98</v>
      </c>
      <c r="E58" s="570">
        <v>0.62</v>
      </c>
      <c r="F58" s="37">
        <v>8678</v>
      </c>
      <c r="G58" s="570">
        <v>0.98</v>
      </c>
      <c r="H58" s="570">
        <v>0.62</v>
      </c>
      <c r="I58" s="570"/>
      <c r="J58" s="572"/>
      <c r="K58" s="571">
        <v>0</v>
      </c>
      <c r="L58" s="572" t="s">
        <v>3358</v>
      </c>
      <c r="M58" s="618"/>
      <c r="N58" s="601"/>
      <c r="O58" s="602"/>
      <c r="P58" s="613"/>
      <c r="Q58" s="249"/>
      <c r="R58" s="478" t="s">
        <v>3357</v>
      </c>
      <c r="S58" s="638">
        <v>0</v>
      </c>
      <c r="U58" s="5"/>
      <c r="V58" s="5"/>
      <c r="AD58" s="31" t="str">
        <f>AD20</f>
        <v>High Intensity Discharge (HID)</v>
      </c>
      <c r="AE58" s="249"/>
      <c r="AF58" s="623" t="s">
        <v>2349</v>
      </c>
      <c r="AG58" s="249"/>
      <c r="AH58" s="31" t="s">
        <v>3070</v>
      </c>
      <c r="AI58" s="31" t="s">
        <v>3319</v>
      </c>
      <c r="AJ58" s="71" t="s">
        <v>3071</v>
      </c>
      <c r="AK58" s="623" t="s">
        <v>2806</v>
      </c>
      <c r="AL58" s="31" t="s">
        <v>2806</v>
      </c>
      <c r="AM58" s="704">
        <f>0.05*'Project Summary'!M14</f>
        <v>2.5000000000000001E-2</v>
      </c>
      <c r="AN58" s="37" t="s">
        <v>3009</v>
      </c>
      <c r="AO58" s="70" t="s">
        <v>526</v>
      </c>
      <c r="AP58" s="365">
        <v>13</v>
      </c>
      <c r="AQ58" s="70">
        <v>200</v>
      </c>
      <c r="AR58" s="37" t="s">
        <v>3320</v>
      </c>
      <c r="AS58" s="37" t="s">
        <v>456</v>
      </c>
      <c r="AT58" s="37" t="s">
        <v>456</v>
      </c>
      <c r="AU58" s="37" t="s">
        <v>456</v>
      </c>
      <c r="AW58" s="613">
        <v>55</v>
      </c>
      <c r="AX58" s="614" t="s">
        <v>3359</v>
      </c>
    </row>
    <row r="59" spans="1:50" ht="15" customHeight="1" x14ac:dyDescent="0.25">
      <c r="A59" s="478" t="s">
        <v>3360</v>
      </c>
      <c r="B59" s="478" t="s">
        <v>2909</v>
      </c>
      <c r="C59" s="37">
        <v>3604</v>
      </c>
      <c r="D59" s="570">
        <v>0.11</v>
      </c>
      <c r="E59" s="570">
        <v>0.5</v>
      </c>
      <c r="F59" s="37">
        <v>3604</v>
      </c>
      <c r="G59" s="570">
        <v>0.11</v>
      </c>
      <c r="H59" s="570">
        <v>0.5</v>
      </c>
      <c r="I59" s="570"/>
      <c r="J59" s="572"/>
      <c r="K59" s="571">
        <v>0</v>
      </c>
      <c r="L59" s="572" t="s">
        <v>2909</v>
      </c>
      <c r="M59" s="249"/>
      <c r="N59" s="601"/>
      <c r="O59" s="602"/>
      <c r="P59" s="613"/>
      <c r="Q59" s="249"/>
      <c r="R59" s="478" t="s">
        <v>3172</v>
      </c>
      <c r="S59" s="638">
        <v>5.0399999999999993E-2</v>
      </c>
      <c r="U59" s="5"/>
      <c r="V59" s="5"/>
      <c r="AD59" s="31" t="str">
        <f>AD21</f>
        <v>Custom</v>
      </c>
      <c r="AE59" s="249"/>
      <c r="AF59" s="623" t="s">
        <v>3148</v>
      </c>
      <c r="AG59" s="249"/>
      <c r="AH59" s="31" t="s">
        <v>3070</v>
      </c>
      <c r="AI59" s="31" t="s">
        <v>3225</v>
      </c>
      <c r="AJ59" s="31" t="s">
        <v>3071</v>
      </c>
      <c r="AK59" s="623" t="s">
        <v>2806</v>
      </c>
      <c r="AL59" s="31" t="s">
        <v>2806</v>
      </c>
      <c r="AM59" s="704">
        <f>0.05*'Project Summary'!M14</f>
        <v>2.5000000000000001E-2</v>
      </c>
      <c r="AN59" s="37" t="s">
        <v>3009</v>
      </c>
      <c r="AO59" s="70" t="s">
        <v>526</v>
      </c>
      <c r="AP59" s="600">
        <v>12</v>
      </c>
      <c r="AQ59" s="70">
        <v>200</v>
      </c>
      <c r="AR59" s="37" t="s">
        <v>3320</v>
      </c>
      <c r="AS59" s="37" t="s">
        <v>456</v>
      </c>
      <c r="AT59" s="37" t="s">
        <v>456</v>
      </c>
      <c r="AU59" s="37" t="s">
        <v>456</v>
      </c>
      <c r="AW59" s="613">
        <v>56</v>
      </c>
      <c r="AX59" s="614" t="s">
        <v>3361</v>
      </c>
    </row>
    <row r="60" spans="1:50" ht="15" customHeight="1" x14ac:dyDescent="0.25">
      <c r="A60" s="478" t="s">
        <v>3362</v>
      </c>
      <c r="K60" s="249"/>
      <c r="L60" s="249"/>
      <c r="M60" s="249"/>
      <c r="N60" s="601"/>
      <c r="O60" s="602"/>
      <c r="P60" s="613"/>
      <c r="Q60" s="249"/>
      <c r="R60" s="478" t="s">
        <v>3038</v>
      </c>
      <c r="S60" s="638">
        <v>5.0399999999999993E-2</v>
      </c>
      <c r="U60" s="5"/>
      <c r="V60" s="5"/>
      <c r="AD60" s="31" t="str">
        <f>AD22</f>
        <v>No Change</v>
      </c>
      <c r="AE60" s="249"/>
      <c r="AF60" s="623" t="s">
        <v>3160</v>
      </c>
      <c r="AG60" s="249"/>
      <c r="AH60" s="31" t="s">
        <v>3070</v>
      </c>
      <c r="AI60" s="31" t="s">
        <v>3250</v>
      </c>
      <c r="AJ60" s="71" t="s">
        <v>3071</v>
      </c>
      <c r="AK60" s="623" t="s">
        <v>2803</v>
      </c>
      <c r="AL60" s="623" t="s">
        <v>2803</v>
      </c>
      <c r="AM60" s="704">
        <f>0.05*'Project Summary'!M14</f>
        <v>2.5000000000000001E-2</v>
      </c>
      <c r="AN60" s="37" t="s">
        <v>3009</v>
      </c>
      <c r="AO60" s="70" t="s">
        <v>526</v>
      </c>
      <c r="AP60" s="365">
        <v>13</v>
      </c>
      <c r="AQ60" s="70"/>
      <c r="AR60" s="37"/>
      <c r="AS60" s="37" t="s">
        <v>456</v>
      </c>
      <c r="AT60" s="37" t="s">
        <v>456</v>
      </c>
      <c r="AU60" s="37" t="s">
        <v>456</v>
      </c>
      <c r="AW60" s="613">
        <v>57</v>
      </c>
      <c r="AX60" s="614" t="s">
        <v>3363</v>
      </c>
    </row>
    <row r="61" spans="1:50" x14ac:dyDescent="0.25">
      <c r="A61" s="478" t="s">
        <v>3364</v>
      </c>
      <c r="K61" s="249"/>
      <c r="L61" s="249"/>
      <c r="M61" s="249"/>
      <c r="N61" s="601"/>
      <c r="O61" s="602"/>
      <c r="P61" s="613"/>
      <c r="Q61" s="249"/>
      <c r="R61" s="478" t="s">
        <v>3328</v>
      </c>
      <c r="S61" s="638">
        <v>0.14399999999999999</v>
      </c>
      <c r="U61" s="5"/>
      <c r="V61" s="5"/>
      <c r="AE61" s="249"/>
      <c r="AF61" s="623" t="s">
        <v>3168</v>
      </c>
      <c r="AG61" s="249"/>
      <c r="AH61" s="31" t="s">
        <v>3070</v>
      </c>
      <c r="AI61" s="31" t="s">
        <v>3331</v>
      </c>
      <c r="AJ61" s="31" t="s">
        <v>3071</v>
      </c>
      <c r="AK61" s="623" t="s">
        <v>2807</v>
      </c>
      <c r="AL61" s="31" t="s">
        <v>2806</v>
      </c>
      <c r="AM61" s="704">
        <f>0.05*'Project Summary'!M14</f>
        <v>2.5000000000000001E-2</v>
      </c>
      <c r="AN61" s="37" t="s">
        <v>3009</v>
      </c>
      <c r="AO61" s="37" t="s">
        <v>526</v>
      </c>
      <c r="AP61" s="600">
        <v>13</v>
      </c>
      <c r="AQ61" s="70"/>
      <c r="AR61" s="37"/>
      <c r="AS61" s="37" t="s">
        <v>456</v>
      </c>
      <c r="AT61" s="37" t="s">
        <v>456</v>
      </c>
      <c r="AU61" s="37" t="s">
        <v>918</v>
      </c>
      <c r="AW61" s="613">
        <v>58</v>
      </c>
      <c r="AX61" s="614" t="s">
        <v>3365</v>
      </c>
    </row>
    <row r="62" spans="1:50" x14ac:dyDescent="0.25">
      <c r="J62" s="249"/>
      <c r="K62" s="249"/>
      <c r="L62" s="249"/>
      <c r="M62" s="249"/>
      <c r="P62" s="613"/>
      <c r="Q62" s="249"/>
      <c r="U62" s="5"/>
      <c r="V62" s="5"/>
      <c r="AE62" s="249"/>
      <c r="AG62" s="249"/>
      <c r="AH62" s="31" t="s">
        <v>3070</v>
      </c>
      <c r="AI62" s="31" t="s">
        <v>3334</v>
      </c>
      <c r="AJ62" s="31" t="s">
        <v>3071</v>
      </c>
      <c r="AK62" s="623" t="s">
        <v>2806</v>
      </c>
      <c r="AL62" s="31" t="s">
        <v>2806</v>
      </c>
      <c r="AM62" s="704">
        <f>0.05*'Project Summary'!M14</f>
        <v>2.5000000000000001E-2</v>
      </c>
      <c r="AN62" s="37" t="s">
        <v>3009</v>
      </c>
      <c r="AO62" s="37" t="s">
        <v>526</v>
      </c>
      <c r="AP62" s="600">
        <v>12</v>
      </c>
      <c r="AQ62" s="70">
        <v>200</v>
      </c>
      <c r="AR62" s="37" t="s">
        <v>3320</v>
      </c>
      <c r="AS62" s="37" t="s">
        <v>456</v>
      </c>
      <c r="AT62" s="37" t="s">
        <v>456</v>
      </c>
      <c r="AU62" s="37" t="s">
        <v>456</v>
      </c>
      <c r="AW62" s="613">
        <v>59</v>
      </c>
      <c r="AX62" s="614" t="s">
        <v>3366</v>
      </c>
    </row>
    <row r="63" spans="1:50" x14ac:dyDescent="0.25">
      <c r="I63" s="249"/>
      <c r="J63" s="249"/>
      <c r="K63" s="249"/>
      <c r="L63" s="249"/>
      <c r="M63" s="249"/>
      <c r="N63" s="478"/>
      <c r="O63" s="479"/>
      <c r="P63" s="613"/>
      <c r="Q63" s="249"/>
      <c r="U63" s="5"/>
      <c r="V63" s="5"/>
      <c r="AE63" s="249"/>
      <c r="AG63" s="249"/>
      <c r="AH63" s="31" t="s">
        <v>3070</v>
      </c>
      <c r="AI63" s="31" t="s">
        <v>3337</v>
      </c>
      <c r="AJ63" s="31" t="s">
        <v>3071</v>
      </c>
      <c r="AK63" s="623" t="s">
        <v>2807</v>
      </c>
      <c r="AL63" s="31" t="s">
        <v>2806</v>
      </c>
      <c r="AM63" s="704">
        <f>0.05*'Project Summary'!M14</f>
        <v>2.5000000000000001E-2</v>
      </c>
      <c r="AN63" s="37" t="s">
        <v>3009</v>
      </c>
      <c r="AO63" s="37" t="s">
        <v>526</v>
      </c>
      <c r="AP63" s="600">
        <v>13</v>
      </c>
      <c r="AQ63" s="70"/>
      <c r="AR63" s="37"/>
      <c r="AS63" s="37" t="s">
        <v>456</v>
      </c>
      <c r="AT63" s="37" t="s">
        <v>456</v>
      </c>
      <c r="AU63" s="37" t="s">
        <v>918</v>
      </c>
      <c r="AW63" s="613">
        <v>60</v>
      </c>
      <c r="AX63" s="614" t="s">
        <v>3367</v>
      </c>
    </row>
    <row r="64" spans="1:50" ht="15" customHeight="1" x14ac:dyDescent="0.25">
      <c r="I64" s="249"/>
      <c r="J64" s="249"/>
      <c r="K64" s="249"/>
      <c r="L64" s="249"/>
      <c r="M64" s="249"/>
      <c r="N64" s="478"/>
      <c r="O64" s="479"/>
      <c r="P64" s="613"/>
      <c r="Q64" s="249"/>
      <c r="U64" s="5"/>
      <c r="V64" s="5"/>
      <c r="AE64" s="249"/>
      <c r="AF64" s="249"/>
      <c r="AG64" s="249"/>
      <c r="AH64" s="31" t="s">
        <v>3070</v>
      </c>
      <c r="AI64" s="31" t="s">
        <v>3340</v>
      </c>
      <c r="AJ64" s="31" t="s">
        <v>3071</v>
      </c>
      <c r="AK64" s="623" t="s">
        <v>2806</v>
      </c>
      <c r="AL64" s="31" t="s">
        <v>2806</v>
      </c>
      <c r="AM64" s="704">
        <f>0.05*'Project Summary'!M14</f>
        <v>2.5000000000000001E-2</v>
      </c>
      <c r="AN64" s="37" t="s">
        <v>3009</v>
      </c>
      <c r="AO64" s="37" t="s">
        <v>526</v>
      </c>
      <c r="AP64" s="600">
        <v>13</v>
      </c>
      <c r="AQ64" s="70">
        <v>200</v>
      </c>
      <c r="AR64" s="37" t="s">
        <v>3320</v>
      </c>
      <c r="AS64" s="37" t="s">
        <v>456</v>
      </c>
      <c r="AT64" s="37" t="s">
        <v>456</v>
      </c>
      <c r="AU64" s="37" t="s">
        <v>456</v>
      </c>
      <c r="AW64" s="613">
        <v>61</v>
      </c>
      <c r="AX64" s="614" t="s">
        <v>3368</v>
      </c>
    </row>
    <row r="65" spans="8:50" ht="15" customHeight="1" x14ac:dyDescent="0.25">
      <c r="I65" s="249"/>
      <c r="J65" s="249"/>
      <c r="K65" s="249"/>
      <c r="L65" s="249"/>
      <c r="M65" s="249"/>
      <c r="N65" s="478"/>
      <c r="O65" s="479"/>
      <c r="P65" s="613"/>
      <c r="Q65" s="249"/>
      <c r="U65" s="5"/>
      <c r="V65" s="5"/>
      <c r="AE65" s="249"/>
      <c r="AF65" s="249"/>
      <c r="AG65" s="249"/>
      <c r="AH65" s="31" t="s">
        <v>3070</v>
      </c>
      <c r="AI65" s="31" t="s">
        <v>3212</v>
      </c>
      <c r="AJ65" s="31" t="s">
        <v>3071</v>
      </c>
      <c r="AK65" s="623" t="s">
        <v>2807</v>
      </c>
      <c r="AL65" s="31" t="s">
        <v>2806</v>
      </c>
      <c r="AM65" s="704">
        <f>0.05*'Project Summary'!M14</f>
        <v>2.5000000000000001E-2</v>
      </c>
      <c r="AN65" s="37" t="s">
        <v>3009</v>
      </c>
      <c r="AO65" s="37" t="s">
        <v>526</v>
      </c>
      <c r="AP65" s="600">
        <v>13</v>
      </c>
      <c r="AQ65" s="70"/>
      <c r="AR65" s="37"/>
      <c r="AS65" s="37" t="s">
        <v>456</v>
      </c>
      <c r="AT65" s="37" t="s">
        <v>456</v>
      </c>
      <c r="AU65" s="37" t="s">
        <v>918</v>
      </c>
      <c r="AW65" s="613">
        <v>62</v>
      </c>
      <c r="AX65" s="614" t="s">
        <v>3369</v>
      </c>
    </row>
    <row r="66" spans="8:50" x14ac:dyDescent="0.25">
      <c r="H66" s="28"/>
      <c r="I66" s="249"/>
      <c r="J66" s="249"/>
      <c r="K66" s="249"/>
      <c r="L66" s="249"/>
      <c r="M66" s="249"/>
      <c r="N66" s="478"/>
      <c r="O66" s="479"/>
      <c r="P66" s="613"/>
      <c r="Q66" s="249"/>
      <c r="R66" s="639" t="s">
        <v>3370</v>
      </c>
      <c r="S66" s="636"/>
      <c r="T66" s="636"/>
      <c r="U66" s="636"/>
      <c r="V66" s="636"/>
      <c r="W66" s="636"/>
      <c r="X66" s="636"/>
      <c r="AE66" s="249"/>
      <c r="AF66" s="249"/>
      <c r="AG66" s="249"/>
      <c r="AH66" s="31" t="s">
        <v>3070</v>
      </c>
      <c r="AI66" s="31" t="s">
        <v>3345</v>
      </c>
      <c r="AJ66" s="31" t="s">
        <v>3071</v>
      </c>
      <c r="AK66" s="623" t="s">
        <v>2807</v>
      </c>
      <c r="AL66" s="31" t="s">
        <v>2806</v>
      </c>
      <c r="AM66" s="704">
        <f>0.05*'Project Summary'!M14</f>
        <v>2.5000000000000001E-2</v>
      </c>
      <c r="AN66" s="37" t="s">
        <v>3009</v>
      </c>
      <c r="AO66" s="37" t="s">
        <v>526</v>
      </c>
      <c r="AP66" s="600">
        <v>13</v>
      </c>
      <c r="AQ66" s="70"/>
      <c r="AR66" s="37"/>
      <c r="AS66" s="37" t="s">
        <v>456</v>
      </c>
      <c r="AT66" s="37" t="s">
        <v>456</v>
      </c>
      <c r="AU66" s="37" t="s">
        <v>918</v>
      </c>
      <c r="AW66" s="613">
        <v>63</v>
      </c>
      <c r="AX66" s="614" t="s">
        <v>3371</v>
      </c>
    </row>
    <row r="67" spans="8:50" x14ac:dyDescent="0.25">
      <c r="H67" s="28"/>
      <c r="I67" s="249"/>
      <c r="J67" s="249"/>
      <c r="K67" s="249"/>
      <c r="L67" s="249"/>
      <c r="M67" s="249"/>
      <c r="N67" s="478"/>
      <c r="O67" s="479"/>
      <c r="P67" s="613"/>
      <c r="Q67" s="249"/>
      <c r="R67" s="636"/>
      <c r="S67" s="636"/>
      <c r="T67" s="636"/>
      <c r="U67" s="636"/>
      <c r="V67" s="636"/>
      <c r="W67" s="636"/>
      <c r="X67" s="636"/>
      <c r="AE67" s="249"/>
      <c r="AF67" s="249"/>
      <c r="AG67" s="249"/>
      <c r="AH67" s="31" t="s">
        <v>3070</v>
      </c>
      <c r="AI67" s="31" t="s">
        <v>3350</v>
      </c>
      <c r="AJ67" s="31" t="s">
        <v>3071</v>
      </c>
      <c r="AK67" s="623" t="s">
        <v>2806</v>
      </c>
      <c r="AL67" s="623" t="s">
        <v>2806</v>
      </c>
      <c r="AM67" s="704">
        <f>0.05*'Project Summary'!M14</f>
        <v>2.5000000000000001E-2</v>
      </c>
      <c r="AN67" s="37" t="s">
        <v>3009</v>
      </c>
      <c r="AO67" s="37" t="s">
        <v>526</v>
      </c>
      <c r="AP67" s="600">
        <v>13</v>
      </c>
      <c r="AQ67" s="70">
        <v>200</v>
      </c>
      <c r="AR67" s="37" t="s">
        <v>3320</v>
      </c>
      <c r="AS67" s="37" t="s">
        <v>456</v>
      </c>
      <c r="AT67" s="37" t="s">
        <v>456</v>
      </c>
      <c r="AU67" s="37" t="s">
        <v>456</v>
      </c>
      <c r="AW67" s="613">
        <v>64</v>
      </c>
      <c r="AX67" s="614" t="s">
        <v>3372</v>
      </c>
    </row>
    <row r="68" spans="8:50" x14ac:dyDescent="0.25">
      <c r="H68" s="28"/>
      <c r="I68" s="249"/>
      <c r="J68" s="249"/>
      <c r="K68" s="249"/>
      <c r="L68" s="249"/>
      <c r="M68" s="249"/>
      <c r="N68" s="478"/>
      <c r="O68" s="479"/>
      <c r="P68" s="613"/>
      <c r="Q68" s="249"/>
      <c r="R68" s="636"/>
      <c r="S68" s="636" t="s">
        <v>3373</v>
      </c>
      <c r="T68" s="636"/>
      <c r="U68" s="636"/>
      <c r="V68" s="636" t="s">
        <v>3374</v>
      </c>
      <c r="W68" s="636"/>
      <c r="X68" s="636"/>
      <c r="AE68" s="249"/>
      <c r="AF68" s="249"/>
      <c r="AG68" s="249"/>
      <c r="AH68" s="31" t="s">
        <v>3070</v>
      </c>
      <c r="AI68" s="31" t="s">
        <v>3194</v>
      </c>
      <c r="AJ68" s="31" t="s">
        <v>3071</v>
      </c>
      <c r="AK68" s="623" t="s">
        <v>2803</v>
      </c>
      <c r="AL68" s="623" t="s">
        <v>2803</v>
      </c>
      <c r="AM68" s="704">
        <f>0.05*'Project Summary'!M14</f>
        <v>2.5000000000000001E-2</v>
      </c>
      <c r="AN68" s="37" t="s">
        <v>3009</v>
      </c>
      <c r="AO68" s="37" t="s">
        <v>526</v>
      </c>
      <c r="AP68" s="600">
        <v>13</v>
      </c>
      <c r="AQ68" s="70"/>
      <c r="AR68" s="37"/>
      <c r="AS68" s="37" t="s">
        <v>456</v>
      </c>
      <c r="AT68" s="37" t="s">
        <v>456</v>
      </c>
      <c r="AU68" s="37" t="s">
        <v>456</v>
      </c>
      <c r="AW68" s="613">
        <v>65</v>
      </c>
      <c r="AX68" s="614" t="s">
        <v>3375</v>
      </c>
    </row>
    <row r="69" spans="8:50" x14ac:dyDescent="0.25">
      <c r="H69" s="28"/>
      <c r="I69" s="249"/>
      <c r="J69" s="249"/>
      <c r="K69" s="249"/>
      <c r="L69" s="249"/>
      <c r="M69" s="249"/>
      <c r="N69" s="478"/>
      <c r="O69" s="479"/>
      <c r="P69" s="613"/>
      <c r="Q69" s="249"/>
      <c r="R69" s="636" t="s">
        <v>3295</v>
      </c>
      <c r="S69" s="636" t="s">
        <v>2972</v>
      </c>
      <c r="T69" s="636" t="s">
        <v>2973</v>
      </c>
      <c r="U69" s="636" t="s">
        <v>3376</v>
      </c>
      <c r="V69" s="636" t="s">
        <v>2972</v>
      </c>
      <c r="W69" s="636" t="s">
        <v>2973</v>
      </c>
      <c r="X69" s="636" t="s">
        <v>3376</v>
      </c>
      <c r="AE69" s="249"/>
      <c r="AF69" s="249"/>
      <c r="AG69" s="249"/>
      <c r="AH69" s="31" t="s">
        <v>3070</v>
      </c>
      <c r="AI69" s="31" t="s">
        <v>3258</v>
      </c>
      <c r="AJ69" s="31" t="s">
        <v>3071</v>
      </c>
      <c r="AK69" s="623" t="s">
        <v>2807</v>
      </c>
      <c r="AL69" s="31" t="s">
        <v>2806</v>
      </c>
      <c r="AM69" s="704">
        <f>0.05*'Project Summary'!M14</f>
        <v>2.5000000000000001E-2</v>
      </c>
      <c r="AN69" s="37" t="s">
        <v>3009</v>
      </c>
      <c r="AO69" s="37" t="s">
        <v>526</v>
      </c>
      <c r="AP69" s="600">
        <v>13</v>
      </c>
      <c r="AQ69" s="70"/>
      <c r="AR69" s="37"/>
      <c r="AS69" s="37" t="s">
        <v>456</v>
      </c>
      <c r="AT69" s="37" t="s">
        <v>456</v>
      </c>
      <c r="AU69" s="37" t="s">
        <v>918</v>
      </c>
      <c r="AW69" s="613">
        <v>66</v>
      </c>
      <c r="AX69" s="614" t="s">
        <v>3377</v>
      </c>
    </row>
    <row r="70" spans="8:50" x14ac:dyDescent="0.25">
      <c r="H70" s="28"/>
      <c r="I70" s="249"/>
      <c r="J70" s="249"/>
      <c r="K70" s="249"/>
      <c r="L70" s="249"/>
      <c r="M70" s="249"/>
      <c r="N70" s="478"/>
      <c r="O70" s="479"/>
      <c r="P70" s="613"/>
      <c r="Q70" s="249"/>
      <c r="R70" s="578" t="s">
        <v>2997</v>
      </c>
      <c r="S70" s="578">
        <v>2944</v>
      </c>
      <c r="T70" s="577">
        <v>0.39</v>
      </c>
      <c r="U70" s="578">
        <v>0.38</v>
      </c>
      <c r="V70" s="578">
        <v>2371</v>
      </c>
      <c r="W70" s="578">
        <v>0.45</v>
      </c>
      <c r="X70" s="578">
        <v>0.41</v>
      </c>
      <c r="AE70" s="249"/>
      <c r="AF70" s="249"/>
      <c r="AG70" s="249"/>
      <c r="AH70" s="31" t="s">
        <v>3070</v>
      </c>
      <c r="AI70" s="31" t="s">
        <v>3233</v>
      </c>
      <c r="AJ70" s="31" t="s">
        <v>3071</v>
      </c>
      <c r="AK70" s="623" t="s">
        <v>2807</v>
      </c>
      <c r="AL70" s="31" t="s">
        <v>2806</v>
      </c>
      <c r="AM70" s="704">
        <f>0.05*'Project Summary'!M14</f>
        <v>2.5000000000000001E-2</v>
      </c>
      <c r="AN70" s="37" t="s">
        <v>3009</v>
      </c>
      <c r="AO70" s="37" t="s">
        <v>526</v>
      </c>
      <c r="AP70" s="600">
        <v>13</v>
      </c>
      <c r="AQ70" s="70"/>
      <c r="AR70" s="37"/>
      <c r="AS70" s="37" t="s">
        <v>456</v>
      </c>
      <c r="AT70" s="37" t="s">
        <v>456</v>
      </c>
      <c r="AU70" s="37" t="s">
        <v>918</v>
      </c>
      <c r="AW70" s="613">
        <v>67</v>
      </c>
      <c r="AX70" s="614" t="s">
        <v>3378</v>
      </c>
    </row>
    <row r="71" spans="8:50" x14ac:dyDescent="0.25">
      <c r="H71" s="28"/>
      <c r="I71" s="249"/>
      <c r="J71" s="249"/>
      <c r="K71" s="249"/>
      <c r="L71" s="249"/>
      <c r="M71" s="249"/>
      <c r="N71" s="478"/>
      <c r="O71" s="479"/>
      <c r="P71" s="613"/>
      <c r="Q71" s="249"/>
      <c r="R71" s="578" t="s">
        <v>2909</v>
      </c>
      <c r="S71" s="578">
        <v>3604</v>
      </c>
      <c r="T71" s="578">
        <v>0.11</v>
      </c>
      <c r="U71" s="578">
        <v>0.5</v>
      </c>
      <c r="V71" s="578">
        <v>3604</v>
      </c>
      <c r="W71" s="578">
        <v>0.11</v>
      </c>
      <c r="X71" s="578">
        <v>0.5</v>
      </c>
      <c r="AE71" s="249"/>
      <c r="AF71" s="249"/>
      <c r="AG71" s="249"/>
      <c r="AH71" s="31" t="s">
        <v>3079</v>
      </c>
      <c r="AI71" s="31" t="s">
        <v>3379</v>
      </c>
      <c r="AJ71" s="31" t="s">
        <v>3080</v>
      </c>
      <c r="AK71" s="623" t="s">
        <v>2807</v>
      </c>
      <c r="AL71" s="31" t="s">
        <v>2806</v>
      </c>
      <c r="AM71" s="704">
        <f>0.05*'Project Summary'!M14</f>
        <v>2.5000000000000001E-2</v>
      </c>
      <c r="AN71" s="37" t="s">
        <v>3009</v>
      </c>
      <c r="AO71" s="37" t="s">
        <v>526</v>
      </c>
      <c r="AP71" s="600">
        <v>0</v>
      </c>
      <c r="AQ71" s="70"/>
      <c r="AR71" s="37"/>
      <c r="AS71" s="37" t="s">
        <v>456</v>
      </c>
      <c r="AT71" s="37" t="s">
        <v>456</v>
      </c>
      <c r="AU71" s="37" t="s">
        <v>456</v>
      </c>
      <c r="AW71" s="613">
        <v>68</v>
      </c>
      <c r="AX71" s="614" t="s">
        <v>3380</v>
      </c>
    </row>
    <row r="72" spans="8:50" x14ac:dyDescent="0.25">
      <c r="H72" s="28"/>
      <c r="I72" s="249"/>
      <c r="J72" s="249"/>
      <c r="K72" s="249"/>
      <c r="L72" s="249"/>
      <c r="M72" s="249"/>
      <c r="N72" s="478"/>
      <c r="O72" s="479"/>
      <c r="P72" s="613"/>
      <c r="Q72" s="249"/>
      <c r="R72" s="578" t="s">
        <v>3037</v>
      </c>
      <c r="S72" s="578">
        <v>7798</v>
      </c>
      <c r="T72" s="578">
        <v>0.99</v>
      </c>
      <c r="U72" s="578">
        <v>0.96</v>
      </c>
      <c r="V72" s="578">
        <v>6471</v>
      </c>
      <c r="W72" s="578">
        <v>0.93</v>
      </c>
      <c r="X72" s="578">
        <v>0.84</v>
      </c>
      <c r="AE72" s="249"/>
      <c r="AF72" s="249"/>
      <c r="AG72" s="249"/>
      <c r="AH72" s="31" t="s">
        <v>3079</v>
      </c>
      <c r="AI72" s="31" t="s">
        <v>3381</v>
      </c>
      <c r="AJ72" s="31" t="s">
        <v>3080</v>
      </c>
      <c r="AK72" s="623" t="s">
        <v>2807</v>
      </c>
      <c r="AL72" s="31" t="s">
        <v>2806</v>
      </c>
      <c r="AM72" s="704">
        <f>0.05*'Project Summary'!M14</f>
        <v>2.5000000000000001E-2</v>
      </c>
      <c r="AN72" s="37" t="s">
        <v>3009</v>
      </c>
      <c r="AO72" s="37" t="s">
        <v>526</v>
      </c>
      <c r="AP72" s="600">
        <v>0</v>
      </c>
      <c r="AQ72" s="70"/>
      <c r="AR72" s="37"/>
      <c r="AS72" s="37" t="s">
        <v>456</v>
      </c>
      <c r="AT72" s="37" t="s">
        <v>456</v>
      </c>
      <c r="AU72" s="37" t="s">
        <v>456</v>
      </c>
      <c r="AW72" s="613">
        <v>69</v>
      </c>
      <c r="AX72" s="614" t="s">
        <v>3382</v>
      </c>
    </row>
    <row r="73" spans="8:50" x14ac:dyDescent="0.25">
      <c r="H73" s="28"/>
      <c r="I73" s="249"/>
      <c r="J73" s="249"/>
      <c r="K73" s="249"/>
      <c r="L73" s="249"/>
      <c r="M73" s="249"/>
      <c r="N73" s="478"/>
      <c r="O73" s="479"/>
      <c r="P73" s="613"/>
      <c r="Q73" s="249"/>
      <c r="R73" s="578" t="s">
        <v>3047</v>
      </c>
      <c r="S73" s="578">
        <v>2476</v>
      </c>
      <c r="T73" s="578">
        <v>0.47</v>
      </c>
      <c r="U73" s="578">
        <v>0.33</v>
      </c>
      <c r="V73" s="578">
        <v>2943</v>
      </c>
      <c r="W73" s="578">
        <v>0.52</v>
      </c>
      <c r="X73" s="578">
        <v>0.42</v>
      </c>
      <c r="AE73" s="249"/>
      <c r="AF73" s="249"/>
      <c r="AG73" s="249"/>
      <c r="AH73" s="31" t="s">
        <v>3079</v>
      </c>
      <c r="AI73" s="31" t="s">
        <v>3383</v>
      </c>
      <c r="AJ73" s="31" t="s">
        <v>3080</v>
      </c>
      <c r="AK73" s="623" t="s">
        <v>2807</v>
      </c>
      <c r="AL73" s="31" t="s">
        <v>2806</v>
      </c>
      <c r="AM73" s="704">
        <f>0.05*'Project Summary'!M14</f>
        <v>2.5000000000000001E-2</v>
      </c>
      <c r="AN73" s="37" t="s">
        <v>3009</v>
      </c>
      <c r="AO73" s="37" t="s">
        <v>526</v>
      </c>
      <c r="AP73" s="600">
        <v>0</v>
      </c>
      <c r="AQ73" s="70"/>
      <c r="AR73" s="37"/>
      <c r="AS73" s="37" t="s">
        <v>456</v>
      </c>
      <c r="AT73" s="37" t="s">
        <v>456</v>
      </c>
      <c r="AU73" s="37" t="s">
        <v>456</v>
      </c>
      <c r="AW73" s="613">
        <v>70</v>
      </c>
      <c r="AX73" s="614" t="s">
        <v>3384</v>
      </c>
    </row>
    <row r="74" spans="8:50" x14ac:dyDescent="0.25">
      <c r="H74" s="28"/>
      <c r="I74" s="249"/>
      <c r="J74" s="249"/>
      <c r="K74" s="249"/>
      <c r="L74" s="249"/>
      <c r="M74" s="249"/>
      <c r="N74" s="478"/>
      <c r="O74" s="479"/>
      <c r="P74" s="613"/>
      <c r="Q74" s="249"/>
      <c r="R74" s="578" t="s">
        <v>3085</v>
      </c>
      <c r="S74" s="578">
        <v>2857</v>
      </c>
      <c r="T74" s="578">
        <v>0.96</v>
      </c>
      <c r="U74" s="578">
        <v>0.44186716834926665</v>
      </c>
      <c r="V74" s="578">
        <v>2857</v>
      </c>
      <c r="W74" s="578">
        <v>0.96</v>
      </c>
      <c r="X74" s="578">
        <v>0.44186716834926665</v>
      </c>
      <c r="AE74" s="249"/>
      <c r="AF74" s="249"/>
      <c r="AG74" s="249"/>
      <c r="AH74" s="31" t="s">
        <v>3079</v>
      </c>
      <c r="AI74" s="31" t="s">
        <v>3385</v>
      </c>
      <c r="AJ74" s="31" t="s">
        <v>3080</v>
      </c>
      <c r="AK74" s="623" t="s">
        <v>2807</v>
      </c>
      <c r="AL74" s="31" t="s">
        <v>2806</v>
      </c>
      <c r="AM74" s="704">
        <f>0.05*'Project Summary'!M14</f>
        <v>2.5000000000000001E-2</v>
      </c>
      <c r="AN74" s="37" t="s">
        <v>3009</v>
      </c>
      <c r="AO74" s="37" t="s">
        <v>526</v>
      </c>
      <c r="AP74" s="37">
        <v>0</v>
      </c>
      <c r="AQ74" s="70"/>
      <c r="AR74" s="37"/>
      <c r="AS74" s="37" t="s">
        <v>456</v>
      </c>
      <c r="AT74" s="37" t="s">
        <v>456</v>
      </c>
      <c r="AU74" s="37" t="s">
        <v>456</v>
      </c>
      <c r="AW74" s="613">
        <v>71</v>
      </c>
      <c r="AX74" s="614" t="s">
        <v>3386</v>
      </c>
    </row>
    <row r="75" spans="8:50" x14ac:dyDescent="0.25">
      <c r="H75" s="28"/>
      <c r="I75" s="249"/>
      <c r="J75" s="249"/>
      <c r="K75" s="249"/>
      <c r="L75" s="249"/>
      <c r="M75" s="249"/>
      <c r="N75" s="478"/>
      <c r="O75" s="479"/>
      <c r="P75" s="613"/>
      <c r="Q75" s="249"/>
      <c r="R75" s="578" t="s">
        <v>3092</v>
      </c>
      <c r="S75" s="578">
        <v>4730</v>
      </c>
      <c r="T75" s="578">
        <v>0.96</v>
      </c>
      <c r="U75" s="578">
        <v>0.77046610158377971</v>
      </c>
      <c r="V75" s="578">
        <v>4730</v>
      </c>
      <c r="W75" s="578">
        <v>0.96</v>
      </c>
      <c r="X75" s="578">
        <v>0.77046610158377971</v>
      </c>
      <c r="AE75" s="249"/>
      <c r="AF75" s="249"/>
      <c r="AG75" s="249"/>
      <c r="AH75" s="31" t="s">
        <v>3079</v>
      </c>
      <c r="AI75" s="31" t="s">
        <v>3387</v>
      </c>
      <c r="AJ75" s="31" t="s">
        <v>3080</v>
      </c>
      <c r="AK75" s="623" t="s">
        <v>2807</v>
      </c>
      <c r="AL75" s="31" t="s">
        <v>2806</v>
      </c>
      <c r="AM75" s="704">
        <f>0.05*'Project Summary'!M14</f>
        <v>2.5000000000000001E-2</v>
      </c>
      <c r="AN75" s="37" t="s">
        <v>3009</v>
      </c>
      <c r="AO75" s="37" t="s">
        <v>526</v>
      </c>
      <c r="AP75" s="37">
        <v>0</v>
      </c>
      <c r="AQ75" s="70"/>
      <c r="AR75" s="37"/>
      <c r="AS75" s="37" t="s">
        <v>456</v>
      </c>
      <c r="AT75" s="37" t="s">
        <v>456</v>
      </c>
      <c r="AU75" s="37" t="s">
        <v>456</v>
      </c>
      <c r="AW75" s="613">
        <v>72</v>
      </c>
      <c r="AX75" s="614" t="s">
        <v>3388</v>
      </c>
    </row>
    <row r="76" spans="8:50" ht="15" customHeight="1" x14ac:dyDescent="0.25">
      <c r="H76" s="28"/>
      <c r="I76" s="249"/>
      <c r="J76" s="249"/>
      <c r="K76" s="249"/>
      <c r="L76" s="249"/>
      <c r="M76" s="249"/>
      <c r="N76" s="478"/>
      <c r="O76" s="479"/>
      <c r="P76" s="613"/>
      <c r="Q76" s="249"/>
      <c r="R76" s="578" t="s">
        <v>3106</v>
      </c>
      <c r="S76" s="578">
        <v>6631</v>
      </c>
      <c r="T76" s="578">
        <v>0.96</v>
      </c>
      <c r="U76" s="578">
        <v>0.77046610158377971</v>
      </c>
      <c r="V76" s="578">
        <v>6631</v>
      </c>
      <c r="W76" s="578">
        <v>0.96</v>
      </c>
      <c r="X76" s="578">
        <v>0.77046610158377971</v>
      </c>
      <c r="AE76" s="249"/>
      <c r="AF76" s="249"/>
      <c r="AG76" s="249"/>
      <c r="AH76" s="31" t="s">
        <v>3079</v>
      </c>
      <c r="AI76" s="31" t="s">
        <v>3389</v>
      </c>
      <c r="AJ76" s="31" t="s">
        <v>3080</v>
      </c>
      <c r="AK76" s="623" t="s">
        <v>2807</v>
      </c>
      <c r="AL76" s="31" t="s">
        <v>2806</v>
      </c>
      <c r="AM76" s="704">
        <f>0.05*'Project Summary'!M14</f>
        <v>2.5000000000000001E-2</v>
      </c>
      <c r="AN76" s="37" t="s">
        <v>3009</v>
      </c>
      <c r="AO76" s="37" t="s">
        <v>526</v>
      </c>
      <c r="AP76" s="37">
        <v>0</v>
      </c>
      <c r="AQ76" s="70"/>
      <c r="AR76" s="37"/>
      <c r="AS76" s="37" t="s">
        <v>456</v>
      </c>
      <c r="AT76" s="37" t="s">
        <v>456</v>
      </c>
      <c r="AU76" s="37" t="s">
        <v>456</v>
      </c>
      <c r="AW76" s="613">
        <v>73</v>
      </c>
      <c r="AX76" s="614" t="s">
        <v>3390</v>
      </c>
    </row>
    <row r="77" spans="8:50" x14ac:dyDescent="0.25">
      <c r="H77" s="28"/>
      <c r="I77" s="249"/>
      <c r="J77" s="249"/>
      <c r="K77" s="249"/>
      <c r="L77" s="249"/>
      <c r="M77" s="249"/>
      <c r="N77" s="478"/>
      <c r="O77" s="479"/>
      <c r="P77" s="613"/>
      <c r="Q77" s="249"/>
      <c r="R77" s="578" t="s">
        <v>3140</v>
      </c>
      <c r="S77" s="578">
        <v>1456</v>
      </c>
      <c r="T77" s="578">
        <v>0.23</v>
      </c>
      <c r="U77" s="578">
        <v>0.17</v>
      </c>
      <c r="V77" s="578">
        <v>1419</v>
      </c>
      <c r="W77" s="578">
        <v>0.23</v>
      </c>
      <c r="X77" s="578">
        <v>0.19</v>
      </c>
      <c r="AE77" s="249"/>
      <c r="AF77" s="249"/>
      <c r="AG77" s="249"/>
      <c r="AH77" s="31" t="s">
        <v>3079</v>
      </c>
      <c r="AI77" s="31" t="s">
        <v>3391</v>
      </c>
      <c r="AJ77" s="31" t="s">
        <v>3080</v>
      </c>
      <c r="AK77" s="623" t="s">
        <v>2807</v>
      </c>
      <c r="AL77" s="31" t="s">
        <v>2806</v>
      </c>
      <c r="AM77" s="704">
        <f>0.05*'Project Summary'!M14</f>
        <v>2.5000000000000001E-2</v>
      </c>
      <c r="AN77" s="37" t="s">
        <v>3009</v>
      </c>
      <c r="AO77" s="37" t="s">
        <v>526</v>
      </c>
      <c r="AP77" s="37">
        <v>0</v>
      </c>
      <c r="AQ77" s="70"/>
      <c r="AR77" s="37"/>
      <c r="AS77" s="37" t="s">
        <v>456</v>
      </c>
      <c r="AT77" s="37" t="s">
        <v>456</v>
      </c>
      <c r="AU77" s="37" t="s">
        <v>456</v>
      </c>
      <c r="AW77" s="613">
        <v>74</v>
      </c>
      <c r="AX77" s="614" t="s">
        <v>3392</v>
      </c>
    </row>
    <row r="78" spans="8:50" ht="15" customHeight="1" x14ac:dyDescent="0.25">
      <c r="H78" s="28"/>
      <c r="I78" s="249"/>
      <c r="J78" s="249"/>
      <c r="K78" s="249"/>
      <c r="L78" s="249"/>
      <c r="M78" s="249"/>
      <c r="N78" s="478"/>
      <c r="O78" s="479"/>
      <c r="P78" s="613"/>
      <c r="Q78" s="249"/>
      <c r="R78" s="578" t="s">
        <v>3075</v>
      </c>
      <c r="S78" s="578">
        <v>2925</v>
      </c>
      <c r="T78" s="578">
        <v>0.38</v>
      </c>
      <c r="U78" s="578">
        <v>0.38</v>
      </c>
      <c r="V78" s="578">
        <v>3579</v>
      </c>
      <c r="W78" s="578">
        <v>0.45</v>
      </c>
      <c r="X78" s="578">
        <v>0.49</v>
      </c>
      <c r="AE78" s="249"/>
      <c r="AF78" s="249"/>
      <c r="AG78" s="249"/>
      <c r="AH78" s="624" t="s">
        <v>3079</v>
      </c>
      <c r="AI78" s="624" t="s">
        <v>3393</v>
      </c>
      <c r="AJ78" s="624" t="s">
        <v>3080</v>
      </c>
      <c r="AK78" s="623" t="s">
        <v>2807</v>
      </c>
      <c r="AL78" s="31" t="s">
        <v>2806</v>
      </c>
      <c r="AM78" s="704">
        <f>0.05*'Project Summary'!M14</f>
        <v>2.5000000000000001E-2</v>
      </c>
      <c r="AN78" s="37" t="s">
        <v>3009</v>
      </c>
      <c r="AO78" s="70" t="s">
        <v>526</v>
      </c>
      <c r="AP78" s="36">
        <v>0</v>
      </c>
      <c r="AQ78" s="70"/>
      <c r="AR78" s="37"/>
      <c r="AS78" s="37" t="s">
        <v>456</v>
      </c>
      <c r="AT78" s="37" t="s">
        <v>456</v>
      </c>
      <c r="AU78" s="37" t="s">
        <v>456</v>
      </c>
      <c r="AW78" s="613">
        <v>75</v>
      </c>
      <c r="AX78" s="614" t="s">
        <v>3394</v>
      </c>
    </row>
    <row r="79" spans="8:50" x14ac:dyDescent="0.25">
      <c r="H79" s="28"/>
      <c r="I79" s="249"/>
      <c r="J79" s="249"/>
      <c r="K79" s="249"/>
      <c r="L79" s="249"/>
      <c r="M79" s="249"/>
      <c r="N79" s="478"/>
      <c r="O79" s="479"/>
      <c r="P79" s="613"/>
      <c r="Q79" s="249"/>
      <c r="R79" s="578" t="s">
        <v>3348</v>
      </c>
      <c r="S79" s="578">
        <v>5950</v>
      </c>
      <c r="T79" s="578">
        <v>0.73</v>
      </c>
      <c r="U79" s="578">
        <v>0.62</v>
      </c>
      <c r="V79" s="578">
        <v>5950</v>
      </c>
      <c r="W79" s="578">
        <v>0.73</v>
      </c>
      <c r="X79" s="578">
        <v>0.62</v>
      </c>
      <c r="AE79" s="249"/>
      <c r="AF79" s="249"/>
      <c r="AG79" s="249"/>
      <c r="AH79" s="624" t="s">
        <v>3079</v>
      </c>
      <c r="AI79" s="624" t="s">
        <v>3395</v>
      </c>
      <c r="AJ79" s="624" t="s">
        <v>3080</v>
      </c>
      <c r="AK79" s="623" t="s">
        <v>2807</v>
      </c>
      <c r="AL79" s="31" t="s">
        <v>2806</v>
      </c>
      <c r="AM79" s="704">
        <f>0.05*'Project Summary'!M14</f>
        <v>2.5000000000000001E-2</v>
      </c>
      <c r="AN79" s="4" t="s">
        <v>3009</v>
      </c>
      <c r="AO79" s="70" t="s">
        <v>526</v>
      </c>
      <c r="AP79" s="4">
        <v>0</v>
      </c>
      <c r="AQ79" s="70"/>
      <c r="AR79" s="37"/>
      <c r="AS79" s="37" t="s">
        <v>456</v>
      </c>
      <c r="AT79" s="37" t="s">
        <v>456</v>
      </c>
      <c r="AU79" s="37" t="s">
        <v>456</v>
      </c>
      <c r="AW79" s="613">
        <v>76</v>
      </c>
      <c r="AX79" s="614" t="s">
        <v>418</v>
      </c>
    </row>
    <row r="80" spans="8:50" ht="15.75" thickBot="1" x14ac:dyDescent="0.3">
      <c r="H80" s="28"/>
      <c r="I80" s="249"/>
      <c r="J80" s="249"/>
      <c r="K80" s="249"/>
      <c r="L80" s="249"/>
      <c r="M80" s="249"/>
      <c r="N80" s="478"/>
      <c r="O80" s="479"/>
      <c r="P80" s="613"/>
      <c r="Q80" s="249"/>
      <c r="R80" s="578" t="s">
        <v>3215</v>
      </c>
      <c r="S80" s="578">
        <v>2001</v>
      </c>
      <c r="T80" s="578">
        <v>0.33</v>
      </c>
      <c r="U80" s="578">
        <v>0.26</v>
      </c>
      <c r="V80" s="578">
        <v>2830</v>
      </c>
      <c r="W80" s="578">
        <v>0.57999999999999996</v>
      </c>
      <c r="X80" s="578">
        <v>0.39</v>
      </c>
      <c r="AE80" s="249"/>
      <c r="AF80" s="249"/>
      <c r="AG80" s="249"/>
      <c r="AH80" s="624" t="s">
        <v>3088</v>
      </c>
      <c r="AI80" s="624" t="s">
        <v>3396</v>
      </c>
      <c r="AJ80" s="624" t="s">
        <v>3089</v>
      </c>
      <c r="AK80" s="623" t="s">
        <v>2807</v>
      </c>
      <c r="AL80" s="31" t="s">
        <v>2806</v>
      </c>
      <c r="AM80" s="704">
        <f>0.05*'Project Summary'!M14</f>
        <v>2.5000000000000001E-2</v>
      </c>
      <c r="AN80" s="37" t="s">
        <v>3009</v>
      </c>
      <c r="AO80" s="70" t="s">
        <v>526</v>
      </c>
      <c r="AP80" s="37">
        <v>0</v>
      </c>
      <c r="AQ80" s="70"/>
      <c r="AR80" s="37"/>
      <c r="AS80" s="37" t="s">
        <v>456</v>
      </c>
      <c r="AT80" s="37" t="s">
        <v>456</v>
      </c>
      <c r="AU80" s="37" t="s">
        <v>456</v>
      </c>
      <c r="AW80" s="613">
        <v>77</v>
      </c>
      <c r="AX80" s="614" t="s">
        <v>3397</v>
      </c>
    </row>
    <row r="81" spans="1:50" x14ac:dyDescent="0.25">
      <c r="A81" s="501"/>
      <c r="B81" s="502" t="s">
        <v>3398</v>
      </c>
      <c r="C81" s="502" t="s">
        <v>3399</v>
      </c>
      <c r="D81" s="502"/>
      <c r="E81" s="503"/>
      <c r="F81" s="504"/>
      <c r="H81" s="28"/>
      <c r="I81" s="249"/>
      <c r="J81" s="249"/>
      <c r="K81" s="249"/>
      <c r="L81" s="249"/>
      <c r="M81" s="249"/>
      <c r="N81" s="478"/>
      <c r="O81" s="479"/>
      <c r="P81" s="613"/>
      <c r="Q81" s="249"/>
      <c r="R81" s="578" t="s">
        <v>3153</v>
      </c>
      <c r="S81" s="578">
        <v>1420</v>
      </c>
      <c r="T81" s="578">
        <v>0.26</v>
      </c>
      <c r="U81" s="578">
        <v>0.18</v>
      </c>
      <c r="V81" s="578">
        <v>2294</v>
      </c>
      <c r="W81" s="578">
        <v>0.48</v>
      </c>
      <c r="X81" s="578">
        <v>0.35</v>
      </c>
      <c r="AE81" s="249"/>
      <c r="AF81" s="249"/>
      <c r="AG81" s="249"/>
      <c r="AH81" s="624" t="s">
        <v>3088</v>
      </c>
      <c r="AI81" s="624" t="s">
        <v>3400</v>
      </c>
      <c r="AJ81" s="624" t="s">
        <v>3089</v>
      </c>
      <c r="AK81" s="623" t="s">
        <v>2807</v>
      </c>
      <c r="AL81" s="31" t="s">
        <v>2806</v>
      </c>
      <c r="AM81" s="704">
        <f>0.05*'Project Summary'!M14</f>
        <v>2.5000000000000001E-2</v>
      </c>
      <c r="AN81" s="37" t="s">
        <v>3009</v>
      </c>
      <c r="AO81" s="70" t="s">
        <v>526</v>
      </c>
      <c r="AP81" s="37">
        <v>0</v>
      </c>
      <c r="AQ81" s="70"/>
      <c r="AR81" s="37"/>
      <c r="AS81" s="37" t="s">
        <v>456</v>
      </c>
      <c r="AT81" s="37" t="s">
        <v>456</v>
      </c>
      <c r="AU81" s="37" t="s">
        <v>456</v>
      </c>
      <c r="AW81" s="613">
        <v>78</v>
      </c>
      <c r="AX81" s="614" t="s">
        <v>3401</v>
      </c>
    </row>
    <row r="82" spans="1:50" x14ac:dyDescent="0.25">
      <c r="A82" s="505"/>
      <c r="B82" s="506" t="s">
        <v>57</v>
      </c>
      <c r="C82" s="506" t="s">
        <v>4580</v>
      </c>
      <c r="D82" s="506" t="s">
        <v>3402</v>
      </c>
      <c r="E82" s="506" t="s">
        <v>3403</v>
      </c>
      <c r="F82" s="507" t="s">
        <v>88</v>
      </c>
      <c r="H82" s="28"/>
      <c r="I82" s="249"/>
      <c r="J82" s="249"/>
      <c r="K82" s="249"/>
      <c r="L82" s="249"/>
      <c r="M82" s="249"/>
      <c r="N82" s="478"/>
      <c r="O82" s="479"/>
      <c r="P82" s="613"/>
      <c r="Q82" s="249"/>
      <c r="R82" s="578" t="s">
        <v>3357</v>
      </c>
      <c r="S82" s="578">
        <v>8678</v>
      </c>
      <c r="T82" s="578">
        <v>0.98</v>
      </c>
      <c r="U82" s="578">
        <v>0.62</v>
      </c>
      <c r="V82" s="578">
        <v>8768</v>
      </c>
      <c r="W82" s="578">
        <v>0.98</v>
      </c>
      <c r="X82" s="578">
        <v>0.62</v>
      </c>
      <c r="AE82" s="249"/>
      <c r="AF82" s="249"/>
      <c r="AG82" s="249"/>
      <c r="AH82" s="624" t="s">
        <v>3088</v>
      </c>
      <c r="AI82" s="624" t="s">
        <v>3404</v>
      </c>
      <c r="AJ82" s="624" t="s">
        <v>3089</v>
      </c>
      <c r="AK82" s="623" t="s">
        <v>2807</v>
      </c>
      <c r="AL82" s="31" t="s">
        <v>2806</v>
      </c>
      <c r="AM82" s="704">
        <f>0.05*'Project Summary'!M14</f>
        <v>2.5000000000000001E-2</v>
      </c>
      <c r="AN82" s="37" t="s">
        <v>3009</v>
      </c>
      <c r="AO82" s="70" t="s">
        <v>526</v>
      </c>
      <c r="AP82" s="37">
        <v>0</v>
      </c>
      <c r="AQ82" s="70"/>
      <c r="AR82" s="37"/>
      <c r="AS82" s="37" t="s">
        <v>456</v>
      </c>
      <c r="AT82" s="37" t="s">
        <v>456</v>
      </c>
      <c r="AU82" s="37" t="s">
        <v>456</v>
      </c>
      <c r="AW82" s="613">
        <v>79</v>
      </c>
      <c r="AX82" s="614" t="s">
        <v>3405</v>
      </c>
    </row>
    <row r="83" spans="1:50" ht="45.75" customHeight="1" x14ac:dyDescent="0.25">
      <c r="A83" s="1170"/>
      <c r="B83" s="27" t="s">
        <v>3406</v>
      </c>
      <c r="C83" s="4">
        <f>F110</f>
        <v>0.06</v>
      </c>
      <c r="D83" s="4">
        <v>0</v>
      </c>
      <c r="E83" s="4">
        <v>0</v>
      </c>
      <c r="F83" s="508" t="s">
        <v>3407</v>
      </c>
      <c r="H83" s="28"/>
      <c r="I83" s="249"/>
      <c r="J83" s="249"/>
      <c r="K83" s="249"/>
      <c r="L83" s="249"/>
      <c r="M83" s="249"/>
      <c r="N83" s="478"/>
      <c r="O83" s="479"/>
      <c r="P83" s="613"/>
      <c r="Q83" s="249"/>
      <c r="R83" s="578" t="s">
        <v>3172</v>
      </c>
      <c r="S83" s="578">
        <v>3054</v>
      </c>
      <c r="T83" s="578">
        <v>0.55000000000000004</v>
      </c>
      <c r="U83" s="578">
        <v>0.38</v>
      </c>
      <c r="V83" s="578">
        <v>4747</v>
      </c>
      <c r="W83" s="578">
        <v>0.77</v>
      </c>
      <c r="X83" s="578">
        <v>0.65</v>
      </c>
      <c r="AE83" s="249"/>
      <c r="AF83" s="249"/>
      <c r="AG83" s="249"/>
      <c r="AH83" s="478" t="s">
        <v>3088</v>
      </c>
      <c r="AI83" s="624" t="s">
        <v>3408</v>
      </c>
      <c r="AJ83" s="624" t="s">
        <v>3089</v>
      </c>
      <c r="AK83" s="623" t="s">
        <v>2807</v>
      </c>
      <c r="AL83" s="31" t="s">
        <v>2806</v>
      </c>
      <c r="AM83" s="704">
        <f>0.05*'Project Summary'!M14</f>
        <v>2.5000000000000001E-2</v>
      </c>
      <c r="AN83" s="37" t="s">
        <v>3009</v>
      </c>
      <c r="AO83" s="70" t="s">
        <v>526</v>
      </c>
      <c r="AP83" s="37">
        <v>0</v>
      </c>
      <c r="AQ83" s="70"/>
      <c r="AR83" s="37"/>
      <c r="AS83" s="37" t="s">
        <v>456</v>
      </c>
      <c r="AT83" s="37" t="s">
        <v>456</v>
      </c>
      <c r="AU83" s="37" t="s">
        <v>456</v>
      </c>
      <c r="AW83" s="613">
        <v>80</v>
      </c>
      <c r="AX83" s="614" t="s">
        <v>3409</v>
      </c>
    </row>
    <row r="84" spans="1:50" x14ac:dyDescent="0.25">
      <c r="A84" s="1170"/>
      <c r="B84" s="608" t="s">
        <v>4571</v>
      </c>
      <c r="C84" s="4">
        <f t="shared" ref="C84:C101" si="2">F111</f>
        <v>0.6</v>
      </c>
      <c r="D84" s="4" t="s">
        <v>3410</v>
      </c>
      <c r="E84" s="4">
        <v>0</v>
      </c>
      <c r="F84" s="508" t="s">
        <v>3411</v>
      </c>
      <c r="H84" s="28"/>
      <c r="I84" s="249"/>
      <c r="J84" s="249"/>
      <c r="K84" s="249"/>
      <c r="L84" s="249"/>
      <c r="M84" s="249"/>
      <c r="N84" s="478"/>
      <c r="O84" s="479"/>
      <c r="P84" s="613"/>
      <c r="Q84" s="249"/>
      <c r="R84" s="578" t="s">
        <v>3038</v>
      </c>
      <c r="S84" s="578">
        <v>2383</v>
      </c>
      <c r="T84" s="578">
        <v>0.56000000000000005</v>
      </c>
      <c r="U84" s="578">
        <v>0.27</v>
      </c>
      <c r="V84" s="578">
        <v>2915</v>
      </c>
      <c r="W84" s="578">
        <v>0.66</v>
      </c>
      <c r="X84" s="578">
        <v>0.41</v>
      </c>
      <c r="AE84" s="249"/>
      <c r="AF84" s="249"/>
      <c r="AG84" s="249"/>
      <c r="AH84" s="478" t="s">
        <v>3088</v>
      </c>
      <c r="AI84" s="624" t="s">
        <v>3412</v>
      </c>
      <c r="AJ84" s="624" t="s">
        <v>3089</v>
      </c>
      <c r="AK84" s="623" t="s">
        <v>2807</v>
      </c>
      <c r="AL84" s="31" t="s">
        <v>2806</v>
      </c>
      <c r="AM84" s="704">
        <f>0.05*'Project Summary'!M14</f>
        <v>2.5000000000000001E-2</v>
      </c>
      <c r="AN84" s="37" t="s">
        <v>3009</v>
      </c>
      <c r="AO84" s="70" t="s">
        <v>526</v>
      </c>
      <c r="AP84" s="37">
        <v>0</v>
      </c>
      <c r="AQ84" s="70"/>
      <c r="AR84" s="37"/>
      <c r="AS84" s="37" t="s">
        <v>456</v>
      </c>
      <c r="AT84" s="37" t="s">
        <v>456</v>
      </c>
      <c r="AU84" s="37" t="s">
        <v>456</v>
      </c>
      <c r="AW84" s="613">
        <v>81</v>
      </c>
      <c r="AX84" s="614" t="s">
        <v>3413</v>
      </c>
    </row>
    <row r="85" spans="1:50" x14ac:dyDescent="0.25">
      <c r="A85" s="1170"/>
      <c r="B85" s="608" t="s">
        <v>4572</v>
      </c>
      <c r="C85" s="4">
        <f t="shared" si="2"/>
        <v>0.11</v>
      </c>
      <c r="D85" s="4">
        <v>0</v>
      </c>
      <c r="E85" s="4">
        <v>0</v>
      </c>
      <c r="F85" s="508" t="s">
        <v>3407</v>
      </c>
      <c r="I85" s="249"/>
      <c r="J85" s="249"/>
      <c r="K85" s="249"/>
      <c r="L85" s="249"/>
      <c r="M85" s="249"/>
      <c r="N85" s="478"/>
      <c r="O85" s="479"/>
      <c r="P85" s="613"/>
      <c r="Q85" s="249"/>
      <c r="R85" s="578" t="s">
        <v>3355</v>
      </c>
      <c r="S85" s="640">
        <v>3947</v>
      </c>
      <c r="T85" s="640">
        <v>0</v>
      </c>
      <c r="U85" s="578">
        <v>0.5</v>
      </c>
      <c r="V85" s="640">
        <v>3947</v>
      </c>
      <c r="W85" s="640">
        <v>0</v>
      </c>
      <c r="X85" s="578">
        <v>0.5</v>
      </c>
      <c r="AE85" s="249"/>
      <c r="AF85" s="249"/>
      <c r="AG85" s="249"/>
      <c r="AH85" s="478" t="s">
        <v>3088</v>
      </c>
      <c r="AI85" s="624" t="s">
        <v>3414</v>
      </c>
      <c r="AJ85" s="624" t="s">
        <v>3089</v>
      </c>
      <c r="AK85" s="623" t="s">
        <v>2807</v>
      </c>
      <c r="AL85" s="31" t="s">
        <v>2806</v>
      </c>
      <c r="AM85" s="704">
        <f>0.05*'Project Summary'!M14</f>
        <v>2.5000000000000001E-2</v>
      </c>
      <c r="AN85" s="37" t="s">
        <v>3009</v>
      </c>
      <c r="AO85" s="70" t="s">
        <v>526</v>
      </c>
      <c r="AP85" s="37">
        <v>0</v>
      </c>
      <c r="AQ85" s="70"/>
      <c r="AR85" s="37"/>
      <c r="AS85" s="37" t="s">
        <v>456</v>
      </c>
      <c r="AT85" s="37" t="s">
        <v>456</v>
      </c>
      <c r="AU85" s="37" t="s">
        <v>456</v>
      </c>
      <c r="AW85" s="613">
        <v>82</v>
      </c>
      <c r="AX85" s="614" t="s">
        <v>3415</v>
      </c>
    </row>
    <row r="86" spans="1:50" x14ac:dyDescent="0.25">
      <c r="A86" s="1170"/>
      <c r="B86" s="27" t="s">
        <v>4568</v>
      </c>
      <c r="C86" s="4">
        <f t="shared" si="2"/>
        <v>0.75</v>
      </c>
      <c r="D86" s="4">
        <v>0</v>
      </c>
      <c r="E86" s="4">
        <v>0</v>
      </c>
      <c r="F86" s="508" t="s">
        <v>3407</v>
      </c>
      <c r="H86" s="5"/>
      <c r="I86" s="249"/>
      <c r="J86" s="249"/>
      <c r="K86" s="249"/>
      <c r="L86" s="249"/>
      <c r="M86" s="249"/>
      <c r="N86" s="478"/>
      <c r="O86" s="479"/>
      <c r="P86" s="613"/>
      <c r="Q86" s="249"/>
      <c r="R86" s="578" t="s">
        <v>3328</v>
      </c>
      <c r="S86" s="578">
        <v>2815</v>
      </c>
      <c r="T86" s="578">
        <v>0.5</v>
      </c>
      <c r="U86" s="578">
        <v>0.36</v>
      </c>
      <c r="V86" s="578">
        <v>2545</v>
      </c>
      <c r="W86" s="578">
        <v>0.48</v>
      </c>
      <c r="X86" s="578">
        <v>0.37</v>
      </c>
      <c r="AE86" s="249"/>
      <c r="AF86" s="249"/>
      <c r="AG86" s="249"/>
      <c r="AH86" s="31" t="s">
        <v>3088</v>
      </c>
      <c r="AI86" s="624" t="s">
        <v>3417</v>
      </c>
      <c r="AJ86" s="624" t="s">
        <v>3089</v>
      </c>
      <c r="AK86" s="623" t="s">
        <v>2807</v>
      </c>
      <c r="AL86" s="31" t="s">
        <v>2806</v>
      </c>
      <c r="AM86" s="704">
        <f>0.05*'Project Summary'!M14</f>
        <v>2.5000000000000001E-2</v>
      </c>
      <c r="AN86" s="37" t="s">
        <v>3009</v>
      </c>
      <c r="AO86" s="70" t="s">
        <v>526</v>
      </c>
      <c r="AP86" s="37">
        <v>0</v>
      </c>
      <c r="AQ86" s="70"/>
      <c r="AR86" s="37"/>
      <c r="AS86" s="37" t="s">
        <v>456</v>
      </c>
      <c r="AT86" s="37" t="s">
        <v>456</v>
      </c>
      <c r="AU86" s="37" t="s">
        <v>456</v>
      </c>
      <c r="AW86" s="613">
        <v>83</v>
      </c>
      <c r="AX86" s="614" t="s">
        <v>3418</v>
      </c>
    </row>
    <row r="87" spans="1:50" x14ac:dyDescent="0.25">
      <c r="A87" s="1170"/>
      <c r="B87" s="27" t="s">
        <v>3416</v>
      </c>
      <c r="C87" s="4">
        <f t="shared" si="2"/>
        <v>0.7</v>
      </c>
      <c r="D87" s="4">
        <v>0</v>
      </c>
      <c r="E87" s="4">
        <v>0</v>
      </c>
      <c r="F87" s="508" t="s">
        <v>3407</v>
      </c>
      <c r="H87" s="5"/>
      <c r="I87" s="249"/>
      <c r="J87" s="249"/>
      <c r="K87" s="249"/>
      <c r="L87" s="249"/>
      <c r="M87" s="249"/>
      <c r="N87" s="478"/>
      <c r="O87" s="479"/>
      <c r="P87" s="613"/>
      <c r="Q87" s="249"/>
      <c r="T87" s="249"/>
      <c r="U87" s="249"/>
      <c r="V87" s="249"/>
      <c r="AE87" s="249"/>
      <c r="AF87" s="249"/>
      <c r="AG87" s="249"/>
      <c r="AH87" s="31" t="s">
        <v>3088</v>
      </c>
      <c r="AI87" s="624" t="s">
        <v>3420</v>
      </c>
      <c r="AJ87" s="624" t="s">
        <v>3089</v>
      </c>
      <c r="AK87" s="623" t="s">
        <v>2807</v>
      </c>
      <c r="AL87" s="31" t="s">
        <v>2806</v>
      </c>
      <c r="AM87" s="704">
        <f>0.05*'Project Summary'!M14</f>
        <v>2.5000000000000001E-2</v>
      </c>
      <c r="AN87" s="37" t="s">
        <v>3009</v>
      </c>
      <c r="AO87" s="70" t="s">
        <v>526</v>
      </c>
      <c r="AP87" s="37">
        <v>0</v>
      </c>
      <c r="AQ87" s="70"/>
      <c r="AR87" s="37"/>
      <c r="AS87" s="37" t="s">
        <v>456</v>
      </c>
      <c r="AT87" s="37" t="s">
        <v>456</v>
      </c>
      <c r="AU87" s="37" t="s">
        <v>456</v>
      </c>
      <c r="AW87" s="613">
        <v>84</v>
      </c>
      <c r="AX87" s="614" t="s">
        <v>181</v>
      </c>
    </row>
    <row r="88" spans="1:50" x14ac:dyDescent="0.25">
      <c r="A88" s="1170"/>
      <c r="B88" s="27" t="s">
        <v>3419</v>
      </c>
      <c r="C88" s="4">
        <f t="shared" si="2"/>
        <v>0.14000000000000001</v>
      </c>
      <c r="D88" s="4">
        <v>0</v>
      </c>
      <c r="E88" s="4">
        <v>0</v>
      </c>
      <c r="F88" s="508" t="s">
        <v>3407</v>
      </c>
      <c r="J88" s="249"/>
      <c r="K88" s="249"/>
      <c r="L88" s="249"/>
      <c r="M88" s="249"/>
      <c r="N88" s="478"/>
      <c r="O88" s="479"/>
      <c r="P88" s="613"/>
      <c r="Q88" s="249"/>
      <c r="AE88" s="249"/>
      <c r="AF88" s="249"/>
      <c r="AG88" s="249"/>
      <c r="AH88" s="31" t="s">
        <v>3088</v>
      </c>
      <c r="AI88" s="624" t="s">
        <v>3391</v>
      </c>
      <c r="AJ88" s="624" t="s">
        <v>3089</v>
      </c>
      <c r="AK88" s="623" t="s">
        <v>2807</v>
      </c>
      <c r="AL88" s="31" t="s">
        <v>2806</v>
      </c>
      <c r="AM88" s="704">
        <f>0.05*'Project Summary'!M14</f>
        <v>2.5000000000000001E-2</v>
      </c>
      <c r="AN88" s="37" t="s">
        <v>3009</v>
      </c>
      <c r="AO88" s="70" t="s">
        <v>526</v>
      </c>
      <c r="AP88" s="37">
        <v>0</v>
      </c>
      <c r="AQ88" s="70"/>
      <c r="AR88" s="37"/>
      <c r="AS88" s="37" t="s">
        <v>456</v>
      </c>
      <c r="AT88" s="37" t="s">
        <v>456</v>
      </c>
      <c r="AU88" s="37" t="s">
        <v>456</v>
      </c>
      <c r="AW88" s="613">
        <v>85</v>
      </c>
      <c r="AX88" s="614" t="s">
        <v>3422</v>
      </c>
    </row>
    <row r="89" spans="1:50" x14ac:dyDescent="0.25">
      <c r="A89" s="1170"/>
      <c r="B89" s="27" t="s">
        <v>3421</v>
      </c>
      <c r="C89" s="4">
        <f t="shared" si="2"/>
        <v>0.04</v>
      </c>
      <c r="D89" s="4">
        <v>0</v>
      </c>
      <c r="E89" s="4">
        <v>0</v>
      </c>
      <c r="F89" s="508" t="s">
        <v>3407</v>
      </c>
      <c r="M89" s="249"/>
      <c r="N89" s="478"/>
      <c r="O89" s="479"/>
      <c r="P89" s="613"/>
      <c r="AE89" s="249"/>
      <c r="AF89" s="249"/>
      <c r="AG89" s="249"/>
      <c r="AH89" s="31" t="s">
        <v>3100</v>
      </c>
      <c r="AI89" s="624" t="s">
        <v>3426</v>
      </c>
      <c r="AJ89" s="624" t="s">
        <v>3101</v>
      </c>
      <c r="AK89" s="623" t="s">
        <v>2804</v>
      </c>
      <c r="AL89" s="623" t="s">
        <v>2804</v>
      </c>
      <c r="AM89" s="705">
        <f>3*'Project Summary'!M14</f>
        <v>1.5</v>
      </c>
      <c r="AN89" s="37" t="s">
        <v>3427</v>
      </c>
      <c r="AO89" s="70" t="s">
        <v>526</v>
      </c>
      <c r="AP89" s="37">
        <v>15</v>
      </c>
      <c r="AQ89" s="70"/>
      <c r="AR89" s="37"/>
      <c r="AS89" s="37" t="s">
        <v>918</v>
      </c>
      <c r="AT89" s="37" t="s">
        <v>918</v>
      </c>
      <c r="AU89" s="37" t="s">
        <v>456</v>
      </c>
      <c r="AW89" s="613">
        <v>86</v>
      </c>
      <c r="AX89" s="614" t="s">
        <v>3428</v>
      </c>
    </row>
    <row r="90" spans="1:50" ht="15.75" thickBot="1" x14ac:dyDescent="0.3">
      <c r="A90" s="1170"/>
      <c r="B90" s="27" t="s">
        <v>3423</v>
      </c>
      <c r="C90" s="4">
        <f t="shared" si="2"/>
        <v>21</v>
      </c>
      <c r="D90" s="4" t="s">
        <v>3424</v>
      </c>
      <c r="E90" s="4">
        <v>0</v>
      </c>
      <c r="F90" s="508" t="s">
        <v>3425</v>
      </c>
      <c r="N90" s="478"/>
      <c r="O90" s="479"/>
      <c r="P90" s="613"/>
      <c r="R90" s="650" t="s">
        <v>3095</v>
      </c>
      <c r="S90" s="654" t="s">
        <v>4538</v>
      </c>
      <c r="T90" s="654" t="s">
        <v>4539</v>
      </c>
      <c r="U90" s="654" t="s">
        <v>324</v>
      </c>
      <c r="V90" s="654" t="s">
        <v>3096</v>
      </c>
      <c r="W90" s="654" t="s">
        <v>3429</v>
      </c>
      <c r="X90" s="654" t="s">
        <v>3098</v>
      </c>
      <c r="AE90" s="249"/>
      <c r="AF90" s="249"/>
      <c r="AG90" s="249"/>
      <c r="AH90" s="624" t="s">
        <v>3100</v>
      </c>
      <c r="AI90" s="624" t="s">
        <v>3430</v>
      </c>
      <c r="AJ90" s="624" t="s">
        <v>3101</v>
      </c>
      <c r="AK90" s="623" t="s">
        <v>2804</v>
      </c>
      <c r="AL90" s="623" t="s">
        <v>2804</v>
      </c>
      <c r="AM90" s="705">
        <f>3*'Project Summary'!M14</f>
        <v>1.5</v>
      </c>
      <c r="AN90" s="37" t="s">
        <v>3427</v>
      </c>
      <c r="AO90" s="70" t="s">
        <v>526</v>
      </c>
      <c r="AP90" s="37">
        <v>15</v>
      </c>
      <c r="AQ90" s="70"/>
      <c r="AR90" s="37"/>
      <c r="AS90" s="37" t="s">
        <v>918</v>
      </c>
      <c r="AT90" s="37" t="s">
        <v>918</v>
      </c>
      <c r="AU90" s="37" t="s">
        <v>456</v>
      </c>
      <c r="AW90" s="613">
        <v>87</v>
      </c>
      <c r="AX90" s="614" t="s">
        <v>3431</v>
      </c>
    </row>
    <row r="91" spans="1:50" x14ac:dyDescent="0.25">
      <c r="A91" s="1170"/>
      <c r="B91" s="27" t="s">
        <v>3432</v>
      </c>
      <c r="C91" s="4">
        <f t="shared" si="2"/>
        <v>0.4</v>
      </c>
      <c r="D91" s="4">
        <v>0</v>
      </c>
      <c r="E91" s="4">
        <v>0</v>
      </c>
      <c r="F91" s="508" t="s">
        <v>3407</v>
      </c>
      <c r="N91" s="478"/>
      <c r="O91" s="479"/>
      <c r="P91" s="613"/>
      <c r="R91" s="651" t="s">
        <v>3109</v>
      </c>
      <c r="S91" s="655">
        <v>20</v>
      </c>
      <c r="T91" s="656">
        <v>150</v>
      </c>
      <c r="U91" s="701">
        <f>0*'Project Summary'!M14</f>
        <v>0</v>
      </c>
      <c r="V91" s="657">
        <v>0</v>
      </c>
      <c r="W91" s="656" t="s">
        <v>3433</v>
      </c>
      <c r="X91" s="658">
        <v>8</v>
      </c>
      <c r="AA91" s="707"/>
      <c r="AE91" s="249"/>
      <c r="AF91" s="249"/>
      <c r="AG91" s="249"/>
      <c r="AH91" s="624" t="s">
        <v>3100</v>
      </c>
      <c r="AI91" s="624" t="s">
        <v>3434</v>
      </c>
      <c r="AJ91" s="624" t="s">
        <v>3101</v>
      </c>
      <c r="AK91" s="623" t="s">
        <v>2804</v>
      </c>
      <c r="AL91" s="623" t="s">
        <v>2804</v>
      </c>
      <c r="AM91" s="705">
        <f>3*'Project Summary'!M14</f>
        <v>1.5</v>
      </c>
      <c r="AN91" s="37" t="s">
        <v>3427</v>
      </c>
      <c r="AO91" s="70" t="s">
        <v>526</v>
      </c>
      <c r="AP91" s="37">
        <v>15</v>
      </c>
      <c r="AQ91" s="70"/>
      <c r="AR91" s="37"/>
      <c r="AS91" s="37" t="s">
        <v>918</v>
      </c>
      <c r="AT91" s="37" t="s">
        <v>918</v>
      </c>
      <c r="AU91" s="37" t="s">
        <v>456</v>
      </c>
      <c r="AW91" s="613">
        <v>88</v>
      </c>
      <c r="AX91" s="614" t="s">
        <v>3435</v>
      </c>
    </row>
    <row r="92" spans="1:50" x14ac:dyDescent="0.25">
      <c r="A92" s="1170"/>
      <c r="B92" s="27" t="s">
        <v>3436</v>
      </c>
      <c r="C92" s="4">
        <f t="shared" si="2"/>
        <v>0.6</v>
      </c>
      <c r="D92" s="4">
        <v>0</v>
      </c>
      <c r="E92" s="4">
        <v>0</v>
      </c>
      <c r="F92" s="508" t="s">
        <v>3407</v>
      </c>
      <c r="N92" s="478"/>
      <c r="O92" s="479"/>
      <c r="P92" s="613"/>
      <c r="R92" s="652" t="s">
        <v>3120</v>
      </c>
      <c r="S92" s="659">
        <v>20</v>
      </c>
      <c r="T92" s="487">
        <v>150</v>
      </c>
      <c r="U92" s="702">
        <f>10*'Project Summary'!M14</f>
        <v>5</v>
      </c>
      <c r="V92" s="486">
        <v>0.24</v>
      </c>
      <c r="W92" s="487" t="s">
        <v>3437</v>
      </c>
      <c r="X92" s="660">
        <v>8</v>
      </c>
      <c r="AE92" s="249"/>
      <c r="AF92" s="249"/>
      <c r="AG92" s="249"/>
      <c r="AH92" s="478" t="s">
        <v>3100</v>
      </c>
      <c r="AI92" s="478" t="s">
        <v>3438</v>
      </c>
      <c r="AJ92" s="478" t="s">
        <v>3101</v>
      </c>
      <c r="AK92" s="623" t="s">
        <v>2804</v>
      </c>
      <c r="AL92" s="623" t="s">
        <v>2804</v>
      </c>
      <c r="AM92" s="706">
        <f>3*'Project Summary'!M14</f>
        <v>1.5</v>
      </c>
      <c r="AN92" s="578" t="s">
        <v>3427</v>
      </c>
      <c r="AO92" s="578" t="s">
        <v>526</v>
      </c>
      <c r="AP92" s="37">
        <v>15</v>
      </c>
      <c r="AQ92" s="70"/>
      <c r="AR92" s="37"/>
      <c r="AS92" s="37" t="s">
        <v>918</v>
      </c>
      <c r="AT92" s="37" t="s">
        <v>918</v>
      </c>
      <c r="AU92" s="37" t="s">
        <v>456</v>
      </c>
      <c r="AW92" s="613">
        <v>89</v>
      </c>
      <c r="AX92" s="614" t="s">
        <v>3439</v>
      </c>
    </row>
    <row r="93" spans="1:50" x14ac:dyDescent="0.25">
      <c r="A93" s="1170"/>
      <c r="B93" s="27" t="s">
        <v>4570</v>
      </c>
      <c r="C93" s="4">
        <f t="shared" si="2"/>
        <v>0.35</v>
      </c>
      <c r="D93" s="4">
        <v>0</v>
      </c>
      <c r="E93" s="4">
        <v>0</v>
      </c>
      <c r="F93" s="508" t="s">
        <v>3407</v>
      </c>
      <c r="N93" s="478"/>
      <c r="O93" s="479"/>
      <c r="P93" s="613"/>
      <c r="R93" s="652" t="s">
        <v>3132</v>
      </c>
      <c r="S93" s="659">
        <v>20</v>
      </c>
      <c r="T93" s="487">
        <v>150</v>
      </c>
      <c r="U93" s="702">
        <f>10*'Project Summary'!M14</f>
        <v>5</v>
      </c>
      <c r="V93" s="486">
        <v>0.28000000000000003</v>
      </c>
      <c r="W93" s="487" t="s">
        <v>3440</v>
      </c>
      <c r="X93" s="660">
        <v>8</v>
      </c>
      <c r="AE93" s="249"/>
      <c r="AF93" s="249"/>
      <c r="AG93" s="249"/>
      <c r="AH93" s="478" t="s">
        <v>3114</v>
      </c>
      <c r="AI93" s="478" t="s">
        <v>3441</v>
      </c>
      <c r="AJ93" s="478" t="s">
        <v>3101</v>
      </c>
      <c r="AK93" s="623" t="s">
        <v>2807</v>
      </c>
      <c r="AL93" s="31" t="s">
        <v>2806</v>
      </c>
      <c r="AM93" s="704">
        <f>0.05*'Project Summary'!M14</f>
        <v>2.5000000000000001E-2</v>
      </c>
      <c r="AN93" s="578" t="s">
        <v>3009</v>
      </c>
      <c r="AO93" s="578" t="s">
        <v>526</v>
      </c>
      <c r="AP93" s="37">
        <v>15</v>
      </c>
      <c r="AQ93" s="70"/>
      <c r="AR93" s="37"/>
      <c r="AS93" s="37" t="s">
        <v>456</v>
      </c>
      <c r="AT93" s="37" t="s">
        <v>456</v>
      </c>
      <c r="AU93" s="37" t="s">
        <v>456</v>
      </c>
      <c r="AW93" s="613">
        <v>90</v>
      </c>
      <c r="AX93" s="614" t="s">
        <v>3442</v>
      </c>
    </row>
    <row r="94" spans="1:50" x14ac:dyDescent="0.25">
      <c r="A94" s="1170"/>
      <c r="B94" s="509" t="s">
        <v>3443</v>
      </c>
      <c r="C94" s="4">
        <f t="shared" si="2"/>
        <v>7</v>
      </c>
      <c r="D94" s="510" t="s">
        <v>3410</v>
      </c>
      <c r="E94" s="510">
        <v>0</v>
      </c>
      <c r="F94" s="511" t="s">
        <v>3411</v>
      </c>
      <c r="N94" s="478"/>
      <c r="O94" s="479"/>
      <c r="P94" s="613"/>
      <c r="R94" s="652" t="s">
        <v>3444</v>
      </c>
      <c r="S94" s="659">
        <v>20</v>
      </c>
      <c r="T94" s="487">
        <v>150</v>
      </c>
      <c r="U94" s="702">
        <f>10*'Project Summary'!M14</f>
        <v>5</v>
      </c>
      <c r="V94" s="486">
        <v>0.24</v>
      </c>
      <c r="W94" s="487" t="s">
        <v>3445</v>
      </c>
      <c r="X94" s="660">
        <v>8</v>
      </c>
      <c r="AE94" s="249"/>
      <c r="AF94" s="249"/>
      <c r="AG94" s="249"/>
      <c r="AH94" s="478" t="s">
        <v>3124</v>
      </c>
      <c r="AI94" s="478" t="s">
        <v>3446</v>
      </c>
      <c r="AJ94" s="478" t="s">
        <v>3125</v>
      </c>
      <c r="AK94" s="634" t="s">
        <v>2809</v>
      </c>
      <c r="AL94" s="634" t="s">
        <v>2809</v>
      </c>
      <c r="AM94" s="704">
        <f>0.05*'Project Summary'!M14</f>
        <v>2.5000000000000001E-2</v>
      </c>
      <c r="AN94" s="578" t="s">
        <v>3009</v>
      </c>
      <c r="AO94" s="578" t="s">
        <v>526</v>
      </c>
      <c r="AP94" s="37">
        <v>8</v>
      </c>
      <c r="AQ94" s="70">
        <v>75</v>
      </c>
      <c r="AR94" s="37" t="s">
        <v>4549</v>
      </c>
      <c r="AS94" s="37" t="s">
        <v>918</v>
      </c>
      <c r="AT94" s="37" t="s">
        <v>918</v>
      </c>
      <c r="AU94" s="37" t="s">
        <v>456</v>
      </c>
      <c r="AW94" s="613">
        <v>91</v>
      </c>
      <c r="AX94" s="614" t="s">
        <v>3447</v>
      </c>
    </row>
    <row r="95" spans="1:50" ht="64.5" customHeight="1" x14ac:dyDescent="0.25">
      <c r="A95" s="1170"/>
      <c r="B95" s="31" t="s">
        <v>3357</v>
      </c>
      <c r="C95" s="4">
        <f t="shared" si="2"/>
        <v>0.15</v>
      </c>
      <c r="D95" s="4">
        <v>0</v>
      </c>
      <c r="E95" s="37">
        <v>0</v>
      </c>
      <c r="F95" s="508" t="s">
        <v>3407</v>
      </c>
      <c r="N95" s="478"/>
      <c r="O95" s="479"/>
      <c r="P95" s="613"/>
      <c r="R95" s="652" t="s">
        <v>3448</v>
      </c>
      <c r="S95" s="659">
        <v>20</v>
      </c>
      <c r="T95" s="487">
        <v>150</v>
      </c>
      <c r="U95" s="702">
        <f>15*'Project Summary'!M14</f>
        <v>7.5</v>
      </c>
      <c r="V95" s="486">
        <v>0.38</v>
      </c>
      <c r="W95" s="487" t="s">
        <v>3449</v>
      </c>
      <c r="X95" s="660">
        <v>8</v>
      </c>
      <c r="AE95" s="249"/>
      <c r="AF95" s="249"/>
      <c r="AG95" s="249"/>
      <c r="AH95" s="478" t="s">
        <v>3124</v>
      </c>
      <c r="AI95" s="478" t="s">
        <v>3450</v>
      </c>
      <c r="AJ95" s="478" t="s">
        <v>3125</v>
      </c>
      <c r="AK95" s="623" t="s">
        <v>2807</v>
      </c>
      <c r="AL95" s="31" t="s">
        <v>2806</v>
      </c>
      <c r="AM95" s="704">
        <f>0.05*'Project Summary'!M14</f>
        <v>2.5000000000000001E-2</v>
      </c>
      <c r="AN95" s="578" t="s">
        <v>3009</v>
      </c>
      <c r="AO95" s="578" t="s">
        <v>526</v>
      </c>
      <c r="AP95" s="37">
        <v>8</v>
      </c>
      <c r="AQ95" s="70"/>
      <c r="AR95" s="37"/>
      <c r="AS95" s="37" t="s">
        <v>456</v>
      </c>
      <c r="AT95" s="37" t="s">
        <v>456</v>
      </c>
      <c r="AU95" s="37" t="s">
        <v>456</v>
      </c>
      <c r="AW95" s="613">
        <v>92</v>
      </c>
      <c r="AX95" s="614" t="s">
        <v>3451</v>
      </c>
    </row>
    <row r="96" spans="1:50" x14ac:dyDescent="0.25">
      <c r="A96" s="1170"/>
      <c r="B96" s="27" t="s">
        <v>3452</v>
      </c>
      <c r="C96" s="4">
        <f t="shared" si="2"/>
        <v>0.113</v>
      </c>
      <c r="D96" s="4">
        <v>0</v>
      </c>
      <c r="E96" s="4" t="s">
        <v>3453</v>
      </c>
      <c r="F96" s="508" t="s">
        <v>3407</v>
      </c>
      <c r="N96" s="478"/>
      <c r="O96" s="479"/>
      <c r="P96" s="613"/>
      <c r="R96" s="652" t="s">
        <v>3454</v>
      </c>
      <c r="S96" s="659">
        <v>20</v>
      </c>
      <c r="T96" s="487">
        <v>150</v>
      </c>
      <c r="U96" s="702">
        <f>15*'Project Summary'!M14</f>
        <v>7.5</v>
      </c>
      <c r="V96" s="486">
        <v>0.31</v>
      </c>
      <c r="W96" s="487" t="s">
        <v>3455</v>
      </c>
      <c r="X96" s="660">
        <v>8</v>
      </c>
      <c r="AE96" s="249"/>
      <c r="AF96" s="249"/>
      <c r="AG96" s="249"/>
      <c r="AH96" s="478" t="s">
        <v>3124</v>
      </c>
      <c r="AI96" s="478" t="s">
        <v>3456</v>
      </c>
      <c r="AJ96" s="478" t="s">
        <v>3125</v>
      </c>
      <c r="AK96" s="634" t="s">
        <v>2809</v>
      </c>
      <c r="AL96" s="634" t="s">
        <v>2809</v>
      </c>
      <c r="AM96" s="704">
        <f>0.05*'Project Summary'!M14</f>
        <v>2.5000000000000001E-2</v>
      </c>
      <c r="AN96" s="578" t="s">
        <v>3009</v>
      </c>
      <c r="AO96" s="578" t="s">
        <v>526</v>
      </c>
      <c r="AP96" s="37">
        <v>8</v>
      </c>
      <c r="AQ96" s="70">
        <v>75</v>
      </c>
      <c r="AR96" s="37" t="s">
        <v>4549</v>
      </c>
      <c r="AS96" s="37" t="s">
        <v>918</v>
      </c>
      <c r="AT96" s="37" t="s">
        <v>918</v>
      </c>
      <c r="AU96" s="37" t="s">
        <v>456</v>
      </c>
      <c r="AW96" s="613">
        <v>93</v>
      </c>
      <c r="AX96" s="614" t="s">
        <v>3457</v>
      </c>
    </row>
    <row r="97" spans="1:50" x14ac:dyDescent="0.25">
      <c r="A97" s="1170"/>
      <c r="B97" s="27" t="s">
        <v>4569</v>
      </c>
      <c r="C97" s="4">
        <f t="shared" si="2"/>
        <v>0.35</v>
      </c>
      <c r="D97" s="4">
        <v>0</v>
      </c>
      <c r="E97" s="4">
        <v>0</v>
      </c>
      <c r="F97" s="508" t="s">
        <v>3407</v>
      </c>
      <c r="N97" s="478"/>
      <c r="O97" s="479"/>
      <c r="P97" s="613"/>
      <c r="R97" s="652" t="s">
        <v>3458</v>
      </c>
      <c r="S97" s="659">
        <v>20</v>
      </c>
      <c r="T97" s="487">
        <v>150</v>
      </c>
      <c r="U97" s="702">
        <f>15*'Project Summary'!M14</f>
        <v>7.5</v>
      </c>
      <c r="V97" s="486">
        <v>0.31</v>
      </c>
      <c r="W97" s="487" t="s">
        <v>3459</v>
      </c>
      <c r="X97" s="660">
        <v>8</v>
      </c>
      <c r="AE97" s="249"/>
      <c r="AF97" s="249"/>
      <c r="AG97" s="249"/>
      <c r="AH97" s="478" t="s">
        <v>2349</v>
      </c>
      <c r="AI97" s="478" t="s">
        <v>3460</v>
      </c>
      <c r="AJ97" s="478" t="s">
        <v>252</v>
      </c>
      <c r="AK97" s="634" t="s">
        <v>2806</v>
      </c>
      <c r="AL97" s="634" t="s">
        <v>2806</v>
      </c>
      <c r="AM97" s="704">
        <f>0.05*'Project Summary'!M14</f>
        <v>2.5000000000000001E-2</v>
      </c>
      <c r="AN97" s="578" t="s">
        <v>3009</v>
      </c>
      <c r="AO97" s="578" t="s">
        <v>526</v>
      </c>
      <c r="AP97" s="37">
        <v>6</v>
      </c>
      <c r="AQ97" s="70">
        <v>200</v>
      </c>
      <c r="AR97" s="37" t="s">
        <v>3320</v>
      </c>
      <c r="AS97" s="37" t="s">
        <v>456</v>
      </c>
      <c r="AT97" s="37" t="s">
        <v>456</v>
      </c>
      <c r="AU97" s="37" t="s">
        <v>456</v>
      </c>
      <c r="AW97" s="613">
        <v>94</v>
      </c>
      <c r="AX97" s="614" t="s">
        <v>3461</v>
      </c>
    </row>
    <row r="98" spans="1:50" x14ac:dyDescent="0.25">
      <c r="A98" s="1170"/>
      <c r="B98" s="27" t="s">
        <v>3462</v>
      </c>
      <c r="C98" s="4">
        <f t="shared" si="2"/>
        <v>0.5</v>
      </c>
      <c r="D98" s="4">
        <v>0</v>
      </c>
      <c r="E98" s="4" t="s">
        <v>3463</v>
      </c>
      <c r="F98" s="508" t="s">
        <v>3407</v>
      </c>
      <c r="R98" s="652" t="s">
        <v>3464</v>
      </c>
      <c r="S98" s="659">
        <v>20</v>
      </c>
      <c r="T98" s="487">
        <v>150</v>
      </c>
      <c r="U98" s="702">
        <f>15*'Project Summary'!M14</f>
        <v>7.5</v>
      </c>
      <c r="V98" s="486">
        <v>0.31</v>
      </c>
      <c r="W98" s="487" t="s">
        <v>3465</v>
      </c>
      <c r="X98" s="660">
        <v>8</v>
      </c>
      <c r="AH98" s="478" t="s">
        <v>2349</v>
      </c>
      <c r="AI98" s="478" t="s">
        <v>3466</v>
      </c>
      <c r="AJ98" s="478" t="s">
        <v>252</v>
      </c>
      <c r="AK98" s="634" t="s">
        <v>2806</v>
      </c>
      <c r="AL98" s="634" t="s">
        <v>2806</v>
      </c>
      <c r="AM98" s="704">
        <f>0.05*'Project Summary'!M14</f>
        <v>2.5000000000000001E-2</v>
      </c>
      <c r="AN98" s="578" t="s">
        <v>3009</v>
      </c>
      <c r="AO98" s="578" t="s">
        <v>526</v>
      </c>
      <c r="AP98" s="37">
        <v>6</v>
      </c>
      <c r="AQ98" s="70">
        <v>200</v>
      </c>
      <c r="AR98" s="37" t="s">
        <v>3320</v>
      </c>
      <c r="AS98" s="37" t="s">
        <v>456</v>
      </c>
      <c r="AT98" s="37" t="s">
        <v>456</v>
      </c>
      <c r="AU98" s="37" t="s">
        <v>456</v>
      </c>
      <c r="AW98" s="613">
        <v>95</v>
      </c>
      <c r="AX98" s="614" t="s">
        <v>3467</v>
      </c>
    </row>
    <row r="99" spans="1:50" x14ac:dyDescent="0.25">
      <c r="A99" s="1170"/>
      <c r="B99" s="27" t="s">
        <v>3468</v>
      </c>
      <c r="C99" s="4">
        <f t="shared" si="2"/>
        <v>0.35</v>
      </c>
      <c r="D99" s="4">
        <v>0</v>
      </c>
      <c r="E99" s="4">
        <v>0</v>
      </c>
      <c r="F99" s="508" t="s">
        <v>3407</v>
      </c>
      <c r="R99" s="652" t="s">
        <v>3469</v>
      </c>
      <c r="S99" s="659">
        <v>20</v>
      </c>
      <c r="T99" s="487">
        <v>150</v>
      </c>
      <c r="U99" s="702">
        <f>15*'Project Summary'!M14</f>
        <v>7.5</v>
      </c>
      <c r="V99" s="486">
        <v>0.36</v>
      </c>
      <c r="W99" s="487" t="s">
        <v>3470</v>
      </c>
      <c r="X99" s="660">
        <v>8</v>
      </c>
      <c r="AH99" s="478" t="s">
        <v>2349</v>
      </c>
      <c r="AI99" s="478" t="s">
        <v>3471</v>
      </c>
      <c r="AJ99" s="478" t="s">
        <v>252</v>
      </c>
      <c r="AK99" s="634" t="s">
        <v>2806</v>
      </c>
      <c r="AL99" s="634" t="s">
        <v>2806</v>
      </c>
      <c r="AM99" s="704">
        <f>0.05*'Project Summary'!M14</f>
        <v>2.5000000000000001E-2</v>
      </c>
      <c r="AN99" s="578" t="s">
        <v>3009</v>
      </c>
      <c r="AO99" s="578" t="s">
        <v>526</v>
      </c>
      <c r="AP99" s="37">
        <v>6</v>
      </c>
      <c r="AQ99" s="70">
        <v>200</v>
      </c>
      <c r="AR99" s="37" t="s">
        <v>3320</v>
      </c>
      <c r="AS99" s="37" t="s">
        <v>456</v>
      </c>
      <c r="AT99" s="37" t="s">
        <v>456</v>
      </c>
      <c r="AU99" s="37" t="s">
        <v>456</v>
      </c>
      <c r="AW99" s="613">
        <v>96</v>
      </c>
      <c r="AX99" s="614" t="s">
        <v>3472</v>
      </c>
    </row>
    <row r="100" spans="1:50" x14ac:dyDescent="0.25">
      <c r="A100" s="1170"/>
      <c r="B100" s="27" t="s">
        <v>3473</v>
      </c>
      <c r="C100" s="4">
        <f t="shared" si="2"/>
        <v>200</v>
      </c>
      <c r="D100" s="4" t="s">
        <v>3204</v>
      </c>
      <c r="E100" s="4">
        <v>0</v>
      </c>
      <c r="F100" s="508" t="s">
        <v>3474</v>
      </c>
      <c r="R100" s="652" t="s">
        <v>3475</v>
      </c>
      <c r="S100" s="659">
        <v>20</v>
      </c>
      <c r="T100" s="487">
        <v>150</v>
      </c>
      <c r="U100" s="702">
        <f>15*'Project Summary'!M14</f>
        <v>7.5</v>
      </c>
      <c r="V100" s="486">
        <v>0.28000000000000003</v>
      </c>
      <c r="W100" s="487" t="s">
        <v>3440</v>
      </c>
      <c r="X100" s="660">
        <v>8</v>
      </c>
      <c r="AH100" s="478" t="s">
        <v>3148</v>
      </c>
      <c r="AI100" s="478" t="s">
        <v>3148</v>
      </c>
      <c r="AJ100" s="478" t="s">
        <v>3149</v>
      </c>
      <c r="AK100" s="634" t="s">
        <v>2806</v>
      </c>
      <c r="AL100" s="634" t="s">
        <v>2806</v>
      </c>
      <c r="AM100" s="704">
        <f>0.05*'Project Summary'!M14</f>
        <v>2.5000000000000001E-2</v>
      </c>
      <c r="AN100" s="578" t="s">
        <v>3009</v>
      </c>
      <c r="AO100" s="578" t="s">
        <v>526</v>
      </c>
      <c r="AP100" s="37">
        <v>6</v>
      </c>
      <c r="AQ100" s="70">
        <v>200</v>
      </c>
      <c r="AR100" s="37" t="s">
        <v>3320</v>
      </c>
      <c r="AS100" s="37" t="s">
        <v>456</v>
      </c>
      <c r="AT100" s="37" t="s">
        <v>456</v>
      </c>
      <c r="AU100" s="37" t="s">
        <v>456</v>
      </c>
      <c r="AW100" s="613">
        <v>97</v>
      </c>
      <c r="AX100" s="614" t="s">
        <v>3476</v>
      </c>
    </row>
    <row r="101" spans="1:50" ht="15.75" thickBot="1" x14ac:dyDescent="0.3">
      <c r="A101" s="1170"/>
      <c r="B101" s="27" t="s">
        <v>3477</v>
      </c>
      <c r="C101" s="4">
        <f t="shared" si="2"/>
        <v>400</v>
      </c>
      <c r="D101" s="4" t="s">
        <v>3204</v>
      </c>
      <c r="E101" s="4" t="s">
        <v>3478</v>
      </c>
      <c r="F101" s="508" t="s">
        <v>3479</v>
      </c>
      <c r="R101" s="653" t="s">
        <v>4537</v>
      </c>
      <c r="S101" s="661">
        <v>20</v>
      </c>
      <c r="T101" s="662">
        <v>1000000</v>
      </c>
      <c r="U101" s="703">
        <f>0.3*'Project Summary'!M14</f>
        <v>0.15</v>
      </c>
      <c r="V101" s="663">
        <v>0.49</v>
      </c>
      <c r="W101" s="662"/>
      <c r="X101" s="664">
        <v>8</v>
      </c>
      <c r="AH101" s="478" t="s">
        <v>3160</v>
      </c>
      <c r="AI101" s="478" t="s">
        <v>3160</v>
      </c>
      <c r="AJ101" s="478" t="s">
        <v>3160</v>
      </c>
      <c r="AK101" s="634" t="s">
        <v>2811</v>
      </c>
      <c r="AL101" s="634" t="s">
        <v>2811</v>
      </c>
      <c r="AM101" s="704">
        <f>0.05*'Project Summary'!M14</f>
        <v>2.5000000000000001E-2</v>
      </c>
      <c r="AN101" s="578" t="s">
        <v>3009</v>
      </c>
      <c r="AO101" s="578" t="s">
        <v>526</v>
      </c>
      <c r="AP101" s="37">
        <v>0</v>
      </c>
      <c r="AQ101" s="70"/>
      <c r="AR101" s="37"/>
      <c r="AS101" s="37" t="s">
        <v>456</v>
      </c>
      <c r="AT101" s="37" t="s">
        <v>456</v>
      </c>
      <c r="AU101" s="37" t="s">
        <v>456</v>
      </c>
      <c r="AW101" s="613">
        <v>98</v>
      </c>
      <c r="AX101" s="614" t="s">
        <v>3480</v>
      </c>
    </row>
    <row r="102" spans="1:50" x14ac:dyDescent="0.25">
      <c r="A102" s="1170"/>
      <c r="B102" s="27" t="s">
        <v>3481</v>
      </c>
      <c r="C102" s="4" t="str">
        <f>IFERROR(B103&amp;" W plus "&amp;C103&amp;" W per additional", "")</f>
        <v>135 W plus 90 W per additional</v>
      </c>
      <c r="D102" s="3" t="s">
        <v>3204</v>
      </c>
      <c r="E102" s="4" t="s">
        <v>3482</v>
      </c>
      <c r="F102" s="508" t="s">
        <v>3483</v>
      </c>
      <c r="R102" s="651" t="s">
        <v>3109</v>
      </c>
      <c r="S102" s="655">
        <v>150</v>
      </c>
      <c r="T102" s="656">
        <v>1000000</v>
      </c>
      <c r="U102" s="701">
        <f>0*'Project Summary'!M14</f>
        <v>0</v>
      </c>
      <c r="V102" s="657">
        <v>0</v>
      </c>
      <c r="W102" s="656" t="s">
        <v>3433</v>
      </c>
      <c r="X102" s="658">
        <v>8</v>
      </c>
      <c r="AH102" s="478" t="s">
        <v>3168</v>
      </c>
      <c r="AI102" s="478" t="s">
        <v>3168</v>
      </c>
      <c r="AJ102" s="478" t="s">
        <v>3169</v>
      </c>
      <c r="AK102" s="634" t="s">
        <v>3168</v>
      </c>
      <c r="AL102" s="634" t="s">
        <v>3168</v>
      </c>
      <c r="AM102" s="706">
        <f>0*'Project Summary'!M14</f>
        <v>0</v>
      </c>
      <c r="AN102" s="578" t="s">
        <v>3009</v>
      </c>
      <c r="AO102" s="578" t="s">
        <v>526</v>
      </c>
      <c r="AP102" s="37">
        <v>0</v>
      </c>
      <c r="AQ102" s="70"/>
      <c r="AR102" s="37"/>
      <c r="AS102" s="37" t="s">
        <v>456</v>
      </c>
      <c r="AT102" s="37" t="s">
        <v>456</v>
      </c>
      <c r="AU102" s="37" t="s">
        <v>456</v>
      </c>
      <c r="AW102" s="613">
        <v>99</v>
      </c>
      <c r="AX102" s="614" t="s">
        <v>3484</v>
      </c>
    </row>
    <row r="103" spans="1:50" ht="15.75" thickBot="1" x14ac:dyDescent="0.3">
      <c r="A103" s="1171"/>
      <c r="B103" s="512">
        <f>HLOOKUP($C$81,$B$108:$G$130,ROW()-ROW(C81),FALSE)</f>
        <v>135</v>
      </c>
      <c r="C103" s="512">
        <v>90</v>
      </c>
      <c r="D103" s="512" t="s">
        <v>3204</v>
      </c>
      <c r="E103" s="512" t="s">
        <v>3485</v>
      </c>
      <c r="F103" s="513" t="s">
        <v>3486</v>
      </c>
      <c r="R103" s="652" t="s">
        <v>3120</v>
      </c>
      <c r="S103" s="659">
        <v>150</v>
      </c>
      <c r="T103" s="487">
        <v>1000000</v>
      </c>
      <c r="U103" s="702">
        <f>20*'Project Summary'!M14</f>
        <v>10</v>
      </c>
      <c r="V103" s="486">
        <v>0.24</v>
      </c>
      <c r="W103" s="487" t="s">
        <v>3437</v>
      </c>
      <c r="X103" s="660">
        <v>8</v>
      </c>
      <c r="AW103" s="613">
        <v>100</v>
      </c>
      <c r="AX103" s="614" t="s">
        <v>3487</v>
      </c>
    </row>
    <row r="104" spans="1:50" x14ac:dyDescent="0.25">
      <c r="A104" s="514"/>
      <c r="R104" s="652" t="s">
        <v>3132</v>
      </c>
      <c r="S104" s="659">
        <v>150</v>
      </c>
      <c r="T104" s="487">
        <v>1000000</v>
      </c>
      <c r="U104" s="702">
        <f>20*'Project Summary'!M14</f>
        <v>10</v>
      </c>
      <c r="V104" s="486">
        <v>0.28000000000000003</v>
      </c>
      <c r="W104" s="487" t="s">
        <v>3440</v>
      </c>
      <c r="X104" s="660">
        <v>8</v>
      </c>
      <c r="AW104" s="613">
        <v>101</v>
      </c>
      <c r="AX104" s="614" t="s">
        <v>3488</v>
      </c>
    </row>
    <row r="105" spans="1:50" x14ac:dyDescent="0.25">
      <c r="A105" s="514"/>
      <c r="B105" s="5"/>
      <c r="C105" s="5"/>
      <c r="D105" s="6"/>
      <c r="E105" s="6"/>
      <c r="F105" s="5"/>
      <c r="G105" s="5"/>
      <c r="R105" s="652" t="s">
        <v>3444</v>
      </c>
      <c r="S105" s="659">
        <v>150</v>
      </c>
      <c r="T105" s="487">
        <v>1000000</v>
      </c>
      <c r="U105" s="702">
        <f>20*'Project Summary'!M14</f>
        <v>10</v>
      </c>
      <c r="V105" s="486">
        <v>0.24</v>
      </c>
      <c r="W105" s="487" t="s">
        <v>3445</v>
      </c>
      <c r="X105" s="660">
        <v>8</v>
      </c>
      <c r="AW105" s="613">
        <v>102</v>
      </c>
      <c r="AX105" s="614" t="s">
        <v>3489</v>
      </c>
    </row>
    <row r="106" spans="1:50" ht="15.75" thickBot="1" x14ac:dyDescent="0.3">
      <c r="A106" s="514"/>
      <c r="B106" s="5"/>
      <c r="C106" s="5"/>
      <c r="D106" s="6"/>
      <c r="E106" s="6"/>
      <c r="F106" s="5"/>
      <c r="G106" s="5"/>
      <c r="R106" s="652" t="s">
        <v>3448</v>
      </c>
      <c r="S106" s="659">
        <v>150</v>
      </c>
      <c r="T106" s="487">
        <v>1000000</v>
      </c>
      <c r="U106" s="702">
        <f>25*'Project Summary'!M14</f>
        <v>12.5</v>
      </c>
      <c r="V106" s="486">
        <v>0.38</v>
      </c>
      <c r="W106" s="487" t="s">
        <v>3449</v>
      </c>
      <c r="X106" s="660">
        <v>8</v>
      </c>
      <c r="AW106" s="613">
        <v>103</v>
      </c>
      <c r="AX106" s="614" t="s">
        <v>3490</v>
      </c>
    </row>
    <row r="107" spans="1:50" x14ac:dyDescent="0.25">
      <c r="A107" s="1150"/>
      <c r="B107" s="603" t="s">
        <v>3491</v>
      </c>
      <c r="C107" s="604" t="s">
        <v>3492</v>
      </c>
      <c r="D107" s="604">
        <v>0</v>
      </c>
      <c r="E107" s="604">
        <v>0</v>
      </c>
      <c r="F107" s="604">
        <v>0</v>
      </c>
      <c r="G107" s="605">
        <v>0</v>
      </c>
      <c r="R107" s="652" t="s">
        <v>3454</v>
      </c>
      <c r="S107" s="659">
        <v>150</v>
      </c>
      <c r="T107" s="487">
        <v>1000000</v>
      </c>
      <c r="U107" s="702">
        <f>25*'Project Summary'!M14</f>
        <v>12.5</v>
      </c>
      <c r="V107" s="486">
        <v>0.31</v>
      </c>
      <c r="W107" s="487" t="s">
        <v>3455</v>
      </c>
      <c r="X107" s="660">
        <v>8</v>
      </c>
      <c r="AW107" s="613">
        <v>104</v>
      </c>
      <c r="AX107" s="614" t="s">
        <v>3493</v>
      </c>
    </row>
    <row r="108" spans="1:50" x14ac:dyDescent="0.25">
      <c r="A108" s="1151"/>
      <c r="B108" s="606">
        <v>0</v>
      </c>
      <c r="C108" s="36" t="s">
        <v>3494</v>
      </c>
      <c r="D108" s="36" t="s">
        <v>3495</v>
      </c>
      <c r="E108" s="36" t="s">
        <v>3496</v>
      </c>
      <c r="F108" s="36" t="s">
        <v>3399</v>
      </c>
      <c r="G108" s="607" t="s">
        <v>3497</v>
      </c>
      <c r="R108" s="652" t="s">
        <v>3458</v>
      </c>
      <c r="S108" s="659">
        <v>150</v>
      </c>
      <c r="T108" s="487">
        <v>1000000</v>
      </c>
      <c r="U108" s="702">
        <f>25*'Project Summary'!M14</f>
        <v>12.5</v>
      </c>
      <c r="V108" s="486">
        <v>0.31</v>
      </c>
      <c r="W108" s="487" t="s">
        <v>3459</v>
      </c>
      <c r="X108" s="660">
        <v>8</v>
      </c>
      <c r="AW108" s="613">
        <v>105</v>
      </c>
      <c r="AX108" s="614" t="s">
        <v>3498</v>
      </c>
    </row>
    <row r="109" spans="1:50" x14ac:dyDescent="0.25">
      <c r="A109" s="1151"/>
      <c r="B109" s="608" t="s">
        <v>3314</v>
      </c>
      <c r="C109" s="36">
        <v>0</v>
      </c>
      <c r="D109" s="36">
        <v>350</v>
      </c>
      <c r="E109" s="36">
        <v>400</v>
      </c>
      <c r="F109" s="36">
        <v>500</v>
      </c>
      <c r="G109" s="607">
        <v>900</v>
      </c>
      <c r="R109" s="652" t="s">
        <v>3464</v>
      </c>
      <c r="S109" s="659">
        <v>150</v>
      </c>
      <c r="T109" s="487">
        <v>1000000</v>
      </c>
      <c r="U109" s="702">
        <f>25*'Project Summary'!M14</f>
        <v>12.5</v>
      </c>
      <c r="V109" s="486">
        <v>0.31</v>
      </c>
      <c r="W109" s="487" t="s">
        <v>3465</v>
      </c>
      <c r="X109" s="660">
        <v>8</v>
      </c>
      <c r="AW109" s="613">
        <v>106</v>
      </c>
      <c r="AX109" s="614" t="s">
        <v>3499</v>
      </c>
    </row>
    <row r="110" spans="1:50" x14ac:dyDescent="0.25">
      <c r="A110" s="1151"/>
      <c r="B110" s="608" t="s">
        <v>3406</v>
      </c>
      <c r="C110" s="36">
        <v>0</v>
      </c>
      <c r="D110" s="36">
        <v>0.03</v>
      </c>
      <c r="E110" s="36">
        <v>0.04</v>
      </c>
      <c r="F110" s="36">
        <v>0.06</v>
      </c>
      <c r="G110" s="607">
        <v>0.08</v>
      </c>
      <c r="R110" s="652" t="s">
        <v>3469</v>
      </c>
      <c r="S110" s="659">
        <v>150</v>
      </c>
      <c r="T110" s="487">
        <v>1000000</v>
      </c>
      <c r="U110" s="702">
        <f>25*'Project Summary'!M14</f>
        <v>12.5</v>
      </c>
      <c r="V110" s="486">
        <v>0.36</v>
      </c>
      <c r="W110" s="487" t="s">
        <v>3470</v>
      </c>
      <c r="X110" s="660">
        <v>8</v>
      </c>
      <c r="AW110" s="613">
        <v>107</v>
      </c>
      <c r="AX110" s="614" t="s">
        <v>3500</v>
      </c>
    </row>
    <row r="111" spans="1:50" ht="15.75" thickBot="1" x14ac:dyDescent="0.3">
      <c r="A111" s="1151"/>
      <c r="B111" s="608" t="s">
        <v>4571</v>
      </c>
      <c r="C111" s="36">
        <v>0</v>
      </c>
      <c r="D111" s="36">
        <v>0.5</v>
      </c>
      <c r="E111" s="36">
        <v>0.5</v>
      </c>
      <c r="F111" s="36">
        <v>0.6</v>
      </c>
      <c r="G111" s="607">
        <v>0.7</v>
      </c>
      <c r="R111" s="653" t="s">
        <v>3475</v>
      </c>
      <c r="S111" s="661">
        <v>150</v>
      </c>
      <c r="T111" s="662">
        <v>1000000</v>
      </c>
      <c r="U111" s="703">
        <f>25*'Project Summary'!M14</f>
        <v>12.5</v>
      </c>
      <c r="V111" s="663">
        <v>0.28000000000000003</v>
      </c>
      <c r="W111" s="662" t="s">
        <v>3440</v>
      </c>
      <c r="X111" s="664">
        <v>8</v>
      </c>
      <c r="AF111" s="1155" t="s">
        <v>2962</v>
      </c>
      <c r="AG111" s="1156"/>
      <c r="AH111" s="1156"/>
      <c r="AI111" s="1156"/>
      <c r="AJ111" s="1156"/>
      <c r="AK111" s="1156"/>
      <c r="AL111" s="1156"/>
      <c r="AM111" s="1156"/>
      <c r="AN111" s="1156"/>
      <c r="AO111" s="1156"/>
      <c r="AP111" s="1156"/>
      <c r="AQ111" s="1156"/>
      <c r="AR111" s="1156"/>
      <c r="AS111" s="1156"/>
      <c r="AT111" s="1157"/>
      <c r="AU111" s="641"/>
      <c r="AW111" s="613">
        <v>108</v>
      </c>
      <c r="AX111" s="614" t="s">
        <v>3501</v>
      </c>
    </row>
    <row r="112" spans="1:50" x14ac:dyDescent="0.25">
      <c r="A112" s="1151"/>
      <c r="B112" s="608" t="s">
        <v>4572</v>
      </c>
      <c r="C112" s="36">
        <v>0</v>
      </c>
      <c r="D112" s="36">
        <v>0.1</v>
      </c>
      <c r="E112" s="36">
        <v>0.1</v>
      </c>
      <c r="F112" s="36">
        <v>0.11</v>
      </c>
      <c r="G112" s="607">
        <v>0.14000000000000001</v>
      </c>
      <c r="H112" s="5"/>
      <c r="I112" s="249"/>
      <c r="AF112" s="1154" t="s">
        <v>3502</v>
      </c>
      <c r="AG112" s="1154" t="s">
        <v>2982</v>
      </c>
      <c r="AH112" s="1158" t="s">
        <v>3503</v>
      </c>
      <c r="AI112" s="1159"/>
      <c r="AJ112" s="1159"/>
      <c r="AK112" s="1159"/>
      <c r="AL112" s="1159"/>
      <c r="AM112" s="1159"/>
      <c r="AN112" s="1159"/>
      <c r="AO112" s="1159"/>
      <c r="AP112" s="1159"/>
      <c r="AQ112" s="1159"/>
      <c r="AR112" s="1159"/>
      <c r="AS112" s="1159"/>
      <c r="AT112" s="1160"/>
      <c r="AW112" s="613">
        <v>109</v>
      </c>
      <c r="AX112" s="614" t="s">
        <v>3504</v>
      </c>
    </row>
    <row r="113" spans="1:50" ht="37.5" customHeight="1" x14ac:dyDescent="0.25">
      <c r="A113" s="1151"/>
      <c r="B113" s="608" t="s">
        <v>4568</v>
      </c>
      <c r="C113" s="36">
        <v>0</v>
      </c>
      <c r="D113" s="36">
        <v>0.65</v>
      </c>
      <c r="E113" s="36">
        <v>0.65</v>
      </c>
      <c r="F113" s="36">
        <v>0.75</v>
      </c>
      <c r="G113" s="607">
        <v>0.95</v>
      </c>
      <c r="AF113" s="1154"/>
      <c r="AG113" s="1154"/>
      <c r="AH113" s="642" t="s">
        <v>96</v>
      </c>
      <c r="AI113" s="642" t="s">
        <v>2984</v>
      </c>
      <c r="AJ113" s="642" t="s">
        <v>2985</v>
      </c>
      <c r="AK113" s="642" t="s">
        <v>3505</v>
      </c>
      <c r="AL113" s="642" t="s">
        <v>3506</v>
      </c>
      <c r="AM113" s="642" t="s">
        <v>324</v>
      </c>
      <c r="AN113" s="642" t="s">
        <v>88</v>
      </c>
      <c r="AO113" s="642" t="s">
        <v>2988</v>
      </c>
      <c r="AP113" s="642" t="s">
        <v>2989</v>
      </c>
      <c r="AQ113" s="642" t="s">
        <v>2990</v>
      </c>
      <c r="AR113" s="642" t="s">
        <v>2991</v>
      </c>
      <c r="AS113" s="642" t="s">
        <v>2992</v>
      </c>
      <c r="AT113" s="642" t="s">
        <v>2994</v>
      </c>
      <c r="AW113" s="613">
        <v>110</v>
      </c>
      <c r="AX113" s="614" t="s">
        <v>3507</v>
      </c>
    </row>
    <row r="114" spans="1:50" x14ac:dyDescent="0.25">
      <c r="A114" s="1151"/>
      <c r="B114" s="608" t="s">
        <v>3416</v>
      </c>
      <c r="C114" s="36">
        <v>0</v>
      </c>
      <c r="D114" s="36">
        <v>0.6</v>
      </c>
      <c r="E114" s="36">
        <v>0.7</v>
      </c>
      <c r="F114" s="36">
        <v>0.7</v>
      </c>
      <c r="G114" s="607">
        <v>0.7</v>
      </c>
      <c r="R114" s="491" t="s">
        <v>4540</v>
      </c>
      <c r="S114" s="490" t="s">
        <v>4546</v>
      </c>
      <c r="T114" s="490" t="s">
        <v>4547</v>
      </c>
      <c r="U114" s="490" t="s">
        <v>4545</v>
      </c>
      <c r="AF114" s="478" t="s">
        <v>3004</v>
      </c>
      <c r="AG114" s="643" t="s">
        <v>3005</v>
      </c>
      <c r="AH114" s="478" t="s">
        <v>3004</v>
      </c>
      <c r="AI114" s="478" t="s">
        <v>3008</v>
      </c>
      <c r="AJ114" s="478" t="s">
        <v>3005</v>
      </c>
      <c r="AK114" s="478" t="s">
        <v>2802</v>
      </c>
      <c r="AL114" s="478" t="s">
        <v>2802</v>
      </c>
      <c r="AM114" s="705">
        <f>0.1*'Project Summary'!M14</f>
        <v>0.05</v>
      </c>
      <c r="AN114" s="37" t="s">
        <v>3009</v>
      </c>
      <c r="AO114" s="37" t="s">
        <v>526</v>
      </c>
      <c r="AP114" s="37">
        <v>13</v>
      </c>
      <c r="AQ114" s="70"/>
      <c r="AR114" s="37"/>
      <c r="AS114" s="37" t="s">
        <v>456</v>
      </c>
      <c r="AT114" s="37" t="s">
        <v>456</v>
      </c>
      <c r="AW114" s="613">
        <v>111</v>
      </c>
      <c r="AX114" s="614" t="s">
        <v>3508</v>
      </c>
    </row>
    <row r="115" spans="1:50" x14ac:dyDescent="0.25">
      <c r="A115" s="1151"/>
      <c r="B115" s="608" t="s">
        <v>3419</v>
      </c>
      <c r="C115" s="36">
        <v>0</v>
      </c>
      <c r="D115" s="36">
        <v>0.12</v>
      </c>
      <c r="E115" s="36">
        <v>0.12</v>
      </c>
      <c r="F115" s="36">
        <v>0.14000000000000001</v>
      </c>
      <c r="G115" s="607">
        <v>0.21</v>
      </c>
      <c r="R115" s="493" t="s">
        <v>1875</v>
      </c>
      <c r="S115" s="674">
        <v>0</v>
      </c>
      <c r="T115" s="674">
        <v>0</v>
      </c>
      <c r="U115" s="674"/>
      <c r="AF115" s="478" t="s">
        <v>3238</v>
      </c>
      <c r="AG115" s="643" t="s">
        <v>3034</v>
      </c>
      <c r="AH115" s="478" t="s">
        <v>3004</v>
      </c>
      <c r="AI115" s="478" t="s">
        <v>3020</v>
      </c>
      <c r="AJ115" s="478" t="s">
        <v>3005</v>
      </c>
      <c r="AK115" s="478" t="s">
        <v>2802</v>
      </c>
      <c r="AL115" s="478" t="s">
        <v>2802</v>
      </c>
      <c r="AM115" s="705">
        <f>0.1*'Project Summary'!M14</f>
        <v>0.05</v>
      </c>
      <c r="AN115" s="37" t="s">
        <v>3009</v>
      </c>
      <c r="AO115" s="37" t="s">
        <v>526</v>
      </c>
      <c r="AP115" s="37">
        <v>15</v>
      </c>
      <c r="AQ115" s="70"/>
      <c r="AR115" s="37"/>
      <c r="AS115" s="37" t="s">
        <v>456</v>
      </c>
      <c r="AT115" s="37" t="s">
        <v>456</v>
      </c>
      <c r="AW115" s="613">
        <v>112</v>
      </c>
      <c r="AX115" s="614" t="s">
        <v>3509</v>
      </c>
    </row>
    <row r="116" spans="1:50" x14ac:dyDescent="0.25">
      <c r="A116" s="1151"/>
      <c r="B116" s="608" t="s">
        <v>3421</v>
      </c>
      <c r="C116" s="36">
        <v>0</v>
      </c>
      <c r="D116" s="36">
        <v>0.03</v>
      </c>
      <c r="E116" s="36">
        <v>0.04</v>
      </c>
      <c r="F116" s="36">
        <v>0.04</v>
      </c>
      <c r="G116" s="607">
        <v>0.04</v>
      </c>
      <c r="R116" s="493" t="s">
        <v>4541</v>
      </c>
      <c r="S116" s="674">
        <v>0.05</v>
      </c>
      <c r="T116" s="674">
        <v>0</v>
      </c>
      <c r="U116" s="674" t="s">
        <v>4548</v>
      </c>
      <c r="AF116" s="478" t="s">
        <v>3510</v>
      </c>
      <c r="AG116" s="643" t="s">
        <v>3044</v>
      </c>
      <c r="AH116" s="478" t="s">
        <v>3004</v>
      </c>
      <c r="AI116" s="478" t="s">
        <v>3027</v>
      </c>
      <c r="AJ116" s="478" t="s">
        <v>3005</v>
      </c>
      <c r="AK116" s="478" t="s">
        <v>2802</v>
      </c>
      <c r="AL116" s="478" t="s">
        <v>2802</v>
      </c>
      <c r="AM116" s="705">
        <f>0.1*'Project Summary'!M14</f>
        <v>0.05</v>
      </c>
      <c r="AN116" s="37" t="s">
        <v>3009</v>
      </c>
      <c r="AO116" s="37" t="s">
        <v>526</v>
      </c>
      <c r="AP116" s="37">
        <v>13</v>
      </c>
      <c r="AQ116" s="70"/>
      <c r="AR116" s="37"/>
      <c r="AS116" s="37" t="s">
        <v>456</v>
      </c>
      <c r="AT116" s="37" t="s">
        <v>456</v>
      </c>
      <c r="AW116" s="613">
        <v>113</v>
      </c>
      <c r="AX116" s="614" t="s">
        <v>3511</v>
      </c>
    </row>
    <row r="117" spans="1:50" x14ac:dyDescent="0.25">
      <c r="A117" s="1151"/>
      <c r="B117" s="608" t="s">
        <v>3423</v>
      </c>
      <c r="C117" s="36">
        <v>0</v>
      </c>
      <c r="D117" s="36">
        <v>14</v>
      </c>
      <c r="E117" s="36">
        <v>14</v>
      </c>
      <c r="F117" s="36">
        <v>21</v>
      </c>
      <c r="G117" s="607">
        <v>21</v>
      </c>
      <c r="R117" s="493" t="s">
        <v>4542</v>
      </c>
      <c r="S117" s="674">
        <v>0.08</v>
      </c>
      <c r="T117" s="674">
        <v>0</v>
      </c>
      <c r="U117" s="674" t="s">
        <v>4548</v>
      </c>
      <c r="AF117" s="478" t="s">
        <v>3512</v>
      </c>
      <c r="AG117" s="643" t="s">
        <v>3063</v>
      </c>
      <c r="AH117" s="478" t="s">
        <v>3004</v>
      </c>
      <c r="AI117" s="478" t="s">
        <v>3035</v>
      </c>
      <c r="AJ117" s="478" t="s">
        <v>3005</v>
      </c>
      <c r="AK117" s="478" t="s">
        <v>2802</v>
      </c>
      <c r="AL117" s="478" t="s">
        <v>2802</v>
      </c>
      <c r="AM117" s="705">
        <f>0.1*'Project Summary'!M14</f>
        <v>0.05</v>
      </c>
      <c r="AN117" s="37" t="s">
        <v>3009</v>
      </c>
      <c r="AO117" s="37" t="s">
        <v>526</v>
      </c>
      <c r="AP117" s="37">
        <v>15</v>
      </c>
      <c r="AQ117" s="70"/>
      <c r="AR117" s="37"/>
      <c r="AS117" s="37" t="s">
        <v>456</v>
      </c>
      <c r="AT117" s="37" t="s">
        <v>456</v>
      </c>
      <c r="AW117" s="613">
        <v>114</v>
      </c>
      <c r="AX117" s="614" t="s">
        <v>3513</v>
      </c>
    </row>
    <row r="118" spans="1:50" x14ac:dyDescent="0.25">
      <c r="A118" s="1151"/>
      <c r="B118" s="608" t="s">
        <v>3432</v>
      </c>
      <c r="C118" s="36">
        <v>0</v>
      </c>
      <c r="D118" s="36">
        <v>0.02</v>
      </c>
      <c r="E118" s="36">
        <v>0.25</v>
      </c>
      <c r="F118" s="36">
        <v>0.4</v>
      </c>
      <c r="G118" s="607">
        <v>0.4</v>
      </c>
      <c r="R118" s="493" t="s">
        <v>4544</v>
      </c>
      <c r="S118" s="674">
        <v>0.1</v>
      </c>
      <c r="T118" s="674">
        <v>0</v>
      </c>
      <c r="U118" s="674" t="s">
        <v>4548</v>
      </c>
      <c r="AF118" s="478" t="s">
        <v>2349</v>
      </c>
      <c r="AG118" s="643" t="s">
        <v>252</v>
      </c>
      <c r="AH118" s="478" t="s">
        <v>3238</v>
      </c>
      <c r="AI118" s="478" t="s">
        <v>3102</v>
      </c>
      <c r="AJ118" s="478" t="s">
        <v>3034</v>
      </c>
      <c r="AK118" s="478" t="s">
        <v>2808</v>
      </c>
      <c r="AL118" s="478" t="s">
        <v>2808</v>
      </c>
      <c r="AM118" s="705">
        <f>0.1*'Project Summary'!M14</f>
        <v>0.05</v>
      </c>
      <c r="AN118" s="37" t="s">
        <v>3009</v>
      </c>
      <c r="AO118" s="37" t="s">
        <v>455</v>
      </c>
      <c r="AP118" s="37">
        <v>4</v>
      </c>
      <c r="AQ118" s="70"/>
      <c r="AR118" s="37"/>
      <c r="AS118" s="37" t="s">
        <v>456</v>
      </c>
      <c r="AT118" s="37" t="s">
        <v>456</v>
      </c>
      <c r="AW118" s="613">
        <v>115</v>
      </c>
      <c r="AX118" s="614" t="s">
        <v>3514</v>
      </c>
    </row>
    <row r="119" spans="1:50" x14ac:dyDescent="0.25">
      <c r="A119" s="1151"/>
      <c r="B119" s="608" t="s">
        <v>3436</v>
      </c>
      <c r="C119" s="36">
        <v>0</v>
      </c>
      <c r="D119" s="36">
        <v>0.04</v>
      </c>
      <c r="E119" s="36">
        <v>0.04</v>
      </c>
      <c r="F119" s="36">
        <v>0.6</v>
      </c>
      <c r="G119" s="607">
        <v>0.7</v>
      </c>
      <c r="AF119" s="478" t="s">
        <v>3148</v>
      </c>
      <c r="AG119" s="643" t="s">
        <v>3149</v>
      </c>
      <c r="AH119" s="478" t="s">
        <v>3238</v>
      </c>
      <c r="AI119" s="478" t="s">
        <v>3116</v>
      </c>
      <c r="AJ119" s="478" t="s">
        <v>3034</v>
      </c>
      <c r="AK119" s="478" t="s">
        <v>2808</v>
      </c>
      <c r="AL119" s="478" t="s">
        <v>2808</v>
      </c>
      <c r="AM119" s="705">
        <f>0.1*'Project Summary'!M14</f>
        <v>0.05</v>
      </c>
      <c r="AN119" s="37" t="s">
        <v>3009</v>
      </c>
      <c r="AO119" s="37" t="s">
        <v>455</v>
      </c>
      <c r="AP119" s="37">
        <v>4</v>
      </c>
      <c r="AQ119" s="70"/>
      <c r="AR119" s="37"/>
      <c r="AS119" s="37" t="s">
        <v>456</v>
      </c>
      <c r="AT119" s="37" t="s">
        <v>456</v>
      </c>
      <c r="AW119" s="613">
        <v>116</v>
      </c>
      <c r="AX119" s="614" t="s">
        <v>3515</v>
      </c>
    </row>
    <row r="120" spans="1:50" x14ac:dyDescent="0.25">
      <c r="A120" s="1151"/>
      <c r="B120" s="608" t="s">
        <v>4570</v>
      </c>
      <c r="C120" s="36">
        <v>0</v>
      </c>
      <c r="D120" s="36">
        <v>0.02</v>
      </c>
      <c r="E120" s="36">
        <v>0.02</v>
      </c>
      <c r="F120" s="36">
        <v>0.35</v>
      </c>
      <c r="G120" s="607">
        <v>0.05</v>
      </c>
      <c r="AF120" s="478" t="s">
        <v>3160</v>
      </c>
      <c r="AG120" s="643" t="s">
        <v>3160</v>
      </c>
      <c r="AH120" s="478" t="s">
        <v>3238</v>
      </c>
      <c r="AI120" s="478" t="s">
        <v>3126</v>
      </c>
      <c r="AJ120" s="478" t="s">
        <v>3034</v>
      </c>
      <c r="AK120" s="478" t="s">
        <v>2808</v>
      </c>
      <c r="AL120" s="478" t="s">
        <v>2808</v>
      </c>
      <c r="AM120" s="705">
        <f>0.1*'Project Summary'!M14</f>
        <v>0.05</v>
      </c>
      <c r="AN120" s="37" t="s">
        <v>3009</v>
      </c>
      <c r="AO120" s="37" t="s">
        <v>455</v>
      </c>
      <c r="AP120" s="37">
        <v>4</v>
      </c>
      <c r="AQ120" s="70"/>
      <c r="AR120" s="37"/>
      <c r="AS120" s="37" t="s">
        <v>456</v>
      </c>
      <c r="AT120" s="37" t="s">
        <v>456</v>
      </c>
      <c r="AW120" s="613">
        <v>117</v>
      </c>
      <c r="AX120" s="614" t="s">
        <v>3516</v>
      </c>
    </row>
    <row r="121" spans="1:50" x14ac:dyDescent="0.25">
      <c r="A121" s="1151"/>
      <c r="B121" s="608" t="s">
        <v>3443</v>
      </c>
      <c r="C121" s="37">
        <v>0</v>
      </c>
      <c r="D121" s="37">
        <v>0</v>
      </c>
      <c r="E121" s="37">
        <v>7</v>
      </c>
      <c r="F121" s="37">
        <v>7</v>
      </c>
      <c r="G121" s="644">
        <v>21</v>
      </c>
      <c r="AH121" s="478" t="s">
        <v>3238</v>
      </c>
      <c r="AI121" s="478" t="s">
        <v>3137</v>
      </c>
      <c r="AJ121" s="478" t="s">
        <v>3034</v>
      </c>
      <c r="AK121" s="478" t="s">
        <v>2803</v>
      </c>
      <c r="AL121" s="478" t="s">
        <v>2803</v>
      </c>
      <c r="AM121" s="705">
        <f>0.1*'Project Summary'!M14</f>
        <v>0.05</v>
      </c>
      <c r="AN121" s="37" t="s">
        <v>3009</v>
      </c>
      <c r="AO121" s="37" t="s">
        <v>526</v>
      </c>
      <c r="AP121" s="37">
        <v>4</v>
      </c>
      <c r="AQ121" s="70"/>
      <c r="AR121" s="37"/>
      <c r="AS121" s="37" t="s">
        <v>456</v>
      </c>
      <c r="AT121" s="37" t="s">
        <v>456</v>
      </c>
      <c r="AW121" s="613">
        <v>118</v>
      </c>
      <c r="AX121" s="614" t="s">
        <v>3517</v>
      </c>
    </row>
    <row r="122" spans="1:50" x14ac:dyDescent="0.25">
      <c r="A122" s="1151"/>
      <c r="B122" s="608" t="s">
        <v>3357</v>
      </c>
      <c r="C122" s="36">
        <v>0</v>
      </c>
      <c r="D122" s="36">
        <v>0</v>
      </c>
      <c r="E122" s="36">
        <v>0</v>
      </c>
      <c r="F122" s="36">
        <v>0.15</v>
      </c>
      <c r="G122" s="607">
        <v>0</v>
      </c>
      <c r="R122" s="621" t="s">
        <v>4564</v>
      </c>
      <c r="AH122" s="478" t="s">
        <v>3238</v>
      </c>
      <c r="AI122" s="478" t="s">
        <v>3150</v>
      </c>
      <c r="AJ122" s="478" t="s">
        <v>3034</v>
      </c>
      <c r="AK122" s="478" t="s">
        <v>2803</v>
      </c>
      <c r="AL122" s="478" t="s">
        <v>2803</v>
      </c>
      <c r="AM122" s="705">
        <f>0.1*'Project Summary'!M14</f>
        <v>0.05</v>
      </c>
      <c r="AN122" s="37" t="s">
        <v>3009</v>
      </c>
      <c r="AO122" s="37" t="s">
        <v>526</v>
      </c>
      <c r="AP122" s="37">
        <v>4</v>
      </c>
      <c r="AQ122" s="70"/>
      <c r="AR122" s="37"/>
      <c r="AS122" s="37" t="s">
        <v>456</v>
      </c>
      <c r="AT122" s="37" t="s">
        <v>456</v>
      </c>
      <c r="AW122" s="613">
        <v>119</v>
      </c>
      <c r="AX122" s="614" t="s">
        <v>3518</v>
      </c>
    </row>
    <row r="123" spans="1:50" x14ac:dyDescent="0.25">
      <c r="A123" s="1151"/>
      <c r="B123" s="608" t="s">
        <v>3452</v>
      </c>
      <c r="C123" s="36">
        <v>0</v>
      </c>
      <c r="D123" s="36">
        <v>0</v>
      </c>
      <c r="E123" s="36">
        <v>7.4999999999999997E-2</v>
      </c>
      <c r="F123" s="36">
        <v>0.113</v>
      </c>
      <c r="G123" s="607">
        <v>0.15</v>
      </c>
      <c r="R123" s="621" t="s">
        <v>3109</v>
      </c>
      <c r="AH123" s="478" t="s">
        <v>3238</v>
      </c>
      <c r="AI123" s="478" t="s">
        <v>3161</v>
      </c>
      <c r="AJ123" s="478" t="s">
        <v>3034</v>
      </c>
      <c r="AK123" s="478" t="s">
        <v>2803</v>
      </c>
      <c r="AL123" s="478" t="s">
        <v>2803</v>
      </c>
      <c r="AM123" s="705">
        <f>0.1*'Project Summary'!M14</f>
        <v>0.05</v>
      </c>
      <c r="AN123" s="37" t="s">
        <v>3009</v>
      </c>
      <c r="AO123" s="37" t="s">
        <v>526</v>
      </c>
      <c r="AP123" s="37">
        <v>4</v>
      </c>
      <c r="AQ123" s="70"/>
      <c r="AR123" s="37"/>
      <c r="AS123" s="37" t="s">
        <v>456</v>
      </c>
      <c r="AT123" s="37" t="s">
        <v>456</v>
      </c>
      <c r="AW123" s="613">
        <v>120</v>
      </c>
      <c r="AX123" s="614" t="s">
        <v>3519</v>
      </c>
    </row>
    <row r="124" spans="1:50" x14ac:dyDescent="0.25">
      <c r="A124" s="1151"/>
      <c r="B124" s="608" t="s">
        <v>4569</v>
      </c>
      <c r="C124" s="36"/>
      <c r="D124" s="36">
        <v>0.35</v>
      </c>
      <c r="E124" s="36">
        <v>0.35</v>
      </c>
      <c r="F124" s="36">
        <v>0.35</v>
      </c>
      <c r="G124" s="607">
        <v>0.35</v>
      </c>
      <c r="R124" s="621" t="s">
        <v>3120</v>
      </c>
      <c r="AH124" s="478" t="s">
        <v>3238</v>
      </c>
      <c r="AI124" s="478" t="s">
        <v>3170</v>
      </c>
      <c r="AJ124" s="478" t="s">
        <v>3034</v>
      </c>
      <c r="AK124" s="478" t="s">
        <v>2808</v>
      </c>
      <c r="AL124" s="478" t="s">
        <v>2808</v>
      </c>
      <c r="AM124" s="705">
        <f>0.1*'Project Summary'!M14</f>
        <v>0.05</v>
      </c>
      <c r="AN124" s="37" t="s">
        <v>3009</v>
      </c>
      <c r="AO124" s="37" t="s">
        <v>455</v>
      </c>
      <c r="AP124" s="37">
        <v>4</v>
      </c>
      <c r="AQ124" s="70"/>
      <c r="AR124" s="37"/>
      <c r="AS124" s="37" t="s">
        <v>456</v>
      </c>
      <c r="AT124" s="37" t="s">
        <v>456</v>
      </c>
      <c r="AW124" s="613">
        <v>121</v>
      </c>
      <c r="AX124" s="614" t="s">
        <v>3520</v>
      </c>
    </row>
    <row r="125" spans="1:50" x14ac:dyDescent="0.25">
      <c r="A125" s="1151"/>
      <c r="B125" s="608" t="s">
        <v>3462</v>
      </c>
      <c r="C125" s="36">
        <v>0</v>
      </c>
      <c r="D125" s="36">
        <v>0.5</v>
      </c>
      <c r="E125" s="36">
        <v>0.5</v>
      </c>
      <c r="F125" s="36">
        <v>0.5</v>
      </c>
      <c r="G125" s="607">
        <v>0.5</v>
      </c>
      <c r="R125" s="621" t="s">
        <v>3132</v>
      </c>
      <c r="AH125" s="478" t="s">
        <v>3238</v>
      </c>
      <c r="AI125" s="478" t="s">
        <v>3179</v>
      </c>
      <c r="AJ125" s="478" t="s">
        <v>3034</v>
      </c>
      <c r="AK125" s="478" t="s">
        <v>2808</v>
      </c>
      <c r="AL125" s="478" t="s">
        <v>2808</v>
      </c>
      <c r="AM125" s="705">
        <f>0.1*'Project Summary'!M14</f>
        <v>0.05</v>
      </c>
      <c r="AN125" s="37" t="s">
        <v>3009</v>
      </c>
      <c r="AO125" s="37" t="s">
        <v>455</v>
      </c>
      <c r="AP125" s="37">
        <v>4</v>
      </c>
      <c r="AQ125" s="70"/>
      <c r="AR125" s="37"/>
      <c r="AS125" s="37" t="s">
        <v>456</v>
      </c>
      <c r="AT125" s="37" t="s">
        <v>456</v>
      </c>
      <c r="AW125" s="613">
        <v>122</v>
      </c>
      <c r="AX125" s="614" t="s">
        <v>3521</v>
      </c>
    </row>
    <row r="126" spans="1:50" x14ac:dyDescent="0.25">
      <c r="A126" s="1151"/>
      <c r="B126" s="608" t="s">
        <v>3468</v>
      </c>
      <c r="C126" s="36">
        <v>0</v>
      </c>
      <c r="D126" s="36">
        <v>0.35</v>
      </c>
      <c r="E126" s="36">
        <v>0.35</v>
      </c>
      <c r="F126" s="36">
        <v>0.35</v>
      </c>
      <c r="G126" s="607">
        <v>0.35</v>
      </c>
      <c r="R126" s="621" t="s">
        <v>3444</v>
      </c>
      <c r="AH126" s="478" t="s">
        <v>3238</v>
      </c>
      <c r="AI126" s="478" t="s">
        <v>3186</v>
      </c>
      <c r="AJ126" s="478" t="s">
        <v>3034</v>
      </c>
      <c r="AK126" s="478" t="s">
        <v>2808</v>
      </c>
      <c r="AL126" s="478" t="s">
        <v>2808</v>
      </c>
      <c r="AM126" s="705">
        <f>0.1*'Project Summary'!M14</f>
        <v>0.05</v>
      </c>
      <c r="AN126" s="37" t="s">
        <v>3009</v>
      </c>
      <c r="AO126" s="37" t="s">
        <v>455</v>
      </c>
      <c r="AP126" s="37">
        <v>4</v>
      </c>
      <c r="AQ126" s="70"/>
      <c r="AR126" s="37"/>
      <c r="AS126" s="37" t="s">
        <v>456</v>
      </c>
      <c r="AT126" s="37" t="s">
        <v>456</v>
      </c>
      <c r="AW126" s="613">
        <v>123</v>
      </c>
      <c r="AX126" s="614" t="s">
        <v>3522</v>
      </c>
    </row>
    <row r="127" spans="1:50" x14ac:dyDescent="0.25">
      <c r="A127" s="1151"/>
      <c r="B127" s="608" t="s">
        <v>3523</v>
      </c>
      <c r="C127" s="36">
        <v>0</v>
      </c>
      <c r="D127" s="36">
        <v>200</v>
      </c>
      <c r="E127" s="36">
        <v>200</v>
      </c>
      <c r="F127" s="36">
        <v>200</v>
      </c>
      <c r="G127" s="607">
        <v>200</v>
      </c>
      <c r="R127" s="621" t="s">
        <v>3448</v>
      </c>
      <c r="AH127" s="478" t="s">
        <v>3510</v>
      </c>
      <c r="AI127" s="478" t="s">
        <v>3194</v>
      </c>
      <c r="AJ127" s="478" t="s">
        <v>3044</v>
      </c>
      <c r="AK127" s="478" t="s">
        <v>2803</v>
      </c>
      <c r="AL127" s="478" t="s">
        <v>2803</v>
      </c>
      <c r="AM127" s="705">
        <f>0.1*'Project Summary'!M14</f>
        <v>0.05</v>
      </c>
      <c r="AN127" s="37" t="s">
        <v>3009</v>
      </c>
      <c r="AO127" s="37" t="s">
        <v>526</v>
      </c>
      <c r="AP127" s="37">
        <v>13</v>
      </c>
      <c r="AQ127" s="70"/>
      <c r="AR127" s="37"/>
      <c r="AS127" s="37" t="s">
        <v>456</v>
      </c>
      <c r="AT127" s="37" t="s">
        <v>456</v>
      </c>
      <c r="AW127" s="613">
        <v>124</v>
      </c>
      <c r="AX127" s="614" t="s">
        <v>3524</v>
      </c>
    </row>
    <row r="128" spans="1:50" x14ac:dyDescent="0.25">
      <c r="A128" s="1151"/>
      <c r="B128" s="608" t="s">
        <v>3525</v>
      </c>
      <c r="C128" s="36">
        <v>0</v>
      </c>
      <c r="D128" s="36">
        <v>400</v>
      </c>
      <c r="E128" s="36">
        <v>400</v>
      </c>
      <c r="F128" s="36">
        <v>400</v>
      </c>
      <c r="G128" s="607">
        <v>400</v>
      </c>
      <c r="R128" s="621" t="s">
        <v>3454</v>
      </c>
      <c r="AF128" s="645" t="s">
        <v>3526</v>
      </c>
      <c r="AH128" s="478" t="s">
        <v>3510</v>
      </c>
      <c r="AI128" s="478" t="s">
        <v>3203</v>
      </c>
      <c r="AJ128" s="478" t="s">
        <v>3044</v>
      </c>
      <c r="AK128" s="478" t="s">
        <v>2807</v>
      </c>
      <c r="AL128" s="478" t="s">
        <v>2806</v>
      </c>
      <c r="AM128" s="705">
        <f>0.1*'Project Summary'!M14</f>
        <v>0.05</v>
      </c>
      <c r="AN128" s="37" t="s">
        <v>3009</v>
      </c>
      <c r="AO128" s="37" t="s">
        <v>526</v>
      </c>
      <c r="AP128" s="37">
        <v>13</v>
      </c>
      <c r="AQ128" s="70"/>
      <c r="AR128" s="37"/>
      <c r="AS128" s="37" t="s">
        <v>456</v>
      </c>
      <c r="AT128" s="37" t="s">
        <v>456</v>
      </c>
      <c r="AW128" s="613">
        <v>125</v>
      </c>
      <c r="AX128" s="614" t="s">
        <v>3527</v>
      </c>
    </row>
    <row r="129" spans="1:50" x14ac:dyDescent="0.25">
      <c r="A129" s="1151"/>
      <c r="B129" s="608" t="s">
        <v>3528</v>
      </c>
      <c r="C129" s="36">
        <v>0</v>
      </c>
      <c r="D129" s="36">
        <v>135</v>
      </c>
      <c r="E129" s="36">
        <v>135</v>
      </c>
      <c r="F129" s="36">
        <v>135</v>
      </c>
      <c r="G129" s="607">
        <v>135</v>
      </c>
      <c r="R129" s="621" t="s">
        <v>3458</v>
      </c>
      <c r="AF129" s="621" t="s">
        <v>3004</v>
      </c>
      <c r="AH129" s="478" t="s">
        <v>3510</v>
      </c>
      <c r="AI129" s="478" t="s">
        <v>3212</v>
      </c>
      <c r="AJ129" s="478" t="s">
        <v>3044</v>
      </c>
      <c r="AK129" s="478" t="s">
        <v>2807</v>
      </c>
      <c r="AL129" s="478" t="s">
        <v>2806</v>
      </c>
      <c r="AM129" s="705">
        <f>0.1*'Project Summary'!M14</f>
        <v>0.05</v>
      </c>
      <c r="AN129" s="37" t="s">
        <v>3009</v>
      </c>
      <c r="AO129" s="37" t="s">
        <v>526</v>
      </c>
      <c r="AP129" s="37">
        <v>13</v>
      </c>
      <c r="AQ129" s="70"/>
      <c r="AR129" s="37"/>
      <c r="AS129" s="37" t="s">
        <v>456</v>
      </c>
      <c r="AT129" s="37" t="s">
        <v>456</v>
      </c>
      <c r="AW129" s="613">
        <v>126</v>
      </c>
      <c r="AX129" s="614" t="s">
        <v>3529</v>
      </c>
    </row>
    <row r="130" spans="1:50" ht="15.75" thickBot="1" x14ac:dyDescent="0.3">
      <c r="A130" s="1152"/>
      <c r="B130" s="609" t="s">
        <v>3530</v>
      </c>
      <c r="C130" s="610">
        <v>0</v>
      </c>
      <c r="D130" s="610">
        <v>45</v>
      </c>
      <c r="E130" s="610">
        <v>45</v>
      </c>
      <c r="F130" s="610">
        <v>45</v>
      </c>
      <c r="G130" s="646">
        <v>45</v>
      </c>
      <c r="R130" s="621" t="s">
        <v>3464</v>
      </c>
      <c r="AF130" s="621" t="s">
        <v>3238</v>
      </c>
      <c r="AH130" s="478" t="s">
        <v>3510</v>
      </c>
      <c r="AI130" s="478" t="s">
        <v>3225</v>
      </c>
      <c r="AJ130" s="478" t="s">
        <v>3044</v>
      </c>
      <c r="AK130" s="478" t="s">
        <v>2807</v>
      </c>
      <c r="AL130" s="478" t="s">
        <v>2806</v>
      </c>
      <c r="AM130" s="705">
        <f>0.1*'Project Summary'!M14</f>
        <v>0.05</v>
      </c>
      <c r="AN130" s="37" t="s">
        <v>3009</v>
      </c>
      <c r="AO130" s="37" t="s">
        <v>526</v>
      </c>
      <c r="AP130" s="37">
        <v>13</v>
      </c>
      <c r="AQ130" s="70"/>
      <c r="AR130" s="37"/>
      <c r="AS130" s="37" t="s">
        <v>456</v>
      </c>
      <c r="AT130" s="37" t="s">
        <v>456</v>
      </c>
      <c r="AW130" s="613">
        <v>127</v>
      </c>
      <c r="AX130" s="614" t="s">
        <v>3531</v>
      </c>
    </row>
    <row r="131" spans="1:50" x14ac:dyDescent="0.25">
      <c r="B131" s="5" t="s">
        <v>3209</v>
      </c>
      <c r="C131" s="5"/>
      <c r="D131" s="5"/>
      <c r="E131" s="5"/>
      <c r="F131" s="5"/>
      <c r="G131" s="5"/>
      <c r="J131" s="641"/>
      <c r="R131" s="621" t="s">
        <v>3469</v>
      </c>
      <c r="AF131" s="621" t="s">
        <v>3510</v>
      </c>
      <c r="AH131" s="478" t="s">
        <v>3510</v>
      </c>
      <c r="AI131" s="478" t="s">
        <v>3233</v>
      </c>
      <c r="AJ131" s="478" t="s">
        <v>3044</v>
      </c>
      <c r="AK131" s="478" t="s">
        <v>2807</v>
      </c>
      <c r="AL131" s="478" t="s">
        <v>2806</v>
      </c>
      <c r="AM131" s="705">
        <f>0.1*'Project Summary'!M14</f>
        <v>0.05</v>
      </c>
      <c r="AN131" s="37" t="s">
        <v>3009</v>
      </c>
      <c r="AO131" s="37" t="s">
        <v>526</v>
      </c>
      <c r="AP131" s="37">
        <v>13</v>
      </c>
      <c r="AQ131" s="70"/>
      <c r="AR131" s="37"/>
      <c r="AS131" s="37" t="s">
        <v>456</v>
      </c>
      <c r="AT131" s="37" t="s">
        <v>456</v>
      </c>
      <c r="AW131" s="613">
        <v>128</v>
      </c>
      <c r="AX131" s="614" t="s">
        <v>3532</v>
      </c>
    </row>
    <row r="132" spans="1:50" x14ac:dyDescent="0.25">
      <c r="R132" s="621" t="s">
        <v>4537</v>
      </c>
      <c r="AF132" s="621" t="s">
        <v>2349</v>
      </c>
      <c r="AH132" s="478" t="s">
        <v>3510</v>
      </c>
      <c r="AI132" s="478" t="s">
        <v>3241</v>
      </c>
      <c r="AJ132" s="478" t="s">
        <v>3044</v>
      </c>
      <c r="AK132" s="478" t="s">
        <v>2807</v>
      </c>
      <c r="AL132" s="478" t="s">
        <v>2806</v>
      </c>
      <c r="AM132" s="705">
        <f>0.1*'Project Summary'!M14</f>
        <v>0.05</v>
      </c>
      <c r="AN132" s="37" t="s">
        <v>3009</v>
      </c>
      <c r="AO132" s="37" t="s">
        <v>526</v>
      </c>
      <c r="AP132" s="37">
        <v>13</v>
      </c>
      <c r="AQ132" s="70"/>
      <c r="AR132" s="37"/>
      <c r="AS132" s="37" t="s">
        <v>456</v>
      </c>
      <c r="AT132" s="37" t="s">
        <v>456</v>
      </c>
      <c r="AW132" s="613">
        <v>129</v>
      </c>
      <c r="AX132" s="614" t="s">
        <v>3533</v>
      </c>
    </row>
    <row r="133" spans="1:50" x14ac:dyDescent="0.25">
      <c r="B133" s="515" t="s">
        <v>3534</v>
      </c>
      <c r="C133" s="516" t="s">
        <v>3314</v>
      </c>
      <c r="AF133" s="621" t="s">
        <v>3148</v>
      </c>
      <c r="AH133" s="478" t="s">
        <v>3510</v>
      </c>
      <c r="AI133" s="478" t="s">
        <v>3250</v>
      </c>
      <c r="AJ133" s="478" t="s">
        <v>3044</v>
      </c>
      <c r="AK133" s="478" t="s">
        <v>2803</v>
      </c>
      <c r="AL133" s="478" t="s">
        <v>2803</v>
      </c>
      <c r="AM133" s="705">
        <f>0.1*'Project Summary'!M14</f>
        <v>0.05</v>
      </c>
      <c r="AN133" s="37" t="s">
        <v>3009</v>
      </c>
      <c r="AO133" s="37" t="s">
        <v>526</v>
      </c>
      <c r="AP133" s="37">
        <v>13</v>
      </c>
      <c r="AQ133" s="70"/>
      <c r="AR133" s="37"/>
      <c r="AS133" s="37" t="s">
        <v>456</v>
      </c>
      <c r="AT133" s="37" t="s">
        <v>456</v>
      </c>
      <c r="AW133" s="613">
        <v>130</v>
      </c>
      <c r="AX133" s="614" t="s">
        <v>3535</v>
      </c>
    </row>
    <row r="134" spans="1:50" x14ac:dyDescent="0.25">
      <c r="B134" s="36" t="s">
        <v>3494</v>
      </c>
      <c r="C134" s="36">
        <f>C109</f>
        <v>0</v>
      </c>
      <c r="AF134" s="621" t="s">
        <v>3160</v>
      </c>
      <c r="AH134" s="478" t="s">
        <v>3510</v>
      </c>
      <c r="AI134" s="478" t="s">
        <v>3258</v>
      </c>
      <c r="AJ134" s="478" t="s">
        <v>3044</v>
      </c>
      <c r="AK134" s="478" t="s">
        <v>2807</v>
      </c>
      <c r="AL134" s="478" t="s">
        <v>2806</v>
      </c>
      <c r="AM134" s="705">
        <f>0.1*'Project Summary'!M14</f>
        <v>0.05</v>
      </c>
      <c r="AN134" s="37" t="s">
        <v>3009</v>
      </c>
      <c r="AO134" s="37" t="s">
        <v>526</v>
      </c>
      <c r="AP134" s="37">
        <v>13</v>
      </c>
      <c r="AQ134" s="70"/>
      <c r="AR134" s="37"/>
      <c r="AS134" s="37" t="s">
        <v>456</v>
      </c>
      <c r="AT134" s="37" t="s">
        <v>456</v>
      </c>
      <c r="AW134" s="613">
        <v>131</v>
      </c>
      <c r="AX134" s="614" t="s">
        <v>3536</v>
      </c>
    </row>
    <row r="135" spans="1:50" x14ac:dyDescent="0.25">
      <c r="B135" s="36" t="s">
        <v>3495</v>
      </c>
      <c r="C135" s="36">
        <f>D109</f>
        <v>350</v>
      </c>
      <c r="AH135" s="478" t="s">
        <v>3510</v>
      </c>
      <c r="AI135" s="478" t="s">
        <v>3265</v>
      </c>
      <c r="AJ135" s="478" t="s">
        <v>3044</v>
      </c>
      <c r="AK135" s="478" t="s">
        <v>2807</v>
      </c>
      <c r="AL135" s="478" t="s">
        <v>2806</v>
      </c>
      <c r="AM135" s="705">
        <f>0.1*'Project Summary'!M14</f>
        <v>0.05</v>
      </c>
      <c r="AN135" s="37" t="s">
        <v>3009</v>
      </c>
      <c r="AO135" s="37" t="s">
        <v>526</v>
      </c>
      <c r="AP135" s="37">
        <v>13</v>
      </c>
      <c r="AQ135" s="70"/>
      <c r="AR135" s="37"/>
      <c r="AS135" s="37" t="s">
        <v>456</v>
      </c>
      <c r="AT135" s="37" t="s">
        <v>456</v>
      </c>
      <c r="AW135" s="613">
        <v>132</v>
      </c>
      <c r="AX135" s="614" t="s">
        <v>3537</v>
      </c>
    </row>
    <row r="136" spans="1:50" x14ac:dyDescent="0.25">
      <c r="B136" s="36" t="s">
        <v>3496</v>
      </c>
      <c r="C136" s="36">
        <f>E109</f>
        <v>400</v>
      </c>
      <c r="AH136" s="478" t="s">
        <v>3510</v>
      </c>
      <c r="AI136" s="478" t="s">
        <v>3277</v>
      </c>
      <c r="AJ136" s="478" t="s">
        <v>3044</v>
      </c>
      <c r="AK136" s="478" t="s">
        <v>2807</v>
      </c>
      <c r="AL136" s="478" t="s">
        <v>2806</v>
      </c>
      <c r="AM136" s="705">
        <f>0.1*'Project Summary'!M14</f>
        <v>0.05</v>
      </c>
      <c r="AN136" s="37" t="s">
        <v>3009</v>
      </c>
      <c r="AO136" s="37" t="s">
        <v>526</v>
      </c>
      <c r="AP136" s="37">
        <v>13</v>
      </c>
      <c r="AQ136" s="70"/>
      <c r="AR136" s="37"/>
      <c r="AS136" s="37" t="s">
        <v>456</v>
      </c>
      <c r="AT136" s="37" t="s">
        <v>456</v>
      </c>
      <c r="AW136" s="613">
        <v>133</v>
      </c>
      <c r="AX136" s="614" t="s">
        <v>3538</v>
      </c>
    </row>
    <row r="137" spans="1:50" x14ac:dyDescent="0.25">
      <c r="B137" s="36" t="s">
        <v>3399</v>
      </c>
      <c r="C137" s="36">
        <f>F109</f>
        <v>500</v>
      </c>
      <c r="AH137" s="478" t="s">
        <v>3512</v>
      </c>
      <c r="AI137" s="478" t="s">
        <v>3319</v>
      </c>
      <c r="AJ137" s="478" t="s">
        <v>3063</v>
      </c>
      <c r="AK137" s="478" t="s">
        <v>2806</v>
      </c>
      <c r="AL137" s="478" t="s">
        <v>2806</v>
      </c>
      <c r="AM137" s="705">
        <f>0.1*'Project Summary'!M14</f>
        <v>0.05</v>
      </c>
      <c r="AN137" s="37" t="s">
        <v>3009</v>
      </c>
      <c r="AO137" s="37" t="s">
        <v>526</v>
      </c>
      <c r="AP137" s="37">
        <v>13</v>
      </c>
      <c r="AQ137" s="70">
        <v>220</v>
      </c>
      <c r="AR137" s="37" t="s">
        <v>3320</v>
      </c>
      <c r="AS137" s="37" t="s">
        <v>456</v>
      </c>
      <c r="AT137" s="37" t="s">
        <v>456</v>
      </c>
      <c r="AW137" s="613">
        <v>134</v>
      </c>
      <c r="AX137" s="614" t="s">
        <v>3539</v>
      </c>
    </row>
    <row r="138" spans="1:50" x14ac:dyDescent="0.25">
      <c r="B138" s="36" t="s">
        <v>3497</v>
      </c>
      <c r="C138" s="36">
        <f>G109</f>
        <v>900</v>
      </c>
      <c r="AH138" s="478" t="s">
        <v>3512</v>
      </c>
      <c r="AI138" s="478" t="s">
        <v>3225</v>
      </c>
      <c r="AJ138" s="478" t="s">
        <v>3063</v>
      </c>
      <c r="AK138" s="478" t="s">
        <v>2806</v>
      </c>
      <c r="AL138" s="478" t="s">
        <v>2806</v>
      </c>
      <c r="AM138" s="705">
        <f>0.1*'Project Summary'!M14</f>
        <v>0.05</v>
      </c>
      <c r="AN138" s="37" t="s">
        <v>3009</v>
      </c>
      <c r="AO138" s="37" t="s">
        <v>526</v>
      </c>
      <c r="AP138" s="37">
        <v>12</v>
      </c>
      <c r="AQ138" s="70">
        <v>220</v>
      </c>
      <c r="AR138" s="37" t="s">
        <v>3320</v>
      </c>
      <c r="AS138" s="37" t="s">
        <v>456</v>
      </c>
      <c r="AT138" s="37" t="s">
        <v>456</v>
      </c>
      <c r="AW138" s="613">
        <v>135</v>
      </c>
      <c r="AX138" s="614" t="s">
        <v>3540</v>
      </c>
    </row>
    <row r="139" spans="1:50" x14ac:dyDescent="0.25">
      <c r="AH139" s="478" t="s">
        <v>3512</v>
      </c>
      <c r="AI139" s="478" t="s">
        <v>3250</v>
      </c>
      <c r="AJ139" s="478" t="s">
        <v>3063</v>
      </c>
      <c r="AK139" s="478" t="s">
        <v>2803</v>
      </c>
      <c r="AL139" s="478" t="s">
        <v>2803</v>
      </c>
      <c r="AM139" s="705">
        <f>0.1*'Project Summary'!M14</f>
        <v>0.05</v>
      </c>
      <c r="AN139" s="37" t="s">
        <v>3009</v>
      </c>
      <c r="AO139" s="37" t="s">
        <v>526</v>
      </c>
      <c r="AP139" s="37">
        <v>13</v>
      </c>
      <c r="AQ139" s="70"/>
      <c r="AR139" s="37"/>
      <c r="AS139" s="37" t="s">
        <v>456</v>
      </c>
      <c r="AT139" s="37" t="s">
        <v>456</v>
      </c>
      <c r="AW139" s="613">
        <v>136</v>
      </c>
      <c r="AX139" s="614" t="s">
        <v>3541</v>
      </c>
    </row>
    <row r="140" spans="1:50" x14ac:dyDescent="0.25">
      <c r="AH140" s="478" t="s">
        <v>3512</v>
      </c>
      <c r="AI140" s="478" t="s">
        <v>3331</v>
      </c>
      <c r="AJ140" s="478" t="s">
        <v>3063</v>
      </c>
      <c r="AK140" s="478" t="s">
        <v>2807</v>
      </c>
      <c r="AL140" s="478" t="s">
        <v>2806</v>
      </c>
      <c r="AM140" s="705">
        <f>0.1*'Project Summary'!M14</f>
        <v>0.05</v>
      </c>
      <c r="AN140" s="37" t="s">
        <v>3009</v>
      </c>
      <c r="AO140" s="37" t="s">
        <v>526</v>
      </c>
      <c r="AP140" s="37">
        <v>13</v>
      </c>
      <c r="AQ140" s="70"/>
      <c r="AR140" s="37"/>
      <c r="AS140" s="37" t="s">
        <v>456</v>
      </c>
      <c r="AT140" s="37" t="s">
        <v>456</v>
      </c>
      <c r="AW140" s="613">
        <v>137</v>
      </c>
      <c r="AX140" s="614" t="s">
        <v>3542</v>
      </c>
    </row>
    <row r="141" spans="1:50" x14ac:dyDescent="0.25">
      <c r="B141" s="647" t="s">
        <v>3543</v>
      </c>
      <c r="C141" s="647" t="s">
        <v>3544</v>
      </c>
      <c r="D141" s="647" t="s">
        <v>3429</v>
      </c>
      <c r="AH141" s="478" t="s">
        <v>3512</v>
      </c>
      <c r="AI141" s="478" t="s">
        <v>3334</v>
      </c>
      <c r="AJ141" s="478" t="s">
        <v>3063</v>
      </c>
      <c r="AK141" s="478" t="s">
        <v>2806</v>
      </c>
      <c r="AL141" s="478" t="s">
        <v>2806</v>
      </c>
      <c r="AM141" s="705">
        <f>0.1*'Project Summary'!M14</f>
        <v>0.05</v>
      </c>
      <c r="AN141" s="37" t="s">
        <v>3009</v>
      </c>
      <c r="AO141" s="37" t="s">
        <v>526</v>
      </c>
      <c r="AP141" s="37">
        <v>12</v>
      </c>
      <c r="AQ141" s="70">
        <v>220</v>
      </c>
      <c r="AR141" s="37" t="s">
        <v>3320</v>
      </c>
      <c r="AS141" s="37" t="s">
        <v>456</v>
      </c>
      <c r="AT141" s="37" t="s">
        <v>456</v>
      </c>
      <c r="AW141" s="613">
        <v>138</v>
      </c>
      <c r="AX141" s="614" t="s">
        <v>281</v>
      </c>
    </row>
    <row r="142" spans="1:50" x14ac:dyDescent="0.25">
      <c r="B142" s="478" t="s">
        <v>3109</v>
      </c>
      <c r="C142" s="634" t="s">
        <v>3109</v>
      </c>
      <c r="D142" s="634" t="s">
        <v>3433</v>
      </c>
      <c r="AF142" s="645" t="s">
        <v>3545</v>
      </c>
      <c r="AH142" s="478" t="s">
        <v>3512</v>
      </c>
      <c r="AI142" s="478" t="s">
        <v>3337</v>
      </c>
      <c r="AJ142" s="478" t="s">
        <v>3063</v>
      </c>
      <c r="AK142" s="478" t="s">
        <v>2807</v>
      </c>
      <c r="AL142" s="478" t="s">
        <v>2806</v>
      </c>
      <c r="AM142" s="705">
        <f>0.1*'Project Summary'!M14</f>
        <v>0.05</v>
      </c>
      <c r="AN142" s="37" t="s">
        <v>3009</v>
      </c>
      <c r="AO142" s="37" t="s">
        <v>526</v>
      </c>
      <c r="AP142" s="37">
        <v>13</v>
      </c>
      <c r="AQ142" s="70"/>
      <c r="AR142" s="37"/>
      <c r="AS142" s="37" t="s">
        <v>456</v>
      </c>
      <c r="AT142" s="37" t="s">
        <v>456</v>
      </c>
      <c r="AW142" s="613">
        <v>139</v>
      </c>
      <c r="AX142" s="614" t="s">
        <v>208</v>
      </c>
    </row>
    <row r="143" spans="1:50" x14ac:dyDescent="0.25">
      <c r="B143" s="478" t="s">
        <v>3120</v>
      </c>
      <c r="C143" s="634" t="s">
        <v>3546</v>
      </c>
      <c r="D143" s="634" t="s">
        <v>3437</v>
      </c>
      <c r="AF143" s="621" t="s">
        <v>3004</v>
      </c>
      <c r="AH143" s="478" t="s">
        <v>3512</v>
      </c>
      <c r="AI143" s="478" t="s">
        <v>3340</v>
      </c>
      <c r="AJ143" s="478" t="s">
        <v>3063</v>
      </c>
      <c r="AK143" s="478" t="s">
        <v>2806</v>
      </c>
      <c r="AL143" s="478" t="s">
        <v>2806</v>
      </c>
      <c r="AM143" s="705">
        <f>0.1*'Project Summary'!M14</f>
        <v>0.05</v>
      </c>
      <c r="AN143" s="37" t="s">
        <v>3009</v>
      </c>
      <c r="AO143" s="37" t="s">
        <v>526</v>
      </c>
      <c r="AP143" s="37">
        <v>13</v>
      </c>
      <c r="AQ143" s="70">
        <v>220</v>
      </c>
      <c r="AR143" s="37" t="s">
        <v>3320</v>
      </c>
      <c r="AS143" s="37" t="s">
        <v>456</v>
      </c>
      <c r="AT143" s="37" t="s">
        <v>456</v>
      </c>
      <c r="AW143" s="613">
        <v>140</v>
      </c>
      <c r="AX143" s="614" t="s">
        <v>3547</v>
      </c>
    </row>
    <row r="144" spans="1:50" x14ac:dyDescent="0.25">
      <c r="B144" s="478" t="s">
        <v>3132</v>
      </c>
      <c r="C144" s="634" t="s">
        <v>3475</v>
      </c>
      <c r="D144" s="634" t="s">
        <v>3440</v>
      </c>
      <c r="AF144" s="621" t="s">
        <v>3238</v>
      </c>
      <c r="AH144" s="478" t="s">
        <v>3512</v>
      </c>
      <c r="AI144" s="478" t="s">
        <v>3212</v>
      </c>
      <c r="AJ144" s="478" t="s">
        <v>3063</v>
      </c>
      <c r="AK144" s="478" t="s">
        <v>2807</v>
      </c>
      <c r="AL144" s="478" t="s">
        <v>2806</v>
      </c>
      <c r="AM144" s="705">
        <f>0.1*'Project Summary'!M14</f>
        <v>0.05</v>
      </c>
      <c r="AN144" s="37" t="s">
        <v>3009</v>
      </c>
      <c r="AO144" s="37" t="s">
        <v>526</v>
      </c>
      <c r="AP144" s="37">
        <v>13</v>
      </c>
      <c r="AQ144" s="70"/>
      <c r="AR144" s="37"/>
      <c r="AS144" s="37" t="s">
        <v>456</v>
      </c>
      <c r="AT144" s="37" t="s">
        <v>456</v>
      </c>
      <c r="AW144" s="613">
        <v>141</v>
      </c>
      <c r="AX144" s="614" t="s">
        <v>3548</v>
      </c>
    </row>
    <row r="145" spans="2:50" x14ac:dyDescent="0.25">
      <c r="B145" s="478" t="s">
        <v>3144</v>
      </c>
      <c r="C145" s="634" t="s">
        <v>3549</v>
      </c>
      <c r="D145" s="634" t="s">
        <v>3465</v>
      </c>
      <c r="AF145" s="621" t="s">
        <v>3512</v>
      </c>
      <c r="AH145" s="478" t="s">
        <v>3512</v>
      </c>
      <c r="AI145" s="478" t="s">
        <v>3345</v>
      </c>
      <c r="AJ145" s="478" t="s">
        <v>3063</v>
      </c>
      <c r="AK145" s="478" t="s">
        <v>2807</v>
      </c>
      <c r="AL145" s="478" t="s">
        <v>2806</v>
      </c>
      <c r="AM145" s="705">
        <f>0.1*'Project Summary'!M14</f>
        <v>0.05</v>
      </c>
      <c r="AN145" s="37" t="s">
        <v>3009</v>
      </c>
      <c r="AO145" s="37" t="s">
        <v>526</v>
      </c>
      <c r="AP145" s="37">
        <v>13</v>
      </c>
      <c r="AQ145" s="70"/>
      <c r="AR145" s="37"/>
      <c r="AS145" s="37" t="s">
        <v>456</v>
      </c>
      <c r="AT145" s="37" t="s">
        <v>456</v>
      </c>
      <c r="AW145" s="613">
        <v>142</v>
      </c>
      <c r="AX145" s="614" t="s">
        <v>430</v>
      </c>
    </row>
    <row r="146" spans="2:50" x14ac:dyDescent="0.25">
      <c r="B146" s="478" t="s">
        <v>3156</v>
      </c>
      <c r="C146" s="634" t="s">
        <v>3550</v>
      </c>
      <c r="D146" s="634" t="s">
        <v>3470</v>
      </c>
      <c r="AF146" s="621" t="s">
        <v>2349</v>
      </c>
      <c r="AH146" s="478" t="s">
        <v>3512</v>
      </c>
      <c r="AI146" s="478" t="s">
        <v>3350</v>
      </c>
      <c r="AJ146" s="478" t="s">
        <v>3063</v>
      </c>
      <c r="AK146" s="478" t="s">
        <v>2806</v>
      </c>
      <c r="AL146" s="478" t="s">
        <v>2806</v>
      </c>
      <c r="AM146" s="705">
        <f>0.1*'Project Summary'!M14</f>
        <v>0.05</v>
      </c>
      <c r="AN146" s="37" t="s">
        <v>3009</v>
      </c>
      <c r="AO146" s="37" t="s">
        <v>526</v>
      </c>
      <c r="AP146" s="37">
        <v>13</v>
      </c>
      <c r="AQ146" s="70">
        <v>220</v>
      </c>
      <c r="AR146" s="37" t="s">
        <v>3320</v>
      </c>
      <c r="AS146" s="37" t="s">
        <v>456</v>
      </c>
      <c r="AT146" s="37" t="s">
        <v>456</v>
      </c>
      <c r="AW146" s="613">
        <v>143</v>
      </c>
      <c r="AX146" s="614" t="s">
        <v>3551</v>
      </c>
    </row>
    <row r="147" spans="2:50" x14ac:dyDescent="0.25">
      <c r="B147" s="478" t="s">
        <v>3164</v>
      </c>
      <c r="C147" s="634" t="s">
        <v>3552</v>
      </c>
      <c r="D147" s="634" t="s">
        <v>3449</v>
      </c>
      <c r="AF147" s="621" t="s">
        <v>3148</v>
      </c>
      <c r="AH147" s="478" t="s">
        <v>3512</v>
      </c>
      <c r="AI147" s="478" t="s">
        <v>3194</v>
      </c>
      <c r="AJ147" s="478" t="s">
        <v>3063</v>
      </c>
      <c r="AK147" s="478" t="s">
        <v>2803</v>
      </c>
      <c r="AL147" s="478" t="s">
        <v>2803</v>
      </c>
      <c r="AM147" s="705">
        <f>0.1*'Project Summary'!M14</f>
        <v>0.05</v>
      </c>
      <c r="AN147" s="37" t="s">
        <v>3009</v>
      </c>
      <c r="AO147" s="37" t="s">
        <v>526</v>
      </c>
      <c r="AP147" s="37">
        <v>13</v>
      </c>
      <c r="AQ147" s="70"/>
      <c r="AR147" s="37"/>
      <c r="AS147" s="37" t="s">
        <v>456</v>
      </c>
      <c r="AT147" s="37" t="s">
        <v>456</v>
      </c>
      <c r="AW147" s="613">
        <v>144</v>
      </c>
      <c r="AX147" s="614" t="s">
        <v>3553</v>
      </c>
    </row>
    <row r="148" spans="2:50" x14ac:dyDescent="0.25">
      <c r="B148" s="478" t="s">
        <v>3175</v>
      </c>
      <c r="C148" s="634" t="s">
        <v>3109</v>
      </c>
      <c r="D148" s="634" t="s">
        <v>3433</v>
      </c>
      <c r="AF148" s="621" t="s">
        <v>3160</v>
      </c>
      <c r="AH148" s="478" t="s">
        <v>3512</v>
      </c>
      <c r="AI148" s="478" t="s">
        <v>3258</v>
      </c>
      <c r="AJ148" s="478" t="s">
        <v>3063</v>
      </c>
      <c r="AK148" s="478" t="s">
        <v>2807</v>
      </c>
      <c r="AL148" s="478" t="s">
        <v>2806</v>
      </c>
      <c r="AM148" s="705">
        <f>0.1*'Project Summary'!M14</f>
        <v>0.05</v>
      </c>
      <c r="AN148" s="37" t="s">
        <v>3009</v>
      </c>
      <c r="AO148" s="37" t="s">
        <v>526</v>
      </c>
      <c r="AP148" s="37">
        <v>13</v>
      </c>
      <c r="AQ148" s="70"/>
      <c r="AR148" s="37"/>
      <c r="AS148" s="37" t="s">
        <v>456</v>
      </c>
      <c r="AT148" s="37" t="s">
        <v>456</v>
      </c>
      <c r="AW148" s="613">
        <v>145</v>
      </c>
      <c r="AX148" s="614" t="s">
        <v>3554</v>
      </c>
    </row>
    <row r="149" spans="2:50" x14ac:dyDescent="0.25">
      <c r="AH149" s="478" t="s">
        <v>3512</v>
      </c>
      <c r="AI149" s="478" t="s">
        <v>3233</v>
      </c>
      <c r="AJ149" s="478" t="s">
        <v>3063</v>
      </c>
      <c r="AK149" s="478" t="s">
        <v>2807</v>
      </c>
      <c r="AL149" s="478" t="s">
        <v>2806</v>
      </c>
      <c r="AM149" s="705">
        <f>0.1*'Project Summary'!M14</f>
        <v>0.05</v>
      </c>
      <c r="AN149" s="37" t="s">
        <v>3009</v>
      </c>
      <c r="AO149" s="37" t="s">
        <v>526</v>
      </c>
      <c r="AP149" s="37">
        <v>13</v>
      </c>
      <c r="AQ149" s="70"/>
      <c r="AR149" s="37"/>
      <c r="AS149" s="37" t="s">
        <v>456</v>
      </c>
      <c r="AT149" s="37" t="s">
        <v>456</v>
      </c>
      <c r="AW149" s="613">
        <v>146</v>
      </c>
      <c r="AX149" s="614" t="s">
        <v>3555</v>
      </c>
    </row>
    <row r="150" spans="2:50" x14ac:dyDescent="0.25">
      <c r="AH150" s="478" t="s">
        <v>2349</v>
      </c>
      <c r="AI150" s="478" t="s">
        <v>3460</v>
      </c>
      <c r="AJ150" s="478" t="s">
        <v>252</v>
      </c>
      <c r="AK150" s="478" t="s">
        <v>2806</v>
      </c>
      <c r="AL150" s="478" t="s">
        <v>2806</v>
      </c>
      <c r="AM150" s="705">
        <f>0.1*'Project Summary'!M14</f>
        <v>0.05</v>
      </c>
      <c r="AN150" s="37" t="s">
        <v>3009</v>
      </c>
      <c r="AO150" s="37" t="s">
        <v>526</v>
      </c>
      <c r="AP150" s="37">
        <v>6</v>
      </c>
      <c r="AQ150" s="70">
        <v>220</v>
      </c>
      <c r="AR150" s="37" t="s">
        <v>3320</v>
      </c>
      <c r="AS150" s="37" t="s">
        <v>456</v>
      </c>
      <c r="AT150" s="37" t="s">
        <v>456</v>
      </c>
      <c r="AW150" s="613">
        <v>147</v>
      </c>
      <c r="AX150" s="614" t="s">
        <v>3556</v>
      </c>
    </row>
    <row r="151" spans="2:50" x14ac:dyDescent="0.25">
      <c r="AH151" s="478" t="s">
        <v>2349</v>
      </c>
      <c r="AI151" s="478" t="s">
        <v>3466</v>
      </c>
      <c r="AJ151" s="478" t="s">
        <v>252</v>
      </c>
      <c r="AK151" s="478" t="s">
        <v>2806</v>
      </c>
      <c r="AL151" s="478" t="s">
        <v>2806</v>
      </c>
      <c r="AM151" s="705">
        <f>0.1*'Project Summary'!M14</f>
        <v>0.05</v>
      </c>
      <c r="AN151" s="37" t="s">
        <v>3009</v>
      </c>
      <c r="AO151" s="37" t="s">
        <v>526</v>
      </c>
      <c r="AP151" s="37">
        <v>6</v>
      </c>
      <c r="AQ151" s="70">
        <v>220</v>
      </c>
      <c r="AR151" s="37" t="s">
        <v>3320</v>
      </c>
      <c r="AS151" s="37" t="s">
        <v>456</v>
      </c>
      <c r="AT151" s="37" t="s">
        <v>456</v>
      </c>
      <c r="AW151" s="613">
        <v>148</v>
      </c>
      <c r="AX151" s="614" t="s">
        <v>3557</v>
      </c>
    </row>
    <row r="152" spans="2:50" x14ac:dyDescent="0.25">
      <c r="AH152" s="478" t="s">
        <v>2349</v>
      </c>
      <c r="AI152" s="478" t="s">
        <v>3471</v>
      </c>
      <c r="AJ152" s="478" t="s">
        <v>252</v>
      </c>
      <c r="AK152" s="478" t="s">
        <v>2806</v>
      </c>
      <c r="AL152" s="478" t="s">
        <v>2806</v>
      </c>
      <c r="AM152" s="705">
        <f>0.1*'Project Summary'!M14</f>
        <v>0.05</v>
      </c>
      <c r="AN152" s="37" t="s">
        <v>3009</v>
      </c>
      <c r="AO152" s="37" t="s">
        <v>526</v>
      </c>
      <c r="AP152" s="37">
        <v>6</v>
      </c>
      <c r="AQ152" s="70">
        <v>220</v>
      </c>
      <c r="AR152" s="37" t="s">
        <v>3320</v>
      </c>
      <c r="AS152" s="37" t="s">
        <v>456</v>
      </c>
      <c r="AT152" s="37" t="s">
        <v>456</v>
      </c>
      <c r="AW152" s="613">
        <v>149</v>
      </c>
      <c r="AX152" s="614" t="s">
        <v>3558</v>
      </c>
    </row>
    <row r="153" spans="2:50" x14ac:dyDescent="0.25">
      <c r="AH153" s="478" t="s">
        <v>3148</v>
      </c>
      <c r="AI153" s="478" t="s">
        <v>3148</v>
      </c>
      <c r="AJ153" s="478" t="s">
        <v>3149</v>
      </c>
      <c r="AK153" s="478" t="s">
        <v>2806</v>
      </c>
      <c r="AL153" s="478" t="s">
        <v>2806</v>
      </c>
      <c r="AM153" s="705">
        <f>0.1*'Project Summary'!M14</f>
        <v>0.05</v>
      </c>
      <c r="AN153" s="37" t="s">
        <v>3009</v>
      </c>
      <c r="AO153" s="37" t="s">
        <v>526</v>
      </c>
      <c r="AP153" s="37">
        <v>6</v>
      </c>
      <c r="AQ153" s="70">
        <v>220</v>
      </c>
      <c r="AR153" s="37" t="s">
        <v>3320</v>
      </c>
      <c r="AS153" s="37" t="s">
        <v>456</v>
      </c>
      <c r="AT153" s="37" t="s">
        <v>456</v>
      </c>
      <c r="AW153" s="613">
        <v>150</v>
      </c>
      <c r="AX153" s="614" t="s">
        <v>3559</v>
      </c>
    </row>
    <row r="154" spans="2:50" x14ac:dyDescent="0.25">
      <c r="AH154" s="478" t="s">
        <v>3160</v>
      </c>
      <c r="AI154" s="478" t="s">
        <v>3160</v>
      </c>
      <c r="AJ154" s="478" t="s">
        <v>3160</v>
      </c>
      <c r="AK154" s="634" t="s">
        <v>2811</v>
      </c>
      <c r="AL154" s="634" t="s">
        <v>2811</v>
      </c>
      <c r="AM154" s="705">
        <f>0.1*'Project Summary'!M14</f>
        <v>0.05</v>
      </c>
      <c r="AN154" s="37" t="s">
        <v>3009</v>
      </c>
      <c r="AO154" s="37" t="s">
        <v>526</v>
      </c>
      <c r="AP154" s="37">
        <v>0</v>
      </c>
      <c r="AQ154" s="70"/>
      <c r="AR154" s="37"/>
      <c r="AS154" s="37" t="s">
        <v>456</v>
      </c>
      <c r="AT154" s="37" t="s">
        <v>456</v>
      </c>
      <c r="AW154" s="613">
        <v>151</v>
      </c>
      <c r="AX154" s="614" t="s">
        <v>3560</v>
      </c>
    </row>
    <row r="155" spans="2:50" x14ac:dyDescent="0.25">
      <c r="AW155" s="613">
        <v>152</v>
      </c>
      <c r="AX155" s="614" t="s">
        <v>286</v>
      </c>
    </row>
    <row r="156" spans="2:50" x14ac:dyDescent="0.25">
      <c r="AW156" s="613">
        <v>153</v>
      </c>
      <c r="AX156" s="614" t="s">
        <v>3561</v>
      </c>
    </row>
    <row r="157" spans="2:50" x14ac:dyDescent="0.25">
      <c r="AH157" s="648" t="s">
        <v>2863</v>
      </c>
      <c r="AI157" s="648" t="s">
        <v>3562</v>
      </c>
      <c r="AJ157" s="648" t="s">
        <v>3563</v>
      </c>
      <c r="AK157" s="648" t="s">
        <v>3564</v>
      </c>
      <c r="AW157" s="613">
        <v>154</v>
      </c>
      <c r="AX157" s="614" t="s">
        <v>3565</v>
      </c>
    </row>
    <row r="158" spans="2:50" ht="25.5" x14ac:dyDescent="0.25">
      <c r="AH158" s="649" t="s">
        <v>3566</v>
      </c>
      <c r="AI158" s="649" t="s">
        <v>2806</v>
      </c>
      <c r="AJ158" s="649" t="s">
        <v>2801</v>
      </c>
      <c r="AK158" s="576" t="str">
        <f t="shared" ref="AK158:AK168" si="3">CONCATENATE(AI158,";",AJ158)</f>
        <v>CI-CO-PR-IT-LI-000006-01-FEPA-CI;CI-CO-PR-IT-LI-000001-01-FEPA-CI</v>
      </c>
      <c r="AW158" s="613">
        <v>155</v>
      </c>
      <c r="AX158" s="614" t="s">
        <v>3567</v>
      </c>
    </row>
    <row r="159" spans="2:50" ht="25.5" x14ac:dyDescent="0.25">
      <c r="AH159" s="649" t="s">
        <v>3568</v>
      </c>
      <c r="AI159" s="649" t="s">
        <v>2807</v>
      </c>
      <c r="AJ159" s="649" t="s">
        <v>2801</v>
      </c>
      <c r="AK159" s="576" t="str">
        <f t="shared" si="3"/>
        <v>CI-CO-PR-IT-LI-000007-01-FEPA-CI;CI-CO-PR-IT-LI-000001-01-FEPA-CI</v>
      </c>
      <c r="AW159" s="613">
        <v>156</v>
      </c>
      <c r="AX159" s="614" t="s">
        <v>3569</v>
      </c>
    </row>
    <row r="160" spans="2:50" ht="25.5" x14ac:dyDescent="0.25">
      <c r="AH160" s="649" t="s">
        <v>3570</v>
      </c>
      <c r="AI160" s="649" t="s">
        <v>2808</v>
      </c>
      <c r="AJ160" s="649" t="s">
        <v>2801</v>
      </c>
      <c r="AK160" s="576" t="str">
        <f t="shared" si="3"/>
        <v>CI-CO-PR-IT-LI-000008-01-FEPA-CI;CI-CO-PR-IT-LI-000001-01-FEPA-CI</v>
      </c>
      <c r="AW160" s="613">
        <v>157</v>
      </c>
      <c r="AX160" s="614" t="s">
        <v>3571</v>
      </c>
    </row>
    <row r="161" spans="34:50" ht="25.5" x14ac:dyDescent="0.25">
      <c r="AH161" s="649" t="s">
        <v>3572</v>
      </c>
      <c r="AI161" s="649" t="s">
        <v>2803</v>
      </c>
      <c r="AJ161" s="649" t="s">
        <v>2801</v>
      </c>
      <c r="AK161" s="576" t="str">
        <f t="shared" si="3"/>
        <v>CI-CO-PR-IT-LI-000003-01-FEPA-CI;CI-CO-PR-IT-LI-000001-01-FEPA-CI</v>
      </c>
      <c r="AW161" s="613">
        <v>158</v>
      </c>
      <c r="AX161" s="614" t="s">
        <v>3573</v>
      </c>
    </row>
    <row r="162" spans="34:50" ht="25.5" x14ac:dyDescent="0.25">
      <c r="AH162" s="649" t="s">
        <v>3574</v>
      </c>
      <c r="AI162" s="649" t="s">
        <v>3575</v>
      </c>
      <c r="AJ162" s="649" t="s">
        <v>2801</v>
      </c>
      <c r="AK162" s="576" t="str">
        <f t="shared" si="3"/>
        <v>CI-CO-PR-IT-LI-000009-01-FEPA-CI;CI-CO-PR-IT-LI-000001-01-FEPA-CI</v>
      </c>
      <c r="AW162" s="613">
        <v>159</v>
      </c>
      <c r="AX162" s="614" t="s">
        <v>215</v>
      </c>
    </row>
    <row r="163" spans="34:50" ht="25.5" x14ac:dyDescent="0.25">
      <c r="AH163" s="649" t="s">
        <v>3576</v>
      </c>
      <c r="AI163" s="649" t="s">
        <v>3577</v>
      </c>
      <c r="AJ163" s="649" t="s">
        <v>2801</v>
      </c>
      <c r="AK163" s="576" t="str">
        <f t="shared" si="3"/>
        <v>CI-CO-PR-IT-LI-000012-01-FEPA-CI;CI-CO-PR-IT-LI-000001-01-FEPA-CI</v>
      </c>
      <c r="AW163" s="613">
        <v>160</v>
      </c>
      <c r="AX163" s="614" t="s">
        <v>3578</v>
      </c>
    </row>
    <row r="164" spans="34:50" ht="25.5" x14ac:dyDescent="0.25">
      <c r="AH164" s="649" t="s">
        <v>3579</v>
      </c>
      <c r="AI164" s="649" t="s">
        <v>2810</v>
      </c>
      <c r="AJ164" s="649" t="s">
        <v>2801</v>
      </c>
      <c r="AK164" s="576" t="str">
        <f t="shared" si="3"/>
        <v>CI-CO-PR-IT-LI-000010-01-FEPA-CI;CI-CO-PR-IT-LI-000001-01-FEPA-CI</v>
      </c>
      <c r="AW164" s="613">
        <v>161</v>
      </c>
      <c r="AX164" s="614" t="s">
        <v>3580</v>
      </c>
    </row>
    <row r="165" spans="34:50" ht="25.5" x14ac:dyDescent="0.25">
      <c r="AH165" s="649" t="s">
        <v>3581</v>
      </c>
      <c r="AI165" s="649" t="s">
        <v>3582</v>
      </c>
      <c r="AJ165" s="649" t="s">
        <v>2801</v>
      </c>
      <c r="AK165" s="576" t="str">
        <f t="shared" si="3"/>
        <v>CI-CO-PR-IT-LI-000015-01-FEPA-CI;CI-CO-PR-IT-LI-000001-01-FEPA-CI</v>
      </c>
      <c r="AW165" s="613">
        <v>162</v>
      </c>
      <c r="AX165" s="614" t="s">
        <v>3583</v>
      </c>
    </row>
    <row r="166" spans="34:50" ht="25.5" x14ac:dyDescent="0.25">
      <c r="AH166" s="649" t="s">
        <v>3584</v>
      </c>
      <c r="AI166" s="649" t="s">
        <v>3585</v>
      </c>
      <c r="AJ166" s="649" t="s">
        <v>2801</v>
      </c>
      <c r="AK166" s="576" t="str">
        <f t="shared" si="3"/>
        <v>CI-CO-PR-IT-LI-000014-01-FEPA-CI;CI-CO-PR-IT-LI-000001-01-FEPA-CI</v>
      </c>
      <c r="AW166" s="613">
        <v>163</v>
      </c>
      <c r="AX166" s="614" t="s">
        <v>3586</v>
      </c>
    </row>
    <row r="167" spans="34:50" ht="25.5" x14ac:dyDescent="0.25">
      <c r="AH167" s="649" t="s">
        <v>3587</v>
      </c>
      <c r="AI167" s="649" t="s">
        <v>2802</v>
      </c>
      <c r="AJ167" s="649" t="s">
        <v>2801</v>
      </c>
      <c r="AK167" s="576" t="str">
        <f t="shared" si="3"/>
        <v>CI-CO-PR-IT-LI-000002-01-FEPA-CI;CI-CO-PR-IT-LI-000001-01-FEPA-CI</v>
      </c>
      <c r="AW167" s="613">
        <v>164</v>
      </c>
      <c r="AX167" s="614" t="s">
        <v>3588</v>
      </c>
    </row>
    <row r="168" spans="34:50" ht="25.5" x14ac:dyDescent="0.25">
      <c r="AH168" s="649" t="s">
        <v>3589</v>
      </c>
      <c r="AI168" s="649" t="s">
        <v>2811</v>
      </c>
      <c r="AJ168" s="649" t="s">
        <v>2801</v>
      </c>
      <c r="AK168" s="576" t="str">
        <f t="shared" si="3"/>
        <v>CI-CO-CU-IT-LI-000003-01-FEPA-CI;CI-CO-PR-IT-LI-000001-01-FEPA-CI</v>
      </c>
      <c r="AW168" s="613">
        <v>165</v>
      </c>
      <c r="AX168" s="614" t="s">
        <v>3590</v>
      </c>
    </row>
    <row r="169" spans="34:50" x14ac:dyDescent="0.25">
      <c r="AH169" s="649" t="s">
        <v>3591</v>
      </c>
      <c r="AI169" s="649" t="s">
        <v>2805</v>
      </c>
      <c r="AW169" s="613">
        <v>166</v>
      </c>
      <c r="AX169" s="614" t="s">
        <v>3592</v>
      </c>
    </row>
    <row r="170" spans="34:50" x14ac:dyDescent="0.25">
      <c r="AH170" s="649" t="s">
        <v>3593</v>
      </c>
      <c r="AI170" s="649" t="s">
        <v>2804</v>
      </c>
      <c r="AW170" s="613">
        <v>167</v>
      </c>
      <c r="AX170" s="614" t="s">
        <v>3594</v>
      </c>
    </row>
    <row r="171" spans="34:50" ht="25.5" x14ac:dyDescent="0.25">
      <c r="AH171" s="649" t="s">
        <v>3595</v>
      </c>
      <c r="AI171" s="649" t="s">
        <v>2809</v>
      </c>
      <c r="AW171" s="613">
        <v>168</v>
      </c>
      <c r="AX171" s="614" t="s">
        <v>3596</v>
      </c>
    </row>
    <row r="172" spans="34:50" ht="25.5" x14ac:dyDescent="0.25">
      <c r="AH172" s="649" t="s">
        <v>3597</v>
      </c>
      <c r="AI172" s="649" t="s">
        <v>2801</v>
      </c>
      <c r="AJ172" s="649"/>
      <c r="AW172" s="613">
        <v>169</v>
      </c>
      <c r="AX172" s="614" t="s">
        <v>3598</v>
      </c>
    </row>
    <row r="173" spans="34:50" x14ac:dyDescent="0.25">
      <c r="AW173" s="613">
        <v>170</v>
      </c>
      <c r="AX173" s="614" t="s">
        <v>3599</v>
      </c>
    </row>
    <row r="174" spans="34:50" x14ac:dyDescent="0.25">
      <c r="AW174" s="613">
        <v>171</v>
      </c>
      <c r="AX174" s="614" t="s">
        <v>3600</v>
      </c>
    </row>
    <row r="175" spans="34:50" x14ac:dyDescent="0.25">
      <c r="AW175" s="613">
        <v>172</v>
      </c>
      <c r="AX175" s="614" t="s">
        <v>3601</v>
      </c>
    </row>
    <row r="176" spans="34:50" x14ac:dyDescent="0.25">
      <c r="AH176" s="649"/>
      <c r="AI176" s="649"/>
      <c r="AW176" s="613">
        <v>173</v>
      </c>
      <c r="AX176" s="614" t="s">
        <v>3602</v>
      </c>
    </row>
    <row r="177" spans="34:50" x14ac:dyDescent="0.25">
      <c r="AH177" s="649"/>
      <c r="AI177" s="649"/>
      <c r="AW177" s="613">
        <v>174</v>
      </c>
      <c r="AX177" s="614" t="s">
        <v>3603</v>
      </c>
    </row>
    <row r="178" spans="34:50" x14ac:dyDescent="0.25">
      <c r="AH178" s="649"/>
      <c r="AI178" s="649"/>
      <c r="AW178" s="613">
        <v>175</v>
      </c>
      <c r="AX178" s="614" t="s">
        <v>3604</v>
      </c>
    </row>
    <row r="179" spans="34:50" x14ac:dyDescent="0.25">
      <c r="AH179" s="649"/>
      <c r="AI179" s="649"/>
      <c r="AW179" s="613">
        <v>176</v>
      </c>
      <c r="AX179" s="614" t="s">
        <v>3605</v>
      </c>
    </row>
    <row r="180" spans="34:50" x14ac:dyDescent="0.25">
      <c r="AH180" s="649"/>
      <c r="AI180" s="649"/>
      <c r="AW180" s="613">
        <v>177</v>
      </c>
      <c r="AX180" s="614" t="s">
        <v>218</v>
      </c>
    </row>
    <row r="181" spans="34:50" x14ac:dyDescent="0.25">
      <c r="AH181" s="649"/>
      <c r="AI181" s="649"/>
      <c r="AW181" s="613">
        <v>178</v>
      </c>
      <c r="AX181" s="614" t="s">
        <v>3606</v>
      </c>
    </row>
    <row r="182" spans="34:50" x14ac:dyDescent="0.25">
      <c r="AH182" s="649"/>
      <c r="AI182" s="649"/>
      <c r="AW182" s="613">
        <v>179</v>
      </c>
      <c r="AX182" s="614" t="s">
        <v>3607</v>
      </c>
    </row>
    <row r="183" spans="34:50" x14ac:dyDescent="0.25">
      <c r="AH183" s="649"/>
      <c r="AI183" s="649"/>
      <c r="AW183" s="613">
        <v>180</v>
      </c>
      <c r="AX183" s="614" t="s">
        <v>3608</v>
      </c>
    </row>
    <row r="184" spans="34:50" x14ac:dyDescent="0.25">
      <c r="AH184" s="649"/>
      <c r="AI184" s="649"/>
      <c r="AP184" s="576"/>
      <c r="AQ184" s="576"/>
      <c r="AW184" s="613">
        <v>181</v>
      </c>
      <c r="AX184" s="614" t="s">
        <v>3609</v>
      </c>
    </row>
    <row r="185" spans="34:50" x14ac:dyDescent="0.25">
      <c r="AH185" s="649"/>
      <c r="AI185" s="649"/>
      <c r="AP185" s="576"/>
      <c r="AQ185" s="576"/>
      <c r="AW185" s="613">
        <v>182</v>
      </c>
      <c r="AX185" s="614" t="s">
        <v>3610</v>
      </c>
    </row>
    <row r="186" spans="34:50" x14ac:dyDescent="0.25">
      <c r="AH186" s="649"/>
      <c r="AI186" s="649"/>
      <c r="AP186" s="576"/>
      <c r="AQ186" s="576"/>
      <c r="AW186" s="613">
        <v>183</v>
      </c>
      <c r="AX186" s="614" t="s">
        <v>3611</v>
      </c>
    </row>
    <row r="187" spans="34:50" x14ac:dyDescent="0.25">
      <c r="AH187" s="649"/>
      <c r="AI187" s="649"/>
      <c r="AP187" s="576"/>
      <c r="AQ187" s="576"/>
      <c r="AW187" s="613">
        <v>184</v>
      </c>
      <c r="AX187" s="614" t="s">
        <v>3612</v>
      </c>
    </row>
    <row r="188" spans="34:50" x14ac:dyDescent="0.25">
      <c r="AH188" s="649"/>
      <c r="AI188" s="649"/>
      <c r="AP188" s="576"/>
      <c r="AQ188" s="576"/>
      <c r="AW188" s="613">
        <v>185</v>
      </c>
      <c r="AX188" s="614" t="s">
        <v>3613</v>
      </c>
    </row>
    <row r="189" spans="34:50" x14ac:dyDescent="0.25">
      <c r="AH189" s="649"/>
      <c r="AI189" s="649"/>
      <c r="AP189" s="576"/>
      <c r="AQ189" s="576"/>
      <c r="AW189" s="613">
        <v>186</v>
      </c>
      <c r="AX189" s="614" t="s">
        <v>3614</v>
      </c>
    </row>
    <row r="190" spans="34:50" x14ac:dyDescent="0.25">
      <c r="AH190" s="649"/>
      <c r="AI190" s="649"/>
      <c r="AP190" s="576"/>
      <c r="AQ190" s="576"/>
      <c r="AW190" s="613">
        <v>187</v>
      </c>
      <c r="AX190" s="614" t="s">
        <v>3615</v>
      </c>
    </row>
    <row r="191" spans="34:50" x14ac:dyDescent="0.25">
      <c r="AH191" s="649"/>
      <c r="AI191" s="649"/>
      <c r="AP191" s="576"/>
      <c r="AQ191" s="576"/>
      <c r="AW191" s="613">
        <v>188</v>
      </c>
      <c r="AX191" s="614" t="s">
        <v>3616</v>
      </c>
    </row>
    <row r="192" spans="34:50" x14ac:dyDescent="0.25">
      <c r="AH192" s="649"/>
      <c r="AI192" s="649"/>
      <c r="AP192" s="576"/>
      <c r="AQ192" s="576"/>
      <c r="AW192" s="613">
        <v>189</v>
      </c>
      <c r="AX192" s="614" t="s">
        <v>3617</v>
      </c>
    </row>
    <row r="193" spans="34:50" x14ac:dyDescent="0.25">
      <c r="AH193" s="649"/>
      <c r="AI193" s="649"/>
      <c r="AP193" s="576"/>
      <c r="AQ193" s="576"/>
      <c r="AW193" s="613">
        <v>190</v>
      </c>
      <c r="AX193" s="614" t="s">
        <v>277</v>
      </c>
    </row>
    <row r="194" spans="34:50" x14ac:dyDescent="0.25">
      <c r="AH194" s="649"/>
      <c r="AI194" s="649"/>
      <c r="AP194" s="576"/>
      <c r="AQ194" s="576"/>
      <c r="AW194" s="613">
        <v>191</v>
      </c>
      <c r="AX194" s="614" t="s">
        <v>3618</v>
      </c>
    </row>
    <row r="195" spans="34:50" x14ac:dyDescent="0.25">
      <c r="AH195" s="649"/>
      <c r="AI195" s="649"/>
      <c r="AP195" s="576"/>
      <c r="AQ195" s="576"/>
      <c r="AW195" s="613">
        <v>192</v>
      </c>
      <c r="AX195" s="614" t="s">
        <v>3619</v>
      </c>
    </row>
    <row r="196" spans="34:50" x14ac:dyDescent="0.25">
      <c r="AH196" s="649"/>
      <c r="AI196" s="649"/>
      <c r="AP196" s="576"/>
      <c r="AQ196" s="576"/>
      <c r="AW196" s="613">
        <v>193</v>
      </c>
      <c r="AX196" s="614" t="s">
        <v>3620</v>
      </c>
    </row>
    <row r="197" spans="34:50" x14ac:dyDescent="0.25">
      <c r="AH197" s="649"/>
      <c r="AI197" s="649"/>
      <c r="AP197" s="576"/>
      <c r="AQ197" s="576"/>
      <c r="AW197" s="613">
        <v>194</v>
      </c>
      <c r="AX197" s="614" t="s">
        <v>3621</v>
      </c>
    </row>
    <row r="198" spans="34:50" x14ac:dyDescent="0.25">
      <c r="AH198" s="649"/>
      <c r="AI198" s="649"/>
      <c r="AP198" s="576"/>
      <c r="AQ198" s="576"/>
      <c r="AW198" s="613">
        <v>195</v>
      </c>
      <c r="AX198" s="614" t="s">
        <v>3622</v>
      </c>
    </row>
    <row r="199" spans="34:50" x14ac:dyDescent="0.25">
      <c r="AH199" s="649"/>
      <c r="AI199" s="649"/>
      <c r="AP199" s="576"/>
      <c r="AQ199" s="576"/>
      <c r="AW199" s="613">
        <v>196</v>
      </c>
      <c r="AX199" s="614" t="s">
        <v>3623</v>
      </c>
    </row>
    <row r="200" spans="34:50" x14ac:dyDescent="0.25">
      <c r="AH200" s="649"/>
      <c r="AI200" s="649"/>
      <c r="AP200" s="576"/>
      <c r="AQ200" s="576"/>
      <c r="AW200" s="613">
        <v>197</v>
      </c>
      <c r="AX200" s="614" t="s">
        <v>3624</v>
      </c>
    </row>
    <row r="201" spans="34:50" x14ac:dyDescent="0.25">
      <c r="AH201" s="649"/>
      <c r="AI201" s="649"/>
      <c r="AP201" s="576"/>
      <c r="AQ201" s="576"/>
      <c r="AW201" s="613">
        <v>198</v>
      </c>
      <c r="AX201" s="614" t="s">
        <v>3625</v>
      </c>
    </row>
    <row r="202" spans="34:50" x14ac:dyDescent="0.25">
      <c r="AH202" s="649"/>
      <c r="AI202" s="649"/>
      <c r="AP202" s="576"/>
      <c r="AQ202" s="576"/>
      <c r="AW202" s="613">
        <v>199</v>
      </c>
      <c r="AX202" s="614" t="s">
        <v>3626</v>
      </c>
    </row>
    <row r="203" spans="34:50" x14ac:dyDescent="0.25">
      <c r="AH203" s="649"/>
      <c r="AI203" s="649"/>
      <c r="AP203" s="576"/>
      <c r="AQ203" s="576"/>
      <c r="AW203" s="613">
        <v>200</v>
      </c>
      <c r="AX203" s="614" t="s">
        <v>3627</v>
      </c>
    </row>
    <row r="204" spans="34:50" x14ac:dyDescent="0.25">
      <c r="AH204" s="649"/>
      <c r="AI204" s="649"/>
      <c r="AP204" s="576"/>
      <c r="AQ204" s="576"/>
      <c r="AW204" s="613">
        <v>201</v>
      </c>
      <c r="AX204" s="614" t="s">
        <v>3628</v>
      </c>
    </row>
    <row r="205" spans="34:50" x14ac:dyDescent="0.25">
      <c r="AH205" s="649"/>
      <c r="AI205" s="649"/>
      <c r="AP205" s="576"/>
      <c r="AQ205" s="576"/>
      <c r="AW205" s="613">
        <v>202</v>
      </c>
      <c r="AX205" s="614" t="s">
        <v>3629</v>
      </c>
    </row>
    <row r="206" spans="34:50" x14ac:dyDescent="0.25">
      <c r="AH206" s="649"/>
      <c r="AI206" s="649"/>
      <c r="AP206" s="576"/>
      <c r="AQ206" s="576"/>
      <c r="AW206" s="613">
        <v>203</v>
      </c>
      <c r="AX206" s="614" t="s">
        <v>3630</v>
      </c>
    </row>
    <row r="207" spans="34:50" x14ac:dyDescent="0.25">
      <c r="AH207" s="649"/>
      <c r="AI207" s="649"/>
      <c r="AP207" s="576"/>
      <c r="AQ207" s="576"/>
      <c r="AW207" s="613">
        <v>204</v>
      </c>
      <c r="AX207" s="614" t="s">
        <v>3631</v>
      </c>
    </row>
    <row r="208" spans="34:50" x14ac:dyDescent="0.25">
      <c r="AH208" s="649"/>
      <c r="AI208" s="649"/>
      <c r="AP208" s="576"/>
      <c r="AQ208" s="576"/>
      <c r="AW208" s="613">
        <v>205</v>
      </c>
      <c r="AX208" s="614" t="s">
        <v>3632</v>
      </c>
    </row>
    <row r="209" spans="34:50" x14ac:dyDescent="0.25">
      <c r="AH209" s="649"/>
      <c r="AI209" s="649"/>
      <c r="AP209" s="576"/>
      <c r="AQ209" s="576"/>
      <c r="AW209" s="613">
        <v>206</v>
      </c>
      <c r="AX209" s="614" t="s">
        <v>3633</v>
      </c>
    </row>
    <row r="210" spans="34:50" x14ac:dyDescent="0.25">
      <c r="AH210" s="649"/>
      <c r="AI210" s="649"/>
      <c r="AP210" s="576"/>
      <c r="AQ210" s="576"/>
      <c r="AW210" s="613">
        <v>207</v>
      </c>
      <c r="AX210" s="614" t="s">
        <v>3634</v>
      </c>
    </row>
    <row r="211" spans="34:50" x14ac:dyDescent="0.25">
      <c r="AH211" s="649"/>
      <c r="AI211" s="649"/>
      <c r="AP211" s="576"/>
      <c r="AQ211" s="576"/>
      <c r="AW211" s="613">
        <v>208</v>
      </c>
      <c r="AX211" s="614" t="s">
        <v>3635</v>
      </c>
    </row>
    <row r="212" spans="34:50" x14ac:dyDescent="0.25">
      <c r="AH212" s="649"/>
      <c r="AI212" s="649"/>
      <c r="AP212" s="576"/>
      <c r="AQ212" s="576"/>
      <c r="AW212" s="613">
        <v>209</v>
      </c>
      <c r="AX212" s="614" t="s">
        <v>3636</v>
      </c>
    </row>
    <row r="213" spans="34:50" x14ac:dyDescent="0.25">
      <c r="AH213" s="649"/>
      <c r="AI213" s="649"/>
      <c r="AP213" s="576"/>
      <c r="AQ213" s="576"/>
      <c r="AW213" s="613">
        <v>210</v>
      </c>
      <c r="AX213" s="614" t="s">
        <v>3637</v>
      </c>
    </row>
    <row r="214" spans="34:50" x14ac:dyDescent="0.25">
      <c r="AP214" s="576"/>
      <c r="AQ214" s="576"/>
      <c r="AW214" s="613">
        <v>211</v>
      </c>
      <c r="AX214" s="614" t="s">
        <v>3638</v>
      </c>
    </row>
    <row r="215" spans="34:50" x14ac:dyDescent="0.25">
      <c r="AH215" s="649"/>
      <c r="AI215" s="649"/>
      <c r="AP215" s="576"/>
      <c r="AQ215" s="576"/>
      <c r="AW215" s="613">
        <v>212</v>
      </c>
      <c r="AX215" s="614" t="s">
        <v>3639</v>
      </c>
    </row>
    <row r="216" spans="34:50" x14ac:dyDescent="0.25">
      <c r="AH216" s="649"/>
      <c r="AI216" s="649"/>
      <c r="AP216" s="576"/>
      <c r="AQ216" s="576"/>
      <c r="AW216" s="613">
        <v>213</v>
      </c>
      <c r="AX216" s="614" t="s">
        <v>3640</v>
      </c>
    </row>
    <row r="217" spans="34:50" x14ac:dyDescent="0.25">
      <c r="AH217" s="649"/>
      <c r="AI217" s="649"/>
      <c r="AP217" s="576"/>
      <c r="AQ217" s="576"/>
      <c r="AW217" s="613">
        <v>214</v>
      </c>
      <c r="AX217" s="614" t="s">
        <v>3641</v>
      </c>
    </row>
    <row r="218" spans="34:50" x14ac:dyDescent="0.25">
      <c r="AH218" s="649"/>
      <c r="AI218" s="649"/>
      <c r="AP218" s="576"/>
      <c r="AQ218" s="576"/>
      <c r="AW218" s="613">
        <v>215</v>
      </c>
      <c r="AX218" s="614" t="s">
        <v>3642</v>
      </c>
    </row>
    <row r="219" spans="34:50" x14ac:dyDescent="0.25">
      <c r="AH219" s="649"/>
      <c r="AI219" s="649"/>
      <c r="AP219" s="576"/>
      <c r="AQ219" s="576"/>
      <c r="AW219" s="613">
        <v>216</v>
      </c>
      <c r="AX219" s="614" t="s">
        <v>3643</v>
      </c>
    </row>
    <row r="220" spans="34:50" x14ac:dyDescent="0.25">
      <c r="AH220" s="649"/>
      <c r="AI220" s="649"/>
      <c r="AP220" s="576"/>
      <c r="AQ220" s="576"/>
      <c r="AW220" s="613">
        <v>217</v>
      </c>
      <c r="AX220" s="614" t="s">
        <v>3644</v>
      </c>
    </row>
    <row r="221" spans="34:50" x14ac:dyDescent="0.25">
      <c r="AH221" s="649"/>
      <c r="AI221" s="649"/>
      <c r="AP221" s="576"/>
      <c r="AQ221" s="576"/>
      <c r="AW221" s="613">
        <v>218</v>
      </c>
      <c r="AX221" s="614" t="s">
        <v>3645</v>
      </c>
    </row>
    <row r="222" spans="34:50" x14ac:dyDescent="0.25">
      <c r="AH222" s="649"/>
      <c r="AI222" s="649"/>
      <c r="AP222" s="576"/>
      <c r="AQ222" s="576"/>
      <c r="AW222" s="613">
        <v>219</v>
      </c>
      <c r="AX222" s="614" t="s">
        <v>3646</v>
      </c>
    </row>
    <row r="223" spans="34:50" x14ac:dyDescent="0.25">
      <c r="AH223" s="649"/>
      <c r="AI223" s="649"/>
      <c r="AP223" s="576"/>
      <c r="AQ223" s="576"/>
      <c r="AW223" s="613">
        <v>220</v>
      </c>
      <c r="AX223" s="614" t="s">
        <v>3647</v>
      </c>
    </row>
    <row r="224" spans="34:50" x14ac:dyDescent="0.25">
      <c r="AH224" s="649"/>
      <c r="AI224" s="649"/>
      <c r="AP224" s="576"/>
      <c r="AQ224" s="576"/>
      <c r="AW224" s="613">
        <v>221</v>
      </c>
      <c r="AX224" s="614" t="s">
        <v>3648</v>
      </c>
    </row>
    <row r="225" spans="34:50" x14ac:dyDescent="0.25">
      <c r="AH225" s="649"/>
      <c r="AI225" s="649"/>
      <c r="AP225" s="576"/>
      <c r="AQ225" s="576"/>
      <c r="AW225" s="613">
        <v>222</v>
      </c>
      <c r="AX225" s="614" t="s">
        <v>3649</v>
      </c>
    </row>
    <row r="226" spans="34:50" x14ac:dyDescent="0.25">
      <c r="AH226" s="649"/>
      <c r="AI226" s="649"/>
      <c r="AP226" s="576"/>
      <c r="AQ226" s="576"/>
      <c r="AW226" s="613">
        <v>223</v>
      </c>
      <c r="AX226" s="614" t="s">
        <v>3650</v>
      </c>
    </row>
    <row r="227" spans="34:50" x14ac:dyDescent="0.25">
      <c r="AH227" s="649"/>
      <c r="AI227" s="649"/>
      <c r="AP227" s="576"/>
      <c r="AQ227" s="576"/>
      <c r="AW227" s="613">
        <v>224</v>
      </c>
      <c r="AX227" s="614" t="s">
        <v>3651</v>
      </c>
    </row>
    <row r="228" spans="34:50" x14ac:dyDescent="0.25">
      <c r="AH228" s="649"/>
      <c r="AI228" s="649"/>
      <c r="AP228" s="576"/>
      <c r="AQ228" s="576"/>
      <c r="AW228" s="613">
        <v>225</v>
      </c>
      <c r="AX228" s="614" t="s">
        <v>3652</v>
      </c>
    </row>
    <row r="229" spans="34:50" x14ac:dyDescent="0.25">
      <c r="AH229" s="649"/>
      <c r="AI229" s="649"/>
      <c r="AP229" s="576"/>
      <c r="AQ229" s="576"/>
      <c r="AW229" s="613">
        <v>226</v>
      </c>
      <c r="AX229" s="614" t="s">
        <v>3653</v>
      </c>
    </row>
    <row r="230" spans="34:50" x14ac:dyDescent="0.25">
      <c r="AH230" s="649"/>
      <c r="AI230" s="649"/>
      <c r="AP230" s="576"/>
      <c r="AQ230" s="576"/>
      <c r="AW230" s="613">
        <v>227</v>
      </c>
      <c r="AX230" s="614" t="s">
        <v>3654</v>
      </c>
    </row>
    <row r="231" spans="34:50" x14ac:dyDescent="0.25">
      <c r="AH231" s="649"/>
      <c r="AI231" s="649"/>
      <c r="AP231" s="576"/>
      <c r="AQ231" s="576"/>
      <c r="AW231" s="613">
        <v>228</v>
      </c>
      <c r="AX231" s="614" t="s">
        <v>3655</v>
      </c>
    </row>
    <row r="232" spans="34:50" x14ac:dyDescent="0.25">
      <c r="AH232" s="649"/>
      <c r="AI232" s="649"/>
      <c r="AP232" s="576"/>
      <c r="AQ232" s="576"/>
      <c r="AW232" s="613">
        <v>229</v>
      </c>
      <c r="AX232" s="614" t="s">
        <v>3656</v>
      </c>
    </row>
    <row r="233" spans="34:50" x14ac:dyDescent="0.25">
      <c r="AH233" s="649"/>
      <c r="AI233" s="649"/>
      <c r="AP233" s="576"/>
      <c r="AQ233" s="576"/>
      <c r="AW233" s="613">
        <v>230</v>
      </c>
      <c r="AX233" s="614" t="s">
        <v>3657</v>
      </c>
    </row>
    <row r="234" spans="34:50" x14ac:dyDescent="0.25">
      <c r="AH234" s="649"/>
      <c r="AI234" s="649"/>
      <c r="AP234" s="576"/>
      <c r="AQ234" s="576"/>
      <c r="AW234" s="613">
        <v>231</v>
      </c>
      <c r="AX234" s="614" t="s">
        <v>3658</v>
      </c>
    </row>
    <row r="235" spans="34:50" x14ac:dyDescent="0.25">
      <c r="AH235" s="649"/>
      <c r="AI235" s="649"/>
      <c r="AP235" s="576"/>
      <c r="AQ235" s="576"/>
      <c r="AW235" s="613">
        <v>232</v>
      </c>
      <c r="AX235" s="614" t="s">
        <v>3659</v>
      </c>
    </row>
    <row r="236" spans="34:50" x14ac:dyDescent="0.25">
      <c r="AH236" s="649"/>
      <c r="AI236" s="649"/>
      <c r="AP236" s="576"/>
      <c r="AQ236" s="576"/>
      <c r="AW236" s="613">
        <v>233</v>
      </c>
      <c r="AX236" s="614" t="s">
        <v>3660</v>
      </c>
    </row>
    <row r="237" spans="34:50" x14ac:dyDescent="0.25">
      <c r="AH237" s="649"/>
      <c r="AI237" s="649"/>
      <c r="AP237" s="576"/>
      <c r="AQ237" s="576"/>
      <c r="AW237" s="613">
        <v>234</v>
      </c>
      <c r="AX237" s="614" t="s">
        <v>3661</v>
      </c>
    </row>
    <row r="238" spans="34:50" x14ac:dyDescent="0.25">
      <c r="AH238" s="649"/>
      <c r="AI238" s="649"/>
      <c r="AW238" s="613">
        <v>235</v>
      </c>
      <c r="AX238" s="614" t="s">
        <v>3662</v>
      </c>
    </row>
    <row r="239" spans="34:50" x14ac:dyDescent="0.25">
      <c r="AH239" s="649"/>
      <c r="AI239" s="649"/>
      <c r="AW239" s="613">
        <v>236</v>
      </c>
      <c r="AX239" s="614" t="s">
        <v>3663</v>
      </c>
    </row>
    <row r="240" spans="34:50" x14ac:dyDescent="0.25">
      <c r="AH240" s="649"/>
      <c r="AI240" s="649"/>
      <c r="AW240" s="613">
        <v>237</v>
      </c>
      <c r="AX240" s="614" t="s">
        <v>3664</v>
      </c>
    </row>
    <row r="241" spans="34:50" x14ac:dyDescent="0.25">
      <c r="AH241" s="649"/>
      <c r="AI241" s="649"/>
      <c r="AW241" s="613">
        <v>238</v>
      </c>
      <c r="AX241" s="614" t="s">
        <v>3665</v>
      </c>
    </row>
    <row r="242" spans="34:50" x14ac:dyDescent="0.25">
      <c r="AH242" s="649"/>
      <c r="AI242" s="649"/>
      <c r="AW242" s="613">
        <v>239</v>
      </c>
      <c r="AX242" s="614" t="s">
        <v>3666</v>
      </c>
    </row>
    <row r="243" spans="34:50" x14ac:dyDescent="0.25">
      <c r="AW243" s="613">
        <v>240</v>
      </c>
      <c r="AX243" s="614" t="s">
        <v>3667</v>
      </c>
    </row>
    <row r="244" spans="34:50" x14ac:dyDescent="0.25">
      <c r="AW244" s="613">
        <v>241</v>
      </c>
      <c r="AX244" s="614" t="s">
        <v>3668</v>
      </c>
    </row>
    <row r="245" spans="34:50" x14ac:dyDescent="0.25">
      <c r="AW245" s="613">
        <v>242</v>
      </c>
      <c r="AX245" s="614" t="s">
        <v>3669</v>
      </c>
    </row>
    <row r="246" spans="34:50" x14ac:dyDescent="0.25">
      <c r="AW246" s="613">
        <v>243</v>
      </c>
      <c r="AX246" s="614" t="s">
        <v>3670</v>
      </c>
    </row>
    <row r="247" spans="34:50" x14ac:dyDescent="0.25">
      <c r="AW247" s="613">
        <v>244</v>
      </c>
      <c r="AX247" s="614" t="s">
        <v>3671</v>
      </c>
    </row>
    <row r="248" spans="34:50" x14ac:dyDescent="0.25">
      <c r="AW248" s="613">
        <v>245</v>
      </c>
      <c r="AX248" s="614" t="s">
        <v>3672</v>
      </c>
    </row>
    <row r="249" spans="34:50" x14ac:dyDescent="0.25">
      <c r="AW249" s="613">
        <v>246</v>
      </c>
      <c r="AX249" s="614" t="s">
        <v>261</v>
      </c>
    </row>
    <row r="250" spans="34:50" x14ac:dyDescent="0.25">
      <c r="AW250" s="613">
        <v>247</v>
      </c>
      <c r="AX250" s="614" t="s">
        <v>3673</v>
      </c>
    </row>
    <row r="251" spans="34:50" x14ac:dyDescent="0.25">
      <c r="AW251" s="613">
        <v>248</v>
      </c>
      <c r="AX251" s="614" t="s">
        <v>3674</v>
      </c>
    </row>
    <row r="252" spans="34:50" x14ac:dyDescent="0.25">
      <c r="AW252" s="613">
        <v>249</v>
      </c>
      <c r="AX252" s="614" t="s">
        <v>3675</v>
      </c>
    </row>
    <row r="253" spans="34:50" x14ac:dyDescent="0.25">
      <c r="AW253" s="613">
        <v>250</v>
      </c>
      <c r="AX253" s="614" t="s">
        <v>3676</v>
      </c>
    </row>
    <row r="254" spans="34:50" x14ac:dyDescent="0.25">
      <c r="AW254" s="613">
        <v>251</v>
      </c>
      <c r="AX254" s="614" t="s">
        <v>3677</v>
      </c>
    </row>
    <row r="255" spans="34:50" x14ac:dyDescent="0.25">
      <c r="AW255" s="613">
        <v>252</v>
      </c>
      <c r="AX255" s="614" t="s">
        <v>3678</v>
      </c>
    </row>
    <row r="256" spans="34:50" x14ac:dyDescent="0.25">
      <c r="AW256" s="613">
        <v>253</v>
      </c>
      <c r="AX256" s="614" t="s">
        <v>3679</v>
      </c>
    </row>
    <row r="257" spans="49:50" x14ac:dyDescent="0.25">
      <c r="AW257" s="613">
        <v>254</v>
      </c>
      <c r="AX257" s="614" t="s">
        <v>3680</v>
      </c>
    </row>
    <row r="258" spans="49:50" x14ac:dyDescent="0.25">
      <c r="AW258" s="613">
        <v>255</v>
      </c>
      <c r="AX258" s="614" t="s">
        <v>3681</v>
      </c>
    </row>
    <row r="259" spans="49:50" x14ac:dyDescent="0.25">
      <c r="AW259" s="613">
        <v>256</v>
      </c>
      <c r="AX259" s="614" t="s">
        <v>3682</v>
      </c>
    </row>
    <row r="260" spans="49:50" x14ac:dyDescent="0.25">
      <c r="AW260" s="613">
        <v>257</v>
      </c>
      <c r="AX260" s="614" t="s">
        <v>3683</v>
      </c>
    </row>
    <row r="261" spans="49:50" x14ac:dyDescent="0.25">
      <c r="AW261" s="613">
        <v>258</v>
      </c>
      <c r="AX261" s="614" t="s">
        <v>3684</v>
      </c>
    </row>
    <row r="262" spans="49:50" x14ac:dyDescent="0.25">
      <c r="AW262" s="613">
        <v>259</v>
      </c>
      <c r="AX262" s="614" t="s">
        <v>3685</v>
      </c>
    </row>
    <row r="263" spans="49:50" x14ac:dyDescent="0.25">
      <c r="AW263" s="613">
        <v>260</v>
      </c>
      <c r="AX263" s="614" t="s">
        <v>3686</v>
      </c>
    </row>
    <row r="264" spans="49:50" x14ac:dyDescent="0.25">
      <c r="AW264" s="613">
        <v>261</v>
      </c>
      <c r="AX264" s="614" t="s">
        <v>3687</v>
      </c>
    </row>
    <row r="265" spans="49:50" x14ac:dyDescent="0.25">
      <c r="AW265" s="613">
        <v>262</v>
      </c>
      <c r="AX265" s="614" t="s">
        <v>3688</v>
      </c>
    </row>
    <row r="266" spans="49:50" x14ac:dyDescent="0.25">
      <c r="AW266" s="613">
        <v>263</v>
      </c>
      <c r="AX266" s="614" t="s">
        <v>3689</v>
      </c>
    </row>
    <row r="267" spans="49:50" x14ac:dyDescent="0.25">
      <c r="AW267" s="613">
        <v>264</v>
      </c>
      <c r="AX267" s="614" t="s">
        <v>3690</v>
      </c>
    </row>
    <row r="268" spans="49:50" x14ac:dyDescent="0.25">
      <c r="AW268" s="613">
        <v>265</v>
      </c>
      <c r="AX268" s="614" t="s">
        <v>3691</v>
      </c>
    </row>
    <row r="269" spans="49:50" x14ac:dyDescent="0.25">
      <c r="AW269" s="613">
        <v>266</v>
      </c>
      <c r="AX269" s="614" t="s">
        <v>3692</v>
      </c>
    </row>
    <row r="270" spans="49:50" x14ac:dyDescent="0.25">
      <c r="AW270" s="613">
        <v>267</v>
      </c>
      <c r="AX270" s="614" t="s">
        <v>3693</v>
      </c>
    </row>
    <row r="271" spans="49:50" x14ac:dyDescent="0.25">
      <c r="AW271" s="613">
        <v>268</v>
      </c>
      <c r="AX271" s="614" t="s">
        <v>3694</v>
      </c>
    </row>
    <row r="272" spans="49:50" x14ac:dyDescent="0.25">
      <c r="AW272" s="613">
        <v>269</v>
      </c>
      <c r="AX272" s="614" t="s">
        <v>3695</v>
      </c>
    </row>
    <row r="273" spans="49:50" x14ac:dyDescent="0.25">
      <c r="AW273" s="613">
        <v>270</v>
      </c>
      <c r="AX273" s="614" t="s">
        <v>3696</v>
      </c>
    </row>
    <row r="274" spans="49:50" x14ac:dyDescent="0.25">
      <c r="AW274" s="613">
        <v>271</v>
      </c>
      <c r="AX274" s="614" t="s">
        <v>3697</v>
      </c>
    </row>
    <row r="275" spans="49:50" x14ac:dyDescent="0.25">
      <c r="AW275" s="613">
        <v>272</v>
      </c>
      <c r="AX275" s="614" t="s">
        <v>3698</v>
      </c>
    </row>
    <row r="276" spans="49:50" x14ac:dyDescent="0.25">
      <c r="AW276" s="613">
        <v>273</v>
      </c>
      <c r="AX276" s="614" t="s">
        <v>3699</v>
      </c>
    </row>
    <row r="277" spans="49:50" x14ac:dyDescent="0.25">
      <c r="AW277" s="613">
        <v>274</v>
      </c>
      <c r="AX277" s="614" t="s">
        <v>3700</v>
      </c>
    </row>
    <row r="278" spans="49:50" x14ac:dyDescent="0.25">
      <c r="AW278" s="613">
        <v>275</v>
      </c>
      <c r="AX278" s="614" t="s">
        <v>3701</v>
      </c>
    </row>
    <row r="279" spans="49:50" x14ac:dyDescent="0.25">
      <c r="AW279" s="613">
        <v>276</v>
      </c>
      <c r="AX279" s="614" t="s">
        <v>3702</v>
      </c>
    </row>
    <row r="280" spans="49:50" x14ac:dyDescent="0.25">
      <c r="AW280" s="613">
        <v>277</v>
      </c>
      <c r="AX280" s="614" t="s">
        <v>3703</v>
      </c>
    </row>
    <row r="281" spans="49:50" x14ac:dyDescent="0.25">
      <c r="AW281" s="613">
        <v>278</v>
      </c>
      <c r="AX281" s="614" t="s">
        <v>3704</v>
      </c>
    </row>
    <row r="282" spans="49:50" x14ac:dyDescent="0.25">
      <c r="AW282" s="613">
        <v>279</v>
      </c>
      <c r="AX282" s="614" t="s">
        <v>3705</v>
      </c>
    </row>
    <row r="283" spans="49:50" x14ac:dyDescent="0.25">
      <c r="AW283" s="613">
        <v>280</v>
      </c>
      <c r="AX283" s="614" t="s">
        <v>3706</v>
      </c>
    </row>
    <row r="284" spans="49:50" x14ac:dyDescent="0.25">
      <c r="AW284" s="613">
        <v>281</v>
      </c>
      <c r="AX284" s="614" t="s">
        <v>3707</v>
      </c>
    </row>
    <row r="285" spans="49:50" x14ac:dyDescent="0.25">
      <c r="AW285" s="613">
        <v>282</v>
      </c>
      <c r="AX285" s="614" t="s">
        <v>3708</v>
      </c>
    </row>
    <row r="286" spans="49:50" x14ac:dyDescent="0.25">
      <c r="AW286" s="613">
        <v>283</v>
      </c>
      <c r="AX286" s="614" t="s">
        <v>3709</v>
      </c>
    </row>
    <row r="287" spans="49:50" x14ac:dyDescent="0.25">
      <c r="AW287" s="613">
        <v>284</v>
      </c>
      <c r="AX287" s="614" t="s">
        <v>3710</v>
      </c>
    </row>
    <row r="288" spans="49:50" x14ac:dyDescent="0.25">
      <c r="AW288" s="613">
        <v>285</v>
      </c>
      <c r="AX288" s="614" t="s">
        <v>3711</v>
      </c>
    </row>
    <row r="289" spans="49:50" x14ac:dyDescent="0.25">
      <c r="AW289" s="613">
        <v>286</v>
      </c>
      <c r="AX289" s="614" t="s">
        <v>3712</v>
      </c>
    </row>
    <row r="290" spans="49:50" x14ac:dyDescent="0.25">
      <c r="AW290" s="613">
        <v>287</v>
      </c>
      <c r="AX290" s="614" t="s">
        <v>3713</v>
      </c>
    </row>
    <row r="291" spans="49:50" x14ac:dyDescent="0.25">
      <c r="AW291" s="613">
        <v>288</v>
      </c>
      <c r="AX291" s="614" t="s">
        <v>3714</v>
      </c>
    </row>
    <row r="292" spans="49:50" x14ac:dyDescent="0.25">
      <c r="AW292" s="613">
        <v>289</v>
      </c>
      <c r="AX292" s="614" t="s">
        <v>3715</v>
      </c>
    </row>
    <row r="293" spans="49:50" x14ac:dyDescent="0.25">
      <c r="AW293" s="613">
        <v>290</v>
      </c>
      <c r="AX293" s="614" t="s">
        <v>3716</v>
      </c>
    </row>
    <row r="294" spans="49:50" x14ac:dyDescent="0.25">
      <c r="AW294" s="613">
        <v>291</v>
      </c>
      <c r="AX294" s="614" t="s">
        <v>3717</v>
      </c>
    </row>
    <row r="295" spans="49:50" x14ac:dyDescent="0.25">
      <c r="AW295" s="613">
        <v>292</v>
      </c>
      <c r="AX295" s="614" t="s">
        <v>3718</v>
      </c>
    </row>
    <row r="296" spans="49:50" x14ac:dyDescent="0.25">
      <c r="AW296" s="613">
        <v>293</v>
      </c>
      <c r="AX296" s="614" t="s">
        <v>3719</v>
      </c>
    </row>
    <row r="297" spans="49:50" x14ac:dyDescent="0.25">
      <c r="AW297" s="613">
        <v>294</v>
      </c>
      <c r="AX297" s="614" t="s">
        <v>3720</v>
      </c>
    </row>
    <row r="298" spans="49:50" x14ac:dyDescent="0.25">
      <c r="AW298" s="613">
        <v>295</v>
      </c>
      <c r="AX298" s="614" t="s">
        <v>3721</v>
      </c>
    </row>
    <row r="299" spans="49:50" x14ac:dyDescent="0.25">
      <c r="AW299" s="613">
        <v>296</v>
      </c>
      <c r="AX299" s="614" t="s">
        <v>3722</v>
      </c>
    </row>
    <row r="300" spans="49:50" x14ac:dyDescent="0.25">
      <c r="AW300" s="613">
        <v>297</v>
      </c>
      <c r="AX300" s="614" t="s">
        <v>3723</v>
      </c>
    </row>
    <row r="301" spans="49:50" x14ac:dyDescent="0.25">
      <c r="AW301" s="613">
        <v>298</v>
      </c>
      <c r="AX301" s="614" t="s">
        <v>3724</v>
      </c>
    </row>
    <row r="302" spans="49:50" x14ac:dyDescent="0.25">
      <c r="AW302" s="613">
        <v>299</v>
      </c>
      <c r="AX302" s="614" t="s">
        <v>3725</v>
      </c>
    </row>
    <row r="303" spans="49:50" x14ac:dyDescent="0.25">
      <c r="AW303" s="613">
        <v>300</v>
      </c>
      <c r="AX303" s="614" t="s">
        <v>3726</v>
      </c>
    </row>
    <row r="304" spans="49:50" x14ac:dyDescent="0.25">
      <c r="AW304" s="613">
        <v>301</v>
      </c>
      <c r="AX304" s="614" t="s">
        <v>3727</v>
      </c>
    </row>
    <row r="305" spans="49:50" x14ac:dyDescent="0.25">
      <c r="AW305" s="613">
        <v>302</v>
      </c>
      <c r="AX305" s="614" t="s">
        <v>3728</v>
      </c>
    </row>
    <row r="306" spans="49:50" x14ac:dyDescent="0.25">
      <c r="AW306" s="613">
        <v>303</v>
      </c>
      <c r="AX306" s="614" t="s">
        <v>3729</v>
      </c>
    </row>
    <row r="307" spans="49:50" x14ac:dyDescent="0.25">
      <c r="AW307" s="613">
        <v>304</v>
      </c>
      <c r="AX307" s="614" t="s">
        <v>3730</v>
      </c>
    </row>
    <row r="308" spans="49:50" x14ac:dyDescent="0.25">
      <c r="AW308" s="613">
        <v>305</v>
      </c>
      <c r="AX308" s="614" t="s">
        <v>3731</v>
      </c>
    </row>
    <row r="309" spans="49:50" x14ac:dyDescent="0.25">
      <c r="AW309" s="613">
        <v>306</v>
      </c>
      <c r="AX309" s="614" t="s">
        <v>3732</v>
      </c>
    </row>
    <row r="310" spans="49:50" x14ac:dyDescent="0.25">
      <c r="AW310" s="613">
        <v>307</v>
      </c>
      <c r="AX310" s="614" t="s">
        <v>3733</v>
      </c>
    </row>
    <row r="311" spans="49:50" x14ac:dyDescent="0.25">
      <c r="AW311" s="613">
        <v>308</v>
      </c>
      <c r="AX311" s="614" t="s">
        <v>3734</v>
      </c>
    </row>
    <row r="312" spans="49:50" x14ac:dyDescent="0.25">
      <c r="AW312" s="613">
        <v>309</v>
      </c>
      <c r="AX312" s="614" t="s">
        <v>3735</v>
      </c>
    </row>
    <row r="313" spans="49:50" x14ac:dyDescent="0.25">
      <c r="AW313" s="613">
        <v>310</v>
      </c>
      <c r="AX313" s="614" t="s">
        <v>3736</v>
      </c>
    </row>
    <row r="314" spans="49:50" x14ac:dyDescent="0.25">
      <c r="AW314" s="613">
        <v>311</v>
      </c>
      <c r="AX314" s="614" t="s">
        <v>3737</v>
      </c>
    </row>
    <row r="315" spans="49:50" x14ac:dyDescent="0.25">
      <c r="AW315" s="613">
        <v>312</v>
      </c>
      <c r="AX315" s="614" t="s">
        <v>3738</v>
      </c>
    </row>
    <row r="316" spans="49:50" x14ac:dyDescent="0.25">
      <c r="AW316" s="613">
        <v>313</v>
      </c>
      <c r="AX316" s="614" t="s">
        <v>3739</v>
      </c>
    </row>
    <row r="317" spans="49:50" x14ac:dyDescent="0.25">
      <c r="AW317" s="613">
        <v>314</v>
      </c>
      <c r="AX317" s="614" t="s">
        <v>3740</v>
      </c>
    </row>
    <row r="318" spans="49:50" x14ac:dyDescent="0.25">
      <c r="AW318" s="613">
        <v>315</v>
      </c>
      <c r="AX318" s="614" t="s">
        <v>3741</v>
      </c>
    </row>
    <row r="319" spans="49:50" x14ac:dyDescent="0.25">
      <c r="AW319" s="613">
        <v>316</v>
      </c>
      <c r="AX319" s="614" t="s">
        <v>3742</v>
      </c>
    </row>
    <row r="320" spans="49:50" x14ac:dyDescent="0.25">
      <c r="AW320" s="613">
        <v>317</v>
      </c>
      <c r="AX320" s="614" t="s">
        <v>3743</v>
      </c>
    </row>
    <row r="321" spans="49:50" x14ac:dyDescent="0.25">
      <c r="AW321" s="613">
        <v>318</v>
      </c>
      <c r="AX321" s="614" t="s">
        <v>3744</v>
      </c>
    </row>
    <row r="322" spans="49:50" x14ac:dyDescent="0.25">
      <c r="AW322" s="613">
        <v>319</v>
      </c>
      <c r="AX322" s="614" t="s">
        <v>3745</v>
      </c>
    </row>
    <row r="323" spans="49:50" x14ac:dyDescent="0.25">
      <c r="AW323" s="613">
        <v>320</v>
      </c>
      <c r="AX323" s="614" t="s">
        <v>385</v>
      </c>
    </row>
    <row r="324" spans="49:50" x14ac:dyDescent="0.25">
      <c r="AW324" s="613">
        <v>321</v>
      </c>
      <c r="AX324" s="614" t="s">
        <v>3746</v>
      </c>
    </row>
    <row r="325" spans="49:50" x14ac:dyDescent="0.25">
      <c r="AW325" s="613">
        <v>322</v>
      </c>
      <c r="AX325" s="614" t="s">
        <v>3747</v>
      </c>
    </row>
    <row r="326" spans="49:50" x14ac:dyDescent="0.25">
      <c r="AW326" s="613">
        <v>323</v>
      </c>
      <c r="AX326" s="614" t="s">
        <v>3748</v>
      </c>
    </row>
    <row r="327" spans="49:50" x14ac:dyDescent="0.25">
      <c r="AW327" s="613">
        <v>324</v>
      </c>
      <c r="AX327" s="614" t="s">
        <v>3749</v>
      </c>
    </row>
    <row r="328" spans="49:50" x14ac:dyDescent="0.25">
      <c r="AW328" s="613">
        <v>325</v>
      </c>
      <c r="AX328" s="614" t="s">
        <v>3750</v>
      </c>
    </row>
    <row r="329" spans="49:50" x14ac:dyDescent="0.25">
      <c r="AW329" s="613">
        <v>326</v>
      </c>
      <c r="AX329" s="614" t="s">
        <v>3751</v>
      </c>
    </row>
    <row r="330" spans="49:50" x14ac:dyDescent="0.25">
      <c r="AW330" s="613">
        <v>327</v>
      </c>
      <c r="AX330" s="614" t="s">
        <v>3752</v>
      </c>
    </row>
    <row r="331" spans="49:50" x14ac:dyDescent="0.25">
      <c r="AW331" s="613">
        <v>328</v>
      </c>
      <c r="AX331" s="614" t="s">
        <v>3753</v>
      </c>
    </row>
    <row r="332" spans="49:50" x14ac:dyDescent="0.25">
      <c r="AW332" s="613">
        <v>329</v>
      </c>
      <c r="AX332" s="614" t="s">
        <v>3754</v>
      </c>
    </row>
    <row r="333" spans="49:50" x14ac:dyDescent="0.25">
      <c r="AW333" s="613">
        <v>330</v>
      </c>
      <c r="AX333" s="614" t="s">
        <v>432</v>
      </c>
    </row>
    <row r="334" spans="49:50" x14ac:dyDescent="0.25">
      <c r="AW334" s="613">
        <v>331</v>
      </c>
      <c r="AX334" s="614" t="s">
        <v>3755</v>
      </c>
    </row>
    <row r="335" spans="49:50" x14ac:dyDescent="0.25">
      <c r="AW335" s="613">
        <v>332</v>
      </c>
      <c r="AX335" s="614" t="s">
        <v>3756</v>
      </c>
    </row>
    <row r="336" spans="49:50" x14ac:dyDescent="0.25">
      <c r="AW336" s="613">
        <v>333</v>
      </c>
      <c r="AX336" s="614" t="s">
        <v>3757</v>
      </c>
    </row>
    <row r="337" spans="49:50" x14ac:dyDescent="0.25">
      <c r="AW337" s="613">
        <v>334</v>
      </c>
      <c r="AX337" s="614" t="s">
        <v>3758</v>
      </c>
    </row>
    <row r="338" spans="49:50" x14ac:dyDescent="0.25">
      <c r="AW338" s="613">
        <v>335</v>
      </c>
      <c r="AX338" s="614" t="s">
        <v>3759</v>
      </c>
    </row>
    <row r="339" spans="49:50" x14ac:dyDescent="0.25">
      <c r="AW339" s="613">
        <v>336</v>
      </c>
      <c r="AX339" s="614" t="s">
        <v>3760</v>
      </c>
    </row>
    <row r="340" spans="49:50" x14ac:dyDescent="0.25">
      <c r="AW340" s="613">
        <v>337</v>
      </c>
      <c r="AX340" s="614" t="s">
        <v>3761</v>
      </c>
    </row>
    <row r="341" spans="49:50" x14ac:dyDescent="0.25">
      <c r="AW341" s="613">
        <v>338</v>
      </c>
      <c r="AX341" s="614" t="s">
        <v>3762</v>
      </c>
    </row>
    <row r="342" spans="49:50" x14ac:dyDescent="0.25">
      <c r="AW342" s="613">
        <v>339</v>
      </c>
      <c r="AX342" s="614" t="s">
        <v>3763</v>
      </c>
    </row>
    <row r="343" spans="49:50" x14ac:dyDescent="0.25">
      <c r="AW343" s="613">
        <v>340</v>
      </c>
      <c r="AX343" s="614" t="s">
        <v>3764</v>
      </c>
    </row>
    <row r="344" spans="49:50" x14ac:dyDescent="0.25">
      <c r="AW344" s="613">
        <v>341</v>
      </c>
      <c r="AX344" s="614" t="s">
        <v>3765</v>
      </c>
    </row>
    <row r="345" spans="49:50" x14ac:dyDescent="0.25">
      <c r="AW345" s="613">
        <v>342</v>
      </c>
      <c r="AX345" s="614" t="s">
        <v>3766</v>
      </c>
    </row>
    <row r="346" spans="49:50" x14ac:dyDescent="0.25">
      <c r="AW346" s="613">
        <v>343</v>
      </c>
      <c r="AX346" s="614" t="s">
        <v>3767</v>
      </c>
    </row>
    <row r="347" spans="49:50" x14ac:dyDescent="0.25">
      <c r="AW347" s="613">
        <v>344</v>
      </c>
      <c r="AX347" s="614" t="s">
        <v>3768</v>
      </c>
    </row>
    <row r="348" spans="49:50" x14ac:dyDescent="0.25">
      <c r="AW348" s="613">
        <v>345</v>
      </c>
      <c r="AX348" s="614" t="s">
        <v>3769</v>
      </c>
    </row>
    <row r="349" spans="49:50" x14ac:dyDescent="0.25">
      <c r="AW349" s="613">
        <v>346</v>
      </c>
      <c r="AX349" s="614" t="s">
        <v>243</v>
      </c>
    </row>
    <row r="350" spans="49:50" x14ac:dyDescent="0.25">
      <c r="AW350" s="613">
        <v>347</v>
      </c>
      <c r="AX350" s="614" t="s">
        <v>3770</v>
      </c>
    </row>
    <row r="351" spans="49:50" x14ac:dyDescent="0.25">
      <c r="AW351" s="613">
        <v>348</v>
      </c>
      <c r="AX351" s="614" t="s">
        <v>3771</v>
      </c>
    </row>
    <row r="352" spans="49:50" x14ac:dyDescent="0.25">
      <c r="AW352" s="613">
        <v>349</v>
      </c>
      <c r="AX352" s="614" t="s">
        <v>3772</v>
      </c>
    </row>
    <row r="353" spans="49:50" x14ac:dyDescent="0.25">
      <c r="AW353" s="613">
        <v>350</v>
      </c>
      <c r="AX353" s="614" t="s">
        <v>3773</v>
      </c>
    </row>
    <row r="354" spans="49:50" x14ac:dyDescent="0.25">
      <c r="AW354" s="613">
        <v>351</v>
      </c>
      <c r="AX354" s="614" t="s">
        <v>3774</v>
      </c>
    </row>
    <row r="355" spans="49:50" x14ac:dyDescent="0.25">
      <c r="AW355" s="613">
        <v>352</v>
      </c>
      <c r="AX355" s="614" t="s">
        <v>3775</v>
      </c>
    </row>
    <row r="356" spans="49:50" x14ac:dyDescent="0.25">
      <c r="AW356" s="613">
        <v>353</v>
      </c>
      <c r="AX356" s="614" t="s">
        <v>3776</v>
      </c>
    </row>
    <row r="357" spans="49:50" x14ac:dyDescent="0.25">
      <c r="AW357" s="613">
        <v>354</v>
      </c>
      <c r="AX357" s="614" t="s">
        <v>3777</v>
      </c>
    </row>
    <row r="358" spans="49:50" x14ac:dyDescent="0.25">
      <c r="AW358" s="613">
        <v>355</v>
      </c>
      <c r="AX358" s="614" t="s">
        <v>3778</v>
      </c>
    </row>
    <row r="359" spans="49:50" x14ac:dyDescent="0.25">
      <c r="AW359" s="613">
        <v>356</v>
      </c>
      <c r="AX359" s="614" t="s">
        <v>3779</v>
      </c>
    </row>
    <row r="360" spans="49:50" x14ac:dyDescent="0.25">
      <c r="AW360" s="613">
        <v>357</v>
      </c>
      <c r="AX360" s="614" t="s">
        <v>3780</v>
      </c>
    </row>
    <row r="361" spans="49:50" x14ac:dyDescent="0.25">
      <c r="AW361" s="613">
        <v>358</v>
      </c>
      <c r="AX361" s="614" t="s">
        <v>3449</v>
      </c>
    </row>
    <row r="362" spans="49:50" x14ac:dyDescent="0.25">
      <c r="AW362" s="613">
        <v>359</v>
      </c>
      <c r="AX362" s="614" t="s">
        <v>3781</v>
      </c>
    </row>
    <row r="363" spans="49:50" x14ac:dyDescent="0.25">
      <c r="AW363" s="613">
        <v>360</v>
      </c>
      <c r="AX363" s="614" t="s">
        <v>249</v>
      </c>
    </row>
    <row r="364" spans="49:50" x14ac:dyDescent="0.25">
      <c r="AW364" s="613">
        <v>361</v>
      </c>
      <c r="AX364" s="614" t="s">
        <v>3782</v>
      </c>
    </row>
    <row r="365" spans="49:50" x14ac:dyDescent="0.25">
      <c r="AW365" s="613">
        <v>362</v>
      </c>
      <c r="AX365" s="614" t="s">
        <v>3783</v>
      </c>
    </row>
    <row r="366" spans="49:50" x14ac:dyDescent="0.25">
      <c r="AW366" s="613">
        <v>363</v>
      </c>
      <c r="AX366" s="614" t="s">
        <v>3784</v>
      </c>
    </row>
    <row r="367" spans="49:50" x14ac:dyDescent="0.25">
      <c r="AW367" s="613">
        <v>364</v>
      </c>
      <c r="AX367" s="614" t="s">
        <v>3785</v>
      </c>
    </row>
    <row r="368" spans="49:50" x14ac:dyDescent="0.25">
      <c r="AW368" s="613">
        <v>365</v>
      </c>
      <c r="AX368" s="614" t="s">
        <v>338</v>
      </c>
    </row>
    <row r="369" spans="49:50" x14ac:dyDescent="0.25">
      <c r="AW369" s="613">
        <v>366</v>
      </c>
      <c r="AX369" s="614" t="s">
        <v>3786</v>
      </c>
    </row>
    <row r="370" spans="49:50" x14ac:dyDescent="0.25">
      <c r="AW370" s="613">
        <v>367</v>
      </c>
      <c r="AX370" s="614" t="s">
        <v>3787</v>
      </c>
    </row>
    <row r="371" spans="49:50" x14ac:dyDescent="0.25">
      <c r="AW371" s="613">
        <v>368</v>
      </c>
      <c r="AX371" s="614" t="s">
        <v>3788</v>
      </c>
    </row>
    <row r="372" spans="49:50" x14ac:dyDescent="0.25">
      <c r="AW372" s="613">
        <v>369</v>
      </c>
      <c r="AX372" s="614" t="s">
        <v>3789</v>
      </c>
    </row>
    <row r="373" spans="49:50" x14ac:dyDescent="0.25">
      <c r="AW373" s="613">
        <v>370</v>
      </c>
      <c r="AX373" s="614" t="s">
        <v>3790</v>
      </c>
    </row>
    <row r="374" spans="49:50" x14ac:dyDescent="0.25">
      <c r="AW374" s="613">
        <v>371</v>
      </c>
      <c r="AX374" s="614" t="s">
        <v>3791</v>
      </c>
    </row>
    <row r="375" spans="49:50" x14ac:dyDescent="0.25">
      <c r="AW375" s="613">
        <v>372</v>
      </c>
      <c r="AX375" s="614" t="s">
        <v>3792</v>
      </c>
    </row>
    <row r="376" spans="49:50" x14ac:dyDescent="0.25">
      <c r="AW376" s="613">
        <v>373</v>
      </c>
      <c r="AX376" s="614" t="s">
        <v>3793</v>
      </c>
    </row>
    <row r="377" spans="49:50" x14ac:dyDescent="0.25">
      <c r="AW377" s="613">
        <v>374</v>
      </c>
      <c r="AX377" s="614" t="s">
        <v>3794</v>
      </c>
    </row>
    <row r="378" spans="49:50" x14ac:dyDescent="0.25">
      <c r="AW378" s="613">
        <v>375</v>
      </c>
      <c r="AX378" s="614" t="s">
        <v>3795</v>
      </c>
    </row>
    <row r="379" spans="49:50" x14ac:dyDescent="0.25">
      <c r="AW379" s="613">
        <v>376</v>
      </c>
      <c r="AX379" s="614" t="s">
        <v>3796</v>
      </c>
    </row>
    <row r="380" spans="49:50" x14ac:dyDescent="0.25">
      <c r="AW380" s="613">
        <v>377</v>
      </c>
      <c r="AX380" s="614" t="s">
        <v>3797</v>
      </c>
    </row>
    <row r="381" spans="49:50" x14ac:dyDescent="0.25">
      <c r="AW381" s="613">
        <v>378</v>
      </c>
      <c r="AX381" s="614" t="s">
        <v>3798</v>
      </c>
    </row>
    <row r="382" spans="49:50" x14ac:dyDescent="0.25">
      <c r="AW382" s="613">
        <v>379</v>
      </c>
      <c r="AX382" s="614" t="s">
        <v>3799</v>
      </c>
    </row>
    <row r="383" spans="49:50" x14ac:dyDescent="0.25">
      <c r="AW383" s="613">
        <v>380</v>
      </c>
      <c r="AX383" s="614" t="s">
        <v>3800</v>
      </c>
    </row>
    <row r="384" spans="49:50" x14ac:dyDescent="0.25">
      <c r="AW384" s="613">
        <v>381</v>
      </c>
      <c r="AX384" s="614" t="s">
        <v>3801</v>
      </c>
    </row>
    <row r="385" spans="49:50" x14ac:dyDescent="0.25">
      <c r="AW385" s="613">
        <v>382</v>
      </c>
      <c r="AX385" s="614" t="s">
        <v>3802</v>
      </c>
    </row>
    <row r="386" spans="49:50" x14ac:dyDescent="0.25">
      <c r="AW386" s="613">
        <v>383</v>
      </c>
      <c r="AX386" s="614" t="s">
        <v>3803</v>
      </c>
    </row>
    <row r="387" spans="49:50" x14ac:dyDescent="0.25">
      <c r="AW387" s="613">
        <v>384</v>
      </c>
      <c r="AX387" s="614" t="s">
        <v>3804</v>
      </c>
    </row>
    <row r="388" spans="49:50" x14ac:dyDescent="0.25">
      <c r="AW388" s="613">
        <v>385</v>
      </c>
      <c r="AX388" s="614" t="s">
        <v>3805</v>
      </c>
    </row>
    <row r="389" spans="49:50" x14ac:dyDescent="0.25">
      <c r="AW389" s="613">
        <v>386</v>
      </c>
      <c r="AX389" s="614" t="s">
        <v>3806</v>
      </c>
    </row>
    <row r="390" spans="49:50" x14ac:dyDescent="0.25">
      <c r="AW390" s="613">
        <v>387</v>
      </c>
      <c r="AX390" s="614" t="s">
        <v>3807</v>
      </c>
    </row>
    <row r="391" spans="49:50" x14ac:dyDescent="0.25">
      <c r="AW391" s="613">
        <v>388</v>
      </c>
      <c r="AX391" s="614" t="s">
        <v>3808</v>
      </c>
    </row>
    <row r="392" spans="49:50" x14ac:dyDescent="0.25">
      <c r="AW392" s="613">
        <v>389</v>
      </c>
      <c r="AX392" s="614" t="s">
        <v>3809</v>
      </c>
    </row>
    <row r="393" spans="49:50" x14ac:dyDescent="0.25">
      <c r="AW393" s="613">
        <v>390</v>
      </c>
      <c r="AX393" s="614" t="s">
        <v>3810</v>
      </c>
    </row>
    <row r="394" spans="49:50" x14ac:dyDescent="0.25">
      <c r="AW394" s="613">
        <v>391</v>
      </c>
      <c r="AX394" s="614" t="s">
        <v>3811</v>
      </c>
    </row>
    <row r="395" spans="49:50" x14ac:dyDescent="0.25">
      <c r="AW395" s="613">
        <v>392</v>
      </c>
      <c r="AX395" s="614" t="s">
        <v>3812</v>
      </c>
    </row>
    <row r="396" spans="49:50" x14ac:dyDescent="0.25">
      <c r="AW396" s="613">
        <v>393</v>
      </c>
      <c r="AX396" s="614" t="s">
        <v>3813</v>
      </c>
    </row>
    <row r="397" spans="49:50" x14ac:dyDescent="0.25">
      <c r="AW397" s="613">
        <v>394</v>
      </c>
      <c r="AX397" s="614" t="s">
        <v>3814</v>
      </c>
    </row>
    <row r="398" spans="49:50" x14ac:dyDescent="0.25">
      <c r="AW398" s="613">
        <v>395</v>
      </c>
      <c r="AX398" s="614" t="s">
        <v>3815</v>
      </c>
    </row>
    <row r="399" spans="49:50" x14ac:dyDescent="0.25">
      <c r="AW399" s="613">
        <v>396</v>
      </c>
      <c r="AX399" s="614" t="s">
        <v>3816</v>
      </c>
    </row>
    <row r="400" spans="49:50" x14ac:dyDescent="0.25">
      <c r="AW400" s="613">
        <v>397</v>
      </c>
      <c r="AX400" s="614" t="s">
        <v>3817</v>
      </c>
    </row>
    <row r="401" spans="49:50" x14ac:dyDescent="0.25">
      <c r="AW401" s="613">
        <v>398</v>
      </c>
      <c r="AX401" s="614" t="s">
        <v>3818</v>
      </c>
    </row>
    <row r="402" spans="49:50" x14ac:dyDescent="0.25">
      <c r="AW402" s="613">
        <v>399</v>
      </c>
      <c r="AX402" s="614" t="s">
        <v>3819</v>
      </c>
    </row>
    <row r="403" spans="49:50" x14ac:dyDescent="0.25">
      <c r="AW403" s="613">
        <v>400</v>
      </c>
      <c r="AX403" s="614" t="s">
        <v>3820</v>
      </c>
    </row>
    <row r="404" spans="49:50" x14ac:dyDescent="0.25">
      <c r="AW404" s="613">
        <v>401</v>
      </c>
      <c r="AX404" s="614" t="s">
        <v>3821</v>
      </c>
    </row>
    <row r="405" spans="49:50" x14ac:dyDescent="0.25">
      <c r="AW405" s="613">
        <v>402</v>
      </c>
      <c r="AX405" s="614" t="s">
        <v>3822</v>
      </c>
    </row>
    <row r="406" spans="49:50" x14ac:dyDescent="0.25">
      <c r="AW406" s="613">
        <v>403</v>
      </c>
      <c r="AX406" s="614" t="s">
        <v>3823</v>
      </c>
    </row>
    <row r="407" spans="49:50" x14ac:dyDescent="0.25">
      <c r="AW407" s="613">
        <v>404</v>
      </c>
      <c r="AX407" s="614" t="s">
        <v>3824</v>
      </c>
    </row>
    <row r="408" spans="49:50" x14ac:dyDescent="0.25">
      <c r="AW408" s="613">
        <v>405</v>
      </c>
      <c r="AX408" s="614" t="s">
        <v>3825</v>
      </c>
    </row>
    <row r="409" spans="49:50" x14ac:dyDescent="0.25">
      <c r="AW409" s="613">
        <v>406</v>
      </c>
      <c r="AX409" s="614" t="s">
        <v>3826</v>
      </c>
    </row>
    <row r="410" spans="49:50" x14ac:dyDescent="0.25">
      <c r="AW410" s="613">
        <v>407</v>
      </c>
      <c r="AX410" s="614" t="s">
        <v>3827</v>
      </c>
    </row>
    <row r="411" spans="49:50" x14ac:dyDescent="0.25">
      <c r="AW411" s="613">
        <v>408</v>
      </c>
      <c r="AX411" s="614" t="s">
        <v>3828</v>
      </c>
    </row>
    <row r="412" spans="49:50" x14ac:dyDescent="0.25">
      <c r="AW412" s="613">
        <v>409</v>
      </c>
      <c r="AX412" s="614" t="s">
        <v>3829</v>
      </c>
    </row>
    <row r="413" spans="49:50" x14ac:dyDescent="0.25">
      <c r="AW413" s="613">
        <v>410</v>
      </c>
      <c r="AX413" s="614" t="s">
        <v>3830</v>
      </c>
    </row>
    <row r="414" spans="49:50" x14ac:dyDescent="0.25">
      <c r="AW414" s="613">
        <v>411</v>
      </c>
      <c r="AX414" s="614" t="s">
        <v>3831</v>
      </c>
    </row>
    <row r="415" spans="49:50" x14ac:dyDescent="0.25">
      <c r="AW415" s="613">
        <v>412</v>
      </c>
      <c r="AX415" s="614" t="s">
        <v>3832</v>
      </c>
    </row>
    <row r="416" spans="49:50" x14ac:dyDescent="0.25">
      <c r="AW416" s="613">
        <v>413</v>
      </c>
      <c r="AX416" s="614" t="s">
        <v>3833</v>
      </c>
    </row>
    <row r="417" spans="49:50" x14ac:dyDescent="0.25">
      <c r="AW417" s="613">
        <v>414</v>
      </c>
      <c r="AX417" s="614" t="s">
        <v>3834</v>
      </c>
    </row>
    <row r="418" spans="49:50" x14ac:dyDescent="0.25">
      <c r="AW418" s="613">
        <v>415</v>
      </c>
      <c r="AX418" s="614" t="s">
        <v>3835</v>
      </c>
    </row>
    <row r="419" spans="49:50" x14ac:dyDescent="0.25">
      <c r="AW419" s="613">
        <v>416</v>
      </c>
      <c r="AX419" s="614" t="s">
        <v>3836</v>
      </c>
    </row>
    <row r="420" spans="49:50" x14ac:dyDescent="0.25">
      <c r="AW420" s="613">
        <v>417</v>
      </c>
      <c r="AX420" s="614" t="s">
        <v>3492</v>
      </c>
    </row>
    <row r="421" spans="49:50" x14ac:dyDescent="0.25">
      <c r="AW421" s="613">
        <v>418</v>
      </c>
      <c r="AX421" s="614" t="s">
        <v>3837</v>
      </c>
    </row>
    <row r="422" spans="49:50" x14ac:dyDescent="0.25">
      <c r="AW422" s="613">
        <v>419</v>
      </c>
      <c r="AX422" s="614" t="s">
        <v>3838</v>
      </c>
    </row>
    <row r="423" spans="49:50" x14ac:dyDescent="0.25">
      <c r="AW423" s="613">
        <v>420</v>
      </c>
      <c r="AX423" s="614" t="s">
        <v>3839</v>
      </c>
    </row>
    <row r="424" spans="49:50" x14ac:dyDescent="0.25">
      <c r="AW424" s="613">
        <v>421</v>
      </c>
      <c r="AX424" s="614" t="s">
        <v>3840</v>
      </c>
    </row>
    <row r="425" spans="49:50" x14ac:dyDescent="0.25">
      <c r="AW425" s="613">
        <v>422</v>
      </c>
      <c r="AX425" s="614" t="s">
        <v>3841</v>
      </c>
    </row>
    <row r="426" spans="49:50" x14ac:dyDescent="0.25">
      <c r="AW426" s="613">
        <v>423</v>
      </c>
      <c r="AX426" s="614" t="s">
        <v>3842</v>
      </c>
    </row>
    <row r="427" spans="49:50" x14ac:dyDescent="0.25">
      <c r="AW427" s="613">
        <v>424</v>
      </c>
      <c r="AX427" s="614" t="s">
        <v>206</v>
      </c>
    </row>
    <row r="428" spans="49:50" x14ac:dyDescent="0.25">
      <c r="AW428" s="613">
        <v>425</v>
      </c>
      <c r="AX428" s="614" t="s">
        <v>3843</v>
      </c>
    </row>
    <row r="429" spans="49:50" x14ac:dyDescent="0.25">
      <c r="AW429" s="613">
        <v>426</v>
      </c>
      <c r="AX429" s="614" t="s">
        <v>3844</v>
      </c>
    </row>
    <row r="430" spans="49:50" x14ac:dyDescent="0.25">
      <c r="AW430" s="613">
        <v>427</v>
      </c>
      <c r="AX430" s="614" t="s">
        <v>3845</v>
      </c>
    </row>
    <row r="431" spans="49:50" x14ac:dyDescent="0.25">
      <c r="AW431" s="613">
        <v>428</v>
      </c>
      <c r="AX431" s="614" t="s">
        <v>3846</v>
      </c>
    </row>
    <row r="432" spans="49:50" x14ac:dyDescent="0.25">
      <c r="AW432" s="613">
        <v>429</v>
      </c>
      <c r="AX432" s="614" t="s">
        <v>3847</v>
      </c>
    </row>
    <row r="433" spans="49:50" x14ac:dyDescent="0.25">
      <c r="AW433" s="613">
        <v>430</v>
      </c>
      <c r="AX433" s="614" t="s">
        <v>3848</v>
      </c>
    </row>
    <row r="434" spans="49:50" x14ac:dyDescent="0.25">
      <c r="AW434" s="613">
        <v>431</v>
      </c>
      <c r="AX434" s="614" t="s">
        <v>3849</v>
      </c>
    </row>
    <row r="435" spans="49:50" x14ac:dyDescent="0.25">
      <c r="AW435" s="613">
        <v>432</v>
      </c>
      <c r="AX435" s="614" t="s">
        <v>3850</v>
      </c>
    </row>
    <row r="436" spans="49:50" x14ac:dyDescent="0.25">
      <c r="AW436" s="613">
        <v>433</v>
      </c>
      <c r="AX436" s="614" t="s">
        <v>3851</v>
      </c>
    </row>
    <row r="437" spans="49:50" x14ac:dyDescent="0.25">
      <c r="AW437" s="613">
        <v>434</v>
      </c>
      <c r="AX437" s="614" t="s">
        <v>3852</v>
      </c>
    </row>
    <row r="438" spans="49:50" x14ac:dyDescent="0.25">
      <c r="AW438" s="613">
        <v>435</v>
      </c>
      <c r="AX438" s="614" t="s">
        <v>3853</v>
      </c>
    </row>
    <row r="439" spans="49:50" x14ac:dyDescent="0.25">
      <c r="AW439" s="613">
        <v>436</v>
      </c>
      <c r="AX439" s="614" t="s">
        <v>3854</v>
      </c>
    </row>
    <row r="440" spans="49:50" x14ac:dyDescent="0.25">
      <c r="AW440" s="613">
        <v>437</v>
      </c>
      <c r="AX440" s="614" t="s">
        <v>3855</v>
      </c>
    </row>
    <row r="441" spans="49:50" x14ac:dyDescent="0.25">
      <c r="AW441" s="613">
        <v>438</v>
      </c>
      <c r="AX441" s="614" t="s">
        <v>3856</v>
      </c>
    </row>
    <row r="442" spans="49:50" x14ac:dyDescent="0.25">
      <c r="AW442" s="613">
        <v>439</v>
      </c>
      <c r="AX442" s="614" t="s">
        <v>3857</v>
      </c>
    </row>
    <row r="443" spans="49:50" x14ac:dyDescent="0.25">
      <c r="AW443" s="613">
        <v>440</v>
      </c>
      <c r="AX443" s="614" t="s">
        <v>3858</v>
      </c>
    </row>
    <row r="444" spans="49:50" x14ac:dyDescent="0.25">
      <c r="AW444" s="613">
        <v>441</v>
      </c>
      <c r="AX444" s="614" t="s">
        <v>3859</v>
      </c>
    </row>
    <row r="445" spans="49:50" x14ac:dyDescent="0.25">
      <c r="AW445" s="613">
        <v>442</v>
      </c>
      <c r="AX445" s="614" t="s">
        <v>3860</v>
      </c>
    </row>
    <row r="446" spans="49:50" x14ac:dyDescent="0.25">
      <c r="AW446" s="613">
        <v>443</v>
      </c>
      <c r="AX446" s="614" t="s">
        <v>3861</v>
      </c>
    </row>
    <row r="447" spans="49:50" x14ac:dyDescent="0.25">
      <c r="AW447" s="613">
        <v>444</v>
      </c>
      <c r="AX447" s="614" t="s">
        <v>3862</v>
      </c>
    </row>
    <row r="448" spans="49:50" x14ac:dyDescent="0.25">
      <c r="AW448" s="613">
        <v>445</v>
      </c>
      <c r="AX448" s="614" t="s">
        <v>3863</v>
      </c>
    </row>
    <row r="449" spans="49:50" x14ac:dyDescent="0.25">
      <c r="AW449" s="613">
        <v>446</v>
      </c>
      <c r="AX449" s="614" t="s">
        <v>3864</v>
      </c>
    </row>
    <row r="450" spans="49:50" x14ac:dyDescent="0.25">
      <c r="AW450" s="613">
        <v>447</v>
      </c>
      <c r="AX450" s="614" t="s">
        <v>3865</v>
      </c>
    </row>
    <row r="451" spans="49:50" x14ac:dyDescent="0.25">
      <c r="AW451" s="613">
        <v>448</v>
      </c>
      <c r="AX451" s="614" t="s">
        <v>3866</v>
      </c>
    </row>
    <row r="452" spans="49:50" x14ac:dyDescent="0.25">
      <c r="AW452" s="613">
        <v>449</v>
      </c>
      <c r="AX452" s="614" t="s">
        <v>3867</v>
      </c>
    </row>
    <row r="453" spans="49:50" x14ac:dyDescent="0.25">
      <c r="AW453" s="613">
        <v>450</v>
      </c>
      <c r="AX453" s="614" t="s">
        <v>3868</v>
      </c>
    </row>
    <row r="454" spans="49:50" x14ac:dyDescent="0.25">
      <c r="AW454" s="613">
        <v>451</v>
      </c>
      <c r="AX454" s="614" t="s">
        <v>3869</v>
      </c>
    </row>
    <row r="455" spans="49:50" x14ac:dyDescent="0.25">
      <c r="AW455" s="613">
        <v>452</v>
      </c>
      <c r="AX455" s="614" t="s">
        <v>3870</v>
      </c>
    </row>
    <row r="456" spans="49:50" x14ac:dyDescent="0.25">
      <c r="AW456" s="613">
        <v>453</v>
      </c>
      <c r="AX456" s="614" t="s">
        <v>3871</v>
      </c>
    </row>
    <row r="457" spans="49:50" x14ac:dyDescent="0.25">
      <c r="AW457" s="613">
        <v>454</v>
      </c>
      <c r="AX457" s="614" t="s">
        <v>251</v>
      </c>
    </row>
    <row r="458" spans="49:50" x14ac:dyDescent="0.25">
      <c r="AW458" s="613">
        <v>455</v>
      </c>
      <c r="AX458" s="614" t="s">
        <v>3872</v>
      </c>
    </row>
    <row r="459" spans="49:50" x14ac:dyDescent="0.25">
      <c r="AW459" s="613">
        <v>456</v>
      </c>
      <c r="AX459" s="614" t="s">
        <v>3873</v>
      </c>
    </row>
    <row r="460" spans="49:50" x14ac:dyDescent="0.25">
      <c r="AW460" s="613">
        <v>457</v>
      </c>
      <c r="AX460" s="614" t="s">
        <v>3874</v>
      </c>
    </row>
    <row r="461" spans="49:50" x14ac:dyDescent="0.25">
      <c r="AW461" s="613">
        <v>458</v>
      </c>
      <c r="AX461" s="614" t="s">
        <v>3875</v>
      </c>
    </row>
    <row r="462" spans="49:50" x14ac:dyDescent="0.25">
      <c r="AW462" s="613">
        <v>459</v>
      </c>
      <c r="AX462" s="614" t="s">
        <v>3876</v>
      </c>
    </row>
    <row r="463" spans="49:50" x14ac:dyDescent="0.25">
      <c r="AW463" s="613">
        <v>460</v>
      </c>
      <c r="AX463" s="614" t="s">
        <v>3877</v>
      </c>
    </row>
    <row r="464" spans="49:50" x14ac:dyDescent="0.25">
      <c r="AW464" s="613">
        <v>461</v>
      </c>
      <c r="AX464" s="614" t="s">
        <v>3878</v>
      </c>
    </row>
    <row r="465" spans="49:50" x14ac:dyDescent="0.25">
      <c r="AW465" s="613">
        <v>462</v>
      </c>
      <c r="AX465" s="614" t="s">
        <v>3879</v>
      </c>
    </row>
    <row r="466" spans="49:50" x14ac:dyDescent="0.25">
      <c r="AW466" s="613">
        <v>463</v>
      </c>
      <c r="AX466" s="614" t="s">
        <v>3880</v>
      </c>
    </row>
    <row r="467" spans="49:50" x14ac:dyDescent="0.25">
      <c r="AW467" s="613">
        <v>464</v>
      </c>
      <c r="AX467" s="614" t="s">
        <v>3881</v>
      </c>
    </row>
    <row r="468" spans="49:50" x14ac:dyDescent="0.25">
      <c r="AW468" s="613">
        <v>465</v>
      </c>
      <c r="AX468" s="614" t="s">
        <v>3882</v>
      </c>
    </row>
    <row r="469" spans="49:50" x14ac:dyDescent="0.25">
      <c r="AW469" s="613">
        <v>466</v>
      </c>
      <c r="AX469" s="614" t="s">
        <v>3883</v>
      </c>
    </row>
    <row r="470" spans="49:50" x14ac:dyDescent="0.25">
      <c r="AW470" s="613">
        <v>467</v>
      </c>
      <c r="AX470" s="614" t="s">
        <v>3884</v>
      </c>
    </row>
    <row r="471" spans="49:50" x14ac:dyDescent="0.25">
      <c r="AW471" s="613">
        <v>468</v>
      </c>
      <c r="AX471" s="614" t="s">
        <v>3885</v>
      </c>
    </row>
    <row r="472" spans="49:50" x14ac:dyDescent="0.25">
      <c r="AW472" s="613">
        <v>469</v>
      </c>
      <c r="AX472" s="614" t="s">
        <v>3886</v>
      </c>
    </row>
    <row r="473" spans="49:50" x14ac:dyDescent="0.25">
      <c r="AW473" s="613">
        <v>470</v>
      </c>
      <c r="AX473" s="614" t="s">
        <v>3887</v>
      </c>
    </row>
    <row r="474" spans="49:50" x14ac:dyDescent="0.25">
      <c r="AW474" s="613">
        <v>471</v>
      </c>
      <c r="AX474" s="614" t="s">
        <v>3888</v>
      </c>
    </row>
    <row r="475" spans="49:50" x14ac:dyDescent="0.25">
      <c r="AW475" s="613">
        <v>472</v>
      </c>
      <c r="AX475" s="614" t="s">
        <v>3889</v>
      </c>
    </row>
    <row r="476" spans="49:50" x14ac:dyDescent="0.25">
      <c r="AW476" s="613">
        <v>473</v>
      </c>
      <c r="AX476" s="614" t="s">
        <v>3890</v>
      </c>
    </row>
    <row r="477" spans="49:50" x14ac:dyDescent="0.25">
      <c r="AW477" s="613">
        <v>474</v>
      </c>
      <c r="AX477" s="614" t="s">
        <v>3891</v>
      </c>
    </row>
    <row r="478" spans="49:50" x14ac:dyDescent="0.25">
      <c r="AW478" s="613">
        <v>475</v>
      </c>
      <c r="AX478" s="614" t="s">
        <v>3892</v>
      </c>
    </row>
    <row r="479" spans="49:50" x14ac:dyDescent="0.25">
      <c r="AW479" s="613">
        <v>476</v>
      </c>
      <c r="AX479" s="614" t="s">
        <v>3893</v>
      </c>
    </row>
    <row r="480" spans="49:50" x14ac:dyDescent="0.25">
      <c r="AW480" s="613">
        <v>477</v>
      </c>
      <c r="AX480" s="614" t="s">
        <v>3894</v>
      </c>
    </row>
    <row r="481" spans="49:50" x14ac:dyDescent="0.25">
      <c r="AW481" s="613">
        <v>478</v>
      </c>
      <c r="AX481" s="614" t="s">
        <v>3895</v>
      </c>
    </row>
    <row r="482" spans="49:50" x14ac:dyDescent="0.25">
      <c r="AW482" s="613">
        <v>479</v>
      </c>
      <c r="AX482" s="614" t="s">
        <v>3896</v>
      </c>
    </row>
    <row r="483" spans="49:50" x14ac:dyDescent="0.25">
      <c r="AW483" s="613">
        <v>480</v>
      </c>
      <c r="AX483" s="614" t="s">
        <v>3897</v>
      </c>
    </row>
    <row r="484" spans="49:50" x14ac:dyDescent="0.25">
      <c r="AW484" s="613">
        <v>481</v>
      </c>
      <c r="AX484" s="614" t="s">
        <v>3898</v>
      </c>
    </row>
    <row r="485" spans="49:50" x14ac:dyDescent="0.25">
      <c r="AW485" s="613">
        <v>482</v>
      </c>
      <c r="AX485" s="614" t="s">
        <v>3899</v>
      </c>
    </row>
    <row r="486" spans="49:50" x14ac:dyDescent="0.25">
      <c r="AW486" s="613">
        <v>483</v>
      </c>
      <c r="AX486" s="614" t="s">
        <v>3900</v>
      </c>
    </row>
    <row r="487" spans="49:50" x14ac:dyDescent="0.25">
      <c r="AW487" s="613">
        <v>484</v>
      </c>
      <c r="AX487" s="614" t="s">
        <v>3901</v>
      </c>
    </row>
    <row r="488" spans="49:50" x14ac:dyDescent="0.25">
      <c r="AW488" s="613">
        <v>485</v>
      </c>
      <c r="AX488" s="614" t="s">
        <v>3902</v>
      </c>
    </row>
    <row r="489" spans="49:50" x14ac:dyDescent="0.25">
      <c r="AW489" s="613">
        <v>486</v>
      </c>
      <c r="AX489" s="614" t="s">
        <v>3903</v>
      </c>
    </row>
    <row r="490" spans="49:50" x14ac:dyDescent="0.25">
      <c r="AW490" s="613">
        <v>487</v>
      </c>
      <c r="AX490" s="614" t="s">
        <v>333</v>
      </c>
    </row>
    <row r="491" spans="49:50" x14ac:dyDescent="0.25">
      <c r="AW491" s="613">
        <v>488</v>
      </c>
      <c r="AX491" s="614" t="s">
        <v>3904</v>
      </c>
    </row>
    <row r="492" spans="49:50" x14ac:dyDescent="0.25">
      <c r="AW492" s="613">
        <v>489</v>
      </c>
      <c r="AX492" s="614" t="s">
        <v>3905</v>
      </c>
    </row>
    <row r="493" spans="49:50" x14ac:dyDescent="0.25">
      <c r="AW493" s="613">
        <v>490</v>
      </c>
      <c r="AX493" s="614" t="s">
        <v>3906</v>
      </c>
    </row>
    <row r="494" spans="49:50" x14ac:dyDescent="0.25">
      <c r="AW494" s="613">
        <v>491</v>
      </c>
      <c r="AX494" s="614" t="s">
        <v>3907</v>
      </c>
    </row>
    <row r="495" spans="49:50" x14ac:dyDescent="0.25">
      <c r="AW495" s="613">
        <v>492</v>
      </c>
      <c r="AX495" s="614" t="s">
        <v>3908</v>
      </c>
    </row>
    <row r="496" spans="49:50" x14ac:dyDescent="0.25">
      <c r="AW496" s="613">
        <v>493</v>
      </c>
      <c r="AX496" s="614" t="s">
        <v>3909</v>
      </c>
    </row>
    <row r="497" spans="49:50" x14ac:dyDescent="0.25">
      <c r="AW497" s="613">
        <v>494</v>
      </c>
      <c r="AX497" s="614" t="s">
        <v>3910</v>
      </c>
    </row>
    <row r="498" spans="49:50" x14ac:dyDescent="0.25">
      <c r="AW498" s="613">
        <v>495</v>
      </c>
      <c r="AX498" s="614" t="s">
        <v>3911</v>
      </c>
    </row>
    <row r="499" spans="49:50" x14ac:dyDescent="0.25">
      <c r="AW499" s="613">
        <v>496</v>
      </c>
      <c r="AX499" s="614" t="s">
        <v>3912</v>
      </c>
    </row>
    <row r="500" spans="49:50" x14ac:dyDescent="0.25">
      <c r="AW500" s="613">
        <v>497</v>
      </c>
      <c r="AX500" s="614" t="s">
        <v>3913</v>
      </c>
    </row>
    <row r="501" spans="49:50" x14ac:dyDescent="0.25">
      <c r="AW501" s="613">
        <v>498</v>
      </c>
      <c r="AX501" s="614" t="s">
        <v>3914</v>
      </c>
    </row>
    <row r="502" spans="49:50" x14ac:dyDescent="0.25">
      <c r="AW502" s="613">
        <v>499</v>
      </c>
      <c r="AX502" s="614" t="s">
        <v>3915</v>
      </c>
    </row>
    <row r="503" spans="49:50" x14ac:dyDescent="0.25">
      <c r="AW503" s="613">
        <v>500</v>
      </c>
      <c r="AX503" s="614" t="s">
        <v>3916</v>
      </c>
    </row>
    <row r="504" spans="49:50" x14ac:dyDescent="0.25">
      <c r="AW504" s="613">
        <v>501</v>
      </c>
      <c r="AX504" s="614" t="s">
        <v>3917</v>
      </c>
    </row>
    <row r="505" spans="49:50" x14ac:dyDescent="0.25">
      <c r="AW505" s="613">
        <v>502</v>
      </c>
      <c r="AX505" s="614" t="s">
        <v>293</v>
      </c>
    </row>
    <row r="506" spans="49:50" x14ac:dyDescent="0.25">
      <c r="AW506" s="613">
        <v>503</v>
      </c>
      <c r="AX506" s="614" t="s">
        <v>386</v>
      </c>
    </row>
    <row r="507" spans="49:50" x14ac:dyDescent="0.25">
      <c r="AW507" s="613">
        <v>504</v>
      </c>
      <c r="AX507" s="614" t="s">
        <v>3918</v>
      </c>
    </row>
    <row r="508" spans="49:50" x14ac:dyDescent="0.25">
      <c r="AW508" s="613">
        <v>505</v>
      </c>
      <c r="AX508" s="614" t="s">
        <v>3919</v>
      </c>
    </row>
    <row r="509" spans="49:50" x14ac:dyDescent="0.25">
      <c r="AW509" s="613">
        <v>506</v>
      </c>
      <c r="AX509" s="614" t="s">
        <v>3920</v>
      </c>
    </row>
    <row r="510" spans="49:50" x14ac:dyDescent="0.25">
      <c r="AW510" s="613">
        <v>507</v>
      </c>
      <c r="AX510" s="614" t="s">
        <v>3921</v>
      </c>
    </row>
    <row r="511" spans="49:50" x14ac:dyDescent="0.25">
      <c r="AW511" s="613">
        <v>508</v>
      </c>
      <c r="AX511" s="614" t="s">
        <v>3922</v>
      </c>
    </row>
    <row r="512" spans="49:50" x14ac:dyDescent="0.25">
      <c r="AW512" s="613">
        <v>509</v>
      </c>
      <c r="AX512" s="614" t="s">
        <v>3923</v>
      </c>
    </row>
    <row r="513" spans="49:50" x14ac:dyDescent="0.25">
      <c r="AW513" s="613">
        <v>510</v>
      </c>
      <c r="AX513" s="614" t="s">
        <v>3924</v>
      </c>
    </row>
    <row r="514" spans="49:50" x14ac:dyDescent="0.25">
      <c r="AW514" s="613">
        <v>511</v>
      </c>
      <c r="AX514" s="614" t="s">
        <v>3925</v>
      </c>
    </row>
    <row r="515" spans="49:50" x14ac:dyDescent="0.25">
      <c r="AW515" s="613">
        <v>512</v>
      </c>
      <c r="AX515" s="614" t="s">
        <v>3926</v>
      </c>
    </row>
    <row r="516" spans="49:50" x14ac:dyDescent="0.25">
      <c r="AW516" s="613">
        <v>513</v>
      </c>
      <c r="AX516" s="614" t="s">
        <v>3927</v>
      </c>
    </row>
    <row r="517" spans="49:50" x14ac:dyDescent="0.25">
      <c r="AW517" s="613">
        <v>514</v>
      </c>
      <c r="AX517" s="614" t="s">
        <v>3928</v>
      </c>
    </row>
    <row r="518" spans="49:50" x14ac:dyDescent="0.25">
      <c r="AW518" s="613">
        <v>515</v>
      </c>
      <c r="AX518" s="614" t="s">
        <v>3929</v>
      </c>
    </row>
    <row r="519" spans="49:50" x14ac:dyDescent="0.25">
      <c r="AW519" s="613">
        <v>516</v>
      </c>
      <c r="AX519" s="614" t="s">
        <v>296</v>
      </c>
    </row>
    <row r="520" spans="49:50" x14ac:dyDescent="0.25">
      <c r="AW520" s="613">
        <v>517</v>
      </c>
      <c r="AX520" s="614" t="s">
        <v>3930</v>
      </c>
    </row>
    <row r="521" spans="49:50" x14ac:dyDescent="0.25">
      <c r="AW521" s="613">
        <v>518</v>
      </c>
      <c r="AX521" s="614" t="s">
        <v>3931</v>
      </c>
    </row>
    <row r="522" spans="49:50" x14ac:dyDescent="0.25">
      <c r="AW522" s="613">
        <v>519</v>
      </c>
      <c r="AX522" s="614" t="s">
        <v>3932</v>
      </c>
    </row>
    <row r="523" spans="49:50" x14ac:dyDescent="0.25">
      <c r="AW523" s="613">
        <v>520</v>
      </c>
      <c r="AX523" s="614" t="s">
        <v>3933</v>
      </c>
    </row>
    <row r="524" spans="49:50" x14ac:dyDescent="0.25">
      <c r="AW524" s="613">
        <v>521</v>
      </c>
      <c r="AX524" s="614" t="s">
        <v>3934</v>
      </c>
    </row>
    <row r="525" spans="49:50" x14ac:dyDescent="0.25">
      <c r="AW525" s="613">
        <v>522</v>
      </c>
      <c r="AX525" s="614" t="s">
        <v>3935</v>
      </c>
    </row>
    <row r="526" spans="49:50" x14ac:dyDescent="0.25">
      <c r="AW526" s="613">
        <v>523</v>
      </c>
      <c r="AX526" s="614" t="s">
        <v>3936</v>
      </c>
    </row>
    <row r="527" spans="49:50" x14ac:dyDescent="0.25">
      <c r="AW527" s="613">
        <v>524</v>
      </c>
      <c r="AX527" s="614" t="s">
        <v>3937</v>
      </c>
    </row>
    <row r="528" spans="49:50" x14ac:dyDescent="0.25">
      <c r="AW528" s="613">
        <v>525</v>
      </c>
      <c r="AX528" s="614" t="s">
        <v>3938</v>
      </c>
    </row>
    <row r="529" spans="49:50" x14ac:dyDescent="0.25">
      <c r="AW529" s="613">
        <v>526</v>
      </c>
      <c r="AX529" s="614" t="s">
        <v>3939</v>
      </c>
    </row>
    <row r="530" spans="49:50" x14ac:dyDescent="0.25">
      <c r="AW530" s="613">
        <v>527</v>
      </c>
      <c r="AX530" s="614" t="s">
        <v>3940</v>
      </c>
    </row>
    <row r="531" spans="49:50" x14ac:dyDescent="0.25">
      <c r="AW531" s="613">
        <v>528</v>
      </c>
      <c r="AX531" s="614" t="s">
        <v>3941</v>
      </c>
    </row>
    <row r="532" spans="49:50" x14ac:dyDescent="0.25">
      <c r="AW532" s="613">
        <v>529</v>
      </c>
      <c r="AX532" s="614" t="s">
        <v>3942</v>
      </c>
    </row>
    <row r="533" spans="49:50" x14ac:dyDescent="0.25">
      <c r="AW533" s="613">
        <v>530</v>
      </c>
      <c r="AX533" s="614" t="s">
        <v>3943</v>
      </c>
    </row>
    <row r="534" spans="49:50" x14ac:dyDescent="0.25">
      <c r="AW534" s="613">
        <v>531</v>
      </c>
      <c r="AX534" s="614" t="s">
        <v>3944</v>
      </c>
    </row>
    <row r="535" spans="49:50" x14ac:dyDescent="0.25">
      <c r="AW535" s="613">
        <v>532</v>
      </c>
      <c r="AX535" s="614" t="s">
        <v>3945</v>
      </c>
    </row>
    <row r="536" spans="49:50" x14ac:dyDescent="0.25">
      <c r="AW536" s="613">
        <v>533</v>
      </c>
      <c r="AX536" s="614" t="s">
        <v>3946</v>
      </c>
    </row>
    <row r="537" spans="49:50" x14ac:dyDescent="0.25">
      <c r="AW537" s="613">
        <v>534</v>
      </c>
      <c r="AX537" s="614" t="s">
        <v>3947</v>
      </c>
    </row>
    <row r="538" spans="49:50" x14ac:dyDescent="0.25">
      <c r="AW538" s="613">
        <v>535</v>
      </c>
      <c r="AX538" s="614" t="s">
        <v>3948</v>
      </c>
    </row>
    <row r="539" spans="49:50" x14ac:dyDescent="0.25">
      <c r="AW539" s="613">
        <v>536</v>
      </c>
      <c r="AX539" s="614" t="s">
        <v>3949</v>
      </c>
    </row>
    <row r="540" spans="49:50" x14ac:dyDescent="0.25">
      <c r="AW540" s="613">
        <v>537</v>
      </c>
      <c r="AX540" s="614" t="s">
        <v>3950</v>
      </c>
    </row>
    <row r="541" spans="49:50" x14ac:dyDescent="0.25">
      <c r="AW541" s="613">
        <v>538</v>
      </c>
      <c r="AX541" s="614" t="s">
        <v>3951</v>
      </c>
    </row>
    <row r="542" spans="49:50" x14ac:dyDescent="0.25">
      <c r="AW542" s="613">
        <v>539</v>
      </c>
      <c r="AX542" s="614" t="s">
        <v>3952</v>
      </c>
    </row>
    <row r="543" spans="49:50" x14ac:dyDescent="0.25">
      <c r="AW543" s="613">
        <v>540</v>
      </c>
      <c r="AX543" s="614" t="s">
        <v>3953</v>
      </c>
    </row>
    <row r="544" spans="49:50" x14ac:dyDescent="0.25">
      <c r="AW544" s="613">
        <v>541</v>
      </c>
      <c r="AX544" s="614" t="s">
        <v>3954</v>
      </c>
    </row>
    <row r="545" spans="49:50" x14ac:dyDescent="0.25">
      <c r="AW545" s="613">
        <v>542</v>
      </c>
      <c r="AX545" s="614" t="s">
        <v>3955</v>
      </c>
    </row>
    <row r="546" spans="49:50" x14ac:dyDescent="0.25">
      <c r="AW546" s="613">
        <v>543</v>
      </c>
      <c r="AX546" s="614" t="s">
        <v>3956</v>
      </c>
    </row>
    <row r="547" spans="49:50" x14ac:dyDescent="0.25">
      <c r="AW547" s="613">
        <v>544</v>
      </c>
      <c r="AX547" s="614" t="s">
        <v>3957</v>
      </c>
    </row>
    <row r="548" spans="49:50" x14ac:dyDescent="0.25">
      <c r="AW548" s="613">
        <v>545</v>
      </c>
      <c r="AX548" s="614" t="s">
        <v>3958</v>
      </c>
    </row>
    <row r="549" spans="49:50" x14ac:dyDescent="0.25">
      <c r="AW549" s="613">
        <v>546</v>
      </c>
      <c r="AX549" s="614" t="s">
        <v>3959</v>
      </c>
    </row>
    <row r="550" spans="49:50" x14ac:dyDescent="0.25">
      <c r="AW550" s="613">
        <v>547</v>
      </c>
      <c r="AX550" s="614" t="s">
        <v>3960</v>
      </c>
    </row>
    <row r="551" spans="49:50" x14ac:dyDescent="0.25">
      <c r="AW551" s="613">
        <v>548</v>
      </c>
      <c r="AX551" s="614" t="s">
        <v>3961</v>
      </c>
    </row>
    <row r="552" spans="49:50" x14ac:dyDescent="0.25">
      <c r="AW552" s="613">
        <v>549</v>
      </c>
      <c r="AX552" s="614" t="s">
        <v>3962</v>
      </c>
    </row>
    <row r="553" spans="49:50" x14ac:dyDescent="0.25">
      <c r="AW553" s="613">
        <v>550</v>
      </c>
      <c r="AX553" s="614" t="s">
        <v>3963</v>
      </c>
    </row>
    <row r="554" spans="49:50" x14ac:dyDescent="0.25">
      <c r="AW554" s="613">
        <v>551</v>
      </c>
      <c r="AX554" s="614" t="s">
        <v>3964</v>
      </c>
    </row>
    <row r="555" spans="49:50" x14ac:dyDescent="0.25">
      <c r="AW555" s="613">
        <v>552</v>
      </c>
      <c r="AX555" s="614" t="s">
        <v>3965</v>
      </c>
    </row>
    <row r="556" spans="49:50" x14ac:dyDescent="0.25">
      <c r="AW556" s="613">
        <v>553</v>
      </c>
      <c r="AX556" s="614" t="s">
        <v>3966</v>
      </c>
    </row>
    <row r="557" spans="49:50" x14ac:dyDescent="0.25">
      <c r="AW557" s="613">
        <v>554</v>
      </c>
      <c r="AX557" s="614" t="s">
        <v>3967</v>
      </c>
    </row>
    <row r="558" spans="49:50" x14ac:dyDescent="0.25">
      <c r="AW558" s="613">
        <v>555</v>
      </c>
      <c r="AX558" s="614" t="s">
        <v>3968</v>
      </c>
    </row>
    <row r="559" spans="49:50" x14ac:dyDescent="0.25">
      <c r="AW559" s="613">
        <v>556</v>
      </c>
      <c r="AX559" s="614" t="s">
        <v>3969</v>
      </c>
    </row>
    <row r="560" spans="49:50" x14ac:dyDescent="0.25">
      <c r="AW560" s="613">
        <v>557</v>
      </c>
      <c r="AX560" s="614" t="s">
        <v>3970</v>
      </c>
    </row>
    <row r="561" spans="49:50" x14ac:dyDescent="0.25">
      <c r="AW561" s="613">
        <v>558</v>
      </c>
      <c r="AX561" s="614" t="s">
        <v>3971</v>
      </c>
    </row>
    <row r="562" spans="49:50" x14ac:dyDescent="0.25">
      <c r="AW562" s="613">
        <v>559</v>
      </c>
      <c r="AX562" s="614" t="s">
        <v>3972</v>
      </c>
    </row>
    <row r="563" spans="49:50" x14ac:dyDescent="0.25">
      <c r="AW563" s="613">
        <v>560</v>
      </c>
      <c r="AX563" s="614" t="s">
        <v>3973</v>
      </c>
    </row>
    <row r="564" spans="49:50" x14ac:dyDescent="0.25">
      <c r="AW564" s="613">
        <v>561</v>
      </c>
      <c r="AX564" s="614" t="s">
        <v>3974</v>
      </c>
    </row>
    <row r="565" spans="49:50" x14ac:dyDescent="0.25">
      <c r="AW565" s="613">
        <v>562</v>
      </c>
      <c r="AX565" s="614" t="s">
        <v>3975</v>
      </c>
    </row>
    <row r="566" spans="49:50" x14ac:dyDescent="0.25">
      <c r="AW566" s="613">
        <v>563</v>
      </c>
      <c r="AX566" s="614" t="s">
        <v>3976</v>
      </c>
    </row>
    <row r="567" spans="49:50" x14ac:dyDescent="0.25">
      <c r="AW567" s="613">
        <v>564</v>
      </c>
      <c r="AX567" s="614" t="s">
        <v>3977</v>
      </c>
    </row>
    <row r="568" spans="49:50" x14ac:dyDescent="0.25">
      <c r="AW568" s="613">
        <v>565</v>
      </c>
      <c r="AX568" s="614" t="s">
        <v>3978</v>
      </c>
    </row>
    <row r="569" spans="49:50" x14ac:dyDescent="0.25">
      <c r="AW569" s="613">
        <v>566</v>
      </c>
      <c r="AX569" s="614" t="s">
        <v>3979</v>
      </c>
    </row>
    <row r="570" spans="49:50" x14ac:dyDescent="0.25">
      <c r="AW570" s="613">
        <v>567</v>
      </c>
      <c r="AX570" s="614" t="s">
        <v>3980</v>
      </c>
    </row>
    <row r="571" spans="49:50" x14ac:dyDescent="0.25">
      <c r="AW571" s="613">
        <v>568</v>
      </c>
      <c r="AX571" s="614" t="s">
        <v>3981</v>
      </c>
    </row>
    <row r="572" spans="49:50" x14ac:dyDescent="0.25">
      <c r="AW572" s="613">
        <v>569</v>
      </c>
      <c r="AX572" s="614" t="s">
        <v>3982</v>
      </c>
    </row>
    <row r="573" spans="49:50" x14ac:dyDescent="0.25">
      <c r="AW573" s="613">
        <v>570</v>
      </c>
      <c r="AX573" s="614" t="s">
        <v>3983</v>
      </c>
    </row>
    <row r="574" spans="49:50" x14ac:dyDescent="0.25">
      <c r="AW574" s="613">
        <v>571</v>
      </c>
      <c r="AX574" s="614" t="s">
        <v>3984</v>
      </c>
    </row>
    <row r="575" spans="49:50" x14ac:dyDescent="0.25">
      <c r="AW575" s="613">
        <v>572</v>
      </c>
      <c r="AX575" s="614" t="s">
        <v>3985</v>
      </c>
    </row>
    <row r="576" spans="49:50" x14ac:dyDescent="0.25">
      <c r="AW576" s="613">
        <v>573</v>
      </c>
      <c r="AX576" s="614" t="s">
        <v>3986</v>
      </c>
    </row>
    <row r="577" spans="49:50" x14ac:dyDescent="0.25">
      <c r="AW577" s="613">
        <v>574</v>
      </c>
      <c r="AX577" s="614" t="s">
        <v>3987</v>
      </c>
    </row>
    <row r="578" spans="49:50" x14ac:dyDescent="0.25">
      <c r="AW578" s="613">
        <v>575</v>
      </c>
      <c r="AX578" s="614" t="s">
        <v>3988</v>
      </c>
    </row>
    <row r="579" spans="49:50" x14ac:dyDescent="0.25">
      <c r="AW579" s="613">
        <v>576</v>
      </c>
      <c r="AX579" s="614" t="s">
        <v>3989</v>
      </c>
    </row>
    <row r="580" spans="49:50" x14ac:dyDescent="0.25">
      <c r="AW580" s="613">
        <v>577</v>
      </c>
      <c r="AX580" s="614" t="s">
        <v>3990</v>
      </c>
    </row>
    <row r="581" spans="49:50" x14ac:dyDescent="0.25">
      <c r="AW581" s="613">
        <v>578</v>
      </c>
      <c r="AX581" s="614" t="s">
        <v>3991</v>
      </c>
    </row>
    <row r="582" spans="49:50" x14ac:dyDescent="0.25">
      <c r="AW582" s="613">
        <v>579</v>
      </c>
      <c r="AX582" s="614" t="s">
        <v>3992</v>
      </c>
    </row>
    <row r="583" spans="49:50" x14ac:dyDescent="0.25">
      <c r="AW583" s="613">
        <v>580</v>
      </c>
      <c r="AX583" s="614" t="s">
        <v>3993</v>
      </c>
    </row>
    <row r="584" spans="49:50" x14ac:dyDescent="0.25">
      <c r="AW584" s="613">
        <v>581</v>
      </c>
      <c r="AX584" s="614" t="s">
        <v>3994</v>
      </c>
    </row>
    <row r="585" spans="49:50" x14ac:dyDescent="0.25">
      <c r="AW585" s="613">
        <v>582</v>
      </c>
      <c r="AX585" s="614" t="s">
        <v>3995</v>
      </c>
    </row>
    <row r="586" spans="49:50" x14ac:dyDescent="0.25">
      <c r="AW586" s="613">
        <v>583</v>
      </c>
      <c r="AX586" s="614" t="s">
        <v>3996</v>
      </c>
    </row>
    <row r="587" spans="49:50" x14ac:dyDescent="0.25">
      <c r="AW587" s="613">
        <v>584</v>
      </c>
      <c r="AX587" s="614" t="s">
        <v>3997</v>
      </c>
    </row>
    <row r="588" spans="49:50" x14ac:dyDescent="0.25">
      <c r="AW588" s="613">
        <v>585</v>
      </c>
      <c r="AX588" s="614" t="s">
        <v>3998</v>
      </c>
    </row>
    <row r="589" spans="49:50" x14ac:dyDescent="0.25">
      <c r="AW589" s="613">
        <v>586</v>
      </c>
      <c r="AX589" s="614" t="s">
        <v>3999</v>
      </c>
    </row>
    <row r="590" spans="49:50" x14ac:dyDescent="0.25">
      <c r="AW590" s="613">
        <v>587</v>
      </c>
      <c r="AX590" s="614" t="s">
        <v>4000</v>
      </c>
    </row>
    <row r="591" spans="49:50" x14ac:dyDescent="0.25">
      <c r="AW591" s="613">
        <v>588</v>
      </c>
      <c r="AX591" s="614" t="s">
        <v>4001</v>
      </c>
    </row>
    <row r="592" spans="49:50" x14ac:dyDescent="0.25">
      <c r="AW592" s="613">
        <v>589</v>
      </c>
      <c r="AX592" s="614" t="s">
        <v>4002</v>
      </c>
    </row>
    <row r="593" spans="49:50" x14ac:dyDescent="0.25">
      <c r="AW593" s="613">
        <v>590</v>
      </c>
      <c r="AX593" s="614" t="s">
        <v>4003</v>
      </c>
    </row>
    <row r="594" spans="49:50" x14ac:dyDescent="0.25">
      <c r="AW594" s="613">
        <v>591</v>
      </c>
      <c r="AX594" s="614" t="s">
        <v>4004</v>
      </c>
    </row>
    <row r="595" spans="49:50" x14ac:dyDescent="0.25">
      <c r="AW595" s="613">
        <v>592</v>
      </c>
      <c r="AX595" s="614" t="s">
        <v>4005</v>
      </c>
    </row>
    <row r="596" spans="49:50" x14ac:dyDescent="0.25">
      <c r="AW596" s="613">
        <v>593</v>
      </c>
      <c r="AX596" s="614" t="s">
        <v>4006</v>
      </c>
    </row>
    <row r="597" spans="49:50" x14ac:dyDescent="0.25">
      <c r="AW597" s="613">
        <v>594</v>
      </c>
      <c r="AX597" s="614" t="s">
        <v>4007</v>
      </c>
    </row>
    <row r="598" spans="49:50" x14ac:dyDescent="0.25">
      <c r="AW598" s="613">
        <v>595</v>
      </c>
      <c r="AX598" s="614" t="s">
        <v>4008</v>
      </c>
    </row>
    <row r="599" spans="49:50" x14ac:dyDescent="0.25">
      <c r="AW599" s="613">
        <v>596</v>
      </c>
      <c r="AX599" s="614" t="s">
        <v>4009</v>
      </c>
    </row>
    <row r="600" spans="49:50" x14ac:dyDescent="0.25">
      <c r="AW600" s="613">
        <v>597</v>
      </c>
      <c r="AX600" s="614" t="s">
        <v>4010</v>
      </c>
    </row>
    <row r="601" spans="49:50" x14ac:dyDescent="0.25">
      <c r="AW601" s="613">
        <v>598</v>
      </c>
      <c r="AX601" s="614" t="s">
        <v>4011</v>
      </c>
    </row>
    <row r="602" spans="49:50" x14ac:dyDescent="0.25">
      <c r="AW602" s="613">
        <v>599</v>
      </c>
      <c r="AX602" s="614" t="s">
        <v>4012</v>
      </c>
    </row>
    <row r="603" spans="49:50" x14ac:dyDescent="0.25">
      <c r="AW603" s="613">
        <v>600</v>
      </c>
      <c r="AX603" s="614" t="s">
        <v>4013</v>
      </c>
    </row>
    <row r="604" spans="49:50" x14ac:dyDescent="0.25">
      <c r="AW604" s="613">
        <v>601</v>
      </c>
      <c r="AX604" s="614" t="s">
        <v>4014</v>
      </c>
    </row>
    <row r="605" spans="49:50" x14ac:dyDescent="0.25">
      <c r="AW605" s="613">
        <v>602</v>
      </c>
      <c r="AX605" s="614" t="s">
        <v>4015</v>
      </c>
    </row>
    <row r="606" spans="49:50" x14ac:dyDescent="0.25">
      <c r="AW606" s="613">
        <v>603</v>
      </c>
      <c r="AX606" s="614" t="s">
        <v>4016</v>
      </c>
    </row>
    <row r="607" spans="49:50" x14ac:dyDescent="0.25">
      <c r="AW607" s="613">
        <v>604</v>
      </c>
      <c r="AX607" s="614" t="s">
        <v>4017</v>
      </c>
    </row>
    <row r="608" spans="49:50" x14ac:dyDescent="0.25">
      <c r="AW608" s="613">
        <v>605</v>
      </c>
      <c r="AX608" s="614" t="s">
        <v>4018</v>
      </c>
    </row>
    <row r="609" spans="49:50" x14ac:dyDescent="0.25">
      <c r="AW609" s="613">
        <v>606</v>
      </c>
      <c r="AX609" s="614" t="s">
        <v>4019</v>
      </c>
    </row>
    <row r="610" spans="49:50" x14ac:dyDescent="0.25">
      <c r="AW610" s="613">
        <v>607</v>
      </c>
      <c r="AX610" s="614" t="s">
        <v>4020</v>
      </c>
    </row>
    <row r="611" spans="49:50" x14ac:dyDescent="0.25">
      <c r="AW611" s="613">
        <v>608</v>
      </c>
      <c r="AX611" s="614" t="s">
        <v>4021</v>
      </c>
    </row>
    <row r="612" spans="49:50" x14ac:dyDescent="0.25">
      <c r="AW612" s="613">
        <v>609</v>
      </c>
      <c r="AX612" s="614" t="s">
        <v>4022</v>
      </c>
    </row>
    <row r="613" spans="49:50" x14ac:dyDescent="0.25">
      <c r="AW613" s="613">
        <v>610</v>
      </c>
      <c r="AX613" s="614" t="s">
        <v>4023</v>
      </c>
    </row>
    <row r="614" spans="49:50" x14ac:dyDescent="0.25">
      <c r="AW614" s="613">
        <v>611</v>
      </c>
      <c r="AX614" s="614" t="s">
        <v>4024</v>
      </c>
    </row>
    <row r="615" spans="49:50" x14ac:dyDescent="0.25">
      <c r="AW615" s="613">
        <v>612</v>
      </c>
      <c r="AX615" s="614" t="s">
        <v>4025</v>
      </c>
    </row>
    <row r="616" spans="49:50" x14ac:dyDescent="0.25">
      <c r="AW616" s="613">
        <v>613</v>
      </c>
      <c r="AX616" s="614" t="s">
        <v>4026</v>
      </c>
    </row>
    <row r="617" spans="49:50" x14ac:dyDescent="0.25">
      <c r="AW617" s="613">
        <v>614</v>
      </c>
      <c r="AX617" s="614" t="s">
        <v>4027</v>
      </c>
    </row>
    <row r="618" spans="49:50" x14ac:dyDescent="0.25">
      <c r="AW618" s="613">
        <v>615</v>
      </c>
      <c r="AX618" s="614" t="s">
        <v>4028</v>
      </c>
    </row>
    <row r="619" spans="49:50" x14ac:dyDescent="0.25">
      <c r="AW619" s="613">
        <v>616</v>
      </c>
      <c r="AX619" s="614" t="s">
        <v>4029</v>
      </c>
    </row>
    <row r="620" spans="49:50" x14ac:dyDescent="0.25">
      <c r="AW620" s="613">
        <v>617</v>
      </c>
      <c r="AX620" s="614" t="s">
        <v>4030</v>
      </c>
    </row>
    <row r="621" spans="49:50" x14ac:dyDescent="0.25">
      <c r="AW621" s="613">
        <v>618</v>
      </c>
      <c r="AX621" s="614" t="s">
        <v>4031</v>
      </c>
    </row>
    <row r="622" spans="49:50" x14ac:dyDescent="0.25">
      <c r="AW622" s="613">
        <v>619</v>
      </c>
      <c r="AX622" s="614" t="s">
        <v>4032</v>
      </c>
    </row>
    <row r="623" spans="49:50" x14ac:dyDescent="0.25">
      <c r="AW623" s="613">
        <v>620</v>
      </c>
      <c r="AX623" s="614" t="s">
        <v>4033</v>
      </c>
    </row>
    <row r="624" spans="49:50" x14ac:dyDescent="0.25">
      <c r="AW624" s="613">
        <v>621</v>
      </c>
      <c r="AX624" s="614" t="s">
        <v>4034</v>
      </c>
    </row>
    <row r="625" spans="49:50" x14ac:dyDescent="0.25">
      <c r="AW625" s="613">
        <v>622</v>
      </c>
      <c r="AX625" s="614" t="s">
        <v>4035</v>
      </c>
    </row>
    <row r="626" spans="49:50" x14ac:dyDescent="0.25">
      <c r="AW626" s="613">
        <v>623</v>
      </c>
      <c r="AX626" s="614" t="s">
        <v>4036</v>
      </c>
    </row>
    <row r="627" spans="49:50" x14ac:dyDescent="0.25">
      <c r="AW627" s="613">
        <v>624</v>
      </c>
      <c r="AX627" s="614" t="s">
        <v>4037</v>
      </c>
    </row>
    <row r="628" spans="49:50" x14ac:dyDescent="0.25">
      <c r="AW628" s="613">
        <v>625</v>
      </c>
      <c r="AX628" s="614" t="s">
        <v>4038</v>
      </c>
    </row>
    <row r="629" spans="49:50" x14ac:dyDescent="0.25">
      <c r="AW629" s="613">
        <v>626</v>
      </c>
      <c r="AX629" s="614" t="s">
        <v>4039</v>
      </c>
    </row>
    <row r="630" spans="49:50" x14ac:dyDescent="0.25">
      <c r="AW630" s="613">
        <v>627</v>
      </c>
      <c r="AX630" s="614" t="s">
        <v>4040</v>
      </c>
    </row>
    <row r="631" spans="49:50" x14ac:dyDescent="0.25">
      <c r="AW631" s="613">
        <v>628</v>
      </c>
      <c r="AX631" s="614" t="s">
        <v>4041</v>
      </c>
    </row>
    <row r="632" spans="49:50" x14ac:dyDescent="0.25">
      <c r="AW632" s="613">
        <v>629</v>
      </c>
      <c r="AX632" s="614" t="s">
        <v>4042</v>
      </c>
    </row>
    <row r="633" spans="49:50" x14ac:dyDescent="0.25">
      <c r="AW633" s="613">
        <v>630</v>
      </c>
      <c r="AX633" s="614" t="s">
        <v>4043</v>
      </c>
    </row>
    <row r="634" spans="49:50" x14ac:dyDescent="0.25">
      <c r="AW634" s="613">
        <v>631</v>
      </c>
      <c r="AX634" s="614" t="s">
        <v>4044</v>
      </c>
    </row>
    <row r="635" spans="49:50" x14ac:dyDescent="0.25">
      <c r="AW635" s="613">
        <v>632</v>
      </c>
      <c r="AX635" s="614" t="s">
        <v>4045</v>
      </c>
    </row>
    <row r="636" spans="49:50" x14ac:dyDescent="0.25">
      <c r="AW636" s="613">
        <v>633</v>
      </c>
      <c r="AX636" s="614" t="s">
        <v>4046</v>
      </c>
    </row>
    <row r="637" spans="49:50" x14ac:dyDescent="0.25">
      <c r="AW637" s="613">
        <v>634</v>
      </c>
      <c r="AX637" s="614" t="s">
        <v>4047</v>
      </c>
    </row>
    <row r="638" spans="49:50" x14ac:dyDescent="0.25">
      <c r="AW638" s="613">
        <v>635</v>
      </c>
      <c r="AX638" s="614" t="s">
        <v>4048</v>
      </c>
    </row>
    <row r="639" spans="49:50" x14ac:dyDescent="0.25">
      <c r="AW639" s="613">
        <v>636</v>
      </c>
      <c r="AX639" s="614" t="s">
        <v>4049</v>
      </c>
    </row>
    <row r="640" spans="49:50" x14ac:dyDescent="0.25">
      <c r="AW640" s="613">
        <v>637</v>
      </c>
      <c r="AX640" s="614" t="s">
        <v>4050</v>
      </c>
    </row>
    <row r="641" spans="49:50" x14ac:dyDescent="0.25">
      <c r="AW641" s="613">
        <v>638</v>
      </c>
      <c r="AX641" s="614" t="s">
        <v>4051</v>
      </c>
    </row>
    <row r="642" spans="49:50" x14ac:dyDescent="0.25">
      <c r="AW642" s="613">
        <v>639</v>
      </c>
      <c r="AX642" s="614" t="s">
        <v>4052</v>
      </c>
    </row>
    <row r="643" spans="49:50" x14ac:dyDescent="0.25">
      <c r="AW643" s="613">
        <v>640</v>
      </c>
      <c r="AX643" s="614" t="s">
        <v>4053</v>
      </c>
    </row>
    <row r="644" spans="49:50" x14ac:dyDescent="0.25">
      <c r="AW644" s="613">
        <v>641</v>
      </c>
      <c r="AX644" s="614" t="s">
        <v>4054</v>
      </c>
    </row>
    <row r="645" spans="49:50" x14ac:dyDescent="0.25">
      <c r="AW645" s="613">
        <v>642</v>
      </c>
      <c r="AX645" s="614" t="s">
        <v>4055</v>
      </c>
    </row>
    <row r="646" spans="49:50" x14ac:dyDescent="0.25">
      <c r="AW646" s="613">
        <v>643</v>
      </c>
      <c r="AX646" s="614" t="s">
        <v>4056</v>
      </c>
    </row>
    <row r="647" spans="49:50" x14ac:dyDescent="0.25">
      <c r="AW647" s="613">
        <v>644</v>
      </c>
      <c r="AX647" s="614" t="s">
        <v>4057</v>
      </c>
    </row>
    <row r="648" spans="49:50" x14ac:dyDescent="0.25">
      <c r="AW648" s="613">
        <v>645</v>
      </c>
      <c r="AX648" s="614" t="s">
        <v>4058</v>
      </c>
    </row>
    <row r="649" spans="49:50" x14ac:dyDescent="0.25">
      <c r="AW649" s="613">
        <v>646</v>
      </c>
      <c r="AX649" s="614" t="s">
        <v>4059</v>
      </c>
    </row>
    <row r="650" spans="49:50" x14ac:dyDescent="0.25">
      <c r="AW650" s="613">
        <v>647</v>
      </c>
      <c r="AX650" s="614" t="s">
        <v>4060</v>
      </c>
    </row>
    <row r="651" spans="49:50" x14ac:dyDescent="0.25">
      <c r="AW651" s="613">
        <v>648</v>
      </c>
      <c r="AX651" s="614" t="s">
        <v>4061</v>
      </c>
    </row>
    <row r="652" spans="49:50" x14ac:dyDescent="0.25">
      <c r="AW652" s="613">
        <v>649</v>
      </c>
      <c r="AX652" s="614" t="s">
        <v>4062</v>
      </c>
    </row>
    <row r="653" spans="49:50" x14ac:dyDescent="0.25">
      <c r="AW653" s="613">
        <v>650</v>
      </c>
      <c r="AX653" s="614" t="s">
        <v>4063</v>
      </c>
    </row>
    <row r="654" spans="49:50" x14ac:dyDescent="0.25">
      <c r="AW654" s="613">
        <v>651</v>
      </c>
      <c r="AX654" s="614" t="s">
        <v>4064</v>
      </c>
    </row>
    <row r="655" spans="49:50" x14ac:dyDescent="0.25">
      <c r="AW655" s="613">
        <v>652</v>
      </c>
      <c r="AX655" s="614" t="s">
        <v>4065</v>
      </c>
    </row>
    <row r="656" spans="49:50" x14ac:dyDescent="0.25">
      <c r="AW656" s="613">
        <v>653</v>
      </c>
      <c r="AX656" s="614" t="s">
        <v>4066</v>
      </c>
    </row>
    <row r="657" spans="49:50" x14ac:dyDescent="0.25">
      <c r="AW657" s="613">
        <v>654</v>
      </c>
      <c r="AX657" s="614" t="s">
        <v>4067</v>
      </c>
    </row>
    <row r="658" spans="49:50" x14ac:dyDescent="0.25">
      <c r="AW658" s="613">
        <v>655</v>
      </c>
      <c r="AX658" s="614" t="s">
        <v>4068</v>
      </c>
    </row>
    <row r="659" spans="49:50" x14ac:dyDescent="0.25">
      <c r="AW659" s="613">
        <v>656</v>
      </c>
      <c r="AX659" s="614" t="s">
        <v>4069</v>
      </c>
    </row>
    <row r="660" spans="49:50" x14ac:dyDescent="0.25">
      <c r="AW660" s="613">
        <v>657</v>
      </c>
      <c r="AX660" s="614" t="s">
        <v>4070</v>
      </c>
    </row>
    <row r="661" spans="49:50" x14ac:dyDescent="0.25">
      <c r="AW661" s="613">
        <v>658</v>
      </c>
      <c r="AX661" s="614" t="s">
        <v>4071</v>
      </c>
    </row>
    <row r="662" spans="49:50" x14ac:dyDescent="0.25">
      <c r="AW662" s="613">
        <v>659</v>
      </c>
      <c r="AX662" s="614" t="s">
        <v>4072</v>
      </c>
    </row>
    <row r="663" spans="49:50" x14ac:dyDescent="0.25">
      <c r="AW663" s="613">
        <v>660</v>
      </c>
      <c r="AX663" s="614" t="s">
        <v>4073</v>
      </c>
    </row>
    <row r="664" spans="49:50" x14ac:dyDescent="0.25">
      <c r="AW664" s="613">
        <v>661</v>
      </c>
      <c r="AX664" s="614" t="s">
        <v>4074</v>
      </c>
    </row>
    <row r="665" spans="49:50" x14ac:dyDescent="0.25">
      <c r="AW665" s="613">
        <v>662</v>
      </c>
      <c r="AX665" s="614" t="s">
        <v>4075</v>
      </c>
    </row>
    <row r="666" spans="49:50" x14ac:dyDescent="0.25">
      <c r="AW666" s="613">
        <v>663</v>
      </c>
      <c r="AX666" s="614" t="s">
        <v>4076</v>
      </c>
    </row>
    <row r="667" spans="49:50" x14ac:dyDescent="0.25">
      <c r="AW667" s="613">
        <v>664</v>
      </c>
      <c r="AX667" s="614" t="s">
        <v>4077</v>
      </c>
    </row>
    <row r="668" spans="49:50" x14ac:dyDescent="0.25">
      <c r="AW668" s="613">
        <v>665</v>
      </c>
      <c r="AX668" s="614" t="s">
        <v>4078</v>
      </c>
    </row>
    <row r="669" spans="49:50" x14ac:dyDescent="0.25">
      <c r="AW669" s="613">
        <v>666</v>
      </c>
      <c r="AX669" s="614" t="s">
        <v>4079</v>
      </c>
    </row>
    <row r="670" spans="49:50" x14ac:dyDescent="0.25">
      <c r="AW670" s="613">
        <v>667</v>
      </c>
      <c r="AX670" s="614" t="s">
        <v>4080</v>
      </c>
    </row>
    <row r="671" spans="49:50" x14ac:dyDescent="0.25">
      <c r="AW671" s="613">
        <v>668</v>
      </c>
      <c r="AX671" s="614" t="s">
        <v>4081</v>
      </c>
    </row>
    <row r="672" spans="49:50" x14ac:dyDescent="0.25">
      <c r="AW672" s="613">
        <v>669</v>
      </c>
      <c r="AX672" s="614" t="s">
        <v>4082</v>
      </c>
    </row>
    <row r="673" spans="49:50" x14ac:dyDescent="0.25">
      <c r="AW673" s="613">
        <v>670</v>
      </c>
      <c r="AX673" s="614" t="s">
        <v>4083</v>
      </c>
    </row>
    <row r="674" spans="49:50" x14ac:dyDescent="0.25">
      <c r="AW674" s="613">
        <v>671</v>
      </c>
      <c r="AX674" s="614" t="s">
        <v>4084</v>
      </c>
    </row>
    <row r="675" spans="49:50" x14ac:dyDescent="0.25">
      <c r="AW675" s="613">
        <v>672</v>
      </c>
      <c r="AX675" s="614" t="s">
        <v>4085</v>
      </c>
    </row>
    <row r="676" spans="49:50" x14ac:dyDescent="0.25">
      <c r="AW676" s="613">
        <v>673</v>
      </c>
      <c r="AX676" s="614" t="s">
        <v>4086</v>
      </c>
    </row>
    <row r="677" spans="49:50" x14ac:dyDescent="0.25">
      <c r="AW677" s="613">
        <v>674</v>
      </c>
      <c r="AX677" s="614" t="s">
        <v>4087</v>
      </c>
    </row>
    <row r="678" spans="49:50" x14ac:dyDescent="0.25">
      <c r="AW678" s="613">
        <v>675</v>
      </c>
      <c r="AX678" s="614" t="s">
        <v>4088</v>
      </c>
    </row>
    <row r="679" spans="49:50" x14ac:dyDescent="0.25">
      <c r="AW679" s="613">
        <v>676</v>
      </c>
      <c r="AX679" s="614" t="s">
        <v>4089</v>
      </c>
    </row>
    <row r="680" spans="49:50" x14ac:dyDescent="0.25">
      <c r="AW680" s="613">
        <v>677</v>
      </c>
      <c r="AX680" s="614" t="s">
        <v>4090</v>
      </c>
    </row>
    <row r="681" spans="49:50" x14ac:dyDescent="0.25">
      <c r="AW681" s="613">
        <v>678</v>
      </c>
      <c r="AX681" s="614" t="s">
        <v>4091</v>
      </c>
    </row>
    <row r="682" spans="49:50" x14ac:dyDescent="0.25">
      <c r="AW682" s="613">
        <v>679</v>
      </c>
      <c r="AX682" s="614" t="s">
        <v>4092</v>
      </c>
    </row>
    <row r="683" spans="49:50" x14ac:dyDescent="0.25">
      <c r="AW683" s="613">
        <v>680</v>
      </c>
      <c r="AX683" s="614" t="s">
        <v>4093</v>
      </c>
    </row>
    <row r="684" spans="49:50" x14ac:dyDescent="0.25">
      <c r="AW684" s="613">
        <v>681</v>
      </c>
      <c r="AX684" s="614" t="s">
        <v>4094</v>
      </c>
    </row>
    <row r="685" spans="49:50" x14ac:dyDescent="0.25">
      <c r="AW685" s="613">
        <v>682</v>
      </c>
      <c r="AX685" s="614" t="s">
        <v>4095</v>
      </c>
    </row>
    <row r="686" spans="49:50" x14ac:dyDescent="0.25">
      <c r="AW686" s="613">
        <v>683</v>
      </c>
      <c r="AX686" s="614" t="s">
        <v>4096</v>
      </c>
    </row>
    <row r="687" spans="49:50" x14ac:dyDescent="0.25">
      <c r="AW687" s="613">
        <v>684</v>
      </c>
      <c r="AX687" s="614" t="s">
        <v>4097</v>
      </c>
    </row>
    <row r="688" spans="49:50" x14ac:dyDescent="0.25">
      <c r="AW688" s="613">
        <v>685</v>
      </c>
      <c r="AX688" s="614" t="s">
        <v>4098</v>
      </c>
    </row>
    <row r="689" spans="49:50" x14ac:dyDescent="0.25">
      <c r="AW689" s="613">
        <v>686</v>
      </c>
      <c r="AX689" s="614" t="s">
        <v>4099</v>
      </c>
    </row>
    <row r="690" spans="49:50" x14ac:dyDescent="0.25">
      <c r="AW690" s="613">
        <v>687</v>
      </c>
      <c r="AX690" s="614" t="s">
        <v>4100</v>
      </c>
    </row>
    <row r="691" spans="49:50" x14ac:dyDescent="0.25">
      <c r="AW691" s="613">
        <v>688</v>
      </c>
      <c r="AX691" s="614" t="s">
        <v>4101</v>
      </c>
    </row>
    <row r="692" spans="49:50" x14ac:dyDescent="0.25">
      <c r="AW692" s="613">
        <v>689</v>
      </c>
      <c r="AX692" s="614" t="s">
        <v>4102</v>
      </c>
    </row>
    <row r="693" spans="49:50" x14ac:dyDescent="0.25">
      <c r="AW693" s="613">
        <v>690</v>
      </c>
      <c r="AX693" s="614" t="s">
        <v>4103</v>
      </c>
    </row>
    <row r="694" spans="49:50" x14ac:dyDescent="0.25">
      <c r="AW694" s="613">
        <v>691</v>
      </c>
      <c r="AX694" s="614" t="s">
        <v>4104</v>
      </c>
    </row>
    <row r="695" spans="49:50" x14ac:dyDescent="0.25">
      <c r="AW695" s="613">
        <v>692</v>
      </c>
      <c r="AX695" s="614" t="s">
        <v>4105</v>
      </c>
    </row>
    <row r="696" spans="49:50" x14ac:dyDescent="0.25">
      <c r="AW696" s="613">
        <v>693</v>
      </c>
      <c r="AX696" s="614" t="s">
        <v>4106</v>
      </c>
    </row>
    <row r="697" spans="49:50" x14ac:dyDescent="0.25">
      <c r="AW697" s="613">
        <v>694</v>
      </c>
      <c r="AX697" s="614" t="s">
        <v>4107</v>
      </c>
    </row>
    <row r="698" spans="49:50" x14ac:dyDescent="0.25">
      <c r="AW698" s="613">
        <v>695</v>
      </c>
      <c r="AX698" s="614" t="s">
        <v>4108</v>
      </c>
    </row>
    <row r="699" spans="49:50" x14ac:dyDescent="0.25">
      <c r="AW699" s="613">
        <v>696</v>
      </c>
      <c r="AX699" s="614" t="s">
        <v>4109</v>
      </c>
    </row>
    <row r="700" spans="49:50" x14ac:dyDescent="0.25">
      <c r="AW700" s="613">
        <v>697</v>
      </c>
      <c r="AX700" s="614" t="s">
        <v>4110</v>
      </c>
    </row>
    <row r="701" spans="49:50" x14ac:dyDescent="0.25">
      <c r="AW701" s="613">
        <v>698</v>
      </c>
      <c r="AX701" s="614" t="s">
        <v>4111</v>
      </c>
    </row>
    <row r="702" spans="49:50" x14ac:dyDescent="0.25">
      <c r="AW702" s="613">
        <v>699</v>
      </c>
      <c r="AX702" s="614" t="s">
        <v>4112</v>
      </c>
    </row>
    <row r="703" spans="49:50" x14ac:dyDescent="0.25">
      <c r="AW703" s="613">
        <v>700</v>
      </c>
      <c r="AX703" s="614" t="s">
        <v>4113</v>
      </c>
    </row>
    <row r="704" spans="49:50" x14ac:dyDescent="0.25">
      <c r="AW704" s="613">
        <v>701</v>
      </c>
      <c r="AX704" s="614" t="s">
        <v>4114</v>
      </c>
    </row>
    <row r="705" spans="49:50" x14ac:dyDescent="0.25">
      <c r="AW705" s="613">
        <v>702</v>
      </c>
      <c r="AX705" s="614" t="s">
        <v>4115</v>
      </c>
    </row>
    <row r="706" spans="49:50" x14ac:dyDescent="0.25">
      <c r="AW706" s="613">
        <v>703</v>
      </c>
      <c r="AX706" s="614" t="s">
        <v>4116</v>
      </c>
    </row>
    <row r="707" spans="49:50" x14ac:dyDescent="0.25">
      <c r="AW707" s="613">
        <v>704</v>
      </c>
      <c r="AX707" s="614" t="s">
        <v>4117</v>
      </c>
    </row>
    <row r="708" spans="49:50" x14ac:dyDescent="0.25">
      <c r="AW708" s="613">
        <v>705</v>
      </c>
      <c r="AX708" s="614" t="s">
        <v>4118</v>
      </c>
    </row>
    <row r="709" spans="49:50" x14ac:dyDescent="0.25">
      <c r="AW709" s="613">
        <v>706</v>
      </c>
      <c r="AX709" s="614" t="s">
        <v>4119</v>
      </c>
    </row>
    <row r="710" spans="49:50" x14ac:dyDescent="0.25">
      <c r="AW710" s="613">
        <v>707</v>
      </c>
      <c r="AX710" s="614" t="s">
        <v>4120</v>
      </c>
    </row>
    <row r="711" spans="49:50" x14ac:dyDescent="0.25">
      <c r="AW711" s="613">
        <v>708</v>
      </c>
      <c r="AX711" s="614" t="s">
        <v>4121</v>
      </c>
    </row>
    <row r="712" spans="49:50" x14ac:dyDescent="0.25">
      <c r="AW712" s="613">
        <v>709</v>
      </c>
      <c r="AX712" s="614" t="s">
        <v>4122</v>
      </c>
    </row>
    <row r="713" spans="49:50" x14ac:dyDescent="0.25">
      <c r="AW713" s="613">
        <v>710</v>
      </c>
      <c r="AX713" s="614" t="s">
        <v>4123</v>
      </c>
    </row>
    <row r="714" spans="49:50" x14ac:dyDescent="0.25">
      <c r="AW714" s="613">
        <v>711</v>
      </c>
      <c r="AX714" s="614" t="s">
        <v>4124</v>
      </c>
    </row>
    <row r="715" spans="49:50" x14ac:dyDescent="0.25">
      <c r="AW715" s="613">
        <v>712</v>
      </c>
      <c r="AX715" s="614" t="s">
        <v>4125</v>
      </c>
    </row>
    <row r="716" spans="49:50" x14ac:dyDescent="0.25">
      <c r="AW716" s="613">
        <v>713</v>
      </c>
      <c r="AX716" s="614" t="s">
        <v>4126</v>
      </c>
    </row>
    <row r="717" spans="49:50" x14ac:dyDescent="0.25">
      <c r="AW717" s="613">
        <v>714</v>
      </c>
      <c r="AX717" s="614" t="s">
        <v>4127</v>
      </c>
    </row>
    <row r="718" spans="49:50" x14ac:dyDescent="0.25">
      <c r="AW718" s="613">
        <v>715</v>
      </c>
      <c r="AX718" s="614" t="s">
        <v>4128</v>
      </c>
    </row>
    <row r="719" spans="49:50" x14ac:dyDescent="0.25">
      <c r="AW719" s="613">
        <v>716</v>
      </c>
      <c r="AX719" s="614" t="s">
        <v>4129</v>
      </c>
    </row>
    <row r="720" spans="49:50" x14ac:dyDescent="0.25">
      <c r="AW720" s="613">
        <v>717</v>
      </c>
      <c r="AX720" s="614" t="s">
        <v>4130</v>
      </c>
    </row>
    <row r="721" spans="49:50" x14ac:dyDescent="0.25">
      <c r="AW721" s="613">
        <v>718</v>
      </c>
      <c r="AX721" s="614" t="s">
        <v>4131</v>
      </c>
    </row>
    <row r="722" spans="49:50" x14ac:dyDescent="0.25">
      <c r="AW722" s="613">
        <v>719</v>
      </c>
      <c r="AX722" s="614" t="s">
        <v>4132</v>
      </c>
    </row>
    <row r="723" spans="49:50" x14ac:dyDescent="0.25">
      <c r="AW723" s="613">
        <v>720</v>
      </c>
      <c r="AX723" s="614" t="s">
        <v>4133</v>
      </c>
    </row>
    <row r="724" spans="49:50" x14ac:dyDescent="0.25">
      <c r="AW724" s="613">
        <v>721</v>
      </c>
      <c r="AX724" s="614" t="s">
        <v>4134</v>
      </c>
    </row>
    <row r="725" spans="49:50" x14ac:dyDescent="0.25">
      <c r="AW725" s="613">
        <v>722</v>
      </c>
      <c r="AX725" s="614" t="s">
        <v>4135</v>
      </c>
    </row>
    <row r="726" spans="49:50" x14ac:dyDescent="0.25">
      <c r="AW726" s="613">
        <v>723</v>
      </c>
      <c r="AX726" s="614" t="s">
        <v>4136</v>
      </c>
    </row>
    <row r="727" spans="49:50" x14ac:dyDescent="0.25">
      <c r="AW727" s="613">
        <v>724</v>
      </c>
      <c r="AX727" s="614" t="s">
        <v>4137</v>
      </c>
    </row>
    <row r="728" spans="49:50" x14ac:dyDescent="0.25">
      <c r="AW728" s="613">
        <v>725</v>
      </c>
      <c r="AX728" s="614" t="s">
        <v>4138</v>
      </c>
    </row>
    <row r="729" spans="49:50" x14ac:dyDescent="0.25">
      <c r="AW729" s="613">
        <v>726</v>
      </c>
      <c r="AX729" s="614" t="s">
        <v>4139</v>
      </c>
    </row>
    <row r="730" spans="49:50" x14ac:dyDescent="0.25">
      <c r="AW730" s="613">
        <v>727</v>
      </c>
      <c r="AX730" s="614" t="s">
        <v>4140</v>
      </c>
    </row>
    <row r="731" spans="49:50" x14ac:dyDescent="0.25">
      <c r="AW731" s="613">
        <v>728</v>
      </c>
      <c r="AX731" s="614" t="s">
        <v>4141</v>
      </c>
    </row>
    <row r="732" spans="49:50" x14ac:dyDescent="0.25">
      <c r="AW732" s="613">
        <v>729</v>
      </c>
      <c r="AX732" s="614" t="s">
        <v>4142</v>
      </c>
    </row>
    <row r="733" spans="49:50" x14ac:dyDescent="0.25">
      <c r="AW733" s="613">
        <v>730</v>
      </c>
      <c r="AX733" s="614" t="s">
        <v>4143</v>
      </c>
    </row>
    <row r="734" spans="49:50" x14ac:dyDescent="0.25">
      <c r="AW734" s="613">
        <v>731</v>
      </c>
      <c r="AX734" s="614" t="s">
        <v>4144</v>
      </c>
    </row>
    <row r="735" spans="49:50" x14ac:dyDescent="0.25">
      <c r="AW735" s="613">
        <v>732</v>
      </c>
      <c r="AX735" s="614" t="s">
        <v>4145</v>
      </c>
    </row>
    <row r="736" spans="49:50" x14ac:dyDescent="0.25">
      <c r="AW736" s="613">
        <v>733</v>
      </c>
      <c r="AX736" s="614" t="s">
        <v>4146</v>
      </c>
    </row>
    <row r="737" spans="49:50" x14ac:dyDescent="0.25">
      <c r="AW737" s="613">
        <v>734</v>
      </c>
      <c r="AX737" s="614" t="s">
        <v>4147</v>
      </c>
    </row>
    <row r="738" spans="49:50" x14ac:dyDescent="0.25">
      <c r="AW738" s="613">
        <v>735</v>
      </c>
      <c r="AX738" s="614" t="s">
        <v>4148</v>
      </c>
    </row>
    <row r="739" spans="49:50" x14ac:dyDescent="0.25">
      <c r="AW739" s="613">
        <v>736</v>
      </c>
      <c r="AX739" s="614" t="s">
        <v>4149</v>
      </c>
    </row>
    <row r="740" spans="49:50" x14ac:dyDescent="0.25">
      <c r="AW740" s="613">
        <v>737</v>
      </c>
      <c r="AX740" s="614" t="s">
        <v>4150</v>
      </c>
    </row>
    <row r="741" spans="49:50" x14ac:dyDescent="0.25">
      <c r="AW741" s="613">
        <v>738</v>
      </c>
      <c r="AX741" s="614" t="s">
        <v>4151</v>
      </c>
    </row>
    <row r="742" spans="49:50" x14ac:dyDescent="0.25">
      <c r="AW742" s="613">
        <v>739</v>
      </c>
      <c r="AX742" s="614" t="s">
        <v>4152</v>
      </c>
    </row>
    <row r="743" spans="49:50" x14ac:dyDescent="0.25">
      <c r="AW743" s="613">
        <v>740</v>
      </c>
      <c r="AX743" s="614" t="s">
        <v>4153</v>
      </c>
    </row>
    <row r="744" spans="49:50" x14ac:dyDescent="0.25">
      <c r="AW744" s="613">
        <v>741</v>
      </c>
      <c r="AX744" s="614" t="s">
        <v>4154</v>
      </c>
    </row>
    <row r="745" spans="49:50" x14ac:dyDescent="0.25">
      <c r="AW745" s="613">
        <v>742</v>
      </c>
      <c r="AX745" s="614" t="s">
        <v>4155</v>
      </c>
    </row>
    <row r="746" spans="49:50" x14ac:dyDescent="0.25">
      <c r="AW746" s="613">
        <v>743</v>
      </c>
      <c r="AX746" s="614" t="s">
        <v>4156</v>
      </c>
    </row>
    <row r="747" spans="49:50" x14ac:dyDescent="0.25">
      <c r="AW747" s="613">
        <v>744</v>
      </c>
      <c r="AX747" s="614" t="s">
        <v>4157</v>
      </c>
    </row>
    <row r="748" spans="49:50" x14ac:dyDescent="0.25">
      <c r="AW748" s="613">
        <v>745</v>
      </c>
      <c r="AX748" s="614" t="s">
        <v>4158</v>
      </c>
    </row>
    <row r="749" spans="49:50" x14ac:dyDescent="0.25">
      <c r="AW749" s="613">
        <v>746</v>
      </c>
      <c r="AX749" s="614" t="s">
        <v>4159</v>
      </c>
    </row>
    <row r="750" spans="49:50" x14ac:dyDescent="0.25">
      <c r="AW750" s="613">
        <v>747</v>
      </c>
      <c r="AX750" s="614" t="s">
        <v>4160</v>
      </c>
    </row>
    <row r="751" spans="49:50" x14ac:dyDescent="0.25">
      <c r="AW751" s="613">
        <v>748</v>
      </c>
      <c r="AX751" s="614" t="s">
        <v>4161</v>
      </c>
    </row>
    <row r="752" spans="49:50" x14ac:dyDescent="0.25">
      <c r="AW752" s="613">
        <v>749</v>
      </c>
      <c r="AX752" s="614" t="s">
        <v>4162</v>
      </c>
    </row>
    <row r="753" spans="49:50" x14ac:dyDescent="0.25">
      <c r="AW753" s="613">
        <v>750</v>
      </c>
      <c r="AX753" s="614" t="s">
        <v>4163</v>
      </c>
    </row>
    <row r="754" spans="49:50" x14ac:dyDescent="0.25">
      <c r="AW754" s="613">
        <v>751</v>
      </c>
      <c r="AX754" s="614" t="s">
        <v>4164</v>
      </c>
    </row>
    <row r="755" spans="49:50" x14ac:dyDescent="0.25">
      <c r="AW755" s="613">
        <v>752</v>
      </c>
      <c r="AX755" s="614" t="s">
        <v>4165</v>
      </c>
    </row>
    <row r="756" spans="49:50" x14ac:dyDescent="0.25">
      <c r="AW756" s="613">
        <v>753</v>
      </c>
      <c r="AX756" s="614" t="s">
        <v>4166</v>
      </c>
    </row>
    <row r="757" spans="49:50" x14ac:dyDescent="0.25">
      <c r="AW757" s="613">
        <v>754</v>
      </c>
      <c r="AX757" s="614" t="s">
        <v>4167</v>
      </c>
    </row>
    <row r="758" spans="49:50" x14ac:dyDescent="0.25">
      <c r="AW758" s="613">
        <v>755</v>
      </c>
      <c r="AX758" s="614" t="s">
        <v>4168</v>
      </c>
    </row>
    <row r="759" spans="49:50" x14ac:dyDescent="0.25">
      <c r="AW759" s="613">
        <v>756</v>
      </c>
      <c r="AX759" s="614" t="s">
        <v>4169</v>
      </c>
    </row>
    <row r="760" spans="49:50" x14ac:dyDescent="0.25">
      <c r="AW760" s="613">
        <v>757</v>
      </c>
      <c r="AX760" s="614" t="s">
        <v>4170</v>
      </c>
    </row>
    <row r="761" spans="49:50" x14ac:dyDescent="0.25">
      <c r="AW761" s="613">
        <v>758</v>
      </c>
      <c r="AX761" s="614" t="s">
        <v>4171</v>
      </c>
    </row>
    <row r="762" spans="49:50" x14ac:dyDescent="0.25">
      <c r="AW762" s="613">
        <v>759</v>
      </c>
      <c r="AX762" s="614" t="s">
        <v>4172</v>
      </c>
    </row>
    <row r="763" spans="49:50" x14ac:dyDescent="0.25">
      <c r="AW763" s="613">
        <v>760</v>
      </c>
      <c r="AX763" s="614" t="s">
        <v>4173</v>
      </c>
    </row>
    <row r="764" spans="49:50" x14ac:dyDescent="0.25">
      <c r="AW764" s="613">
        <v>761</v>
      </c>
      <c r="AX764" s="614" t="s">
        <v>4174</v>
      </c>
    </row>
    <row r="765" spans="49:50" x14ac:dyDescent="0.25">
      <c r="AW765" s="613">
        <v>762</v>
      </c>
      <c r="AX765" s="614" t="s">
        <v>4175</v>
      </c>
    </row>
    <row r="766" spans="49:50" x14ac:dyDescent="0.25">
      <c r="AW766" s="613">
        <v>763</v>
      </c>
      <c r="AX766" s="614" t="s">
        <v>4176</v>
      </c>
    </row>
    <row r="767" spans="49:50" x14ac:dyDescent="0.25">
      <c r="AW767" s="613">
        <v>764</v>
      </c>
      <c r="AX767" s="614" t="s">
        <v>4177</v>
      </c>
    </row>
    <row r="768" spans="49:50" x14ac:dyDescent="0.25">
      <c r="AW768" s="613">
        <v>765</v>
      </c>
      <c r="AX768" s="614" t="s">
        <v>4178</v>
      </c>
    </row>
    <row r="769" spans="49:50" x14ac:dyDescent="0.25">
      <c r="AW769" s="613">
        <v>766</v>
      </c>
      <c r="AX769" s="614" t="s">
        <v>4179</v>
      </c>
    </row>
    <row r="770" spans="49:50" x14ac:dyDescent="0.25">
      <c r="AW770" s="613">
        <v>767</v>
      </c>
      <c r="AX770" s="614" t="s">
        <v>4180</v>
      </c>
    </row>
    <row r="771" spans="49:50" x14ac:dyDescent="0.25">
      <c r="AW771" s="613">
        <v>768</v>
      </c>
      <c r="AX771" s="614" t="s">
        <v>4181</v>
      </c>
    </row>
    <row r="772" spans="49:50" x14ac:dyDescent="0.25">
      <c r="AW772" s="613">
        <v>769</v>
      </c>
      <c r="AX772" s="614" t="s">
        <v>4182</v>
      </c>
    </row>
    <row r="773" spans="49:50" x14ac:dyDescent="0.25">
      <c r="AW773" s="613">
        <v>770</v>
      </c>
      <c r="AX773" s="614" t="s">
        <v>4183</v>
      </c>
    </row>
    <row r="774" spans="49:50" x14ac:dyDescent="0.25">
      <c r="AW774" s="613">
        <v>771</v>
      </c>
      <c r="AX774" s="614" t="s">
        <v>4184</v>
      </c>
    </row>
    <row r="775" spans="49:50" x14ac:dyDescent="0.25">
      <c r="AW775" s="613">
        <v>772</v>
      </c>
      <c r="AX775" s="614" t="s">
        <v>4185</v>
      </c>
    </row>
    <row r="776" spans="49:50" x14ac:dyDescent="0.25">
      <c r="AW776" s="613">
        <v>773</v>
      </c>
      <c r="AX776" s="614" t="s">
        <v>4186</v>
      </c>
    </row>
    <row r="777" spans="49:50" x14ac:dyDescent="0.25">
      <c r="AW777" s="613">
        <v>774</v>
      </c>
      <c r="AX777" s="614" t="s">
        <v>4187</v>
      </c>
    </row>
    <row r="778" spans="49:50" x14ac:dyDescent="0.25">
      <c r="AW778" s="613">
        <v>775</v>
      </c>
      <c r="AX778" s="614" t="s">
        <v>4188</v>
      </c>
    </row>
    <row r="779" spans="49:50" x14ac:dyDescent="0.25">
      <c r="AW779" s="613">
        <v>776</v>
      </c>
      <c r="AX779" s="614" t="s">
        <v>4189</v>
      </c>
    </row>
    <row r="780" spans="49:50" x14ac:dyDescent="0.25">
      <c r="AW780" s="613">
        <v>777</v>
      </c>
      <c r="AX780" s="614" t="s">
        <v>4190</v>
      </c>
    </row>
    <row r="781" spans="49:50" x14ac:dyDescent="0.25">
      <c r="AW781" s="613">
        <v>778</v>
      </c>
      <c r="AX781" s="614" t="s">
        <v>4191</v>
      </c>
    </row>
    <row r="782" spans="49:50" x14ac:dyDescent="0.25">
      <c r="AW782" s="613">
        <v>779</v>
      </c>
      <c r="AX782" s="614" t="s">
        <v>4192</v>
      </c>
    </row>
    <row r="783" spans="49:50" x14ac:dyDescent="0.25">
      <c r="AW783" s="613">
        <v>780</v>
      </c>
      <c r="AX783" s="614" t="s">
        <v>4193</v>
      </c>
    </row>
    <row r="784" spans="49:50" x14ac:dyDescent="0.25">
      <c r="AW784" s="613">
        <v>781</v>
      </c>
      <c r="AX784" s="614" t="s">
        <v>4194</v>
      </c>
    </row>
    <row r="785" spans="49:50" x14ac:dyDescent="0.25">
      <c r="AW785" s="613">
        <v>782</v>
      </c>
      <c r="AX785" s="614" t="s">
        <v>4195</v>
      </c>
    </row>
    <row r="786" spans="49:50" x14ac:dyDescent="0.25">
      <c r="AW786" s="613">
        <v>783</v>
      </c>
      <c r="AX786" s="614" t="s">
        <v>4196</v>
      </c>
    </row>
    <row r="787" spans="49:50" x14ac:dyDescent="0.25">
      <c r="AW787" s="613">
        <v>784</v>
      </c>
      <c r="AX787" s="614" t="s">
        <v>4197</v>
      </c>
    </row>
    <row r="788" spans="49:50" x14ac:dyDescent="0.25">
      <c r="AW788" s="613">
        <v>785</v>
      </c>
      <c r="AX788" s="614" t="s">
        <v>4198</v>
      </c>
    </row>
    <row r="789" spans="49:50" x14ac:dyDescent="0.25">
      <c r="AW789" s="613">
        <v>786</v>
      </c>
      <c r="AX789" s="614" t="s">
        <v>4199</v>
      </c>
    </row>
    <row r="790" spans="49:50" x14ac:dyDescent="0.25">
      <c r="AW790" s="613">
        <v>787</v>
      </c>
      <c r="AX790" s="614" t="s">
        <v>4200</v>
      </c>
    </row>
    <row r="791" spans="49:50" x14ac:dyDescent="0.25">
      <c r="AW791" s="613">
        <v>788</v>
      </c>
      <c r="AX791" s="614" t="s">
        <v>4201</v>
      </c>
    </row>
    <row r="792" spans="49:50" x14ac:dyDescent="0.25">
      <c r="AW792" s="613">
        <v>789</v>
      </c>
      <c r="AX792" s="614" t="s">
        <v>4202</v>
      </c>
    </row>
    <row r="793" spans="49:50" x14ac:dyDescent="0.25">
      <c r="AW793" s="613">
        <v>790</v>
      </c>
      <c r="AX793" s="614" t="s">
        <v>4203</v>
      </c>
    </row>
    <row r="794" spans="49:50" x14ac:dyDescent="0.25">
      <c r="AW794" s="613">
        <v>791</v>
      </c>
      <c r="AX794" s="614" t="s">
        <v>4204</v>
      </c>
    </row>
    <row r="795" spans="49:50" x14ac:dyDescent="0.25">
      <c r="AW795" s="613">
        <v>792</v>
      </c>
      <c r="AX795" s="614" t="s">
        <v>4205</v>
      </c>
    </row>
    <row r="796" spans="49:50" x14ac:dyDescent="0.25">
      <c r="AW796" s="613">
        <v>793</v>
      </c>
      <c r="AX796" s="614" t="s">
        <v>4206</v>
      </c>
    </row>
    <row r="797" spans="49:50" x14ac:dyDescent="0.25">
      <c r="AW797" s="613">
        <v>794</v>
      </c>
      <c r="AX797" s="614" t="s">
        <v>4207</v>
      </c>
    </row>
    <row r="798" spans="49:50" x14ac:dyDescent="0.25">
      <c r="AW798" s="613">
        <v>795</v>
      </c>
      <c r="AX798" s="614" t="s">
        <v>4208</v>
      </c>
    </row>
    <row r="799" spans="49:50" x14ac:dyDescent="0.25">
      <c r="AW799" s="613">
        <v>796</v>
      </c>
      <c r="AX799" s="614" t="s">
        <v>4209</v>
      </c>
    </row>
    <row r="800" spans="49:50" x14ac:dyDescent="0.25">
      <c r="AW800" s="613">
        <v>797</v>
      </c>
      <c r="AX800" s="614" t="s">
        <v>4210</v>
      </c>
    </row>
    <row r="801" spans="49:50" x14ac:dyDescent="0.25">
      <c r="AW801" s="613">
        <v>798</v>
      </c>
      <c r="AX801" s="614" t="s">
        <v>4211</v>
      </c>
    </row>
    <row r="802" spans="49:50" x14ac:dyDescent="0.25">
      <c r="AW802" s="613">
        <v>799</v>
      </c>
      <c r="AX802" s="614" t="s">
        <v>4212</v>
      </c>
    </row>
    <row r="803" spans="49:50" x14ac:dyDescent="0.25">
      <c r="AW803" s="613">
        <v>800</v>
      </c>
      <c r="AX803" s="614" t="s">
        <v>4213</v>
      </c>
    </row>
    <row r="804" spans="49:50" x14ac:dyDescent="0.25">
      <c r="AW804" s="613">
        <v>801</v>
      </c>
      <c r="AX804" s="614" t="s">
        <v>4214</v>
      </c>
    </row>
    <row r="805" spans="49:50" x14ac:dyDescent="0.25">
      <c r="AW805" s="613">
        <v>802</v>
      </c>
      <c r="AX805" s="614" t="s">
        <v>4215</v>
      </c>
    </row>
    <row r="806" spans="49:50" x14ac:dyDescent="0.25">
      <c r="AW806" s="613">
        <v>803</v>
      </c>
      <c r="AX806" s="614" t="s">
        <v>4216</v>
      </c>
    </row>
    <row r="807" spans="49:50" x14ac:dyDescent="0.25">
      <c r="AW807" s="613">
        <v>804</v>
      </c>
      <c r="AX807" s="614" t="s">
        <v>4217</v>
      </c>
    </row>
    <row r="808" spans="49:50" x14ac:dyDescent="0.25">
      <c r="AW808" s="613">
        <v>805</v>
      </c>
      <c r="AX808" s="614" t="s">
        <v>4218</v>
      </c>
    </row>
    <row r="809" spans="49:50" x14ac:dyDescent="0.25">
      <c r="AW809" s="613">
        <v>806</v>
      </c>
      <c r="AX809" s="614" t="s">
        <v>4219</v>
      </c>
    </row>
    <row r="810" spans="49:50" x14ac:dyDescent="0.25">
      <c r="AW810" s="613">
        <v>807</v>
      </c>
      <c r="AX810" s="614" t="s">
        <v>4220</v>
      </c>
    </row>
    <row r="811" spans="49:50" x14ac:dyDescent="0.25">
      <c r="AW811" s="613">
        <v>808</v>
      </c>
      <c r="AX811" s="614" t="s">
        <v>4221</v>
      </c>
    </row>
    <row r="812" spans="49:50" x14ac:dyDescent="0.25">
      <c r="AW812" s="613">
        <v>809</v>
      </c>
      <c r="AX812" s="614" t="s">
        <v>4222</v>
      </c>
    </row>
    <row r="813" spans="49:50" x14ac:dyDescent="0.25">
      <c r="AW813" s="613">
        <v>810</v>
      </c>
      <c r="AX813" s="614" t="s">
        <v>4223</v>
      </c>
    </row>
    <row r="814" spans="49:50" x14ac:dyDescent="0.25">
      <c r="AW814" s="613">
        <v>811</v>
      </c>
      <c r="AX814" s="614" t="s">
        <v>4224</v>
      </c>
    </row>
    <row r="815" spans="49:50" x14ac:dyDescent="0.25">
      <c r="AW815" s="613">
        <v>812</v>
      </c>
      <c r="AX815" s="614" t="s">
        <v>4225</v>
      </c>
    </row>
    <row r="816" spans="49:50" x14ac:dyDescent="0.25">
      <c r="AW816" s="613">
        <v>813</v>
      </c>
      <c r="AX816" s="614" t="s">
        <v>4226</v>
      </c>
    </row>
    <row r="817" spans="49:50" x14ac:dyDescent="0.25">
      <c r="AW817" s="613">
        <v>814</v>
      </c>
      <c r="AX817" s="614" t="s">
        <v>4227</v>
      </c>
    </row>
    <row r="818" spans="49:50" x14ac:dyDescent="0.25">
      <c r="AW818" s="613">
        <v>815</v>
      </c>
      <c r="AX818" s="614" t="s">
        <v>4228</v>
      </c>
    </row>
    <row r="819" spans="49:50" x14ac:dyDescent="0.25">
      <c r="AW819" s="613">
        <v>816</v>
      </c>
      <c r="AX819" s="614" t="s">
        <v>4229</v>
      </c>
    </row>
    <row r="820" spans="49:50" x14ac:dyDescent="0.25">
      <c r="AW820" s="613">
        <v>817</v>
      </c>
      <c r="AX820" s="614" t="s">
        <v>4230</v>
      </c>
    </row>
    <row r="821" spans="49:50" x14ac:dyDescent="0.25">
      <c r="AW821" s="613">
        <v>818</v>
      </c>
      <c r="AX821" s="614" t="s">
        <v>4231</v>
      </c>
    </row>
    <row r="822" spans="49:50" x14ac:dyDescent="0.25">
      <c r="AW822" s="613">
        <v>819</v>
      </c>
      <c r="AX822" s="614" t="s">
        <v>4232</v>
      </c>
    </row>
    <row r="823" spans="49:50" x14ac:dyDescent="0.25">
      <c r="AW823" s="613">
        <v>820</v>
      </c>
      <c r="AX823" s="614" t="s">
        <v>4233</v>
      </c>
    </row>
    <row r="824" spans="49:50" x14ac:dyDescent="0.25">
      <c r="AW824" s="613">
        <v>821</v>
      </c>
      <c r="AX824" s="614" t="s">
        <v>4234</v>
      </c>
    </row>
    <row r="825" spans="49:50" x14ac:dyDescent="0.25">
      <c r="AW825" s="613">
        <v>822</v>
      </c>
      <c r="AX825" s="614" t="s">
        <v>4235</v>
      </c>
    </row>
    <row r="826" spans="49:50" x14ac:dyDescent="0.25">
      <c r="AW826" s="613">
        <v>823</v>
      </c>
      <c r="AX826" s="614" t="s">
        <v>4236</v>
      </c>
    </row>
    <row r="827" spans="49:50" x14ac:dyDescent="0.25">
      <c r="AW827" s="613">
        <v>824</v>
      </c>
      <c r="AX827" s="614" t="s">
        <v>4237</v>
      </c>
    </row>
    <row r="828" spans="49:50" x14ac:dyDescent="0.25">
      <c r="AW828" s="613">
        <v>825</v>
      </c>
      <c r="AX828" s="614" t="s">
        <v>4238</v>
      </c>
    </row>
    <row r="829" spans="49:50" x14ac:dyDescent="0.25">
      <c r="AW829" s="613">
        <v>826</v>
      </c>
      <c r="AX829" s="614" t="s">
        <v>4239</v>
      </c>
    </row>
    <row r="830" spans="49:50" x14ac:dyDescent="0.25">
      <c r="AW830" s="613">
        <v>827</v>
      </c>
      <c r="AX830" s="614" t="s">
        <v>4240</v>
      </c>
    </row>
    <row r="831" spans="49:50" x14ac:dyDescent="0.25">
      <c r="AW831" s="613">
        <v>828</v>
      </c>
      <c r="AX831" s="614" t="s">
        <v>4241</v>
      </c>
    </row>
    <row r="832" spans="49:50" x14ac:dyDescent="0.25">
      <c r="AW832" s="613">
        <v>829</v>
      </c>
      <c r="AX832" s="614" t="s">
        <v>4242</v>
      </c>
    </row>
    <row r="833" spans="49:50" x14ac:dyDescent="0.25">
      <c r="AW833" s="613">
        <v>830</v>
      </c>
      <c r="AX833" s="614" t="s">
        <v>4243</v>
      </c>
    </row>
    <row r="834" spans="49:50" x14ac:dyDescent="0.25">
      <c r="AW834" s="613">
        <v>831</v>
      </c>
      <c r="AX834" s="614" t="s">
        <v>4244</v>
      </c>
    </row>
    <row r="835" spans="49:50" x14ac:dyDescent="0.25">
      <c r="AW835" s="613">
        <v>832</v>
      </c>
      <c r="AX835" s="614" t="s">
        <v>4245</v>
      </c>
    </row>
    <row r="836" spans="49:50" x14ac:dyDescent="0.25">
      <c r="AW836" s="613">
        <v>833</v>
      </c>
      <c r="AX836" s="614" t="s">
        <v>4246</v>
      </c>
    </row>
    <row r="837" spans="49:50" x14ac:dyDescent="0.25">
      <c r="AW837" s="613">
        <v>834</v>
      </c>
      <c r="AX837" s="614" t="s">
        <v>4247</v>
      </c>
    </row>
    <row r="838" spans="49:50" x14ac:dyDescent="0.25">
      <c r="AW838" s="613">
        <v>835</v>
      </c>
      <c r="AX838" s="614" t="s">
        <v>4248</v>
      </c>
    </row>
    <row r="839" spans="49:50" x14ac:dyDescent="0.25">
      <c r="AW839" s="613">
        <v>836</v>
      </c>
      <c r="AX839" s="614" t="s">
        <v>4249</v>
      </c>
    </row>
    <row r="840" spans="49:50" x14ac:dyDescent="0.25">
      <c r="AW840" s="613">
        <v>837</v>
      </c>
      <c r="AX840" s="614" t="s">
        <v>4250</v>
      </c>
    </row>
    <row r="841" spans="49:50" x14ac:dyDescent="0.25">
      <c r="AW841" s="613">
        <v>838</v>
      </c>
      <c r="AX841" s="614" t="s">
        <v>4251</v>
      </c>
    </row>
    <row r="842" spans="49:50" x14ac:dyDescent="0.25">
      <c r="AW842" s="613">
        <v>839</v>
      </c>
      <c r="AX842" s="614" t="s">
        <v>4252</v>
      </c>
    </row>
    <row r="843" spans="49:50" x14ac:dyDescent="0.25">
      <c r="AW843" s="613">
        <v>840</v>
      </c>
      <c r="AX843" s="614" t="s">
        <v>4253</v>
      </c>
    </row>
    <row r="844" spans="49:50" x14ac:dyDescent="0.25">
      <c r="AW844" s="613">
        <v>841</v>
      </c>
      <c r="AX844" s="614" t="s">
        <v>4254</v>
      </c>
    </row>
    <row r="845" spans="49:50" x14ac:dyDescent="0.25">
      <c r="AW845" s="613">
        <v>842</v>
      </c>
      <c r="AX845" s="614" t="s">
        <v>4255</v>
      </c>
    </row>
    <row r="846" spans="49:50" x14ac:dyDescent="0.25">
      <c r="AW846" s="613">
        <v>843</v>
      </c>
      <c r="AX846" s="614" t="s">
        <v>4256</v>
      </c>
    </row>
    <row r="847" spans="49:50" x14ac:dyDescent="0.25">
      <c r="AW847" s="613">
        <v>844</v>
      </c>
      <c r="AX847" s="614" t="s">
        <v>4257</v>
      </c>
    </row>
    <row r="848" spans="49:50" x14ac:dyDescent="0.25">
      <c r="AW848" s="613">
        <v>845</v>
      </c>
      <c r="AX848" s="614" t="s">
        <v>4258</v>
      </c>
    </row>
    <row r="849" spans="49:50" x14ac:dyDescent="0.25">
      <c r="AW849" s="613">
        <v>846</v>
      </c>
      <c r="AX849" s="614" t="s">
        <v>4259</v>
      </c>
    </row>
    <row r="850" spans="49:50" x14ac:dyDescent="0.25">
      <c r="AW850" s="613">
        <v>847</v>
      </c>
      <c r="AX850" s="614" t="s">
        <v>4260</v>
      </c>
    </row>
    <row r="851" spans="49:50" x14ac:dyDescent="0.25">
      <c r="AW851" s="613">
        <v>848</v>
      </c>
      <c r="AX851" s="614" t="s">
        <v>4261</v>
      </c>
    </row>
    <row r="852" spans="49:50" x14ac:dyDescent="0.25">
      <c r="AW852" s="613">
        <v>849</v>
      </c>
      <c r="AX852" s="614" t="s">
        <v>4262</v>
      </c>
    </row>
    <row r="853" spans="49:50" x14ac:dyDescent="0.25">
      <c r="AW853" s="613">
        <v>850</v>
      </c>
      <c r="AX853" s="614" t="s">
        <v>4263</v>
      </c>
    </row>
    <row r="854" spans="49:50" x14ac:dyDescent="0.25">
      <c r="AW854" s="613">
        <v>851</v>
      </c>
      <c r="AX854" s="614" t="s">
        <v>4264</v>
      </c>
    </row>
    <row r="855" spans="49:50" x14ac:dyDescent="0.25">
      <c r="AW855" s="613">
        <v>852</v>
      </c>
      <c r="AX855" s="614" t="s">
        <v>4265</v>
      </c>
    </row>
    <row r="856" spans="49:50" x14ac:dyDescent="0.25">
      <c r="AW856" s="613">
        <v>853</v>
      </c>
      <c r="AX856" s="614" t="s">
        <v>4266</v>
      </c>
    </row>
    <row r="857" spans="49:50" x14ac:dyDescent="0.25">
      <c r="AW857" s="613">
        <v>854</v>
      </c>
      <c r="AX857" s="614" t="s">
        <v>4267</v>
      </c>
    </row>
    <row r="858" spans="49:50" x14ac:dyDescent="0.25">
      <c r="AW858" s="613">
        <v>855</v>
      </c>
      <c r="AX858" s="614" t="s">
        <v>4268</v>
      </c>
    </row>
    <row r="859" spans="49:50" x14ac:dyDescent="0.25">
      <c r="AW859" s="613">
        <v>856</v>
      </c>
      <c r="AX859" s="614" t="s">
        <v>4269</v>
      </c>
    </row>
    <row r="860" spans="49:50" x14ac:dyDescent="0.25">
      <c r="AW860" s="613">
        <v>857</v>
      </c>
      <c r="AX860" s="614" t="s">
        <v>4270</v>
      </c>
    </row>
    <row r="861" spans="49:50" x14ac:dyDescent="0.25">
      <c r="AW861" s="613">
        <v>858</v>
      </c>
      <c r="AX861" s="614" t="s">
        <v>4271</v>
      </c>
    </row>
    <row r="862" spans="49:50" x14ac:dyDescent="0.25">
      <c r="AW862" s="613">
        <v>859</v>
      </c>
      <c r="AX862" s="614" t="s">
        <v>4272</v>
      </c>
    </row>
    <row r="863" spans="49:50" x14ac:dyDescent="0.25">
      <c r="AW863" s="613">
        <v>860</v>
      </c>
      <c r="AX863" s="614" t="s">
        <v>4273</v>
      </c>
    </row>
    <row r="864" spans="49:50" x14ac:dyDescent="0.25">
      <c r="AW864" s="613">
        <v>861</v>
      </c>
      <c r="AX864" s="614" t="s">
        <v>4274</v>
      </c>
    </row>
    <row r="865" spans="49:50" x14ac:dyDescent="0.25">
      <c r="AW865" s="613">
        <v>862</v>
      </c>
      <c r="AX865" s="614" t="s">
        <v>4275</v>
      </c>
    </row>
    <row r="866" spans="49:50" x14ac:dyDescent="0.25">
      <c r="AW866" s="613">
        <v>863</v>
      </c>
      <c r="AX866" s="614" t="s">
        <v>4276</v>
      </c>
    </row>
    <row r="867" spans="49:50" x14ac:dyDescent="0.25">
      <c r="AW867" s="613">
        <v>864</v>
      </c>
      <c r="AX867" s="614" t="s">
        <v>4277</v>
      </c>
    </row>
    <row r="868" spans="49:50" x14ac:dyDescent="0.25">
      <c r="AW868" s="613">
        <v>865</v>
      </c>
      <c r="AX868" s="614" t="s">
        <v>4278</v>
      </c>
    </row>
    <row r="869" spans="49:50" x14ac:dyDescent="0.25">
      <c r="AW869" s="613">
        <v>866</v>
      </c>
      <c r="AX869" s="614" t="s">
        <v>4279</v>
      </c>
    </row>
    <row r="870" spans="49:50" x14ac:dyDescent="0.25">
      <c r="AW870" s="613">
        <v>867</v>
      </c>
      <c r="AX870" s="614" t="s">
        <v>4280</v>
      </c>
    </row>
    <row r="871" spans="49:50" x14ac:dyDescent="0.25">
      <c r="AW871" s="613">
        <v>868</v>
      </c>
      <c r="AX871" s="614" t="s">
        <v>4281</v>
      </c>
    </row>
    <row r="872" spans="49:50" x14ac:dyDescent="0.25">
      <c r="AW872" s="613">
        <v>869</v>
      </c>
      <c r="AX872" s="614" t="s">
        <v>4282</v>
      </c>
    </row>
    <row r="873" spans="49:50" x14ac:dyDescent="0.25">
      <c r="AW873" s="613">
        <v>870</v>
      </c>
      <c r="AX873" s="614" t="s">
        <v>4283</v>
      </c>
    </row>
    <row r="874" spans="49:50" x14ac:dyDescent="0.25">
      <c r="AW874" s="613">
        <v>871</v>
      </c>
      <c r="AX874" s="614" t="s">
        <v>4284</v>
      </c>
    </row>
    <row r="875" spans="49:50" x14ac:dyDescent="0.25">
      <c r="AW875" s="613">
        <v>872</v>
      </c>
      <c r="AX875" s="614" t="s">
        <v>4285</v>
      </c>
    </row>
    <row r="876" spans="49:50" x14ac:dyDescent="0.25">
      <c r="AW876" s="613">
        <v>873</v>
      </c>
      <c r="AX876" s="614" t="s">
        <v>4286</v>
      </c>
    </row>
    <row r="877" spans="49:50" x14ac:dyDescent="0.25">
      <c r="AW877" s="613">
        <v>874</v>
      </c>
      <c r="AX877" s="614" t="s">
        <v>4287</v>
      </c>
    </row>
    <row r="878" spans="49:50" x14ac:dyDescent="0.25">
      <c r="AW878" s="613">
        <v>875</v>
      </c>
      <c r="AX878" s="614" t="s">
        <v>4288</v>
      </c>
    </row>
    <row r="879" spans="49:50" x14ac:dyDescent="0.25">
      <c r="AW879" s="613">
        <v>876</v>
      </c>
      <c r="AX879" s="614" t="s">
        <v>4289</v>
      </c>
    </row>
    <row r="880" spans="49:50" x14ac:dyDescent="0.25">
      <c r="AW880" s="613">
        <v>877</v>
      </c>
      <c r="AX880" s="614" t="s">
        <v>4290</v>
      </c>
    </row>
    <row r="881" spans="49:50" x14ac:dyDescent="0.25">
      <c r="AW881" s="613">
        <v>878</v>
      </c>
      <c r="AX881" s="614" t="s">
        <v>4291</v>
      </c>
    </row>
    <row r="882" spans="49:50" x14ac:dyDescent="0.25">
      <c r="AW882" s="613">
        <v>879</v>
      </c>
      <c r="AX882" s="614" t="s">
        <v>4292</v>
      </c>
    </row>
    <row r="883" spans="49:50" x14ac:dyDescent="0.25">
      <c r="AW883" s="613">
        <v>880</v>
      </c>
      <c r="AX883" s="614" t="s">
        <v>4293</v>
      </c>
    </row>
    <row r="884" spans="49:50" x14ac:dyDescent="0.25">
      <c r="AW884" s="613">
        <v>881</v>
      </c>
      <c r="AX884" s="614" t="s">
        <v>4294</v>
      </c>
    </row>
    <row r="885" spans="49:50" x14ac:dyDescent="0.25">
      <c r="AW885" s="613">
        <v>882</v>
      </c>
      <c r="AX885" s="614" t="s">
        <v>4295</v>
      </c>
    </row>
    <row r="886" spans="49:50" x14ac:dyDescent="0.25">
      <c r="AW886" s="613">
        <v>883</v>
      </c>
      <c r="AX886" s="614" t="s">
        <v>4296</v>
      </c>
    </row>
    <row r="887" spans="49:50" x14ac:dyDescent="0.25">
      <c r="AW887" s="613">
        <v>884</v>
      </c>
      <c r="AX887" s="614" t="s">
        <v>4297</v>
      </c>
    </row>
    <row r="888" spans="49:50" x14ac:dyDescent="0.25">
      <c r="AW888" s="613">
        <v>885</v>
      </c>
      <c r="AX888" s="614" t="s">
        <v>4298</v>
      </c>
    </row>
    <row r="889" spans="49:50" x14ac:dyDescent="0.25">
      <c r="AW889" s="613">
        <v>886</v>
      </c>
      <c r="AX889" s="614" t="s">
        <v>4299</v>
      </c>
    </row>
    <row r="890" spans="49:50" x14ac:dyDescent="0.25">
      <c r="AW890" s="613">
        <v>887</v>
      </c>
      <c r="AX890" s="614" t="s">
        <v>4300</v>
      </c>
    </row>
    <row r="891" spans="49:50" x14ac:dyDescent="0.25">
      <c r="AW891" s="613">
        <v>888</v>
      </c>
      <c r="AX891" s="614" t="s">
        <v>4301</v>
      </c>
    </row>
    <row r="892" spans="49:50" x14ac:dyDescent="0.25">
      <c r="AW892" s="613">
        <v>889</v>
      </c>
      <c r="AX892" s="614" t="s">
        <v>4302</v>
      </c>
    </row>
    <row r="893" spans="49:50" x14ac:dyDescent="0.25">
      <c r="AW893" s="613">
        <v>890</v>
      </c>
      <c r="AX893" s="614" t="s">
        <v>4303</v>
      </c>
    </row>
    <row r="894" spans="49:50" x14ac:dyDescent="0.25">
      <c r="AW894" s="613">
        <v>891</v>
      </c>
      <c r="AX894" s="614" t="s">
        <v>4304</v>
      </c>
    </row>
    <row r="895" spans="49:50" x14ac:dyDescent="0.25">
      <c r="AW895" s="613">
        <v>892</v>
      </c>
      <c r="AX895" s="614" t="s">
        <v>4305</v>
      </c>
    </row>
    <row r="896" spans="49:50" x14ac:dyDescent="0.25">
      <c r="AW896" s="613">
        <v>893</v>
      </c>
      <c r="AX896" s="614" t="s">
        <v>4306</v>
      </c>
    </row>
    <row r="897" spans="49:50" x14ac:dyDescent="0.25">
      <c r="AW897" s="613">
        <v>894</v>
      </c>
      <c r="AX897" s="614" t="s">
        <v>4307</v>
      </c>
    </row>
    <row r="898" spans="49:50" x14ac:dyDescent="0.25">
      <c r="AW898" s="613">
        <v>895</v>
      </c>
      <c r="AX898" s="614" t="s">
        <v>4308</v>
      </c>
    </row>
    <row r="899" spans="49:50" x14ac:dyDescent="0.25">
      <c r="AW899" s="613">
        <v>896</v>
      </c>
      <c r="AX899" s="614" t="s">
        <v>4309</v>
      </c>
    </row>
    <row r="900" spans="49:50" x14ac:dyDescent="0.25">
      <c r="AW900" s="613">
        <v>897</v>
      </c>
      <c r="AX900" s="614" t="s">
        <v>4310</v>
      </c>
    </row>
    <row r="901" spans="49:50" x14ac:dyDescent="0.25">
      <c r="AW901" s="613">
        <v>898</v>
      </c>
      <c r="AX901" s="614" t="s">
        <v>4311</v>
      </c>
    </row>
    <row r="902" spans="49:50" x14ac:dyDescent="0.25">
      <c r="AW902" s="613">
        <v>899</v>
      </c>
      <c r="AX902" s="614" t="s">
        <v>4312</v>
      </c>
    </row>
    <row r="903" spans="49:50" x14ac:dyDescent="0.25">
      <c r="AW903" s="613">
        <v>900</v>
      </c>
      <c r="AX903" s="614" t="s">
        <v>4313</v>
      </c>
    </row>
    <row r="904" spans="49:50" x14ac:dyDescent="0.25">
      <c r="AW904" s="613">
        <v>901</v>
      </c>
      <c r="AX904" s="614" t="s">
        <v>4314</v>
      </c>
    </row>
    <row r="905" spans="49:50" x14ac:dyDescent="0.25">
      <c r="AW905" s="613">
        <v>902</v>
      </c>
      <c r="AX905" s="614" t="s">
        <v>4315</v>
      </c>
    </row>
    <row r="906" spans="49:50" x14ac:dyDescent="0.25">
      <c r="AW906" s="613">
        <v>903</v>
      </c>
      <c r="AX906" s="614" t="s">
        <v>4316</v>
      </c>
    </row>
    <row r="907" spans="49:50" x14ac:dyDescent="0.25">
      <c r="AW907" s="613">
        <v>904</v>
      </c>
      <c r="AX907" s="614" t="s">
        <v>4317</v>
      </c>
    </row>
    <row r="908" spans="49:50" x14ac:dyDescent="0.25">
      <c r="AW908" s="613">
        <v>905</v>
      </c>
      <c r="AX908" s="614" t="s">
        <v>4318</v>
      </c>
    </row>
    <row r="909" spans="49:50" x14ac:dyDescent="0.25">
      <c r="AW909" s="613">
        <v>906</v>
      </c>
      <c r="AX909" s="614" t="s">
        <v>4319</v>
      </c>
    </row>
    <row r="910" spans="49:50" x14ac:dyDescent="0.25">
      <c r="AW910" s="613">
        <v>907</v>
      </c>
      <c r="AX910" s="614" t="s">
        <v>4320</v>
      </c>
    </row>
    <row r="911" spans="49:50" x14ac:dyDescent="0.25">
      <c r="AW911" s="613">
        <v>908</v>
      </c>
      <c r="AX911" s="614" t="s">
        <v>4321</v>
      </c>
    </row>
    <row r="912" spans="49:50" x14ac:dyDescent="0.25">
      <c r="AW912" s="613">
        <v>909</v>
      </c>
      <c r="AX912" s="614" t="s">
        <v>4322</v>
      </c>
    </row>
    <row r="913" spans="49:50" x14ac:dyDescent="0.25">
      <c r="AW913" s="613">
        <v>910</v>
      </c>
      <c r="AX913" s="614" t="s">
        <v>4323</v>
      </c>
    </row>
    <row r="914" spans="49:50" x14ac:dyDescent="0.25">
      <c r="AW914" s="613">
        <v>911</v>
      </c>
      <c r="AX914" s="614" t="s">
        <v>4324</v>
      </c>
    </row>
    <row r="915" spans="49:50" x14ac:dyDescent="0.25">
      <c r="AW915" s="613">
        <v>912</v>
      </c>
      <c r="AX915" s="614" t="s">
        <v>4325</v>
      </c>
    </row>
    <row r="916" spans="49:50" x14ac:dyDescent="0.25">
      <c r="AW916" s="613">
        <v>913</v>
      </c>
      <c r="AX916" s="614" t="s">
        <v>4326</v>
      </c>
    </row>
    <row r="917" spans="49:50" x14ac:dyDescent="0.25">
      <c r="AW917" s="613">
        <v>914</v>
      </c>
      <c r="AX917" s="614" t="s">
        <v>4327</v>
      </c>
    </row>
    <row r="918" spans="49:50" x14ac:dyDescent="0.25">
      <c r="AW918" s="613">
        <v>915</v>
      </c>
      <c r="AX918" s="614" t="s">
        <v>4328</v>
      </c>
    </row>
    <row r="919" spans="49:50" x14ac:dyDescent="0.25">
      <c r="AW919" s="613">
        <v>916</v>
      </c>
      <c r="AX919" s="614" t="s">
        <v>4329</v>
      </c>
    </row>
    <row r="920" spans="49:50" x14ac:dyDescent="0.25">
      <c r="AW920" s="613">
        <v>917</v>
      </c>
      <c r="AX920" s="614" t="s">
        <v>4330</v>
      </c>
    </row>
    <row r="921" spans="49:50" x14ac:dyDescent="0.25">
      <c r="AW921" s="613">
        <v>918</v>
      </c>
      <c r="AX921" s="614" t="s">
        <v>4331</v>
      </c>
    </row>
    <row r="922" spans="49:50" x14ac:dyDescent="0.25">
      <c r="AW922" s="613">
        <v>919</v>
      </c>
      <c r="AX922" s="614" t="s">
        <v>4332</v>
      </c>
    </row>
    <row r="923" spans="49:50" x14ac:dyDescent="0.25">
      <c r="AW923" s="613">
        <v>920</v>
      </c>
      <c r="AX923" s="614" t="s">
        <v>4333</v>
      </c>
    </row>
    <row r="924" spans="49:50" x14ac:dyDescent="0.25">
      <c r="AW924" s="613">
        <v>921</v>
      </c>
      <c r="AX924" s="614" t="s">
        <v>4334</v>
      </c>
    </row>
    <row r="925" spans="49:50" x14ac:dyDescent="0.25">
      <c r="AW925" s="613">
        <v>922</v>
      </c>
      <c r="AX925" s="614" t="s">
        <v>4335</v>
      </c>
    </row>
    <row r="926" spans="49:50" x14ac:dyDescent="0.25">
      <c r="AW926" s="613">
        <v>923</v>
      </c>
      <c r="AX926" s="614" t="s">
        <v>4336</v>
      </c>
    </row>
    <row r="927" spans="49:50" x14ac:dyDescent="0.25">
      <c r="AW927" s="613">
        <v>924</v>
      </c>
      <c r="AX927" s="614" t="s">
        <v>4337</v>
      </c>
    </row>
    <row r="928" spans="49:50" x14ac:dyDescent="0.25">
      <c r="AW928" s="613">
        <v>925</v>
      </c>
      <c r="AX928" s="614" t="s">
        <v>4338</v>
      </c>
    </row>
    <row r="929" spans="49:50" x14ac:dyDescent="0.25">
      <c r="AW929" s="613">
        <v>926</v>
      </c>
      <c r="AX929" s="614" t="s">
        <v>4339</v>
      </c>
    </row>
    <row r="930" spans="49:50" x14ac:dyDescent="0.25">
      <c r="AW930" s="613">
        <v>927</v>
      </c>
      <c r="AX930" s="614" t="s">
        <v>4340</v>
      </c>
    </row>
    <row r="931" spans="49:50" x14ac:dyDescent="0.25">
      <c r="AW931" s="613">
        <v>928</v>
      </c>
      <c r="AX931" s="614" t="s">
        <v>4341</v>
      </c>
    </row>
    <row r="932" spans="49:50" x14ac:dyDescent="0.25">
      <c r="AW932" s="613">
        <v>929</v>
      </c>
      <c r="AX932" s="614" t="s">
        <v>4342</v>
      </c>
    </row>
    <row r="933" spans="49:50" x14ac:dyDescent="0.25">
      <c r="AW933" s="613">
        <v>930</v>
      </c>
      <c r="AX933" s="614" t="s">
        <v>4343</v>
      </c>
    </row>
    <row r="934" spans="49:50" x14ac:dyDescent="0.25">
      <c r="AW934" s="613">
        <v>931</v>
      </c>
      <c r="AX934" s="614" t="s">
        <v>4344</v>
      </c>
    </row>
    <row r="935" spans="49:50" x14ac:dyDescent="0.25">
      <c r="AW935" s="613">
        <v>932</v>
      </c>
      <c r="AX935" s="614" t="s">
        <v>4345</v>
      </c>
    </row>
    <row r="936" spans="49:50" x14ac:dyDescent="0.25">
      <c r="AW936" s="613">
        <v>933</v>
      </c>
      <c r="AX936" s="614" t="s">
        <v>4346</v>
      </c>
    </row>
    <row r="937" spans="49:50" x14ac:dyDescent="0.25">
      <c r="AW937" s="613">
        <v>934</v>
      </c>
      <c r="AX937" s="614" t="s">
        <v>4347</v>
      </c>
    </row>
    <row r="938" spans="49:50" x14ac:dyDescent="0.25">
      <c r="AW938" s="613">
        <v>935</v>
      </c>
      <c r="AX938" s="614" t="s">
        <v>4348</v>
      </c>
    </row>
    <row r="939" spans="49:50" x14ac:dyDescent="0.25">
      <c r="AW939" s="613">
        <v>936</v>
      </c>
      <c r="AX939" s="614" t="s">
        <v>4349</v>
      </c>
    </row>
    <row r="940" spans="49:50" x14ac:dyDescent="0.25">
      <c r="AW940" s="613">
        <v>937</v>
      </c>
      <c r="AX940" s="614" t="s">
        <v>4350</v>
      </c>
    </row>
    <row r="941" spans="49:50" x14ac:dyDescent="0.25">
      <c r="AW941" s="613">
        <v>938</v>
      </c>
      <c r="AX941" s="614" t="s">
        <v>4351</v>
      </c>
    </row>
    <row r="942" spans="49:50" x14ac:dyDescent="0.25">
      <c r="AW942" s="613">
        <v>939</v>
      </c>
      <c r="AX942" s="614" t="s">
        <v>4352</v>
      </c>
    </row>
    <row r="943" spans="49:50" x14ac:dyDescent="0.25">
      <c r="AW943" s="613">
        <v>940</v>
      </c>
      <c r="AX943" s="614" t="s">
        <v>4353</v>
      </c>
    </row>
    <row r="944" spans="49:50" x14ac:dyDescent="0.25">
      <c r="AW944" s="613">
        <v>941</v>
      </c>
      <c r="AX944" s="614" t="s">
        <v>4354</v>
      </c>
    </row>
    <row r="945" spans="49:50" x14ac:dyDescent="0.25">
      <c r="AW945" s="613">
        <v>942</v>
      </c>
      <c r="AX945" s="614" t="s">
        <v>4355</v>
      </c>
    </row>
    <row r="946" spans="49:50" x14ac:dyDescent="0.25">
      <c r="AW946" s="613">
        <v>943</v>
      </c>
      <c r="AX946" s="614" t="s">
        <v>4356</v>
      </c>
    </row>
    <row r="947" spans="49:50" x14ac:dyDescent="0.25">
      <c r="AW947" s="613">
        <v>944</v>
      </c>
      <c r="AX947" s="614" t="s">
        <v>4357</v>
      </c>
    </row>
    <row r="948" spans="49:50" x14ac:dyDescent="0.25">
      <c r="AW948" s="613">
        <v>945</v>
      </c>
      <c r="AX948" s="614" t="s">
        <v>4358</v>
      </c>
    </row>
    <row r="949" spans="49:50" x14ac:dyDescent="0.25">
      <c r="AW949" s="613">
        <v>946</v>
      </c>
      <c r="AX949" s="614" t="s">
        <v>4359</v>
      </c>
    </row>
    <row r="950" spans="49:50" x14ac:dyDescent="0.25">
      <c r="AW950" s="613">
        <v>947</v>
      </c>
      <c r="AX950" s="614" t="s">
        <v>4360</v>
      </c>
    </row>
    <row r="951" spans="49:50" x14ac:dyDescent="0.25">
      <c r="AW951" s="613">
        <v>948</v>
      </c>
      <c r="AX951" s="614" t="s">
        <v>4361</v>
      </c>
    </row>
    <row r="952" spans="49:50" x14ac:dyDescent="0.25">
      <c r="AW952" s="613">
        <v>949</v>
      </c>
      <c r="AX952" s="614" t="s">
        <v>4362</v>
      </c>
    </row>
    <row r="953" spans="49:50" x14ac:dyDescent="0.25">
      <c r="AW953" s="613">
        <v>950</v>
      </c>
      <c r="AX953" s="614" t="s">
        <v>4363</v>
      </c>
    </row>
    <row r="954" spans="49:50" x14ac:dyDescent="0.25">
      <c r="AW954" s="613">
        <v>951</v>
      </c>
      <c r="AX954" s="614" t="s">
        <v>4364</v>
      </c>
    </row>
    <row r="955" spans="49:50" x14ac:dyDescent="0.25">
      <c r="AW955" s="613">
        <v>952</v>
      </c>
      <c r="AX955" s="614" t="s">
        <v>4365</v>
      </c>
    </row>
    <row r="956" spans="49:50" x14ac:dyDescent="0.25">
      <c r="AW956" s="613">
        <v>953</v>
      </c>
      <c r="AX956" s="614" t="s">
        <v>4366</v>
      </c>
    </row>
    <row r="957" spans="49:50" x14ac:dyDescent="0.25">
      <c r="AW957" s="613">
        <v>954</v>
      </c>
      <c r="AX957" s="614" t="s">
        <v>4367</v>
      </c>
    </row>
    <row r="958" spans="49:50" x14ac:dyDescent="0.25">
      <c r="AW958" s="613">
        <v>955</v>
      </c>
      <c r="AX958" s="614" t="s">
        <v>4368</v>
      </c>
    </row>
    <row r="959" spans="49:50" x14ac:dyDescent="0.25">
      <c r="AW959" s="613">
        <v>956</v>
      </c>
      <c r="AX959" s="614" t="s">
        <v>4369</v>
      </c>
    </row>
    <row r="960" spans="49:50" x14ac:dyDescent="0.25">
      <c r="AW960" s="613">
        <v>957</v>
      </c>
      <c r="AX960" s="614" t="s">
        <v>4370</v>
      </c>
    </row>
    <row r="961" spans="49:50" x14ac:dyDescent="0.25">
      <c r="AW961" s="613">
        <v>958</v>
      </c>
      <c r="AX961" s="614" t="s">
        <v>4371</v>
      </c>
    </row>
    <row r="962" spans="49:50" x14ac:dyDescent="0.25">
      <c r="AW962" s="613">
        <v>959</v>
      </c>
      <c r="AX962" s="614" t="s">
        <v>4372</v>
      </c>
    </row>
    <row r="963" spans="49:50" x14ac:dyDescent="0.25">
      <c r="AW963" s="613">
        <v>960</v>
      </c>
      <c r="AX963" s="614" t="s">
        <v>4373</v>
      </c>
    </row>
    <row r="964" spans="49:50" x14ac:dyDescent="0.25">
      <c r="AW964" s="613">
        <v>961</v>
      </c>
      <c r="AX964" s="614" t="s">
        <v>4374</v>
      </c>
    </row>
    <row r="965" spans="49:50" x14ac:dyDescent="0.25">
      <c r="AW965" s="613">
        <v>962</v>
      </c>
      <c r="AX965" s="614" t="s">
        <v>4375</v>
      </c>
    </row>
    <row r="966" spans="49:50" x14ac:dyDescent="0.25">
      <c r="AW966" s="613">
        <v>963</v>
      </c>
      <c r="AX966" s="614" t="s">
        <v>4376</v>
      </c>
    </row>
    <row r="967" spans="49:50" x14ac:dyDescent="0.25">
      <c r="AW967" s="613">
        <v>964</v>
      </c>
      <c r="AX967" s="614" t="s">
        <v>4377</v>
      </c>
    </row>
    <row r="968" spans="49:50" x14ac:dyDescent="0.25">
      <c r="AW968" s="613">
        <v>965</v>
      </c>
      <c r="AX968" s="614" t="s">
        <v>4378</v>
      </c>
    </row>
    <row r="969" spans="49:50" x14ac:dyDescent="0.25">
      <c r="AW969" s="613">
        <v>966</v>
      </c>
      <c r="AX969" s="614" t="s">
        <v>4379</v>
      </c>
    </row>
    <row r="970" spans="49:50" x14ac:dyDescent="0.25">
      <c r="AW970" s="613">
        <v>967</v>
      </c>
      <c r="AX970" s="614" t="s">
        <v>4380</v>
      </c>
    </row>
    <row r="971" spans="49:50" x14ac:dyDescent="0.25">
      <c r="AW971" s="613">
        <v>968</v>
      </c>
      <c r="AX971" s="614" t="s">
        <v>4381</v>
      </c>
    </row>
    <row r="972" spans="49:50" x14ac:dyDescent="0.25">
      <c r="AW972" s="613">
        <v>969</v>
      </c>
      <c r="AX972" s="614" t="s">
        <v>4382</v>
      </c>
    </row>
    <row r="973" spans="49:50" x14ac:dyDescent="0.25">
      <c r="AW973" s="613">
        <v>970</v>
      </c>
      <c r="AX973" s="614" t="s">
        <v>4383</v>
      </c>
    </row>
    <row r="974" spans="49:50" x14ac:dyDescent="0.25">
      <c r="AW974" s="613">
        <v>971</v>
      </c>
      <c r="AX974" s="614" t="s">
        <v>4384</v>
      </c>
    </row>
    <row r="975" spans="49:50" x14ac:dyDescent="0.25">
      <c r="AW975" s="613">
        <v>972</v>
      </c>
      <c r="AX975" s="614" t="s">
        <v>4385</v>
      </c>
    </row>
    <row r="976" spans="49:50" x14ac:dyDescent="0.25">
      <c r="AW976" s="613">
        <v>973</v>
      </c>
      <c r="AX976" s="614" t="s">
        <v>4386</v>
      </c>
    </row>
    <row r="977" spans="49:50" x14ac:dyDescent="0.25">
      <c r="AW977" s="613">
        <v>974</v>
      </c>
      <c r="AX977" s="614" t="s">
        <v>4387</v>
      </c>
    </row>
    <row r="978" spans="49:50" x14ac:dyDescent="0.25">
      <c r="AW978" s="613">
        <v>975</v>
      </c>
      <c r="AX978" s="614" t="s">
        <v>4388</v>
      </c>
    </row>
    <row r="979" spans="49:50" x14ac:dyDescent="0.25">
      <c r="AW979" s="613">
        <v>976</v>
      </c>
      <c r="AX979" s="614" t="s">
        <v>4389</v>
      </c>
    </row>
    <row r="980" spans="49:50" x14ac:dyDescent="0.25">
      <c r="AW980" s="613">
        <v>977</v>
      </c>
      <c r="AX980" s="614" t="s">
        <v>4390</v>
      </c>
    </row>
    <row r="981" spans="49:50" x14ac:dyDescent="0.25">
      <c r="AW981" s="613">
        <v>978</v>
      </c>
      <c r="AX981" s="614" t="s">
        <v>4391</v>
      </c>
    </row>
    <row r="982" spans="49:50" x14ac:dyDescent="0.25">
      <c r="AW982" s="613">
        <v>979</v>
      </c>
      <c r="AX982" s="614" t="s">
        <v>4392</v>
      </c>
    </row>
    <row r="983" spans="49:50" x14ac:dyDescent="0.25">
      <c r="AW983" s="613">
        <v>980</v>
      </c>
      <c r="AX983" s="614" t="s">
        <v>4393</v>
      </c>
    </row>
    <row r="984" spans="49:50" x14ac:dyDescent="0.25">
      <c r="AW984" s="613">
        <v>981</v>
      </c>
      <c r="AX984" s="614" t="s">
        <v>4394</v>
      </c>
    </row>
    <row r="985" spans="49:50" x14ac:dyDescent="0.25">
      <c r="AW985" s="613">
        <v>982</v>
      </c>
      <c r="AX985" s="614" t="s">
        <v>4395</v>
      </c>
    </row>
    <row r="986" spans="49:50" x14ac:dyDescent="0.25">
      <c r="AW986" s="613">
        <v>983</v>
      </c>
      <c r="AX986" s="614" t="s">
        <v>4396</v>
      </c>
    </row>
    <row r="987" spans="49:50" x14ac:dyDescent="0.25">
      <c r="AW987" s="613">
        <v>984</v>
      </c>
      <c r="AX987" s="614" t="s">
        <v>4397</v>
      </c>
    </row>
    <row r="988" spans="49:50" x14ac:dyDescent="0.25">
      <c r="AW988" s="613">
        <v>985</v>
      </c>
      <c r="AX988" s="614" t="s">
        <v>4398</v>
      </c>
    </row>
    <row r="989" spans="49:50" x14ac:dyDescent="0.25">
      <c r="AW989" s="613">
        <v>986</v>
      </c>
      <c r="AX989" s="614" t="s">
        <v>4399</v>
      </c>
    </row>
    <row r="990" spans="49:50" x14ac:dyDescent="0.25">
      <c r="AW990" s="613">
        <v>987</v>
      </c>
      <c r="AX990" s="614" t="s">
        <v>4400</v>
      </c>
    </row>
    <row r="991" spans="49:50" x14ac:dyDescent="0.25">
      <c r="AW991" s="613">
        <v>988</v>
      </c>
      <c r="AX991" s="614" t="s">
        <v>4401</v>
      </c>
    </row>
    <row r="992" spans="49:50" x14ac:dyDescent="0.25">
      <c r="AW992" s="613">
        <v>989</v>
      </c>
      <c r="AX992" s="614" t="s">
        <v>4402</v>
      </c>
    </row>
    <row r="993" spans="49:50" x14ac:dyDescent="0.25">
      <c r="AW993" s="613">
        <v>990</v>
      </c>
      <c r="AX993" s="614" t="s">
        <v>4403</v>
      </c>
    </row>
    <row r="994" spans="49:50" x14ac:dyDescent="0.25">
      <c r="AW994" s="613">
        <v>991</v>
      </c>
      <c r="AX994" s="614" t="s">
        <v>4404</v>
      </c>
    </row>
    <row r="995" spans="49:50" x14ac:dyDescent="0.25">
      <c r="AW995" s="613">
        <v>992</v>
      </c>
      <c r="AX995" s="614" t="s">
        <v>4405</v>
      </c>
    </row>
    <row r="996" spans="49:50" x14ac:dyDescent="0.25">
      <c r="AW996" s="613">
        <v>993</v>
      </c>
      <c r="AX996" s="614" t="s">
        <v>4406</v>
      </c>
    </row>
    <row r="997" spans="49:50" x14ac:dyDescent="0.25">
      <c r="AW997" s="613">
        <v>994</v>
      </c>
      <c r="AX997" s="614" t="s">
        <v>4407</v>
      </c>
    </row>
    <row r="998" spans="49:50" x14ac:dyDescent="0.25">
      <c r="AW998" s="613">
        <v>995</v>
      </c>
      <c r="AX998" s="614" t="s">
        <v>4408</v>
      </c>
    </row>
    <row r="999" spans="49:50" x14ac:dyDescent="0.25">
      <c r="AW999" s="613">
        <v>996</v>
      </c>
      <c r="AX999" s="614" t="s">
        <v>4409</v>
      </c>
    </row>
    <row r="1000" spans="49:50" x14ac:dyDescent="0.25">
      <c r="AW1000" s="613">
        <v>997</v>
      </c>
      <c r="AX1000" s="614" t="s">
        <v>4410</v>
      </c>
    </row>
    <row r="1001" spans="49:50" x14ac:dyDescent="0.25">
      <c r="AW1001" s="613">
        <v>998</v>
      </c>
      <c r="AX1001" s="614" t="s">
        <v>4411</v>
      </c>
    </row>
    <row r="1002" spans="49:50" x14ac:dyDescent="0.25">
      <c r="AW1002" s="613">
        <v>999</v>
      </c>
      <c r="AX1002" s="614" t="s">
        <v>4412</v>
      </c>
    </row>
    <row r="1003" spans="49:50" x14ac:dyDescent="0.25">
      <c r="AW1003" s="613">
        <v>1000</v>
      </c>
      <c r="AX1003" s="614" t="s">
        <v>4413</v>
      </c>
    </row>
    <row r="1004" spans="49:50" x14ac:dyDescent="0.25">
      <c r="AW1004" s="613">
        <v>1001</v>
      </c>
    </row>
    <row r="1005" spans="49:50" x14ac:dyDescent="0.25">
      <c r="AW1005" s="613">
        <v>1002</v>
      </c>
    </row>
    <row r="1006" spans="49:50" x14ac:dyDescent="0.25">
      <c r="AW1006" s="613">
        <v>1003</v>
      </c>
    </row>
    <row r="1007" spans="49:50" x14ac:dyDescent="0.25">
      <c r="AW1007" s="613">
        <v>1004</v>
      </c>
    </row>
    <row r="1008" spans="49:50" x14ac:dyDescent="0.25">
      <c r="AW1008" s="613">
        <v>1005</v>
      </c>
    </row>
    <row r="1009" spans="49:49" x14ac:dyDescent="0.25">
      <c r="AW1009" s="613">
        <v>1006</v>
      </c>
    </row>
    <row r="1010" spans="49:49" x14ac:dyDescent="0.25">
      <c r="AW1010" s="613">
        <v>1007</v>
      </c>
    </row>
    <row r="1011" spans="49:49" x14ac:dyDescent="0.25">
      <c r="AW1011" s="613">
        <v>1008</v>
      </c>
    </row>
    <row r="1012" spans="49:49" x14ac:dyDescent="0.25">
      <c r="AW1012" s="613">
        <v>1009</v>
      </c>
    </row>
    <row r="1013" spans="49:49" x14ac:dyDescent="0.25">
      <c r="AW1013" s="613">
        <v>1010</v>
      </c>
    </row>
    <row r="1014" spans="49:49" x14ac:dyDescent="0.25">
      <c r="AW1014" s="613">
        <v>1011</v>
      </c>
    </row>
    <row r="1015" spans="49:49" x14ac:dyDescent="0.25">
      <c r="AW1015" s="613">
        <v>1012</v>
      </c>
    </row>
    <row r="1016" spans="49:49" x14ac:dyDescent="0.25">
      <c r="AW1016" s="613">
        <v>1013</v>
      </c>
    </row>
    <row r="1017" spans="49:49" x14ac:dyDescent="0.25">
      <c r="AW1017" s="613">
        <v>1014</v>
      </c>
    </row>
    <row r="1018" spans="49:49" x14ac:dyDescent="0.25">
      <c r="AW1018" s="613">
        <v>1015</v>
      </c>
    </row>
    <row r="1019" spans="49:49" x14ac:dyDescent="0.25">
      <c r="AW1019" s="613">
        <v>1016</v>
      </c>
    </row>
    <row r="1020" spans="49:49" x14ac:dyDescent="0.25">
      <c r="AW1020" s="613">
        <v>1017</v>
      </c>
    </row>
    <row r="1021" spans="49:49" x14ac:dyDescent="0.25">
      <c r="AW1021" s="613">
        <v>1018</v>
      </c>
    </row>
    <row r="1022" spans="49:49" x14ac:dyDescent="0.25">
      <c r="AW1022" s="613">
        <v>1019</v>
      </c>
    </row>
    <row r="1023" spans="49:49" x14ac:dyDescent="0.25">
      <c r="AW1023" s="613">
        <v>1020</v>
      </c>
    </row>
    <row r="1024" spans="49:49" x14ac:dyDescent="0.25">
      <c r="AW1024" s="613">
        <v>1021</v>
      </c>
    </row>
    <row r="1025" spans="49:49" x14ac:dyDescent="0.25">
      <c r="AW1025" s="613">
        <v>1022</v>
      </c>
    </row>
    <row r="1026" spans="49:49" x14ac:dyDescent="0.25">
      <c r="AW1026" s="613">
        <v>1023</v>
      </c>
    </row>
    <row r="1027" spans="49:49" x14ac:dyDescent="0.25">
      <c r="AW1027" s="613">
        <v>1024</v>
      </c>
    </row>
    <row r="1028" spans="49:49" x14ac:dyDescent="0.25">
      <c r="AW1028" s="613">
        <v>1025</v>
      </c>
    </row>
    <row r="1029" spans="49:49" x14ac:dyDescent="0.25">
      <c r="AW1029" s="613">
        <v>1026</v>
      </c>
    </row>
    <row r="1030" spans="49:49" x14ac:dyDescent="0.25">
      <c r="AW1030" s="613">
        <v>1027</v>
      </c>
    </row>
    <row r="1031" spans="49:49" x14ac:dyDescent="0.25">
      <c r="AW1031" s="613">
        <v>1028</v>
      </c>
    </row>
    <row r="1032" spans="49:49" x14ac:dyDescent="0.25">
      <c r="AW1032" s="613">
        <v>1029</v>
      </c>
    </row>
    <row r="1033" spans="49:49" x14ac:dyDescent="0.25">
      <c r="AW1033" s="613">
        <v>1030</v>
      </c>
    </row>
    <row r="1034" spans="49:49" x14ac:dyDescent="0.25">
      <c r="AW1034" s="613">
        <v>1031</v>
      </c>
    </row>
    <row r="1035" spans="49:49" x14ac:dyDescent="0.25">
      <c r="AW1035" s="613">
        <v>1032</v>
      </c>
    </row>
    <row r="1036" spans="49:49" x14ac:dyDescent="0.25">
      <c r="AW1036" s="613">
        <v>1033</v>
      </c>
    </row>
    <row r="1037" spans="49:49" x14ac:dyDescent="0.25">
      <c r="AW1037" s="613">
        <v>1034</v>
      </c>
    </row>
    <row r="1038" spans="49:49" x14ac:dyDescent="0.25">
      <c r="AW1038" s="613">
        <v>1035</v>
      </c>
    </row>
    <row r="1039" spans="49:49" x14ac:dyDescent="0.25">
      <c r="AW1039" s="613">
        <v>1036</v>
      </c>
    </row>
    <row r="1040" spans="49:49" x14ac:dyDescent="0.25">
      <c r="AW1040" s="613">
        <v>1037</v>
      </c>
    </row>
    <row r="1041" spans="49:49" x14ac:dyDescent="0.25">
      <c r="AW1041" s="613">
        <v>1038</v>
      </c>
    </row>
    <row r="1042" spans="49:49" x14ac:dyDescent="0.25">
      <c r="AW1042" s="613">
        <v>1039</v>
      </c>
    </row>
    <row r="1043" spans="49:49" x14ac:dyDescent="0.25">
      <c r="AW1043" s="613">
        <v>1040</v>
      </c>
    </row>
    <row r="1044" spans="49:49" x14ac:dyDescent="0.25">
      <c r="AW1044" s="613">
        <v>1041</v>
      </c>
    </row>
    <row r="1045" spans="49:49" x14ac:dyDescent="0.25">
      <c r="AW1045" s="613">
        <v>1042</v>
      </c>
    </row>
    <row r="1046" spans="49:49" x14ac:dyDescent="0.25">
      <c r="AW1046" s="613">
        <v>1043</v>
      </c>
    </row>
    <row r="1047" spans="49:49" x14ac:dyDescent="0.25">
      <c r="AW1047" s="613">
        <v>1044</v>
      </c>
    </row>
    <row r="1048" spans="49:49" x14ac:dyDescent="0.25">
      <c r="AW1048" s="613">
        <v>1045</v>
      </c>
    </row>
    <row r="1049" spans="49:49" x14ac:dyDescent="0.25">
      <c r="AW1049" s="613">
        <v>1046</v>
      </c>
    </row>
    <row r="1050" spans="49:49" x14ac:dyDescent="0.25">
      <c r="AW1050" s="613">
        <v>1047</v>
      </c>
    </row>
    <row r="1051" spans="49:49" x14ac:dyDescent="0.25">
      <c r="AW1051" s="613">
        <v>1048</v>
      </c>
    </row>
    <row r="1052" spans="49:49" x14ac:dyDescent="0.25">
      <c r="AW1052" s="613">
        <v>1049</v>
      </c>
    </row>
    <row r="1053" spans="49:49" x14ac:dyDescent="0.25">
      <c r="AW1053" s="613">
        <v>1050</v>
      </c>
    </row>
    <row r="1054" spans="49:49" x14ac:dyDescent="0.25">
      <c r="AW1054" s="613">
        <v>1051</v>
      </c>
    </row>
    <row r="1055" spans="49:49" x14ac:dyDescent="0.25">
      <c r="AW1055" s="613">
        <v>1052</v>
      </c>
    </row>
    <row r="1056" spans="49:49" x14ac:dyDescent="0.25">
      <c r="AW1056" s="613">
        <v>1053</v>
      </c>
    </row>
    <row r="1057" spans="49:49" x14ac:dyDescent="0.25">
      <c r="AW1057" s="613">
        <v>1054</v>
      </c>
    </row>
    <row r="1058" spans="49:49" x14ac:dyDescent="0.25">
      <c r="AW1058" s="613">
        <v>1055</v>
      </c>
    </row>
    <row r="1059" spans="49:49" x14ac:dyDescent="0.25">
      <c r="AW1059" s="613">
        <v>1056</v>
      </c>
    </row>
    <row r="1060" spans="49:49" x14ac:dyDescent="0.25">
      <c r="AW1060" s="613">
        <v>1057</v>
      </c>
    </row>
    <row r="1061" spans="49:49" x14ac:dyDescent="0.25">
      <c r="AW1061" s="613">
        <v>1058</v>
      </c>
    </row>
    <row r="1062" spans="49:49" x14ac:dyDescent="0.25">
      <c r="AW1062" s="613">
        <v>1059</v>
      </c>
    </row>
    <row r="1063" spans="49:49" x14ac:dyDescent="0.25">
      <c r="AW1063" s="613">
        <v>1060</v>
      </c>
    </row>
    <row r="1064" spans="49:49" x14ac:dyDescent="0.25">
      <c r="AW1064" s="613">
        <v>1061</v>
      </c>
    </row>
    <row r="1065" spans="49:49" x14ac:dyDescent="0.25">
      <c r="AW1065" s="613">
        <v>1062</v>
      </c>
    </row>
    <row r="1066" spans="49:49" x14ac:dyDescent="0.25">
      <c r="AW1066" s="613">
        <v>1063</v>
      </c>
    </row>
    <row r="1067" spans="49:49" x14ac:dyDescent="0.25">
      <c r="AW1067" s="613">
        <v>1064</v>
      </c>
    </row>
    <row r="1068" spans="49:49" x14ac:dyDescent="0.25">
      <c r="AW1068" s="613">
        <v>1065</v>
      </c>
    </row>
    <row r="1069" spans="49:49" x14ac:dyDescent="0.25">
      <c r="AW1069" s="613">
        <v>1066</v>
      </c>
    </row>
    <row r="1070" spans="49:49" x14ac:dyDescent="0.25">
      <c r="AW1070" s="613">
        <v>1067</v>
      </c>
    </row>
    <row r="1071" spans="49:49" x14ac:dyDescent="0.25">
      <c r="AW1071" s="613">
        <v>1068</v>
      </c>
    </row>
    <row r="1072" spans="49:49" x14ac:dyDescent="0.25">
      <c r="AW1072" s="613">
        <v>1069</v>
      </c>
    </row>
    <row r="1073" spans="49:49" x14ac:dyDescent="0.25">
      <c r="AW1073" s="613">
        <v>1070</v>
      </c>
    </row>
    <row r="1074" spans="49:49" x14ac:dyDescent="0.25">
      <c r="AW1074" s="613">
        <v>1071</v>
      </c>
    </row>
    <row r="1075" spans="49:49" x14ac:dyDescent="0.25">
      <c r="AW1075" s="613">
        <v>1072</v>
      </c>
    </row>
    <row r="1076" spans="49:49" x14ac:dyDescent="0.25">
      <c r="AW1076" s="613">
        <v>1073</v>
      </c>
    </row>
    <row r="1077" spans="49:49" x14ac:dyDescent="0.25">
      <c r="AW1077" s="613">
        <v>1074</v>
      </c>
    </row>
    <row r="1078" spans="49:49" x14ac:dyDescent="0.25">
      <c r="AW1078" s="613">
        <v>1075</v>
      </c>
    </row>
    <row r="1079" spans="49:49" x14ac:dyDescent="0.25">
      <c r="AW1079" s="613">
        <v>1076</v>
      </c>
    </row>
    <row r="1080" spans="49:49" x14ac:dyDescent="0.25">
      <c r="AW1080" s="613">
        <v>1077</v>
      </c>
    </row>
    <row r="1081" spans="49:49" x14ac:dyDescent="0.25">
      <c r="AW1081" s="613">
        <v>1078</v>
      </c>
    </row>
    <row r="1082" spans="49:49" x14ac:dyDescent="0.25">
      <c r="AW1082" s="613">
        <v>1079</v>
      </c>
    </row>
    <row r="1083" spans="49:49" x14ac:dyDescent="0.25">
      <c r="AW1083" s="613">
        <v>1080</v>
      </c>
    </row>
    <row r="1084" spans="49:49" x14ac:dyDescent="0.25">
      <c r="AW1084" s="613">
        <v>1081</v>
      </c>
    </row>
    <row r="1085" spans="49:49" x14ac:dyDescent="0.25">
      <c r="AW1085" s="613">
        <v>1082</v>
      </c>
    </row>
    <row r="1086" spans="49:49" x14ac:dyDescent="0.25">
      <c r="AW1086" s="613">
        <v>1083</v>
      </c>
    </row>
    <row r="1087" spans="49:49" x14ac:dyDescent="0.25">
      <c r="AW1087" s="613">
        <v>1084</v>
      </c>
    </row>
    <row r="1088" spans="49:49" x14ac:dyDescent="0.25">
      <c r="AW1088" s="613">
        <v>1085</v>
      </c>
    </row>
    <row r="1089" spans="49:49" x14ac:dyDescent="0.25">
      <c r="AW1089" s="613">
        <v>1086</v>
      </c>
    </row>
    <row r="1090" spans="49:49" x14ac:dyDescent="0.25">
      <c r="AW1090" s="613">
        <v>1087</v>
      </c>
    </row>
    <row r="1091" spans="49:49" x14ac:dyDescent="0.25">
      <c r="AW1091" s="613">
        <v>1088</v>
      </c>
    </row>
    <row r="1092" spans="49:49" x14ac:dyDescent="0.25">
      <c r="AW1092" s="613">
        <v>1089</v>
      </c>
    </row>
    <row r="1093" spans="49:49" x14ac:dyDescent="0.25">
      <c r="AW1093" s="613">
        <v>1090</v>
      </c>
    </row>
    <row r="1094" spans="49:49" x14ac:dyDescent="0.25">
      <c r="AW1094" s="613">
        <v>1091</v>
      </c>
    </row>
    <row r="1095" spans="49:49" x14ac:dyDescent="0.25">
      <c r="AW1095" s="613">
        <v>1092</v>
      </c>
    </row>
    <row r="1096" spans="49:49" x14ac:dyDescent="0.25">
      <c r="AW1096" s="613">
        <v>1093</v>
      </c>
    </row>
    <row r="1097" spans="49:49" x14ac:dyDescent="0.25">
      <c r="AW1097" s="613">
        <v>1094</v>
      </c>
    </row>
    <row r="1098" spans="49:49" x14ac:dyDescent="0.25">
      <c r="AW1098" s="613">
        <v>1095</v>
      </c>
    </row>
    <row r="1099" spans="49:49" x14ac:dyDescent="0.25">
      <c r="AW1099" s="613">
        <v>1096</v>
      </c>
    </row>
    <row r="1100" spans="49:49" x14ac:dyDescent="0.25">
      <c r="AW1100" s="613">
        <v>1097</v>
      </c>
    </row>
    <row r="1101" spans="49:49" x14ac:dyDescent="0.25">
      <c r="AW1101" s="613">
        <v>1098</v>
      </c>
    </row>
    <row r="1102" spans="49:49" x14ac:dyDescent="0.25">
      <c r="AW1102" s="613">
        <v>1099</v>
      </c>
    </row>
    <row r="1103" spans="49:49" x14ac:dyDescent="0.25">
      <c r="AW1103" s="613">
        <v>1100</v>
      </c>
    </row>
    <row r="1104" spans="49:49" x14ac:dyDescent="0.25">
      <c r="AW1104" s="613">
        <v>1101</v>
      </c>
    </row>
    <row r="1105" spans="49:49" x14ac:dyDescent="0.25">
      <c r="AW1105" s="613">
        <v>1102</v>
      </c>
    </row>
    <row r="1106" spans="49:49" x14ac:dyDescent="0.25">
      <c r="AW1106" s="613">
        <v>1103</v>
      </c>
    </row>
    <row r="1107" spans="49:49" x14ac:dyDescent="0.25">
      <c r="AW1107" s="613">
        <v>1104</v>
      </c>
    </row>
    <row r="1108" spans="49:49" x14ac:dyDescent="0.25">
      <c r="AW1108" s="613">
        <v>1105</v>
      </c>
    </row>
    <row r="1109" spans="49:49" x14ac:dyDescent="0.25">
      <c r="AW1109" s="613">
        <v>1106</v>
      </c>
    </row>
    <row r="1110" spans="49:49" x14ac:dyDescent="0.25">
      <c r="AW1110" s="613">
        <v>1107</v>
      </c>
    </row>
    <row r="1111" spans="49:49" x14ac:dyDescent="0.25">
      <c r="AW1111" s="613">
        <v>1108</v>
      </c>
    </row>
    <row r="1112" spans="49:49" x14ac:dyDescent="0.25">
      <c r="AW1112" s="613">
        <v>1109</v>
      </c>
    </row>
    <row r="1113" spans="49:49" x14ac:dyDescent="0.25">
      <c r="AW1113" s="613">
        <v>1110</v>
      </c>
    </row>
    <row r="1114" spans="49:49" x14ac:dyDescent="0.25">
      <c r="AW1114" s="613">
        <v>1111</v>
      </c>
    </row>
    <row r="1115" spans="49:49" x14ac:dyDescent="0.25">
      <c r="AW1115" s="613">
        <v>1112</v>
      </c>
    </row>
    <row r="1116" spans="49:49" x14ac:dyDescent="0.25">
      <c r="AW1116" s="613">
        <v>1113</v>
      </c>
    </row>
    <row r="1117" spans="49:49" x14ac:dyDescent="0.25">
      <c r="AW1117" s="613">
        <v>1114</v>
      </c>
    </row>
    <row r="1118" spans="49:49" x14ac:dyDescent="0.25">
      <c r="AW1118" s="613">
        <v>1115</v>
      </c>
    </row>
    <row r="1119" spans="49:49" x14ac:dyDescent="0.25">
      <c r="AW1119" s="613">
        <v>1116</v>
      </c>
    </row>
    <row r="1120" spans="49:49" x14ac:dyDescent="0.25">
      <c r="AW1120" s="613">
        <v>1117</v>
      </c>
    </row>
    <row r="1121" spans="49:49" x14ac:dyDescent="0.25">
      <c r="AW1121" s="613">
        <v>1118</v>
      </c>
    </row>
    <row r="1122" spans="49:49" x14ac:dyDescent="0.25">
      <c r="AW1122" s="613">
        <v>1119</v>
      </c>
    </row>
    <row r="1123" spans="49:49" x14ac:dyDescent="0.25">
      <c r="AW1123" s="613">
        <v>1120</v>
      </c>
    </row>
    <row r="1124" spans="49:49" x14ac:dyDescent="0.25">
      <c r="AW1124" s="613">
        <v>1121</v>
      </c>
    </row>
    <row r="1125" spans="49:49" x14ac:dyDescent="0.25">
      <c r="AW1125" s="613">
        <v>1122</v>
      </c>
    </row>
    <row r="1126" spans="49:49" x14ac:dyDescent="0.25">
      <c r="AW1126" s="613">
        <v>1123</v>
      </c>
    </row>
    <row r="1127" spans="49:49" x14ac:dyDescent="0.25">
      <c r="AW1127" s="613">
        <v>1124</v>
      </c>
    </row>
    <row r="1128" spans="49:49" x14ac:dyDescent="0.25">
      <c r="AW1128" s="613">
        <v>1125</v>
      </c>
    </row>
    <row r="1129" spans="49:49" x14ac:dyDescent="0.25">
      <c r="AW1129" s="613">
        <v>1126</v>
      </c>
    </row>
    <row r="1130" spans="49:49" x14ac:dyDescent="0.25">
      <c r="AW1130" s="613">
        <v>1127</v>
      </c>
    </row>
    <row r="1131" spans="49:49" x14ac:dyDescent="0.25">
      <c r="AW1131" s="613">
        <v>1128</v>
      </c>
    </row>
    <row r="1132" spans="49:49" x14ac:dyDescent="0.25">
      <c r="AW1132" s="613">
        <v>1129</v>
      </c>
    </row>
    <row r="1133" spans="49:49" x14ac:dyDescent="0.25">
      <c r="AW1133" s="613">
        <v>1130</v>
      </c>
    </row>
    <row r="1134" spans="49:49" x14ac:dyDescent="0.25">
      <c r="AW1134" s="613">
        <v>1131</v>
      </c>
    </row>
    <row r="1135" spans="49:49" x14ac:dyDescent="0.25">
      <c r="AW1135" s="613">
        <v>1132</v>
      </c>
    </row>
    <row r="1136" spans="49:49" x14ac:dyDescent="0.25">
      <c r="AW1136" s="613">
        <v>1133</v>
      </c>
    </row>
    <row r="1137" spans="49:49" x14ac:dyDescent="0.25">
      <c r="AW1137" s="613">
        <v>1134</v>
      </c>
    </row>
    <row r="1138" spans="49:49" x14ac:dyDescent="0.25">
      <c r="AW1138" s="613">
        <v>1135</v>
      </c>
    </row>
    <row r="1139" spans="49:49" x14ac:dyDescent="0.25">
      <c r="AW1139" s="613">
        <v>1136</v>
      </c>
    </row>
    <row r="1140" spans="49:49" x14ac:dyDescent="0.25">
      <c r="AW1140" s="613">
        <v>1137</v>
      </c>
    </row>
    <row r="1141" spans="49:49" x14ac:dyDescent="0.25">
      <c r="AW1141" s="613">
        <v>1138</v>
      </c>
    </row>
    <row r="1142" spans="49:49" x14ac:dyDescent="0.25">
      <c r="AW1142" s="613">
        <v>1139</v>
      </c>
    </row>
    <row r="1143" spans="49:49" x14ac:dyDescent="0.25">
      <c r="AW1143" s="613">
        <v>1140</v>
      </c>
    </row>
    <row r="1144" spans="49:49" x14ac:dyDescent="0.25">
      <c r="AW1144" s="613">
        <v>1141</v>
      </c>
    </row>
    <row r="1145" spans="49:49" x14ac:dyDescent="0.25">
      <c r="AW1145" s="613">
        <v>1142</v>
      </c>
    </row>
    <row r="1146" spans="49:49" x14ac:dyDescent="0.25">
      <c r="AW1146" s="613">
        <v>1143</v>
      </c>
    </row>
    <row r="1147" spans="49:49" x14ac:dyDescent="0.25">
      <c r="AW1147" s="613">
        <v>1144</v>
      </c>
    </row>
    <row r="1148" spans="49:49" x14ac:dyDescent="0.25">
      <c r="AW1148" s="613">
        <v>1145</v>
      </c>
    </row>
    <row r="1149" spans="49:49" x14ac:dyDescent="0.25">
      <c r="AW1149" s="613">
        <v>1146</v>
      </c>
    </row>
    <row r="1150" spans="49:49" x14ac:dyDescent="0.25">
      <c r="AW1150" s="613">
        <v>1147</v>
      </c>
    </row>
    <row r="1151" spans="49:49" x14ac:dyDescent="0.25">
      <c r="AW1151" s="613">
        <v>1148</v>
      </c>
    </row>
    <row r="1152" spans="49:49" x14ac:dyDescent="0.25">
      <c r="AW1152" s="613">
        <v>1149</v>
      </c>
    </row>
    <row r="1153" spans="49:49" x14ac:dyDescent="0.25">
      <c r="AW1153" s="613">
        <v>1150</v>
      </c>
    </row>
    <row r="1154" spans="49:49" x14ac:dyDescent="0.25">
      <c r="AW1154" s="613">
        <v>1151</v>
      </c>
    </row>
    <row r="1155" spans="49:49" x14ac:dyDescent="0.25">
      <c r="AW1155" s="613">
        <v>1152</v>
      </c>
    </row>
    <row r="1156" spans="49:49" x14ac:dyDescent="0.25">
      <c r="AW1156" s="613">
        <v>1153</v>
      </c>
    </row>
    <row r="1157" spans="49:49" x14ac:dyDescent="0.25">
      <c r="AW1157" s="613">
        <v>1154</v>
      </c>
    </row>
    <row r="1158" spans="49:49" x14ac:dyDescent="0.25">
      <c r="AW1158" s="613">
        <v>1155</v>
      </c>
    </row>
    <row r="1159" spans="49:49" x14ac:dyDescent="0.25">
      <c r="AW1159" s="613">
        <v>1156</v>
      </c>
    </row>
    <row r="1160" spans="49:49" x14ac:dyDescent="0.25">
      <c r="AW1160" s="613">
        <v>1157</v>
      </c>
    </row>
    <row r="1161" spans="49:49" x14ac:dyDescent="0.25">
      <c r="AW1161" s="613">
        <v>1158</v>
      </c>
    </row>
    <row r="1162" spans="49:49" x14ac:dyDescent="0.25">
      <c r="AW1162" s="613">
        <v>1159</v>
      </c>
    </row>
    <row r="1163" spans="49:49" x14ac:dyDescent="0.25">
      <c r="AW1163" s="613">
        <v>1160</v>
      </c>
    </row>
    <row r="1164" spans="49:49" x14ac:dyDescent="0.25">
      <c r="AW1164" s="613">
        <v>1161</v>
      </c>
    </row>
    <row r="1165" spans="49:49" x14ac:dyDescent="0.25">
      <c r="AW1165" s="613">
        <v>1162</v>
      </c>
    </row>
    <row r="1166" spans="49:49" x14ac:dyDescent="0.25">
      <c r="AW1166" s="613">
        <v>1163</v>
      </c>
    </row>
    <row r="1167" spans="49:49" x14ac:dyDescent="0.25">
      <c r="AW1167" s="613">
        <v>1164</v>
      </c>
    </row>
    <row r="1168" spans="49:49" x14ac:dyDescent="0.25">
      <c r="AW1168" s="613">
        <v>1165</v>
      </c>
    </row>
    <row r="1169" spans="49:49" x14ac:dyDescent="0.25">
      <c r="AW1169" s="613">
        <v>1166</v>
      </c>
    </row>
    <row r="1170" spans="49:49" x14ac:dyDescent="0.25">
      <c r="AW1170" s="613">
        <v>1167</v>
      </c>
    </row>
    <row r="1171" spans="49:49" x14ac:dyDescent="0.25">
      <c r="AW1171" s="613">
        <v>1168</v>
      </c>
    </row>
    <row r="1172" spans="49:49" x14ac:dyDescent="0.25">
      <c r="AW1172" s="613">
        <v>1169</v>
      </c>
    </row>
    <row r="1173" spans="49:49" x14ac:dyDescent="0.25">
      <c r="AW1173" s="613">
        <v>1170</v>
      </c>
    </row>
    <row r="1174" spans="49:49" x14ac:dyDescent="0.25">
      <c r="AW1174" s="613">
        <v>1171</v>
      </c>
    </row>
    <row r="1175" spans="49:49" x14ac:dyDescent="0.25">
      <c r="AW1175" s="613">
        <v>1172</v>
      </c>
    </row>
    <row r="1176" spans="49:49" x14ac:dyDescent="0.25">
      <c r="AW1176" s="613">
        <v>1173</v>
      </c>
    </row>
    <row r="1177" spans="49:49" x14ac:dyDescent="0.25">
      <c r="AW1177" s="613">
        <v>1174</v>
      </c>
    </row>
    <row r="1178" spans="49:49" x14ac:dyDescent="0.25">
      <c r="AW1178" s="613">
        <v>1175</v>
      </c>
    </row>
    <row r="1179" spans="49:49" x14ac:dyDescent="0.25">
      <c r="AW1179" s="613">
        <v>1176</v>
      </c>
    </row>
    <row r="1180" spans="49:49" x14ac:dyDescent="0.25">
      <c r="AW1180" s="613">
        <v>1177</v>
      </c>
    </row>
    <row r="1181" spans="49:49" x14ac:dyDescent="0.25">
      <c r="AW1181" s="613">
        <v>1178</v>
      </c>
    </row>
    <row r="1182" spans="49:49" x14ac:dyDescent="0.25">
      <c r="AW1182" s="613">
        <v>1179</v>
      </c>
    </row>
    <row r="1183" spans="49:49" x14ac:dyDescent="0.25">
      <c r="AW1183" s="613">
        <v>1180</v>
      </c>
    </row>
    <row r="1184" spans="49:49" x14ac:dyDescent="0.25">
      <c r="AW1184" s="613">
        <v>1181</v>
      </c>
    </row>
    <row r="1185" spans="49:49" x14ac:dyDescent="0.25">
      <c r="AW1185" s="613">
        <v>1182</v>
      </c>
    </row>
    <row r="1186" spans="49:49" x14ac:dyDescent="0.25">
      <c r="AW1186" s="613">
        <v>1183</v>
      </c>
    </row>
    <row r="1187" spans="49:49" x14ac:dyDescent="0.25">
      <c r="AW1187" s="613">
        <v>1184</v>
      </c>
    </row>
    <row r="1188" spans="49:49" x14ac:dyDescent="0.25">
      <c r="AW1188" s="613">
        <v>1185</v>
      </c>
    </row>
    <row r="1189" spans="49:49" x14ac:dyDescent="0.25">
      <c r="AW1189" s="613">
        <v>1186</v>
      </c>
    </row>
    <row r="1190" spans="49:49" x14ac:dyDescent="0.25">
      <c r="AW1190" s="613">
        <v>1187</v>
      </c>
    </row>
    <row r="1191" spans="49:49" x14ac:dyDescent="0.25">
      <c r="AW1191" s="613">
        <v>1188</v>
      </c>
    </row>
    <row r="1192" spans="49:49" x14ac:dyDescent="0.25">
      <c r="AW1192" s="613">
        <v>1189</v>
      </c>
    </row>
    <row r="1193" spans="49:49" x14ac:dyDescent="0.25">
      <c r="AW1193" s="613">
        <v>1190</v>
      </c>
    </row>
    <row r="1194" spans="49:49" x14ac:dyDescent="0.25">
      <c r="AW1194" s="613">
        <v>1191</v>
      </c>
    </row>
    <row r="1195" spans="49:49" x14ac:dyDescent="0.25">
      <c r="AW1195" s="613">
        <v>1192</v>
      </c>
    </row>
    <row r="1196" spans="49:49" x14ac:dyDescent="0.25">
      <c r="AW1196" s="613">
        <v>1193</v>
      </c>
    </row>
    <row r="1197" spans="49:49" x14ac:dyDescent="0.25">
      <c r="AW1197" s="613">
        <v>1194</v>
      </c>
    </row>
    <row r="1198" spans="49:49" x14ac:dyDescent="0.25">
      <c r="AW1198" s="613">
        <v>1195</v>
      </c>
    </row>
    <row r="1199" spans="49:49" x14ac:dyDescent="0.25">
      <c r="AW1199" s="613">
        <v>1196</v>
      </c>
    </row>
    <row r="1200" spans="49:49" x14ac:dyDescent="0.25">
      <c r="AW1200" s="613">
        <v>1197</v>
      </c>
    </row>
    <row r="1201" spans="49:49" x14ac:dyDescent="0.25">
      <c r="AW1201" s="613">
        <v>1198</v>
      </c>
    </row>
    <row r="1202" spans="49:49" x14ac:dyDescent="0.25">
      <c r="AW1202" s="613">
        <v>1199</v>
      </c>
    </row>
    <row r="1203" spans="49:49" x14ac:dyDescent="0.25">
      <c r="AW1203" s="613">
        <v>1200</v>
      </c>
    </row>
    <row r="1204" spans="49:49" x14ac:dyDescent="0.25">
      <c r="AW1204" s="613">
        <v>1201</v>
      </c>
    </row>
    <row r="1205" spans="49:49" x14ac:dyDescent="0.25">
      <c r="AW1205" s="613">
        <v>1202</v>
      </c>
    </row>
    <row r="1206" spans="49:49" x14ac:dyDescent="0.25">
      <c r="AW1206" s="613">
        <v>1203</v>
      </c>
    </row>
    <row r="1207" spans="49:49" x14ac:dyDescent="0.25">
      <c r="AW1207" s="613">
        <v>1204</v>
      </c>
    </row>
    <row r="1208" spans="49:49" x14ac:dyDescent="0.25">
      <c r="AW1208" s="613">
        <v>1205</v>
      </c>
    </row>
    <row r="1209" spans="49:49" x14ac:dyDescent="0.25">
      <c r="AW1209" s="613">
        <v>1206</v>
      </c>
    </row>
    <row r="1210" spans="49:49" x14ac:dyDescent="0.25">
      <c r="AW1210" s="613">
        <v>1207</v>
      </c>
    </row>
    <row r="1211" spans="49:49" x14ac:dyDescent="0.25">
      <c r="AW1211" s="613">
        <v>1208</v>
      </c>
    </row>
    <row r="1212" spans="49:49" x14ac:dyDescent="0.25">
      <c r="AW1212" s="613">
        <v>1209</v>
      </c>
    </row>
    <row r="1213" spans="49:49" x14ac:dyDescent="0.25">
      <c r="AW1213" s="613">
        <v>1210</v>
      </c>
    </row>
    <row r="1214" spans="49:49" x14ac:dyDescent="0.25">
      <c r="AW1214" s="613">
        <v>1211</v>
      </c>
    </row>
    <row r="1215" spans="49:49" x14ac:dyDescent="0.25">
      <c r="AW1215" s="613">
        <v>1212</v>
      </c>
    </row>
    <row r="1216" spans="49:49" x14ac:dyDescent="0.25">
      <c r="AW1216" s="613">
        <v>1213</v>
      </c>
    </row>
    <row r="1217" spans="49:49" x14ac:dyDescent="0.25">
      <c r="AW1217" s="613">
        <v>1214</v>
      </c>
    </row>
    <row r="1218" spans="49:49" x14ac:dyDescent="0.25">
      <c r="AW1218" s="613">
        <v>1215</v>
      </c>
    </row>
    <row r="1219" spans="49:49" x14ac:dyDescent="0.25">
      <c r="AW1219" s="613">
        <v>1216</v>
      </c>
    </row>
    <row r="1220" spans="49:49" x14ac:dyDescent="0.25">
      <c r="AW1220" s="613">
        <v>1217</v>
      </c>
    </row>
    <row r="1221" spans="49:49" x14ac:dyDescent="0.25">
      <c r="AW1221" s="613">
        <v>1218</v>
      </c>
    </row>
    <row r="1222" spans="49:49" x14ac:dyDescent="0.25">
      <c r="AW1222" s="613">
        <v>1219</v>
      </c>
    </row>
    <row r="1223" spans="49:49" x14ac:dyDescent="0.25">
      <c r="AW1223" s="613">
        <v>1220</v>
      </c>
    </row>
    <row r="1224" spans="49:49" x14ac:dyDescent="0.25">
      <c r="AW1224" s="613">
        <v>1221</v>
      </c>
    </row>
    <row r="1225" spans="49:49" x14ac:dyDescent="0.25">
      <c r="AW1225" s="613">
        <v>1222</v>
      </c>
    </row>
    <row r="1226" spans="49:49" x14ac:dyDescent="0.25">
      <c r="AW1226" s="613">
        <v>1223</v>
      </c>
    </row>
    <row r="1227" spans="49:49" x14ac:dyDescent="0.25">
      <c r="AW1227" s="613">
        <v>1224</v>
      </c>
    </row>
    <row r="1228" spans="49:49" x14ac:dyDescent="0.25">
      <c r="AW1228" s="613">
        <v>1225</v>
      </c>
    </row>
    <row r="1229" spans="49:49" x14ac:dyDescent="0.25">
      <c r="AW1229" s="613">
        <v>1226</v>
      </c>
    </row>
    <row r="1230" spans="49:49" x14ac:dyDescent="0.25">
      <c r="AW1230" s="613">
        <v>1227</v>
      </c>
    </row>
    <row r="1231" spans="49:49" x14ac:dyDescent="0.25">
      <c r="AW1231" s="613">
        <v>1228</v>
      </c>
    </row>
    <row r="1232" spans="49:49" x14ac:dyDescent="0.25">
      <c r="AW1232" s="613">
        <v>1229</v>
      </c>
    </row>
    <row r="1233" spans="49:49" x14ac:dyDescent="0.25">
      <c r="AW1233" s="613">
        <v>1230</v>
      </c>
    </row>
    <row r="1234" spans="49:49" x14ac:dyDescent="0.25">
      <c r="AW1234" s="613">
        <v>1231</v>
      </c>
    </row>
    <row r="1235" spans="49:49" x14ac:dyDescent="0.25">
      <c r="AW1235" s="613">
        <v>1232</v>
      </c>
    </row>
    <row r="1236" spans="49:49" x14ac:dyDescent="0.25">
      <c r="AW1236" s="613">
        <v>1233</v>
      </c>
    </row>
    <row r="1237" spans="49:49" x14ac:dyDescent="0.25">
      <c r="AW1237" s="613">
        <v>1234</v>
      </c>
    </row>
    <row r="1238" spans="49:49" x14ac:dyDescent="0.25">
      <c r="AW1238" s="613">
        <v>1235</v>
      </c>
    </row>
    <row r="1239" spans="49:49" x14ac:dyDescent="0.25">
      <c r="AW1239" s="613">
        <v>1236</v>
      </c>
    </row>
    <row r="1240" spans="49:49" x14ac:dyDescent="0.25">
      <c r="AW1240" s="613">
        <v>1237</v>
      </c>
    </row>
    <row r="1241" spans="49:49" x14ac:dyDescent="0.25">
      <c r="AW1241" s="613">
        <v>1238</v>
      </c>
    </row>
    <row r="1242" spans="49:49" x14ac:dyDescent="0.25">
      <c r="AW1242" s="613">
        <v>1239</v>
      </c>
    </row>
    <row r="1243" spans="49:49" x14ac:dyDescent="0.25">
      <c r="AW1243" s="613">
        <v>1240</v>
      </c>
    </row>
    <row r="1244" spans="49:49" x14ac:dyDescent="0.25">
      <c r="AW1244" s="613">
        <v>1241</v>
      </c>
    </row>
    <row r="1245" spans="49:49" x14ac:dyDescent="0.25">
      <c r="AW1245" s="613">
        <v>1242</v>
      </c>
    </row>
    <row r="1246" spans="49:49" x14ac:dyDescent="0.25">
      <c r="AW1246" s="613">
        <v>1243</v>
      </c>
    </row>
    <row r="1247" spans="49:49" x14ac:dyDescent="0.25">
      <c r="AW1247" s="613">
        <v>1244</v>
      </c>
    </row>
    <row r="1248" spans="49:49" x14ac:dyDescent="0.25">
      <c r="AW1248" s="613">
        <v>1245</v>
      </c>
    </row>
    <row r="1249" spans="49:49" x14ac:dyDescent="0.25">
      <c r="AW1249" s="613">
        <v>1246</v>
      </c>
    </row>
    <row r="1250" spans="49:49" x14ac:dyDescent="0.25">
      <c r="AW1250" s="613">
        <v>1247</v>
      </c>
    </row>
    <row r="1251" spans="49:49" x14ac:dyDescent="0.25">
      <c r="AW1251" s="613">
        <v>1248</v>
      </c>
    </row>
    <row r="1252" spans="49:49" x14ac:dyDescent="0.25">
      <c r="AW1252" s="613">
        <v>1249</v>
      </c>
    </row>
    <row r="1253" spans="49:49" x14ac:dyDescent="0.25">
      <c r="AW1253" s="613">
        <v>1250</v>
      </c>
    </row>
    <row r="1254" spans="49:49" x14ac:dyDescent="0.25">
      <c r="AW1254" s="613">
        <v>1251</v>
      </c>
    </row>
    <row r="1255" spans="49:49" x14ac:dyDescent="0.25">
      <c r="AW1255" s="613">
        <v>1252</v>
      </c>
    </row>
    <row r="1256" spans="49:49" x14ac:dyDescent="0.25">
      <c r="AW1256" s="613">
        <v>1253</v>
      </c>
    </row>
    <row r="1257" spans="49:49" x14ac:dyDescent="0.25">
      <c r="AW1257" s="613">
        <v>1254</v>
      </c>
    </row>
    <row r="1258" spans="49:49" x14ac:dyDescent="0.25">
      <c r="AW1258" s="613">
        <v>1255</v>
      </c>
    </row>
    <row r="1259" spans="49:49" x14ac:dyDescent="0.25">
      <c r="AW1259" s="613">
        <v>1256</v>
      </c>
    </row>
    <row r="1260" spans="49:49" x14ac:dyDescent="0.25">
      <c r="AW1260" s="613">
        <v>1257</v>
      </c>
    </row>
    <row r="1261" spans="49:49" x14ac:dyDescent="0.25">
      <c r="AW1261" s="613">
        <v>1258</v>
      </c>
    </row>
    <row r="1262" spans="49:49" x14ac:dyDescent="0.25">
      <c r="AW1262" s="613">
        <v>1259</v>
      </c>
    </row>
    <row r="1263" spans="49:49" x14ac:dyDescent="0.25">
      <c r="AW1263" s="613">
        <v>1260</v>
      </c>
    </row>
    <row r="1264" spans="49:49" x14ac:dyDescent="0.25">
      <c r="AW1264" s="613">
        <v>1261</v>
      </c>
    </row>
    <row r="1265" spans="49:49" x14ac:dyDescent="0.25">
      <c r="AW1265" s="613">
        <v>1262</v>
      </c>
    </row>
    <row r="1266" spans="49:49" x14ac:dyDescent="0.25">
      <c r="AW1266" s="613">
        <v>1263</v>
      </c>
    </row>
    <row r="1267" spans="49:49" x14ac:dyDescent="0.25">
      <c r="AW1267" s="613">
        <v>1264</v>
      </c>
    </row>
    <row r="1268" spans="49:49" x14ac:dyDescent="0.25">
      <c r="AW1268" s="613">
        <v>1265</v>
      </c>
    </row>
    <row r="1269" spans="49:49" x14ac:dyDescent="0.25">
      <c r="AW1269" s="613">
        <v>1266</v>
      </c>
    </row>
    <row r="1270" spans="49:49" x14ac:dyDescent="0.25">
      <c r="AW1270" s="613">
        <v>1267</v>
      </c>
    </row>
    <row r="1271" spans="49:49" x14ac:dyDescent="0.25">
      <c r="AW1271" s="613">
        <v>1268</v>
      </c>
    </row>
    <row r="1272" spans="49:49" x14ac:dyDescent="0.25">
      <c r="AW1272" s="613">
        <v>1269</v>
      </c>
    </row>
    <row r="1273" spans="49:49" x14ac:dyDescent="0.25">
      <c r="AW1273" s="613">
        <v>1270</v>
      </c>
    </row>
    <row r="1274" spans="49:49" x14ac:dyDescent="0.25">
      <c r="AW1274" s="613">
        <v>1271</v>
      </c>
    </row>
    <row r="1275" spans="49:49" x14ac:dyDescent="0.25">
      <c r="AW1275" s="613">
        <v>1272</v>
      </c>
    </row>
    <row r="1276" spans="49:49" x14ac:dyDescent="0.25">
      <c r="AW1276" s="613">
        <v>1273</v>
      </c>
    </row>
    <row r="1277" spans="49:49" x14ac:dyDescent="0.25">
      <c r="AW1277" s="613">
        <v>1274</v>
      </c>
    </row>
    <row r="1278" spans="49:49" x14ac:dyDescent="0.25">
      <c r="AW1278" s="613">
        <v>1275</v>
      </c>
    </row>
    <row r="1279" spans="49:49" x14ac:dyDescent="0.25">
      <c r="AW1279" s="613">
        <v>1276</v>
      </c>
    </row>
    <row r="1280" spans="49:49" x14ac:dyDescent="0.25">
      <c r="AW1280" s="613">
        <v>1277</v>
      </c>
    </row>
    <row r="1281" spans="49:49" x14ac:dyDescent="0.25">
      <c r="AW1281" s="613">
        <v>1278</v>
      </c>
    </row>
    <row r="1282" spans="49:49" x14ac:dyDescent="0.25">
      <c r="AW1282" s="613">
        <v>1279</v>
      </c>
    </row>
    <row r="1283" spans="49:49" x14ac:dyDescent="0.25">
      <c r="AW1283" s="613">
        <v>1280</v>
      </c>
    </row>
    <row r="1284" spans="49:49" x14ac:dyDescent="0.25">
      <c r="AW1284" s="613">
        <v>1281</v>
      </c>
    </row>
    <row r="1285" spans="49:49" x14ac:dyDescent="0.25">
      <c r="AW1285" s="613">
        <v>1282</v>
      </c>
    </row>
    <row r="1286" spans="49:49" x14ac:dyDescent="0.25">
      <c r="AW1286" s="613">
        <v>1283</v>
      </c>
    </row>
    <row r="1287" spans="49:49" x14ac:dyDescent="0.25">
      <c r="AW1287" s="613">
        <v>1284</v>
      </c>
    </row>
    <row r="1288" spans="49:49" x14ac:dyDescent="0.25">
      <c r="AW1288" s="613">
        <v>1285</v>
      </c>
    </row>
    <row r="1289" spans="49:49" x14ac:dyDescent="0.25">
      <c r="AW1289" s="613">
        <v>1286</v>
      </c>
    </row>
    <row r="1290" spans="49:49" x14ac:dyDescent="0.25">
      <c r="AW1290" s="613">
        <v>1287</v>
      </c>
    </row>
    <row r="1291" spans="49:49" x14ac:dyDescent="0.25">
      <c r="AW1291" s="613">
        <v>1288</v>
      </c>
    </row>
    <row r="1292" spans="49:49" x14ac:dyDescent="0.25">
      <c r="AW1292" s="613">
        <v>1289</v>
      </c>
    </row>
    <row r="1293" spans="49:49" x14ac:dyDescent="0.25">
      <c r="AW1293" s="613">
        <v>1290</v>
      </c>
    </row>
    <row r="1294" spans="49:49" x14ac:dyDescent="0.25">
      <c r="AW1294" s="613">
        <v>1291</v>
      </c>
    </row>
    <row r="1295" spans="49:49" x14ac:dyDescent="0.25">
      <c r="AW1295" s="613">
        <v>1292</v>
      </c>
    </row>
    <row r="1296" spans="49:49" x14ac:dyDescent="0.25">
      <c r="AW1296" s="613">
        <v>1293</v>
      </c>
    </row>
    <row r="1297" spans="49:49" x14ac:dyDescent="0.25">
      <c r="AW1297" s="613">
        <v>1294</v>
      </c>
    </row>
    <row r="1298" spans="49:49" x14ac:dyDescent="0.25">
      <c r="AW1298" s="613">
        <v>1295</v>
      </c>
    </row>
    <row r="1299" spans="49:49" x14ac:dyDescent="0.25">
      <c r="AW1299" s="613">
        <v>1296</v>
      </c>
    </row>
    <row r="1300" spans="49:49" x14ac:dyDescent="0.25">
      <c r="AW1300" s="613">
        <v>1297</v>
      </c>
    </row>
    <row r="1301" spans="49:49" x14ac:dyDescent="0.25">
      <c r="AW1301" s="613">
        <v>1298</v>
      </c>
    </row>
    <row r="1302" spans="49:49" x14ac:dyDescent="0.25">
      <c r="AW1302" s="613">
        <v>1299</v>
      </c>
    </row>
    <row r="1303" spans="49:49" x14ac:dyDescent="0.25">
      <c r="AW1303" s="613">
        <v>1300</v>
      </c>
    </row>
    <row r="1304" spans="49:49" x14ac:dyDescent="0.25">
      <c r="AW1304" s="613">
        <v>1301</v>
      </c>
    </row>
    <row r="1305" spans="49:49" x14ac:dyDescent="0.25">
      <c r="AW1305" s="613">
        <v>1302</v>
      </c>
    </row>
    <row r="1306" spans="49:49" x14ac:dyDescent="0.25">
      <c r="AW1306" s="613">
        <v>1303</v>
      </c>
    </row>
    <row r="1307" spans="49:49" x14ac:dyDescent="0.25">
      <c r="AW1307" s="613">
        <v>1304</v>
      </c>
    </row>
    <row r="1308" spans="49:49" x14ac:dyDescent="0.25">
      <c r="AW1308" s="613">
        <v>1305</v>
      </c>
    </row>
    <row r="1309" spans="49:49" x14ac:dyDescent="0.25">
      <c r="AW1309" s="613">
        <v>1306</v>
      </c>
    </row>
    <row r="1310" spans="49:49" x14ac:dyDescent="0.25">
      <c r="AW1310" s="613">
        <v>1307</v>
      </c>
    </row>
    <row r="1311" spans="49:49" x14ac:dyDescent="0.25">
      <c r="AW1311" s="613">
        <v>1308</v>
      </c>
    </row>
    <row r="1312" spans="49:49" x14ac:dyDescent="0.25">
      <c r="AW1312" s="613">
        <v>1309</v>
      </c>
    </row>
    <row r="1313" spans="49:49" x14ac:dyDescent="0.25">
      <c r="AW1313" s="613">
        <v>1310</v>
      </c>
    </row>
    <row r="1314" spans="49:49" x14ac:dyDescent="0.25">
      <c r="AW1314" s="613">
        <v>1311</v>
      </c>
    </row>
    <row r="1315" spans="49:49" x14ac:dyDescent="0.25">
      <c r="AW1315" s="613">
        <v>1312</v>
      </c>
    </row>
    <row r="1316" spans="49:49" x14ac:dyDescent="0.25">
      <c r="AW1316" s="613">
        <v>1313</v>
      </c>
    </row>
    <row r="1317" spans="49:49" x14ac:dyDescent="0.25">
      <c r="AW1317" s="613">
        <v>1314</v>
      </c>
    </row>
    <row r="1318" spans="49:49" x14ac:dyDescent="0.25">
      <c r="AW1318" s="613">
        <v>1315</v>
      </c>
    </row>
    <row r="1319" spans="49:49" x14ac:dyDescent="0.25">
      <c r="AW1319" s="613">
        <v>1316</v>
      </c>
    </row>
    <row r="1320" spans="49:49" x14ac:dyDescent="0.25">
      <c r="AW1320" s="613">
        <v>1317</v>
      </c>
    </row>
    <row r="1321" spans="49:49" x14ac:dyDescent="0.25">
      <c r="AW1321" s="613">
        <v>1318</v>
      </c>
    </row>
    <row r="1322" spans="49:49" x14ac:dyDescent="0.25">
      <c r="AW1322" s="613">
        <v>1319</v>
      </c>
    </row>
    <row r="1323" spans="49:49" x14ac:dyDescent="0.25">
      <c r="AW1323" s="613">
        <v>1320</v>
      </c>
    </row>
    <row r="1324" spans="49:49" x14ac:dyDescent="0.25">
      <c r="AW1324" s="613">
        <v>1321</v>
      </c>
    </row>
    <row r="1325" spans="49:49" x14ac:dyDescent="0.25">
      <c r="AW1325" s="613">
        <v>1322</v>
      </c>
    </row>
    <row r="1326" spans="49:49" x14ac:dyDescent="0.25">
      <c r="AW1326" s="613">
        <v>1323</v>
      </c>
    </row>
    <row r="1327" spans="49:49" x14ac:dyDescent="0.25">
      <c r="AW1327" s="613">
        <v>1324</v>
      </c>
    </row>
    <row r="1328" spans="49:49" x14ac:dyDescent="0.25">
      <c r="AW1328" s="613">
        <v>1325</v>
      </c>
    </row>
    <row r="1329" spans="49:49" x14ac:dyDescent="0.25">
      <c r="AW1329" s="613">
        <v>1326</v>
      </c>
    </row>
    <row r="1330" spans="49:49" x14ac:dyDescent="0.25">
      <c r="AW1330" s="613">
        <v>1327</v>
      </c>
    </row>
    <row r="1331" spans="49:49" x14ac:dyDescent="0.25">
      <c r="AW1331" s="613">
        <v>1328</v>
      </c>
    </row>
    <row r="1332" spans="49:49" x14ac:dyDescent="0.25">
      <c r="AW1332" s="613">
        <v>1329</v>
      </c>
    </row>
    <row r="1333" spans="49:49" x14ac:dyDescent="0.25">
      <c r="AW1333" s="613">
        <v>1330</v>
      </c>
    </row>
    <row r="1334" spans="49:49" x14ac:dyDescent="0.25">
      <c r="AW1334" s="613">
        <v>1331</v>
      </c>
    </row>
    <row r="1335" spans="49:49" x14ac:dyDescent="0.25">
      <c r="AW1335" s="613">
        <v>1332</v>
      </c>
    </row>
    <row r="1336" spans="49:49" x14ac:dyDescent="0.25">
      <c r="AW1336" s="613">
        <v>1333</v>
      </c>
    </row>
    <row r="1337" spans="49:49" x14ac:dyDescent="0.25">
      <c r="AW1337" s="613">
        <v>1334</v>
      </c>
    </row>
    <row r="1338" spans="49:49" x14ac:dyDescent="0.25">
      <c r="AW1338" s="613">
        <v>1335</v>
      </c>
    </row>
    <row r="1339" spans="49:49" x14ac:dyDescent="0.25">
      <c r="AW1339" s="613">
        <v>1336</v>
      </c>
    </row>
    <row r="1340" spans="49:49" x14ac:dyDescent="0.25">
      <c r="AW1340" s="613">
        <v>1337</v>
      </c>
    </row>
    <row r="1341" spans="49:49" x14ac:dyDescent="0.25">
      <c r="AW1341" s="613">
        <v>1338</v>
      </c>
    </row>
    <row r="1342" spans="49:49" x14ac:dyDescent="0.25">
      <c r="AW1342" s="613">
        <v>1339</v>
      </c>
    </row>
    <row r="1343" spans="49:49" x14ac:dyDescent="0.25">
      <c r="AW1343" s="613">
        <v>1340</v>
      </c>
    </row>
    <row r="1344" spans="49:49" x14ac:dyDescent="0.25">
      <c r="AW1344" s="613">
        <v>1341</v>
      </c>
    </row>
    <row r="1345" spans="49:49" x14ac:dyDescent="0.25">
      <c r="AW1345" s="613">
        <v>1342</v>
      </c>
    </row>
    <row r="1346" spans="49:49" x14ac:dyDescent="0.25">
      <c r="AW1346" s="613">
        <v>1343</v>
      </c>
    </row>
    <row r="1347" spans="49:49" x14ac:dyDescent="0.25">
      <c r="AW1347" s="613">
        <v>1344</v>
      </c>
    </row>
    <row r="1348" spans="49:49" x14ac:dyDescent="0.25">
      <c r="AW1348" s="613">
        <v>1345</v>
      </c>
    </row>
    <row r="1349" spans="49:49" x14ac:dyDescent="0.25">
      <c r="AW1349" s="613">
        <v>1346</v>
      </c>
    </row>
    <row r="1350" spans="49:49" x14ac:dyDescent="0.25">
      <c r="AW1350" s="613">
        <v>1347</v>
      </c>
    </row>
    <row r="1351" spans="49:49" x14ac:dyDescent="0.25">
      <c r="AW1351" s="613">
        <v>1348</v>
      </c>
    </row>
    <row r="1352" spans="49:49" x14ac:dyDescent="0.25">
      <c r="AW1352" s="613">
        <v>1349</v>
      </c>
    </row>
    <row r="1353" spans="49:49" x14ac:dyDescent="0.25">
      <c r="AW1353" s="613">
        <v>1350</v>
      </c>
    </row>
    <row r="1354" spans="49:49" x14ac:dyDescent="0.25">
      <c r="AW1354" s="613">
        <v>1351</v>
      </c>
    </row>
    <row r="1355" spans="49:49" x14ac:dyDescent="0.25">
      <c r="AW1355" s="613">
        <v>1352</v>
      </c>
    </row>
    <row r="1356" spans="49:49" x14ac:dyDescent="0.25">
      <c r="AW1356" s="613">
        <v>1353</v>
      </c>
    </row>
    <row r="1357" spans="49:49" x14ac:dyDescent="0.25">
      <c r="AW1357" s="613">
        <v>1354</v>
      </c>
    </row>
    <row r="1358" spans="49:49" x14ac:dyDescent="0.25">
      <c r="AW1358" s="613">
        <v>1355</v>
      </c>
    </row>
    <row r="1359" spans="49:49" x14ac:dyDescent="0.25">
      <c r="AW1359" s="613">
        <v>1356</v>
      </c>
    </row>
    <row r="1360" spans="49:49" x14ac:dyDescent="0.25">
      <c r="AW1360" s="613">
        <v>1357</v>
      </c>
    </row>
    <row r="1361" spans="49:49" x14ac:dyDescent="0.25">
      <c r="AW1361" s="613">
        <v>1358</v>
      </c>
    </row>
    <row r="1362" spans="49:49" x14ac:dyDescent="0.25">
      <c r="AW1362" s="613">
        <v>1359</v>
      </c>
    </row>
    <row r="1363" spans="49:49" x14ac:dyDescent="0.25">
      <c r="AW1363" s="613">
        <v>1360</v>
      </c>
    </row>
    <row r="1364" spans="49:49" x14ac:dyDescent="0.25">
      <c r="AW1364" s="613">
        <v>1361</v>
      </c>
    </row>
    <row r="1365" spans="49:49" x14ac:dyDescent="0.25">
      <c r="AW1365" s="613">
        <v>1362</v>
      </c>
    </row>
    <row r="1366" spans="49:49" x14ac:dyDescent="0.25">
      <c r="AW1366" s="613">
        <v>1363</v>
      </c>
    </row>
    <row r="1367" spans="49:49" x14ac:dyDescent="0.25">
      <c r="AW1367" s="613">
        <v>1364</v>
      </c>
    </row>
    <row r="1368" spans="49:49" x14ac:dyDescent="0.25">
      <c r="AW1368" s="613">
        <v>1365</v>
      </c>
    </row>
    <row r="1369" spans="49:49" x14ac:dyDescent="0.25">
      <c r="AW1369" s="613">
        <v>1366</v>
      </c>
    </row>
    <row r="1370" spans="49:49" x14ac:dyDescent="0.25">
      <c r="AW1370" s="613">
        <v>1367</v>
      </c>
    </row>
    <row r="1371" spans="49:49" x14ac:dyDescent="0.25">
      <c r="AW1371" s="613">
        <v>1368</v>
      </c>
    </row>
    <row r="1372" spans="49:49" x14ac:dyDescent="0.25">
      <c r="AW1372" s="613">
        <v>1369</v>
      </c>
    </row>
    <row r="1373" spans="49:49" x14ac:dyDescent="0.25">
      <c r="AW1373" s="613">
        <v>1370</v>
      </c>
    </row>
    <row r="1374" spans="49:49" x14ac:dyDescent="0.25">
      <c r="AW1374" s="613">
        <v>1371</v>
      </c>
    </row>
    <row r="1375" spans="49:49" x14ac:dyDescent="0.25">
      <c r="AW1375" s="613">
        <v>1372</v>
      </c>
    </row>
    <row r="1376" spans="49:49" x14ac:dyDescent="0.25">
      <c r="AW1376" s="613">
        <v>1373</v>
      </c>
    </row>
    <row r="1377" spans="49:49" x14ac:dyDescent="0.25">
      <c r="AW1377" s="613">
        <v>1374</v>
      </c>
    </row>
    <row r="1378" spans="49:49" x14ac:dyDescent="0.25">
      <c r="AW1378" s="613">
        <v>1375</v>
      </c>
    </row>
    <row r="1379" spans="49:49" x14ac:dyDescent="0.25">
      <c r="AW1379" s="613">
        <v>1376</v>
      </c>
    </row>
    <row r="1380" spans="49:49" x14ac:dyDescent="0.25">
      <c r="AW1380" s="613">
        <v>1377</v>
      </c>
    </row>
    <row r="1381" spans="49:49" x14ac:dyDescent="0.25">
      <c r="AW1381" s="613">
        <v>1378</v>
      </c>
    </row>
    <row r="1382" spans="49:49" x14ac:dyDescent="0.25">
      <c r="AW1382" s="613">
        <v>1379</v>
      </c>
    </row>
    <row r="1383" spans="49:49" x14ac:dyDescent="0.25">
      <c r="AW1383" s="613">
        <v>1380</v>
      </c>
    </row>
    <row r="1384" spans="49:49" x14ac:dyDescent="0.25">
      <c r="AW1384" s="613">
        <v>1381</v>
      </c>
    </row>
    <row r="1385" spans="49:49" x14ac:dyDescent="0.25">
      <c r="AW1385" s="613">
        <v>1382</v>
      </c>
    </row>
    <row r="1386" spans="49:49" x14ac:dyDescent="0.25">
      <c r="AW1386" s="613">
        <v>1383</v>
      </c>
    </row>
    <row r="1387" spans="49:49" x14ac:dyDescent="0.25">
      <c r="AW1387" s="613">
        <v>1384</v>
      </c>
    </row>
    <row r="1388" spans="49:49" x14ac:dyDescent="0.25">
      <c r="AW1388" s="613">
        <v>1385</v>
      </c>
    </row>
    <row r="1389" spans="49:49" x14ac:dyDescent="0.25">
      <c r="AW1389" s="613">
        <v>1386</v>
      </c>
    </row>
    <row r="1390" spans="49:49" x14ac:dyDescent="0.25">
      <c r="AW1390" s="613">
        <v>1387</v>
      </c>
    </row>
    <row r="1391" spans="49:49" x14ac:dyDescent="0.25">
      <c r="AW1391" s="613">
        <v>1388</v>
      </c>
    </row>
    <row r="1392" spans="49:49" x14ac:dyDescent="0.25">
      <c r="AW1392" s="613">
        <v>1389</v>
      </c>
    </row>
    <row r="1393" spans="49:49" x14ac:dyDescent="0.25">
      <c r="AW1393" s="613">
        <v>1390</v>
      </c>
    </row>
    <row r="1394" spans="49:49" x14ac:dyDescent="0.25">
      <c r="AW1394" s="613">
        <v>1391</v>
      </c>
    </row>
    <row r="1395" spans="49:49" x14ac:dyDescent="0.25">
      <c r="AW1395" s="613">
        <v>1392</v>
      </c>
    </row>
    <row r="1396" spans="49:49" x14ac:dyDescent="0.25">
      <c r="AW1396" s="613">
        <v>1393</v>
      </c>
    </row>
    <row r="1397" spans="49:49" x14ac:dyDescent="0.25">
      <c r="AW1397" s="613">
        <v>1394</v>
      </c>
    </row>
    <row r="1398" spans="49:49" x14ac:dyDescent="0.25">
      <c r="AW1398" s="613">
        <v>1395</v>
      </c>
    </row>
    <row r="1399" spans="49:49" x14ac:dyDescent="0.25">
      <c r="AW1399" s="613">
        <v>1396</v>
      </c>
    </row>
    <row r="1400" spans="49:49" x14ac:dyDescent="0.25">
      <c r="AW1400" s="613">
        <v>1397</v>
      </c>
    </row>
    <row r="1401" spans="49:49" x14ac:dyDescent="0.25">
      <c r="AW1401" s="613">
        <v>1398</v>
      </c>
    </row>
    <row r="1402" spans="49:49" x14ac:dyDescent="0.25">
      <c r="AW1402" s="613">
        <v>1399</v>
      </c>
    </row>
    <row r="1403" spans="49:49" x14ac:dyDescent="0.25">
      <c r="AW1403" s="613">
        <v>1400</v>
      </c>
    </row>
    <row r="1404" spans="49:49" x14ac:dyDescent="0.25">
      <c r="AW1404" s="613">
        <v>1401</v>
      </c>
    </row>
    <row r="1405" spans="49:49" x14ac:dyDescent="0.25">
      <c r="AW1405" s="613">
        <v>1402</v>
      </c>
    </row>
    <row r="1406" spans="49:49" x14ac:dyDescent="0.25">
      <c r="AW1406" s="613">
        <v>1403</v>
      </c>
    </row>
    <row r="1407" spans="49:49" x14ac:dyDescent="0.25">
      <c r="AW1407" s="613">
        <v>1404</v>
      </c>
    </row>
    <row r="1408" spans="49:49" x14ac:dyDescent="0.25">
      <c r="AW1408" s="613">
        <v>1405</v>
      </c>
    </row>
    <row r="1409" spans="49:49" x14ac:dyDescent="0.25">
      <c r="AW1409" s="613">
        <v>1406</v>
      </c>
    </row>
    <row r="1410" spans="49:49" x14ac:dyDescent="0.25">
      <c r="AW1410" s="613">
        <v>1407</v>
      </c>
    </row>
    <row r="1411" spans="49:49" x14ac:dyDescent="0.25">
      <c r="AW1411" s="613">
        <v>1408</v>
      </c>
    </row>
    <row r="1412" spans="49:49" x14ac:dyDescent="0.25">
      <c r="AW1412" s="613">
        <v>1409</v>
      </c>
    </row>
    <row r="1413" spans="49:49" x14ac:dyDescent="0.25">
      <c r="AW1413" s="613">
        <v>1410</v>
      </c>
    </row>
    <row r="1414" spans="49:49" x14ac:dyDescent="0.25">
      <c r="AW1414" s="613">
        <v>1411</v>
      </c>
    </row>
    <row r="1415" spans="49:49" x14ac:dyDescent="0.25">
      <c r="AW1415" s="613">
        <v>1412</v>
      </c>
    </row>
    <row r="1416" spans="49:49" x14ac:dyDescent="0.25">
      <c r="AW1416" s="613">
        <v>1413</v>
      </c>
    </row>
    <row r="1417" spans="49:49" x14ac:dyDescent="0.25">
      <c r="AW1417" s="613">
        <v>1414</v>
      </c>
    </row>
    <row r="1418" spans="49:49" x14ac:dyDescent="0.25">
      <c r="AW1418" s="613">
        <v>1415</v>
      </c>
    </row>
    <row r="1419" spans="49:49" x14ac:dyDescent="0.25">
      <c r="AW1419" s="613">
        <v>1416</v>
      </c>
    </row>
    <row r="1420" spans="49:49" x14ac:dyDescent="0.25">
      <c r="AW1420" s="613">
        <v>1417</v>
      </c>
    </row>
    <row r="1421" spans="49:49" x14ac:dyDescent="0.25">
      <c r="AW1421" s="613">
        <v>1418</v>
      </c>
    </row>
    <row r="1422" spans="49:49" x14ac:dyDescent="0.25">
      <c r="AW1422" s="613">
        <v>1419</v>
      </c>
    </row>
    <row r="1423" spans="49:49" x14ac:dyDescent="0.25">
      <c r="AW1423" s="613">
        <v>1420</v>
      </c>
    </row>
    <row r="1424" spans="49:49" x14ac:dyDescent="0.25">
      <c r="AW1424" s="613">
        <v>1421</v>
      </c>
    </row>
    <row r="1425" spans="49:49" x14ac:dyDescent="0.25">
      <c r="AW1425" s="613">
        <v>1422</v>
      </c>
    </row>
    <row r="1426" spans="49:49" x14ac:dyDescent="0.25">
      <c r="AW1426" s="613">
        <v>1423</v>
      </c>
    </row>
    <row r="1427" spans="49:49" x14ac:dyDescent="0.25">
      <c r="AW1427" s="613">
        <v>1424</v>
      </c>
    </row>
    <row r="1428" spans="49:49" x14ac:dyDescent="0.25">
      <c r="AW1428" s="613">
        <v>1425</v>
      </c>
    </row>
    <row r="1429" spans="49:49" x14ac:dyDescent="0.25">
      <c r="AW1429" s="613">
        <v>1426</v>
      </c>
    </row>
    <row r="1430" spans="49:49" x14ac:dyDescent="0.25">
      <c r="AW1430" s="613">
        <v>1427</v>
      </c>
    </row>
    <row r="1431" spans="49:49" x14ac:dyDescent="0.25">
      <c r="AW1431" s="613">
        <v>1428</v>
      </c>
    </row>
    <row r="1432" spans="49:49" x14ac:dyDescent="0.25">
      <c r="AW1432" s="613">
        <v>1429</v>
      </c>
    </row>
    <row r="1433" spans="49:49" x14ac:dyDescent="0.25">
      <c r="AW1433" s="613">
        <v>1430</v>
      </c>
    </row>
    <row r="1434" spans="49:49" x14ac:dyDescent="0.25">
      <c r="AW1434" s="613">
        <v>1431</v>
      </c>
    </row>
    <row r="1435" spans="49:49" x14ac:dyDescent="0.25">
      <c r="AW1435" s="613">
        <v>1432</v>
      </c>
    </row>
    <row r="1436" spans="49:49" x14ac:dyDescent="0.25">
      <c r="AW1436" s="613">
        <v>1433</v>
      </c>
    </row>
    <row r="1437" spans="49:49" x14ac:dyDescent="0.25">
      <c r="AW1437" s="613">
        <v>1434</v>
      </c>
    </row>
    <row r="1438" spans="49:49" x14ac:dyDescent="0.25">
      <c r="AW1438" s="613">
        <v>1435</v>
      </c>
    </row>
    <row r="1439" spans="49:49" x14ac:dyDescent="0.25">
      <c r="AW1439" s="613">
        <v>1436</v>
      </c>
    </row>
    <row r="1440" spans="49:49" x14ac:dyDescent="0.25">
      <c r="AW1440" s="613">
        <v>1437</v>
      </c>
    </row>
    <row r="1441" spans="49:49" x14ac:dyDescent="0.25">
      <c r="AW1441" s="613">
        <v>1438</v>
      </c>
    </row>
    <row r="1442" spans="49:49" x14ac:dyDescent="0.25">
      <c r="AW1442" s="613">
        <v>1439</v>
      </c>
    </row>
    <row r="1443" spans="49:49" x14ac:dyDescent="0.25">
      <c r="AW1443" s="613">
        <v>1440</v>
      </c>
    </row>
    <row r="1444" spans="49:49" x14ac:dyDescent="0.25">
      <c r="AW1444" s="613">
        <v>1441</v>
      </c>
    </row>
    <row r="1445" spans="49:49" x14ac:dyDescent="0.25">
      <c r="AW1445" s="613">
        <v>1442</v>
      </c>
    </row>
    <row r="1446" spans="49:49" x14ac:dyDescent="0.25">
      <c r="AW1446" s="613">
        <v>1443</v>
      </c>
    </row>
    <row r="1447" spans="49:49" x14ac:dyDescent="0.25">
      <c r="AW1447" s="613">
        <v>1444</v>
      </c>
    </row>
    <row r="1448" spans="49:49" x14ac:dyDescent="0.25">
      <c r="AW1448" s="613">
        <v>1445</v>
      </c>
    </row>
    <row r="1449" spans="49:49" x14ac:dyDescent="0.25">
      <c r="AW1449" s="613">
        <v>1446</v>
      </c>
    </row>
    <row r="1450" spans="49:49" x14ac:dyDescent="0.25">
      <c r="AW1450" s="613">
        <v>1447</v>
      </c>
    </row>
    <row r="1451" spans="49:49" x14ac:dyDescent="0.25">
      <c r="AW1451" s="613">
        <v>1448</v>
      </c>
    </row>
    <row r="1452" spans="49:49" x14ac:dyDescent="0.25">
      <c r="AW1452" s="613">
        <v>1449</v>
      </c>
    </row>
    <row r="1453" spans="49:49" x14ac:dyDescent="0.25">
      <c r="AW1453" s="613">
        <v>1450</v>
      </c>
    </row>
    <row r="1454" spans="49:49" x14ac:dyDescent="0.25">
      <c r="AW1454" s="613">
        <v>1451</v>
      </c>
    </row>
    <row r="1455" spans="49:49" x14ac:dyDescent="0.25">
      <c r="AW1455" s="613">
        <v>1452</v>
      </c>
    </row>
    <row r="1456" spans="49:49" x14ac:dyDescent="0.25">
      <c r="AW1456" s="613">
        <v>1453</v>
      </c>
    </row>
    <row r="1457" spans="49:49" x14ac:dyDescent="0.25">
      <c r="AW1457" s="613">
        <v>1454</v>
      </c>
    </row>
    <row r="1458" spans="49:49" x14ac:dyDescent="0.25">
      <c r="AW1458" s="613">
        <v>1455</v>
      </c>
    </row>
    <row r="1459" spans="49:49" x14ac:dyDescent="0.25">
      <c r="AW1459" s="613">
        <v>1456</v>
      </c>
    </row>
    <row r="1460" spans="49:49" x14ac:dyDescent="0.25">
      <c r="AW1460" s="613">
        <v>1457</v>
      </c>
    </row>
    <row r="1461" spans="49:49" x14ac:dyDescent="0.25">
      <c r="AW1461" s="613">
        <v>1458</v>
      </c>
    </row>
    <row r="1462" spans="49:49" x14ac:dyDescent="0.25">
      <c r="AW1462" s="613">
        <v>1459</v>
      </c>
    </row>
    <row r="1463" spans="49:49" x14ac:dyDescent="0.25">
      <c r="AW1463" s="613">
        <v>1460</v>
      </c>
    </row>
    <row r="1464" spans="49:49" x14ac:dyDescent="0.25">
      <c r="AW1464" s="613">
        <v>1461</v>
      </c>
    </row>
    <row r="1465" spans="49:49" x14ac:dyDescent="0.25">
      <c r="AW1465" s="613">
        <v>1462</v>
      </c>
    </row>
    <row r="1466" spans="49:49" x14ac:dyDescent="0.25">
      <c r="AW1466" s="613">
        <v>1463</v>
      </c>
    </row>
    <row r="1467" spans="49:49" x14ac:dyDescent="0.25">
      <c r="AW1467" s="613">
        <v>1464</v>
      </c>
    </row>
    <row r="1468" spans="49:49" x14ac:dyDescent="0.25">
      <c r="AW1468" s="613">
        <v>1465</v>
      </c>
    </row>
    <row r="1469" spans="49:49" x14ac:dyDescent="0.25">
      <c r="AW1469" s="613">
        <v>1466</v>
      </c>
    </row>
    <row r="1470" spans="49:49" x14ac:dyDescent="0.25">
      <c r="AW1470" s="613">
        <v>1467</v>
      </c>
    </row>
    <row r="1471" spans="49:49" x14ac:dyDescent="0.25">
      <c r="AW1471" s="613">
        <v>1468</v>
      </c>
    </row>
    <row r="1472" spans="49:49" x14ac:dyDescent="0.25">
      <c r="AW1472" s="613">
        <v>1469</v>
      </c>
    </row>
    <row r="1473" spans="49:49" x14ac:dyDescent="0.25">
      <c r="AW1473" s="613">
        <v>1470</v>
      </c>
    </row>
    <row r="1474" spans="49:49" x14ac:dyDescent="0.25">
      <c r="AW1474" s="613">
        <v>1471</v>
      </c>
    </row>
    <row r="1475" spans="49:49" x14ac:dyDescent="0.25">
      <c r="AW1475" s="613">
        <v>1472</v>
      </c>
    </row>
    <row r="1476" spans="49:49" x14ac:dyDescent="0.25">
      <c r="AW1476" s="613">
        <v>1473</v>
      </c>
    </row>
    <row r="1477" spans="49:49" x14ac:dyDescent="0.25">
      <c r="AW1477" s="613">
        <v>1474</v>
      </c>
    </row>
    <row r="1478" spans="49:49" x14ac:dyDescent="0.25">
      <c r="AW1478" s="613">
        <v>1475</v>
      </c>
    </row>
    <row r="1479" spans="49:49" x14ac:dyDescent="0.25">
      <c r="AW1479" s="613">
        <v>1476</v>
      </c>
    </row>
    <row r="1480" spans="49:49" x14ac:dyDescent="0.25">
      <c r="AW1480" s="613">
        <v>1477</v>
      </c>
    </row>
    <row r="1481" spans="49:49" x14ac:dyDescent="0.25">
      <c r="AW1481" s="613">
        <v>1478</v>
      </c>
    </row>
    <row r="1482" spans="49:49" x14ac:dyDescent="0.25">
      <c r="AW1482" s="613">
        <v>1479</v>
      </c>
    </row>
    <row r="1483" spans="49:49" x14ac:dyDescent="0.25">
      <c r="AW1483" s="613">
        <v>1480</v>
      </c>
    </row>
    <row r="1484" spans="49:49" x14ac:dyDescent="0.25">
      <c r="AW1484" s="613">
        <v>1481</v>
      </c>
    </row>
    <row r="1485" spans="49:49" x14ac:dyDescent="0.25">
      <c r="AW1485" s="613">
        <v>1482</v>
      </c>
    </row>
    <row r="1486" spans="49:49" x14ac:dyDescent="0.25">
      <c r="AW1486" s="613">
        <v>1483</v>
      </c>
    </row>
    <row r="1487" spans="49:49" x14ac:dyDescent="0.25">
      <c r="AW1487" s="613">
        <v>1484</v>
      </c>
    </row>
    <row r="1488" spans="49:49" x14ac:dyDescent="0.25">
      <c r="AW1488" s="613">
        <v>1485</v>
      </c>
    </row>
    <row r="1489" spans="49:49" x14ac:dyDescent="0.25">
      <c r="AW1489" s="613">
        <v>1486</v>
      </c>
    </row>
    <row r="1490" spans="49:49" x14ac:dyDescent="0.25">
      <c r="AW1490" s="613">
        <v>1487</v>
      </c>
    </row>
    <row r="1491" spans="49:49" x14ac:dyDescent="0.25">
      <c r="AW1491" s="613">
        <v>1488</v>
      </c>
    </row>
    <row r="1492" spans="49:49" x14ac:dyDescent="0.25">
      <c r="AW1492" s="613">
        <v>1489</v>
      </c>
    </row>
    <row r="1493" spans="49:49" x14ac:dyDescent="0.25">
      <c r="AW1493" s="613">
        <v>1490</v>
      </c>
    </row>
    <row r="1494" spans="49:49" x14ac:dyDescent="0.25">
      <c r="AW1494" s="613">
        <v>1491</v>
      </c>
    </row>
    <row r="1495" spans="49:49" x14ac:dyDescent="0.25">
      <c r="AW1495" s="613">
        <v>1492</v>
      </c>
    </row>
    <row r="1496" spans="49:49" x14ac:dyDescent="0.25">
      <c r="AW1496" s="613">
        <v>1493</v>
      </c>
    </row>
    <row r="1497" spans="49:49" x14ac:dyDescent="0.25">
      <c r="AW1497" s="613">
        <v>1494</v>
      </c>
    </row>
    <row r="1498" spans="49:49" x14ac:dyDescent="0.25">
      <c r="AW1498" s="613">
        <v>1495</v>
      </c>
    </row>
    <row r="1499" spans="49:49" x14ac:dyDescent="0.25">
      <c r="AW1499" s="613">
        <v>1496</v>
      </c>
    </row>
    <row r="1500" spans="49:49" x14ac:dyDescent="0.25">
      <c r="AW1500" s="613">
        <v>1497</v>
      </c>
    </row>
    <row r="1501" spans="49:49" x14ac:dyDescent="0.25">
      <c r="AW1501" s="613">
        <v>1498</v>
      </c>
    </row>
    <row r="1502" spans="49:49" x14ac:dyDescent="0.25">
      <c r="AW1502" s="613">
        <v>1499</v>
      </c>
    </row>
    <row r="1503" spans="49:49" x14ac:dyDescent="0.25">
      <c r="AW1503" s="613">
        <v>1500</v>
      </c>
    </row>
    <row r="1504" spans="49:49" x14ac:dyDescent="0.25">
      <c r="AW1504" s="613">
        <v>1501</v>
      </c>
    </row>
    <row r="1505" spans="49:49" x14ac:dyDescent="0.25">
      <c r="AW1505" s="613">
        <v>1502</v>
      </c>
    </row>
    <row r="1506" spans="49:49" x14ac:dyDescent="0.25">
      <c r="AW1506" s="613">
        <v>1503</v>
      </c>
    </row>
    <row r="1507" spans="49:49" x14ac:dyDescent="0.25">
      <c r="AW1507" s="613">
        <v>1504</v>
      </c>
    </row>
    <row r="1508" spans="49:49" x14ac:dyDescent="0.25">
      <c r="AW1508" s="613">
        <v>1505</v>
      </c>
    </row>
    <row r="1509" spans="49:49" x14ac:dyDescent="0.25">
      <c r="AW1509" s="613">
        <v>1506</v>
      </c>
    </row>
    <row r="1510" spans="49:49" x14ac:dyDescent="0.25">
      <c r="AW1510" s="613">
        <v>1507</v>
      </c>
    </row>
    <row r="1511" spans="49:49" x14ac:dyDescent="0.25">
      <c r="AW1511" s="613">
        <v>1508</v>
      </c>
    </row>
    <row r="1512" spans="49:49" x14ac:dyDescent="0.25">
      <c r="AW1512" s="613">
        <v>1509</v>
      </c>
    </row>
    <row r="1513" spans="49:49" x14ac:dyDescent="0.25">
      <c r="AW1513" s="613">
        <v>1510</v>
      </c>
    </row>
    <row r="1514" spans="49:49" x14ac:dyDescent="0.25">
      <c r="AW1514" s="613">
        <v>1511</v>
      </c>
    </row>
    <row r="1515" spans="49:49" x14ac:dyDescent="0.25">
      <c r="AW1515" s="613">
        <v>1512</v>
      </c>
    </row>
    <row r="1516" spans="49:49" x14ac:dyDescent="0.25">
      <c r="AW1516" s="613">
        <v>1513</v>
      </c>
    </row>
    <row r="1517" spans="49:49" x14ac:dyDescent="0.25">
      <c r="AW1517" s="613">
        <v>1514</v>
      </c>
    </row>
    <row r="1518" spans="49:49" x14ac:dyDescent="0.25">
      <c r="AW1518" s="613">
        <v>1515</v>
      </c>
    </row>
    <row r="1519" spans="49:49" x14ac:dyDescent="0.25">
      <c r="AW1519" s="613">
        <v>1516</v>
      </c>
    </row>
    <row r="1520" spans="49:49" x14ac:dyDescent="0.25">
      <c r="AW1520" s="613">
        <v>1517</v>
      </c>
    </row>
    <row r="1521" spans="49:49" x14ac:dyDescent="0.25">
      <c r="AW1521" s="613">
        <v>1518</v>
      </c>
    </row>
    <row r="1522" spans="49:49" x14ac:dyDescent="0.25">
      <c r="AW1522" s="613">
        <v>1519</v>
      </c>
    </row>
    <row r="1523" spans="49:49" x14ac:dyDescent="0.25">
      <c r="AW1523" s="613">
        <v>1520</v>
      </c>
    </row>
    <row r="1524" spans="49:49" x14ac:dyDescent="0.25">
      <c r="AW1524" s="613">
        <v>1521</v>
      </c>
    </row>
    <row r="1525" spans="49:49" x14ac:dyDescent="0.25">
      <c r="AW1525" s="613">
        <v>1522</v>
      </c>
    </row>
    <row r="1526" spans="49:49" x14ac:dyDescent="0.25">
      <c r="AW1526" s="613">
        <v>1523</v>
      </c>
    </row>
    <row r="1527" spans="49:49" x14ac:dyDescent="0.25">
      <c r="AW1527" s="613">
        <v>1524</v>
      </c>
    </row>
    <row r="1528" spans="49:49" x14ac:dyDescent="0.25">
      <c r="AW1528" s="613">
        <v>1525</v>
      </c>
    </row>
    <row r="1529" spans="49:49" x14ac:dyDescent="0.25">
      <c r="AW1529" s="613">
        <v>1526</v>
      </c>
    </row>
    <row r="1530" spans="49:49" x14ac:dyDescent="0.25">
      <c r="AW1530" s="613">
        <v>1527</v>
      </c>
    </row>
    <row r="1531" spans="49:49" x14ac:dyDescent="0.25">
      <c r="AW1531" s="613">
        <v>1528</v>
      </c>
    </row>
    <row r="1532" spans="49:49" x14ac:dyDescent="0.25">
      <c r="AW1532" s="613">
        <v>1529</v>
      </c>
    </row>
    <row r="1533" spans="49:49" x14ac:dyDescent="0.25">
      <c r="AW1533" s="613">
        <v>1530</v>
      </c>
    </row>
    <row r="1534" spans="49:49" x14ac:dyDescent="0.25">
      <c r="AW1534" s="613">
        <v>1531</v>
      </c>
    </row>
    <row r="1535" spans="49:49" x14ac:dyDescent="0.25">
      <c r="AW1535" s="613">
        <v>1532</v>
      </c>
    </row>
    <row r="1536" spans="49:49" x14ac:dyDescent="0.25">
      <c r="AW1536" s="613">
        <v>1533</v>
      </c>
    </row>
    <row r="1537" spans="49:49" x14ac:dyDescent="0.25">
      <c r="AW1537" s="613">
        <v>1534</v>
      </c>
    </row>
    <row r="1538" spans="49:49" x14ac:dyDescent="0.25">
      <c r="AW1538" s="613">
        <v>1535</v>
      </c>
    </row>
    <row r="1539" spans="49:49" x14ac:dyDescent="0.25">
      <c r="AW1539" s="613">
        <v>1536</v>
      </c>
    </row>
    <row r="1540" spans="49:49" x14ac:dyDescent="0.25">
      <c r="AW1540" s="613">
        <v>1537</v>
      </c>
    </row>
    <row r="1541" spans="49:49" x14ac:dyDescent="0.25">
      <c r="AW1541" s="613">
        <v>1538</v>
      </c>
    </row>
    <row r="1542" spans="49:49" x14ac:dyDescent="0.25">
      <c r="AW1542" s="613">
        <v>1539</v>
      </c>
    </row>
    <row r="1543" spans="49:49" x14ac:dyDescent="0.25">
      <c r="AW1543" s="613">
        <v>1540</v>
      </c>
    </row>
    <row r="1544" spans="49:49" x14ac:dyDescent="0.25">
      <c r="AW1544" s="613">
        <v>1541</v>
      </c>
    </row>
    <row r="1545" spans="49:49" x14ac:dyDescent="0.25">
      <c r="AW1545" s="613">
        <v>1542</v>
      </c>
    </row>
    <row r="1546" spans="49:49" x14ac:dyDescent="0.25">
      <c r="AW1546" s="613">
        <v>1543</v>
      </c>
    </row>
    <row r="1547" spans="49:49" x14ac:dyDescent="0.25">
      <c r="AW1547" s="613">
        <v>1544</v>
      </c>
    </row>
    <row r="1548" spans="49:49" x14ac:dyDescent="0.25">
      <c r="AW1548" s="613">
        <v>1545</v>
      </c>
    </row>
    <row r="1549" spans="49:49" x14ac:dyDescent="0.25">
      <c r="AW1549" s="613">
        <v>1546</v>
      </c>
    </row>
    <row r="1550" spans="49:49" x14ac:dyDescent="0.25">
      <c r="AW1550" s="613">
        <v>1547</v>
      </c>
    </row>
    <row r="1551" spans="49:49" x14ac:dyDescent="0.25">
      <c r="AW1551" s="613">
        <v>1548</v>
      </c>
    </row>
    <row r="1552" spans="49:49" x14ac:dyDescent="0.25">
      <c r="AW1552" s="613">
        <v>1549</v>
      </c>
    </row>
    <row r="1553" spans="49:49" x14ac:dyDescent="0.25">
      <c r="AW1553" s="613">
        <v>1550</v>
      </c>
    </row>
    <row r="1554" spans="49:49" x14ac:dyDescent="0.25">
      <c r="AW1554" s="613">
        <v>1551</v>
      </c>
    </row>
    <row r="1555" spans="49:49" x14ac:dyDescent="0.25">
      <c r="AW1555" s="613">
        <v>1552</v>
      </c>
    </row>
    <row r="1556" spans="49:49" x14ac:dyDescent="0.25">
      <c r="AW1556" s="613">
        <v>1553</v>
      </c>
    </row>
    <row r="1557" spans="49:49" x14ac:dyDescent="0.25">
      <c r="AW1557" s="613">
        <v>1554</v>
      </c>
    </row>
    <row r="1558" spans="49:49" x14ac:dyDescent="0.25">
      <c r="AW1558" s="613">
        <v>1555</v>
      </c>
    </row>
    <row r="1559" spans="49:49" x14ac:dyDescent="0.25">
      <c r="AW1559" s="613">
        <v>1556</v>
      </c>
    </row>
    <row r="1560" spans="49:49" x14ac:dyDescent="0.25">
      <c r="AW1560" s="613">
        <v>1557</v>
      </c>
    </row>
    <row r="1561" spans="49:49" x14ac:dyDescent="0.25">
      <c r="AW1561" s="613">
        <v>1558</v>
      </c>
    </row>
    <row r="1562" spans="49:49" x14ac:dyDescent="0.25">
      <c r="AW1562" s="613">
        <v>1559</v>
      </c>
    </row>
    <row r="1563" spans="49:49" x14ac:dyDescent="0.25">
      <c r="AW1563" s="613">
        <v>1560</v>
      </c>
    </row>
    <row r="1564" spans="49:49" x14ac:dyDescent="0.25">
      <c r="AW1564" s="613">
        <v>1561</v>
      </c>
    </row>
    <row r="1565" spans="49:49" x14ac:dyDescent="0.25">
      <c r="AW1565" s="613">
        <v>1562</v>
      </c>
    </row>
    <row r="1566" spans="49:49" x14ac:dyDescent="0.25">
      <c r="AW1566" s="613">
        <v>1563</v>
      </c>
    </row>
    <row r="1567" spans="49:49" x14ac:dyDescent="0.25">
      <c r="AW1567" s="613">
        <v>1564</v>
      </c>
    </row>
    <row r="1568" spans="49:49" x14ac:dyDescent="0.25">
      <c r="AW1568" s="613">
        <v>1565</v>
      </c>
    </row>
    <row r="1569" spans="49:49" x14ac:dyDescent="0.25">
      <c r="AW1569" s="613">
        <v>1566</v>
      </c>
    </row>
    <row r="1570" spans="49:49" x14ac:dyDescent="0.25">
      <c r="AW1570" s="613">
        <v>1567</v>
      </c>
    </row>
    <row r="1571" spans="49:49" x14ac:dyDescent="0.25">
      <c r="AW1571" s="613">
        <v>1568</v>
      </c>
    </row>
    <row r="1572" spans="49:49" x14ac:dyDescent="0.25">
      <c r="AW1572" s="613">
        <v>1569</v>
      </c>
    </row>
    <row r="1573" spans="49:49" x14ac:dyDescent="0.25">
      <c r="AW1573" s="613">
        <v>1570</v>
      </c>
    </row>
    <row r="1574" spans="49:49" x14ac:dyDescent="0.25">
      <c r="AW1574" s="613">
        <v>1571</v>
      </c>
    </row>
    <row r="1575" spans="49:49" x14ac:dyDescent="0.25">
      <c r="AW1575" s="613">
        <v>1572</v>
      </c>
    </row>
    <row r="1576" spans="49:49" x14ac:dyDescent="0.25">
      <c r="AW1576" s="613">
        <v>1573</v>
      </c>
    </row>
    <row r="1577" spans="49:49" x14ac:dyDescent="0.25">
      <c r="AW1577" s="613">
        <v>1574</v>
      </c>
    </row>
    <row r="1578" spans="49:49" x14ac:dyDescent="0.25">
      <c r="AW1578" s="613">
        <v>1575</v>
      </c>
    </row>
    <row r="1579" spans="49:49" x14ac:dyDescent="0.25">
      <c r="AW1579" s="613">
        <v>1576</v>
      </c>
    </row>
    <row r="1580" spans="49:49" x14ac:dyDescent="0.25">
      <c r="AW1580" s="613">
        <v>1577</v>
      </c>
    </row>
    <row r="1581" spans="49:49" x14ac:dyDescent="0.25">
      <c r="AW1581" s="613">
        <v>1578</v>
      </c>
    </row>
    <row r="1582" spans="49:49" x14ac:dyDescent="0.25">
      <c r="AW1582" s="613">
        <v>1579</v>
      </c>
    </row>
    <row r="1583" spans="49:49" x14ac:dyDescent="0.25">
      <c r="AW1583" s="613">
        <v>1580</v>
      </c>
    </row>
    <row r="1584" spans="49:49" x14ac:dyDescent="0.25">
      <c r="AW1584" s="613">
        <v>1581</v>
      </c>
    </row>
    <row r="1585" spans="49:49" x14ac:dyDescent="0.25">
      <c r="AW1585" s="613">
        <v>1582</v>
      </c>
    </row>
    <row r="1586" spans="49:49" x14ac:dyDescent="0.25">
      <c r="AW1586" s="613">
        <v>1583</v>
      </c>
    </row>
    <row r="1587" spans="49:49" x14ac:dyDescent="0.25">
      <c r="AW1587" s="613">
        <v>1584</v>
      </c>
    </row>
    <row r="1588" spans="49:49" x14ac:dyDescent="0.25">
      <c r="AW1588" s="613">
        <v>1585</v>
      </c>
    </row>
    <row r="1589" spans="49:49" x14ac:dyDescent="0.25">
      <c r="AW1589" s="613">
        <v>1586</v>
      </c>
    </row>
    <row r="1590" spans="49:49" x14ac:dyDescent="0.25">
      <c r="AW1590" s="613">
        <v>1587</v>
      </c>
    </row>
    <row r="1591" spans="49:49" x14ac:dyDescent="0.25">
      <c r="AW1591" s="613">
        <v>1588</v>
      </c>
    </row>
    <row r="1592" spans="49:49" x14ac:dyDescent="0.25">
      <c r="AW1592" s="613">
        <v>1589</v>
      </c>
    </row>
    <row r="1593" spans="49:49" x14ac:dyDescent="0.25">
      <c r="AW1593" s="613">
        <v>1590</v>
      </c>
    </row>
    <row r="1594" spans="49:49" x14ac:dyDescent="0.25">
      <c r="AW1594" s="613">
        <v>1591</v>
      </c>
    </row>
    <row r="1595" spans="49:49" x14ac:dyDescent="0.25">
      <c r="AW1595" s="613">
        <v>1592</v>
      </c>
    </row>
    <row r="1596" spans="49:49" x14ac:dyDescent="0.25">
      <c r="AW1596" s="613">
        <v>1593</v>
      </c>
    </row>
    <row r="1597" spans="49:49" x14ac:dyDescent="0.25">
      <c r="AW1597" s="613">
        <v>1594</v>
      </c>
    </row>
    <row r="1598" spans="49:49" x14ac:dyDescent="0.25">
      <c r="AW1598" s="613">
        <v>1595</v>
      </c>
    </row>
    <row r="1599" spans="49:49" x14ac:dyDescent="0.25">
      <c r="AW1599" s="613">
        <v>1596</v>
      </c>
    </row>
    <row r="1600" spans="49:49" x14ac:dyDescent="0.25">
      <c r="AW1600" s="613">
        <v>1597</v>
      </c>
    </row>
    <row r="1601" spans="49:49" x14ac:dyDescent="0.25">
      <c r="AW1601" s="613">
        <v>1598</v>
      </c>
    </row>
    <row r="1602" spans="49:49" x14ac:dyDescent="0.25">
      <c r="AW1602" s="613">
        <v>1599</v>
      </c>
    </row>
    <row r="1603" spans="49:49" x14ac:dyDescent="0.25">
      <c r="AW1603" s="613">
        <v>1600</v>
      </c>
    </row>
    <row r="1604" spans="49:49" x14ac:dyDescent="0.25">
      <c r="AW1604" s="613">
        <v>1601</v>
      </c>
    </row>
    <row r="1605" spans="49:49" x14ac:dyDescent="0.25">
      <c r="AW1605" s="613">
        <v>1602</v>
      </c>
    </row>
    <row r="1606" spans="49:49" x14ac:dyDescent="0.25">
      <c r="AW1606" s="613">
        <v>1603</v>
      </c>
    </row>
    <row r="1607" spans="49:49" x14ac:dyDescent="0.25">
      <c r="AW1607" s="613">
        <v>1604</v>
      </c>
    </row>
    <row r="1608" spans="49:49" x14ac:dyDescent="0.25">
      <c r="AW1608" s="613">
        <v>1605</v>
      </c>
    </row>
    <row r="1609" spans="49:49" x14ac:dyDescent="0.25">
      <c r="AW1609" s="613">
        <v>1606</v>
      </c>
    </row>
    <row r="1610" spans="49:49" x14ac:dyDescent="0.25">
      <c r="AW1610" s="613">
        <v>1607</v>
      </c>
    </row>
    <row r="1611" spans="49:49" x14ac:dyDescent="0.25">
      <c r="AW1611" s="613">
        <v>1608</v>
      </c>
    </row>
    <row r="1612" spans="49:49" x14ac:dyDescent="0.25">
      <c r="AW1612" s="613">
        <v>1609</v>
      </c>
    </row>
    <row r="1613" spans="49:49" x14ac:dyDescent="0.25">
      <c r="AW1613" s="613">
        <v>1610</v>
      </c>
    </row>
    <row r="1614" spans="49:49" x14ac:dyDescent="0.25">
      <c r="AW1614" s="613">
        <v>1611</v>
      </c>
    </row>
    <row r="1615" spans="49:49" x14ac:dyDescent="0.25">
      <c r="AW1615" s="613">
        <v>1612</v>
      </c>
    </row>
    <row r="1616" spans="49:49" x14ac:dyDescent="0.25">
      <c r="AW1616" s="613">
        <v>1613</v>
      </c>
    </row>
    <row r="1617" spans="49:49" x14ac:dyDescent="0.25">
      <c r="AW1617" s="613">
        <v>1614</v>
      </c>
    </row>
    <row r="1618" spans="49:49" x14ac:dyDescent="0.25">
      <c r="AW1618" s="613">
        <v>1615</v>
      </c>
    </row>
    <row r="1619" spans="49:49" x14ac:dyDescent="0.25">
      <c r="AW1619" s="613">
        <v>1616</v>
      </c>
    </row>
    <row r="1620" spans="49:49" x14ac:dyDescent="0.25">
      <c r="AW1620" s="613">
        <v>1617</v>
      </c>
    </row>
    <row r="1621" spans="49:49" x14ac:dyDescent="0.25">
      <c r="AW1621" s="613">
        <v>1618</v>
      </c>
    </row>
    <row r="1622" spans="49:49" x14ac:dyDescent="0.25">
      <c r="AW1622" s="613">
        <v>1619</v>
      </c>
    </row>
    <row r="1623" spans="49:49" x14ac:dyDescent="0.25">
      <c r="AW1623" s="613">
        <v>1620</v>
      </c>
    </row>
    <row r="1624" spans="49:49" x14ac:dyDescent="0.25">
      <c r="AW1624" s="613">
        <v>1621</v>
      </c>
    </row>
    <row r="1625" spans="49:49" x14ac:dyDescent="0.25">
      <c r="AW1625" s="613">
        <v>1622</v>
      </c>
    </row>
    <row r="1626" spans="49:49" x14ac:dyDescent="0.25">
      <c r="AW1626" s="613">
        <v>1623</v>
      </c>
    </row>
    <row r="1627" spans="49:49" x14ac:dyDescent="0.25">
      <c r="AW1627" s="613">
        <v>1624</v>
      </c>
    </row>
    <row r="1628" spans="49:49" x14ac:dyDescent="0.25">
      <c r="AW1628" s="613">
        <v>1625</v>
      </c>
    </row>
    <row r="1629" spans="49:49" x14ac:dyDescent="0.25">
      <c r="AW1629" s="613">
        <v>1626</v>
      </c>
    </row>
    <row r="1630" spans="49:49" x14ac:dyDescent="0.25">
      <c r="AW1630" s="613">
        <v>1627</v>
      </c>
    </row>
    <row r="1631" spans="49:49" x14ac:dyDescent="0.25">
      <c r="AW1631" s="613">
        <v>1628</v>
      </c>
    </row>
    <row r="1632" spans="49:49" x14ac:dyDescent="0.25">
      <c r="AW1632" s="613">
        <v>1629</v>
      </c>
    </row>
    <row r="1633" spans="49:49" x14ac:dyDescent="0.25">
      <c r="AW1633" s="613">
        <v>1630</v>
      </c>
    </row>
    <row r="1634" spans="49:49" x14ac:dyDescent="0.25">
      <c r="AW1634" s="613">
        <v>1631</v>
      </c>
    </row>
    <row r="1635" spans="49:49" x14ac:dyDescent="0.25">
      <c r="AW1635" s="613">
        <v>1632</v>
      </c>
    </row>
    <row r="1636" spans="49:49" x14ac:dyDescent="0.25">
      <c r="AW1636" s="613">
        <v>1633</v>
      </c>
    </row>
    <row r="1637" spans="49:49" x14ac:dyDescent="0.25">
      <c r="AW1637" s="613">
        <v>1634</v>
      </c>
    </row>
    <row r="1638" spans="49:49" x14ac:dyDescent="0.25">
      <c r="AW1638" s="613">
        <v>1635</v>
      </c>
    </row>
    <row r="1639" spans="49:49" x14ac:dyDescent="0.25">
      <c r="AW1639" s="613">
        <v>1636</v>
      </c>
    </row>
    <row r="1640" spans="49:49" x14ac:dyDescent="0.25">
      <c r="AW1640" s="613">
        <v>1637</v>
      </c>
    </row>
    <row r="1641" spans="49:49" x14ac:dyDescent="0.25">
      <c r="AW1641" s="613">
        <v>1638</v>
      </c>
    </row>
    <row r="1642" spans="49:49" x14ac:dyDescent="0.25">
      <c r="AW1642" s="613">
        <v>1639</v>
      </c>
    </row>
    <row r="1643" spans="49:49" x14ac:dyDescent="0.25">
      <c r="AW1643" s="613">
        <v>1640</v>
      </c>
    </row>
    <row r="1644" spans="49:49" x14ac:dyDescent="0.25">
      <c r="AW1644" s="613">
        <v>1641</v>
      </c>
    </row>
    <row r="1645" spans="49:49" x14ac:dyDescent="0.25">
      <c r="AW1645" s="613">
        <v>1642</v>
      </c>
    </row>
    <row r="1646" spans="49:49" x14ac:dyDescent="0.25">
      <c r="AW1646" s="613">
        <v>1643</v>
      </c>
    </row>
    <row r="1647" spans="49:49" x14ac:dyDescent="0.25">
      <c r="AW1647" s="613">
        <v>1644</v>
      </c>
    </row>
    <row r="1648" spans="49:49" x14ac:dyDescent="0.25">
      <c r="AW1648" s="613">
        <v>1645</v>
      </c>
    </row>
    <row r="1649" spans="49:49" x14ac:dyDescent="0.25">
      <c r="AW1649" s="613">
        <v>1646</v>
      </c>
    </row>
    <row r="1650" spans="49:49" x14ac:dyDescent="0.25">
      <c r="AW1650" s="613">
        <v>1647</v>
      </c>
    </row>
    <row r="1651" spans="49:49" x14ac:dyDescent="0.25">
      <c r="AW1651" s="613">
        <v>1648</v>
      </c>
    </row>
    <row r="1652" spans="49:49" x14ac:dyDescent="0.25">
      <c r="AW1652" s="613">
        <v>1649</v>
      </c>
    </row>
    <row r="1653" spans="49:49" x14ac:dyDescent="0.25">
      <c r="AW1653" s="613">
        <v>1650</v>
      </c>
    </row>
    <row r="1654" spans="49:49" x14ac:dyDescent="0.25">
      <c r="AW1654" s="613">
        <v>1651</v>
      </c>
    </row>
    <row r="1655" spans="49:49" x14ac:dyDescent="0.25">
      <c r="AW1655" s="613">
        <v>1652</v>
      </c>
    </row>
    <row r="1656" spans="49:49" x14ac:dyDescent="0.25">
      <c r="AW1656" s="613">
        <v>1653</v>
      </c>
    </row>
    <row r="1657" spans="49:49" x14ac:dyDescent="0.25">
      <c r="AW1657" s="613">
        <v>1654</v>
      </c>
    </row>
    <row r="1658" spans="49:49" x14ac:dyDescent="0.25">
      <c r="AW1658" s="613">
        <v>1655</v>
      </c>
    </row>
    <row r="1659" spans="49:49" x14ac:dyDescent="0.25">
      <c r="AW1659" s="613">
        <v>1656</v>
      </c>
    </row>
    <row r="1660" spans="49:49" x14ac:dyDescent="0.25">
      <c r="AW1660" s="613">
        <v>1657</v>
      </c>
    </row>
    <row r="1661" spans="49:49" x14ac:dyDescent="0.25">
      <c r="AW1661" s="613">
        <v>1658</v>
      </c>
    </row>
    <row r="1662" spans="49:49" x14ac:dyDescent="0.25">
      <c r="AW1662" s="613">
        <v>1659</v>
      </c>
    </row>
    <row r="1663" spans="49:49" x14ac:dyDescent="0.25">
      <c r="AW1663" s="613">
        <v>1660</v>
      </c>
    </row>
    <row r="1664" spans="49:49" x14ac:dyDescent="0.25">
      <c r="AW1664" s="613">
        <v>1661</v>
      </c>
    </row>
    <row r="1665" spans="49:49" x14ac:dyDescent="0.25">
      <c r="AW1665" s="613">
        <v>1662</v>
      </c>
    </row>
    <row r="1666" spans="49:49" x14ac:dyDescent="0.25">
      <c r="AW1666" s="613">
        <v>1663</v>
      </c>
    </row>
    <row r="1667" spans="49:49" x14ac:dyDescent="0.25">
      <c r="AW1667" s="613">
        <v>1664</v>
      </c>
    </row>
    <row r="1668" spans="49:49" x14ac:dyDescent="0.25">
      <c r="AW1668" s="613">
        <v>1665</v>
      </c>
    </row>
    <row r="1669" spans="49:49" x14ac:dyDescent="0.25">
      <c r="AW1669" s="613">
        <v>1666</v>
      </c>
    </row>
    <row r="1670" spans="49:49" x14ac:dyDescent="0.25">
      <c r="AW1670" s="613">
        <v>1667</v>
      </c>
    </row>
    <row r="1671" spans="49:49" x14ac:dyDescent="0.25">
      <c r="AW1671" s="613">
        <v>1668</v>
      </c>
    </row>
    <row r="1672" spans="49:49" x14ac:dyDescent="0.25">
      <c r="AW1672" s="613">
        <v>1669</v>
      </c>
    </row>
    <row r="1673" spans="49:49" x14ac:dyDescent="0.25">
      <c r="AW1673" s="613">
        <v>1670</v>
      </c>
    </row>
    <row r="1674" spans="49:49" x14ac:dyDescent="0.25">
      <c r="AW1674" s="613">
        <v>1671</v>
      </c>
    </row>
    <row r="1675" spans="49:49" x14ac:dyDescent="0.25">
      <c r="AW1675" s="613">
        <v>1672</v>
      </c>
    </row>
    <row r="1676" spans="49:49" x14ac:dyDescent="0.25">
      <c r="AW1676" s="613">
        <v>1673</v>
      </c>
    </row>
    <row r="1677" spans="49:49" x14ac:dyDescent="0.25">
      <c r="AW1677" s="613">
        <v>1674</v>
      </c>
    </row>
    <row r="1678" spans="49:49" x14ac:dyDescent="0.25">
      <c r="AW1678" s="613">
        <v>1675</v>
      </c>
    </row>
    <row r="1679" spans="49:49" x14ac:dyDescent="0.25">
      <c r="AW1679" s="613">
        <v>1676</v>
      </c>
    </row>
    <row r="1680" spans="49:49" x14ac:dyDescent="0.25">
      <c r="AW1680" s="613">
        <v>1677</v>
      </c>
    </row>
    <row r="1681" spans="49:49" x14ac:dyDescent="0.25">
      <c r="AW1681" s="613">
        <v>1678</v>
      </c>
    </row>
    <row r="1682" spans="49:49" x14ac:dyDescent="0.25">
      <c r="AW1682" s="613">
        <v>1679</v>
      </c>
    </row>
    <row r="1683" spans="49:49" x14ac:dyDescent="0.25">
      <c r="AW1683" s="613">
        <v>1680</v>
      </c>
    </row>
    <row r="1684" spans="49:49" x14ac:dyDescent="0.25">
      <c r="AW1684" s="613">
        <v>1681</v>
      </c>
    </row>
    <row r="1685" spans="49:49" x14ac:dyDescent="0.25">
      <c r="AW1685" s="613">
        <v>1682</v>
      </c>
    </row>
    <row r="1686" spans="49:49" x14ac:dyDescent="0.25">
      <c r="AW1686" s="613">
        <v>1683</v>
      </c>
    </row>
    <row r="1687" spans="49:49" x14ac:dyDescent="0.25">
      <c r="AW1687" s="613">
        <v>1684</v>
      </c>
    </row>
    <row r="1688" spans="49:49" x14ac:dyDescent="0.25">
      <c r="AW1688" s="613">
        <v>1685</v>
      </c>
    </row>
    <row r="1689" spans="49:49" x14ac:dyDescent="0.25">
      <c r="AW1689" s="613">
        <v>1686</v>
      </c>
    </row>
    <row r="1690" spans="49:49" x14ac:dyDescent="0.25">
      <c r="AW1690" s="613">
        <v>1687</v>
      </c>
    </row>
    <row r="1691" spans="49:49" x14ac:dyDescent="0.25">
      <c r="AW1691" s="613">
        <v>1688</v>
      </c>
    </row>
    <row r="1692" spans="49:49" x14ac:dyDescent="0.25">
      <c r="AW1692" s="613">
        <v>1689</v>
      </c>
    </row>
    <row r="1693" spans="49:49" x14ac:dyDescent="0.25">
      <c r="AW1693" s="613">
        <v>1690</v>
      </c>
    </row>
    <row r="1694" spans="49:49" x14ac:dyDescent="0.25">
      <c r="AW1694" s="613">
        <v>1691</v>
      </c>
    </row>
    <row r="1695" spans="49:49" x14ac:dyDescent="0.25">
      <c r="AW1695" s="613">
        <v>1692</v>
      </c>
    </row>
    <row r="1696" spans="49:49" x14ac:dyDescent="0.25">
      <c r="AW1696" s="613">
        <v>1693</v>
      </c>
    </row>
    <row r="1697" spans="49:49" x14ac:dyDescent="0.25">
      <c r="AW1697" s="613">
        <v>1694</v>
      </c>
    </row>
    <row r="1698" spans="49:49" x14ac:dyDescent="0.25">
      <c r="AW1698" s="613">
        <v>1695</v>
      </c>
    </row>
    <row r="1699" spans="49:49" x14ac:dyDescent="0.25">
      <c r="AW1699" s="613">
        <v>1696</v>
      </c>
    </row>
    <row r="1700" spans="49:49" x14ac:dyDescent="0.25">
      <c r="AW1700" s="613">
        <v>1697</v>
      </c>
    </row>
    <row r="1701" spans="49:49" x14ac:dyDescent="0.25">
      <c r="AW1701" s="613">
        <v>1698</v>
      </c>
    </row>
    <row r="1702" spans="49:49" x14ac:dyDescent="0.25">
      <c r="AW1702" s="613">
        <v>1699</v>
      </c>
    </row>
    <row r="1703" spans="49:49" x14ac:dyDescent="0.25">
      <c r="AW1703" s="613">
        <v>1700</v>
      </c>
    </row>
    <row r="1704" spans="49:49" x14ac:dyDescent="0.25">
      <c r="AW1704" s="613">
        <v>1701</v>
      </c>
    </row>
    <row r="1705" spans="49:49" x14ac:dyDescent="0.25">
      <c r="AW1705" s="613">
        <v>1702</v>
      </c>
    </row>
    <row r="1706" spans="49:49" x14ac:dyDescent="0.25">
      <c r="AW1706" s="613">
        <v>1703</v>
      </c>
    </row>
    <row r="1707" spans="49:49" x14ac:dyDescent="0.25">
      <c r="AW1707" s="613">
        <v>1704</v>
      </c>
    </row>
    <row r="1708" spans="49:49" x14ac:dyDescent="0.25">
      <c r="AW1708" s="613">
        <v>1705</v>
      </c>
    </row>
    <row r="1709" spans="49:49" x14ac:dyDescent="0.25">
      <c r="AW1709" s="613">
        <v>1706</v>
      </c>
    </row>
    <row r="1710" spans="49:49" x14ac:dyDescent="0.25">
      <c r="AW1710" s="613">
        <v>1707</v>
      </c>
    </row>
    <row r="1711" spans="49:49" x14ac:dyDescent="0.25">
      <c r="AW1711" s="613">
        <v>1708</v>
      </c>
    </row>
    <row r="1712" spans="49:49" x14ac:dyDescent="0.25">
      <c r="AW1712" s="613">
        <v>1709</v>
      </c>
    </row>
    <row r="1713" spans="49:49" x14ac:dyDescent="0.25">
      <c r="AW1713" s="613">
        <v>1710</v>
      </c>
    </row>
    <row r="1714" spans="49:49" x14ac:dyDescent="0.25">
      <c r="AW1714" s="613">
        <v>1711</v>
      </c>
    </row>
    <row r="1715" spans="49:49" x14ac:dyDescent="0.25">
      <c r="AW1715" s="613">
        <v>1712</v>
      </c>
    </row>
    <row r="1716" spans="49:49" x14ac:dyDescent="0.25">
      <c r="AW1716" s="613">
        <v>1713</v>
      </c>
    </row>
    <row r="1717" spans="49:49" x14ac:dyDescent="0.25">
      <c r="AW1717" s="613">
        <v>1714</v>
      </c>
    </row>
    <row r="1718" spans="49:49" x14ac:dyDescent="0.25">
      <c r="AW1718" s="613">
        <v>1715</v>
      </c>
    </row>
    <row r="1719" spans="49:49" x14ac:dyDescent="0.25">
      <c r="AW1719" s="613">
        <v>1716</v>
      </c>
    </row>
    <row r="1720" spans="49:49" x14ac:dyDescent="0.25">
      <c r="AW1720" s="613">
        <v>1717</v>
      </c>
    </row>
    <row r="1721" spans="49:49" x14ac:dyDescent="0.25">
      <c r="AW1721" s="613">
        <v>1718</v>
      </c>
    </row>
    <row r="1722" spans="49:49" x14ac:dyDescent="0.25">
      <c r="AW1722" s="613">
        <v>1719</v>
      </c>
    </row>
    <row r="1723" spans="49:49" x14ac:dyDescent="0.25">
      <c r="AW1723" s="613">
        <v>1720</v>
      </c>
    </row>
    <row r="1724" spans="49:49" x14ac:dyDescent="0.25">
      <c r="AW1724" s="613">
        <v>1721</v>
      </c>
    </row>
    <row r="1725" spans="49:49" x14ac:dyDescent="0.25">
      <c r="AW1725" s="613">
        <v>1722</v>
      </c>
    </row>
    <row r="1726" spans="49:49" x14ac:dyDescent="0.25">
      <c r="AW1726" s="613">
        <v>1723</v>
      </c>
    </row>
    <row r="1727" spans="49:49" x14ac:dyDescent="0.25">
      <c r="AW1727" s="613">
        <v>1724</v>
      </c>
    </row>
    <row r="1728" spans="49:49" x14ac:dyDescent="0.25">
      <c r="AW1728" s="613">
        <v>1725</v>
      </c>
    </row>
    <row r="1729" spans="49:49" x14ac:dyDescent="0.25">
      <c r="AW1729" s="613">
        <v>1726</v>
      </c>
    </row>
    <row r="1730" spans="49:49" x14ac:dyDescent="0.25">
      <c r="AW1730" s="613">
        <v>1727</v>
      </c>
    </row>
    <row r="1731" spans="49:49" x14ac:dyDescent="0.25">
      <c r="AW1731" s="613">
        <v>1728</v>
      </c>
    </row>
    <row r="1732" spans="49:49" x14ac:dyDescent="0.25">
      <c r="AW1732" s="613">
        <v>1729</v>
      </c>
    </row>
    <row r="1733" spans="49:49" x14ac:dyDescent="0.25">
      <c r="AW1733" s="613">
        <v>1730</v>
      </c>
    </row>
    <row r="1734" spans="49:49" x14ac:dyDescent="0.25">
      <c r="AW1734" s="613">
        <v>1731</v>
      </c>
    </row>
    <row r="1735" spans="49:49" x14ac:dyDescent="0.25">
      <c r="AW1735" s="613">
        <v>1732</v>
      </c>
    </row>
    <row r="1736" spans="49:49" x14ac:dyDescent="0.25">
      <c r="AW1736" s="613">
        <v>1733</v>
      </c>
    </row>
    <row r="1737" spans="49:49" x14ac:dyDescent="0.25">
      <c r="AW1737" s="613">
        <v>1734</v>
      </c>
    </row>
    <row r="1738" spans="49:49" x14ac:dyDescent="0.25">
      <c r="AW1738" s="613">
        <v>1735</v>
      </c>
    </row>
    <row r="1739" spans="49:49" x14ac:dyDescent="0.25">
      <c r="AW1739" s="613">
        <v>1736</v>
      </c>
    </row>
    <row r="1740" spans="49:49" x14ac:dyDescent="0.25">
      <c r="AW1740" s="613">
        <v>1737</v>
      </c>
    </row>
    <row r="1741" spans="49:49" x14ac:dyDescent="0.25">
      <c r="AW1741" s="613">
        <v>1738</v>
      </c>
    </row>
    <row r="1742" spans="49:49" x14ac:dyDescent="0.25">
      <c r="AW1742" s="613">
        <v>1739</v>
      </c>
    </row>
    <row r="1743" spans="49:49" x14ac:dyDescent="0.25">
      <c r="AW1743" s="613">
        <v>1740</v>
      </c>
    </row>
    <row r="1744" spans="49:49" x14ac:dyDescent="0.25">
      <c r="AW1744" s="613">
        <v>1741</v>
      </c>
    </row>
    <row r="1745" spans="49:49" x14ac:dyDescent="0.25">
      <c r="AW1745" s="613">
        <v>1742</v>
      </c>
    </row>
    <row r="1746" spans="49:49" x14ac:dyDescent="0.25">
      <c r="AW1746" s="613">
        <v>1743</v>
      </c>
    </row>
    <row r="1747" spans="49:49" x14ac:dyDescent="0.25">
      <c r="AW1747" s="613">
        <v>1744</v>
      </c>
    </row>
    <row r="1748" spans="49:49" x14ac:dyDescent="0.25">
      <c r="AW1748" s="613">
        <v>1745</v>
      </c>
    </row>
    <row r="1749" spans="49:49" x14ac:dyDescent="0.25">
      <c r="AW1749" s="613">
        <v>1746</v>
      </c>
    </row>
    <row r="1750" spans="49:49" x14ac:dyDescent="0.25">
      <c r="AW1750" s="613">
        <v>1747</v>
      </c>
    </row>
    <row r="1751" spans="49:49" x14ac:dyDescent="0.25">
      <c r="AW1751" s="613">
        <v>1748</v>
      </c>
    </row>
    <row r="1752" spans="49:49" x14ac:dyDescent="0.25">
      <c r="AW1752" s="613">
        <v>1749</v>
      </c>
    </row>
    <row r="1753" spans="49:49" x14ac:dyDescent="0.25">
      <c r="AW1753" s="613">
        <v>1750</v>
      </c>
    </row>
    <row r="1754" spans="49:49" x14ac:dyDescent="0.25">
      <c r="AW1754" s="613">
        <v>1751</v>
      </c>
    </row>
    <row r="1755" spans="49:49" x14ac:dyDescent="0.25">
      <c r="AW1755" s="613">
        <v>1752</v>
      </c>
    </row>
    <row r="1756" spans="49:49" x14ac:dyDescent="0.25">
      <c r="AW1756" s="613">
        <v>1753</v>
      </c>
    </row>
    <row r="1757" spans="49:49" x14ac:dyDescent="0.25">
      <c r="AW1757" s="613">
        <v>1754</v>
      </c>
    </row>
    <row r="1758" spans="49:49" x14ac:dyDescent="0.25">
      <c r="AW1758" s="613">
        <v>1755</v>
      </c>
    </row>
    <row r="1759" spans="49:49" x14ac:dyDescent="0.25">
      <c r="AW1759" s="613">
        <v>1756</v>
      </c>
    </row>
    <row r="1760" spans="49:49" x14ac:dyDescent="0.25">
      <c r="AW1760" s="613">
        <v>1757</v>
      </c>
    </row>
    <row r="1761" spans="49:49" x14ac:dyDescent="0.25">
      <c r="AW1761" s="613">
        <v>1758</v>
      </c>
    </row>
    <row r="1762" spans="49:49" x14ac:dyDescent="0.25">
      <c r="AW1762" s="613">
        <v>1759</v>
      </c>
    </row>
    <row r="1763" spans="49:49" x14ac:dyDescent="0.25">
      <c r="AW1763" s="613">
        <v>1760</v>
      </c>
    </row>
    <row r="1764" spans="49:49" x14ac:dyDescent="0.25">
      <c r="AW1764" s="613">
        <v>1761</v>
      </c>
    </row>
    <row r="1765" spans="49:49" x14ac:dyDescent="0.25">
      <c r="AW1765" s="613">
        <v>1762</v>
      </c>
    </row>
    <row r="1766" spans="49:49" x14ac:dyDescent="0.25">
      <c r="AW1766" s="613">
        <v>1763</v>
      </c>
    </row>
    <row r="1767" spans="49:49" x14ac:dyDescent="0.25">
      <c r="AW1767" s="613">
        <v>1764</v>
      </c>
    </row>
    <row r="1768" spans="49:49" x14ac:dyDescent="0.25">
      <c r="AW1768" s="613">
        <v>1765</v>
      </c>
    </row>
    <row r="1769" spans="49:49" x14ac:dyDescent="0.25">
      <c r="AW1769" s="613">
        <v>1766</v>
      </c>
    </row>
    <row r="1770" spans="49:49" x14ac:dyDescent="0.25">
      <c r="AW1770" s="613">
        <v>1767</v>
      </c>
    </row>
    <row r="1771" spans="49:49" x14ac:dyDescent="0.25">
      <c r="AW1771" s="613">
        <v>1768</v>
      </c>
    </row>
    <row r="1772" spans="49:49" x14ac:dyDescent="0.25">
      <c r="AW1772" s="613">
        <v>1769</v>
      </c>
    </row>
    <row r="1773" spans="49:49" x14ac:dyDescent="0.25">
      <c r="AW1773" s="613">
        <v>1770</v>
      </c>
    </row>
    <row r="1774" spans="49:49" x14ac:dyDescent="0.25">
      <c r="AW1774" s="613">
        <v>1771</v>
      </c>
    </row>
    <row r="1775" spans="49:49" x14ac:dyDescent="0.25">
      <c r="AW1775" s="613">
        <v>1772</v>
      </c>
    </row>
    <row r="1776" spans="49:49" x14ac:dyDescent="0.25">
      <c r="AW1776" s="613">
        <v>1773</v>
      </c>
    </row>
    <row r="1777" spans="49:49" x14ac:dyDescent="0.25">
      <c r="AW1777" s="613">
        <v>1774</v>
      </c>
    </row>
    <row r="1778" spans="49:49" x14ac:dyDescent="0.25">
      <c r="AW1778" s="613">
        <v>1775</v>
      </c>
    </row>
    <row r="1779" spans="49:49" x14ac:dyDescent="0.25">
      <c r="AW1779" s="613">
        <v>1776</v>
      </c>
    </row>
    <row r="1780" spans="49:49" x14ac:dyDescent="0.25">
      <c r="AW1780" s="613">
        <v>1777</v>
      </c>
    </row>
    <row r="1781" spans="49:49" x14ac:dyDescent="0.25">
      <c r="AW1781" s="613">
        <v>1778</v>
      </c>
    </row>
    <row r="1782" spans="49:49" x14ac:dyDescent="0.25">
      <c r="AW1782" s="613">
        <v>1779</v>
      </c>
    </row>
    <row r="1783" spans="49:49" x14ac:dyDescent="0.25">
      <c r="AW1783" s="613">
        <v>1780</v>
      </c>
    </row>
    <row r="1784" spans="49:49" x14ac:dyDescent="0.25">
      <c r="AW1784" s="613">
        <v>1781</v>
      </c>
    </row>
    <row r="1785" spans="49:49" x14ac:dyDescent="0.25">
      <c r="AW1785" s="613">
        <v>1782</v>
      </c>
    </row>
    <row r="1786" spans="49:49" x14ac:dyDescent="0.25">
      <c r="AW1786" s="613">
        <v>1783</v>
      </c>
    </row>
    <row r="1787" spans="49:49" x14ac:dyDescent="0.25">
      <c r="AW1787" s="613">
        <v>1784</v>
      </c>
    </row>
    <row r="1788" spans="49:49" x14ac:dyDescent="0.25">
      <c r="AW1788" s="613">
        <v>1785</v>
      </c>
    </row>
    <row r="1789" spans="49:49" x14ac:dyDescent="0.25">
      <c r="AW1789" s="613">
        <v>1786</v>
      </c>
    </row>
    <row r="1790" spans="49:49" x14ac:dyDescent="0.25">
      <c r="AW1790" s="613">
        <v>1787</v>
      </c>
    </row>
    <row r="1791" spans="49:49" x14ac:dyDescent="0.25">
      <c r="AW1791" s="613">
        <v>1788</v>
      </c>
    </row>
    <row r="1792" spans="49:49" x14ac:dyDescent="0.25">
      <c r="AW1792" s="613">
        <v>1789</v>
      </c>
    </row>
    <row r="1793" spans="49:49" x14ac:dyDescent="0.25">
      <c r="AW1793" s="613">
        <v>1790</v>
      </c>
    </row>
    <row r="1794" spans="49:49" x14ac:dyDescent="0.25">
      <c r="AW1794" s="613">
        <v>1791</v>
      </c>
    </row>
    <row r="1795" spans="49:49" x14ac:dyDescent="0.25">
      <c r="AW1795" s="613">
        <v>1792</v>
      </c>
    </row>
    <row r="1796" spans="49:49" x14ac:dyDescent="0.25">
      <c r="AW1796" s="613">
        <v>1793</v>
      </c>
    </row>
    <row r="1797" spans="49:49" x14ac:dyDescent="0.25">
      <c r="AW1797" s="613">
        <v>1794</v>
      </c>
    </row>
    <row r="1798" spans="49:49" x14ac:dyDescent="0.25">
      <c r="AW1798" s="613">
        <v>1795</v>
      </c>
    </row>
    <row r="1799" spans="49:49" x14ac:dyDescent="0.25">
      <c r="AW1799" s="613">
        <v>1796</v>
      </c>
    </row>
    <row r="1800" spans="49:49" x14ac:dyDescent="0.25">
      <c r="AW1800" s="613">
        <v>1797</v>
      </c>
    </row>
    <row r="1801" spans="49:49" x14ac:dyDescent="0.25">
      <c r="AW1801" s="613">
        <v>1798</v>
      </c>
    </row>
    <row r="1802" spans="49:49" x14ac:dyDescent="0.25">
      <c r="AW1802" s="613">
        <v>1799</v>
      </c>
    </row>
    <row r="1803" spans="49:49" x14ac:dyDescent="0.25">
      <c r="AW1803" s="613">
        <v>1800</v>
      </c>
    </row>
    <row r="1804" spans="49:49" x14ac:dyDescent="0.25">
      <c r="AW1804" s="613">
        <v>1801</v>
      </c>
    </row>
    <row r="1805" spans="49:49" x14ac:dyDescent="0.25">
      <c r="AW1805" s="613">
        <v>1802</v>
      </c>
    </row>
    <row r="1806" spans="49:49" x14ac:dyDescent="0.25">
      <c r="AW1806" s="613">
        <v>1803</v>
      </c>
    </row>
    <row r="1807" spans="49:49" x14ac:dyDescent="0.25">
      <c r="AW1807" s="613">
        <v>1804</v>
      </c>
    </row>
    <row r="1808" spans="49:49" x14ac:dyDescent="0.25">
      <c r="AW1808" s="613">
        <v>1805</v>
      </c>
    </row>
    <row r="1809" spans="49:49" x14ac:dyDescent="0.25">
      <c r="AW1809" s="613">
        <v>1806</v>
      </c>
    </row>
    <row r="1810" spans="49:49" x14ac:dyDescent="0.25">
      <c r="AW1810" s="613">
        <v>1807</v>
      </c>
    </row>
    <row r="1811" spans="49:49" x14ac:dyDescent="0.25">
      <c r="AW1811" s="613">
        <v>1808</v>
      </c>
    </row>
    <row r="1812" spans="49:49" x14ac:dyDescent="0.25">
      <c r="AW1812" s="613">
        <v>1809</v>
      </c>
    </row>
    <row r="1813" spans="49:49" x14ac:dyDescent="0.25">
      <c r="AW1813" s="613">
        <v>1810</v>
      </c>
    </row>
    <row r="1814" spans="49:49" x14ac:dyDescent="0.25">
      <c r="AW1814" s="613">
        <v>1811</v>
      </c>
    </row>
    <row r="1815" spans="49:49" x14ac:dyDescent="0.25">
      <c r="AW1815" s="613">
        <v>1812</v>
      </c>
    </row>
    <row r="1816" spans="49:49" x14ac:dyDescent="0.25">
      <c r="AW1816" s="613">
        <v>1813</v>
      </c>
    </row>
    <row r="1817" spans="49:49" x14ac:dyDescent="0.25">
      <c r="AW1817" s="613">
        <v>1814</v>
      </c>
    </row>
    <row r="1818" spans="49:49" x14ac:dyDescent="0.25">
      <c r="AW1818" s="613">
        <v>1815</v>
      </c>
    </row>
    <row r="1819" spans="49:49" x14ac:dyDescent="0.25">
      <c r="AW1819" s="613">
        <v>1816</v>
      </c>
    </row>
    <row r="1820" spans="49:49" x14ac:dyDescent="0.25">
      <c r="AW1820" s="613">
        <v>1817</v>
      </c>
    </row>
    <row r="1821" spans="49:49" x14ac:dyDescent="0.25">
      <c r="AW1821" s="613">
        <v>1818</v>
      </c>
    </row>
    <row r="1822" spans="49:49" x14ac:dyDescent="0.25">
      <c r="AW1822" s="613">
        <v>1819</v>
      </c>
    </row>
    <row r="1823" spans="49:49" x14ac:dyDescent="0.25">
      <c r="AW1823" s="613">
        <v>1820</v>
      </c>
    </row>
    <row r="1824" spans="49:49" x14ac:dyDescent="0.25">
      <c r="AW1824" s="613">
        <v>1821</v>
      </c>
    </row>
    <row r="1825" spans="49:49" x14ac:dyDescent="0.25">
      <c r="AW1825" s="613">
        <v>1822</v>
      </c>
    </row>
    <row r="1826" spans="49:49" x14ac:dyDescent="0.25">
      <c r="AW1826" s="613">
        <v>1823</v>
      </c>
    </row>
    <row r="1827" spans="49:49" x14ac:dyDescent="0.25">
      <c r="AW1827" s="613">
        <v>1824</v>
      </c>
    </row>
    <row r="1828" spans="49:49" x14ac:dyDescent="0.25">
      <c r="AW1828" s="613">
        <v>1825</v>
      </c>
    </row>
    <row r="1829" spans="49:49" x14ac:dyDescent="0.25">
      <c r="AW1829" s="613">
        <v>1826</v>
      </c>
    </row>
    <row r="1830" spans="49:49" x14ac:dyDescent="0.25">
      <c r="AW1830" s="613">
        <v>1827</v>
      </c>
    </row>
    <row r="1831" spans="49:49" x14ac:dyDescent="0.25">
      <c r="AW1831" s="613">
        <v>1828</v>
      </c>
    </row>
    <row r="1832" spans="49:49" x14ac:dyDescent="0.25">
      <c r="AW1832" s="613">
        <v>1829</v>
      </c>
    </row>
    <row r="1833" spans="49:49" x14ac:dyDescent="0.25">
      <c r="AW1833" s="613">
        <v>1830</v>
      </c>
    </row>
    <row r="1834" spans="49:49" x14ac:dyDescent="0.25">
      <c r="AW1834" s="613">
        <v>1831</v>
      </c>
    </row>
    <row r="1835" spans="49:49" x14ac:dyDescent="0.25">
      <c r="AW1835" s="613">
        <v>1832</v>
      </c>
    </row>
    <row r="1836" spans="49:49" x14ac:dyDescent="0.25">
      <c r="AW1836" s="613">
        <v>1833</v>
      </c>
    </row>
    <row r="1837" spans="49:49" x14ac:dyDescent="0.25">
      <c r="AW1837" s="613">
        <v>1834</v>
      </c>
    </row>
    <row r="1838" spans="49:49" x14ac:dyDescent="0.25">
      <c r="AW1838" s="613">
        <v>1835</v>
      </c>
    </row>
    <row r="1839" spans="49:49" x14ac:dyDescent="0.25">
      <c r="AW1839" s="613">
        <v>1836</v>
      </c>
    </row>
    <row r="1840" spans="49:49" x14ac:dyDescent="0.25">
      <c r="AW1840" s="613">
        <v>1837</v>
      </c>
    </row>
    <row r="1841" spans="49:49" x14ac:dyDescent="0.25">
      <c r="AW1841" s="613">
        <v>1838</v>
      </c>
    </row>
    <row r="1842" spans="49:49" x14ac:dyDescent="0.25">
      <c r="AW1842" s="613">
        <v>1839</v>
      </c>
    </row>
    <row r="1843" spans="49:49" x14ac:dyDescent="0.25">
      <c r="AW1843" s="613">
        <v>1840</v>
      </c>
    </row>
    <row r="1844" spans="49:49" x14ac:dyDescent="0.25">
      <c r="AW1844" s="613">
        <v>1841</v>
      </c>
    </row>
    <row r="1845" spans="49:49" x14ac:dyDescent="0.25">
      <c r="AW1845" s="613">
        <v>1842</v>
      </c>
    </row>
    <row r="1846" spans="49:49" x14ac:dyDescent="0.25">
      <c r="AW1846" s="613">
        <v>1843</v>
      </c>
    </row>
    <row r="1847" spans="49:49" x14ac:dyDescent="0.25">
      <c r="AW1847" s="613">
        <v>1844</v>
      </c>
    </row>
    <row r="1848" spans="49:49" x14ac:dyDescent="0.25">
      <c r="AW1848" s="613">
        <v>1845</v>
      </c>
    </row>
    <row r="1849" spans="49:49" x14ac:dyDescent="0.25">
      <c r="AW1849" s="613">
        <v>1846</v>
      </c>
    </row>
    <row r="1850" spans="49:49" x14ac:dyDescent="0.25">
      <c r="AW1850" s="613">
        <v>1847</v>
      </c>
    </row>
    <row r="1851" spans="49:49" x14ac:dyDescent="0.25">
      <c r="AW1851" s="613">
        <v>1848</v>
      </c>
    </row>
    <row r="1852" spans="49:49" x14ac:dyDescent="0.25">
      <c r="AW1852" s="613">
        <v>1849</v>
      </c>
    </row>
    <row r="1853" spans="49:49" x14ac:dyDescent="0.25">
      <c r="AW1853" s="613">
        <v>1850</v>
      </c>
    </row>
    <row r="1854" spans="49:49" x14ac:dyDescent="0.25">
      <c r="AW1854" s="613">
        <v>1851</v>
      </c>
    </row>
    <row r="1855" spans="49:49" x14ac:dyDescent="0.25">
      <c r="AW1855" s="613">
        <v>1852</v>
      </c>
    </row>
    <row r="1856" spans="49:49" x14ac:dyDescent="0.25">
      <c r="AW1856" s="613">
        <v>1853</v>
      </c>
    </row>
    <row r="1857" spans="49:49" x14ac:dyDescent="0.25">
      <c r="AW1857" s="613">
        <v>1854</v>
      </c>
    </row>
    <row r="1858" spans="49:49" x14ac:dyDescent="0.25">
      <c r="AW1858" s="613">
        <v>1855</v>
      </c>
    </row>
    <row r="1859" spans="49:49" x14ac:dyDescent="0.25">
      <c r="AW1859" s="613">
        <v>1856</v>
      </c>
    </row>
    <row r="1860" spans="49:49" x14ac:dyDescent="0.25">
      <c r="AW1860" s="613">
        <v>1857</v>
      </c>
    </row>
    <row r="1861" spans="49:49" x14ac:dyDescent="0.25">
      <c r="AW1861" s="613">
        <v>1858</v>
      </c>
    </row>
    <row r="1862" spans="49:49" x14ac:dyDescent="0.25">
      <c r="AW1862" s="613">
        <v>1859</v>
      </c>
    </row>
    <row r="1863" spans="49:49" x14ac:dyDescent="0.25">
      <c r="AW1863" s="613">
        <v>1860</v>
      </c>
    </row>
    <row r="1864" spans="49:49" x14ac:dyDescent="0.25">
      <c r="AW1864" s="613">
        <v>1861</v>
      </c>
    </row>
    <row r="1865" spans="49:49" x14ac:dyDescent="0.25">
      <c r="AW1865" s="613">
        <v>1862</v>
      </c>
    </row>
    <row r="1866" spans="49:49" x14ac:dyDescent="0.25">
      <c r="AW1866" s="613">
        <v>1863</v>
      </c>
    </row>
    <row r="1867" spans="49:49" x14ac:dyDescent="0.25">
      <c r="AW1867" s="613">
        <v>1864</v>
      </c>
    </row>
    <row r="1868" spans="49:49" x14ac:dyDescent="0.25">
      <c r="AW1868" s="613">
        <v>1865</v>
      </c>
    </row>
    <row r="1869" spans="49:49" x14ac:dyDescent="0.25">
      <c r="AW1869" s="613">
        <v>1866</v>
      </c>
    </row>
    <row r="1870" spans="49:49" x14ac:dyDescent="0.25">
      <c r="AW1870" s="613">
        <v>1867</v>
      </c>
    </row>
    <row r="1871" spans="49:49" x14ac:dyDescent="0.25">
      <c r="AW1871" s="613">
        <v>1868</v>
      </c>
    </row>
    <row r="1872" spans="49:49" x14ac:dyDescent="0.25">
      <c r="AW1872" s="613">
        <v>1869</v>
      </c>
    </row>
    <row r="1873" spans="49:49" x14ac:dyDescent="0.25">
      <c r="AW1873" s="613">
        <v>1870</v>
      </c>
    </row>
    <row r="1874" spans="49:49" x14ac:dyDescent="0.25">
      <c r="AW1874" s="613">
        <v>1871</v>
      </c>
    </row>
    <row r="1875" spans="49:49" x14ac:dyDescent="0.25">
      <c r="AW1875" s="613">
        <v>1872</v>
      </c>
    </row>
    <row r="1876" spans="49:49" x14ac:dyDescent="0.25">
      <c r="AW1876" s="613">
        <v>1873</v>
      </c>
    </row>
    <row r="1877" spans="49:49" x14ac:dyDescent="0.25">
      <c r="AW1877" s="613">
        <v>1874</v>
      </c>
    </row>
    <row r="1878" spans="49:49" x14ac:dyDescent="0.25">
      <c r="AW1878" s="613">
        <v>1875</v>
      </c>
    </row>
    <row r="1879" spans="49:49" x14ac:dyDescent="0.25">
      <c r="AW1879" s="613">
        <v>1876</v>
      </c>
    </row>
    <row r="1880" spans="49:49" x14ac:dyDescent="0.25">
      <c r="AW1880" s="613">
        <v>1877</v>
      </c>
    </row>
    <row r="1881" spans="49:49" x14ac:dyDescent="0.25">
      <c r="AW1881" s="613">
        <v>1878</v>
      </c>
    </row>
    <row r="1882" spans="49:49" x14ac:dyDescent="0.25">
      <c r="AW1882" s="613">
        <v>1879</v>
      </c>
    </row>
    <row r="1883" spans="49:49" x14ac:dyDescent="0.25">
      <c r="AW1883" s="613">
        <v>1880</v>
      </c>
    </row>
    <row r="1884" spans="49:49" x14ac:dyDescent="0.25">
      <c r="AW1884" s="613">
        <v>1881</v>
      </c>
    </row>
    <row r="1885" spans="49:49" x14ac:dyDescent="0.25">
      <c r="AW1885" s="613">
        <v>1882</v>
      </c>
    </row>
    <row r="1886" spans="49:49" x14ac:dyDescent="0.25">
      <c r="AW1886" s="613">
        <v>1883</v>
      </c>
    </row>
    <row r="1887" spans="49:49" x14ac:dyDescent="0.25">
      <c r="AW1887" s="613">
        <v>1884</v>
      </c>
    </row>
    <row r="1888" spans="49:49" x14ac:dyDescent="0.25">
      <c r="AW1888" s="613">
        <v>1885</v>
      </c>
    </row>
    <row r="1889" spans="49:49" x14ac:dyDescent="0.25">
      <c r="AW1889" s="613">
        <v>1886</v>
      </c>
    </row>
    <row r="1890" spans="49:49" x14ac:dyDescent="0.25">
      <c r="AW1890" s="613">
        <v>1887</v>
      </c>
    </row>
    <row r="1891" spans="49:49" x14ac:dyDescent="0.25">
      <c r="AW1891" s="613">
        <v>1888</v>
      </c>
    </row>
    <row r="1892" spans="49:49" x14ac:dyDescent="0.25">
      <c r="AW1892" s="613">
        <v>1889</v>
      </c>
    </row>
    <row r="1893" spans="49:49" x14ac:dyDescent="0.25">
      <c r="AW1893" s="613">
        <v>1890</v>
      </c>
    </row>
    <row r="1894" spans="49:49" x14ac:dyDescent="0.25">
      <c r="AW1894" s="613">
        <v>1891</v>
      </c>
    </row>
    <row r="1895" spans="49:49" x14ac:dyDescent="0.25">
      <c r="AW1895" s="613">
        <v>1892</v>
      </c>
    </row>
    <row r="1896" spans="49:49" x14ac:dyDescent="0.25">
      <c r="AW1896" s="613">
        <v>1893</v>
      </c>
    </row>
    <row r="1897" spans="49:49" x14ac:dyDescent="0.25">
      <c r="AW1897" s="613">
        <v>1894</v>
      </c>
    </row>
    <row r="1898" spans="49:49" x14ac:dyDescent="0.25">
      <c r="AW1898" s="613">
        <v>1895</v>
      </c>
    </row>
    <row r="1899" spans="49:49" x14ac:dyDescent="0.25">
      <c r="AW1899" s="613">
        <v>1896</v>
      </c>
    </row>
    <row r="1900" spans="49:49" x14ac:dyDescent="0.25">
      <c r="AW1900" s="613">
        <v>1897</v>
      </c>
    </row>
    <row r="1901" spans="49:49" x14ac:dyDescent="0.25">
      <c r="AW1901" s="613">
        <v>1898</v>
      </c>
    </row>
    <row r="1902" spans="49:49" x14ac:dyDescent="0.25">
      <c r="AW1902" s="613">
        <v>1899</v>
      </c>
    </row>
    <row r="1903" spans="49:49" x14ac:dyDescent="0.25">
      <c r="AW1903" s="613">
        <v>1900</v>
      </c>
    </row>
    <row r="1904" spans="49:49" x14ac:dyDescent="0.25">
      <c r="AW1904" s="613">
        <v>1901</v>
      </c>
    </row>
    <row r="1905" spans="49:49" x14ac:dyDescent="0.25">
      <c r="AW1905" s="613">
        <v>1902</v>
      </c>
    </row>
    <row r="1906" spans="49:49" x14ac:dyDescent="0.25">
      <c r="AW1906" s="613">
        <v>1903</v>
      </c>
    </row>
    <row r="1907" spans="49:49" x14ac:dyDescent="0.25">
      <c r="AW1907" s="613">
        <v>1904</v>
      </c>
    </row>
    <row r="1908" spans="49:49" x14ac:dyDescent="0.25">
      <c r="AW1908" s="613">
        <v>1905</v>
      </c>
    </row>
    <row r="1909" spans="49:49" x14ac:dyDescent="0.25">
      <c r="AW1909" s="613">
        <v>1906</v>
      </c>
    </row>
    <row r="1910" spans="49:49" x14ac:dyDescent="0.25">
      <c r="AW1910" s="613">
        <v>1907</v>
      </c>
    </row>
    <row r="1911" spans="49:49" x14ac:dyDescent="0.25">
      <c r="AW1911" s="613">
        <v>1908</v>
      </c>
    </row>
    <row r="1912" spans="49:49" x14ac:dyDescent="0.25">
      <c r="AW1912" s="613">
        <v>1909</v>
      </c>
    </row>
    <row r="1913" spans="49:49" x14ac:dyDescent="0.25">
      <c r="AW1913" s="613">
        <v>1910</v>
      </c>
    </row>
    <row r="1914" spans="49:49" x14ac:dyDescent="0.25">
      <c r="AW1914" s="613">
        <v>1911</v>
      </c>
    </row>
    <row r="1915" spans="49:49" x14ac:dyDescent="0.25">
      <c r="AW1915" s="613">
        <v>1912</v>
      </c>
    </row>
    <row r="1916" spans="49:49" x14ac:dyDescent="0.25">
      <c r="AW1916" s="613">
        <v>1913</v>
      </c>
    </row>
    <row r="1917" spans="49:49" x14ac:dyDescent="0.25">
      <c r="AW1917" s="613">
        <v>1914</v>
      </c>
    </row>
    <row r="1918" spans="49:49" x14ac:dyDescent="0.25">
      <c r="AW1918" s="613">
        <v>1915</v>
      </c>
    </row>
    <row r="1919" spans="49:49" x14ac:dyDescent="0.25">
      <c r="AW1919" s="613">
        <v>1916</v>
      </c>
    </row>
    <row r="1920" spans="49:49" x14ac:dyDescent="0.25">
      <c r="AW1920" s="613">
        <v>1917</v>
      </c>
    </row>
    <row r="1921" spans="49:49" x14ac:dyDescent="0.25">
      <c r="AW1921" s="613">
        <v>1918</v>
      </c>
    </row>
    <row r="1922" spans="49:49" x14ac:dyDescent="0.25">
      <c r="AW1922" s="613">
        <v>1919</v>
      </c>
    </row>
    <row r="1923" spans="49:49" x14ac:dyDescent="0.25">
      <c r="AW1923" s="613">
        <v>1920</v>
      </c>
    </row>
    <row r="1924" spans="49:49" x14ac:dyDescent="0.25">
      <c r="AW1924" s="613">
        <v>1921</v>
      </c>
    </row>
    <row r="1925" spans="49:49" x14ac:dyDescent="0.25">
      <c r="AW1925" s="613">
        <v>1922</v>
      </c>
    </row>
    <row r="1926" spans="49:49" x14ac:dyDescent="0.25">
      <c r="AW1926" s="613">
        <v>1923</v>
      </c>
    </row>
    <row r="1927" spans="49:49" x14ac:dyDescent="0.25">
      <c r="AW1927" s="613">
        <v>1924</v>
      </c>
    </row>
    <row r="1928" spans="49:49" x14ac:dyDescent="0.25">
      <c r="AW1928" s="613">
        <v>1925</v>
      </c>
    </row>
    <row r="1929" spans="49:49" x14ac:dyDescent="0.25">
      <c r="AW1929" s="613">
        <v>1926</v>
      </c>
    </row>
    <row r="1930" spans="49:49" x14ac:dyDescent="0.25">
      <c r="AW1930" s="613">
        <v>1927</v>
      </c>
    </row>
    <row r="1931" spans="49:49" x14ac:dyDescent="0.25">
      <c r="AW1931" s="613">
        <v>1928</v>
      </c>
    </row>
    <row r="1932" spans="49:49" x14ac:dyDescent="0.25">
      <c r="AW1932" s="613">
        <v>1929</v>
      </c>
    </row>
    <row r="1933" spans="49:49" x14ac:dyDescent="0.25">
      <c r="AW1933" s="613">
        <v>1930</v>
      </c>
    </row>
    <row r="1934" spans="49:49" x14ac:dyDescent="0.25">
      <c r="AW1934" s="613">
        <v>1931</v>
      </c>
    </row>
    <row r="1935" spans="49:49" x14ac:dyDescent="0.25">
      <c r="AW1935" s="613">
        <v>1932</v>
      </c>
    </row>
    <row r="1936" spans="49:49" x14ac:dyDescent="0.25">
      <c r="AW1936" s="613">
        <v>1933</v>
      </c>
    </row>
    <row r="1937" spans="49:49" x14ac:dyDescent="0.25">
      <c r="AW1937" s="613">
        <v>1934</v>
      </c>
    </row>
    <row r="1938" spans="49:49" x14ac:dyDescent="0.25">
      <c r="AW1938" s="613">
        <v>1935</v>
      </c>
    </row>
    <row r="1939" spans="49:49" x14ac:dyDescent="0.25">
      <c r="AW1939" s="613">
        <v>1936</v>
      </c>
    </row>
    <row r="1940" spans="49:49" x14ac:dyDescent="0.25">
      <c r="AW1940" s="613">
        <v>1937</v>
      </c>
    </row>
    <row r="1941" spans="49:49" x14ac:dyDescent="0.25">
      <c r="AW1941" s="613">
        <v>1938</v>
      </c>
    </row>
    <row r="1942" spans="49:49" x14ac:dyDescent="0.25">
      <c r="AW1942" s="613">
        <v>1939</v>
      </c>
    </row>
    <row r="1943" spans="49:49" x14ac:dyDescent="0.25">
      <c r="AW1943" s="613">
        <v>1940</v>
      </c>
    </row>
    <row r="1944" spans="49:49" x14ac:dyDescent="0.25">
      <c r="AW1944" s="613">
        <v>1941</v>
      </c>
    </row>
    <row r="1945" spans="49:49" x14ac:dyDescent="0.25">
      <c r="AW1945" s="613">
        <v>1942</v>
      </c>
    </row>
    <row r="1946" spans="49:49" x14ac:dyDescent="0.25">
      <c r="AW1946" s="613">
        <v>1943</v>
      </c>
    </row>
    <row r="1947" spans="49:49" x14ac:dyDescent="0.25">
      <c r="AW1947" s="613">
        <v>1944</v>
      </c>
    </row>
    <row r="1948" spans="49:49" x14ac:dyDescent="0.25">
      <c r="AW1948" s="613">
        <v>1945</v>
      </c>
    </row>
    <row r="1949" spans="49:49" x14ac:dyDescent="0.25">
      <c r="AW1949" s="613">
        <v>1946</v>
      </c>
    </row>
    <row r="1950" spans="49:49" x14ac:dyDescent="0.25">
      <c r="AW1950" s="613">
        <v>1947</v>
      </c>
    </row>
    <row r="1951" spans="49:49" x14ac:dyDescent="0.25">
      <c r="AW1951" s="613">
        <v>1948</v>
      </c>
    </row>
    <row r="1952" spans="49:49" x14ac:dyDescent="0.25">
      <c r="AW1952" s="613">
        <v>1949</v>
      </c>
    </row>
    <row r="1953" spans="49:49" x14ac:dyDescent="0.25">
      <c r="AW1953" s="613">
        <v>1950</v>
      </c>
    </row>
    <row r="1954" spans="49:49" x14ac:dyDescent="0.25">
      <c r="AW1954" s="613">
        <v>1951</v>
      </c>
    </row>
    <row r="1955" spans="49:49" x14ac:dyDescent="0.25">
      <c r="AW1955" s="613">
        <v>1952</v>
      </c>
    </row>
    <row r="1956" spans="49:49" x14ac:dyDescent="0.25">
      <c r="AW1956" s="613">
        <v>1953</v>
      </c>
    </row>
    <row r="1957" spans="49:49" x14ac:dyDescent="0.25">
      <c r="AW1957" s="613">
        <v>1954</v>
      </c>
    </row>
    <row r="1958" spans="49:49" x14ac:dyDescent="0.25">
      <c r="AW1958" s="613">
        <v>1955</v>
      </c>
    </row>
    <row r="1959" spans="49:49" x14ac:dyDescent="0.25">
      <c r="AW1959" s="613">
        <v>1956</v>
      </c>
    </row>
    <row r="1960" spans="49:49" x14ac:dyDescent="0.25">
      <c r="AW1960" s="613">
        <v>1957</v>
      </c>
    </row>
    <row r="1961" spans="49:49" x14ac:dyDescent="0.25">
      <c r="AW1961" s="613">
        <v>1958</v>
      </c>
    </row>
    <row r="1962" spans="49:49" x14ac:dyDescent="0.25">
      <c r="AW1962" s="613">
        <v>1959</v>
      </c>
    </row>
    <row r="1963" spans="49:49" x14ac:dyDescent="0.25">
      <c r="AW1963" s="613">
        <v>1960</v>
      </c>
    </row>
    <row r="1964" spans="49:49" x14ac:dyDescent="0.25">
      <c r="AW1964" s="613">
        <v>1961</v>
      </c>
    </row>
    <row r="1965" spans="49:49" x14ac:dyDescent="0.25">
      <c r="AW1965" s="613">
        <v>1962</v>
      </c>
    </row>
    <row r="1966" spans="49:49" x14ac:dyDescent="0.25">
      <c r="AW1966" s="613">
        <v>1963</v>
      </c>
    </row>
    <row r="1967" spans="49:49" x14ac:dyDescent="0.25">
      <c r="AW1967" s="613">
        <v>1964</v>
      </c>
    </row>
    <row r="1968" spans="49:49" x14ac:dyDescent="0.25">
      <c r="AW1968" s="613">
        <v>1965</v>
      </c>
    </row>
    <row r="1969" spans="49:49" x14ac:dyDescent="0.25">
      <c r="AW1969" s="613">
        <v>1966</v>
      </c>
    </row>
    <row r="1970" spans="49:49" x14ac:dyDescent="0.25">
      <c r="AW1970" s="613">
        <v>1967</v>
      </c>
    </row>
    <row r="1971" spans="49:49" x14ac:dyDescent="0.25">
      <c r="AW1971" s="613">
        <v>1968</v>
      </c>
    </row>
    <row r="1972" spans="49:49" x14ac:dyDescent="0.25">
      <c r="AW1972" s="613">
        <v>1969</v>
      </c>
    </row>
    <row r="1973" spans="49:49" x14ac:dyDescent="0.25">
      <c r="AW1973" s="613">
        <v>1970</v>
      </c>
    </row>
    <row r="1974" spans="49:49" x14ac:dyDescent="0.25">
      <c r="AW1974" s="613">
        <v>1971</v>
      </c>
    </row>
    <row r="1975" spans="49:49" x14ac:dyDescent="0.25">
      <c r="AW1975" s="613">
        <v>1972</v>
      </c>
    </row>
    <row r="1976" spans="49:49" x14ac:dyDescent="0.25">
      <c r="AW1976" s="613">
        <v>1973</v>
      </c>
    </row>
    <row r="1977" spans="49:49" x14ac:dyDescent="0.25">
      <c r="AW1977" s="613">
        <v>1974</v>
      </c>
    </row>
    <row r="1978" spans="49:49" x14ac:dyDescent="0.25">
      <c r="AW1978" s="613">
        <v>1975</v>
      </c>
    </row>
    <row r="1979" spans="49:49" x14ac:dyDescent="0.25">
      <c r="AW1979" s="613">
        <v>1976</v>
      </c>
    </row>
    <row r="1980" spans="49:49" x14ac:dyDescent="0.25">
      <c r="AW1980" s="613">
        <v>1977</v>
      </c>
    </row>
    <row r="1981" spans="49:49" x14ac:dyDescent="0.25">
      <c r="AW1981" s="613">
        <v>1978</v>
      </c>
    </row>
    <row r="1982" spans="49:49" x14ac:dyDescent="0.25">
      <c r="AW1982" s="613">
        <v>1979</v>
      </c>
    </row>
    <row r="1983" spans="49:49" x14ac:dyDescent="0.25">
      <c r="AW1983" s="613">
        <v>1980</v>
      </c>
    </row>
    <row r="1984" spans="49:49" x14ac:dyDescent="0.25">
      <c r="AW1984" s="613">
        <v>1981</v>
      </c>
    </row>
    <row r="1985" spans="49:49" x14ac:dyDescent="0.25">
      <c r="AW1985" s="613">
        <v>1982</v>
      </c>
    </row>
    <row r="1986" spans="49:49" x14ac:dyDescent="0.25">
      <c r="AW1986" s="613">
        <v>1983</v>
      </c>
    </row>
    <row r="1987" spans="49:49" x14ac:dyDescent="0.25">
      <c r="AW1987" s="613">
        <v>1984</v>
      </c>
    </row>
    <row r="1988" spans="49:49" x14ac:dyDescent="0.25">
      <c r="AW1988" s="613">
        <v>1985</v>
      </c>
    </row>
    <row r="1989" spans="49:49" x14ac:dyDescent="0.25">
      <c r="AW1989" s="613">
        <v>1986</v>
      </c>
    </row>
    <row r="1990" spans="49:49" x14ac:dyDescent="0.25">
      <c r="AW1990" s="613">
        <v>1987</v>
      </c>
    </row>
    <row r="1991" spans="49:49" x14ac:dyDescent="0.25">
      <c r="AW1991" s="613">
        <v>1988</v>
      </c>
    </row>
    <row r="1992" spans="49:49" x14ac:dyDescent="0.25">
      <c r="AW1992" s="613">
        <v>1989</v>
      </c>
    </row>
    <row r="1993" spans="49:49" x14ac:dyDescent="0.25">
      <c r="AW1993" s="613">
        <v>1990</v>
      </c>
    </row>
    <row r="1994" spans="49:49" x14ac:dyDescent="0.25">
      <c r="AW1994" s="613">
        <v>1991</v>
      </c>
    </row>
    <row r="1995" spans="49:49" x14ac:dyDescent="0.25">
      <c r="AW1995" s="613">
        <v>1992</v>
      </c>
    </row>
    <row r="1996" spans="49:49" x14ac:dyDescent="0.25">
      <c r="AW1996" s="613">
        <v>1993</v>
      </c>
    </row>
    <row r="1997" spans="49:49" x14ac:dyDescent="0.25">
      <c r="AW1997" s="613">
        <v>1994</v>
      </c>
    </row>
    <row r="1998" spans="49:49" x14ac:dyDescent="0.25">
      <c r="AW1998" s="613">
        <v>1995</v>
      </c>
    </row>
    <row r="1999" spans="49:49" x14ac:dyDescent="0.25">
      <c r="AW1999" s="613">
        <v>1996</v>
      </c>
    </row>
    <row r="2000" spans="49:49" x14ac:dyDescent="0.25">
      <c r="AW2000" s="613">
        <v>1997</v>
      </c>
    </row>
    <row r="2001" spans="49:49" x14ac:dyDescent="0.25">
      <c r="AW2001" s="613">
        <v>1998</v>
      </c>
    </row>
    <row r="2002" spans="49:49" x14ac:dyDescent="0.25">
      <c r="AW2002" s="613">
        <v>1999</v>
      </c>
    </row>
    <row r="2003" spans="49:49" x14ac:dyDescent="0.25">
      <c r="AW2003" s="613">
        <v>2000</v>
      </c>
    </row>
  </sheetData>
  <sheetProtection algorithmName="SHA-512" hashValue="tqJ5aOgEJxqmvZCSmF2UEZGXZTe+tfUlX4WwUSIYiuUvamNRjpVecHT/u+5w9OXhj5WB0S3ZtwuCnTgBXrKqoQ==" saltValue="WoFt6wczIDnWbPiVbMyACg==" spinCount="100000" sheet="1" objects="1" scenarios="1"/>
  <autoFilter ref="AH5:AU102" xr:uid="{00000000-0001-0000-0600-000000000000}"/>
  <sortState xmlns:xlrd2="http://schemas.microsoft.com/office/spreadsheetml/2017/richdata2" ref="AG42:AP50">
    <sortCondition ref="AG41"/>
  </sortState>
  <mergeCells count="21">
    <mergeCell ref="R33:V33"/>
    <mergeCell ref="V4:V5"/>
    <mergeCell ref="L3:L5"/>
    <mergeCell ref="F3:H4"/>
    <mergeCell ref="S4:U4"/>
    <mergeCell ref="A107:A130"/>
    <mergeCell ref="AD3:AE4"/>
    <mergeCell ref="AG112:AG113"/>
    <mergeCell ref="AF112:AF113"/>
    <mergeCell ref="AF111:AT111"/>
    <mergeCell ref="AH112:AT112"/>
    <mergeCell ref="AF3:AU4"/>
    <mergeCell ref="Y4:Z4"/>
    <mergeCell ref="J3:J4"/>
    <mergeCell ref="R4:R5"/>
    <mergeCell ref="K3:K5"/>
    <mergeCell ref="I3:I5"/>
    <mergeCell ref="B4:B5"/>
    <mergeCell ref="N4:O4"/>
    <mergeCell ref="A83:A103"/>
    <mergeCell ref="C3:E4"/>
  </mergeCells>
  <conditionalFormatting sqref="AK163:AK168 AL164:AL171 AK172:AL1048576">
    <cfRule type="containsText" dxfId="1" priority="4" operator="containsText" text="Custom">
      <formula>NOT(ISERROR(SEARCH("Custom",AK163)))</formula>
    </cfRule>
  </conditionalFormatting>
  <conditionalFormatting sqref="AK1:AL163">
    <cfRule type="containsText" dxfId="0" priority="1" operator="containsText" text="Custom">
      <formula>NOT(ISERROR(SEARCH("Custom",AK1)))</formula>
    </cfRule>
  </conditionalFormatting>
  <printOptions gridLines="1"/>
  <pageMargins left="0.7" right="0.7" top="0.75" bottom="0.75" header="0.3" footer="0.3"/>
  <pageSetup paperSize="17" fitToWidth="0" orientation="landscape"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Z318"/>
  <sheetViews>
    <sheetView workbookViewId="0"/>
  </sheetViews>
  <sheetFormatPr defaultRowHeight="15" x14ac:dyDescent="0.25"/>
  <cols>
    <col min="1" max="1" width="4.85546875" customWidth="1"/>
    <col min="2" max="2" width="6.140625" customWidth="1"/>
    <col min="3" max="4" width="5.7109375" customWidth="1"/>
    <col min="5" max="5" width="4.85546875" customWidth="1"/>
    <col min="6" max="6" width="7.140625" customWidth="1"/>
    <col min="7" max="7" width="4.140625" customWidth="1"/>
    <col min="8" max="8" width="5.85546875" customWidth="1"/>
    <col min="9" max="9" width="8.42578125" customWidth="1"/>
    <col min="10" max="10" width="6" bestFit="1" customWidth="1"/>
    <col min="11" max="11" width="4.140625" customWidth="1"/>
    <col min="12" max="12" width="3.28515625" customWidth="1"/>
    <col min="13" max="14" width="5.5703125" customWidth="1"/>
    <col min="15" max="15" width="6.42578125" customWidth="1"/>
    <col min="16" max="16" width="6.140625" customWidth="1"/>
    <col min="17" max="17" width="10.140625" customWidth="1"/>
    <col min="18" max="18" width="6" customWidth="1"/>
    <col min="19" max="19" width="9.5703125" customWidth="1"/>
    <col min="20" max="20" width="3.140625" customWidth="1"/>
    <col min="21" max="23" width="2.7109375" customWidth="1"/>
    <col min="24" max="24" width="8.28515625" customWidth="1"/>
    <col min="25" max="25" width="10.85546875" customWidth="1"/>
    <col min="26" max="26" width="8.140625" customWidth="1"/>
  </cols>
  <sheetData>
    <row r="1" spans="1:26" ht="13.5" customHeight="1" x14ac:dyDescent="0.25">
      <c r="A1" s="55"/>
      <c r="B1" s="56"/>
      <c r="C1" s="56"/>
      <c r="D1" s="56"/>
      <c r="E1" s="56"/>
      <c r="F1" s="56"/>
      <c r="G1" s="56"/>
      <c r="H1" s="56"/>
      <c r="I1" s="56"/>
      <c r="J1" s="56"/>
      <c r="K1" s="56"/>
      <c r="L1" s="56"/>
      <c r="M1" s="56"/>
      <c r="N1" s="56"/>
      <c r="O1" s="56"/>
      <c r="P1" s="56"/>
      <c r="Q1" s="56"/>
      <c r="R1" s="56"/>
      <c r="S1" s="56"/>
      <c r="T1" s="56"/>
      <c r="U1" s="56"/>
      <c r="V1" s="56"/>
      <c r="W1" s="56"/>
      <c r="X1" s="56"/>
      <c r="Y1" s="56"/>
      <c r="Z1" s="57"/>
    </row>
    <row r="2" spans="1:26" ht="15" customHeight="1" x14ac:dyDescent="0.25">
      <c r="A2" s="471"/>
      <c r="B2" s="1216" t="s">
        <v>4414</v>
      </c>
      <c r="C2" s="1217"/>
      <c r="D2" s="1217"/>
      <c r="E2" s="1217"/>
      <c r="F2" s="1217"/>
      <c r="G2" s="1217"/>
      <c r="H2" s="1217"/>
      <c r="I2" s="1217"/>
      <c r="J2" s="1217"/>
      <c r="K2" s="1217"/>
      <c r="L2" s="1217"/>
      <c r="M2" s="1217"/>
      <c r="N2" s="1217"/>
      <c r="O2" s="1217"/>
      <c r="P2" s="1217"/>
      <c r="Q2" s="1217"/>
      <c r="R2" s="1217"/>
      <c r="S2" s="1217"/>
      <c r="T2" s="472"/>
      <c r="U2" s="472"/>
      <c r="V2" s="472"/>
      <c r="W2" s="472"/>
      <c r="X2" s="472"/>
      <c r="Y2" s="472"/>
      <c r="Z2" s="473"/>
    </row>
    <row r="3" spans="1:26" ht="15" customHeight="1" x14ac:dyDescent="0.25">
      <c r="A3" s="471"/>
      <c r="B3" s="1217"/>
      <c r="C3" s="1217"/>
      <c r="D3" s="1217"/>
      <c r="E3" s="1217"/>
      <c r="F3" s="1217"/>
      <c r="G3" s="1217"/>
      <c r="H3" s="1217"/>
      <c r="I3" s="1217"/>
      <c r="J3" s="1217"/>
      <c r="K3" s="1217"/>
      <c r="L3" s="1217"/>
      <c r="M3" s="1217"/>
      <c r="N3" s="1217"/>
      <c r="O3" s="1217"/>
      <c r="P3" s="1217"/>
      <c r="Q3" s="1217"/>
      <c r="R3" s="1217"/>
      <c r="S3" s="1217"/>
      <c r="T3" s="472"/>
      <c r="U3" s="472"/>
      <c r="V3" s="472"/>
      <c r="W3" s="472"/>
      <c r="X3" s="472"/>
      <c r="Y3" s="472"/>
      <c r="Z3" s="473"/>
    </row>
    <row r="4" spans="1:26" ht="14.25" customHeight="1" x14ac:dyDescent="0.25">
      <c r="A4" s="471"/>
      <c r="B4" s="1217"/>
      <c r="C4" s="1217"/>
      <c r="D4" s="1217"/>
      <c r="E4" s="1217"/>
      <c r="F4" s="1217"/>
      <c r="G4" s="1217"/>
      <c r="H4" s="1217"/>
      <c r="I4" s="1217"/>
      <c r="J4" s="1217"/>
      <c r="K4" s="1217"/>
      <c r="L4" s="1217"/>
      <c r="M4" s="1217"/>
      <c r="N4" s="1217"/>
      <c r="O4" s="1217"/>
      <c r="P4" s="1217"/>
      <c r="Q4" s="1217"/>
      <c r="R4" s="1217"/>
      <c r="S4" s="1217"/>
      <c r="T4" s="472"/>
      <c r="U4" s="472"/>
      <c r="V4" s="472"/>
      <c r="W4" s="472"/>
      <c r="X4" s="472"/>
      <c r="Y4" s="472"/>
      <c r="Z4" s="473"/>
    </row>
    <row r="5" spans="1:26" ht="2.25" customHeight="1" x14ac:dyDescent="0.25">
      <c r="A5" s="1218"/>
      <c r="B5" s="1219"/>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20"/>
    </row>
    <row r="6" spans="1:26" ht="9.75" customHeight="1" x14ac:dyDescent="0.25">
      <c r="A6" s="58"/>
      <c r="B6" s="54"/>
      <c r="C6" s="54"/>
      <c r="D6" s="54"/>
      <c r="E6" s="54"/>
      <c r="F6" s="54"/>
      <c r="G6" s="54"/>
      <c r="H6" s="54"/>
      <c r="I6" s="54"/>
      <c r="J6" s="54"/>
      <c r="K6" s="54"/>
      <c r="L6" s="54"/>
      <c r="M6" s="54"/>
      <c r="N6" s="54"/>
      <c r="O6" s="54"/>
      <c r="P6" s="54"/>
      <c r="Q6" s="54"/>
      <c r="R6" s="54"/>
      <c r="S6" s="54"/>
      <c r="T6" s="54"/>
      <c r="U6" s="54"/>
      <c r="V6" s="54"/>
      <c r="W6" s="54"/>
      <c r="X6" s="54"/>
      <c r="Y6" s="54"/>
      <c r="Z6" s="59"/>
    </row>
    <row r="7" spans="1:26" x14ac:dyDescent="0.25">
      <c r="A7" s="38"/>
      <c r="B7" s="39"/>
      <c r="C7" s="39"/>
      <c r="D7" s="39"/>
      <c r="E7" s="39"/>
      <c r="F7" s="39"/>
      <c r="G7" s="39"/>
      <c r="H7" s="39"/>
      <c r="I7" s="39"/>
      <c r="J7" s="39"/>
      <c r="K7" s="39"/>
      <c r="L7" s="39"/>
      <c r="M7" s="39"/>
      <c r="N7" s="39"/>
      <c r="O7" s="39"/>
      <c r="P7" s="39"/>
      <c r="Q7" s="7"/>
      <c r="R7" s="7"/>
      <c r="S7" s="7"/>
      <c r="T7" s="7"/>
      <c r="U7" s="7"/>
      <c r="V7" s="7"/>
      <c r="W7" s="7"/>
      <c r="X7" s="7"/>
      <c r="Y7" s="7"/>
      <c r="Z7" s="40"/>
    </row>
    <row r="8" spans="1:26" ht="9" customHeight="1" x14ac:dyDescent="0.25">
      <c r="A8" s="38"/>
      <c r="B8" s="39"/>
      <c r="C8" s="1214"/>
      <c r="D8" s="1214"/>
      <c r="E8" s="1214"/>
      <c r="F8" s="1214"/>
      <c r="G8" s="1215"/>
      <c r="H8" s="1215"/>
      <c r="I8" s="1215"/>
      <c r="J8" s="1215"/>
      <c r="K8" s="1215"/>
      <c r="L8" s="1215"/>
      <c r="M8" s="1215"/>
      <c r="N8" s="1215"/>
      <c r="O8" s="39"/>
      <c r="P8" s="39"/>
      <c r="Q8" s="1214"/>
      <c r="R8" s="1214"/>
      <c r="S8" s="1214"/>
      <c r="T8" s="1214"/>
      <c r="U8" s="1214"/>
      <c r="V8" s="1214"/>
      <c r="W8" s="1214"/>
      <c r="X8" s="1214"/>
      <c r="Y8" s="7"/>
      <c r="Z8" s="40"/>
    </row>
    <row r="9" spans="1:26" ht="9" customHeight="1" x14ac:dyDescent="0.25">
      <c r="A9" s="38"/>
      <c r="B9" s="39"/>
      <c r="C9" s="1214"/>
      <c r="D9" s="1214"/>
      <c r="E9" s="1214"/>
      <c r="F9" s="1214"/>
      <c r="G9" s="1215"/>
      <c r="H9" s="1215"/>
      <c r="I9" s="1215"/>
      <c r="J9" s="1215"/>
      <c r="K9" s="1215"/>
      <c r="L9" s="1215"/>
      <c r="M9" s="1215"/>
      <c r="N9" s="1215"/>
      <c r="O9" s="39"/>
      <c r="P9" s="39"/>
      <c r="Q9" s="1214"/>
      <c r="R9" s="1214"/>
      <c r="S9" s="1214"/>
      <c r="T9" s="1214"/>
      <c r="U9" s="1214"/>
      <c r="V9" s="1214"/>
      <c r="W9" s="1214"/>
      <c r="X9" s="1214"/>
      <c r="Y9" s="7"/>
      <c r="Z9" s="40"/>
    </row>
    <row r="10" spans="1:26" ht="9" customHeight="1" x14ac:dyDescent="0.25">
      <c r="A10" s="38"/>
      <c r="B10" s="39"/>
      <c r="C10" s="1214"/>
      <c r="D10" s="1214"/>
      <c r="E10" s="1214"/>
      <c r="F10" s="1214"/>
      <c r="G10" s="1215"/>
      <c r="H10" s="1215"/>
      <c r="I10" s="1215"/>
      <c r="J10" s="1215"/>
      <c r="K10" s="1215"/>
      <c r="L10" s="1215"/>
      <c r="M10" s="1215"/>
      <c r="N10" s="1215"/>
      <c r="O10" s="39"/>
      <c r="P10" s="39"/>
      <c r="Q10" s="1211"/>
      <c r="R10" s="1211"/>
      <c r="S10" s="1211"/>
      <c r="T10" s="1211"/>
      <c r="U10" s="1222"/>
      <c r="V10" s="1222"/>
      <c r="W10" s="1222"/>
      <c r="X10" s="1222"/>
      <c r="Y10" s="7"/>
      <c r="Z10" s="40"/>
    </row>
    <row r="11" spans="1:26" ht="8.25" customHeight="1" x14ac:dyDescent="0.25">
      <c r="A11" s="38"/>
      <c r="B11" s="39"/>
      <c r="C11" s="39"/>
      <c r="D11" s="39"/>
      <c r="E11" s="39"/>
      <c r="F11" s="39"/>
      <c r="G11" s="39"/>
      <c r="H11" s="39"/>
      <c r="I11" s="39"/>
      <c r="J11" s="39"/>
      <c r="K11" s="39"/>
      <c r="L11" s="39"/>
      <c r="M11" s="39"/>
      <c r="N11" s="39"/>
      <c r="O11" s="39"/>
      <c r="P11" s="39"/>
      <c r="Q11" s="1211"/>
      <c r="R11" s="1211"/>
      <c r="S11" s="1211"/>
      <c r="T11" s="1211"/>
      <c r="U11" s="1222"/>
      <c r="V11" s="1222"/>
      <c r="W11" s="1222"/>
      <c r="X11" s="1222"/>
      <c r="Y11" s="7"/>
      <c r="Z11" s="40"/>
    </row>
    <row r="12" spans="1:26" ht="15" customHeight="1" x14ac:dyDescent="0.25">
      <c r="A12" s="38"/>
      <c r="B12" s="39"/>
      <c r="C12" s="1214"/>
      <c r="D12" s="1214"/>
      <c r="E12" s="1214"/>
      <c r="F12" s="1214"/>
      <c r="G12" s="1215"/>
      <c r="H12" s="1215"/>
      <c r="I12" s="1215"/>
      <c r="J12" s="1215"/>
      <c r="K12" s="1215"/>
      <c r="L12" s="1215"/>
      <c r="M12" s="1215"/>
      <c r="N12" s="1215"/>
      <c r="O12" s="39"/>
      <c r="P12" s="39"/>
      <c r="Q12" s="1211"/>
      <c r="R12" s="1211"/>
      <c r="S12" s="1211"/>
      <c r="T12" s="1211"/>
      <c r="U12" s="1223"/>
      <c r="V12" s="1223"/>
      <c r="W12" s="1223"/>
      <c r="X12" s="1223"/>
      <c r="Y12" s="7"/>
      <c r="Z12" s="40"/>
    </row>
    <row r="13" spans="1:26" ht="11.25" customHeight="1" x14ac:dyDescent="0.25">
      <c r="A13" s="38"/>
      <c r="B13" s="39"/>
      <c r="C13" s="1214"/>
      <c r="D13" s="1214"/>
      <c r="E13" s="1214"/>
      <c r="F13" s="1214"/>
      <c r="G13" s="1215"/>
      <c r="H13" s="1215"/>
      <c r="I13" s="1215"/>
      <c r="J13" s="1215"/>
      <c r="K13" s="1215"/>
      <c r="L13" s="1215"/>
      <c r="M13" s="1215"/>
      <c r="N13" s="1215"/>
      <c r="O13" s="39"/>
      <c r="P13" s="39"/>
      <c r="Q13" s="1211"/>
      <c r="R13" s="1211"/>
      <c r="S13" s="1211"/>
      <c r="T13" s="1211"/>
      <c r="U13" s="1221"/>
      <c r="V13" s="1221"/>
      <c r="W13" s="1221"/>
      <c r="X13" s="1221"/>
      <c r="Y13" s="7"/>
      <c r="Z13" s="40"/>
    </row>
    <row r="14" spans="1:26" ht="8.25" customHeight="1" x14ac:dyDescent="0.25">
      <c r="A14" s="38"/>
      <c r="B14" s="39"/>
      <c r="C14" s="39"/>
      <c r="D14" s="39"/>
      <c r="E14" s="39"/>
      <c r="F14" s="39"/>
      <c r="G14" s="39"/>
      <c r="H14" s="39"/>
      <c r="I14" s="39"/>
      <c r="J14" s="39"/>
      <c r="K14" s="39"/>
      <c r="L14" s="39"/>
      <c r="M14" s="39"/>
      <c r="N14" s="39"/>
      <c r="O14" s="39"/>
      <c r="P14" s="39"/>
      <c r="Q14" s="1211"/>
      <c r="R14" s="1211"/>
      <c r="S14" s="1211"/>
      <c r="T14" s="1211"/>
      <c r="U14" s="1221"/>
      <c r="V14" s="1221"/>
      <c r="W14" s="1221"/>
      <c r="X14" s="1221"/>
      <c r="Y14" s="7"/>
      <c r="Z14" s="40"/>
    </row>
    <row r="15" spans="1:26" ht="11.25" customHeight="1" x14ac:dyDescent="0.25">
      <c r="A15" s="38"/>
      <c r="B15" s="39"/>
      <c r="C15" s="1214"/>
      <c r="D15" s="1214"/>
      <c r="E15" s="1214"/>
      <c r="F15" s="1214"/>
      <c r="G15" s="1215"/>
      <c r="H15" s="1215"/>
      <c r="I15" s="1215"/>
      <c r="J15" s="1215"/>
      <c r="K15" s="1215"/>
      <c r="L15" s="1215"/>
      <c r="M15" s="1215"/>
      <c r="N15" s="1215"/>
      <c r="O15" s="39"/>
      <c r="P15" s="39"/>
      <c r="Q15" s="1211"/>
      <c r="R15" s="1211"/>
      <c r="S15" s="1211"/>
      <c r="T15" s="1211"/>
      <c r="U15" s="1221"/>
      <c r="V15" s="1221"/>
      <c r="W15" s="1221"/>
      <c r="X15" s="1221"/>
      <c r="Y15" s="7"/>
      <c r="Z15" s="40"/>
    </row>
    <row r="16" spans="1:26" ht="8.25" customHeight="1" x14ac:dyDescent="0.25">
      <c r="A16" s="38"/>
      <c r="B16" s="39"/>
      <c r="C16" s="1214"/>
      <c r="D16" s="1214"/>
      <c r="E16" s="1214"/>
      <c r="F16" s="1214"/>
      <c r="G16" s="1215"/>
      <c r="H16" s="1215"/>
      <c r="I16" s="1215"/>
      <c r="J16" s="1215"/>
      <c r="K16" s="1215"/>
      <c r="L16" s="1215"/>
      <c r="M16" s="1215"/>
      <c r="N16" s="1215"/>
      <c r="O16" s="39"/>
      <c r="P16" s="39"/>
      <c r="Q16" s="1211"/>
      <c r="R16" s="1211"/>
      <c r="S16" s="1211"/>
      <c r="T16" s="1211"/>
      <c r="U16" s="1221"/>
      <c r="V16" s="1221"/>
      <c r="W16" s="1221"/>
      <c r="X16" s="1221"/>
      <c r="Y16" s="7"/>
      <c r="Z16" s="40"/>
    </row>
    <row r="17" spans="1:26" ht="8.25" customHeight="1" x14ac:dyDescent="0.25">
      <c r="A17" s="38"/>
      <c r="B17" s="39"/>
      <c r="C17" s="1214"/>
      <c r="D17" s="1214"/>
      <c r="E17" s="1214"/>
      <c r="F17" s="1214"/>
      <c r="G17" s="1215"/>
      <c r="H17" s="1215"/>
      <c r="I17" s="1215"/>
      <c r="J17" s="1215"/>
      <c r="K17" s="1215"/>
      <c r="L17" s="1215"/>
      <c r="M17" s="1215"/>
      <c r="N17" s="1215"/>
      <c r="O17" s="39"/>
      <c r="P17" s="39"/>
      <c r="Q17" s="1211"/>
      <c r="R17" s="1211"/>
      <c r="S17" s="1211"/>
      <c r="T17" s="1211"/>
      <c r="U17" s="1221"/>
      <c r="V17" s="1221"/>
      <c r="W17" s="1221"/>
      <c r="X17" s="1221"/>
      <c r="Y17" s="7"/>
      <c r="Z17" s="40"/>
    </row>
    <row r="18" spans="1:26" ht="8.25" customHeight="1" x14ac:dyDescent="0.25">
      <c r="A18" s="38"/>
      <c r="B18" s="39"/>
      <c r="C18" s="39"/>
      <c r="D18" s="39"/>
      <c r="E18" s="39"/>
      <c r="F18" s="39"/>
      <c r="G18" s="39"/>
      <c r="H18" s="39"/>
      <c r="I18" s="39"/>
      <c r="J18" s="39"/>
      <c r="K18" s="39"/>
      <c r="L18" s="39"/>
      <c r="M18" s="39"/>
      <c r="N18" s="39"/>
      <c r="O18" s="39"/>
      <c r="P18" s="39"/>
      <c r="Q18" s="1211"/>
      <c r="R18" s="1211"/>
      <c r="S18" s="1211"/>
      <c r="T18" s="1211"/>
      <c r="U18" s="1221"/>
      <c r="V18" s="1221"/>
      <c r="W18" s="1221"/>
      <c r="X18" s="1221"/>
      <c r="Y18" s="7"/>
      <c r="Z18" s="40"/>
    </row>
    <row r="19" spans="1:26" ht="11.25" customHeight="1" x14ac:dyDescent="0.25">
      <c r="A19" s="38"/>
      <c r="B19" s="39"/>
      <c r="C19" s="1214"/>
      <c r="D19" s="1214"/>
      <c r="E19" s="1214"/>
      <c r="F19" s="1214"/>
      <c r="G19" s="1215"/>
      <c r="H19" s="1215"/>
      <c r="I19" s="1215"/>
      <c r="J19" s="1215"/>
      <c r="K19" s="1215"/>
      <c r="L19" s="1215"/>
      <c r="M19" s="1215"/>
      <c r="N19" s="1215"/>
      <c r="O19" s="39"/>
      <c r="P19" s="39"/>
      <c r="Q19" s="41"/>
      <c r="R19" s="41"/>
      <c r="S19" s="41"/>
      <c r="T19" s="41"/>
      <c r="U19" s="39"/>
      <c r="V19" s="39"/>
      <c r="W19" s="39"/>
      <c r="X19" s="39"/>
      <c r="Y19" s="7"/>
      <c r="Z19" s="40"/>
    </row>
    <row r="20" spans="1:26" ht="11.25" customHeight="1" x14ac:dyDescent="0.25">
      <c r="A20" s="38"/>
      <c r="B20" s="39"/>
      <c r="C20" s="1214"/>
      <c r="D20" s="1214"/>
      <c r="E20" s="1214"/>
      <c r="F20" s="1214"/>
      <c r="G20" s="1215"/>
      <c r="H20" s="1215"/>
      <c r="I20" s="1215"/>
      <c r="J20" s="1215"/>
      <c r="K20" s="1215"/>
      <c r="L20" s="1215"/>
      <c r="M20" s="1215"/>
      <c r="N20" s="1215"/>
      <c r="O20" s="39"/>
      <c r="P20" s="39"/>
      <c r="Q20" s="41"/>
      <c r="R20" s="41"/>
      <c r="S20" s="41"/>
      <c r="T20" s="41"/>
      <c r="U20" s="39"/>
      <c r="V20" s="39"/>
      <c r="W20" s="39"/>
      <c r="X20" s="39"/>
      <c r="Y20" s="7"/>
      <c r="Z20" s="40"/>
    </row>
    <row r="21" spans="1:26" ht="5.25" customHeight="1" x14ac:dyDescent="0.25">
      <c r="A21" s="38"/>
      <c r="B21" s="39"/>
      <c r="C21" s="1214"/>
      <c r="D21" s="1214"/>
      <c r="E21" s="1214"/>
      <c r="F21" s="1214"/>
      <c r="G21" s="1215"/>
      <c r="H21" s="1215"/>
      <c r="I21" s="1215"/>
      <c r="J21" s="1215"/>
      <c r="K21" s="1215"/>
      <c r="L21" s="1215"/>
      <c r="M21" s="1215"/>
      <c r="N21" s="1215"/>
      <c r="O21" s="39"/>
      <c r="P21" s="39"/>
      <c r="Q21" s="1214"/>
      <c r="R21" s="1214"/>
      <c r="S21" s="1214"/>
      <c r="T21" s="1214"/>
      <c r="U21" s="1214"/>
      <c r="V21" s="1214"/>
      <c r="W21" s="1214"/>
      <c r="X21" s="1214"/>
      <c r="Y21" s="7"/>
      <c r="Z21" s="40"/>
    </row>
    <row r="22" spans="1:26" ht="9" customHeight="1" x14ac:dyDescent="0.25">
      <c r="A22" s="38"/>
      <c r="B22" s="39"/>
      <c r="C22" s="39"/>
      <c r="D22" s="39"/>
      <c r="E22" s="39"/>
      <c r="F22" s="39"/>
      <c r="G22" s="39"/>
      <c r="H22" s="39"/>
      <c r="I22" s="39"/>
      <c r="J22" s="39"/>
      <c r="K22" s="39"/>
      <c r="L22" s="39"/>
      <c r="M22" s="39"/>
      <c r="N22" s="39"/>
      <c r="O22" s="39"/>
      <c r="P22" s="39"/>
      <c r="Q22" s="1214"/>
      <c r="R22" s="1214"/>
      <c r="S22" s="1214"/>
      <c r="T22" s="1214"/>
      <c r="U22" s="1214"/>
      <c r="V22" s="1214"/>
      <c r="W22" s="1214"/>
      <c r="X22" s="1214"/>
      <c r="Y22" s="7"/>
      <c r="Z22" s="40"/>
    </row>
    <row r="23" spans="1:26" ht="12" customHeight="1" x14ac:dyDescent="0.25">
      <c r="A23" s="38"/>
      <c r="B23" s="39"/>
      <c r="C23" s="1214"/>
      <c r="D23" s="1214"/>
      <c r="E23" s="1214"/>
      <c r="F23" s="1214"/>
      <c r="G23" s="1215"/>
      <c r="H23" s="1215"/>
      <c r="I23" s="1215"/>
      <c r="J23" s="1215"/>
      <c r="K23" s="1215"/>
      <c r="L23" s="1215"/>
      <c r="M23" s="1215"/>
      <c r="N23" s="1215"/>
      <c r="O23" s="39"/>
      <c r="P23" s="39"/>
      <c r="Q23" s="1211"/>
      <c r="R23" s="1211"/>
      <c r="S23" s="1211"/>
      <c r="T23" s="1211"/>
      <c r="U23" s="1212"/>
      <c r="V23" s="1212"/>
      <c r="W23" s="1212"/>
      <c r="X23" s="1212"/>
      <c r="Y23" s="7"/>
      <c r="Z23" s="40"/>
    </row>
    <row r="24" spans="1:26" ht="12" customHeight="1" x14ac:dyDescent="0.25">
      <c r="A24" s="38"/>
      <c r="B24" s="39"/>
      <c r="C24" s="1214"/>
      <c r="D24" s="1214"/>
      <c r="E24" s="1214"/>
      <c r="F24" s="1214"/>
      <c r="G24" s="1215"/>
      <c r="H24" s="1215"/>
      <c r="I24" s="1215"/>
      <c r="J24" s="1215"/>
      <c r="K24" s="1215"/>
      <c r="L24" s="1215"/>
      <c r="M24" s="1215"/>
      <c r="N24" s="1215"/>
      <c r="O24" s="39"/>
      <c r="P24" s="39"/>
      <c r="Q24" s="1211"/>
      <c r="R24" s="1211"/>
      <c r="S24" s="1211"/>
      <c r="T24" s="1211"/>
      <c r="U24" s="1212"/>
      <c r="V24" s="1212"/>
      <c r="W24" s="1212"/>
      <c r="X24" s="1212"/>
      <c r="Y24" s="7"/>
      <c r="Z24" s="40"/>
    </row>
    <row r="25" spans="1:26" ht="7.5" customHeight="1" x14ac:dyDescent="0.25">
      <c r="A25" s="38"/>
      <c r="B25" s="39"/>
      <c r="C25" s="39"/>
      <c r="D25" s="39"/>
      <c r="E25" s="39"/>
      <c r="F25" s="39"/>
      <c r="G25" s="39"/>
      <c r="H25" s="39"/>
      <c r="I25" s="39"/>
      <c r="J25" s="39"/>
      <c r="K25" s="39"/>
      <c r="L25" s="39"/>
      <c r="M25" s="39"/>
      <c r="N25" s="39"/>
      <c r="O25" s="39"/>
      <c r="P25" s="39"/>
      <c r="Q25" s="1211"/>
      <c r="R25" s="1211"/>
      <c r="S25" s="1211"/>
      <c r="T25" s="1211"/>
      <c r="U25" s="1212"/>
      <c r="V25" s="1212"/>
      <c r="W25" s="1212"/>
      <c r="X25" s="1212"/>
      <c r="Y25" s="7"/>
      <c r="Z25" s="40"/>
    </row>
    <row r="26" spans="1:26" ht="9" customHeight="1" x14ac:dyDescent="0.25">
      <c r="A26" s="38"/>
      <c r="B26" s="39"/>
      <c r="C26" s="1214"/>
      <c r="D26" s="1214"/>
      <c r="E26" s="1214"/>
      <c r="F26" s="1214"/>
      <c r="G26" s="1215"/>
      <c r="H26" s="1215"/>
      <c r="I26" s="1215"/>
      <c r="J26" s="1215"/>
      <c r="K26" s="1215"/>
      <c r="L26" s="1215"/>
      <c r="M26" s="1215"/>
      <c r="N26" s="1215"/>
      <c r="O26" s="39"/>
      <c r="P26" s="39"/>
      <c r="Q26" s="1211"/>
      <c r="R26" s="1211"/>
      <c r="S26" s="1211"/>
      <c r="T26" s="1211"/>
      <c r="U26" s="1212"/>
      <c r="V26" s="1212"/>
      <c r="W26" s="1212"/>
      <c r="X26" s="1212"/>
      <c r="Y26" s="7"/>
      <c r="Z26" s="40"/>
    </row>
    <row r="27" spans="1:26" ht="9" customHeight="1" x14ac:dyDescent="0.25">
      <c r="A27" s="38"/>
      <c r="B27" s="39"/>
      <c r="C27" s="1214"/>
      <c r="D27" s="1214"/>
      <c r="E27" s="1214"/>
      <c r="F27" s="1214"/>
      <c r="G27" s="1215"/>
      <c r="H27" s="1215"/>
      <c r="I27" s="1215"/>
      <c r="J27" s="1215"/>
      <c r="K27" s="1215"/>
      <c r="L27" s="1215"/>
      <c r="M27" s="1215"/>
      <c r="N27" s="1215"/>
      <c r="O27" s="39"/>
      <c r="P27" s="39"/>
      <c r="Q27" s="1211"/>
      <c r="R27" s="1211"/>
      <c r="S27" s="1211"/>
      <c r="T27" s="1211"/>
      <c r="U27" s="1212"/>
      <c r="V27" s="1212"/>
      <c r="W27" s="1212"/>
      <c r="X27" s="1212"/>
      <c r="Y27" s="7"/>
      <c r="Z27" s="40"/>
    </row>
    <row r="28" spans="1:26" ht="9.75" customHeight="1" x14ac:dyDescent="0.25">
      <c r="A28" s="38"/>
      <c r="B28" s="39"/>
      <c r="C28" s="1214"/>
      <c r="D28" s="1214"/>
      <c r="E28" s="1214"/>
      <c r="F28" s="1214"/>
      <c r="G28" s="1215"/>
      <c r="H28" s="1215"/>
      <c r="I28" s="1215"/>
      <c r="J28" s="1215"/>
      <c r="K28" s="1215"/>
      <c r="L28" s="1215"/>
      <c r="M28" s="1215"/>
      <c r="N28" s="1215"/>
      <c r="O28" s="39"/>
      <c r="P28" s="39"/>
      <c r="Q28" s="1211"/>
      <c r="R28" s="1211"/>
      <c r="S28" s="1211"/>
      <c r="T28" s="1211"/>
      <c r="U28" s="1212"/>
      <c r="V28" s="1212"/>
      <c r="W28" s="1212"/>
      <c r="X28" s="1212"/>
      <c r="Y28" s="7"/>
      <c r="Z28" s="40"/>
    </row>
    <row r="29" spans="1:26" ht="8.25" customHeight="1" x14ac:dyDescent="0.25">
      <c r="A29" s="38"/>
      <c r="B29" s="39"/>
      <c r="C29" s="39"/>
      <c r="D29" s="39"/>
      <c r="E29" s="39"/>
      <c r="F29" s="39"/>
      <c r="G29" s="39"/>
      <c r="H29" s="39"/>
      <c r="I29" s="39"/>
      <c r="J29" s="39"/>
      <c r="K29" s="39"/>
      <c r="L29" s="39"/>
      <c r="M29" s="39"/>
      <c r="N29" s="39"/>
      <c r="O29" s="39"/>
      <c r="P29" s="39"/>
      <c r="Q29" s="1211"/>
      <c r="R29" s="1211"/>
      <c r="S29" s="1211"/>
      <c r="T29" s="1211"/>
      <c r="U29" s="1212"/>
      <c r="V29" s="1212"/>
      <c r="W29" s="1212"/>
      <c r="X29" s="1212"/>
      <c r="Y29" s="7"/>
      <c r="Z29" s="40"/>
    </row>
    <row r="30" spans="1:26" ht="9" customHeight="1" x14ac:dyDescent="0.25">
      <c r="A30" s="38"/>
      <c r="B30" s="39"/>
      <c r="C30" s="1214"/>
      <c r="D30" s="1214"/>
      <c r="E30" s="1214"/>
      <c r="F30" s="1214"/>
      <c r="G30" s="1215"/>
      <c r="H30" s="1215"/>
      <c r="I30" s="1215"/>
      <c r="J30" s="1215"/>
      <c r="K30" s="1215"/>
      <c r="L30" s="1215"/>
      <c r="M30" s="1215"/>
      <c r="N30" s="1215"/>
      <c r="O30" s="39"/>
      <c r="P30" s="39"/>
      <c r="Q30" s="1211"/>
      <c r="R30" s="1211"/>
      <c r="S30" s="1211"/>
      <c r="T30" s="1211"/>
      <c r="U30" s="1212"/>
      <c r="V30" s="1212"/>
      <c r="W30" s="1212"/>
      <c r="X30" s="1212"/>
      <c r="Y30" s="7"/>
      <c r="Z30" s="40"/>
    </row>
    <row r="31" spans="1:26" ht="8.25" customHeight="1" x14ac:dyDescent="0.25">
      <c r="A31" s="38"/>
      <c r="B31" s="39"/>
      <c r="C31" s="1214"/>
      <c r="D31" s="1214"/>
      <c r="E31" s="1214"/>
      <c r="F31" s="1214"/>
      <c r="G31" s="1215"/>
      <c r="H31" s="1215"/>
      <c r="I31" s="1215"/>
      <c r="J31" s="1215"/>
      <c r="K31" s="1215"/>
      <c r="L31" s="1215"/>
      <c r="M31" s="1215"/>
      <c r="N31" s="1215"/>
      <c r="O31" s="39"/>
      <c r="P31" s="39"/>
      <c r="Q31" s="1211"/>
      <c r="R31" s="1211"/>
      <c r="S31" s="1211"/>
      <c r="T31" s="1211"/>
      <c r="U31" s="1212"/>
      <c r="V31" s="1212"/>
      <c r="W31" s="1212"/>
      <c r="X31" s="1212"/>
      <c r="Y31" s="7"/>
      <c r="Z31" s="40"/>
    </row>
    <row r="32" spans="1:26" ht="10.5" customHeight="1" x14ac:dyDescent="0.25">
      <c r="A32" s="38"/>
      <c r="B32" s="39"/>
      <c r="C32" s="1214"/>
      <c r="D32" s="1214"/>
      <c r="E32" s="1214"/>
      <c r="F32" s="1214"/>
      <c r="G32" s="1215"/>
      <c r="H32" s="1215"/>
      <c r="I32" s="1215"/>
      <c r="J32" s="1215"/>
      <c r="K32" s="1215"/>
      <c r="L32" s="1215"/>
      <c r="M32" s="1215"/>
      <c r="N32" s="1215"/>
      <c r="O32" s="39"/>
      <c r="P32" s="39"/>
      <c r="Q32" s="1211"/>
      <c r="R32" s="1211"/>
      <c r="S32" s="1211"/>
      <c r="T32" s="1211"/>
      <c r="U32" s="1212"/>
      <c r="V32" s="1212"/>
      <c r="W32" s="1212"/>
      <c r="X32" s="1212"/>
      <c r="Y32" s="7"/>
      <c r="Z32" s="40"/>
    </row>
    <row r="33" spans="1:26" ht="9.75" customHeight="1" x14ac:dyDescent="0.25">
      <c r="A33" s="38"/>
      <c r="B33" s="39"/>
      <c r="C33" s="39"/>
      <c r="D33" s="39"/>
      <c r="E33" s="39"/>
      <c r="F33" s="39"/>
      <c r="G33" s="39"/>
      <c r="H33" s="39"/>
      <c r="I33" s="39"/>
      <c r="J33" s="39"/>
      <c r="K33" s="39"/>
      <c r="L33" s="39"/>
      <c r="M33" s="39"/>
      <c r="N33" s="39"/>
      <c r="O33" s="39"/>
      <c r="P33" s="39"/>
      <c r="Q33" s="1211"/>
      <c r="R33" s="1211"/>
      <c r="S33" s="1211"/>
      <c r="T33" s="1211"/>
      <c r="U33" s="1212"/>
      <c r="V33" s="1212"/>
      <c r="W33" s="1212"/>
      <c r="X33" s="1212"/>
      <c r="Y33" s="7"/>
      <c r="Z33" s="40"/>
    </row>
    <row r="34" spans="1:26" ht="11.25" customHeight="1" x14ac:dyDescent="0.25">
      <c r="A34" s="38"/>
      <c r="B34" s="39"/>
      <c r="C34" s="1214"/>
      <c r="D34" s="1214"/>
      <c r="E34" s="1214"/>
      <c r="F34" s="1214"/>
      <c r="G34" s="1215"/>
      <c r="H34" s="1215"/>
      <c r="I34" s="1215"/>
      <c r="J34" s="1215"/>
      <c r="K34" s="1215"/>
      <c r="L34" s="1215"/>
      <c r="M34" s="1215"/>
      <c r="N34" s="1215"/>
      <c r="O34" s="39"/>
      <c r="P34" s="39"/>
      <c r="Q34" s="1211"/>
      <c r="R34" s="1211"/>
      <c r="S34" s="1211"/>
      <c r="T34" s="1211"/>
      <c r="U34" s="1212"/>
      <c r="V34" s="1212"/>
      <c r="W34" s="1212"/>
      <c r="X34" s="1212"/>
      <c r="Y34" s="7"/>
      <c r="Z34" s="40"/>
    </row>
    <row r="35" spans="1:26" ht="8.25" customHeight="1" x14ac:dyDescent="0.25">
      <c r="A35" s="38"/>
      <c r="B35" s="39"/>
      <c r="C35" s="1214"/>
      <c r="D35" s="1214"/>
      <c r="E35" s="1214"/>
      <c r="F35" s="1214"/>
      <c r="G35" s="1215"/>
      <c r="H35" s="1215"/>
      <c r="I35" s="1215"/>
      <c r="J35" s="1215"/>
      <c r="K35" s="1215"/>
      <c r="L35" s="1215"/>
      <c r="M35" s="1215"/>
      <c r="N35" s="1215"/>
      <c r="O35" s="39"/>
      <c r="P35" s="39"/>
      <c r="Q35" s="1211"/>
      <c r="R35" s="1211"/>
      <c r="S35" s="1211"/>
      <c r="T35" s="1211"/>
      <c r="U35" s="1212"/>
      <c r="V35" s="1212"/>
      <c r="W35" s="1212"/>
      <c r="X35" s="1212"/>
      <c r="Y35" s="7"/>
      <c r="Z35" s="40"/>
    </row>
    <row r="36" spans="1:26" ht="11.25" customHeight="1" x14ac:dyDescent="0.25">
      <c r="A36" s="38"/>
      <c r="B36" s="39"/>
      <c r="C36" s="1214"/>
      <c r="D36" s="1214"/>
      <c r="E36" s="1214"/>
      <c r="F36" s="1214"/>
      <c r="G36" s="1215"/>
      <c r="H36" s="1215"/>
      <c r="I36" s="1215"/>
      <c r="J36" s="1215"/>
      <c r="K36" s="1215"/>
      <c r="L36" s="1215"/>
      <c r="M36" s="1215"/>
      <c r="N36" s="1215"/>
      <c r="O36" s="39"/>
      <c r="P36" s="39"/>
      <c r="Q36" s="1211"/>
      <c r="R36" s="1211"/>
      <c r="S36" s="1211"/>
      <c r="T36" s="1211"/>
      <c r="U36" s="1212"/>
      <c r="V36" s="1212"/>
      <c r="W36" s="1212"/>
      <c r="X36" s="1212"/>
      <c r="Y36" s="7"/>
      <c r="Z36" s="40"/>
    </row>
    <row r="37" spans="1:26" ht="9.75" customHeight="1" x14ac:dyDescent="0.25">
      <c r="A37" s="38"/>
      <c r="B37" s="39"/>
      <c r="C37" s="39"/>
      <c r="D37" s="39"/>
      <c r="E37" s="39"/>
      <c r="F37" s="39"/>
      <c r="G37" s="39"/>
      <c r="H37" s="39"/>
      <c r="I37" s="39"/>
      <c r="J37" s="39"/>
      <c r="K37" s="39"/>
      <c r="L37" s="39"/>
      <c r="M37" s="39"/>
      <c r="N37" s="39"/>
      <c r="O37" s="39"/>
      <c r="P37" s="39"/>
      <c r="Q37" s="1211"/>
      <c r="R37" s="1211"/>
      <c r="S37" s="1211"/>
      <c r="T37" s="1211"/>
      <c r="U37" s="1212"/>
      <c r="V37" s="1212"/>
      <c r="W37" s="1212"/>
      <c r="X37" s="1212"/>
      <c r="Y37" s="7"/>
      <c r="Z37" s="40"/>
    </row>
    <row r="38" spans="1:26" ht="9.75" customHeight="1" x14ac:dyDescent="0.25">
      <c r="A38" s="38"/>
      <c r="B38" s="39"/>
      <c r="C38" s="39"/>
      <c r="D38" s="39"/>
      <c r="E38" s="39"/>
      <c r="F38" s="39"/>
      <c r="G38" s="39"/>
      <c r="H38" s="39"/>
      <c r="I38" s="39"/>
      <c r="J38" s="39"/>
      <c r="K38" s="39"/>
      <c r="L38" s="39"/>
      <c r="M38" s="39"/>
      <c r="N38" s="39"/>
      <c r="O38" s="39"/>
      <c r="P38" s="39"/>
      <c r="Q38" s="39"/>
      <c r="R38" s="39"/>
      <c r="S38" s="39"/>
      <c r="T38" s="39"/>
      <c r="U38" s="39"/>
      <c r="V38" s="39"/>
      <c r="W38" s="39"/>
      <c r="X38" s="39"/>
      <c r="Y38" s="7"/>
      <c r="Z38" s="40"/>
    </row>
    <row r="39" spans="1:26" ht="10.5" customHeight="1" x14ac:dyDescent="0.25">
      <c r="A39" s="38"/>
      <c r="B39" s="39"/>
      <c r="C39" s="39"/>
      <c r="D39" s="39"/>
      <c r="E39" s="39"/>
      <c r="F39" s="39"/>
      <c r="G39" s="39"/>
      <c r="H39" s="39"/>
      <c r="I39" s="39"/>
      <c r="J39" s="39"/>
      <c r="K39" s="39"/>
      <c r="L39" s="39"/>
      <c r="M39" s="39"/>
      <c r="N39" s="39"/>
      <c r="O39" s="39"/>
      <c r="P39" s="39"/>
      <c r="Q39" s="39"/>
      <c r="R39" s="39"/>
      <c r="S39" s="39"/>
      <c r="T39" s="39"/>
      <c r="U39" s="39"/>
      <c r="V39" s="39"/>
      <c r="W39" s="39"/>
      <c r="X39" s="39"/>
      <c r="Y39" s="7"/>
      <c r="Z39" s="40"/>
    </row>
    <row r="40" spans="1:26" ht="10.5" customHeight="1" x14ac:dyDescent="0.25">
      <c r="A40" s="38"/>
      <c r="B40" s="39"/>
      <c r="C40" s="39"/>
      <c r="D40" s="39"/>
      <c r="E40" s="39"/>
      <c r="F40" s="39"/>
      <c r="G40" s="39"/>
      <c r="H40" s="39"/>
      <c r="I40" s="39"/>
      <c r="J40" s="39"/>
      <c r="K40" s="39"/>
      <c r="L40" s="39"/>
      <c r="M40" s="39"/>
      <c r="N40" s="39"/>
      <c r="O40" s="39"/>
      <c r="P40" s="39"/>
      <c r="Q40" s="39"/>
      <c r="R40" s="39"/>
      <c r="S40" s="39"/>
      <c r="T40" s="39"/>
      <c r="U40" s="39"/>
      <c r="V40" s="39"/>
      <c r="W40" s="39"/>
      <c r="X40" s="39"/>
      <c r="Y40" s="7"/>
      <c r="Z40" s="40"/>
    </row>
    <row r="41" spans="1:26" ht="11.25" customHeight="1" x14ac:dyDescent="0.25">
      <c r="A41" s="38"/>
      <c r="B41" s="39"/>
      <c r="C41" s="39"/>
      <c r="D41" s="39"/>
      <c r="E41" s="39"/>
      <c r="F41" s="39"/>
      <c r="G41" s="39"/>
      <c r="H41" s="39"/>
      <c r="I41" s="39"/>
      <c r="J41" s="39"/>
      <c r="K41" s="39"/>
      <c r="L41" s="39"/>
      <c r="M41" s="39"/>
      <c r="N41" s="39"/>
      <c r="O41" s="39"/>
      <c r="P41" s="39"/>
      <c r="Q41" s="1213"/>
      <c r="R41" s="1213"/>
      <c r="S41" s="1213"/>
      <c r="T41" s="1213"/>
      <c r="U41" s="1213"/>
      <c r="V41" s="1213"/>
      <c r="W41" s="1213"/>
      <c r="X41" s="1213"/>
      <c r="Y41" s="7"/>
      <c r="Z41" s="40"/>
    </row>
    <row r="42" spans="1:26" ht="16.5" customHeight="1" x14ac:dyDescent="0.25">
      <c r="A42" s="38"/>
      <c r="B42" s="39"/>
      <c r="C42" s="39"/>
      <c r="D42" s="39"/>
      <c r="E42" s="39"/>
      <c r="F42" s="39"/>
      <c r="G42" s="39"/>
      <c r="H42" s="39"/>
      <c r="I42" s="39"/>
      <c r="J42" s="39"/>
      <c r="K42" s="39"/>
      <c r="L42" s="39"/>
      <c r="M42" s="39"/>
      <c r="N42" s="39"/>
      <c r="O42" s="39"/>
      <c r="P42" s="39"/>
      <c r="Q42" s="1213"/>
      <c r="R42" s="1213"/>
      <c r="S42" s="1213"/>
      <c r="T42" s="1213"/>
      <c r="U42" s="1213"/>
      <c r="V42" s="1213"/>
      <c r="W42" s="1213"/>
      <c r="X42" s="1213"/>
      <c r="Y42" s="7"/>
      <c r="Z42" s="40"/>
    </row>
    <row r="43" spans="1:26" ht="15.75" customHeight="1" x14ac:dyDescent="0.25">
      <c r="A43" s="38"/>
      <c r="B43" s="39"/>
      <c r="C43" s="39"/>
      <c r="D43" s="39"/>
      <c r="E43" s="39"/>
      <c r="F43" s="39"/>
      <c r="G43" s="39"/>
      <c r="H43" s="39"/>
      <c r="I43" s="39"/>
      <c r="J43" s="39"/>
      <c r="K43" s="39"/>
      <c r="L43" s="39"/>
      <c r="M43" s="39"/>
      <c r="N43" s="39"/>
      <c r="O43" s="39"/>
      <c r="P43" s="39"/>
      <c r="Q43" s="1213"/>
      <c r="R43" s="1213"/>
      <c r="S43" s="1213"/>
      <c r="T43" s="1213"/>
      <c r="U43" s="1213"/>
      <c r="V43" s="1213"/>
      <c r="W43" s="1213"/>
      <c r="X43" s="1213"/>
      <c r="Y43" s="7"/>
      <c r="Z43" s="40"/>
    </row>
    <row r="44" spans="1:26" x14ac:dyDescent="0.25">
      <c r="A44" s="38"/>
      <c r="B44" s="39"/>
      <c r="C44" s="39"/>
      <c r="D44" s="39"/>
      <c r="E44" s="39"/>
      <c r="F44" s="39"/>
      <c r="G44" s="39"/>
      <c r="H44" s="39"/>
      <c r="I44" s="39"/>
      <c r="J44" s="39"/>
      <c r="K44" s="39"/>
      <c r="L44" s="39"/>
      <c r="M44" s="39"/>
      <c r="N44" s="39"/>
      <c r="O44" s="39"/>
      <c r="P44" s="39"/>
      <c r="Q44" s="1213"/>
      <c r="R44" s="1213"/>
      <c r="S44" s="1213"/>
      <c r="T44" s="1213"/>
      <c r="U44" s="1213"/>
      <c r="V44" s="1213"/>
      <c r="W44" s="1213"/>
      <c r="X44" s="1213"/>
      <c r="Y44" s="7"/>
      <c r="Z44" s="40"/>
    </row>
    <row r="45" spans="1:26" ht="20.25" customHeight="1" x14ac:dyDescent="0.25">
      <c r="A45" s="38"/>
      <c r="B45" s="39"/>
      <c r="C45" s="39"/>
      <c r="D45" s="39"/>
      <c r="E45" s="39"/>
      <c r="F45" s="39"/>
      <c r="G45" s="39"/>
      <c r="H45" s="39"/>
      <c r="I45" s="39"/>
      <c r="J45" s="39"/>
      <c r="K45" s="39"/>
      <c r="L45" s="39"/>
      <c r="M45" s="39"/>
      <c r="N45" s="39"/>
      <c r="O45" s="39"/>
      <c r="P45" s="39"/>
      <c r="Q45" s="1213"/>
      <c r="R45" s="1213"/>
      <c r="S45" s="1213"/>
      <c r="T45" s="1213"/>
      <c r="U45" s="1213"/>
      <c r="V45" s="1213"/>
      <c r="W45" s="1213"/>
      <c r="X45" s="1213"/>
      <c r="Y45" s="7"/>
      <c r="Z45" s="40"/>
    </row>
    <row r="46" spans="1:26" ht="15.75" customHeight="1" x14ac:dyDescent="0.25">
      <c r="A46" s="38"/>
      <c r="B46" s="39"/>
      <c r="C46" s="39"/>
      <c r="D46" s="39"/>
      <c r="E46" s="39"/>
      <c r="F46" s="39"/>
      <c r="G46" s="39"/>
      <c r="H46" s="39"/>
      <c r="I46" s="39"/>
      <c r="J46" s="39"/>
      <c r="K46" s="39"/>
      <c r="L46" s="39"/>
      <c r="M46" s="39"/>
      <c r="N46" s="39"/>
      <c r="O46" s="39"/>
      <c r="P46" s="39"/>
      <c r="Q46" s="1213"/>
      <c r="R46" s="1213"/>
      <c r="S46" s="1213"/>
      <c r="T46" s="1213"/>
      <c r="U46" s="1213"/>
      <c r="V46" s="1213"/>
      <c r="W46" s="1213"/>
      <c r="X46" s="1213"/>
      <c r="Y46" s="7"/>
      <c r="Z46" s="40"/>
    </row>
    <row r="47" spans="1:26" ht="17.25" customHeight="1" thickBot="1" x14ac:dyDescent="0.3">
      <c r="A47" s="42"/>
      <c r="B47" s="43"/>
      <c r="C47" s="43"/>
      <c r="D47" s="43"/>
      <c r="E47" s="43"/>
      <c r="F47" s="43"/>
      <c r="G47" s="43"/>
      <c r="H47" s="43"/>
      <c r="I47" s="43"/>
      <c r="J47" s="43"/>
      <c r="K47" s="43"/>
      <c r="L47" s="43"/>
      <c r="M47" s="43"/>
      <c r="N47" s="43"/>
      <c r="O47" s="60"/>
      <c r="P47" s="60"/>
      <c r="Q47" s="43"/>
      <c r="R47" s="43"/>
      <c r="S47" s="43"/>
      <c r="T47" s="43"/>
      <c r="U47" s="43"/>
      <c r="V47" s="43"/>
      <c r="W47" s="43"/>
      <c r="X47" s="43"/>
      <c r="Y47" s="43"/>
      <c r="Z47" s="44"/>
    </row>
    <row r="48" spans="1:26" ht="15" customHeight="1" thickBot="1" x14ac:dyDescent="0.3">
      <c r="A48" s="1190" t="s">
        <v>4415</v>
      </c>
      <c r="B48" s="1190"/>
      <c r="C48" s="1190"/>
      <c r="D48" s="1191" t="str">
        <f>CONCATENATE('General Information'!$F$9, " ", 'General Information'!$F$10)</f>
        <v xml:space="preserve"> </v>
      </c>
      <c r="E48" s="1191"/>
      <c r="F48" s="1191"/>
      <c r="G48" s="1191"/>
      <c r="H48" s="1191"/>
      <c r="I48" s="1191"/>
      <c r="J48" s="1191"/>
      <c r="K48" s="1192" t="s">
        <v>4416</v>
      </c>
      <c r="L48" s="1193"/>
      <c r="M48" s="1193"/>
      <c r="N48" s="1191">
        <f>'General Information'!$F$14</f>
        <v>0</v>
      </c>
      <c r="O48" s="1191"/>
      <c r="P48" s="1191"/>
      <c r="Q48" s="1192" t="s">
        <v>4417</v>
      </c>
      <c r="R48" s="1193"/>
      <c r="S48" s="1194"/>
      <c r="T48" s="1195">
        <f>'General Information'!$F$11</f>
        <v>0</v>
      </c>
      <c r="U48" s="1196"/>
      <c r="V48" s="1196"/>
      <c r="W48" s="1196"/>
      <c r="X48" s="1196"/>
      <c r="Y48" s="1196"/>
      <c r="Z48" s="1197"/>
    </row>
    <row r="49" spans="1:26" ht="9.75" customHeight="1" x14ac:dyDescent="0.25">
      <c r="A49" s="1198" t="s">
        <v>4418</v>
      </c>
      <c r="B49" s="1200" t="s">
        <v>4419</v>
      </c>
      <c r="C49" s="1200"/>
      <c r="D49" s="1200"/>
      <c r="E49" s="1200"/>
      <c r="F49" s="1200"/>
      <c r="G49" s="1200"/>
      <c r="H49" s="1200"/>
      <c r="I49" s="1200"/>
      <c r="J49" s="1200"/>
      <c r="K49" s="1201" t="s">
        <v>4420</v>
      </c>
      <c r="L49" s="1202"/>
      <c r="M49" s="1202"/>
      <c r="N49" s="1202"/>
      <c r="O49" s="1202"/>
      <c r="P49" s="1202"/>
      <c r="Q49" s="1202"/>
      <c r="R49" s="1202"/>
      <c r="S49" s="1202"/>
      <c r="T49" s="1202"/>
      <c r="U49" s="1202"/>
      <c r="V49" s="1202"/>
      <c r="W49" s="1202"/>
      <c r="X49" s="1202"/>
      <c r="Y49" s="1202"/>
      <c r="Z49" s="1203"/>
    </row>
    <row r="50" spans="1:26" ht="43.5" customHeight="1" x14ac:dyDescent="0.25">
      <c r="A50" s="1199"/>
      <c r="B50" s="470" t="s">
        <v>4421</v>
      </c>
      <c r="C50" s="1204" t="s">
        <v>4422</v>
      </c>
      <c r="D50" s="1205"/>
      <c r="E50" s="1206"/>
      <c r="F50" s="333" t="s">
        <v>4423</v>
      </c>
      <c r="G50" s="333" t="s">
        <v>4424</v>
      </c>
      <c r="H50" s="334" t="s">
        <v>4425</v>
      </c>
      <c r="I50" s="333" t="s">
        <v>4426</v>
      </c>
      <c r="J50" s="333" t="s">
        <v>4427</v>
      </c>
      <c r="K50" s="1207" t="s">
        <v>4428</v>
      </c>
      <c r="L50" s="1207"/>
      <c r="M50" s="1207" t="s">
        <v>4429</v>
      </c>
      <c r="N50" s="1207"/>
      <c r="O50" s="1207"/>
      <c r="P50" s="1207"/>
      <c r="Q50" s="1207"/>
      <c r="R50" s="333" t="s">
        <v>4430</v>
      </c>
      <c r="S50" s="335" t="s">
        <v>4431</v>
      </c>
      <c r="T50" s="1208" t="s">
        <v>3403</v>
      </c>
      <c r="U50" s="1209"/>
      <c r="V50" s="1209"/>
      <c r="W50" s="1209"/>
      <c r="X50" s="1209"/>
      <c r="Y50" s="1209"/>
      <c r="Z50" s="1210"/>
    </row>
    <row r="51" spans="1:26" ht="11.25" customHeight="1" x14ac:dyDescent="0.25">
      <c r="A51" s="89">
        <v>1</v>
      </c>
      <c r="B51" s="469">
        <f>'Lighting Inventory'!I11</f>
        <v>0</v>
      </c>
      <c r="C51" s="1188" t="str">
        <f>IF('Lighting Inventory'!D11="", "", 'Lighting Inventory'!D11)</f>
        <v/>
      </c>
      <c r="D51" s="1188"/>
      <c r="E51" s="1188"/>
      <c r="F51" s="469" t="str">
        <f>IF('Lighting Inventory'!E11="", "", 'Lighting Inventory'!E11)</f>
        <v/>
      </c>
      <c r="G51" s="89" t="str">
        <f>IF('Lighting Inventory'!G11="", "", IF('Lighting Inventory'!G11="Air Conditioned", "Y", "N"))</f>
        <v/>
      </c>
      <c r="H51" s="90">
        <f>'Lighting Inventory'!H11</f>
        <v>0</v>
      </c>
      <c r="I51" s="469" t="str">
        <f>IF('Lighting Inventory'!J11="", "", 'Lighting Inventory'!J11)</f>
        <v/>
      </c>
      <c r="J51" s="91" t="str">
        <f>IF('Lighting Inventory'!K11="", "", 'Lighting Inventory'!K11)</f>
        <v/>
      </c>
      <c r="K51" s="1188" t="str">
        <f>IF('Lighting Inventory'!S11="", "", 'Lighting Inventory'!S11)</f>
        <v/>
      </c>
      <c r="L51" s="1188"/>
      <c r="M51" s="1189" t="str">
        <f>IF('Lighting Inventory'!E11="", "", 'Lighting Inventory'!W11)</f>
        <v/>
      </c>
      <c r="N51" s="1189"/>
      <c r="O51" s="1189"/>
      <c r="P51" s="1189"/>
      <c r="Q51" s="1189"/>
      <c r="R51" s="469" t="str">
        <f>IF('Lighting Inventory'!AE11="", "", 'Lighting Inventory'!AE11)</f>
        <v/>
      </c>
      <c r="S51" s="92" t="str">
        <f>IF('Lighting Inventory'!AN11="", "", 'Lighting Inventory'!AN11)</f>
        <v/>
      </c>
      <c r="T51" s="1188"/>
      <c r="U51" s="1188"/>
      <c r="V51" s="1188"/>
      <c r="W51" s="1188"/>
      <c r="X51" s="1188"/>
      <c r="Y51" s="1188"/>
      <c r="Z51" s="1188"/>
    </row>
    <row r="52" spans="1:26" ht="11.25" customHeight="1" x14ac:dyDescent="0.25">
      <c r="A52" s="93">
        <v>2</v>
      </c>
      <c r="B52" s="468">
        <f>'Lighting Inventory'!I12</f>
        <v>0</v>
      </c>
      <c r="C52" s="1186" t="str">
        <f>IF('Lighting Inventory'!D12="", "", 'Lighting Inventory'!D12)</f>
        <v/>
      </c>
      <c r="D52" s="1186"/>
      <c r="E52" s="1186"/>
      <c r="F52" s="468" t="str">
        <f>IF('Lighting Inventory'!E12="", "", 'Lighting Inventory'!E12)</f>
        <v/>
      </c>
      <c r="G52" s="93" t="str">
        <f>IF('Lighting Inventory'!G12="", "", IF('Lighting Inventory'!G12="Air Conditioned", "Y", "N"))</f>
        <v/>
      </c>
      <c r="H52" s="94">
        <f>'Lighting Inventory'!H12</f>
        <v>0</v>
      </c>
      <c r="I52" s="468" t="str">
        <f>IF('Lighting Inventory'!J12="", "", 'Lighting Inventory'!J12)</f>
        <v/>
      </c>
      <c r="J52" s="468" t="str">
        <f>IF('Lighting Inventory'!K12="", "", 'Lighting Inventory'!K12)</f>
        <v/>
      </c>
      <c r="K52" s="1186" t="str">
        <f>IF('Lighting Inventory'!S12="", "", 'Lighting Inventory'!S12)</f>
        <v/>
      </c>
      <c r="L52" s="1186"/>
      <c r="M52" s="1187" t="str">
        <f>IF('Lighting Inventory'!E12="", "", 'Lighting Inventory'!W12)</f>
        <v/>
      </c>
      <c r="N52" s="1187"/>
      <c r="O52" s="1187"/>
      <c r="P52" s="1187"/>
      <c r="Q52" s="1187"/>
      <c r="R52" s="468" t="str">
        <f>IF('Lighting Inventory'!AE12="", "", 'Lighting Inventory'!AE12)</f>
        <v/>
      </c>
      <c r="S52" s="95" t="str">
        <f>IF('Lighting Inventory'!AN12="", "", 'Lighting Inventory'!AN12)</f>
        <v/>
      </c>
      <c r="T52" s="1186"/>
      <c r="U52" s="1186"/>
      <c r="V52" s="1186"/>
      <c r="W52" s="1186"/>
      <c r="X52" s="1186"/>
      <c r="Y52" s="1186"/>
      <c r="Z52" s="1186"/>
    </row>
    <row r="53" spans="1:26" ht="11.25" customHeight="1" x14ac:dyDescent="0.25">
      <c r="A53" s="89">
        <v>3</v>
      </c>
      <c r="B53" s="469">
        <f>'Lighting Inventory'!I13</f>
        <v>0</v>
      </c>
      <c r="C53" s="1188" t="str">
        <f>IF('Lighting Inventory'!D13="", "", 'Lighting Inventory'!D13)</f>
        <v/>
      </c>
      <c r="D53" s="1188"/>
      <c r="E53" s="1188"/>
      <c r="F53" s="469" t="str">
        <f>IF('Lighting Inventory'!E13="", "", 'Lighting Inventory'!E13)</f>
        <v/>
      </c>
      <c r="G53" s="89" t="str">
        <f>IF('Lighting Inventory'!G13="", "", IF('Lighting Inventory'!G13="Air Conditioned", "Y", "N"))</f>
        <v/>
      </c>
      <c r="H53" s="90">
        <f>'Lighting Inventory'!H13</f>
        <v>0</v>
      </c>
      <c r="I53" s="469" t="str">
        <f>IF('Lighting Inventory'!J13="", "", 'Lighting Inventory'!J13)</f>
        <v/>
      </c>
      <c r="J53" s="91" t="str">
        <f>IF('Lighting Inventory'!K13="", "", 'Lighting Inventory'!K13)</f>
        <v/>
      </c>
      <c r="K53" s="1188" t="str">
        <f>IF('Lighting Inventory'!S13="", "", 'Lighting Inventory'!S13)</f>
        <v/>
      </c>
      <c r="L53" s="1188"/>
      <c r="M53" s="1189" t="str">
        <f>IF('Lighting Inventory'!E13="", "", 'Lighting Inventory'!W13)</f>
        <v/>
      </c>
      <c r="N53" s="1189"/>
      <c r="O53" s="1189"/>
      <c r="P53" s="1189"/>
      <c r="Q53" s="1189"/>
      <c r="R53" s="469" t="str">
        <f>IF('Lighting Inventory'!AE13="", "", 'Lighting Inventory'!AE13)</f>
        <v/>
      </c>
      <c r="S53" s="92" t="str">
        <f>IF('Lighting Inventory'!AN13="", "", 'Lighting Inventory'!AN13)</f>
        <v/>
      </c>
      <c r="T53" s="1188"/>
      <c r="U53" s="1188"/>
      <c r="V53" s="1188"/>
      <c r="W53" s="1188"/>
      <c r="X53" s="1188"/>
      <c r="Y53" s="1188"/>
      <c r="Z53" s="1188"/>
    </row>
    <row r="54" spans="1:26" ht="11.25" customHeight="1" x14ac:dyDescent="0.25">
      <c r="A54" s="93">
        <v>4</v>
      </c>
      <c r="B54" s="468">
        <f>'Lighting Inventory'!I14</f>
        <v>0</v>
      </c>
      <c r="C54" s="1186" t="str">
        <f>IF('Lighting Inventory'!D14="", "", 'Lighting Inventory'!D14)</f>
        <v/>
      </c>
      <c r="D54" s="1186"/>
      <c r="E54" s="1186"/>
      <c r="F54" s="468" t="str">
        <f>IF('Lighting Inventory'!E14="", "", 'Lighting Inventory'!E14)</f>
        <v/>
      </c>
      <c r="G54" s="93" t="str">
        <f>IF('Lighting Inventory'!G14="", "", IF('Lighting Inventory'!G14="Air Conditioned", "Y", "N"))</f>
        <v/>
      </c>
      <c r="H54" s="94">
        <f>'Lighting Inventory'!H14</f>
        <v>0</v>
      </c>
      <c r="I54" s="468" t="str">
        <f>IF('Lighting Inventory'!J14="", "", 'Lighting Inventory'!J14)</f>
        <v/>
      </c>
      <c r="J54" s="468" t="str">
        <f>IF('Lighting Inventory'!K14="", "", 'Lighting Inventory'!K14)</f>
        <v/>
      </c>
      <c r="K54" s="1186" t="str">
        <f>IF('Lighting Inventory'!S14="", "", 'Lighting Inventory'!S14)</f>
        <v/>
      </c>
      <c r="L54" s="1186"/>
      <c r="M54" s="1187" t="str">
        <f>IF('Lighting Inventory'!E14="", "", 'Lighting Inventory'!W14)</f>
        <v/>
      </c>
      <c r="N54" s="1187"/>
      <c r="O54" s="1187"/>
      <c r="P54" s="1187"/>
      <c r="Q54" s="1187"/>
      <c r="R54" s="468" t="str">
        <f>IF('Lighting Inventory'!AE14="", "", 'Lighting Inventory'!AE14)</f>
        <v/>
      </c>
      <c r="S54" s="95" t="str">
        <f>IF('Lighting Inventory'!AN14="", "", 'Lighting Inventory'!AN14)</f>
        <v/>
      </c>
      <c r="T54" s="1186"/>
      <c r="U54" s="1186"/>
      <c r="V54" s="1186"/>
      <c r="W54" s="1186"/>
      <c r="X54" s="1186"/>
      <c r="Y54" s="1186"/>
      <c r="Z54" s="1186"/>
    </row>
    <row r="55" spans="1:26" ht="11.25" customHeight="1" x14ac:dyDescent="0.25">
      <c r="A55" s="89">
        <v>5</v>
      </c>
      <c r="B55" s="469">
        <f>'Lighting Inventory'!I15</f>
        <v>0</v>
      </c>
      <c r="C55" s="1188" t="str">
        <f>IF('Lighting Inventory'!D15="", "", 'Lighting Inventory'!D15)</f>
        <v/>
      </c>
      <c r="D55" s="1188"/>
      <c r="E55" s="1188"/>
      <c r="F55" s="469" t="str">
        <f>IF('Lighting Inventory'!E15="", "", 'Lighting Inventory'!E15)</f>
        <v/>
      </c>
      <c r="G55" s="89" t="str">
        <f>IF('Lighting Inventory'!G15="", "", IF('Lighting Inventory'!G15="Air Conditioned", "Y", "N"))</f>
        <v/>
      </c>
      <c r="H55" s="90">
        <f>'Lighting Inventory'!H15</f>
        <v>0</v>
      </c>
      <c r="I55" s="469" t="str">
        <f>IF('Lighting Inventory'!J15="", "", 'Lighting Inventory'!J15)</f>
        <v/>
      </c>
      <c r="J55" s="91" t="str">
        <f>IF('Lighting Inventory'!K15="", "", 'Lighting Inventory'!K15)</f>
        <v/>
      </c>
      <c r="K55" s="1188" t="str">
        <f>IF('Lighting Inventory'!S15="", "", 'Lighting Inventory'!S15)</f>
        <v/>
      </c>
      <c r="L55" s="1188"/>
      <c r="M55" s="1189" t="str">
        <f>IF('Lighting Inventory'!E15="", "", 'Lighting Inventory'!W15)</f>
        <v/>
      </c>
      <c r="N55" s="1189"/>
      <c r="O55" s="1189"/>
      <c r="P55" s="1189"/>
      <c r="Q55" s="1189"/>
      <c r="R55" s="469" t="str">
        <f>IF('Lighting Inventory'!AE15="", "", 'Lighting Inventory'!AE15)</f>
        <v/>
      </c>
      <c r="S55" s="92" t="str">
        <f>IF('Lighting Inventory'!AN15="", "", 'Lighting Inventory'!AN15)</f>
        <v/>
      </c>
      <c r="T55" s="1188"/>
      <c r="U55" s="1188"/>
      <c r="V55" s="1188"/>
      <c r="W55" s="1188"/>
      <c r="X55" s="1188"/>
      <c r="Y55" s="1188"/>
      <c r="Z55" s="1188"/>
    </row>
    <row r="56" spans="1:26" ht="11.25" customHeight="1" x14ac:dyDescent="0.25">
      <c r="A56" s="93">
        <v>6</v>
      </c>
      <c r="B56" s="468">
        <f>'Lighting Inventory'!I16</f>
        <v>0</v>
      </c>
      <c r="C56" s="1186" t="str">
        <f>IF('Lighting Inventory'!D16="", "", 'Lighting Inventory'!D16)</f>
        <v/>
      </c>
      <c r="D56" s="1186"/>
      <c r="E56" s="1186"/>
      <c r="F56" s="468" t="str">
        <f>IF('Lighting Inventory'!E16="", "", 'Lighting Inventory'!E16)</f>
        <v/>
      </c>
      <c r="G56" s="93" t="str">
        <f>IF('Lighting Inventory'!G16="", "", IF('Lighting Inventory'!G16="Air Conditioned", "Y", "N"))</f>
        <v/>
      </c>
      <c r="H56" s="94">
        <f>'Lighting Inventory'!H16</f>
        <v>0</v>
      </c>
      <c r="I56" s="468" t="str">
        <f>IF('Lighting Inventory'!J16="", "", 'Lighting Inventory'!J16)</f>
        <v/>
      </c>
      <c r="J56" s="468" t="str">
        <f>IF('Lighting Inventory'!K16="", "", 'Lighting Inventory'!K16)</f>
        <v/>
      </c>
      <c r="K56" s="1186" t="str">
        <f>IF('Lighting Inventory'!S16="", "", 'Lighting Inventory'!S16)</f>
        <v/>
      </c>
      <c r="L56" s="1186"/>
      <c r="M56" s="1187" t="str">
        <f>IF('Lighting Inventory'!E16="", "", 'Lighting Inventory'!W16)</f>
        <v/>
      </c>
      <c r="N56" s="1187"/>
      <c r="O56" s="1187"/>
      <c r="P56" s="1187"/>
      <c r="Q56" s="1187"/>
      <c r="R56" s="468" t="str">
        <f>IF('Lighting Inventory'!AE16="", "", 'Lighting Inventory'!AE16)</f>
        <v/>
      </c>
      <c r="S56" s="95" t="str">
        <f>IF('Lighting Inventory'!AN16="", "", 'Lighting Inventory'!AN16)</f>
        <v/>
      </c>
      <c r="T56" s="1186"/>
      <c r="U56" s="1186"/>
      <c r="V56" s="1186"/>
      <c r="W56" s="1186"/>
      <c r="X56" s="1186"/>
      <c r="Y56" s="1186"/>
      <c r="Z56" s="1186"/>
    </row>
    <row r="57" spans="1:26" ht="11.25" customHeight="1" x14ac:dyDescent="0.25">
      <c r="A57" s="89">
        <v>7</v>
      </c>
      <c r="B57" s="469">
        <f>'Lighting Inventory'!I17</f>
        <v>0</v>
      </c>
      <c r="C57" s="1188" t="str">
        <f>IF('Lighting Inventory'!D17="", "", 'Lighting Inventory'!D17)</f>
        <v/>
      </c>
      <c r="D57" s="1188"/>
      <c r="E57" s="1188"/>
      <c r="F57" s="469" t="str">
        <f>IF('Lighting Inventory'!E17="", "", 'Lighting Inventory'!E17)</f>
        <v/>
      </c>
      <c r="G57" s="89" t="str">
        <f>IF('Lighting Inventory'!G17="", "", IF('Lighting Inventory'!G17="Air Conditioned", "Y", "N"))</f>
        <v/>
      </c>
      <c r="H57" s="90">
        <f>'Lighting Inventory'!H17</f>
        <v>0</v>
      </c>
      <c r="I57" s="469" t="str">
        <f>IF('Lighting Inventory'!J17="", "", 'Lighting Inventory'!J17)</f>
        <v/>
      </c>
      <c r="J57" s="91" t="str">
        <f>IF('Lighting Inventory'!K17="", "", 'Lighting Inventory'!K17)</f>
        <v/>
      </c>
      <c r="K57" s="1188" t="str">
        <f>IF('Lighting Inventory'!S17="", "", 'Lighting Inventory'!S17)</f>
        <v/>
      </c>
      <c r="L57" s="1188"/>
      <c r="M57" s="1189" t="str">
        <f>IF('Lighting Inventory'!E17="", "", 'Lighting Inventory'!W17)</f>
        <v/>
      </c>
      <c r="N57" s="1189"/>
      <c r="O57" s="1189"/>
      <c r="P57" s="1189"/>
      <c r="Q57" s="1189"/>
      <c r="R57" s="469" t="str">
        <f>IF('Lighting Inventory'!AE17="", "", 'Lighting Inventory'!AE17)</f>
        <v/>
      </c>
      <c r="S57" s="92" t="str">
        <f>IF('Lighting Inventory'!AN17="", "", 'Lighting Inventory'!AN17)</f>
        <v/>
      </c>
      <c r="T57" s="1188"/>
      <c r="U57" s="1188"/>
      <c r="V57" s="1188"/>
      <c r="W57" s="1188"/>
      <c r="X57" s="1188"/>
      <c r="Y57" s="1188"/>
      <c r="Z57" s="1188"/>
    </row>
    <row r="58" spans="1:26" ht="11.25" customHeight="1" x14ac:dyDescent="0.25">
      <c r="A58" s="93">
        <v>8</v>
      </c>
      <c r="B58" s="468">
        <f>'Lighting Inventory'!I18</f>
        <v>0</v>
      </c>
      <c r="C58" s="1186" t="str">
        <f>IF('Lighting Inventory'!D18="", "", 'Lighting Inventory'!D18)</f>
        <v/>
      </c>
      <c r="D58" s="1186"/>
      <c r="E58" s="1186"/>
      <c r="F58" s="468" t="str">
        <f>IF('Lighting Inventory'!E18="", "", 'Lighting Inventory'!E18)</f>
        <v/>
      </c>
      <c r="G58" s="93" t="str">
        <f>IF('Lighting Inventory'!G18="", "", IF('Lighting Inventory'!G18="Air Conditioned", "Y", "N"))</f>
        <v/>
      </c>
      <c r="H58" s="94">
        <f>'Lighting Inventory'!H18</f>
        <v>0</v>
      </c>
      <c r="I58" s="468" t="str">
        <f>IF('Lighting Inventory'!J18="", "", 'Lighting Inventory'!J18)</f>
        <v/>
      </c>
      <c r="J58" s="468" t="str">
        <f>IF('Lighting Inventory'!K18="", "", 'Lighting Inventory'!K18)</f>
        <v/>
      </c>
      <c r="K58" s="1186" t="str">
        <f>IF('Lighting Inventory'!S18="", "", 'Lighting Inventory'!S18)</f>
        <v/>
      </c>
      <c r="L58" s="1186"/>
      <c r="M58" s="1187" t="str">
        <f>IF('Lighting Inventory'!E18="", "", 'Lighting Inventory'!W18)</f>
        <v/>
      </c>
      <c r="N58" s="1187"/>
      <c r="O58" s="1187"/>
      <c r="P58" s="1187"/>
      <c r="Q58" s="1187"/>
      <c r="R58" s="468" t="str">
        <f>IF('Lighting Inventory'!AE18="", "", 'Lighting Inventory'!AE18)</f>
        <v/>
      </c>
      <c r="S58" s="95" t="str">
        <f>IF('Lighting Inventory'!AN18="", "", 'Lighting Inventory'!AN18)</f>
        <v/>
      </c>
      <c r="T58" s="1186"/>
      <c r="U58" s="1186"/>
      <c r="V58" s="1186"/>
      <c r="W58" s="1186"/>
      <c r="X58" s="1186"/>
      <c r="Y58" s="1186"/>
      <c r="Z58" s="1186"/>
    </row>
    <row r="59" spans="1:26" ht="11.25" customHeight="1" x14ac:dyDescent="0.25">
      <c r="A59" s="89">
        <v>9</v>
      </c>
      <c r="B59" s="469">
        <f>'Lighting Inventory'!I19</f>
        <v>0</v>
      </c>
      <c r="C59" s="1188" t="str">
        <f>IF('Lighting Inventory'!D19="", "", 'Lighting Inventory'!D19)</f>
        <v/>
      </c>
      <c r="D59" s="1188"/>
      <c r="E59" s="1188"/>
      <c r="F59" s="469" t="str">
        <f>IF('Lighting Inventory'!E19="", "", 'Lighting Inventory'!E19)</f>
        <v/>
      </c>
      <c r="G59" s="89" t="str">
        <f>IF('Lighting Inventory'!G19="", "", IF('Lighting Inventory'!G19="Air Conditioned", "Y", "N"))</f>
        <v/>
      </c>
      <c r="H59" s="90">
        <f>'Lighting Inventory'!H19</f>
        <v>0</v>
      </c>
      <c r="I59" s="469" t="str">
        <f>IF('Lighting Inventory'!J19="", "", 'Lighting Inventory'!J19)</f>
        <v/>
      </c>
      <c r="J59" s="91" t="str">
        <f>IF('Lighting Inventory'!K19="", "", 'Lighting Inventory'!K19)</f>
        <v/>
      </c>
      <c r="K59" s="1188" t="str">
        <f>IF('Lighting Inventory'!S19="", "", 'Lighting Inventory'!S19)</f>
        <v/>
      </c>
      <c r="L59" s="1188"/>
      <c r="M59" s="1189" t="str">
        <f>IF('Lighting Inventory'!E19="", "", 'Lighting Inventory'!W19)</f>
        <v/>
      </c>
      <c r="N59" s="1189"/>
      <c r="O59" s="1189"/>
      <c r="P59" s="1189"/>
      <c r="Q59" s="1189"/>
      <c r="R59" s="469" t="str">
        <f>IF('Lighting Inventory'!AE19="", "", 'Lighting Inventory'!AE19)</f>
        <v/>
      </c>
      <c r="S59" s="92" t="str">
        <f>IF('Lighting Inventory'!AN19="", "", 'Lighting Inventory'!AN19)</f>
        <v/>
      </c>
      <c r="T59" s="1188"/>
      <c r="U59" s="1188"/>
      <c r="V59" s="1188"/>
      <c r="W59" s="1188"/>
      <c r="X59" s="1188"/>
      <c r="Y59" s="1188"/>
      <c r="Z59" s="1188"/>
    </row>
    <row r="60" spans="1:26" ht="11.25" customHeight="1" x14ac:dyDescent="0.25">
      <c r="A60" s="93">
        <v>10</v>
      </c>
      <c r="B60" s="468">
        <f>'Lighting Inventory'!I20</f>
        <v>0</v>
      </c>
      <c r="C60" s="1186" t="str">
        <f>IF('Lighting Inventory'!D20="", "", 'Lighting Inventory'!D20)</f>
        <v/>
      </c>
      <c r="D60" s="1186"/>
      <c r="E60" s="1186"/>
      <c r="F60" s="468" t="str">
        <f>IF('Lighting Inventory'!E20="", "", 'Lighting Inventory'!E20)</f>
        <v/>
      </c>
      <c r="G60" s="93" t="str">
        <f>IF('Lighting Inventory'!G20="", "", IF('Lighting Inventory'!G20="Air Conditioned", "Y", "N"))</f>
        <v/>
      </c>
      <c r="H60" s="94">
        <f>'Lighting Inventory'!H20</f>
        <v>0</v>
      </c>
      <c r="I60" s="468" t="str">
        <f>IF('Lighting Inventory'!J20="", "", 'Lighting Inventory'!J20)</f>
        <v/>
      </c>
      <c r="J60" s="468" t="str">
        <f>IF('Lighting Inventory'!K20="", "", 'Lighting Inventory'!K20)</f>
        <v/>
      </c>
      <c r="K60" s="1186" t="str">
        <f>IF('Lighting Inventory'!S20="", "", 'Lighting Inventory'!S20)</f>
        <v/>
      </c>
      <c r="L60" s="1186"/>
      <c r="M60" s="1187" t="str">
        <f>IF('Lighting Inventory'!E20="", "", 'Lighting Inventory'!W20)</f>
        <v/>
      </c>
      <c r="N60" s="1187"/>
      <c r="O60" s="1187"/>
      <c r="P60" s="1187"/>
      <c r="Q60" s="1187"/>
      <c r="R60" s="468" t="str">
        <f>IF('Lighting Inventory'!AE20="", "", 'Lighting Inventory'!AE20)</f>
        <v/>
      </c>
      <c r="S60" s="95" t="str">
        <f>IF('Lighting Inventory'!AN20="", "", 'Lighting Inventory'!AN20)</f>
        <v/>
      </c>
      <c r="T60" s="1186"/>
      <c r="U60" s="1186"/>
      <c r="V60" s="1186"/>
      <c r="W60" s="1186"/>
      <c r="X60" s="1186"/>
      <c r="Y60" s="1186"/>
      <c r="Z60" s="1186"/>
    </row>
    <row r="61" spans="1:26" ht="11.25" customHeight="1" x14ac:dyDescent="0.25">
      <c r="A61" s="89">
        <v>11</v>
      </c>
      <c r="B61" s="469">
        <f>'Lighting Inventory'!I21</f>
        <v>0</v>
      </c>
      <c r="C61" s="1188" t="str">
        <f>IF('Lighting Inventory'!D21="", "", 'Lighting Inventory'!D21)</f>
        <v/>
      </c>
      <c r="D61" s="1188"/>
      <c r="E61" s="1188"/>
      <c r="F61" s="469" t="str">
        <f>IF('Lighting Inventory'!E21="", "", 'Lighting Inventory'!E21)</f>
        <v/>
      </c>
      <c r="G61" s="89" t="str">
        <f>IF('Lighting Inventory'!G21="", "", IF('Lighting Inventory'!G21="Air Conditioned", "Y", "N"))</f>
        <v/>
      </c>
      <c r="H61" s="90">
        <f>'Lighting Inventory'!H21</f>
        <v>0</v>
      </c>
      <c r="I61" s="469" t="str">
        <f>IF('Lighting Inventory'!J21="", "", 'Lighting Inventory'!J21)</f>
        <v/>
      </c>
      <c r="J61" s="91" t="str">
        <f>IF('Lighting Inventory'!K21="", "", 'Lighting Inventory'!K21)</f>
        <v/>
      </c>
      <c r="K61" s="1188" t="str">
        <f>IF('Lighting Inventory'!S21="", "", 'Lighting Inventory'!S21)</f>
        <v/>
      </c>
      <c r="L61" s="1188"/>
      <c r="M61" s="1189" t="str">
        <f>IF('Lighting Inventory'!E21="", "", 'Lighting Inventory'!W21)</f>
        <v/>
      </c>
      <c r="N61" s="1189"/>
      <c r="O61" s="1189"/>
      <c r="P61" s="1189"/>
      <c r="Q61" s="1189"/>
      <c r="R61" s="469" t="str">
        <f>IF('Lighting Inventory'!AE21="", "", 'Lighting Inventory'!AE21)</f>
        <v/>
      </c>
      <c r="S61" s="92" t="str">
        <f>IF('Lighting Inventory'!AN21="", "", 'Lighting Inventory'!AN21)</f>
        <v/>
      </c>
      <c r="T61" s="1188"/>
      <c r="U61" s="1188"/>
      <c r="V61" s="1188"/>
      <c r="W61" s="1188"/>
      <c r="X61" s="1188"/>
      <c r="Y61" s="1188"/>
      <c r="Z61" s="1188"/>
    </row>
    <row r="62" spans="1:26" ht="11.25" customHeight="1" x14ac:dyDescent="0.25">
      <c r="A62" s="93">
        <v>12</v>
      </c>
      <c r="B62" s="468">
        <f>'Lighting Inventory'!I22</f>
        <v>0</v>
      </c>
      <c r="C62" s="1186" t="str">
        <f>IF('Lighting Inventory'!D22="", "", 'Lighting Inventory'!D22)</f>
        <v/>
      </c>
      <c r="D62" s="1186"/>
      <c r="E62" s="1186"/>
      <c r="F62" s="468" t="str">
        <f>IF('Lighting Inventory'!E22="", "", 'Lighting Inventory'!E22)</f>
        <v/>
      </c>
      <c r="G62" s="93" t="str">
        <f>IF('Lighting Inventory'!G22="", "", IF('Lighting Inventory'!G22="Air Conditioned", "Y", "N"))</f>
        <v/>
      </c>
      <c r="H62" s="94">
        <f>'Lighting Inventory'!H22</f>
        <v>0</v>
      </c>
      <c r="I62" s="468" t="str">
        <f>IF('Lighting Inventory'!J22="", "", 'Lighting Inventory'!J22)</f>
        <v/>
      </c>
      <c r="J62" s="468" t="str">
        <f>IF('Lighting Inventory'!K22="", "", 'Lighting Inventory'!K22)</f>
        <v/>
      </c>
      <c r="K62" s="1186" t="str">
        <f>IF('Lighting Inventory'!S22="", "", 'Lighting Inventory'!S22)</f>
        <v/>
      </c>
      <c r="L62" s="1186"/>
      <c r="M62" s="1187" t="str">
        <f>IF('Lighting Inventory'!E22="", "", 'Lighting Inventory'!W22)</f>
        <v/>
      </c>
      <c r="N62" s="1187"/>
      <c r="O62" s="1187"/>
      <c r="P62" s="1187"/>
      <c r="Q62" s="1187"/>
      <c r="R62" s="468" t="str">
        <f>IF('Lighting Inventory'!AE22="", "", 'Lighting Inventory'!AE22)</f>
        <v/>
      </c>
      <c r="S62" s="95" t="str">
        <f>IF('Lighting Inventory'!AN22="", "", 'Lighting Inventory'!AN22)</f>
        <v/>
      </c>
      <c r="T62" s="1186"/>
      <c r="U62" s="1186"/>
      <c r="V62" s="1186"/>
      <c r="W62" s="1186"/>
      <c r="X62" s="1186"/>
      <c r="Y62" s="1186"/>
      <c r="Z62" s="1186"/>
    </row>
    <row r="63" spans="1:26" ht="11.25" customHeight="1" x14ac:dyDescent="0.25">
      <c r="A63" s="89">
        <v>13</v>
      </c>
      <c r="B63" s="469">
        <f>'Lighting Inventory'!I23</f>
        <v>0</v>
      </c>
      <c r="C63" s="1188" t="str">
        <f>IF('Lighting Inventory'!D23="", "", 'Lighting Inventory'!D23)</f>
        <v/>
      </c>
      <c r="D63" s="1188"/>
      <c r="E63" s="1188"/>
      <c r="F63" s="469" t="str">
        <f>IF('Lighting Inventory'!E23="", "", 'Lighting Inventory'!E23)</f>
        <v/>
      </c>
      <c r="G63" s="89" t="str">
        <f>IF('Lighting Inventory'!G23="", "", IF('Lighting Inventory'!G23="Air Conditioned", "Y", "N"))</f>
        <v/>
      </c>
      <c r="H63" s="90">
        <f>'Lighting Inventory'!H23</f>
        <v>0</v>
      </c>
      <c r="I63" s="469" t="str">
        <f>IF('Lighting Inventory'!J23="", "", 'Lighting Inventory'!J23)</f>
        <v/>
      </c>
      <c r="J63" s="91" t="str">
        <f>IF('Lighting Inventory'!K23="", "", 'Lighting Inventory'!K23)</f>
        <v/>
      </c>
      <c r="K63" s="1188" t="str">
        <f>IF('Lighting Inventory'!S23="", "", 'Lighting Inventory'!S23)</f>
        <v/>
      </c>
      <c r="L63" s="1188"/>
      <c r="M63" s="1189" t="str">
        <f>IF('Lighting Inventory'!E23="", "", 'Lighting Inventory'!W23)</f>
        <v/>
      </c>
      <c r="N63" s="1189"/>
      <c r="O63" s="1189"/>
      <c r="P63" s="1189"/>
      <c r="Q63" s="1189"/>
      <c r="R63" s="469" t="str">
        <f>IF('Lighting Inventory'!AE23="", "", 'Lighting Inventory'!AE23)</f>
        <v/>
      </c>
      <c r="S63" s="92" t="str">
        <f>IF('Lighting Inventory'!AN23="", "", 'Lighting Inventory'!AN23)</f>
        <v/>
      </c>
      <c r="T63" s="1188"/>
      <c r="U63" s="1188"/>
      <c r="V63" s="1188"/>
      <c r="W63" s="1188"/>
      <c r="X63" s="1188"/>
      <c r="Y63" s="1188"/>
      <c r="Z63" s="1188"/>
    </row>
    <row r="64" spans="1:26" ht="11.25" customHeight="1" x14ac:dyDescent="0.25">
      <c r="A64" s="93">
        <v>14</v>
      </c>
      <c r="B64" s="468">
        <f>'Lighting Inventory'!I24</f>
        <v>0</v>
      </c>
      <c r="C64" s="1186" t="str">
        <f>IF('Lighting Inventory'!D24="", "", 'Lighting Inventory'!D24)</f>
        <v/>
      </c>
      <c r="D64" s="1186"/>
      <c r="E64" s="1186"/>
      <c r="F64" s="468" t="str">
        <f>IF('Lighting Inventory'!E24="", "", 'Lighting Inventory'!E24)</f>
        <v/>
      </c>
      <c r="G64" s="93" t="str">
        <f>IF('Lighting Inventory'!G24="", "", IF('Lighting Inventory'!G24="Air Conditioned", "Y", "N"))</f>
        <v/>
      </c>
      <c r="H64" s="94">
        <f>'Lighting Inventory'!H24</f>
        <v>0</v>
      </c>
      <c r="I64" s="468" t="str">
        <f>IF('Lighting Inventory'!J24="", "", 'Lighting Inventory'!J24)</f>
        <v/>
      </c>
      <c r="J64" s="468" t="str">
        <f>IF('Lighting Inventory'!K24="", "", 'Lighting Inventory'!K24)</f>
        <v/>
      </c>
      <c r="K64" s="1186" t="str">
        <f>IF('Lighting Inventory'!S24="", "", 'Lighting Inventory'!S24)</f>
        <v/>
      </c>
      <c r="L64" s="1186"/>
      <c r="M64" s="1187" t="str">
        <f>IF('Lighting Inventory'!E24="", "", 'Lighting Inventory'!W24)</f>
        <v/>
      </c>
      <c r="N64" s="1187"/>
      <c r="O64" s="1187"/>
      <c r="P64" s="1187"/>
      <c r="Q64" s="1187"/>
      <c r="R64" s="468" t="str">
        <f>IF('Lighting Inventory'!AE24="", "", 'Lighting Inventory'!AE24)</f>
        <v/>
      </c>
      <c r="S64" s="95" t="e">
        <f>IF('Lighting Inventory'!#REF!="", "", 'Lighting Inventory'!#REF!)</f>
        <v>#REF!</v>
      </c>
      <c r="T64" s="1186"/>
      <c r="U64" s="1186"/>
      <c r="V64" s="1186"/>
      <c r="W64" s="1186"/>
      <c r="X64" s="1186"/>
      <c r="Y64" s="1186"/>
      <c r="Z64" s="1186"/>
    </row>
    <row r="65" spans="1:26" ht="11.25" customHeight="1" x14ac:dyDescent="0.25">
      <c r="A65" s="89">
        <v>15</v>
      </c>
      <c r="B65" s="469">
        <f>'Lighting Inventory'!I25</f>
        <v>0</v>
      </c>
      <c r="C65" s="1188" t="str">
        <f>IF('Lighting Inventory'!D25="", "", 'Lighting Inventory'!D25)</f>
        <v/>
      </c>
      <c r="D65" s="1188"/>
      <c r="E65" s="1188"/>
      <c r="F65" s="469" t="str">
        <f>IF('Lighting Inventory'!E25="", "", 'Lighting Inventory'!E25)</f>
        <v/>
      </c>
      <c r="G65" s="89" t="str">
        <f>IF('Lighting Inventory'!G25="", "", IF('Lighting Inventory'!G25="Air Conditioned", "Y", "N"))</f>
        <v/>
      </c>
      <c r="H65" s="90">
        <f>'Lighting Inventory'!H25</f>
        <v>0</v>
      </c>
      <c r="I65" s="469" t="str">
        <f>IF('Lighting Inventory'!J25="", "", 'Lighting Inventory'!J25)</f>
        <v/>
      </c>
      <c r="J65" s="91" t="str">
        <f>IF('Lighting Inventory'!K25="", "", 'Lighting Inventory'!K25)</f>
        <v/>
      </c>
      <c r="K65" s="1188" t="str">
        <f>IF('Lighting Inventory'!S25="", "", 'Lighting Inventory'!S25)</f>
        <v/>
      </c>
      <c r="L65" s="1188"/>
      <c r="M65" s="1189" t="str">
        <f>IF('Lighting Inventory'!E25="", "", 'Lighting Inventory'!W25)</f>
        <v/>
      </c>
      <c r="N65" s="1189"/>
      <c r="O65" s="1189"/>
      <c r="P65" s="1189"/>
      <c r="Q65" s="1189"/>
      <c r="R65" s="469" t="str">
        <f>IF('Lighting Inventory'!AE25="", "", 'Lighting Inventory'!AE25)</f>
        <v/>
      </c>
      <c r="S65" s="92" t="str">
        <f>IF('Lighting Inventory'!AN24="", "", 'Lighting Inventory'!AN24)</f>
        <v/>
      </c>
      <c r="T65" s="1188"/>
      <c r="U65" s="1188"/>
      <c r="V65" s="1188"/>
      <c r="W65" s="1188"/>
      <c r="X65" s="1188"/>
      <c r="Y65" s="1188"/>
      <c r="Z65" s="1188"/>
    </row>
    <row r="66" spans="1:26" ht="11.25" customHeight="1" x14ac:dyDescent="0.25">
      <c r="A66" s="93">
        <v>16</v>
      </c>
      <c r="B66" s="468">
        <f>'Lighting Inventory'!I26</f>
        <v>0</v>
      </c>
      <c r="C66" s="1186" t="str">
        <f>IF('Lighting Inventory'!D26="", "", 'Lighting Inventory'!D26)</f>
        <v/>
      </c>
      <c r="D66" s="1186"/>
      <c r="E66" s="1186"/>
      <c r="F66" s="468" t="str">
        <f>IF('Lighting Inventory'!E26="", "", 'Lighting Inventory'!E26)</f>
        <v/>
      </c>
      <c r="G66" s="93" t="str">
        <f>IF('Lighting Inventory'!G26="", "", IF('Lighting Inventory'!G26="Air Conditioned", "Y", "N"))</f>
        <v/>
      </c>
      <c r="H66" s="94">
        <f>'Lighting Inventory'!H26</f>
        <v>0</v>
      </c>
      <c r="I66" s="468" t="str">
        <f>IF('Lighting Inventory'!J26="", "", 'Lighting Inventory'!J26)</f>
        <v/>
      </c>
      <c r="J66" s="468" t="str">
        <f>IF('Lighting Inventory'!K26="", "", 'Lighting Inventory'!K26)</f>
        <v/>
      </c>
      <c r="K66" s="1186" t="str">
        <f>IF('Lighting Inventory'!S26="", "", 'Lighting Inventory'!S26)</f>
        <v/>
      </c>
      <c r="L66" s="1186"/>
      <c r="M66" s="1187" t="str">
        <f>IF('Lighting Inventory'!E26="", "", 'Lighting Inventory'!W26)</f>
        <v/>
      </c>
      <c r="N66" s="1187"/>
      <c r="O66" s="1187"/>
      <c r="P66" s="1187"/>
      <c r="Q66" s="1187"/>
      <c r="R66" s="468" t="str">
        <f>IF('Lighting Inventory'!AE26="", "", 'Lighting Inventory'!AE26)</f>
        <v/>
      </c>
      <c r="S66" s="95" t="str">
        <f>IF('Lighting Inventory'!AN26="", "", 'Lighting Inventory'!AN26)</f>
        <v/>
      </c>
      <c r="T66" s="1186"/>
      <c r="U66" s="1186"/>
      <c r="V66" s="1186"/>
      <c r="W66" s="1186"/>
      <c r="X66" s="1186"/>
      <c r="Y66" s="1186"/>
      <c r="Z66" s="1186"/>
    </row>
    <row r="67" spans="1:26" ht="11.25" customHeight="1" x14ac:dyDescent="0.25">
      <c r="A67" s="89">
        <v>17</v>
      </c>
      <c r="B67" s="469">
        <f>'Lighting Inventory'!I27</f>
        <v>0</v>
      </c>
      <c r="C67" s="1188" t="str">
        <f>IF('Lighting Inventory'!D27="", "", 'Lighting Inventory'!D27)</f>
        <v/>
      </c>
      <c r="D67" s="1188"/>
      <c r="E67" s="1188"/>
      <c r="F67" s="469" t="str">
        <f>IF('Lighting Inventory'!E27="", "", 'Lighting Inventory'!E27)</f>
        <v/>
      </c>
      <c r="G67" s="89" t="str">
        <f>IF('Lighting Inventory'!G27="", "", IF('Lighting Inventory'!G27="Air Conditioned", "Y", "N"))</f>
        <v/>
      </c>
      <c r="H67" s="90">
        <f>'Lighting Inventory'!H27</f>
        <v>0</v>
      </c>
      <c r="I67" s="469" t="str">
        <f>IF('Lighting Inventory'!J27="", "", 'Lighting Inventory'!J27)</f>
        <v/>
      </c>
      <c r="J67" s="91" t="str">
        <f>IF('Lighting Inventory'!K27="", "", 'Lighting Inventory'!K27)</f>
        <v/>
      </c>
      <c r="K67" s="1188" t="str">
        <f>IF('Lighting Inventory'!S27="", "", 'Lighting Inventory'!S27)</f>
        <v/>
      </c>
      <c r="L67" s="1188"/>
      <c r="M67" s="1189" t="str">
        <f>IF('Lighting Inventory'!E27="", "", 'Lighting Inventory'!W27)</f>
        <v/>
      </c>
      <c r="N67" s="1189"/>
      <c r="O67" s="1189"/>
      <c r="P67" s="1189"/>
      <c r="Q67" s="1189"/>
      <c r="R67" s="469" t="str">
        <f>IF('Lighting Inventory'!AE27="", "", 'Lighting Inventory'!AE27)</f>
        <v/>
      </c>
      <c r="S67" s="92" t="str">
        <f>IF('Lighting Inventory'!AN27="", "", 'Lighting Inventory'!AN27)</f>
        <v/>
      </c>
      <c r="T67" s="1188"/>
      <c r="U67" s="1188"/>
      <c r="V67" s="1188"/>
      <c r="W67" s="1188"/>
      <c r="X67" s="1188"/>
      <c r="Y67" s="1188"/>
      <c r="Z67" s="1188"/>
    </row>
    <row r="68" spans="1:26" ht="11.25" customHeight="1" x14ac:dyDescent="0.25">
      <c r="A68" s="93">
        <v>18</v>
      </c>
      <c r="B68" s="468">
        <f>'Lighting Inventory'!I28</f>
        <v>0</v>
      </c>
      <c r="C68" s="1186" t="str">
        <f>IF('Lighting Inventory'!D28="", "", 'Lighting Inventory'!D28)</f>
        <v/>
      </c>
      <c r="D68" s="1186"/>
      <c r="E68" s="1186"/>
      <c r="F68" s="468" t="str">
        <f>IF('Lighting Inventory'!E28="", "", 'Lighting Inventory'!E28)</f>
        <v/>
      </c>
      <c r="G68" s="93" t="str">
        <f>IF('Lighting Inventory'!G28="", "", IF('Lighting Inventory'!G28="Air Conditioned", "Y", "N"))</f>
        <v/>
      </c>
      <c r="H68" s="94">
        <f>'Lighting Inventory'!H28</f>
        <v>0</v>
      </c>
      <c r="I68" s="468" t="str">
        <f>IF('Lighting Inventory'!J28="", "", 'Lighting Inventory'!J28)</f>
        <v/>
      </c>
      <c r="J68" s="468" t="str">
        <f>IF('Lighting Inventory'!K28="", "", 'Lighting Inventory'!K28)</f>
        <v/>
      </c>
      <c r="K68" s="1186" t="str">
        <f>IF('Lighting Inventory'!S28="", "", 'Lighting Inventory'!S28)</f>
        <v/>
      </c>
      <c r="L68" s="1186"/>
      <c r="M68" s="1187" t="str">
        <f>IF('Lighting Inventory'!E28="", "", 'Lighting Inventory'!W28)</f>
        <v/>
      </c>
      <c r="N68" s="1187"/>
      <c r="O68" s="1187"/>
      <c r="P68" s="1187"/>
      <c r="Q68" s="1187"/>
      <c r="R68" s="468" t="str">
        <f>IF('Lighting Inventory'!AE28="", "", 'Lighting Inventory'!AE28)</f>
        <v/>
      </c>
      <c r="S68" s="95" t="str">
        <f>IF('Lighting Inventory'!AN28="", "", 'Lighting Inventory'!AN28)</f>
        <v/>
      </c>
      <c r="T68" s="1186"/>
      <c r="U68" s="1186"/>
      <c r="V68" s="1186"/>
      <c r="W68" s="1186"/>
      <c r="X68" s="1186"/>
      <c r="Y68" s="1186"/>
      <c r="Z68" s="1186"/>
    </row>
    <row r="69" spans="1:26" ht="11.25" customHeight="1" x14ac:dyDescent="0.25">
      <c r="A69" s="89">
        <v>19</v>
      </c>
      <c r="B69" s="469">
        <f>'Lighting Inventory'!I29</f>
        <v>0</v>
      </c>
      <c r="C69" s="1188" t="str">
        <f>IF('Lighting Inventory'!D29="", "", 'Lighting Inventory'!D29)</f>
        <v/>
      </c>
      <c r="D69" s="1188"/>
      <c r="E69" s="1188"/>
      <c r="F69" s="469" t="str">
        <f>IF('Lighting Inventory'!E29="", "", 'Lighting Inventory'!E29)</f>
        <v/>
      </c>
      <c r="G69" s="89" t="str">
        <f>IF('Lighting Inventory'!G29="", "", IF('Lighting Inventory'!G29="Air Conditioned", "Y", "N"))</f>
        <v/>
      </c>
      <c r="H69" s="90">
        <f>'Lighting Inventory'!H29</f>
        <v>0</v>
      </c>
      <c r="I69" s="469" t="str">
        <f>IF('Lighting Inventory'!J29="", "", 'Lighting Inventory'!J29)</f>
        <v/>
      </c>
      <c r="J69" s="91" t="str">
        <f>IF('Lighting Inventory'!K29="", "", 'Lighting Inventory'!K29)</f>
        <v/>
      </c>
      <c r="K69" s="1188" t="str">
        <f>IF('Lighting Inventory'!S29="", "", 'Lighting Inventory'!S29)</f>
        <v/>
      </c>
      <c r="L69" s="1188"/>
      <c r="M69" s="1189" t="str">
        <f>IF('Lighting Inventory'!E29="", "", 'Lighting Inventory'!W29)</f>
        <v/>
      </c>
      <c r="N69" s="1189"/>
      <c r="O69" s="1189"/>
      <c r="P69" s="1189"/>
      <c r="Q69" s="1189"/>
      <c r="R69" s="469" t="str">
        <f>IF('Lighting Inventory'!AE29="", "", 'Lighting Inventory'!AE29)</f>
        <v/>
      </c>
      <c r="S69" s="92" t="str">
        <f>IF('Lighting Inventory'!AN29="", "", 'Lighting Inventory'!AN29)</f>
        <v/>
      </c>
      <c r="T69" s="1188"/>
      <c r="U69" s="1188"/>
      <c r="V69" s="1188"/>
      <c r="W69" s="1188"/>
      <c r="X69" s="1188"/>
      <c r="Y69" s="1188"/>
      <c r="Z69" s="1188"/>
    </row>
    <row r="70" spans="1:26" ht="11.25" customHeight="1" x14ac:dyDescent="0.25">
      <c r="A70" s="93">
        <v>20</v>
      </c>
      <c r="B70" s="468">
        <f>'Lighting Inventory'!I30</f>
        <v>0</v>
      </c>
      <c r="C70" s="1186" t="str">
        <f>IF('Lighting Inventory'!D30="", "", 'Lighting Inventory'!D30)</f>
        <v/>
      </c>
      <c r="D70" s="1186"/>
      <c r="E70" s="1186"/>
      <c r="F70" s="468" t="str">
        <f>IF('Lighting Inventory'!E30="", "", 'Lighting Inventory'!E30)</f>
        <v/>
      </c>
      <c r="G70" s="93" t="str">
        <f>IF('Lighting Inventory'!G30="", "", IF('Lighting Inventory'!G30="Air Conditioned", "Y", "N"))</f>
        <v/>
      </c>
      <c r="H70" s="94">
        <f>'Lighting Inventory'!H30</f>
        <v>0</v>
      </c>
      <c r="I70" s="468" t="str">
        <f>IF('Lighting Inventory'!J30="", "", 'Lighting Inventory'!J30)</f>
        <v/>
      </c>
      <c r="J70" s="468" t="str">
        <f>IF('Lighting Inventory'!K30="", "", 'Lighting Inventory'!K30)</f>
        <v/>
      </c>
      <c r="K70" s="1186" t="str">
        <f>IF('Lighting Inventory'!S30="", "", 'Lighting Inventory'!S30)</f>
        <v/>
      </c>
      <c r="L70" s="1186"/>
      <c r="M70" s="1187" t="str">
        <f>IF('Lighting Inventory'!E30="", "", 'Lighting Inventory'!W30)</f>
        <v/>
      </c>
      <c r="N70" s="1187"/>
      <c r="O70" s="1187"/>
      <c r="P70" s="1187"/>
      <c r="Q70" s="1187"/>
      <c r="R70" s="468" t="str">
        <f>IF('Lighting Inventory'!AE30="", "", 'Lighting Inventory'!AE30)</f>
        <v/>
      </c>
      <c r="S70" s="95" t="str">
        <f>IF('Lighting Inventory'!AN30="", "", 'Lighting Inventory'!AN30)</f>
        <v/>
      </c>
      <c r="T70" s="1186"/>
      <c r="U70" s="1186"/>
      <c r="V70" s="1186"/>
      <c r="W70" s="1186"/>
      <c r="X70" s="1186"/>
      <c r="Y70" s="1186"/>
      <c r="Z70" s="1186"/>
    </row>
    <row r="71" spans="1:26" ht="11.25" customHeight="1" x14ac:dyDescent="0.25">
      <c r="A71" s="89">
        <v>21</v>
      </c>
      <c r="B71" s="469">
        <f>'Lighting Inventory'!I31</f>
        <v>0</v>
      </c>
      <c r="C71" s="1188" t="str">
        <f>IF('Lighting Inventory'!D31="", "", 'Lighting Inventory'!D31)</f>
        <v/>
      </c>
      <c r="D71" s="1188"/>
      <c r="E71" s="1188"/>
      <c r="F71" s="469" t="str">
        <f>IF('Lighting Inventory'!E31="", "", 'Lighting Inventory'!E31)</f>
        <v/>
      </c>
      <c r="G71" s="89" t="str">
        <f>IF('Lighting Inventory'!G31="", "", IF('Lighting Inventory'!G31="Air Conditioned", "Y", "N"))</f>
        <v/>
      </c>
      <c r="H71" s="90">
        <f>'Lighting Inventory'!H31</f>
        <v>0</v>
      </c>
      <c r="I71" s="469" t="str">
        <f>IF('Lighting Inventory'!J31="", "", 'Lighting Inventory'!J31)</f>
        <v/>
      </c>
      <c r="J71" s="91" t="str">
        <f>IF('Lighting Inventory'!K31="", "", 'Lighting Inventory'!K31)</f>
        <v/>
      </c>
      <c r="K71" s="1188" t="str">
        <f>IF('Lighting Inventory'!S31="", "", 'Lighting Inventory'!S31)</f>
        <v/>
      </c>
      <c r="L71" s="1188"/>
      <c r="M71" s="1189" t="str">
        <f>IF('Lighting Inventory'!E31="", "", 'Lighting Inventory'!W31)</f>
        <v/>
      </c>
      <c r="N71" s="1189"/>
      <c r="O71" s="1189"/>
      <c r="P71" s="1189"/>
      <c r="Q71" s="1189"/>
      <c r="R71" s="469" t="str">
        <f>IF('Lighting Inventory'!AE31="", "", 'Lighting Inventory'!AE31)</f>
        <v/>
      </c>
      <c r="S71" s="92" t="str">
        <f>IF('Lighting Inventory'!AN31="", "", 'Lighting Inventory'!AN31)</f>
        <v/>
      </c>
      <c r="T71" s="1188"/>
      <c r="U71" s="1188"/>
      <c r="V71" s="1188"/>
      <c r="W71" s="1188"/>
      <c r="X71" s="1188"/>
      <c r="Y71" s="1188"/>
      <c r="Z71" s="1188"/>
    </row>
    <row r="72" spans="1:26" ht="11.25" customHeight="1" x14ac:dyDescent="0.25">
      <c r="A72" s="93">
        <v>22</v>
      </c>
      <c r="B72" s="468">
        <f>'Lighting Inventory'!I32</f>
        <v>0</v>
      </c>
      <c r="C72" s="1186" t="str">
        <f>IF('Lighting Inventory'!D32="", "", 'Lighting Inventory'!D32)</f>
        <v/>
      </c>
      <c r="D72" s="1186"/>
      <c r="E72" s="1186"/>
      <c r="F72" s="468" t="str">
        <f>IF('Lighting Inventory'!E32="", "", 'Lighting Inventory'!E32)</f>
        <v/>
      </c>
      <c r="G72" s="93" t="str">
        <f>IF('Lighting Inventory'!G32="", "", IF('Lighting Inventory'!G32="Air Conditioned", "Y", "N"))</f>
        <v/>
      </c>
      <c r="H72" s="94">
        <f>'Lighting Inventory'!H32</f>
        <v>0</v>
      </c>
      <c r="I72" s="468" t="str">
        <f>IF('Lighting Inventory'!J32="", "", 'Lighting Inventory'!J32)</f>
        <v/>
      </c>
      <c r="J72" s="468" t="str">
        <f>IF('Lighting Inventory'!K32="", "", 'Lighting Inventory'!K32)</f>
        <v/>
      </c>
      <c r="K72" s="1186" t="str">
        <f>IF('Lighting Inventory'!S32="", "", 'Lighting Inventory'!S32)</f>
        <v/>
      </c>
      <c r="L72" s="1186"/>
      <c r="M72" s="1187" t="str">
        <f>IF('Lighting Inventory'!E32="", "", 'Lighting Inventory'!W32)</f>
        <v/>
      </c>
      <c r="N72" s="1187"/>
      <c r="O72" s="1187"/>
      <c r="P72" s="1187"/>
      <c r="Q72" s="1187"/>
      <c r="R72" s="468" t="str">
        <f>IF('Lighting Inventory'!AE32="", "", 'Lighting Inventory'!AE32)</f>
        <v/>
      </c>
      <c r="S72" s="95" t="str">
        <f>IF('Lighting Inventory'!AN32="", "", 'Lighting Inventory'!AN32)</f>
        <v/>
      </c>
      <c r="T72" s="1186"/>
      <c r="U72" s="1186"/>
      <c r="V72" s="1186"/>
      <c r="W72" s="1186"/>
      <c r="X72" s="1186"/>
      <c r="Y72" s="1186"/>
      <c r="Z72" s="1186"/>
    </row>
    <row r="73" spans="1:26" ht="11.25" customHeight="1" x14ac:dyDescent="0.25">
      <c r="A73" s="89">
        <v>23</v>
      </c>
      <c r="B73" s="469">
        <f>'Lighting Inventory'!I33</f>
        <v>0</v>
      </c>
      <c r="C73" s="1188" t="str">
        <f>IF('Lighting Inventory'!D33="", "", 'Lighting Inventory'!D33)</f>
        <v/>
      </c>
      <c r="D73" s="1188"/>
      <c r="E73" s="1188"/>
      <c r="F73" s="469" t="str">
        <f>IF('Lighting Inventory'!E33="", "", 'Lighting Inventory'!E33)</f>
        <v/>
      </c>
      <c r="G73" s="89" t="str">
        <f>IF('Lighting Inventory'!G33="", "", IF('Lighting Inventory'!G33="Air Conditioned", "Y", "N"))</f>
        <v/>
      </c>
      <c r="H73" s="90">
        <f>'Lighting Inventory'!H33</f>
        <v>0</v>
      </c>
      <c r="I73" s="469" t="str">
        <f>IF('Lighting Inventory'!J33="", "", 'Lighting Inventory'!J33)</f>
        <v/>
      </c>
      <c r="J73" s="91" t="str">
        <f>IF('Lighting Inventory'!K33="", "", 'Lighting Inventory'!K33)</f>
        <v/>
      </c>
      <c r="K73" s="1188" t="str">
        <f>IF('Lighting Inventory'!S33="", "", 'Lighting Inventory'!S33)</f>
        <v/>
      </c>
      <c r="L73" s="1188"/>
      <c r="M73" s="1189" t="str">
        <f>IF('Lighting Inventory'!E33="", "", 'Lighting Inventory'!W33)</f>
        <v/>
      </c>
      <c r="N73" s="1189"/>
      <c r="O73" s="1189"/>
      <c r="P73" s="1189"/>
      <c r="Q73" s="1189"/>
      <c r="R73" s="469" t="str">
        <f>IF('Lighting Inventory'!AE33="", "", 'Lighting Inventory'!AE33)</f>
        <v/>
      </c>
      <c r="S73" s="92" t="str">
        <f>IF('Lighting Inventory'!AN33="", "", 'Lighting Inventory'!AN33)</f>
        <v/>
      </c>
      <c r="T73" s="1188"/>
      <c r="U73" s="1188"/>
      <c r="V73" s="1188"/>
      <c r="W73" s="1188"/>
      <c r="X73" s="1188"/>
      <c r="Y73" s="1188"/>
      <c r="Z73" s="1188"/>
    </row>
    <row r="74" spans="1:26" ht="11.25" customHeight="1" x14ac:dyDescent="0.25">
      <c r="A74" s="93">
        <v>24</v>
      </c>
      <c r="B74" s="468">
        <f>'Lighting Inventory'!I34</f>
        <v>0</v>
      </c>
      <c r="C74" s="1186" t="str">
        <f>IF('Lighting Inventory'!D34="", "", 'Lighting Inventory'!D34)</f>
        <v/>
      </c>
      <c r="D74" s="1186"/>
      <c r="E74" s="1186"/>
      <c r="F74" s="468" t="str">
        <f>IF('Lighting Inventory'!E34="", "", 'Lighting Inventory'!E34)</f>
        <v/>
      </c>
      <c r="G74" s="93" t="str">
        <f>IF('Lighting Inventory'!G34="", "", IF('Lighting Inventory'!G34="Air Conditioned", "Y", "N"))</f>
        <v/>
      </c>
      <c r="H74" s="94">
        <f>'Lighting Inventory'!H34</f>
        <v>0</v>
      </c>
      <c r="I74" s="468" t="str">
        <f>IF('Lighting Inventory'!J34="", "", 'Lighting Inventory'!J34)</f>
        <v/>
      </c>
      <c r="J74" s="468" t="str">
        <f>IF('Lighting Inventory'!K34="", "", 'Lighting Inventory'!K34)</f>
        <v/>
      </c>
      <c r="K74" s="1186" t="str">
        <f>IF('Lighting Inventory'!S34="", "", 'Lighting Inventory'!S34)</f>
        <v/>
      </c>
      <c r="L74" s="1186"/>
      <c r="M74" s="1187" t="str">
        <f>IF('Lighting Inventory'!E34="", "", 'Lighting Inventory'!W34)</f>
        <v/>
      </c>
      <c r="N74" s="1187"/>
      <c r="O74" s="1187"/>
      <c r="P74" s="1187"/>
      <c r="Q74" s="1187"/>
      <c r="R74" s="468" t="str">
        <f>IF('Lighting Inventory'!AE34="", "", 'Lighting Inventory'!AE34)</f>
        <v/>
      </c>
      <c r="S74" s="95" t="str">
        <f>IF('Lighting Inventory'!AN34="", "", 'Lighting Inventory'!AN34)</f>
        <v/>
      </c>
      <c r="T74" s="1186"/>
      <c r="U74" s="1186"/>
      <c r="V74" s="1186"/>
      <c r="W74" s="1186"/>
      <c r="X74" s="1186"/>
      <c r="Y74" s="1186"/>
      <c r="Z74" s="1186"/>
    </row>
    <row r="75" spans="1:26" ht="11.25" customHeight="1" x14ac:dyDescent="0.25">
      <c r="A75" s="89">
        <v>25</v>
      </c>
      <c r="B75" s="469">
        <f>'Lighting Inventory'!I35</f>
        <v>0</v>
      </c>
      <c r="C75" s="1188" t="str">
        <f>IF('Lighting Inventory'!D35="", "", 'Lighting Inventory'!D35)</f>
        <v/>
      </c>
      <c r="D75" s="1188"/>
      <c r="E75" s="1188"/>
      <c r="F75" s="469" t="str">
        <f>IF('Lighting Inventory'!E35="", "", 'Lighting Inventory'!E35)</f>
        <v/>
      </c>
      <c r="G75" s="89" t="str">
        <f>IF('Lighting Inventory'!G35="", "", IF('Lighting Inventory'!G35="Air Conditioned", "Y", "N"))</f>
        <v/>
      </c>
      <c r="H75" s="90">
        <f>'Lighting Inventory'!H35</f>
        <v>0</v>
      </c>
      <c r="I75" s="469" t="str">
        <f>IF('Lighting Inventory'!J35="", "", 'Lighting Inventory'!J35)</f>
        <v/>
      </c>
      <c r="J75" s="91" t="str">
        <f>IF('Lighting Inventory'!K35="", "", 'Lighting Inventory'!K35)</f>
        <v/>
      </c>
      <c r="K75" s="1188" t="str">
        <f>IF('Lighting Inventory'!S35="", "", 'Lighting Inventory'!S35)</f>
        <v/>
      </c>
      <c r="L75" s="1188"/>
      <c r="M75" s="1189" t="str">
        <f>IF('Lighting Inventory'!E35="", "", 'Lighting Inventory'!W35)</f>
        <v/>
      </c>
      <c r="N75" s="1189"/>
      <c r="O75" s="1189"/>
      <c r="P75" s="1189"/>
      <c r="Q75" s="1189"/>
      <c r="R75" s="469" t="str">
        <f>IF('Lighting Inventory'!AE35="", "", 'Lighting Inventory'!AE35)</f>
        <v/>
      </c>
      <c r="S75" s="92" t="str">
        <f>IF('Lighting Inventory'!AN35="", "", 'Lighting Inventory'!AN35)</f>
        <v/>
      </c>
      <c r="T75" s="1188"/>
      <c r="U75" s="1188"/>
      <c r="V75" s="1188"/>
      <c r="W75" s="1188"/>
      <c r="X75" s="1188"/>
      <c r="Y75" s="1188"/>
      <c r="Z75" s="1188"/>
    </row>
    <row r="76" spans="1:26" ht="11.25" customHeight="1" x14ac:dyDescent="0.25">
      <c r="A76" s="93">
        <v>26</v>
      </c>
      <c r="B76" s="468">
        <f>'Lighting Inventory'!I36</f>
        <v>0</v>
      </c>
      <c r="C76" s="1186" t="str">
        <f>IF('Lighting Inventory'!D36="", "", 'Lighting Inventory'!D36)</f>
        <v/>
      </c>
      <c r="D76" s="1186"/>
      <c r="E76" s="1186"/>
      <c r="F76" s="468" t="str">
        <f>IF('Lighting Inventory'!E36="", "", 'Lighting Inventory'!E36)</f>
        <v/>
      </c>
      <c r="G76" s="93" t="str">
        <f>IF('Lighting Inventory'!G36="", "", IF('Lighting Inventory'!G36="Air Conditioned", "Y", "N"))</f>
        <v/>
      </c>
      <c r="H76" s="94">
        <f>'Lighting Inventory'!H36</f>
        <v>0</v>
      </c>
      <c r="I76" s="468" t="str">
        <f>IF('Lighting Inventory'!J36="", "", 'Lighting Inventory'!J36)</f>
        <v/>
      </c>
      <c r="J76" s="468" t="str">
        <f>IF('Lighting Inventory'!K36="", "", 'Lighting Inventory'!K36)</f>
        <v/>
      </c>
      <c r="K76" s="1186" t="str">
        <f>IF('Lighting Inventory'!S36="", "", 'Lighting Inventory'!S36)</f>
        <v/>
      </c>
      <c r="L76" s="1186"/>
      <c r="M76" s="1187" t="str">
        <f>IF('Lighting Inventory'!E36="", "", 'Lighting Inventory'!W36)</f>
        <v/>
      </c>
      <c r="N76" s="1187"/>
      <c r="O76" s="1187"/>
      <c r="P76" s="1187"/>
      <c r="Q76" s="1187"/>
      <c r="R76" s="468" t="str">
        <f>IF('Lighting Inventory'!AE36="", "", 'Lighting Inventory'!AE36)</f>
        <v/>
      </c>
      <c r="S76" s="95" t="str">
        <f>IF('Lighting Inventory'!AN36="", "", 'Lighting Inventory'!AN36)</f>
        <v/>
      </c>
      <c r="T76" s="1186"/>
      <c r="U76" s="1186"/>
      <c r="V76" s="1186"/>
      <c r="W76" s="1186"/>
      <c r="X76" s="1186"/>
      <c r="Y76" s="1186"/>
      <c r="Z76" s="1186"/>
    </row>
    <row r="77" spans="1:26" ht="11.25" customHeight="1" x14ac:dyDescent="0.25">
      <c r="A77" s="89">
        <v>27</v>
      </c>
      <c r="B77" s="469">
        <f>'Lighting Inventory'!I37</f>
        <v>0</v>
      </c>
      <c r="C77" s="1188" t="str">
        <f>IF('Lighting Inventory'!D37="", "", 'Lighting Inventory'!D37)</f>
        <v/>
      </c>
      <c r="D77" s="1188"/>
      <c r="E77" s="1188"/>
      <c r="F77" s="469" t="str">
        <f>IF('Lighting Inventory'!E37="", "", 'Lighting Inventory'!E37)</f>
        <v/>
      </c>
      <c r="G77" s="89" t="str">
        <f>IF('Lighting Inventory'!G37="", "", IF('Lighting Inventory'!G37="Air Conditioned", "Y", "N"))</f>
        <v/>
      </c>
      <c r="H77" s="90">
        <f>'Lighting Inventory'!H37</f>
        <v>0</v>
      </c>
      <c r="I77" s="469" t="str">
        <f>IF('Lighting Inventory'!J37="", "", 'Lighting Inventory'!J37)</f>
        <v/>
      </c>
      <c r="J77" s="91" t="str">
        <f>IF('Lighting Inventory'!K37="", "", 'Lighting Inventory'!K37)</f>
        <v/>
      </c>
      <c r="K77" s="1188" t="str">
        <f>IF('Lighting Inventory'!S37="", "", 'Lighting Inventory'!S37)</f>
        <v/>
      </c>
      <c r="L77" s="1188"/>
      <c r="M77" s="1189" t="str">
        <f>IF('Lighting Inventory'!E37="", "", 'Lighting Inventory'!W37)</f>
        <v/>
      </c>
      <c r="N77" s="1189"/>
      <c r="O77" s="1189"/>
      <c r="P77" s="1189"/>
      <c r="Q77" s="1189"/>
      <c r="R77" s="469" t="str">
        <f>IF('Lighting Inventory'!AE37="", "", 'Lighting Inventory'!AE37)</f>
        <v/>
      </c>
      <c r="S77" s="92" t="str">
        <f>IF('Lighting Inventory'!AN37="", "", 'Lighting Inventory'!AN37)</f>
        <v/>
      </c>
      <c r="T77" s="1188"/>
      <c r="U77" s="1188"/>
      <c r="V77" s="1188"/>
      <c r="W77" s="1188"/>
      <c r="X77" s="1188"/>
      <c r="Y77" s="1188"/>
      <c r="Z77" s="1188"/>
    </row>
    <row r="78" spans="1:26" ht="11.25" customHeight="1" x14ac:dyDescent="0.25">
      <c r="A78" s="93">
        <v>28</v>
      </c>
      <c r="B78" s="468">
        <f>'Lighting Inventory'!I38</f>
        <v>0</v>
      </c>
      <c r="C78" s="1186" t="str">
        <f>IF('Lighting Inventory'!D38="", "", 'Lighting Inventory'!D38)</f>
        <v/>
      </c>
      <c r="D78" s="1186"/>
      <c r="E78" s="1186"/>
      <c r="F78" s="468" t="str">
        <f>IF('Lighting Inventory'!E38="", "", 'Lighting Inventory'!E38)</f>
        <v/>
      </c>
      <c r="G78" s="93" t="str">
        <f>IF('Lighting Inventory'!G38="", "", IF('Lighting Inventory'!G38="Air Conditioned", "Y", "N"))</f>
        <v/>
      </c>
      <c r="H78" s="94">
        <f>'Lighting Inventory'!H38</f>
        <v>0</v>
      </c>
      <c r="I78" s="468" t="str">
        <f>IF('Lighting Inventory'!J38="", "", 'Lighting Inventory'!J38)</f>
        <v/>
      </c>
      <c r="J78" s="468" t="str">
        <f>IF('Lighting Inventory'!K38="", "", 'Lighting Inventory'!K38)</f>
        <v/>
      </c>
      <c r="K78" s="1186" t="str">
        <f>IF('Lighting Inventory'!S38="", "", 'Lighting Inventory'!S38)</f>
        <v/>
      </c>
      <c r="L78" s="1186"/>
      <c r="M78" s="1187" t="str">
        <f>IF('Lighting Inventory'!E38="", "", 'Lighting Inventory'!W38)</f>
        <v/>
      </c>
      <c r="N78" s="1187"/>
      <c r="O78" s="1187"/>
      <c r="P78" s="1187"/>
      <c r="Q78" s="1187"/>
      <c r="R78" s="468" t="str">
        <f>IF('Lighting Inventory'!AE38="", "", 'Lighting Inventory'!AE38)</f>
        <v/>
      </c>
      <c r="S78" s="95" t="str">
        <f>IF('Lighting Inventory'!AN38="", "", 'Lighting Inventory'!AN38)</f>
        <v/>
      </c>
      <c r="T78" s="1186"/>
      <c r="U78" s="1186"/>
      <c r="V78" s="1186"/>
      <c r="W78" s="1186"/>
      <c r="X78" s="1186"/>
      <c r="Y78" s="1186"/>
      <c r="Z78" s="1186"/>
    </row>
    <row r="79" spans="1:26" ht="11.25" customHeight="1" x14ac:dyDescent="0.25">
      <c r="A79" s="89">
        <v>29</v>
      </c>
      <c r="B79" s="469">
        <f>'Lighting Inventory'!I39</f>
        <v>0</v>
      </c>
      <c r="C79" s="1188" t="str">
        <f>IF('Lighting Inventory'!D39="", "", 'Lighting Inventory'!D39)</f>
        <v/>
      </c>
      <c r="D79" s="1188"/>
      <c r="E79" s="1188"/>
      <c r="F79" s="469" t="str">
        <f>IF('Lighting Inventory'!E39="", "", 'Lighting Inventory'!E39)</f>
        <v/>
      </c>
      <c r="G79" s="89" t="str">
        <f>IF('Lighting Inventory'!G39="", "", IF('Lighting Inventory'!G39="Air Conditioned", "Y", "N"))</f>
        <v/>
      </c>
      <c r="H79" s="90">
        <f>'Lighting Inventory'!H39</f>
        <v>0</v>
      </c>
      <c r="I79" s="469" t="str">
        <f>IF('Lighting Inventory'!J39="", "", 'Lighting Inventory'!J39)</f>
        <v/>
      </c>
      <c r="J79" s="91" t="str">
        <f>IF('Lighting Inventory'!K39="", "", 'Lighting Inventory'!K39)</f>
        <v/>
      </c>
      <c r="K79" s="1188" t="str">
        <f>IF('Lighting Inventory'!S39="", "", 'Lighting Inventory'!S39)</f>
        <v/>
      </c>
      <c r="L79" s="1188"/>
      <c r="M79" s="1189" t="str">
        <f>IF('Lighting Inventory'!E39="", "", 'Lighting Inventory'!W39)</f>
        <v/>
      </c>
      <c r="N79" s="1189"/>
      <c r="O79" s="1189"/>
      <c r="P79" s="1189"/>
      <c r="Q79" s="1189"/>
      <c r="R79" s="469" t="str">
        <f>IF('Lighting Inventory'!AE39="", "", 'Lighting Inventory'!AE39)</f>
        <v/>
      </c>
      <c r="S79" s="92" t="str">
        <f>IF('Lighting Inventory'!AN39="", "", 'Lighting Inventory'!AN39)</f>
        <v/>
      </c>
      <c r="T79" s="1188"/>
      <c r="U79" s="1188"/>
      <c r="V79" s="1188"/>
      <c r="W79" s="1188"/>
      <c r="X79" s="1188"/>
      <c r="Y79" s="1188"/>
      <c r="Z79" s="1188"/>
    </row>
    <row r="80" spans="1:26" ht="11.25" customHeight="1" x14ac:dyDescent="0.25">
      <c r="A80" s="93">
        <v>30</v>
      </c>
      <c r="B80" s="468">
        <f>'Lighting Inventory'!I40</f>
        <v>0</v>
      </c>
      <c r="C80" s="1186" t="str">
        <f>IF('Lighting Inventory'!D40="", "", 'Lighting Inventory'!D40)</f>
        <v/>
      </c>
      <c r="D80" s="1186"/>
      <c r="E80" s="1186"/>
      <c r="F80" s="468" t="str">
        <f>IF('Lighting Inventory'!E40="", "", 'Lighting Inventory'!E40)</f>
        <v/>
      </c>
      <c r="G80" s="93" t="str">
        <f>IF('Lighting Inventory'!G40="", "", IF('Lighting Inventory'!G40="Air Conditioned", "Y", "N"))</f>
        <v/>
      </c>
      <c r="H80" s="94">
        <f>'Lighting Inventory'!H40</f>
        <v>0</v>
      </c>
      <c r="I80" s="468" t="str">
        <f>IF('Lighting Inventory'!J40="", "", 'Lighting Inventory'!J40)</f>
        <v/>
      </c>
      <c r="J80" s="468" t="str">
        <f>IF('Lighting Inventory'!K40="", "", 'Lighting Inventory'!K40)</f>
        <v/>
      </c>
      <c r="K80" s="1186" t="str">
        <f>IF('Lighting Inventory'!S40="", "", 'Lighting Inventory'!S40)</f>
        <v/>
      </c>
      <c r="L80" s="1186"/>
      <c r="M80" s="1187" t="str">
        <f>IF('Lighting Inventory'!E40="", "", 'Lighting Inventory'!W40)</f>
        <v/>
      </c>
      <c r="N80" s="1187"/>
      <c r="O80" s="1187"/>
      <c r="P80" s="1187"/>
      <c r="Q80" s="1187"/>
      <c r="R80" s="468" t="str">
        <f>IF('Lighting Inventory'!AE40="", "", 'Lighting Inventory'!AE40)</f>
        <v/>
      </c>
      <c r="S80" s="95" t="str">
        <f>IF('Lighting Inventory'!AN40="", "", 'Lighting Inventory'!AN40)</f>
        <v/>
      </c>
      <c r="T80" s="1186"/>
      <c r="U80" s="1186"/>
      <c r="V80" s="1186"/>
      <c r="W80" s="1186"/>
      <c r="X80" s="1186"/>
      <c r="Y80" s="1186"/>
      <c r="Z80" s="1186"/>
    </row>
    <row r="81" spans="1:26" ht="11.25" customHeight="1" x14ac:dyDescent="0.25">
      <c r="A81" s="89">
        <v>31</v>
      </c>
      <c r="B81" s="469">
        <f>'Lighting Inventory'!I41</f>
        <v>0</v>
      </c>
      <c r="C81" s="1188" t="str">
        <f>IF('Lighting Inventory'!D41="", "", 'Lighting Inventory'!D41)</f>
        <v/>
      </c>
      <c r="D81" s="1188"/>
      <c r="E81" s="1188"/>
      <c r="F81" s="469" t="str">
        <f>IF('Lighting Inventory'!E41="", "", 'Lighting Inventory'!E41)</f>
        <v/>
      </c>
      <c r="G81" s="89" t="str">
        <f>IF('Lighting Inventory'!G41="", "", IF('Lighting Inventory'!G41="Air Conditioned", "Y", "N"))</f>
        <v/>
      </c>
      <c r="H81" s="90">
        <f>'Lighting Inventory'!H41</f>
        <v>0</v>
      </c>
      <c r="I81" s="469" t="str">
        <f>IF('Lighting Inventory'!J41="", "", 'Lighting Inventory'!J41)</f>
        <v/>
      </c>
      <c r="J81" s="91" t="str">
        <f>IF('Lighting Inventory'!K41="", "", 'Lighting Inventory'!K41)</f>
        <v/>
      </c>
      <c r="K81" s="1188" t="str">
        <f>IF('Lighting Inventory'!S41="", "", 'Lighting Inventory'!S41)</f>
        <v/>
      </c>
      <c r="L81" s="1188"/>
      <c r="M81" s="1189" t="str">
        <f>IF('Lighting Inventory'!E41="", "", 'Lighting Inventory'!W41)</f>
        <v/>
      </c>
      <c r="N81" s="1189"/>
      <c r="O81" s="1189"/>
      <c r="P81" s="1189"/>
      <c r="Q81" s="1189"/>
      <c r="R81" s="469" t="str">
        <f>IF('Lighting Inventory'!AE41="", "", 'Lighting Inventory'!AE41)</f>
        <v/>
      </c>
      <c r="S81" s="92" t="str">
        <f>IF('Lighting Inventory'!AN41="", "", 'Lighting Inventory'!AN41)</f>
        <v/>
      </c>
      <c r="T81" s="1188"/>
      <c r="U81" s="1188"/>
      <c r="V81" s="1188"/>
      <c r="W81" s="1188"/>
      <c r="X81" s="1188"/>
      <c r="Y81" s="1188"/>
      <c r="Z81" s="1188"/>
    </row>
    <row r="82" spans="1:26" ht="11.25" customHeight="1" x14ac:dyDescent="0.25">
      <c r="A82" s="93">
        <v>32</v>
      </c>
      <c r="B82" s="468">
        <f>'Lighting Inventory'!I42</f>
        <v>0</v>
      </c>
      <c r="C82" s="1186" t="str">
        <f>IF('Lighting Inventory'!D42="", "", 'Lighting Inventory'!D42)</f>
        <v/>
      </c>
      <c r="D82" s="1186"/>
      <c r="E82" s="1186"/>
      <c r="F82" s="468" t="str">
        <f>IF('Lighting Inventory'!E42="", "", 'Lighting Inventory'!E42)</f>
        <v/>
      </c>
      <c r="G82" s="93" t="str">
        <f>IF('Lighting Inventory'!G42="", "", IF('Lighting Inventory'!G42="Air Conditioned", "Y", "N"))</f>
        <v/>
      </c>
      <c r="H82" s="94">
        <f>'Lighting Inventory'!H42</f>
        <v>0</v>
      </c>
      <c r="I82" s="468" t="str">
        <f>IF('Lighting Inventory'!J42="", "", 'Lighting Inventory'!J42)</f>
        <v/>
      </c>
      <c r="J82" s="468" t="str">
        <f>IF('Lighting Inventory'!K42="", "", 'Lighting Inventory'!K42)</f>
        <v/>
      </c>
      <c r="K82" s="1186" t="str">
        <f>IF('Lighting Inventory'!S42="", "", 'Lighting Inventory'!S42)</f>
        <v/>
      </c>
      <c r="L82" s="1186"/>
      <c r="M82" s="1187" t="str">
        <f>IF('Lighting Inventory'!E42="", "", 'Lighting Inventory'!W42)</f>
        <v/>
      </c>
      <c r="N82" s="1187"/>
      <c r="O82" s="1187"/>
      <c r="P82" s="1187"/>
      <c r="Q82" s="1187"/>
      <c r="R82" s="468" t="str">
        <f>IF('Lighting Inventory'!AE42="", "", 'Lighting Inventory'!AE42)</f>
        <v/>
      </c>
      <c r="S82" s="95" t="str">
        <f>IF('Lighting Inventory'!AN42="", "", 'Lighting Inventory'!AN42)</f>
        <v/>
      </c>
      <c r="T82" s="1186"/>
      <c r="U82" s="1186"/>
      <c r="V82" s="1186"/>
      <c r="W82" s="1186"/>
      <c r="X82" s="1186"/>
      <c r="Y82" s="1186"/>
      <c r="Z82" s="1186"/>
    </row>
    <row r="83" spans="1:26" ht="11.25" customHeight="1" x14ac:dyDescent="0.25">
      <c r="A83" s="89">
        <v>33</v>
      </c>
      <c r="B83" s="469">
        <f>'Lighting Inventory'!I43</f>
        <v>0</v>
      </c>
      <c r="C83" s="1188" t="str">
        <f>IF('Lighting Inventory'!D43="", "", 'Lighting Inventory'!D43)</f>
        <v/>
      </c>
      <c r="D83" s="1188"/>
      <c r="E83" s="1188"/>
      <c r="F83" s="469" t="str">
        <f>IF('Lighting Inventory'!E43="", "", 'Lighting Inventory'!E43)</f>
        <v/>
      </c>
      <c r="G83" s="89" t="str">
        <f>IF('Lighting Inventory'!G43="", "", IF('Lighting Inventory'!G43="Air Conditioned", "Y", "N"))</f>
        <v/>
      </c>
      <c r="H83" s="90">
        <f>'Lighting Inventory'!H43</f>
        <v>0</v>
      </c>
      <c r="I83" s="469" t="str">
        <f>IF('Lighting Inventory'!J43="", "", 'Lighting Inventory'!J43)</f>
        <v/>
      </c>
      <c r="J83" s="91" t="str">
        <f>IF('Lighting Inventory'!K43="", "", 'Lighting Inventory'!K43)</f>
        <v/>
      </c>
      <c r="K83" s="1188" t="str">
        <f>IF('Lighting Inventory'!S43="", "", 'Lighting Inventory'!S43)</f>
        <v/>
      </c>
      <c r="L83" s="1188"/>
      <c r="M83" s="1189" t="str">
        <f>IF('Lighting Inventory'!E43="", "", 'Lighting Inventory'!W43)</f>
        <v/>
      </c>
      <c r="N83" s="1189"/>
      <c r="O83" s="1189"/>
      <c r="P83" s="1189"/>
      <c r="Q83" s="1189"/>
      <c r="R83" s="469" t="str">
        <f>IF('Lighting Inventory'!AE43="", "", 'Lighting Inventory'!AE43)</f>
        <v/>
      </c>
      <c r="S83" s="92" t="str">
        <f>IF('Lighting Inventory'!AN43="", "", 'Lighting Inventory'!AN43)</f>
        <v/>
      </c>
      <c r="T83" s="1188"/>
      <c r="U83" s="1188"/>
      <c r="V83" s="1188"/>
      <c r="W83" s="1188"/>
      <c r="X83" s="1188"/>
      <c r="Y83" s="1188"/>
      <c r="Z83" s="1188"/>
    </row>
    <row r="84" spans="1:26" ht="11.25" customHeight="1" x14ac:dyDescent="0.25">
      <c r="A84" s="93">
        <v>34</v>
      </c>
      <c r="B84" s="468">
        <f>'Lighting Inventory'!I44</f>
        <v>0</v>
      </c>
      <c r="C84" s="1186" t="str">
        <f>IF('Lighting Inventory'!D44="", "", 'Lighting Inventory'!D44)</f>
        <v/>
      </c>
      <c r="D84" s="1186"/>
      <c r="E84" s="1186"/>
      <c r="F84" s="468" t="str">
        <f>IF('Lighting Inventory'!E44="", "", 'Lighting Inventory'!E44)</f>
        <v/>
      </c>
      <c r="G84" s="93" t="str">
        <f>IF('Lighting Inventory'!G44="", "", IF('Lighting Inventory'!G44="Air Conditioned", "Y", "N"))</f>
        <v/>
      </c>
      <c r="H84" s="94">
        <f>'Lighting Inventory'!H44</f>
        <v>0</v>
      </c>
      <c r="I84" s="468" t="str">
        <f>IF('Lighting Inventory'!J44="", "", 'Lighting Inventory'!J44)</f>
        <v/>
      </c>
      <c r="J84" s="468" t="str">
        <f>IF('Lighting Inventory'!K44="", "", 'Lighting Inventory'!K44)</f>
        <v/>
      </c>
      <c r="K84" s="1186" t="str">
        <f>IF('Lighting Inventory'!S44="", "", 'Lighting Inventory'!S44)</f>
        <v/>
      </c>
      <c r="L84" s="1186"/>
      <c r="M84" s="1187" t="str">
        <f>IF('Lighting Inventory'!E44="", "", 'Lighting Inventory'!W44)</f>
        <v/>
      </c>
      <c r="N84" s="1187"/>
      <c r="O84" s="1187"/>
      <c r="P84" s="1187"/>
      <c r="Q84" s="1187"/>
      <c r="R84" s="468" t="str">
        <f>IF('Lighting Inventory'!AE44="", "", 'Lighting Inventory'!AE44)</f>
        <v/>
      </c>
      <c r="S84" s="95" t="str">
        <f>IF('Lighting Inventory'!AN44="", "", 'Lighting Inventory'!AN44)</f>
        <v/>
      </c>
      <c r="T84" s="1186"/>
      <c r="U84" s="1186"/>
      <c r="V84" s="1186"/>
      <c r="W84" s="1186"/>
      <c r="X84" s="1186"/>
      <c r="Y84" s="1186"/>
      <c r="Z84" s="1186"/>
    </row>
    <row r="85" spans="1:26" ht="11.25" customHeight="1" x14ac:dyDescent="0.25">
      <c r="A85" s="89">
        <v>35</v>
      </c>
      <c r="B85" s="469">
        <f>'Lighting Inventory'!I45</f>
        <v>0</v>
      </c>
      <c r="C85" s="1188" t="str">
        <f>IF('Lighting Inventory'!D45="", "", 'Lighting Inventory'!D45)</f>
        <v/>
      </c>
      <c r="D85" s="1188"/>
      <c r="E85" s="1188"/>
      <c r="F85" s="469" t="str">
        <f>IF('Lighting Inventory'!E45="", "", 'Lighting Inventory'!E45)</f>
        <v/>
      </c>
      <c r="G85" s="89" t="str">
        <f>IF('Lighting Inventory'!G45="", "", IF('Lighting Inventory'!G45="Air Conditioned", "Y", "N"))</f>
        <v/>
      </c>
      <c r="H85" s="90">
        <f>'Lighting Inventory'!H45</f>
        <v>0</v>
      </c>
      <c r="I85" s="469" t="str">
        <f>IF('Lighting Inventory'!J45="", "", 'Lighting Inventory'!J45)</f>
        <v/>
      </c>
      <c r="J85" s="91" t="str">
        <f>IF('Lighting Inventory'!K45="", "", 'Lighting Inventory'!K45)</f>
        <v/>
      </c>
      <c r="K85" s="1188" t="str">
        <f>IF('Lighting Inventory'!S45="", "", 'Lighting Inventory'!S45)</f>
        <v/>
      </c>
      <c r="L85" s="1188"/>
      <c r="M85" s="1189" t="str">
        <f>IF('Lighting Inventory'!E45="", "", 'Lighting Inventory'!W45)</f>
        <v/>
      </c>
      <c r="N85" s="1189"/>
      <c r="O85" s="1189"/>
      <c r="P85" s="1189"/>
      <c r="Q85" s="1189"/>
      <c r="R85" s="469" t="str">
        <f>IF('Lighting Inventory'!AE45="", "", 'Lighting Inventory'!AE45)</f>
        <v/>
      </c>
      <c r="S85" s="92" t="str">
        <f>IF('Lighting Inventory'!AN45="", "", 'Lighting Inventory'!AN45)</f>
        <v/>
      </c>
      <c r="T85" s="1188"/>
      <c r="U85" s="1188"/>
      <c r="V85" s="1188"/>
      <c r="W85" s="1188"/>
      <c r="X85" s="1188"/>
      <c r="Y85" s="1188"/>
      <c r="Z85" s="1188"/>
    </row>
    <row r="86" spans="1:26" ht="11.25" customHeight="1" x14ac:dyDescent="0.25">
      <c r="A86" s="93">
        <v>36</v>
      </c>
      <c r="B86" s="468">
        <f>'Lighting Inventory'!I46</f>
        <v>0</v>
      </c>
      <c r="C86" s="1186" t="str">
        <f>IF('Lighting Inventory'!D46="", "", 'Lighting Inventory'!D46)</f>
        <v/>
      </c>
      <c r="D86" s="1186"/>
      <c r="E86" s="1186"/>
      <c r="F86" s="468" t="str">
        <f>IF('Lighting Inventory'!E46="", "", 'Lighting Inventory'!E46)</f>
        <v/>
      </c>
      <c r="G86" s="93" t="str">
        <f>IF('Lighting Inventory'!G46="", "", IF('Lighting Inventory'!G46="Air Conditioned", "Y", "N"))</f>
        <v/>
      </c>
      <c r="H86" s="94">
        <f>'Lighting Inventory'!H46</f>
        <v>0</v>
      </c>
      <c r="I86" s="468" t="str">
        <f>IF('Lighting Inventory'!J46="", "", 'Lighting Inventory'!J46)</f>
        <v/>
      </c>
      <c r="J86" s="468" t="str">
        <f>IF('Lighting Inventory'!K46="", "", 'Lighting Inventory'!K46)</f>
        <v/>
      </c>
      <c r="K86" s="1186" t="str">
        <f>IF('Lighting Inventory'!S46="", "", 'Lighting Inventory'!S46)</f>
        <v/>
      </c>
      <c r="L86" s="1186"/>
      <c r="M86" s="1187" t="str">
        <f>IF('Lighting Inventory'!E46="", "", 'Lighting Inventory'!W46)</f>
        <v/>
      </c>
      <c r="N86" s="1187"/>
      <c r="O86" s="1187"/>
      <c r="P86" s="1187"/>
      <c r="Q86" s="1187"/>
      <c r="R86" s="468" t="str">
        <f>IF('Lighting Inventory'!AE46="", "", 'Lighting Inventory'!AE46)</f>
        <v/>
      </c>
      <c r="S86" s="95" t="str">
        <f>IF('Lighting Inventory'!AN46="", "", 'Lighting Inventory'!AN46)</f>
        <v/>
      </c>
      <c r="T86" s="1186"/>
      <c r="U86" s="1186"/>
      <c r="V86" s="1186"/>
      <c r="W86" s="1186"/>
      <c r="X86" s="1186"/>
      <c r="Y86" s="1186"/>
      <c r="Z86" s="1186"/>
    </row>
    <row r="87" spans="1:26" ht="11.25" customHeight="1" x14ac:dyDescent="0.25">
      <c r="A87" s="89">
        <v>37</v>
      </c>
      <c r="B87" s="469">
        <f>'Lighting Inventory'!I47</f>
        <v>0</v>
      </c>
      <c r="C87" s="1188" t="str">
        <f>IF('Lighting Inventory'!D47="", "", 'Lighting Inventory'!D47)</f>
        <v/>
      </c>
      <c r="D87" s="1188"/>
      <c r="E87" s="1188"/>
      <c r="F87" s="469" t="str">
        <f>IF('Lighting Inventory'!E47="", "", 'Lighting Inventory'!E47)</f>
        <v/>
      </c>
      <c r="G87" s="89" t="str">
        <f>IF('Lighting Inventory'!G47="", "", IF('Lighting Inventory'!G47="Air Conditioned", "Y", "N"))</f>
        <v/>
      </c>
      <c r="H87" s="90">
        <f>'Lighting Inventory'!H47</f>
        <v>0</v>
      </c>
      <c r="I87" s="469" t="str">
        <f>IF('Lighting Inventory'!J47="", "", 'Lighting Inventory'!J47)</f>
        <v/>
      </c>
      <c r="J87" s="91" t="str">
        <f>IF('Lighting Inventory'!K47="", "", 'Lighting Inventory'!K47)</f>
        <v/>
      </c>
      <c r="K87" s="1188" t="str">
        <f>IF('Lighting Inventory'!S47="", "", 'Lighting Inventory'!S47)</f>
        <v/>
      </c>
      <c r="L87" s="1188"/>
      <c r="M87" s="1189" t="str">
        <f>IF('Lighting Inventory'!E47="", "", 'Lighting Inventory'!W47)</f>
        <v/>
      </c>
      <c r="N87" s="1189"/>
      <c r="O87" s="1189"/>
      <c r="P87" s="1189"/>
      <c r="Q87" s="1189"/>
      <c r="R87" s="469" t="str">
        <f>IF('Lighting Inventory'!AE47="", "", 'Lighting Inventory'!AE47)</f>
        <v/>
      </c>
      <c r="S87" s="92" t="str">
        <f>IF('Lighting Inventory'!AN47="", "", 'Lighting Inventory'!AN47)</f>
        <v/>
      </c>
      <c r="T87" s="1188"/>
      <c r="U87" s="1188"/>
      <c r="V87" s="1188"/>
      <c r="W87" s="1188"/>
      <c r="X87" s="1188"/>
      <c r="Y87" s="1188"/>
      <c r="Z87" s="1188"/>
    </row>
    <row r="88" spans="1:26" ht="11.25" customHeight="1" x14ac:dyDescent="0.25">
      <c r="A88" s="93">
        <v>38</v>
      </c>
      <c r="B88" s="468">
        <f>'Lighting Inventory'!I48</f>
        <v>0</v>
      </c>
      <c r="C88" s="1186" t="str">
        <f>IF('Lighting Inventory'!D48="", "", 'Lighting Inventory'!D48)</f>
        <v/>
      </c>
      <c r="D88" s="1186"/>
      <c r="E88" s="1186"/>
      <c r="F88" s="468" t="str">
        <f>IF('Lighting Inventory'!E48="", "", 'Lighting Inventory'!E48)</f>
        <v/>
      </c>
      <c r="G88" s="93" t="str">
        <f>IF('Lighting Inventory'!G48="", "", IF('Lighting Inventory'!G48="Air Conditioned", "Y", "N"))</f>
        <v/>
      </c>
      <c r="H88" s="94">
        <f>'Lighting Inventory'!H48</f>
        <v>0</v>
      </c>
      <c r="I88" s="468" t="str">
        <f>IF('Lighting Inventory'!J48="", "", 'Lighting Inventory'!J48)</f>
        <v/>
      </c>
      <c r="J88" s="468" t="str">
        <f>IF('Lighting Inventory'!K48="", "", 'Lighting Inventory'!K48)</f>
        <v/>
      </c>
      <c r="K88" s="1186" t="str">
        <f>IF('Lighting Inventory'!S48="", "", 'Lighting Inventory'!S48)</f>
        <v/>
      </c>
      <c r="L88" s="1186"/>
      <c r="M88" s="1187" t="str">
        <f>IF('Lighting Inventory'!E48="", "", 'Lighting Inventory'!W48)</f>
        <v/>
      </c>
      <c r="N88" s="1187"/>
      <c r="O88" s="1187"/>
      <c r="P88" s="1187"/>
      <c r="Q88" s="1187"/>
      <c r="R88" s="468" t="str">
        <f>IF('Lighting Inventory'!AE48="", "", 'Lighting Inventory'!AE48)</f>
        <v/>
      </c>
      <c r="S88" s="95" t="str">
        <f>IF('Lighting Inventory'!AN48="", "", 'Lighting Inventory'!AN48)</f>
        <v/>
      </c>
      <c r="T88" s="1186"/>
      <c r="U88" s="1186"/>
      <c r="V88" s="1186"/>
      <c r="W88" s="1186"/>
      <c r="X88" s="1186"/>
      <c r="Y88" s="1186"/>
      <c r="Z88" s="1186"/>
    </row>
    <row r="89" spans="1:26" ht="11.25" customHeight="1" x14ac:dyDescent="0.25">
      <c r="A89" s="89">
        <v>39</v>
      </c>
      <c r="B89" s="469">
        <f>'Lighting Inventory'!I49</f>
        <v>0</v>
      </c>
      <c r="C89" s="1188" t="str">
        <f>IF('Lighting Inventory'!D49="", "", 'Lighting Inventory'!D49)</f>
        <v/>
      </c>
      <c r="D89" s="1188"/>
      <c r="E89" s="1188"/>
      <c r="F89" s="469" t="str">
        <f>IF('Lighting Inventory'!E49="", "", 'Lighting Inventory'!E49)</f>
        <v/>
      </c>
      <c r="G89" s="89" t="str">
        <f>IF('Lighting Inventory'!G49="", "", IF('Lighting Inventory'!G49="Air Conditioned", "Y", "N"))</f>
        <v/>
      </c>
      <c r="H89" s="90">
        <f>'Lighting Inventory'!H49</f>
        <v>0</v>
      </c>
      <c r="I89" s="469" t="str">
        <f>IF('Lighting Inventory'!J49="", "", 'Lighting Inventory'!J49)</f>
        <v/>
      </c>
      <c r="J89" s="91" t="str">
        <f>IF('Lighting Inventory'!K49="", "", 'Lighting Inventory'!K49)</f>
        <v/>
      </c>
      <c r="K89" s="1188" t="str">
        <f>IF('Lighting Inventory'!S49="", "", 'Lighting Inventory'!S49)</f>
        <v/>
      </c>
      <c r="L89" s="1188"/>
      <c r="M89" s="1189" t="str">
        <f>IF('Lighting Inventory'!E49="", "", 'Lighting Inventory'!W49)</f>
        <v/>
      </c>
      <c r="N89" s="1189"/>
      <c r="O89" s="1189"/>
      <c r="P89" s="1189"/>
      <c r="Q89" s="1189"/>
      <c r="R89" s="469" t="str">
        <f>IF('Lighting Inventory'!AE49="", "", 'Lighting Inventory'!AE49)</f>
        <v/>
      </c>
      <c r="S89" s="92" t="str">
        <f>IF('Lighting Inventory'!AN49="", "", 'Lighting Inventory'!AN49)</f>
        <v/>
      </c>
      <c r="T89" s="1188"/>
      <c r="U89" s="1188"/>
      <c r="V89" s="1188"/>
      <c r="W89" s="1188"/>
      <c r="X89" s="1188"/>
      <c r="Y89" s="1188"/>
      <c r="Z89" s="1188"/>
    </row>
    <row r="90" spans="1:26" ht="11.25" customHeight="1" x14ac:dyDescent="0.25">
      <c r="A90" s="93">
        <v>40</v>
      </c>
      <c r="B90" s="468">
        <f>'Lighting Inventory'!I50</f>
        <v>0</v>
      </c>
      <c r="C90" s="1186" t="str">
        <f>IF('Lighting Inventory'!D50="", "", 'Lighting Inventory'!D50)</f>
        <v/>
      </c>
      <c r="D90" s="1186"/>
      <c r="E90" s="1186"/>
      <c r="F90" s="468" t="str">
        <f>IF('Lighting Inventory'!E50="", "", 'Lighting Inventory'!E50)</f>
        <v/>
      </c>
      <c r="G90" s="93" t="str">
        <f>IF('Lighting Inventory'!G50="", "", IF('Lighting Inventory'!G50="Air Conditioned", "Y", "N"))</f>
        <v/>
      </c>
      <c r="H90" s="94">
        <f>'Lighting Inventory'!H50</f>
        <v>0</v>
      </c>
      <c r="I90" s="468" t="str">
        <f>IF('Lighting Inventory'!J50="", "", 'Lighting Inventory'!J50)</f>
        <v/>
      </c>
      <c r="J90" s="468" t="str">
        <f>IF('Lighting Inventory'!K50="", "", 'Lighting Inventory'!K50)</f>
        <v/>
      </c>
      <c r="K90" s="1186" t="str">
        <f>IF('Lighting Inventory'!S50="", "", 'Lighting Inventory'!S50)</f>
        <v/>
      </c>
      <c r="L90" s="1186"/>
      <c r="M90" s="1187" t="str">
        <f>IF('Lighting Inventory'!E50="", "", 'Lighting Inventory'!W50)</f>
        <v/>
      </c>
      <c r="N90" s="1187"/>
      <c r="O90" s="1187"/>
      <c r="P90" s="1187"/>
      <c r="Q90" s="1187"/>
      <c r="R90" s="468" t="str">
        <f>IF('Lighting Inventory'!AE50="", "", 'Lighting Inventory'!AE50)</f>
        <v/>
      </c>
      <c r="S90" s="95" t="str">
        <f>IF('Lighting Inventory'!AN50="", "", 'Lighting Inventory'!AN50)</f>
        <v/>
      </c>
      <c r="T90" s="1186"/>
      <c r="U90" s="1186"/>
      <c r="V90" s="1186"/>
      <c r="W90" s="1186"/>
      <c r="X90" s="1186"/>
      <c r="Y90" s="1186"/>
      <c r="Z90" s="1186"/>
    </row>
    <row r="91" spans="1:26" ht="15" customHeight="1" thickBot="1" x14ac:dyDescent="0.3">
      <c r="A91" s="1190" t="s">
        <v>4415</v>
      </c>
      <c r="B91" s="1190"/>
      <c r="C91" s="1190"/>
      <c r="D91" s="1191" t="str">
        <f>CONCATENATE('General Information'!$F$9, " ", 'General Information'!$F$10)</f>
        <v xml:space="preserve"> </v>
      </c>
      <c r="E91" s="1191"/>
      <c r="F91" s="1191"/>
      <c r="G91" s="1191"/>
      <c r="H91" s="1191"/>
      <c r="I91" s="1191"/>
      <c r="J91" s="1191"/>
      <c r="K91" s="1192" t="s">
        <v>4416</v>
      </c>
      <c r="L91" s="1193"/>
      <c r="M91" s="1193"/>
      <c r="N91" s="1191">
        <f>'General Information'!$F$14</f>
        <v>0</v>
      </c>
      <c r="O91" s="1191"/>
      <c r="P91" s="1191"/>
      <c r="Q91" s="1192" t="s">
        <v>4417</v>
      </c>
      <c r="R91" s="1193"/>
      <c r="S91" s="1194"/>
      <c r="T91" s="1195">
        <f>'General Information'!$F$11</f>
        <v>0</v>
      </c>
      <c r="U91" s="1196"/>
      <c r="V91" s="1196"/>
      <c r="W91" s="1196"/>
      <c r="X91" s="1196"/>
      <c r="Y91" s="1196"/>
      <c r="Z91" s="1197"/>
    </row>
    <row r="92" spans="1:26" ht="9.75" customHeight="1" x14ac:dyDescent="0.25">
      <c r="A92" s="1198" t="s">
        <v>4418</v>
      </c>
      <c r="B92" s="1200" t="s">
        <v>4419</v>
      </c>
      <c r="C92" s="1200"/>
      <c r="D92" s="1200"/>
      <c r="E92" s="1200"/>
      <c r="F92" s="1200"/>
      <c r="G92" s="1200"/>
      <c r="H92" s="1200"/>
      <c r="I92" s="1200"/>
      <c r="J92" s="1200"/>
      <c r="K92" s="1201" t="s">
        <v>4420</v>
      </c>
      <c r="L92" s="1202"/>
      <c r="M92" s="1202"/>
      <c r="N92" s="1202"/>
      <c r="O92" s="1202"/>
      <c r="P92" s="1202"/>
      <c r="Q92" s="1202"/>
      <c r="R92" s="1202"/>
      <c r="S92" s="1202"/>
      <c r="T92" s="1202"/>
      <c r="U92" s="1202"/>
      <c r="V92" s="1202"/>
      <c r="W92" s="1202"/>
      <c r="X92" s="1202"/>
      <c r="Y92" s="1202"/>
      <c r="Z92" s="1203"/>
    </row>
    <row r="93" spans="1:26" ht="43.5" customHeight="1" x14ac:dyDescent="0.25">
      <c r="A93" s="1199"/>
      <c r="B93" s="470" t="s">
        <v>4421</v>
      </c>
      <c r="C93" s="1204" t="s">
        <v>4422</v>
      </c>
      <c r="D93" s="1205"/>
      <c r="E93" s="1206"/>
      <c r="F93" s="333" t="s">
        <v>4423</v>
      </c>
      <c r="G93" s="333" t="s">
        <v>4424</v>
      </c>
      <c r="H93" s="334" t="s">
        <v>4425</v>
      </c>
      <c r="I93" s="333" t="s">
        <v>4426</v>
      </c>
      <c r="J93" s="333" t="s">
        <v>4427</v>
      </c>
      <c r="K93" s="1207" t="s">
        <v>4428</v>
      </c>
      <c r="L93" s="1207"/>
      <c r="M93" s="1207" t="s">
        <v>4429</v>
      </c>
      <c r="N93" s="1207"/>
      <c r="O93" s="1207"/>
      <c r="P93" s="1207"/>
      <c r="Q93" s="1207"/>
      <c r="R93" s="333" t="s">
        <v>4430</v>
      </c>
      <c r="S93" s="335" t="s">
        <v>4431</v>
      </c>
      <c r="T93" s="1208" t="s">
        <v>3403</v>
      </c>
      <c r="U93" s="1209"/>
      <c r="V93" s="1209"/>
      <c r="W93" s="1209"/>
      <c r="X93" s="1209"/>
      <c r="Y93" s="1209"/>
      <c r="Z93" s="1210"/>
    </row>
    <row r="94" spans="1:26" ht="11.25" customHeight="1" x14ac:dyDescent="0.25">
      <c r="A94" s="89">
        <v>41</v>
      </c>
      <c r="B94" s="469">
        <f>'Lighting Inventory'!I51</f>
        <v>0</v>
      </c>
      <c r="C94" s="1188" t="str">
        <f>IF('Lighting Inventory'!D51="", "", 'Lighting Inventory'!D51)</f>
        <v/>
      </c>
      <c r="D94" s="1188"/>
      <c r="E94" s="1188"/>
      <c r="F94" s="469" t="str">
        <f>IF('Lighting Inventory'!E51="", "", 'Lighting Inventory'!E51)</f>
        <v/>
      </c>
      <c r="G94" s="89" t="str">
        <f>IF('Lighting Inventory'!G51="", "", IF('Lighting Inventory'!G51="Air Conditioned", "Y", "N"))</f>
        <v/>
      </c>
      <c r="H94" s="90">
        <f>'Lighting Inventory'!H51</f>
        <v>0</v>
      </c>
      <c r="I94" s="469" t="str">
        <f>IF('Lighting Inventory'!J51="", "", 'Lighting Inventory'!J51)</f>
        <v/>
      </c>
      <c r="J94" s="91" t="str">
        <f>IF('Lighting Inventory'!K51="", "", 'Lighting Inventory'!K51)</f>
        <v/>
      </c>
      <c r="K94" s="1188" t="str">
        <f>IF('Lighting Inventory'!S51="", "", 'Lighting Inventory'!S51)</f>
        <v/>
      </c>
      <c r="L94" s="1188"/>
      <c r="M94" s="1189" t="str">
        <f>IF('Lighting Inventory'!E51="", "", 'Lighting Inventory'!W51)</f>
        <v/>
      </c>
      <c r="N94" s="1189"/>
      <c r="O94" s="1189"/>
      <c r="P94" s="1189"/>
      <c r="Q94" s="1189"/>
      <c r="R94" s="469" t="str">
        <f>IF('Lighting Inventory'!AE51="", "", 'Lighting Inventory'!AE51)</f>
        <v/>
      </c>
      <c r="S94" s="92" t="str">
        <f>IF('Lighting Inventory'!AN51="", "", 'Lighting Inventory'!AN51)</f>
        <v/>
      </c>
      <c r="T94" s="1188"/>
      <c r="U94" s="1188"/>
      <c r="V94" s="1188"/>
      <c r="W94" s="1188"/>
      <c r="X94" s="1188"/>
      <c r="Y94" s="1188"/>
      <c r="Z94" s="1188"/>
    </row>
    <row r="95" spans="1:26" ht="11.25" customHeight="1" x14ac:dyDescent="0.25">
      <c r="A95" s="93">
        <v>42</v>
      </c>
      <c r="B95" s="468">
        <f>'Lighting Inventory'!I52</f>
        <v>0</v>
      </c>
      <c r="C95" s="1186" t="str">
        <f>IF('Lighting Inventory'!D52="", "", 'Lighting Inventory'!D52)</f>
        <v/>
      </c>
      <c r="D95" s="1186"/>
      <c r="E95" s="1186"/>
      <c r="F95" s="468" t="str">
        <f>IF('Lighting Inventory'!E52="", "", 'Lighting Inventory'!E52)</f>
        <v/>
      </c>
      <c r="G95" s="93" t="str">
        <f>IF('Lighting Inventory'!G52="", "", IF('Lighting Inventory'!G52="Air Conditioned", "Y", "N"))</f>
        <v/>
      </c>
      <c r="H95" s="94">
        <f>'Lighting Inventory'!H52</f>
        <v>0</v>
      </c>
      <c r="I95" s="468" t="str">
        <f>IF('Lighting Inventory'!J52="", "", 'Lighting Inventory'!J52)</f>
        <v/>
      </c>
      <c r="J95" s="468" t="str">
        <f>IF('Lighting Inventory'!K52="", "", 'Lighting Inventory'!K52)</f>
        <v/>
      </c>
      <c r="K95" s="1186" t="str">
        <f>IF('Lighting Inventory'!S52="", "", 'Lighting Inventory'!S52)</f>
        <v/>
      </c>
      <c r="L95" s="1186"/>
      <c r="M95" s="1187" t="str">
        <f>IF('Lighting Inventory'!E52="", "", 'Lighting Inventory'!W52)</f>
        <v/>
      </c>
      <c r="N95" s="1187"/>
      <c r="O95" s="1187"/>
      <c r="P95" s="1187"/>
      <c r="Q95" s="1187"/>
      <c r="R95" s="468" t="str">
        <f>IF('Lighting Inventory'!AE52="", "", 'Lighting Inventory'!AE52)</f>
        <v/>
      </c>
      <c r="S95" s="95" t="str">
        <f>IF('Lighting Inventory'!AN52="", "", 'Lighting Inventory'!AN52)</f>
        <v/>
      </c>
      <c r="T95" s="1186"/>
      <c r="U95" s="1186"/>
      <c r="V95" s="1186"/>
      <c r="W95" s="1186"/>
      <c r="X95" s="1186"/>
      <c r="Y95" s="1186"/>
      <c r="Z95" s="1186"/>
    </row>
    <row r="96" spans="1:26" ht="11.25" customHeight="1" x14ac:dyDescent="0.25">
      <c r="A96" s="89">
        <v>43</v>
      </c>
      <c r="B96" s="469">
        <f>'Lighting Inventory'!I53</f>
        <v>0</v>
      </c>
      <c r="C96" s="1188" t="str">
        <f>IF('Lighting Inventory'!D53="", "", 'Lighting Inventory'!D53)</f>
        <v/>
      </c>
      <c r="D96" s="1188"/>
      <c r="E96" s="1188"/>
      <c r="F96" s="469" t="str">
        <f>IF('Lighting Inventory'!E53="", "", 'Lighting Inventory'!E53)</f>
        <v/>
      </c>
      <c r="G96" s="89" t="str">
        <f>IF('Lighting Inventory'!G53="", "", IF('Lighting Inventory'!G53="Air Conditioned", "Y", "N"))</f>
        <v/>
      </c>
      <c r="H96" s="90">
        <f>'Lighting Inventory'!H53</f>
        <v>0</v>
      </c>
      <c r="I96" s="469" t="str">
        <f>IF('Lighting Inventory'!J53="", "", 'Lighting Inventory'!J53)</f>
        <v/>
      </c>
      <c r="J96" s="91" t="str">
        <f>IF('Lighting Inventory'!K53="", "", 'Lighting Inventory'!K53)</f>
        <v/>
      </c>
      <c r="K96" s="1188" t="str">
        <f>IF('Lighting Inventory'!S53="", "", 'Lighting Inventory'!S53)</f>
        <v/>
      </c>
      <c r="L96" s="1188"/>
      <c r="M96" s="1189" t="str">
        <f>IF('Lighting Inventory'!E53="", "", 'Lighting Inventory'!W53)</f>
        <v/>
      </c>
      <c r="N96" s="1189"/>
      <c r="O96" s="1189"/>
      <c r="P96" s="1189"/>
      <c r="Q96" s="1189"/>
      <c r="R96" s="469" t="str">
        <f>IF('Lighting Inventory'!AE53="", "", 'Lighting Inventory'!AE53)</f>
        <v/>
      </c>
      <c r="S96" s="92" t="str">
        <f>IF('Lighting Inventory'!AN53="", "", 'Lighting Inventory'!AN53)</f>
        <v/>
      </c>
      <c r="T96" s="1188"/>
      <c r="U96" s="1188"/>
      <c r="V96" s="1188"/>
      <c r="W96" s="1188"/>
      <c r="X96" s="1188"/>
      <c r="Y96" s="1188"/>
      <c r="Z96" s="1188"/>
    </row>
    <row r="97" spans="1:26" ht="11.25" customHeight="1" x14ac:dyDescent="0.25">
      <c r="A97" s="93">
        <v>44</v>
      </c>
      <c r="B97" s="468">
        <f>'Lighting Inventory'!I54</f>
        <v>0</v>
      </c>
      <c r="C97" s="1186" t="str">
        <f>IF('Lighting Inventory'!D54="", "", 'Lighting Inventory'!D54)</f>
        <v/>
      </c>
      <c r="D97" s="1186"/>
      <c r="E97" s="1186"/>
      <c r="F97" s="468" t="str">
        <f>IF('Lighting Inventory'!E54="", "", 'Lighting Inventory'!E54)</f>
        <v/>
      </c>
      <c r="G97" s="93" t="str">
        <f>IF('Lighting Inventory'!G54="", "", IF('Lighting Inventory'!G54="Air Conditioned", "Y", "N"))</f>
        <v/>
      </c>
      <c r="H97" s="94">
        <f>'Lighting Inventory'!H54</f>
        <v>0</v>
      </c>
      <c r="I97" s="468" t="str">
        <f>IF('Lighting Inventory'!J54="", "", 'Lighting Inventory'!J54)</f>
        <v/>
      </c>
      <c r="J97" s="468" t="str">
        <f>IF('Lighting Inventory'!K54="", "", 'Lighting Inventory'!K54)</f>
        <v/>
      </c>
      <c r="K97" s="1186" t="str">
        <f>IF('Lighting Inventory'!S54="", "", 'Lighting Inventory'!S54)</f>
        <v/>
      </c>
      <c r="L97" s="1186"/>
      <c r="M97" s="1187" t="str">
        <f>IF('Lighting Inventory'!E54="", "", 'Lighting Inventory'!W54)</f>
        <v/>
      </c>
      <c r="N97" s="1187"/>
      <c r="O97" s="1187"/>
      <c r="P97" s="1187"/>
      <c r="Q97" s="1187"/>
      <c r="R97" s="468" t="str">
        <f>IF('Lighting Inventory'!AE54="", "", 'Lighting Inventory'!AE54)</f>
        <v/>
      </c>
      <c r="S97" s="95" t="str">
        <f>IF('Lighting Inventory'!AN54="", "", 'Lighting Inventory'!AN54)</f>
        <v/>
      </c>
      <c r="T97" s="1186"/>
      <c r="U97" s="1186"/>
      <c r="V97" s="1186"/>
      <c r="W97" s="1186"/>
      <c r="X97" s="1186"/>
      <c r="Y97" s="1186"/>
      <c r="Z97" s="1186"/>
    </row>
    <row r="98" spans="1:26" ht="11.25" customHeight="1" x14ac:dyDescent="0.25">
      <c r="A98" s="89">
        <v>45</v>
      </c>
      <c r="B98" s="469">
        <f>'Lighting Inventory'!I55</f>
        <v>0</v>
      </c>
      <c r="C98" s="1188" t="str">
        <f>IF('Lighting Inventory'!D55="", "", 'Lighting Inventory'!D55)</f>
        <v/>
      </c>
      <c r="D98" s="1188"/>
      <c r="E98" s="1188"/>
      <c r="F98" s="469" t="str">
        <f>IF('Lighting Inventory'!E55="", "", 'Lighting Inventory'!E55)</f>
        <v/>
      </c>
      <c r="G98" s="89" t="str">
        <f>IF('Lighting Inventory'!G55="", "", IF('Lighting Inventory'!G55="Air Conditioned", "Y", "N"))</f>
        <v/>
      </c>
      <c r="H98" s="90">
        <f>'Lighting Inventory'!H55</f>
        <v>0</v>
      </c>
      <c r="I98" s="469" t="str">
        <f>IF('Lighting Inventory'!J55="", "", 'Lighting Inventory'!J55)</f>
        <v/>
      </c>
      <c r="J98" s="91" t="str">
        <f>IF('Lighting Inventory'!K55="", "", 'Lighting Inventory'!K55)</f>
        <v/>
      </c>
      <c r="K98" s="1188" t="str">
        <f>IF('Lighting Inventory'!S55="", "", 'Lighting Inventory'!S55)</f>
        <v/>
      </c>
      <c r="L98" s="1188"/>
      <c r="M98" s="1189" t="str">
        <f>IF('Lighting Inventory'!E55="", "", 'Lighting Inventory'!W55)</f>
        <v/>
      </c>
      <c r="N98" s="1189"/>
      <c r="O98" s="1189"/>
      <c r="P98" s="1189"/>
      <c r="Q98" s="1189"/>
      <c r="R98" s="469" t="str">
        <f>IF('Lighting Inventory'!AE55="", "", 'Lighting Inventory'!AE55)</f>
        <v/>
      </c>
      <c r="S98" s="92" t="str">
        <f>IF('Lighting Inventory'!AN55="", "", 'Lighting Inventory'!AN55)</f>
        <v/>
      </c>
      <c r="T98" s="1188"/>
      <c r="U98" s="1188"/>
      <c r="V98" s="1188"/>
      <c r="W98" s="1188"/>
      <c r="X98" s="1188"/>
      <c r="Y98" s="1188"/>
      <c r="Z98" s="1188"/>
    </row>
    <row r="99" spans="1:26" ht="11.25" customHeight="1" x14ac:dyDescent="0.25">
      <c r="A99" s="93">
        <v>46</v>
      </c>
      <c r="B99" s="468">
        <f>'Lighting Inventory'!I56</f>
        <v>0</v>
      </c>
      <c r="C99" s="1186" t="str">
        <f>IF('Lighting Inventory'!D56="", "", 'Lighting Inventory'!D56)</f>
        <v/>
      </c>
      <c r="D99" s="1186"/>
      <c r="E99" s="1186"/>
      <c r="F99" s="468" t="str">
        <f>IF('Lighting Inventory'!E56="", "", 'Lighting Inventory'!E56)</f>
        <v/>
      </c>
      <c r="G99" s="93" t="str">
        <f>IF('Lighting Inventory'!G56="", "", IF('Lighting Inventory'!G56="Air Conditioned", "Y", "N"))</f>
        <v/>
      </c>
      <c r="H99" s="94">
        <f>'Lighting Inventory'!H56</f>
        <v>0</v>
      </c>
      <c r="I99" s="468" t="str">
        <f>IF('Lighting Inventory'!J56="", "", 'Lighting Inventory'!J56)</f>
        <v/>
      </c>
      <c r="J99" s="468" t="str">
        <f>IF('Lighting Inventory'!K56="", "", 'Lighting Inventory'!K56)</f>
        <v/>
      </c>
      <c r="K99" s="1186" t="str">
        <f>IF('Lighting Inventory'!S56="", "", 'Lighting Inventory'!S56)</f>
        <v/>
      </c>
      <c r="L99" s="1186"/>
      <c r="M99" s="1187" t="str">
        <f>IF('Lighting Inventory'!E56="", "", 'Lighting Inventory'!W56)</f>
        <v/>
      </c>
      <c r="N99" s="1187"/>
      <c r="O99" s="1187"/>
      <c r="P99" s="1187"/>
      <c r="Q99" s="1187"/>
      <c r="R99" s="468" t="str">
        <f>IF('Lighting Inventory'!AE56="", "", 'Lighting Inventory'!AE56)</f>
        <v/>
      </c>
      <c r="S99" s="95" t="str">
        <f>IF('Lighting Inventory'!AN56="", "", 'Lighting Inventory'!AN56)</f>
        <v/>
      </c>
      <c r="T99" s="1186"/>
      <c r="U99" s="1186"/>
      <c r="V99" s="1186"/>
      <c r="W99" s="1186"/>
      <c r="X99" s="1186"/>
      <c r="Y99" s="1186"/>
      <c r="Z99" s="1186"/>
    </row>
    <row r="100" spans="1:26" ht="11.25" customHeight="1" x14ac:dyDescent="0.25">
      <c r="A100" s="89">
        <v>47</v>
      </c>
      <c r="B100" s="469">
        <f>'Lighting Inventory'!I57</f>
        <v>0</v>
      </c>
      <c r="C100" s="1188" t="str">
        <f>IF('Lighting Inventory'!D57="", "", 'Lighting Inventory'!D57)</f>
        <v/>
      </c>
      <c r="D100" s="1188"/>
      <c r="E100" s="1188"/>
      <c r="F100" s="469" t="str">
        <f>IF('Lighting Inventory'!E57="", "", 'Lighting Inventory'!E57)</f>
        <v/>
      </c>
      <c r="G100" s="89" t="str">
        <f>IF('Lighting Inventory'!G57="", "", IF('Lighting Inventory'!G57="Air Conditioned", "Y", "N"))</f>
        <v/>
      </c>
      <c r="H100" s="90">
        <f>'Lighting Inventory'!H57</f>
        <v>0</v>
      </c>
      <c r="I100" s="469" t="str">
        <f>IF('Lighting Inventory'!J57="", "", 'Lighting Inventory'!J57)</f>
        <v/>
      </c>
      <c r="J100" s="91" t="str">
        <f>IF('Lighting Inventory'!K57="", "", 'Lighting Inventory'!K57)</f>
        <v/>
      </c>
      <c r="K100" s="1188" t="str">
        <f>IF('Lighting Inventory'!S57="", "", 'Lighting Inventory'!S57)</f>
        <v/>
      </c>
      <c r="L100" s="1188"/>
      <c r="M100" s="1189" t="str">
        <f>IF('Lighting Inventory'!E57="", "", 'Lighting Inventory'!W57)</f>
        <v/>
      </c>
      <c r="N100" s="1189"/>
      <c r="O100" s="1189"/>
      <c r="P100" s="1189"/>
      <c r="Q100" s="1189"/>
      <c r="R100" s="469" t="str">
        <f>IF('Lighting Inventory'!AE57="", "", 'Lighting Inventory'!AE57)</f>
        <v/>
      </c>
      <c r="S100" s="92" t="str">
        <f>IF('Lighting Inventory'!AN57="", "", 'Lighting Inventory'!AN57)</f>
        <v/>
      </c>
      <c r="T100" s="1188"/>
      <c r="U100" s="1188"/>
      <c r="V100" s="1188"/>
      <c r="W100" s="1188"/>
      <c r="X100" s="1188"/>
      <c r="Y100" s="1188"/>
      <c r="Z100" s="1188"/>
    </row>
    <row r="101" spans="1:26" ht="11.25" customHeight="1" x14ac:dyDescent="0.25">
      <c r="A101" s="93">
        <v>48</v>
      </c>
      <c r="B101" s="468">
        <f>'Lighting Inventory'!I58</f>
        <v>0</v>
      </c>
      <c r="C101" s="1186" t="str">
        <f>IF('Lighting Inventory'!D58="", "", 'Lighting Inventory'!D58)</f>
        <v/>
      </c>
      <c r="D101" s="1186"/>
      <c r="E101" s="1186"/>
      <c r="F101" s="468" t="str">
        <f>IF('Lighting Inventory'!E58="", "", 'Lighting Inventory'!E58)</f>
        <v/>
      </c>
      <c r="G101" s="93" t="str">
        <f>IF('Lighting Inventory'!G58="", "", IF('Lighting Inventory'!G58="Air Conditioned", "Y", "N"))</f>
        <v/>
      </c>
      <c r="H101" s="94">
        <f>'Lighting Inventory'!H58</f>
        <v>0</v>
      </c>
      <c r="I101" s="468" t="str">
        <f>IF('Lighting Inventory'!J58="", "", 'Lighting Inventory'!J58)</f>
        <v/>
      </c>
      <c r="J101" s="468" t="str">
        <f>IF('Lighting Inventory'!K58="", "", 'Lighting Inventory'!K58)</f>
        <v/>
      </c>
      <c r="K101" s="1186" t="str">
        <f>IF('Lighting Inventory'!S58="", "", 'Lighting Inventory'!S58)</f>
        <v/>
      </c>
      <c r="L101" s="1186"/>
      <c r="M101" s="1187" t="str">
        <f>IF('Lighting Inventory'!E58="", "", 'Lighting Inventory'!W58)</f>
        <v/>
      </c>
      <c r="N101" s="1187"/>
      <c r="O101" s="1187"/>
      <c r="P101" s="1187"/>
      <c r="Q101" s="1187"/>
      <c r="R101" s="468" t="str">
        <f>IF('Lighting Inventory'!AE58="", "", 'Lighting Inventory'!AE58)</f>
        <v/>
      </c>
      <c r="S101" s="95" t="str">
        <f>IF('Lighting Inventory'!AN58="", "", 'Lighting Inventory'!AN58)</f>
        <v/>
      </c>
      <c r="T101" s="1186"/>
      <c r="U101" s="1186"/>
      <c r="V101" s="1186"/>
      <c r="W101" s="1186"/>
      <c r="X101" s="1186"/>
      <c r="Y101" s="1186"/>
      <c r="Z101" s="1186"/>
    </row>
    <row r="102" spans="1:26" ht="11.25" customHeight="1" x14ac:dyDescent="0.25">
      <c r="A102" s="89">
        <v>49</v>
      </c>
      <c r="B102" s="469">
        <f>'Lighting Inventory'!I59</f>
        <v>0</v>
      </c>
      <c r="C102" s="1188" t="str">
        <f>IF('Lighting Inventory'!D59="", "", 'Lighting Inventory'!D59)</f>
        <v/>
      </c>
      <c r="D102" s="1188"/>
      <c r="E102" s="1188"/>
      <c r="F102" s="469" t="str">
        <f>IF('Lighting Inventory'!E59="", "", 'Lighting Inventory'!E59)</f>
        <v/>
      </c>
      <c r="G102" s="89" t="str">
        <f>IF('Lighting Inventory'!G59="", "", IF('Lighting Inventory'!G59="Air Conditioned", "Y", "N"))</f>
        <v/>
      </c>
      <c r="H102" s="90">
        <f>'Lighting Inventory'!H59</f>
        <v>0</v>
      </c>
      <c r="I102" s="469" t="str">
        <f>IF('Lighting Inventory'!J59="", "", 'Lighting Inventory'!J59)</f>
        <v/>
      </c>
      <c r="J102" s="91" t="str">
        <f>IF('Lighting Inventory'!K59="", "", 'Lighting Inventory'!K59)</f>
        <v/>
      </c>
      <c r="K102" s="1188" t="str">
        <f>IF('Lighting Inventory'!S59="", "", 'Lighting Inventory'!S59)</f>
        <v/>
      </c>
      <c r="L102" s="1188"/>
      <c r="M102" s="1189" t="str">
        <f>IF('Lighting Inventory'!E59="", "", 'Lighting Inventory'!W59)</f>
        <v/>
      </c>
      <c r="N102" s="1189"/>
      <c r="O102" s="1189"/>
      <c r="P102" s="1189"/>
      <c r="Q102" s="1189"/>
      <c r="R102" s="469" t="str">
        <f>IF('Lighting Inventory'!AE59="", "", 'Lighting Inventory'!AE59)</f>
        <v/>
      </c>
      <c r="S102" s="92" t="str">
        <f>IF('Lighting Inventory'!AN59="", "", 'Lighting Inventory'!AN59)</f>
        <v/>
      </c>
      <c r="T102" s="1188"/>
      <c r="U102" s="1188"/>
      <c r="V102" s="1188"/>
      <c r="W102" s="1188"/>
      <c r="X102" s="1188"/>
      <c r="Y102" s="1188"/>
      <c r="Z102" s="1188"/>
    </row>
    <row r="103" spans="1:26" ht="11.25" customHeight="1" x14ac:dyDescent="0.25">
      <c r="A103" s="93">
        <v>50</v>
      </c>
      <c r="B103" s="468">
        <f>'Lighting Inventory'!I60</f>
        <v>0</v>
      </c>
      <c r="C103" s="1186" t="str">
        <f>IF('Lighting Inventory'!D60="", "", 'Lighting Inventory'!D60)</f>
        <v/>
      </c>
      <c r="D103" s="1186"/>
      <c r="E103" s="1186"/>
      <c r="F103" s="468" t="str">
        <f>IF('Lighting Inventory'!E60="", "", 'Lighting Inventory'!E60)</f>
        <v/>
      </c>
      <c r="G103" s="93" t="str">
        <f>IF('Lighting Inventory'!G60="", "", IF('Lighting Inventory'!G60="Air Conditioned", "Y", "N"))</f>
        <v/>
      </c>
      <c r="H103" s="94">
        <f>'Lighting Inventory'!H60</f>
        <v>0</v>
      </c>
      <c r="I103" s="468" t="str">
        <f>IF('Lighting Inventory'!J60="", "", 'Lighting Inventory'!J60)</f>
        <v/>
      </c>
      <c r="J103" s="468" t="str">
        <f>IF('Lighting Inventory'!K60="", "", 'Lighting Inventory'!K60)</f>
        <v/>
      </c>
      <c r="K103" s="1186" t="str">
        <f>IF('Lighting Inventory'!S60="", "", 'Lighting Inventory'!S60)</f>
        <v/>
      </c>
      <c r="L103" s="1186"/>
      <c r="M103" s="1187" t="str">
        <f>IF('Lighting Inventory'!E60="", "", 'Lighting Inventory'!W60)</f>
        <v/>
      </c>
      <c r="N103" s="1187"/>
      <c r="O103" s="1187"/>
      <c r="P103" s="1187"/>
      <c r="Q103" s="1187"/>
      <c r="R103" s="468" t="str">
        <f>IF('Lighting Inventory'!AE60="", "", 'Lighting Inventory'!AE60)</f>
        <v/>
      </c>
      <c r="S103" s="95" t="str">
        <f>IF('Lighting Inventory'!AN60="", "", 'Lighting Inventory'!AN60)</f>
        <v/>
      </c>
      <c r="T103" s="1186"/>
      <c r="U103" s="1186"/>
      <c r="V103" s="1186"/>
      <c r="W103" s="1186"/>
      <c r="X103" s="1186"/>
      <c r="Y103" s="1186"/>
      <c r="Z103" s="1186"/>
    </row>
    <row r="104" spans="1:26" ht="11.25" customHeight="1" x14ac:dyDescent="0.25">
      <c r="A104" s="89">
        <v>51</v>
      </c>
      <c r="B104" s="469">
        <f>'Lighting Inventory'!I61</f>
        <v>0</v>
      </c>
      <c r="C104" s="1188" t="str">
        <f>IF('Lighting Inventory'!D61="", "", 'Lighting Inventory'!D61)</f>
        <v/>
      </c>
      <c r="D104" s="1188"/>
      <c r="E104" s="1188"/>
      <c r="F104" s="469" t="str">
        <f>IF('Lighting Inventory'!E61="", "", 'Lighting Inventory'!E61)</f>
        <v/>
      </c>
      <c r="G104" s="89" t="str">
        <f>IF('Lighting Inventory'!G61="", "", IF('Lighting Inventory'!G61="Air Conditioned", "Y", "N"))</f>
        <v/>
      </c>
      <c r="H104" s="90">
        <f>'Lighting Inventory'!H61</f>
        <v>0</v>
      </c>
      <c r="I104" s="469" t="str">
        <f>IF('Lighting Inventory'!J61="", "", 'Lighting Inventory'!J61)</f>
        <v/>
      </c>
      <c r="J104" s="91" t="str">
        <f>IF('Lighting Inventory'!K61="", "", 'Lighting Inventory'!K61)</f>
        <v/>
      </c>
      <c r="K104" s="1188" t="str">
        <f>IF('Lighting Inventory'!S61="", "", 'Lighting Inventory'!S61)</f>
        <v/>
      </c>
      <c r="L104" s="1188"/>
      <c r="M104" s="1189" t="str">
        <f>IF('Lighting Inventory'!E61="", "", 'Lighting Inventory'!W61)</f>
        <v/>
      </c>
      <c r="N104" s="1189"/>
      <c r="O104" s="1189"/>
      <c r="P104" s="1189"/>
      <c r="Q104" s="1189"/>
      <c r="R104" s="469" t="str">
        <f>IF('Lighting Inventory'!AE61="", "", 'Lighting Inventory'!AE61)</f>
        <v/>
      </c>
      <c r="S104" s="92" t="str">
        <f>IF('Lighting Inventory'!AN61="", "", 'Lighting Inventory'!AN61)</f>
        <v/>
      </c>
      <c r="T104" s="1188"/>
      <c r="U104" s="1188"/>
      <c r="V104" s="1188"/>
      <c r="W104" s="1188"/>
      <c r="X104" s="1188"/>
      <c r="Y104" s="1188"/>
      <c r="Z104" s="1188"/>
    </row>
    <row r="105" spans="1:26" ht="11.25" customHeight="1" x14ac:dyDescent="0.25">
      <c r="A105" s="93">
        <v>52</v>
      </c>
      <c r="B105" s="468">
        <f>'Lighting Inventory'!I62</f>
        <v>0</v>
      </c>
      <c r="C105" s="1186" t="str">
        <f>IF('Lighting Inventory'!D62="", "", 'Lighting Inventory'!D62)</f>
        <v/>
      </c>
      <c r="D105" s="1186"/>
      <c r="E105" s="1186"/>
      <c r="F105" s="468" t="str">
        <f>IF('Lighting Inventory'!E62="", "", 'Lighting Inventory'!E62)</f>
        <v/>
      </c>
      <c r="G105" s="93" t="str">
        <f>IF('Lighting Inventory'!G62="", "", IF('Lighting Inventory'!G62="Air Conditioned", "Y", "N"))</f>
        <v/>
      </c>
      <c r="H105" s="94">
        <f>'Lighting Inventory'!H62</f>
        <v>0</v>
      </c>
      <c r="I105" s="468" t="str">
        <f>IF('Lighting Inventory'!J62="", "", 'Lighting Inventory'!J62)</f>
        <v/>
      </c>
      <c r="J105" s="468" t="str">
        <f>IF('Lighting Inventory'!K62="", "", 'Lighting Inventory'!K62)</f>
        <v/>
      </c>
      <c r="K105" s="1186" t="str">
        <f>IF('Lighting Inventory'!S62="", "", 'Lighting Inventory'!S62)</f>
        <v/>
      </c>
      <c r="L105" s="1186"/>
      <c r="M105" s="1187" t="str">
        <f>IF('Lighting Inventory'!E62="", "", 'Lighting Inventory'!W62)</f>
        <v/>
      </c>
      <c r="N105" s="1187"/>
      <c r="O105" s="1187"/>
      <c r="P105" s="1187"/>
      <c r="Q105" s="1187"/>
      <c r="R105" s="468" t="str">
        <f>IF('Lighting Inventory'!AE62="", "", 'Lighting Inventory'!AE62)</f>
        <v/>
      </c>
      <c r="S105" s="95" t="str">
        <f>IF('Lighting Inventory'!AN62="", "", 'Lighting Inventory'!AN62)</f>
        <v/>
      </c>
      <c r="T105" s="1186"/>
      <c r="U105" s="1186"/>
      <c r="V105" s="1186"/>
      <c r="W105" s="1186"/>
      <c r="X105" s="1186"/>
      <c r="Y105" s="1186"/>
      <c r="Z105" s="1186"/>
    </row>
    <row r="106" spans="1:26" ht="11.25" customHeight="1" x14ac:dyDescent="0.25">
      <c r="A106" s="89">
        <v>53</v>
      </c>
      <c r="B106" s="469">
        <f>'Lighting Inventory'!I63</f>
        <v>0</v>
      </c>
      <c r="C106" s="1188" t="str">
        <f>IF('Lighting Inventory'!D63="", "", 'Lighting Inventory'!D63)</f>
        <v/>
      </c>
      <c r="D106" s="1188"/>
      <c r="E106" s="1188"/>
      <c r="F106" s="469" t="str">
        <f>IF('Lighting Inventory'!E63="", "", 'Lighting Inventory'!E63)</f>
        <v/>
      </c>
      <c r="G106" s="89" t="str">
        <f>IF('Lighting Inventory'!G63="", "", IF('Lighting Inventory'!G63="Air Conditioned", "Y", "N"))</f>
        <v/>
      </c>
      <c r="H106" s="90">
        <f>'Lighting Inventory'!H63</f>
        <v>0</v>
      </c>
      <c r="I106" s="469" t="str">
        <f>IF('Lighting Inventory'!J63="", "", 'Lighting Inventory'!J63)</f>
        <v/>
      </c>
      <c r="J106" s="91" t="str">
        <f>IF('Lighting Inventory'!K63="", "", 'Lighting Inventory'!K63)</f>
        <v/>
      </c>
      <c r="K106" s="1188" t="str">
        <f>IF('Lighting Inventory'!S63="", "", 'Lighting Inventory'!S63)</f>
        <v/>
      </c>
      <c r="L106" s="1188"/>
      <c r="M106" s="1189" t="str">
        <f>IF('Lighting Inventory'!E63="", "", 'Lighting Inventory'!W63)</f>
        <v/>
      </c>
      <c r="N106" s="1189"/>
      <c r="O106" s="1189"/>
      <c r="P106" s="1189"/>
      <c r="Q106" s="1189"/>
      <c r="R106" s="469" t="str">
        <f>IF('Lighting Inventory'!AE63="", "", 'Lighting Inventory'!AE63)</f>
        <v/>
      </c>
      <c r="S106" s="92" t="str">
        <f>IF('Lighting Inventory'!AN63="", "", 'Lighting Inventory'!AN63)</f>
        <v/>
      </c>
      <c r="T106" s="1188"/>
      <c r="U106" s="1188"/>
      <c r="V106" s="1188"/>
      <c r="W106" s="1188"/>
      <c r="X106" s="1188"/>
      <c r="Y106" s="1188"/>
      <c r="Z106" s="1188"/>
    </row>
    <row r="107" spans="1:26" ht="11.25" customHeight="1" x14ac:dyDescent="0.25">
      <c r="A107" s="93">
        <v>54</v>
      </c>
      <c r="B107" s="468">
        <f>'Lighting Inventory'!I64</f>
        <v>0</v>
      </c>
      <c r="C107" s="1186" t="str">
        <f>IF('Lighting Inventory'!D64="", "", 'Lighting Inventory'!D64)</f>
        <v/>
      </c>
      <c r="D107" s="1186"/>
      <c r="E107" s="1186"/>
      <c r="F107" s="468" t="str">
        <f>IF('Lighting Inventory'!E64="", "", 'Lighting Inventory'!E64)</f>
        <v/>
      </c>
      <c r="G107" s="93" t="str">
        <f>IF('Lighting Inventory'!G64="", "", IF('Lighting Inventory'!G64="Air Conditioned", "Y", "N"))</f>
        <v/>
      </c>
      <c r="H107" s="94">
        <f>'Lighting Inventory'!H64</f>
        <v>0</v>
      </c>
      <c r="I107" s="468" t="str">
        <f>IF('Lighting Inventory'!J64="", "", 'Lighting Inventory'!J64)</f>
        <v/>
      </c>
      <c r="J107" s="468" t="str">
        <f>IF('Lighting Inventory'!K64="", "", 'Lighting Inventory'!K64)</f>
        <v/>
      </c>
      <c r="K107" s="1186" t="str">
        <f>IF('Lighting Inventory'!S64="", "", 'Lighting Inventory'!S64)</f>
        <v/>
      </c>
      <c r="L107" s="1186"/>
      <c r="M107" s="1187" t="str">
        <f>IF('Lighting Inventory'!E64="", "", 'Lighting Inventory'!W64)</f>
        <v/>
      </c>
      <c r="N107" s="1187"/>
      <c r="O107" s="1187"/>
      <c r="P107" s="1187"/>
      <c r="Q107" s="1187"/>
      <c r="R107" s="468" t="str">
        <f>IF('Lighting Inventory'!AE64="", "", 'Lighting Inventory'!AE64)</f>
        <v/>
      </c>
      <c r="S107" s="95" t="str">
        <f>IF('Lighting Inventory'!AN64="", "", 'Lighting Inventory'!AN64)</f>
        <v/>
      </c>
      <c r="T107" s="1186"/>
      <c r="U107" s="1186"/>
      <c r="V107" s="1186"/>
      <c r="W107" s="1186"/>
      <c r="X107" s="1186"/>
      <c r="Y107" s="1186"/>
      <c r="Z107" s="1186"/>
    </row>
    <row r="108" spans="1:26" ht="11.25" customHeight="1" x14ac:dyDescent="0.25">
      <c r="A108" s="89">
        <v>55</v>
      </c>
      <c r="B108" s="469">
        <f>'Lighting Inventory'!I65</f>
        <v>0</v>
      </c>
      <c r="C108" s="1188" t="str">
        <f>IF('Lighting Inventory'!D65="", "", 'Lighting Inventory'!D65)</f>
        <v/>
      </c>
      <c r="D108" s="1188"/>
      <c r="E108" s="1188"/>
      <c r="F108" s="469" t="str">
        <f>IF('Lighting Inventory'!E65="", "", 'Lighting Inventory'!E65)</f>
        <v/>
      </c>
      <c r="G108" s="89" t="str">
        <f>IF('Lighting Inventory'!G65="", "", IF('Lighting Inventory'!G65="Air Conditioned", "Y", "N"))</f>
        <v/>
      </c>
      <c r="H108" s="90">
        <f>'Lighting Inventory'!H65</f>
        <v>0</v>
      </c>
      <c r="I108" s="469" t="str">
        <f>IF('Lighting Inventory'!J65="", "", 'Lighting Inventory'!J65)</f>
        <v/>
      </c>
      <c r="J108" s="91" t="str">
        <f>IF('Lighting Inventory'!K65="", "", 'Lighting Inventory'!K65)</f>
        <v/>
      </c>
      <c r="K108" s="1188" t="str">
        <f>IF('Lighting Inventory'!S65="", "", 'Lighting Inventory'!S65)</f>
        <v/>
      </c>
      <c r="L108" s="1188"/>
      <c r="M108" s="1189" t="str">
        <f>IF('Lighting Inventory'!E65="", "", 'Lighting Inventory'!W65)</f>
        <v/>
      </c>
      <c r="N108" s="1189"/>
      <c r="O108" s="1189"/>
      <c r="P108" s="1189"/>
      <c r="Q108" s="1189"/>
      <c r="R108" s="469" t="str">
        <f>IF('Lighting Inventory'!AE65="", "", 'Lighting Inventory'!AE65)</f>
        <v/>
      </c>
      <c r="S108" s="92" t="str">
        <f>IF('Lighting Inventory'!AN65="", "", 'Lighting Inventory'!AN65)</f>
        <v/>
      </c>
      <c r="T108" s="1188"/>
      <c r="U108" s="1188"/>
      <c r="V108" s="1188"/>
      <c r="W108" s="1188"/>
      <c r="X108" s="1188"/>
      <c r="Y108" s="1188"/>
      <c r="Z108" s="1188"/>
    </row>
    <row r="109" spans="1:26" ht="11.25" customHeight="1" x14ac:dyDescent="0.25">
      <c r="A109" s="93">
        <v>56</v>
      </c>
      <c r="B109" s="468">
        <f>'Lighting Inventory'!I66</f>
        <v>0</v>
      </c>
      <c r="C109" s="1186" t="str">
        <f>IF('Lighting Inventory'!D66="", "", 'Lighting Inventory'!D66)</f>
        <v/>
      </c>
      <c r="D109" s="1186"/>
      <c r="E109" s="1186"/>
      <c r="F109" s="468" t="str">
        <f>IF('Lighting Inventory'!E66="", "", 'Lighting Inventory'!E66)</f>
        <v/>
      </c>
      <c r="G109" s="93" t="str">
        <f>IF('Lighting Inventory'!G66="", "", IF('Lighting Inventory'!G66="Air Conditioned", "Y", "N"))</f>
        <v/>
      </c>
      <c r="H109" s="94">
        <f>'Lighting Inventory'!H66</f>
        <v>0</v>
      </c>
      <c r="I109" s="468" t="str">
        <f>IF('Lighting Inventory'!J66="", "", 'Lighting Inventory'!J66)</f>
        <v/>
      </c>
      <c r="J109" s="468" t="str">
        <f>IF('Lighting Inventory'!K66="", "", 'Lighting Inventory'!K66)</f>
        <v/>
      </c>
      <c r="K109" s="1186" t="str">
        <f>IF('Lighting Inventory'!S66="", "", 'Lighting Inventory'!S66)</f>
        <v/>
      </c>
      <c r="L109" s="1186"/>
      <c r="M109" s="1187" t="str">
        <f>IF('Lighting Inventory'!E66="", "", 'Lighting Inventory'!W66)</f>
        <v/>
      </c>
      <c r="N109" s="1187"/>
      <c r="O109" s="1187"/>
      <c r="P109" s="1187"/>
      <c r="Q109" s="1187"/>
      <c r="R109" s="468" t="str">
        <f>IF('Lighting Inventory'!AE66="", "", 'Lighting Inventory'!AE66)</f>
        <v/>
      </c>
      <c r="S109" s="95" t="str">
        <f>IF('Lighting Inventory'!AN66="", "", 'Lighting Inventory'!AN66)</f>
        <v/>
      </c>
      <c r="T109" s="1186"/>
      <c r="U109" s="1186"/>
      <c r="V109" s="1186"/>
      <c r="W109" s="1186"/>
      <c r="X109" s="1186"/>
      <c r="Y109" s="1186"/>
      <c r="Z109" s="1186"/>
    </row>
    <row r="110" spans="1:26" ht="11.25" customHeight="1" x14ac:dyDescent="0.25">
      <c r="A110" s="89">
        <v>57</v>
      </c>
      <c r="B110" s="469">
        <f>'Lighting Inventory'!I67</f>
        <v>0</v>
      </c>
      <c r="C110" s="1188" t="str">
        <f>IF('Lighting Inventory'!D67="", "", 'Lighting Inventory'!D67)</f>
        <v/>
      </c>
      <c r="D110" s="1188"/>
      <c r="E110" s="1188"/>
      <c r="F110" s="469" t="str">
        <f>IF('Lighting Inventory'!E67="", "", 'Lighting Inventory'!E67)</f>
        <v/>
      </c>
      <c r="G110" s="89" t="str">
        <f>IF('Lighting Inventory'!G67="", "", IF('Lighting Inventory'!G67="Air Conditioned", "Y", "N"))</f>
        <v/>
      </c>
      <c r="H110" s="90">
        <f>'Lighting Inventory'!H67</f>
        <v>0</v>
      </c>
      <c r="I110" s="469" t="str">
        <f>IF('Lighting Inventory'!J67="", "", 'Lighting Inventory'!J67)</f>
        <v/>
      </c>
      <c r="J110" s="91" t="str">
        <f>IF('Lighting Inventory'!K67="", "", 'Lighting Inventory'!K67)</f>
        <v/>
      </c>
      <c r="K110" s="1188" t="str">
        <f>IF('Lighting Inventory'!S67="", "", 'Lighting Inventory'!S67)</f>
        <v/>
      </c>
      <c r="L110" s="1188"/>
      <c r="M110" s="1189" t="str">
        <f>IF('Lighting Inventory'!E67="", "", 'Lighting Inventory'!W67)</f>
        <v/>
      </c>
      <c r="N110" s="1189"/>
      <c r="O110" s="1189"/>
      <c r="P110" s="1189"/>
      <c r="Q110" s="1189"/>
      <c r="R110" s="469" t="str">
        <f>IF('Lighting Inventory'!AE67="", "", 'Lighting Inventory'!AE67)</f>
        <v/>
      </c>
      <c r="S110" s="92" t="str">
        <f>IF('Lighting Inventory'!AN67="", "", 'Lighting Inventory'!AN67)</f>
        <v/>
      </c>
      <c r="T110" s="1188"/>
      <c r="U110" s="1188"/>
      <c r="V110" s="1188"/>
      <c r="W110" s="1188"/>
      <c r="X110" s="1188"/>
      <c r="Y110" s="1188"/>
      <c r="Z110" s="1188"/>
    </row>
    <row r="111" spans="1:26" ht="11.25" customHeight="1" x14ac:dyDescent="0.25">
      <c r="A111" s="93">
        <v>58</v>
      </c>
      <c r="B111" s="468">
        <f>'Lighting Inventory'!I68</f>
        <v>0</v>
      </c>
      <c r="C111" s="1186" t="str">
        <f>IF('Lighting Inventory'!D68="", "", 'Lighting Inventory'!D68)</f>
        <v/>
      </c>
      <c r="D111" s="1186"/>
      <c r="E111" s="1186"/>
      <c r="F111" s="468" t="str">
        <f>IF('Lighting Inventory'!E68="", "", 'Lighting Inventory'!E68)</f>
        <v/>
      </c>
      <c r="G111" s="93" t="str">
        <f>IF('Lighting Inventory'!G68="", "", IF('Lighting Inventory'!G68="Air Conditioned", "Y", "N"))</f>
        <v/>
      </c>
      <c r="H111" s="94">
        <f>'Lighting Inventory'!H68</f>
        <v>0</v>
      </c>
      <c r="I111" s="468" t="str">
        <f>IF('Lighting Inventory'!J68="", "", 'Lighting Inventory'!J68)</f>
        <v/>
      </c>
      <c r="J111" s="468" t="str">
        <f>IF('Lighting Inventory'!K68="", "", 'Lighting Inventory'!K68)</f>
        <v/>
      </c>
      <c r="K111" s="1186" t="str">
        <f>IF('Lighting Inventory'!S68="", "", 'Lighting Inventory'!S68)</f>
        <v/>
      </c>
      <c r="L111" s="1186"/>
      <c r="M111" s="1187" t="str">
        <f>IF('Lighting Inventory'!E68="", "", 'Lighting Inventory'!W68)</f>
        <v/>
      </c>
      <c r="N111" s="1187"/>
      <c r="O111" s="1187"/>
      <c r="P111" s="1187"/>
      <c r="Q111" s="1187"/>
      <c r="R111" s="468" t="str">
        <f>IF('Lighting Inventory'!AE68="", "", 'Lighting Inventory'!AE68)</f>
        <v/>
      </c>
      <c r="S111" s="95" t="str">
        <f>IF('Lighting Inventory'!AN68="", "", 'Lighting Inventory'!AN68)</f>
        <v/>
      </c>
      <c r="T111" s="1186"/>
      <c r="U111" s="1186"/>
      <c r="V111" s="1186"/>
      <c r="W111" s="1186"/>
      <c r="X111" s="1186"/>
      <c r="Y111" s="1186"/>
      <c r="Z111" s="1186"/>
    </row>
    <row r="112" spans="1:26" ht="11.25" customHeight="1" x14ac:dyDescent="0.25">
      <c r="A112" s="89">
        <v>59</v>
      </c>
      <c r="B112" s="469">
        <f>'Lighting Inventory'!I69</f>
        <v>0</v>
      </c>
      <c r="C112" s="1188" t="str">
        <f>IF('Lighting Inventory'!D69="", "", 'Lighting Inventory'!D69)</f>
        <v/>
      </c>
      <c r="D112" s="1188"/>
      <c r="E112" s="1188"/>
      <c r="F112" s="469" t="str">
        <f>IF('Lighting Inventory'!E69="", "", 'Lighting Inventory'!E69)</f>
        <v/>
      </c>
      <c r="G112" s="89" t="str">
        <f>IF('Lighting Inventory'!G69="", "", IF('Lighting Inventory'!G69="Air Conditioned", "Y", "N"))</f>
        <v/>
      </c>
      <c r="H112" s="90">
        <f>'Lighting Inventory'!H69</f>
        <v>0</v>
      </c>
      <c r="I112" s="469" t="str">
        <f>IF('Lighting Inventory'!J69="", "", 'Lighting Inventory'!J69)</f>
        <v/>
      </c>
      <c r="J112" s="91" t="str">
        <f>IF('Lighting Inventory'!K69="", "", 'Lighting Inventory'!K69)</f>
        <v/>
      </c>
      <c r="K112" s="1188" t="str">
        <f>IF('Lighting Inventory'!S69="", "", 'Lighting Inventory'!S69)</f>
        <v/>
      </c>
      <c r="L112" s="1188"/>
      <c r="M112" s="1189" t="str">
        <f>IF('Lighting Inventory'!E69="", "", 'Lighting Inventory'!W69)</f>
        <v/>
      </c>
      <c r="N112" s="1189"/>
      <c r="O112" s="1189"/>
      <c r="P112" s="1189"/>
      <c r="Q112" s="1189"/>
      <c r="R112" s="469" t="str">
        <f>IF('Lighting Inventory'!AE69="", "", 'Lighting Inventory'!AE69)</f>
        <v/>
      </c>
      <c r="S112" s="92" t="str">
        <f>IF('Lighting Inventory'!AN69="", "", 'Lighting Inventory'!AN69)</f>
        <v/>
      </c>
      <c r="T112" s="1188"/>
      <c r="U112" s="1188"/>
      <c r="V112" s="1188"/>
      <c r="W112" s="1188"/>
      <c r="X112" s="1188"/>
      <c r="Y112" s="1188"/>
      <c r="Z112" s="1188"/>
    </row>
    <row r="113" spans="1:26" ht="11.25" customHeight="1" x14ac:dyDescent="0.25">
      <c r="A113" s="93">
        <v>60</v>
      </c>
      <c r="B113" s="468">
        <f>'Lighting Inventory'!I70</f>
        <v>0</v>
      </c>
      <c r="C113" s="1186" t="str">
        <f>IF('Lighting Inventory'!D70="", "", 'Lighting Inventory'!D70)</f>
        <v/>
      </c>
      <c r="D113" s="1186"/>
      <c r="E113" s="1186"/>
      <c r="F113" s="468" t="str">
        <f>IF('Lighting Inventory'!E70="", "", 'Lighting Inventory'!E70)</f>
        <v/>
      </c>
      <c r="G113" s="93" t="str">
        <f>IF('Lighting Inventory'!G70="", "", IF('Lighting Inventory'!G70="Air Conditioned", "Y", "N"))</f>
        <v/>
      </c>
      <c r="H113" s="94">
        <f>'Lighting Inventory'!H70</f>
        <v>0</v>
      </c>
      <c r="I113" s="468" t="str">
        <f>IF('Lighting Inventory'!J70="", "", 'Lighting Inventory'!J70)</f>
        <v/>
      </c>
      <c r="J113" s="468" t="str">
        <f>IF('Lighting Inventory'!K70="", "", 'Lighting Inventory'!K70)</f>
        <v/>
      </c>
      <c r="K113" s="1186" t="str">
        <f>IF('Lighting Inventory'!S70="", "", 'Lighting Inventory'!S70)</f>
        <v/>
      </c>
      <c r="L113" s="1186"/>
      <c r="M113" s="1187" t="str">
        <f>IF('Lighting Inventory'!E70="", "", 'Lighting Inventory'!W70)</f>
        <v/>
      </c>
      <c r="N113" s="1187"/>
      <c r="O113" s="1187"/>
      <c r="P113" s="1187"/>
      <c r="Q113" s="1187"/>
      <c r="R113" s="468" t="str">
        <f>IF('Lighting Inventory'!AE70="", "", 'Lighting Inventory'!AE70)</f>
        <v/>
      </c>
      <c r="S113" s="95" t="str">
        <f>IF('Lighting Inventory'!AN70="", "", 'Lighting Inventory'!AN70)</f>
        <v/>
      </c>
      <c r="T113" s="1186"/>
      <c r="U113" s="1186"/>
      <c r="V113" s="1186"/>
      <c r="W113" s="1186"/>
      <c r="X113" s="1186"/>
      <c r="Y113" s="1186"/>
      <c r="Z113" s="1186"/>
    </row>
    <row r="114" spans="1:26" ht="11.25" customHeight="1" x14ac:dyDescent="0.25">
      <c r="A114" s="89">
        <v>61</v>
      </c>
      <c r="B114" s="469">
        <f>'Lighting Inventory'!I71</f>
        <v>0</v>
      </c>
      <c r="C114" s="1188" t="str">
        <f>IF('Lighting Inventory'!D71="", "", 'Lighting Inventory'!D71)</f>
        <v/>
      </c>
      <c r="D114" s="1188"/>
      <c r="E114" s="1188"/>
      <c r="F114" s="469" t="str">
        <f>IF('Lighting Inventory'!E71="", "", 'Lighting Inventory'!E71)</f>
        <v/>
      </c>
      <c r="G114" s="89" t="str">
        <f>IF('Lighting Inventory'!G71="", "", IF('Lighting Inventory'!G71="Air Conditioned", "Y", "N"))</f>
        <v/>
      </c>
      <c r="H114" s="90">
        <f>'Lighting Inventory'!H71</f>
        <v>0</v>
      </c>
      <c r="I114" s="469" t="str">
        <f>IF('Lighting Inventory'!J71="", "", 'Lighting Inventory'!J71)</f>
        <v/>
      </c>
      <c r="J114" s="91" t="str">
        <f>IF('Lighting Inventory'!K71="", "", 'Lighting Inventory'!K71)</f>
        <v/>
      </c>
      <c r="K114" s="1188" t="str">
        <f>IF('Lighting Inventory'!S71="", "", 'Lighting Inventory'!S71)</f>
        <v/>
      </c>
      <c r="L114" s="1188"/>
      <c r="M114" s="1189" t="str">
        <f>IF('Lighting Inventory'!E71="", "", 'Lighting Inventory'!W71)</f>
        <v/>
      </c>
      <c r="N114" s="1189"/>
      <c r="O114" s="1189"/>
      <c r="P114" s="1189"/>
      <c r="Q114" s="1189"/>
      <c r="R114" s="469" t="str">
        <f>IF('Lighting Inventory'!AE71="", "", 'Lighting Inventory'!AE71)</f>
        <v/>
      </c>
      <c r="S114" s="92" t="str">
        <f>IF('Lighting Inventory'!AN71="", "", 'Lighting Inventory'!AN71)</f>
        <v/>
      </c>
      <c r="T114" s="1188"/>
      <c r="U114" s="1188"/>
      <c r="V114" s="1188"/>
      <c r="W114" s="1188"/>
      <c r="X114" s="1188"/>
      <c r="Y114" s="1188"/>
      <c r="Z114" s="1188"/>
    </row>
    <row r="115" spans="1:26" ht="11.25" customHeight="1" x14ac:dyDescent="0.25">
      <c r="A115" s="93">
        <v>62</v>
      </c>
      <c r="B115" s="468">
        <f>'Lighting Inventory'!I72</f>
        <v>0</v>
      </c>
      <c r="C115" s="1186" t="str">
        <f>IF('Lighting Inventory'!D72="", "", 'Lighting Inventory'!D72)</f>
        <v/>
      </c>
      <c r="D115" s="1186"/>
      <c r="E115" s="1186"/>
      <c r="F115" s="468" t="str">
        <f>IF('Lighting Inventory'!E72="", "", 'Lighting Inventory'!E72)</f>
        <v/>
      </c>
      <c r="G115" s="93" t="str">
        <f>IF('Lighting Inventory'!G72="", "", IF('Lighting Inventory'!G72="Air Conditioned", "Y", "N"))</f>
        <v/>
      </c>
      <c r="H115" s="94">
        <f>'Lighting Inventory'!H72</f>
        <v>0</v>
      </c>
      <c r="I115" s="468" t="str">
        <f>IF('Lighting Inventory'!J72="", "", 'Lighting Inventory'!J72)</f>
        <v/>
      </c>
      <c r="J115" s="468" t="str">
        <f>IF('Lighting Inventory'!K72="", "", 'Lighting Inventory'!K72)</f>
        <v/>
      </c>
      <c r="K115" s="1186" t="str">
        <f>IF('Lighting Inventory'!S72="", "", 'Lighting Inventory'!S72)</f>
        <v/>
      </c>
      <c r="L115" s="1186"/>
      <c r="M115" s="1187" t="str">
        <f>IF('Lighting Inventory'!E72="", "", 'Lighting Inventory'!W72)</f>
        <v/>
      </c>
      <c r="N115" s="1187"/>
      <c r="O115" s="1187"/>
      <c r="P115" s="1187"/>
      <c r="Q115" s="1187"/>
      <c r="R115" s="468" t="str">
        <f>IF('Lighting Inventory'!AE72="", "", 'Lighting Inventory'!AE72)</f>
        <v/>
      </c>
      <c r="S115" s="95" t="str">
        <f>IF('Lighting Inventory'!AN72="", "", 'Lighting Inventory'!AN72)</f>
        <v/>
      </c>
      <c r="T115" s="1186"/>
      <c r="U115" s="1186"/>
      <c r="V115" s="1186"/>
      <c r="W115" s="1186"/>
      <c r="X115" s="1186"/>
      <c r="Y115" s="1186"/>
      <c r="Z115" s="1186"/>
    </row>
    <row r="116" spans="1:26" ht="11.25" customHeight="1" x14ac:dyDescent="0.25">
      <c r="A116" s="89">
        <v>63</v>
      </c>
      <c r="B116" s="469">
        <f>'Lighting Inventory'!I73</f>
        <v>0</v>
      </c>
      <c r="C116" s="1188" t="str">
        <f>IF('Lighting Inventory'!D73="", "", 'Lighting Inventory'!D73)</f>
        <v/>
      </c>
      <c r="D116" s="1188"/>
      <c r="E116" s="1188"/>
      <c r="F116" s="469" t="str">
        <f>IF('Lighting Inventory'!E73="", "", 'Lighting Inventory'!E73)</f>
        <v/>
      </c>
      <c r="G116" s="89" t="str">
        <f>IF('Lighting Inventory'!G73="", "", IF('Lighting Inventory'!G73="Air Conditioned", "Y", "N"))</f>
        <v/>
      </c>
      <c r="H116" s="90">
        <f>'Lighting Inventory'!H73</f>
        <v>0</v>
      </c>
      <c r="I116" s="469" t="str">
        <f>IF('Lighting Inventory'!J73="", "", 'Lighting Inventory'!J73)</f>
        <v/>
      </c>
      <c r="J116" s="91" t="str">
        <f>IF('Lighting Inventory'!K73="", "", 'Lighting Inventory'!K73)</f>
        <v/>
      </c>
      <c r="K116" s="1188" t="str">
        <f>IF('Lighting Inventory'!S73="", "", 'Lighting Inventory'!S73)</f>
        <v/>
      </c>
      <c r="L116" s="1188"/>
      <c r="M116" s="1189" t="str">
        <f>IF('Lighting Inventory'!E73="", "", 'Lighting Inventory'!W73)</f>
        <v/>
      </c>
      <c r="N116" s="1189"/>
      <c r="O116" s="1189"/>
      <c r="P116" s="1189"/>
      <c r="Q116" s="1189"/>
      <c r="R116" s="469" t="str">
        <f>IF('Lighting Inventory'!AE73="", "", 'Lighting Inventory'!AE73)</f>
        <v/>
      </c>
      <c r="S116" s="92" t="str">
        <f>IF('Lighting Inventory'!AN73="", "", 'Lighting Inventory'!AN73)</f>
        <v/>
      </c>
      <c r="T116" s="1188"/>
      <c r="U116" s="1188"/>
      <c r="V116" s="1188"/>
      <c r="W116" s="1188"/>
      <c r="X116" s="1188"/>
      <c r="Y116" s="1188"/>
      <c r="Z116" s="1188"/>
    </row>
    <row r="117" spans="1:26" ht="11.25" customHeight="1" x14ac:dyDescent="0.25">
      <c r="A117" s="93">
        <v>64</v>
      </c>
      <c r="B117" s="468">
        <f>'Lighting Inventory'!I74</f>
        <v>0</v>
      </c>
      <c r="C117" s="1186" t="str">
        <f>IF('Lighting Inventory'!D74="", "", 'Lighting Inventory'!D74)</f>
        <v/>
      </c>
      <c r="D117" s="1186"/>
      <c r="E117" s="1186"/>
      <c r="F117" s="468" t="str">
        <f>IF('Lighting Inventory'!E74="", "", 'Lighting Inventory'!E74)</f>
        <v/>
      </c>
      <c r="G117" s="93" t="str">
        <f>IF('Lighting Inventory'!G74="", "", IF('Lighting Inventory'!G74="Air Conditioned", "Y", "N"))</f>
        <v/>
      </c>
      <c r="H117" s="94">
        <f>'Lighting Inventory'!H74</f>
        <v>0</v>
      </c>
      <c r="I117" s="468" t="str">
        <f>IF('Lighting Inventory'!J74="", "", 'Lighting Inventory'!J74)</f>
        <v/>
      </c>
      <c r="J117" s="468" t="str">
        <f>IF('Lighting Inventory'!K74="", "", 'Lighting Inventory'!K74)</f>
        <v/>
      </c>
      <c r="K117" s="1186" t="str">
        <f>IF('Lighting Inventory'!S74="", "", 'Lighting Inventory'!S74)</f>
        <v/>
      </c>
      <c r="L117" s="1186"/>
      <c r="M117" s="1187" t="str">
        <f>IF('Lighting Inventory'!E74="", "", 'Lighting Inventory'!W74)</f>
        <v/>
      </c>
      <c r="N117" s="1187"/>
      <c r="O117" s="1187"/>
      <c r="P117" s="1187"/>
      <c r="Q117" s="1187"/>
      <c r="R117" s="468" t="str">
        <f>IF('Lighting Inventory'!AE74="", "", 'Lighting Inventory'!AE74)</f>
        <v/>
      </c>
      <c r="S117" s="95" t="str">
        <f>IF('Lighting Inventory'!AN74="", "", 'Lighting Inventory'!AN74)</f>
        <v/>
      </c>
      <c r="T117" s="1186"/>
      <c r="U117" s="1186"/>
      <c r="V117" s="1186"/>
      <c r="W117" s="1186"/>
      <c r="X117" s="1186"/>
      <c r="Y117" s="1186"/>
      <c r="Z117" s="1186"/>
    </row>
    <row r="118" spans="1:26" ht="11.25" customHeight="1" x14ac:dyDescent="0.25">
      <c r="A118" s="89">
        <v>65</v>
      </c>
      <c r="B118" s="469">
        <f>'Lighting Inventory'!I75</f>
        <v>0</v>
      </c>
      <c r="C118" s="1188" t="str">
        <f>IF('Lighting Inventory'!D75="", "", 'Lighting Inventory'!D75)</f>
        <v/>
      </c>
      <c r="D118" s="1188"/>
      <c r="E118" s="1188"/>
      <c r="F118" s="469" t="str">
        <f>IF('Lighting Inventory'!E75="", "", 'Lighting Inventory'!E75)</f>
        <v/>
      </c>
      <c r="G118" s="89" t="str">
        <f>IF('Lighting Inventory'!G75="", "", IF('Lighting Inventory'!G75="Air Conditioned", "Y", "N"))</f>
        <v/>
      </c>
      <c r="H118" s="90">
        <f>'Lighting Inventory'!H75</f>
        <v>0</v>
      </c>
      <c r="I118" s="469" t="str">
        <f>IF('Lighting Inventory'!J75="", "", 'Lighting Inventory'!J75)</f>
        <v/>
      </c>
      <c r="J118" s="91" t="str">
        <f>IF('Lighting Inventory'!K75="", "", 'Lighting Inventory'!K75)</f>
        <v/>
      </c>
      <c r="K118" s="1188" t="str">
        <f>IF('Lighting Inventory'!S75="", "", 'Lighting Inventory'!S75)</f>
        <v/>
      </c>
      <c r="L118" s="1188"/>
      <c r="M118" s="1189" t="str">
        <f>IF('Lighting Inventory'!E75="", "", 'Lighting Inventory'!W75)</f>
        <v/>
      </c>
      <c r="N118" s="1189"/>
      <c r="O118" s="1189"/>
      <c r="P118" s="1189"/>
      <c r="Q118" s="1189"/>
      <c r="R118" s="469" t="str">
        <f>IF('Lighting Inventory'!AE75="", "", 'Lighting Inventory'!AE75)</f>
        <v/>
      </c>
      <c r="S118" s="92" t="str">
        <f>IF('Lighting Inventory'!AN75="", "", 'Lighting Inventory'!AN75)</f>
        <v/>
      </c>
      <c r="T118" s="1188"/>
      <c r="U118" s="1188"/>
      <c r="V118" s="1188"/>
      <c r="W118" s="1188"/>
      <c r="X118" s="1188"/>
      <c r="Y118" s="1188"/>
      <c r="Z118" s="1188"/>
    </row>
    <row r="119" spans="1:26" ht="11.25" customHeight="1" x14ac:dyDescent="0.25">
      <c r="A119" s="93">
        <v>66</v>
      </c>
      <c r="B119" s="468">
        <f>'Lighting Inventory'!I76</f>
        <v>0</v>
      </c>
      <c r="C119" s="1186" t="str">
        <f>IF('Lighting Inventory'!D76="", "", 'Lighting Inventory'!D76)</f>
        <v/>
      </c>
      <c r="D119" s="1186"/>
      <c r="E119" s="1186"/>
      <c r="F119" s="468" t="str">
        <f>IF('Lighting Inventory'!E76="", "", 'Lighting Inventory'!E76)</f>
        <v/>
      </c>
      <c r="G119" s="93" t="str">
        <f>IF('Lighting Inventory'!G76="", "", IF('Lighting Inventory'!G76="Air Conditioned", "Y", "N"))</f>
        <v/>
      </c>
      <c r="H119" s="94">
        <f>'Lighting Inventory'!H76</f>
        <v>0</v>
      </c>
      <c r="I119" s="468" t="str">
        <f>IF('Lighting Inventory'!J76="", "", 'Lighting Inventory'!J76)</f>
        <v/>
      </c>
      <c r="J119" s="468" t="str">
        <f>IF('Lighting Inventory'!K76="", "", 'Lighting Inventory'!K76)</f>
        <v/>
      </c>
      <c r="K119" s="1186" t="str">
        <f>IF('Lighting Inventory'!S76="", "", 'Lighting Inventory'!S76)</f>
        <v/>
      </c>
      <c r="L119" s="1186"/>
      <c r="M119" s="1187" t="str">
        <f>IF('Lighting Inventory'!E76="", "", 'Lighting Inventory'!W76)</f>
        <v/>
      </c>
      <c r="N119" s="1187"/>
      <c r="O119" s="1187"/>
      <c r="P119" s="1187"/>
      <c r="Q119" s="1187"/>
      <c r="R119" s="468" t="str">
        <f>IF('Lighting Inventory'!AE76="", "", 'Lighting Inventory'!AE76)</f>
        <v/>
      </c>
      <c r="S119" s="95" t="str">
        <f>IF('Lighting Inventory'!AN76="", "", 'Lighting Inventory'!AN76)</f>
        <v/>
      </c>
      <c r="T119" s="1186"/>
      <c r="U119" s="1186"/>
      <c r="V119" s="1186"/>
      <c r="W119" s="1186"/>
      <c r="X119" s="1186"/>
      <c r="Y119" s="1186"/>
      <c r="Z119" s="1186"/>
    </row>
    <row r="120" spans="1:26" ht="11.25" customHeight="1" x14ac:dyDescent="0.25">
      <c r="A120" s="89">
        <v>67</v>
      </c>
      <c r="B120" s="469">
        <f>'Lighting Inventory'!I77</f>
        <v>0</v>
      </c>
      <c r="C120" s="1188" t="str">
        <f>IF('Lighting Inventory'!D77="", "", 'Lighting Inventory'!D77)</f>
        <v/>
      </c>
      <c r="D120" s="1188"/>
      <c r="E120" s="1188"/>
      <c r="F120" s="469" t="str">
        <f>IF('Lighting Inventory'!E77="", "", 'Lighting Inventory'!E77)</f>
        <v/>
      </c>
      <c r="G120" s="89" t="str">
        <f>IF('Lighting Inventory'!G77="", "", IF('Lighting Inventory'!G77="Air Conditioned", "Y", "N"))</f>
        <v/>
      </c>
      <c r="H120" s="90">
        <f>'Lighting Inventory'!H77</f>
        <v>0</v>
      </c>
      <c r="I120" s="469" t="str">
        <f>IF('Lighting Inventory'!J77="", "", 'Lighting Inventory'!J77)</f>
        <v/>
      </c>
      <c r="J120" s="91" t="str">
        <f>IF('Lighting Inventory'!K77="", "", 'Lighting Inventory'!K77)</f>
        <v/>
      </c>
      <c r="K120" s="1188" t="str">
        <f>IF('Lighting Inventory'!S77="", "", 'Lighting Inventory'!S77)</f>
        <v/>
      </c>
      <c r="L120" s="1188"/>
      <c r="M120" s="1189" t="str">
        <f>IF('Lighting Inventory'!E77="", "", 'Lighting Inventory'!W77)</f>
        <v/>
      </c>
      <c r="N120" s="1189"/>
      <c r="O120" s="1189"/>
      <c r="P120" s="1189"/>
      <c r="Q120" s="1189"/>
      <c r="R120" s="469" t="str">
        <f>IF('Lighting Inventory'!AE77="", "", 'Lighting Inventory'!AE77)</f>
        <v/>
      </c>
      <c r="S120" s="92" t="str">
        <f>IF('Lighting Inventory'!AN77="", "", 'Lighting Inventory'!AN77)</f>
        <v/>
      </c>
      <c r="T120" s="1188"/>
      <c r="U120" s="1188"/>
      <c r="V120" s="1188"/>
      <c r="W120" s="1188"/>
      <c r="X120" s="1188"/>
      <c r="Y120" s="1188"/>
      <c r="Z120" s="1188"/>
    </row>
    <row r="121" spans="1:26" ht="11.25" customHeight="1" x14ac:dyDescent="0.25">
      <c r="A121" s="93">
        <v>68</v>
      </c>
      <c r="B121" s="468">
        <f>'Lighting Inventory'!I78</f>
        <v>0</v>
      </c>
      <c r="C121" s="1186" t="str">
        <f>IF('Lighting Inventory'!D78="", "", 'Lighting Inventory'!D78)</f>
        <v/>
      </c>
      <c r="D121" s="1186"/>
      <c r="E121" s="1186"/>
      <c r="F121" s="468" t="str">
        <f>IF('Lighting Inventory'!E78="", "", 'Lighting Inventory'!E78)</f>
        <v/>
      </c>
      <c r="G121" s="93" t="str">
        <f>IF('Lighting Inventory'!G78="", "", IF('Lighting Inventory'!G78="Air Conditioned", "Y", "N"))</f>
        <v/>
      </c>
      <c r="H121" s="94">
        <f>'Lighting Inventory'!H78</f>
        <v>0</v>
      </c>
      <c r="I121" s="468" t="str">
        <f>IF('Lighting Inventory'!J78="", "", 'Lighting Inventory'!J78)</f>
        <v/>
      </c>
      <c r="J121" s="468" t="str">
        <f>IF('Lighting Inventory'!K78="", "", 'Lighting Inventory'!K78)</f>
        <v/>
      </c>
      <c r="K121" s="1186" t="str">
        <f>IF('Lighting Inventory'!S78="", "", 'Lighting Inventory'!S78)</f>
        <v/>
      </c>
      <c r="L121" s="1186"/>
      <c r="M121" s="1187" t="str">
        <f>IF('Lighting Inventory'!E78="", "", 'Lighting Inventory'!W78)</f>
        <v/>
      </c>
      <c r="N121" s="1187"/>
      <c r="O121" s="1187"/>
      <c r="P121" s="1187"/>
      <c r="Q121" s="1187"/>
      <c r="R121" s="468" t="str">
        <f>IF('Lighting Inventory'!AE78="", "", 'Lighting Inventory'!AE78)</f>
        <v/>
      </c>
      <c r="S121" s="95" t="str">
        <f>IF('Lighting Inventory'!AN78="", "", 'Lighting Inventory'!AN78)</f>
        <v/>
      </c>
      <c r="T121" s="1186"/>
      <c r="U121" s="1186"/>
      <c r="V121" s="1186"/>
      <c r="W121" s="1186"/>
      <c r="X121" s="1186"/>
      <c r="Y121" s="1186"/>
      <c r="Z121" s="1186"/>
    </row>
    <row r="122" spans="1:26" ht="11.25" customHeight="1" x14ac:dyDescent="0.25">
      <c r="A122" s="89">
        <v>69</v>
      </c>
      <c r="B122" s="469">
        <f>'Lighting Inventory'!I79</f>
        <v>0</v>
      </c>
      <c r="C122" s="1188" t="str">
        <f>IF('Lighting Inventory'!D79="", "", 'Lighting Inventory'!D79)</f>
        <v/>
      </c>
      <c r="D122" s="1188"/>
      <c r="E122" s="1188"/>
      <c r="F122" s="469" t="str">
        <f>IF('Lighting Inventory'!E79="", "", 'Lighting Inventory'!E79)</f>
        <v/>
      </c>
      <c r="G122" s="89" t="str">
        <f>IF('Lighting Inventory'!G79="", "", IF('Lighting Inventory'!G79="Air Conditioned", "Y", "N"))</f>
        <v/>
      </c>
      <c r="H122" s="90">
        <f>'Lighting Inventory'!H79</f>
        <v>0</v>
      </c>
      <c r="I122" s="469" t="str">
        <f>IF('Lighting Inventory'!J79="", "", 'Lighting Inventory'!J79)</f>
        <v/>
      </c>
      <c r="J122" s="91" t="str">
        <f>IF('Lighting Inventory'!K79="", "", 'Lighting Inventory'!K79)</f>
        <v/>
      </c>
      <c r="K122" s="1188" t="str">
        <f>IF('Lighting Inventory'!S79="", "", 'Lighting Inventory'!S79)</f>
        <v/>
      </c>
      <c r="L122" s="1188"/>
      <c r="M122" s="1189" t="str">
        <f>IF('Lighting Inventory'!E79="", "", 'Lighting Inventory'!W79)</f>
        <v/>
      </c>
      <c r="N122" s="1189"/>
      <c r="O122" s="1189"/>
      <c r="P122" s="1189"/>
      <c r="Q122" s="1189"/>
      <c r="R122" s="469" t="str">
        <f>IF('Lighting Inventory'!AE79="", "", 'Lighting Inventory'!AE79)</f>
        <v/>
      </c>
      <c r="S122" s="92" t="str">
        <f>IF('Lighting Inventory'!AN79="", "", 'Lighting Inventory'!AN79)</f>
        <v/>
      </c>
      <c r="T122" s="1188"/>
      <c r="U122" s="1188"/>
      <c r="V122" s="1188"/>
      <c r="W122" s="1188"/>
      <c r="X122" s="1188"/>
      <c r="Y122" s="1188"/>
      <c r="Z122" s="1188"/>
    </row>
    <row r="123" spans="1:26" ht="11.25" customHeight="1" x14ac:dyDescent="0.25">
      <c r="A123" s="93">
        <v>70</v>
      </c>
      <c r="B123" s="468">
        <f>'Lighting Inventory'!I80</f>
        <v>0</v>
      </c>
      <c r="C123" s="1186" t="str">
        <f>IF('Lighting Inventory'!D80="", "", 'Lighting Inventory'!D80)</f>
        <v/>
      </c>
      <c r="D123" s="1186"/>
      <c r="E123" s="1186"/>
      <c r="F123" s="468" t="str">
        <f>IF('Lighting Inventory'!E80="", "", 'Lighting Inventory'!E80)</f>
        <v/>
      </c>
      <c r="G123" s="93" t="str">
        <f>IF('Lighting Inventory'!G80="", "", IF('Lighting Inventory'!G80="Air Conditioned", "Y", "N"))</f>
        <v/>
      </c>
      <c r="H123" s="94">
        <f>'Lighting Inventory'!H80</f>
        <v>0</v>
      </c>
      <c r="I123" s="468" t="str">
        <f>IF('Lighting Inventory'!J80="", "", 'Lighting Inventory'!J80)</f>
        <v/>
      </c>
      <c r="J123" s="468" t="str">
        <f>IF('Lighting Inventory'!K80="", "", 'Lighting Inventory'!K80)</f>
        <v/>
      </c>
      <c r="K123" s="1186" t="str">
        <f>IF('Lighting Inventory'!S80="", "", 'Lighting Inventory'!S80)</f>
        <v/>
      </c>
      <c r="L123" s="1186"/>
      <c r="M123" s="1187" t="str">
        <f>IF('Lighting Inventory'!E80="", "", 'Lighting Inventory'!W80)</f>
        <v/>
      </c>
      <c r="N123" s="1187"/>
      <c r="O123" s="1187"/>
      <c r="P123" s="1187"/>
      <c r="Q123" s="1187"/>
      <c r="R123" s="468" t="str">
        <f>IF('Lighting Inventory'!AE80="", "", 'Lighting Inventory'!AE80)</f>
        <v/>
      </c>
      <c r="S123" s="95" t="str">
        <f>IF('Lighting Inventory'!AN80="", "", 'Lighting Inventory'!AN80)</f>
        <v/>
      </c>
      <c r="T123" s="1186"/>
      <c r="U123" s="1186"/>
      <c r="V123" s="1186"/>
      <c r="W123" s="1186"/>
      <c r="X123" s="1186"/>
      <c r="Y123" s="1186"/>
      <c r="Z123" s="1186"/>
    </row>
    <row r="124" spans="1:26" ht="11.25" customHeight="1" x14ac:dyDescent="0.25">
      <c r="A124" s="89">
        <v>71</v>
      </c>
      <c r="B124" s="469">
        <f>'Lighting Inventory'!I81</f>
        <v>0</v>
      </c>
      <c r="C124" s="1188" t="str">
        <f>IF('Lighting Inventory'!D81="", "", 'Lighting Inventory'!D81)</f>
        <v/>
      </c>
      <c r="D124" s="1188"/>
      <c r="E124" s="1188"/>
      <c r="F124" s="469" t="str">
        <f>IF('Lighting Inventory'!E81="", "", 'Lighting Inventory'!E81)</f>
        <v/>
      </c>
      <c r="G124" s="89" t="str">
        <f>IF('Lighting Inventory'!G81="", "", IF('Lighting Inventory'!G81="Air Conditioned", "Y", "N"))</f>
        <v/>
      </c>
      <c r="H124" s="90">
        <f>'Lighting Inventory'!H81</f>
        <v>0</v>
      </c>
      <c r="I124" s="469" t="str">
        <f>IF('Lighting Inventory'!J81="", "", 'Lighting Inventory'!J81)</f>
        <v/>
      </c>
      <c r="J124" s="91" t="str">
        <f>IF('Lighting Inventory'!K81="", "", 'Lighting Inventory'!K81)</f>
        <v/>
      </c>
      <c r="K124" s="1188" t="str">
        <f>IF('Lighting Inventory'!S81="", "", 'Lighting Inventory'!S81)</f>
        <v/>
      </c>
      <c r="L124" s="1188"/>
      <c r="M124" s="1189" t="str">
        <f>IF('Lighting Inventory'!E81="", "", 'Lighting Inventory'!W81)</f>
        <v/>
      </c>
      <c r="N124" s="1189"/>
      <c r="O124" s="1189"/>
      <c r="P124" s="1189"/>
      <c r="Q124" s="1189"/>
      <c r="R124" s="469" t="str">
        <f>IF('Lighting Inventory'!AE81="", "", 'Lighting Inventory'!AE81)</f>
        <v/>
      </c>
      <c r="S124" s="92" t="str">
        <f>IF('Lighting Inventory'!AN81="", "", 'Lighting Inventory'!AN81)</f>
        <v/>
      </c>
      <c r="T124" s="1188"/>
      <c r="U124" s="1188"/>
      <c r="V124" s="1188"/>
      <c r="W124" s="1188"/>
      <c r="X124" s="1188"/>
      <c r="Y124" s="1188"/>
      <c r="Z124" s="1188"/>
    </row>
    <row r="125" spans="1:26" ht="11.25" customHeight="1" x14ac:dyDescent="0.25">
      <c r="A125" s="93">
        <v>72</v>
      </c>
      <c r="B125" s="468">
        <f>'Lighting Inventory'!I82</f>
        <v>0</v>
      </c>
      <c r="C125" s="1186" t="str">
        <f>IF('Lighting Inventory'!D82="", "", 'Lighting Inventory'!D82)</f>
        <v/>
      </c>
      <c r="D125" s="1186"/>
      <c r="E125" s="1186"/>
      <c r="F125" s="468" t="str">
        <f>IF('Lighting Inventory'!E82="", "", 'Lighting Inventory'!E82)</f>
        <v/>
      </c>
      <c r="G125" s="93" t="str">
        <f>IF('Lighting Inventory'!G82="", "", IF('Lighting Inventory'!G82="Air Conditioned", "Y", "N"))</f>
        <v/>
      </c>
      <c r="H125" s="94">
        <f>'Lighting Inventory'!H82</f>
        <v>0</v>
      </c>
      <c r="I125" s="468" t="str">
        <f>IF('Lighting Inventory'!J82="", "", 'Lighting Inventory'!J82)</f>
        <v/>
      </c>
      <c r="J125" s="468" t="str">
        <f>IF('Lighting Inventory'!K82="", "", 'Lighting Inventory'!K82)</f>
        <v/>
      </c>
      <c r="K125" s="1186" t="str">
        <f>IF('Lighting Inventory'!S82="", "", 'Lighting Inventory'!S82)</f>
        <v/>
      </c>
      <c r="L125" s="1186"/>
      <c r="M125" s="1187" t="str">
        <f>IF('Lighting Inventory'!E82="", "", 'Lighting Inventory'!W82)</f>
        <v/>
      </c>
      <c r="N125" s="1187"/>
      <c r="O125" s="1187"/>
      <c r="P125" s="1187"/>
      <c r="Q125" s="1187"/>
      <c r="R125" s="468" t="str">
        <f>IF('Lighting Inventory'!AE82="", "", 'Lighting Inventory'!AE82)</f>
        <v/>
      </c>
      <c r="S125" s="95" t="str">
        <f>IF('Lighting Inventory'!AN82="", "", 'Lighting Inventory'!AN82)</f>
        <v/>
      </c>
      <c r="T125" s="1186"/>
      <c r="U125" s="1186"/>
      <c r="V125" s="1186"/>
      <c r="W125" s="1186"/>
      <c r="X125" s="1186"/>
      <c r="Y125" s="1186"/>
      <c r="Z125" s="1186"/>
    </row>
    <row r="126" spans="1:26" ht="11.25" customHeight="1" x14ac:dyDescent="0.25">
      <c r="A126" s="89">
        <v>73</v>
      </c>
      <c r="B126" s="469">
        <f>'Lighting Inventory'!I83</f>
        <v>0</v>
      </c>
      <c r="C126" s="1188" t="str">
        <f>IF('Lighting Inventory'!D83="", "", 'Lighting Inventory'!D83)</f>
        <v/>
      </c>
      <c r="D126" s="1188"/>
      <c r="E126" s="1188"/>
      <c r="F126" s="469" t="str">
        <f>IF('Lighting Inventory'!E83="", "", 'Lighting Inventory'!E83)</f>
        <v/>
      </c>
      <c r="G126" s="89" t="str">
        <f>IF('Lighting Inventory'!G83="", "", IF('Lighting Inventory'!G83="Air Conditioned", "Y", "N"))</f>
        <v/>
      </c>
      <c r="H126" s="90">
        <f>'Lighting Inventory'!H83</f>
        <v>0</v>
      </c>
      <c r="I126" s="469" t="str">
        <f>IF('Lighting Inventory'!J83="", "", 'Lighting Inventory'!J83)</f>
        <v/>
      </c>
      <c r="J126" s="91" t="str">
        <f>IF('Lighting Inventory'!K83="", "", 'Lighting Inventory'!K83)</f>
        <v/>
      </c>
      <c r="K126" s="1188" t="str">
        <f>IF('Lighting Inventory'!S83="", "", 'Lighting Inventory'!S83)</f>
        <v/>
      </c>
      <c r="L126" s="1188"/>
      <c r="M126" s="1189" t="str">
        <f>IF('Lighting Inventory'!E83="", "", 'Lighting Inventory'!W83)</f>
        <v/>
      </c>
      <c r="N126" s="1189"/>
      <c r="O126" s="1189"/>
      <c r="P126" s="1189"/>
      <c r="Q126" s="1189"/>
      <c r="R126" s="469" t="str">
        <f>IF('Lighting Inventory'!AE83="", "", 'Lighting Inventory'!AE83)</f>
        <v/>
      </c>
      <c r="S126" s="92" t="str">
        <f>IF('Lighting Inventory'!AN83="", "", 'Lighting Inventory'!AN83)</f>
        <v/>
      </c>
      <c r="T126" s="1188"/>
      <c r="U126" s="1188"/>
      <c r="V126" s="1188"/>
      <c r="W126" s="1188"/>
      <c r="X126" s="1188"/>
      <c r="Y126" s="1188"/>
      <c r="Z126" s="1188"/>
    </row>
    <row r="127" spans="1:26" ht="11.25" customHeight="1" x14ac:dyDescent="0.25">
      <c r="A127" s="93">
        <v>74</v>
      </c>
      <c r="B127" s="468">
        <f>'Lighting Inventory'!I84</f>
        <v>0</v>
      </c>
      <c r="C127" s="1186" t="str">
        <f>IF('Lighting Inventory'!D84="", "", 'Lighting Inventory'!D84)</f>
        <v/>
      </c>
      <c r="D127" s="1186"/>
      <c r="E127" s="1186"/>
      <c r="F127" s="468" t="str">
        <f>IF('Lighting Inventory'!E84="", "", 'Lighting Inventory'!E84)</f>
        <v/>
      </c>
      <c r="G127" s="93" t="str">
        <f>IF('Lighting Inventory'!G84="", "", IF('Lighting Inventory'!G84="Air Conditioned", "Y", "N"))</f>
        <v/>
      </c>
      <c r="H127" s="94">
        <f>'Lighting Inventory'!H84</f>
        <v>0</v>
      </c>
      <c r="I127" s="468" t="str">
        <f>IF('Lighting Inventory'!J84="", "", 'Lighting Inventory'!J84)</f>
        <v/>
      </c>
      <c r="J127" s="468" t="str">
        <f>IF('Lighting Inventory'!K84="", "", 'Lighting Inventory'!K84)</f>
        <v/>
      </c>
      <c r="K127" s="1186" t="str">
        <f>IF('Lighting Inventory'!S84="", "", 'Lighting Inventory'!S84)</f>
        <v/>
      </c>
      <c r="L127" s="1186"/>
      <c r="M127" s="1187" t="str">
        <f>IF('Lighting Inventory'!E84="", "", 'Lighting Inventory'!W84)</f>
        <v/>
      </c>
      <c r="N127" s="1187"/>
      <c r="O127" s="1187"/>
      <c r="P127" s="1187"/>
      <c r="Q127" s="1187"/>
      <c r="R127" s="468" t="str">
        <f>IF('Lighting Inventory'!AE84="", "", 'Lighting Inventory'!AE84)</f>
        <v/>
      </c>
      <c r="S127" s="95" t="str">
        <f>IF('Lighting Inventory'!AN84="", "", 'Lighting Inventory'!AN84)</f>
        <v/>
      </c>
      <c r="T127" s="1186"/>
      <c r="U127" s="1186"/>
      <c r="V127" s="1186"/>
      <c r="W127" s="1186"/>
      <c r="X127" s="1186"/>
      <c r="Y127" s="1186"/>
      <c r="Z127" s="1186"/>
    </row>
    <row r="128" spans="1:26" ht="11.25" customHeight="1" x14ac:dyDescent="0.25">
      <c r="A128" s="89">
        <v>75</v>
      </c>
      <c r="B128" s="469">
        <f>'Lighting Inventory'!I85</f>
        <v>0</v>
      </c>
      <c r="C128" s="1188" t="str">
        <f>IF('Lighting Inventory'!D85="", "", 'Lighting Inventory'!D85)</f>
        <v/>
      </c>
      <c r="D128" s="1188"/>
      <c r="E128" s="1188"/>
      <c r="F128" s="469" t="str">
        <f>IF('Lighting Inventory'!E85="", "", 'Lighting Inventory'!E85)</f>
        <v/>
      </c>
      <c r="G128" s="89" t="str">
        <f>IF('Lighting Inventory'!G85="", "", IF('Lighting Inventory'!G85="Air Conditioned", "Y", "N"))</f>
        <v/>
      </c>
      <c r="H128" s="90">
        <f>'Lighting Inventory'!H85</f>
        <v>0</v>
      </c>
      <c r="I128" s="469" t="str">
        <f>IF('Lighting Inventory'!J85="", "", 'Lighting Inventory'!J85)</f>
        <v/>
      </c>
      <c r="J128" s="91" t="str">
        <f>IF('Lighting Inventory'!K85="", "", 'Lighting Inventory'!K85)</f>
        <v/>
      </c>
      <c r="K128" s="1188" t="str">
        <f>IF('Lighting Inventory'!S85="", "", 'Lighting Inventory'!S85)</f>
        <v/>
      </c>
      <c r="L128" s="1188"/>
      <c r="M128" s="1189" t="str">
        <f>IF('Lighting Inventory'!E85="", "", 'Lighting Inventory'!W85)</f>
        <v/>
      </c>
      <c r="N128" s="1189"/>
      <c r="O128" s="1189"/>
      <c r="P128" s="1189"/>
      <c r="Q128" s="1189"/>
      <c r="R128" s="469" t="str">
        <f>IF('Lighting Inventory'!AE85="", "", 'Lighting Inventory'!AE85)</f>
        <v/>
      </c>
      <c r="S128" s="92" t="str">
        <f>IF('Lighting Inventory'!AN85="", "", 'Lighting Inventory'!AN85)</f>
        <v/>
      </c>
      <c r="T128" s="1188"/>
      <c r="U128" s="1188"/>
      <c r="V128" s="1188"/>
      <c r="W128" s="1188"/>
      <c r="X128" s="1188"/>
      <c r="Y128" s="1188"/>
      <c r="Z128" s="1188"/>
    </row>
    <row r="129" spans="1:26" ht="11.25" customHeight="1" x14ac:dyDescent="0.25">
      <c r="A129" s="93">
        <v>76</v>
      </c>
      <c r="B129" s="468">
        <f>'Lighting Inventory'!I86</f>
        <v>0</v>
      </c>
      <c r="C129" s="1186" t="str">
        <f>IF('Lighting Inventory'!D86="", "", 'Lighting Inventory'!D86)</f>
        <v/>
      </c>
      <c r="D129" s="1186"/>
      <c r="E129" s="1186"/>
      <c r="F129" s="468" t="str">
        <f>IF('Lighting Inventory'!E86="", "", 'Lighting Inventory'!E86)</f>
        <v/>
      </c>
      <c r="G129" s="93" t="str">
        <f>IF('Lighting Inventory'!G86="", "", IF('Lighting Inventory'!G86="Air Conditioned", "Y", "N"))</f>
        <v/>
      </c>
      <c r="H129" s="94">
        <f>'Lighting Inventory'!H86</f>
        <v>0</v>
      </c>
      <c r="I129" s="468" t="str">
        <f>IF('Lighting Inventory'!J86="", "", 'Lighting Inventory'!J86)</f>
        <v/>
      </c>
      <c r="J129" s="468" t="str">
        <f>IF('Lighting Inventory'!K86="", "", 'Lighting Inventory'!K86)</f>
        <v/>
      </c>
      <c r="K129" s="1186" t="str">
        <f>IF('Lighting Inventory'!S86="", "", 'Lighting Inventory'!S86)</f>
        <v/>
      </c>
      <c r="L129" s="1186"/>
      <c r="M129" s="1187" t="str">
        <f>IF('Lighting Inventory'!E86="", "", 'Lighting Inventory'!W86)</f>
        <v/>
      </c>
      <c r="N129" s="1187"/>
      <c r="O129" s="1187"/>
      <c r="P129" s="1187"/>
      <c r="Q129" s="1187"/>
      <c r="R129" s="468" t="str">
        <f>IF('Lighting Inventory'!AE86="", "", 'Lighting Inventory'!AE86)</f>
        <v/>
      </c>
      <c r="S129" s="95" t="str">
        <f>IF('Lighting Inventory'!AN86="", "", 'Lighting Inventory'!AN86)</f>
        <v/>
      </c>
      <c r="T129" s="1186"/>
      <c r="U129" s="1186"/>
      <c r="V129" s="1186"/>
      <c r="W129" s="1186"/>
      <c r="X129" s="1186"/>
      <c r="Y129" s="1186"/>
      <c r="Z129" s="1186"/>
    </row>
    <row r="130" spans="1:26" ht="11.25" customHeight="1" x14ac:dyDescent="0.25">
      <c r="A130" s="89">
        <v>77</v>
      </c>
      <c r="B130" s="469">
        <f>'Lighting Inventory'!I87</f>
        <v>0</v>
      </c>
      <c r="C130" s="1188" t="str">
        <f>IF('Lighting Inventory'!D87="", "", 'Lighting Inventory'!D87)</f>
        <v/>
      </c>
      <c r="D130" s="1188"/>
      <c r="E130" s="1188"/>
      <c r="F130" s="469" t="str">
        <f>IF('Lighting Inventory'!E87="", "", 'Lighting Inventory'!E87)</f>
        <v/>
      </c>
      <c r="G130" s="89" t="str">
        <f>IF('Lighting Inventory'!G87="", "", IF('Lighting Inventory'!G87="Air Conditioned", "Y", "N"))</f>
        <v/>
      </c>
      <c r="H130" s="90">
        <f>'Lighting Inventory'!H87</f>
        <v>0</v>
      </c>
      <c r="I130" s="469" t="str">
        <f>IF('Lighting Inventory'!J87="", "", 'Lighting Inventory'!J87)</f>
        <v/>
      </c>
      <c r="J130" s="91" t="str">
        <f>IF('Lighting Inventory'!K87="", "", 'Lighting Inventory'!K87)</f>
        <v/>
      </c>
      <c r="K130" s="1188" t="str">
        <f>IF('Lighting Inventory'!S87="", "", 'Lighting Inventory'!S87)</f>
        <v/>
      </c>
      <c r="L130" s="1188"/>
      <c r="M130" s="1189" t="str">
        <f>IF('Lighting Inventory'!E87="", "", 'Lighting Inventory'!W87)</f>
        <v/>
      </c>
      <c r="N130" s="1189"/>
      <c r="O130" s="1189"/>
      <c r="P130" s="1189"/>
      <c r="Q130" s="1189"/>
      <c r="R130" s="469" t="str">
        <f>IF('Lighting Inventory'!AE87="", "", 'Lighting Inventory'!AE87)</f>
        <v/>
      </c>
      <c r="S130" s="92" t="str">
        <f>IF('Lighting Inventory'!AN87="", "", 'Lighting Inventory'!AN87)</f>
        <v/>
      </c>
      <c r="T130" s="1188"/>
      <c r="U130" s="1188"/>
      <c r="V130" s="1188"/>
      <c r="W130" s="1188"/>
      <c r="X130" s="1188"/>
      <c r="Y130" s="1188"/>
      <c r="Z130" s="1188"/>
    </row>
    <row r="131" spans="1:26" ht="11.25" customHeight="1" x14ac:dyDescent="0.25">
      <c r="A131" s="93">
        <v>78</v>
      </c>
      <c r="B131" s="468">
        <f>'Lighting Inventory'!I88</f>
        <v>0</v>
      </c>
      <c r="C131" s="1186" t="str">
        <f>IF('Lighting Inventory'!D88="", "", 'Lighting Inventory'!D88)</f>
        <v/>
      </c>
      <c r="D131" s="1186"/>
      <c r="E131" s="1186"/>
      <c r="F131" s="468" t="str">
        <f>IF('Lighting Inventory'!E88="", "", 'Lighting Inventory'!E88)</f>
        <v/>
      </c>
      <c r="G131" s="93" t="str">
        <f>IF('Lighting Inventory'!G88="", "", IF('Lighting Inventory'!G88="Air Conditioned", "Y", "N"))</f>
        <v/>
      </c>
      <c r="H131" s="94">
        <f>'Lighting Inventory'!H88</f>
        <v>0</v>
      </c>
      <c r="I131" s="468" t="str">
        <f>IF('Lighting Inventory'!J88="", "", 'Lighting Inventory'!J88)</f>
        <v/>
      </c>
      <c r="J131" s="468" t="str">
        <f>IF('Lighting Inventory'!K88="", "", 'Lighting Inventory'!K88)</f>
        <v/>
      </c>
      <c r="K131" s="1186" t="str">
        <f>IF('Lighting Inventory'!S88="", "", 'Lighting Inventory'!S88)</f>
        <v/>
      </c>
      <c r="L131" s="1186"/>
      <c r="M131" s="1187" t="str">
        <f>IF('Lighting Inventory'!E88="", "", 'Lighting Inventory'!W88)</f>
        <v/>
      </c>
      <c r="N131" s="1187"/>
      <c r="O131" s="1187"/>
      <c r="P131" s="1187"/>
      <c r="Q131" s="1187"/>
      <c r="R131" s="468" t="str">
        <f>IF('Lighting Inventory'!AE88="", "", 'Lighting Inventory'!AE88)</f>
        <v/>
      </c>
      <c r="S131" s="95" t="str">
        <f>IF('Lighting Inventory'!AN88="", "", 'Lighting Inventory'!AN88)</f>
        <v/>
      </c>
      <c r="T131" s="1186"/>
      <c r="U131" s="1186"/>
      <c r="V131" s="1186"/>
      <c r="W131" s="1186"/>
      <c r="X131" s="1186"/>
      <c r="Y131" s="1186"/>
      <c r="Z131" s="1186"/>
    </row>
    <row r="132" spans="1:26" ht="11.25" customHeight="1" x14ac:dyDescent="0.25">
      <c r="A132" s="89">
        <v>79</v>
      </c>
      <c r="B132" s="469">
        <f>'Lighting Inventory'!I89</f>
        <v>0</v>
      </c>
      <c r="C132" s="1188" t="str">
        <f>IF('Lighting Inventory'!D89="", "", 'Lighting Inventory'!D89)</f>
        <v/>
      </c>
      <c r="D132" s="1188"/>
      <c r="E132" s="1188"/>
      <c r="F132" s="469" t="str">
        <f>IF('Lighting Inventory'!E89="", "", 'Lighting Inventory'!E89)</f>
        <v/>
      </c>
      <c r="G132" s="89" t="str">
        <f>IF('Lighting Inventory'!G89="", "", IF('Lighting Inventory'!G89="Air Conditioned", "Y", "N"))</f>
        <v/>
      </c>
      <c r="H132" s="90">
        <f>'Lighting Inventory'!H89</f>
        <v>0</v>
      </c>
      <c r="I132" s="469" t="str">
        <f>IF('Lighting Inventory'!J89="", "", 'Lighting Inventory'!J89)</f>
        <v/>
      </c>
      <c r="J132" s="91" t="str">
        <f>IF('Lighting Inventory'!K89="", "", 'Lighting Inventory'!K89)</f>
        <v/>
      </c>
      <c r="K132" s="1188" t="str">
        <f>IF('Lighting Inventory'!S89="", "", 'Lighting Inventory'!S89)</f>
        <v/>
      </c>
      <c r="L132" s="1188"/>
      <c r="M132" s="1189" t="str">
        <f>IF('Lighting Inventory'!E89="", "", 'Lighting Inventory'!W89)</f>
        <v/>
      </c>
      <c r="N132" s="1189"/>
      <c r="O132" s="1189"/>
      <c r="P132" s="1189"/>
      <c r="Q132" s="1189"/>
      <c r="R132" s="469" t="str">
        <f>IF('Lighting Inventory'!AE89="", "", 'Lighting Inventory'!AE89)</f>
        <v/>
      </c>
      <c r="S132" s="92" t="str">
        <f>IF('Lighting Inventory'!AN89="", "", 'Lighting Inventory'!AN89)</f>
        <v/>
      </c>
      <c r="T132" s="1188"/>
      <c r="U132" s="1188"/>
      <c r="V132" s="1188"/>
      <c r="W132" s="1188"/>
      <c r="X132" s="1188"/>
      <c r="Y132" s="1188"/>
      <c r="Z132" s="1188"/>
    </row>
    <row r="133" spans="1:26" ht="11.25" customHeight="1" x14ac:dyDescent="0.25">
      <c r="A133" s="93">
        <v>80</v>
      </c>
      <c r="B133" s="468">
        <f>'Lighting Inventory'!I90</f>
        <v>0</v>
      </c>
      <c r="C133" s="1186" t="str">
        <f>IF('Lighting Inventory'!D90="", "", 'Lighting Inventory'!D90)</f>
        <v/>
      </c>
      <c r="D133" s="1186"/>
      <c r="E133" s="1186"/>
      <c r="F133" s="468" t="str">
        <f>IF('Lighting Inventory'!E90="", "", 'Lighting Inventory'!E90)</f>
        <v/>
      </c>
      <c r="G133" s="93" t="str">
        <f>IF('Lighting Inventory'!G90="", "", IF('Lighting Inventory'!G90="Air Conditioned", "Y", "N"))</f>
        <v/>
      </c>
      <c r="H133" s="94">
        <f>'Lighting Inventory'!H90</f>
        <v>0</v>
      </c>
      <c r="I133" s="468" t="str">
        <f>IF('Lighting Inventory'!J90="", "", 'Lighting Inventory'!J90)</f>
        <v/>
      </c>
      <c r="J133" s="468" t="str">
        <f>IF('Lighting Inventory'!K90="", "", 'Lighting Inventory'!K90)</f>
        <v/>
      </c>
      <c r="K133" s="1186" t="str">
        <f>IF('Lighting Inventory'!S90="", "", 'Lighting Inventory'!S90)</f>
        <v/>
      </c>
      <c r="L133" s="1186"/>
      <c r="M133" s="1187" t="str">
        <f>IF('Lighting Inventory'!E90="", "", 'Lighting Inventory'!W90)</f>
        <v/>
      </c>
      <c r="N133" s="1187"/>
      <c r="O133" s="1187"/>
      <c r="P133" s="1187"/>
      <c r="Q133" s="1187"/>
      <c r="R133" s="468" t="str">
        <f>IF('Lighting Inventory'!AE90="", "", 'Lighting Inventory'!AE90)</f>
        <v/>
      </c>
      <c r="S133" s="95" t="str">
        <f>IF('Lighting Inventory'!AN90="", "", 'Lighting Inventory'!AN90)</f>
        <v/>
      </c>
      <c r="T133" s="1186"/>
      <c r="U133" s="1186"/>
      <c r="V133" s="1186"/>
      <c r="W133" s="1186"/>
      <c r="X133" s="1186"/>
      <c r="Y133" s="1186"/>
      <c r="Z133" s="1186"/>
    </row>
    <row r="134" spans="1:26" ht="15" customHeight="1" thickBot="1" x14ac:dyDescent="0.3">
      <c r="A134" s="1190" t="s">
        <v>4415</v>
      </c>
      <c r="B134" s="1190"/>
      <c r="C134" s="1190"/>
      <c r="D134" s="1191" t="str">
        <f>CONCATENATE('General Information'!$F$9, " ", 'General Information'!$F$10)</f>
        <v xml:space="preserve"> </v>
      </c>
      <c r="E134" s="1191"/>
      <c r="F134" s="1191"/>
      <c r="G134" s="1191"/>
      <c r="H134" s="1191"/>
      <c r="I134" s="1191"/>
      <c r="J134" s="1191"/>
      <c r="K134" s="1192" t="s">
        <v>4416</v>
      </c>
      <c r="L134" s="1193"/>
      <c r="M134" s="1193"/>
      <c r="N134" s="1191">
        <f>'General Information'!$F$14</f>
        <v>0</v>
      </c>
      <c r="O134" s="1191"/>
      <c r="P134" s="1191"/>
      <c r="Q134" s="1192" t="s">
        <v>4417</v>
      </c>
      <c r="R134" s="1193"/>
      <c r="S134" s="1194"/>
      <c r="T134" s="1195">
        <f>'General Information'!$F$11</f>
        <v>0</v>
      </c>
      <c r="U134" s="1196"/>
      <c r="V134" s="1196"/>
      <c r="W134" s="1196"/>
      <c r="X134" s="1196"/>
      <c r="Y134" s="1196"/>
      <c r="Z134" s="1197"/>
    </row>
    <row r="135" spans="1:26" ht="9.75" customHeight="1" x14ac:dyDescent="0.25">
      <c r="A135" s="1198" t="s">
        <v>4418</v>
      </c>
      <c r="B135" s="1200" t="s">
        <v>4419</v>
      </c>
      <c r="C135" s="1200"/>
      <c r="D135" s="1200"/>
      <c r="E135" s="1200"/>
      <c r="F135" s="1200"/>
      <c r="G135" s="1200"/>
      <c r="H135" s="1200"/>
      <c r="I135" s="1200"/>
      <c r="J135" s="1200"/>
      <c r="K135" s="1201" t="s">
        <v>4420</v>
      </c>
      <c r="L135" s="1202"/>
      <c r="M135" s="1202"/>
      <c r="N135" s="1202"/>
      <c r="O135" s="1202"/>
      <c r="P135" s="1202"/>
      <c r="Q135" s="1202"/>
      <c r="R135" s="1202"/>
      <c r="S135" s="1202"/>
      <c r="T135" s="1202"/>
      <c r="U135" s="1202"/>
      <c r="V135" s="1202"/>
      <c r="W135" s="1202"/>
      <c r="X135" s="1202"/>
      <c r="Y135" s="1202"/>
      <c r="Z135" s="1203"/>
    </row>
    <row r="136" spans="1:26" ht="43.5" customHeight="1" x14ac:dyDescent="0.25">
      <c r="A136" s="1199"/>
      <c r="B136" s="470" t="s">
        <v>4421</v>
      </c>
      <c r="C136" s="1204" t="s">
        <v>4422</v>
      </c>
      <c r="D136" s="1205"/>
      <c r="E136" s="1206"/>
      <c r="F136" s="333" t="s">
        <v>4423</v>
      </c>
      <c r="G136" s="333" t="s">
        <v>4424</v>
      </c>
      <c r="H136" s="334" t="s">
        <v>4425</v>
      </c>
      <c r="I136" s="333" t="s">
        <v>4426</v>
      </c>
      <c r="J136" s="333" t="s">
        <v>4427</v>
      </c>
      <c r="K136" s="1207" t="s">
        <v>4428</v>
      </c>
      <c r="L136" s="1207"/>
      <c r="M136" s="1207" t="s">
        <v>4429</v>
      </c>
      <c r="N136" s="1207"/>
      <c r="O136" s="1207"/>
      <c r="P136" s="1207"/>
      <c r="Q136" s="1207"/>
      <c r="R136" s="333" t="s">
        <v>4430</v>
      </c>
      <c r="S136" s="335" t="s">
        <v>4431</v>
      </c>
      <c r="T136" s="1208" t="s">
        <v>3403</v>
      </c>
      <c r="U136" s="1209"/>
      <c r="V136" s="1209"/>
      <c r="W136" s="1209"/>
      <c r="X136" s="1209"/>
      <c r="Y136" s="1209"/>
      <c r="Z136" s="1210"/>
    </row>
    <row r="137" spans="1:26" ht="11.25" customHeight="1" x14ac:dyDescent="0.25">
      <c r="A137" s="89">
        <v>81</v>
      </c>
      <c r="B137" s="469">
        <f>'Lighting Inventory'!I91</f>
        <v>0</v>
      </c>
      <c r="C137" s="1188" t="str">
        <f>IF('Lighting Inventory'!D91="", "", 'Lighting Inventory'!D91)</f>
        <v/>
      </c>
      <c r="D137" s="1188"/>
      <c r="E137" s="1188"/>
      <c r="F137" s="469" t="str">
        <f>IF('Lighting Inventory'!E91="", "", 'Lighting Inventory'!E91)</f>
        <v/>
      </c>
      <c r="G137" s="89" t="str">
        <f>IF('Lighting Inventory'!G91="", "", IF('Lighting Inventory'!G91="Air Conditioned", "Y", "N"))</f>
        <v/>
      </c>
      <c r="H137" s="90">
        <f>'Lighting Inventory'!H91</f>
        <v>0</v>
      </c>
      <c r="I137" s="469" t="str">
        <f>IF('Lighting Inventory'!J91="", "", 'Lighting Inventory'!J91)</f>
        <v/>
      </c>
      <c r="J137" s="91" t="str">
        <f>IF('Lighting Inventory'!K91="", "", 'Lighting Inventory'!K91)</f>
        <v/>
      </c>
      <c r="K137" s="1188" t="str">
        <f>IF('Lighting Inventory'!S91="", "", 'Lighting Inventory'!S91)</f>
        <v/>
      </c>
      <c r="L137" s="1188"/>
      <c r="M137" s="1189" t="str">
        <f>IF('Lighting Inventory'!E91="", "", 'Lighting Inventory'!W91)</f>
        <v/>
      </c>
      <c r="N137" s="1189"/>
      <c r="O137" s="1189"/>
      <c r="P137" s="1189"/>
      <c r="Q137" s="1189"/>
      <c r="R137" s="469" t="str">
        <f>IF('Lighting Inventory'!AE91="", "", 'Lighting Inventory'!AE91)</f>
        <v/>
      </c>
      <c r="S137" s="92" t="str">
        <f>IF('Lighting Inventory'!AN91="", "", 'Lighting Inventory'!AN91)</f>
        <v/>
      </c>
      <c r="T137" s="1188"/>
      <c r="U137" s="1188"/>
      <c r="V137" s="1188"/>
      <c r="W137" s="1188"/>
      <c r="X137" s="1188"/>
      <c r="Y137" s="1188"/>
      <c r="Z137" s="1188"/>
    </row>
    <row r="138" spans="1:26" ht="11.25" customHeight="1" x14ac:dyDescent="0.25">
      <c r="A138" s="93">
        <v>82</v>
      </c>
      <c r="B138" s="468">
        <f>'Lighting Inventory'!I92</f>
        <v>0</v>
      </c>
      <c r="C138" s="1186" t="str">
        <f>IF('Lighting Inventory'!D92="", "", 'Lighting Inventory'!D92)</f>
        <v/>
      </c>
      <c r="D138" s="1186"/>
      <c r="E138" s="1186"/>
      <c r="F138" s="468" t="str">
        <f>IF('Lighting Inventory'!E92="", "", 'Lighting Inventory'!E92)</f>
        <v/>
      </c>
      <c r="G138" s="93" t="str">
        <f>IF('Lighting Inventory'!G92="", "", IF('Lighting Inventory'!G92="Air Conditioned", "Y", "N"))</f>
        <v/>
      </c>
      <c r="H138" s="94">
        <f>'Lighting Inventory'!H92</f>
        <v>0</v>
      </c>
      <c r="I138" s="94" t="str">
        <f>IF('Lighting Inventory'!J92="", "", 'Lighting Inventory'!J92)</f>
        <v/>
      </c>
      <c r="J138" s="94" t="str">
        <f>IF('Lighting Inventory'!K92="", "", 'Lighting Inventory'!K92)</f>
        <v/>
      </c>
      <c r="K138" s="1186" t="str">
        <f>IF('Lighting Inventory'!S91="", "", 'Lighting Inventory'!S91)</f>
        <v/>
      </c>
      <c r="L138" s="1186"/>
      <c r="M138" s="1187" t="str">
        <f>IF('Lighting Inventory'!E92="", "", 'Lighting Inventory'!W92)</f>
        <v/>
      </c>
      <c r="N138" s="1187"/>
      <c r="O138" s="1187"/>
      <c r="P138" s="1187"/>
      <c r="Q138" s="1187"/>
      <c r="R138" s="468" t="str">
        <f>IF('Lighting Inventory'!AE92="", "", 'Lighting Inventory'!AE92)</f>
        <v/>
      </c>
      <c r="S138" s="95" t="str">
        <f>IF('Lighting Inventory'!AN92="", "", 'Lighting Inventory'!AN92)</f>
        <v/>
      </c>
      <c r="T138" s="1186"/>
      <c r="U138" s="1186"/>
      <c r="V138" s="1186"/>
      <c r="W138" s="1186"/>
      <c r="X138" s="1186"/>
      <c r="Y138" s="1186"/>
      <c r="Z138" s="1186"/>
    </row>
    <row r="139" spans="1:26" ht="11.25" customHeight="1" x14ac:dyDescent="0.25">
      <c r="A139" s="89">
        <v>83</v>
      </c>
      <c r="B139" s="469">
        <f>'Lighting Inventory'!I93</f>
        <v>0</v>
      </c>
      <c r="C139" s="1188" t="str">
        <f>IF('Lighting Inventory'!D93="", "", 'Lighting Inventory'!D93)</f>
        <v/>
      </c>
      <c r="D139" s="1188"/>
      <c r="E139" s="1188"/>
      <c r="F139" s="469" t="str">
        <f>IF('Lighting Inventory'!E93="", "", 'Lighting Inventory'!E93)</f>
        <v/>
      </c>
      <c r="G139" s="89" t="str">
        <f>IF('Lighting Inventory'!G93="", "", IF('Lighting Inventory'!G93="Air Conditioned", "Y", "N"))</f>
        <v/>
      </c>
      <c r="H139" s="90">
        <f>'Lighting Inventory'!H93</f>
        <v>0</v>
      </c>
      <c r="I139" s="469" t="str">
        <f>IF('Lighting Inventory'!J93="", "", 'Lighting Inventory'!J93)</f>
        <v/>
      </c>
      <c r="J139" s="91" t="str">
        <f>IF('Lighting Inventory'!K93="", "", 'Lighting Inventory'!K93)</f>
        <v/>
      </c>
      <c r="K139" s="1188" t="str">
        <f>IF('Lighting Inventory'!S93="", "", 'Lighting Inventory'!S93)</f>
        <v/>
      </c>
      <c r="L139" s="1188"/>
      <c r="M139" s="1189" t="str">
        <f>IF('Lighting Inventory'!E93="", "", 'Lighting Inventory'!W93)</f>
        <v/>
      </c>
      <c r="N139" s="1189"/>
      <c r="O139" s="1189"/>
      <c r="P139" s="1189"/>
      <c r="Q139" s="1189"/>
      <c r="R139" s="469" t="str">
        <f>IF('Lighting Inventory'!AE93="", "", 'Lighting Inventory'!AE93)</f>
        <v/>
      </c>
      <c r="S139" s="92" t="str">
        <f>IF('Lighting Inventory'!AN93="", "", 'Lighting Inventory'!AN93)</f>
        <v/>
      </c>
      <c r="T139" s="1188"/>
      <c r="U139" s="1188"/>
      <c r="V139" s="1188"/>
      <c r="W139" s="1188"/>
      <c r="X139" s="1188"/>
      <c r="Y139" s="1188"/>
      <c r="Z139" s="1188"/>
    </row>
    <row r="140" spans="1:26" ht="11.25" customHeight="1" x14ac:dyDescent="0.25">
      <c r="A140" s="93">
        <v>84</v>
      </c>
      <c r="B140" s="468">
        <f>'Lighting Inventory'!I94</f>
        <v>0</v>
      </c>
      <c r="C140" s="1186" t="str">
        <f>IF('Lighting Inventory'!D94="", "", 'Lighting Inventory'!D94)</f>
        <v/>
      </c>
      <c r="D140" s="1186"/>
      <c r="E140" s="1186"/>
      <c r="F140" s="468" t="str">
        <f>IF('Lighting Inventory'!E94="", "", 'Lighting Inventory'!E94)</f>
        <v/>
      </c>
      <c r="G140" s="93" t="str">
        <f>IF('Lighting Inventory'!G94="", "", IF('Lighting Inventory'!G94="Air Conditioned", "Y", "N"))</f>
        <v/>
      </c>
      <c r="H140" s="94">
        <f>'Lighting Inventory'!H94</f>
        <v>0</v>
      </c>
      <c r="I140" s="94" t="str">
        <f>IF('Lighting Inventory'!J94="", "", 'Lighting Inventory'!J94)</f>
        <v/>
      </c>
      <c r="J140" s="94" t="str">
        <f>IF('Lighting Inventory'!K94="", "", 'Lighting Inventory'!K94)</f>
        <v/>
      </c>
      <c r="K140" s="1186" t="str">
        <f>IF('Lighting Inventory'!S93="", "", 'Lighting Inventory'!S93)</f>
        <v/>
      </c>
      <c r="L140" s="1186"/>
      <c r="M140" s="1187" t="str">
        <f>IF('Lighting Inventory'!E94="", "", 'Lighting Inventory'!W94)</f>
        <v/>
      </c>
      <c r="N140" s="1187"/>
      <c r="O140" s="1187"/>
      <c r="P140" s="1187"/>
      <c r="Q140" s="1187"/>
      <c r="R140" s="468" t="str">
        <f>IF('Lighting Inventory'!AE94="", "", 'Lighting Inventory'!AE94)</f>
        <v/>
      </c>
      <c r="S140" s="95" t="str">
        <f>IF('Lighting Inventory'!AN94="", "", 'Lighting Inventory'!AN94)</f>
        <v/>
      </c>
      <c r="T140" s="1186"/>
      <c r="U140" s="1186"/>
      <c r="V140" s="1186"/>
      <c r="W140" s="1186"/>
      <c r="X140" s="1186"/>
      <c r="Y140" s="1186"/>
      <c r="Z140" s="1186"/>
    </row>
    <row r="141" spans="1:26" ht="11.25" customHeight="1" x14ac:dyDescent="0.25">
      <c r="A141" s="89">
        <v>85</v>
      </c>
      <c r="B141" s="469">
        <f>'Lighting Inventory'!I95</f>
        <v>0</v>
      </c>
      <c r="C141" s="1188" t="str">
        <f>IF('Lighting Inventory'!D95="", "", 'Lighting Inventory'!D95)</f>
        <v/>
      </c>
      <c r="D141" s="1188"/>
      <c r="E141" s="1188"/>
      <c r="F141" s="469" t="str">
        <f>IF('Lighting Inventory'!E95="", "", 'Lighting Inventory'!E95)</f>
        <v/>
      </c>
      <c r="G141" s="89" t="str">
        <f>IF('Lighting Inventory'!G95="", "", IF('Lighting Inventory'!G95="Air Conditioned", "Y", "N"))</f>
        <v/>
      </c>
      <c r="H141" s="90">
        <f>'Lighting Inventory'!H95</f>
        <v>0</v>
      </c>
      <c r="I141" s="469" t="str">
        <f>IF('Lighting Inventory'!J95="", "", 'Lighting Inventory'!J95)</f>
        <v/>
      </c>
      <c r="J141" s="91" t="str">
        <f>IF('Lighting Inventory'!K95="", "", 'Lighting Inventory'!K95)</f>
        <v/>
      </c>
      <c r="K141" s="1188" t="str">
        <f>IF('Lighting Inventory'!S95="", "", 'Lighting Inventory'!S95)</f>
        <v/>
      </c>
      <c r="L141" s="1188"/>
      <c r="M141" s="1189" t="str">
        <f>IF('Lighting Inventory'!E95="", "", 'Lighting Inventory'!W95)</f>
        <v/>
      </c>
      <c r="N141" s="1189"/>
      <c r="O141" s="1189"/>
      <c r="P141" s="1189"/>
      <c r="Q141" s="1189"/>
      <c r="R141" s="469" t="str">
        <f>IF('Lighting Inventory'!AE95="", "", 'Lighting Inventory'!AE95)</f>
        <v/>
      </c>
      <c r="S141" s="92" t="str">
        <f>IF('Lighting Inventory'!AN95="", "", 'Lighting Inventory'!AN95)</f>
        <v/>
      </c>
      <c r="T141" s="1188"/>
      <c r="U141" s="1188"/>
      <c r="V141" s="1188"/>
      <c r="W141" s="1188"/>
      <c r="X141" s="1188"/>
      <c r="Y141" s="1188"/>
      <c r="Z141" s="1188"/>
    </row>
    <row r="142" spans="1:26" ht="11.25" customHeight="1" x14ac:dyDescent="0.25">
      <c r="A142" s="93">
        <v>86</v>
      </c>
      <c r="B142" s="468">
        <f>'Lighting Inventory'!I96</f>
        <v>0</v>
      </c>
      <c r="C142" s="1186" t="str">
        <f>IF('Lighting Inventory'!D96="", "", 'Lighting Inventory'!D96)</f>
        <v/>
      </c>
      <c r="D142" s="1186"/>
      <c r="E142" s="1186"/>
      <c r="F142" s="468" t="str">
        <f>IF('Lighting Inventory'!E96="", "", 'Lighting Inventory'!E96)</f>
        <v/>
      </c>
      <c r="G142" s="93" t="str">
        <f>IF('Lighting Inventory'!G96="", "", IF('Lighting Inventory'!G96="Air Conditioned", "Y", "N"))</f>
        <v/>
      </c>
      <c r="H142" s="94">
        <f>'Lighting Inventory'!H96</f>
        <v>0</v>
      </c>
      <c r="I142" s="94" t="str">
        <f>IF('Lighting Inventory'!J96="", "", 'Lighting Inventory'!J96)</f>
        <v/>
      </c>
      <c r="J142" s="94" t="str">
        <f>IF('Lighting Inventory'!K96="", "", 'Lighting Inventory'!K96)</f>
        <v/>
      </c>
      <c r="K142" s="1186" t="str">
        <f>IF('Lighting Inventory'!S95="", "", 'Lighting Inventory'!S95)</f>
        <v/>
      </c>
      <c r="L142" s="1186"/>
      <c r="M142" s="1187" t="str">
        <f>IF('Lighting Inventory'!E96="", "", 'Lighting Inventory'!W96)</f>
        <v/>
      </c>
      <c r="N142" s="1187"/>
      <c r="O142" s="1187"/>
      <c r="P142" s="1187"/>
      <c r="Q142" s="1187"/>
      <c r="R142" s="468" t="str">
        <f>IF('Lighting Inventory'!AE96="", "", 'Lighting Inventory'!AE96)</f>
        <v/>
      </c>
      <c r="S142" s="95" t="str">
        <f>IF('Lighting Inventory'!AN96="", "", 'Lighting Inventory'!AN96)</f>
        <v/>
      </c>
      <c r="T142" s="1186"/>
      <c r="U142" s="1186"/>
      <c r="V142" s="1186"/>
      <c r="W142" s="1186"/>
      <c r="X142" s="1186"/>
      <c r="Y142" s="1186"/>
      <c r="Z142" s="1186"/>
    </row>
    <row r="143" spans="1:26" ht="11.25" customHeight="1" x14ac:dyDescent="0.25">
      <c r="A143" s="89">
        <v>87</v>
      </c>
      <c r="B143" s="469">
        <f>'Lighting Inventory'!I97</f>
        <v>0</v>
      </c>
      <c r="C143" s="1188" t="str">
        <f>IF('Lighting Inventory'!D97="", "", 'Lighting Inventory'!D97)</f>
        <v/>
      </c>
      <c r="D143" s="1188"/>
      <c r="E143" s="1188"/>
      <c r="F143" s="469" t="str">
        <f>IF('Lighting Inventory'!E97="", "", 'Lighting Inventory'!E97)</f>
        <v/>
      </c>
      <c r="G143" s="89" t="str">
        <f>IF('Lighting Inventory'!G97="", "", IF('Lighting Inventory'!G97="Air Conditioned", "Y", "N"))</f>
        <v/>
      </c>
      <c r="H143" s="90">
        <f>'Lighting Inventory'!H97</f>
        <v>0</v>
      </c>
      <c r="I143" s="469" t="str">
        <f>IF('Lighting Inventory'!J97="", "", 'Lighting Inventory'!J97)</f>
        <v/>
      </c>
      <c r="J143" s="91" t="str">
        <f>IF('Lighting Inventory'!K97="", "", 'Lighting Inventory'!K97)</f>
        <v/>
      </c>
      <c r="K143" s="1188" t="str">
        <f>IF('Lighting Inventory'!S97="", "", 'Lighting Inventory'!S97)</f>
        <v/>
      </c>
      <c r="L143" s="1188"/>
      <c r="M143" s="1189" t="str">
        <f>IF('Lighting Inventory'!E97="", "", 'Lighting Inventory'!W97)</f>
        <v/>
      </c>
      <c r="N143" s="1189"/>
      <c r="O143" s="1189"/>
      <c r="P143" s="1189"/>
      <c r="Q143" s="1189"/>
      <c r="R143" s="469" t="str">
        <f>IF('Lighting Inventory'!AE97="", "", 'Lighting Inventory'!AE97)</f>
        <v/>
      </c>
      <c r="S143" s="92" t="str">
        <f>IF('Lighting Inventory'!AN97="", "", 'Lighting Inventory'!AN97)</f>
        <v/>
      </c>
      <c r="T143" s="1188"/>
      <c r="U143" s="1188"/>
      <c r="V143" s="1188"/>
      <c r="W143" s="1188"/>
      <c r="X143" s="1188"/>
      <c r="Y143" s="1188"/>
      <c r="Z143" s="1188"/>
    </row>
    <row r="144" spans="1:26" ht="11.25" customHeight="1" x14ac:dyDescent="0.25">
      <c r="A144" s="93">
        <v>88</v>
      </c>
      <c r="B144" s="468">
        <f>'Lighting Inventory'!I98</f>
        <v>0</v>
      </c>
      <c r="C144" s="1186" t="str">
        <f>IF('Lighting Inventory'!D98="", "", 'Lighting Inventory'!D98)</f>
        <v/>
      </c>
      <c r="D144" s="1186"/>
      <c r="E144" s="1186"/>
      <c r="F144" s="468" t="str">
        <f>IF('Lighting Inventory'!E98="", "", 'Lighting Inventory'!E98)</f>
        <v/>
      </c>
      <c r="G144" s="93" t="str">
        <f>IF('Lighting Inventory'!G98="", "", IF('Lighting Inventory'!G98="Air Conditioned", "Y", "N"))</f>
        <v/>
      </c>
      <c r="H144" s="94">
        <f>'Lighting Inventory'!H98</f>
        <v>0</v>
      </c>
      <c r="I144" s="94" t="str">
        <f>IF('Lighting Inventory'!J98="", "", 'Lighting Inventory'!J98)</f>
        <v/>
      </c>
      <c r="J144" s="94" t="str">
        <f>IF('Lighting Inventory'!K98="", "", 'Lighting Inventory'!K98)</f>
        <v/>
      </c>
      <c r="K144" s="1186" t="str">
        <f>IF('Lighting Inventory'!S97="", "", 'Lighting Inventory'!S97)</f>
        <v/>
      </c>
      <c r="L144" s="1186"/>
      <c r="M144" s="1187" t="str">
        <f>IF('Lighting Inventory'!E98="", "", 'Lighting Inventory'!W98)</f>
        <v/>
      </c>
      <c r="N144" s="1187"/>
      <c r="O144" s="1187"/>
      <c r="P144" s="1187"/>
      <c r="Q144" s="1187"/>
      <c r="R144" s="468" t="str">
        <f>IF('Lighting Inventory'!AE98="", "", 'Lighting Inventory'!AE98)</f>
        <v/>
      </c>
      <c r="S144" s="95" t="str">
        <f>IF('Lighting Inventory'!AN98="", "", 'Lighting Inventory'!AN98)</f>
        <v/>
      </c>
      <c r="T144" s="1186"/>
      <c r="U144" s="1186"/>
      <c r="V144" s="1186"/>
      <c r="W144" s="1186"/>
      <c r="X144" s="1186"/>
      <c r="Y144" s="1186"/>
      <c r="Z144" s="1186"/>
    </row>
    <row r="145" spans="1:26" ht="11.25" customHeight="1" x14ac:dyDescent="0.25">
      <c r="A145" s="89">
        <v>89</v>
      </c>
      <c r="B145" s="469">
        <f>'Lighting Inventory'!I99</f>
        <v>0</v>
      </c>
      <c r="C145" s="1188" t="str">
        <f>IF('Lighting Inventory'!D99="", "", 'Lighting Inventory'!D99)</f>
        <v/>
      </c>
      <c r="D145" s="1188"/>
      <c r="E145" s="1188"/>
      <c r="F145" s="469" t="str">
        <f>IF('Lighting Inventory'!E99="", "", 'Lighting Inventory'!E99)</f>
        <v/>
      </c>
      <c r="G145" s="89" t="str">
        <f>IF('Lighting Inventory'!G99="", "", IF('Lighting Inventory'!G99="Air Conditioned", "Y", "N"))</f>
        <v/>
      </c>
      <c r="H145" s="90">
        <f>'Lighting Inventory'!H99</f>
        <v>0</v>
      </c>
      <c r="I145" s="469" t="str">
        <f>IF('Lighting Inventory'!J99="", "", 'Lighting Inventory'!J99)</f>
        <v/>
      </c>
      <c r="J145" s="91" t="str">
        <f>IF('Lighting Inventory'!K99="", "", 'Lighting Inventory'!K99)</f>
        <v/>
      </c>
      <c r="K145" s="1188" t="str">
        <f>IF('Lighting Inventory'!S99="", "", 'Lighting Inventory'!S99)</f>
        <v/>
      </c>
      <c r="L145" s="1188"/>
      <c r="M145" s="1189" t="str">
        <f>IF('Lighting Inventory'!E99="", "", 'Lighting Inventory'!W99)</f>
        <v/>
      </c>
      <c r="N145" s="1189"/>
      <c r="O145" s="1189"/>
      <c r="P145" s="1189"/>
      <c r="Q145" s="1189"/>
      <c r="R145" s="469" t="str">
        <f>IF('Lighting Inventory'!AE99="", "", 'Lighting Inventory'!AE99)</f>
        <v/>
      </c>
      <c r="S145" s="92" t="str">
        <f>IF('Lighting Inventory'!AN99="", "", 'Lighting Inventory'!AN99)</f>
        <v/>
      </c>
      <c r="T145" s="1188"/>
      <c r="U145" s="1188"/>
      <c r="V145" s="1188"/>
      <c r="W145" s="1188"/>
      <c r="X145" s="1188"/>
      <c r="Y145" s="1188"/>
      <c r="Z145" s="1188"/>
    </row>
    <row r="146" spans="1:26" ht="11.25" customHeight="1" x14ac:dyDescent="0.25">
      <c r="A146" s="93">
        <v>90</v>
      </c>
      <c r="B146" s="468">
        <f>'Lighting Inventory'!I100</f>
        <v>0</v>
      </c>
      <c r="C146" s="1186" t="str">
        <f>IF('Lighting Inventory'!D100="", "", 'Lighting Inventory'!D100)</f>
        <v/>
      </c>
      <c r="D146" s="1186"/>
      <c r="E146" s="1186"/>
      <c r="F146" s="468" t="str">
        <f>IF('Lighting Inventory'!E100="", "", 'Lighting Inventory'!E100)</f>
        <v/>
      </c>
      <c r="G146" s="93" t="str">
        <f>IF('Lighting Inventory'!G100="", "", IF('Lighting Inventory'!G100="Air Conditioned", "Y", "N"))</f>
        <v/>
      </c>
      <c r="H146" s="94">
        <f>'Lighting Inventory'!H100</f>
        <v>0</v>
      </c>
      <c r="I146" s="94" t="str">
        <f>IF('Lighting Inventory'!J100="", "", 'Lighting Inventory'!J100)</f>
        <v/>
      </c>
      <c r="J146" s="94" t="str">
        <f>IF('Lighting Inventory'!K100="", "", 'Lighting Inventory'!K100)</f>
        <v/>
      </c>
      <c r="K146" s="1186" t="str">
        <f>IF('Lighting Inventory'!S99="", "", 'Lighting Inventory'!S99)</f>
        <v/>
      </c>
      <c r="L146" s="1186"/>
      <c r="M146" s="1187" t="str">
        <f>IF('Lighting Inventory'!E100="", "", 'Lighting Inventory'!W100)</f>
        <v/>
      </c>
      <c r="N146" s="1187"/>
      <c r="O146" s="1187"/>
      <c r="P146" s="1187"/>
      <c r="Q146" s="1187"/>
      <c r="R146" s="468" t="str">
        <f>IF('Lighting Inventory'!AE100="", "", 'Lighting Inventory'!AE100)</f>
        <v/>
      </c>
      <c r="S146" s="95" t="str">
        <f>IF('Lighting Inventory'!AN100="", "", 'Lighting Inventory'!AN100)</f>
        <v/>
      </c>
      <c r="T146" s="1186"/>
      <c r="U146" s="1186"/>
      <c r="V146" s="1186"/>
      <c r="W146" s="1186"/>
      <c r="X146" s="1186"/>
      <c r="Y146" s="1186"/>
      <c r="Z146" s="1186"/>
    </row>
    <row r="147" spans="1:26" ht="11.25" customHeight="1" x14ac:dyDescent="0.25">
      <c r="A147" s="89">
        <v>91</v>
      </c>
      <c r="B147" s="469">
        <f>'Lighting Inventory'!I101</f>
        <v>0</v>
      </c>
      <c r="C147" s="1188" t="str">
        <f>IF('Lighting Inventory'!D101="", "", 'Lighting Inventory'!D101)</f>
        <v/>
      </c>
      <c r="D147" s="1188"/>
      <c r="E147" s="1188"/>
      <c r="F147" s="469" t="str">
        <f>IF('Lighting Inventory'!E101="", "", 'Lighting Inventory'!E101)</f>
        <v/>
      </c>
      <c r="G147" s="89" t="str">
        <f>IF('Lighting Inventory'!G101="", "", IF('Lighting Inventory'!G101="Air Conditioned", "Y", "N"))</f>
        <v/>
      </c>
      <c r="H147" s="90">
        <f>'Lighting Inventory'!H101</f>
        <v>0</v>
      </c>
      <c r="I147" s="469" t="str">
        <f>IF('Lighting Inventory'!J101="", "", 'Lighting Inventory'!J101)</f>
        <v/>
      </c>
      <c r="J147" s="91" t="str">
        <f>IF('Lighting Inventory'!K101="", "", 'Lighting Inventory'!K101)</f>
        <v/>
      </c>
      <c r="K147" s="1188" t="str">
        <f>IF('Lighting Inventory'!S101="", "", 'Lighting Inventory'!S101)</f>
        <v/>
      </c>
      <c r="L147" s="1188"/>
      <c r="M147" s="1189" t="str">
        <f>IF('Lighting Inventory'!E101="", "", 'Lighting Inventory'!W101)</f>
        <v/>
      </c>
      <c r="N147" s="1189"/>
      <c r="O147" s="1189"/>
      <c r="P147" s="1189"/>
      <c r="Q147" s="1189"/>
      <c r="R147" s="469" t="str">
        <f>IF('Lighting Inventory'!AE101="", "", 'Lighting Inventory'!AE101)</f>
        <v/>
      </c>
      <c r="S147" s="92" t="str">
        <f>IF('Lighting Inventory'!AN101="", "", 'Lighting Inventory'!AN101)</f>
        <v/>
      </c>
      <c r="T147" s="1188"/>
      <c r="U147" s="1188"/>
      <c r="V147" s="1188"/>
      <c r="W147" s="1188"/>
      <c r="X147" s="1188"/>
      <c r="Y147" s="1188"/>
      <c r="Z147" s="1188"/>
    </row>
    <row r="148" spans="1:26" ht="11.25" customHeight="1" x14ac:dyDescent="0.25">
      <c r="A148" s="93">
        <v>92</v>
      </c>
      <c r="B148" s="468">
        <f>'Lighting Inventory'!I102</f>
        <v>0</v>
      </c>
      <c r="C148" s="1186" t="str">
        <f>IF('Lighting Inventory'!D102="", "", 'Lighting Inventory'!D102)</f>
        <v/>
      </c>
      <c r="D148" s="1186"/>
      <c r="E148" s="1186"/>
      <c r="F148" s="468" t="str">
        <f>IF('Lighting Inventory'!E102="", "", 'Lighting Inventory'!E102)</f>
        <v/>
      </c>
      <c r="G148" s="93" t="str">
        <f>IF('Lighting Inventory'!G102="", "", IF('Lighting Inventory'!G102="Air Conditioned", "Y", "N"))</f>
        <v/>
      </c>
      <c r="H148" s="94">
        <f>'Lighting Inventory'!H102</f>
        <v>0</v>
      </c>
      <c r="I148" s="94" t="str">
        <f>IF('Lighting Inventory'!J102="", "", 'Lighting Inventory'!J102)</f>
        <v/>
      </c>
      <c r="J148" s="94" t="str">
        <f>IF('Lighting Inventory'!K102="", "", 'Lighting Inventory'!K102)</f>
        <v/>
      </c>
      <c r="K148" s="1186" t="str">
        <f>IF('Lighting Inventory'!S101="", "", 'Lighting Inventory'!S101)</f>
        <v/>
      </c>
      <c r="L148" s="1186"/>
      <c r="M148" s="1187" t="str">
        <f>IF('Lighting Inventory'!E102="", "", 'Lighting Inventory'!W102)</f>
        <v/>
      </c>
      <c r="N148" s="1187"/>
      <c r="O148" s="1187"/>
      <c r="P148" s="1187"/>
      <c r="Q148" s="1187"/>
      <c r="R148" s="468" t="str">
        <f>IF('Lighting Inventory'!AE102="", "", 'Lighting Inventory'!AE102)</f>
        <v/>
      </c>
      <c r="S148" s="95" t="str">
        <f>IF('Lighting Inventory'!AN102="", "", 'Lighting Inventory'!AN102)</f>
        <v/>
      </c>
      <c r="T148" s="1186"/>
      <c r="U148" s="1186"/>
      <c r="V148" s="1186"/>
      <c r="W148" s="1186"/>
      <c r="X148" s="1186"/>
      <c r="Y148" s="1186"/>
      <c r="Z148" s="1186"/>
    </row>
    <row r="149" spans="1:26" ht="11.25" customHeight="1" x14ac:dyDescent="0.25">
      <c r="A149" s="89">
        <v>93</v>
      </c>
      <c r="B149" s="469">
        <f>'Lighting Inventory'!I103</f>
        <v>0</v>
      </c>
      <c r="C149" s="1188" t="str">
        <f>IF('Lighting Inventory'!D103="", "", 'Lighting Inventory'!D103)</f>
        <v/>
      </c>
      <c r="D149" s="1188"/>
      <c r="E149" s="1188"/>
      <c r="F149" s="469" t="str">
        <f>IF('Lighting Inventory'!E103="", "", 'Lighting Inventory'!E103)</f>
        <v/>
      </c>
      <c r="G149" s="89" t="str">
        <f>IF('Lighting Inventory'!G103="", "", IF('Lighting Inventory'!G103="Air Conditioned", "Y", "N"))</f>
        <v/>
      </c>
      <c r="H149" s="90">
        <f>'Lighting Inventory'!H103</f>
        <v>0</v>
      </c>
      <c r="I149" s="469" t="str">
        <f>IF('Lighting Inventory'!J103="", "", 'Lighting Inventory'!J103)</f>
        <v/>
      </c>
      <c r="J149" s="91" t="str">
        <f>IF('Lighting Inventory'!K103="", "", 'Lighting Inventory'!K103)</f>
        <v/>
      </c>
      <c r="K149" s="1188" t="str">
        <f>IF('Lighting Inventory'!S103="", "", 'Lighting Inventory'!S103)</f>
        <v/>
      </c>
      <c r="L149" s="1188"/>
      <c r="M149" s="1189" t="str">
        <f>IF('Lighting Inventory'!E103="", "", 'Lighting Inventory'!W103)</f>
        <v/>
      </c>
      <c r="N149" s="1189"/>
      <c r="O149" s="1189"/>
      <c r="P149" s="1189"/>
      <c r="Q149" s="1189"/>
      <c r="R149" s="469" t="str">
        <f>IF('Lighting Inventory'!AE103="", "", 'Lighting Inventory'!AE103)</f>
        <v/>
      </c>
      <c r="S149" s="92" t="str">
        <f>IF('Lighting Inventory'!AN103="", "", 'Lighting Inventory'!AN103)</f>
        <v/>
      </c>
      <c r="T149" s="1188"/>
      <c r="U149" s="1188"/>
      <c r="V149" s="1188"/>
      <c r="W149" s="1188"/>
      <c r="X149" s="1188"/>
      <c r="Y149" s="1188"/>
      <c r="Z149" s="1188"/>
    </row>
    <row r="150" spans="1:26" ht="11.25" customHeight="1" x14ac:dyDescent="0.25">
      <c r="A150" s="93">
        <v>94</v>
      </c>
      <c r="B150" s="468">
        <f>'Lighting Inventory'!I104</f>
        <v>0</v>
      </c>
      <c r="C150" s="1186" t="str">
        <f>IF('Lighting Inventory'!D104="", "", 'Lighting Inventory'!D104)</f>
        <v/>
      </c>
      <c r="D150" s="1186"/>
      <c r="E150" s="1186"/>
      <c r="F150" s="468" t="str">
        <f>IF('Lighting Inventory'!E104="", "", 'Lighting Inventory'!E104)</f>
        <v/>
      </c>
      <c r="G150" s="93" t="str">
        <f>IF('Lighting Inventory'!G104="", "", IF('Lighting Inventory'!G104="Air Conditioned", "Y", "N"))</f>
        <v/>
      </c>
      <c r="H150" s="94">
        <f>'Lighting Inventory'!H104</f>
        <v>0</v>
      </c>
      <c r="I150" s="94" t="str">
        <f>IF('Lighting Inventory'!J104="", "", 'Lighting Inventory'!J104)</f>
        <v/>
      </c>
      <c r="J150" s="94" t="str">
        <f>IF('Lighting Inventory'!K104="", "", 'Lighting Inventory'!K104)</f>
        <v/>
      </c>
      <c r="K150" s="1186" t="str">
        <f>IF('Lighting Inventory'!S103="", "", 'Lighting Inventory'!S103)</f>
        <v/>
      </c>
      <c r="L150" s="1186"/>
      <c r="M150" s="1187" t="str">
        <f>IF('Lighting Inventory'!E104="", "", 'Lighting Inventory'!W104)</f>
        <v/>
      </c>
      <c r="N150" s="1187"/>
      <c r="O150" s="1187"/>
      <c r="P150" s="1187"/>
      <c r="Q150" s="1187"/>
      <c r="R150" s="468" t="str">
        <f>IF('Lighting Inventory'!AE104="", "", 'Lighting Inventory'!AE104)</f>
        <v/>
      </c>
      <c r="S150" s="95" t="str">
        <f>IF('Lighting Inventory'!AN104="", "", 'Lighting Inventory'!AN104)</f>
        <v/>
      </c>
      <c r="T150" s="1186"/>
      <c r="U150" s="1186"/>
      <c r="V150" s="1186"/>
      <c r="W150" s="1186"/>
      <c r="X150" s="1186"/>
      <c r="Y150" s="1186"/>
      <c r="Z150" s="1186"/>
    </row>
    <row r="151" spans="1:26" ht="11.25" customHeight="1" x14ac:dyDescent="0.25">
      <c r="A151" s="89">
        <v>95</v>
      </c>
      <c r="B151" s="469">
        <f>'Lighting Inventory'!I105</f>
        <v>0</v>
      </c>
      <c r="C151" s="1188" t="str">
        <f>IF('Lighting Inventory'!D105="", "", 'Lighting Inventory'!D105)</f>
        <v/>
      </c>
      <c r="D151" s="1188"/>
      <c r="E151" s="1188"/>
      <c r="F151" s="469" t="str">
        <f>IF('Lighting Inventory'!E105="", "", 'Lighting Inventory'!E105)</f>
        <v/>
      </c>
      <c r="G151" s="89" t="str">
        <f>IF('Lighting Inventory'!G105="", "", IF('Lighting Inventory'!G105="Air Conditioned", "Y", "N"))</f>
        <v/>
      </c>
      <c r="H151" s="90">
        <f>'Lighting Inventory'!H105</f>
        <v>0</v>
      </c>
      <c r="I151" s="469" t="str">
        <f>IF('Lighting Inventory'!J105="", "", 'Lighting Inventory'!J105)</f>
        <v/>
      </c>
      <c r="J151" s="91" t="str">
        <f>IF('Lighting Inventory'!K105="", "", 'Lighting Inventory'!K105)</f>
        <v/>
      </c>
      <c r="K151" s="1188" t="str">
        <f>IF('Lighting Inventory'!S105="", "", 'Lighting Inventory'!S105)</f>
        <v/>
      </c>
      <c r="L151" s="1188"/>
      <c r="M151" s="1189" t="str">
        <f>IF('Lighting Inventory'!E105="", "", 'Lighting Inventory'!W105)</f>
        <v/>
      </c>
      <c r="N151" s="1189"/>
      <c r="O151" s="1189"/>
      <c r="P151" s="1189"/>
      <c r="Q151" s="1189"/>
      <c r="R151" s="469" t="str">
        <f>IF('Lighting Inventory'!AE105="", "", 'Lighting Inventory'!AE105)</f>
        <v/>
      </c>
      <c r="S151" s="92" t="str">
        <f>IF('Lighting Inventory'!AN105="", "", 'Lighting Inventory'!AN105)</f>
        <v/>
      </c>
      <c r="T151" s="1188"/>
      <c r="U151" s="1188"/>
      <c r="V151" s="1188"/>
      <c r="W151" s="1188"/>
      <c r="X151" s="1188"/>
      <c r="Y151" s="1188"/>
      <c r="Z151" s="1188"/>
    </row>
    <row r="152" spans="1:26" ht="11.25" customHeight="1" x14ac:dyDescent="0.25">
      <c r="A152" s="93">
        <v>96</v>
      </c>
      <c r="B152" s="468">
        <f>'Lighting Inventory'!I106</f>
        <v>0</v>
      </c>
      <c r="C152" s="1186" t="str">
        <f>IF('Lighting Inventory'!D106="", "", 'Lighting Inventory'!D106)</f>
        <v/>
      </c>
      <c r="D152" s="1186"/>
      <c r="E152" s="1186"/>
      <c r="F152" s="468" t="str">
        <f>IF('Lighting Inventory'!E106="", "", 'Lighting Inventory'!E106)</f>
        <v/>
      </c>
      <c r="G152" s="93" t="str">
        <f>IF('Lighting Inventory'!G106="", "", IF('Lighting Inventory'!G106="Air Conditioned", "Y", "N"))</f>
        <v/>
      </c>
      <c r="H152" s="94">
        <f>'Lighting Inventory'!H106</f>
        <v>0</v>
      </c>
      <c r="I152" s="94" t="str">
        <f>IF('Lighting Inventory'!J106="", "", 'Lighting Inventory'!J106)</f>
        <v/>
      </c>
      <c r="J152" s="94" t="str">
        <f>IF('Lighting Inventory'!K106="", "", 'Lighting Inventory'!K106)</f>
        <v/>
      </c>
      <c r="K152" s="1186" t="str">
        <f>IF('Lighting Inventory'!S105="", "", 'Lighting Inventory'!S105)</f>
        <v/>
      </c>
      <c r="L152" s="1186"/>
      <c r="M152" s="1187" t="str">
        <f>IF('Lighting Inventory'!E106="", "", 'Lighting Inventory'!W106)</f>
        <v/>
      </c>
      <c r="N152" s="1187"/>
      <c r="O152" s="1187"/>
      <c r="P152" s="1187"/>
      <c r="Q152" s="1187"/>
      <c r="R152" s="468" t="str">
        <f>IF('Lighting Inventory'!AE106="", "", 'Lighting Inventory'!AE106)</f>
        <v/>
      </c>
      <c r="S152" s="95" t="str">
        <f>IF('Lighting Inventory'!AN106="", "", 'Lighting Inventory'!AN106)</f>
        <v/>
      </c>
      <c r="T152" s="1186"/>
      <c r="U152" s="1186"/>
      <c r="V152" s="1186"/>
      <c r="W152" s="1186"/>
      <c r="X152" s="1186"/>
      <c r="Y152" s="1186"/>
      <c r="Z152" s="1186"/>
    </row>
    <row r="153" spans="1:26" ht="11.25" customHeight="1" x14ac:dyDescent="0.25">
      <c r="A153" s="89">
        <v>97</v>
      </c>
      <c r="B153" s="469">
        <f>'Lighting Inventory'!I107</f>
        <v>0</v>
      </c>
      <c r="C153" s="1188" t="str">
        <f>IF('Lighting Inventory'!D107="", "", 'Lighting Inventory'!D107)</f>
        <v/>
      </c>
      <c r="D153" s="1188"/>
      <c r="E153" s="1188"/>
      <c r="F153" s="469" t="str">
        <f>IF('Lighting Inventory'!E107="", "", 'Lighting Inventory'!E107)</f>
        <v/>
      </c>
      <c r="G153" s="89" t="str">
        <f>IF('Lighting Inventory'!G107="", "", IF('Lighting Inventory'!G107="Air Conditioned", "Y", "N"))</f>
        <v/>
      </c>
      <c r="H153" s="90">
        <f>'Lighting Inventory'!H107</f>
        <v>0</v>
      </c>
      <c r="I153" s="469" t="str">
        <f>IF('Lighting Inventory'!J107="", "", 'Lighting Inventory'!J107)</f>
        <v/>
      </c>
      <c r="J153" s="91" t="str">
        <f>IF('Lighting Inventory'!K107="", "", 'Lighting Inventory'!K107)</f>
        <v/>
      </c>
      <c r="K153" s="1188" t="str">
        <f>IF('Lighting Inventory'!S107="", "", 'Lighting Inventory'!S107)</f>
        <v/>
      </c>
      <c r="L153" s="1188"/>
      <c r="M153" s="1189" t="str">
        <f>IF('Lighting Inventory'!E107="", "", 'Lighting Inventory'!W107)</f>
        <v/>
      </c>
      <c r="N153" s="1189"/>
      <c r="O153" s="1189"/>
      <c r="P153" s="1189"/>
      <c r="Q153" s="1189"/>
      <c r="R153" s="469" t="str">
        <f>IF('Lighting Inventory'!AE107="", "", 'Lighting Inventory'!AE107)</f>
        <v/>
      </c>
      <c r="S153" s="92" t="str">
        <f>IF('Lighting Inventory'!AN107="", "", 'Lighting Inventory'!AN107)</f>
        <v/>
      </c>
      <c r="T153" s="1188"/>
      <c r="U153" s="1188"/>
      <c r="V153" s="1188"/>
      <c r="W153" s="1188"/>
      <c r="X153" s="1188"/>
      <c r="Y153" s="1188"/>
      <c r="Z153" s="1188"/>
    </row>
    <row r="154" spans="1:26" ht="11.25" customHeight="1" x14ac:dyDescent="0.25">
      <c r="A154" s="93">
        <v>98</v>
      </c>
      <c r="B154" s="468">
        <f>'Lighting Inventory'!I108</f>
        <v>0</v>
      </c>
      <c r="C154" s="1186" t="str">
        <f>IF('Lighting Inventory'!D108="", "", 'Lighting Inventory'!D108)</f>
        <v/>
      </c>
      <c r="D154" s="1186"/>
      <c r="E154" s="1186"/>
      <c r="F154" s="468" t="str">
        <f>IF('Lighting Inventory'!E108="", "", 'Lighting Inventory'!E108)</f>
        <v/>
      </c>
      <c r="G154" s="93" t="str">
        <f>IF('Lighting Inventory'!G108="", "", IF('Lighting Inventory'!G108="Air Conditioned", "Y", "N"))</f>
        <v/>
      </c>
      <c r="H154" s="94">
        <f>'Lighting Inventory'!H108</f>
        <v>0</v>
      </c>
      <c r="I154" s="94" t="str">
        <f>IF('Lighting Inventory'!J108="", "", 'Lighting Inventory'!J108)</f>
        <v/>
      </c>
      <c r="J154" s="94" t="str">
        <f>IF('Lighting Inventory'!K108="", "", 'Lighting Inventory'!K108)</f>
        <v/>
      </c>
      <c r="K154" s="1186" t="str">
        <f>IF('Lighting Inventory'!S107="", "", 'Lighting Inventory'!S107)</f>
        <v/>
      </c>
      <c r="L154" s="1186"/>
      <c r="M154" s="1187" t="str">
        <f>IF('Lighting Inventory'!E108="", "", 'Lighting Inventory'!W108)</f>
        <v/>
      </c>
      <c r="N154" s="1187"/>
      <c r="O154" s="1187"/>
      <c r="P154" s="1187"/>
      <c r="Q154" s="1187"/>
      <c r="R154" s="468" t="str">
        <f>IF('Lighting Inventory'!AE108="", "", 'Lighting Inventory'!AE108)</f>
        <v/>
      </c>
      <c r="S154" s="95" t="str">
        <f>IF('Lighting Inventory'!AN108="", "", 'Lighting Inventory'!AN108)</f>
        <v/>
      </c>
      <c r="T154" s="1186"/>
      <c r="U154" s="1186"/>
      <c r="V154" s="1186"/>
      <c r="W154" s="1186"/>
      <c r="X154" s="1186"/>
      <c r="Y154" s="1186"/>
      <c r="Z154" s="1186"/>
    </row>
    <row r="155" spans="1:26" ht="11.25" customHeight="1" x14ac:dyDescent="0.25">
      <c r="A155" s="89">
        <v>99</v>
      </c>
      <c r="B155" s="469">
        <f>'Lighting Inventory'!I109</f>
        <v>0</v>
      </c>
      <c r="C155" s="1188" t="str">
        <f>IF('Lighting Inventory'!D109="", "", 'Lighting Inventory'!D109)</f>
        <v/>
      </c>
      <c r="D155" s="1188"/>
      <c r="E155" s="1188"/>
      <c r="F155" s="469" t="str">
        <f>IF('Lighting Inventory'!E109="", "", 'Lighting Inventory'!E109)</f>
        <v/>
      </c>
      <c r="G155" s="89" t="str">
        <f>IF('Lighting Inventory'!G109="", "", IF('Lighting Inventory'!G109="Air Conditioned", "Y", "N"))</f>
        <v/>
      </c>
      <c r="H155" s="90">
        <f>'Lighting Inventory'!H109</f>
        <v>0</v>
      </c>
      <c r="I155" s="469" t="str">
        <f>IF('Lighting Inventory'!J109="", "", 'Lighting Inventory'!J109)</f>
        <v/>
      </c>
      <c r="J155" s="91" t="str">
        <f>IF('Lighting Inventory'!K109="", "", 'Lighting Inventory'!K109)</f>
        <v/>
      </c>
      <c r="K155" s="1188" t="str">
        <f>IF('Lighting Inventory'!S109="", "", 'Lighting Inventory'!S109)</f>
        <v/>
      </c>
      <c r="L155" s="1188"/>
      <c r="M155" s="1189" t="str">
        <f>IF('Lighting Inventory'!E109="", "", 'Lighting Inventory'!W109)</f>
        <v/>
      </c>
      <c r="N155" s="1189"/>
      <c r="O155" s="1189"/>
      <c r="P155" s="1189"/>
      <c r="Q155" s="1189"/>
      <c r="R155" s="469" t="str">
        <f>IF('Lighting Inventory'!AE109="", "", 'Lighting Inventory'!AE109)</f>
        <v/>
      </c>
      <c r="S155" s="92" t="str">
        <f>IF('Lighting Inventory'!AN109="", "", 'Lighting Inventory'!AN109)</f>
        <v/>
      </c>
      <c r="T155" s="1188"/>
      <c r="U155" s="1188"/>
      <c r="V155" s="1188"/>
      <c r="W155" s="1188"/>
      <c r="X155" s="1188"/>
      <c r="Y155" s="1188"/>
      <c r="Z155" s="1188"/>
    </row>
    <row r="156" spans="1:26" ht="11.25" customHeight="1" x14ac:dyDescent="0.25">
      <c r="A156" s="93">
        <v>100</v>
      </c>
      <c r="B156" s="468">
        <f>'Lighting Inventory'!I110</f>
        <v>0</v>
      </c>
      <c r="C156" s="1186" t="str">
        <f>IF('Lighting Inventory'!D110="", "", 'Lighting Inventory'!D110)</f>
        <v/>
      </c>
      <c r="D156" s="1186"/>
      <c r="E156" s="1186"/>
      <c r="F156" s="468" t="str">
        <f>IF('Lighting Inventory'!E110="", "", 'Lighting Inventory'!E110)</f>
        <v/>
      </c>
      <c r="G156" s="93" t="str">
        <f>IF('Lighting Inventory'!G110="", "", IF('Lighting Inventory'!G110="Air Conditioned", "Y", "N"))</f>
        <v/>
      </c>
      <c r="H156" s="94">
        <f>'Lighting Inventory'!H110</f>
        <v>0</v>
      </c>
      <c r="I156" s="94" t="str">
        <f>IF('Lighting Inventory'!J110="", "", 'Lighting Inventory'!J110)</f>
        <v/>
      </c>
      <c r="J156" s="94" t="str">
        <f>IF('Lighting Inventory'!K110="", "", 'Lighting Inventory'!K110)</f>
        <v/>
      </c>
      <c r="K156" s="1186" t="str">
        <f>IF('Lighting Inventory'!S109="", "", 'Lighting Inventory'!S109)</f>
        <v/>
      </c>
      <c r="L156" s="1186"/>
      <c r="M156" s="1187" t="str">
        <f>IF('Lighting Inventory'!E110="", "", 'Lighting Inventory'!W110)</f>
        <v/>
      </c>
      <c r="N156" s="1187"/>
      <c r="O156" s="1187"/>
      <c r="P156" s="1187"/>
      <c r="Q156" s="1187"/>
      <c r="R156" s="468" t="str">
        <f>IF('Lighting Inventory'!AE110="", "", 'Lighting Inventory'!AE110)</f>
        <v/>
      </c>
      <c r="S156" s="95" t="str">
        <f>IF('Lighting Inventory'!AN110="", "", 'Lighting Inventory'!AN110)</f>
        <v/>
      </c>
      <c r="T156" s="1186"/>
      <c r="U156" s="1186"/>
      <c r="V156" s="1186"/>
      <c r="W156" s="1186"/>
      <c r="X156" s="1186"/>
      <c r="Y156" s="1186"/>
      <c r="Z156" s="1186"/>
    </row>
    <row r="157" spans="1:26" ht="11.25" customHeight="1" x14ac:dyDescent="0.25">
      <c r="A157" s="89">
        <v>101</v>
      </c>
      <c r="B157" s="469">
        <f>'Lighting Inventory'!I111</f>
        <v>0</v>
      </c>
      <c r="C157" s="1188" t="str">
        <f>IF('Lighting Inventory'!D111="", "", 'Lighting Inventory'!D111)</f>
        <v/>
      </c>
      <c r="D157" s="1188"/>
      <c r="E157" s="1188"/>
      <c r="F157" s="469" t="str">
        <f>IF('Lighting Inventory'!E111="", "", 'Lighting Inventory'!E111)</f>
        <v/>
      </c>
      <c r="G157" s="89" t="str">
        <f>IF('Lighting Inventory'!G111="", "", IF('Lighting Inventory'!G111="Air Conditioned", "Y", "N"))</f>
        <v/>
      </c>
      <c r="H157" s="90">
        <f>'Lighting Inventory'!H111</f>
        <v>0</v>
      </c>
      <c r="I157" s="469" t="str">
        <f>IF('Lighting Inventory'!J111="", "", 'Lighting Inventory'!J111)</f>
        <v/>
      </c>
      <c r="J157" s="91" t="str">
        <f>IF('Lighting Inventory'!K111="", "", 'Lighting Inventory'!K111)</f>
        <v/>
      </c>
      <c r="K157" s="1188" t="str">
        <f>IF('Lighting Inventory'!S111="", "", 'Lighting Inventory'!S111)</f>
        <v/>
      </c>
      <c r="L157" s="1188"/>
      <c r="M157" s="1189" t="str">
        <f>IF('Lighting Inventory'!E111="", "", 'Lighting Inventory'!W111)</f>
        <v/>
      </c>
      <c r="N157" s="1189"/>
      <c r="O157" s="1189"/>
      <c r="P157" s="1189"/>
      <c r="Q157" s="1189"/>
      <c r="R157" s="469" t="str">
        <f>IF('Lighting Inventory'!AE111="", "", 'Lighting Inventory'!AE111)</f>
        <v/>
      </c>
      <c r="S157" s="92" t="str">
        <f>IF('Lighting Inventory'!AN111="", "", 'Lighting Inventory'!AN111)</f>
        <v/>
      </c>
      <c r="T157" s="1188"/>
      <c r="U157" s="1188"/>
      <c r="V157" s="1188"/>
      <c r="W157" s="1188"/>
      <c r="X157" s="1188"/>
      <c r="Y157" s="1188"/>
      <c r="Z157" s="1188"/>
    </row>
    <row r="158" spans="1:26" ht="11.25" customHeight="1" x14ac:dyDescent="0.25">
      <c r="A158" s="93">
        <v>102</v>
      </c>
      <c r="B158" s="468">
        <f>'Lighting Inventory'!I112</f>
        <v>0</v>
      </c>
      <c r="C158" s="1186" t="str">
        <f>IF('Lighting Inventory'!D112="", "", 'Lighting Inventory'!D112)</f>
        <v/>
      </c>
      <c r="D158" s="1186"/>
      <c r="E158" s="1186"/>
      <c r="F158" s="468" t="str">
        <f>IF('Lighting Inventory'!E112="", "", 'Lighting Inventory'!E112)</f>
        <v/>
      </c>
      <c r="G158" s="93" t="str">
        <f>IF('Lighting Inventory'!G112="", "", IF('Lighting Inventory'!G112="Air Conditioned", "Y", "N"))</f>
        <v/>
      </c>
      <c r="H158" s="94">
        <f>'Lighting Inventory'!H112</f>
        <v>0</v>
      </c>
      <c r="I158" s="94" t="str">
        <f>IF('Lighting Inventory'!J112="", "", 'Lighting Inventory'!J112)</f>
        <v/>
      </c>
      <c r="J158" s="94" t="str">
        <f>IF('Lighting Inventory'!K112="", "", 'Lighting Inventory'!K112)</f>
        <v/>
      </c>
      <c r="K158" s="1186" t="str">
        <f>IF('Lighting Inventory'!S111="", "", 'Lighting Inventory'!S111)</f>
        <v/>
      </c>
      <c r="L158" s="1186"/>
      <c r="M158" s="1187" t="str">
        <f>IF('Lighting Inventory'!E112="", "", 'Lighting Inventory'!W112)</f>
        <v/>
      </c>
      <c r="N158" s="1187"/>
      <c r="O158" s="1187"/>
      <c r="P158" s="1187"/>
      <c r="Q158" s="1187"/>
      <c r="R158" s="468" t="str">
        <f>IF('Lighting Inventory'!AE112="", "", 'Lighting Inventory'!AE112)</f>
        <v/>
      </c>
      <c r="S158" s="95" t="str">
        <f>IF('Lighting Inventory'!AN112="", "", 'Lighting Inventory'!AN112)</f>
        <v/>
      </c>
      <c r="T158" s="1186"/>
      <c r="U158" s="1186"/>
      <c r="V158" s="1186"/>
      <c r="W158" s="1186"/>
      <c r="X158" s="1186"/>
      <c r="Y158" s="1186"/>
      <c r="Z158" s="1186"/>
    </row>
    <row r="159" spans="1:26" ht="11.25" customHeight="1" x14ac:dyDescent="0.25">
      <c r="A159" s="89">
        <v>103</v>
      </c>
      <c r="B159" s="469">
        <f>'Lighting Inventory'!I113</f>
        <v>0</v>
      </c>
      <c r="C159" s="1188" t="str">
        <f>IF('Lighting Inventory'!D113="", "", 'Lighting Inventory'!D113)</f>
        <v/>
      </c>
      <c r="D159" s="1188"/>
      <c r="E159" s="1188"/>
      <c r="F159" s="469" t="str">
        <f>IF('Lighting Inventory'!E113="", "", 'Lighting Inventory'!E113)</f>
        <v/>
      </c>
      <c r="G159" s="89" t="str">
        <f>IF('Lighting Inventory'!G113="", "", IF('Lighting Inventory'!G113="Air Conditioned", "Y", "N"))</f>
        <v/>
      </c>
      <c r="H159" s="90">
        <f>'Lighting Inventory'!H113</f>
        <v>0</v>
      </c>
      <c r="I159" s="469" t="str">
        <f>IF('Lighting Inventory'!J113="", "", 'Lighting Inventory'!J113)</f>
        <v/>
      </c>
      <c r="J159" s="91" t="str">
        <f>IF('Lighting Inventory'!K113="", "", 'Lighting Inventory'!K113)</f>
        <v/>
      </c>
      <c r="K159" s="1188" t="str">
        <f>IF('Lighting Inventory'!S113="", "", 'Lighting Inventory'!S113)</f>
        <v/>
      </c>
      <c r="L159" s="1188"/>
      <c r="M159" s="1189" t="str">
        <f>IF('Lighting Inventory'!E113="", "", 'Lighting Inventory'!W113)</f>
        <v/>
      </c>
      <c r="N159" s="1189"/>
      <c r="O159" s="1189"/>
      <c r="P159" s="1189"/>
      <c r="Q159" s="1189"/>
      <c r="R159" s="469" t="str">
        <f>IF('Lighting Inventory'!AE113="", "", 'Lighting Inventory'!AE113)</f>
        <v/>
      </c>
      <c r="S159" s="92" t="str">
        <f>IF('Lighting Inventory'!AN113="", "", 'Lighting Inventory'!AN113)</f>
        <v/>
      </c>
      <c r="T159" s="1188"/>
      <c r="U159" s="1188"/>
      <c r="V159" s="1188"/>
      <c r="W159" s="1188"/>
      <c r="X159" s="1188"/>
      <c r="Y159" s="1188"/>
      <c r="Z159" s="1188"/>
    </row>
    <row r="160" spans="1:26" ht="11.25" customHeight="1" x14ac:dyDescent="0.25">
      <c r="A160" s="93">
        <v>104</v>
      </c>
      <c r="B160" s="468">
        <f>'Lighting Inventory'!I114</f>
        <v>0</v>
      </c>
      <c r="C160" s="1186" t="str">
        <f>IF('Lighting Inventory'!D114="", "", 'Lighting Inventory'!D114)</f>
        <v/>
      </c>
      <c r="D160" s="1186"/>
      <c r="E160" s="1186"/>
      <c r="F160" s="468" t="str">
        <f>IF('Lighting Inventory'!E114="", "", 'Lighting Inventory'!E114)</f>
        <v/>
      </c>
      <c r="G160" s="93" t="str">
        <f>IF('Lighting Inventory'!G114="", "", IF('Lighting Inventory'!G114="Air Conditioned", "Y", "N"))</f>
        <v/>
      </c>
      <c r="H160" s="94">
        <f>'Lighting Inventory'!H114</f>
        <v>0</v>
      </c>
      <c r="I160" s="94" t="str">
        <f>IF('Lighting Inventory'!J114="", "", 'Lighting Inventory'!J114)</f>
        <v/>
      </c>
      <c r="J160" s="94" t="str">
        <f>IF('Lighting Inventory'!K114="", "", 'Lighting Inventory'!K114)</f>
        <v/>
      </c>
      <c r="K160" s="1186" t="str">
        <f>IF('Lighting Inventory'!S113="", "", 'Lighting Inventory'!S113)</f>
        <v/>
      </c>
      <c r="L160" s="1186"/>
      <c r="M160" s="1187" t="str">
        <f>IF('Lighting Inventory'!E114="", "", 'Lighting Inventory'!W114)</f>
        <v/>
      </c>
      <c r="N160" s="1187"/>
      <c r="O160" s="1187"/>
      <c r="P160" s="1187"/>
      <c r="Q160" s="1187"/>
      <c r="R160" s="468" t="str">
        <f>IF('Lighting Inventory'!AE114="", "", 'Lighting Inventory'!AE114)</f>
        <v/>
      </c>
      <c r="S160" s="95" t="str">
        <f>IF('Lighting Inventory'!AN114="", "", 'Lighting Inventory'!AN114)</f>
        <v/>
      </c>
      <c r="T160" s="1186"/>
      <c r="U160" s="1186"/>
      <c r="V160" s="1186"/>
      <c r="W160" s="1186"/>
      <c r="X160" s="1186"/>
      <c r="Y160" s="1186"/>
      <c r="Z160" s="1186"/>
    </row>
    <row r="161" spans="1:26" ht="11.25" customHeight="1" x14ac:dyDescent="0.25">
      <c r="A161" s="89">
        <v>105</v>
      </c>
      <c r="B161" s="469">
        <f>'Lighting Inventory'!I115</f>
        <v>0</v>
      </c>
      <c r="C161" s="1188" t="str">
        <f>IF('Lighting Inventory'!D115="", "", 'Lighting Inventory'!D115)</f>
        <v/>
      </c>
      <c r="D161" s="1188"/>
      <c r="E161" s="1188"/>
      <c r="F161" s="469" t="str">
        <f>IF('Lighting Inventory'!E115="", "", 'Lighting Inventory'!E115)</f>
        <v/>
      </c>
      <c r="G161" s="89" t="str">
        <f>IF('Lighting Inventory'!G115="", "", IF('Lighting Inventory'!G115="Air Conditioned", "Y", "N"))</f>
        <v/>
      </c>
      <c r="H161" s="90">
        <f>'Lighting Inventory'!H115</f>
        <v>0</v>
      </c>
      <c r="I161" s="469" t="str">
        <f>IF('Lighting Inventory'!J115="", "", 'Lighting Inventory'!J115)</f>
        <v/>
      </c>
      <c r="J161" s="91" t="str">
        <f>IF('Lighting Inventory'!K115="", "", 'Lighting Inventory'!K115)</f>
        <v/>
      </c>
      <c r="K161" s="1188" t="str">
        <f>IF('Lighting Inventory'!S115="", "", 'Lighting Inventory'!S115)</f>
        <v/>
      </c>
      <c r="L161" s="1188"/>
      <c r="M161" s="1189" t="str">
        <f>IF('Lighting Inventory'!E115="", "", 'Lighting Inventory'!W115)</f>
        <v/>
      </c>
      <c r="N161" s="1189"/>
      <c r="O161" s="1189"/>
      <c r="P161" s="1189"/>
      <c r="Q161" s="1189"/>
      <c r="R161" s="469" t="str">
        <f>IF('Lighting Inventory'!AE115="", "", 'Lighting Inventory'!AE115)</f>
        <v/>
      </c>
      <c r="S161" s="92" t="str">
        <f>IF('Lighting Inventory'!AN115="", "", 'Lighting Inventory'!AN115)</f>
        <v/>
      </c>
      <c r="T161" s="1188"/>
      <c r="U161" s="1188"/>
      <c r="V161" s="1188"/>
      <c r="W161" s="1188"/>
      <c r="X161" s="1188"/>
      <c r="Y161" s="1188"/>
      <c r="Z161" s="1188"/>
    </row>
    <row r="162" spans="1:26" ht="11.25" customHeight="1" x14ac:dyDescent="0.25">
      <c r="A162" s="93">
        <v>106</v>
      </c>
      <c r="B162" s="468">
        <f>'Lighting Inventory'!I116</f>
        <v>0</v>
      </c>
      <c r="C162" s="1186" t="str">
        <f>IF('Lighting Inventory'!D116="", "", 'Lighting Inventory'!D116)</f>
        <v/>
      </c>
      <c r="D162" s="1186"/>
      <c r="E162" s="1186"/>
      <c r="F162" s="468" t="str">
        <f>IF('Lighting Inventory'!E116="", "", 'Lighting Inventory'!E116)</f>
        <v/>
      </c>
      <c r="G162" s="93" t="str">
        <f>IF('Lighting Inventory'!G116="", "", IF('Lighting Inventory'!G116="Air Conditioned", "Y", "N"))</f>
        <v/>
      </c>
      <c r="H162" s="94">
        <f>'Lighting Inventory'!H116</f>
        <v>0</v>
      </c>
      <c r="I162" s="94" t="str">
        <f>IF('Lighting Inventory'!J116="", "", 'Lighting Inventory'!J116)</f>
        <v/>
      </c>
      <c r="J162" s="94" t="str">
        <f>IF('Lighting Inventory'!K116="", "", 'Lighting Inventory'!K116)</f>
        <v/>
      </c>
      <c r="K162" s="1186" t="str">
        <f>IF('Lighting Inventory'!S115="", "", 'Lighting Inventory'!S115)</f>
        <v/>
      </c>
      <c r="L162" s="1186"/>
      <c r="M162" s="1187" t="str">
        <f>IF('Lighting Inventory'!E116="", "", 'Lighting Inventory'!W116)</f>
        <v/>
      </c>
      <c r="N162" s="1187"/>
      <c r="O162" s="1187"/>
      <c r="P162" s="1187"/>
      <c r="Q162" s="1187"/>
      <c r="R162" s="468" t="str">
        <f>IF('Lighting Inventory'!AE116="", "", 'Lighting Inventory'!AE116)</f>
        <v/>
      </c>
      <c r="S162" s="95" t="str">
        <f>IF('Lighting Inventory'!AN116="", "", 'Lighting Inventory'!AN116)</f>
        <v/>
      </c>
      <c r="T162" s="1186"/>
      <c r="U162" s="1186"/>
      <c r="V162" s="1186"/>
      <c r="W162" s="1186"/>
      <c r="X162" s="1186"/>
      <c r="Y162" s="1186"/>
      <c r="Z162" s="1186"/>
    </row>
    <row r="163" spans="1:26" ht="11.25" customHeight="1" x14ac:dyDescent="0.25">
      <c r="A163" s="89">
        <v>107</v>
      </c>
      <c r="B163" s="469">
        <f>'Lighting Inventory'!I117</f>
        <v>0</v>
      </c>
      <c r="C163" s="1188" t="str">
        <f>IF('Lighting Inventory'!D117="", "", 'Lighting Inventory'!D117)</f>
        <v/>
      </c>
      <c r="D163" s="1188"/>
      <c r="E163" s="1188"/>
      <c r="F163" s="469" t="str">
        <f>IF('Lighting Inventory'!E117="", "", 'Lighting Inventory'!E117)</f>
        <v/>
      </c>
      <c r="G163" s="89" t="str">
        <f>IF('Lighting Inventory'!G117="", "", IF('Lighting Inventory'!G117="Air Conditioned", "Y", "N"))</f>
        <v/>
      </c>
      <c r="H163" s="90">
        <f>'Lighting Inventory'!H117</f>
        <v>0</v>
      </c>
      <c r="I163" s="469" t="str">
        <f>IF('Lighting Inventory'!J117="", "", 'Lighting Inventory'!J117)</f>
        <v/>
      </c>
      <c r="J163" s="91" t="str">
        <f>IF('Lighting Inventory'!K117="", "", 'Lighting Inventory'!K117)</f>
        <v/>
      </c>
      <c r="K163" s="1188" t="str">
        <f>IF('Lighting Inventory'!S117="", "", 'Lighting Inventory'!S117)</f>
        <v/>
      </c>
      <c r="L163" s="1188"/>
      <c r="M163" s="1189" t="str">
        <f>IF('Lighting Inventory'!E117="", "", 'Lighting Inventory'!W117)</f>
        <v/>
      </c>
      <c r="N163" s="1189"/>
      <c r="O163" s="1189"/>
      <c r="P163" s="1189"/>
      <c r="Q163" s="1189"/>
      <c r="R163" s="469" t="str">
        <f>IF('Lighting Inventory'!AE117="", "", 'Lighting Inventory'!AE117)</f>
        <v/>
      </c>
      <c r="S163" s="92" t="str">
        <f>IF('Lighting Inventory'!AN117="", "", 'Lighting Inventory'!AN117)</f>
        <v/>
      </c>
      <c r="T163" s="1188"/>
      <c r="U163" s="1188"/>
      <c r="V163" s="1188"/>
      <c r="W163" s="1188"/>
      <c r="X163" s="1188"/>
      <c r="Y163" s="1188"/>
      <c r="Z163" s="1188"/>
    </row>
    <row r="164" spans="1:26" ht="11.25" customHeight="1" x14ac:dyDescent="0.25">
      <c r="A164" s="93">
        <v>108</v>
      </c>
      <c r="B164" s="468">
        <f>'Lighting Inventory'!I118</f>
        <v>0</v>
      </c>
      <c r="C164" s="1186" t="str">
        <f>IF('Lighting Inventory'!D118="", "", 'Lighting Inventory'!D118)</f>
        <v/>
      </c>
      <c r="D164" s="1186"/>
      <c r="E164" s="1186"/>
      <c r="F164" s="468" t="str">
        <f>IF('Lighting Inventory'!E118="", "", 'Lighting Inventory'!E118)</f>
        <v/>
      </c>
      <c r="G164" s="93" t="str">
        <f>IF('Lighting Inventory'!G118="", "", IF('Lighting Inventory'!G118="Air Conditioned", "Y", "N"))</f>
        <v/>
      </c>
      <c r="H164" s="94">
        <f>'Lighting Inventory'!H118</f>
        <v>0</v>
      </c>
      <c r="I164" s="94" t="str">
        <f>IF('Lighting Inventory'!J118="", "", 'Lighting Inventory'!J118)</f>
        <v/>
      </c>
      <c r="J164" s="94" t="str">
        <f>IF('Lighting Inventory'!K118="", "", 'Lighting Inventory'!K118)</f>
        <v/>
      </c>
      <c r="K164" s="1186" t="str">
        <f>IF('Lighting Inventory'!S117="", "", 'Lighting Inventory'!S117)</f>
        <v/>
      </c>
      <c r="L164" s="1186"/>
      <c r="M164" s="1187" t="str">
        <f>IF('Lighting Inventory'!E118="", "", 'Lighting Inventory'!W118)</f>
        <v/>
      </c>
      <c r="N164" s="1187"/>
      <c r="O164" s="1187"/>
      <c r="P164" s="1187"/>
      <c r="Q164" s="1187"/>
      <c r="R164" s="468" t="str">
        <f>IF('Lighting Inventory'!AE118="", "", 'Lighting Inventory'!AE118)</f>
        <v/>
      </c>
      <c r="S164" s="95" t="str">
        <f>IF('Lighting Inventory'!AN118="", "", 'Lighting Inventory'!AN118)</f>
        <v/>
      </c>
      <c r="T164" s="1186"/>
      <c r="U164" s="1186"/>
      <c r="V164" s="1186"/>
      <c r="W164" s="1186"/>
      <c r="X164" s="1186"/>
      <c r="Y164" s="1186"/>
      <c r="Z164" s="1186"/>
    </row>
    <row r="165" spans="1:26" ht="11.25" customHeight="1" x14ac:dyDescent="0.25">
      <c r="A165" s="89">
        <v>109</v>
      </c>
      <c r="B165" s="469">
        <f>'Lighting Inventory'!I119</f>
        <v>0</v>
      </c>
      <c r="C165" s="1188" t="str">
        <f>IF('Lighting Inventory'!D119="", "", 'Lighting Inventory'!D119)</f>
        <v/>
      </c>
      <c r="D165" s="1188"/>
      <c r="E165" s="1188"/>
      <c r="F165" s="469" t="str">
        <f>IF('Lighting Inventory'!E119="", "", 'Lighting Inventory'!E119)</f>
        <v/>
      </c>
      <c r="G165" s="89" t="str">
        <f>IF('Lighting Inventory'!G119="", "", IF('Lighting Inventory'!G119="Air Conditioned", "Y", "N"))</f>
        <v/>
      </c>
      <c r="H165" s="90">
        <f>'Lighting Inventory'!H119</f>
        <v>0</v>
      </c>
      <c r="I165" s="469" t="str">
        <f>IF('Lighting Inventory'!J119="", "", 'Lighting Inventory'!J119)</f>
        <v/>
      </c>
      <c r="J165" s="91" t="str">
        <f>IF('Lighting Inventory'!K119="", "", 'Lighting Inventory'!K119)</f>
        <v/>
      </c>
      <c r="K165" s="1188" t="str">
        <f>IF('Lighting Inventory'!S119="", "", 'Lighting Inventory'!S119)</f>
        <v/>
      </c>
      <c r="L165" s="1188"/>
      <c r="M165" s="1189" t="str">
        <f>IF('Lighting Inventory'!E119="", "", 'Lighting Inventory'!W119)</f>
        <v/>
      </c>
      <c r="N165" s="1189"/>
      <c r="O165" s="1189"/>
      <c r="P165" s="1189"/>
      <c r="Q165" s="1189"/>
      <c r="R165" s="469" t="str">
        <f>IF('Lighting Inventory'!AE119="", "", 'Lighting Inventory'!AE119)</f>
        <v/>
      </c>
      <c r="S165" s="92" t="str">
        <f>IF('Lighting Inventory'!AN119="", "", 'Lighting Inventory'!AN119)</f>
        <v/>
      </c>
      <c r="T165" s="1188"/>
      <c r="U165" s="1188"/>
      <c r="V165" s="1188"/>
      <c r="W165" s="1188"/>
      <c r="X165" s="1188"/>
      <c r="Y165" s="1188"/>
      <c r="Z165" s="1188"/>
    </row>
    <row r="166" spans="1:26" ht="11.25" customHeight="1" x14ac:dyDescent="0.25">
      <c r="A166" s="93">
        <v>110</v>
      </c>
      <c r="B166" s="468">
        <f>'Lighting Inventory'!I120</f>
        <v>0</v>
      </c>
      <c r="C166" s="1186" t="str">
        <f>IF('Lighting Inventory'!D120="", "", 'Lighting Inventory'!D120)</f>
        <v/>
      </c>
      <c r="D166" s="1186"/>
      <c r="E166" s="1186"/>
      <c r="F166" s="468" t="str">
        <f>IF('Lighting Inventory'!E120="", "", 'Lighting Inventory'!E120)</f>
        <v/>
      </c>
      <c r="G166" s="93" t="str">
        <f>IF('Lighting Inventory'!G120="", "", IF('Lighting Inventory'!G120="Air Conditioned", "Y", "N"))</f>
        <v/>
      </c>
      <c r="H166" s="94">
        <f>'Lighting Inventory'!H120</f>
        <v>0</v>
      </c>
      <c r="I166" s="94" t="str">
        <f>IF('Lighting Inventory'!J120="", "", 'Lighting Inventory'!J120)</f>
        <v/>
      </c>
      <c r="J166" s="94" t="str">
        <f>IF('Lighting Inventory'!K120="", "", 'Lighting Inventory'!K120)</f>
        <v/>
      </c>
      <c r="K166" s="1186" t="str">
        <f>IF('Lighting Inventory'!S119="", "", 'Lighting Inventory'!S119)</f>
        <v/>
      </c>
      <c r="L166" s="1186"/>
      <c r="M166" s="1187" t="str">
        <f>IF('Lighting Inventory'!E120="", "", 'Lighting Inventory'!W120)</f>
        <v/>
      </c>
      <c r="N166" s="1187"/>
      <c r="O166" s="1187"/>
      <c r="P166" s="1187"/>
      <c r="Q166" s="1187"/>
      <c r="R166" s="468" t="str">
        <f>IF('Lighting Inventory'!AE120="", "", 'Lighting Inventory'!AE120)</f>
        <v/>
      </c>
      <c r="S166" s="95" t="str">
        <f>IF('Lighting Inventory'!AN120="", "", 'Lighting Inventory'!AN120)</f>
        <v/>
      </c>
      <c r="T166" s="1186"/>
      <c r="U166" s="1186"/>
      <c r="V166" s="1186"/>
      <c r="W166" s="1186"/>
      <c r="X166" s="1186"/>
      <c r="Y166" s="1186"/>
      <c r="Z166" s="1186"/>
    </row>
    <row r="167" spans="1:26" ht="11.25" customHeight="1" x14ac:dyDescent="0.25">
      <c r="A167" s="89">
        <v>111</v>
      </c>
      <c r="B167" s="469">
        <f>'Lighting Inventory'!I121</f>
        <v>0</v>
      </c>
      <c r="C167" s="1188" t="str">
        <f>IF('Lighting Inventory'!D121="", "", 'Lighting Inventory'!D121)</f>
        <v/>
      </c>
      <c r="D167" s="1188"/>
      <c r="E167" s="1188"/>
      <c r="F167" s="469" t="str">
        <f>IF('Lighting Inventory'!E121="", "", 'Lighting Inventory'!E121)</f>
        <v/>
      </c>
      <c r="G167" s="89" t="str">
        <f>IF('Lighting Inventory'!G121="", "", IF('Lighting Inventory'!G121="Air Conditioned", "Y", "N"))</f>
        <v/>
      </c>
      <c r="H167" s="90">
        <f>'Lighting Inventory'!H121</f>
        <v>0</v>
      </c>
      <c r="I167" s="469" t="str">
        <f>IF('Lighting Inventory'!J121="", "", 'Lighting Inventory'!J121)</f>
        <v/>
      </c>
      <c r="J167" s="91" t="str">
        <f>IF('Lighting Inventory'!K121="", "", 'Lighting Inventory'!K121)</f>
        <v/>
      </c>
      <c r="K167" s="1188" t="str">
        <f>IF('Lighting Inventory'!S121="", "", 'Lighting Inventory'!S121)</f>
        <v/>
      </c>
      <c r="L167" s="1188"/>
      <c r="M167" s="1189" t="str">
        <f>IF('Lighting Inventory'!E121="", "", 'Lighting Inventory'!W121)</f>
        <v/>
      </c>
      <c r="N167" s="1189"/>
      <c r="O167" s="1189"/>
      <c r="P167" s="1189"/>
      <c r="Q167" s="1189"/>
      <c r="R167" s="469" t="str">
        <f>IF('Lighting Inventory'!AE121="", "", 'Lighting Inventory'!AE121)</f>
        <v/>
      </c>
      <c r="S167" s="92" t="str">
        <f>IF('Lighting Inventory'!AN121="", "", 'Lighting Inventory'!AN121)</f>
        <v/>
      </c>
      <c r="T167" s="1188"/>
      <c r="U167" s="1188"/>
      <c r="V167" s="1188"/>
      <c r="W167" s="1188"/>
      <c r="X167" s="1188"/>
      <c r="Y167" s="1188"/>
      <c r="Z167" s="1188"/>
    </row>
    <row r="168" spans="1:26" ht="11.25" customHeight="1" x14ac:dyDescent="0.25">
      <c r="A168" s="93">
        <v>112</v>
      </c>
      <c r="B168" s="468">
        <f>'Lighting Inventory'!I122</f>
        <v>0</v>
      </c>
      <c r="C168" s="1186" t="str">
        <f>IF('Lighting Inventory'!D122="", "", 'Lighting Inventory'!D122)</f>
        <v/>
      </c>
      <c r="D168" s="1186"/>
      <c r="E168" s="1186"/>
      <c r="F168" s="468" t="str">
        <f>IF('Lighting Inventory'!E122="", "", 'Lighting Inventory'!E122)</f>
        <v/>
      </c>
      <c r="G168" s="93" t="str">
        <f>IF('Lighting Inventory'!G122="", "", IF('Lighting Inventory'!G122="Air Conditioned", "Y", "N"))</f>
        <v/>
      </c>
      <c r="H168" s="94">
        <f>'Lighting Inventory'!H122</f>
        <v>0</v>
      </c>
      <c r="I168" s="94" t="str">
        <f>IF('Lighting Inventory'!J122="", "", 'Lighting Inventory'!J122)</f>
        <v/>
      </c>
      <c r="J168" s="94" t="str">
        <f>IF('Lighting Inventory'!K122="", "", 'Lighting Inventory'!K122)</f>
        <v/>
      </c>
      <c r="K168" s="1186" t="str">
        <f>IF('Lighting Inventory'!S121="", "", 'Lighting Inventory'!S121)</f>
        <v/>
      </c>
      <c r="L168" s="1186"/>
      <c r="M168" s="1187" t="str">
        <f>IF('Lighting Inventory'!E122="", "", 'Lighting Inventory'!W122)</f>
        <v/>
      </c>
      <c r="N168" s="1187"/>
      <c r="O168" s="1187"/>
      <c r="P168" s="1187"/>
      <c r="Q168" s="1187"/>
      <c r="R168" s="468" t="str">
        <f>IF('Lighting Inventory'!AE122="", "", 'Lighting Inventory'!AE122)</f>
        <v/>
      </c>
      <c r="S168" s="95" t="str">
        <f>IF('Lighting Inventory'!AN122="", "", 'Lighting Inventory'!AN122)</f>
        <v/>
      </c>
      <c r="T168" s="1186"/>
      <c r="U168" s="1186"/>
      <c r="V168" s="1186"/>
      <c r="W168" s="1186"/>
      <c r="X168" s="1186"/>
      <c r="Y168" s="1186"/>
      <c r="Z168" s="1186"/>
    </row>
    <row r="169" spans="1:26" ht="11.25" customHeight="1" x14ac:dyDescent="0.25">
      <c r="A169" s="89">
        <v>113</v>
      </c>
      <c r="B169" s="469">
        <f>'Lighting Inventory'!I123</f>
        <v>0</v>
      </c>
      <c r="C169" s="1188" t="str">
        <f>IF('Lighting Inventory'!D123="", "", 'Lighting Inventory'!D123)</f>
        <v/>
      </c>
      <c r="D169" s="1188"/>
      <c r="E169" s="1188"/>
      <c r="F169" s="469" t="str">
        <f>IF('Lighting Inventory'!E123="", "", 'Lighting Inventory'!E123)</f>
        <v/>
      </c>
      <c r="G169" s="89" t="str">
        <f>IF('Lighting Inventory'!G123="", "", IF('Lighting Inventory'!G123="Air Conditioned", "Y", "N"))</f>
        <v/>
      </c>
      <c r="H169" s="90">
        <f>'Lighting Inventory'!H123</f>
        <v>0</v>
      </c>
      <c r="I169" s="469" t="str">
        <f>IF('Lighting Inventory'!J123="", "", 'Lighting Inventory'!J123)</f>
        <v/>
      </c>
      <c r="J169" s="91" t="str">
        <f>IF('Lighting Inventory'!K123="", "", 'Lighting Inventory'!K123)</f>
        <v/>
      </c>
      <c r="K169" s="1188" t="str">
        <f>IF('Lighting Inventory'!S123="", "", 'Lighting Inventory'!S123)</f>
        <v/>
      </c>
      <c r="L169" s="1188"/>
      <c r="M169" s="1189" t="str">
        <f>IF('Lighting Inventory'!E123="", "", 'Lighting Inventory'!W123)</f>
        <v/>
      </c>
      <c r="N169" s="1189"/>
      <c r="O169" s="1189"/>
      <c r="P169" s="1189"/>
      <c r="Q169" s="1189"/>
      <c r="R169" s="469" t="str">
        <f>IF('Lighting Inventory'!AE123="", "", 'Lighting Inventory'!AE123)</f>
        <v/>
      </c>
      <c r="S169" s="92" t="str">
        <f>IF('Lighting Inventory'!AN123="", "", 'Lighting Inventory'!AN123)</f>
        <v/>
      </c>
      <c r="T169" s="1188"/>
      <c r="U169" s="1188"/>
      <c r="V169" s="1188"/>
      <c r="W169" s="1188"/>
      <c r="X169" s="1188"/>
      <c r="Y169" s="1188"/>
      <c r="Z169" s="1188"/>
    </row>
    <row r="170" spans="1:26" ht="11.25" customHeight="1" x14ac:dyDescent="0.25">
      <c r="A170" s="93">
        <v>114</v>
      </c>
      <c r="B170" s="468">
        <f>'Lighting Inventory'!I124</f>
        <v>0</v>
      </c>
      <c r="C170" s="1186" t="str">
        <f>IF('Lighting Inventory'!D124="", "", 'Lighting Inventory'!D124)</f>
        <v/>
      </c>
      <c r="D170" s="1186"/>
      <c r="E170" s="1186"/>
      <c r="F170" s="468" t="str">
        <f>IF('Lighting Inventory'!E124="", "", 'Lighting Inventory'!E124)</f>
        <v/>
      </c>
      <c r="G170" s="93" t="str">
        <f>IF('Lighting Inventory'!G124="", "", IF('Lighting Inventory'!G124="Air Conditioned", "Y", "N"))</f>
        <v/>
      </c>
      <c r="H170" s="94">
        <f>'Lighting Inventory'!H124</f>
        <v>0</v>
      </c>
      <c r="I170" s="94" t="str">
        <f>IF('Lighting Inventory'!J124="", "", 'Lighting Inventory'!J124)</f>
        <v/>
      </c>
      <c r="J170" s="94" t="str">
        <f>IF('Lighting Inventory'!K124="", "", 'Lighting Inventory'!K124)</f>
        <v/>
      </c>
      <c r="K170" s="1186" t="str">
        <f>IF('Lighting Inventory'!S123="", "", 'Lighting Inventory'!S123)</f>
        <v/>
      </c>
      <c r="L170" s="1186"/>
      <c r="M170" s="1187" t="str">
        <f>IF('Lighting Inventory'!E124="", "", 'Lighting Inventory'!W124)</f>
        <v/>
      </c>
      <c r="N170" s="1187"/>
      <c r="O170" s="1187"/>
      <c r="P170" s="1187"/>
      <c r="Q170" s="1187"/>
      <c r="R170" s="468" t="str">
        <f>IF('Lighting Inventory'!AE124="", "", 'Lighting Inventory'!AE124)</f>
        <v/>
      </c>
      <c r="S170" s="95" t="str">
        <f>IF('Lighting Inventory'!AN124="", "", 'Lighting Inventory'!AN124)</f>
        <v/>
      </c>
      <c r="T170" s="1186"/>
      <c r="U170" s="1186"/>
      <c r="V170" s="1186"/>
      <c r="W170" s="1186"/>
      <c r="X170" s="1186"/>
      <c r="Y170" s="1186"/>
      <c r="Z170" s="1186"/>
    </row>
    <row r="171" spans="1:26" ht="11.25" customHeight="1" x14ac:dyDescent="0.25">
      <c r="A171" s="89">
        <v>115</v>
      </c>
      <c r="B171" s="469">
        <f>'Lighting Inventory'!I125</f>
        <v>0</v>
      </c>
      <c r="C171" s="1188" t="str">
        <f>IF('Lighting Inventory'!D125="", "", 'Lighting Inventory'!D125)</f>
        <v/>
      </c>
      <c r="D171" s="1188"/>
      <c r="E171" s="1188"/>
      <c r="F171" s="469" t="str">
        <f>IF('Lighting Inventory'!E125="", "", 'Lighting Inventory'!E125)</f>
        <v/>
      </c>
      <c r="G171" s="89" t="str">
        <f>IF('Lighting Inventory'!G125="", "", IF('Lighting Inventory'!G125="Air Conditioned", "Y", "N"))</f>
        <v/>
      </c>
      <c r="H171" s="90">
        <f>'Lighting Inventory'!H125</f>
        <v>0</v>
      </c>
      <c r="I171" s="469" t="str">
        <f>IF('Lighting Inventory'!J125="", "", 'Lighting Inventory'!J125)</f>
        <v/>
      </c>
      <c r="J171" s="91" t="str">
        <f>IF('Lighting Inventory'!K125="", "", 'Lighting Inventory'!K125)</f>
        <v/>
      </c>
      <c r="K171" s="1188" t="str">
        <f>IF('Lighting Inventory'!S125="", "", 'Lighting Inventory'!S125)</f>
        <v/>
      </c>
      <c r="L171" s="1188"/>
      <c r="M171" s="1189" t="str">
        <f>IF('Lighting Inventory'!E125="", "", 'Lighting Inventory'!W125)</f>
        <v/>
      </c>
      <c r="N171" s="1189"/>
      <c r="O171" s="1189"/>
      <c r="P171" s="1189"/>
      <c r="Q171" s="1189"/>
      <c r="R171" s="469" t="str">
        <f>IF('Lighting Inventory'!AE125="", "", 'Lighting Inventory'!AE125)</f>
        <v/>
      </c>
      <c r="S171" s="92" t="str">
        <f>IF('Lighting Inventory'!AN125="", "", 'Lighting Inventory'!AN125)</f>
        <v/>
      </c>
      <c r="T171" s="1188"/>
      <c r="U171" s="1188"/>
      <c r="V171" s="1188"/>
      <c r="W171" s="1188"/>
      <c r="X171" s="1188"/>
      <c r="Y171" s="1188"/>
      <c r="Z171" s="1188"/>
    </row>
    <row r="172" spans="1:26" ht="11.25" customHeight="1" x14ac:dyDescent="0.25">
      <c r="A172" s="93">
        <v>116</v>
      </c>
      <c r="B172" s="468">
        <f>'Lighting Inventory'!I126</f>
        <v>0</v>
      </c>
      <c r="C172" s="1186" t="str">
        <f>IF('Lighting Inventory'!D126="", "", 'Lighting Inventory'!D126)</f>
        <v/>
      </c>
      <c r="D172" s="1186"/>
      <c r="E172" s="1186"/>
      <c r="F172" s="468" t="str">
        <f>IF('Lighting Inventory'!E126="", "", 'Lighting Inventory'!E126)</f>
        <v/>
      </c>
      <c r="G172" s="93" t="str">
        <f>IF('Lighting Inventory'!G126="", "", IF('Lighting Inventory'!G126="Air Conditioned", "Y", "N"))</f>
        <v/>
      </c>
      <c r="H172" s="94">
        <f>'Lighting Inventory'!H126</f>
        <v>0</v>
      </c>
      <c r="I172" s="94" t="str">
        <f>IF('Lighting Inventory'!J126="", "", 'Lighting Inventory'!J126)</f>
        <v/>
      </c>
      <c r="J172" s="94" t="str">
        <f>IF('Lighting Inventory'!K126="", "", 'Lighting Inventory'!K126)</f>
        <v/>
      </c>
      <c r="K172" s="1186" t="str">
        <f>IF('Lighting Inventory'!S125="", "", 'Lighting Inventory'!S125)</f>
        <v/>
      </c>
      <c r="L172" s="1186"/>
      <c r="M172" s="1187" t="str">
        <f>IF('Lighting Inventory'!E126="", "", 'Lighting Inventory'!W126)</f>
        <v/>
      </c>
      <c r="N172" s="1187"/>
      <c r="O172" s="1187"/>
      <c r="P172" s="1187"/>
      <c r="Q172" s="1187"/>
      <c r="R172" s="468" t="str">
        <f>IF('Lighting Inventory'!AE126="", "", 'Lighting Inventory'!AE126)</f>
        <v/>
      </c>
      <c r="S172" s="95" t="str">
        <f>IF('Lighting Inventory'!AN126="", "", 'Lighting Inventory'!AN126)</f>
        <v/>
      </c>
      <c r="T172" s="1186"/>
      <c r="U172" s="1186"/>
      <c r="V172" s="1186"/>
      <c r="W172" s="1186"/>
      <c r="X172" s="1186"/>
      <c r="Y172" s="1186"/>
      <c r="Z172" s="1186"/>
    </row>
    <row r="173" spans="1:26" ht="11.25" customHeight="1" x14ac:dyDescent="0.25">
      <c r="A173" s="89">
        <v>117</v>
      </c>
      <c r="B173" s="469">
        <f>'Lighting Inventory'!I127</f>
        <v>0</v>
      </c>
      <c r="C173" s="1188" t="str">
        <f>IF('Lighting Inventory'!D127="", "", 'Lighting Inventory'!D127)</f>
        <v/>
      </c>
      <c r="D173" s="1188"/>
      <c r="E173" s="1188"/>
      <c r="F173" s="469" t="str">
        <f>IF('Lighting Inventory'!E127="", "", 'Lighting Inventory'!E127)</f>
        <v/>
      </c>
      <c r="G173" s="89" t="str">
        <f>IF('Lighting Inventory'!G127="", "", IF('Lighting Inventory'!G127="Air Conditioned", "Y", "N"))</f>
        <v/>
      </c>
      <c r="H173" s="90">
        <f>'Lighting Inventory'!H127</f>
        <v>0</v>
      </c>
      <c r="I173" s="469" t="str">
        <f>IF('Lighting Inventory'!J127="", "", 'Lighting Inventory'!J127)</f>
        <v/>
      </c>
      <c r="J173" s="91" t="str">
        <f>IF('Lighting Inventory'!K127="", "", 'Lighting Inventory'!K127)</f>
        <v/>
      </c>
      <c r="K173" s="1188" t="str">
        <f>IF('Lighting Inventory'!S127="", "", 'Lighting Inventory'!S127)</f>
        <v/>
      </c>
      <c r="L173" s="1188"/>
      <c r="M173" s="1189" t="str">
        <f>IF('Lighting Inventory'!E127="", "", 'Lighting Inventory'!W127)</f>
        <v/>
      </c>
      <c r="N173" s="1189"/>
      <c r="O173" s="1189"/>
      <c r="P173" s="1189"/>
      <c r="Q173" s="1189"/>
      <c r="R173" s="469" t="str">
        <f>IF('Lighting Inventory'!AE127="", "", 'Lighting Inventory'!AE127)</f>
        <v/>
      </c>
      <c r="S173" s="92" t="str">
        <f>IF('Lighting Inventory'!AN127="", "", 'Lighting Inventory'!AN127)</f>
        <v/>
      </c>
      <c r="T173" s="1188"/>
      <c r="U173" s="1188"/>
      <c r="V173" s="1188"/>
      <c r="W173" s="1188"/>
      <c r="X173" s="1188"/>
      <c r="Y173" s="1188"/>
      <c r="Z173" s="1188"/>
    </row>
    <row r="174" spans="1:26" ht="11.25" customHeight="1" x14ac:dyDescent="0.25">
      <c r="A174" s="93">
        <v>118</v>
      </c>
      <c r="B174" s="468">
        <f>'Lighting Inventory'!I128</f>
        <v>0</v>
      </c>
      <c r="C174" s="1186" t="str">
        <f>IF('Lighting Inventory'!D128="", "", 'Lighting Inventory'!D128)</f>
        <v/>
      </c>
      <c r="D174" s="1186"/>
      <c r="E174" s="1186"/>
      <c r="F174" s="468" t="str">
        <f>IF('Lighting Inventory'!E128="", "", 'Lighting Inventory'!E128)</f>
        <v/>
      </c>
      <c r="G174" s="93" t="str">
        <f>IF('Lighting Inventory'!G128="", "", IF('Lighting Inventory'!G128="Air Conditioned", "Y", "N"))</f>
        <v/>
      </c>
      <c r="H174" s="94">
        <f>'Lighting Inventory'!H128</f>
        <v>0</v>
      </c>
      <c r="I174" s="94" t="str">
        <f>IF('Lighting Inventory'!J128="", "", 'Lighting Inventory'!J128)</f>
        <v/>
      </c>
      <c r="J174" s="94" t="str">
        <f>IF('Lighting Inventory'!K128="", "", 'Lighting Inventory'!K128)</f>
        <v/>
      </c>
      <c r="K174" s="1186" t="str">
        <f>IF('Lighting Inventory'!S127="", "", 'Lighting Inventory'!S127)</f>
        <v/>
      </c>
      <c r="L174" s="1186"/>
      <c r="M174" s="1187" t="str">
        <f>IF('Lighting Inventory'!E128="", "", 'Lighting Inventory'!W128)</f>
        <v/>
      </c>
      <c r="N174" s="1187"/>
      <c r="O174" s="1187"/>
      <c r="P174" s="1187"/>
      <c r="Q174" s="1187"/>
      <c r="R174" s="468" t="str">
        <f>IF('Lighting Inventory'!AE128="", "", 'Lighting Inventory'!AE128)</f>
        <v/>
      </c>
      <c r="S174" s="95" t="str">
        <f>IF('Lighting Inventory'!AN128="", "", 'Lighting Inventory'!AN128)</f>
        <v/>
      </c>
      <c r="T174" s="1186"/>
      <c r="U174" s="1186"/>
      <c r="V174" s="1186"/>
      <c r="W174" s="1186"/>
      <c r="X174" s="1186"/>
      <c r="Y174" s="1186"/>
      <c r="Z174" s="1186"/>
    </row>
    <row r="175" spans="1:26" ht="11.25" customHeight="1" x14ac:dyDescent="0.25">
      <c r="A175" s="89">
        <v>119</v>
      </c>
      <c r="B175" s="469">
        <f>'Lighting Inventory'!I129</f>
        <v>0</v>
      </c>
      <c r="C175" s="1188" t="str">
        <f>IF('Lighting Inventory'!D129="", "", 'Lighting Inventory'!D129)</f>
        <v/>
      </c>
      <c r="D175" s="1188"/>
      <c r="E175" s="1188"/>
      <c r="F175" s="469" t="str">
        <f>IF('Lighting Inventory'!E129="", "", 'Lighting Inventory'!E129)</f>
        <v/>
      </c>
      <c r="G175" s="89" t="str">
        <f>IF('Lighting Inventory'!G129="", "", IF('Lighting Inventory'!G129="Air Conditioned", "Y", "N"))</f>
        <v/>
      </c>
      <c r="H175" s="90">
        <f>'Lighting Inventory'!H129</f>
        <v>0</v>
      </c>
      <c r="I175" s="469" t="str">
        <f>IF('Lighting Inventory'!J129="", "", 'Lighting Inventory'!J129)</f>
        <v/>
      </c>
      <c r="J175" s="91" t="str">
        <f>IF('Lighting Inventory'!K129="", "", 'Lighting Inventory'!K129)</f>
        <v/>
      </c>
      <c r="K175" s="1188" t="str">
        <f>IF('Lighting Inventory'!S129="", "", 'Lighting Inventory'!S129)</f>
        <v/>
      </c>
      <c r="L175" s="1188"/>
      <c r="M175" s="1189" t="str">
        <f>IF('Lighting Inventory'!E129="", "", 'Lighting Inventory'!W129)</f>
        <v/>
      </c>
      <c r="N175" s="1189"/>
      <c r="O175" s="1189"/>
      <c r="P175" s="1189"/>
      <c r="Q175" s="1189"/>
      <c r="R175" s="469" t="str">
        <f>IF('Lighting Inventory'!AE129="", "", 'Lighting Inventory'!AE129)</f>
        <v/>
      </c>
      <c r="S175" s="92" t="str">
        <f>IF('Lighting Inventory'!AN129="", "", 'Lighting Inventory'!AN129)</f>
        <v/>
      </c>
      <c r="T175" s="1188"/>
      <c r="U175" s="1188"/>
      <c r="V175" s="1188"/>
      <c r="W175" s="1188"/>
      <c r="X175" s="1188"/>
      <c r="Y175" s="1188"/>
      <c r="Z175" s="1188"/>
    </row>
    <row r="176" spans="1:26" ht="11.25" customHeight="1" x14ac:dyDescent="0.25">
      <c r="A176" s="93">
        <v>120</v>
      </c>
      <c r="B176" s="468">
        <f>'Lighting Inventory'!I130</f>
        <v>0</v>
      </c>
      <c r="C176" s="1186" t="str">
        <f>IF('Lighting Inventory'!D130="", "", 'Lighting Inventory'!D130)</f>
        <v/>
      </c>
      <c r="D176" s="1186"/>
      <c r="E176" s="1186"/>
      <c r="F176" s="468" t="str">
        <f>IF('Lighting Inventory'!E130="", "", 'Lighting Inventory'!E130)</f>
        <v/>
      </c>
      <c r="G176" s="93" t="str">
        <f>IF('Lighting Inventory'!G130="", "", IF('Lighting Inventory'!G130="Air Conditioned", "Y", "N"))</f>
        <v/>
      </c>
      <c r="H176" s="94">
        <f>'Lighting Inventory'!H130</f>
        <v>0</v>
      </c>
      <c r="I176" s="94" t="str">
        <f>IF('Lighting Inventory'!J130="", "", 'Lighting Inventory'!J130)</f>
        <v/>
      </c>
      <c r="J176" s="94" t="str">
        <f>IF('Lighting Inventory'!K130="", "", 'Lighting Inventory'!K130)</f>
        <v/>
      </c>
      <c r="K176" s="1186" t="str">
        <f>IF('Lighting Inventory'!S129="", "", 'Lighting Inventory'!S129)</f>
        <v/>
      </c>
      <c r="L176" s="1186"/>
      <c r="M176" s="1187" t="str">
        <f>IF('Lighting Inventory'!E130="", "", 'Lighting Inventory'!W130)</f>
        <v/>
      </c>
      <c r="N176" s="1187"/>
      <c r="O176" s="1187"/>
      <c r="P176" s="1187"/>
      <c r="Q176" s="1187"/>
      <c r="R176" s="468" t="str">
        <f>IF('Lighting Inventory'!AE130="", "", 'Lighting Inventory'!AE130)</f>
        <v/>
      </c>
      <c r="S176" s="95" t="str">
        <f>IF('Lighting Inventory'!AN130="", "", 'Lighting Inventory'!AN130)</f>
        <v/>
      </c>
      <c r="T176" s="1186"/>
      <c r="U176" s="1186"/>
      <c r="V176" s="1186"/>
      <c r="W176" s="1186"/>
      <c r="X176" s="1186"/>
      <c r="Y176" s="1186"/>
      <c r="Z176" s="1186"/>
    </row>
    <row r="177" spans="1:26" ht="15" customHeight="1" thickBot="1" x14ac:dyDescent="0.3">
      <c r="A177" s="1190" t="s">
        <v>4415</v>
      </c>
      <c r="B177" s="1190"/>
      <c r="C177" s="1190"/>
      <c r="D177" s="1191" t="str">
        <f>CONCATENATE('General Information'!$F$9, " ", 'General Information'!$F$10)</f>
        <v xml:space="preserve"> </v>
      </c>
      <c r="E177" s="1191"/>
      <c r="F177" s="1191"/>
      <c r="G177" s="1191"/>
      <c r="H177" s="1191"/>
      <c r="I177" s="1191"/>
      <c r="J177" s="1191"/>
      <c r="K177" s="1192" t="s">
        <v>4416</v>
      </c>
      <c r="L177" s="1193"/>
      <c r="M177" s="1193"/>
      <c r="N177" s="1191">
        <f>'General Information'!$F$14</f>
        <v>0</v>
      </c>
      <c r="O177" s="1191"/>
      <c r="P177" s="1191"/>
      <c r="Q177" s="1192" t="s">
        <v>4417</v>
      </c>
      <c r="R177" s="1193"/>
      <c r="S177" s="1194"/>
      <c r="T177" s="1195">
        <f>'General Information'!$F$11</f>
        <v>0</v>
      </c>
      <c r="U177" s="1196"/>
      <c r="V177" s="1196"/>
      <c r="W177" s="1196"/>
      <c r="X177" s="1196"/>
      <c r="Y177" s="1196"/>
      <c r="Z177" s="1197"/>
    </row>
    <row r="178" spans="1:26" ht="9.75" customHeight="1" x14ac:dyDescent="0.25">
      <c r="A178" s="1198" t="s">
        <v>4418</v>
      </c>
      <c r="B178" s="1200" t="s">
        <v>4419</v>
      </c>
      <c r="C178" s="1200"/>
      <c r="D178" s="1200"/>
      <c r="E178" s="1200"/>
      <c r="F178" s="1200"/>
      <c r="G178" s="1200"/>
      <c r="H178" s="1200"/>
      <c r="I178" s="1200"/>
      <c r="J178" s="1200"/>
      <c r="K178" s="1201" t="s">
        <v>4420</v>
      </c>
      <c r="L178" s="1202"/>
      <c r="M178" s="1202"/>
      <c r="N178" s="1202"/>
      <c r="O178" s="1202"/>
      <c r="P178" s="1202"/>
      <c r="Q178" s="1202"/>
      <c r="R178" s="1202"/>
      <c r="S178" s="1202"/>
      <c r="T178" s="1202"/>
      <c r="U178" s="1202"/>
      <c r="V178" s="1202"/>
      <c r="W178" s="1202"/>
      <c r="X178" s="1202"/>
      <c r="Y178" s="1202"/>
      <c r="Z178" s="1203"/>
    </row>
    <row r="179" spans="1:26" ht="43.5" customHeight="1" x14ac:dyDescent="0.25">
      <c r="A179" s="1199"/>
      <c r="B179" s="470" t="s">
        <v>4421</v>
      </c>
      <c r="C179" s="1204" t="s">
        <v>4422</v>
      </c>
      <c r="D179" s="1205"/>
      <c r="E179" s="1206"/>
      <c r="F179" s="333" t="s">
        <v>4423</v>
      </c>
      <c r="G179" s="333" t="s">
        <v>4424</v>
      </c>
      <c r="H179" s="334" t="s">
        <v>4425</v>
      </c>
      <c r="I179" s="333" t="s">
        <v>4426</v>
      </c>
      <c r="J179" s="333" t="s">
        <v>4427</v>
      </c>
      <c r="K179" s="1207" t="s">
        <v>4428</v>
      </c>
      <c r="L179" s="1207"/>
      <c r="M179" s="1207" t="s">
        <v>4429</v>
      </c>
      <c r="N179" s="1207"/>
      <c r="O179" s="1207"/>
      <c r="P179" s="1207"/>
      <c r="Q179" s="1207"/>
      <c r="R179" s="333" t="s">
        <v>4430</v>
      </c>
      <c r="S179" s="335" t="s">
        <v>4431</v>
      </c>
      <c r="T179" s="1208" t="s">
        <v>3403</v>
      </c>
      <c r="U179" s="1209"/>
      <c r="V179" s="1209"/>
      <c r="W179" s="1209"/>
      <c r="X179" s="1209"/>
      <c r="Y179" s="1209"/>
      <c r="Z179" s="1210"/>
    </row>
    <row r="180" spans="1:26" ht="11.25" customHeight="1" x14ac:dyDescent="0.25">
      <c r="A180" s="89">
        <v>121</v>
      </c>
      <c r="B180" s="469">
        <f>'Lighting Inventory'!I131</f>
        <v>0</v>
      </c>
      <c r="C180" s="1188" t="str">
        <f>IF('Lighting Inventory'!D131="", "", 'Lighting Inventory'!D131)</f>
        <v/>
      </c>
      <c r="D180" s="1188"/>
      <c r="E180" s="1188"/>
      <c r="F180" s="469" t="str">
        <f>IF('Lighting Inventory'!E131="", "", 'Lighting Inventory'!E131)</f>
        <v/>
      </c>
      <c r="G180" s="89" t="str">
        <f>IF('Lighting Inventory'!G131="", "", IF('Lighting Inventory'!G131="Air Conditioned", "Y", "N"))</f>
        <v/>
      </c>
      <c r="H180" s="90">
        <f>'Lighting Inventory'!H131</f>
        <v>0</v>
      </c>
      <c r="I180" s="469" t="str">
        <f>IF('Lighting Inventory'!J131="", "", 'Lighting Inventory'!J131)</f>
        <v/>
      </c>
      <c r="J180" s="91" t="str">
        <f>IF('Lighting Inventory'!K131="", "", 'Lighting Inventory'!K131)</f>
        <v/>
      </c>
      <c r="K180" s="1188" t="str">
        <f>IF('Lighting Inventory'!S131="", "", 'Lighting Inventory'!S131)</f>
        <v/>
      </c>
      <c r="L180" s="1188"/>
      <c r="M180" s="1189" t="str">
        <f>IF('Lighting Inventory'!E131="", "", 'Lighting Inventory'!W131)</f>
        <v/>
      </c>
      <c r="N180" s="1189"/>
      <c r="O180" s="1189"/>
      <c r="P180" s="1189"/>
      <c r="Q180" s="1189"/>
      <c r="R180" s="469" t="str">
        <f>IF('Lighting Inventory'!AE131="", "", 'Lighting Inventory'!AE131)</f>
        <v/>
      </c>
      <c r="S180" s="92" t="str">
        <f>IF('Lighting Inventory'!AN131="", "", 'Lighting Inventory'!AN131)</f>
        <v/>
      </c>
      <c r="T180" s="1188"/>
      <c r="U180" s="1188"/>
      <c r="V180" s="1188"/>
      <c r="W180" s="1188"/>
      <c r="X180" s="1188"/>
      <c r="Y180" s="1188"/>
      <c r="Z180" s="1188"/>
    </row>
    <row r="181" spans="1:26" ht="11.25" customHeight="1" x14ac:dyDescent="0.25">
      <c r="A181" s="93">
        <v>122</v>
      </c>
      <c r="B181" s="468">
        <f>'Lighting Inventory'!I132</f>
        <v>0</v>
      </c>
      <c r="C181" s="1186" t="str">
        <f>IF('Lighting Inventory'!D132="", "", 'Lighting Inventory'!D132)</f>
        <v/>
      </c>
      <c r="D181" s="1186"/>
      <c r="E181" s="1186"/>
      <c r="F181" s="468" t="str">
        <f>IF('Lighting Inventory'!E132="", "", 'Lighting Inventory'!E132)</f>
        <v/>
      </c>
      <c r="G181" s="93" t="str">
        <f>IF('Lighting Inventory'!G132="", "", IF('Lighting Inventory'!G132="Air Conditioned", "Y", "N"))</f>
        <v/>
      </c>
      <c r="H181" s="94">
        <f>'Lighting Inventory'!H132</f>
        <v>0</v>
      </c>
      <c r="I181" s="94" t="str">
        <f>IF('Lighting Inventory'!J132="", "", 'Lighting Inventory'!J132)</f>
        <v/>
      </c>
      <c r="J181" s="94" t="str">
        <f>IF('Lighting Inventory'!K132="", "", 'Lighting Inventory'!K132)</f>
        <v/>
      </c>
      <c r="K181" s="1186" t="str">
        <f>IF('Lighting Inventory'!S132="", "", 'Lighting Inventory'!S132)</f>
        <v/>
      </c>
      <c r="L181" s="1186"/>
      <c r="M181" s="1187" t="str">
        <f>IF('Lighting Inventory'!E132="", "", 'Lighting Inventory'!W132)</f>
        <v/>
      </c>
      <c r="N181" s="1187"/>
      <c r="O181" s="1187"/>
      <c r="P181" s="1187"/>
      <c r="Q181" s="1187"/>
      <c r="R181" s="468" t="str">
        <f>IF('Lighting Inventory'!AE132="", "", 'Lighting Inventory'!AE132)</f>
        <v/>
      </c>
      <c r="S181" s="95" t="str">
        <f>IF('Lighting Inventory'!AN132="", "", 'Lighting Inventory'!AN132)</f>
        <v/>
      </c>
      <c r="T181" s="1186"/>
      <c r="U181" s="1186"/>
      <c r="V181" s="1186"/>
      <c r="W181" s="1186"/>
      <c r="X181" s="1186"/>
      <c r="Y181" s="1186"/>
      <c r="Z181" s="1186"/>
    </row>
    <row r="182" spans="1:26" ht="11.25" customHeight="1" x14ac:dyDescent="0.25">
      <c r="A182" s="89">
        <v>123</v>
      </c>
      <c r="B182" s="469">
        <f>'Lighting Inventory'!I133</f>
        <v>0</v>
      </c>
      <c r="C182" s="1188" t="str">
        <f>IF('Lighting Inventory'!D133="", "", 'Lighting Inventory'!D133)</f>
        <v/>
      </c>
      <c r="D182" s="1188"/>
      <c r="E182" s="1188"/>
      <c r="F182" s="469" t="str">
        <f>IF('Lighting Inventory'!E133="", "", 'Lighting Inventory'!E133)</f>
        <v/>
      </c>
      <c r="G182" s="89" t="str">
        <f>IF('Lighting Inventory'!G133="", "", IF('Lighting Inventory'!G133="Air Conditioned", "Y", "N"))</f>
        <v/>
      </c>
      <c r="H182" s="90">
        <f>'Lighting Inventory'!H133</f>
        <v>0</v>
      </c>
      <c r="I182" s="469" t="str">
        <f>IF('Lighting Inventory'!J133="", "", 'Lighting Inventory'!J133)</f>
        <v/>
      </c>
      <c r="J182" s="91" t="str">
        <f>IF('Lighting Inventory'!K133="", "", 'Lighting Inventory'!K133)</f>
        <v/>
      </c>
      <c r="K182" s="1188" t="str">
        <f>IF('Lighting Inventory'!S133="", "", 'Lighting Inventory'!S133)</f>
        <v/>
      </c>
      <c r="L182" s="1188"/>
      <c r="M182" s="1189" t="str">
        <f>IF('Lighting Inventory'!E133="", "", 'Lighting Inventory'!W133)</f>
        <v/>
      </c>
      <c r="N182" s="1189"/>
      <c r="O182" s="1189"/>
      <c r="P182" s="1189"/>
      <c r="Q182" s="1189"/>
      <c r="R182" s="469" t="str">
        <f>IF('Lighting Inventory'!AE133="", "", 'Lighting Inventory'!AE133)</f>
        <v/>
      </c>
      <c r="S182" s="92" t="str">
        <f>IF('Lighting Inventory'!AN133="", "", 'Lighting Inventory'!AN133)</f>
        <v/>
      </c>
      <c r="T182" s="1188"/>
      <c r="U182" s="1188"/>
      <c r="V182" s="1188"/>
      <c r="W182" s="1188"/>
      <c r="X182" s="1188"/>
      <c r="Y182" s="1188"/>
      <c r="Z182" s="1188"/>
    </row>
    <row r="183" spans="1:26" ht="11.25" customHeight="1" x14ac:dyDescent="0.25">
      <c r="A183" s="93">
        <v>124</v>
      </c>
      <c r="B183" s="468">
        <f>'Lighting Inventory'!I134</f>
        <v>0</v>
      </c>
      <c r="C183" s="1186" t="str">
        <f>IF('Lighting Inventory'!D134="", "", 'Lighting Inventory'!D134)</f>
        <v/>
      </c>
      <c r="D183" s="1186"/>
      <c r="E183" s="1186"/>
      <c r="F183" s="468" t="str">
        <f>IF('Lighting Inventory'!E134="", "", 'Lighting Inventory'!E134)</f>
        <v/>
      </c>
      <c r="G183" s="93" t="str">
        <f>IF('Lighting Inventory'!G134="", "", IF('Lighting Inventory'!G134="Air Conditioned", "Y", "N"))</f>
        <v/>
      </c>
      <c r="H183" s="94">
        <f>'Lighting Inventory'!H134</f>
        <v>0</v>
      </c>
      <c r="I183" s="94" t="str">
        <f>IF('Lighting Inventory'!J134="", "", 'Lighting Inventory'!J134)</f>
        <v/>
      </c>
      <c r="J183" s="94" t="str">
        <f>IF('Lighting Inventory'!K134="", "", 'Lighting Inventory'!K134)</f>
        <v/>
      </c>
      <c r="K183" s="1186" t="str">
        <f>IF('Lighting Inventory'!S134="", "", 'Lighting Inventory'!S134)</f>
        <v/>
      </c>
      <c r="L183" s="1186"/>
      <c r="M183" s="1187" t="str">
        <f>IF('Lighting Inventory'!E134="", "", 'Lighting Inventory'!W134)</f>
        <v/>
      </c>
      <c r="N183" s="1187"/>
      <c r="O183" s="1187"/>
      <c r="P183" s="1187"/>
      <c r="Q183" s="1187"/>
      <c r="R183" s="468" t="str">
        <f>IF('Lighting Inventory'!AE134="", "", 'Lighting Inventory'!AE134)</f>
        <v/>
      </c>
      <c r="S183" s="95" t="str">
        <f>IF('Lighting Inventory'!AN134="", "", 'Lighting Inventory'!AN134)</f>
        <v/>
      </c>
      <c r="T183" s="1186"/>
      <c r="U183" s="1186"/>
      <c r="V183" s="1186"/>
      <c r="W183" s="1186"/>
      <c r="X183" s="1186"/>
      <c r="Y183" s="1186"/>
      <c r="Z183" s="1186"/>
    </row>
    <row r="184" spans="1:26" ht="11.25" customHeight="1" x14ac:dyDescent="0.25">
      <c r="A184" s="89">
        <v>125</v>
      </c>
      <c r="B184" s="469">
        <f>'Lighting Inventory'!I135</f>
        <v>0</v>
      </c>
      <c r="C184" s="1188" t="str">
        <f>IF('Lighting Inventory'!D135="", "", 'Lighting Inventory'!D135)</f>
        <v/>
      </c>
      <c r="D184" s="1188"/>
      <c r="E184" s="1188"/>
      <c r="F184" s="469" t="str">
        <f>IF('Lighting Inventory'!E135="", "", 'Lighting Inventory'!E135)</f>
        <v/>
      </c>
      <c r="G184" s="89" t="str">
        <f>IF('Lighting Inventory'!G135="", "", IF('Lighting Inventory'!G135="Air Conditioned", "Y", "N"))</f>
        <v/>
      </c>
      <c r="H184" s="90">
        <f>'Lighting Inventory'!H135</f>
        <v>0</v>
      </c>
      <c r="I184" s="469" t="str">
        <f>IF('Lighting Inventory'!J135="", "", 'Lighting Inventory'!J135)</f>
        <v/>
      </c>
      <c r="J184" s="91" t="str">
        <f>IF('Lighting Inventory'!K135="", "", 'Lighting Inventory'!K135)</f>
        <v/>
      </c>
      <c r="K184" s="1188" t="str">
        <f>IF('Lighting Inventory'!S135="", "", 'Lighting Inventory'!S135)</f>
        <v/>
      </c>
      <c r="L184" s="1188"/>
      <c r="M184" s="1189" t="str">
        <f>IF('Lighting Inventory'!E135="", "", 'Lighting Inventory'!W135)</f>
        <v/>
      </c>
      <c r="N184" s="1189"/>
      <c r="O184" s="1189"/>
      <c r="P184" s="1189"/>
      <c r="Q184" s="1189"/>
      <c r="R184" s="469" t="str">
        <f>IF('Lighting Inventory'!AE135="", "", 'Lighting Inventory'!AE135)</f>
        <v/>
      </c>
      <c r="S184" s="92" t="str">
        <f>IF('Lighting Inventory'!AN135="", "", 'Lighting Inventory'!AN135)</f>
        <v/>
      </c>
      <c r="T184" s="1188"/>
      <c r="U184" s="1188"/>
      <c r="V184" s="1188"/>
      <c r="W184" s="1188"/>
      <c r="X184" s="1188"/>
      <c r="Y184" s="1188"/>
      <c r="Z184" s="1188"/>
    </row>
    <row r="185" spans="1:26" ht="11.25" customHeight="1" x14ac:dyDescent="0.25">
      <c r="A185" s="93">
        <v>126</v>
      </c>
      <c r="B185" s="468">
        <f>'Lighting Inventory'!I136</f>
        <v>0</v>
      </c>
      <c r="C185" s="1186" t="str">
        <f>IF('Lighting Inventory'!D136="", "", 'Lighting Inventory'!D136)</f>
        <v/>
      </c>
      <c r="D185" s="1186"/>
      <c r="E185" s="1186"/>
      <c r="F185" s="468" t="str">
        <f>IF('Lighting Inventory'!E136="", "", 'Lighting Inventory'!E136)</f>
        <v/>
      </c>
      <c r="G185" s="93" t="str">
        <f>IF('Lighting Inventory'!G136="", "", IF('Lighting Inventory'!G136="Air Conditioned", "Y", "N"))</f>
        <v/>
      </c>
      <c r="H185" s="94">
        <f>'Lighting Inventory'!H136</f>
        <v>0</v>
      </c>
      <c r="I185" s="94" t="str">
        <f>IF('Lighting Inventory'!J136="", "", 'Lighting Inventory'!J136)</f>
        <v/>
      </c>
      <c r="J185" s="94" t="str">
        <f>IF('Lighting Inventory'!K136="", "", 'Lighting Inventory'!K136)</f>
        <v/>
      </c>
      <c r="K185" s="1186" t="str">
        <f>IF('Lighting Inventory'!S136="", "", 'Lighting Inventory'!S136)</f>
        <v/>
      </c>
      <c r="L185" s="1186"/>
      <c r="M185" s="1187" t="str">
        <f>IF('Lighting Inventory'!E136="", "", 'Lighting Inventory'!W136)</f>
        <v/>
      </c>
      <c r="N185" s="1187"/>
      <c r="O185" s="1187"/>
      <c r="P185" s="1187"/>
      <c r="Q185" s="1187"/>
      <c r="R185" s="468" t="str">
        <f>IF('Lighting Inventory'!AE136="", "", 'Lighting Inventory'!AE136)</f>
        <v/>
      </c>
      <c r="S185" s="95" t="str">
        <f>IF('Lighting Inventory'!AN136="", "", 'Lighting Inventory'!AN136)</f>
        <v/>
      </c>
      <c r="T185" s="1186"/>
      <c r="U185" s="1186"/>
      <c r="V185" s="1186"/>
      <c r="W185" s="1186"/>
      <c r="X185" s="1186"/>
      <c r="Y185" s="1186"/>
      <c r="Z185" s="1186"/>
    </row>
    <row r="186" spans="1:26" ht="11.25" customHeight="1" x14ac:dyDescent="0.25">
      <c r="A186" s="89">
        <v>127</v>
      </c>
      <c r="B186" s="469">
        <f>'Lighting Inventory'!I137</f>
        <v>0</v>
      </c>
      <c r="C186" s="1188" t="str">
        <f>IF('Lighting Inventory'!D137="", "", 'Lighting Inventory'!D137)</f>
        <v/>
      </c>
      <c r="D186" s="1188"/>
      <c r="E186" s="1188"/>
      <c r="F186" s="469" t="str">
        <f>IF('Lighting Inventory'!E137="", "", 'Lighting Inventory'!E137)</f>
        <v/>
      </c>
      <c r="G186" s="89" t="str">
        <f>IF('Lighting Inventory'!G137="", "", IF('Lighting Inventory'!G137="Air Conditioned", "Y", "N"))</f>
        <v/>
      </c>
      <c r="H186" s="90">
        <f>'Lighting Inventory'!H137</f>
        <v>0</v>
      </c>
      <c r="I186" s="469" t="str">
        <f>IF('Lighting Inventory'!J137="", "", 'Lighting Inventory'!J137)</f>
        <v/>
      </c>
      <c r="J186" s="91" t="str">
        <f>IF('Lighting Inventory'!K137="", "", 'Lighting Inventory'!K137)</f>
        <v/>
      </c>
      <c r="K186" s="1188" t="str">
        <f>IF('Lighting Inventory'!S137="", "", 'Lighting Inventory'!S137)</f>
        <v/>
      </c>
      <c r="L186" s="1188"/>
      <c r="M186" s="1189" t="str">
        <f>IF('Lighting Inventory'!E137="", "", 'Lighting Inventory'!W137)</f>
        <v/>
      </c>
      <c r="N186" s="1189"/>
      <c r="O186" s="1189"/>
      <c r="P186" s="1189"/>
      <c r="Q186" s="1189"/>
      <c r="R186" s="469" t="str">
        <f>IF('Lighting Inventory'!AE137="", "", 'Lighting Inventory'!AE137)</f>
        <v/>
      </c>
      <c r="S186" s="92" t="str">
        <f>IF('Lighting Inventory'!AN137="", "", 'Lighting Inventory'!AN137)</f>
        <v/>
      </c>
      <c r="T186" s="1188"/>
      <c r="U186" s="1188"/>
      <c r="V186" s="1188"/>
      <c r="W186" s="1188"/>
      <c r="X186" s="1188"/>
      <c r="Y186" s="1188"/>
      <c r="Z186" s="1188"/>
    </row>
    <row r="187" spans="1:26" ht="11.25" customHeight="1" x14ac:dyDescent="0.25">
      <c r="A187" s="93">
        <v>128</v>
      </c>
      <c r="B187" s="468">
        <f>'Lighting Inventory'!I138</f>
        <v>0</v>
      </c>
      <c r="C187" s="1186" t="str">
        <f>IF('Lighting Inventory'!D138="", "", 'Lighting Inventory'!D138)</f>
        <v/>
      </c>
      <c r="D187" s="1186"/>
      <c r="E187" s="1186"/>
      <c r="F187" s="468" t="str">
        <f>IF('Lighting Inventory'!E138="", "", 'Lighting Inventory'!E138)</f>
        <v/>
      </c>
      <c r="G187" s="93" t="str">
        <f>IF('Lighting Inventory'!G138="", "", IF('Lighting Inventory'!G138="Air Conditioned", "Y", "N"))</f>
        <v/>
      </c>
      <c r="H187" s="94">
        <f>'Lighting Inventory'!H138</f>
        <v>0</v>
      </c>
      <c r="I187" s="94" t="str">
        <f>IF('Lighting Inventory'!J138="", "", 'Lighting Inventory'!J138)</f>
        <v/>
      </c>
      <c r="J187" s="94" t="str">
        <f>IF('Lighting Inventory'!K138="", "", 'Lighting Inventory'!K138)</f>
        <v/>
      </c>
      <c r="K187" s="1186" t="str">
        <f>IF('Lighting Inventory'!S138="", "", 'Lighting Inventory'!S138)</f>
        <v/>
      </c>
      <c r="L187" s="1186"/>
      <c r="M187" s="1187" t="str">
        <f>IF('Lighting Inventory'!E138="", "", 'Lighting Inventory'!W138)</f>
        <v/>
      </c>
      <c r="N187" s="1187"/>
      <c r="O187" s="1187"/>
      <c r="P187" s="1187"/>
      <c r="Q187" s="1187"/>
      <c r="R187" s="468" t="str">
        <f>IF('Lighting Inventory'!AE138="", "", 'Lighting Inventory'!AE138)</f>
        <v/>
      </c>
      <c r="S187" s="95" t="str">
        <f>IF('Lighting Inventory'!AN138="", "", 'Lighting Inventory'!AN138)</f>
        <v/>
      </c>
      <c r="T187" s="1186"/>
      <c r="U187" s="1186"/>
      <c r="V187" s="1186"/>
      <c r="W187" s="1186"/>
      <c r="X187" s="1186"/>
      <c r="Y187" s="1186"/>
      <c r="Z187" s="1186"/>
    </row>
    <row r="188" spans="1:26" ht="11.25" customHeight="1" x14ac:dyDescent="0.25">
      <c r="A188" s="89">
        <v>129</v>
      </c>
      <c r="B188" s="469">
        <f>'Lighting Inventory'!I139</f>
        <v>0</v>
      </c>
      <c r="C188" s="1188" t="str">
        <f>IF('Lighting Inventory'!D139="", "", 'Lighting Inventory'!D139)</f>
        <v/>
      </c>
      <c r="D188" s="1188"/>
      <c r="E188" s="1188"/>
      <c r="F188" s="469" t="str">
        <f>IF('Lighting Inventory'!E139="", "", 'Lighting Inventory'!E139)</f>
        <v/>
      </c>
      <c r="G188" s="89" t="str">
        <f>IF('Lighting Inventory'!G139="", "", IF('Lighting Inventory'!G139="Air Conditioned", "Y", "N"))</f>
        <v/>
      </c>
      <c r="H188" s="90">
        <f>'Lighting Inventory'!H139</f>
        <v>0</v>
      </c>
      <c r="I188" s="469" t="str">
        <f>IF('Lighting Inventory'!J139="", "", 'Lighting Inventory'!J139)</f>
        <v/>
      </c>
      <c r="J188" s="91" t="str">
        <f>IF('Lighting Inventory'!K139="", "", 'Lighting Inventory'!K139)</f>
        <v/>
      </c>
      <c r="K188" s="1188" t="str">
        <f>IF('Lighting Inventory'!S139="", "", 'Lighting Inventory'!S139)</f>
        <v/>
      </c>
      <c r="L188" s="1188"/>
      <c r="M188" s="1189" t="str">
        <f>IF('Lighting Inventory'!E139="", "", 'Lighting Inventory'!W139)</f>
        <v/>
      </c>
      <c r="N188" s="1189"/>
      <c r="O188" s="1189"/>
      <c r="P188" s="1189"/>
      <c r="Q188" s="1189"/>
      <c r="R188" s="469" t="str">
        <f>IF('Lighting Inventory'!AE139="", "", 'Lighting Inventory'!AE139)</f>
        <v/>
      </c>
      <c r="S188" s="92" t="str">
        <f>IF('Lighting Inventory'!AN139="", "", 'Lighting Inventory'!AN139)</f>
        <v/>
      </c>
      <c r="T188" s="1188"/>
      <c r="U188" s="1188"/>
      <c r="V188" s="1188"/>
      <c r="W188" s="1188"/>
      <c r="X188" s="1188"/>
      <c r="Y188" s="1188"/>
      <c r="Z188" s="1188"/>
    </row>
    <row r="189" spans="1:26" ht="11.25" customHeight="1" x14ac:dyDescent="0.25">
      <c r="A189" s="93">
        <v>130</v>
      </c>
      <c r="B189" s="468">
        <f>'Lighting Inventory'!I140</f>
        <v>0</v>
      </c>
      <c r="C189" s="1186" t="str">
        <f>IF('Lighting Inventory'!D140="", "", 'Lighting Inventory'!D140)</f>
        <v/>
      </c>
      <c r="D189" s="1186"/>
      <c r="E189" s="1186"/>
      <c r="F189" s="468" t="str">
        <f>IF('Lighting Inventory'!E140="", "", 'Lighting Inventory'!E140)</f>
        <v/>
      </c>
      <c r="G189" s="93" t="str">
        <f>IF('Lighting Inventory'!G140="", "", IF('Lighting Inventory'!G140="Air Conditioned", "Y", "N"))</f>
        <v/>
      </c>
      <c r="H189" s="94">
        <f>'Lighting Inventory'!H140</f>
        <v>0</v>
      </c>
      <c r="I189" s="94" t="str">
        <f>IF('Lighting Inventory'!J140="", "", 'Lighting Inventory'!J140)</f>
        <v/>
      </c>
      <c r="J189" s="94" t="str">
        <f>IF('Lighting Inventory'!K140="", "", 'Lighting Inventory'!K140)</f>
        <v/>
      </c>
      <c r="K189" s="1186" t="str">
        <f>IF('Lighting Inventory'!S140="", "", 'Lighting Inventory'!S140)</f>
        <v/>
      </c>
      <c r="L189" s="1186"/>
      <c r="M189" s="1187" t="str">
        <f>IF('Lighting Inventory'!E140="", "", 'Lighting Inventory'!W140)</f>
        <v/>
      </c>
      <c r="N189" s="1187"/>
      <c r="O189" s="1187"/>
      <c r="P189" s="1187"/>
      <c r="Q189" s="1187"/>
      <c r="R189" s="468" t="str">
        <f>IF('Lighting Inventory'!AE140="", "", 'Lighting Inventory'!AE140)</f>
        <v/>
      </c>
      <c r="S189" s="95" t="str">
        <f>IF('Lighting Inventory'!AN140="", "", 'Lighting Inventory'!AN140)</f>
        <v/>
      </c>
      <c r="T189" s="1186"/>
      <c r="U189" s="1186"/>
      <c r="V189" s="1186"/>
      <c r="W189" s="1186"/>
      <c r="X189" s="1186"/>
      <c r="Y189" s="1186"/>
      <c r="Z189" s="1186"/>
    </row>
    <row r="190" spans="1:26" ht="11.25" customHeight="1" x14ac:dyDescent="0.25">
      <c r="A190" s="89">
        <v>131</v>
      </c>
      <c r="B190" s="469">
        <f>'Lighting Inventory'!I141</f>
        <v>0</v>
      </c>
      <c r="C190" s="1188" t="str">
        <f>IF('Lighting Inventory'!D141="", "", 'Lighting Inventory'!D141)</f>
        <v/>
      </c>
      <c r="D190" s="1188"/>
      <c r="E190" s="1188"/>
      <c r="F190" s="469" t="str">
        <f>IF('Lighting Inventory'!E141="", "", 'Lighting Inventory'!E141)</f>
        <v/>
      </c>
      <c r="G190" s="89" t="str">
        <f>IF('Lighting Inventory'!G141="", "", IF('Lighting Inventory'!G141="Air Conditioned", "Y", "N"))</f>
        <v/>
      </c>
      <c r="H190" s="90">
        <f>'Lighting Inventory'!H141</f>
        <v>0</v>
      </c>
      <c r="I190" s="469" t="str">
        <f>IF('Lighting Inventory'!J141="", "", 'Lighting Inventory'!J141)</f>
        <v/>
      </c>
      <c r="J190" s="91" t="str">
        <f>IF('Lighting Inventory'!K141="", "", 'Lighting Inventory'!K141)</f>
        <v/>
      </c>
      <c r="K190" s="1188" t="str">
        <f>IF('Lighting Inventory'!S141="", "", 'Lighting Inventory'!S141)</f>
        <v/>
      </c>
      <c r="L190" s="1188"/>
      <c r="M190" s="1189" t="str">
        <f>IF('Lighting Inventory'!E141="", "", 'Lighting Inventory'!W141)</f>
        <v/>
      </c>
      <c r="N190" s="1189"/>
      <c r="O190" s="1189"/>
      <c r="P190" s="1189"/>
      <c r="Q190" s="1189"/>
      <c r="R190" s="469" t="str">
        <f>IF('Lighting Inventory'!AE141="", "", 'Lighting Inventory'!AE141)</f>
        <v/>
      </c>
      <c r="S190" s="92" t="str">
        <f>IF('Lighting Inventory'!AN141="", "", 'Lighting Inventory'!AN141)</f>
        <v/>
      </c>
      <c r="T190" s="1188"/>
      <c r="U190" s="1188"/>
      <c r="V190" s="1188"/>
      <c r="W190" s="1188"/>
      <c r="X190" s="1188"/>
      <c r="Y190" s="1188"/>
      <c r="Z190" s="1188"/>
    </row>
    <row r="191" spans="1:26" ht="11.25" customHeight="1" x14ac:dyDescent="0.25">
      <c r="A191" s="93">
        <v>132</v>
      </c>
      <c r="B191" s="468">
        <f>'Lighting Inventory'!I142</f>
        <v>0</v>
      </c>
      <c r="C191" s="1186" t="str">
        <f>IF('Lighting Inventory'!D142="", "", 'Lighting Inventory'!D142)</f>
        <v/>
      </c>
      <c r="D191" s="1186"/>
      <c r="E191" s="1186"/>
      <c r="F191" s="468" t="str">
        <f>IF('Lighting Inventory'!E142="", "", 'Lighting Inventory'!E142)</f>
        <v/>
      </c>
      <c r="G191" s="93" t="str">
        <f>IF('Lighting Inventory'!G142="", "", IF('Lighting Inventory'!G142="Air Conditioned", "Y", "N"))</f>
        <v/>
      </c>
      <c r="H191" s="94">
        <f>'Lighting Inventory'!H142</f>
        <v>0</v>
      </c>
      <c r="I191" s="94" t="str">
        <f>IF('Lighting Inventory'!J142="", "", 'Lighting Inventory'!J142)</f>
        <v/>
      </c>
      <c r="J191" s="94" t="str">
        <f>IF('Lighting Inventory'!K142="", "", 'Lighting Inventory'!K142)</f>
        <v/>
      </c>
      <c r="K191" s="1186" t="str">
        <f>IF('Lighting Inventory'!S142="", "", 'Lighting Inventory'!S142)</f>
        <v/>
      </c>
      <c r="L191" s="1186"/>
      <c r="M191" s="1187" t="str">
        <f>IF('Lighting Inventory'!E142="", "", 'Lighting Inventory'!W142)</f>
        <v/>
      </c>
      <c r="N191" s="1187"/>
      <c r="O191" s="1187"/>
      <c r="P191" s="1187"/>
      <c r="Q191" s="1187"/>
      <c r="R191" s="468" t="str">
        <f>IF('Lighting Inventory'!AE142="", "", 'Lighting Inventory'!AE142)</f>
        <v/>
      </c>
      <c r="S191" s="95" t="str">
        <f>IF('Lighting Inventory'!AN142="", "", 'Lighting Inventory'!AN142)</f>
        <v/>
      </c>
      <c r="T191" s="1186"/>
      <c r="U191" s="1186"/>
      <c r="V191" s="1186"/>
      <c r="W191" s="1186"/>
      <c r="X191" s="1186"/>
      <c r="Y191" s="1186"/>
      <c r="Z191" s="1186"/>
    </row>
    <row r="192" spans="1:26" ht="11.25" customHeight="1" x14ac:dyDescent="0.25">
      <c r="A192" s="89">
        <v>133</v>
      </c>
      <c r="B192" s="469">
        <f>'Lighting Inventory'!I143</f>
        <v>0</v>
      </c>
      <c r="C192" s="1188" t="str">
        <f>IF('Lighting Inventory'!D143="", "", 'Lighting Inventory'!D143)</f>
        <v/>
      </c>
      <c r="D192" s="1188"/>
      <c r="E192" s="1188"/>
      <c r="F192" s="469" t="str">
        <f>IF('Lighting Inventory'!E143="", "", 'Lighting Inventory'!E143)</f>
        <v/>
      </c>
      <c r="G192" s="89" t="str">
        <f>IF('Lighting Inventory'!G143="", "", IF('Lighting Inventory'!G143="Air Conditioned", "Y", "N"))</f>
        <v/>
      </c>
      <c r="H192" s="90">
        <f>'Lighting Inventory'!H143</f>
        <v>0</v>
      </c>
      <c r="I192" s="469" t="str">
        <f>IF('Lighting Inventory'!J143="", "", 'Lighting Inventory'!J143)</f>
        <v/>
      </c>
      <c r="J192" s="91" t="str">
        <f>IF('Lighting Inventory'!K143="", "", 'Lighting Inventory'!K143)</f>
        <v/>
      </c>
      <c r="K192" s="1188" t="str">
        <f>IF('Lighting Inventory'!S143="", "", 'Lighting Inventory'!S143)</f>
        <v/>
      </c>
      <c r="L192" s="1188"/>
      <c r="M192" s="1189" t="str">
        <f>IF('Lighting Inventory'!E143="", "", 'Lighting Inventory'!W143)</f>
        <v/>
      </c>
      <c r="N192" s="1189"/>
      <c r="O192" s="1189"/>
      <c r="P192" s="1189"/>
      <c r="Q192" s="1189"/>
      <c r="R192" s="469" t="str">
        <f>IF('Lighting Inventory'!AE143="", "", 'Lighting Inventory'!AE143)</f>
        <v/>
      </c>
      <c r="S192" s="92" t="str">
        <f>IF('Lighting Inventory'!AN143="", "", 'Lighting Inventory'!AN143)</f>
        <v/>
      </c>
      <c r="T192" s="1188"/>
      <c r="U192" s="1188"/>
      <c r="V192" s="1188"/>
      <c r="W192" s="1188"/>
      <c r="X192" s="1188"/>
      <c r="Y192" s="1188"/>
      <c r="Z192" s="1188"/>
    </row>
    <row r="193" spans="1:26" ht="11.25" customHeight="1" x14ac:dyDescent="0.25">
      <c r="A193" s="93">
        <v>134</v>
      </c>
      <c r="B193" s="468">
        <f>'Lighting Inventory'!I144</f>
        <v>0</v>
      </c>
      <c r="C193" s="1186" t="str">
        <f>IF('Lighting Inventory'!D144="", "", 'Lighting Inventory'!D144)</f>
        <v/>
      </c>
      <c r="D193" s="1186"/>
      <c r="E193" s="1186"/>
      <c r="F193" s="468" t="str">
        <f>IF('Lighting Inventory'!E144="", "", 'Lighting Inventory'!E144)</f>
        <v/>
      </c>
      <c r="G193" s="93" t="str">
        <f>IF('Lighting Inventory'!G144="", "", IF('Lighting Inventory'!G144="Air Conditioned", "Y", "N"))</f>
        <v/>
      </c>
      <c r="H193" s="94">
        <f>'Lighting Inventory'!H144</f>
        <v>0</v>
      </c>
      <c r="I193" s="94" t="str">
        <f>IF('Lighting Inventory'!J144="", "", 'Lighting Inventory'!J144)</f>
        <v/>
      </c>
      <c r="J193" s="94" t="str">
        <f>IF('Lighting Inventory'!K144="", "", 'Lighting Inventory'!K144)</f>
        <v/>
      </c>
      <c r="K193" s="1186" t="str">
        <f>IF('Lighting Inventory'!S144="", "", 'Lighting Inventory'!S144)</f>
        <v/>
      </c>
      <c r="L193" s="1186"/>
      <c r="M193" s="1187" t="str">
        <f>IF('Lighting Inventory'!E144="", "", 'Lighting Inventory'!W144)</f>
        <v/>
      </c>
      <c r="N193" s="1187"/>
      <c r="O193" s="1187"/>
      <c r="P193" s="1187"/>
      <c r="Q193" s="1187"/>
      <c r="R193" s="468" t="str">
        <f>IF('Lighting Inventory'!AE144="", "", 'Lighting Inventory'!AE144)</f>
        <v/>
      </c>
      <c r="S193" s="95" t="str">
        <f>IF('Lighting Inventory'!AN144="", "", 'Lighting Inventory'!AN144)</f>
        <v/>
      </c>
      <c r="T193" s="1186"/>
      <c r="U193" s="1186"/>
      <c r="V193" s="1186"/>
      <c r="W193" s="1186"/>
      <c r="X193" s="1186"/>
      <c r="Y193" s="1186"/>
      <c r="Z193" s="1186"/>
    </row>
    <row r="194" spans="1:26" ht="11.25" customHeight="1" x14ac:dyDescent="0.25">
      <c r="A194" s="89">
        <v>135</v>
      </c>
      <c r="B194" s="469">
        <f>'Lighting Inventory'!I145</f>
        <v>0</v>
      </c>
      <c r="C194" s="1188" t="str">
        <f>IF('Lighting Inventory'!D145="", "", 'Lighting Inventory'!D145)</f>
        <v/>
      </c>
      <c r="D194" s="1188"/>
      <c r="E194" s="1188"/>
      <c r="F194" s="469" t="str">
        <f>IF('Lighting Inventory'!E145="", "", 'Lighting Inventory'!E145)</f>
        <v/>
      </c>
      <c r="G194" s="89" t="str">
        <f>IF('Lighting Inventory'!G145="", "", IF('Lighting Inventory'!G145="Air Conditioned", "Y", "N"))</f>
        <v/>
      </c>
      <c r="H194" s="90">
        <f>'Lighting Inventory'!H145</f>
        <v>0</v>
      </c>
      <c r="I194" s="469" t="str">
        <f>IF('Lighting Inventory'!J145="", "", 'Lighting Inventory'!J145)</f>
        <v/>
      </c>
      <c r="J194" s="91" t="str">
        <f>IF('Lighting Inventory'!K145="", "", 'Lighting Inventory'!K145)</f>
        <v/>
      </c>
      <c r="K194" s="1188" t="str">
        <f>IF('Lighting Inventory'!S145="", "", 'Lighting Inventory'!S145)</f>
        <v/>
      </c>
      <c r="L194" s="1188"/>
      <c r="M194" s="1189" t="str">
        <f>IF('Lighting Inventory'!E145="", "", 'Lighting Inventory'!W145)</f>
        <v/>
      </c>
      <c r="N194" s="1189"/>
      <c r="O194" s="1189"/>
      <c r="P194" s="1189"/>
      <c r="Q194" s="1189"/>
      <c r="R194" s="469" t="str">
        <f>IF('Lighting Inventory'!AE145="", "", 'Lighting Inventory'!AE145)</f>
        <v/>
      </c>
      <c r="S194" s="92" t="str">
        <f>IF('Lighting Inventory'!AN145="", "", 'Lighting Inventory'!AN145)</f>
        <v/>
      </c>
      <c r="T194" s="1188"/>
      <c r="U194" s="1188"/>
      <c r="V194" s="1188"/>
      <c r="W194" s="1188"/>
      <c r="X194" s="1188"/>
      <c r="Y194" s="1188"/>
      <c r="Z194" s="1188"/>
    </row>
    <row r="195" spans="1:26" ht="11.25" customHeight="1" x14ac:dyDescent="0.25">
      <c r="A195" s="93">
        <v>136</v>
      </c>
      <c r="B195" s="468">
        <f>'Lighting Inventory'!I146</f>
        <v>0</v>
      </c>
      <c r="C195" s="1186" t="str">
        <f>IF('Lighting Inventory'!D146="", "", 'Lighting Inventory'!D146)</f>
        <v/>
      </c>
      <c r="D195" s="1186"/>
      <c r="E195" s="1186"/>
      <c r="F195" s="468" t="str">
        <f>IF('Lighting Inventory'!E146="", "", 'Lighting Inventory'!E146)</f>
        <v/>
      </c>
      <c r="G195" s="93" t="str">
        <f>IF('Lighting Inventory'!G146="", "", IF('Lighting Inventory'!G146="Air Conditioned", "Y", "N"))</f>
        <v/>
      </c>
      <c r="H195" s="94">
        <f>'Lighting Inventory'!H146</f>
        <v>0</v>
      </c>
      <c r="I195" s="94" t="str">
        <f>IF('Lighting Inventory'!J146="", "", 'Lighting Inventory'!J146)</f>
        <v/>
      </c>
      <c r="J195" s="94" t="str">
        <f>IF('Lighting Inventory'!K146="", "", 'Lighting Inventory'!K146)</f>
        <v/>
      </c>
      <c r="K195" s="1186" t="str">
        <f>IF('Lighting Inventory'!S146="", "", 'Lighting Inventory'!S146)</f>
        <v/>
      </c>
      <c r="L195" s="1186"/>
      <c r="M195" s="1187" t="str">
        <f>IF('Lighting Inventory'!E146="", "", 'Lighting Inventory'!W146)</f>
        <v/>
      </c>
      <c r="N195" s="1187"/>
      <c r="O195" s="1187"/>
      <c r="P195" s="1187"/>
      <c r="Q195" s="1187"/>
      <c r="R195" s="468" t="str">
        <f>IF('Lighting Inventory'!AE146="", "", 'Lighting Inventory'!AE146)</f>
        <v/>
      </c>
      <c r="S195" s="95" t="str">
        <f>IF('Lighting Inventory'!AN146="", "", 'Lighting Inventory'!AN146)</f>
        <v/>
      </c>
      <c r="T195" s="1186"/>
      <c r="U195" s="1186"/>
      <c r="V195" s="1186"/>
      <c r="W195" s="1186"/>
      <c r="X195" s="1186"/>
      <c r="Y195" s="1186"/>
      <c r="Z195" s="1186"/>
    </row>
    <row r="196" spans="1:26" ht="11.25" customHeight="1" x14ac:dyDescent="0.25">
      <c r="A196" s="89">
        <v>137</v>
      </c>
      <c r="B196" s="469">
        <f>'Lighting Inventory'!I147</f>
        <v>0</v>
      </c>
      <c r="C196" s="1188" t="str">
        <f>IF('Lighting Inventory'!D147="", "", 'Lighting Inventory'!D147)</f>
        <v/>
      </c>
      <c r="D196" s="1188"/>
      <c r="E196" s="1188"/>
      <c r="F196" s="469" t="str">
        <f>IF('Lighting Inventory'!E147="", "", 'Lighting Inventory'!E147)</f>
        <v/>
      </c>
      <c r="G196" s="89" t="str">
        <f>IF('Lighting Inventory'!G147="", "", IF('Lighting Inventory'!G147="Air Conditioned", "Y", "N"))</f>
        <v/>
      </c>
      <c r="H196" s="90">
        <f>'Lighting Inventory'!H147</f>
        <v>0</v>
      </c>
      <c r="I196" s="469" t="str">
        <f>IF('Lighting Inventory'!J147="", "", 'Lighting Inventory'!J147)</f>
        <v/>
      </c>
      <c r="J196" s="91" t="str">
        <f>IF('Lighting Inventory'!K147="", "", 'Lighting Inventory'!K147)</f>
        <v/>
      </c>
      <c r="K196" s="1188" t="str">
        <f>IF('Lighting Inventory'!S147="", "", 'Lighting Inventory'!S147)</f>
        <v/>
      </c>
      <c r="L196" s="1188"/>
      <c r="M196" s="1189" t="str">
        <f>IF('Lighting Inventory'!E147="", "", 'Lighting Inventory'!W147)</f>
        <v/>
      </c>
      <c r="N196" s="1189"/>
      <c r="O196" s="1189"/>
      <c r="P196" s="1189"/>
      <c r="Q196" s="1189"/>
      <c r="R196" s="469" t="str">
        <f>IF('Lighting Inventory'!AE147="", "", 'Lighting Inventory'!AE147)</f>
        <v/>
      </c>
      <c r="S196" s="92" t="str">
        <f>IF('Lighting Inventory'!AN147="", "", 'Lighting Inventory'!AN147)</f>
        <v/>
      </c>
      <c r="T196" s="1188"/>
      <c r="U196" s="1188"/>
      <c r="V196" s="1188"/>
      <c r="W196" s="1188"/>
      <c r="X196" s="1188"/>
      <c r="Y196" s="1188"/>
      <c r="Z196" s="1188"/>
    </row>
    <row r="197" spans="1:26" ht="11.25" customHeight="1" x14ac:dyDescent="0.25">
      <c r="A197" s="93">
        <v>138</v>
      </c>
      <c r="B197" s="468">
        <f>'Lighting Inventory'!I148</f>
        <v>0</v>
      </c>
      <c r="C197" s="1186" t="str">
        <f>IF('Lighting Inventory'!D148="", "", 'Lighting Inventory'!D148)</f>
        <v/>
      </c>
      <c r="D197" s="1186"/>
      <c r="E197" s="1186"/>
      <c r="F197" s="468" t="str">
        <f>IF('Lighting Inventory'!E148="", "", 'Lighting Inventory'!E148)</f>
        <v/>
      </c>
      <c r="G197" s="93" t="str">
        <f>IF('Lighting Inventory'!G148="", "", IF('Lighting Inventory'!G148="Air Conditioned", "Y", "N"))</f>
        <v/>
      </c>
      <c r="H197" s="94">
        <f>'Lighting Inventory'!H148</f>
        <v>0</v>
      </c>
      <c r="I197" s="94" t="str">
        <f>IF('Lighting Inventory'!J148="", "", 'Lighting Inventory'!J148)</f>
        <v/>
      </c>
      <c r="J197" s="94" t="str">
        <f>IF('Lighting Inventory'!K148="", "", 'Lighting Inventory'!K148)</f>
        <v/>
      </c>
      <c r="K197" s="1186" t="str">
        <f>IF('Lighting Inventory'!S148="", "", 'Lighting Inventory'!S148)</f>
        <v/>
      </c>
      <c r="L197" s="1186"/>
      <c r="M197" s="1187" t="str">
        <f>IF('Lighting Inventory'!E148="", "", 'Lighting Inventory'!W148)</f>
        <v/>
      </c>
      <c r="N197" s="1187"/>
      <c r="O197" s="1187"/>
      <c r="P197" s="1187"/>
      <c r="Q197" s="1187"/>
      <c r="R197" s="468" t="str">
        <f>IF('Lighting Inventory'!AE148="", "", 'Lighting Inventory'!AE148)</f>
        <v/>
      </c>
      <c r="S197" s="95" t="str">
        <f>IF('Lighting Inventory'!AN148="", "", 'Lighting Inventory'!AN148)</f>
        <v/>
      </c>
      <c r="T197" s="1186"/>
      <c r="U197" s="1186"/>
      <c r="V197" s="1186"/>
      <c r="W197" s="1186"/>
      <c r="X197" s="1186"/>
      <c r="Y197" s="1186"/>
      <c r="Z197" s="1186"/>
    </row>
    <row r="198" spans="1:26" ht="11.25" customHeight="1" x14ac:dyDescent="0.25">
      <c r="A198" s="89">
        <v>139</v>
      </c>
      <c r="B198" s="469">
        <f>'Lighting Inventory'!I149</f>
        <v>0</v>
      </c>
      <c r="C198" s="1188" t="str">
        <f>IF('Lighting Inventory'!D149="", "", 'Lighting Inventory'!D149)</f>
        <v/>
      </c>
      <c r="D198" s="1188"/>
      <c r="E198" s="1188"/>
      <c r="F198" s="469" t="str">
        <f>IF('Lighting Inventory'!E149="", "", 'Lighting Inventory'!E149)</f>
        <v/>
      </c>
      <c r="G198" s="89" t="str">
        <f>IF('Lighting Inventory'!G149="", "", IF('Lighting Inventory'!G149="Air Conditioned", "Y", "N"))</f>
        <v/>
      </c>
      <c r="H198" s="90">
        <f>'Lighting Inventory'!H149</f>
        <v>0</v>
      </c>
      <c r="I198" s="469" t="str">
        <f>IF('Lighting Inventory'!J149="", "", 'Lighting Inventory'!J149)</f>
        <v/>
      </c>
      <c r="J198" s="91" t="str">
        <f>IF('Lighting Inventory'!K149="", "", 'Lighting Inventory'!K149)</f>
        <v/>
      </c>
      <c r="K198" s="1188" t="str">
        <f>IF('Lighting Inventory'!S149="", "", 'Lighting Inventory'!S149)</f>
        <v/>
      </c>
      <c r="L198" s="1188"/>
      <c r="M198" s="1189" t="str">
        <f>IF('Lighting Inventory'!E149="", "", 'Lighting Inventory'!W149)</f>
        <v/>
      </c>
      <c r="N198" s="1189"/>
      <c r="O198" s="1189"/>
      <c r="P198" s="1189"/>
      <c r="Q198" s="1189"/>
      <c r="R198" s="469" t="str">
        <f>IF('Lighting Inventory'!AE149="", "", 'Lighting Inventory'!AE149)</f>
        <v/>
      </c>
      <c r="S198" s="92" t="str">
        <f>IF('Lighting Inventory'!AN149="", "", 'Lighting Inventory'!AN149)</f>
        <v/>
      </c>
      <c r="T198" s="1188"/>
      <c r="U198" s="1188"/>
      <c r="V198" s="1188"/>
      <c r="W198" s="1188"/>
      <c r="X198" s="1188"/>
      <c r="Y198" s="1188"/>
      <c r="Z198" s="1188"/>
    </row>
    <row r="199" spans="1:26" ht="11.25" customHeight="1" x14ac:dyDescent="0.25">
      <c r="A199" s="93">
        <v>140</v>
      </c>
      <c r="B199" s="468">
        <f>'Lighting Inventory'!I150</f>
        <v>0</v>
      </c>
      <c r="C199" s="1186" t="str">
        <f>IF('Lighting Inventory'!D150="", "", 'Lighting Inventory'!D150)</f>
        <v/>
      </c>
      <c r="D199" s="1186"/>
      <c r="E199" s="1186"/>
      <c r="F199" s="468" t="str">
        <f>IF('Lighting Inventory'!E150="", "", 'Lighting Inventory'!E150)</f>
        <v/>
      </c>
      <c r="G199" s="93" t="str">
        <f>IF('Lighting Inventory'!G150="", "", IF('Lighting Inventory'!G150="Air Conditioned", "Y", "N"))</f>
        <v/>
      </c>
      <c r="H199" s="94">
        <f>'Lighting Inventory'!H150</f>
        <v>0</v>
      </c>
      <c r="I199" s="94" t="str">
        <f>IF('Lighting Inventory'!J150="", "", 'Lighting Inventory'!J150)</f>
        <v/>
      </c>
      <c r="J199" s="94" t="str">
        <f>IF('Lighting Inventory'!K150="", "", 'Lighting Inventory'!K150)</f>
        <v/>
      </c>
      <c r="K199" s="1186" t="str">
        <f>IF('Lighting Inventory'!S150="", "", 'Lighting Inventory'!S150)</f>
        <v/>
      </c>
      <c r="L199" s="1186"/>
      <c r="M199" s="1187" t="str">
        <f>IF('Lighting Inventory'!E150="", "", 'Lighting Inventory'!W150)</f>
        <v/>
      </c>
      <c r="N199" s="1187"/>
      <c r="O199" s="1187"/>
      <c r="P199" s="1187"/>
      <c r="Q199" s="1187"/>
      <c r="R199" s="468" t="str">
        <f>IF('Lighting Inventory'!AE150="", "", 'Lighting Inventory'!AE150)</f>
        <v/>
      </c>
      <c r="S199" s="95" t="str">
        <f>IF('Lighting Inventory'!AN150="", "", 'Lighting Inventory'!AN150)</f>
        <v/>
      </c>
      <c r="T199" s="1186"/>
      <c r="U199" s="1186"/>
      <c r="V199" s="1186"/>
      <c r="W199" s="1186"/>
      <c r="X199" s="1186"/>
      <c r="Y199" s="1186"/>
      <c r="Z199" s="1186"/>
    </row>
    <row r="200" spans="1:26" ht="11.25" customHeight="1" x14ac:dyDescent="0.25">
      <c r="A200" s="89">
        <v>141</v>
      </c>
      <c r="B200" s="469">
        <f>'Lighting Inventory'!I151</f>
        <v>0</v>
      </c>
      <c r="C200" s="1188" t="str">
        <f>IF('Lighting Inventory'!D151="", "", 'Lighting Inventory'!D151)</f>
        <v/>
      </c>
      <c r="D200" s="1188"/>
      <c r="E200" s="1188"/>
      <c r="F200" s="469" t="str">
        <f>IF('Lighting Inventory'!E151="", "", 'Lighting Inventory'!E151)</f>
        <v/>
      </c>
      <c r="G200" s="89" t="str">
        <f>IF('Lighting Inventory'!G151="", "", IF('Lighting Inventory'!G151="Air Conditioned", "Y", "N"))</f>
        <v/>
      </c>
      <c r="H200" s="90">
        <f>'Lighting Inventory'!H151</f>
        <v>0</v>
      </c>
      <c r="I200" s="469" t="str">
        <f>IF('Lighting Inventory'!J151="", "", 'Lighting Inventory'!J151)</f>
        <v/>
      </c>
      <c r="J200" s="91" t="str">
        <f>IF('Lighting Inventory'!K151="", "", 'Lighting Inventory'!K151)</f>
        <v/>
      </c>
      <c r="K200" s="1188" t="str">
        <f>IF('Lighting Inventory'!S151="", "", 'Lighting Inventory'!S151)</f>
        <v/>
      </c>
      <c r="L200" s="1188"/>
      <c r="M200" s="1189" t="str">
        <f>IF('Lighting Inventory'!E151="", "", 'Lighting Inventory'!W151)</f>
        <v/>
      </c>
      <c r="N200" s="1189"/>
      <c r="O200" s="1189"/>
      <c r="P200" s="1189"/>
      <c r="Q200" s="1189"/>
      <c r="R200" s="469" t="str">
        <f>IF('Lighting Inventory'!AE151="", "", 'Lighting Inventory'!AE151)</f>
        <v/>
      </c>
      <c r="S200" s="92" t="str">
        <f>IF('Lighting Inventory'!AN151="", "", 'Lighting Inventory'!AN151)</f>
        <v/>
      </c>
      <c r="T200" s="1188"/>
      <c r="U200" s="1188"/>
      <c r="V200" s="1188"/>
      <c r="W200" s="1188"/>
      <c r="X200" s="1188"/>
      <c r="Y200" s="1188"/>
      <c r="Z200" s="1188"/>
    </row>
    <row r="201" spans="1:26" ht="11.25" customHeight="1" x14ac:dyDescent="0.25">
      <c r="A201" s="93">
        <v>142</v>
      </c>
      <c r="B201" s="468">
        <f>'Lighting Inventory'!I152</f>
        <v>0</v>
      </c>
      <c r="C201" s="1186" t="str">
        <f>IF('Lighting Inventory'!D152="", "", 'Lighting Inventory'!D152)</f>
        <v/>
      </c>
      <c r="D201" s="1186"/>
      <c r="E201" s="1186"/>
      <c r="F201" s="468" t="str">
        <f>IF('Lighting Inventory'!E152="", "", 'Lighting Inventory'!E152)</f>
        <v/>
      </c>
      <c r="G201" s="93" t="str">
        <f>IF('Lighting Inventory'!G152="", "", IF('Lighting Inventory'!G152="Air Conditioned", "Y", "N"))</f>
        <v/>
      </c>
      <c r="H201" s="94">
        <f>'Lighting Inventory'!H152</f>
        <v>0</v>
      </c>
      <c r="I201" s="94" t="str">
        <f>IF('Lighting Inventory'!J152="", "", 'Lighting Inventory'!J152)</f>
        <v/>
      </c>
      <c r="J201" s="94" t="str">
        <f>IF('Lighting Inventory'!K152="", "", 'Lighting Inventory'!K152)</f>
        <v/>
      </c>
      <c r="K201" s="1186" t="str">
        <f>IF('Lighting Inventory'!S152="", "", 'Lighting Inventory'!S152)</f>
        <v/>
      </c>
      <c r="L201" s="1186"/>
      <c r="M201" s="1187" t="str">
        <f>IF('Lighting Inventory'!E152="", "", 'Lighting Inventory'!W152)</f>
        <v/>
      </c>
      <c r="N201" s="1187"/>
      <c r="O201" s="1187"/>
      <c r="P201" s="1187"/>
      <c r="Q201" s="1187"/>
      <c r="R201" s="468" t="str">
        <f>IF('Lighting Inventory'!AE152="", "", 'Lighting Inventory'!AE152)</f>
        <v/>
      </c>
      <c r="S201" s="95" t="str">
        <f>IF('Lighting Inventory'!AN152="", "", 'Lighting Inventory'!AN152)</f>
        <v/>
      </c>
      <c r="T201" s="1186"/>
      <c r="U201" s="1186"/>
      <c r="V201" s="1186"/>
      <c r="W201" s="1186"/>
      <c r="X201" s="1186"/>
      <c r="Y201" s="1186"/>
      <c r="Z201" s="1186"/>
    </row>
    <row r="202" spans="1:26" ht="11.25" customHeight="1" x14ac:dyDescent="0.25">
      <c r="A202" s="89">
        <v>143</v>
      </c>
      <c r="B202" s="469">
        <f>'Lighting Inventory'!I153</f>
        <v>0</v>
      </c>
      <c r="C202" s="1188" t="str">
        <f>IF('Lighting Inventory'!D153="", "", 'Lighting Inventory'!D153)</f>
        <v/>
      </c>
      <c r="D202" s="1188"/>
      <c r="E202" s="1188"/>
      <c r="F202" s="469" t="str">
        <f>IF('Lighting Inventory'!E153="", "", 'Lighting Inventory'!E153)</f>
        <v/>
      </c>
      <c r="G202" s="89" t="str">
        <f>IF('Lighting Inventory'!G153="", "", IF('Lighting Inventory'!G153="Air Conditioned", "Y", "N"))</f>
        <v/>
      </c>
      <c r="H202" s="90">
        <f>'Lighting Inventory'!H153</f>
        <v>0</v>
      </c>
      <c r="I202" s="469" t="str">
        <f>IF('Lighting Inventory'!J153="", "", 'Lighting Inventory'!J153)</f>
        <v/>
      </c>
      <c r="J202" s="91" t="str">
        <f>IF('Lighting Inventory'!K153="", "", 'Lighting Inventory'!K153)</f>
        <v/>
      </c>
      <c r="K202" s="1188" t="str">
        <f>IF('Lighting Inventory'!S153="", "", 'Lighting Inventory'!S153)</f>
        <v/>
      </c>
      <c r="L202" s="1188"/>
      <c r="M202" s="1189" t="str">
        <f>IF('Lighting Inventory'!E153="", "", 'Lighting Inventory'!W153)</f>
        <v/>
      </c>
      <c r="N202" s="1189"/>
      <c r="O202" s="1189"/>
      <c r="P202" s="1189"/>
      <c r="Q202" s="1189"/>
      <c r="R202" s="469" t="str">
        <f>IF('Lighting Inventory'!AE153="", "", 'Lighting Inventory'!AE153)</f>
        <v/>
      </c>
      <c r="S202" s="92" t="str">
        <f>IF('Lighting Inventory'!AN153="", "", 'Lighting Inventory'!AN153)</f>
        <v/>
      </c>
      <c r="T202" s="1188"/>
      <c r="U202" s="1188"/>
      <c r="V202" s="1188"/>
      <c r="W202" s="1188"/>
      <c r="X202" s="1188"/>
      <c r="Y202" s="1188"/>
      <c r="Z202" s="1188"/>
    </row>
    <row r="203" spans="1:26" ht="11.25" customHeight="1" x14ac:dyDescent="0.25">
      <c r="A203" s="93">
        <v>144</v>
      </c>
      <c r="B203" s="468">
        <f>'Lighting Inventory'!I154</f>
        <v>0</v>
      </c>
      <c r="C203" s="1186" t="str">
        <f>IF('Lighting Inventory'!D154="", "", 'Lighting Inventory'!D154)</f>
        <v/>
      </c>
      <c r="D203" s="1186"/>
      <c r="E203" s="1186"/>
      <c r="F203" s="468" t="str">
        <f>IF('Lighting Inventory'!E154="", "", 'Lighting Inventory'!E154)</f>
        <v/>
      </c>
      <c r="G203" s="93" t="str">
        <f>IF('Lighting Inventory'!G154="", "", IF('Lighting Inventory'!G154="Air Conditioned", "Y", "N"))</f>
        <v/>
      </c>
      <c r="H203" s="94">
        <f>'Lighting Inventory'!H154</f>
        <v>0</v>
      </c>
      <c r="I203" s="94" t="str">
        <f>IF('Lighting Inventory'!J154="", "", 'Lighting Inventory'!J154)</f>
        <v/>
      </c>
      <c r="J203" s="94" t="str">
        <f>IF('Lighting Inventory'!K154="", "", 'Lighting Inventory'!K154)</f>
        <v/>
      </c>
      <c r="K203" s="1186" t="str">
        <f>IF('Lighting Inventory'!S154="", "", 'Lighting Inventory'!S154)</f>
        <v/>
      </c>
      <c r="L203" s="1186"/>
      <c r="M203" s="1187" t="str">
        <f>IF('Lighting Inventory'!E154="", "", 'Lighting Inventory'!W154)</f>
        <v/>
      </c>
      <c r="N203" s="1187"/>
      <c r="O203" s="1187"/>
      <c r="P203" s="1187"/>
      <c r="Q203" s="1187"/>
      <c r="R203" s="468" t="str">
        <f>IF('Lighting Inventory'!AE154="", "", 'Lighting Inventory'!AE154)</f>
        <v/>
      </c>
      <c r="S203" s="95" t="str">
        <f>IF('Lighting Inventory'!AN154="", "", 'Lighting Inventory'!AN154)</f>
        <v/>
      </c>
      <c r="T203" s="1186"/>
      <c r="U203" s="1186"/>
      <c r="V203" s="1186"/>
      <c r="W203" s="1186"/>
      <c r="X203" s="1186"/>
      <c r="Y203" s="1186"/>
      <c r="Z203" s="1186"/>
    </row>
    <row r="204" spans="1:26" ht="11.25" customHeight="1" x14ac:dyDescent="0.25">
      <c r="A204" s="89">
        <v>145</v>
      </c>
      <c r="B204" s="469">
        <f>'Lighting Inventory'!I155</f>
        <v>0</v>
      </c>
      <c r="C204" s="1188" t="str">
        <f>IF('Lighting Inventory'!D155="", "", 'Lighting Inventory'!D155)</f>
        <v/>
      </c>
      <c r="D204" s="1188"/>
      <c r="E204" s="1188"/>
      <c r="F204" s="469" t="str">
        <f>IF('Lighting Inventory'!E155="", "", 'Lighting Inventory'!E155)</f>
        <v/>
      </c>
      <c r="G204" s="89" t="str">
        <f>IF('Lighting Inventory'!G155="", "", IF('Lighting Inventory'!G155="Air Conditioned", "Y", "N"))</f>
        <v/>
      </c>
      <c r="H204" s="90">
        <f>'Lighting Inventory'!H155</f>
        <v>0</v>
      </c>
      <c r="I204" s="469" t="str">
        <f>IF('Lighting Inventory'!J155="", "", 'Lighting Inventory'!J155)</f>
        <v/>
      </c>
      <c r="J204" s="91" t="str">
        <f>IF('Lighting Inventory'!K155="", "", 'Lighting Inventory'!K155)</f>
        <v/>
      </c>
      <c r="K204" s="1188" t="str">
        <f>IF('Lighting Inventory'!S155="", "", 'Lighting Inventory'!S155)</f>
        <v/>
      </c>
      <c r="L204" s="1188"/>
      <c r="M204" s="1189" t="str">
        <f>IF('Lighting Inventory'!E155="", "", 'Lighting Inventory'!W155)</f>
        <v/>
      </c>
      <c r="N204" s="1189"/>
      <c r="O204" s="1189"/>
      <c r="P204" s="1189"/>
      <c r="Q204" s="1189"/>
      <c r="R204" s="469" t="str">
        <f>IF('Lighting Inventory'!AE155="", "", 'Lighting Inventory'!AE155)</f>
        <v/>
      </c>
      <c r="S204" s="92" t="str">
        <f>IF('Lighting Inventory'!AN155="", "", 'Lighting Inventory'!AN155)</f>
        <v/>
      </c>
      <c r="T204" s="1188"/>
      <c r="U204" s="1188"/>
      <c r="V204" s="1188"/>
      <c r="W204" s="1188"/>
      <c r="X204" s="1188"/>
      <c r="Y204" s="1188"/>
      <c r="Z204" s="1188"/>
    </row>
    <row r="205" spans="1:26" ht="11.25" customHeight="1" x14ac:dyDescent="0.25">
      <c r="A205" s="93">
        <v>146</v>
      </c>
      <c r="B205" s="468">
        <f>'Lighting Inventory'!I156</f>
        <v>0</v>
      </c>
      <c r="C205" s="1186" t="str">
        <f>IF('Lighting Inventory'!D156="", "", 'Lighting Inventory'!D156)</f>
        <v/>
      </c>
      <c r="D205" s="1186"/>
      <c r="E205" s="1186"/>
      <c r="F205" s="468" t="str">
        <f>IF('Lighting Inventory'!E156="", "", 'Lighting Inventory'!E156)</f>
        <v/>
      </c>
      <c r="G205" s="93" t="str">
        <f>IF('Lighting Inventory'!G156="", "", IF('Lighting Inventory'!G156="Air Conditioned", "Y", "N"))</f>
        <v/>
      </c>
      <c r="H205" s="94">
        <f>'Lighting Inventory'!H156</f>
        <v>0</v>
      </c>
      <c r="I205" s="94" t="str">
        <f>IF('Lighting Inventory'!J156="", "", 'Lighting Inventory'!J156)</f>
        <v/>
      </c>
      <c r="J205" s="94" t="str">
        <f>IF('Lighting Inventory'!K156="", "", 'Lighting Inventory'!K156)</f>
        <v/>
      </c>
      <c r="K205" s="1186" t="str">
        <f>IF('Lighting Inventory'!S156="", "", 'Lighting Inventory'!S156)</f>
        <v/>
      </c>
      <c r="L205" s="1186"/>
      <c r="M205" s="1187" t="str">
        <f>IF('Lighting Inventory'!E156="", "", 'Lighting Inventory'!W156)</f>
        <v/>
      </c>
      <c r="N205" s="1187"/>
      <c r="O205" s="1187"/>
      <c r="P205" s="1187"/>
      <c r="Q205" s="1187"/>
      <c r="R205" s="468" t="str">
        <f>IF('Lighting Inventory'!AE156="", "", 'Lighting Inventory'!AE156)</f>
        <v/>
      </c>
      <c r="S205" s="95" t="str">
        <f>IF('Lighting Inventory'!AN156="", "", 'Lighting Inventory'!AN156)</f>
        <v/>
      </c>
      <c r="T205" s="1186"/>
      <c r="U205" s="1186"/>
      <c r="V205" s="1186"/>
      <c r="W205" s="1186"/>
      <c r="X205" s="1186"/>
      <c r="Y205" s="1186"/>
      <c r="Z205" s="1186"/>
    </row>
    <row r="206" spans="1:26" ht="11.25" customHeight="1" x14ac:dyDescent="0.25">
      <c r="A206" s="89">
        <v>147</v>
      </c>
      <c r="B206" s="469">
        <f>'Lighting Inventory'!I157</f>
        <v>0</v>
      </c>
      <c r="C206" s="1188" t="str">
        <f>IF('Lighting Inventory'!D157="", "", 'Lighting Inventory'!D157)</f>
        <v/>
      </c>
      <c r="D206" s="1188"/>
      <c r="E206" s="1188"/>
      <c r="F206" s="469" t="str">
        <f>IF('Lighting Inventory'!E157="", "", 'Lighting Inventory'!E157)</f>
        <v/>
      </c>
      <c r="G206" s="89" t="str">
        <f>IF('Lighting Inventory'!G157="", "", IF('Lighting Inventory'!G157="Air Conditioned", "Y", "N"))</f>
        <v/>
      </c>
      <c r="H206" s="90">
        <f>'Lighting Inventory'!H157</f>
        <v>0</v>
      </c>
      <c r="I206" s="469" t="str">
        <f>IF('Lighting Inventory'!J157="", "", 'Lighting Inventory'!J157)</f>
        <v/>
      </c>
      <c r="J206" s="91" t="str">
        <f>IF('Lighting Inventory'!K157="", "", 'Lighting Inventory'!K157)</f>
        <v/>
      </c>
      <c r="K206" s="1188" t="str">
        <f>IF('Lighting Inventory'!S157="", "", 'Lighting Inventory'!S157)</f>
        <v/>
      </c>
      <c r="L206" s="1188"/>
      <c r="M206" s="1189" t="str">
        <f>IF('Lighting Inventory'!E157="", "", 'Lighting Inventory'!W157)</f>
        <v/>
      </c>
      <c r="N206" s="1189"/>
      <c r="O206" s="1189"/>
      <c r="P206" s="1189"/>
      <c r="Q206" s="1189"/>
      <c r="R206" s="469" t="str">
        <f>IF('Lighting Inventory'!AE157="", "", 'Lighting Inventory'!AE157)</f>
        <v/>
      </c>
      <c r="S206" s="92" t="str">
        <f>IF('Lighting Inventory'!AN157="", "", 'Lighting Inventory'!AN157)</f>
        <v/>
      </c>
      <c r="T206" s="1188"/>
      <c r="U206" s="1188"/>
      <c r="V206" s="1188"/>
      <c r="W206" s="1188"/>
      <c r="X206" s="1188"/>
      <c r="Y206" s="1188"/>
      <c r="Z206" s="1188"/>
    </row>
    <row r="207" spans="1:26" ht="11.25" customHeight="1" x14ac:dyDescent="0.25">
      <c r="A207" s="93">
        <v>148</v>
      </c>
      <c r="B207" s="468">
        <f>'Lighting Inventory'!I158</f>
        <v>0</v>
      </c>
      <c r="C207" s="1186" t="str">
        <f>IF('Lighting Inventory'!D158="", "", 'Lighting Inventory'!D158)</f>
        <v/>
      </c>
      <c r="D207" s="1186"/>
      <c r="E207" s="1186"/>
      <c r="F207" s="468" t="str">
        <f>IF('Lighting Inventory'!E158="", "", 'Lighting Inventory'!E158)</f>
        <v/>
      </c>
      <c r="G207" s="93" t="str">
        <f>IF('Lighting Inventory'!G158="", "", IF('Lighting Inventory'!G158="Air Conditioned", "Y", "N"))</f>
        <v/>
      </c>
      <c r="H207" s="94">
        <f>'Lighting Inventory'!H158</f>
        <v>0</v>
      </c>
      <c r="I207" s="94" t="str">
        <f>IF('Lighting Inventory'!J158="", "", 'Lighting Inventory'!J158)</f>
        <v/>
      </c>
      <c r="J207" s="94" t="str">
        <f>IF('Lighting Inventory'!K158="", "", 'Lighting Inventory'!K158)</f>
        <v/>
      </c>
      <c r="K207" s="1186" t="str">
        <f>IF('Lighting Inventory'!S158="", "", 'Lighting Inventory'!S158)</f>
        <v/>
      </c>
      <c r="L207" s="1186"/>
      <c r="M207" s="1187" t="str">
        <f>IF('Lighting Inventory'!E158="", "", 'Lighting Inventory'!W158)</f>
        <v/>
      </c>
      <c r="N207" s="1187"/>
      <c r="O207" s="1187"/>
      <c r="P207" s="1187"/>
      <c r="Q207" s="1187"/>
      <c r="R207" s="468" t="str">
        <f>IF('Lighting Inventory'!AE158="", "", 'Lighting Inventory'!AE158)</f>
        <v/>
      </c>
      <c r="S207" s="95" t="str">
        <f>IF('Lighting Inventory'!AN158="", "", 'Lighting Inventory'!AN158)</f>
        <v/>
      </c>
      <c r="T207" s="1186"/>
      <c r="U207" s="1186"/>
      <c r="V207" s="1186"/>
      <c r="W207" s="1186"/>
      <c r="X207" s="1186"/>
      <c r="Y207" s="1186"/>
      <c r="Z207" s="1186"/>
    </row>
    <row r="208" spans="1:26" ht="11.25" customHeight="1" x14ac:dyDescent="0.25">
      <c r="A208" s="89">
        <v>149</v>
      </c>
      <c r="B208" s="469">
        <f>'Lighting Inventory'!I159</f>
        <v>0</v>
      </c>
      <c r="C208" s="1188" t="str">
        <f>IF('Lighting Inventory'!D159="", "", 'Lighting Inventory'!D159)</f>
        <v/>
      </c>
      <c r="D208" s="1188"/>
      <c r="E208" s="1188"/>
      <c r="F208" s="469" t="str">
        <f>IF('Lighting Inventory'!E159="", "", 'Lighting Inventory'!E159)</f>
        <v/>
      </c>
      <c r="G208" s="89" t="str">
        <f>IF('Lighting Inventory'!G159="", "", IF('Lighting Inventory'!G159="Air Conditioned", "Y", "N"))</f>
        <v/>
      </c>
      <c r="H208" s="90">
        <f>'Lighting Inventory'!H159</f>
        <v>0</v>
      </c>
      <c r="I208" s="469" t="str">
        <f>IF('Lighting Inventory'!J159="", "", 'Lighting Inventory'!J159)</f>
        <v/>
      </c>
      <c r="J208" s="91" t="str">
        <f>IF('Lighting Inventory'!K159="", "", 'Lighting Inventory'!K159)</f>
        <v/>
      </c>
      <c r="K208" s="1188" t="str">
        <f>IF('Lighting Inventory'!S159="", "", 'Lighting Inventory'!S159)</f>
        <v/>
      </c>
      <c r="L208" s="1188"/>
      <c r="M208" s="1189" t="str">
        <f>IF('Lighting Inventory'!E159="", "", 'Lighting Inventory'!W159)</f>
        <v/>
      </c>
      <c r="N208" s="1189"/>
      <c r="O208" s="1189"/>
      <c r="P208" s="1189"/>
      <c r="Q208" s="1189"/>
      <c r="R208" s="469" t="str">
        <f>IF('Lighting Inventory'!AE159="", "", 'Lighting Inventory'!AE159)</f>
        <v/>
      </c>
      <c r="S208" s="92" t="str">
        <f>IF('Lighting Inventory'!AN159="", "", 'Lighting Inventory'!AN159)</f>
        <v/>
      </c>
      <c r="T208" s="1188"/>
      <c r="U208" s="1188"/>
      <c r="V208" s="1188"/>
      <c r="W208" s="1188"/>
      <c r="X208" s="1188"/>
      <c r="Y208" s="1188"/>
      <c r="Z208" s="1188"/>
    </row>
    <row r="209" spans="1:26" ht="11.25" customHeight="1" x14ac:dyDescent="0.25">
      <c r="A209" s="93">
        <v>150</v>
      </c>
      <c r="B209" s="468">
        <f>'Lighting Inventory'!I160</f>
        <v>0</v>
      </c>
      <c r="C209" s="1186" t="str">
        <f>IF('Lighting Inventory'!D160="", "", 'Lighting Inventory'!D160)</f>
        <v/>
      </c>
      <c r="D209" s="1186"/>
      <c r="E209" s="1186"/>
      <c r="F209" s="468" t="str">
        <f>IF('Lighting Inventory'!E160="", "", 'Lighting Inventory'!E160)</f>
        <v/>
      </c>
      <c r="G209" s="93" t="str">
        <f>IF('Lighting Inventory'!G160="", "", IF('Lighting Inventory'!G160="Air Conditioned", "Y", "N"))</f>
        <v/>
      </c>
      <c r="H209" s="94">
        <f>'Lighting Inventory'!H160</f>
        <v>0</v>
      </c>
      <c r="I209" s="94" t="str">
        <f>IF('Lighting Inventory'!J160="", "", 'Lighting Inventory'!J160)</f>
        <v/>
      </c>
      <c r="J209" s="94" t="str">
        <f>IF('Lighting Inventory'!K160="", "", 'Lighting Inventory'!K160)</f>
        <v/>
      </c>
      <c r="K209" s="1186" t="str">
        <f>IF('Lighting Inventory'!S160="", "", 'Lighting Inventory'!S160)</f>
        <v/>
      </c>
      <c r="L209" s="1186"/>
      <c r="M209" s="1187" t="str">
        <f>IF('Lighting Inventory'!E160="", "", 'Lighting Inventory'!W160)</f>
        <v/>
      </c>
      <c r="N209" s="1187"/>
      <c r="O209" s="1187"/>
      <c r="P209" s="1187"/>
      <c r="Q209" s="1187"/>
      <c r="R209" s="468" t="str">
        <f>IF('Lighting Inventory'!AE160="", "", 'Lighting Inventory'!AE160)</f>
        <v/>
      </c>
      <c r="S209" s="95" t="str">
        <f>IF('Lighting Inventory'!AN160="", "", 'Lighting Inventory'!AN160)</f>
        <v/>
      </c>
      <c r="T209" s="1186"/>
      <c r="U209" s="1186"/>
      <c r="V209" s="1186"/>
      <c r="W209" s="1186"/>
      <c r="X209" s="1186"/>
      <c r="Y209" s="1186"/>
      <c r="Z209" s="1186"/>
    </row>
    <row r="210" spans="1:26" ht="11.25" customHeight="1" x14ac:dyDescent="0.25">
      <c r="A210" s="89">
        <v>151</v>
      </c>
      <c r="B210" s="469">
        <f>'Lighting Inventory'!I161</f>
        <v>0</v>
      </c>
      <c r="C210" s="1188" t="str">
        <f>IF('Lighting Inventory'!D161="", "", 'Lighting Inventory'!D161)</f>
        <v/>
      </c>
      <c r="D210" s="1188"/>
      <c r="E210" s="1188"/>
      <c r="F210" s="469" t="str">
        <f>IF('Lighting Inventory'!E161="", "", 'Lighting Inventory'!E161)</f>
        <v/>
      </c>
      <c r="G210" s="89" t="str">
        <f>IF('Lighting Inventory'!G161="", "", IF('Lighting Inventory'!G161="Air Conditioned", "Y", "N"))</f>
        <v/>
      </c>
      <c r="H210" s="90">
        <f>'Lighting Inventory'!H161</f>
        <v>0</v>
      </c>
      <c r="I210" s="469" t="str">
        <f>IF('Lighting Inventory'!J161="", "", 'Lighting Inventory'!J161)</f>
        <v/>
      </c>
      <c r="J210" s="91" t="str">
        <f>IF('Lighting Inventory'!K161="", "", 'Lighting Inventory'!K161)</f>
        <v/>
      </c>
      <c r="K210" s="1188" t="str">
        <f>IF('Lighting Inventory'!S161="", "", 'Lighting Inventory'!S161)</f>
        <v/>
      </c>
      <c r="L210" s="1188"/>
      <c r="M210" s="1189" t="str">
        <f>IF('Lighting Inventory'!E161="", "", 'Lighting Inventory'!W161)</f>
        <v/>
      </c>
      <c r="N210" s="1189"/>
      <c r="O210" s="1189"/>
      <c r="P210" s="1189"/>
      <c r="Q210" s="1189"/>
      <c r="R210" s="469" t="str">
        <f>IF('Lighting Inventory'!AE161="", "", 'Lighting Inventory'!AE161)</f>
        <v/>
      </c>
      <c r="S210" s="92" t="str">
        <f>IF('Lighting Inventory'!AN161="", "", 'Lighting Inventory'!AN161)</f>
        <v/>
      </c>
      <c r="T210" s="1188"/>
      <c r="U210" s="1188"/>
      <c r="V210" s="1188"/>
      <c r="W210" s="1188"/>
      <c r="X210" s="1188"/>
      <c r="Y210" s="1188"/>
      <c r="Z210" s="1188"/>
    </row>
    <row r="211" spans="1:26" ht="11.25" customHeight="1" x14ac:dyDescent="0.25">
      <c r="A211" s="93">
        <v>152</v>
      </c>
      <c r="B211" s="468">
        <f>'Lighting Inventory'!I162</f>
        <v>0</v>
      </c>
      <c r="C211" s="1186" t="str">
        <f>IF('Lighting Inventory'!D162="", "", 'Lighting Inventory'!D162)</f>
        <v/>
      </c>
      <c r="D211" s="1186"/>
      <c r="E211" s="1186"/>
      <c r="F211" s="468" t="str">
        <f>IF('Lighting Inventory'!E162="", "", 'Lighting Inventory'!E162)</f>
        <v/>
      </c>
      <c r="G211" s="93" t="str">
        <f>IF('Lighting Inventory'!G162="", "", IF('Lighting Inventory'!G162="Air Conditioned", "Y", "N"))</f>
        <v/>
      </c>
      <c r="H211" s="94">
        <f>'Lighting Inventory'!H162</f>
        <v>0</v>
      </c>
      <c r="I211" s="94" t="str">
        <f>IF('Lighting Inventory'!J162="", "", 'Lighting Inventory'!J162)</f>
        <v/>
      </c>
      <c r="J211" s="94" t="str">
        <f>IF('Lighting Inventory'!K162="", "", 'Lighting Inventory'!K162)</f>
        <v/>
      </c>
      <c r="K211" s="1186" t="str">
        <f>IF('Lighting Inventory'!S162="", "", 'Lighting Inventory'!S162)</f>
        <v/>
      </c>
      <c r="L211" s="1186"/>
      <c r="M211" s="1187" t="str">
        <f>IF('Lighting Inventory'!E162="", "", 'Lighting Inventory'!W162)</f>
        <v/>
      </c>
      <c r="N211" s="1187"/>
      <c r="O211" s="1187"/>
      <c r="P211" s="1187"/>
      <c r="Q211" s="1187"/>
      <c r="R211" s="468" t="str">
        <f>IF('Lighting Inventory'!AE162="", "", 'Lighting Inventory'!AE162)</f>
        <v/>
      </c>
      <c r="S211" s="95" t="str">
        <f>IF('Lighting Inventory'!AN162="", "", 'Lighting Inventory'!AN162)</f>
        <v/>
      </c>
      <c r="T211" s="1186"/>
      <c r="U211" s="1186"/>
      <c r="V211" s="1186"/>
      <c r="W211" s="1186"/>
      <c r="X211" s="1186"/>
      <c r="Y211" s="1186"/>
      <c r="Z211" s="1186"/>
    </row>
    <row r="212" spans="1:26" ht="11.25" customHeight="1" x14ac:dyDescent="0.25">
      <c r="A212" s="89">
        <v>153</v>
      </c>
      <c r="B212" s="469">
        <f>'Lighting Inventory'!I163</f>
        <v>0</v>
      </c>
      <c r="C212" s="1188" t="str">
        <f>IF('Lighting Inventory'!D163="", "", 'Lighting Inventory'!D163)</f>
        <v/>
      </c>
      <c r="D212" s="1188"/>
      <c r="E212" s="1188"/>
      <c r="F212" s="469" t="str">
        <f>IF('Lighting Inventory'!E163="", "", 'Lighting Inventory'!E163)</f>
        <v/>
      </c>
      <c r="G212" s="89" t="str">
        <f>IF('Lighting Inventory'!G163="", "", IF('Lighting Inventory'!G163="Air Conditioned", "Y", "N"))</f>
        <v/>
      </c>
      <c r="H212" s="90">
        <f>'Lighting Inventory'!H163</f>
        <v>0</v>
      </c>
      <c r="I212" s="469" t="str">
        <f>IF('Lighting Inventory'!J163="", "", 'Lighting Inventory'!J163)</f>
        <v/>
      </c>
      <c r="J212" s="91" t="str">
        <f>IF('Lighting Inventory'!K163="", "", 'Lighting Inventory'!K163)</f>
        <v/>
      </c>
      <c r="K212" s="1188" t="str">
        <f>IF('Lighting Inventory'!S163="", "", 'Lighting Inventory'!S163)</f>
        <v/>
      </c>
      <c r="L212" s="1188"/>
      <c r="M212" s="1189" t="str">
        <f>IF('Lighting Inventory'!E163="", "", 'Lighting Inventory'!W163)</f>
        <v/>
      </c>
      <c r="N212" s="1189"/>
      <c r="O212" s="1189"/>
      <c r="P212" s="1189"/>
      <c r="Q212" s="1189"/>
      <c r="R212" s="469" t="str">
        <f>IF('Lighting Inventory'!AE163="", "", 'Lighting Inventory'!AE163)</f>
        <v/>
      </c>
      <c r="S212" s="92" t="str">
        <f>IF('Lighting Inventory'!AN163="", "", 'Lighting Inventory'!AN163)</f>
        <v/>
      </c>
      <c r="T212" s="1188"/>
      <c r="U212" s="1188"/>
      <c r="V212" s="1188"/>
      <c r="W212" s="1188"/>
      <c r="X212" s="1188"/>
      <c r="Y212" s="1188"/>
      <c r="Z212" s="1188"/>
    </row>
    <row r="213" spans="1:26" ht="11.25" customHeight="1" x14ac:dyDescent="0.25">
      <c r="A213" s="93">
        <v>154</v>
      </c>
      <c r="B213" s="468">
        <f>'Lighting Inventory'!I164</f>
        <v>0</v>
      </c>
      <c r="C213" s="1186" t="str">
        <f>IF('Lighting Inventory'!D164="", "", 'Lighting Inventory'!D164)</f>
        <v/>
      </c>
      <c r="D213" s="1186"/>
      <c r="E213" s="1186"/>
      <c r="F213" s="468" t="str">
        <f>IF('Lighting Inventory'!E164="", "", 'Lighting Inventory'!E164)</f>
        <v/>
      </c>
      <c r="G213" s="93" t="str">
        <f>IF('Lighting Inventory'!G164="", "", IF('Lighting Inventory'!G164="Air Conditioned", "Y", "N"))</f>
        <v/>
      </c>
      <c r="H213" s="94">
        <f>'Lighting Inventory'!H164</f>
        <v>0</v>
      </c>
      <c r="I213" s="94" t="str">
        <f>IF('Lighting Inventory'!J164="", "", 'Lighting Inventory'!J164)</f>
        <v/>
      </c>
      <c r="J213" s="94" t="str">
        <f>IF('Lighting Inventory'!K164="", "", 'Lighting Inventory'!K164)</f>
        <v/>
      </c>
      <c r="K213" s="1186" t="str">
        <f>IF('Lighting Inventory'!S164="", "", 'Lighting Inventory'!S164)</f>
        <v/>
      </c>
      <c r="L213" s="1186"/>
      <c r="M213" s="1187" t="str">
        <f>IF('Lighting Inventory'!E164="", "", 'Lighting Inventory'!W164)</f>
        <v/>
      </c>
      <c r="N213" s="1187"/>
      <c r="O213" s="1187"/>
      <c r="P213" s="1187"/>
      <c r="Q213" s="1187"/>
      <c r="R213" s="468" t="str">
        <f>IF('Lighting Inventory'!AE164="", "", 'Lighting Inventory'!AE164)</f>
        <v/>
      </c>
      <c r="S213" s="95" t="str">
        <f>IF('Lighting Inventory'!AN164="", "", 'Lighting Inventory'!AN164)</f>
        <v/>
      </c>
      <c r="T213" s="1186"/>
      <c r="U213" s="1186"/>
      <c r="V213" s="1186"/>
      <c r="W213" s="1186"/>
      <c r="X213" s="1186"/>
      <c r="Y213" s="1186"/>
      <c r="Z213" s="1186"/>
    </row>
    <row r="214" spans="1:26" ht="11.25" customHeight="1" x14ac:dyDescent="0.25">
      <c r="A214" s="89">
        <v>155</v>
      </c>
      <c r="B214" s="469">
        <f>'Lighting Inventory'!I165</f>
        <v>0</v>
      </c>
      <c r="C214" s="1188" t="str">
        <f>IF('Lighting Inventory'!D165="", "", 'Lighting Inventory'!D165)</f>
        <v/>
      </c>
      <c r="D214" s="1188"/>
      <c r="E214" s="1188"/>
      <c r="F214" s="469" t="str">
        <f>IF('Lighting Inventory'!E165="", "", 'Lighting Inventory'!E165)</f>
        <v/>
      </c>
      <c r="G214" s="89" t="str">
        <f>IF('Lighting Inventory'!G165="", "", IF('Lighting Inventory'!G165="Air Conditioned", "Y", "N"))</f>
        <v/>
      </c>
      <c r="H214" s="90">
        <f>'Lighting Inventory'!H165</f>
        <v>0</v>
      </c>
      <c r="I214" s="469" t="str">
        <f>IF('Lighting Inventory'!J165="", "", 'Lighting Inventory'!J165)</f>
        <v/>
      </c>
      <c r="J214" s="91" t="str">
        <f>IF('Lighting Inventory'!K165="", "", 'Lighting Inventory'!K165)</f>
        <v/>
      </c>
      <c r="K214" s="1188" t="str">
        <f>IF('Lighting Inventory'!S165="", "", 'Lighting Inventory'!S165)</f>
        <v/>
      </c>
      <c r="L214" s="1188"/>
      <c r="M214" s="1189" t="str">
        <f>IF('Lighting Inventory'!E165="", "", 'Lighting Inventory'!W165)</f>
        <v/>
      </c>
      <c r="N214" s="1189"/>
      <c r="O214" s="1189"/>
      <c r="P214" s="1189"/>
      <c r="Q214" s="1189"/>
      <c r="R214" s="469" t="str">
        <f>IF('Lighting Inventory'!AE165="", "", 'Lighting Inventory'!AE165)</f>
        <v/>
      </c>
      <c r="S214" s="92" t="str">
        <f>IF('Lighting Inventory'!AN165="", "", 'Lighting Inventory'!AN165)</f>
        <v/>
      </c>
      <c r="T214" s="1188"/>
      <c r="U214" s="1188"/>
      <c r="V214" s="1188"/>
      <c r="W214" s="1188"/>
      <c r="X214" s="1188"/>
      <c r="Y214" s="1188"/>
      <c r="Z214" s="1188"/>
    </row>
    <row r="215" spans="1:26" ht="11.25" customHeight="1" x14ac:dyDescent="0.25">
      <c r="A215" s="93">
        <v>156</v>
      </c>
      <c r="B215" s="468">
        <f>'Lighting Inventory'!I166</f>
        <v>0</v>
      </c>
      <c r="C215" s="1186" t="str">
        <f>IF('Lighting Inventory'!D166="", "", 'Lighting Inventory'!D166)</f>
        <v/>
      </c>
      <c r="D215" s="1186"/>
      <c r="E215" s="1186"/>
      <c r="F215" s="468" t="str">
        <f>IF('Lighting Inventory'!E166="", "", 'Lighting Inventory'!E166)</f>
        <v/>
      </c>
      <c r="G215" s="93" t="str">
        <f>IF('Lighting Inventory'!G166="", "", IF('Lighting Inventory'!G166="Air Conditioned", "Y", "N"))</f>
        <v/>
      </c>
      <c r="H215" s="94">
        <f>'Lighting Inventory'!H166</f>
        <v>0</v>
      </c>
      <c r="I215" s="94" t="str">
        <f>IF('Lighting Inventory'!J166="", "", 'Lighting Inventory'!J166)</f>
        <v/>
      </c>
      <c r="J215" s="94" t="str">
        <f>IF('Lighting Inventory'!K166="", "", 'Lighting Inventory'!K166)</f>
        <v/>
      </c>
      <c r="K215" s="1186" t="str">
        <f>IF('Lighting Inventory'!S166="", "", 'Lighting Inventory'!S166)</f>
        <v/>
      </c>
      <c r="L215" s="1186"/>
      <c r="M215" s="1187" t="str">
        <f>IF('Lighting Inventory'!E166="", "", 'Lighting Inventory'!W166)</f>
        <v/>
      </c>
      <c r="N215" s="1187"/>
      <c r="O215" s="1187"/>
      <c r="P215" s="1187"/>
      <c r="Q215" s="1187"/>
      <c r="R215" s="468" t="str">
        <f>IF('Lighting Inventory'!AE166="", "", 'Lighting Inventory'!AE166)</f>
        <v/>
      </c>
      <c r="S215" s="95" t="str">
        <f>IF('Lighting Inventory'!AN166="", "", 'Lighting Inventory'!AN166)</f>
        <v/>
      </c>
      <c r="T215" s="1186"/>
      <c r="U215" s="1186"/>
      <c r="V215" s="1186"/>
      <c r="W215" s="1186"/>
      <c r="X215" s="1186"/>
      <c r="Y215" s="1186"/>
      <c r="Z215" s="1186"/>
    </row>
    <row r="216" spans="1:26" ht="11.25" customHeight="1" x14ac:dyDescent="0.25">
      <c r="A216" s="89">
        <v>157</v>
      </c>
      <c r="B216" s="469">
        <f>'Lighting Inventory'!I167</f>
        <v>0</v>
      </c>
      <c r="C216" s="1188" t="str">
        <f>IF('Lighting Inventory'!D167="", "", 'Lighting Inventory'!D167)</f>
        <v/>
      </c>
      <c r="D216" s="1188"/>
      <c r="E216" s="1188"/>
      <c r="F216" s="469" t="str">
        <f>IF('Lighting Inventory'!E167="", "", 'Lighting Inventory'!E167)</f>
        <v/>
      </c>
      <c r="G216" s="89" t="str">
        <f>IF('Lighting Inventory'!G167="", "", IF('Lighting Inventory'!G167="Air Conditioned", "Y", "N"))</f>
        <v/>
      </c>
      <c r="H216" s="90">
        <f>'Lighting Inventory'!H167</f>
        <v>0</v>
      </c>
      <c r="I216" s="469" t="str">
        <f>IF('Lighting Inventory'!J167="", "", 'Lighting Inventory'!J167)</f>
        <v/>
      </c>
      <c r="J216" s="91" t="str">
        <f>IF('Lighting Inventory'!K167="", "", 'Lighting Inventory'!K167)</f>
        <v/>
      </c>
      <c r="K216" s="1188" t="str">
        <f>IF('Lighting Inventory'!S167="", "", 'Lighting Inventory'!S167)</f>
        <v/>
      </c>
      <c r="L216" s="1188"/>
      <c r="M216" s="1189" t="str">
        <f>IF('Lighting Inventory'!E167="", "", 'Lighting Inventory'!W167)</f>
        <v/>
      </c>
      <c r="N216" s="1189"/>
      <c r="O216" s="1189"/>
      <c r="P216" s="1189"/>
      <c r="Q216" s="1189"/>
      <c r="R216" s="469" t="str">
        <f>IF('Lighting Inventory'!AE167="", "", 'Lighting Inventory'!AE167)</f>
        <v/>
      </c>
      <c r="S216" s="92" t="str">
        <f>IF('Lighting Inventory'!AN167="", "", 'Lighting Inventory'!AN167)</f>
        <v/>
      </c>
      <c r="T216" s="1188"/>
      <c r="U216" s="1188"/>
      <c r="V216" s="1188"/>
      <c r="W216" s="1188"/>
      <c r="X216" s="1188"/>
      <c r="Y216" s="1188"/>
      <c r="Z216" s="1188"/>
    </row>
    <row r="217" spans="1:26" ht="11.25" customHeight="1" x14ac:dyDescent="0.25">
      <c r="A217" s="93">
        <v>158</v>
      </c>
      <c r="B217" s="468">
        <f>'Lighting Inventory'!I168</f>
        <v>0</v>
      </c>
      <c r="C217" s="1186" t="str">
        <f>IF('Lighting Inventory'!D168="", "", 'Lighting Inventory'!D168)</f>
        <v/>
      </c>
      <c r="D217" s="1186"/>
      <c r="E217" s="1186"/>
      <c r="F217" s="468" t="str">
        <f>IF('Lighting Inventory'!E168="", "", 'Lighting Inventory'!E168)</f>
        <v/>
      </c>
      <c r="G217" s="93" t="str">
        <f>IF('Lighting Inventory'!G168="", "", IF('Lighting Inventory'!G168="Air Conditioned", "Y", "N"))</f>
        <v/>
      </c>
      <c r="H217" s="94">
        <f>'Lighting Inventory'!H168</f>
        <v>0</v>
      </c>
      <c r="I217" s="94" t="str">
        <f>IF('Lighting Inventory'!J168="", "", 'Lighting Inventory'!J168)</f>
        <v/>
      </c>
      <c r="J217" s="94" t="str">
        <f>IF('Lighting Inventory'!K168="", "", 'Lighting Inventory'!K168)</f>
        <v/>
      </c>
      <c r="K217" s="1186" t="str">
        <f>IF('Lighting Inventory'!S168="", "", 'Lighting Inventory'!S168)</f>
        <v/>
      </c>
      <c r="L217" s="1186"/>
      <c r="M217" s="1187" t="str">
        <f>IF('Lighting Inventory'!E168="", "", 'Lighting Inventory'!W168)</f>
        <v/>
      </c>
      <c r="N217" s="1187"/>
      <c r="O217" s="1187"/>
      <c r="P217" s="1187"/>
      <c r="Q217" s="1187"/>
      <c r="R217" s="468" t="str">
        <f>IF('Lighting Inventory'!AE168="", "", 'Lighting Inventory'!AE168)</f>
        <v/>
      </c>
      <c r="S217" s="95" t="str">
        <f>IF('Lighting Inventory'!AN168="", "", 'Lighting Inventory'!AN168)</f>
        <v/>
      </c>
      <c r="T217" s="1186"/>
      <c r="U217" s="1186"/>
      <c r="V217" s="1186"/>
      <c r="W217" s="1186"/>
      <c r="X217" s="1186"/>
      <c r="Y217" s="1186"/>
      <c r="Z217" s="1186"/>
    </row>
    <row r="218" spans="1:26" ht="11.25" customHeight="1" x14ac:dyDescent="0.25">
      <c r="A218" s="89">
        <v>159</v>
      </c>
      <c r="B218" s="469">
        <f>'Lighting Inventory'!I169</f>
        <v>0</v>
      </c>
      <c r="C218" s="1188" t="str">
        <f>IF('Lighting Inventory'!D169="", "", 'Lighting Inventory'!D169)</f>
        <v/>
      </c>
      <c r="D218" s="1188"/>
      <c r="E218" s="1188"/>
      <c r="F218" s="469" t="str">
        <f>IF('Lighting Inventory'!E169="", "", 'Lighting Inventory'!E169)</f>
        <v/>
      </c>
      <c r="G218" s="89" t="str">
        <f>IF('Lighting Inventory'!G169="", "", IF('Lighting Inventory'!G169="Air Conditioned", "Y", "N"))</f>
        <v/>
      </c>
      <c r="H218" s="90">
        <f>'Lighting Inventory'!H169</f>
        <v>0</v>
      </c>
      <c r="I218" s="469" t="str">
        <f>IF('Lighting Inventory'!J169="", "", 'Lighting Inventory'!J169)</f>
        <v/>
      </c>
      <c r="J218" s="91" t="str">
        <f>IF('Lighting Inventory'!K169="", "", 'Lighting Inventory'!K169)</f>
        <v/>
      </c>
      <c r="K218" s="1188" t="str">
        <f>IF('Lighting Inventory'!S169="", "", 'Lighting Inventory'!S169)</f>
        <v/>
      </c>
      <c r="L218" s="1188"/>
      <c r="M218" s="1189" t="str">
        <f>IF('Lighting Inventory'!E169="", "", 'Lighting Inventory'!W169)</f>
        <v/>
      </c>
      <c r="N218" s="1189"/>
      <c r="O218" s="1189"/>
      <c r="P218" s="1189"/>
      <c r="Q218" s="1189"/>
      <c r="R218" s="469" t="str">
        <f>IF('Lighting Inventory'!AE169="", "", 'Lighting Inventory'!AE169)</f>
        <v/>
      </c>
      <c r="S218" s="92" t="str">
        <f>IF('Lighting Inventory'!AN169="", "", 'Lighting Inventory'!AN169)</f>
        <v/>
      </c>
      <c r="T218" s="1188"/>
      <c r="U218" s="1188"/>
      <c r="V218" s="1188"/>
      <c r="W218" s="1188"/>
      <c r="X218" s="1188"/>
      <c r="Y218" s="1188"/>
      <c r="Z218" s="1188"/>
    </row>
    <row r="219" spans="1:26" ht="11.25" customHeight="1" x14ac:dyDescent="0.25">
      <c r="A219" s="93">
        <v>160</v>
      </c>
      <c r="B219" s="468">
        <f>'Lighting Inventory'!I170</f>
        <v>0</v>
      </c>
      <c r="C219" s="1186" t="str">
        <f>IF('Lighting Inventory'!D170="", "", 'Lighting Inventory'!D170)</f>
        <v/>
      </c>
      <c r="D219" s="1186"/>
      <c r="E219" s="1186"/>
      <c r="F219" s="468" t="str">
        <f>IF('Lighting Inventory'!E170="", "", 'Lighting Inventory'!E170)</f>
        <v/>
      </c>
      <c r="G219" s="93" t="str">
        <f>IF('Lighting Inventory'!G170="", "", IF('Lighting Inventory'!G170="Air Conditioned", "Y", "N"))</f>
        <v/>
      </c>
      <c r="H219" s="94">
        <f>'Lighting Inventory'!H170</f>
        <v>0</v>
      </c>
      <c r="I219" s="94" t="str">
        <f>IF('Lighting Inventory'!J170="", "", 'Lighting Inventory'!J170)</f>
        <v/>
      </c>
      <c r="J219" s="94" t="str">
        <f>IF('Lighting Inventory'!K170="", "", 'Lighting Inventory'!K170)</f>
        <v/>
      </c>
      <c r="K219" s="1186" t="str">
        <f>IF('Lighting Inventory'!S170="", "", 'Lighting Inventory'!S170)</f>
        <v/>
      </c>
      <c r="L219" s="1186"/>
      <c r="M219" s="1187" t="str">
        <f>IF('Lighting Inventory'!E170="", "", 'Lighting Inventory'!W170)</f>
        <v/>
      </c>
      <c r="N219" s="1187"/>
      <c r="O219" s="1187"/>
      <c r="P219" s="1187"/>
      <c r="Q219" s="1187"/>
      <c r="R219" s="468" t="str">
        <f>IF('Lighting Inventory'!AE170="", "", 'Lighting Inventory'!AE170)</f>
        <v/>
      </c>
      <c r="S219" s="95" t="str">
        <f>IF('Lighting Inventory'!AN170="", "", 'Lighting Inventory'!AN170)</f>
        <v/>
      </c>
      <c r="T219" s="1186"/>
      <c r="U219" s="1186"/>
      <c r="V219" s="1186"/>
      <c r="W219" s="1186"/>
      <c r="X219" s="1186"/>
      <c r="Y219" s="1186"/>
      <c r="Z219" s="1186"/>
    </row>
    <row r="220" spans="1:26" ht="15" customHeight="1" thickBot="1" x14ac:dyDescent="0.3">
      <c r="A220" s="1190" t="s">
        <v>4415</v>
      </c>
      <c r="B220" s="1190"/>
      <c r="C220" s="1190"/>
      <c r="D220" s="1191" t="str">
        <f>CONCATENATE('General Information'!$F$9, " ", 'General Information'!$F$10)</f>
        <v xml:space="preserve"> </v>
      </c>
      <c r="E220" s="1191"/>
      <c r="F220" s="1191"/>
      <c r="G220" s="1191"/>
      <c r="H220" s="1191"/>
      <c r="I220" s="1191"/>
      <c r="J220" s="1191"/>
      <c r="K220" s="1192" t="s">
        <v>4416</v>
      </c>
      <c r="L220" s="1193"/>
      <c r="M220" s="1193"/>
      <c r="N220" s="1191">
        <f>'General Information'!$F$14</f>
        <v>0</v>
      </c>
      <c r="O220" s="1191"/>
      <c r="P220" s="1191"/>
      <c r="Q220" s="1192" t="s">
        <v>4417</v>
      </c>
      <c r="R220" s="1193"/>
      <c r="S220" s="1194"/>
      <c r="T220" s="1195">
        <f>'General Information'!$F$11</f>
        <v>0</v>
      </c>
      <c r="U220" s="1196"/>
      <c r="V220" s="1196"/>
      <c r="W220" s="1196"/>
      <c r="X220" s="1196"/>
      <c r="Y220" s="1196"/>
      <c r="Z220" s="1197"/>
    </row>
    <row r="221" spans="1:26" ht="9.75" customHeight="1" x14ac:dyDescent="0.25">
      <c r="A221" s="1198" t="s">
        <v>4418</v>
      </c>
      <c r="B221" s="1200" t="s">
        <v>4419</v>
      </c>
      <c r="C221" s="1200"/>
      <c r="D221" s="1200"/>
      <c r="E221" s="1200"/>
      <c r="F221" s="1200"/>
      <c r="G221" s="1200"/>
      <c r="H221" s="1200"/>
      <c r="I221" s="1200"/>
      <c r="J221" s="1200"/>
      <c r="K221" s="1201" t="s">
        <v>4420</v>
      </c>
      <c r="L221" s="1202"/>
      <c r="M221" s="1202"/>
      <c r="N221" s="1202"/>
      <c r="O221" s="1202"/>
      <c r="P221" s="1202"/>
      <c r="Q221" s="1202"/>
      <c r="R221" s="1202"/>
      <c r="S221" s="1202"/>
      <c r="T221" s="1202"/>
      <c r="U221" s="1202"/>
      <c r="V221" s="1202"/>
      <c r="W221" s="1202"/>
      <c r="X221" s="1202"/>
      <c r="Y221" s="1202"/>
      <c r="Z221" s="1203"/>
    </row>
    <row r="222" spans="1:26" ht="43.5" customHeight="1" x14ac:dyDescent="0.25">
      <c r="A222" s="1199"/>
      <c r="B222" s="470" t="s">
        <v>4421</v>
      </c>
      <c r="C222" s="1204" t="s">
        <v>4422</v>
      </c>
      <c r="D222" s="1205"/>
      <c r="E222" s="1206"/>
      <c r="F222" s="333" t="s">
        <v>4423</v>
      </c>
      <c r="G222" s="333" t="s">
        <v>4424</v>
      </c>
      <c r="H222" s="334" t="s">
        <v>4425</v>
      </c>
      <c r="I222" s="333" t="s">
        <v>4426</v>
      </c>
      <c r="J222" s="333" t="s">
        <v>4427</v>
      </c>
      <c r="K222" s="1207" t="s">
        <v>4428</v>
      </c>
      <c r="L222" s="1207"/>
      <c r="M222" s="1207" t="s">
        <v>4429</v>
      </c>
      <c r="N222" s="1207"/>
      <c r="O222" s="1207"/>
      <c r="P222" s="1207"/>
      <c r="Q222" s="1207"/>
      <c r="R222" s="333" t="s">
        <v>4430</v>
      </c>
      <c r="S222" s="335" t="s">
        <v>4431</v>
      </c>
      <c r="T222" s="1208" t="s">
        <v>3403</v>
      </c>
      <c r="U222" s="1209"/>
      <c r="V222" s="1209"/>
      <c r="W222" s="1209"/>
      <c r="X222" s="1209"/>
      <c r="Y222" s="1209"/>
      <c r="Z222" s="1210"/>
    </row>
    <row r="223" spans="1:26" ht="11.25" customHeight="1" x14ac:dyDescent="0.25">
      <c r="A223" s="89">
        <v>161</v>
      </c>
      <c r="B223" s="469">
        <f>'Lighting Inventory'!I171</f>
        <v>0</v>
      </c>
      <c r="C223" s="1188" t="str">
        <f>IF('Lighting Inventory'!D171="", "", 'Lighting Inventory'!D171)</f>
        <v/>
      </c>
      <c r="D223" s="1188"/>
      <c r="E223" s="1188"/>
      <c r="F223" s="469" t="str">
        <f>IF('Lighting Inventory'!E171="", "", 'Lighting Inventory'!E171)</f>
        <v/>
      </c>
      <c r="G223" s="89" t="str">
        <f>IF('Lighting Inventory'!G171="", "", IF('Lighting Inventory'!G171="Air Conditioned", "Y", "N"))</f>
        <v/>
      </c>
      <c r="H223" s="90">
        <f>'Lighting Inventory'!H171</f>
        <v>0</v>
      </c>
      <c r="I223" s="469" t="str">
        <f>IF('Lighting Inventory'!J171="", "", 'Lighting Inventory'!J171)</f>
        <v/>
      </c>
      <c r="J223" s="91" t="str">
        <f>IF('Lighting Inventory'!K171="", "", 'Lighting Inventory'!K171)</f>
        <v/>
      </c>
      <c r="K223" s="1188" t="str">
        <f>IF('Lighting Inventory'!S171="", "", 'Lighting Inventory'!S171)</f>
        <v/>
      </c>
      <c r="L223" s="1188"/>
      <c r="M223" s="1189" t="str">
        <f>IF('Lighting Inventory'!E171="", "", 'Lighting Inventory'!W171)</f>
        <v/>
      </c>
      <c r="N223" s="1189"/>
      <c r="O223" s="1189"/>
      <c r="P223" s="1189"/>
      <c r="Q223" s="1189"/>
      <c r="R223" s="469" t="str">
        <f>IF('Lighting Inventory'!AE171="", "", 'Lighting Inventory'!AE171)</f>
        <v/>
      </c>
      <c r="S223" s="92" t="str">
        <f>IF('Lighting Inventory'!AN171="", "", 'Lighting Inventory'!AN171)</f>
        <v/>
      </c>
      <c r="T223" s="1188"/>
      <c r="U223" s="1188"/>
      <c r="V223" s="1188"/>
      <c r="W223" s="1188"/>
      <c r="X223" s="1188"/>
      <c r="Y223" s="1188"/>
      <c r="Z223" s="1188"/>
    </row>
    <row r="224" spans="1:26" ht="11.25" customHeight="1" x14ac:dyDescent="0.25">
      <c r="A224" s="93">
        <v>162</v>
      </c>
      <c r="B224" s="468">
        <f>'Lighting Inventory'!I172</f>
        <v>0</v>
      </c>
      <c r="C224" s="1186" t="str">
        <f>IF('Lighting Inventory'!D172="", "", 'Lighting Inventory'!D172)</f>
        <v/>
      </c>
      <c r="D224" s="1186"/>
      <c r="E224" s="1186"/>
      <c r="F224" s="468" t="str">
        <f>IF('Lighting Inventory'!E172="", "", 'Lighting Inventory'!E172)</f>
        <v/>
      </c>
      <c r="G224" s="93" t="str">
        <f>IF('Lighting Inventory'!G172="", "", IF('Lighting Inventory'!G172="Air Conditioned", "Y", "N"))</f>
        <v/>
      </c>
      <c r="H224" s="94">
        <f>'Lighting Inventory'!H172</f>
        <v>0</v>
      </c>
      <c r="I224" s="94" t="str">
        <f>IF('Lighting Inventory'!J172="", "", 'Lighting Inventory'!J172)</f>
        <v/>
      </c>
      <c r="J224" s="94" t="str">
        <f>IF('Lighting Inventory'!K172="", "", 'Lighting Inventory'!K172)</f>
        <v/>
      </c>
      <c r="K224" s="1186" t="str">
        <f>IF('Lighting Inventory'!S172="", "", 'Lighting Inventory'!S172)</f>
        <v/>
      </c>
      <c r="L224" s="1186"/>
      <c r="M224" s="1187" t="str">
        <f>IF('Lighting Inventory'!E172="", "", 'Lighting Inventory'!W172)</f>
        <v/>
      </c>
      <c r="N224" s="1187"/>
      <c r="O224" s="1187"/>
      <c r="P224" s="1187"/>
      <c r="Q224" s="1187"/>
      <c r="R224" s="468" t="str">
        <f>IF('Lighting Inventory'!AE172="", "", 'Lighting Inventory'!AE172)</f>
        <v/>
      </c>
      <c r="S224" s="95" t="str">
        <f>IF('Lighting Inventory'!AN172="", "", 'Lighting Inventory'!AN172)</f>
        <v/>
      </c>
      <c r="T224" s="1186"/>
      <c r="U224" s="1186"/>
      <c r="V224" s="1186"/>
      <c r="W224" s="1186"/>
      <c r="X224" s="1186"/>
      <c r="Y224" s="1186"/>
      <c r="Z224" s="1186"/>
    </row>
    <row r="225" spans="1:26" ht="11.25" customHeight="1" x14ac:dyDescent="0.25">
      <c r="A225" s="89">
        <v>163</v>
      </c>
      <c r="B225" s="469">
        <f>'Lighting Inventory'!I173</f>
        <v>0</v>
      </c>
      <c r="C225" s="1188" t="str">
        <f>IF('Lighting Inventory'!D173="", "", 'Lighting Inventory'!D173)</f>
        <v/>
      </c>
      <c r="D225" s="1188"/>
      <c r="E225" s="1188"/>
      <c r="F225" s="469" t="str">
        <f>IF('Lighting Inventory'!E173="", "", 'Lighting Inventory'!E173)</f>
        <v/>
      </c>
      <c r="G225" s="89" t="str">
        <f>IF('Lighting Inventory'!G173="", "", IF('Lighting Inventory'!G173="Air Conditioned", "Y", "N"))</f>
        <v/>
      </c>
      <c r="H225" s="90">
        <f>'Lighting Inventory'!H173</f>
        <v>0</v>
      </c>
      <c r="I225" s="469" t="str">
        <f>IF('Lighting Inventory'!J173="", "", 'Lighting Inventory'!J173)</f>
        <v/>
      </c>
      <c r="J225" s="91" t="str">
        <f>IF('Lighting Inventory'!K173="", "", 'Lighting Inventory'!K173)</f>
        <v/>
      </c>
      <c r="K225" s="1188" t="str">
        <f>IF('Lighting Inventory'!S173="", "", 'Lighting Inventory'!S173)</f>
        <v/>
      </c>
      <c r="L225" s="1188"/>
      <c r="M225" s="1189" t="str">
        <f>IF('Lighting Inventory'!E173="", "", 'Lighting Inventory'!W173)</f>
        <v/>
      </c>
      <c r="N225" s="1189"/>
      <c r="O225" s="1189"/>
      <c r="P225" s="1189"/>
      <c r="Q225" s="1189"/>
      <c r="R225" s="469" t="str">
        <f>IF('Lighting Inventory'!AE173="", "", 'Lighting Inventory'!AE173)</f>
        <v/>
      </c>
      <c r="S225" s="92" t="str">
        <f>IF('Lighting Inventory'!AN173="", "", 'Lighting Inventory'!AN173)</f>
        <v/>
      </c>
      <c r="T225" s="1188"/>
      <c r="U225" s="1188"/>
      <c r="V225" s="1188"/>
      <c r="W225" s="1188"/>
      <c r="X225" s="1188"/>
      <c r="Y225" s="1188"/>
      <c r="Z225" s="1188"/>
    </row>
    <row r="226" spans="1:26" ht="11.25" customHeight="1" x14ac:dyDescent="0.25">
      <c r="A226" s="93">
        <v>164</v>
      </c>
      <c r="B226" s="468">
        <f>'Lighting Inventory'!I174</f>
        <v>0</v>
      </c>
      <c r="C226" s="1186" t="str">
        <f>IF('Lighting Inventory'!D174="", "", 'Lighting Inventory'!D174)</f>
        <v/>
      </c>
      <c r="D226" s="1186"/>
      <c r="E226" s="1186"/>
      <c r="F226" s="468" t="str">
        <f>IF('Lighting Inventory'!E174="", "", 'Lighting Inventory'!E174)</f>
        <v/>
      </c>
      <c r="G226" s="93" t="str">
        <f>IF('Lighting Inventory'!G174="", "", IF('Lighting Inventory'!G174="Air Conditioned", "Y", "N"))</f>
        <v/>
      </c>
      <c r="H226" s="94">
        <f>'Lighting Inventory'!H174</f>
        <v>0</v>
      </c>
      <c r="I226" s="94" t="str">
        <f>IF('Lighting Inventory'!J174="", "", 'Lighting Inventory'!J174)</f>
        <v/>
      </c>
      <c r="J226" s="94" t="str">
        <f>IF('Lighting Inventory'!K174="", "", 'Lighting Inventory'!K174)</f>
        <v/>
      </c>
      <c r="K226" s="1186" t="str">
        <f>IF('Lighting Inventory'!S174="", "", 'Lighting Inventory'!S174)</f>
        <v/>
      </c>
      <c r="L226" s="1186"/>
      <c r="M226" s="1187" t="str">
        <f>IF('Lighting Inventory'!E174="", "", 'Lighting Inventory'!W174)</f>
        <v/>
      </c>
      <c r="N226" s="1187"/>
      <c r="O226" s="1187"/>
      <c r="P226" s="1187"/>
      <c r="Q226" s="1187"/>
      <c r="R226" s="468" t="str">
        <f>IF('Lighting Inventory'!AE174="", "", 'Lighting Inventory'!AE174)</f>
        <v/>
      </c>
      <c r="S226" s="95" t="str">
        <f>IF('Lighting Inventory'!AN174="", "", 'Lighting Inventory'!AN174)</f>
        <v/>
      </c>
      <c r="T226" s="1186"/>
      <c r="U226" s="1186"/>
      <c r="V226" s="1186"/>
      <c r="W226" s="1186"/>
      <c r="X226" s="1186"/>
      <c r="Y226" s="1186"/>
      <c r="Z226" s="1186"/>
    </row>
    <row r="227" spans="1:26" ht="11.25" customHeight="1" x14ac:dyDescent="0.25">
      <c r="A227" s="89">
        <v>165</v>
      </c>
      <c r="B227" s="469">
        <f>'Lighting Inventory'!I175</f>
        <v>0</v>
      </c>
      <c r="C227" s="1188" t="str">
        <f>IF('Lighting Inventory'!D175="", "", 'Lighting Inventory'!D175)</f>
        <v/>
      </c>
      <c r="D227" s="1188"/>
      <c r="E227" s="1188"/>
      <c r="F227" s="469" t="str">
        <f>IF('Lighting Inventory'!E175="", "", 'Lighting Inventory'!E175)</f>
        <v/>
      </c>
      <c r="G227" s="89" t="str">
        <f>IF('Lighting Inventory'!G175="", "", IF('Lighting Inventory'!G175="Air Conditioned", "Y", "N"))</f>
        <v/>
      </c>
      <c r="H227" s="90">
        <f>'Lighting Inventory'!H175</f>
        <v>0</v>
      </c>
      <c r="I227" s="469" t="str">
        <f>IF('Lighting Inventory'!J175="", "", 'Lighting Inventory'!J175)</f>
        <v/>
      </c>
      <c r="J227" s="91" t="str">
        <f>IF('Lighting Inventory'!K175="", "", 'Lighting Inventory'!K175)</f>
        <v/>
      </c>
      <c r="K227" s="1188" t="str">
        <f>IF('Lighting Inventory'!S175="", "", 'Lighting Inventory'!S175)</f>
        <v/>
      </c>
      <c r="L227" s="1188"/>
      <c r="M227" s="1189" t="str">
        <f>IF('Lighting Inventory'!E175="", "", 'Lighting Inventory'!W175)</f>
        <v/>
      </c>
      <c r="N227" s="1189"/>
      <c r="O227" s="1189"/>
      <c r="P227" s="1189"/>
      <c r="Q227" s="1189"/>
      <c r="R227" s="469" t="str">
        <f>IF('Lighting Inventory'!AE175="", "", 'Lighting Inventory'!AE175)</f>
        <v/>
      </c>
      <c r="S227" s="92" t="str">
        <f>IF('Lighting Inventory'!AN175="", "", 'Lighting Inventory'!AN175)</f>
        <v/>
      </c>
      <c r="T227" s="1188"/>
      <c r="U227" s="1188"/>
      <c r="V227" s="1188"/>
      <c r="W227" s="1188"/>
      <c r="X227" s="1188"/>
      <c r="Y227" s="1188"/>
      <c r="Z227" s="1188"/>
    </row>
    <row r="228" spans="1:26" ht="11.25" customHeight="1" x14ac:dyDescent="0.25">
      <c r="A228" s="93">
        <v>166</v>
      </c>
      <c r="B228" s="468">
        <f>'Lighting Inventory'!I176</f>
        <v>0</v>
      </c>
      <c r="C228" s="1186" t="str">
        <f>IF('Lighting Inventory'!D176="", "", 'Lighting Inventory'!D176)</f>
        <v/>
      </c>
      <c r="D228" s="1186"/>
      <c r="E228" s="1186"/>
      <c r="F228" s="468" t="str">
        <f>IF('Lighting Inventory'!E176="", "", 'Lighting Inventory'!E176)</f>
        <v/>
      </c>
      <c r="G228" s="93" t="str">
        <f>IF('Lighting Inventory'!G176="", "", IF('Lighting Inventory'!G176="Air Conditioned", "Y", "N"))</f>
        <v/>
      </c>
      <c r="H228" s="94">
        <f>'Lighting Inventory'!H176</f>
        <v>0</v>
      </c>
      <c r="I228" s="94" t="str">
        <f>IF('Lighting Inventory'!J176="", "", 'Lighting Inventory'!J176)</f>
        <v/>
      </c>
      <c r="J228" s="94" t="str">
        <f>IF('Lighting Inventory'!K176="", "", 'Lighting Inventory'!K176)</f>
        <v/>
      </c>
      <c r="K228" s="1186" t="str">
        <f>IF('Lighting Inventory'!S176="", "", 'Lighting Inventory'!S176)</f>
        <v/>
      </c>
      <c r="L228" s="1186"/>
      <c r="M228" s="1187" t="str">
        <f>IF('Lighting Inventory'!E176="", "", 'Lighting Inventory'!W176)</f>
        <v/>
      </c>
      <c r="N228" s="1187"/>
      <c r="O228" s="1187"/>
      <c r="P228" s="1187"/>
      <c r="Q228" s="1187"/>
      <c r="R228" s="468" t="str">
        <f>IF('Lighting Inventory'!AE176="", "", 'Lighting Inventory'!AE176)</f>
        <v/>
      </c>
      <c r="S228" s="95" t="str">
        <f>IF('Lighting Inventory'!AN176="", "", 'Lighting Inventory'!AN176)</f>
        <v/>
      </c>
      <c r="T228" s="1186"/>
      <c r="U228" s="1186"/>
      <c r="V228" s="1186"/>
      <c r="W228" s="1186"/>
      <c r="X228" s="1186"/>
      <c r="Y228" s="1186"/>
      <c r="Z228" s="1186"/>
    </row>
    <row r="229" spans="1:26" ht="11.25" customHeight="1" x14ac:dyDescent="0.25">
      <c r="A229" s="89">
        <v>167</v>
      </c>
      <c r="B229" s="469">
        <f>'Lighting Inventory'!I177</f>
        <v>0</v>
      </c>
      <c r="C229" s="1188" t="str">
        <f>IF('Lighting Inventory'!D177="", "", 'Lighting Inventory'!D177)</f>
        <v/>
      </c>
      <c r="D229" s="1188"/>
      <c r="E229" s="1188"/>
      <c r="F229" s="469" t="str">
        <f>IF('Lighting Inventory'!E177="", "", 'Lighting Inventory'!E177)</f>
        <v/>
      </c>
      <c r="G229" s="89" t="str">
        <f>IF('Lighting Inventory'!G177="", "", IF('Lighting Inventory'!G177="Air Conditioned", "Y", "N"))</f>
        <v/>
      </c>
      <c r="H229" s="90">
        <f>'Lighting Inventory'!H177</f>
        <v>0</v>
      </c>
      <c r="I229" s="469" t="str">
        <f>IF('Lighting Inventory'!J177="", "", 'Lighting Inventory'!J177)</f>
        <v/>
      </c>
      <c r="J229" s="91" t="str">
        <f>IF('Lighting Inventory'!K177="", "", 'Lighting Inventory'!K177)</f>
        <v/>
      </c>
      <c r="K229" s="1188" t="str">
        <f>IF('Lighting Inventory'!S177="", "", 'Lighting Inventory'!S177)</f>
        <v/>
      </c>
      <c r="L229" s="1188"/>
      <c r="M229" s="1189" t="str">
        <f>IF('Lighting Inventory'!E177="", "", 'Lighting Inventory'!W177)</f>
        <v/>
      </c>
      <c r="N229" s="1189"/>
      <c r="O229" s="1189"/>
      <c r="P229" s="1189"/>
      <c r="Q229" s="1189"/>
      <c r="R229" s="469" t="str">
        <f>IF('Lighting Inventory'!AE177="", "", 'Lighting Inventory'!AE177)</f>
        <v/>
      </c>
      <c r="S229" s="92" t="str">
        <f>IF('Lighting Inventory'!AN177="", "", 'Lighting Inventory'!AN177)</f>
        <v/>
      </c>
      <c r="T229" s="1188"/>
      <c r="U229" s="1188"/>
      <c r="V229" s="1188"/>
      <c r="W229" s="1188"/>
      <c r="X229" s="1188"/>
      <c r="Y229" s="1188"/>
      <c r="Z229" s="1188"/>
    </row>
    <row r="230" spans="1:26" ht="11.25" customHeight="1" x14ac:dyDescent="0.25">
      <c r="A230" s="93">
        <v>168</v>
      </c>
      <c r="B230" s="468">
        <f>'Lighting Inventory'!I178</f>
        <v>0</v>
      </c>
      <c r="C230" s="1186" t="str">
        <f>IF('Lighting Inventory'!D178="", "", 'Lighting Inventory'!D178)</f>
        <v/>
      </c>
      <c r="D230" s="1186"/>
      <c r="E230" s="1186"/>
      <c r="F230" s="468" t="str">
        <f>IF('Lighting Inventory'!E178="", "", 'Lighting Inventory'!E178)</f>
        <v/>
      </c>
      <c r="G230" s="93" t="str">
        <f>IF('Lighting Inventory'!G178="", "", IF('Lighting Inventory'!G178="Air Conditioned", "Y", "N"))</f>
        <v/>
      </c>
      <c r="H230" s="94">
        <f>'Lighting Inventory'!H178</f>
        <v>0</v>
      </c>
      <c r="I230" s="94" t="str">
        <f>IF('Lighting Inventory'!J178="", "", 'Lighting Inventory'!J178)</f>
        <v/>
      </c>
      <c r="J230" s="94" t="str">
        <f>IF('Lighting Inventory'!K178="", "", 'Lighting Inventory'!K178)</f>
        <v/>
      </c>
      <c r="K230" s="1186" t="str">
        <f>IF('Lighting Inventory'!S178="", "", 'Lighting Inventory'!S178)</f>
        <v/>
      </c>
      <c r="L230" s="1186"/>
      <c r="M230" s="1187" t="str">
        <f>IF('Lighting Inventory'!E178="", "", 'Lighting Inventory'!W178)</f>
        <v/>
      </c>
      <c r="N230" s="1187"/>
      <c r="O230" s="1187"/>
      <c r="P230" s="1187"/>
      <c r="Q230" s="1187"/>
      <c r="R230" s="468" t="str">
        <f>IF('Lighting Inventory'!AE178="", "", 'Lighting Inventory'!AE178)</f>
        <v/>
      </c>
      <c r="S230" s="95" t="str">
        <f>IF('Lighting Inventory'!AN178="", "", 'Lighting Inventory'!AN178)</f>
        <v/>
      </c>
      <c r="T230" s="1186"/>
      <c r="U230" s="1186"/>
      <c r="V230" s="1186"/>
      <c r="W230" s="1186"/>
      <c r="X230" s="1186"/>
      <c r="Y230" s="1186"/>
      <c r="Z230" s="1186"/>
    </row>
    <row r="231" spans="1:26" ht="11.25" customHeight="1" x14ac:dyDescent="0.25">
      <c r="A231" s="89">
        <v>169</v>
      </c>
      <c r="B231" s="469">
        <f>'Lighting Inventory'!I179</f>
        <v>0</v>
      </c>
      <c r="C231" s="1188" t="str">
        <f>IF('Lighting Inventory'!D179="", "", 'Lighting Inventory'!D179)</f>
        <v/>
      </c>
      <c r="D231" s="1188"/>
      <c r="E231" s="1188"/>
      <c r="F231" s="469" t="str">
        <f>IF('Lighting Inventory'!E179="", "", 'Lighting Inventory'!E179)</f>
        <v/>
      </c>
      <c r="G231" s="89" t="str">
        <f>IF('Lighting Inventory'!G179="", "", IF('Lighting Inventory'!G179="Air Conditioned", "Y", "N"))</f>
        <v/>
      </c>
      <c r="H231" s="90">
        <f>'Lighting Inventory'!H179</f>
        <v>0</v>
      </c>
      <c r="I231" s="469" t="str">
        <f>IF('Lighting Inventory'!J179="", "", 'Lighting Inventory'!J179)</f>
        <v/>
      </c>
      <c r="J231" s="91" t="str">
        <f>IF('Lighting Inventory'!K179="", "", 'Lighting Inventory'!K179)</f>
        <v/>
      </c>
      <c r="K231" s="1188" t="str">
        <f>IF('Lighting Inventory'!S179="", "", 'Lighting Inventory'!S179)</f>
        <v/>
      </c>
      <c r="L231" s="1188"/>
      <c r="M231" s="1189" t="str">
        <f>IF('Lighting Inventory'!E179="", "", 'Lighting Inventory'!W179)</f>
        <v/>
      </c>
      <c r="N231" s="1189"/>
      <c r="O231" s="1189"/>
      <c r="P231" s="1189"/>
      <c r="Q231" s="1189"/>
      <c r="R231" s="469" t="str">
        <f>IF('Lighting Inventory'!AE179="", "", 'Lighting Inventory'!AE179)</f>
        <v/>
      </c>
      <c r="S231" s="92" t="str">
        <f>IF('Lighting Inventory'!AN179="", "", 'Lighting Inventory'!AN179)</f>
        <v/>
      </c>
      <c r="T231" s="1188"/>
      <c r="U231" s="1188"/>
      <c r="V231" s="1188"/>
      <c r="W231" s="1188"/>
      <c r="X231" s="1188"/>
      <c r="Y231" s="1188"/>
      <c r="Z231" s="1188"/>
    </row>
    <row r="232" spans="1:26" ht="11.25" customHeight="1" x14ac:dyDescent="0.25">
      <c r="A232" s="93">
        <v>170</v>
      </c>
      <c r="B232" s="468">
        <f>'Lighting Inventory'!I180</f>
        <v>0</v>
      </c>
      <c r="C232" s="1186" t="str">
        <f>IF('Lighting Inventory'!D180="", "", 'Lighting Inventory'!D180)</f>
        <v/>
      </c>
      <c r="D232" s="1186"/>
      <c r="E232" s="1186"/>
      <c r="F232" s="468" t="str">
        <f>IF('Lighting Inventory'!E180="", "", 'Lighting Inventory'!E180)</f>
        <v/>
      </c>
      <c r="G232" s="93" t="str">
        <f>IF('Lighting Inventory'!G180="", "", IF('Lighting Inventory'!G180="Air Conditioned", "Y", "N"))</f>
        <v/>
      </c>
      <c r="H232" s="94">
        <f>'Lighting Inventory'!H180</f>
        <v>0</v>
      </c>
      <c r="I232" s="94" t="str">
        <f>IF('Lighting Inventory'!J180="", "", 'Lighting Inventory'!J180)</f>
        <v/>
      </c>
      <c r="J232" s="94" t="str">
        <f>IF('Lighting Inventory'!K180="", "", 'Lighting Inventory'!K180)</f>
        <v/>
      </c>
      <c r="K232" s="1186" t="str">
        <f>IF('Lighting Inventory'!S180="", "", 'Lighting Inventory'!S180)</f>
        <v/>
      </c>
      <c r="L232" s="1186"/>
      <c r="M232" s="1187" t="str">
        <f>IF('Lighting Inventory'!E180="", "", 'Lighting Inventory'!W180)</f>
        <v/>
      </c>
      <c r="N232" s="1187"/>
      <c r="O232" s="1187"/>
      <c r="P232" s="1187"/>
      <c r="Q232" s="1187"/>
      <c r="R232" s="468" t="str">
        <f>IF('Lighting Inventory'!AE180="", "", 'Lighting Inventory'!AE180)</f>
        <v/>
      </c>
      <c r="S232" s="95" t="str">
        <f>IF('Lighting Inventory'!AN180="", "", 'Lighting Inventory'!AN180)</f>
        <v/>
      </c>
      <c r="T232" s="1186"/>
      <c r="U232" s="1186"/>
      <c r="V232" s="1186"/>
      <c r="W232" s="1186"/>
      <c r="X232" s="1186"/>
      <c r="Y232" s="1186"/>
      <c r="Z232" s="1186"/>
    </row>
    <row r="233" spans="1:26" ht="11.25" customHeight="1" x14ac:dyDescent="0.25">
      <c r="A233" s="89">
        <v>171</v>
      </c>
      <c r="B233" s="469">
        <f>'Lighting Inventory'!I181</f>
        <v>0</v>
      </c>
      <c r="C233" s="1188" t="str">
        <f>IF('Lighting Inventory'!D181="", "", 'Lighting Inventory'!D181)</f>
        <v/>
      </c>
      <c r="D233" s="1188"/>
      <c r="E233" s="1188"/>
      <c r="F233" s="469" t="str">
        <f>IF('Lighting Inventory'!E181="", "", 'Lighting Inventory'!E181)</f>
        <v/>
      </c>
      <c r="G233" s="89" t="str">
        <f>IF('Lighting Inventory'!G181="", "", IF('Lighting Inventory'!G181="Air Conditioned", "Y", "N"))</f>
        <v/>
      </c>
      <c r="H233" s="90">
        <f>'Lighting Inventory'!H181</f>
        <v>0</v>
      </c>
      <c r="I233" s="469" t="str">
        <f>IF('Lighting Inventory'!J181="", "", 'Lighting Inventory'!J181)</f>
        <v/>
      </c>
      <c r="J233" s="91" t="str">
        <f>IF('Lighting Inventory'!K181="", "", 'Lighting Inventory'!K181)</f>
        <v/>
      </c>
      <c r="K233" s="1188" t="str">
        <f>IF('Lighting Inventory'!S181="", "", 'Lighting Inventory'!S181)</f>
        <v/>
      </c>
      <c r="L233" s="1188"/>
      <c r="M233" s="1189" t="str">
        <f>IF('Lighting Inventory'!E181="", "", 'Lighting Inventory'!W181)</f>
        <v/>
      </c>
      <c r="N233" s="1189"/>
      <c r="O233" s="1189"/>
      <c r="P233" s="1189"/>
      <c r="Q233" s="1189"/>
      <c r="R233" s="469" t="str">
        <f>IF('Lighting Inventory'!AE181="", "", 'Lighting Inventory'!AE181)</f>
        <v/>
      </c>
      <c r="S233" s="92" t="str">
        <f>IF('Lighting Inventory'!AN181="", "", 'Lighting Inventory'!AN181)</f>
        <v/>
      </c>
      <c r="T233" s="1188"/>
      <c r="U233" s="1188"/>
      <c r="V233" s="1188"/>
      <c r="W233" s="1188"/>
      <c r="X233" s="1188"/>
      <c r="Y233" s="1188"/>
      <c r="Z233" s="1188"/>
    </row>
    <row r="234" spans="1:26" ht="11.25" customHeight="1" x14ac:dyDescent="0.25">
      <c r="A234" s="93">
        <v>172</v>
      </c>
      <c r="B234" s="468">
        <f>'Lighting Inventory'!I182</f>
        <v>0</v>
      </c>
      <c r="C234" s="1186" t="str">
        <f>IF('Lighting Inventory'!D182="", "", 'Lighting Inventory'!D182)</f>
        <v/>
      </c>
      <c r="D234" s="1186"/>
      <c r="E234" s="1186"/>
      <c r="F234" s="468" t="str">
        <f>IF('Lighting Inventory'!E182="", "", 'Lighting Inventory'!E182)</f>
        <v/>
      </c>
      <c r="G234" s="93" t="str">
        <f>IF('Lighting Inventory'!G182="", "", IF('Lighting Inventory'!G182="Air Conditioned", "Y", "N"))</f>
        <v/>
      </c>
      <c r="H234" s="94">
        <f>'Lighting Inventory'!H182</f>
        <v>0</v>
      </c>
      <c r="I234" s="94" t="str">
        <f>IF('Lighting Inventory'!J182="", "", 'Lighting Inventory'!J182)</f>
        <v/>
      </c>
      <c r="J234" s="94" t="str">
        <f>IF('Lighting Inventory'!K182="", "", 'Lighting Inventory'!K182)</f>
        <v/>
      </c>
      <c r="K234" s="1186" t="str">
        <f>IF('Lighting Inventory'!S182="", "", 'Lighting Inventory'!S182)</f>
        <v/>
      </c>
      <c r="L234" s="1186"/>
      <c r="M234" s="1187" t="str">
        <f>IF('Lighting Inventory'!E182="", "", 'Lighting Inventory'!W182)</f>
        <v/>
      </c>
      <c r="N234" s="1187"/>
      <c r="O234" s="1187"/>
      <c r="P234" s="1187"/>
      <c r="Q234" s="1187"/>
      <c r="R234" s="468" t="str">
        <f>IF('Lighting Inventory'!AE182="", "", 'Lighting Inventory'!AE182)</f>
        <v/>
      </c>
      <c r="S234" s="95" t="str">
        <f>IF('Lighting Inventory'!AN182="", "", 'Lighting Inventory'!AN182)</f>
        <v/>
      </c>
      <c r="T234" s="1186"/>
      <c r="U234" s="1186"/>
      <c r="V234" s="1186"/>
      <c r="W234" s="1186"/>
      <c r="X234" s="1186"/>
      <c r="Y234" s="1186"/>
      <c r="Z234" s="1186"/>
    </row>
    <row r="235" spans="1:26" ht="11.25" customHeight="1" x14ac:dyDescent="0.25">
      <c r="A235" s="89">
        <v>173</v>
      </c>
      <c r="B235" s="469">
        <f>'Lighting Inventory'!I183</f>
        <v>0</v>
      </c>
      <c r="C235" s="1188" t="str">
        <f>IF('Lighting Inventory'!D183="", "", 'Lighting Inventory'!D183)</f>
        <v/>
      </c>
      <c r="D235" s="1188"/>
      <c r="E235" s="1188"/>
      <c r="F235" s="469" t="str">
        <f>IF('Lighting Inventory'!E183="", "", 'Lighting Inventory'!E183)</f>
        <v/>
      </c>
      <c r="G235" s="89" t="str">
        <f>IF('Lighting Inventory'!G183="", "", IF('Lighting Inventory'!G183="Air Conditioned", "Y", "N"))</f>
        <v/>
      </c>
      <c r="H235" s="90">
        <f>'Lighting Inventory'!H183</f>
        <v>0</v>
      </c>
      <c r="I235" s="469" t="str">
        <f>IF('Lighting Inventory'!J183="", "", 'Lighting Inventory'!J183)</f>
        <v/>
      </c>
      <c r="J235" s="91" t="str">
        <f>IF('Lighting Inventory'!K183="", "", 'Lighting Inventory'!K183)</f>
        <v/>
      </c>
      <c r="K235" s="1188" t="str">
        <f>IF('Lighting Inventory'!S183="", "", 'Lighting Inventory'!S183)</f>
        <v/>
      </c>
      <c r="L235" s="1188"/>
      <c r="M235" s="1189" t="str">
        <f>IF('Lighting Inventory'!E183="", "", 'Lighting Inventory'!W183)</f>
        <v/>
      </c>
      <c r="N235" s="1189"/>
      <c r="O235" s="1189"/>
      <c r="P235" s="1189"/>
      <c r="Q235" s="1189"/>
      <c r="R235" s="469" t="str">
        <f>IF('Lighting Inventory'!AE183="", "", 'Lighting Inventory'!AE183)</f>
        <v/>
      </c>
      <c r="S235" s="92" t="str">
        <f>IF('Lighting Inventory'!AN183="", "", 'Lighting Inventory'!AN183)</f>
        <v/>
      </c>
      <c r="T235" s="1188"/>
      <c r="U235" s="1188"/>
      <c r="V235" s="1188"/>
      <c r="W235" s="1188"/>
      <c r="X235" s="1188"/>
      <c r="Y235" s="1188"/>
      <c r="Z235" s="1188"/>
    </row>
    <row r="236" spans="1:26" ht="11.25" customHeight="1" x14ac:dyDescent="0.25">
      <c r="A236" s="93">
        <v>174</v>
      </c>
      <c r="B236" s="468">
        <f>'Lighting Inventory'!I184</f>
        <v>0</v>
      </c>
      <c r="C236" s="1186" t="str">
        <f>IF('Lighting Inventory'!D184="", "", 'Lighting Inventory'!D184)</f>
        <v/>
      </c>
      <c r="D236" s="1186"/>
      <c r="E236" s="1186"/>
      <c r="F236" s="468" t="str">
        <f>IF('Lighting Inventory'!E184="", "", 'Lighting Inventory'!E184)</f>
        <v/>
      </c>
      <c r="G236" s="93" t="str">
        <f>IF('Lighting Inventory'!G184="", "", IF('Lighting Inventory'!G184="Air Conditioned", "Y", "N"))</f>
        <v/>
      </c>
      <c r="H236" s="94">
        <f>'Lighting Inventory'!H184</f>
        <v>0</v>
      </c>
      <c r="I236" s="94" t="str">
        <f>IF('Lighting Inventory'!J184="", "", 'Lighting Inventory'!J184)</f>
        <v/>
      </c>
      <c r="J236" s="94" t="str">
        <f>IF('Lighting Inventory'!K184="", "", 'Lighting Inventory'!K184)</f>
        <v/>
      </c>
      <c r="K236" s="1186" t="str">
        <f>IF('Lighting Inventory'!S184="", "", 'Lighting Inventory'!S184)</f>
        <v/>
      </c>
      <c r="L236" s="1186"/>
      <c r="M236" s="1187" t="str">
        <f>IF('Lighting Inventory'!E184="", "", 'Lighting Inventory'!W184)</f>
        <v/>
      </c>
      <c r="N236" s="1187"/>
      <c r="O236" s="1187"/>
      <c r="P236" s="1187"/>
      <c r="Q236" s="1187"/>
      <c r="R236" s="468" t="str">
        <f>IF('Lighting Inventory'!AE184="", "", 'Lighting Inventory'!AE184)</f>
        <v/>
      </c>
      <c r="S236" s="95" t="str">
        <f>IF('Lighting Inventory'!AN184="", "", 'Lighting Inventory'!AN184)</f>
        <v/>
      </c>
      <c r="T236" s="1186"/>
      <c r="U236" s="1186"/>
      <c r="V236" s="1186"/>
      <c r="W236" s="1186"/>
      <c r="X236" s="1186"/>
      <c r="Y236" s="1186"/>
      <c r="Z236" s="1186"/>
    </row>
    <row r="237" spans="1:26" ht="11.25" customHeight="1" x14ac:dyDescent="0.25">
      <c r="A237" s="89">
        <v>175</v>
      </c>
      <c r="B237" s="469">
        <f>'Lighting Inventory'!I185</f>
        <v>0</v>
      </c>
      <c r="C237" s="1188" t="str">
        <f>IF('Lighting Inventory'!D185="", "", 'Lighting Inventory'!D185)</f>
        <v/>
      </c>
      <c r="D237" s="1188"/>
      <c r="E237" s="1188"/>
      <c r="F237" s="469" t="str">
        <f>IF('Lighting Inventory'!E185="", "", 'Lighting Inventory'!E185)</f>
        <v/>
      </c>
      <c r="G237" s="89" t="str">
        <f>IF('Lighting Inventory'!G185="", "", IF('Lighting Inventory'!G185="Air Conditioned", "Y", "N"))</f>
        <v/>
      </c>
      <c r="H237" s="90">
        <f>'Lighting Inventory'!H185</f>
        <v>0</v>
      </c>
      <c r="I237" s="469" t="str">
        <f>IF('Lighting Inventory'!J185="", "", 'Lighting Inventory'!J185)</f>
        <v/>
      </c>
      <c r="J237" s="91" t="str">
        <f>IF('Lighting Inventory'!K185="", "", 'Lighting Inventory'!K185)</f>
        <v/>
      </c>
      <c r="K237" s="1188" t="str">
        <f>IF('Lighting Inventory'!S185="", "", 'Lighting Inventory'!S185)</f>
        <v/>
      </c>
      <c r="L237" s="1188"/>
      <c r="M237" s="1189" t="str">
        <f>IF('Lighting Inventory'!E185="", "", 'Lighting Inventory'!W185)</f>
        <v/>
      </c>
      <c r="N237" s="1189"/>
      <c r="O237" s="1189"/>
      <c r="P237" s="1189"/>
      <c r="Q237" s="1189"/>
      <c r="R237" s="469" t="str">
        <f>IF('Lighting Inventory'!AE185="", "", 'Lighting Inventory'!AE185)</f>
        <v/>
      </c>
      <c r="S237" s="92" t="str">
        <f>IF('Lighting Inventory'!AN185="", "", 'Lighting Inventory'!AN185)</f>
        <v/>
      </c>
      <c r="T237" s="1188"/>
      <c r="U237" s="1188"/>
      <c r="V237" s="1188"/>
      <c r="W237" s="1188"/>
      <c r="X237" s="1188"/>
      <c r="Y237" s="1188"/>
      <c r="Z237" s="1188"/>
    </row>
    <row r="238" spans="1:26" ht="11.25" customHeight="1" x14ac:dyDescent="0.25">
      <c r="A238" s="93">
        <v>176</v>
      </c>
      <c r="B238" s="468">
        <f>'Lighting Inventory'!I186</f>
        <v>0</v>
      </c>
      <c r="C238" s="1186" t="str">
        <f>IF('Lighting Inventory'!D186="", "", 'Lighting Inventory'!D186)</f>
        <v/>
      </c>
      <c r="D238" s="1186"/>
      <c r="E238" s="1186"/>
      <c r="F238" s="468" t="str">
        <f>IF('Lighting Inventory'!E186="", "", 'Lighting Inventory'!E186)</f>
        <v/>
      </c>
      <c r="G238" s="93" t="str">
        <f>IF('Lighting Inventory'!G186="", "", IF('Lighting Inventory'!G186="Air Conditioned", "Y", "N"))</f>
        <v/>
      </c>
      <c r="H238" s="94">
        <f>'Lighting Inventory'!H186</f>
        <v>0</v>
      </c>
      <c r="I238" s="94" t="str">
        <f>IF('Lighting Inventory'!J186="", "", 'Lighting Inventory'!J186)</f>
        <v/>
      </c>
      <c r="J238" s="94" t="str">
        <f>IF('Lighting Inventory'!K186="", "", 'Lighting Inventory'!K186)</f>
        <v/>
      </c>
      <c r="K238" s="1186" t="str">
        <f>IF('Lighting Inventory'!S186="", "", 'Lighting Inventory'!S186)</f>
        <v/>
      </c>
      <c r="L238" s="1186"/>
      <c r="M238" s="1187" t="str">
        <f>IF('Lighting Inventory'!E186="", "", 'Lighting Inventory'!W186)</f>
        <v/>
      </c>
      <c r="N238" s="1187"/>
      <c r="O238" s="1187"/>
      <c r="P238" s="1187"/>
      <c r="Q238" s="1187"/>
      <c r="R238" s="468" t="str">
        <f>IF('Lighting Inventory'!AE186="", "", 'Lighting Inventory'!AE186)</f>
        <v/>
      </c>
      <c r="S238" s="95" t="str">
        <f>IF('Lighting Inventory'!AN186="", "", 'Lighting Inventory'!AN186)</f>
        <v/>
      </c>
      <c r="T238" s="1186"/>
      <c r="U238" s="1186"/>
      <c r="V238" s="1186"/>
      <c r="W238" s="1186"/>
      <c r="X238" s="1186"/>
      <c r="Y238" s="1186"/>
      <c r="Z238" s="1186"/>
    </row>
    <row r="239" spans="1:26" ht="11.25" customHeight="1" x14ac:dyDescent="0.25">
      <c r="A239" s="89">
        <v>177</v>
      </c>
      <c r="B239" s="469">
        <f>'Lighting Inventory'!I187</f>
        <v>0</v>
      </c>
      <c r="C239" s="1188" t="str">
        <f>IF('Lighting Inventory'!D187="", "", 'Lighting Inventory'!D187)</f>
        <v/>
      </c>
      <c r="D239" s="1188"/>
      <c r="E239" s="1188"/>
      <c r="F239" s="469" t="str">
        <f>IF('Lighting Inventory'!E187="", "", 'Lighting Inventory'!E187)</f>
        <v/>
      </c>
      <c r="G239" s="89" t="str">
        <f>IF('Lighting Inventory'!G187="", "", IF('Lighting Inventory'!G187="Air Conditioned", "Y", "N"))</f>
        <v/>
      </c>
      <c r="H239" s="90">
        <f>'Lighting Inventory'!H187</f>
        <v>0</v>
      </c>
      <c r="I239" s="469" t="str">
        <f>IF('Lighting Inventory'!J187="", "", 'Lighting Inventory'!J187)</f>
        <v/>
      </c>
      <c r="J239" s="91" t="str">
        <f>IF('Lighting Inventory'!K187="", "", 'Lighting Inventory'!K187)</f>
        <v/>
      </c>
      <c r="K239" s="1188" t="str">
        <f>IF('Lighting Inventory'!S187="", "", 'Lighting Inventory'!S187)</f>
        <v/>
      </c>
      <c r="L239" s="1188"/>
      <c r="M239" s="1189" t="str">
        <f>IF('Lighting Inventory'!E187="", "", 'Lighting Inventory'!W187)</f>
        <v/>
      </c>
      <c r="N239" s="1189"/>
      <c r="O239" s="1189"/>
      <c r="P239" s="1189"/>
      <c r="Q239" s="1189"/>
      <c r="R239" s="469" t="str">
        <f>IF('Lighting Inventory'!AE187="", "", 'Lighting Inventory'!AE187)</f>
        <v/>
      </c>
      <c r="S239" s="92" t="str">
        <f>IF('Lighting Inventory'!AN187="", "", 'Lighting Inventory'!AN187)</f>
        <v/>
      </c>
      <c r="T239" s="1188"/>
      <c r="U239" s="1188"/>
      <c r="V239" s="1188"/>
      <c r="W239" s="1188"/>
      <c r="X239" s="1188"/>
      <c r="Y239" s="1188"/>
      <c r="Z239" s="1188"/>
    </row>
    <row r="240" spans="1:26" ht="11.25" customHeight="1" x14ac:dyDescent="0.25">
      <c r="A240" s="93">
        <v>178</v>
      </c>
      <c r="B240" s="468">
        <f>'Lighting Inventory'!I188</f>
        <v>0</v>
      </c>
      <c r="C240" s="1186" t="str">
        <f>IF('Lighting Inventory'!D188="", "", 'Lighting Inventory'!D188)</f>
        <v/>
      </c>
      <c r="D240" s="1186"/>
      <c r="E240" s="1186"/>
      <c r="F240" s="468" t="str">
        <f>IF('Lighting Inventory'!E188="", "", 'Lighting Inventory'!E188)</f>
        <v/>
      </c>
      <c r="G240" s="93" t="str">
        <f>IF('Lighting Inventory'!G188="", "", IF('Lighting Inventory'!G188="Air Conditioned", "Y", "N"))</f>
        <v/>
      </c>
      <c r="H240" s="94">
        <f>'Lighting Inventory'!H188</f>
        <v>0</v>
      </c>
      <c r="I240" s="94" t="str">
        <f>IF('Lighting Inventory'!J188="", "", 'Lighting Inventory'!J188)</f>
        <v/>
      </c>
      <c r="J240" s="94" t="str">
        <f>IF('Lighting Inventory'!K188="", "", 'Lighting Inventory'!K188)</f>
        <v/>
      </c>
      <c r="K240" s="1186" t="str">
        <f>IF('Lighting Inventory'!S188="", "", 'Lighting Inventory'!S188)</f>
        <v/>
      </c>
      <c r="L240" s="1186"/>
      <c r="M240" s="1187" t="str">
        <f>IF('Lighting Inventory'!E188="", "", 'Lighting Inventory'!W188)</f>
        <v/>
      </c>
      <c r="N240" s="1187"/>
      <c r="O240" s="1187"/>
      <c r="P240" s="1187"/>
      <c r="Q240" s="1187"/>
      <c r="R240" s="468" t="str">
        <f>IF('Lighting Inventory'!AE188="", "", 'Lighting Inventory'!AE188)</f>
        <v/>
      </c>
      <c r="S240" s="95" t="str">
        <f>IF('Lighting Inventory'!AN188="", "", 'Lighting Inventory'!AN188)</f>
        <v/>
      </c>
      <c r="T240" s="1186"/>
      <c r="U240" s="1186"/>
      <c r="V240" s="1186"/>
      <c r="W240" s="1186"/>
      <c r="X240" s="1186"/>
      <c r="Y240" s="1186"/>
      <c r="Z240" s="1186"/>
    </row>
    <row r="241" spans="1:26" ht="11.25" customHeight="1" x14ac:dyDescent="0.25">
      <c r="A241" s="89">
        <v>179</v>
      </c>
      <c r="B241" s="469">
        <f>'Lighting Inventory'!I189</f>
        <v>0</v>
      </c>
      <c r="C241" s="1188" t="str">
        <f>IF('Lighting Inventory'!D189="", "", 'Lighting Inventory'!D189)</f>
        <v/>
      </c>
      <c r="D241" s="1188"/>
      <c r="E241" s="1188"/>
      <c r="F241" s="469" t="str">
        <f>IF('Lighting Inventory'!E189="", "", 'Lighting Inventory'!E189)</f>
        <v/>
      </c>
      <c r="G241" s="89" t="str">
        <f>IF('Lighting Inventory'!G189="", "", IF('Lighting Inventory'!G189="Air Conditioned", "Y", "N"))</f>
        <v/>
      </c>
      <c r="H241" s="90">
        <f>'Lighting Inventory'!H189</f>
        <v>0</v>
      </c>
      <c r="I241" s="469" t="str">
        <f>IF('Lighting Inventory'!J189="", "", 'Lighting Inventory'!J189)</f>
        <v/>
      </c>
      <c r="J241" s="91" t="str">
        <f>IF('Lighting Inventory'!K189="", "", 'Lighting Inventory'!K189)</f>
        <v/>
      </c>
      <c r="K241" s="1188" t="str">
        <f>IF('Lighting Inventory'!S189="", "", 'Lighting Inventory'!S189)</f>
        <v/>
      </c>
      <c r="L241" s="1188"/>
      <c r="M241" s="1189" t="str">
        <f>IF('Lighting Inventory'!E189="", "", 'Lighting Inventory'!W189)</f>
        <v/>
      </c>
      <c r="N241" s="1189"/>
      <c r="O241" s="1189"/>
      <c r="P241" s="1189"/>
      <c r="Q241" s="1189"/>
      <c r="R241" s="469" t="str">
        <f>IF('Lighting Inventory'!AE189="", "", 'Lighting Inventory'!AE189)</f>
        <v/>
      </c>
      <c r="S241" s="92" t="str">
        <f>IF('Lighting Inventory'!AN189="", "", 'Lighting Inventory'!AN189)</f>
        <v/>
      </c>
      <c r="T241" s="1188"/>
      <c r="U241" s="1188"/>
      <c r="V241" s="1188"/>
      <c r="W241" s="1188"/>
      <c r="X241" s="1188"/>
      <c r="Y241" s="1188"/>
      <c r="Z241" s="1188"/>
    </row>
    <row r="242" spans="1:26" ht="11.25" customHeight="1" x14ac:dyDescent="0.25">
      <c r="A242" s="93">
        <v>180</v>
      </c>
      <c r="B242" s="468">
        <f>'Lighting Inventory'!I190</f>
        <v>0</v>
      </c>
      <c r="C242" s="1186" t="str">
        <f>IF('Lighting Inventory'!D190="", "", 'Lighting Inventory'!D190)</f>
        <v/>
      </c>
      <c r="D242" s="1186"/>
      <c r="E242" s="1186"/>
      <c r="F242" s="468" t="str">
        <f>IF('Lighting Inventory'!E190="", "", 'Lighting Inventory'!E190)</f>
        <v/>
      </c>
      <c r="G242" s="93" t="str">
        <f>IF('Lighting Inventory'!G190="", "", IF('Lighting Inventory'!G190="Air Conditioned", "Y", "N"))</f>
        <v/>
      </c>
      <c r="H242" s="94">
        <f>'Lighting Inventory'!H190</f>
        <v>0</v>
      </c>
      <c r="I242" s="94" t="str">
        <f>IF('Lighting Inventory'!J190="", "", 'Lighting Inventory'!J190)</f>
        <v/>
      </c>
      <c r="J242" s="94" t="str">
        <f>IF('Lighting Inventory'!K190="", "", 'Lighting Inventory'!K190)</f>
        <v/>
      </c>
      <c r="K242" s="1186" t="str">
        <f>IF('Lighting Inventory'!S190="", "", 'Lighting Inventory'!S190)</f>
        <v/>
      </c>
      <c r="L242" s="1186"/>
      <c r="M242" s="1187" t="str">
        <f>IF('Lighting Inventory'!E190="", "", 'Lighting Inventory'!W190)</f>
        <v/>
      </c>
      <c r="N242" s="1187"/>
      <c r="O242" s="1187"/>
      <c r="P242" s="1187"/>
      <c r="Q242" s="1187"/>
      <c r="R242" s="468" t="str">
        <f>IF('Lighting Inventory'!AE190="", "", 'Lighting Inventory'!AE190)</f>
        <v/>
      </c>
      <c r="S242" s="95" t="str">
        <f>IF('Lighting Inventory'!AN190="", "", 'Lighting Inventory'!AN190)</f>
        <v/>
      </c>
      <c r="T242" s="1186"/>
      <c r="U242" s="1186"/>
      <c r="V242" s="1186"/>
      <c r="W242" s="1186"/>
      <c r="X242" s="1186"/>
      <c r="Y242" s="1186"/>
      <c r="Z242" s="1186"/>
    </row>
    <row r="243" spans="1:26" ht="11.25" customHeight="1" x14ac:dyDescent="0.25">
      <c r="A243" s="89">
        <v>181</v>
      </c>
      <c r="B243" s="469">
        <f>'Lighting Inventory'!I191</f>
        <v>0</v>
      </c>
      <c r="C243" s="1188" t="str">
        <f>IF('Lighting Inventory'!D191="", "", 'Lighting Inventory'!D191)</f>
        <v/>
      </c>
      <c r="D243" s="1188"/>
      <c r="E243" s="1188"/>
      <c r="F243" s="469" t="str">
        <f>IF('Lighting Inventory'!E191="", "", 'Lighting Inventory'!E191)</f>
        <v/>
      </c>
      <c r="G243" s="89" t="str">
        <f>IF('Lighting Inventory'!G191="", "", IF('Lighting Inventory'!G191="Air Conditioned", "Y", "N"))</f>
        <v/>
      </c>
      <c r="H243" s="90">
        <f>'Lighting Inventory'!H191</f>
        <v>0</v>
      </c>
      <c r="I243" s="469" t="str">
        <f>IF('Lighting Inventory'!J191="", "", 'Lighting Inventory'!J191)</f>
        <v/>
      </c>
      <c r="J243" s="91" t="str">
        <f>IF('Lighting Inventory'!K191="", "", 'Lighting Inventory'!K191)</f>
        <v/>
      </c>
      <c r="K243" s="1188" t="str">
        <f>IF('Lighting Inventory'!S191="", "", 'Lighting Inventory'!S191)</f>
        <v/>
      </c>
      <c r="L243" s="1188"/>
      <c r="M243" s="1189" t="str">
        <f>IF('Lighting Inventory'!E191="", "", 'Lighting Inventory'!W191)</f>
        <v/>
      </c>
      <c r="N243" s="1189"/>
      <c r="O243" s="1189"/>
      <c r="P243" s="1189"/>
      <c r="Q243" s="1189"/>
      <c r="R243" s="469" t="str">
        <f>IF('Lighting Inventory'!AE191="", "", 'Lighting Inventory'!AE191)</f>
        <v/>
      </c>
      <c r="S243" s="92" t="str">
        <f>IF('Lighting Inventory'!AN191="", "", 'Lighting Inventory'!AN191)</f>
        <v/>
      </c>
      <c r="T243" s="1188"/>
      <c r="U243" s="1188"/>
      <c r="V243" s="1188"/>
      <c r="W243" s="1188"/>
      <c r="X243" s="1188"/>
      <c r="Y243" s="1188"/>
      <c r="Z243" s="1188"/>
    </row>
    <row r="244" spans="1:26" ht="11.25" customHeight="1" x14ac:dyDescent="0.25">
      <c r="A244" s="93">
        <v>182</v>
      </c>
      <c r="B244" s="468">
        <f>'Lighting Inventory'!I192</f>
        <v>0</v>
      </c>
      <c r="C244" s="1186" t="str">
        <f>IF('Lighting Inventory'!D192="", "", 'Lighting Inventory'!D192)</f>
        <v/>
      </c>
      <c r="D244" s="1186"/>
      <c r="E244" s="1186"/>
      <c r="F244" s="468" t="str">
        <f>IF('Lighting Inventory'!E192="", "", 'Lighting Inventory'!E192)</f>
        <v/>
      </c>
      <c r="G244" s="93" t="str">
        <f>IF('Lighting Inventory'!G192="", "", IF('Lighting Inventory'!G192="Air Conditioned", "Y", "N"))</f>
        <v/>
      </c>
      <c r="H244" s="94">
        <f>'Lighting Inventory'!H192</f>
        <v>0</v>
      </c>
      <c r="I244" s="94" t="str">
        <f>IF('Lighting Inventory'!J192="", "", 'Lighting Inventory'!J192)</f>
        <v/>
      </c>
      <c r="J244" s="94" t="str">
        <f>IF('Lighting Inventory'!K192="", "", 'Lighting Inventory'!K192)</f>
        <v/>
      </c>
      <c r="K244" s="1186" t="str">
        <f>IF('Lighting Inventory'!S192="", "", 'Lighting Inventory'!S192)</f>
        <v/>
      </c>
      <c r="L244" s="1186"/>
      <c r="M244" s="1187" t="str">
        <f>IF('Lighting Inventory'!E192="", "", 'Lighting Inventory'!W192)</f>
        <v/>
      </c>
      <c r="N244" s="1187"/>
      <c r="O244" s="1187"/>
      <c r="P244" s="1187"/>
      <c r="Q244" s="1187"/>
      <c r="R244" s="468" t="str">
        <f>IF('Lighting Inventory'!AE192="", "", 'Lighting Inventory'!AE192)</f>
        <v/>
      </c>
      <c r="S244" s="95" t="str">
        <f>IF('Lighting Inventory'!AN192="", "", 'Lighting Inventory'!AN192)</f>
        <v/>
      </c>
      <c r="T244" s="1186"/>
      <c r="U244" s="1186"/>
      <c r="V244" s="1186"/>
      <c r="W244" s="1186"/>
      <c r="X244" s="1186"/>
      <c r="Y244" s="1186"/>
      <c r="Z244" s="1186"/>
    </row>
    <row r="245" spans="1:26" ht="11.25" customHeight="1" x14ac:dyDescent="0.25">
      <c r="A245" s="89">
        <v>183</v>
      </c>
      <c r="B245" s="469">
        <f>'Lighting Inventory'!I193</f>
        <v>0</v>
      </c>
      <c r="C245" s="1188" t="str">
        <f>IF('Lighting Inventory'!D193="", "", 'Lighting Inventory'!D193)</f>
        <v/>
      </c>
      <c r="D245" s="1188"/>
      <c r="E245" s="1188"/>
      <c r="F245" s="469" t="str">
        <f>IF('Lighting Inventory'!E193="", "", 'Lighting Inventory'!E193)</f>
        <v/>
      </c>
      <c r="G245" s="89" t="str">
        <f>IF('Lighting Inventory'!G193="", "", IF('Lighting Inventory'!G193="Air Conditioned", "Y", "N"))</f>
        <v/>
      </c>
      <c r="H245" s="90">
        <f>'Lighting Inventory'!H193</f>
        <v>0</v>
      </c>
      <c r="I245" s="469" t="str">
        <f>IF('Lighting Inventory'!J193="", "", 'Lighting Inventory'!J193)</f>
        <v/>
      </c>
      <c r="J245" s="91" t="str">
        <f>IF('Lighting Inventory'!K193="", "", 'Lighting Inventory'!K193)</f>
        <v/>
      </c>
      <c r="K245" s="1188" t="str">
        <f>IF('Lighting Inventory'!S193="", "", 'Lighting Inventory'!S193)</f>
        <v/>
      </c>
      <c r="L245" s="1188"/>
      <c r="M245" s="1189" t="str">
        <f>IF('Lighting Inventory'!E193="", "", 'Lighting Inventory'!W193)</f>
        <v/>
      </c>
      <c r="N245" s="1189"/>
      <c r="O245" s="1189"/>
      <c r="P245" s="1189"/>
      <c r="Q245" s="1189"/>
      <c r="R245" s="469" t="str">
        <f>IF('Lighting Inventory'!AE193="", "", 'Lighting Inventory'!AE193)</f>
        <v/>
      </c>
      <c r="S245" s="92" t="str">
        <f>IF('Lighting Inventory'!AN193="", "", 'Lighting Inventory'!AN193)</f>
        <v/>
      </c>
      <c r="T245" s="1188"/>
      <c r="U245" s="1188"/>
      <c r="V245" s="1188"/>
      <c r="W245" s="1188"/>
      <c r="X245" s="1188"/>
      <c r="Y245" s="1188"/>
      <c r="Z245" s="1188"/>
    </row>
    <row r="246" spans="1:26" ht="11.25" customHeight="1" x14ac:dyDescent="0.25">
      <c r="A246" s="93">
        <v>184</v>
      </c>
      <c r="B246" s="468">
        <f>'Lighting Inventory'!I194</f>
        <v>0</v>
      </c>
      <c r="C246" s="1186" t="str">
        <f>IF('Lighting Inventory'!D194="", "", 'Lighting Inventory'!D194)</f>
        <v/>
      </c>
      <c r="D246" s="1186"/>
      <c r="E246" s="1186"/>
      <c r="F246" s="468" t="str">
        <f>IF('Lighting Inventory'!E194="", "", 'Lighting Inventory'!E194)</f>
        <v/>
      </c>
      <c r="G246" s="93" t="str">
        <f>IF('Lighting Inventory'!G194="", "", IF('Lighting Inventory'!G194="Air Conditioned", "Y", "N"))</f>
        <v/>
      </c>
      <c r="H246" s="94">
        <f>'Lighting Inventory'!H194</f>
        <v>0</v>
      </c>
      <c r="I246" s="94" t="str">
        <f>IF('Lighting Inventory'!J194="", "", 'Lighting Inventory'!J194)</f>
        <v/>
      </c>
      <c r="J246" s="94" t="str">
        <f>IF('Lighting Inventory'!K194="", "", 'Lighting Inventory'!K194)</f>
        <v/>
      </c>
      <c r="K246" s="1186" t="str">
        <f>IF('Lighting Inventory'!S194="", "", 'Lighting Inventory'!S194)</f>
        <v/>
      </c>
      <c r="L246" s="1186"/>
      <c r="M246" s="1187" t="str">
        <f>IF('Lighting Inventory'!E194="", "", 'Lighting Inventory'!W194)</f>
        <v/>
      </c>
      <c r="N246" s="1187"/>
      <c r="O246" s="1187"/>
      <c r="P246" s="1187"/>
      <c r="Q246" s="1187"/>
      <c r="R246" s="468" t="str">
        <f>IF('Lighting Inventory'!AE194="", "", 'Lighting Inventory'!AE194)</f>
        <v/>
      </c>
      <c r="S246" s="95" t="str">
        <f>IF('Lighting Inventory'!AN194="", "", 'Lighting Inventory'!AN194)</f>
        <v/>
      </c>
      <c r="T246" s="1186"/>
      <c r="U246" s="1186"/>
      <c r="V246" s="1186"/>
      <c r="W246" s="1186"/>
      <c r="X246" s="1186"/>
      <c r="Y246" s="1186"/>
      <c r="Z246" s="1186"/>
    </row>
    <row r="247" spans="1:26" ht="11.25" customHeight="1" x14ac:dyDescent="0.25">
      <c r="A247" s="89">
        <v>185</v>
      </c>
      <c r="B247" s="469">
        <f>'Lighting Inventory'!I195</f>
        <v>0</v>
      </c>
      <c r="C247" s="1188" t="str">
        <f>IF('Lighting Inventory'!D195="", "", 'Lighting Inventory'!D195)</f>
        <v/>
      </c>
      <c r="D247" s="1188"/>
      <c r="E247" s="1188"/>
      <c r="F247" s="469" t="str">
        <f>IF('Lighting Inventory'!E195="", "", 'Lighting Inventory'!E195)</f>
        <v/>
      </c>
      <c r="G247" s="89" t="str">
        <f>IF('Lighting Inventory'!G195="", "", IF('Lighting Inventory'!G195="Air Conditioned", "Y", "N"))</f>
        <v/>
      </c>
      <c r="H247" s="90">
        <f>'Lighting Inventory'!H195</f>
        <v>0</v>
      </c>
      <c r="I247" s="469" t="str">
        <f>IF('Lighting Inventory'!J195="", "", 'Lighting Inventory'!J195)</f>
        <v/>
      </c>
      <c r="J247" s="91" t="str">
        <f>IF('Lighting Inventory'!K195="", "", 'Lighting Inventory'!K195)</f>
        <v/>
      </c>
      <c r="K247" s="1188" t="str">
        <f>IF('Lighting Inventory'!S195="", "", 'Lighting Inventory'!S195)</f>
        <v/>
      </c>
      <c r="L247" s="1188"/>
      <c r="M247" s="1189" t="str">
        <f>IF('Lighting Inventory'!E195="", "", 'Lighting Inventory'!W195)</f>
        <v/>
      </c>
      <c r="N247" s="1189"/>
      <c r="O247" s="1189"/>
      <c r="P247" s="1189"/>
      <c r="Q247" s="1189"/>
      <c r="R247" s="469" t="str">
        <f>IF('Lighting Inventory'!AE195="", "", 'Lighting Inventory'!AE195)</f>
        <v/>
      </c>
      <c r="S247" s="92" t="str">
        <f>IF('Lighting Inventory'!AN195="", "", 'Lighting Inventory'!AN195)</f>
        <v/>
      </c>
      <c r="T247" s="1188"/>
      <c r="U247" s="1188"/>
      <c r="V247" s="1188"/>
      <c r="W247" s="1188"/>
      <c r="X247" s="1188"/>
      <c r="Y247" s="1188"/>
      <c r="Z247" s="1188"/>
    </row>
    <row r="248" spans="1:26" ht="11.25" customHeight="1" x14ac:dyDescent="0.25">
      <c r="A248" s="93">
        <v>186</v>
      </c>
      <c r="B248" s="468">
        <f>'Lighting Inventory'!I196</f>
        <v>0</v>
      </c>
      <c r="C248" s="1186" t="str">
        <f>IF('Lighting Inventory'!D196="", "", 'Lighting Inventory'!D196)</f>
        <v/>
      </c>
      <c r="D248" s="1186"/>
      <c r="E248" s="1186"/>
      <c r="F248" s="468" t="str">
        <f>IF('Lighting Inventory'!E196="", "", 'Lighting Inventory'!E196)</f>
        <v/>
      </c>
      <c r="G248" s="93" t="str">
        <f>IF('Lighting Inventory'!G196="", "", IF('Lighting Inventory'!G196="Air Conditioned", "Y", "N"))</f>
        <v/>
      </c>
      <c r="H248" s="94">
        <f>'Lighting Inventory'!H196</f>
        <v>0</v>
      </c>
      <c r="I248" s="94" t="str">
        <f>IF('Lighting Inventory'!J196="", "", 'Lighting Inventory'!J196)</f>
        <v/>
      </c>
      <c r="J248" s="94" t="str">
        <f>IF('Lighting Inventory'!K196="", "", 'Lighting Inventory'!K196)</f>
        <v/>
      </c>
      <c r="K248" s="1186" t="str">
        <f>IF('Lighting Inventory'!S196="", "", 'Lighting Inventory'!S196)</f>
        <v/>
      </c>
      <c r="L248" s="1186"/>
      <c r="M248" s="1187" t="str">
        <f>IF('Lighting Inventory'!E196="", "", 'Lighting Inventory'!W196)</f>
        <v/>
      </c>
      <c r="N248" s="1187"/>
      <c r="O248" s="1187"/>
      <c r="P248" s="1187"/>
      <c r="Q248" s="1187"/>
      <c r="R248" s="468" t="str">
        <f>IF('Lighting Inventory'!AE196="", "", 'Lighting Inventory'!AE196)</f>
        <v/>
      </c>
      <c r="S248" s="95" t="str">
        <f>IF('Lighting Inventory'!AN196="", "", 'Lighting Inventory'!AN196)</f>
        <v/>
      </c>
      <c r="T248" s="1186"/>
      <c r="U248" s="1186"/>
      <c r="V248" s="1186"/>
      <c r="W248" s="1186"/>
      <c r="X248" s="1186"/>
      <c r="Y248" s="1186"/>
      <c r="Z248" s="1186"/>
    </row>
    <row r="249" spans="1:26" ht="11.25" customHeight="1" x14ac:dyDescent="0.25">
      <c r="A249" s="89">
        <v>187</v>
      </c>
      <c r="B249" s="469">
        <f>'Lighting Inventory'!I197</f>
        <v>0</v>
      </c>
      <c r="C249" s="1188" t="str">
        <f>IF('Lighting Inventory'!D197="", "", 'Lighting Inventory'!D197)</f>
        <v/>
      </c>
      <c r="D249" s="1188"/>
      <c r="E249" s="1188"/>
      <c r="F249" s="469" t="str">
        <f>IF('Lighting Inventory'!E197="", "", 'Lighting Inventory'!E197)</f>
        <v/>
      </c>
      <c r="G249" s="89" t="str">
        <f>IF('Lighting Inventory'!G197="", "", IF('Lighting Inventory'!G197="Air Conditioned", "Y", "N"))</f>
        <v/>
      </c>
      <c r="H249" s="90">
        <f>'Lighting Inventory'!H197</f>
        <v>0</v>
      </c>
      <c r="I249" s="469" t="str">
        <f>IF('Lighting Inventory'!J197="", "", 'Lighting Inventory'!J197)</f>
        <v/>
      </c>
      <c r="J249" s="91" t="str">
        <f>IF('Lighting Inventory'!K197="", "", 'Lighting Inventory'!K197)</f>
        <v/>
      </c>
      <c r="K249" s="1188" t="str">
        <f>IF('Lighting Inventory'!S197="", "", 'Lighting Inventory'!S197)</f>
        <v/>
      </c>
      <c r="L249" s="1188"/>
      <c r="M249" s="1189" t="str">
        <f>IF('Lighting Inventory'!E197="", "", 'Lighting Inventory'!W197)</f>
        <v/>
      </c>
      <c r="N249" s="1189"/>
      <c r="O249" s="1189"/>
      <c r="P249" s="1189"/>
      <c r="Q249" s="1189"/>
      <c r="R249" s="469" t="str">
        <f>IF('Lighting Inventory'!AE197="", "", 'Lighting Inventory'!AE197)</f>
        <v/>
      </c>
      <c r="S249" s="92" t="str">
        <f>IF('Lighting Inventory'!AN197="", "", 'Lighting Inventory'!AN197)</f>
        <v/>
      </c>
      <c r="T249" s="1188"/>
      <c r="U249" s="1188"/>
      <c r="V249" s="1188"/>
      <c r="W249" s="1188"/>
      <c r="X249" s="1188"/>
      <c r="Y249" s="1188"/>
      <c r="Z249" s="1188"/>
    </row>
    <row r="250" spans="1:26" ht="11.25" customHeight="1" x14ac:dyDescent="0.25">
      <c r="A250" s="93">
        <v>188</v>
      </c>
      <c r="B250" s="468">
        <f>'Lighting Inventory'!I198</f>
        <v>0</v>
      </c>
      <c r="C250" s="1186" t="str">
        <f>IF('Lighting Inventory'!D198="", "", 'Lighting Inventory'!D198)</f>
        <v/>
      </c>
      <c r="D250" s="1186"/>
      <c r="E250" s="1186"/>
      <c r="F250" s="468" t="str">
        <f>IF('Lighting Inventory'!E198="", "", 'Lighting Inventory'!E198)</f>
        <v/>
      </c>
      <c r="G250" s="93" t="str">
        <f>IF('Lighting Inventory'!G198="", "", IF('Lighting Inventory'!G198="Air Conditioned", "Y", "N"))</f>
        <v/>
      </c>
      <c r="H250" s="94">
        <f>'Lighting Inventory'!H198</f>
        <v>0</v>
      </c>
      <c r="I250" s="94" t="str">
        <f>IF('Lighting Inventory'!J198="", "", 'Lighting Inventory'!J198)</f>
        <v/>
      </c>
      <c r="J250" s="94" t="str">
        <f>IF('Lighting Inventory'!K198="", "", 'Lighting Inventory'!K198)</f>
        <v/>
      </c>
      <c r="K250" s="1186" t="str">
        <f>IF('Lighting Inventory'!S198="", "", 'Lighting Inventory'!S198)</f>
        <v/>
      </c>
      <c r="L250" s="1186"/>
      <c r="M250" s="1187" t="str">
        <f>IF('Lighting Inventory'!E198="", "", 'Lighting Inventory'!W198)</f>
        <v/>
      </c>
      <c r="N250" s="1187"/>
      <c r="O250" s="1187"/>
      <c r="P250" s="1187"/>
      <c r="Q250" s="1187"/>
      <c r="R250" s="468" t="str">
        <f>IF('Lighting Inventory'!AE198="", "", 'Lighting Inventory'!AE198)</f>
        <v/>
      </c>
      <c r="S250" s="95" t="str">
        <f>IF('Lighting Inventory'!AN198="", "", 'Lighting Inventory'!AN198)</f>
        <v/>
      </c>
      <c r="T250" s="1186"/>
      <c r="U250" s="1186"/>
      <c r="V250" s="1186"/>
      <c r="W250" s="1186"/>
      <c r="X250" s="1186"/>
      <c r="Y250" s="1186"/>
      <c r="Z250" s="1186"/>
    </row>
    <row r="251" spans="1:26" ht="11.25" customHeight="1" x14ac:dyDescent="0.25">
      <c r="A251" s="89">
        <v>189</v>
      </c>
      <c r="B251" s="469">
        <f>'Lighting Inventory'!I199</f>
        <v>0</v>
      </c>
      <c r="C251" s="1188" t="str">
        <f>IF('Lighting Inventory'!D199="", "", 'Lighting Inventory'!D199)</f>
        <v/>
      </c>
      <c r="D251" s="1188"/>
      <c r="E251" s="1188"/>
      <c r="F251" s="469" t="str">
        <f>IF('Lighting Inventory'!E199="", "", 'Lighting Inventory'!E199)</f>
        <v/>
      </c>
      <c r="G251" s="89" t="str">
        <f>IF('Lighting Inventory'!G199="", "", IF('Lighting Inventory'!G199="Air Conditioned", "Y", "N"))</f>
        <v/>
      </c>
      <c r="H251" s="90">
        <f>'Lighting Inventory'!H199</f>
        <v>0</v>
      </c>
      <c r="I251" s="469" t="str">
        <f>IF('Lighting Inventory'!J199="", "", 'Lighting Inventory'!J199)</f>
        <v/>
      </c>
      <c r="J251" s="91" t="str">
        <f>IF('Lighting Inventory'!K199="", "", 'Lighting Inventory'!K199)</f>
        <v/>
      </c>
      <c r="K251" s="1188" t="str">
        <f>IF('Lighting Inventory'!S199="", "", 'Lighting Inventory'!S199)</f>
        <v/>
      </c>
      <c r="L251" s="1188"/>
      <c r="M251" s="1189" t="str">
        <f>IF('Lighting Inventory'!E199="", "", 'Lighting Inventory'!W199)</f>
        <v/>
      </c>
      <c r="N251" s="1189"/>
      <c r="O251" s="1189"/>
      <c r="P251" s="1189"/>
      <c r="Q251" s="1189"/>
      <c r="R251" s="469" t="str">
        <f>IF('Lighting Inventory'!AE199="", "", 'Lighting Inventory'!AE199)</f>
        <v/>
      </c>
      <c r="S251" s="92" t="str">
        <f>IF('Lighting Inventory'!AN199="", "", 'Lighting Inventory'!AN199)</f>
        <v/>
      </c>
      <c r="T251" s="1188"/>
      <c r="U251" s="1188"/>
      <c r="V251" s="1188"/>
      <c r="W251" s="1188"/>
      <c r="X251" s="1188"/>
      <c r="Y251" s="1188"/>
      <c r="Z251" s="1188"/>
    </row>
    <row r="252" spans="1:26" ht="11.25" customHeight="1" x14ac:dyDescent="0.25">
      <c r="A252" s="93">
        <v>190</v>
      </c>
      <c r="B252" s="468">
        <f>'Lighting Inventory'!I200</f>
        <v>0</v>
      </c>
      <c r="C252" s="1186" t="str">
        <f>IF('Lighting Inventory'!D200="", "", 'Lighting Inventory'!D200)</f>
        <v/>
      </c>
      <c r="D252" s="1186"/>
      <c r="E252" s="1186"/>
      <c r="F252" s="468" t="str">
        <f>IF('Lighting Inventory'!E200="", "", 'Lighting Inventory'!E200)</f>
        <v/>
      </c>
      <c r="G252" s="93" t="str">
        <f>IF('Lighting Inventory'!G200="", "", IF('Lighting Inventory'!G200="Air Conditioned", "Y", "N"))</f>
        <v/>
      </c>
      <c r="H252" s="94">
        <f>'Lighting Inventory'!H200</f>
        <v>0</v>
      </c>
      <c r="I252" s="94" t="str">
        <f>IF('Lighting Inventory'!J200="", "", 'Lighting Inventory'!J200)</f>
        <v/>
      </c>
      <c r="J252" s="94" t="str">
        <f>IF('Lighting Inventory'!K200="", "", 'Lighting Inventory'!K200)</f>
        <v/>
      </c>
      <c r="K252" s="1186" t="str">
        <f>IF('Lighting Inventory'!S200="", "", 'Lighting Inventory'!S200)</f>
        <v/>
      </c>
      <c r="L252" s="1186"/>
      <c r="M252" s="1187" t="str">
        <f>IF('Lighting Inventory'!E200="", "", 'Lighting Inventory'!W200)</f>
        <v/>
      </c>
      <c r="N252" s="1187"/>
      <c r="O252" s="1187"/>
      <c r="P252" s="1187"/>
      <c r="Q252" s="1187"/>
      <c r="R252" s="468" t="str">
        <f>IF('Lighting Inventory'!AE200="", "", 'Lighting Inventory'!AE200)</f>
        <v/>
      </c>
      <c r="S252" s="95" t="str">
        <f>IF('Lighting Inventory'!AN200="", "", 'Lighting Inventory'!AN200)</f>
        <v/>
      </c>
      <c r="T252" s="1186"/>
      <c r="U252" s="1186"/>
      <c r="V252" s="1186"/>
      <c r="W252" s="1186"/>
      <c r="X252" s="1186"/>
      <c r="Y252" s="1186"/>
      <c r="Z252" s="1186"/>
    </row>
    <row r="253" spans="1:26" ht="11.25" customHeight="1" x14ac:dyDescent="0.25">
      <c r="A253" s="89">
        <v>191</v>
      </c>
      <c r="B253" s="469">
        <f>'Lighting Inventory'!I201</f>
        <v>0</v>
      </c>
      <c r="C253" s="1188" t="str">
        <f>IF('Lighting Inventory'!D201="", "", 'Lighting Inventory'!D201)</f>
        <v/>
      </c>
      <c r="D253" s="1188"/>
      <c r="E253" s="1188"/>
      <c r="F253" s="469" t="str">
        <f>IF('Lighting Inventory'!E201="", "", 'Lighting Inventory'!E201)</f>
        <v/>
      </c>
      <c r="G253" s="89" t="str">
        <f>IF('Lighting Inventory'!G201="", "", IF('Lighting Inventory'!G201="Air Conditioned", "Y", "N"))</f>
        <v/>
      </c>
      <c r="H253" s="90">
        <f>'Lighting Inventory'!H201</f>
        <v>0</v>
      </c>
      <c r="I253" s="469" t="str">
        <f>IF('Lighting Inventory'!J201="", "", 'Lighting Inventory'!J201)</f>
        <v/>
      </c>
      <c r="J253" s="91" t="str">
        <f>IF('Lighting Inventory'!K201="", "", 'Lighting Inventory'!K201)</f>
        <v/>
      </c>
      <c r="K253" s="1188" t="str">
        <f>IF('Lighting Inventory'!S201="", "", 'Lighting Inventory'!S201)</f>
        <v/>
      </c>
      <c r="L253" s="1188"/>
      <c r="M253" s="1189" t="str">
        <f>IF('Lighting Inventory'!E201="", "", 'Lighting Inventory'!W201)</f>
        <v/>
      </c>
      <c r="N253" s="1189"/>
      <c r="O253" s="1189"/>
      <c r="P253" s="1189"/>
      <c r="Q253" s="1189"/>
      <c r="R253" s="469" t="str">
        <f>IF('Lighting Inventory'!AE201="", "", 'Lighting Inventory'!AE201)</f>
        <v/>
      </c>
      <c r="S253" s="92" t="str">
        <f>IF('Lighting Inventory'!AN201="", "", 'Lighting Inventory'!AN201)</f>
        <v/>
      </c>
      <c r="T253" s="1188"/>
      <c r="U253" s="1188"/>
      <c r="V253" s="1188"/>
      <c r="W253" s="1188"/>
      <c r="X253" s="1188"/>
      <c r="Y253" s="1188"/>
      <c r="Z253" s="1188"/>
    </row>
    <row r="254" spans="1:26" ht="11.25" customHeight="1" x14ac:dyDescent="0.25">
      <c r="A254" s="93">
        <v>192</v>
      </c>
      <c r="B254" s="468">
        <f>'Lighting Inventory'!I202</f>
        <v>0</v>
      </c>
      <c r="C254" s="1186" t="str">
        <f>IF('Lighting Inventory'!D202="", "", 'Lighting Inventory'!D202)</f>
        <v/>
      </c>
      <c r="D254" s="1186"/>
      <c r="E254" s="1186"/>
      <c r="F254" s="468" t="str">
        <f>IF('Lighting Inventory'!E202="", "", 'Lighting Inventory'!E202)</f>
        <v/>
      </c>
      <c r="G254" s="93" t="str">
        <f>IF('Lighting Inventory'!G202="", "", IF('Lighting Inventory'!G202="Air Conditioned", "Y", "N"))</f>
        <v/>
      </c>
      <c r="H254" s="94">
        <f>'Lighting Inventory'!H202</f>
        <v>0</v>
      </c>
      <c r="I254" s="94" t="str">
        <f>IF('Lighting Inventory'!J202="", "", 'Lighting Inventory'!J202)</f>
        <v/>
      </c>
      <c r="J254" s="94" t="str">
        <f>IF('Lighting Inventory'!K202="", "", 'Lighting Inventory'!K202)</f>
        <v/>
      </c>
      <c r="K254" s="1186" t="str">
        <f>IF('Lighting Inventory'!S202="", "", 'Lighting Inventory'!S202)</f>
        <v/>
      </c>
      <c r="L254" s="1186"/>
      <c r="M254" s="1187" t="str">
        <f>IF('Lighting Inventory'!E202="", "", 'Lighting Inventory'!W202)</f>
        <v/>
      </c>
      <c r="N254" s="1187"/>
      <c r="O254" s="1187"/>
      <c r="P254" s="1187"/>
      <c r="Q254" s="1187"/>
      <c r="R254" s="468" t="str">
        <f>IF('Lighting Inventory'!AE202="", "", 'Lighting Inventory'!AE202)</f>
        <v/>
      </c>
      <c r="S254" s="95" t="str">
        <f>IF('Lighting Inventory'!AN202="", "", 'Lighting Inventory'!AN202)</f>
        <v/>
      </c>
      <c r="T254" s="1186"/>
      <c r="U254" s="1186"/>
      <c r="V254" s="1186"/>
      <c r="W254" s="1186"/>
      <c r="X254" s="1186"/>
      <c r="Y254" s="1186"/>
      <c r="Z254" s="1186"/>
    </row>
    <row r="255" spans="1:26" ht="11.25" customHeight="1" x14ac:dyDescent="0.25">
      <c r="A255" s="89">
        <v>193</v>
      </c>
      <c r="B255" s="469">
        <f>'Lighting Inventory'!I203</f>
        <v>0</v>
      </c>
      <c r="C255" s="1188" t="str">
        <f>IF('Lighting Inventory'!D203="", "", 'Lighting Inventory'!D203)</f>
        <v/>
      </c>
      <c r="D255" s="1188"/>
      <c r="E255" s="1188"/>
      <c r="F255" s="469" t="str">
        <f>IF('Lighting Inventory'!E203="", "", 'Lighting Inventory'!E203)</f>
        <v/>
      </c>
      <c r="G255" s="89" t="str">
        <f>IF('Lighting Inventory'!G203="", "", IF('Lighting Inventory'!G203="Air Conditioned", "Y", "N"))</f>
        <v/>
      </c>
      <c r="H255" s="90">
        <f>'Lighting Inventory'!H203</f>
        <v>0</v>
      </c>
      <c r="I255" s="469" t="str">
        <f>IF('Lighting Inventory'!J203="", "", 'Lighting Inventory'!J203)</f>
        <v/>
      </c>
      <c r="J255" s="91" t="str">
        <f>IF('Lighting Inventory'!K203="", "", 'Lighting Inventory'!K203)</f>
        <v/>
      </c>
      <c r="K255" s="1188" t="str">
        <f>IF('Lighting Inventory'!S203="", "", 'Lighting Inventory'!S203)</f>
        <v/>
      </c>
      <c r="L255" s="1188"/>
      <c r="M255" s="1189" t="str">
        <f>IF('Lighting Inventory'!E203="", "", 'Lighting Inventory'!W203)</f>
        <v/>
      </c>
      <c r="N255" s="1189"/>
      <c r="O255" s="1189"/>
      <c r="P255" s="1189"/>
      <c r="Q255" s="1189"/>
      <c r="R255" s="469" t="str">
        <f>IF('Lighting Inventory'!AE203="", "", 'Lighting Inventory'!AE203)</f>
        <v/>
      </c>
      <c r="S255" s="92" t="str">
        <f>IF('Lighting Inventory'!AN203="", "", 'Lighting Inventory'!AN203)</f>
        <v/>
      </c>
      <c r="T255" s="1188"/>
      <c r="U255" s="1188"/>
      <c r="V255" s="1188"/>
      <c r="W255" s="1188"/>
      <c r="X255" s="1188"/>
      <c r="Y255" s="1188"/>
      <c r="Z255" s="1188"/>
    </row>
    <row r="256" spans="1:26" ht="11.25" customHeight="1" x14ac:dyDescent="0.25">
      <c r="A256" s="93">
        <v>194</v>
      </c>
      <c r="B256" s="468">
        <f>'Lighting Inventory'!I204</f>
        <v>0</v>
      </c>
      <c r="C256" s="1186" t="str">
        <f>IF('Lighting Inventory'!D204="", "", 'Lighting Inventory'!D204)</f>
        <v/>
      </c>
      <c r="D256" s="1186"/>
      <c r="E256" s="1186"/>
      <c r="F256" s="468" t="str">
        <f>IF('Lighting Inventory'!E204="", "", 'Lighting Inventory'!E204)</f>
        <v/>
      </c>
      <c r="G256" s="93" t="str">
        <f>IF('Lighting Inventory'!G204="", "", IF('Lighting Inventory'!G204="Air Conditioned", "Y", "N"))</f>
        <v/>
      </c>
      <c r="H256" s="94">
        <f>'Lighting Inventory'!H204</f>
        <v>0</v>
      </c>
      <c r="I256" s="94" t="str">
        <f>IF('Lighting Inventory'!J204="", "", 'Lighting Inventory'!J204)</f>
        <v/>
      </c>
      <c r="J256" s="94" t="str">
        <f>IF('Lighting Inventory'!K204="", "", 'Lighting Inventory'!K204)</f>
        <v/>
      </c>
      <c r="K256" s="1186" t="str">
        <f>IF('Lighting Inventory'!S204="", "", 'Lighting Inventory'!S204)</f>
        <v/>
      </c>
      <c r="L256" s="1186"/>
      <c r="M256" s="1187" t="str">
        <f>IF('Lighting Inventory'!E204="", "", 'Lighting Inventory'!W204)</f>
        <v/>
      </c>
      <c r="N256" s="1187"/>
      <c r="O256" s="1187"/>
      <c r="P256" s="1187"/>
      <c r="Q256" s="1187"/>
      <c r="R256" s="468" t="str">
        <f>IF('Lighting Inventory'!AE204="", "", 'Lighting Inventory'!AE204)</f>
        <v/>
      </c>
      <c r="S256" s="95" t="str">
        <f>IF('Lighting Inventory'!AN204="", "", 'Lighting Inventory'!AN204)</f>
        <v/>
      </c>
      <c r="T256" s="1186"/>
      <c r="U256" s="1186"/>
      <c r="V256" s="1186"/>
      <c r="W256" s="1186"/>
      <c r="X256" s="1186"/>
      <c r="Y256" s="1186"/>
      <c r="Z256" s="1186"/>
    </row>
    <row r="257" spans="1:26" ht="11.25" customHeight="1" x14ac:dyDescent="0.25">
      <c r="A257" s="89">
        <v>195</v>
      </c>
      <c r="B257" s="469">
        <f>'Lighting Inventory'!I205</f>
        <v>0</v>
      </c>
      <c r="C257" s="1188" t="str">
        <f>IF('Lighting Inventory'!D205="", "", 'Lighting Inventory'!D205)</f>
        <v/>
      </c>
      <c r="D257" s="1188"/>
      <c r="E257" s="1188"/>
      <c r="F257" s="469" t="str">
        <f>IF('Lighting Inventory'!E205="", "", 'Lighting Inventory'!E205)</f>
        <v/>
      </c>
      <c r="G257" s="89" t="str">
        <f>IF('Lighting Inventory'!G205="", "", IF('Lighting Inventory'!G205="Air Conditioned", "Y", "N"))</f>
        <v/>
      </c>
      <c r="H257" s="90">
        <f>'Lighting Inventory'!H205</f>
        <v>0</v>
      </c>
      <c r="I257" s="469" t="str">
        <f>IF('Lighting Inventory'!J205="", "", 'Lighting Inventory'!J205)</f>
        <v/>
      </c>
      <c r="J257" s="91" t="str">
        <f>IF('Lighting Inventory'!K205="", "", 'Lighting Inventory'!K205)</f>
        <v/>
      </c>
      <c r="K257" s="1188" t="str">
        <f>IF('Lighting Inventory'!S205="", "", 'Lighting Inventory'!S205)</f>
        <v/>
      </c>
      <c r="L257" s="1188"/>
      <c r="M257" s="1189" t="str">
        <f>IF('Lighting Inventory'!E205="", "", 'Lighting Inventory'!W205)</f>
        <v/>
      </c>
      <c r="N257" s="1189"/>
      <c r="O257" s="1189"/>
      <c r="P257" s="1189"/>
      <c r="Q257" s="1189"/>
      <c r="R257" s="469" t="str">
        <f>IF('Lighting Inventory'!AE205="", "", 'Lighting Inventory'!AE205)</f>
        <v/>
      </c>
      <c r="S257" s="92" t="str">
        <f>IF('Lighting Inventory'!AN205="", "", 'Lighting Inventory'!AN205)</f>
        <v/>
      </c>
      <c r="T257" s="1188"/>
      <c r="U257" s="1188"/>
      <c r="V257" s="1188"/>
      <c r="W257" s="1188"/>
      <c r="X257" s="1188"/>
      <c r="Y257" s="1188"/>
      <c r="Z257" s="1188"/>
    </row>
    <row r="258" spans="1:26" ht="11.25" customHeight="1" x14ac:dyDescent="0.25">
      <c r="A258" s="93">
        <v>196</v>
      </c>
      <c r="B258" s="468">
        <f>'Lighting Inventory'!I206</f>
        <v>0</v>
      </c>
      <c r="C258" s="1186" t="str">
        <f>IF('Lighting Inventory'!D206="", "", 'Lighting Inventory'!D206)</f>
        <v/>
      </c>
      <c r="D258" s="1186"/>
      <c r="E258" s="1186"/>
      <c r="F258" s="468" t="str">
        <f>IF('Lighting Inventory'!E206="", "", 'Lighting Inventory'!E206)</f>
        <v/>
      </c>
      <c r="G258" s="93" t="str">
        <f>IF('Lighting Inventory'!G206="", "", IF('Lighting Inventory'!G206="Air Conditioned", "Y", "N"))</f>
        <v/>
      </c>
      <c r="H258" s="94">
        <f>'Lighting Inventory'!H206</f>
        <v>0</v>
      </c>
      <c r="I258" s="94" t="str">
        <f>IF('Lighting Inventory'!J206="", "", 'Lighting Inventory'!J206)</f>
        <v/>
      </c>
      <c r="J258" s="94" t="str">
        <f>IF('Lighting Inventory'!K206="", "", 'Lighting Inventory'!K206)</f>
        <v/>
      </c>
      <c r="K258" s="1186" t="str">
        <f>IF('Lighting Inventory'!S206="", "", 'Lighting Inventory'!S206)</f>
        <v/>
      </c>
      <c r="L258" s="1186"/>
      <c r="M258" s="1187" t="str">
        <f>IF('Lighting Inventory'!E206="", "", 'Lighting Inventory'!W206)</f>
        <v/>
      </c>
      <c r="N258" s="1187"/>
      <c r="O258" s="1187"/>
      <c r="P258" s="1187"/>
      <c r="Q258" s="1187"/>
      <c r="R258" s="468" t="str">
        <f>IF('Lighting Inventory'!AE206="", "", 'Lighting Inventory'!AE206)</f>
        <v/>
      </c>
      <c r="S258" s="95" t="str">
        <f>IF('Lighting Inventory'!AN206="", "", 'Lighting Inventory'!AN206)</f>
        <v/>
      </c>
      <c r="T258" s="1186"/>
      <c r="U258" s="1186"/>
      <c r="V258" s="1186"/>
      <c r="W258" s="1186"/>
      <c r="X258" s="1186"/>
      <c r="Y258" s="1186"/>
      <c r="Z258" s="1186"/>
    </row>
    <row r="259" spans="1:26" ht="11.25" customHeight="1" x14ac:dyDescent="0.25">
      <c r="A259" s="89">
        <v>197</v>
      </c>
      <c r="B259" s="469">
        <f>'Lighting Inventory'!I207</f>
        <v>0</v>
      </c>
      <c r="C259" s="1188" t="str">
        <f>IF('Lighting Inventory'!D207="", "", 'Lighting Inventory'!D207)</f>
        <v/>
      </c>
      <c r="D259" s="1188"/>
      <c r="E259" s="1188"/>
      <c r="F259" s="469" t="str">
        <f>IF('Lighting Inventory'!E207="", "", 'Lighting Inventory'!E207)</f>
        <v/>
      </c>
      <c r="G259" s="89" t="str">
        <f>IF('Lighting Inventory'!G207="", "", IF('Lighting Inventory'!G207="Air Conditioned", "Y", "N"))</f>
        <v/>
      </c>
      <c r="H259" s="90">
        <f>'Lighting Inventory'!H207</f>
        <v>0</v>
      </c>
      <c r="I259" s="469" t="str">
        <f>IF('Lighting Inventory'!J207="", "", 'Lighting Inventory'!J207)</f>
        <v/>
      </c>
      <c r="J259" s="91" t="str">
        <f>IF('Lighting Inventory'!K207="", "", 'Lighting Inventory'!K207)</f>
        <v/>
      </c>
      <c r="K259" s="1188" t="str">
        <f>IF('Lighting Inventory'!S207="", "", 'Lighting Inventory'!S207)</f>
        <v/>
      </c>
      <c r="L259" s="1188"/>
      <c r="M259" s="1189" t="str">
        <f>IF('Lighting Inventory'!E207="", "", 'Lighting Inventory'!W207)</f>
        <v/>
      </c>
      <c r="N259" s="1189"/>
      <c r="O259" s="1189"/>
      <c r="P259" s="1189"/>
      <c r="Q259" s="1189"/>
      <c r="R259" s="469" t="str">
        <f>IF('Lighting Inventory'!AE207="", "", 'Lighting Inventory'!AE207)</f>
        <v/>
      </c>
      <c r="S259" s="92" t="str">
        <f>IF('Lighting Inventory'!AN207="", "", 'Lighting Inventory'!AN207)</f>
        <v/>
      </c>
      <c r="T259" s="1188"/>
      <c r="U259" s="1188"/>
      <c r="V259" s="1188"/>
      <c r="W259" s="1188"/>
      <c r="X259" s="1188"/>
      <c r="Y259" s="1188"/>
      <c r="Z259" s="1188"/>
    </row>
    <row r="260" spans="1:26" ht="11.25" customHeight="1" x14ac:dyDescent="0.25">
      <c r="A260" s="93">
        <v>198</v>
      </c>
      <c r="B260" s="468">
        <f>'Lighting Inventory'!I208</f>
        <v>0</v>
      </c>
      <c r="C260" s="1186" t="str">
        <f>IF('Lighting Inventory'!D208="", "", 'Lighting Inventory'!D208)</f>
        <v/>
      </c>
      <c r="D260" s="1186"/>
      <c r="E260" s="1186"/>
      <c r="F260" s="468" t="str">
        <f>IF('Lighting Inventory'!E208="", "", 'Lighting Inventory'!E208)</f>
        <v/>
      </c>
      <c r="G260" s="93" t="str">
        <f>IF('Lighting Inventory'!G208="", "", IF('Lighting Inventory'!G208="Air Conditioned", "Y", "N"))</f>
        <v/>
      </c>
      <c r="H260" s="94">
        <f>'Lighting Inventory'!H208</f>
        <v>0</v>
      </c>
      <c r="I260" s="94" t="str">
        <f>IF('Lighting Inventory'!J208="", "", 'Lighting Inventory'!J208)</f>
        <v/>
      </c>
      <c r="J260" s="94" t="str">
        <f>IF('Lighting Inventory'!K208="", "", 'Lighting Inventory'!K208)</f>
        <v/>
      </c>
      <c r="K260" s="1186" t="str">
        <f>IF('Lighting Inventory'!S208="", "", 'Lighting Inventory'!S208)</f>
        <v/>
      </c>
      <c r="L260" s="1186"/>
      <c r="M260" s="1187" t="str">
        <f>IF('Lighting Inventory'!E208="", "", 'Lighting Inventory'!W208)</f>
        <v/>
      </c>
      <c r="N260" s="1187"/>
      <c r="O260" s="1187"/>
      <c r="P260" s="1187"/>
      <c r="Q260" s="1187"/>
      <c r="R260" s="468" t="str">
        <f>IF('Lighting Inventory'!AE208="", "", 'Lighting Inventory'!AE208)</f>
        <v/>
      </c>
      <c r="S260" s="95" t="str">
        <f>IF('Lighting Inventory'!AN208="", "", 'Lighting Inventory'!AN208)</f>
        <v/>
      </c>
      <c r="T260" s="1186"/>
      <c r="U260" s="1186"/>
      <c r="V260" s="1186"/>
      <c r="W260" s="1186"/>
      <c r="X260" s="1186"/>
      <c r="Y260" s="1186"/>
      <c r="Z260" s="1186"/>
    </row>
    <row r="261" spans="1:26" ht="11.25" customHeight="1" x14ac:dyDescent="0.25">
      <c r="A261" s="89">
        <v>199</v>
      </c>
      <c r="B261" s="469">
        <f>'Lighting Inventory'!I209</f>
        <v>0</v>
      </c>
      <c r="C261" s="1188" t="str">
        <f>IF('Lighting Inventory'!D209="", "", 'Lighting Inventory'!D209)</f>
        <v/>
      </c>
      <c r="D261" s="1188"/>
      <c r="E261" s="1188"/>
      <c r="F261" s="469" t="str">
        <f>IF('Lighting Inventory'!E209="", "", 'Lighting Inventory'!E209)</f>
        <v/>
      </c>
      <c r="G261" s="89" t="str">
        <f>IF('Lighting Inventory'!G209="", "", IF('Lighting Inventory'!G209="Air Conditioned", "Y", "N"))</f>
        <v/>
      </c>
      <c r="H261" s="90">
        <f>'Lighting Inventory'!H209</f>
        <v>0</v>
      </c>
      <c r="I261" s="469" t="str">
        <f>IF('Lighting Inventory'!J209="", "", 'Lighting Inventory'!J209)</f>
        <v/>
      </c>
      <c r="J261" s="91" t="str">
        <f>IF('Lighting Inventory'!K209="", "", 'Lighting Inventory'!K209)</f>
        <v/>
      </c>
      <c r="K261" s="1188" t="str">
        <f>IF('Lighting Inventory'!S209="", "", 'Lighting Inventory'!S209)</f>
        <v/>
      </c>
      <c r="L261" s="1188"/>
      <c r="M261" s="1189" t="str">
        <f>IF('Lighting Inventory'!E209="", "", 'Lighting Inventory'!W209)</f>
        <v/>
      </c>
      <c r="N261" s="1189"/>
      <c r="O261" s="1189"/>
      <c r="P261" s="1189"/>
      <c r="Q261" s="1189"/>
      <c r="R261" s="469" t="str">
        <f>IF('Lighting Inventory'!AE209="", "", 'Lighting Inventory'!AE209)</f>
        <v/>
      </c>
      <c r="S261" s="92" t="str">
        <f>IF('Lighting Inventory'!AN209="", "", 'Lighting Inventory'!AN209)</f>
        <v/>
      </c>
      <c r="T261" s="1188"/>
      <c r="U261" s="1188"/>
      <c r="V261" s="1188"/>
      <c r="W261" s="1188"/>
      <c r="X261" s="1188"/>
      <c r="Y261" s="1188"/>
      <c r="Z261" s="1188"/>
    </row>
    <row r="262" spans="1:26" ht="11.25" customHeight="1" x14ac:dyDescent="0.25">
      <c r="A262" s="93">
        <v>200</v>
      </c>
      <c r="B262" s="468">
        <f>'Lighting Inventory'!I210</f>
        <v>0</v>
      </c>
      <c r="C262" s="1186" t="str">
        <f>IF('Lighting Inventory'!D210="", "", 'Lighting Inventory'!D210)</f>
        <v/>
      </c>
      <c r="D262" s="1186"/>
      <c r="E262" s="1186"/>
      <c r="F262" s="468" t="str">
        <f>IF('Lighting Inventory'!E210="", "", 'Lighting Inventory'!E210)</f>
        <v/>
      </c>
      <c r="G262" s="93" t="str">
        <f>IF('Lighting Inventory'!G210="", "", IF('Lighting Inventory'!G210="Air Conditioned", "Y", "N"))</f>
        <v/>
      </c>
      <c r="H262" s="94">
        <f>'Lighting Inventory'!H210</f>
        <v>0</v>
      </c>
      <c r="I262" s="94" t="str">
        <f>IF('Lighting Inventory'!J210="", "", 'Lighting Inventory'!J210)</f>
        <v/>
      </c>
      <c r="J262" s="94" t="str">
        <f>IF('Lighting Inventory'!K210="", "", 'Lighting Inventory'!K210)</f>
        <v/>
      </c>
      <c r="K262" s="1186" t="str">
        <f>IF('Lighting Inventory'!S210="", "", 'Lighting Inventory'!S210)</f>
        <v/>
      </c>
      <c r="L262" s="1186"/>
      <c r="M262" s="1187" t="str">
        <f>IF('Lighting Inventory'!E210="", "", 'Lighting Inventory'!W210)</f>
        <v/>
      </c>
      <c r="N262" s="1187"/>
      <c r="O262" s="1187"/>
      <c r="P262" s="1187"/>
      <c r="Q262" s="1187"/>
      <c r="R262" s="468" t="str">
        <f>IF('Lighting Inventory'!AE210="", "", 'Lighting Inventory'!AE210)</f>
        <v/>
      </c>
      <c r="S262" s="95" t="str">
        <f>IF('Lighting Inventory'!AN210="", "", 'Lighting Inventory'!AN210)</f>
        <v/>
      </c>
      <c r="T262" s="1186"/>
      <c r="U262" s="1186"/>
      <c r="V262" s="1186"/>
      <c r="W262" s="1186"/>
      <c r="X262" s="1186"/>
      <c r="Y262" s="1186"/>
      <c r="Z262" s="1186"/>
    </row>
    <row r="263" spans="1:26" ht="15" customHeight="1" thickBot="1" x14ac:dyDescent="0.3">
      <c r="A263" s="1190" t="s">
        <v>4415</v>
      </c>
      <c r="B263" s="1190"/>
      <c r="C263" s="1190"/>
      <c r="D263" s="1191" t="str">
        <f>CONCATENATE('General Information'!$F$9, " ", 'General Information'!$F$10)</f>
        <v xml:space="preserve"> </v>
      </c>
      <c r="E263" s="1191"/>
      <c r="F263" s="1191"/>
      <c r="G263" s="1191"/>
      <c r="H263" s="1191"/>
      <c r="I263" s="1191"/>
      <c r="J263" s="1191"/>
      <c r="K263" s="1192" t="s">
        <v>4416</v>
      </c>
      <c r="L263" s="1193"/>
      <c r="M263" s="1193"/>
      <c r="N263" s="1191">
        <f>'General Information'!$F$14</f>
        <v>0</v>
      </c>
      <c r="O263" s="1191"/>
      <c r="P263" s="1191"/>
      <c r="Q263" s="1192" t="s">
        <v>4417</v>
      </c>
      <c r="R263" s="1193"/>
      <c r="S263" s="1194"/>
      <c r="T263" s="1195">
        <f>'General Information'!$F$11</f>
        <v>0</v>
      </c>
      <c r="U263" s="1196"/>
      <c r="V263" s="1196"/>
      <c r="W263" s="1196"/>
      <c r="X263" s="1196"/>
      <c r="Y263" s="1196"/>
      <c r="Z263" s="1197"/>
    </row>
    <row r="264" spans="1:26" ht="9.75" customHeight="1" x14ac:dyDescent="0.25">
      <c r="A264" s="1198" t="s">
        <v>4418</v>
      </c>
      <c r="B264" s="1200" t="s">
        <v>4419</v>
      </c>
      <c r="C264" s="1200"/>
      <c r="D264" s="1200"/>
      <c r="E264" s="1200"/>
      <c r="F264" s="1200"/>
      <c r="G264" s="1200"/>
      <c r="H264" s="1200"/>
      <c r="I264" s="1200"/>
      <c r="J264" s="1200"/>
      <c r="K264" s="1201" t="s">
        <v>4420</v>
      </c>
      <c r="L264" s="1202"/>
      <c r="M264" s="1202"/>
      <c r="N264" s="1202"/>
      <c r="O264" s="1202"/>
      <c r="P264" s="1202"/>
      <c r="Q264" s="1202"/>
      <c r="R264" s="1202"/>
      <c r="S264" s="1202"/>
      <c r="T264" s="1202"/>
      <c r="U264" s="1202"/>
      <c r="V264" s="1202"/>
      <c r="W264" s="1202"/>
      <c r="X264" s="1202"/>
      <c r="Y264" s="1202"/>
      <c r="Z264" s="1203"/>
    </row>
    <row r="265" spans="1:26" ht="43.5" customHeight="1" x14ac:dyDescent="0.25">
      <c r="A265" s="1199"/>
      <c r="B265" s="470" t="s">
        <v>4421</v>
      </c>
      <c r="C265" s="1204" t="s">
        <v>4422</v>
      </c>
      <c r="D265" s="1205"/>
      <c r="E265" s="1206"/>
      <c r="F265" s="333" t="s">
        <v>4423</v>
      </c>
      <c r="G265" s="333" t="s">
        <v>4424</v>
      </c>
      <c r="H265" s="334" t="s">
        <v>4425</v>
      </c>
      <c r="I265" s="333" t="s">
        <v>4426</v>
      </c>
      <c r="J265" s="333" t="s">
        <v>4427</v>
      </c>
      <c r="K265" s="1207" t="s">
        <v>4428</v>
      </c>
      <c r="L265" s="1207"/>
      <c r="M265" s="1207" t="s">
        <v>4429</v>
      </c>
      <c r="N265" s="1207"/>
      <c r="O265" s="1207"/>
      <c r="P265" s="1207"/>
      <c r="Q265" s="1207"/>
      <c r="R265" s="333" t="s">
        <v>4430</v>
      </c>
      <c r="S265" s="335" t="s">
        <v>4431</v>
      </c>
      <c r="T265" s="1208" t="s">
        <v>3403</v>
      </c>
      <c r="U265" s="1209"/>
      <c r="V265" s="1209"/>
      <c r="W265" s="1209"/>
      <c r="X265" s="1209"/>
      <c r="Y265" s="1209"/>
      <c r="Z265" s="1210"/>
    </row>
    <row r="266" spans="1:26" ht="11.25" customHeight="1" x14ac:dyDescent="0.25">
      <c r="A266" s="89">
        <v>201</v>
      </c>
      <c r="B266" s="469">
        <f>'Lighting Inventory'!I211</f>
        <v>0</v>
      </c>
      <c r="C266" s="1188" t="str">
        <f>IF('Lighting Inventory'!D211="", "", 'Lighting Inventory'!D211)</f>
        <v/>
      </c>
      <c r="D266" s="1188"/>
      <c r="E266" s="1188"/>
      <c r="F266" s="469" t="str">
        <f>IF('Lighting Inventory'!E211="", "", 'Lighting Inventory'!E211)</f>
        <v/>
      </c>
      <c r="G266" s="89" t="str">
        <f>IF('Lighting Inventory'!G211="", "", IF('Lighting Inventory'!G211="Air Conditioned", "Y", "N"))</f>
        <v/>
      </c>
      <c r="H266" s="90">
        <f>'Lighting Inventory'!H211</f>
        <v>0</v>
      </c>
      <c r="I266" s="469" t="str">
        <f>IF('Lighting Inventory'!J211="", "", 'Lighting Inventory'!J211)</f>
        <v/>
      </c>
      <c r="J266" s="91" t="str">
        <f>IF('Lighting Inventory'!K211="", "", 'Lighting Inventory'!K211)</f>
        <v/>
      </c>
      <c r="K266" s="1188" t="str">
        <f>IF('Lighting Inventory'!S211="", "", 'Lighting Inventory'!S211)</f>
        <v/>
      </c>
      <c r="L266" s="1188"/>
      <c r="M266" s="1189" t="str">
        <f>IF('Lighting Inventory'!E211="", "", 'Lighting Inventory'!W211)</f>
        <v/>
      </c>
      <c r="N266" s="1189"/>
      <c r="O266" s="1189"/>
      <c r="P266" s="1189"/>
      <c r="Q266" s="1189"/>
      <c r="R266" s="469" t="str">
        <f>IF('Lighting Inventory'!AE211="", "", 'Lighting Inventory'!AE211)</f>
        <v/>
      </c>
      <c r="S266" s="92" t="str">
        <f>IF('Lighting Inventory'!AN211="", "", 'Lighting Inventory'!AN211)</f>
        <v/>
      </c>
      <c r="T266" s="1188"/>
      <c r="U266" s="1188"/>
      <c r="V266" s="1188"/>
      <c r="W266" s="1188"/>
      <c r="X266" s="1188"/>
      <c r="Y266" s="1188"/>
      <c r="Z266" s="1188"/>
    </row>
    <row r="267" spans="1:26" ht="11.25" customHeight="1" x14ac:dyDescent="0.25">
      <c r="A267" s="93">
        <v>202</v>
      </c>
      <c r="B267" s="468">
        <f>'Lighting Inventory'!I212</f>
        <v>0</v>
      </c>
      <c r="C267" s="1186" t="str">
        <f>IF('Lighting Inventory'!D212="", "", 'Lighting Inventory'!D212)</f>
        <v/>
      </c>
      <c r="D267" s="1186"/>
      <c r="E267" s="1186"/>
      <c r="F267" s="468" t="str">
        <f>IF('Lighting Inventory'!E212="", "", 'Lighting Inventory'!E212)</f>
        <v/>
      </c>
      <c r="G267" s="93" t="str">
        <f>IF('Lighting Inventory'!G212="", "", IF('Lighting Inventory'!G212="Air Conditioned", "Y", "N"))</f>
        <v/>
      </c>
      <c r="H267" s="94">
        <f>'Lighting Inventory'!H212</f>
        <v>0</v>
      </c>
      <c r="I267" s="94" t="str">
        <f>IF('Lighting Inventory'!J212="", "", 'Lighting Inventory'!J212)</f>
        <v/>
      </c>
      <c r="J267" s="94" t="str">
        <f>IF('Lighting Inventory'!K212="", "", 'Lighting Inventory'!K212)</f>
        <v/>
      </c>
      <c r="K267" s="1186" t="str">
        <f>IF('Lighting Inventory'!S212="", "", 'Lighting Inventory'!S212)</f>
        <v/>
      </c>
      <c r="L267" s="1186"/>
      <c r="M267" s="1187" t="str">
        <f>IF('Lighting Inventory'!E212="", "", 'Lighting Inventory'!W212)</f>
        <v/>
      </c>
      <c r="N267" s="1187"/>
      <c r="O267" s="1187"/>
      <c r="P267" s="1187"/>
      <c r="Q267" s="1187"/>
      <c r="R267" s="468" t="str">
        <f>IF('Lighting Inventory'!AE212="", "", 'Lighting Inventory'!AE212)</f>
        <v/>
      </c>
      <c r="S267" s="95" t="str">
        <f>IF('Lighting Inventory'!AN212="", "", 'Lighting Inventory'!AN212)</f>
        <v/>
      </c>
      <c r="T267" s="1186"/>
      <c r="U267" s="1186"/>
      <c r="V267" s="1186"/>
      <c r="W267" s="1186"/>
      <c r="X267" s="1186"/>
      <c r="Y267" s="1186"/>
      <c r="Z267" s="1186"/>
    </row>
    <row r="268" spans="1:26" ht="11.25" customHeight="1" x14ac:dyDescent="0.25">
      <c r="A268" s="89">
        <v>203</v>
      </c>
      <c r="B268" s="469">
        <f>'Lighting Inventory'!I213</f>
        <v>0</v>
      </c>
      <c r="C268" s="1188" t="str">
        <f>IF('Lighting Inventory'!D213="", "", 'Lighting Inventory'!D213)</f>
        <v/>
      </c>
      <c r="D268" s="1188"/>
      <c r="E268" s="1188"/>
      <c r="F268" s="469" t="str">
        <f>IF('Lighting Inventory'!E213="", "", 'Lighting Inventory'!E213)</f>
        <v/>
      </c>
      <c r="G268" s="89" t="str">
        <f>IF('Lighting Inventory'!G213="", "", IF('Lighting Inventory'!G213="Air Conditioned", "Y", "N"))</f>
        <v/>
      </c>
      <c r="H268" s="90">
        <f>'Lighting Inventory'!H213</f>
        <v>0</v>
      </c>
      <c r="I268" s="469" t="str">
        <f>IF('Lighting Inventory'!J213="", "", 'Lighting Inventory'!J213)</f>
        <v/>
      </c>
      <c r="J268" s="91" t="str">
        <f>IF('Lighting Inventory'!K213="", "", 'Lighting Inventory'!K213)</f>
        <v/>
      </c>
      <c r="K268" s="1188" t="str">
        <f>IF('Lighting Inventory'!S213="", "", 'Lighting Inventory'!S213)</f>
        <v/>
      </c>
      <c r="L268" s="1188"/>
      <c r="M268" s="1189" t="str">
        <f>IF('Lighting Inventory'!E213="", "", 'Lighting Inventory'!W213)</f>
        <v/>
      </c>
      <c r="N268" s="1189"/>
      <c r="O268" s="1189"/>
      <c r="P268" s="1189"/>
      <c r="Q268" s="1189"/>
      <c r="R268" s="469" t="str">
        <f>IF('Lighting Inventory'!AE213="", "", 'Lighting Inventory'!AE213)</f>
        <v/>
      </c>
      <c r="S268" s="92" t="str">
        <f>IF('Lighting Inventory'!AN213="", "", 'Lighting Inventory'!AN213)</f>
        <v/>
      </c>
      <c r="T268" s="1188"/>
      <c r="U268" s="1188"/>
      <c r="V268" s="1188"/>
      <c r="W268" s="1188"/>
      <c r="X268" s="1188"/>
      <c r="Y268" s="1188"/>
      <c r="Z268" s="1188"/>
    </row>
    <row r="269" spans="1:26" ht="11.25" customHeight="1" x14ac:dyDescent="0.25">
      <c r="A269" s="93">
        <v>204</v>
      </c>
      <c r="B269" s="468">
        <f>'Lighting Inventory'!I214</f>
        <v>0</v>
      </c>
      <c r="C269" s="1186" t="str">
        <f>IF('Lighting Inventory'!D214="", "", 'Lighting Inventory'!D214)</f>
        <v/>
      </c>
      <c r="D269" s="1186"/>
      <c r="E269" s="1186"/>
      <c r="F269" s="468" t="str">
        <f>IF('Lighting Inventory'!E214="", "", 'Lighting Inventory'!E214)</f>
        <v/>
      </c>
      <c r="G269" s="93" t="str">
        <f>IF('Lighting Inventory'!G214="", "", IF('Lighting Inventory'!G214="Air Conditioned", "Y", "N"))</f>
        <v/>
      </c>
      <c r="H269" s="94">
        <f>'Lighting Inventory'!H214</f>
        <v>0</v>
      </c>
      <c r="I269" s="94" t="str">
        <f>IF('Lighting Inventory'!J214="", "", 'Lighting Inventory'!J214)</f>
        <v/>
      </c>
      <c r="J269" s="94" t="str">
        <f>IF('Lighting Inventory'!K214="", "", 'Lighting Inventory'!K214)</f>
        <v/>
      </c>
      <c r="K269" s="1186" t="str">
        <f>IF('Lighting Inventory'!S214="", "", 'Lighting Inventory'!S214)</f>
        <v/>
      </c>
      <c r="L269" s="1186"/>
      <c r="M269" s="1187" t="str">
        <f>IF('Lighting Inventory'!E214="", "", 'Lighting Inventory'!W214)</f>
        <v/>
      </c>
      <c r="N269" s="1187"/>
      <c r="O269" s="1187"/>
      <c r="P269" s="1187"/>
      <c r="Q269" s="1187"/>
      <c r="R269" s="468" t="str">
        <f>IF('Lighting Inventory'!AE214="", "", 'Lighting Inventory'!AE214)</f>
        <v/>
      </c>
      <c r="S269" s="95" t="str">
        <f>IF('Lighting Inventory'!AN214="", "", 'Lighting Inventory'!AN214)</f>
        <v/>
      </c>
      <c r="T269" s="1186"/>
      <c r="U269" s="1186"/>
      <c r="V269" s="1186"/>
      <c r="W269" s="1186"/>
      <c r="X269" s="1186"/>
      <c r="Y269" s="1186"/>
      <c r="Z269" s="1186"/>
    </row>
    <row r="270" spans="1:26" ht="11.25" customHeight="1" x14ac:dyDescent="0.25">
      <c r="A270" s="89">
        <v>205</v>
      </c>
      <c r="B270" s="469">
        <f>'Lighting Inventory'!I215</f>
        <v>0</v>
      </c>
      <c r="C270" s="1188" t="str">
        <f>IF('Lighting Inventory'!D215="", "", 'Lighting Inventory'!D215)</f>
        <v/>
      </c>
      <c r="D270" s="1188"/>
      <c r="E270" s="1188"/>
      <c r="F270" s="469" t="str">
        <f>IF('Lighting Inventory'!E215="", "", 'Lighting Inventory'!E215)</f>
        <v/>
      </c>
      <c r="G270" s="89" t="str">
        <f>IF('Lighting Inventory'!G215="", "", IF('Lighting Inventory'!G215="Air Conditioned", "Y", "N"))</f>
        <v/>
      </c>
      <c r="H270" s="90">
        <f>'Lighting Inventory'!H215</f>
        <v>0</v>
      </c>
      <c r="I270" s="469" t="str">
        <f>IF('Lighting Inventory'!J215="", "", 'Lighting Inventory'!J215)</f>
        <v/>
      </c>
      <c r="J270" s="91" t="str">
        <f>IF('Lighting Inventory'!K215="", "", 'Lighting Inventory'!K215)</f>
        <v/>
      </c>
      <c r="K270" s="1188" t="str">
        <f>IF('Lighting Inventory'!S215="", "", 'Lighting Inventory'!S215)</f>
        <v/>
      </c>
      <c r="L270" s="1188"/>
      <c r="M270" s="1189" t="str">
        <f>IF('Lighting Inventory'!E215="", "", 'Lighting Inventory'!W215)</f>
        <v/>
      </c>
      <c r="N270" s="1189"/>
      <c r="O270" s="1189"/>
      <c r="P270" s="1189"/>
      <c r="Q270" s="1189"/>
      <c r="R270" s="469" t="str">
        <f>IF('Lighting Inventory'!AE215="", "", 'Lighting Inventory'!AE215)</f>
        <v/>
      </c>
      <c r="S270" s="92" t="str">
        <f>IF('Lighting Inventory'!AN215="", "", 'Lighting Inventory'!AN215)</f>
        <v/>
      </c>
      <c r="T270" s="1188"/>
      <c r="U270" s="1188"/>
      <c r="V270" s="1188"/>
      <c r="W270" s="1188"/>
      <c r="X270" s="1188"/>
      <c r="Y270" s="1188"/>
      <c r="Z270" s="1188"/>
    </row>
    <row r="271" spans="1:26" ht="11.25" customHeight="1" x14ac:dyDescent="0.25">
      <c r="A271" s="93">
        <v>206</v>
      </c>
      <c r="B271" s="468">
        <f>'Lighting Inventory'!I216</f>
        <v>0</v>
      </c>
      <c r="C271" s="1186" t="str">
        <f>IF('Lighting Inventory'!D216="", "", 'Lighting Inventory'!D216)</f>
        <v/>
      </c>
      <c r="D271" s="1186"/>
      <c r="E271" s="1186"/>
      <c r="F271" s="468" t="str">
        <f>IF('Lighting Inventory'!E216="", "", 'Lighting Inventory'!E216)</f>
        <v/>
      </c>
      <c r="G271" s="93" t="str">
        <f>IF('Lighting Inventory'!G216="", "", IF('Lighting Inventory'!G216="Air Conditioned", "Y", "N"))</f>
        <v/>
      </c>
      <c r="H271" s="94">
        <f>'Lighting Inventory'!H216</f>
        <v>0</v>
      </c>
      <c r="I271" s="94" t="str">
        <f>IF('Lighting Inventory'!J216="", "", 'Lighting Inventory'!J216)</f>
        <v/>
      </c>
      <c r="J271" s="94" t="str">
        <f>IF('Lighting Inventory'!K216="", "", 'Lighting Inventory'!K216)</f>
        <v/>
      </c>
      <c r="K271" s="1186" t="str">
        <f>IF('Lighting Inventory'!S216="", "", 'Lighting Inventory'!S216)</f>
        <v/>
      </c>
      <c r="L271" s="1186"/>
      <c r="M271" s="1187" t="str">
        <f>IF('Lighting Inventory'!E216="", "", 'Lighting Inventory'!W216)</f>
        <v/>
      </c>
      <c r="N271" s="1187"/>
      <c r="O271" s="1187"/>
      <c r="P271" s="1187"/>
      <c r="Q271" s="1187"/>
      <c r="R271" s="468" t="str">
        <f>IF('Lighting Inventory'!AE216="", "", 'Lighting Inventory'!AE216)</f>
        <v/>
      </c>
      <c r="S271" s="95" t="str">
        <f>IF('Lighting Inventory'!AN216="", "", 'Lighting Inventory'!AN216)</f>
        <v/>
      </c>
      <c r="T271" s="1186"/>
      <c r="U271" s="1186"/>
      <c r="V271" s="1186"/>
      <c r="W271" s="1186"/>
      <c r="X271" s="1186"/>
      <c r="Y271" s="1186"/>
      <c r="Z271" s="1186"/>
    </row>
    <row r="272" spans="1:26" ht="11.25" customHeight="1" x14ac:dyDescent="0.25">
      <c r="A272" s="89">
        <v>207</v>
      </c>
      <c r="B272" s="469">
        <f>'Lighting Inventory'!I217</f>
        <v>0</v>
      </c>
      <c r="C272" s="1188" t="str">
        <f>IF('Lighting Inventory'!D217="", "", 'Lighting Inventory'!D217)</f>
        <v/>
      </c>
      <c r="D272" s="1188"/>
      <c r="E272" s="1188"/>
      <c r="F272" s="469" t="str">
        <f>IF('Lighting Inventory'!E217="", "", 'Lighting Inventory'!E217)</f>
        <v/>
      </c>
      <c r="G272" s="89" t="str">
        <f>IF('Lighting Inventory'!G217="", "", IF('Lighting Inventory'!G217="Air Conditioned", "Y", "N"))</f>
        <v/>
      </c>
      <c r="H272" s="90">
        <f>'Lighting Inventory'!H217</f>
        <v>0</v>
      </c>
      <c r="I272" s="469" t="str">
        <f>IF('Lighting Inventory'!J217="", "", 'Lighting Inventory'!J217)</f>
        <v/>
      </c>
      <c r="J272" s="91" t="str">
        <f>IF('Lighting Inventory'!K217="", "", 'Lighting Inventory'!K217)</f>
        <v/>
      </c>
      <c r="K272" s="1188" t="str">
        <f>IF('Lighting Inventory'!S217="", "", 'Lighting Inventory'!S217)</f>
        <v/>
      </c>
      <c r="L272" s="1188"/>
      <c r="M272" s="1189" t="str">
        <f>IF('Lighting Inventory'!E217="", "", 'Lighting Inventory'!W217)</f>
        <v/>
      </c>
      <c r="N272" s="1189"/>
      <c r="O272" s="1189"/>
      <c r="P272" s="1189"/>
      <c r="Q272" s="1189"/>
      <c r="R272" s="469" t="str">
        <f>IF('Lighting Inventory'!AE217="", "", 'Lighting Inventory'!AE217)</f>
        <v/>
      </c>
      <c r="S272" s="92" t="str">
        <f>IF('Lighting Inventory'!AN217="", "", 'Lighting Inventory'!AN217)</f>
        <v/>
      </c>
      <c r="T272" s="1188"/>
      <c r="U272" s="1188"/>
      <c r="V272" s="1188"/>
      <c r="W272" s="1188"/>
      <c r="X272" s="1188"/>
      <c r="Y272" s="1188"/>
      <c r="Z272" s="1188"/>
    </row>
    <row r="273" spans="1:26" ht="11.25" customHeight="1" x14ac:dyDescent="0.25">
      <c r="A273" s="93">
        <v>208</v>
      </c>
      <c r="B273" s="468">
        <f>'Lighting Inventory'!I218</f>
        <v>0</v>
      </c>
      <c r="C273" s="1186" t="str">
        <f>IF('Lighting Inventory'!D218="", "", 'Lighting Inventory'!D218)</f>
        <v/>
      </c>
      <c r="D273" s="1186"/>
      <c r="E273" s="1186"/>
      <c r="F273" s="468" t="str">
        <f>IF('Lighting Inventory'!E218="", "", 'Lighting Inventory'!E218)</f>
        <v/>
      </c>
      <c r="G273" s="93" t="str">
        <f>IF('Lighting Inventory'!G218="", "", IF('Lighting Inventory'!G218="Air Conditioned", "Y", "N"))</f>
        <v/>
      </c>
      <c r="H273" s="94">
        <f>'Lighting Inventory'!H218</f>
        <v>0</v>
      </c>
      <c r="I273" s="94" t="str">
        <f>IF('Lighting Inventory'!J218="", "", 'Lighting Inventory'!J218)</f>
        <v/>
      </c>
      <c r="J273" s="94" t="str">
        <f>IF('Lighting Inventory'!K218="", "", 'Lighting Inventory'!K218)</f>
        <v/>
      </c>
      <c r="K273" s="1186" t="str">
        <f>IF('Lighting Inventory'!S218="", "", 'Lighting Inventory'!S218)</f>
        <v/>
      </c>
      <c r="L273" s="1186"/>
      <c r="M273" s="1187" t="str">
        <f>IF('Lighting Inventory'!E218="", "", 'Lighting Inventory'!W218)</f>
        <v/>
      </c>
      <c r="N273" s="1187"/>
      <c r="O273" s="1187"/>
      <c r="P273" s="1187"/>
      <c r="Q273" s="1187"/>
      <c r="R273" s="468" t="str">
        <f>IF('Lighting Inventory'!AE218="", "", 'Lighting Inventory'!AE218)</f>
        <v/>
      </c>
      <c r="S273" s="95" t="str">
        <f>IF('Lighting Inventory'!AN218="", "", 'Lighting Inventory'!AN218)</f>
        <v/>
      </c>
      <c r="T273" s="1186"/>
      <c r="U273" s="1186"/>
      <c r="V273" s="1186"/>
      <c r="W273" s="1186"/>
      <c r="X273" s="1186"/>
      <c r="Y273" s="1186"/>
      <c r="Z273" s="1186"/>
    </row>
    <row r="274" spans="1:26" ht="11.25" customHeight="1" x14ac:dyDescent="0.25">
      <c r="A274" s="89">
        <v>209</v>
      </c>
      <c r="B274" s="469">
        <f>'Lighting Inventory'!I219</f>
        <v>0</v>
      </c>
      <c r="C274" s="1188" t="str">
        <f>IF('Lighting Inventory'!D219="", "", 'Lighting Inventory'!D219)</f>
        <v/>
      </c>
      <c r="D274" s="1188"/>
      <c r="E274" s="1188"/>
      <c r="F274" s="469" t="str">
        <f>IF('Lighting Inventory'!E219="", "", 'Lighting Inventory'!E219)</f>
        <v/>
      </c>
      <c r="G274" s="89" t="str">
        <f>IF('Lighting Inventory'!G219="", "", IF('Lighting Inventory'!G219="Air Conditioned", "Y", "N"))</f>
        <v/>
      </c>
      <c r="H274" s="90">
        <f>'Lighting Inventory'!H219</f>
        <v>0</v>
      </c>
      <c r="I274" s="469" t="str">
        <f>IF('Lighting Inventory'!J219="", "", 'Lighting Inventory'!J219)</f>
        <v/>
      </c>
      <c r="J274" s="91" t="str">
        <f>IF('Lighting Inventory'!K219="", "", 'Lighting Inventory'!K219)</f>
        <v/>
      </c>
      <c r="K274" s="1188" t="str">
        <f>IF('Lighting Inventory'!S219="", "", 'Lighting Inventory'!S219)</f>
        <v/>
      </c>
      <c r="L274" s="1188"/>
      <c r="M274" s="1189" t="str">
        <f>IF('Lighting Inventory'!E219="", "", 'Lighting Inventory'!W219)</f>
        <v/>
      </c>
      <c r="N274" s="1189"/>
      <c r="O274" s="1189"/>
      <c r="P274" s="1189"/>
      <c r="Q274" s="1189"/>
      <c r="R274" s="469" t="str">
        <f>IF('Lighting Inventory'!AE219="", "", 'Lighting Inventory'!AE219)</f>
        <v/>
      </c>
      <c r="S274" s="92" t="str">
        <f>IF('Lighting Inventory'!AN219="", "", 'Lighting Inventory'!AN219)</f>
        <v/>
      </c>
      <c r="T274" s="1188"/>
      <c r="U274" s="1188"/>
      <c r="V274" s="1188"/>
      <c r="W274" s="1188"/>
      <c r="X274" s="1188"/>
      <c r="Y274" s="1188"/>
      <c r="Z274" s="1188"/>
    </row>
    <row r="275" spans="1:26" ht="11.25" customHeight="1" x14ac:dyDescent="0.25">
      <c r="A275" s="93">
        <v>210</v>
      </c>
      <c r="B275" s="468">
        <f>'Lighting Inventory'!I220</f>
        <v>0</v>
      </c>
      <c r="C275" s="1186" t="str">
        <f>IF('Lighting Inventory'!D220="", "", 'Lighting Inventory'!D220)</f>
        <v/>
      </c>
      <c r="D275" s="1186"/>
      <c r="E275" s="1186"/>
      <c r="F275" s="468" t="str">
        <f>IF('Lighting Inventory'!E220="", "", 'Lighting Inventory'!E220)</f>
        <v/>
      </c>
      <c r="G275" s="93" t="str">
        <f>IF('Lighting Inventory'!G220="", "", IF('Lighting Inventory'!G220="Air Conditioned", "Y", "N"))</f>
        <v/>
      </c>
      <c r="H275" s="94">
        <f>'Lighting Inventory'!H220</f>
        <v>0</v>
      </c>
      <c r="I275" s="94" t="str">
        <f>IF('Lighting Inventory'!J220="", "", 'Lighting Inventory'!J220)</f>
        <v/>
      </c>
      <c r="J275" s="94" t="str">
        <f>IF('Lighting Inventory'!K220="", "", 'Lighting Inventory'!K220)</f>
        <v/>
      </c>
      <c r="K275" s="1186" t="str">
        <f>IF('Lighting Inventory'!S220="", "", 'Lighting Inventory'!S220)</f>
        <v/>
      </c>
      <c r="L275" s="1186"/>
      <c r="M275" s="1187" t="str">
        <f>IF('Lighting Inventory'!E220="", "", 'Lighting Inventory'!W220)</f>
        <v/>
      </c>
      <c r="N275" s="1187"/>
      <c r="O275" s="1187"/>
      <c r="P275" s="1187"/>
      <c r="Q275" s="1187"/>
      <c r="R275" s="468" t="str">
        <f>IF('Lighting Inventory'!AE220="", "", 'Lighting Inventory'!AE220)</f>
        <v/>
      </c>
      <c r="S275" s="95" t="str">
        <f>IF('Lighting Inventory'!AN220="", "", 'Lighting Inventory'!AN220)</f>
        <v/>
      </c>
      <c r="T275" s="1186"/>
      <c r="U275" s="1186"/>
      <c r="V275" s="1186"/>
      <c r="W275" s="1186"/>
      <c r="X275" s="1186"/>
      <c r="Y275" s="1186"/>
      <c r="Z275" s="1186"/>
    </row>
    <row r="276" spans="1:26" ht="11.25" customHeight="1" x14ac:dyDescent="0.25">
      <c r="A276" s="89">
        <v>211</v>
      </c>
      <c r="B276" s="469">
        <f>'Lighting Inventory'!I221</f>
        <v>0</v>
      </c>
      <c r="C276" s="1188" t="str">
        <f>IF('Lighting Inventory'!D221="", "", 'Lighting Inventory'!D221)</f>
        <v/>
      </c>
      <c r="D276" s="1188"/>
      <c r="E276" s="1188"/>
      <c r="F276" s="469" t="str">
        <f>IF('Lighting Inventory'!E221="", "", 'Lighting Inventory'!E221)</f>
        <v/>
      </c>
      <c r="G276" s="89" t="str">
        <f>IF('Lighting Inventory'!G221="", "", IF('Lighting Inventory'!G221="Air Conditioned", "Y", "N"))</f>
        <v/>
      </c>
      <c r="H276" s="90">
        <f>'Lighting Inventory'!H221</f>
        <v>0</v>
      </c>
      <c r="I276" s="469" t="str">
        <f>IF('Lighting Inventory'!J221="", "", 'Lighting Inventory'!J221)</f>
        <v/>
      </c>
      <c r="J276" s="91" t="str">
        <f>IF('Lighting Inventory'!K221="", "", 'Lighting Inventory'!K221)</f>
        <v/>
      </c>
      <c r="K276" s="1188" t="str">
        <f>IF('Lighting Inventory'!S221="", "", 'Lighting Inventory'!S221)</f>
        <v/>
      </c>
      <c r="L276" s="1188"/>
      <c r="M276" s="1189" t="str">
        <f>IF('Lighting Inventory'!E221="", "", 'Lighting Inventory'!W221)</f>
        <v/>
      </c>
      <c r="N276" s="1189"/>
      <c r="O276" s="1189"/>
      <c r="P276" s="1189"/>
      <c r="Q276" s="1189"/>
      <c r="R276" s="469" t="str">
        <f>IF('Lighting Inventory'!AE221="", "", 'Lighting Inventory'!AE221)</f>
        <v/>
      </c>
      <c r="S276" s="92" t="str">
        <f>IF('Lighting Inventory'!AN221="", "", 'Lighting Inventory'!AN221)</f>
        <v/>
      </c>
      <c r="T276" s="1188"/>
      <c r="U276" s="1188"/>
      <c r="V276" s="1188"/>
      <c r="W276" s="1188"/>
      <c r="X276" s="1188"/>
      <c r="Y276" s="1188"/>
      <c r="Z276" s="1188"/>
    </row>
    <row r="277" spans="1:26" ht="11.25" customHeight="1" x14ac:dyDescent="0.25">
      <c r="A277" s="93">
        <v>212</v>
      </c>
      <c r="B277" s="468">
        <f>'Lighting Inventory'!I222</f>
        <v>0</v>
      </c>
      <c r="C277" s="1186" t="str">
        <f>IF('Lighting Inventory'!D222="", "", 'Lighting Inventory'!D222)</f>
        <v/>
      </c>
      <c r="D277" s="1186"/>
      <c r="E277" s="1186"/>
      <c r="F277" s="468" t="str">
        <f>IF('Lighting Inventory'!E222="", "", 'Lighting Inventory'!E222)</f>
        <v/>
      </c>
      <c r="G277" s="93" t="str">
        <f>IF('Lighting Inventory'!G222="", "", IF('Lighting Inventory'!G222="Air Conditioned", "Y", "N"))</f>
        <v/>
      </c>
      <c r="H277" s="94">
        <f>'Lighting Inventory'!H222</f>
        <v>0</v>
      </c>
      <c r="I277" s="94" t="str">
        <f>IF('Lighting Inventory'!J222="", "", 'Lighting Inventory'!J222)</f>
        <v/>
      </c>
      <c r="J277" s="94" t="str">
        <f>IF('Lighting Inventory'!K222="", "", 'Lighting Inventory'!K222)</f>
        <v/>
      </c>
      <c r="K277" s="1186" t="str">
        <f>IF('Lighting Inventory'!S222="", "", 'Lighting Inventory'!S222)</f>
        <v/>
      </c>
      <c r="L277" s="1186"/>
      <c r="M277" s="1187" t="str">
        <f>IF('Lighting Inventory'!E222="", "", 'Lighting Inventory'!W222)</f>
        <v/>
      </c>
      <c r="N277" s="1187"/>
      <c r="O277" s="1187"/>
      <c r="P277" s="1187"/>
      <c r="Q277" s="1187"/>
      <c r="R277" s="468" t="str">
        <f>IF('Lighting Inventory'!AE222="", "", 'Lighting Inventory'!AE222)</f>
        <v/>
      </c>
      <c r="S277" s="95" t="str">
        <f>IF('Lighting Inventory'!AN222="", "", 'Lighting Inventory'!AN222)</f>
        <v/>
      </c>
      <c r="T277" s="1186"/>
      <c r="U277" s="1186"/>
      <c r="V277" s="1186"/>
      <c r="W277" s="1186"/>
      <c r="X277" s="1186"/>
      <c r="Y277" s="1186"/>
      <c r="Z277" s="1186"/>
    </row>
    <row r="278" spans="1:26" ht="11.25" customHeight="1" x14ac:dyDescent="0.25">
      <c r="A278" s="89">
        <v>213</v>
      </c>
      <c r="B278" s="469">
        <f>'Lighting Inventory'!I223</f>
        <v>0</v>
      </c>
      <c r="C278" s="1188" t="str">
        <f>IF('Lighting Inventory'!D223="", "", 'Lighting Inventory'!D223)</f>
        <v/>
      </c>
      <c r="D278" s="1188"/>
      <c r="E278" s="1188"/>
      <c r="F278" s="469" t="str">
        <f>IF('Lighting Inventory'!E223="", "", 'Lighting Inventory'!E223)</f>
        <v/>
      </c>
      <c r="G278" s="89" t="str">
        <f>IF('Lighting Inventory'!G223="", "", IF('Lighting Inventory'!G223="Air Conditioned", "Y", "N"))</f>
        <v/>
      </c>
      <c r="H278" s="90">
        <f>'Lighting Inventory'!H223</f>
        <v>0</v>
      </c>
      <c r="I278" s="469" t="str">
        <f>IF('Lighting Inventory'!J223="", "", 'Lighting Inventory'!J223)</f>
        <v/>
      </c>
      <c r="J278" s="91" t="str">
        <f>IF('Lighting Inventory'!K223="", "", 'Lighting Inventory'!K223)</f>
        <v/>
      </c>
      <c r="K278" s="1188" t="str">
        <f>IF('Lighting Inventory'!S223="", "", 'Lighting Inventory'!S223)</f>
        <v/>
      </c>
      <c r="L278" s="1188"/>
      <c r="M278" s="1189" t="str">
        <f>IF('Lighting Inventory'!E223="", "", 'Lighting Inventory'!W223)</f>
        <v/>
      </c>
      <c r="N278" s="1189"/>
      <c r="O278" s="1189"/>
      <c r="P278" s="1189"/>
      <c r="Q278" s="1189"/>
      <c r="R278" s="469" t="str">
        <f>IF('Lighting Inventory'!AE223="", "", 'Lighting Inventory'!AE223)</f>
        <v/>
      </c>
      <c r="S278" s="92" t="str">
        <f>IF('Lighting Inventory'!AN223="", "", 'Lighting Inventory'!AN223)</f>
        <v/>
      </c>
      <c r="T278" s="1188"/>
      <c r="U278" s="1188"/>
      <c r="V278" s="1188"/>
      <c r="W278" s="1188"/>
      <c r="X278" s="1188"/>
      <c r="Y278" s="1188"/>
      <c r="Z278" s="1188"/>
    </row>
    <row r="279" spans="1:26" ht="11.25" customHeight="1" x14ac:dyDescent="0.25">
      <c r="A279" s="93">
        <v>214</v>
      </c>
      <c r="B279" s="468">
        <f>'Lighting Inventory'!I224</f>
        <v>0</v>
      </c>
      <c r="C279" s="1186" t="str">
        <f>IF('Lighting Inventory'!D224="", "", 'Lighting Inventory'!D224)</f>
        <v/>
      </c>
      <c r="D279" s="1186"/>
      <c r="E279" s="1186"/>
      <c r="F279" s="468" t="str">
        <f>IF('Lighting Inventory'!E224="", "", 'Lighting Inventory'!E224)</f>
        <v/>
      </c>
      <c r="G279" s="93" t="str">
        <f>IF('Lighting Inventory'!G224="", "", IF('Lighting Inventory'!G224="Air Conditioned", "Y", "N"))</f>
        <v/>
      </c>
      <c r="H279" s="94">
        <f>'Lighting Inventory'!H224</f>
        <v>0</v>
      </c>
      <c r="I279" s="94" t="str">
        <f>IF('Lighting Inventory'!J224="", "", 'Lighting Inventory'!J224)</f>
        <v/>
      </c>
      <c r="J279" s="94" t="str">
        <f>IF('Lighting Inventory'!K224="", "", 'Lighting Inventory'!K224)</f>
        <v/>
      </c>
      <c r="K279" s="1186" t="str">
        <f>IF('Lighting Inventory'!S224="", "", 'Lighting Inventory'!S224)</f>
        <v/>
      </c>
      <c r="L279" s="1186"/>
      <c r="M279" s="1187" t="str">
        <f>IF('Lighting Inventory'!E224="", "", 'Lighting Inventory'!W224)</f>
        <v/>
      </c>
      <c r="N279" s="1187"/>
      <c r="O279" s="1187"/>
      <c r="P279" s="1187"/>
      <c r="Q279" s="1187"/>
      <c r="R279" s="468" t="str">
        <f>IF('Lighting Inventory'!AE224="", "", 'Lighting Inventory'!AE224)</f>
        <v/>
      </c>
      <c r="S279" s="95" t="str">
        <f>IF('Lighting Inventory'!AN224="", "", 'Lighting Inventory'!AN224)</f>
        <v/>
      </c>
      <c r="T279" s="1186"/>
      <c r="U279" s="1186"/>
      <c r="V279" s="1186"/>
      <c r="W279" s="1186"/>
      <c r="X279" s="1186"/>
      <c r="Y279" s="1186"/>
      <c r="Z279" s="1186"/>
    </row>
    <row r="280" spans="1:26" ht="11.25" customHeight="1" x14ac:dyDescent="0.25">
      <c r="A280" s="89">
        <v>215</v>
      </c>
      <c r="B280" s="469">
        <f>'Lighting Inventory'!I225</f>
        <v>0</v>
      </c>
      <c r="C280" s="1188" t="str">
        <f>IF('Lighting Inventory'!D225="", "", 'Lighting Inventory'!D225)</f>
        <v/>
      </c>
      <c r="D280" s="1188"/>
      <c r="E280" s="1188"/>
      <c r="F280" s="469" t="str">
        <f>IF('Lighting Inventory'!E225="", "", 'Lighting Inventory'!E225)</f>
        <v/>
      </c>
      <c r="G280" s="89" t="str">
        <f>IF('Lighting Inventory'!G225="", "", IF('Lighting Inventory'!G225="Air Conditioned", "Y", "N"))</f>
        <v/>
      </c>
      <c r="H280" s="90">
        <f>'Lighting Inventory'!H225</f>
        <v>0</v>
      </c>
      <c r="I280" s="469" t="str">
        <f>IF('Lighting Inventory'!J225="", "", 'Lighting Inventory'!J225)</f>
        <v/>
      </c>
      <c r="J280" s="91" t="str">
        <f>IF('Lighting Inventory'!K225="", "", 'Lighting Inventory'!K225)</f>
        <v/>
      </c>
      <c r="K280" s="1188" t="str">
        <f>IF('Lighting Inventory'!S225="", "", 'Lighting Inventory'!S225)</f>
        <v/>
      </c>
      <c r="L280" s="1188"/>
      <c r="M280" s="1189" t="str">
        <f>IF('Lighting Inventory'!E225="", "", 'Lighting Inventory'!W225)</f>
        <v/>
      </c>
      <c r="N280" s="1189"/>
      <c r="O280" s="1189"/>
      <c r="P280" s="1189"/>
      <c r="Q280" s="1189"/>
      <c r="R280" s="469" t="str">
        <f>IF('Lighting Inventory'!AE225="", "", 'Lighting Inventory'!AE225)</f>
        <v/>
      </c>
      <c r="S280" s="92" t="str">
        <f>IF('Lighting Inventory'!AN225="", "", 'Lighting Inventory'!AN225)</f>
        <v/>
      </c>
      <c r="T280" s="1188"/>
      <c r="U280" s="1188"/>
      <c r="V280" s="1188"/>
      <c r="W280" s="1188"/>
      <c r="X280" s="1188"/>
      <c r="Y280" s="1188"/>
      <c r="Z280" s="1188"/>
    </row>
    <row r="281" spans="1:26" ht="11.25" customHeight="1" x14ac:dyDescent="0.25">
      <c r="A281" s="93">
        <v>216</v>
      </c>
      <c r="B281" s="468">
        <f>'Lighting Inventory'!I226</f>
        <v>0</v>
      </c>
      <c r="C281" s="1186" t="str">
        <f>IF('Lighting Inventory'!D226="", "", 'Lighting Inventory'!D226)</f>
        <v/>
      </c>
      <c r="D281" s="1186"/>
      <c r="E281" s="1186"/>
      <c r="F281" s="468" t="str">
        <f>IF('Lighting Inventory'!E226="", "", 'Lighting Inventory'!E226)</f>
        <v/>
      </c>
      <c r="G281" s="93" t="str">
        <f>IF('Lighting Inventory'!G226="", "", IF('Lighting Inventory'!G226="Air Conditioned", "Y", "N"))</f>
        <v/>
      </c>
      <c r="H281" s="94">
        <f>'Lighting Inventory'!H226</f>
        <v>0</v>
      </c>
      <c r="I281" s="94" t="str">
        <f>IF('Lighting Inventory'!J226="", "", 'Lighting Inventory'!J226)</f>
        <v/>
      </c>
      <c r="J281" s="94" t="str">
        <f>IF('Lighting Inventory'!K226="", "", 'Lighting Inventory'!K226)</f>
        <v/>
      </c>
      <c r="K281" s="1186" t="str">
        <f>IF('Lighting Inventory'!S226="", "", 'Lighting Inventory'!S226)</f>
        <v/>
      </c>
      <c r="L281" s="1186"/>
      <c r="M281" s="1187" t="str">
        <f>IF('Lighting Inventory'!E226="", "", 'Lighting Inventory'!W226)</f>
        <v/>
      </c>
      <c r="N281" s="1187"/>
      <c r="O281" s="1187"/>
      <c r="P281" s="1187"/>
      <c r="Q281" s="1187"/>
      <c r="R281" s="468" t="str">
        <f>IF('Lighting Inventory'!AE226="", "", 'Lighting Inventory'!AE226)</f>
        <v/>
      </c>
      <c r="S281" s="95" t="str">
        <f>IF('Lighting Inventory'!AN226="", "", 'Lighting Inventory'!AN226)</f>
        <v/>
      </c>
      <c r="T281" s="1186"/>
      <c r="U281" s="1186"/>
      <c r="V281" s="1186"/>
      <c r="W281" s="1186"/>
      <c r="X281" s="1186"/>
      <c r="Y281" s="1186"/>
      <c r="Z281" s="1186"/>
    </row>
    <row r="282" spans="1:26" ht="11.25" customHeight="1" x14ac:dyDescent="0.25">
      <c r="A282" s="89">
        <v>217</v>
      </c>
      <c r="B282" s="469">
        <f>'Lighting Inventory'!I227</f>
        <v>0</v>
      </c>
      <c r="C282" s="1188" t="str">
        <f>IF('Lighting Inventory'!D227="", "", 'Lighting Inventory'!D227)</f>
        <v/>
      </c>
      <c r="D282" s="1188"/>
      <c r="E282" s="1188"/>
      <c r="F282" s="469" t="str">
        <f>IF('Lighting Inventory'!E227="", "", 'Lighting Inventory'!E227)</f>
        <v/>
      </c>
      <c r="G282" s="89" t="str">
        <f>IF('Lighting Inventory'!G227="", "", IF('Lighting Inventory'!G227="Air Conditioned", "Y", "N"))</f>
        <v/>
      </c>
      <c r="H282" s="90">
        <f>'Lighting Inventory'!H227</f>
        <v>0</v>
      </c>
      <c r="I282" s="469" t="str">
        <f>IF('Lighting Inventory'!J227="", "", 'Lighting Inventory'!J227)</f>
        <v/>
      </c>
      <c r="J282" s="91" t="str">
        <f>IF('Lighting Inventory'!K227="", "", 'Lighting Inventory'!K227)</f>
        <v/>
      </c>
      <c r="K282" s="1188" t="str">
        <f>IF('Lighting Inventory'!S227="", "", 'Lighting Inventory'!S227)</f>
        <v/>
      </c>
      <c r="L282" s="1188"/>
      <c r="M282" s="1189" t="str">
        <f>IF('Lighting Inventory'!E227="", "", 'Lighting Inventory'!W227)</f>
        <v/>
      </c>
      <c r="N282" s="1189"/>
      <c r="O282" s="1189"/>
      <c r="P282" s="1189"/>
      <c r="Q282" s="1189"/>
      <c r="R282" s="469" t="str">
        <f>IF('Lighting Inventory'!AE227="", "", 'Lighting Inventory'!AE227)</f>
        <v/>
      </c>
      <c r="S282" s="92" t="str">
        <f>IF('Lighting Inventory'!AN227="", "", 'Lighting Inventory'!AN227)</f>
        <v/>
      </c>
      <c r="T282" s="1188"/>
      <c r="U282" s="1188"/>
      <c r="V282" s="1188"/>
      <c r="W282" s="1188"/>
      <c r="X282" s="1188"/>
      <c r="Y282" s="1188"/>
      <c r="Z282" s="1188"/>
    </row>
    <row r="283" spans="1:26" ht="11.25" customHeight="1" x14ac:dyDescent="0.25">
      <c r="A283" s="93">
        <v>218</v>
      </c>
      <c r="B283" s="468">
        <f>'Lighting Inventory'!I228</f>
        <v>0</v>
      </c>
      <c r="C283" s="1186" t="str">
        <f>IF('Lighting Inventory'!D228="", "", 'Lighting Inventory'!D228)</f>
        <v/>
      </c>
      <c r="D283" s="1186"/>
      <c r="E283" s="1186"/>
      <c r="F283" s="468" t="str">
        <f>IF('Lighting Inventory'!E228="", "", 'Lighting Inventory'!E228)</f>
        <v/>
      </c>
      <c r="G283" s="93" t="str">
        <f>IF('Lighting Inventory'!G228="", "", IF('Lighting Inventory'!G228="Air Conditioned", "Y", "N"))</f>
        <v/>
      </c>
      <c r="H283" s="94">
        <f>'Lighting Inventory'!H228</f>
        <v>0</v>
      </c>
      <c r="I283" s="94" t="str">
        <f>IF('Lighting Inventory'!J228="", "", 'Lighting Inventory'!J228)</f>
        <v/>
      </c>
      <c r="J283" s="94" t="str">
        <f>IF('Lighting Inventory'!K228="", "", 'Lighting Inventory'!K228)</f>
        <v/>
      </c>
      <c r="K283" s="1186" t="str">
        <f>IF('Lighting Inventory'!S228="", "", 'Lighting Inventory'!S228)</f>
        <v/>
      </c>
      <c r="L283" s="1186"/>
      <c r="M283" s="1187" t="str">
        <f>IF('Lighting Inventory'!E228="", "", 'Lighting Inventory'!W228)</f>
        <v/>
      </c>
      <c r="N283" s="1187"/>
      <c r="O283" s="1187"/>
      <c r="P283" s="1187"/>
      <c r="Q283" s="1187"/>
      <c r="R283" s="468" t="str">
        <f>IF('Lighting Inventory'!AE228="", "", 'Lighting Inventory'!AE228)</f>
        <v/>
      </c>
      <c r="S283" s="95" t="str">
        <f>IF('Lighting Inventory'!AN228="", "", 'Lighting Inventory'!AN228)</f>
        <v/>
      </c>
      <c r="T283" s="1186"/>
      <c r="U283" s="1186"/>
      <c r="V283" s="1186"/>
      <c r="W283" s="1186"/>
      <c r="X283" s="1186"/>
      <c r="Y283" s="1186"/>
      <c r="Z283" s="1186"/>
    </row>
    <row r="284" spans="1:26" ht="11.25" customHeight="1" x14ac:dyDescent="0.25">
      <c r="A284" s="89">
        <v>219</v>
      </c>
      <c r="B284" s="469">
        <f>'Lighting Inventory'!I229</f>
        <v>0</v>
      </c>
      <c r="C284" s="1188" t="str">
        <f>IF('Lighting Inventory'!D229="", "", 'Lighting Inventory'!D229)</f>
        <v/>
      </c>
      <c r="D284" s="1188"/>
      <c r="E284" s="1188"/>
      <c r="F284" s="469" t="str">
        <f>IF('Lighting Inventory'!E229="", "", 'Lighting Inventory'!E229)</f>
        <v/>
      </c>
      <c r="G284" s="89" t="str">
        <f>IF('Lighting Inventory'!G229="", "", IF('Lighting Inventory'!G229="Air Conditioned", "Y", "N"))</f>
        <v/>
      </c>
      <c r="H284" s="90">
        <f>'Lighting Inventory'!H229</f>
        <v>0</v>
      </c>
      <c r="I284" s="469" t="str">
        <f>IF('Lighting Inventory'!J229="", "", 'Lighting Inventory'!J229)</f>
        <v/>
      </c>
      <c r="J284" s="91" t="str">
        <f>IF('Lighting Inventory'!K229="", "", 'Lighting Inventory'!K229)</f>
        <v/>
      </c>
      <c r="K284" s="1188" t="str">
        <f>IF('Lighting Inventory'!S229="", "", 'Lighting Inventory'!S229)</f>
        <v/>
      </c>
      <c r="L284" s="1188"/>
      <c r="M284" s="1189" t="str">
        <f>IF('Lighting Inventory'!E229="", "", 'Lighting Inventory'!W229)</f>
        <v/>
      </c>
      <c r="N284" s="1189"/>
      <c r="O284" s="1189"/>
      <c r="P284" s="1189"/>
      <c r="Q284" s="1189"/>
      <c r="R284" s="469" t="str">
        <f>IF('Lighting Inventory'!AE229="", "", 'Lighting Inventory'!AE229)</f>
        <v/>
      </c>
      <c r="S284" s="92" t="str">
        <f>IF('Lighting Inventory'!AN229="", "", 'Lighting Inventory'!AN229)</f>
        <v/>
      </c>
      <c r="T284" s="1188"/>
      <c r="U284" s="1188"/>
      <c r="V284" s="1188"/>
      <c r="W284" s="1188"/>
      <c r="X284" s="1188"/>
      <c r="Y284" s="1188"/>
      <c r="Z284" s="1188"/>
    </row>
    <row r="285" spans="1:26" ht="11.25" customHeight="1" x14ac:dyDescent="0.25">
      <c r="A285" s="93">
        <v>220</v>
      </c>
      <c r="B285" s="468">
        <f>'Lighting Inventory'!I230</f>
        <v>0</v>
      </c>
      <c r="C285" s="1186" t="str">
        <f>IF('Lighting Inventory'!D230="", "", 'Lighting Inventory'!D230)</f>
        <v/>
      </c>
      <c r="D285" s="1186"/>
      <c r="E285" s="1186"/>
      <c r="F285" s="468" t="str">
        <f>IF('Lighting Inventory'!E230="", "", 'Lighting Inventory'!E230)</f>
        <v/>
      </c>
      <c r="G285" s="93" t="str">
        <f>IF('Lighting Inventory'!G230="", "", IF('Lighting Inventory'!G230="Air Conditioned", "Y", "N"))</f>
        <v/>
      </c>
      <c r="H285" s="94">
        <f>'Lighting Inventory'!H230</f>
        <v>0</v>
      </c>
      <c r="I285" s="94" t="str">
        <f>IF('Lighting Inventory'!J230="", "", 'Lighting Inventory'!J230)</f>
        <v/>
      </c>
      <c r="J285" s="94" t="str">
        <f>IF('Lighting Inventory'!K230="", "", 'Lighting Inventory'!K230)</f>
        <v/>
      </c>
      <c r="K285" s="1186" t="str">
        <f>IF('Lighting Inventory'!S230="", "", 'Lighting Inventory'!S230)</f>
        <v/>
      </c>
      <c r="L285" s="1186"/>
      <c r="M285" s="1187" t="str">
        <f>IF('Lighting Inventory'!E230="", "", 'Lighting Inventory'!W230)</f>
        <v/>
      </c>
      <c r="N285" s="1187"/>
      <c r="O285" s="1187"/>
      <c r="P285" s="1187"/>
      <c r="Q285" s="1187"/>
      <c r="R285" s="468" t="str">
        <f>IF('Lighting Inventory'!AE230="", "", 'Lighting Inventory'!AE230)</f>
        <v/>
      </c>
      <c r="S285" s="95" t="str">
        <f>IF('Lighting Inventory'!AN230="", "", 'Lighting Inventory'!AN230)</f>
        <v/>
      </c>
      <c r="T285" s="1186"/>
      <c r="U285" s="1186"/>
      <c r="V285" s="1186"/>
      <c r="W285" s="1186"/>
      <c r="X285" s="1186"/>
      <c r="Y285" s="1186"/>
      <c r="Z285" s="1186"/>
    </row>
    <row r="286" spans="1:26" ht="11.25" customHeight="1" x14ac:dyDescent="0.25">
      <c r="A286" s="89">
        <v>221</v>
      </c>
      <c r="B286" s="469">
        <f>'Lighting Inventory'!I231</f>
        <v>0</v>
      </c>
      <c r="C286" s="1188" t="str">
        <f>IF('Lighting Inventory'!D231="", "", 'Lighting Inventory'!D231)</f>
        <v/>
      </c>
      <c r="D286" s="1188"/>
      <c r="E286" s="1188"/>
      <c r="F286" s="469" t="str">
        <f>IF('Lighting Inventory'!E231="", "", 'Lighting Inventory'!E231)</f>
        <v/>
      </c>
      <c r="G286" s="89" t="str">
        <f>IF('Lighting Inventory'!G231="", "", IF('Lighting Inventory'!G231="Air Conditioned", "Y", "N"))</f>
        <v/>
      </c>
      <c r="H286" s="90">
        <f>'Lighting Inventory'!H231</f>
        <v>0</v>
      </c>
      <c r="I286" s="469" t="str">
        <f>IF('Lighting Inventory'!J231="", "", 'Lighting Inventory'!J231)</f>
        <v/>
      </c>
      <c r="J286" s="91" t="str">
        <f>IF('Lighting Inventory'!K231="", "", 'Lighting Inventory'!K231)</f>
        <v/>
      </c>
      <c r="K286" s="1188" t="str">
        <f>IF('Lighting Inventory'!S231="", "", 'Lighting Inventory'!S231)</f>
        <v/>
      </c>
      <c r="L286" s="1188"/>
      <c r="M286" s="1189" t="str">
        <f>IF('Lighting Inventory'!E231="", "", 'Lighting Inventory'!W231)</f>
        <v/>
      </c>
      <c r="N286" s="1189"/>
      <c r="O286" s="1189"/>
      <c r="P286" s="1189"/>
      <c r="Q286" s="1189"/>
      <c r="R286" s="469" t="str">
        <f>IF('Lighting Inventory'!AE231="", "", 'Lighting Inventory'!AE231)</f>
        <v/>
      </c>
      <c r="S286" s="92" t="str">
        <f>IF('Lighting Inventory'!AN231="", "", 'Lighting Inventory'!AN231)</f>
        <v/>
      </c>
      <c r="T286" s="1188"/>
      <c r="U286" s="1188"/>
      <c r="V286" s="1188"/>
      <c r="W286" s="1188"/>
      <c r="X286" s="1188"/>
      <c r="Y286" s="1188"/>
      <c r="Z286" s="1188"/>
    </row>
    <row r="287" spans="1:26" ht="11.25" customHeight="1" x14ac:dyDescent="0.25">
      <c r="A287" s="93">
        <v>222</v>
      </c>
      <c r="B287" s="468">
        <f>'Lighting Inventory'!I232</f>
        <v>0</v>
      </c>
      <c r="C287" s="1186" t="str">
        <f>IF('Lighting Inventory'!D232="", "", 'Lighting Inventory'!D232)</f>
        <v/>
      </c>
      <c r="D287" s="1186"/>
      <c r="E287" s="1186"/>
      <c r="F287" s="468" t="str">
        <f>IF('Lighting Inventory'!E232="", "", 'Lighting Inventory'!E232)</f>
        <v/>
      </c>
      <c r="G287" s="93" t="str">
        <f>IF('Lighting Inventory'!G232="", "", IF('Lighting Inventory'!G232="Air Conditioned", "Y", "N"))</f>
        <v/>
      </c>
      <c r="H287" s="94">
        <f>'Lighting Inventory'!H232</f>
        <v>0</v>
      </c>
      <c r="I287" s="94" t="str">
        <f>IF('Lighting Inventory'!J232="", "", 'Lighting Inventory'!J232)</f>
        <v/>
      </c>
      <c r="J287" s="94" t="str">
        <f>IF('Lighting Inventory'!K232="", "", 'Lighting Inventory'!K232)</f>
        <v/>
      </c>
      <c r="K287" s="1186" t="str">
        <f>IF('Lighting Inventory'!S232="", "", 'Lighting Inventory'!S232)</f>
        <v/>
      </c>
      <c r="L287" s="1186"/>
      <c r="M287" s="1187" t="str">
        <f>IF('Lighting Inventory'!E232="", "", 'Lighting Inventory'!W232)</f>
        <v/>
      </c>
      <c r="N287" s="1187"/>
      <c r="O287" s="1187"/>
      <c r="P287" s="1187"/>
      <c r="Q287" s="1187"/>
      <c r="R287" s="468" t="str">
        <f>IF('Lighting Inventory'!AE232="", "", 'Lighting Inventory'!AE232)</f>
        <v/>
      </c>
      <c r="S287" s="95" t="str">
        <f>IF('Lighting Inventory'!AN232="", "", 'Lighting Inventory'!AN232)</f>
        <v/>
      </c>
      <c r="T287" s="1186"/>
      <c r="U287" s="1186"/>
      <c r="V287" s="1186"/>
      <c r="W287" s="1186"/>
      <c r="X287" s="1186"/>
      <c r="Y287" s="1186"/>
      <c r="Z287" s="1186"/>
    </row>
    <row r="288" spans="1:26" ht="11.25" customHeight="1" x14ac:dyDescent="0.25">
      <c r="A288" s="89">
        <v>223</v>
      </c>
      <c r="B288" s="469">
        <f>'Lighting Inventory'!I233</f>
        <v>0</v>
      </c>
      <c r="C288" s="1188" t="str">
        <f>IF('Lighting Inventory'!D233="", "", 'Lighting Inventory'!D233)</f>
        <v/>
      </c>
      <c r="D288" s="1188"/>
      <c r="E288" s="1188"/>
      <c r="F288" s="469" t="str">
        <f>IF('Lighting Inventory'!E233="", "", 'Lighting Inventory'!E233)</f>
        <v/>
      </c>
      <c r="G288" s="89" t="str">
        <f>IF('Lighting Inventory'!G233="", "", IF('Lighting Inventory'!G233="Air Conditioned", "Y", "N"))</f>
        <v/>
      </c>
      <c r="H288" s="90">
        <f>'Lighting Inventory'!H233</f>
        <v>0</v>
      </c>
      <c r="I288" s="469" t="str">
        <f>IF('Lighting Inventory'!J233="", "", 'Lighting Inventory'!J233)</f>
        <v/>
      </c>
      <c r="J288" s="91" t="str">
        <f>IF('Lighting Inventory'!K233="", "", 'Lighting Inventory'!K233)</f>
        <v/>
      </c>
      <c r="K288" s="1188" t="str">
        <f>IF('Lighting Inventory'!S233="", "", 'Lighting Inventory'!S233)</f>
        <v/>
      </c>
      <c r="L288" s="1188"/>
      <c r="M288" s="1189" t="str">
        <f>IF('Lighting Inventory'!E233="", "", 'Lighting Inventory'!W233)</f>
        <v/>
      </c>
      <c r="N288" s="1189"/>
      <c r="O288" s="1189"/>
      <c r="P288" s="1189"/>
      <c r="Q288" s="1189"/>
      <c r="R288" s="469" t="str">
        <f>IF('Lighting Inventory'!AE233="", "", 'Lighting Inventory'!AE233)</f>
        <v/>
      </c>
      <c r="S288" s="92" t="str">
        <f>IF('Lighting Inventory'!AN233="", "", 'Lighting Inventory'!AN233)</f>
        <v/>
      </c>
      <c r="T288" s="1188"/>
      <c r="U288" s="1188"/>
      <c r="V288" s="1188"/>
      <c r="W288" s="1188"/>
      <c r="X288" s="1188"/>
      <c r="Y288" s="1188"/>
      <c r="Z288" s="1188"/>
    </row>
    <row r="289" spans="1:26" ht="11.25" customHeight="1" x14ac:dyDescent="0.25">
      <c r="A289" s="93">
        <v>224</v>
      </c>
      <c r="B289" s="468">
        <f>'Lighting Inventory'!I234</f>
        <v>0</v>
      </c>
      <c r="C289" s="1186" t="str">
        <f>IF('Lighting Inventory'!D234="", "", 'Lighting Inventory'!D234)</f>
        <v/>
      </c>
      <c r="D289" s="1186"/>
      <c r="E289" s="1186"/>
      <c r="F289" s="468" t="str">
        <f>IF('Lighting Inventory'!E234="", "", 'Lighting Inventory'!E234)</f>
        <v/>
      </c>
      <c r="G289" s="93" t="str">
        <f>IF('Lighting Inventory'!G234="", "", IF('Lighting Inventory'!G234="Air Conditioned", "Y", "N"))</f>
        <v/>
      </c>
      <c r="H289" s="94">
        <f>'Lighting Inventory'!H234</f>
        <v>0</v>
      </c>
      <c r="I289" s="94" t="str">
        <f>IF('Lighting Inventory'!J234="", "", 'Lighting Inventory'!J234)</f>
        <v/>
      </c>
      <c r="J289" s="94" t="str">
        <f>IF('Lighting Inventory'!K234="", "", 'Lighting Inventory'!K234)</f>
        <v/>
      </c>
      <c r="K289" s="1186" t="str">
        <f>IF('Lighting Inventory'!S234="", "", 'Lighting Inventory'!S234)</f>
        <v/>
      </c>
      <c r="L289" s="1186"/>
      <c r="M289" s="1187" t="str">
        <f>IF('Lighting Inventory'!E234="", "", 'Lighting Inventory'!W234)</f>
        <v/>
      </c>
      <c r="N289" s="1187"/>
      <c r="O289" s="1187"/>
      <c r="P289" s="1187"/>
      <c r="Q289" s="1187"/>
      <c r="R289" s="468" t="str">
        <f>IF('Lighting Inventory'!AE234="", "", 'Lighting Inventory'!AE234)</f>
        <v/>
      </c>
      <c r="S289" s="95" t="str">
        <f>IF('Lighting Inventory'!AN234="", "", 'Lighting Inventory'!AN234)</f>
        <v/>
      </c>
      <c r="T289" s="1186"/>
      <c r="U289" s="1186"/>
      <c r="V289" s="1186"/>
      <c r="W289" s="1186"/>
      <c r="X289" s="1186"/>
      <c r="Y289" s="1186"/>
      <c r="Z289" s="1186"/>
    </row>
    <row r="290" spans="1:26" ht="11.25" customHeight="1" x14ac:dyDescent="0.25">
      <c r="A290" s="89">
        <v>225</v>
      </c>
      <c r="B290" s="469">
        <f>'Lighting Inventory'!I235</f>
        <v>0</v>
      </c>
      <c r="C290" s="1188" t="str">
        <f>IF('Lighting Inventory'!D235="", "", 'Lighting Inventory'!D235)</f>
        <v/>
      </c>
      <c r="D290" s="1188"/>
      <c r="E290" s="1188"/>
      <c r="F290" s="469" t="str">
        <f>IF('Lighting Inventory'!E235="", "", 'Lighting Inventory'!E235)</f>
        <v/>
      </c>
      <c r="G290" s="89" t="str">
        <f>IF('Lighting Inventory'!G235="", "", IF('Lighting Inventory'!G235="Air Conditioned", "Y", "N"))</f>
        <v/>
      </c>
      <c r="H290" s="90">
        <f>'Lighting Inventory'!H235</f>
        <v>0</v>
      </c>
      <c r="I290" s="469" t="str">
        <f>IF('Lighting Inventory'!J235="", "", 'Lighting Inventory'!J235)</f>
        <v/>
      </c>
      <c r="J290" s="91" t="str">
        <f>IF('Lighting Inventory'!K235="", "", 'Lighting Inventory'!K235)</f>
        <v/>
      </c>
      <c r="K290" s="1188" t="str">
        <f>IF('Lighting Inventory'!S235="", "", 'Lighting Inventory'!S235)</f>
        <v/>
      </c>
      <c r="L290" s="1188"/>
      <c r="M290" s="1189" t="str">
        <f>IF('Lighting Inventory'!E235="", "", 'Lighting Inventory'!W235)</f>
        <v/>
      </c>
      <c r="N290" s="1189"/>
      <c r="O290" s="1189"/>
      <c r="P290" s="1189"/>
      <c r="Q290" s="1189"/>
      <c r="R290" s="469" t="str">
        <f>IF('Lighting Inventory'!AE235="", "", 'Lighting Inventory'!AE235)</f>
        <v/>
      </c>
      <c r="S290" s="92" t="str">
        <f>IF('Lighting Inventory'!AN235="", "", 'Lighting Inventory'!AN235)</f>
        <v/>
      </c>
      <c r="T290" s="1188"/>
      <c r="U290" s="1188"/>
      <c r="V290" s="1188"/>
      <c r="W290" s="1188"/>
      <c r="X290" s="1188"/>
      <c r="Y290" s="1188"/>
      <c r="Z290" s="1188"/>
    </row>
    <row r="291" spans="1:26" ht="11.25" customHeight="1" x14ac:dyDescent="0.25">
      <c r="A291" s="93">
        <v>226</v>
      </c>
      <c r="B291" s="468">
        <f>'Lighting Inventory'!I236</f>
        <v>0</v>
      </c>
      <c r="C291" s="1186" t="str">
        <f>IF('Lighting Inventory'!D236="", "", 'Lighting Inventory'!D236)</f>
        <v/>
      </c>
      <c r="D291" s="1186"/>
      <c r="E291" s="1186"/>
      <c r="F291" s="468" t="str">
        <f>IF('Lighting Inventory'!E236="", "", 'Lighting Inventory'!E236)</f>
        <v/>
      </c>
      <c r="G291" s="93" t="str">
        <f>IF('Lighting Inventory'!G236="", "", IF('Lighting Inventory'!G236="Air Conditioned", "Y", "N"))</f>
        <v/>
      </c>
      <c r="H291" s="94">
        <f>'Lighting Inventory'!H236</f>
        <v>0</v>
      </c>
      <c r="I291" s="94" t="str">
        <f>IF('Lighting Inventory'!J236="", "", 'Lighting Inventory'!J236)</f>
        <v/>
      </c>
      <c r="J291" s="94" t="str">
        <f>IF('Lighting Inventory'!K236="", "", 'Lighting Inventory'!K236)</f>
        <v/>
      </c>
      <c r="K291" s="1186" t="str">
        <f>IF('Lighting Inventory'!S236="", "", 'Lighting Inventory'!S236)</f>
        <v/>
      </c>
      <c r="L291" s="1186"/>
      <c r="M291" s="1187" t="str">
        <f>IF('Lighting Inventory'!E236="", "", 'Lighting Inventory'!W236)</f>
        <v/>
      </c>
      <c r="N291" s="1187"/>
      <c r="O291" s="1187"/>
      <c r="P291" s="1187"/>
      <c r="Q291" s="1187"/>
      <c r="R291" s="468" t="str">
        <f>IF('Lighting Inventory'!AE236="", "", 'Lighting Inventory'!AE236)</f>
        <v/>
      </c>
      <c r="S291" s="95" t="str">
        <f>IF('Lighting Inventory'!AN236="", "", 'Lighting Inventory'!AN236)</f>
        <v/>
      </c>
      <c r="T291" s="1186"/>
      <c r="U291" s="1186"/>
      <c r="V291" s="1186"/>
      <c r="W291" s="1186"/>
      <c r="X291" s="1186"/>
      <c r="Y291" s="1186"/>
      <c r="Z291" s="1186"/>
    </row>
    <row r="292" spans="1:26" ht="11.25" customHeight="1" x14ac:dyDescent="0.25">
      <c r="A292" s="89">
        <v>227</v>
      </c>
      <c r="B292" s="469">
        <f>'Lighting Inventory'!I237</f>
        <v>0</v>
      </c>
      <c r="C292" s="1188" t="str">
        <f>IF('Lighting Inventory'!D237="", "", 'Lighting Inventory'!D237)</f>
        <v/>
      </c>
      <c r="D292" s="1188"/>
      <c r="E292" s="1188"/>
      <c r="F292" s="469" t="str">
        <f>IF('Lighting Inventory'!E237="", "", 'Lighting Inventory'!E237)</f>
        <v/>
      </c>
      <c r="G292" s="89" t="str">
        <f>IF('Lighting Inventory'!G237="", "", IF('Lighting Inventory'!G237="Air Conditioned", "Y", "N"))</f>
        <v/>
      </c>
      <c r="H292" s="90">
        <f>'Lighting Inventory'!H237</f>
        <v>0</v>
      </c>
      <c r="I292" s="469" t="str">
        <f>IF('Lighting Inventory'!J237="", "", 'Lighting Inventory'!J237)</f>
        <v/>
      </c>
      <c r="J292" s="91" t="str">
        <f>IF('Lighting Inventory'!K237="", "", 'Lighting Inventory'!K237)</f>
        <v/>
      </c>
      <c r="K292" s="1188" t="str">
        <f>IF('Lighting Inventory'!S237="", "", 'Lighting Inventory'!S237)</f>
        <v/>
      </c>
      <c r="L292" s="1188"/>
      <c r="M292" s="1189" t="str">
        <f>IF('Lighting Inventory'!E237="", "", 'Lighting Inventory'!W237)</f>
        <v/>
      </c>
      <c r="N292" s="1189"/>
      <c r="O292" s="1189"/>
      <c r="P292" s="1189"/>
      <c r="Q292" s="1189"/>
      <c r="R292" s="469" t="str">
        <f>IF('Lighting Inventory'!AE237="", "", 'Lighting Inventory'!AE237)</f>
        <v/>
      </c>
      <c r="S292" s="92" t="str">
        <f>IF('Lighting Inventory'!AN237="", "", 'Lighting Inventory'!AN237)</f>
        <v/>
      </c>
      <c r="T292" s="1188"/>
      <c r="U292" s="1188"/>
      <c r="V292" s="1188"/>
      <c r="W292" s="1188"/>
      <c r="X292" s="1188"/>
      <c r="Y292" s="1188"/>
      <c r="Z292" s="1188"/>
    </row>
    <row r="293" spans="1:26" ht="11.25" customHeight="1" x14ac:dyDescent="0.25">
      <c r="A293" s="93">
        <v>228</v>
      </c>
      <c r="B293" s="468">
        <f>'Lighting Inventory'!I238</f>
        <v>0</v>
      </c>
      <c r="C293" s="1186" t="str">
        <f>IF('Lighting Inventory'!D238="", "", 'Lighting Inventory'!D238)</f>
        <v/>
      </c>
      <c r="D293" s="1186"/>
      <c r="E293" s="1186"/>
      <c r="F293" s="468" t="str">
        <f>IF('Lighting Inventory'!E238="", "", 'Lighting Inventory'!E238)</f>
        <v/>
      </c>
      <c r="G293" s="93" t="str">
        <f>IF('Lighting Inventory'!G238="", "", IF('Lighting Inventory'!G238="Air Conditioned", "Y", "N"))</f>
        <v/>
      </c>
      <c r="H293" s="94">
        <f>'Lighting Inventory'!H238</f>
        <v>0</v>
      </c>
      <c r="I293" s="94" t="str">
        <f>IF('Lighting Inventory'!J238="", "", 'Lighting Inventory'!J238)</f>
        <v/>
      </c>
      <c r="J293" s="94" t="str">
        <f>IF('Lighting Inventory'!K238="", "", 'Lighting Inventory'!K238)</f>
        <v/>
      </c>
      <c r="K293" s="1186" t="str">
        <f>IF('Lighting Inventory'!S238="", "", 'Lighting Inventory'!S238)</f>
        <v/>
      </c>
      <c r="L293" s="1186"/>
      <c r="M293" s="1187" t="str">
        <f>IF('Lighting Inventory'!E238="", "", 'Lighting Inventory'!W238)</f>
        <v/>
      </c>
      <c r="N293" s="1187"/>
      <c r="O293" s="1187"/>
      <c r="P293" s="1187"/>
      <c r="Q293" s="1187"/>
      <c r="R293" s="468" t="str">
        <f>IF('Lighting Inventory'!AE238="", "", 'Lighting Inventory'!AE238)</f>
        <v/>
      </c>
      <c r="S293" s="95" t="str">
        <f>IF('Lighting Inventory'!AN238="", "", 'Lighting Inventory'!AN238)</f>
        <v/>
      </c>
      <c r="T293" s="1186"/>
      <c r="U293" s="1186"/>
      <c r="V293" s="1186"/>
      <c r="W293" s="1186"/>
      <c r="X293" s="1186"/>
      <c r="Y293" s="1186"/>
      <c r="Z293" s="1186"/>
    </row>
    <row r="294" spans="1:26" ht="11.25" customHeight="1" x14ac:dyDescent="0.25">
      <c r="A294" s="89">
        <v>229</v>
      </c>
      <c r="B294" s="469">
        <f>'Lighting Inventory'!I239</f>
        <v>0</v>
      </c>
      <c r="C294" s="1188" t="str">
        <f>IF('Lighting Inventory'!D239="", "", 'Lighting Inventory'!D239)</f>
        <v/>
      </c>
      <c r="D294" s="1188"/>
      <c r="E294" s="1188"/>
      <c r="F294" s="469" t="str">
        <f>IF('Lighting Inventory'!E239="", "", 'Lighting Inventory'!E239)</f>
        <v/>
      </c>
      <c r="G294" s="89" t="str">
        <f>IF('Lighting Inventory'!G239="", "", IF('Lighting Inventory'!G239="Air Conditioned", "Y", "N"))</f>
        <v/>
      </c>
      <c r="H294" s="90">
        <f>'Lighting Inventory'!H239</f>
        <v>0</v>
      </c>
      <c r="I294" s="469" t="str">
        <f>IF('Lighting Inventory'!J239="", "", 'Lighting Inventory'!J239)</f>
        <v/>
      </c>
      <c r="J294" s="91" t="str">
        <f>IF('Lighting Inventory'!K239="", "", 'Lighting Inventory'!K239)</f>
        <v/>
      </c>
      <c r="K294" s="1188" t="str">
        <f>IF('Lighting Inventory'!S239="", "", 'Lighting Inventory'!S239)</f>
        <v/>
      </c>
      <c r="L294" s="1188"/>
      <c r="M294" s="1189" t="str">
        <f>IF('Lighting Inventory'!E239="", "", 'Lighting Inventory'!W239)</f>
        <v/>
      </c>
      <c r="N294" s="1189"/>
      <c r="O294" s="1189"/>
      <c r="P294" s="1189"/>
      <c r="Q294" s="1189"/>
      <c r="R294" s="469" t="str">
        <f>IF('Lighting Inventory'!AE239="", "", 'Lighting Inventory'!AE239)</f>
        <v/>
      </c>
      <c r="S294" s="92" t="str">
        <f>IF('Lighting Inventory'!AN239="", "", 'Lighting Inventory'!AN239)</f>
        <v/>
      </c>
      <c r="T294" s="1188"/>
      <c r="U294" s="1188"/>
      <c r="V294" s="1188"/>
      <c r="W294" s="1188"/>
      <c r="X294" s="1188"/>
      <c r="Y294" s="1188"/>
      <c r="Z294" s="1188"/>
    </row>
    <row r="295" spans="1:26" ht="11.25" customHeight="1" x14ac:dyDescent="0.25">
      <c r="A295" s="93">
        <v>230</v>
      </c>
      <c r="B295" s="468">
        <f>'Lighting Inventory'!I240</f>
        <v>0</v>
      </c>
      <c r="C295" s="1186" t="str">
        <f>IF('Lighting Inventory'!D240="", "", 'Lighting Inventory'!D240)</f>
        <v/>
      </c>
      <c r="D295" s="1186"/>
      <c r="E295" s="1186"/>
      <c r="F295" s="468" t="str">
        <f>IF('Lighting Inventory'!E240="", "", 'Lighting Inventory'!E240)</f>
        <v/>
      </c>
      <c r="G295" s="93" t="str">
        <f>IF('Lighting Inventory'!G240="", "", IF('Lighting Inventory'!G240="Air Conditioned", "Y", "N"))</f>
        <v/>
      </c>
      <c r="H295" s="94">
        <f>'Lighting Inventory'!H240</f>
        <v>0</v>
      </c>
      <c r="I295" s="94" t="str">
        <f>IF('Lighting Inventory'!J240="", "", 'Lighting Inventory'!J240)</f>
        <v/>
      </c>
      <c r="J295" s="94" t="str">
        <f>IF('Lighting Inventory'!K240="", "", 'Lighting Inventory'!K240)</f>
        <v/>
      </c>
      <c r="K295" s="1186" t="str">
        <f>IF('Lighting Inventory'!S240="", "", 'Lighting Inventory'!S240)</f>
        <v/>
      </c>
      <c r="L295" s="1186"/>
      <c r="M295" s="1187" t="str">
        <f>IF('Lighting Inventory'!E240="", "", 'Lighting Inventory'!W240)</f>
        <v/>
      </c>
      <c r="N295" s="1187"/>
      <c r="O295" s="1187"/>
      <c r="P295" s="1187"/>
      <c r="Q295" s="1187"/>
      <c r="R295" s="468" t="str">
        <f>IF('Lighting Inventory'!AE240="", "", 'Lighting Inventory'!AE240)</f>
        <v/>
      </c>
      <c r="S295" s="95" t="str">
        <f>IF('Lighting Inventory'!AN240="", "", 'Lighting Inventory'!AN240)</f>
        <v/>
      </c>
      <c r="T295" s="1186"/>
      <c r="U295" s="1186"/>
      <c r="V295" s="1186"/>
      <c r="W295" s="1186"/>
      <c r="X295" s="1186"/>
      <c r="Y295" s="1186"/>
      <c r="Z295" s="1186"/>
    </row>
    <row r="296" spans="1:26" ht="11.25" customHeight="1" x14ac:dyDescent="0.25">
      <c r="A296" s="89">
        <v>231</v>
      </c>
      <c r="B296" s="469">
        <f>'Lighting Inventory'!I241</f>
        <v>0</v>
      </c>
      <c r="C296" s="1188" t="str">
        <f>IF('Lighting Inventory'!D241="", "", 'Lighting Inventory'!D241)</f>
        <v/>
      </c>
      <c r="D296" s="1188"/>
      <c r="E296" s="1188"/>
      <c r="F296" s="469" t="str">
        <f>IF('Lighting Inventory'!E241="", "", 'Lighting Inventory'!E241)</f>
        <v/>
      </c>
      <c r="G296" s="89" t="str">
        <f>IF('Lighting Inventory'!G241="", "", IF('Lighting Inventory'!G241="Air Conditioned", "Y", "N"))</f>
        <v/>
      </c>
      <c r="H296" s="90">
        <f>'Lighting Inventory'!H241</f>
        <v>0</v>
      </c>
      <c r="I296" s="469" t="str">
        <f>IF('Lighting Inventory'!J241="", "", 'Lighting Inventory'!J241)</f>
        <v/>
      </c>
      <c r="J296" s="91" t="str">
        <f>IF('Lighting Inventory'!K241="", "", 'Lighting Inventory'!K241)</f>
        <v/>
      </c>
      <c r="K296" s="1188" t="str">
        <f>IF('Lighting Inventory'!S241="", "", 'Lighting Inventory'!S241)</f>
        <v/>
      </c>
      <c r="L296" s="1188"/>
      <c r="M296" s="1189" t="str">
        <f>IF('Lighting Inventory'!E241="", "", 'Lighting Inventory'!W241)</f>
        <v/>
      </c>
      <c r="N296" s="1189"/>
      <c r="O296" s="1189"/>
      <c r="P296" s="1189"/>
      <c r="Q296" s="1189"/>
      <c r="R296" s="469" t="str">
        <f>IF('Lighting Inventory'!AE241="", "", 'Lighting Inventory'!AE241)</f>
        <v/>
      </c>
      <c r="S296" s="92" t="str">
        <f>IF('Lighting Inventory'!AN241="", "", 'Lighting Inventory'!AN241)</f>
        <v/>
      </c>
      <c r="T296" s="1188"/>
      <c r="U296" s="1188"/>
      <c r="V296" s="1188"/>
      <c r="W296" s="1188"/>
      <c r="X296" s="1188"/>
      <c r="Y296" s="1188"/>
      <c r="Z296" s="1188"/>
    </row>
    <row r="297" spans="1:26" ht="11.25" customHeight="1" x14ac:dyDescent="0.25">
      <c r="A297" s="93">
        <v>232</v>
      </c>
      <c r="B297" s="468">
        <f>'Lighting Inventory'!I242</f>
        <v>0</v>
      </c>
      <c r="C297" s="1186" t="str">
        <f>IF('Lighting Inventory'!D242="", "", 'Lighting Inventory'!D242)</f>
        <v/>
      </c>
      <c r="D297" s="1186"/>
      <c r="E297" s="1186"/>
      <c r="F297" s="468" t="str">
        <f>IF('Lighting Inventory'!E242="", "", 'Lighting Inventory'!E242)</f>
        <v/>
      </c>
      <c r="G297" s="93" t="str">
        <f>IF('Lighting Inventory'!G242="", "", IF('Lighting Inventory'!G242="Air Conditioned", "Y", "N"))</f>
        <v/>
      </c>
      <c r="H297" s="94">
        <f>'Lighting Inventory'!H242</f>
        <v>0</v>
      </c>
      <c r="I297" s="94" t="str">
        <f>IF('Lighting Inventory'!J242="", "", 'Lighting Inventory'!J242)</f>
        <v/>
      </c>
      <c r="J297" s="94" t="str">
        <f>IF('Lighting Inventory'!K242="", "", 'Lighting Inventory'!K242)</f>
        <v/>
      </c>
      <c r="K297" s="1186" t="str">
        <f>IF('Lighting Inventory'!S242="", "", 'Lighting Inventory'!S242)</f>
        <v/>
      </c>
      <c r="L297" s="1186"/>
      <c r="M297" s="1187" t="str">
        <f>IF('Lighting Inventory'!E242="", "", 'Lighting Inventory'!W242)</f>
        <v/>
      </c>
      <c r="N297" s="1187"/>
      <c r="O297" s="1187"/>
      <c r="P297" s="1187"/>
      <c r="Q297" s="1187"/>
      <c r="R297" s="468" t="str">
        <f>IF('Lighting Inventory'!AE242="", "", 'Lighting Inventory'!AE242)</f>
        <v/>
      </c>
      <c r="S297" s="95" t="str">
        <f>IF('Lighting Inventory'!AN242="", "", 'Lighting Inventory'!AN242)</f>
        <v/>
      </c>
      <c r="T297" s="1186"/>
      <c r="U297" s="1186"/>
      <c r="V297" s="1186"/>
      <c r="W297" s="1186"/>
      <c r="X297" s="1186"/>
      <c r="Y297" s="1186"/>
      <c r="Z297" s="1186"/>
    </row>
    <row r="298" spans="1:26" ht="11.25" customHeight="1" x14ac:dyDescent="0.25">
      <c r="A298" s="89">
        <v>233</v>
      </c>
      <c r="B298" s="469">
        <f>'Lighting Inventory'!I243</f>
        <v>0</v>
      </c>
      <c r="C298" s="1188" t="str">
        <f>IF('Lighting Inventory'!D243="", "", 'Lighting Inventory'!D243)</f>
        <v/>
      </c>
      <c r="D298" s="1188"/>
      <c r="E298" s="1188"/>
      <c r="F298" s="469" t="str">
        <f>IF('Lighting Inventory'!E243="", "", 'Lighting Inventory'!E243)</f>
        <v/>
      </c>
      <c r="G298" s="89" t="str">
        <f>IF('Lighting Inventory'!G243="", "", IF('Lighting Inventory'!G243="Air Conditioned", "Y", "N"))</f>
        <v/>
      </c>
      <c r="H298" s="90">
        <f>'Lighting Inventory'!H243</f>
        <v>0</v>
      </c>
      <c r="I298" s="469" t="str">
        <f>IF('Lighting Inventory'!J243="", "", 'Lighting Inventory'!J243)</f>
        <v/>
      </c>
      <c r="J298" s="91" t="str">
        <f>IF('Lighting Inventory'!K243="", "", 'Lighting Inventory'!K243)</f>
        <v/>
      </c>
      <c r="K298" s="1188" t="str">
        <f>IF('Lighting Inventory'!S243="", "", 'Lighting Inventory'!S243)</f>
        <v/>
      </c>
      <c r="L298" s="1188"/>
      <c r="M298" s="1189" t="str">
        <f>IF('Lighting Inventory'!E243="", "", 'Lighting Inventory'!W243)</f>
        <v/>
      </c>
      <c r="N298" s="1189"/>
      <c r="O298" s="1189"/>
      <c r="P298" s="1189"/>
      <c r="Q298" s="1189"/>
      <c r="R298" s="469" t="str">
        <f>IF('Lighting Inventory'!AE243="", "", 'Lighting Inventory'!AE243)</f>
        <v/>
      </c>
      <c r="S298" s="92" t="str">
        <f>IF('Lighting Inventory'!AN243="", "", 'Lighting Inventory'!AN243)</f>
        <v/>
      </c>
      <c r="T298" s="1188"/>
      <c r="U298" s="1188"/>
      <c r="V298" s="1188"/>
      <c r="W298" s="1188"/>
      <c r="X298" s="1188"/>
      <c r="Y298" s="1188"/>
      <c r="Z298" s="1188"/>
    </row>
    <row r="299" spans="1:26" ht="11.25" customHeight="1" x14ac:dyDescent="0.25">
      <c r="A299" s="93">
        <v>234</v>
      </c>
      <c r="B299" s="468">
        <f>'Lighting Inventory'!I244</f>
        <v>0</v>
      </c>
      <c r="C299" s="1186" t="str">
        <f>IF('Lighting Inventory'!D244="", "", 'Lighting Inventory'!D244)</f>
        <v/>
      </c>
      <c r="D299" s="1186"/>
      <c r="E299" s="1186"/>
      <c r="F299" s="468" t="str">
        <f>IF('Lighting Inventory'!E244="", "", 'Lighting Inventory'!E244)</f>
        <v/>
      </c>
      <c r="G299" s="93" t="str">
        <f>IF('Lighting Inventory'!G244="", "", IF('Lighting Inventory'!G244="Air Conditioned", "Y", "N"))</f>
        <v/>
      </c>
      <c r="H299" s="94">
        <f>'Lighting Inventory'!H244</f>
        <v>0</v>
      </c>
      <c r="I299" s="94" t="str">
        <f>IF('Lighting Inventory'!J244="", "", 'Lighting Inventory'!J244)</f>
        <v/>
      </c>
      <c r="J299" s="94" t="str">
        <f>IF('Lighting Inventory'!K244="", "", 'Lighting Inventory'!K244)</f>
        <v/>
      </c>
      <c r="K299" s="1186" t="str">
        <f>IF('Lighting Inventory'!S244="", "", 'Lighting Inventory'!S244)</f>
        <v/>
      </c>
      <c r="L299" s="1186"/>
      <c r="M299" s="1187" t="str">
        <f>IF('Lighting Inventory'!E244="", "", 'Lighting Inventory'!W244)</f>
        <v/>
      </c>
      <c r="N299" s="1187"/>
      <c r="O299" s="1187"/>
      <c r="P299" s="1187"/>
      <c r="Q299" s="1187"/>
      <c r="R299" s="468" t="str">
        <f>IF('Lighting Inventory'!AE244="", "", 'Lighting Inventory'!AE244)</f>
        <v/>
      </c>
      <c r="S299" s="95" t="str">
        <f>IF('Lighting Inventory'!AN244="", "", 'Lighting Inventory'!AN244)</f>
        <v/>
      </c>
      <c r="T299" s="1186"/>
      <c r="U299" s="1186"/>
      <c r="V299" s="1186"/>
      <c r="W299" s="1186"/>
      <c r="X299" s="1186"/>
      <c r="Y299" s="1186"/>
      <c r="Z299" s="1186"/>
    </row>
    <row r="300" spans="1:26" ht="11.25" customHeight="1" x14ac:dyDescent="0.25">
      <c r="A300" s="89">
        <v>235</v>
      </c>
      <c r="B300" s="469">
        <f>'Lighting Inventory'!I245</f>
        <v>0</v>
      </c>
      <c r="C300" s="1188" t="str">
        <f>IF('Lighting Inventory'!D245="", "", 'Lighting Inventory'!D245)</f>
        <v/>
      </c>
      <c r="D300" s="1188"/>
      <c r="E300" s="1188"/>
      <c r="F300" s="469" t="str">
        <f>IF('Lighting Inventory'!E245="", "", 'Lighting Inventory'!E245)</f>
        <v/>
      </c>
      <c r="G300" s="89" t="str">
        <f>IF('Lighting Inventory'!G245="", "", IF('Lighting Inventory'!G245="Air Conditioned", "Y", "N"))</f>
        <v/>
      </c>
      <c r="H300" s="90">
        <f>'Lighting Inventory'!H245</f>
        <v>0</v>
      </c>
      <c r="I300" s="469" t="str">
        <f>IF('Lighting Inventory'!J245="", "", 'Lighting Inventory'!J245)</f>
        <v/>
      </c>
      <c r="J300" s="91" t="str">
        <f>IF('Lighting Inventory'!K245="", "", 'Lighting Inventory'!K245)</f>
        <v/>
      </c>
      <c r="K300" s="1188" t="str">
        <f>IF('Lighting Inventory'!S245="", "", 'Lighting Inventory'!S245)</f>
        <v/>
      </c>
      <c r="L300" s="1188"/>
      <c r="M300" s="1189" t="str">
        <f>IF('Lighting Inventory'!E245="", "", 'Lighting Inventory'!W245)</f>
        <v/>
      </c>
      <c r="N300" s="1189"/>
      <c r="O300" s="1189"/>
      <c r="P300" s="1189"/>
      <c r="Q300" s="1189"/>
      <c r="R300" s="469" t="str">
        <f>IF('Lighting Inventory'!AE245="", "", 'Lighting Inventory'!AE245)</f>
        <v/>
      </c>
      <c r="S300" s="92" t="str">
        <f>IF('Lighting Inventory'!AN245="", "", 'Lighting Inventory'!AN245)</f>
        <v/>
      </c>
      <c r="T300" s="1188"/>
      <c r="U300" s="1188"/>
      <c r="V300" s="1188"/>
      <c r="W300" s="1188"/>
      <c r="X300" s="1188"/>
      <c r="Y300" s="1188"/>
      <c r="Z300" s="1188"/>
    </row>
    <row r="301" spans="1:26" ht="11.25" customHeight="1" x14ac:dyDescent="0.25">
      <c r="A301" s="93">
        <v>236</v>
      </c>
      <c r="B301" s="468">
        <f>'Lighting Inventory'!I246</f>
        <v>0</v>
      </c>
      <c r="C301" s="1186" t="str">
        <f>IF('Lighting Inventory'!D246="", "", 'Lighting Inventory'!D246)</f>
        <v/>
      </c>
      <c r="D301" s="1186"/>
      <c r="E301" s="1186"/>
      <c r="F301" s="468" t="str">
        <f>IF('Lighting Inventory'!E246="", "", 'Lighting Inventory'!E246)</f>
        <v/>
      </c>
      <c r="G301" s="93" t="str">
        <f>IF('Lighting Inventory'!G246="", "", IF('Lighting Inventory'!G246="Air Conditioned", "Y", "N"))</f>
        <v/>
      </c>
      <c r="H301" s="94">
        <f>'Lighting Inventory'!H246</f>
        <v>0</v>
      </c>
      <c r="I301" s="94" t="str">
        <f>IF('Lighting Inventory'!J246="", "", 'Lighting Inventory'!J246)</f>
        <v/>
      </c>
      <c r="J301" s="94" t="str">
        <f>IF('Lighting Inventory'!K246="", "", 'Lighting Inventory'!K246)</f>
        <v/>
      </c>
      <c r="K301" s="1186" t="str">
        <f>IF('Lighting Inventory'!S246="", "", 'Lighting Inventory'!S246)</f>
        <v/>
      </c>
      <c r="L301" s="1186"/>
      <c r="M301" s="1187" t="str">
        <f>IF('Lighting Inventory'!E246="", "", 'Lighting Inventory'!W246)</f>
        <v/>
      </c>
      <c r="N301" s="1187"/>
      <c r="O301" s="1187"/>
      <c r="P301" s="1187"/>
      <c r="Q301" s="1187"/>
      <c r="R301" s="468" t="str">
        <f>IF('Lighting Inventory'!AE246="", "", 'Lighting Inventory'!AE246)</f>
        <v/>
      </c>
      <c r="S301" s="95" t="str">
        <f>IF('Lighting Inventory'!AN246="", "", 'Lighting Inventory'!AN246)</f>
        <v/>
      </c>
      <c r="T301" s="1186"/>
      <c r="U301" s="1186"/>
      <c r="V301" s="1186"/>
      <c r="W301" s="1186"/>
      <c r="X301" s="1186"/>
      <c r="Y301" s="1186"/>
      <c r="Z301" s="1186"/>
    </row>
    <row r="302" spans="1:26" ht="11.25" customHeight="1" x14ac:dyDescent="0.25">
      <c r="A302" s="89">
        <v>237</v>
      </c>
      <c r="B302" s="469">
        <f>'Lighting Inventory'!I247</f>
        <v>0</v>
      </c>
      <c r="C302" s="1188" t="str">
        <f>IF('Lighting Inventory'!D247="", "", 'Lighting Inventory'!D247)</f>
        <v/>
      </c>
      <c r="D302" s="1188"/>
      <c r="E302" s="1188"/>
      <c r="F302" s="469" t="str">
        <f>IF('Lighting Inventory'!E247="", "", 'Lighting Inventory'!E247)</f>
        <v/>
      </c>
      <c r="G302" s="89" t="str">
        <f>IF('Lighting Inventory'!G247="", "", IF('Lighting Inventory'!G247="Air Conditioned", "Y", "N"))</f>
        <v/>
      </c>
      <c r="H302" s="90">
        <f>'Lighting Inventory'!H247</f>
        <v>0</v>
      </c>
      <c r="I302" s="469" t="str">
        <f>IF('Lighting Inventory'!J247="", "", 'Lighting Inventory'!J247)</f>
        <v/>
      </c>
      <c r="J302" s="91" t="str">
        <f>IF('Lighting Inventory'!K247="", "", 'Lighting Inventory'!K247)</f>
        <v/>
      </c>
      <c r="K302" s="1188" t="str">
        <f>IF('Lighting Inventory'!S247="", "", 'Lighting Inventory'!S247)</f>
        <v/>
      </c>
      <c r="L302" s="1188"/>
      <c r="M302" s="1189" t="str">
        <f>IF('Lighting Inventory'!E247="", "", 'Lighting Inventory'!W247)</f>
        <v/>
      </c>
      <c r="N302" s="1189"/>
      <c r="O302" s="1189"/>
      <c r="P302" s="1189"/>
      <c r="Q302" s="1189"/>
      <c r="R302" s="469" t="str">
        <f>IF('Lighting Inventory'!AE247="", "", 'Lighting Inventory'!AE247)</f>
        <v/>
      </c>
      <c r="S302" s="92" t="str">
        <f>IF('Lighting Inventory'!AN247="", "", 'Lighting Inventory'!AN247)</f>
        <v/>
      </c>
      <c r="T302" s="1188"/>
      <c r="U302" s="1188"/>
      <c r="V302" s="1188"/>
      <c r="W302" s="1188"/>
      <c r="X302" s="1188"/>
      <c r="Y302" s="1188"/>
      <c r="Z302" s="1188"/>
    </row>
    <row r="303" spans="1:26" ht="11.25" customHeight="1" x14ac:dyDescent="0.25">
      <c r="A303" s="93">
        <v>238</v>
      </c>
      <c r="B303" s="468">
        <f>'Lighting Inventory'!I248</f>
        <v>0</v>
      </c>
      <c r="C303" s="1186" t="str">
        <f>IF('Lighting Inventory'!D248="", "", 'Lighting Inventory'!D248)</f>
        <v/>
      </c>
      <c r="D303" s="1186"/>
      <c r="E303" s="1186"/>
      <c r="F303" s="468" t="str">
        <f>IF('Lighting Inventory'!E248="", "", 'Lighting Inventory'!E248)</f>
        <v/>
      </c>
      <c r="G303" s="93" t="str">
        <f>IF('Lighting Inventory'!G248="", "", IF('Lighting Inventory'!G248="Air Conditioned", "Y", "N"))</f>
        <v/>
      </c>
      <c r="H303" s="94">
        <f>'Lighting Inventory'!H248</f>
        <v>0</v>
      </c>
      <c r="I303" s="94" t="str">
        <f>IF('Lighting Inventory'!J248="", "", 'Lighting Inventory'!J248)</f>
        <v/>
      </c>
      <c r="J303" s="94" t="str">
        <f>IF('Lighting Inventory'!K248="", "", 'Lighting Inventory'!K248)</f>
        <v/>
      </c>
      <c r="K303" s="1186" t="str">
        <f>IF('Lighting Inventory'!S248="", "", 'Lighting Inventory'!S248)</f>
        <v/>
      </c>
      <c r="L303" s="1186"/>
      <c r="M303" s="1187" t="str">
        <f>IF('Lighting Inventory'!E248="", "", 'Lighting Inventory'!W248)</f>
        <v/>
      </c>
      <c r="N303" s="1187"/>
      <c r="O303" s="1187"/>
      <c r="P303" s="1187"/>
      <c r="Q303" s="1187"/>
      <c r="R303" s="468" t="str">
        <f>IF('Lighting Inventory'!AE248="", "", 'Lighting Inventory'!AE248)</f>
        <v/>
      </c>
      <c r="S303" s="95" t="str">
        <f>IF('Lighting Inventory'!AN248="", "", 'Lighting Inventory'!AN248)</f>
        <v/>
      </c>
      <c r="T303" s="1186"/>
      <c r="U303" s="1186"/>
      <c r="V303" s="1186"/>
      <c r="W303" s="1186"/>
      <c r="X303" s="1186"/>
      <c r="Y303" s="1186"/>
      <c r="Z303" s="1186"/>
    </row>
    <row r="304" spans="1:26" ht="11.25" customHeight="1" x14ac:dyDescent="0.25">
      <c r="A304" s="89">
        <v>239</v>
      </c>
      <c r="B304" s="469">
        <f>'Lighting Inventory'!I249</f>
        <v>0</v>
      </c>
      <c r="C304" s="1188" t="str">
        <f>IF('Lighting Inventory'!D249="", "", 'Lighting Inventory'!D249)</f>
        <v/>
      </c>
      <c r="D304" s="1188"/>
      <c r="E304" s="1188"/>
      <c r="F304" s="469" t="str">
        <f>IF('Lighting Inventory'!E249="", "", 'Lighting Inventory'!E249)</f>
        <v/>
      </c>
      <c r="G304" s="89" t="str">
        <f>IF('Lighting Inventory'!G249="", "", IF('Lighting Inventory'!G249="Air Conditioned", "Y", "N"))</f>
        <v/>
      </c>
      <c r="H304" s="90">
        <f>'Lighting Inventory'!H249</f>
        <v>0</v>
      </c>
      <c r="I304" s="469" t="str">
        <f>IF('Lighting Inventory'!J249="", "", 'Lighting Inventory'!J249)</f>
        <v/>
      </c>
      <c r="J304" s="91" t="str">
        <f>IF('Lighting Inventory'!K249="", "", 'Lighting Inventory'!K249)</f>
        <v/>
      </c>
      <c r="K304" s="1188" t="str">
        <f>IF('Lighting Inventory'!S249="", "", 'Lighting Inventory'!S249)</f>
        <v/>
      </c>
      <c r="L304" s="1188"/>
      <c r="M304" s="1189" t="str">
        <f>IF('Lighting Inventory'!E249="", "", 'Lighting Inventory'!W249)</f>
        <v/>
      </c>
      <c r="N304" s="1189"/>
      <c r="O304" s="1189"/>
      <c r="P304" s="1189"/>
      <c r="Q304" s="1189"/>
      <c r="R304" s="469" t="str">
        <f>IF('Lighting Inventory'!AE249="", "", 'Lighting Inventory'!AE249)</f>
        <v/>
      </c>
      <c r="S304" s="92" t="str">
        <f>IF('Lighting Inventory'!AN249="", "", 'Lighting Inventory'!AN249)</f>
        <v/>
      </c>
      <c r="T304" s="1188"/>
      <c r="U304" s="1188"/>
      <c r="V304" s="1188"/>
      <c r="W304" s="1188"/>
      <c r="X304" s="1188"/>
      <c r="Y304" s="1188"/>
      <c r="Z304" s="1188"/>
    </row>
    <row r="305" spans="1:26" ht="11.25" customHeight="1" x14ac:dyDescent="0.25">
      <c r="A305" s="93">
        <v>240</v>
      </c>
      <c r="B305" s="468">
        <f>'Lighting Inventory'!I250</f>
        <v>0</v>
      </c>
      <c r="C305" s="1186" t="str">
        <f>IF('Lighting Inventory'!D250="", "", 'Lighting Inventory'!D250)</f>
        <v/>
      </c>
      <c r="D305" s="1186"/>
      <c r="E305" s="1186"/>
      <c r="F305" s="468" t="str">
        <f>IF('Lighting Inventory'!E250="", "", 'Lighting Inventory'!E250)</f>
        <v/>
      </c>
      <c r="G305" s="93" t="str">
        <f>IF('Lighting Inventory'!G250="", "", IF('Lighting Inventory'!G250="Air Conditioned", "Y", "N"))</f>
        <v/>
      </c>
      <c r="H305" s="94">
        <f>'Lighting Inventory'!H250</f>
        <v>0</v>
      </c>
      <c r="I305" s="94" t="str">
        <f>IF('Lighting Inventory'!J250="", "", 'Lighting Inventory'!J250)</f>
        <v/>
      </c>
      <c r="J305" s="94" t="str">
        <f>IF('Lighting Inventory'!K250="", "", 'Lighting Inventory'!K250)</f>
        <v/>
      </c>
      <c r="K305" s="1186" t="str">
        <f>IF('Lighting Inventory'!S250="", "", 'Lighting Inventory'!S250)</f>
        <v/>
      </c>
      <c r="L305" s="1186"/>
      <c r="M305" s="1187" t="str">
        <f>IF('Lighting Inventory'!E250="", "", 'Lighting Inventory'!W250)</f>
        <v/>
      </c>
      <c r="N305" s="1187"/>
      <c r="O305" s="1187"/>
      <c r="P305" s="1187"/>
      <c r="Q305" s="1187"/>
      <c r="R305" s="468" t="str">
        <f>IF('Lighting Inventory'!AE250="", "", 'Lighting Inventory'!AE250)</f>
        <v/>
      </c>
      <c r="S305" s="95" t="str">
        <f>IF('Lighting Inventory'!AN250="", "", 'Lighting Inventory'!AN250)</f>
        <v/>
      </c>
      <c r="T305" s="1186"/>
      <c r="U305" s="1186"/>
      <c r="V305" s="1186"/>
      <c r="W305" s="1186"/>
      <c r="X305" s="1186"/>
      <c r="Y305" s="1186"/>
      <c r="Z305" s="1186"/>
    </row>
    <row r="306" spans="1:26" ht="15" customHeight="1" thickBot="1" x14ac:dyDescent="0.3">
      <c r="A306" s="1190" t="s">
        <v>4415</v>
      </c>
      <c r="B306" s="1190"/>
      <c r="C306" s="1190"/>
      <c r="D306" s="1191" t="str">
        <f>CONCATENATE('General Information'!$F$9, " ", 'General Information'!$F$10)</f>
        <v xml:space="preserve"> </v>
      </c>
      <c r="E306" s="1191"/>
      <c r="F306" s="1191"/>
      <c r="G306" s="1191"/>
      <c r="H306" s="1191"/>
      <c r="I306" s="1191"/>
      <c r="J306" s="1191"/>
      <c r="K306" s="1192" t="s">
        <v>4416</v>
      </c>
      <c r="L306" s="1193"/>
      <c r="M306" s="1193"/>
      <c r="N306" s="1191">
        <f>'General Information'!$F$14</f>
        <v>0</v>
      </c>
      <c r="O306" s="1191"/>
      <c r="P306" s="1191"/>
      <c r="Q306" s="1192" t="s">
        <v>4417</v>
      </c>
      <c r="R306" s="1193"/>
      <c r="S306" s="1194"/>
      <c r="T306" s="1195">
        <f>'General Information'!$F$11</f>
        <v>0</v>
      </c>
      <c r="U306" s="1196"/>
      <c r="V306" s="1196"/>
      <c r="W306" s="1196"/>
      <c r="X306" s="1196"/>
      <c r="Y306" s="1196"/>
      <c r="Z306" s="1197"/>
    </row>
    <row r="307" spans="1:26" ht="9.75" customHeight="1" x14ac:dyDescent="0.25">
      <c r="A307" s="1198" t="s">
        <v>4418</v>
      </c>
      <c r="B307" s="1200" t="s">
        <v>4419</v>
      </c>
      <c r="C307" s="1200"/>
      <c r="D307" s="1200"/>
      <c r="E307" s="1200"/>
      <c r="F307" s="1200"/>
      <c r="G307" s="1200"/>
      <c r="H307" s="1200"/>
      <c r="I307" s="1200"/>
      <c r="J307" s="1200"/>
      <c r="K307" s="1201" t="s">
        <v>4420</v>
      </c>
      <c r="L307" s="1202"/>
      <c r="M307" s="1202"/>
      <c r="N307" s="1202"/>
      <c r="O307" s="1202"/>
      <c r="P307" s="1202"/>
      <c r="Q307" s="1202"/>
      <c r="R307" s="1202"/>
      <c r="S307" s="1202"/>
      <c r="T307" s="1202"/>
      <c r="U307" s="1202"/>
      <c r="V307" s="1202"/>
      <c r="W307" s="1202"/>
      <c r="X307" s="1202"/>
      <c r="Y307" s="1202"/>
      <c r="Z307" s="1203"/>
    </row>
    <row r="308" spans="1:26" ht="43.5" customHeight="1" x14ac:dyDescent="0.25">
      <c r="A308" s="1199"/>
      <c r="B308" s="470" t="s">
        <v>4421</v>
      </c>
      <c r="C308" s="1204" t="s">
        <v>4422</v>
      </c>
      <c r="D308" s="1205"/>
      <c r="E308" s="1206"/>
      <c r="F308" s="333" t="s">
        <v>4423</v>
      </c>
      <c r="G308" s="333" t="s">
        <v>4424</v>
      </c>
      <c r="H308" s="334" t="s">
        <v>4425</v>
      </c>
      <c r="I308" s="333" t="s">
        <v>4426</v>
      </c>
      <c r="J308" s="333" t="s">
        <v>4427</v>
      </c>
      <c r="K308" s="1207" t="s">
        <v>4428</v>
      </c>
      <c r="L308" s="1207"/>
      <c r="M308" s="1207" t="s">
        <v>4429</v>
      </c>
      <c r="N308" s="1207"/>
      <c r="O308" s="1207"/>
      <c r="P308" s="1207"/>
      <c r="Q308" s="1207"/>
      <c r="R308" s="333" t="s">
        <v>4430</v>
      </c>
      <c r="S308" s="335" t="s">
        <v>4431</v>
      </c>
      <c r="T308" s="1208" t="s">
        <v>3403</v>
      </c>
      <c r="U308" s="1209"/>
      <c r="V308" s="1209"/>
      <c r="W308" s="1209"/>
      <c r="X308" s="1209"/>
      <c r="Y308" s="1209"/>
      <c r="Z308" s="1210"/>
    </row>
    <row r="309" spans="1:26" ht="11.25" customHeight="1" x14ac:dyDescent="0.25">
      <c r="A309" s="89">
        <v>241</v>
      </c>
      <c r="B309" s="469">
        <f>'Lighting Inventory'!I251</f>
        <v>0</v>
      </c>
      <c r="C309" s="1188" t="str">
        <f>IF('Lighting Inventory'!D251="", "", 'Lighting Inventory'!D251)</f>
        <v/>
      </c>
      <c r="D309" s="1188"/>
      <c r="E309" s="1188"/>
      <c r="F309" s="469" t="str">
        <f>IF('Lighting Inventory'!E251="", "", 'Lighting Inventory'!E251)</f>
        <v/>
      </c>
      <c r="G309" s="89" t="str">
        <f>IF('Lighting Inventory'!G251="", "", IF('Lighting Inventory'!G251="Air Conditioned", "Y", "N"))</f>
        <v/>
      </c>
      <c r="H309" s="90">
        <f>'Lighting Inventory'!H251</f>
        <v>0</v>
      </c>
      <c r="I309" s="469" t="str">
        <f>IF('Lighting Inventory'!J251="", "", 'Lighting Inventory'!J251)</f>
        <v/>
      </c>
      <c r="J309" s="91" t="str">
        <f>IF('Lighting Inventory'!K251="", "", 'Lighting Inventory'!K251)</f>
        <v/>
      </c>
      <c r="K309" s="1188" t="str">
        <f>IF('Lighting Inventory'!S251="", "", 'Lighting Inventory'!S251)</f>
        <v/>
      </c>
      <c r="L309" s="1188"/>
      <c r="M309" s="1189" t="str">
        <f>IF('Lighting Inventory'!E251="", "", 'Lighting Inventory'!W251)</f>
        <v/>
      </c>
      <c r="N309" s="1189"/>
      <c r="O309" s="1189"/>
      <c r="P309" s="1189"/>
      <c r="Q309" s="1189"/>
      <c r="R309" s="469" t="str">
        <f>IF('Lighting Inventory'!AE251="", "", 'Lighting Inventory'!AE251)</f>
        <v/>
      </c>
      <c r="S309" s="92" t="str">
        <f>IF('Lighting Inventory'!AN251="", "", 'Lighting Inventory'!AN251)</f>
        <v/>
      </c>
      <c r="T309" s="1188"/>
      <c r="U309" s="1188"/>
      <c r="V309" s="1188"/>
      <c r="W309" s="1188"/>
      <c r="X309" s="1188"/>
      <c r="Y309" s="1188"/>
      <c r="Z309" s="1188"/>
    </row>
    <row r="310" spans="1:26" ht="11.25" customHeight="1" x14ac:dyDescent="0.25">
      <c r="A310" s="93">
        <v>242</v>
      </c>
      <c r="B310" s="468">
        <f>'Lighting Inventory'!I252</f>
        <v>0</v>
      </c>
      <c r="C310" s="1186" t="str">
        <f>IF('Lighting Inventory'!D252="", "", 'Lighting Inventory'!D252)</f>
        <v/>
      </c>
      <c r="D310" s="1186"/>
      <c r="E310" s="1186"/>
      <c r="F310" s="468" t="str">
        <f>IF('Lighting Inventory'!E252="", "", 'Lighting Inventory'!E252)</f>
        <v/>
      </c>
      <c r="G310" s="93" t="str">
        <f>IF('Lighting Inventory'!G252="", "", IF('Lighting Inventory'!G252="Air Conditioned", "Y", "N"))</f>
        <v/>
      </c>
      <c r="H310" s="94">
        <f>'Lighting Inventory'!H252</f>
        <v>0</v>
      </c>
      <c r="I310" s="94" t="str">
        <f>IF('Lighting Inventory'!J252="", "", 'Lighting Inventory'!J252)</f>
        <v/>
      </c>
      <c r="J310" s="94" t="str">
        <f>IF('Lighting Inventory'!K252="", "", 'Lighting Inventory'!K252)</f>
        <v/>
      </c>
      <c r="K310" s="1186" t="str">
        <f>IF('Lighting Inventory'!S252="", "", 'Lighting Inventory'!S252)</f>
        <v/>
      </c>
      <c r="L310" s="1186"/>
      <c r="M310" s="1187" t="str">
        <f>IF('Lighting Inventory'!E252="", "", 'Lighting Inventory'!W252)</f>
        <v/>
      </c>
      <c r="N310" s="1187"/>
      <c r="O310" s="1187"/>
      <c r="P310" s="1187"/>
      <c r="Q310" s="1187"/>
      <c r="R310" s="468" t="str">
        <f>IF('Lighting Inventory'!AE252="", "", 'Lighting Inventory'!AE252)</f>
        <v/>
      </c>
      <c r="S310" s="95" t="str">
        <f>IF('Lighting Inventory'!AN252="", "", 'Lighting Inventory'!AN252)</f>
        <v/>
      </c>
      <c r="T310" s="1186"/>
      <c r="U310" s="1186"/>
      <c r="V310" s="1186"/>
      <c r="W310" s="1186"/>
      <c r="X310" s="1186"/>
      <c r="Y310" s="1186"/>
      <c r="Z310" s="1186"/>
    </row>
    <row r="311" spans="1:26" ht="11.25" customHeight="1" x14ac:dyDescent="0.25">
      <c r="A311" s="89">
        <v>243</v>
      </c>
      <c r="B311" s="469">
        <f>'Lighting Inventory'!I253</f>
        <v>0</v>
      </c>
      <c r="C311" s="1188" t="str">
        <f>IF('Lighting Inventory'!D253="", "", 'Lighting Inventory'!D253)</f>
        <v/>
      </c>
      <c r="D311" s="1188"/>
      <c r="E311" s="1188"/>
      <c r="F311" s="469" t="str">
        <f>IF('Lighting Inventory'!E253="", "", 'Lighting Inventory'!E253)</f>
        <v/>
      </c>
      <c r="G311" s="89" t="str">
        <f>IF('Lighting Inventory'!G253="", "", IF('Lighting Inventory'!G253="Air Conditioned", "Y", "N"))</f>
        <v/>
      </c>
      <c r="H311" s="90">
        <f>'Lighting Inventory'!H253</f>
        <v>0</v>
      </c>
      <c r="I311" s="469" t="str">
        <f>IF('Lighting Inventory'!J253="", "", 'Lighting Inventory'!J253)</f>
        <v/>
      </c>
      <c r="J311" s="91" t="str">
        <f>IF('Lighting Inventory'!K253="", "", 'Lighting Inventory'!K253)</f>
        <v/>
      </c>
      <c r="K311" s="1188" t="str">
        <f>IF('Lighting Inventory'!S253="", "", 'Lighting Inventory'!S253)</f>
        <v/>
      </c>
      <c r="L311" s="1188"/>
      <c r="M311" s="1189" t="str">
        <f>IF('Lighting Inventory'!E253="", "", 'Lighting Inventory'!W253)</f>
        <v/>
      </c>
      <c r="N311" s="1189"/>
      <c r="O311" s="1189"/>
      <c r="P311" s="1189"/>
      <c r="Q311" s="1189"/>
      <c r="R311" s="469" t="str">
        <f>IF('Lighting Inventory'!AE253="", "", 'Lighting Inventory'!AE253)</f>
        <v/>
      </c>
      <c r="S311" s="92" t="str">
        <f>IF('Lighting Inventory'!AN253="", "", 'Lighting Inventory'!AN253)</f>
        <v/>
      </c>
      <c r="T311" s="1188"/>
      <c r="U311" s="1188"/>
      <c r="V311" s="1188"/>
      <c r="W311" s="1188"/>
      <c r="X311" s="1188"/>
      <c r="Y311" s="1188"/>
      <c r="Z311" s="1188"/>
    </row>
    <row r="312" spans="1:26" ht="11.25" customHeight="1" x14ac:dyDescent="0.25">
      <c r="A312" s="93">
        <v>244</v>
      </c>
      <c r="B312" s="468">
        <f>'Lighting Inventory'!I254</f>
        <v>0</v>
      </c>
      <c r="C312" s="1186" t="str">
        <f>IF('Lighting Inventory'!D254="", "", 'Lighting Inventory'!D254)</f>
        <v/>
      </c>
      <c r="D312" s="1186"/>
      <c r="E312" s="1186"/>
      <c r="F312" s="468" t="str">
        <f>IF('Lighting Inventory'!E254="", "", 'Lighting Inventory'!E254)</f>
        <v/>
      </c>
      <c r="G312" s="93" t="str">
        <f>IF('Lighting Inventory'!G254="", "", IF('Lighting Inventory'!G254="Air Conditioned", "Y", "N"))</f>
        <v/>
      </c>
      <c r="H312" s="94">
        <f>'Lighting Inventory'!H254</f>
        <v>0</v>
      </c>
      <c r="I312" s="94" t="str">
        <f>IF('Lighting Inventory'!J254="", "", 'Lighting Inventory'!J254)</f>
        <v/>
      </c>
      <c r="J312" s="94" t="str">
        <f>IF('Lighting Inventory'!K254="", "", 'Lighting Inventory'!K254)</f>
        <v/>
      </c>
      <c r="K312" s="1186" t="str">
        <f>IF('Lighting Inventory'!S254="", "", 'Lighting Inventory'!S254)</f>
        <v/>
      </c>
      <c r="L312" s="1186"/>
      <c r="M312" s="1187" t="str">
        <f>IF('Lighting Inventory'!E254="", "", 'Lighting Inventory'!W254)</f>
        <v/>
      </c>
      <c r="N312" s="1187"/>
      <c r="O312" s="1187"/>
      <c r="P312" s="1187"/>
      <c r="Q312" s="1187"/>
      <c r="R312" s="468" t="str">
        <f>IF('Lighting Inventory'!AE254="", "", 'Lighting Inventory'!AE254)</f>
        <v/>
      </c>
      <c r="S312" s="95" t="str">
        <f>IF('Lighting Inventory'!AN254="", "", 'Lighting Inventory'!AN254)</f>
        <v/>
      </c>
      <c r="T312" s="1186"/>
      <c r="U312" s="1186"/>
      <c r="V312" s="1186"/>
      <c r="W312" s="1186"/>
      <c r="X312" s="1186"/>
      <c r="Y312" s="1186"/>
      <c r="Z312" s="1186"/>
    </row>
    <row r="313" spans="1:26" ht="11.25" customHeight="1" x14ac:dyDescent="0.25">
      <c r="A313" s="89">
        <v>245</v>
      </c>
      <c r="B313" s="469">
        <f>'Lighting Inventory'!I255</f>
        <v>0</v>
      </c>
      <c r="C313" s="1188" t="str">
        <f>IF('Lighting Inventory'!D255="", "", 'Lighting Inventory'!D255)</f>
        <v/>
      </c>
      <c r="D313" s="1188"/>
      <c r="E313" s="1188"/>
      <c r="F313" s="469" t="str">
        <f>IF('Lighting Inventory'!E255="", "", 'Lighting Inventory'!E255)</f>
        <v/>
      </c>
      <c r="G313" s="89" t="str">
        <f>IF('Lighting Inventory'!G255="", "", IF('Lighting Inventory'!G255="Air Conditioned", "Y", "N"))</f>
        <v/>
      </c>
      <c r="H313" s="90">
        <f>'Lighting Inventory'!H255</f>
        <v>0</v>
      </c>
      <c r="I313" s="469" t="str">
        <f>IF('Lighting Inventory'!J255="", "", 'Lighting Inventory'!J255)</f>
        <v/>
      </c>
      <c r="J313" s="91" t="str">
        <f>IF('Lighting Inventory'!K255="", "", 'Lighting Inventory'!K255)</f>
        <v/>
      </c>
      <c r="K313" s="1188" t="str">
        <f>IF('Lighting Inventory'!S255="", "", 'Lighting Inventory'!S255)</f>
        <v/>
      </c>
      <c r="L313" s="1188"/>
      <c r="M313" s="1189" t="str">
        <f>IF('Lighting Inventory'!E255="", "", 'Lighting Inventory'!W255)</f>
        <v/>
      </c>
      <c r="N313" s="1189"/>
      <c r="O313" s="1189"/>
      <c r="P313" s="1189"/>
      <c r="Q313" s="1189"/>
      <c r="R313" s="469" t="str">
        <f>IF('Lighting Inventory'!AE255="", "", 'Lighting Inventory'!AE255)</f>
        <v/>
      </c>
      <c r="S313" s="92" t="str">
        <f>IF('Lighting Inventory'!AN255="", "", 'Lighting Inventory'!AN255)</f>
        <v/>
      </c>
      <c r="T313" s="1188"/>
      <c r="U313" s="1188"/>
      <c r="V313" s="1188"/>
      <c r="W313" s="1188"/>
      <c r="X313" s="1188"/>
      <c r="Y313" s="1188"/>
      <c r="Z313" s="1188"/>
    </row>
    <row r="314" spans="1:26" ht="11.25" customHeight="1" x14ac:dyDescent="0.25">
      <c r="A314" s="93">
        <v>246</v>
      </c>
      <c r="B314" s="468">
        <f>'Lighting Inventory'!I256</f>
        <v>0</v>
      </c>
      <c r="C314" s="1186" t="str">
        <f>IF('Lighting Inventory'!D256="", "", 'Lighting Inventory'!D256)</f>
        <v/>
      </c>
      <c r="D314" s="1186"/>
      <c r="E314" s="1186"/>
      <c r="F314" s="468" t="str">
        <f>IF('Lighting Inventory'!E256="", "", 'Lighting Inventory'!E256)</f>
        <v/>
      </c>
      <c r="G314" s="93" t="str">
        <f>IF('Lighting Inventory'!G256="", "", IF('Lighting Inventory'!G256="Air Conditioned", "Y", "N"))</f>
        <v/>
      </c>
      <c r="H314" s="94">
        <f>'Lighting Inventory'!H256</f>
        <v>0</v>
      </c>
      <c r="I314" s="94" t="str">
        <f>IF('Lighting Inventory'!J256="", "", 'Lighting Inventory'!J256)</f>
        <v/>
      </c>
      <c r="J314" s="94" t="str">
        <f>IF('Lighting Inventory'!K256="", "", 'Lighting Inventory'!K256)</f>
        <v/>
      </c>
      <c r="K314" s="1186" t="str">
        <f>IF('Lighting Inventory'!S256="", "", 'Lighting Inventory'!S256)</f>
        <v/>
      </c>
      <c r="L314" s="1186"/>
      <c r="M314" s="1187" t="str">
        <f>IF('Lighting Inventory'!E256="", "", 'Lighting Inventory'!W256)</f>
        <v/>
      </c>
      <c r="N314" s="1187"/>
      <c r="O314" s="1187"/>
      <c r="P314" s="1187"/>
      <c r="Q314" s="1187"/>
      <c r="R314" s="468" t="str">
        <f>IF('Lighting Inventory'!AE256="", "", 'Lighting Inventory'!AE256)</f>
        <v/>
      </c>
      <c r="S314" s="95" t="str">
        <f>IF('Lighting Inventory'!AN256="", "", 'Lighting Inventory'!AN256)</f>
        <v/>
      </c>
      <c r="T314" s="1186"/>
      <c r="U314" s="1186"/>
      <c r="V314" s="1186"/>
      <c r="W314" s="1186"/>
      <c r="X314" s="1186"/>
      <c r="Y314" s="1186"/>
      <c r="Z314" s="1186"/>
    </row>
    <row r="315" spans="1:26" ht="11.25" customHeight="1" x14ac:dyDescent="0.25">
      <c r="A315" s="89">
        <v>247</v>
      </c>
      <c r="B315" s="469">
        <f>'Lighting Inventory'!I257</f>
        <v>0</v>
      </c>
      <c r="C315" s="1188" t="str">
        <f>IF('Lighting Inventory'!D257="", "", 'Lighting Inventory'!D257)</f>
        <v/>
      </c>
      <c r="D315" s="1188"/>
      <c r="E315" s="1188"/>
      <c r="F315" s="469" t="str">
        <f>IF('Lighting Inventory'!E257="", "", 'Lighting Inventory'!E257)</f>
        <v/>
      </c>
      <c r="G315" s="89" t="str">
        <f>IF('Lighting Inventory'!G257="", "", IF('Lighting Inventory'!G257="Air Conditioned", "Y", "N"))</f>
        <v/>
      </c>
      <c r="H315" s="90">
        <f>'Lighting Inventory'!H257</f>
        <v>0</v>
      </c>
      <c r="I315" s="469" t="str">
        <f>IF('Lighting Inventory'!J257="", "", 'Lighting Inventory'!J257)</f>
        <v/>
      </c>
      <c r="J315" s="91" t="str">
        <f>IF('Lighting Inventory'!K257="", "", 'Lighting Inventory'!K257)</f>
        <v/>
      </c>
      <c r="K315" s="1188" t="str">
        <f>IF('Lighting Inventory'!S257="", "", 'Lighting Inventory'!S257)</f>
        <v/>
      </c>
      <c r="L315" s="1188"/>
      <c r="M315" s="1189" t="str">
        <f>IF('Lighting Inventory'!E257="", "", 'Lighting Inventory'!W257)</f>
        <v/>
      </c>
      <c r="N315" s="1189"/>
      <c r="O315" s="1189"/>
      <c r="P315" s="1189"/>
      <c r="Q315" s="1189"/>
      <c r="R315" s="469" t="str">
        <f>IF('Lighting Inventory'!AE257="", "", 'Lighting Inventory'!AE257)</f>
        <v/>
      </c>
      <c r="S315" s="92" t="str">
        <f>IF('Lighting Inventory'!AN257="", "", 'Lighting Inventory'!AN257)</f>
        <v/>
      </c>
      <c r="T315" s="1188"/>
      <c r="U315" s="1188"/>
      <c r="V315" s="1188"/>
      <c r="W315" s="1188"/>
      <c r="X315" s="1188"/>
      <c r="Y315" s="1188"/>
      <c r="Z315" s="1188"/>
    </row>
    <row r="316" spans="1:26" ht="11.25" customHeight="1" x14ac:dyDescent="0.25">
      <c r="A316" s="93">
        <v>248</v>
      </c>
      <c r="B316" s="468">
        <f>'Lighting Inventory'!I258</f>
        <v>0</v>
      </c>
      <c r="C316" s="1186" t="str">
        <f>IF('Lighting Inventory'!D258="", "", 'Lighting Inventory'!D258)</f>
        <v/>
      </c>
      <c r="D316" s="1186"/>
      <c r="E316" s="1186"/>
      <c r="F316" s="468" t="str">
        <f>IF('Lighting Inventory'!E258="", "", 'Lighting Inventory'!E258)</f>
        <v/>
      </c>
      <c r="G316" s="93" t="str">
        <f>IF('Lighting Inventory'!G258="", "", IF('Lighting Inventory'!G258="Air Conditioned", "Y", "N"))</f>
        <v/>
      </c>
      <c r="H316" s="94">
        <f>'Lighting Inventory'!H258</f>
        <v>0</v>
      </c>
      <c r="I316" s="94" t="str">
        <f>IF('Lighting Inventory'!J258="", "", 'Lighting Inventory'!J258)</f>
        <v/>
      </c>
      <c r="J316" s="94" t="str">
        <f>IF('Lighting Inventory'!K258="", "", 'Lighting Inventory'!K258)</f>
        <v/>
      </c>
      <c r="K316" s="1186" t="str">
        <f>IF('Lighting Inventory'!S258="", "", 'Lighting Inventory'!S258)</f>
        <v/>
      </c>
      <c r="L316" s="1186"/>
      <c r="M316" s="1187" t="str">
        <f>IF('Lighting Inventory'!E258="", "", 'Lighting Inventory'!W258)</f>
        <v/>
      </c>
      <c r="N316" s="1187"/>
      <c r="O316" s="1187"/>
      <c r="P316" s="1187"/>
      <c r="Q316" s="1187"/>
      <c r="R316" s="468" t="str">
        <f>IF('Lighting Inventory'!AE258="", "", 'Lighting Inventory'!AE258)</f>
        <v/>
      </c>
      <c r="S316" s="95" t="str">
        <f>IF('Lighting Inventory'!AN258="", "", 'Lighting Inventory'!AN258)</f>
        <v/>
      </c>
      <c r="T316" s="1186"/>
      <c r="U316" s="1186"/>
      <c r="V316" s="1186"/>
      <c r="W316" s="1186"/>
      <c r="X316" s="1186"/>
      <c r="Y316" s="1186"/>
      <c r="Z316" s="1186"/>
    </row>
    <row r="317" spans="1:26" ht="11.25" customHeight="1" x14ac:dyDescent="0.25">
      <c r="A317" s="89">
        <v>249</v>
      </c>
      <c r="B317" s="469">
        <f>'Lighting Inventory'!I259</f>
        <v>0</v>
      </c>
      <c r="C317" s="1188" t="str">
        <f>IF('Lighting Inventory'!D259="", "", 'Lighting Inventory'!D259)</f>
        <v/>
      </c>
      <c r="D317" s="1188"/>
      <c r="E317" s="1188"/>
      <c r="F317" s="469" t="str">
        <f>IF('Lighting Inventory'!E259="", "", 'Lighting Inventory'!E259)</f>
        <v/>
      </c>
      <c r="G317" s="89" t="str">
        <f>IF('Lighting Inventory'!G259="", "", IF('Lighting Inventory'!G259="Air Conditioned", "Y", "N"))</f>
        <v/>
      </c>
      <c r="H317" s="90">
        <f>'Lighting Inventory'!H259</f>
        <v>0</v>
      </c>
      <c r="I317" s="469" t="str">
        <f>IF('Lighting Inventory'!J259="", "", 'Lighting Inventory'!J259)</f>
        <v/>
      </c>
      <c r="J317" s="91" t="str">
        <f>IF('Lighting Inventory'!K259="", "", 'Lighting Inventory'!K259)</f>
        <v/>
      </c>
      <c r="K317" s="1188" t="str">
        <f>IF('Lighting Inventory'!S259="", "", 'Lighting Inventory'!S259)</f>
        <v/>
      </c>
      <c r="L317" s="1188"/>
      <c r="M317" s="1189" t="str">
        <f>IF('Lighting Inventory'!E259="", "", 'Lighting Inventory'!W259)</f>
        <v/>
      </c>
      <c r="N317" s="1189"/>
      <c r="O317" s="1189"/>
      <c r="P317" s="1189"/>
      <c r="Q317" s="1189"/>
      <c r="R317" s="469" t="str">
        <f>IF('Lighting Inventory'!AE259="", "", 'Lighting Inventory'!AE259)</f>
        <v/>
      </c>
      <c r="S317" s="92" t="str">
        <f>IF('Lighting Inventory'!AN259="", "", 'Lighting Inventory'!AN259)</f>
        <v/>
      </c>
      <c r="T317" s="1188"/>
      <c r="U317" s="1188"/>
      <c r="V317" s="1188"/>
      <c r="W317" s="1188"/>
      <c r="X317" s="1188"/>
      <c r="Y317" s="1188"/>
      <c r="Z317" s="1188"/>
    </row>
    <row r="318" spans="1:26" ht="11.25" customHeight="1" x14ac:dyDescent="0.25">
      <c r="A318" s="93">
        <v>250</v>
      </c>
      <c r="B318" s="468">
        <f>'Lighting Inventory'!I260</f>
        <v>0</v>
      </c>
      <c r="C318" s="1186" t="str">
        <f>IF('Lighting Inventory'!D260="", "", 'Lighting Inventory'!D260)</f>
        <v/>
      </c>
      <c r="D318" s="1186"/>
      <c r="E318" s="1186"/>
      <c r="F318" s="468" t="str">
        <f>IF('Lighting Inventory'!E260="", "", 'Lighting Inventory'!E260)</f>
        <v/>
      </c>
      <c r="G318" s="93" t="str">
        <f>IF('Lighting Inventory'!G260="", "", IF('Lighting Inventory'!G260="Air Conditioned", "Y", "N"))</f>
        <v/>
      </c>
      <c r="H318" s="94">
        <f>'Lighting Inventory'!H260</f>
        <v>0</v>
      </c>
      <c r="I318" s="94" t="str">
        <f>IF('Lighting Inventory'!J260="", "", 'Lighting Inventory'!J260)</f>
        <v/>
      </c>
      <c r="J318" s="94" t="str">
        <f>IF('Lighting Inventory'!K260="", "", 'Lighting Inventory'!K260)</f>
        <v/>
      </c>
      <c r="K318" s="1186" t="str">
        <f>IF('Lighting Inventory'!S260="", "", 'Lighting Inventory'!S260)</f>
        <v/>
      </c>
      <c r="L318" s="1186"/>
      <c r="M318" s="1187" t="str">
        <f>IF('Lighting Inventory'!E260="", "", 'Lighting Inventory'!W260)</f>
        <v/>
      </c>
      <c r="N318" s="1187"/>
      <c r="O318" s="1187"/>
      <c r="P318" s="1187"/>
      <c r="Q318" s="1187"/>
      <c r="R318" s="468" t="str">
        <f>IF('Lighting Inventory'!AE260="", "", 'Lighting Inventory'!AE260)</f>
        <v/>
      </c>
      <c r="S318" s="95" t="str">
        <f>IF('Lighting Inventory'!AN260="", "", 'Lighting Inventory'!AN260)</f>
        <v/>
      </c>
      <c r="T318" s="1186"/>
      <c r="U318" s="1186"/>
      <c r="V318" s="1186"/>
      <c r="W318" s="1186"/>
      <c r="X318" s="1186"/>
      <c r="Y318" s="1186"/>
      <c r="Z318" s="1186"/>
    </row>
  </sheetData>
  <mergeCells count="1136">
    <mergeCell ref="A135:A136"/>
    <mergeCell ref="B135:J135"/>
    <mergeCell ref="K135:Z135"/>
    <mergeCell ref="A177:C177"/>
    <mergeCell ref="D177:J177"/>
    <mergeCell ref="K177:M177"/>
    <mergeCell ref="N177:P177"/>
    <mergeCell ref="Q177:S177"/>
    <mergeCell ref="T177:Z177"/>
    <mergeCell ref="A178:A179"/>
    <mergeCell ref="B178:J178"/>
    <mergeCell ref="K178:Z178"/>
    <mergeCell ref="A220:C220"/>
    <mergeCell ref="D220:J220"/>
    <mergeCell ref="K220:M220"/>
    <mergeCell ref="N220:P220"/>
    <mergeCell ref="Q220:S220"/>
    <mergeCell ref="T220:Z220"/>
    <mergeCell ref="C176:E176"/>
    <mergeCell ref="K176:L176"/>
    <mergeCell ref="M176:Q176"/>
    <mergeCell ref="T176:Z176"/>
    <mergeCell ref="C173:E173"/>
    <mergeCell ref="K173:L173"/>
    <mergeCell ref="M173:Q173"/>
    <mergeCell ref="T173:Z173"/>
    <mergeCell ref="C174:E174"/>
    <mergeCell ref="K174:L174"/>
    <mergeCell ref="M174:Q174"/>
    <mergeCell ref="T174:Z174"/>
    <mergeCell ref="C171:E171"/>
    <mergeCell ref="K171:L171"/>
    <mergeCell ref="A48:C48"/>
    <mergeCell ref="D48:J48"/>
    <mergeCell ref="K48:M48"/>
    <mergeCell ref="N48:P48"/>
    <mergeCell ref="Q48:S48"/>
    <mergeCell ref="T48:Z48"/>
    <mergeCell ref="A91:C91"/>
    <mergeCell ref="D91:J91"/>
    <mergeCell ref="K91:M91"/>
    <mergeCell ref="N91:P91"/>
    <mergeCell ref="Q91:S91"/>
    <mergeCell ref="T91:Z91"/>
    <mergeCell ref="A92:A93"/>
    <mergeCell ref="B92:J92"/>
    <mergeCell ref="K92:Z92"/>
    <mergeCell ref="A134:C134"/>
    <mergeCell ref="D134:J134"/>
    <mergeCell ref="K134:M134"/>
    <mergeCell ref="N134:P134"/>
    <mergeCell ref="Q134:S134"/>
    <mergeCell ref="T134:Z134"/>
    <mergeCell ref="K49:Z49"/>
    <mergeCell ref="A49:A50"/>
    <mergeCell ref="C50:E50"/>
    <mergeCell ref="C51:E51"/>
    <mergeCell ref="K51:L51"/>
    <mergeCell ref="M51:Q51"/>
    <mergeCell ref="C52:E52"/>
    <mergeCell ref="C53:E53"/>
    <mergeCell ref="C54:E54"/>
    <mergeCell ref="M52:Q52"/>
    <mergeCell ref="M53:Q53"/>
    <mergeCell ref="M171:Q171"/>
    <mergeCell ref="T171:Z171"/>
    <mergeCell ref="C172:E172"/>
    <mergeCell ref="K172:L172"/>
    <mergeCell ref="M172:Q172"/>
    <mergeCell ref="T172:Z172"/>
    <mergeCell ref="C169:E169"/>
    <mergeCell ref="K169:L169"/>
    <mergeCell ref="M169:Q169"/>
    <mergeCell ref="T169:Z169"/>
    <mergeCell ref="C170:E170"/>
    <mergeCell ref="K170:L170"/>
    <mergeCell ref="M170:Q170"/>
    <mergeCell ref="T170:Z170"/>
    <mergeCell ref="C175:E175"/>
    <mergeCell ref="K175:L175"/>
    <mergeCell ref="M175:Q175"/>
    <mergeCell ref="T175:Z175"/>
    <mergeCell ref="C164:E164"/>
    <mergeCell ref="K164:L164"/>
    <mergeCell ref="M164:Q164"/>
    <mergeCell ref="T164:Z164"/>
    <mergeCell ref="C161:E161"/>
    <mergeCell ref="K161:L161"/>
    <mergeCell ref="M161:Q161"/>
    <mergeCell ref="T161:Z161"/>
    <mergeCell ref="C162:E162"/>
    <mergeCell ref="K162:L162"/>
    <mergeCell ref="M162:Q162"/>
    <mergeCell ref="T162:Z162"/>
    <mergeCell ref="C167:E167"/>
    <mergeCell ref="K167:L167"/>
    <mergeCell ref="M167:Q167"/>
    <mergeCell ref="T167:Z167"/>
    <mergeCell ref="C168:E168"/>
    <mergeCell ref="K168:L168"/>
    <mergeCell ref="M168:Q168"/>
    <mergeCell ref="T168:Z168"/>
    <mergeCell ref="C165:E165"/>
    <mergeCell ref="K165:L165"/>
    <mergeCell ref="M165:Q165"/>
    <mergeCell ref="T165:Z165"/>
    <mergeCell ref="C166:E166"/>
    <mergeCell ref="K166:L166"/>
    <mergeCell ref="M166:Q166"/>
    <mergeCell ref="T166:Z166"/>
    <mergeCell ref="C159:E159"/>
    <mergeCell ref="K159:L159"/>
    <mergeCell ref="M159:Q159"/>
    <mergeCell ref="T159:Z159"/>
    <mergeCell ref="C160:E160"/>
    <mergeCell ref="K160:L160"/>
    <mergeCell ref="M160:Q160"/>
    <mergeCell ref="T160:Z160"/>
    <mergeCell ref="C157:E157"/>
    <mergeCell ref="K157:L157"/>
    <mergeCell ref="M157:Q157"/>
    <mergeCell ref="T157:Z157"/>
    <mergeCell ref="C158:E158"/>
    <mergeCell ref="K158:L158"/>
    <mergeCell ref="M158:Q158"/>
    <mergeCell ref="T158:Z158"/>
    <mergeCell ref="C163:E163"/>
    <mergeCell ref="K163:L163"/>
    <mergeCell ref="M163:Q163"/>
    <mergeCell ref="T163:Z163"/>
    <mergeCell ref="B2:S4"/>
    <mergeCell ref="A5:Z5"/>
    <mergeCell ref="C8:F10"/>
    <mergeCell ref="C12:F13"/>
    <mergeCell ref="Q13:T14"/>
    <mergeCell ref="U13:X14"/>
    <mergeCell ref="Q15:T16"/>
    <mergeCell ref="U15:X16"/>
    <mergeCell ref="Q17:T18"/>
    <mergeCell ref="U17:X18"/>
    <mergeCell ref="Q10:T11"/>
    <mergeCell ref="U10:X11"/>
    <mergeCell ref="Q12:T12"/>
    <mergeCell ref="U12:X12"/>
    <mergeCell ref="Q8:X9"/>
    <mergeCell ref="C26:F28"/>
    <mergeCell ref="C23:F24"/>
    <mergeCell ref="G19:N21"/>
    <mergeCell ref="G23:N24"/>
    <mergeCell ref="G26:N28"/>
    <mergeCell ref="Q21:X22"/>
    <mergeCell ref="Q27:T29"/>
    <mergeCell ref="U27:X29"/>
    <mergeCell ref="C156:E156"/>
    <mergeCell ref="K156:L156"/>
    <mergeCell ref="M156:Q156"/>
    <mergeCell ref="T156:Z156"/>
    <mergeCell ref="C153:E153"/>
    <mergeCell ref="K153:L153"/>
    <mergeCell ref="M153:Q153"/>
    <mergeCell ref="T153:Z153"/>
    <mergeCell ref="C154:E154"/>
    <mergeCell ref="K154:L154"/>
    <mergeCell ref="M154:Q154"/>
    <mergeCell ref="T154:Z154"/>
    <mergeCell ref="C15:F17"/>
    <mergeCell ref="G8:N10"/>
    <mergeCell ref="G12:N13"/>
    <mergeCell ref="G15:N17"/>
    <mergeCell ref="C19:F21"/>
    <mergeCell ref="C30:F32"/>
    <mergeCell ref="C34:F36"/>
    <mergeCell ref="G30:N32"/>
    <mergeCell ref="G34:N36"/>
    <mergeCell ref="C151:E151"/>
    <mergeCell ref="K151:L151"/>
    <mergeCell ref="M151:Q151"/>
    <mergeCell ref="T151:Z151"/>
    <mergeCell ref="C152:E152"/>
    <mergeCell ref="K152:L152"/>
    <mergeCell ref="M152:Q152"/>
    <mergeCell ref="T152:Z152"/>
    <mergeCell ref="C149:E149"/>
    <mergeCell ref="K149:L149"/>
    <mergeCell ref="M149:Q149"/>
    <mergeCell ref="T149:Z149"/>
    <mergeCell ref="C150:E150"/>
    <mergeCell ref="K150:L150"/>
    <mergeCell ref="M150:Q150"/>
    <mergeCell ref="T150:Z150"/>
    <mergeCell ref="C155:E155"/>
    <mergeCell ref="K155:L155"/>
    <mergeCell ref="M155:Q155"/>
    <mergeCell ref="T155:Z155"/>
    <mergeCell ref="C144:E144"/>
    <mergeCell ref="K144:L144"/>
    <mergeCell ref="M144:Q144"/>
    <mergeCell ref="T144:Z144"/>
    <mergeCell ref="C141:E141"/>
    <mergeCell ref="K141:L141"/>
    <mergeCell ref="M141:Q141"/>
    <mergeCell ref="T141:Z141"/>
    <mergeCell ref="C142:E142"/>
    <mergeCell ref="K142:L142"/>
    <mergeCell ref="M142:Q142"/>
    <mergeCell ref="T142:Z142"/>
    <mergeCell ref="C147:E147"/>
    <mergeCell ref="K147:L147"/>
    <mergeCell ref="M147:Q147"/>
    <mergeCell ref="T147:Z147"/>
    <mergeCell ref="C148:E148"/>
    <mergeCell ref="K148:L148"/>
    <mergeCell ref="M148:Q148"/>
    <mergeCell ref="T148:Z148"/>
    <mergeCell ref="C145:E145"/>
    <mergeCell ref="K145:L145"/>
    <mergeCell ref="M145:Q145"/>
    <mergeCell ref="T145:Z145"/>
    <mergeCell ref="C146:E146"/>
    <mergeCell ref="K146:L146"/>
    <mergeCell ref="M146:Q146"/>
    <mergeCell ref="T146:Z146"/>
    <mergeCell ref="C139:E139"/>
    <mergeCell ref="K139:L139"/>
    <mergeCell ref="M139:Q139"/>
    <mergeCell ref="T139:Z139"/>
    <mergeCell ref="C140:E140"/>
    <mergeCell ref="K140:L140"/>
    <mergeCell ref="M140:Q140"/>
    <mergeCell ref="T140:Z140"/>
    <mergeCell ref="C137:E137"/>
    <mergeCell ref="K137:L137"/>
    <mergeCell ref="M137:Q137"/>
    <mergeCell ref="T137:Z137"/>
    <mergeCell ref="C138:E138"/>
    <mergeCell ref="K138:L138"/>
    <mergeCell ref="M138:Q138"/>
    <mergeCell ref="T138:Z138"/>
    <mergeCell ref="C143:E143"/>
    <mergeCell ref="K143:L143"/>
    <mergeCell ref="M143:Q143"/>
    <mergeCell ref="T143:Z143"/>
    <mergeCell ref="C136:E136"/>
    <mergeCell ref="K136:L136"/>
    <mergeCell ref="M136:Q136"/>
    <mergeCell ref="T136:Z136"/>
    <mergeCell ref="T50:Z50"/>
    <mergeCell ref="T51:Z51"/>
    <mergeCell ref="C55:E55"/>
    <mergeCell ref="C56:E56"/>
    <mergeCell ref="C57:E57"/>
    <mergeCell ref="C58:E58"/>
    <mergeCell ref="C59:E59"/>
    <mergeCell ref="C60:E60"/>
    <mergeCell ref="C61:E61"/>
    <mergeCell ref="C62:E62"/>
    <mergeCell ref="C69:E69"/>
    <mergeCell ref="C78:E78"/>
    <mergeCell ref="C79:E79"/>
    <mergeCell ref="K52:L52"/>
    <mergeCell ref="K53:L53"/>
    <mergeCell ref="K54:L54"/>
    <mergeCell ref="K55:L55"/>
    <mergeCell ref="K56:L56"/>
    <mergeCell ref="K57:L57"/>
    <mergeCell ref="C70:E70"/>
    <mergeCell ref="C71:E71"/>
    <mergeCell ref="K58:L58"/>
    <mergeCell ref="K59:L59"/>
    <mergeCell ref="K60:L60"/>
    <mergeCell ref="K64:L64"/>
    <mergeCell ref="K65:L65"/>
    <mergeCell ref="K66:L66"/>
    <mergeCell ref="K67:L67"/>
    <mergeCell ref="C63:E63"/>
    <mergeCell ref="C72:E72"/>
    <mergeCell ref="C73:E73"/>
    <mergeCell ref="C74:E74"/>
    <mergeCell ref="C75:E75"/>
    <mergeCell ref="C64:E64"/>
    <mergeCell ref="C65:E65"/>
    <mergeCell ref="K77:L77"/>
    <mergeCell ref="M70:Q70"/>
    <mergeCell ref="M71:Q71"/>
    <mergeCell ref="M72:Q72"/>
    <mergeCell ref="M54:Q54"/>
    <mergeCell ref="T52:Z52"/>
    <mergeCell ref="T53:Z53"/>
    <mergeCell ref="T54:Z54"/>
    <mergeCell ref="M56:Q56"/>
    <mergeCell ref="M57:Q57"/>
    <mergeCell ref="M58:Q58"/>
    <mergeCell ref="M59:Q59"/>
    <mergeCell ref="M60:Q60"/>
    <mergeCell ref="M61:Q61"/>
    <mergeCell ref="M62:Q62"/>
    <mergeCell ref="M63:Q63"/>
    <mergeCell ref="C66:E66"/>
    <mergeCell ref="C67:E67"/>
    <mergeCell ref="M67:Q67"/>
    <mergeCell ref="M68:Q68"/>
    <mergeCell ref="M69:Q69"/>
    <mergeCell ref="M55:Q55"/>
    <mergeCell ref="T66:Z66"/>
    <mergeCell ref="T67:Z67"/>
    <mergeCell ref="T68:Z68"/>
    <mergeCell ref="M78:Q78"/>
    <mergeCell ref="M79:Q79"/>
    <mergeCell ref="M80:Q80"/>
    <mergeCell ref="T73:Z73"/>
    <mergeCell ref="T74:Z74"/>
    <mergeCell ref="T75:Z75"/>
    <mergeCell ref="T76:Z76"/>
    <mergeCell ref="T77:Z77"/>
    <mergeCell ref="T78:Z78"/>
    <mergeCell ref="T79:Z79"/>
    <mergeCell ref="T80:Z80"/>
    <mergeCell ref="M64:Q64"/>
    <mergeCell ref="M65:Q65"/>
    <mergeCell ref="M66:Q66"/>
    <mergeCell ref="K78:L78"/>
    <mergeCell ref="K79:L79"/>
    <mergeCell ref="C80:E80"/>
    <mergeCell ref="K80:L80"/>
    <mergeCell ref="C76:E76"/>
    <mergeCell ref="C77:E77"/>
    <mergeCell ref="K68:L68"/>
    <mergeCell ref="K69:L69"/>
    <mergeCell ref="K70:L70"/>
    <mergeCell ref="K71:L71"/>
    <mergeCell ref="K72:L72"/>
    <mergeCell ref="K73:L73"/>
    <mergeCell ref="K74:L74"/>
    <mergeCell ref="K75:L75"/>
    <mergeCell ref="K76:L76"/>
    <mergeCell ref="C68:E68"/>
    <mergeCell ref="K61:L61"/>
    <mergeCell ref="K62:L62"/>
    <mergeCell ref="K63:L63"/>
    <mergeCell ref="T55:Z55"/>
    <mergeCell ref="T56:Z56"/>
    <mergeCell ref="T57:Z57"/>
    <mergeCell ref="T58:Z58"/>
    <mergeCell ref="T59:Z59"/>
    <mergeCell ref="T60:Z60"/>
    <mergeCell ref="T61:Z61"/>
    <mergeCell ref="T62:Z62"/>
    <mergeCell ref="T63:Z63"/>
    <mergeCell ref="M73:Q73"/>
    <mergeCell ref="M74:Q74"/>
    <mergeCell ref="M75:Q75"/>
    <mergeCell ref="M76:Q76"/>
    <mergeCell ref="M77:Q77"/>
    <mergeCell ref="T69:Z69"/>
    <mergeCell ref="T70:Z70"/>
    <mergeCell ref="T71:Z71"/>
    <mergeCell ref="T72:Z72"/>
    <mergeCell ref="T133:Z133"/>
    <mergeCell ref="M133:Q133"/>
    <mergeCell ref="K133:L133"/>
    <mergeCell ref="C133:E133"/>
    <mergeCell ref="T132:Z132"/>
    <mergeCell ref="M132:Q132"/>
    <mergeCell ref="K132:L132"/>
    <mergeCell ref="C132:E132"/>
    <mergeCell ref="T131:Z131"/>
    <mergeCell ref="M131:Q131"/>
    <mergeCell ref="K131:L131"/>
    <mergeCell ref="C131:E131"/>
    <mergeCell ref="K90:L90"/>
    <mergeCell ref="M90:Q90"/>
    <mergeCell ref="T90:Z90"/>
    <mergeCell ref="K85:L85"/>
    <mergeCell ref="M85:Q85"/>
    <mergeCell ref="T85:Z85"/>
    <mergeCell ref="K86:L86"/>
    <mergeCell ref="M86:Q86"/>
    <mergeCell ref="T86:Z86"/>
    <mergeCell ref="K87:L87"/>
    <mergeCell ref="M87:Q87"/>
    <mergeCell ref="T87:Z87"/>
    <mergeCell ref="T127:Z127"/>
    <mergeCell ref="M127:Q127"/>
    <mergeCell ref="K127:L127"/>
    <mergeCell ref="C127:E127"/>
    <mergeCell ref="T126:Z126"/>
    <mergeCell ref="M126:Q126"/>
    <mergeCell ref="K126:L126"/>
    <mergeCell ref="C126:E126"/>
    <mergeCell ref="T125:Z125"/>
    <mergeCell ref="M125:Q125"/>
    <mergeCell ref="K125:L125"/>
    <mergeCell ref="C125:E125"/>
    <mergeCell ref="T130:Z130"/>
    <mergeCell ref="M130:Q130"/>
    <mergeCell ref="K130:L130"/>
    <mergeCell ref="C130:E130"/>
    <mergeCell ref="T129:Z129"/>
    <mergeCell ref="M129:Q129"/>
    <mergeCell ref="K129:L129"/>
    <mergeCell ref="C129:E129"/>
    <mergeCell ref="T128:Z128"/>
    <mergeCell ref="M128:Q128"/>
    <mergeCell ref="K128:L128"/>
    <mergeCell ref="C128:E128"/>
    <mergeCell ref="T121:Z121"/>
    <mergeCell ref="M121:Q121"/>
    <mergeCell ref="K121:L121"/>
    <mergeCell ref="C121:E121"/>
    <mergeCell ref="T120:Z120"/>
    <mergeCell ref="M120:Q120"/>
    <mergeCell ref="K120:L120"/>
    <mergeCell ref="C120:E120"/>
    <mergeCell ref="T119:Z119"/>
    <mergeCell ref="M119:Q119"/>
    <mergeCell ref="K119:L119"/>
    <mergeCell ref="C119:E119"/>
    <mergeCell ref="T124:Z124"/>
    <mergeCell ref="M124:Q124"/>
    <mergeCell ref="K124:L124"/>
    <mergeCell ref="C124:E124"/>
    <mergeCell ref="T123:Z123"/>
    <mergeCell ref="M123:Q123"/>
    <mergeCell ref="K123:L123"/>
    <mergeCell ref="C123:E123"/>
    <mergeCell ref="T122:Z122"/>
    <mergeCell ref="M122:Q122"/>
    <mergeCell ref="K122:L122"/>
    <mergeCell ref="C122:E122"/>
    <mergeCell ref="T115:Z115"/>
    <mergeCell ref="M115:Q115"/>
    <mergeCell ref="K115:L115"/>
    <mergeCell ref="C115:E115"/>
    <mergeCell ref="T114:Z114"/>
    <mergeCell ref="M114:Q114"/>
    <mergeCell ref="K114:L114"/>
    <mergeCell ref="C114:E114"/>
    <mergeCell ref="T113:Z113"/>
    <mergeCell ref="M113:Q113"/>
    <mergeCell ref="K113:L113"/>
    <mergeCell ref="C113:E113"/>
    <mergeCell ref="T118:Z118"/>
    <mergeCell ref="M118:Q118"/>
    <mergeCell ref="K118:L118"/>
    <mergeCell ref="C118:E118"/>
    <mergeCell ref="T117:Z117"/>
    <mergeCell ref="M117:Q117"/>
    <mergeCell ref="K117:L117"/>
    <mergeCell ref="C117:E117"/>
    <mergeCell ref="T116:Z116"/>
    <mergeCell ref="M116:Q116"/>
    <mergeCell ref="K116:L116"/>
    <mergeCell ref="C116:E116"/>
    <mergeCell ref="T109:Z109"/>
    <mergeCell ref="M109:Q109"/>
    <mergeCell ref="K109:L109"/>
    <mergeCell ref="C109:E109"/>
    <mergeCell ref="T108:Z108"/>
    <mergeCell ref="M108:Q108"/>
    <mergeCell ref="K108:L108"/>
    <mergeCell ref="C108:E108"/>
    <mergeCell ref="T107:Z107"/>
    <mergeCell ref="M107:Q107"/>
    <mergeCell ref="K107:L107"/>
    <mergeCell ref="C107:E107"/>
    <mergeCell ref="T112:Z112"/>
    <mergeCell ref="M112:Q112"/>
    <mergeCell ref="K112:L112"/>
    <mergeCell ref="C112:E112"/>
    <mergeCell ref="T111:Z111"/>
    <mergeCell ref="M111:Q111"/>
    <mergeCell ref="K111:L111"/>
    <mergeCell ref="C111:E111"/>
    <mergeCell ref="T110:Z110"/>
    <mergeCell ref="M110:Q110"/>
    <mergeCell ref="K110:L110"/>
    <mergeCell ref="C110:E110"/>
    <mergeCell ref="T103:Z103"/>
    <mergeCell ref="M103:Q103"/>
    <mergeCell ref="K103:L103"/>
    <mergeCell ref="C103:E103"/>
    <mergeCell ref="T102:Z102"/>
    <mergeCell ref="M102:Q102"/>
    <mergeCell ref="K102:L102"/>
    <mergeCell ref="C102:E102"/>
    <mergeCell ref="T101:Z101"/>
    <mergeCell ref="M101:Q101"/>
    <mergeCell ref="K101:L101"/>
    <mergeCell ref="C101:E101"/>
    <mergeCell ref="T106:Z106"/>
    <mergeCell ref="M106:Q106"/>
    <mergeCell ref="K106:L106"/>
    <mergeCell ref="C106:E106"/>
    <mergeCell ref="T105:Z105"/>
    <mergeCell ref="M105:Q105"/>
    <mergeCell ref="K105:L105"/>
    <mergeCell ref="C105:E105"/>
    <mergeCell ref="T104:Z104"/>
    <mergeCell ref="M104:Q104"/>
    <mergeCell ref="K104:L104"/>
    <mergeCell ref="C104:E104"/>
    <mergeCell ref="T100:Z100"/>
    <mergeCell ref="M100:Q100"/>
    <mergeCell ref="K100:L100"/>
    <mergeCell ref="C100:E100"/>
    <mergeCell ref="T99:Z99"/>
    <mergeCell ref="M99:Q99"/>
    <mergeCell ref="K99:L99"/>
    <mergeCell ref="C99:E99"/>
    <mergeCell ref="T98:Z98"/>
    <mergeCell ref="M98:Q98"/>
    <mergeCell ref="K98:L98"/>
    <mergeCell ref="C98:E98"/>
    <mergeCell ref="K82:L82"/>
    <mergeCell ref="M82:Q82"/>
    <mergeCell ref="T82:Z82"/>
    <mergeCell ref="K83:L83"/>
    <mergeCell ref="M83:Q83"/>
    <mergeCell ref="T83:Z83"/>
    <mergeCell ref="K84:L84"/>
    <mergeCell ref="M84:Q84"/>
    <mergeCell ref="T84:Z84"/>
    <mergeCell ref="T89:Z89"/>
    <mergeCell ref="B49:J49"/>
    <mergeCell ref="K50:L50"/>
    <mergeCell ref="M50:Q50"/>
    <mergeCell ref="Q41:X46"/>
    <mergeCell ref="T93:Z93"/>
    <mergeCell ref="M93:Q93"/>
    <mergeCell ref="K93:L93"/>
    <mergeCell ref="Q32:T33"/>
    <mergeCell ref="U32:X33"/>
    <mergeCell ref="Q34:T35"/>
    <mergeCell ref="U34:X35"/>
    <mergeCell ref="Q36:T37"/>
    <mergeCell ref="U36:X37"/>
    <mergeCell ref="C93:E93"/>
    <mergeCell ref="C82:E82"/>
    <mergeCell ref="C83:E83"/>
    <mergeCell ref="C84:E84"/>
    <mergeCell ref="C85:E85"/>
    <mergeCell ref="C86:E86"/>
    <mergeCell ref="C87:E87"/>
    <mergeCell ref="C88:E88"/>
    <mergeCell ref="C89:E89"/>
    <mergeCell ref="C90:E90"/>
    <mergeCell ref="K88:L88"/>
    <mergeCell ref="M88:Q88"/>
    <mergeCell ref="T88:Z88"/>
    <mergeCell ref="K89:L89"/>
    <mergeCell ref="M89:Q89"/>
    <mergeCell ref="T81:Z81"/>
    <mergeCell ref="M81:Q81"/>
    <mergeCell ref="C81:E81"/>
    <mergeCell ref="K81:L81"/>
    <mergeCell ref="C179:E179"/>
    <mergeCell ref="K179:L179"/>
    <mergeCell ref="M179:Q179"/>
    <mergeCell ref="T179:Z179"/>
    <mergeCell ref="C180:E180"/>
    <mergeCell ref="K180:L180"/>
    <mergeCell ref="M180:Q180"/>
    <mergeCell ref="T180:Z180"/>
    <mergeCell ref="Q30:T31"/>
    <mergeCell ref="U30:X31"/>
    <mergeCell ref="Q23:T24"/>
    <mergeCell ref="U23:X24"/>
    <mergeCell ref="Q25:T26"/>
    <mergeCell ref="U25:X26"/>
    <mergeCell ref="T95:Z95"/>
    <mergeCell ref="M95:Q95"/>
    <mergeCell ref="K95:L95"/>
    <mergeCell ref="C95:E95"/>
    <mergeCell ref="T94:Z94"/>
    <mergeCell ref="M94:Q94"/>
    <mergeCell ref="K94:L94"/>
    <mergeCell ref="C94:E94"/>
    <mergeCell ref="T97:Z97"/>
    <mergeCell ref="M97:Q97"/>
    <mergeCell ref="K97:L97"/>
    <mergeCell ref="C97:E97"/>
    <mergeCell ref="T96:Z96"/>
    <mergeCell ref="M96:Q96"/>
    <mergeCell ref="K96:L96"/>
    <mergeCell ref="C96:E96"/>
    <mergeCell ref="T64:Z64"/>
    <mergeCell ref="T65:Z65"/>
    <mergeCell ref="C184:E184"/>
    <mergeCell ref="K184:L184"/>
    <mergeCell ref="M184:Q184"/>
    <mergeCell ref="T184:Z184"/>
    <mergeCell ref="C185:E185"/>
    <mergeCell ref="K185:L185"/>
    <mergeCell ref="M185:Q185"/>
    <mergeCell ref="T185:Z185"/>
    <mergeCell ref="C186:E186"/>
    <mergeCell ref="K186:L186"/>
    <mergeCell ref="M186:Q186"/>
    <mergeCell ref="T186:Z186"/>
    <mergeCell ref="C181:E181"/>
    <mergeCell ref="K181:L181"/>
    <mergeCell ref="M181:Q181"/>
    <mergeCell ref="T181:Z181"/>
    <mergeCell ref="C182:E182"/>
    <mergeCell ref="K182:L182"/>
    <mergeCell ref="M182:Q182"/>
    <mergeCell ref="T182:Z182"/>
    <mergeCell ref="C183:E183"/>
    <mergeCell ref="K183:L183"/>
    <mergeCell ref="M183:Q183"/>
    <mergeCell ref="T183:Z183"/>
    <mergeCell ref="C190:E190"/>
    <mergeCell ref="K190:L190"/>
    <mergeCell ref="M190:Q190"/>
    <mergeCell ref="T190:Z190"/>
    <mergeCell ref="C191:E191"/>
    <mergeCell ref="K191:L191"/>
    <mergeCell ref="M191:Q191"/>
    <mergeCell ref="T191:Z191"/>
    <mergeCell ref="C192:E192"/>
    <mergeCell ref="K192:L192"/>
    <mergeCell ref="M192:Q192"/>
    <mergeCell ref="T192:Z192"/>
    <mergeCell ref="C187:E187"/>
    <mergeCell ref="K187:L187"/>
    <mergeCell ref="M187:Q187"/>
    <mergeCell ref="T187:Z187"/>
    <mergeCell ref="C188:E188"/>
    <mergeCell ref="K188:L188"/>
    <mergeCell ref="M188:Q188"/>
    <mergeCell ref="T188:Z188"/>
    <mergeCell ref="C189:E189"/>
    <mergeCell ref="K189:L189"/>
    <mergeCell ref="M189:Q189"/>
    <mergeCell ref="T189:Z189"/>
    <mergeCell ref="C196:E196"/>
    <mergeCell ref="K196:L196"/>
    <mergeCell ref="M196:Q196"/>
    <mergeCell ref="T196:Z196"/>
    <mergeCell ref="C197:E197"/>
    <mergeCell ref="K197:L197"/>
    <mergeCell ref="M197:Q197"/>
    <mergeCell ref="T197:Z197"/>
    <mergeCell ref="C198:E198"/>
    <mergeCell ref="K198:L198"/>
    <mergeCell ref="M198:Q198"/>
    <mergeCell ref="T198:Z198"/>
    <mergeCell ref="C193:E193"/>
    <mergeCell ref="K193:L193"/>
    <mergeCell ref="M193:Q193"/>
    <mergeCell ref="T193:Z193"/>
    <mergeCell ref="C194:E194"/>
    <mergeCell ref="K194:L194"/>
    <mergeCell ref="M194:Q194"/>
    <mergeCell ref="T194:Z194"/>
    <mergeCell ref="C195:E195"/>
    <mergeCell ref="K195:L195"/>
    <mergeCell ref="M195:Q195"/>
    <mergeCell ref="T195:Z195"/>
    <mergeCell ref="C202:E202"/>
    <mergeCell ref="K202:L202"/>
    <mergeCell ref="M202:Q202"/>
    <mergeCell ref="T202:Z202"/>
    <mergeCell ref="C203:E203"/>
    <mergeCell ref="K203:L203"/>
    <mergeCell ref="M203:Q203"/>
    <mergeCell ref="T203:Z203"/>
    <mergeCell ref="C204:E204"/>
    <mergeCell ref="K204:L204"/>
    <mergeCell ref="M204:Q204"/>
    <mergeCell ref="T204:Z204"/>
    <mergeCell ref="C199:E199"/>
    <mergeCell ref="K199:L199"/>
    <mergeCell ref="M199:Q199"/>
    <mergeCell ref="T199:Z199"/>
    <mergeCell ref="C200:E200"/>
    <mergeCell ref="K200:L200"/>
    <mergeCell ref="M200:Q200"/>
    <mergeCell ref="T200:Z200"/>
    <mergeCell ref="C201:E201"/>
    <mergeCell ref="K201:L201"/>
    <mergeCell ref="M201:Q201"/>
    <mergeCell ref="T201:Z201"/>
    <mergeCell ref="C208:E208"/>
    <mergeCell ref="K208:L208"/>
    <mergeCell ref="M208:Q208"/>
    <mergeCell ref="T208:Z208"/>
    <mergeCell ref="C209:E209"/>
    <mergeCell ref="K209:L209"/>
    <mergeCell ref="M209:Q209"/>
    <mergeCell ref="T209:Z209"/>
    <mergeCell ref="C210:E210"/>
    <mergeCell ref="K210:L210"/>
    <mergeCell ref="M210:Q210"/>
    <mergeCell ref="T210:Z210"/>
    <mergeCell ref="C205:E205"/>
    <mergeCell ref="K205:L205"/>
    <mergeCell ref="M205:Q205"/>
    <mergeCell ref="T205:Z205"/>
    <mergeCell ref="C206:E206"/>
    <mergeCell ref="K206:L206"/>
    <mergeCell ref="M206:Q206"/>
    <mergeCell ref="T206:Z206"/>
    <mergeCell ref="C207:E207"/>
    <mergeCell ref="K207:L207"/>
    <mergeCell ref="M207:Q207"/>
    <mergeCell ref="T207:Z207"/>
    <mergeCell ref="C214:E214"/>
    <mergeCell ref="K214:L214"/>
    <mergeCell ref="M214:Q214"/>
    <mergeCell ref="T214:Z214"/>
    <mergeCell ref="C215:E215"/>
    <mergeCell ref="K215:L215"/>
    <mergeCell ref="M215:Q215"/>
    <mergeCell ref="T215:Z215"/>
    <mergeCell ref="C216:E216"/>
    <mergeCell ref="K216:L216"/>
    <mergeCell ref="M216:Q216"/>
    <mergeCell ref="T216:Z216"/>
    <mergeCell ref="C211:E211"/>
    <mergeCell ref="K211:L211"/>
    <mergeCell ref="M211:Q211"/>
    <mergeCell ref="T211:Z211"/>
    <mergeCell ref="C212:E212"/>
    <mergeCell ref="K212:L212"/>
    <mergeCell ref="M212:Q212"/>
    <mergeCell ref="T212:Z212"/>
    <mergeCell ref="C213:E213"/>
    <mergeCell ref="K213:L213"/>
    <mergeCell ref="M213:Q213"/>
    <mergeCell ref="T213:Z213"/>
    <mergeCell ref="K225:L225"/>
    <mergeCell ref="M225:Q225"/>
    <mergeCell ref="T225:Z225"/>
    <mergeCell ref="C226:E226"/>
    <mergeCell ref="K226:L226"/>
    <mergeCell ref="M226:Q226"/>
    <mergeCell ref="T226:Z226"/>
    <mergeCell ref="C222:E222"/>
    <mergeCell ref="K222:L222"/>
    <mergeCell ref="M222:Q222"/>
    <mergeCell ref="T222:Z222"/>
    <mergeCell ref="C223:E223"/>
    <mergeCell ref="K223:L223"/>
    <mergeCell ref="M223:Q223"/>
    <mergeCell ref="T223:Z223"/>
    <mergeCell ref="C217:E217"/>
    <mergeCell ref="K217:L217"/>
    <mergeCell ref="M217:Q217"/>
    <mergeCell ref="T217:Z217"/>
    <mergeCell ref="C218:E218"/>
    <mergeCell ref="K218:L218"/>
    <mergeCell ref="M218:Q218"/>
    <mergeCell ref="T218:Z218"/>
    <mergeCell ref="C219:E219"/>
    <mergeCell ref="K219:L219"/>
    <mergeCell ref="M219:Q219"/>
    <mergeCell ref="T219:Z219"/>
    <mergeCell ref="A221:A222"/>
    <mergeCell ref="B221:J221"/>
    <mergeCell ref="K221:Z221"/>
    <mergeCell ref="C230:E230"/>
    <mergeCell ref="K230:L230"/>
    <mergeCell ref="M230:Q230"/>
    <mergeCell ref="T230:Z230"/>
    <mergeCell ref="C231:E231"/>
    <mergeCell ref="K231:L231"/>
    <mergeCell ref="M231:Q231"/>
    <mergeCell ref="T231:Z231"/>
    <mergeCell ref="C232:E232"/>
    <mergeCell ref="K232:L232"/>
    <mergeCell ref="M232:Q232"/>
    <mergeCell ref="T232:Z232"/>
    <mergeCell ref="C227:E227"/>
    <mergeCell ref="K227:L227"/>
    <mergeCell ref="M227:Q227"/>
    <mergeCell ref="T227:Z227"/>
    <mergeCell ref="C228:E228"/>
    <mergeCell ref="K228:L228"/>
    <mergeCell ref="M228:Q228"/>
    <mergeCell ref="T228:Z228"/>
    <mergeCell ref="C229:E229"/>
    <mergeCell ref="K229:L229"/>
    <mergeCell ref="M229:Q229"/>
    <mergeCell ref="T229:Z229"/>
    <mergeCell ref="C224:E224"/>
    <mergeCell ref="K224:L224"/>
    <mergeCell ref="M224:Q224"/>
    <mergeCell ref="T224:Z224"/>
    <mergeCell ref="C225:E225"/>
    <mergeCell ref="C236:E236"/>
    <mergeCell ref="K236:L236"/>
    <mergeCell ref="M236:Q236"/>
    <mergeCell ref="T236:Z236"/>
    <mergeCell ref="C237:E237"/>
    <mergeCell ref="K237:L237"/>
    <mergeCell ref="M237:Q237"/>
    <mergeCell ref="T237:Z237"/>
    <mergeCell ref="C238:E238"/>
    <mergeCell ref="K238:L238"/>
    <mergeCell ref="M238:Q238"/>
    <mergeCell ref="T238:Z238"/>
    <mergeCell ref="C233:E233"/>
    <mergeCell ref="K233:L233"/>
    <mergeCell ref="M233:Q233"/>
    <mergeCell ref="T233:Z233"/>
    <mergeCell ref="C234:E234"/>
    <mergeCell ref="K234:L234"/>
    <mergeCell ref="M234:Q234"/>
    <mergeCell ref="T234:Z234"/>
    <mergeCell ref="C235:E235"/>
    <mergeCell ref="K235:L235"/>
    <mergeCell ref="M235:Q235"/>
    <mergeCell ref="T235:Z235"/>
    <mergeCell ref="C242:E242"/>
    <mergeCell ref="K242:L242"/>
    <mergeCell ref="M242:Q242"/>
    <mergeCell ref="T242:Z242"/>
    <mergeCell ref="C243:E243"/>
    <mergeCell ref="K243:L243"/>
    <mergeCell ref="M243:Q243"/>
    <mergeCell ref="T243:Z243"/>
    <mergeCell ref="C244:E244"/>
    <mergeCell ref="K244:L244"/>
    <mergeCell ref="M244:Q244"/>
    <mergeCell ref="T244:Z244"/>
    <mergeCell ref="C239:E239"/>
    <mergeCell ref="K239:L239"/>
    <mergeCell ref="M239:Q239"/>
    <mergeCell ref="T239:Z239"/>
    <mergeCell ref="C240:E240"/>
    <mergeCell ref="K240:L240"/>
    <mergeCell ref="M240:Q240"/>
    <mergeCell ref="T240:Z240"/>
    <mergeCell ref="C241:E241"/>
    <mergeCell ref="K241:L241"/>
    <mergeCell ref="M241:Q241"/>
    <mergeCell ref="T241:Z241"/>
    <mergeCell ref="C248:E248"/>
    <mergeCell ref="K248:L248"/>
    <mergeCell ref="M248:Q248"/>
    <mergeCell ref="T248:Z248"/>
    <mergeCell ref="C249:E249"/>
    <mergeCell ref="K249:L249"/>
    <mergeCell ref="M249:Q249"/>
    <mergeCell ref="T249:Z249"/>
    <mergeCell ref="C250:E250"/>
    <mergeCell ref="K250:L250"/>
    <mergeCell ref="M250:Q250"/>
    <mergeCell ref="T250:Z250"/>
    <mergeCell ref="C245:E245"/>
    <mergeCell ref="K245:L245"/>
    <mergeCell ref="M245:Q245"/>
    <mergeCell ref="T245:Z245"/>
    <mergeCell ref="C246:E246"/>
    <mergeCell ref="K246:L246"/>
    <mergeCell ref="M246:Q246"/>
    <mergeCell ref="T246:Z246"/>
    <mergeCell ref="C247:E247"/>
    <mergeCell ref="K247:L247"/>
    <mergeCell ref="M247:Q247"/>
    <mergeCell ref="T247:Z247"/>
    <mergeCell ref="C254:E254"/>
    <mergeCell ref="K254:L254"/>
    <mergeCell ref="M254:Q254"/>
    <mergeCell ref="T254:Z254"/>
    <mergeCell ref="C255:E255"/>
    <mergeCell ref="K255:L255"/>
    <mergeCell ref="M255:Q255"/>
    <mergeCell ref="T255:Z255"/>
    <mergeCell ref="C256:E256"/>
    <mergeCell ref="K256:L256"/>
    <mergeCell ref="M256:Q256"/>
    <mergeCell ref="T256:Z256"/>
    <mergeCell ref="C251:E251"/>
    <mergeCell ref="K251:L251"/>
    <mergeCell ref="M251:Q251"/>
    <mergeCell ref="T251:Z251"/>
    <mergeCell ref="C252:E252"/>
    <mergeCell ref="K252:L252"/>
    <mergeCell ref="M252:Q252"/>
    <mergeCell ref="T252:Z252"/>
    <mergeCell ref="C253:E253"/>
    <mergeCell ref="K253:L253"/>
    <mergeCell ref="M253:Q253"/>
    <mergeCell ref="T253:Z253"/>
    <mergeCell ref="A264:A265"/>
    <mergeCell ref="B264:J264"/>
    <mergeCell ref="K264:Z264"/>
    <mergeCell ref="C265:E265"/>
    <mergeCell ref="K265:L265"/>
    <mergeCell ref="M265:Q265"/>
    <mergeCell ref="C257:E257"/>
    <mergeCell ref="K257:L257"/>
    <mergeCell ref="M257:Q257"/>
    <mergeCell ref="T257:Z257"/>
    <mergeCell ref="C258:E258"/>
    <mergeCell ref="K258:L258"/>
    <mergeCell ref="M258:Q258"/>
    <mergeCell ref="T258:Z258"/>
    <mergeCell ref="C259:E259"/>
    <mergeCell ref="K259:L259"/>
    <mergeCell ref="M259:Q259"/>
    <mergeCell ref="T259:Z259"/>
    <mergeCell ref="C260:E260"/>
    <mergeCell ref="K260:L260"/>
    <mergeCell ref="M260:Q260"/>
    <mergeCell ref="T260:Z260"/>
    <mergeCell ref="C261:E261"/>
    <mergeCell ref="K261:L261"/>
    <mergeCell ref="M261:Q261"/>
    <mergeCell ref="T261:Z261"/>
    <mergeCell ref="C262:E262"/>
    <mergeCell ref="K262:L262"/>
    <mergeCell ref="M262:Q262"/>
    <mergeCell ref="T262:Z262"/>
    <mergeCell ref="A263:C263"/>
    <mergeCell ref="D263:J263"/>
    <mergeCell ref="K263:M263"/>
    <mergeCell ref="N263:P263"/>
    <mergeCell ref="Q263:S263"/>
    <mergeCell ref="T263:Z263"/>
    <mergeCell ref="C267:E267"/>
    <mergeCell ref="K267:L267"/>
    <mergeCell ref="M267:Q267"/>
    <mergeCell ref="T267:Z267"/>
    <mergeCell ref="C268:E268"/>
    <mergeCell ref="K268:L268"/>
    <mergeCell ref="M268:Q268"/>
    <mergeCell ref="T268:Z268"/>
    <mergeCell ref="C269:E269"/>
    <mergeCell ref="K269:L269"/>
    <mergeCell ref="M269:Q269"/>
    <mergeCell ref="T269:Z269"/>
    <mergeCell ref="T265:Z265"/>
    <mergeCell ref="C266:E266"/>
    <mergeCell ref="K266:L266"/>
    <mergeCell ref="M266:Q266"/>
    <mergeCell ref="T266:Z266"/>
    <mergeCell ref="C275:E275"/>
    <mergeCell ref="K275:L275"/>
    <mergeCell ref="M275:Q275"/>
    <mergeCell ref="T275:Z275"/>
    <mergeCell ref="C270:E270"/>
    <mergeCell ref="K270:L270"/>
    <mergeCell ref="M270:Q270"/>
    <mergeCell ref="T270:Z270"/>
    <mergeCell ref="C271:E271"/>
    <mergeCell ref="K271:L271"/>
    <mergeCell ref="M271:Q271"/>
    <mergeCell ref="T271:Z271"/>
    <mergeCell ref="C272:E272"/>
    <mergeCell ref="K272:L272"/>
    <mergeCell ref="M272:Q272"/>
    <mergeCell ref="T272:Z272"/>
    <mergeCell ref="C279:E279"/>
    <mergeCell ref="K279:L279"/>
    <mergeCell ref="M279:Q279"/>
    <mergeCell ref="T279:Z279"/>
    <mergeCell ref="C273:E273"/>
    <mergeCell ref="K273:L273"/>
    <mergeCell ref="M273:Q273"/>
    <mergeCell ref="T273:Z273"/>
    <mergeCell ref="C274:E274"/>
    <mergeCell ref="K274:L274"/>
    <mergeCell ref="M274:Q274"/>
    <mergeCell ref="T274:Z274"/>
    <mergeCell ref="C280:E280"/>
    <mergeCell ref="K280:L280"/>
    <mergeCell ref="M280:Q280"/>
    <mergeCell ref="T280:Z280"/>
    <mergeCell ref="C281:E281"/>
    <mergeCell ref="K281:L281"/>
    <mergeCell ref="M281:Q281"/>
    <mergeCell ref="T281:Z281"/>
    <mergeCell ref="C276:E276"/>
    <mergeCell ref="K276:L276"/>
    <mergeCell ref="M276:Q276"/>
    <mergeCell ref="T276:Z276"/>
    <mergeCell ref="C277:E277"/>
    <mergeCell ref="K277:L277"/>
    <mergeCell ref="M277:Q277"/>
    <mergeCell ref="T277:Z277"/>
    <mergeCell ref="C278:E278"/>
    <mergeCell ref="K278:L278"/>
    <mergeCell ref="M278:Q278"/>
    <mergeCell ref="T278:Z278"/>
    <mergeCell ref="C285:E285"/>
    <mergeCell ref="K285:L285"/>
    <mergeCell ref="M285:Q285"/>
    <mergeCell ref="T285:Z285"/>
    <mergeCell ref="C286:E286"/>
    <mergeCell ref="K286:L286"/>
    <mergeCell ref="M286:Q286"/>
    <mergeCell ref="T286:Z286"/>
    <mergeCell ref="C287:E287"/>
    <mergeCell ref="K287:L287"/>
    <mergeCell ref="M287:Q287"/>
    <mergeCell ref="T287:Z287"/>
    <mergeCell ref="C282:E282"/>
    <mergeCell ref="K282:L282"/>
    <mergeCell ref="M282:Q282"/>
    <mergeCell ref="T282:Z282"/>
    <mergeCell ref="C283:E283"/>
    <mergeCell ref="K283:L283"/>
    <mergeCell ref="M283:Q283"/>
    <mergeCell ref="T283:Z283"/>
    <mergeCell ref="C284:E284"/>
    <mergeCell ref="K284:L284"/>
    <mergeCell ref="M284:Q284"/>
    <mergeCell ref="T284:Z284"/>
    <mergeCell ref="C291:E291"/>
    <mergeCell ref="K291:L291"/>
    <mergeCell ref="M291:Q291"/>
    <mergeCell ref="T291:Z291"/>
    <mergeCell ref="C292:E292"/>
    <mergeCell ref="K292:L292"/>
    <mergeCell ref="M292:Q292"/>
    <mergeCell ref="T292:Z292"/>
    <mergeCell ref="C293:E293"/>
    <mergeCell ref="K293:L293"/>
    <mergeCell ref="M293:Q293"/>
    <mergeCell ref="T293:Z293"/>
    <mergeCell ref="C288:E288"/>
    <mergeCell ref="K288:L288"/>
    <mergeCell ref="M288:Q288"/>
    <mergeCell ref="T288:Z288"/>
    <mergeCell ref="C289:E289"/>
    <mergeCell ref="K289:L289"/>
    <mergeCell ref="M289:Q289"/>
    <mergeCell ref="T289:Z289"/>
    <mergeCell ref="C290:E290"/>
    <mergeCell ref="K290:L290"/>
    <mergeCell ref="M290:Q290"/>
    <mergeCell ref="T290:Z290"/>
    <mergeCell ref="C297:E297"/>
    <mergeCell ref="K297:L297"/>
    <mergeCell ref="M297:Q297"/>
    <mergeCell ref="T297:Z297"/>
    <mergeCell ref="C298:E298"/>
    <mergeCell ref="K298:L298"/>
    <mergeCell ref="M298:Q298"/>
    <mergeCell ref="T298:Z298"/>
    <mergeCell ref="C299:E299"/>
    <mergeCell ref="K299:L299"/>
    <mergeCell ref="M299:Q299"/>
    <mergeCell ref="T299:Z299"/>
    <mergeCell ref="C294:E294"/>
    <mergeCell ref="K294:L294"/>
    <mergeCell ref="M294:Q294"/>
    <mergeCell ref="T294:Z294"/>
    <mergeCell ref="C295:E295"/>
    <mergeCell ref="K295:L295"/>
    <mergeCell ref="M295:Q295"/>
    <mergeCell ref="T295:Z295"/>
    <mergeCell ref="C296:E296"/>
    <mergeCell ref="K296:L296"/>
    <mergeCell ref="M296:Q296"/>
    <mergeCell ref="T296:Z296"/>
    <mergeCell ref="C303:E303"/>
    <mergeCell ref="K303:L303"/>
    <mergeCell ref="M303:Q303"/>
    <mergeCell ref="T303:Z303"/>
    <mergeCell ref="C304:E304"/>
    <mergeCell ref="K304:L304"/>
    <mergeCell ref="M304:Q304"/>
    <mergeCell ref="T304:Z304"/>
    <mergeCell ref="C305:E305"/>
    <mergeCell ref="K305:L305"/>
    <mergeCell ref="M305:Q305"/>
    <mergeCell ref="T305:Z305"/>
    <mergeCell ref="C300:E300"/>
    <mergeCell ref="K300:L300"/>
    <mergeCell ref="M300:Q300"/>
    <mergeCell ref="T300:Z300"/>
    <mergeCell ref="C301:E301"/>
    <mergeCell ref="K301:L301"/>
    <mergeCell ref="M301:Q301"/>
    <mergeCell ref="T301:Z301"/>
    <mergeCell ref="C302:E302"/>
    <mergeCell ref="K302:L302"/>
    <mergeCell ref="M302:Q302"/>
    <mergeCell ref="T302:Z302"/>
    <mergeCell ref="T317:Z317"/>
    <mergeCell ref="C310:E310"/>
    <mergeCell ref="K310:L310"/>
    <mergeCell ref="M310:Q310"/>
    <mergeCell ref="T310:Z310"/>
    <mergeCell ref="C311:E311"/>
    <mergeCell ref="K311:L311"/>
    <mergeCell ref="M311:Q311"/>
    <mergeCell ref="T311:Z311"/>
    <mergeCell ref="C312:E312"/>
    <mergeCell ref="K312:L312"/>
    <mergeCell ref="M312:Q312"/>
    <mergeCell ref="T312:Z312"/>
    <mergeCell ref="C308:E308"/>
    <mergeCell ref="K308:L308"/>
    <mergeCell ref="M308:Q308"/>
    <mergeCell ref="T308:Z308"/>
    <mergeCell ref="C309:E309"/>
    <mergeCell ref="K309:L309"/>
    <mergeCell ref="M309:Q309"/>
    <mergeCell ref="T309:Z309"/>
    <mergeCell ref="C318:E318"/>
    <mergeCell ref="K318:L318"/>
    <mergeCell ref="M318:Q318"/>
    <mergeCell ref="T318:Z318"/>
    <mergeCell ref="C313:E313"/>
    <mergeCell ref="K313:L313"/>
    <mergeCell ref="M313:Q313"/>
    <mergeCell ref="T313:Z313"/>
    <mergeCell ref="C314:E314"/>
    <mergeCell ref="K314:L314"/>
    <mergeCell ref="M314:Q314"/>
    <mergeCell ref="T314:Z314"/>
    <mergeCell ref="C315:E315"/>
    <mergeCell ref="K315:L315"/>
    <mergeCell ref="M315:Q315"/>
    <mergeCell ref="T315:Z315"/>
    <mergeCell ref="A306:C306"/>
    <mergeCell ref="D306:J306"/>
    <mergeCell ref="K306:M306"/>
    <mergeCell ref="N306:P306"/>
    <mergeCell ref="Q306:S306"/>
    <mergeCell ref="T306:Z306"/>
    <mergeCell ref="A307:A308"/>
    <mergeCell ref="B307:J307"/>
    <mergeCell ref="K307:Z307"/>
    <mergeCell ref="C316:E316"/>
    <mergeCell ref="K316:L316"/>
    <mergeCell ref="M316:Q316"/>
    <mergeCell ref="T316:Z316"/>
    <mergeCell ref="C317:E317"/>
    <mergeCell ref="K317:L317"/>
    <mergeCell ref="M317:Q317"/>
  </mergeCells>
  <pageMargins left="0.7" right="0.7" top="0.75" bottom="0.75" header="0.3" footer="0.3"/>
  <pageSetup paperSize="5" orientation="landscape"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autoPageBreaks="0"/>
  </sheetPr>
  <dimension ref="A1:E29"/>
  <sheetViews>
    <sheetView topLeftCell="A16" workbookViewId="0">
      <selection activeCell="E30" sqref="E30"/>
    </sheetView>
  </sheetViews>
  <sheetFormatPr defaultRowHeight="15" x14ac:dyDescent="0.25"/>
  <cols>
    <col min="1" max="1" width="12.28515625" customWidth="1"/>
    <col min="2" max="2" width="10.7109375" bestFit="1" customWidth="1"/>
    <col min="3" max="3" width="19.28515625" bestFit="1" customWidth="1"/>
    <col min="4" max="4" width="18.85546875" bestFit="1" customWidth="1"/>
    <col min="5" max="5" width="127.7109375" style="581" customWidth="1"/>
  </cols>
  <sheetData>
    <row r="1" spans="1:5" ht="18.75" x14ac:dyDescent="0.3">
      <c r="A1" s="427" t="s">
        <v>4432</v>
      </c>
    </row>
    <row r="3" spans="1:5" x14ac:dyDescent="0.25">
      <c r="A3" t="s">
        <v>4433</v>
      </c>
      <c r="B3" t="s">
        <v>4434</v>
      </c>
      <c r="C3" t="s">
        <v>4435</v>
      </c>
      <c r="D3" t="s">
        <v>4436</v>
      </c>
      <c r="E3" s="581" t="s">
        <v>3403</v>
      </c>
    </row>
    <row r="4" spans="1:5" x14ac:dyDescent="0.25">
      <c r="A4" s="689">
        <v>4.5</v>
      </c>
      <c r="B4" s="686">
        <v>44013</v>
      </c>
      <c r="C4" s="687" t="s">
        <v>4437</v>
      </c>
      <c r="D4" s="687"/>
      <c r="E4" s="688" t="s">
        <v>4438</v>
      </c>
    </row>
    <row r="5" spans="1:5" x14ac:dyDescent="0.25">
      <c r="A5" s="689">
        <v>4.5999999999999996</v>
      </c>
      <c r="B5" s="686">
        <v>44020</v>
      </c>
      <c r="C5" s="687" t="s">
        <v>4439</v>
      </c>
      <c r="D5" s="687"/>
      <c r="E5" s="688" t="s">
        <v>4440</v>
      </c>
    </row>
    <row r="6" spans="1:5" ht="30" x14ac:dyDescent="0.25">
      <c r="A6" s="689">
        <v>4.5999999999999996</v>
      </c>
      <c r="B6" s="686">
        <v>44027</v>
      </c>
      <c r="C6" s="687"/>
      <c r="D6" s="687" t="s">
        <v>4441</v>
      </c>
      <c r="E6" s="688" t="s">
        <v>4442</v>
      </c>
    </row>
    <row r="7" spans="1:5" x14ac:dyDescent="0.25">
      <c r="A7" s="689" t="s">
        <v>4443</v>
      </c>
      <c r="B7" s="686">
        <v>44201</v>
      </c>
      <c r="C7" s="687" t="s">
        <v>4439</v>
      </c>
      <c r="D7" s="687" t="s">
        <v>4444</v>
      </c>
      <c r="E7" s="688" t="s">
        <v>4445</v>
      </c>
    </row>
    <row r="8" spans="1:5" x14ac:dyDescent="0.25">
      <c r="A8" s="1224" t="s">
        <v>4446</v>
      </c>
      <c r="B8" s="1225">
        <v>44223</v>
      </c>
      <c r="C8" s="1226" t="s">
        <v>4439</v>
      </c>
      <c r="D8" s="1226" t="s">
        <v>4447</v>
      </c>
      <c r="E8" s="688" t="s">
        <v>4448</v>
      </c>
    </row>
    <row r="9" spans="1:5" x14ac:dyDescent="0.25">
      <c r="A9" s="1224"/>
      <c r="B9" s="1225"/>
      <c r="C9" s="1226"/>
      <c r="D9" s="1226"/>
      <c r="E9" s="688" t="s">
        <v>4449</v>
      </c>
    </row>
    <row r="10" spans="1:5" x14ac:dyDescent="0.25">
      <c r="A10" s="689">
        <v>5</v>
      </c>
      <c r="B10" s="686">
        <v>44335</v>
      </c>
      <c r="C10" s="687" t="s">
        <v>4450</v>
      </c>
      <c r="D10" s="687" t="s">
        <v>4451</v>
      </c>
      <c r="E10" s="688" t="s">
        <v>4452</v>
      </c>
    </row>
    <row r="11" spans="1:5" x14ac:dyDescent="0.25">
      <c r="A11" s="689">
        <v>5</v>
      </c>
      <c r="B11" s="686">
        <v>44355</v>
      </c>
      <c r="C11" s="687" t="s">
        <v>4450</v>
      </c>
      <c r="D11" s="687" t="s">
        <v>4451</v>
      </c>
      <c r="E11" s="688" t="s">
        <v>4453</v>
      </c>
    </row>
    <row r="12" spans="1:5" ht="45" x14ac:dyDescent="0.25">
      <c r="A12" s="689">
        <v>5.0999999999999996</v>
      </c>
      <c r="B12" s="686">
        <v>44363</v>
      </c>
      <c r="C12" s="687" t="s">
        <v>4450</v>
      </c>
      <c r="D12" s="687"/>
      <c r="E12" s="688" t="s">
        <v>4454</v>
      </c>
    </row>
    <row r="13" spans="1:5" x14ac:dyDescent="0.25">
      <c r="A13" s="689">
        <v>5.2</v>
      </c>
      <c r="B13" s="686">
        <v>44404</v>
      </c>
      <c r="C13" s="687" t="s">
        <v>4450</v>
      </c>
      <c r="D13" s="687" t="s">
        <v>4455</v>
      </c>
      <c r="E13" s="688" t="s">
        <v>4456</v>
      </c>
    </row>
    <row r="14" spans="1:5" ht="45" x14ac:dyDescent="0.25">
      <c r="A14" s="687" t="s">
        <v>4457</v>
      </c>
      <c r="B14" s="686">
        <v>44473</v>
      </c>
      <c r="C14" s="687" t="s">
        <v>4450</v>
      </c>
      <c r="D14" s="687" t="s">
        <v>4458</v>
      </c>
      <c r="E14" s="688" t="s">
        <v>4459</v>
      </c>
    </row>
    <row r="15" spans="1:5" x14ac:dyDescent="0.25">
      <c r="A15" s="687" t="s">
        <v>4460</v>
      </c>
      <c r="B15" s="686">
        <v>44545</v>
      </c>
      <c r="C15" s="687" t="s">
        <v>4450</v>
      </c>
      <c r="D15" s="687" t="s">
        <v>4461</v>
      </c>
      <c r="E15" s="688" t="s">
        <v>4462</v>
      </c>
    </row>
    <row r="16" spans="1:5" x14ac:dyDescent="0.25">
      <c r="A16" s="689">
        <v>5.3</v>
      </c>
      <c r="B16" s="686">
        <v>44242</v>
      </c>
      <c r="C16" s="687" t="s">
        <v>4450</v>
      </c>
      <c r="D16" s="687" t="s">
        <v>4463</v>
      </c>
      <c r="E16" s="688" t="s">
        <v>4464</v>
      </c>
    </row>
    <row r="17" spans="1:5" x14ac:dyDescent="0.25">
      <c r="A17" s="687" t="s">
        <v>4531</v>
      </c>
      <c r="B17" s="686">
        <v>45020</v>
      </c>
      <c r="C17" s="687" t="s">
        <v>4532</v>
      </c>
      <c r="D17" s="687" t="s">
        <v>4533</v>
      </c>
      <c r="E17" s="688" t="s">
        <v>4534</v>
      </c>
    </row>
    <row r="18" spans="1:5" x14ac:dyDescent="0.25">
      <c r="A18" s="687" t="s">
        <v>4535</v>
      </c>
      <c r="B18" s="686">
        <v>45036</v>
      </c>
      <c r="C18" s="687" t="s">
        <v>4532</v>
      </c>
      <c r="D18" s="687" t="s">
        <v>4461</v>
      </c>
      <c r="E18" s="688" t="s">
        <v>4536</v>
      </c>
    </row>
    <row r="19" spans="1:5" ht="45" x14ac:dyDescent="0.25">
      <c r="A19" s="687" t="s">
        <v>4555</v>
      </c>
      <c r="B19" s="686">
        <v>45338</v>
      </c>
      <c r="C19" s="687" t="s">
        <v>4533</v>
      </c>
      <c r="D19" s="687" t="s">
        <v>4461</v>
      </c>
      <c r="E19" s="688" t="s">
        <v>4550</v>
      </c>
    </row>
    <row r="20" spans="1:5" x14ac:dyDescent="0.25">
      <c r="A20" s="687" t="s">
        <v>4555</v>
      </c>
      <c r="B20" s="686">
        <v>45350</v>
      </c>
      <c r="C20" s="687" t="s">
        <v>4533</v>
      </c>
      <c r="D20" s="687" t="s">
        <v>4461</v>
      </c>
      <c r="E20" s="688" t="s">
        <v>4551</v>
      </c>
    </row>
    <row r="21" spans="1:5" x14ac:dyDescent="0.25">
      <c r="A21" s="687" t="s">
        <v>4555</v>
      </c>
      <c r="B21" s="686">
        <v>45352</v>
      </c>
      <c r="C21" s="687" t="s">
        <v>4533</v>
      </c>
      <c r="D21" s="687" t="s">
        <v>4461</v>
      </c>
      <c r="E21" s="688" t="s">
        <v>4560</v>
      </c>
    </row>
    <row r="22" spans="1:5" ht="90" x14ac:dyDescent="0.25">
      <c r="A22" s="687" t="s">
        <v>4556</v>
      </c>
      <c r="B22" s="686">
        <v>45370</v>
      </c>
      <c r="C22" s="687" t="s">
        <v>4533</v>
      </c>
      <c r="D22" s="687" t="s">
        <v>4559</v>
      </c>
      <c r="E22" s="688" t="s">
        <v>4561</v>
      </c>
    </row>
    <row r="23" spans="1:5" ht="30" x14ac:dyDescent="0.25">
      <c r="A23" s="687" t="s">
        <v>4562</v>
      </c>
      <c r="B23" s="686">
        <v>45492</v>
      </c>
      <c r="C23" s="687" t="s">
        <v>4533</v>
      </c>
      <c r="D23" s="687" t="s">
        <v>4461</v>
      </c>
      <c r="E23" s="688" t="s">
        <v>4566</v>
      </c>
    </row>
    <row r="24" spans="1:5" x14ac:dyDescent="0.25">
      <c r="A24" s="687" t="s">
        <v>4585</v>
      </c>
      <c r="B24" s="686">
        <v>45524</v>
      </c>
      <c r="C24" s="687" t="s">
        <v>4533</v>
      </c>
      <c r="D24" s="687" t="s">
        <v>4461</v>
      </c>
      <c r="E24" s="688" t="s">
        <v>4573</v>
      </c>
    </row>
    <row r="25" spans="1:5" x14ac:dyDescent="0.25">
      <c r="A25" s="687" t="s">
        <v>4586</v>
      </c>
      <c r="B25" s="686">
        <v>45533</v>
      </c>
      <c r="C25" s="687" t="s">
        <v>4533</v>
      </c>
      <c r="D25" s="687" t="s">
        <v>4461</v>
      </c>
      <c r="E25" s="688" t="s">
        <v>4575</v>
      </c>
    </row>
    <row r="26" spans="1:5" x14ac:dyDescent="0.25">
      <c r="A26" s="687" t="s">
        <v>4587</v>
      </c>
      <c r="B26" s="686">
        <v>45534</v>
      </c>
      <c r="C26" s="687" t="s">
        <v>4533</v>
      </c>
      <c r="D26" s="687" t="s">
        <v>4461</v>
      </c>
      <c r="E26" s="688" t="s">
        <v>4584</v>
      </c>
    </row>
    <row r="27" spans="1:5" x14ac:dyDescent="0.25">
      <c r="A27" s="690">
        <v>6</v>
      </c>
      <c r="B27" s="686">
        <v>45627</v>
      </c>
      <c r="C27" s="687" t="s">
        <v>4533</v>
      </c>
      <c r="D27" s="687" t="s">
        <v>4461</v>
      </c>
      <c r="E27" s="688" t="s">
        <v>4592</v>
      </c>
    </row>
    <row r="28" spans="1:5" ht="30" x14ac:dyDescent="0.25">
      <c r="A28" s="690" t="s">
        <v>4591</v>
      </c>
      <c r="B28" s="686">
        <v>45804</v>
      </c>
      <c r="C28" s="687" t="s">
        <v>4533</v>
      </c>
      <c r="D28" s="687" t="s">
        <v>4594</v>
      </c>
      <c r="E28" s="688" t="s">
        <v>4593</v>
      </c>
    </row>
    <row r="29" spans="1:5" ht="30" x14ac:dyDescent="0.25">
      <c r="A29" s="690" t="s">
        <v>4599</v>
      </c>
      <c r="B29" s="686">
        <v>45853</v>
      </c>
      <c r="C29" s="687" t="s">
        <v>4594</v>
      </c>
      <c r="D29" s="687"/>
      <c r="E29" s="688" t="s">
        <v>4600</v>
      </c>
    </row>
  </sheetData>
  <sheetProtection algorithmName="SHA-512" hashValue="tiW0IyhvgHwIEyesa7jqO6GFMkJy6+2ArQfC+vygHtu09ix/trjPYqJyY0vH0kZBvuAnFEc1Y3sHWPz1QrCpHA==" saltValue="Jn1OmuHgCU5amNEHQUq/iw==" spinCount="100000" sheet="1" objects="1" scenarios="1"/>
  <mergeCells count="4">
    <mergeCell ref="A8:A9"/>
    <mergeCell ref="B8:B9"/>
    <mergeCell ref="C8:C9"/>
    <mergeCell ref="D8:D9"/>
  </mergeCells>
  <pageMargins left="0.7" right="0.7" top="0.75" bottom="0.75" header="0.3" footer="0.3"/>
  <pageSetup orientation="portrait" horizontalDpi="1200" verticalDpi="1200"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1d472983-758f-460a-9d25-2f3e48ce7773">
      <UserInfo>
        <DisplayName>Sara Aaserud</DisplayName>
        <AccountId>586</AccountId>
        <AccountType/>
      </UserInfo>
    </SharedWithUsers>
    <TaxCatchAll xmlns="1d472983-758f-460a-9d25-2f3e48ce7773" xsi:nil="true"/>
    <lcf76f155ced4ddcb4097134ff3c332f xmlns="5e6c1615-f3e2-40d0-ada0-fb8b08d4addb">
      <Terms xmlns="http://schemas.microsoft.com/office/infopath/2007/PartnerControls"/>
    </lcf76f155ced4ddcb4097134ff3c332f>
  </documentManagement>
</p:properties>
</file>

<file path=customXml/item2.xml><?xml version="1.0" encoding="utf-8"?>
<sisl xmlns:xsi="http://www.w3.org/2001/XMLSchema-instance" xmlns:xsd="http://www.w3.org/2001/XMLSchema" xmlns="http://www.boldonjames.com/2008/01/sie/internal/label" sislVersion="0" policy="c8d5760e-638a-47e8-9e2e-1226c2cb268d" origin="userSelected">
  <element uid="7a893e0f-79ce-4509-88ea-9dfe058c6690" value=""/>
</sisl>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OGQ1NzYwZS02MzhhLTQ3ZTgtOWUyZS0xMjI2YzJjYjI2OGQiIG9yaWdpbj0idXNlclNlbGVjdGVkIj48ZWxlbWVudCB1aWQ9IjdhODkzZTBmLTc5Y2UtNDUwOS04OGVhLTlkZmUwNThjNjY5MCIgdmFsdWU9IiIgeG1sbnM9Imh0dHA6Ly93d3cuYm9sZG9uamFtZXMuY29tLzIwMDgvMDEvc2llL2ludGVybmFsL2xhYmVsIiAvPjwvc2lzbD48VXNlck5hbWU+TEVJRE9TLUNPUlBcbWljaGF1ZGM8L1VzZXJOYW1lPjxEYXRlVGltZT43LzI3LzIwMjEgMzo0NTozNyBQTTwvRGF0ZVRpbWU+PExhYmVsU3RyaW5nPkxlaWRvcyBQcm9wcmlldGFyeTwvTGFiZWxTdHJpbmc+PC9pdGVtPjwvbGFiZWxIaXN0b3J5Pg==</Value>
</WrappedLabelHistory>
</file>

<file path=customXml/item5.xml><?xml version="1.0" encoding="utf-8"?>
<ct:contentTypeSchema xmlns:ct="http://schemas.microsoft.com/office/2006/metadata/contentType" xmlns:ma="http://schemas.microsoft.com/office/2006/metadata/properties/metaAttributes" ct:_="" ma:_="" ma:contentTypeName="Document" ma:contentTypeID="0x01010019217E6C407DF643B5A1C94F02ABE04C" ma:contentTypeVersion="14" ma:contentTypeDescription="Create a new document." ma:contentTypeScope="" ma:versionID="9fb1cd8b46bd4988e69b50f966cc3b79">
  <xsd:schema xmlns:xsd="http://www.w3.org/2001/XMLSchema" xmlns:xs="http://www.w3.org/2001/XMLSchema" xmlns:p="http://schemas.microsoft.com/office/2006/metadata/properties" xmlns:ns2="1d472983-758f-460a-9d25-2f3e48ce7773" xmlns:ns3="5e6c1615-f3e2-40d0-ada0-fb8b08d4addb" targetNamespace="http://schemas.microsoft.com/office/2006/metadata/properties" ma:root="true" ma:fieldsID="6a29cdb338cd20d94448d0d643d368e3" ns2:_="" ns3:_="">
    <xsd:import namespace="1d472983-758f-460a-9d25-2f3e48ce7773"/>
    <xsd:import namespace="5e6c1615-f3e2-40d0-ada0-fb8b08d4add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472983-758f-460a-9d25-2f3e48ce777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16" nillable="true" ma:displayName="Taxonomy Catch All Column" ma:hidden="true" ma:list="{fdaf0a10-1d80-4be9-8111-8efc920c6e93}" ma:internalName="TaxCatchAll" ma:showField="CatchAllData" ma:web="1d472983-758f-460a-9d25-2f3e48ce777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e6c1615-f3e2-40d0-ada0-fb8b08d4addb"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661a3f4-1e69-4502-bd87-7abe80dc30bd"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56E6D12-DE79-46DC-85B8-F458650D2F00}">
  <ds:schemaRefs>
    <ds:schemaRef ds:uri="http://purl.org/dc/terms/"/>
    <ds:schemaRef ds:uri="http://purl.org/dc/elements/1.1/"/>
    <ds:schemaRef ds:uri="http://purl.org/dc/dcmitype/"/>
    <ds:schemaRef ds:uri="f10523b9-4ad1-4ffe-b1f7-9fba4c9e70d2"/>
    <ds:schemaRef ds:uri="http://schemas.openxmlformats.org/package/2006/metadata/core-properties"/>
    <ds:schemaRef ds:uri="2f67128d-2aca-45c2-84bc-d83c659981e2"/>
    <ds:schemaRef ds:uri="http://schemas.microsoft.com/office/infopath/2007/PartnerControls"/>
    <ds:schemaRef ds:uri="http://schemas.microsoft.com/office/2006/documentManagement/types"/>
    <ds:schemaRef ds:uri="92005a5e-b873-4d56-90cc-bf1faaca0594"/>
    <ds:schemaRef ds:uri="http://schemas.microsoft.com/office/2006/metadata/properties"/>
    <ds:schemaRef ds:uri="http://www.w3.org/XML/1998/namespace"/>
    <ds:schemaRef ds:uri="1d472983-758f-460a-9d25-2f3e48ce7773"/>
    <ds:schemaRef ds:uri="5e6c1615-f3e2-40d0-ada0-fb8b08d4addb"/>
  </ds:schemaRefs>
</ds:datastoreItem>
</file>

<file path=customXml/itemProps2.xml><?xml version="1.0" encoding="utf-8"?>
<ds:datastoreItem xmlns:ds="http://schemas.openxmlformats.org/officeDocument/2006/customXml" ds:itemID="{7431DB0D-7001-4410-9D7E-FA451FA2A13E}">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7C4EFAD9-0702-432E-A2A8-5CAC069528B3}">
  <ds:schemaRefs>
    <ds:schemaRef ds:uri="http://schemas.microsoft.com/sharepoint/v3/contenttype/forms"/>
  </ds:schemaRefs>
</ds:datastoreItem>
</file>

<file path=customXml/itemProps4.xml><?xml version="1.0" encoding="utf-8"?>
<ds:datastoreItem xmlns:ds="http://schemas.openxmlformats.org/officeDocument/2006/customXml" ds:itemID="{32DDB386-E78F-4EEB-82A1-81BB3A5F1024}">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5F8F4A07-7381-4AC9-BA81-805908BDE2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472983-758f-460a-9d25-2f3e48ce7773"/>
    <ds:schemaRef ds:uri="5e6c1615-f3e2-40d0-ada0-fb8b08d4ad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a8ee12a3-5bcd-4f4e-b3f4-bbf43d9c570a}" enabled="0" method="" siteId="{a8ee12a3-5bcd-4f4e-b3f4-bbf43d9c570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60</vt:i4>
      </vt:variant>
    </vt:vector>
  </HeadingPairs>
  <TitlesOfParts>
    <vt:vector size="71" baseType="lpstr">
      <vt:lpstr>Instructions</vt:lpstr>
      <vt:lpstr>Project Summary</vt:lpstr>
      <vt:lpstr>Fixture Code Generator</vt:lpstr>
      <vt:lpstr>Fixture Identities</vt:lpstr>
      <vt:lpstr>General Information</vt:lpstr>
      <vt:lpstr>Lighting Inventory</vt:lpstr>
      <vt:lpstr>Lookup Tables</vt:lpstr>
      <vt:lpstr>Inspection Sheet</vt:lpstr>
      <vt:lpstr>Engineering Changelog</vt:lpstr>
      <vt:lpstr>Data Export</vt:lpstr>
      <vt:lpstr>Appendix C</vt:lpstr>
      <vt:lpstr>Area_description</vt:lpstr>
      <vt:lpstr>Building_Type_Exterior</vt:lpstr>
      <vt:lpstr>Building_Type_Interior</vt:lpstr>
      <vt:lpstr>Calculation_Method_NC</vt:lpstr>
      <vt:lpstr>Cooled</vt:lpstr>
      <vt:lpstr>Custom</vt:lpstr>
      <vt:lpstr>EFLH_App_Prescribed</vt:lpstr>
      <vt:lpstr>EFLH_prescribed</vt:lpstr>
      <vt:lpstr>EFLH_schedules</vt:lpstr>
      <vt:lpstr>Exit</vt:lpstr>
      <vt:lpstr>ext_lighting_controls</vt:lpstr>
      <vt:lpstr>Ext_Lighting_Description</vt:lpstr>
      <vt:lpstr>exterior_controls</vt:lpstr>
      <vt:lpstr>Flu_Fixt</vt:lpstr>
      <vt:lpstr>Flu_Ret</vt:lpstr>
      <vt:lpstr>Heated</vt:lpstr>
      <vt:lpstr>HID</vt:lpstr>
      <vt:lpstr>Hours_choice</vt:lpstr>
      <vt:lpstr>Induction</vt:lpstr>
      <vt:lpstr>Interior_controls</vt:lpstr>
      <vt:lpstr>Interior_or_Exterior</vt:lpstr>
      <vt:lpstr>LED_Box_Signs</vt:lpstr>
      <vt:lpstr>LED_Fixt_Ext</vt:lpstr>
      <vt:lpstr>LED_Fixt_Ext_250</vt:lpstr>
      <vt:lpstr>LED_Fixt_Int</vt:lpstr>
      <vt:lpstr>LED_Fixt_Int_250</vt:lpstr>
      <vt:lpstr>LED_Fridge</vt:lpstr>
      <vt:lpstr>LED_Lamps</vt:lpstr>
      <vt:lpstr>LED_Ret_Ext</vt:lpstr>
      <vt:lpstr>LED_Ret_Int</vt:lpstr>
      <vt:lpstr>LED_Signs</vt:lpstr>
      <vt:lpstr>Lighting_Controls</vt:lpstr>
      <vt:lpstr>Lighting_zone</vt:lpstr>
      <vt:lpstr>NC_Building_Type</vt:lpstr>
      <vt:lpstr>NC_Calc_Method</vt:lpstr>
      <vt:lpstr>NC_Exterior_Fixt</vt:lpstr>
      <vt:lpstr>NC_Facility_Type</vt:lpstr>
      <vt:lpstr>NC_Fixture_Category_Ext</vt:lpstr>
      <vt:lpstr>NC_Fixture_Category_Int</vt:lpstr>
      <vt:lpstr>NC_Fluorescent_Fixt</vt:lpstr>
      <vt:lpstr>NC_Induction</vt:lpstr>
      <vt:lpstr>NC_Interior_Fixt</vt:lpstr>
      <vt:lpstr>NC_LED_Lamps</vt:lpstr>
      <vt:lpstr>NC_Refrigerated_Case_Lighting</vt:lpstr>
      <vt:lpstr>NC_Space_Type_Ext</vt:lpstr>
      <vt:lpstr>NC_Space_Type_Int</vt:lpstr>
      <vt:lpstr>No_Change</vt:lpstr>
      <vt:lpstr>Not_Applicable</vt:lpstr>
      <vt:lpstr>Not_DLC_ES</vt:lpstr>
      <vt:lpstr>Opcos</vt:lpstr>
      <vt:lpstr>Pre_controls</vt:lpstr>
      <vt:lpstr>Proj_Type</vt:lpstr>
      <vt:lpstr>Reporting_Categories</vt:lpstr>
      <vt:lpstr>Ret</vt:lpstr>
      <vt:lpstr>Ret_Fixture_Category_Ext</vt:lpstr>
      <vt:lpstr>Ret_Fixture_Category_Int</vt:lpstr>
      <vt:lpstr>Sector</vt:lpstr>
      <vt:lpstr>Select_IE</vt:lpstr>
      <vt:lpstr>Uncooled</vt:lpstr>
      <vt:lpstr>Unheated</vt:lpstr>
    </vt:vector>
  </TitlesOfParts>
  <Manager/>
  <Company>Roth Bros,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Hall</dc:creator>
  <cp:keywords/>
  <dc:description/>
  <cp:lastModifiedBy>Jacob Steele</cp:lastModifiedBy>
  <cp:revision/>
  <dcterms:created xsi:type="dcterms:W3CDTF">2015-01-20T13:38:13Z</dcterms:created>
  <dcterms:modified xsi:type="dcterms:W3CDTF">2025-07-10T22:18:04Z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0x01010019217E6C407DF643B5A1C94F02ABE04C</vt:lpwstr>
  </property>
  <property fmtid="{D5CDD505-2E9C-101B-9397-08002B2CF9AE}" pid="3" name="Order">
    <vt:r8>1547400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docIndexRef">
    <vt:lpwstr>1ab909d0-5c08-4323-bd2d-2d381d62f84a</vt:lpwstr>
  </property>
  <property fmtid="{D5CDD505-2E9C-101B-9397-08002B2CF9AE}" pid="9" name="bjSaver">
    <vt:lpwstr>oOyqkr73P583m4grUk06MxnU+jQZt5Mj</vt:lpwstr>
  </property>
  <property fmtid="{D5CDD505-2E9C-101B-9397-08002B2CF9AE}" pid="10" name="bjDocumentLabelXML">
    <vt:lpwstr>&lt;?xml version="1.0" encoding="us-ascii"?&gt;&lt;sisl xmlns:xsi="http://www.w3.org/2001/XMLSchema-instance" xmlns:xsd="http://www.w3.org/2001/XMLSchema" sislVersion="0" policy="c8d5760e-638a-47e8-9e2e-1226c2cb268d" origin="userSelected" xmlns="http://www.boldonj</vt:lpwstr>
  </property>
  <property fmtid="{D5CDD505-2E9C-101B-9397-08002B2CF9AE}" pid="11" name="bjDocumentLabelXML-0">
    <vt:lpwstr>ames.com/2008/01/sie/internal/label"&gt;&lt;element uid="7a893e0f-79ce-4509-88ea-9dfe058c6690" value="" /&gt;&lt;/sisl&gt;</vt:lpwstr>
  </property>
  <property fmtid="{D5CDD505-2E9C-101B-9397-08002B2CF9AE}" pid="12" name="bjDocumentSecurityLabel">
    <vt:lpwstr>Leidos Proprietary</vt:lpwstr>
  </property>
  <property fmtid="{D5CDD505-2E9C-101B-9397-08002B2CF9AE}" pid="13" name="bjLabelHistoryID">
    <vt:lpwstr>{32DDB386-E78F-4EEB-82A1-81BB3A5F1024}</vt:lpwstr>
  </property>
  <property fmtid="{D5CDD505-2E9C-101B-9397-08002B2CF9AE}" pid="14" name="bjCentreHeaderLabel-first">
    <vt:lpwstr>&amp;"Arial,Regular"&amp;09&amp;I&amp;K000000Leidos Proprietary</vt:lpwstr>
  </property>
  <property fmtid="{D5CDD505-2E9C-101B-9397-08002B2CF9AE}" pid="15" name="bjCentreFooterLabel-first">
    <vt:lpwstr>&amp;"Arial,Regular"&amp;08&amp;I&amp;K000000The information in this document is proprietary to Leidos. 
It may not be used, reproduced, disclosed, or exported without the written approval of Leidos.</vt:lpwstr>
  </property>
  <property fmtid="{D5CDD505-2E9C-101B-9397-08002B2CF9AE}" pid="16" name="bjCentreHeaderLabel-even">
    <vt:lpwstr>&amp;"Arial,Regular"&amp;09&amp;I&amp;K000000Leidos Proprietary</vt:lpwstr>
  </property>
  <property fmtid="{D5CDD505-2E9C-101B-9397-08002B2CF9AE}" pid="17" name="bjCentreFooterLabel-even">
    <vt:lpwstr>&amp;"Calibri,Regular"&amp;10</vt:lpwstr>
  </property>
  <property fmtid="{D5CDD505-2E9C-101B-9397-08002B2CF9AE}" pid="18" name="bjCentreHeaderLabel">
    <vt:lpwstr>&amp;"Arial,Regular"&amp;09&amp;I&amp;K000000Leidos Proprietary</vt:lpwstr>
  </property>
  <property fmtid="{D5CDD505-2E9C-101B-9397-08002B2CF9AE}" pid="19" name="bjCentreFooterLabel">
    <vt:lpwstr>&amp;"Calibri,Regular"&amp;10</vt:lpwstr>
  </property>
  <property fmtid="{D5CDD505-2E9C-101B-9397-08002B2CF9AE}" pid="20" name="MediaServiceImageTags">
    <vt:lpwstr/>
  </property>
</Properties>
</file>